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activeX/activeX1.xml" ContentType="application/vnd.ms-office.activeX+xml"/>
  <Override PartName="/xl/activeX/activeX1.bin" ContentType="application/vnd.ms-office.activeX"/>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drawings/drawing83.xml" ContentType="application/vnd.openxmlformats-officedocument.drawing+xml"/>
  <Override PartName="/xl/activeX/activeX3.xml" ContentType="application/vnd.ms-office.activeX+xml"/>
  <Override PartName="/xl/activeX/activeX3.bin" ContentType="application/vnd.ms-office.activeX"/>
  <Override PartName="/xl/charts/chart2.xml" ContentType="application/vnd.openxmlformats-officedocument.drawingml.chart+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logger\Documents\"/>
    </mc:Choice>
  </mc:AlternateContent>
  <bookViews>
    <workbookView xWindow="0" yWindow="0" windowWidth="20490" windowHeight="9045" tabRatio="1" autoFilterDateGrouping="0"/>
  </bookViews>
  <sheets>
    <sheet name="menu" sheetId="3" r:id="rId1"/>
    <sheet name="dtsiswa" sheetId="62" r:id="rId2"/>
    <sheet name="dtsekolah" sheetId="63" r:id="rId3"/>
    <sheet name="dtesku" sheetId="64" r:id="rId4"/>
    <sheet name="UTagm" sheetId="4" state="hidden" r:id="rId5"/>
    <sheet name="UT_pkn" sheetId="67" state="hidden" r:id="rId6"/>
    <sheet name="UT_bhs ind" sheetId="68" state="hidden" r:id="rId7"/>
    <sheet name="UT_mat" sheetId="69" state="hidden" r:id="rId8"/>
    <sheet name="UHT_IPA" sheetId="135" state="hidden" r:id="rId9"/>
    <sheet name="UHT_IPS" sheetId="137" state="hidden" r:id="rId10"/>
    <sheet name="UT_Sbdp" sheetId="70" state="hidden" r:id="rId11"/>
    <sheet name="UT_PJOK" sheetId="71" state="hidden" r:id="rId12"/>
    <sheet name="UT_MULOK" sheetId="72" state="hidden" r:id="rId13"/>
    <sheet name="agmki3" sheetId="109" r:id="rId14"/>
    <sheet name="pknki_3" sheetId="76" r:id="rId15"/>
    <sheet name="biki_3" sheetId="79" r:id="rId16"/>
    <sheet name="Mat_ki3" sheetId="84" r:id="rId17"/>
    <sheet name="ipa_3" sheetId="133" r:id="rId18"/>
    <sheet name="IPS_3" sheetId="134" r:id="rId19"/>
    <sheet name="sbdp_ki3" sheetId="57" r:id="rId20"/>
    <sheet name="pjok_ki3" sheetId="110" r:id="rId21"/>
    <sheet name="mulok_ki3" sheetId="147" r:id="rId22"/>
    <sheet name="agki_4" sheetId="59" r:id="rId23"/>
    <sheet name="pkn_ki4" sheetId="77" r:id="rId24"/>
    <sheet name="BI_ki4" sheetId="81" r:id="rId25"/>
    <sheet name="mat_ki4" sheetId="86" r:id="rId26"/>
    <sheet name="IPS_KI4" sheetId="142" r:id="rId27"/>
    <sheet name="IPA_KI4" sheetId="136" r:id="rId28"/>
    <sheet name="Sbdp_ki4" sheetId="103" r:id="rId29"/>
    <sheet name="pjok_ki4" sheetId="114" r:id="rId30"/>
    <sheet name="mulok_ki4" sheetId="115" r:id="rId31"/>
    <sheet name="des_agm" sheetId="60" r:id="rId32"/>
    <sheet name="des_pkn" sheetId="78" r:id="rId33"/>
    <sheet name="des_BI" sheetId="82" r:id="rId34"/>
    <sheet name="des_ipa" sheetId="150" r:id="rId35"/>
    <sheet name="des_ips" sheetId="151" r:id="rId36"/>
    <sheet name="des_mat" sheetId="88" r:id="rId37"/>
    <sheet name="des_sbdp" sheetId="108" r:id="rId38"/>
    <sheet name="des_pjok" sheetId="112" r:id="rId39"/>
    <sheet name="des_mulok" sheetId="111" r:id="rId40"/>
    <sheet name="kd all" sheetId="149" r:id="rId41"/>
    <sheet name="kdki3l" sheetId="65" r:id="rId42"/>
    <sheet name="kdki4" sheetId="66" r:id="rId43"/>
    <sheet name="RAPOT" sheetId="74" r:id="rId44"/>
    <sheet name="REKAPALL" sheetId="94" r:id="rId45"/>
    <sheet name="an_agm1" sheetId="51" r:id="rId46"/>
    <sheet name="an_pkn5" sheetId="75" state="hidden" r:id="rId47"/>
    <sheet name="an_pkn6" sheetId="90" state="hidden" r:id="rId48"/>
    <sheet name="an_pkn7" sheetId="91" state="hidden" r:id="rId49"/>
    <sheet name="an_pkn8" sheetId="92" state="hidden" r:id="rId50"/>
    <sheet name="an_bi5" sheetId="80" state="hidden" r:id="rId51"/>
    <sheet name="an_bi6" sheetId="99" state="hidden" r:id="rId52"/>
    <sheet name="an_bi7" sheetId="100" state="hidden" r:id="rId53"/>
    <sheet name="an_bi8" sheetId="101" state="hidden" r:id="rId54"/>
    <sheet name="an_mat5" sheetId="85" state="hidden" r:id="rId55"/>
    <sheet name="an_mat6" sheetId="95" state="hidden" r:id="rId56"/>
    <sheet name="an_mat7" sheetId="96" state="hidden" r:id="rId57"/>
    <sheet name="an_mat8" sheetId="97" state="hidden" r:id="rId58"/>
    <sheet name="an_sbdp5" sheetId="104" state="hidden" r:id="rId59"/>
    <sheet name="an_sbdp6" sheetId="105" state="hidden" r:id="rId60"/>
    <sheet name="an_sbdp7" sheetId="106" state="hidden" r:id="rId61"/>
    <sheet name="an_sbdp8" sheetId="107" state="hidden" r:id="rId62"/>
    <sheet name="an_pjok5" sheetId="116" state="hidden" r:id="rId63"/>
    <sheet name="an_pjok6" sheetId="118" state="hidden" r:id="rId64"/>
    <sheet name="an_pjok7" sheetId="119" state="hidden" r:id="rId65"/>
    <sheet name="an_pjok8" sheetId="120" state="hidden" r:id="rId66"/>
    <sheet name="an_IPA6" sheetId="138" state="hidden" r:id="rId67"/>
    <sheet name="an_IPA7" sheetId="139" state="hidden" r:id="rId68"/>
    <sheet name="an_IPA8" sheetId="141" state="hidden" r:id="rId69"/>
    <sheet name="an_IPA9" sheetId="140" state="hidden" r:id="rId70"/>
    <sheet name="an_IPs6" sheetId="143" state="hidden" r:id="rId71"/>
    <sheet name="an_IPs7" sheetId="144" state="hidden" r:id="rId72"/>
    <sheet name="an_IPs8" sheetId="145" state="hidden" r:id="rId73"/>
    <sheet name="an_IPs9" sheetId="146" state="hidden" r:id="rId74"/>
    <sheet name="an_mulok" sheetId="148" state="hidden" r:id="rId75"/>
    <sheet name="LEDGER" sheetId="98" r:id="rId76"/>
    <sheet name="PETUNJUK" sheetId="124" r:id="rId77"/>
    <sheet name="prestasi" sheetId="125" r:id="rId78"/>
    <sheet name="SPIRITUAL" sheetId="126" r:id="rId79"/>
    <sheet name="SOSIAL" sheetId="127" r:id="rId80"/>
    <sheet name="REKAP 1" sheetId="128" r:id="rId81"/>
    <sheet name="hasil" sheetId="129" r:id="rId82"/>
    <sheet name="REKAP KI4" sheetId="130" r:id="rId83"/>
    <sheet name="HASIL2" sheetId="131" r:id="rId84"/>
    <sheet name="KAT" sheetId="132" r:id="rId85"/>
    <sheet name="KRTS" sheetId="152" r:id="rId86"/>
    <sheet name="HINDU" sheetId="153" r:id="rId87"/>
    <sheet name="BUDHA" sheetId="154" r:id="rId88"/>
  </sheets>
  <externalReferences>
    <externalReference r:id="rId89"/>
    <externalReference r:id="rId90"/>
  </externalReferences>
  <definedNames>
    <definedName name="an_agm">an_agm1!$A$9:$BD$48</definedName>
    <definedName name="AN_BI6">an_bi5!$A$9:$S$48</definedName>
    <definedName name="AN_BI7">an_bi6!$A$9:$U$48</definedName>
    <definedName name="AN_BI8">an_bi7!$A$9:$S$48</definedName>
    <definedName name="AN_BI9">an_bi8!$A$9:$U$48</definedName>
    <definedName name="AN_ipa6">an_IPA6!$A$9:$P$48</definedName>
    <definedName name="AN_IPA7">an_IPA7!$A$9:$P$48</definedName>
    <definedName name="AN_IPA8">an_IPA8!$A$9:$P$48</definedName>
    <definedName name="an_IPA9">an_IPA9!$A$9:$P$48</definedName>
    <definedName name="AN_IPS_9">an_IPs9!$A$9:$P$48</definedName>
    <definedName name="AN_IPS6">an_IPs6!$A$9:$P$48</definedName>
    <definedName name="an_ips7">an_IPs7!$A$9:$P$48</definedName>
    <definedName name="AN_ips8">an_IPA8!$A$9:$P$48</definedName>
    <definedName name="AN_MAT6">an_mat5!$A$7:$P$46</definedName>
    <definedName name="AN_MAT7">an_mat6!$A$7:$P$46</definedName>
    <definedName name="AN_MAT8">an_mat7!$A$7:$P$46</definedName>
    <definedName name="AN_MAT9">an_mat8!$A$7:$P$46</definedName>
    <definedName name="AN_MULOK">an_mulok!$A$9:$AX$48</definedName>
    <definedName name="AN_PJOK6">an_pjok5!$A$9:$P$48</definedName>
    <definedName name="AN_PJOK7">an_pjok6!$A$9:$P$48</definedName>
    <definedName name="AN_PJOK8">an_pjok7!$A$9:$P$48</definedName>
    <definedName name="AN_PJOK9">an_pjok8!$A$9:$P$48</definedName>
    <definedName name="AN_PKN6_KI3">an_pkn5!$A$10:$Q$49</definedName>
    <definedName name="AN_PKN7">an_pkn6!$A$8:$P$47</definedName>
    <definedName name="AN_PKN8">an_pkn7!$A$8:$Q$47</definedName>
    <definedName name="AN_PKN9">an_pkn8!$A$8:$P$47</definedName>
    <definedName name="AN_SBDP6">an_sbdp5!$A$9:$P$48</definedName>
    <definedName name="AN_SBDP7">an_sbdp6!$A$9:$P$48</definedName>
    <definedName name="AN_SBDP8">an_sbdp7!$A$9:$P$48</definedName>
    <definedName name="AN_SBDP9">an_sbdp8!$A$9:$P$48</definedName>
    <definedName name="data_eskulkes">dtesku!$A$9:$S$58</definedName>
    <definedName name="data_guru">dtsekolah!$E$3:$G$9</definedName>
    <definedName name="data_sekolah">dtsekolah!$A$3:$C$13</definedName>
    <definedName name="data_siswa">dtsiswa!$A$7:$W$56</definedName>
    <definedName name="DEs_KI3_AGM">kdki3l!$A$5:$G$7</definedName>
    <definedName name="DES_KI3_BI">kdki3l!$A$18:$F$20</definedName>
    <definedName name="DES_KI3_IPA">kdki3l!$A$46:$C$48</definedName>
    <definedName name="DES_KI3_IPS">kdki3l!$A$53:$D$55</definedName>
    <definedName name="DES_KI3_MAT">kdki3l!$A$25:$H$27</definedName>
    <definedName name="DES_KI3_PJOK">kdki3l!$A$39:$F$41</definedName>
    <definedName name="DES_KI3_PKN">kdki3l!$A$11:$D$13</definedName>
    <definedName name="DES_KI3_SBDP">kdki3l!$A$32:$E$34</definedName>
    <definedName name="DES_KI3jawa">kdki3l!$A$60:$D$62</definedName>
    <definedName name="DES_ki3PJOK">kdki3l!$A$39:$F$41</definedName>
    <definedName name="des_KI4_agm">kdki4!$A$5:$J$7</definedName>
    <definedName name="DES_KI4_IPA">kdki4!$A$52:$D$54</definedName>
    <definedName name="DES_KI4_IPS">kdki4!$A$59:$E$61</definedName>
    <definedName name="des_KI4_mat">kdki4!$A$28:$L$30</definedName>
    <definedName name="DES_KI4_PJOK">kdki4!$A$44:$F$46</definedName>
    <definedName name="des_KI4_PKN">kdki4!$A$13:$D$15</definedName>
    <definedName name="des_KI4_SBDP">kdki4!$A$36:$G$38</definedName>
    <definedName name="Des_ki4B.Indo">kdki4!$A$20:$E$22</definedName>
    <definedName name="DES_KI4jawa">kdki4!$H$59:$K$61</definedName>
    <definedName name="des_spirital">SPIRITUAL!#REF!</definedName>
    <definedName name="DESGAB_AGAMA">des_agm!$W$4:$Z$43</definedName>
    <definedName name="DESGAB_BI">des_BI!$Q$4:$T$43</definedName>
    <definedName name="DESGAB_IPA">des_ipa!$M$4:$P$43</definedName>
    <definedName name="DESGAB_IPS">des_ips!$N$4:$Q$43</definedName>
    <definedName name="DESGAB_JAWA">des_mulok!$N$4:$Q$43</definedName>
    <definedName name="DESGAB_MAT">des_mat!$Z$4:$AC$43</definedName>
    <definedName name="DESGAB_PJOK">des_pjok!$R$4:$U$43</definedName>
    <definedName name="DESGAB_PKN">des_pkn!$N$4:$Q$43</definedName>
    <definedName name="DESGAB_SBDP">des_sbdp!$R$4:$U$43</definedName>
    <definedName name="ki3_agama">agmki3!$A$9:$AA$288</definedName>
    <definedName name="KI3_BIRapot">biki_3!$A$7:$Y$246</definedName>
    <definedName name="KI3_IPArapot">ipa_3!$A$7:$S$126</definedName>
    <definedName name="KI3_IPSrapot">IPS_3!$A$7:$U$166</definedName>
    <definedName name="KI3_JAWArapot">mulok_ki3!$A$7:$U$166</definedName>
    <definedName name="KI3_MATrapot">Mat_ki3!$A$7:$AC$326</definedName>
    <definedName name="KI3_PJOKrapot">pjok_ki3!$A$7:$Y$246</definedName>
    <definedName name="KI3_PKNRapot">pknki_3!$A$7:$U$166</definedName>
    <definedName name="KI3_SBDPrapot">sbdp_ki3!$A$7:$W$206</definedName>
    <definedName name="KI4_AGAMA">agki_4!$A$10:$AT$409</definedName>
    <definedName name="KI4_BIrapot">BI_ki4!$A$10:$AG$209</definedName>
    <definedName name="KI4_IPArapot">IPA_KI4!$A$8:$AE$167</definedName>
    <definedName name="KI4_IPSrapot">IPS_KI4!$A$9:$AG$208</definedName>
    <definedName name="KI4_JAWArapot">mulok_ki4!$A$9:$AB$168</definedName>
    <definedName name="KI4_MATrapot">mat_ki4!$A$7:$AV$486</definedName>
    <definedName name="KI4_PJOKrapot">pjok_ki4!$A$7:$AI$246</definedName>
    <definedName name="KI4_PKNrapot">pkn_ki4!$A$8:$AE$167</definedName>
    <definedName name="KI4_SBDPrapot">Sbdp_ki4!$A$9:$AK$288</definedName>
    <definedName name="PRESTASI_SISWA">prestasi!$A$6:$F$46</definedName>
    <definedName name="RANG_PKN3">pknki_3!$C$5:$T$166</definedName>
    <definedName name="rekap_1">'REKAP 1'!$A$6:$M$45</definedName>
    <definedName name="rekap_jawa">an_mulok!$A$9:$AX$50</definedName>
    <definedName name="rekap_ki4">'REKAP KI4'!$A$6:$M$45</definedName>
    <definedName name="REKAP_NILAI">REKAPALL!$B$8:$AZ$248</definedName>
    <definedName name="RELIGIUS">'kd all'!$I$6:$M$7</definedName>
    <definedName name="SOSIAL">SOSIAL!$A$15:$H$54</definedName>
    <definedName name="SPIRITUAL">[1]SPIRITUAL!$A$15:$H$54</definedName>
    <definedName name="SPIRITUAL1">SPIRITUAL!$A$15:$H$54</definedName>
    <definedName name="UHT_AGM">UTagm!$A$9:$BN$48</definedName>
    <definedName name="UHT_BI">'UT_bhs ind'!$A$9:$BE$48</definedName>
    <definedName name="UHT_IPA">UHT_IPA!$A$9:$AR$48</definedName>
    <definedName name="UHT_IPS">UHT_IPS!$A$9:$BH$48</definedName>
    <definedName name="UHT_jawa">UT_MULOK!$A$9:$AA$48</definedName>
    <definedName name="UHT_MAT">UT_mat!$A$9:$CG$48</definedName>
    <definedName name="UHT_PJOK">UT_PJOK!$A$9:$BQ$48</definedName>
    <definedName name="UHT_PKN">UT_pkn!$A$9:$AU$48</definedName>
    <definedName name="UHT_SBDP">UT_Sbdp!$A$9:$BU$48</definedName>
  </definedNames>
  <calcPr calcId="152511"/>
</workbook>
</file>

<file path=xl/calcChain.xml><?xml version="1.0" encoding="utf-8"?>
<calcChain xmlns="http://schemas.openxmlformats.org/spreadsheetml/2006/main">
  <c r="T11" i="59" l="1"/>
  <c r="U11" i="59"/>
  <c r="V11" i="59"/>
  <c r="T12" i="59"/>
  <c r="U12" i="59"/>
  <c r="V12" i="59"/>
  <c r="U10" i="59"/>
  <c r="V10" i="59"/>
  <c r="T10" i="59"/>
  <c r="V408" i="59"/>
  <c r="U408" i="59"/>
  <c r="T408" i="59"/>
  <c r="W408" i="59" s="1"/>
  <c r="V407" i="59"/>
  <c r="U407" i="59"/>
  <c r="T407" i="59"/>
  <c r="V406" i="59"/>
  <c r="U406" i="59"/>
  <c r="T406" i="59"/>
  <c r="V405" i="59"/>
  <c r="U405" i="59"/>
  <c r="T405" i="59"/>
  <c r="V404" i="59"/>
  <c r="U404" i="59"/>
  <c r="T404" i="59"/>
  <c r="W404" i="59" s="1"/>
  <c r="V403" i="59"/>
  <c r="U403" i="59"/>
  <c r="T403" i="59"/>
  <c r="W403" i="59" s="1"/>
  <c r="V402" i="59"/>
  <c r="U402" i="59"/>
  <c r="T402" i="59"/>
  <c r="V401" i="59"/>
  <c r="U401" i="59"/>
  <c r="T401" i="59"/>
  <c r="V400" i="59"/>
  <c r="U400" i="59"/>
  <c r="T400" i="59"/>
  <c r="W400" i="59" s="1"/>
  <c r="V398" i="59"/>
  <c r="U398" i="59"/>
  <c r="T398" i="59"/>
  <c r="V397" i="59"/>
  <c r="U397" i="59"/>
  <c r="T397" i="59"/>
  <c r="V396" i="59"/>
  <c r="U396" i="59"/>
  <c r="W396" i="59" s="1"/>
  <c r="T396" i="59"/>
  <c r="V395" i="59"/>
  <c r="U395" i="59"/>
  <c r="T395" i="59"/>
  <c r="V394" i="59"/>
  <c r="U394" i="59"/>
  <c r="T394" i="59"/>
  <c r="V393" i="59"/>
  <c r="U393" i="59"/>
  <c r="T393" i="59"/>
  <c r="V392" i="59"/>
  <c r="U392" i="59"/>
  <c r="W392" i="59" s="1"/>
  <c r="T392" i="59"/>
  <c r="V391" i="59"/>
  <c r="U391" i="59"/>
  <c r="T391" i="59"/>
  <c r="V390" i="59"/>
  <c r="U390" i="59"/>
  <c r="T390" i="59"/>
  <c r="V388" i="59"/>
  <c r="U388" i="59"/>
  <c r="T388" i="59"/>
  <c r="V387" i="59"/>
  <c r="U387" i="59"/>
  <c r="T387" i="59"/>
  <c r="V386" i="59"/>
  <c r="U386" i="59"/>
  <c r="T386" i="59"/>
  <c r="W386" i="59" s="1"/>
  <c r="V385" i="59"/>
  <c r="U385" i="59"/>
  <c r="T385" i="59"/>
  <c r="W385" i="59" s="1"/>
  <c r="V384" i="59"/>
  <c r="U384" i="59"/>
  <c r="T384" i="59"/>
  <c r="V383" i="59"/>
  <c r="U383" i="59"/>
  <c r="T383" i="59"/>
  <c r="V382" i="59"/>
  <c r="U382" i="59"/>
  <c r="T382" i="59"/>
  <c r="W382" i="59" s="1"/>
  <c r="V381" i="59"/>
  <c r="U381" i="59"/>
  <c r="T381" i="59"/>
  <c r="W381" i="59" s="1"/>
  <c r="V380" i="59"/>
  <c r="U380" i="59"/>
  <c r="T380" i="59"/>
  <c r="V378" i="59"/>
  <c r="U378" i="59"/>
  <c r="W378" i="59" s="1"/>
  <c r="T378" i="59"/>
  <c r="V377" i="59"/>
  <c r="U377" i="59"/>
  <c r="T377" i="59"/>
  <c r="V376" i="59"/>
  <c r="U376" i="59"/>
  <c r="T376" i="59"/>
  <c r="V375" i="59"/>
  <c r="U375" i="59"/>
  <c r="T375" i="59"/>
  <c r="V374" i="59"/>
  <c r="U374" i="59"/>
  <c r="W374" i="59" s="1"/>
  <c r="T374" i="59"/>
  <c r="V373" i="59"/>
  <c r="U373" i="59"/>
  <c r="T373" i="59"/>
  <c r="V372" i="59"/>
  <c r="U372" i="59"/>
  <c r="T372" i="59"/>
  <c r="V371" i="59"/>
  <c r="U371" i="59"/>
  <c r="T371" i="59"/>
  <c r="V370" i="59"/>
  <c r="U370" i="59"/>
  <c r="W370" i="59" s="1"/>
  <c r="T370" i="59"/>
  <c r="V368" i="59"/>
  <c r="U368" i="59"/>
  <c r="T368" i="59"/>
  <c r="W368" i="59" s="1"/>
  <c r="V367" i="59"/>
  <c r="U367" i="59"/>
  <c r="T367" i="59"/>
  <c r="W367" i="59" s="1"/>
  <c r="V366" i="59"/>
  <c r="U366" i="59"/>
  <c r="T366" i="59"/>
  <c r="V365" i="59"/>
  <c r="U365" i="59"/>
  <c r="T365" i="59"/>
  <c r="V364" i="59"/>
  <c r="U364" i="59"/>
  <c r="T364" i="59"/>
  <c r="W364" i="59" s="1"/>
  <c r="V363" i="59"/>
  <c r="U363" i="59"/>
  <c r="T363" i="59"/>
  <c r="W363" i="59" s="1"/>
  <c r="V362" i="59"/>
  <c r="U362" i="59"/>
  <c r="T362" i="59"/>
  <c r="V361" i="59"/>
  <c r="U361" i="59"/>
  <c r="T361" i="59"/>
  <c r="V360" i="59"/>
  <c r="U360" i="59"/>
  <c r="T360" i="59"/>
  <c r="W360" i="59" s="1"/>
  <c r="V358" i="59"/>
  <c r="U358" i="59"/>
  <c r="T358" i="59"/>
  <c r="V357" i="59"/>
  <c r="U357" i="59"/>
  <c r="T357" i="59"/>
  <c r="V356" i="59"/>
  <c r="U356" i="59"/>
  <c r="W356" i="59" s="1"/>
  <c r="T356" i="59"/>
  <c r="V355" i="59"/>
  <c r="U355" i="59"/>
  <c r="T355" i="59"/>
  <c r="V354" i="59"/>
  <c r="U354" i="59"/>
  <c r="T354" i="59"/>
  <c r="V353" i="59"/>
  <c r="U353" i="59"/>
  <c r="T353" i="59"/>
  <c r="V352" i="59"/>
  <c r="U352" i="59"/>
  <c r="W352" i="59" s="1"/>
  <c r="T352" i="59"/>
  <c r="V351" i="59"/>
  <c r="U351" i="59"/>
  <c r="T351" i="59"/>
  <c r="V350" i="59"/>
  <c r="U350" i="59"/>
  <c r="T350" i="59"/>
  <c r="V348" i="59"/>
  <c r="U348" i="59"/>
  <c r="T348" i="59"/>
  <c r="V347" i="59"/>
  <c r="U347" i="59"/>
  <c r="T347" i="59"/>
  <c r="V346" i="59"/>
  <c r="U346" i="59"/>
  <c r="T346" i="59"/>
  <c r="W346" i="59" s="1"/>
  <c r="V345" i="59"/>
  <c r="U345" i="59"/>
  <c r="T345" i="59"/>
  <c r="W345" i="59" s="1"/>
  <c r="V344" i="59"/>
  <c r="U344" i="59"/>
  <c r="T344" i="59"/>
  <c r="V343" i="59"/>
  <c r="U343" i="59"/>
  <c r="T343" i="59"/>
  <c r="V342" i="59"/>
  <c r="U342" i="59"/>
  <c r="T342" i="59"/>
  <c r="W342" i="59" s="1"/>
  <c r="V341" i="59"/>
  <c r="U341" i="59"/>
  <c r="T341" i="59"/>
  <c r="W341" i="59" s="1"/>
  <c r="V340" i="59"/>
  <c r="U340" i="59"/>
  <c r="T340" i="59"/>
  <c r="V338" i="59"/>
  <c r="U338" i="59"/>
  <c r="W338" i="59" s="1"/>
  <c r="T338" i="59"/>
  <c r="V337" i="59"/>
  <c r="U337" i="59"/>
  <c r="T337" i="59"/>
  <c r="V336" i="59"/>
  <c r="U336" i="59"/>
  <c r="T336" i="59"/>
  <c r="V335" i="59"/>
  <c r="U335" i="59"/>
  <c r="T335" i="59"/>
  <c r="V334" i="59"/>
  <c r="U334" i="59"/>
  <c r="W334" i="59" s="1"/>
  <c r="T334" i="59"/>
  <c r="V333" i="59"/>
  <c r="U333" i="59"/>
  <c r="T333" i="59"/>
  <c r="V332" i="59"/>
  <c r="U332" i="59"/>
  <c r="T332" i="59"/>
  <c r="V331" i="59"/>
  <c r="U331" i="59"/>
  <c r="T331" i="59"/>
  <c r="V330" i="59"/>
  <c r="U330" i="59"/>
  <c r="W330" i="59" s="1"/>
  <c r="T330" i="59"/>
  <c r="V328" i="59"/>
  <c r="U328" i="59"/>
  <c r="T328" i="59"/>
  <c r="W328" i="59" s="1"/>
  <c r="V327" i="59"/>
  <c r="U327" i="59"/>
  <c r="T327" i="59"/>
  <c r="W327" i="59" s="1"/>
  <c r="V326" i="59"/>
  <c r="U326" i="59"/>
  <c r="T326" i="59"/>
  <c r="V325" i="59"/>
  <c r="U325" i="59"/>
  <c r="T325" i="59"/>
  <c r="V324" i="59"/>
  <c r="U324" i="59"/>
  <c r="T324" i="59"/>
  <c r="W324" i="59" s="1"/>
  <c r="V323" i="59"/>
  <c r="U323" i="59"/>
  <c r="T323" i="59"/>
  <c r="W323" i="59" s="1"/>
  <c r="V322" i="59"/>
  <c r="U322" i="59"/>
  <c r="T322" i="59"/>
  <c r="V321" i="59"/>
  <c r="U321" i="59"/>
  <c r="T321" i="59"/>
  <c r="V320" i="59"/>
  <c r="U320" i="59"/>
  <c r="T320" i="59"/>
  <c r="W320" i="59" s="1"/>
  <c r="V318" i="59"/>
  <c r="U318" i="59"/>
  <c r="T318" i="59"/>
  <c r="V317" i="59"/>
  <c r="U317" i="59"/>
  <c r="T317" i="59"/>
  <c r="V316" i="59"/>
  <c r="U316" i="59"/>
  <c r="W316" i="59" s="1"/>
  <c r="T316" i="59"/>
  <c r="V315" i="59"/>
  <c r="U315" i="59"/>
  <c r="T315" i="59"/>
  <c r="V314" i="59"/>
  <c r="U314" i="59"/>
  <c r="T314" i="59"/>
  <c r="V313" i="59"/>
  <c r="U313" i="59"/>
  <c r="T313" i="59"/>
  <c r="V312" i="59"/>
  <c r="U312" i="59"/>
  <c r="W312" i="59" s="1"/>
  <c r="T312" i="59"/>
  <c r="V311" i="59"/>
  <c r="U311" i="59"/>
  <c r="T311" i="59"/>
  <c r="V310" i="59"/>
  <c r="U310" i="59"/>
  <c r="T310" i="59"/>
  <c r="V308" i="59"/>
  <c r="U308" i="59"/>
  <c r="T308" i="59"/>
  <c r="V307" i="59"/>
  <c r="U307" i="59"/>
  <c r="T307" i="59"/>
  <c r="V306" i="59"/>
  <c r="U306" i="59"/>
  <c r="T306" i="59"/>
  <c r="W306" i="59" s="1"/>
  <c r="V305" i="59"/>
  <c r="U305" i="59"/>
  <c r="T305" i="59"/>
  <c r="W305" i="59" s="1"/>
  <c r="V304" i="59"/>
  <c r="U304" i="59"/>
  <c r="T304" i="59"/>
  <c r="V303" i="59"/>
  <c r="U303" i="59"/>
  <c r="T303" i="59"/>
  <c r="V302" i="59"/>
  <c r="U302" i="59"/>
  <c r="T302" i="59"/>
  <c r="W302" i="59" s="1"/>
  <c r="V301" i="59"/>
  <c r="U301" i="59"/>
  <c r="T301" i="59"/>
  <c r="W301" i="59" s="1"/>
  <c r="V300" i="59"/>
  <c r="U300" i="59"/>
  <c r="T300" i="59"/>
  <c r="V298" i="59"/>
  <c r="U298" i="59"/>
  <c r="W298" i="59" s="1"/>
  <c r="T298" i="59"/>
  <c r="V297" i="59"/>
  <c r="U297" i="59"/>
  <c r="T297" i="59"/>
  <c r="V296" i="59"/>
  <c r="U296" i="59"/>
  <c r="T296" i="59"/>
  <c r="V295" i="59"/>
  <c r="U295" i="59"/>
  <c r="T295" i="59"/>
  <c r="V294" i="59"/>
  <c r="U294" i="59"/>
  <c r="W294" i="59" s="1"/>
  <c r="T294" i="59"/>
  <c r="V293" i="59"/>
  <c r="U293" i="59"/>
  <c r="T293" i="59"/>
  <c r="V292" i="59"/>
  <c r="U292" i="59"/>
  <c r="T292" i="59"/>
  <c r="V291" i="59"/>
  <c r="U291" i="59"/>
  <c r="T291" i="59"/>
  <c r="V290" i="59"/>
  <c r="U290" i="59"/>
  <c r="W290" i="59" s="1"/>
  <c r="T290" i="59"/>
  <c r="V288" i="59"/>
  <c r="U288" i="59"/>
  <c r="T288" i="59"/>
  <c r="W288" i="59" s="1"/>
  <c r="V287" i="59"/>
  <c r="U287" i="59"/>
  <c r="T287" i="59"/>
  <c r="W287" i="59" s="1"/>
  <c r="V286" i="59"/>
  <c r="U286" i="59"/>
  <c r="T286" i="59"/>
  <c r="V285" i="59"/>
  <c r="U285" i="59"/>
  <c r="T285" i="59"/>
  <c r="V284" i="59"/>
  <c r="U284" i="59"/>
  <c r="T284" i="59"/>
  <c r="W284" i="59" s="1"/>
  <c r="V283" i="59"/>
  <c r="U283" i="59"/>
  <c r="T283" i="59"/>
  <c r="W283" i="59" s="1"/>
  <c r="V282" i="59"/>
  <c r="U282" i="59"/>
  <c r="T282" i="59"/>
  <c r="V281" i="59"/>
  <c r="U281" i="59"/>
  <c r="T281" i="59"/>
  <c r="V280" i="59"/>
  <c r="U280" i="59"/>
  <c r="T280" i="59"/>
  <c r="W280" i="59" s="1"/>
  <c r="V278" i="59"/>
  <c r="U278" i="59"/>
  <c r="T278" i="59"/>
  <c r="V277" i="59"/>
  <c r="U277" i="59"/>
  <c r="T277" i="59"/>
  <c r="V276" i="59"/>
  <c r="U276" i="59"/>
  <c r="W276" i="59" s="1"/>
  <c r="T276" i="59"/>
  <c r="V275" i="59"/>
  <c r="U275" i="59"/>
  <c r="T275" i="59"/>
  <c r="V274" i="59"/>
  <c r="U274" i="59"/>
  <c r="T274" i="59"/>
  <c r="V273" i="59"/>
  <c r="U273" i="59"/>
  <c r="T273" i="59"/>
  <c r="V272" i="59"/>
  <c r="U272" i="59"/>
  <c r="W272" i="59" s="1"/>
  <c r="T272" i="59"/>
  <c r="V271" i="59"/>
  <c r="U271" i="59"/>
  <c r="T271" i="59"/>
  <c r="V270" i="59"/>
  <c r="U270" i="59"/>
  <c r="T270" i="59"/>
  <c r="V268" i="59"/>
  <c r="U268" i="59"/>
  <c r="T268" i="59"/>
  <c r="V267" i="59"/>
  <c r="U267" i="59"/>
  <c r="T267" i="59"/>
  <c r="V266" i="59"/>
  <c r="U266" i="59"/>
  <c r="T266" i="59"/>
  <c r="W266" i="59" s="1"/>
  <c r="V265" i="59"/>
  <c r="U265" i="59"/>
  <c r="T265" i="59"/>
  <c r="W265" i="59" s="1"/>
  <c r="V264" i="59"/>
  <c r="U264" i="59"/>
  <c r="T264" i="59"/>
  <c r="V263" i="59"/>
  <c r="U263" i="59"/>
  <c r="T263" i="59"/>
  <c r="V262" i="59"/>
  <c r="U262" i="59"/>
  <c r="T262" i="59"/>
  <c r="W262" i="59" s="1"/>
  <c r="V261" i="59"/>
  <c r="U261" i="59"/>
  <c r="T261" i="59"/>
  <c r="W261" i="59" s="1"/>
  <c r="V260" i="59"/>
  <c r="U260" i="59"/>
  <c r="T260" i="59"/>
  <c r="V258" i="59"/>
  <c r="U258" i="59"/>
  <c r="W258" i="59" s="1"/>
  <c r="T258" i="59"/>
  <c r="V257" i="59"/>
  <c r="U257" i="59"/>
  <c r="T257" i="59"/>
  <c r="V256" i="59"/>
  <c r="U256" i="59"/>
  <c r="T256" i="59"/>
  <c r="V255" i="59"/>
  <c r="U255" i="59"/>
  <c r="T255" i="59"/>
  <c r="V254" i="59"/>
  <c r="U254" i="59"/>
  <c r="W254" i="59" s="1"/>
  <c r="T254" i="59"/>
  <c r="V253" i="59"/>
  <c r="U253" i="59"/>
  <c r="T253" i="59"/>
  <c r="V252" i="59"/>
  <c r="U252" i="59"/>
  <c r="T252" i="59"/>
  <c r="V251" i="59"/>
  <c r="U251" i="59"/>
  <c r="T251" i="59"/>
  <c r="V250" i="59"/>
  <c r="U250" i="59"/>
  <c r="W250" i="59" s="1"/>
  <c r="T250" i="59"/>
  <c r="V248" i="59"/>
  <c r="U248" i="59"/>
  <c r="T248" i="59"/>
  <c r="W248" i="59" s="1"/>
  <c r="V247" i="59"/>
  <c r="U247" i="59"/>
  <c r="T247" i="59"/>
  <c r="W247" i="59" s="1"/>
  <c r="V246" i="59"/>
  <c r="U246" i="59"/>
  <c r="T246" i="59"/>
  <c r="V245" i="59"/>
  <c r="U245" i="59"/>
  <c r="T245" i="59"/>
  <c r="V244" i="59"/>
  <c r="U244" i="59"/>
  <c r="T244" i="59"/>
  <c r="W244" i="59" s="1"/>
  <c r="V243" i="59"/>
  <c r="U243" i="59"/>
  <c r="T243" i="59"/>
  <c r="W243" i="59" s="1"/>
  <c r="V242" i="59"/>
  <c r="U242" i="59"/>
  <c r="T242" i="59"/>
  <c r="V241" i="59"/>
  <c r="U241" i="59"/>
  <c r="T241" i="59"/>
  <c r="V240" i="59"/>
  <c r="U240" i="59"/>
  <c r="T240" i="59"/>
  <c r="W240" i="59" s="1"/>
  <c r="V238" i="59"/>
  <c r="U238" i="59"/>
  <c r="T238" i="59"/>
  <c r="V237" i="59"/>
  <c r="U237" i="59"/>
  <c r="T237" i="59"/>
  <c r="V236" i="59"/>
  <c r="U236" i="59"/>
  <c r="W236" i="59" s="1"/>
  <c r="T236" i="59"/>
  <c r="V235" i="59"/>
  <c r="U235" i="59"/>
  <c r="T235" i="59"/>
  <c r="V234" i="59"/>
  <c r="U234" i="59"/>
  <c r="T234" i="59"/>
  <c r="V233" i="59"/>
  <c r="U233" i="59"/>
  <c r="T233" i="59"/>
  <c r="V232" i="59"/>
  <c r="U232" i="59"/>
  <c r="W232" i="59" s="1"/>
  <c r="T232" i="59"/>
  <c r="V231" i="59"/>
  <c r="U231" i="59"/>
  <c r="T231" i="59"/>
  <c r="V230" i="59"/>
  <c r="U230" i="59"/>
  <c r="T230" i="59"/>
  <c r="V228" i="59"/>
  <c r="U228" i="59"/>
  <c r="T228" i="59"/>
  <c r="V227" i="59"/>
  <c r="U227" i="59"/>
  <c r="T227" i="59"/>
  <c r="V226" i="59"/>
  <c r="U226" i="59"/>
  <c r="T226" i="59"/>
  <c r="W226" i="59" s="1"/>
  <c r="V225" i="59"/>
  <c r="U225" i="59"/>
  <c r="T225" i="59"/>
  <c r="W225" i="59" s="1"/>
  <c r="V224" i="59"/>
  <c r="U224" i="59"/>
  <c r="T224" i="59"/>
  <c r="V223" i="59"/>
  <c r="U223" i="59"/>
  <c r="T223" i="59"/>
  <c r="V222" i="59"/>
  <c r="U222" i="59"/>
  <c r="T222" i="59"/>
  <c r="W222" i="59" s="1"/>
  <c r="V221" i="59"/>
  <c r="U221" i="59"/>
  <c r="T221" i="59"/>
  <c r="W221" i="59" s="1"/>
  <c r="V220" i="59"/>
  <c r="U220" i="59"/>
  <c r="T220" i="59"/>
  <c r="V218" i="59"/>
  <c r="U218" i="59"/>
  <c r="W218" i="59" s="1"/>
  <c r="T218" i="59"/>
  <c r="V217" i="59"/>
  <c r="U217" i="59"/>
  <c r="T217" i="59"/>
  <c r="V216" i="59"/>
  <c r="U216" i="59"/>
  <c r="T216" i="59"/>
  <c r="V215" i="59"/>
  <c r="U215" i="59"/>
  <c r="T215" i="59"/>
  <c r="V214" i="59"/>
  <c r="U214" i="59"/>
  <c r="W214" i="59" s="1"/>
  <c r="T214" i="59"/>
  <c r="V213" i="59"/>
  <c r="U213" i="59"/>
  <c r="T213" i="59"/>
  <c r="V212" i="59"/>
  <c r="U212" i="59"/>
  <c r="T212" i="59"/>
  <c r="V211" i="59"/>
  <c r="U211" i="59"/>
  <c r="T211" i="59"/>
  <c r="V210" i="59"/>
  <c r="U210" i="59"/>
  <c r="W210" i="59" s="1"/>
  <c r="T210" i="59"/>
  <c r="V208" i="59"/>
  <c r="U208" i="59"/>
  <c r="T208" i="59"/>
  <c r="W208" i="59" s="1"/>
  <c r="V207" i="59"/>
  <c r="U207" i="59"/>
  <c r="T207" i="59"/>
  <c r="V206" i="59"/>
  <c r="U206" i="59"/>
  <c r="T206" i="59"/>
  <c r="V205" i="59"/>
  <c r="U205" i="59"/>
  <c r="W205" i="59" s="1"/>
  <c r="T205" i="59"/>
  <c r="V204" i="59"/>
  <c r="U204" i="59"/>
  <c r="T204" i="59"/>
  <c r="V203" i="59"/>
  <c r="U203" i="59"/>
  <c r="T203" i="59"/>
  <c r="V202" i="59"/>
  <c r="U202" i="59"/>
  <c r="T202" i="59"/>
  <c r="V201" i="59"/>
  <c r="U201" i="59"/>
  <c r="W201" i="59" s="1"/>
  <c r="T201" i="59"/>
  <c r="V200" i="59"/>
  <c r="U200" i="59"/>
  <c r="T200" i="59"/>
  <c r="V198" i="59"/>
  <c r="U198" i="59"/>
  <c r="T198" i="59"/>
  <c r="W198" i="59" s="1"/>
  <c r="V197" i="59"/>
  <c r="U197" i="59"/>
  <c r="T197" i="59"/>
  <c r="V196" i="59"/>
  <c r="U196" i="59"/>
  <c r="T196" i="59"/>
  <c r="V195" i="59"/>
  <c r="U195" i="59"/>
  <c r="T195" i="59"/>
  <c r="W195" i="59" s="1"/>
  <c r="V194" i="59"/>
  <c r="U194" i="59"/>
  <c r="T194" i="59"/>
  <c r="W194" i="59" s="1"/>
  <c r="V193" i="59"/>
  <c r="U193" i="59"/>
  <c r="T193" i="59"/>
  <c r="V192" i="59"/>
  <c r="U192" i="59"/>
  <c r="T192" i="59"/>
  <c r="V191" i="59"/>
  <c r="U191" i="59"/>
  <c r="T191" i="59"/>
  <c r="W191" i="59" s="1"/>
  <c r="V190" i="59"/>
  <c r="U190" i="59"/>
  <c r="T190" i="59"/>
  <c r="W190" i="59" s="1"/>
  <c r="V188" i="59"/>
  <c r="U188" i="59"/>
  <c r="T188" i="59"/>
  <c r="V187" i="59"/>
  <c r="U187" i="59"/>
  <c r="W187" i="59" s="1"/>
  <c r="T187" i="59"/>
  <c r="V186" i="59"/>
  <c r="U186" i="59"/>
  <c r="T186" i="59"/>
  <c r="V185" i="59"/>
  <c r="U185" i="59"/>
  <c r="T185" i="59"/>
  <c r="V184" i="59"/>
  <c r="U184" i="59"/>
  <c r="T184" i="59"/>
  <c r="V183" i="59"/>
  <c r="U183" i="59"/>
  <c r="W183" i="59" s="1"/>
  <c r="T183" i="59"/>
  <c r="V182" i="59"/>
  <c r="U182" i="59"/>
  <c r="T182" i="59"/>
  <c r="V181" i="59"/>
  <c r="U181" i="59"/>
  <c r="T181" i="59"/>
  <c r="V180" i="59"/>
  <c r="U180" i="59"/>
  <c r="T180" i="59"/>
  <c r="V178" i="59"/>
  <c r="U178" i="59"/>
  <c r="T178" i="59"/>
  <c r="V177" i="59"/>
  <c r="U177" i="59"/>
  <c r="T177" i="59"/>
  <c r="W177" i="59" s="1"/>
  <c r="V176" i="59"/>
  <c r="U176" i="59"/>
  <c r="T176" i="59"/>
  <c r="W176" i="59" s="1"/>
  <c r="V175" i="59"/>
  <c r="U175" i="59"/>
  <c r="T175" i="59"/>
  <c r="V174" i="59"/>
  <c r="U174" i="59"/>
  <c r="T174" i="59"/>
  <c r="V173" i="59"/>
  <c r="U173" i="59"/>
  <c r="T173" i="59"/>
  <c r="W173" i="59" s="1"/>
  <c r="V172" i="59"/>
  <c r="U172" i="59"/>
  <c r="T172" i="59"/>
  <c r="W172" i="59" s="1"/>
  <c r="V171" i="59"/>
  <c r="U171" i="59"/>
  <c r="T171" i="59"/>
  <c r="V170" i="59"/>
  <c r="U170" i="59"/>
  <c r="T170" i="59"/>
  <c r="V168" i="59"/>
  <c r="U168" i="59"/>
  <c r="T168" i="59"/>
  <c r="V167" i="59"/>
  <c r="U167" i="59"/>
  <c r="T167" i="59"/>
  <c r="V166" i="59"/>
  <c r="U166" i="59"/>
  <c r="T166" i="59"/>
  <c r="V165" i="59"/>
  <c r="U165" i="59"/>
  <c r="W165" i="59" s="1"/>
  <c r="T165" i="59"/>
  <c r="V164" i="59"/>
  <c r="U164" i="59"/>
  <c r="T164" i="59"/>
  <c r="V163" i="59"/>
  <c r="U163" i="59"/>
  <c r="T163" i="59"/>
  <c r="V162" i="59"/>
  <c r="U162" i="59"/>
  <c r="T162" i="59"/>
  <c r="V161" i="59"/>
  <c r="U161" i="59"/>
  <c r="W161" i="59" s="1"/>
  <c r="T161" i="59"/>
  <c r="V160" i="59"/>
  <c r="U160" i="59"/>
  <c r="T160" i="59"/>
  <c r="V158" i="59"/>
  <c r="U158" i="59"/>
  <c r="T158" i="59"/>
  <c r="W158" i="59" s="1"/>
  <c r="V157" i="59"/>
  <c r="U157" i="59"/>
  <c r="T157" i="59"/>
  <c r="V156" i="59"/>
  <c r="U156" i="59"/>
  <c r="T156" i="59"/>
  <c r="V155" i="59"/>
  <c r="U155" i="59"/>
  <c r="T155" i="59"/>
  <c r="W155" i="59" s="1"/>
  <c r="V154" i="59"/>
  <c r="U154" i="59"/>
  <c r="T154" i="59"/>
  <c r="W154" i="59" s="1"/>
  <c r="V153" i="59"/>
  <c r="U153" i="59"/>
  <c r="T153" i="59"/>
  <c r="V152" i="59"/>
  <c r="U152" i="59"/>
  <c r="T152" i="59"/>
  <c r="V151" i="59"/>
  <c r="U151" i="59"/>
  <c r="T151" i="59"/>
  <c r="W151" i="59" s="1"/>
  <c r="V150" i="59"/>
  <c r="U150" i="59"/>
  <c r="T150" i="59"/>
  <c r="W150" i="59" s="1"/>
  <c r="V148" i="59"/>
  <c r="U148" i="59"/>
  <c r="T148" i="59"/>
  <c r="V147" i="59"/>
  <c r="U147" i="59"/>
  <c r="W147" i="59" s="1"/>
  <c r="T147" i="59"/>
  <c r="V146" i="59"/>
  <c r="U146" i="59"/>
  <c r="T146" i="59"/>
  <c r="V145" i="59"/>
  <c r="U145" i="59"/>
  <c r="T145" i="59"/>
  <c r="V144" i="59"/>
  <c r="U144" i="59"/>
  <c r="T144" i="59"/>
  <c r="V143" i="59"/>
  <c r="U143" i="59"/>
  <c r="W143" i="59" s="1"/>
  <c r="T143" i="59"/>
  <c r="V142" i="59"/>
  <c r="U142" i="59"/>
  <c r="T142" i="59"/>
  <c r="V141" i="59"/>
  <c r="U141" i="59"/>
  <c r="T141" i="59"/>
  <c r="V140" i="59"/>
  <c r="U140" i="59"/>
  <c r="T140" i="59"/>
  <c r="V138" i="59"/>
  <c r="U138" i="59"/>
  <c r="T138" i="59"/>
  <c r="V137" i="59"/>
  <c r="U137" i="59"/>
  <c r="T137" i="59"/>
  <c r="W137" i="59" s="1"/>
  <c r="V136" i="59"/>
  <c r="U136" i="59"/>
  <c r="T136" i="59"/>
  <c r="W136" i="59" s="1"/>
  <c r="V135" i="59"/>
  <c r="U135" i="59"/>
  <c r="T135" i="59"/>
  <c r="V134" i="59"/>
  <c r="U134" i="59"/>
  <c r="T134" i="59"/>
  <c r="V133" i="59"/>
  <c r="U133" i="59"/>
  <c r="T133" i="59"/>
  <c r="W133" i="59" s="1"/>
  <c r="V132" i="59"/>
  <c r="U132" i="59"/>
  <c r="T132" i="59"/>
  <c r="W132" i="59" s="1"/>
  <c r="V131" i="59"/>
  <c r="U131" i="59"/>
  <c r="T131" i="59"/>
  <c r="V130" i="59"/>
  <c r="U130" i="59"/>
  <c r="T130" i="59"/>
  <c r="V128" i="59"/>
  <c r="U128" i="59"/>
  <c r="T128" i="59"/>
  <c r="V127" i="59"/>
  <c r="U127" i="59"/>
  <c r="T127" i="59"/>
  <c r="V126" i="59"/>
  <c r="U126" i="59"/>
  <c r="T126" i="59"/>
  <c r="V125" i="59"/>
  <c r="U125" i="59"/>
  <c r="W125" i="59" s="1"/>
  <c r="T125" i="59"/>
  <c r="V124" i="59"/>
  <c r="U124" i="59"/>
  <c r="T124" i="59"/>
  <c r="V123" i="59"/>
  <c r="U123" i="59"/>
  <c r="T123" i="59"/>
  <c r="V122" i="59"/>
  <c r="U122" i="59"/>
  <c r="T122" i="59"/>
  <c r="V121" i="59"/>
  <c r="U121" i="59"/>
  <c r="W121" i="59" s="1"/>
  <c r="T121" i="59"/>
  <c r="V120" i="59"/>
  <c r="U120" i="59"/>
  <c r="T120" i="59"/>
  <c r="W120" i="59" s="1"/>
  <c r="V118" i="59"/>
  <c r="U118" i="59"/>
  <c r="T118" i="59"/>
  <c r="W118" i="59" s="1"/>
  <c r="V117" i="59"/>
  <c r="U117" i="59"/>
  <c r="T117" i="59"/>
  <c r="V116" i="59"/>
  <c r="U116" i="59"/>
  <c r="T116" i="59"/>
  <c r="V115" i="59"/>
  <c r="U115" i="59"/>
  <c r="T115" i="59"/>
  <c r="W115" i="59" s="1"/>
  <c r="V114" i="59"/>
  <c r="U114" i="59"/>
  <c r="T114" i="59"/>
  <c r="W114" i="59" s="1"/>
  <c r="V113" i="59"/>
  <c r="U113" i="59"/>
  <c r="T113" i="59"/>
  <c r="V112" i="59"/>
  <c r="U112" i="59"/>
  <c r="T112" i="59"/>
  <c r="V111" i="59"/>
  <c r="U111" i="59"/>
  <c r="T111" i="59"/>
  <c r="W111" i="59" s="1"/>
  <c r="V110" i="59"/>
  <c r="U110" i="59"/>
  <c r="T110" i="59"/>
  <c r="W110" i="59" s="1"/>
  <c r="V108" i="59"/>
  <c r="U108" i="59"/>
  <c r="T108" i="59"/>
  <c r="V107" i="59"/>
  <c r="U107" i="59"/>
  <c r="W107" i="59" s="1"/>
  <c r="X107" i="59" s="1"/>
  <c r="T107" i="59"/>
  <c r="V106" i="59"/>
  <c r="U106" i="59"/>
  <c r="T106" i="59"/>
  <c r="W106" i="59" s="1"/>
  <c r="X106" i="59" s="1"/>
  <c r="V105" i="59"/>
  <c r="U105" i="59"/>
  <c r="T105" i="59"/>
  <c r="V104" i="59"/>
  <c r="U104" i="59"/>
  <c r="T104" i="59"/>
  <c r="V103" i="59"/>
  <c r="U103" i="59"/>
  <c r="W103" i="59" s="1"/>
  <c r="X103" i="59" s="1"/>
  <c r="T103" i="59"/>
  <c r="V102" i="59"/>
  <c r="U102" i="59"/>
  <c r="T102" i="59"/>
  <c r="W102" i="59" s="1"/>
  <c r="X102" i="59" s="1"/>
  <c r="V101" i="59"/>
  <c r="U101" i="59"/>
  <c r="T101" i="59"/>
  <c r="V100" i="59"/>
  <c r="U100" i="59"/>
  <c r="T100" i="59"/>
  <c r="V98" i="59"/>
  <c r="U98" i="59"/>
  <c r="T98" i="59"/>
  <c r="V97" i="59"/>
  <c r="U97" i="59"/>
  <c r="T97" i="59"/>
  <c r="V96" i="59"/>
  <c r="U96" i="59"/>
  <c r="T96" i="59"/>
  <c r="W96" i="59" s="1"/>
  <c r="X96" i="59" s="1"/>
  <c r="V95" i="59"/>
  <c r="U95" i="59"/>
  <c r="T95" i="59"/>
  <c r="V94" i="59"/>
  <c r="U94" i="59"/>
  <c r="T94" i="59"/>
  <c r="V93" i="59"/>
  <c r="U93" i="59"/>
  <c r="T93" i="59"/>
  <c r="V92" i="59"/>
  <c r="U92" i="59"/>
  <c r="T92" i="59"/>
  <c r="W92" i="59" s="1"/>
  <c r="X92" i="59" s="1"/>
  <c r="V91" i="59"/>
  <c r="U91" i="59"/>
  <c r="T91" i="59"/>
  <c r="V90" i="59"/>
  <c r="U90" i="59"/>
  <c r="T90" i="59"/>
  <c r="V88" i="59"/>
  <c r="U88" i="59"/>
  <c r="T88" i="59"/>
  <c r="W88" i="59" s="1"/>
  <c r="X88" i="59" s="1"/>
  <c r="V87" i="59"/>
  <c r="U87" i="59"/>
  <c r="T87" i="59"/>
  <c r="V86" i="59"/>
  <c r="U86" i="59"/>
  <c r="T86" i="59"/>
  <c r="V85" i="59"/>
  <c r="U85" i="59"/>
  <c r="W85" i="59" s="1"/>
  <c r="X85" i="59" s="1"/>
  <c r="T85" i="59"/>
  <c r="V84" i="59"/>
  <c r="U84" i="59"/>
  <c r="T84" i="59"/>
  <c r="W84" i="59" s="1"/>
  <c r="X84" i="59" s="1"/>
  <c r="V83" i="59"/>
  <c r="U83" i="59"/>
  <c r="T83" i="59"/>
  <c r="V82" i="59"/>
  <c r="U82" i="59"/>
  <c r="T82" i="59"/>
  <c r="V81" i="59"/>
  <c r="U81" i="59"/>
  <c r="W81" i="59" s="1"/>
  <c r="X81" i="59" s="1"/>
  <c r="T81" i="59"/>
  <c r="V80" i="59"/>
  <c r="U80" i="59"/>
  <c r="T80" i="59"/>
  <c r="W80" i="59" s="1"/>
  <c r="V78" i="59"/>
  <c r="U78" i="59"/>
  <c r="T78" i="59"/>
  <c r="W78" i="59" s="1"/>
  <c r="X78" i="59" s="1"/>
  <c r="V77" i="59"/>
  <c r="U77" i="59"/>
  <c r="T77" i="59"/>
  <c r="V76" i="59"/>
  <c r="U76" i="59"/>
  <c r="T76" i="59"/>
  <c r="V75" i="59"/>
  <c r="U75" i="59"/>
  <c r="T75" i="59"/>
  <c r="V74" i="59"/>
  <c r="U74" i="59"/>
  <c r="T74" i="59"/>
  <c r="W74" i="59" s="1"/>
  <c r="X74" i="59" s="1"/>
  <c r="V73" i="59"/>
  <c r="U73" i="59"/>
  <c r="T73" i="59"/>
  <c r="V72" i="59"/>
  <c r="U72" i="59"/>
  <c r="T72" i="59"/>
  <c r="V71" i="59"/>
  <c r="U71" i="59"/>
  <c r="T71" i="59"/>
  <c r="V70" i="59"/>
  <c r="U70" i="59"/>
  <c r="T70" i="59"/>
  <c r="W70" i="59" s="1"/>
  <c r="V68" i="59"/>
  <c r="U68" i="59"/>
  <c r="T68" i="59"/>
  <c r="V67" i="59"/>
  <c r="U67" i="59"/>
  <c r="T67" i="59"/>
  <c r="V66" i="59"/>
  <c r="U66" i="59"/>
  <c r="T66" i="59"/>
  <c r="V65" i="59"/>
  <c r="U65" i="59"/>
  <c r="T65" i="59"/>
  <c r="W65" i="59" s="1"/>
  <c r="X65" i="59" s="1"/>
  <c r="V64" i="59"/>
  <c r="U64" i="59"/>
  <c r="T64" i="59"/>
  <c r="V63" i="59"/>
  <c r="U63" i="59"/>
  <c r="T63" i="59"/>
  <c r="V62" i="59"/>
  <c r="U62" i="59"/>
  <c r="T62" i="59"/>
  <c r="V61" i="59"/>
  <c r="U61" i="59"/>
  <c r="T61" i="59"/>
  <c r="W61" i="59" s="1"/>
  <c r="X61" i="59" s="1"/>
  <c r="V60" i="59"/>
  <c r="U60" i="59"/>
  <c r="T60" i="59"/>
  <c r="V58" i="59"/>
  <c r="U58" i="59"/>
  <c r="T58" i="59"/>
  <c r="V57" i="59"/>
  <c r="U57" i="59"/>
  <c r="T57" i="59"/>
  <c r="V56" i="59"/>
  <c r="U56" i="59"/>
  <c r="T56" i="59"/>
  <c r="W56" i="59" s="1"/>
  <c r="X56" i="59" s="1"/>
  <c r="V55" i="59"/>
  <c r="U55" i="59"/>
  <c r="T55" i="59"/>
  <c r="V54" i="59"/>
  <c r="U54" i="59"/>
  <c r="T54" i="59"/>
  <c r="V53" i="59"/>
  <c r="U53" i="59"/>
  <c r="T53" i="59"/>
  <c r="V52" i="59"/>
  <c r="U52" i="59"/>
  <c r="T52" i="59"/>
  <c r="W52" i="59" s="1"/>
  <c r="X52" i="59" s="1"/>
  <c r="V51" i="59"/>
  <c r="U51" i="59"/>
  <c r="T51" i="59"/>
  <c r="V50" i="59"/>
  <c r="U50" i="59"/>
  <c r="T50" i="59"/>
  <c r="V48" i="59"/>
  <c r="U48" i="59"/>
  <c r="T48" i="59"/>
  <c r="V47" i="59"/>
  <c r="U47" i="59"/>
  <c r="T47" i="59"/>
  <c r="W47" i="59" s="1"/>
  <c r="X47" i="59" s="1"/>
  <c r="V46" i="59"/>
  <c r="U46" i="59"/>
  <c r="T46" i="59"/>
  <c r="V45" i="59"/>
  <c r="U45" i="59"/>
  <c r="T45" i="59"/>
  <c r="V44" i="59"/>
  <c r="U44" i="59"/>
  <c r="T44" i="59"/>
  <c r="V43" i="59"/>
  <c r="U43" i="59"/>
  <c r="T43" i="59"/>
  <c r="W43" i="59" s="1"/>
  <c r="X43" i="59" s="1"/>
  <c r="V42" i="59"/>
  <c r="U42" i="59"/>
  <c r="T42" i="59"/>
  <c r="V41" i="59"/>
  <c r="U41" i="59"/>
  <c r="T41" i="59"/>
  <c r="V40" i="59"/>
  <c r="U40" i="59"/>
  <c r="T40" i="59"/>
  <c r="V38" i="59"/>
  <c r="U38" i="59"/>
  <c r="T38" i="59"/>
  <c r="W38" i="59" s="1"/>
  <c r="X38" i="59" s="1"/>
  <c r="V37" i="59"/>
  <c r="U37" i="59"/>
  <c r="T37" i="59"/>
  <c r="V36" i="59"/>
  <c r="U36" i="59"/>
  <c r="T36" i="59"/>
  <c r="V35" i="59"/>
  <c r="U35" i="59"/>
  <c r="T35" i="59"/>
  <c r="V34" i="59"/>
  <c r="U34" i="59"/>
  <c r="T34" i="59"/>
  <c r="W34" i="59" s="1"/>
  <c r="X34" i="59" s="1"/>
  <c r="V33" i="59"/>
  <c r="U33" i="59"/>
  <c r="T33" i="59"/>
  <c r="V32" i="59"/>
  <c r="U32" i="59"/>
  <c r="T32" i="59"/>
  <c r="V31" i="59"/>
  <c r="U31" i="59"/>
  <c r="T31" i="59"/>
  <c r="V30" i="59"/>
  <c r="U30" i="59"/>
  <c r="T30" i="59"/>
  <c r="W30" i="59" s="1"/>
  <c r="V28" i="59"/>
  <c r="U28" i="59"/>
  <c r="T28" i="59"/>
  <c r="V27" i="59"/>
  <c r="U27" i="59"/>
  <c r="W27" i="59" s="1"/>
  <c r="X27" i="59" s="1"/>
  <c r="T27" i="59"/>
  <c r="V26" i="59"/>
  <c r="U26" i="59"/>
  <c r="T26" i="59"/>
  <c r="W26" i="59" s="1"/>
  <c r="X26" i="59" s="1"/>
  <c r="V25" i="59"/>
  <c r="U25" i="59"/>
  <c r="T25" i="59"/>
  <c r="V24" i="59"/>
  <c r="U24" i="59"/>
  <c r="T24" i="59"/>
  <c r="V23" i="59"/>
  <c r="U23" i="59"/>
  <c r="W23" i="59" s="1"/>
  <c r="X23" i="59" s="1"/>
  <c r="T23" i="59"/>
  <c r="V22" i="59"/>
  <c r="U22" i="59"/>
  <c r="T22" i="59"/>
  <c r="W22" i="59" s="1"/>
  <c r="X22" i="59" s="1"/>
  <c r="V21" i="59"/>
  <c r="U21" i="59"/>
  <c r="T21" i="59"/>
  <c r="V20" i="59"/>
  <c r="U20" i="59"/>
  <c r="T20" i="59"/>
  <c r="W40" i="59" l="1"/>
  <c r="W44" i="59"/>
  <c r="X44" i="59" s="1"/>
  <c r="W57" i="59"/>
  <c r="X57" i="59" s="1"/>
  <c r="W62" i="59"/>
  <c r="X62" i="59" s="1"/>
  <c r="W66" i="59"/>
  <c r="X66" i="59" s="1"/>
  <c r="W71" i="59"/>
  <c r="X71" i="59" s="1"/>
  <c r="W142" i="59"/>
  <c r="W182" i="59"/>
  <c r="W186" i="59"/>
  <c r="W200" i="59"/>
  <c r="W271" i="59"/>
  <c r="W275" i="59"/>
  <c r="W293" i="59"/>
  <c r="W297" i="59"/>
  <c r="W373" i="59"/>
  <c r="W377" i="59"/>
  <c r="W391" i="59"/>
  <c r="W395" i="59"/>
  <c r="W31" i="59"/>
  <c r="X31" i="59" s="1"/>
  <c r="W53" i="59"/>
  <c r="X53" i="59" s="1"/>
  <c r="W124" i="59"/>
  <c r="W128" i="59"/>
  <c r="W146" i="59"/>
  <c r="W160" i="59"/>
  <c r="W168" i="59"/>
  <c r="W213" i="59"/>
  <c r="W217" i="59"/>
  <c r="W235" i="59"/>
  <c r="W257" i="59"/>
  <c r="W315" i="59"/>
  <c r="W337" i="59"/>
  <c r="W351" i="59"/>
  <c r="W355" i="59"/>
  <c r="W20" i="59"/>
  <c r="W21" i="59"/>
  <c r="X21" i="59" s="1"/>
  <c r="W24" i="59"/>
  <c r="X24" i="59" s="1"/>
  <c r="W25" i="59"/>
  <c r="X25" i="59" s="1"/>
  <c r="W28" i="59"/>
  <c r="X28" i="59" s="1"/>
  <c r="W35" i="59"/>
  <c r="X35" i="59" s="1"/>
  <c r="W48" i="59"/>
  <c r="X48" i="59" s="1"/>
  <c r="W75" i="59"/>
  <c r="X75" i="59" s="1"/>
  <c r="W93" i="59"/>
  <c r="X93" i="59" s="1"/>
  <c r="W97" i="59"/>
  <c r="X97" i="59" s="1"/>
  <c r="W164" i="59"/>
  <c r="W204" i="59"/>
  <c r="W231" i="59"/>
  <c r="W253" i="59"/>
  <c r="W311" i="59"/>
  <c r="W333" i="59"/>
  <c r="W32" i="59"/>
  <c r="X32" i="59" s="1"/>
  <c r="W33" i="59"/>
  <c r="X33" i="59" s="1"/>
  <c r="W36" i="59"/>
  <c r="X36" i="59" s="1"/>
  <c r="W37" i="59"/>
  <c r="X37" i="59" s="1"/>
  <c r="W41" i="59"/>
  <c r="X41" i="59" s="1"/>
  <c r="W42" i="59"/>
  <c r="X42" i="59" s="1"/>
  <c r="W407" i="59"/>
  <c r="W82" i="59"/>
  <c r="X82" i="59" s="1"/>
  <c r="W83" i="59"/>
  <c r="X83" i="59" s="1"/>
  <c r="W86" i="59"/>
  <c r="X86" i="59" s="1"/>
  <c r="W87" i="59"/>
  <c r="X87" i="59" s="1"/>
  <c r="W100" i="59"/>
  <c r="W101" i="59"/>
  <c r="X101" i="59" s="1"/>
  <c r="W104" i="59"/>
  <c r="X104" i="59" s="1"/>
  <c r="W105" i="59"/>
  <c r="X105" i="59" s="1"/>
  <c r="W108" i="59"/>
  <c r="X108" i="59" s="1"/>
  <c r="W113" i="59"/>
  <c r="W117" i="59"/>
  <c r="W123" i="59"/>
  <c r="W127" i="59"/>
  <c r="W131" i="59"/>
  <c r="W135" i="59"/>
  <c r="W141" i="59"/>
  <c r="W145" i="59"/>
  <c r="W153" i="59"/>
  <c r="W157" i="59"/>
  <c r="W163" i="59"/>
  <c r="W167" i="59"/>
  <c r="W171" i="59"/>
  <c r="W175" i="59"/>
  <c r="W181" i="59"/>
  <c r="W185" i="59"/>
  <c r="W193" i="59"/>
  <c r="W197" i="59"/>
  <c r="W203" i="59"/>
  <c r="W207" i="59"/>
  <c r="W212" i="59"/>
  <c r="W216" i="59"/>
  <c r="W220" i="59"/>
  <c r="W224" i="59"/>
  <c r="W228" i="59"/>
  <c r="W230" i="59"/>
  <c r="W234" i="59"/>
  <c r="W238" i="59"/>
  <c r="W242" i="59"/>
  <c r="W246" i="59"/>
  <c r="W252" i="59"/>
  <c r="W256" i="59"/>
  <c r="W260" i="59"/>
  <c r="W264" i="59"/>
  <c r="W268" i="59"/>
  <c r="W270" i="59"/>
  <c r="W274" i="59"/>
  <c r="W278" i="59"/>
  <c r="W282" i="59"/>
  <c r="W286" i="59"/>
  <c r="W292" i="59"/>
  <c r="W296" i="59"/>
  <c r="W300" i="59"/>
  <c r="W304" i="59"/>
  <c r="W308" i="59"/>
  <c r="W310" i="59"/>
  <c r="W314" i="59"/>
  <c r="W318" i="59"/>
  <c r="W322" i="59"/>
  <c r="W326" i="59"/>
  <c r="W332" i="59"/>
  <c r="W336" i="59"/>
  <c r="W340" i="59"/>
  <c r="W344" i="59"/>
  <c r="W348" i="59"/>
  <c r="W350" i="59"/>
  <c r="W354" i="59"/>
  <c r="W358" i="59"/>
  <c r="W362" i="59"/>
  <c r="W366" i="59"/>
  <c r="W372" i="59"/>
  <c r="W376" i="59"/>
  <c r="W380" i="59"/>
  <c r="W384" i="59"/>
  <c r="W388" i="59"/>
  <c r="W390" i="59"/>
  <c r="W394" i="59"/>
  <c r="W398" i="59"/>
  <c r="W402" i="59"/>
  <c r="W406" i="59"/>
  <c r="W45" i="59"/>
  <c r="X45" i="59" s="1"/>
  <c r="W46" i="59"/>
  <c r="X46" i="59" s="1"/>
  <c r="W50" i="59"/>
  <c r="W51" i="59"/>
  <c r="X51" i="59" s="1"/>
  <c r="W54" i="59"/>
  <c r="X54" i="59" s="1"/>
  <c r="W55" i="59"/>
  <c r="X55" i="59" s="1"/>
  <c r="W58" i="59"/>
  <c r="X58" i="59" s="1"/>
  <c r="W60" i="59"/>
  <c r="W63" i="59"/>
  <c r="X63" i="59" s="1"/>
  <c r="W64" i="59"/>
  <c r="X64" i="59" s="1"/>
  <c r="W67" i="59"/>
  <c r="X67" i="59" s="1"/>
  <c r="W68" i="59"/>
  <c r="X68" i="59" s="1"/>
  <c r="W72" i="59"/>
  <c r="X72" i="59" s="1"/>
  <c r="W73" i="59"/>
  <c r="X73" i="59" s="1"/>
  <c r="W76" i="59"/>
  <c r="X76" i="59" s="1"/>
  <c r="W77" i="59"/>
  <c r="X77" i="59" s="1"/>
  <c r="W90" i="59"/>
  <c r="W91" i="59"/>
  <c r="X91" i="59" s="1"/>
  <c r="W94" i="59"/>
  <c r="X94" i="59" s="1"/>
  <c r="W95" i="59"/>
  <c r="X95" i="59" s="1"/>
  <c r="W98" i="59"/>
  <c r="X98" i="59" s="1"/>
  <c r="W112" i="59"/>
  <c r="W119" i="59" s="1"/>
  <c r="W116" i="59"/>
  <c r="W122" i="59"/>
  <c r="W126" i="59"/>
  <c r="W130" i="59"/>
  <c r="W134" i="59"/>
  <c r="W138" i="59"/>
  <c r="W140" i="59"/>
  <c r="W144" i="59"/>
  <c r="W148" i="59"/>
  <c r="W152" i="59"/>
  <c r="W159" i="59" s="1"/>
  <c r="W156" i="59"/>
  <c r="W162" i="59"/>
  <c r="W166" i="59"/>
  <c r="W170" i="59"/>
  <c r="W179" i="59" s="1"/>
  <c r="W174" i="59"/>
  <c r="W178" i="59"/>
  <c r="W180" i="59"/>
  <c r="W184" i="59"/>
  <c r="W188" i="59"/>
  <c r="W192" i="59"/>
  <c r="W199" i="59" s="1"/>
  <c r="W196" i="59"/>
  <c r="W202" i="59"/>
  <c r="W206" i="59"/>
  <c r="W211" i="59"/>
  <c r="W215" i="59"/>
  <c r="W223" i="59"/>
  <c r="W227" i="59"/>
  <c r="W233" i="59"/>
  <c r="W237" i="59"/>
  <c r="W241" i="59"/>
  <c r="W245" i="59"/>
  <c r="W251" i="59"/>
  <c r="W255" i="59"/>
  <c r="W263" i="59"/>
  <c r="W267" i="59"/>
  <c r="W273" i="59"/>
  <c r="W277" i="59"/>
  <c r="W281" i="59"/>
  <c r="W285" i="59"/>
  <c r="W291" i="59"/>
  <c r="W295" i="59"/>
  <c r="W303" i="59"/>
  <c r="W307" i="59"/>
  <c r="W313" i="59"/>
  <c r="W317" i="59"/>
  <c r="W321" i="59"/>
  <c r="W329" i="59" s="1"/>
  <c r="W325" i="59"/>
  <c r="W331" i="59"/>
  <c r="W339" i="59" s="1"/>
  <c r="W335" i="59"/>
  <c r="W343" i="59"/>
  <c r="W347" i="59"/>
  <c r="W353" i="59"/>
  <c r="W357" i="59"/>
  <c r="W361" i="59"/>
  <c r="W369" i="59" s="1"/>
  <c r="W365" i="59"/>
  <c r="W371" i="59"/>
  <c r="W379" i="59" s="1"/>
  <c r="W375" i="59"/>
  <c r="W383" i="59"/>
  <c r="W387" i="59"/>
  <c r="W393" i="59"/>
  <c r="W397" i="59"/>
  <c r="W401" i="59"/>
  <c r="W409" i="59" s="1"/>
  <c r="W405" i="59"/>
  <c r="W219" i="59"/>
  <c r="W229" i="59"/>
  <c r="W239" i="59"/>
  <c r="W249" i="59"/>
  <c r="W259" i="59"/>
  <c r="W269" i="59"/>
  <c r="W279" i="59"/>
  <c r="W289" i="59"/>
  <c r="W299" i="59"/>
  <c r="W309" i="59"/>
  <c r="W129" i="59"/>
  <c r="X100" i="59"/>
  <c r="W109" i="59"/>
  <c r="X109" i="59" s="1"/>
  <c r="X90" i="59"/>
  <c r="W99" i="59"/>
  <c r="X99" i="59" s="1"/>
  <c r="X80" i="59"/>
  <c r="W89" i="59"/>
  <c r="X89" i="59" s="1"/>
  <c r="X70" i="59"/>
  <c r="W79" i="59"/>
  <c r="X79" i="59" s="1"/>
  <c r="X60" i="59"/>
  <c r="W69" i="59"/>
  <c r="X69" i="59" s="1"/>
  <c r="X50" i="59"/>
  <c r="W59" i="59"/>
  <c r="X59" i="59" s="1"/>
  <c r="X40" i="59"/>
  <c r="W49" i="59"/>
  <c r="X49" i="59" s="1"/>
  <c r="X30" i="59"/>
  <c r="W39" i="59"/>
  <c r="X39" i="59" s="1"/>
  <c r="W29" i="59"/>
  <c r="X29" i="59" s="1"/>
  <c r="X20" i="59"/>
  <c r="T13" i="59"/>
  <c r="U13" i="59"/>
  <c r="V13" i="59"/>
  <c r="T14" i="59"/>
  <c r="U14" i="59"/>
  <c r="V14" i="59"/>
  <c r="T15" i="59"/>
  <c r="U15" i="59"/>
  <c r="V15" i="59"/>
  <c r="T16" i="59"/>
  <c r="U16" i="59"/>
  <c r="V16" i="59"/>
  <c r="T17" i="59"/>
  <c r="U17" i="59"/>
  <c r="V17" i="59"/>
  <c r="T18" i="59"/>
  <c r="U18" i="59"/>
  <c r="V18" i="59"/>
  <c r="W12" i="59"/>
  <c r="W11" i="59"/>
  <c r="W10" i="59"/>
  <c r="P167" i="115"/>
  <c r="O167" i="115"/>
  <c r="N167" i="115"/>
  <c r="P166" i="115"/>
  <c r="O166" i="115"/>
  <c r="Q166" i="115" s="1"/>
  <c r="N166" i="115"/>
  <c r="P165" i="115"/>
  <c r="O165" i="115"/>
  <c r="N165" i="115"/>
  <c r="P163" i="115"/>
  <c r="O163" i="115"/>
  <c r="N163" i="115"/>
  <c r="Q163" i="115" s="1"/>
  <c r="P162" i="115"/>
  <c r="O162" i="115"/>
  <c r="N162" i="115"/>
  <c r="P161" i="115"/>
  <c r="O161" i="115"/>
  <c r="N161" i="115"/>
  <c r="P159" i="115"/>
  <c r="O159" i="115"/>
  <c r="N159" i="115"/>
  <c r="P158" i="115"/>
  <c r="O158" i="115"/>
  <c r="N158" i="115"/>
  <c r="P157" i="115"/>
  <c r="O157" i="115"/>
  <c r="N157" i="115"/>
  <c r="P155" i="115"/>
  <c r="O155" i="115"/>
  <c r="N155" i="115"/>
  <c r="P154" i="115"/>
  <c r="O154" i="115"/>
  <c r="N154" i="115"/>
  <c r="Q154" i="115" s="1"/>
  <c r="P153" i="115"/>
  <c r="O153" i="115"/>
  <c r="N153" i="115"/>
  <c r="Q153" i="115" s="1"/>
  <c r="P151" i="115"/>
  <c r="O151" i="115"/>
  <c r="N151" i="115"/>
  <c r="P150" i="115"/>
  <c r="O150" i="115"/>
  <c r="Q150" i="115" s="1"/>
  <c r="N150" i="115"/>
  <c r="P149" i="115"/>
  <c r="O149" i="115"/>
  <c r="N149" i="115"/>
  <c r="P147" i="115"/>
  <c r="O147" i="115"/>
  <c r="N147" i="115"/>
  <c r="P146" i="115"/>
  <c r="O146" i="115"/>
  <c r="N146" i="115"/>
  <c r="P145" i="115"/>
  <c r="O145" i="115"/>
  <c r="Q145" i="115" s="1"/>
  <c r="N145" i="115"/>
  <c r="P143" i="115"/>
  <c r="O143" i="115"/>
  <c r="N143" i="115"/>
  <c r="Q143" i="115" s="1"/>
  <c r="P142" i="115"/>
  <c r="O142" i="115"/>
  <c r="N142" i="115"/>
  <c r="Q142" i="115" s="1"/>
  <c r="P141" i="115"/>
  <c r="O141" i="115"/>
  <c r="N141" i="115"/>
  <c r="P139" i="115"/>
  <c r="O139" i="115"/>
  <c r="Q139" i="115" s="1"/>
  <c r="N139" i="115"/>
  <c r="P138" i="115"/>
  <c r="O138" i="115"/>
  <c r="N138" i="115"/>
  <c r="P137" i="115"/>
  <c r="O137" i="115"/>
  <c r="N137" i="115"/>
  <c r="P135" i="115"/>
  <c r="O135" i="115"/>
  <c r="N135" i="115"/>
  <c r="P134" i="115"/>
  <c r="O134" i="115"/>
  <c r="N134" i="115"/>
  <c r="P133" i="115"/>
  <c r="O133" i="115"/>
  <c r="N133" i="115"/>
  <c r="Q133" i="115" s="1"/>
  <c r="P131" i="115"/>
  <c r="O131" i="115"/>
  <c r="N131" i="115"/>
  <c r="P130" i="115"/>
  <c r="O130" i="115"/>
  <c r="N130" i="115"/>
  <c r="P129" i="115"/>
  <c r="O129" i="115"/>
  <c r="Q129" i="115" s="1"/>
  <c r="N129" i="115"/>
  <c r="P127" i="115"/>
  <c r="O127" i="115"/>
  <c r="N127" i="115"/>
  <c r="Q127" i="115" s="1"/>
  <c r="P126" i="115"/>
  <c r="O126" i="115"/>
  <c r="N126" i="115"/>
  <c r="Q126" i="115" s="1"/>
  <c r="P125" i="115"/>
  <c r="O125" i="115"/>
  <c r="N125" i="115"/>
  <c r="P123" i="115"/>
  <c r="O123" i="115"/>
  <c r="Q123" i="115" s="1"/>
  <c r="N123" i="115"/>
  <c r="P122" i="115"/>
  <c r="O122" i="115"/>
  <c r="N122" i="115"/>
  <c r="P121" i="115"/>
  <c r="O121" i="115"/>
  <c r="N121" i="115"/>
  <c r="P119" i="115"/>
  <c r="O119" i="115"/>
  <c r="N119" i="115"/>
  <c r="P118" i="115"/>
  <c r="O118" i="115"/>
  <c r="N118" i="115"/>
  <c r="P117" i="115"/>
  <c r="O117" i="115"/>
  <c r="N117" i="115"/>
  <c r="Q117" i="115" s="1"/>
  <c r="P115" i="115"/>
  <c r="O115" i="115"/>
  <c r="N115" i="115"/>
  <c r="P114" i="115"/>
  <c r="O114" i="115"/>
  <c r="N114" i="115"/>
  <c r="P113" i="115"/>
  <c r="O113" i="115"/>
  <c r="Q113" i="115" s="1"/>
  <c r="N113" i="115"/>
  <c r="P111" i="115"/>
  <c r="O111" i="115"/>
  <c r="N111" i="115"/>
  <c r="Q111" i="115" s="1"/>
  <c r="P110" i="115"/>
  <c r="O110" i="115"/>
  <c r="N110" i="115"/>
  <c r="Q110" i="115" s="1"/>
  <c r="P109" i="115"/>
  <c r="O109" i="115"/>
  <c r="N109" i="115"/>
  <c r="P107" i="115"/>
  <c r="O107" i="115"/>
  <c r="Q107" i="115" s="1"/>
  <c r="N107" i="115"/>
  <c r="P106" i="115"/>
  <c r="O106" i="115"/>
  <c r="N106" i="115"/>
  <c r="P105" i="115"/>
  <c r="O105" i="115"/>
  <c r="N105" i="115"/>
  <c r="P103" i="115"/>
  <c r="O103" i="115"/>
  <c r="N103" i="115"/>
  <c r="P102" i="115"/>
  <c r="O102" i="115"/>
  <c r="N102" i="115"/>
  <c r="P101" i="115"/>
  <c r="O101" i="115"/>
  <c r="N101" i="115"/>
  <c r="Q101" i="115" s="1"/>
  <c r="P99" i="115"/>
  <c r="O99" i="115"/>
  <c r="N99" i="115"/>
  <c r="P98" i="115"/>
  <c r="O98" i="115"/>
  <c r="N98" i="115"/>
  <c r="P97" i="115"/>
  <c r="O97" i="115"/>
  <c r="Q97" i="115" s="1"/>
  <c r="N97" i="115"/>
  <c r="P95" i="115"/>
  <c r="O95" i="115"/>
  <c r="N95" i="115"/>
  <c r="Q95" i="115" s="1"/>
  <c r="P94" i="115"/>
  <c r="O94" i="115"/>
  <c r="N94" i="115"/>
  <c r="Q94" i="115" s="1"/>
  <c r="P93" i="115"/>
  <c r="O93" i="115"/>
  <c r="N93" i="115"/>
  <c r="P91" i="115"/>
  <c r="O91" i="115"/>
  <c r="Q91" i="115" s="1"/>
  <c r="N91" i="115"/>
  <c r="P90" i="115"/>
  <c r="O90" i="115"/>
  <c r="N90" i="115"/>
  <c r="P89" i="115"/>
  <c r="O89" i="115"/>
  <c r="N89" i="115"/>
  <c r="P87" i="115"/>
  <c r="O87" i="115"/>
  <c r="N87" i="115"/>
  <c r="P86" i="115"/>
  <c r="O86" i="115"/>
  <c r="Q86" i="115" s="1"/>
  <c r="N86" i="115"/>
  <c r="P85" i="115"/>
  <c r="O85" i="115"/>
  <c r="N85" i="115"/>
  <c r="P83" i="115"/>
  <c r="O83" i="115"/>
  <c r="N83" i="115"/>
  <c r="Q83" i="115" s="1"/>
  <c r="P82" i="115"/>
  <c r="O82" i="115"/>
  <c r="N82" i="115"/>
  <c r="P81" i="115"/>
  <c r="O81" i="115"/>
  <c r="N81" i="115"/>
  <c r="P79" i="115"/>
  <c r="O79" i="115"/>
  <c r="N79" i="115"/>
  <c r="P78" i="115"/>
  <c r="O78" i="115"/>
  <c r="N78" i="115"/>
  <c r="P77" i="115"/>
  <c r="O77" i="115"/>
  <c r="N77" i="115"/>
  <c r="P75" i="115"/>
  <c r="O75" i="115"/>
  <c r="N75" i="115"/>
  <c r="P74" i="115"/>
  <c r="O74" i="115"/>
  <c r="N74" i="115"/>
  <c r="Q74" i="115" s="1"/>
  <c r="P73" i="115"/>
  <c r="O73" i="115"/>
  <c r="N73" i="115"/>
  <c r="Q73" i="115" s="1"/>
  <c r="P71" i="115"/>
  <c r="O71" i="115"/>
  <c r="N71" i="115"/>
  <c r="P70" i="115"/>
  <c r="O70" i="115"/>
  <c r="Q70" i="115" s="1"/>
  <c r="N70" i="115"/>
  <c r="P69" i="115"/>
  <c r="O69" i="115"/>
  <c r="N69" i="115"/>
  <c r="P67" i="115"/>
  <c r="O67" i="115"/>
  <c r="N67" i="115"/>
  <c r="P66" i="115"/>
  <c r="O66" i="115"/>
  <c r="N66" i="115"/>
  <c r="P65" i="115"/>
  <c r="O65" i="115"/>
  <c r="Q65" i="115" s="1"/>
  <c r="N65" i="115"/>
  <c r="P63" i="115"/>
  <c r="O63" i="115"/>
  <c r="N63" i="115"/>
  <c r="Q63" i="115" s="1"/>
  <c r="P62" i="115"/>
  <c r="O62" i="115"/>
  <c r="N62" i="115"/>
  <c r="Q62" i="115" s="1"/>
  <c r="P61" i="115"/>
  <c r="O61" i="115"/>
  <c r="N61" i="115"/>
  <c r="P59" i="115"/>
  <c r="O59" i="115"/>
  <c r="Q59" i="115" s="1"/>
  <c r="N59" i="115"/>
  <c r="P58" i="115"/>
  <c r="O58" i="115"/>
  <c r="N58" i="115"/>
  <c r="P57" i="115"/>
  <c r="O57" i="115"/>
  <c r="N57" i="115"/>
  <c r="P55" i="115"/>
  <c r="O55" i="115"/>
  <c r="N55" i="115"/>
  <c r="P54" i="115"/>
  <c r="O54" i="115"/>
  <c r="N54" i="115"/>
  <c r="P53" i="115"/>
  <c r="O53" i="115"/>
  <c r="N53" i="115"/>
  <c r="Q53" i="115" s="1"/>
  <c r="P51" i="115"/>
  <c r="O51" i="115"/>
  <c r="N51" i="115"/>
  <c r="Q51" i="115" s="1"/>
  <c r="P50" i="115"/>
  <c r="O50" i="115"/>
  <c r="N50" i="115"/>
  <c r="P49" i="115"/>
  <c r="O49" i="115"/>
  <c r="N49" i="115"/>
  <c r="P47" i="115"/>
  <c r="O47" i="115"/>
  <c r="Q47" i="115" s="1"/>
  <c r="N47" i="115"/>
  <c r="P46" i="115"/>
  <c r="O46" i="115"/>
  <c r="N46" i="115"/>
  <c r="P45" i="115"/>
  <c r="O45" i="115"/>
  <c r="N45" i="115"/>
  <c r="P43" i="115"/>
  <c r="O43" i="115"/>
  <c r="N43" i="115"/>
  <c r="P42" i="115"/>
  <c r="O42" i="115"/>
  <c r="N42" i="115"/>
  <c r="P41" i="115"/>
  <c r="O41" i="115"/>
  <c r="N41" i="115"/>
  <c r="Q41" i="115" s="1"/>
  <c r="P39" i="115"/>
  <c r="O39" i="115"/>
  <c r="N39" i="115"/>
  <c r="P38" i="115"/>
  <c r="O38" i="115"/>
  <c r="N38" i="115"/>
  <c r="P37" i="115"/>
  <c r="O37" i="115"/>
  <c r="Q37" i="115" s="1"/>
  <c r="N37" i="115"/>
  <c r="P35" i="115"/>
  <c r="O35" i="115"/>
  <c r="N35" i="115"/>
  <c r="Q35" i="115" s="1"/>
  <c r="P34" i="115"/>
  <c r="O34" i="115"/>
  <c r="N34" i="115"/>
  <c r="Q34" i="115" s="1"/>
  <c r="P33" i="115"/>
  <c r="O33" i="115"/>
  <c r="N33" i="115"/>
  <c r="P31" i="115"/>
  <c r="O31" i="115"/>
  <c r="Q31" i="115" s="1"/>
  <c r="N31" i="115"/>
  <c r="P30" i="115"/>
  <c r="O30" i="115"/>
  <c r="N30" i="115"/>
  <c r="P29" i="115"/>
  <c r="O29" i="115"/>
  <c r="N29" i="115"/>
  <c r="P27" i="115"/>
  <c r="O27" i="115"/>
  <c r="N27" i="115"/>
  <c r="P26" i="115"/>
  <c r="O26" i="115"/>
  <c r="N26" i="115"/>
  <c r="P25" i="115"/>
  <c r="O25" i="115"/>
  <c r="N25" i="115"/>
  <c r="Q25" i="115" s="1"/>
  <c r="P23" i="115"/>
  <c r="O23" i="115"/>
  <c r="N23" i="115"/>
  <c r="P22" i="115"/>
  <c r="O22" i="115"/>
  <c r="N22" i="115"/>
  <c r="P21" i="115"/>
  <c r="O21" i="115"/>
  <c r="Q21" i="115" s="1"/>
  <c r="N21" i="115"/>
  <c r="P19" i="115"/>
  <c r="O19" i="115"/>
  <c r="N19" i="115"/>
  <c r="P18" i="115"/>
  <c r="O18" i="115"/>
  <c r="N18" i="115"/>
  <c r="P17" i="115"/>
  <c r="O17" i="115"/>
  <c r="N17" i="115"/>
  <c r="P15" i="115"/>
  <c r="O15" i="115"/>
  <c r="N15" i="115"/>
  <c r="P14" i="115"/>
  <c r="O14" i="115"/>
  <c r="N14" i="115"/>
  <c r="P13" i="115"/>
  <c r="O13" i="115"/>
  <c r="N13" i="115"/>
  <c r="Q13" i="115" s="1"/>
  <c r="O9" i="115"/>
  <c r="P9" i="115"/>
  <c r="O10" i="115"/>
  <c r="P10" i="115"/>
  <c r="O11" i="115"/>
  <c r="P11" i="115"/>
  <c r="N10" i="115"/>
  <c r="N11" i="115"/>
  <c r="N9" i="115"/>
  <c r="Q15" i="115" l="1"/>
  <c r="Q17" i="115"/>
  <c r="Q22" i="115"/>
  <c r="Q26" i="115"/>
  <c r="Q38" i="115"/>
  <c r="Q42" i="115"/>
  <c r="Q49" i="115"/>
  <c r="Q54" i="115"/>
  <c r="Q66" i="115"/>
  <c r="Q71" i="115"/>
  <c r="Q75" i="115"/>
  <c r="Q77" i="115"/>
  <c r="Q81" i="115"/>
  <c r="Q87" i="115"/>
  <c r="Q98" i="115"/>
  <c r="Q102" i="115"/>
  <c r="Q114" i="115"/>
  <c r="Q118" i="115"/>
  <c r="Q130" i="115"/>
  <c r="Q134" i="115"/>
  <c r="Q146" i="115"/>
  <c r="Q151" i="115"/>
  <c r="Q155" i="115"/>
  <c r="Q157" i="115"/>
  <c r="Q161" i="115"/>
  <c r="Q167" i="115"/>
  <c r="W149" i="59"/>
  <c r="W389" i="59"/>
  <c r="W209" i="59"/>
  <c r="W399" i="59"/>
  <c r="W319" i="59"/>
  <c r="W169" i="59"/>
  <c r="Q14" i="115"/>
  <c r="Q19" i="115"/>
  <c r="Q30" i="115"/>
  <c r="Q46" i="115"/>
  <c r="Q58" i="115"/>
  <c r="Q69" i="115"/>
  <c r="Q79" i="115"/>
  <c r="Q85" i="115"/>
  <c r="Q90" i="115"/>
  <c r="Q106" i="115"/>
  <c r="Q122" i="115"/>
  <c r="Q138" i="115"/>
  <c r="Q149" i="115"/>
  <c r="Q159" i="115"/>
  <c r="Q165" i="115"/>
  <c r="W189" i="59"/>
  <c r="W349" i="59"/>
  <c r="Q18" i="115"/>
  <c r="Q23" i="115"/>
  <c r="Q27" i="115"/>
  <c r="Q29" i="115"/>
  <c r="Q33" i="115"/>
  <c r="Q39" i="115"/>
  <c r="Q43" i="115"/>
  <c r="Q45" i="115"/>
  <c r="Q50" i="115"/>
  <c r="Q55" i="115"/>
  <c r="Q57" i="115"/>
  <c r="Q61" i="115"/>
  <c r="Q67" i="115"/>
  <c r="Q78" i="115"/>
  <c r="Q82" i="115"/>
  <c r="Q89" i="115"/>
  <c r="Q93" i="115"/>
  <c r="Q99" i="115"/>
  <c r="Q103" i="115"/>
  <c r="Q105" i="115"/>
  <c r="Q109" i="115"/>
  <c r="Q112" i="115" s="1"/>
  <c r="Q115" i="115"/>
  <c r="Q116" i="115" s="1"/>
  <c r="Q119" i="115"/>
  <c r="Q120" i="115" s="1"/>
  <c r="Q121" i="115"/>
  <c r="Q124" i="115" s="1"/>
  <c r="Q125" i="115"/>
  <c r="Q131" i="115"/>
  <c r="Q135" i="115"/>
  <c r="Q137" i="115"/>
  <c r="Q141" i="115"/>
  <c r="Q147" i="115"/>
  <c r="Q158" i="115"/>
  <c r="Q162" i="115"/>
  <c r="W139" i="59"/>
  <c r="W359" i="59"/>
  <c r="W18" i="59"/>
  <c r="W16" i="59"/>
  <c r="W17" i="59"/>
  <c r="W14" i="59"/>
  <c r="W15" i="59"/>
  <c r="W13" i="59"/>
  <c r="Q152" i="115"/>
  <c r="Q156" i="115"/>
  <c r="Q160" i="115"/>
  <c r="Q164" i="115"/>
  <c r="Q132" i="115"/>
  <c r="Q136" i="115"/>
  <c r="Q140" i="115"/>
  <c r="Q144" i="115"/>
  <c r="Q92" i="115"/>
  <c r="Q96" i="115"/>
  <c r="Q100" i="115"/>
  <c r="Q104" i="115"/>
  <c r="Q72" i="115"/>
  <c r="Q76" i="115"/>
  <c r="Q80" i="115"/>
  <c r="Q84" i="115"/>
  <c r="Q56" i="115"/>
  <c r="Q60" i="115"/>
  <c r="Q64" i="115"/>
  <c r="Q32" i="115"/>
  <c r="Q36" i="115"/>
  <c r="Q40" i="115"/>
  <c r="Q44" i="115"/>
  <c r="Q11" i="115"/>
  <c r="Q9" i="115"/>
  <c r="S245" i="114"/>
  <c r="R245" i="114"/>
  <c r="Q245" i="114"/>
  <c r="T245" i="114" s="1"/>
  <c r="S244" i="114"/>
  <c r="R244" i="114"/>
  <c r="Q244" i="114"/>
  <c r="T244" i="114" s="1"/>
  <c r="S243" i="114"/>
  <c r="R243" i="114"/>
  <c r="Q243" i="114"/>
  <c r="S242" i="114"/>
  <c r="R242" i="114"/>
  <c r="Q242" i="114"/>
  <c r="S241" i="114"/>
  <c r="R241" i="114"/>
  <c r="Q241" i="114"/>
  <c r="T241" i="114" s="1"/>
  <c r="S239" i="114"/>
  <c r="R239" i="114"/>
  <c r="Q239" i="114"/>
  <c r="S238" i="114"/>
  <c r="R238" i="114"/>
  <c r="Q238" i="114"/>
  <c r="S237" i="114"/>
  <c r="R237" i="114"/>
  <c r="T237" i="114" s="1"/>
  <c r="Q237" i="114"/>
  <c r="S236" i="114"/>
  <c r="R236" i="114"/>
  <c r="Q236" i="114"/>
  <c r="S235" i="114"/>
  <c r="R235" i="114"/>
  <c r="Q235" i="114"/>
  <c r="S233" i="114"/>
  <c r="R233" i="114"/>
  <c r="Q233" i="114"/>
  <c r="S232" i="114"/>
  <c r="R232" i="114"/>
  <c r="Q232" i="114"/>
  <c r="S231" i="114"/>
  <c r="R231" i="114"/>
  <c r="Q231" i="114"/>
  <c r="T231" i="114" s="1"/>
  <c r="S230" i="114"/>
  <c r="R230" i="114"/>
  <c r="Q230" i="114"/>
  <c r="T230" i="114" s="1"/>
  <c r="S229" i="114"/>
  <c r="R229" i="114"/>
  <c r="Q229" i="114"/>
  <c r="S227" i="114"/>
  <c r="R227" i="114"/>
  <c r="T227" i="114" s="1"/>
  <c r="Q227" i="114"/>
  <c r="S226" i="114"/>
  <c r="R226" i="114"/>
  <c r="Q226" i="114"/>
  <c r="S225" i="114"/>
  <c r="R225" i="114"/>
  <c r="Q225" i="114"/>
  <c r="S224" i="114"/>
  <c r="R224" i="114"/>
  <c r="Q224" i="114"/>
  <c r="S223" i="114"/>
  <c r="R223" i="114"/>
  <c r="T223" i="114" s="1"/>
  <c r="Q223" i="114"/>
  <c r="S221" i="114"/>
  <c r="R221" i="114"/>
  <c r="Q221" i="114"/>
  <c r="T221" i="114" s="1"/>
  <c r="S220" i="114"/>
  <c r="R220" i="114"/>
  <c r="Q220" i="114"/>
  <c r="T220" i="114" s="1"/>
  <c r="S219" i="114"/>
  <c r="R219" i="114"/>
  <c r="Q219" i="114"/>
  <c r="S218" i="114"/>
  <c r="R218" i="114"/>
  <c r="Q218" i="114"/>
  <c r="S217" i="114"/>
  <c r="R217" i="114"/>
  <c r="Q217" i="114"/>
  <c r="T217" i="114" s="1"/>
  <c r="S215" i="114"/>
  <c r="R215" i="114"/>
  <c r="Q215" i="114"/>
  <c r="S214" i="114"/>
  <c r="R214" i="114"/>
  <c r="Q214" i="114"/>
  <c r="S213" i="114"/>
  <c r="R213" i="114"/>
  <c r="T213" i="114" s="1"/>
  <c r="Q213" i="114"/>
  <c r="S212" i="114"/>
  <c r="R212" i="114"/>
  <c r="Q212" i="114"/>
  <c r="S211" i="114"/>
  <c r="R211" i="114"/>
  <c r="Q211" i="114"/>
  <c r="S209" i="114"/>
  <c r="R209" i="114"/>
  <c r="Q209" i="114"/>
  <c r="S208" i="114"/>
  <c r="R208" i="114"/>
  <c r="Q208" i="114"/>
  <c r="S207" i="114"/>
  <c r="R207" i="114"/>
  <c r="Q207" i="114"/>
  <c r="T207" i="114" s="1"/>
  <c r="S206" i="114"/>
  <c r="R206" i="114"/>
  <c r="Q206" i="114"/>
  <c r="T206" i="114" s="1"/>
  <c r="S205" i="114"/>
  <c r="R205" i="114"/>
  <c r="Q205" i="114"/>
  <c r="S203" i="114"/>
  <c r="R203" i="114"/>
  <c r="T203" i="114" s="1"/>
  <c r="Q203" i="114"/>
  <c r="S202" i="114"/>
  <c r="R202" i="114"/>
  <c r="Q202" i="114"/>
  <c r="S201" i="114"/>
  <c r="R201" i="114"/>
  <c r="Q201" i="114"/>
  <c r="S200" i="114"/>
  <c r="R200" i="114"/>
  <c r="Q200" i="114"/>
  <c r="S199" i="114"/>
  <c r="R199" i="114"/>
  <c r="Q199" i="114"/>
  <c r="S197" i="114"/>
  <c r="R197" i="114"/>
  <c r="Q197" i="114"/>
  <c r="T197" i="114" s="1"/>
  <c r="S196" i="114"/>
  <c r="R196" i="114"/>
  <c r="Q196" i="114"/>
  <c r="T196" i="114" s="1"/>
  <c r="S195" i="114"/>
  <c r="R195" i="114"/>
  <c r="Q195" i="114"/>
  <c r="S194" i="114"/>
  <c r="R194" i="114"/>
  <c r="Q194" i="114"/>
  <c r="S193" i="114"/>
  <c r="R193" i="114"/>
  <c r="Q193" i="114"/>
  <c r="T193" i="114" s="1"/>
  <c r="S191" i="114"/>
  <c r="R191" i="114"/>
  <c r="Q191" i="114"/>
  <c r="S190" i="114"/>
  <c r="R190" i="114"/>
  <c r="Q190" i="114"/>
  <c r="S189" i="114"/>
  <c r="R189" i="114"/>
  <c r="T189" i="114" s="1"/>
  <c r="Q189" i="114"/>
  <c r="S188" i="114"/>
  <c r="R188" i="114"/>
  <c r="Q188" i="114"/>
  <c r="T188" i="114" s="1"/>
  <c r="S187" i="114"/>
  <c r="R187" i="114"/>
  <c r="Q187" i="114"/>
  <c r="T187" i="114" s="1"/>
  <c r="S185" i="114"/>
  <c r="R185" i="114"/>
  <c r="Q185" i="114"/>
  <c r="S184" i="114"/>
  <c r="R184" i="114"/>
  <c r="Q184" i="114"/>
  <c r="S183" i="114"/>
  <c r="R183" i="114"/>
  <c r="Q183" i="114"/>
  <c r="T183" i="114" s="1"/>
  <c r="S182" i="114"/>
  <c r="R182" i="114"/>
  <c r="Q182" i="114"/>
  <c r="T182" i="114" s="1"/>
  <c r="S181" i="114"/>
  <c r="R181" i="114"/>
  <c r="Q181" i="114"/>
  <c r="S179" i="114"/>
  <c r="R179" i="114"/>
  <c r="T179" i="114" s="1"/>
  <c r="Q179" i="114"/>
  <c r="S178" i="114"/>
  <c r="R178" i="114"/>
  <c r="Q178" i="114"/>
  <c r="S177" i="114"/>
  <c r="R177" i="114"/>
  <c r="Q177" i="114"/>
  <c r="S176" i="114"/>
  <c r="R176" i="114"/>
  <c r="Q176" i="114"/>
  <c r="S175" i="114"/>
  <c r="R175" i="114"/>
  <c r="T175" i="114" s="1"/>
  <c r="Q175" i="114"/>
  <c r="S173" i="114"/>
  <c r="R173" i="114"/>
  <c r="Q173" i="114"/>
  <c r="T173" i="114" s="1"/>
  <c r="S172" i="114"/>
  <c r="R172" i="114"/>
  <c r="Q172" i="114"/>
  <c r="T172" i="114" s="1"/>
  <c r="S171" i="114"/>
  <c r="R171" i="114"/>
  <c r="Q171" i="114"/>
  <c r="S170" i="114"/>
  <c r="R170" i="114"/>
  <c r="Q170" i="114"/>
  <c r="S169" i="114"/>
  <c r="R169" i="114"/>
  <c r="Q169" i="114"/>
  <c r="T169" i="114" s="1"/>
  <c r="S167" i="114"/>
  <c r="R167" i="114"/>
  <c r="Q167" i="114"/>
  <c r="S166" i="114"/>
  <c r="R166" i="114"/>
  <c r="Q166" i="114"/>
  <c r="S165" i="114"/>
  <c r="R165" i="114"/>
  <c r="T165" i="114" s="1"/>
  <c r="Q165" i="114"/>
  <c r="S164" i="114"/>
  <c r="R164" i="114"/>
  <c r="Q164" i="114"/>
  <c r="S163" i="114"/>
  <c r="R163" i="114"/>
  <c r="Q163" i="114"/>
  <c r="S161" i="114"/>
  <c r="R161" i="114"/>
  <c r="Q161" i="114"/>
  <c r="S160" i="114"/>
  <c r="R160" i="114"/>
  <c r="Q160" i="114"/>
  <c r="S159" i="114"/>
  <c r="R159" i="114"/>
  <c r="Q159" i="114"/>
  <c r="T159" i="114" s="1"/>
  <c r="S158" i="114"/>
  <c r="R158" i="114"/>
  <c r="Q158" i="114"/>
  <c r="T158" i="114" s="1"/>
  <c r="S157" i="114"/>
  <c r="R157" i="114"/>
  <c r="Q157" i="114"/>
  <c r="S155" i="114"/>
  <c r="R155" i="114"/>
  <c r="T155" i="114" s="1"/>
  <c r="Q155" i="114"/>
  <c r="S154" i="114"/>
  <c r="R154" i="114"/>
  <c r="Q154" i="114"/>
  <c r="S153" i="114"/>
  <c r="R153" i="114"/>
  <c r="Q153" i="114"/>
  <c r="S152" i="114"/>
  <c r="R152" i="114"/>
  <c r="Q152" i="114"/>
  <c r="S151" i="114"/>
  <c r="R151" i="114"/>
  <c r="T151" i="114" s="1"/>
  <c r="Q151" i="114"/>
  <c r="S149" i="114"/>
  <c r="R149" i="114"/>
  <c r="Q149" i="114"/>
  <c r="T149" i="114" s="1"/>
  <c r="S148" i="114"/>
  <c r="R148" i="114"/>
  <c r="Q148" i="114"/>
  <c r="T148" i="114" s="1"/>
  <c r="S147" i="114"/>
  <c r="R147" i="114"/>
  <c r="Q147" i="114"/>
  <c r="S146" i="114"/>
  <c r="R146" i="114"/>
  <c r="Q146" i="114"/>
  <c r="S145" i="114"/>
  <c r="R145" i="114"/>
  <c r="Q145" i="114"/>
  <c r="T145" i="114" s="1"/>
  <c r="S143" i="114"/>
  <c r="R143" i="114"/>
  <c r="Q143" i="114"/>
  <c r="S142" i="114"/>
  <c r="R142" i="114"/>
  <c r="Q142" i="114"/>
  <c r="S141" i="114"/>
  <c r="R141" i="114"/>
  <c r="T141" i="114" s="1"/>
  <c r="Q141" i="114"/>
  <c r="S140" i="114"/>
  <c r="R140" i="114"/>
  <c r="Q140" i="114"/>
  <c r="S139" i="114"/>
  <c r="R139" i="114"/>
  <c r="Q139" i="114"/>
  <c r="S137" i="114"/>
  <c r="R137" i="114"/>
  <c r="Q137" i="114"/>
  <c r="S136" i="114"/>
  <c r="R136" i="114"/>
  <c r="Q136" i="114"/>
  <c r="S135" i="114"/>
  <c r="R135" i="114"/>
  <c r="Q135" i="114"/>
  <c r="T135" i="114" s="1"/>
  <c r="S134" i="114"/>
  <c r="R134" i="114"/>
  <c r="Q134" i="114"/>
  <c r="T134" i="114" s="1"/>
  <c r="S133" i="114"/>
  <c r="R133" i="114"/>
  <c r="Q133" i="114"/>
  <c r="S131" i="114"/>
  <c r="R131" i="114"/>
  <c r="T131" i="114" s="1"/>
  <c r="Q131" i="114"/>
  <c r="S130" i="114"/>
  <c r="R130" i="114"/>
  <c r="Q130" i="114"/>
  <c r="S129" i="114"/>
  <c r="R129" i="114"/>
  <c r="Q129" i="114"/>
  <c r="S128" i="114"/>
  <c r="R128" i="114"/>
  <c r="Q128" i="114"/>
  <c r="S127" i="114"/>
  <c r="R127" i="114"/>
  <c r="T127" i="114" s="1"/>
  <c r="Q127" i="114"/>
  <c r="S125" i="114"/>
  <c r="R125" i="114"/>
  <c r="Q125" i="114"/>
  <c r="T125" i="114" s="1"/>
  <c r="S124" i="114"/>
  <c r="R124" i="114"/>
  <c r="Q124" i="114"/>
  <c r="T124" i="114" s="1"/>
  <c r="S123" i="114"/>
  <c r="R123" i="114"/>
  <c r="Q123" i="114"/>
  <c r="S122" i="114"/>
  <c r="R122" i="114"/>
  <c r="Q122" i="114"/>
  <c r="S121" i="114"/>
  <c r="R121" i="114"/>
  <c r="Q121" i="114"/>
  <c r="T121" i="114" s="1"/>
  <c r="S119" i="114"/>
  <c r="R119" i="114"/>
  <c r="Q119" i="114"/>
  <c r="S118" i="114"/>
  <c r="R118" i="114"/>
  <c r="Q118" i="114"/>
  <c r="S117" i="114"/>
  <c r="R117" i="114"/>
  <c r="T117" i="114" s="1"/>
  <c r="Q117" i="114"/>
  <c r="S116" i="114"/>
  <c r="R116" i="114"/>
  <c r="Q116" i="114"/>
  <c r="S115" i="114"/>
  <c r="R115" i="114"/>
  <c r="Q115" i="114"/>
  <c r="S113" i="114"/>
  <c r="R113" i="114"/>
  <c r="Q113" i="114"/>
  <c r="S112" i="114"/>
  <c r="R112" i="114"/>
  <c r="Q112" i="114"/>
  <c r="S111" i="114"/>
  <c r="R111" i="114"/>
  <c r="Q111" i="114"/>
  <c r="T111" i="114" s="1"/>
  <c r="S110" i="114"/>
  <c r="R110" i="114"/>
  <c r="Q110" i="114"/>
  <c r="T110" i="114" s="1"/>
  <c r="S109" i="114"/>
  <c r="R109" i="114"/>
  <c r="Q109" i="114"/>
  <c r="S107" i="114"/>
  <c r="R107" i="114"/>
  <c r="T107" i="114" s="1"/>
  <c r="Q107" i="114"/>
  <c r="S106" i="114"/>
  <c r="R106" i="114"/>
  <c r="Q106" i="114"/>
  <c r="S105" i="114"/>
  <c r="R105" i="114"/>
  <c r="Q105" i="114"/>
  <c r="S104" i="114"/>
  <c r="R104" i="114"/>
  <c r="Q104" i="114"/>
  <c r="S103" i="114"/>
  <c r="R103" i="114"/>
  <c r="T103" i="114" s="1"/>
  <c r="Q103" i="114"/>
  <c r="S101" i="114"/>
  <c r="R101" i="114"/>
  <c r="Q101" i="114"/>
  <c r="T101" i="114" s="1"/>
  <c r="S100" i="114"/>
  <c r="R100" i="114"/>
  <c r="Q100" i="114"/>
  <c r="T100" i="114" s="1"/>
  <c r="S99" i="114"/>
  <c r="R99" i="114"/>
  <c r="Q99" i="114"/>
  <c r="S98" i="114"/>
  <c r="R98" i="114"/>
  <c r="Q98" i="114"/>
  <c r="S97" i="114"/>
  <c r="R97" i="114"/>
  <c r="Q97" i="114"/>
  <c r="T97" i="114" s="1"/>
  <c r="S95" i="114"/>
  <c r="R95" i="114"/>
  <c r="Q95" i="114"/>
  <c r="S94" i="114"/>
  <c r="R94" i="114"/>
  <c r="Q94" i="114"/>
  <c r="S93" i="114"/>
  <c r="R93" i="114"/>
  <c r="T93" i="114" s="1"/>
  <c r="Q93" i="114"/>
  <c r="S92" i="114"/>
  <c r="R92" i="114"/>
  <c r="Q92" i="114"/>
  <c r="S91" i="114"/>
  <c r="R91" i="114"/>
  <c r="Q91" i="114"/>
  <c r="S89" i="114"/>
  <c r="R89" i="114"/>
  <c r="Q89" i="114"/>
  <c r="S88" i="114"/>
  <c r="R88" i="114"/>
  <c r="Q88" i="114"/>
  <c r="S87" i="114"/>
  <c r="R87" i="114"/>
  <c r="Q87" i="114"/>
  <c r="T87" i="114" s="1"/>
  <c r="S86" i="114"/>
  <c r="R86" i="114"/>
  <c r="Q86" i="114"/>
  <c r="T86" i="114" s="1"/>
  <c r="S85" i="114"/>
  <c r="R85" i="114"/>
  <c r="Q85" i="114"/>
  <c r="S83" i="114"/>
  <c r="R83" i="114"/>
  <c r="T83" i="114" s="1"/>
  <c r="Q83" i="114"/>
  <c r="S82" i="114"/>
  <c r="R82" i="114"/>
  <c r="Q82" i="114"/>
  <c r="S81" i="114"/>
  <c r="R81" i="114"/>
  <c r="Q81" i="114"/>
  <c r="S80" i="114"/>
  <c r="R80" i="114"/>
  <c r="Q80" i="114"/>
  <c r="S79" i="114"/>
  <c r="R79" i="114"/>
  <c r="T79" i="114" s="1"/>
  <c r="Q79" i="114"/>
  <c r="S77" i="114"/>
  <c r="R77" i="114"/>
  <c r="Q77" i="114"/>
  <c r="T77" i="114" s="1"/>
  <c r="S76" i="114"/>
  <c r="R76" i="114"/>
  <c r="Q76" i="114"/>
  <c r="T76" i="114" s="1"/>
  <c r="S75" i="114"/>
  <c r="R75" i="114"/>
  <c r="Q75" i="114"/>
  <c r="S74" i="114"/>
  <c r="R74" i="114"/>
  <c r="Q74" i="114"/>
  <c r="S73" i="114"/>
  <c r="R73" i="114"/>
  <c r="Q73" i="114"/>
  <c r="T73" i="114" s="1"/>
  <c r="S71" i="114"/>
  <c r="R71" i="114"/>
  <c r="Q71" i="114"/>
  <c r="S70" i="114"/>
  <c r="R70" i="114"/>
  <c r="Q70" i="114"/>
  <c r="S69" i="114"/>
  <c r="R69" i="114"/>
  <c r="T69" i="114" s="1"/>
  <c r="Q69" i="114"/>
  <c r="S68" i="114"/>
  <c r="R68" i="114"/>
  <c r="Q68" i="114"/>
  <c r="S67" i="114"/>
  <c r="R67" i="114"/>
  <c r="Q67" i="114"/>
  <c r="S65" i="114"/>
  <c r="R65" i="114"/>
  <c r="Q65" i="114"/>
  <c r="S64" i="114"/>
  <c r="R64" i="114"/>
  <c r="T64" i="114" s="1"/>
  <c r="Q64" i="114"/>
  <c r="S63" i="114"/>
  <c r="R63" i="114"/>
  <c r="Q63" i="114"/>
  <c r="S62" i="114"/>
  <c r="R62" i="114"/>
  <c r="Q62" i="114"/>
  <c r="S61" i="114"/>
  <c r="R61" i="114"/>
  <c r="Q61" i="114"/>
  <c r="S59" i="114"/>
  <c r="R59" i="114"/>
  <c r="T59" i="114" s="1"/>
  <c r="Q59" i="114"/>
  <c r="S58" i="114"/>
  <c r="R58" i="114"/>
  <c r="Q58" i="114"/>
  <c r="S57" i="114"/>
  <c r="R57" i="114"/>
  <c r="Q57" i="114"/>
  <c r="S56" i="114"/>
  <c r="R56" i="114"/>
  <c r="Q56" i="114"/>
  <c r="S55" i="114"/>
  <c r="R55" i="114"/>
  <c r="T55" i="114" s="1"/>
  <c r="Q55" i="114"/>
  <c r="S53" i="114"/>
  <c r="R53" i="114"/>
  <c r="Q53" i="114"/>
  <c r="S52" i="114"/>
  <c r="R52" i="114"/>
  <c r="Q52" i="114"/>
  <c r="S51" i="114"/>
  <c r="R51" i="114"/>
  <c r="Q51" i="114"/>
  <c r="S50" i="114"/>
  <c r="R50" i="114"/>
  <c r="T50" i="114" s="1"/>
  <c r="Q50" i="114"/>
  <c r="S49" i="114"/>
  <c r="R49" i="114"/>
  <c r="Q49" i="114"/>
  <c r="S47" i="114"/>
  <c r="R47" i="114"/>
  <c r="Q47" i="114"/>
  <c r="S46" i="114"/>
  <c r="R46" i="114"/>
  <c r="Q46" i="114"/>
  <c r="S45" i="114"/>
  <c r="R45" i="114"/>
  <c r="T45" i="114" s="1"/>
  <c r="Q45" i="114"/>
  <c r="S44" i="114"/>
  <c r="R44" i="114"/>
  <c r="Q44" i="114"/>
  <c r="S43" i="114"/>
  <c r="R43" i="114"/>
  <c r="Q43" i="114"/>
  <c r="S41" i="114"/>
  <c r="R41" i="114"/>
  <c r="Q41" i="114"/>
  <c r="S40" i="114"/>
  <c r="R40" i="114"/>
  <c r="T40" i="114" s="1"/>
  <c r="Q40" i="114"/>
  <c r="S39" i="114"/>
  <c r="R39" i="114"/>
  <c r="Q39" i="114"/>
  <c r="S38" i="114"/>
  <c r="R38" i="114"/>
  <c r="Q38" i="114"/>
  <c r="S37" i="114"/>
  <c r="R37" i="114"/>
  <c r="Q37" i="114"/>
  <c r="S35" i="114"/>
  <c r="R35" i="114"/>
  <c r="T35" i="114" s="1"/>
  <c r="Q35" i="114"/>
  <c r="S34" i="114"/>
  <c r="R34" i="114"/>
  <c r="Q34" i="114"/>
  <c r="S33" i="114"/>
  <c r="R33" i="114"/>
  <c r="Q33" i="114"/>
  <c r="S32" i="114"/>
  <c r="R32" i="114"/>
  <c r="Q32" i="114"/>
  <c r="S31" i="114"/>
  <c r="R31" i="114"/>
  <c r="T31" i="114" s="1"/>
  <c r="Q31" i="114"/>
  <c r="S29" i="114"/>
  <c r="R29" i="114"/>
  <c r="Q29" i="114"/>
  <c r="S28" i="114"/>
  <c r="R28" i="114"/>
  <c r="Q28" i="114"/>
  <c r="S27" i="114"/>
  <c r="R27" i="114"/>
  <c r="Q27" i="114"/>
  <c r="S26" i="114"/>
  <c r="R26" i="114"/>
  <c r="T26" i="114" s="1"/>
  <c r="Q26" i="114"/>
  <c r="S25" i="114"/>
  <c r="R25" i="114"/>
  <c r="Q25" i="114"/>
  <c r="S23" i="114"/>
  <c r="R23" i="114"/>
  <c r="Q23" i="114"/>
  <c r="S22" i="114"/>
  <c r="R22" i="114"/>
  <c r="Q22" i="114"/>
  <c r="S21" i="114"/>
  <c r="R21" i="114"/>
  <c r="T21" i="114" s="1"/>
  <c r="Q21" i="114"/>
  <c r="S20" i="114"/>
  <c r="R20" i="114"/>
  <c r="Q20" i="114"/>
  <c r="S19" i="114"/>
  <c r="R19" i="114"/>
  <c r="Q19" i="114"/>
  <c r="S17" i="114"/>
  <c r="R17" i="114"/>
  <c r="Q17" i="114"/>
  <c r="S16" i="114"/>
  <c r="R16" i="114"/>
  <c r="T16" i="114" s="1"/>
  <c r="Q16" i="114"/>
  <c r="S15" i="114"/>
  <c r="R15" i="114"/>
  <c r="Q15" i="114"/>
  <c r="S14" i="114"/>
  <c r="R14" i="114"/>
  <c r="Q14" i="114"/>
  <c r="S13" i="114"/>
  <c r="R13" i="114"/>
  <c r="Q13" i="114"/>
  <c r="Q10" i="114"/>
  <c r="R10" i="114"/>
  <c r="S10" i="114"/>
  <c r="Q11" i="114"/>
  <c r="R11" i="114"/>
  <c r="S11" i="114"/>
  <c r="S9" i="114"/>
  <c r="R9" i="114"/>
  <c r="Q9" i="114"/>
  <c r="S8" i="114"/>
  <c r="R8" i="114"/>
  <c r="Q8" i="114"/>
  <c r="S7" i="114"/>
  <c r="R7" i="114"/>
  <c r="Q7" i="114"/>
  <c r="S287" i="103"/>
  <c r="R287" i="103"/>
  <c r="Q287" i="103"/>
  <c r="T287" i="103" s="1"/>
  <c r="S286" i="103"/>
  <c r="R286" i="103"/>
  <c r="Q286" i="103"/>
  <c r="T286" i="103" s="1"/>
  <c r="S285" i="103"/>
  <c r="R285" i="103"/>
  <c r="Q285" i="103"/>
  <c r="S284" i="103"/>
  <c r="R284" i="103"/>
  <c r="Q284" i="103"/>
  <c r="S283" i="103"/>
  <c r="R283" i="103"/>
  <c r="Q283" i="103"/>
  <c r="T283" i="103" s="1"/>
  <c r="S282" i="103"/>
  <c r="R282" i="103"/>
  <c r="Q282" i="103"/>
  <c r="T282" i="103" s="1"/>
  <c r="S280" i="103"/>
  <c r="R280" i="103"/>
  <c r="Q280" i="103"/>
  <c r="S279" i="103"/>
  <c r="R279" i="103"/>
  <c r="T279" i="103" s="1"/>
  <c r="Q279" i="103"/>
  <c r="S278" i="103"/>
  <c r="R278" i="103"/>
  <c r="Q278" i="103"/>
  <c r="S277" i="103"/>
  <c r="R277" i="103"/>
  <c r="Q277" i="103"/>
  <c r="S276" i="103"/>
  <c r="R276" i="103"/>
  <c r="Q276" i="103"/>
  <c r="S275" i="103"/>
  <c r="R275" i="103"/>
  <c r="T275" i="103" s="1"/>
  <c r="Q275" i="103"/>
  <c r="S273" i="103"/>
  <c r="R273" i="103"/>
  <c r="Q273" i="103"/>
  <c r="T273" i="103" s="1"/>
  <c r="S272" i="103"/>
  <c r="R272" i="103"/>
  <c r="Q272" i="103"/>
  <c r="T272" i="103" s="1"/>
  <c r="S271" i="103"/>
  <c r="R271" i="103"/>
  <c r="Q271" i="103"/>
  <c r="S270" i="103"/>
  <c r="R270" i="103"/>
  <c r="Q270" i="103"/>
  <c r="S269" i="103"/>
  <c r="R269" i="103"/>
  <c r="Q269" i="103"/>
  <c r="T269" i="103" s="1"/>
  <c r="S268" i="103"/>
  <c r="R268" i="103"/>
  <c r="Q268" i="103"/>
  <c r="T268" i="103" s="1"/>
  <c r="S266" i="103"/>
  <c r="R266" i="103"/>
  <c r="Q266" i="103"/>
  <c r="S265" i="103"/>
  <c r="R265" i="103"/>
  <c r="T265" i="103" s="1"/>
  <c r="Q265" i="103"/>
  <c r="S264" i="103"/>
  <c r="R264" i="103"/>
  <c r="Q264" i="103"/>
  <c r="S263" i="103"/>
  <c r="R263" i="103"/>
  <c r="Q263" i="103"/>
  <c r="S262" i="103"/>
  <c r="R262" i="103"/>
  <c r="Q262" i="103"/>
  <c r="S261" i="103"/>
  <c r="R261" i="103"/>
  <c r="T261" i="103" s="1"/>
  <c r="Q261" i="103"/>
  <c r="S259" i="103"/>
  <c r="R259" i="103"/>
  <c r="Q259" i="103"/>
  <c r="T259" i="103" s="1"/>
  <c r="S258" i="103"/>
  <c r="R258" i="103"/>
  <c r="Q258" i="103"/>
  <c r="T258" i="103" s="1"/>
  <c r="S257" i="103"/>
  <c r="R257" i="103"/>
  <c r="Q257" i="103"/>
  <c r="S256" i="103"/>
  <c r="R256" i="103"/>
  <c r="Q256" i="103"/>
  <c r="S255" i="103"/>
  <c r="R255" i="103"/>
  <c r="Q255" i="103"/>
  <c r="T255" i="103" s="1"/>
  <c r="S254" i="103"/>
  <c r="R254" i="103"/>
  <c r="Q254" i="103"/>
  <c r="T254" i="103" s="1"/>
  <c r="S252" i="103"/>
  <c r="R252" i="103"/>
  <c r="Q252" i="103"/>
  <c r="S251" i="103"/>
  <c r="R251" i="103"/>
  <c r="T251" i="103" s="1"/>
  <c r="Q251" i="103"/>
  <c r="S250" i="103"/>
  <c r="R250" i="103"/>
  <c r="Q250" i="103"/>
  <c r="S249" i="103"/>
  <c r="R249" i="103"/>
  <c r="Q249" i="103"/>
  <c r="S248" i="103"/>
  <c r="R248" i="103"/>
  <c r="Q248" i="103"/>
  <c r="S247" i="103"/>
  <c r="R247" i="103"/>
  <c r="T247" i="103" s="1"/>
  <c r="Q247" i="103"/>
  <c r="S245" i="103"/>
  <c r="R245" i="103"/>
  <c r="Q245" i="103"/>
  <c r="T245" i="103" s="1"/>
  <c r="S244" i="103"/>
  <c r="R244" i="103"/>
  <c r="Q244" i="103"/>
  <c r="T244" i="103" s="1"/>
  <c r="S243" i="103"/>
  <c r="R243" i="103"/>
  <c r="Q243" i="103"/>
  <c r="S242" i="103"/>
  <c r="R242" i="103"/>
  <c r="Q242" i="103"/>
  <c r="S241" i="103"/>
  <c r="R241" i="103"/>
  <c r="Q241" i="103"/>
  <c r="T241" i="103" s="1"/>
  <c r="S240" i="103"/>
  <c r="R240" i="103"/>
  <c r="Q240" i="103"/>
  <c r="T240" i="103" s="1"/>
  <c r="S238" i="103"/>
  <c r="R238" i="103"/>
  <c r="Q238" i="103"/>
  <c r="S237" i="103"/>
  <c r="R237" i="103"/>
  <c r="T237" i="103" s="1"/>
  <c r="Q237" i="103"/>
  <c r="S236" i="103"/>
  <c r="R236" i="103"/>
  <c r="Q236" i="103"/>
  <c r="S235" i="103"/>
  <c r="R235" i="103"/>
  <c r="Q235" i="103"/>
  <c r="S234" i="103"/>
  <c r="R234" i="103"/>
  <c r="Q234" i="103"/>
  <c r="S233" i="103"/>
  <c r="R233" i="103"/>
  <c r="T233" i="103" s="1"/>
  <c r="Q233" i="103"/>
  <c r="S231" i="103"/>
  <c r="R231" i="103"/>
  <c r="Q231" i="103"/>
  <c r="T231" i="103" s="1"/>
  <c r="S230" i="103"/>
  <c r="R230" i="103"/>
  <c r="Q230" i="103"/>
  <c r="T230" i="103" s="1"/>
  <c r="S229" i="103"/>
  <c r="R229" i="103"/>
  <c r="Q229" i="103"/>
  <c r="S228" i="103"/>
  <c r="R228" i="103"/>
  <c r="Q228" i="103"/>
  <c r="S227" i="103"/>
  <c r="R227" i="103"/>
  <c r="Q227" i="103"/>
  <c r="T227" i="103" s="1"/>
  <c r="S226" i="103"/>
  <c r="R226" i="103"/>
  <c r="Q226" i="103"/>
  <c r="T226" i="103" s="1"/>
  <c r="S224" i="103"/>
  <c r="R224" i="103"/>
  <c r="Q224" i="103"/>
  <c r="S223" i="103"/>
  <c r="R223" i="103"/>
  <c r="T223" i="103" s="1"/>
  <c r="Q223" i="103"/>
  <c r="S222" i="103"/>
  <c r="R222" i="103"/>
  <c r="Q222" i="103"/>
  <c r="S221" i="103"/>
  <c r="R221" i="103"/>
  <c r="Q221" i="103"/>
  <c r="S220" i="103"/>
  <c r="R220" i="103"/>
  <c r="Q220" i="103"/>
  <c r="S219" i="103"/>
  <c r="R219" i="103"/>
  <c r="T219" i="103" s="1"/>
  <c r="Q219" i="103"/>
  <c r="S217" i="103"/>
  <c r="R217" i="103"/>
  <c r="Q217" i="103"/>
  <c r="T217" i="103" s="1"/>
  <c r="S216" i="103"/>
  <c r="R216" i="103"/>
  <c r="Q216" i="103"/>
  <c r="T216" i="103" s="1"/>
  <c r="S215" i="103"/>
  <c r="R215" i="103"/>
  <c r="Q215" i="103"/>
  <c r="S214" i="103"/>
  <c r="R214" i="103"/>
  <c r="Q214" i="103"/>
  <c r="S213" i="103"/>
  <c r="R213" i="103"/>
  <c r="Q213" i="103"/>
  <c r="T213" i="103" s="1"/>
  <c r="S212" i="103"/>
  <c r="R212" i="103"/>
  <c r="Q212" i="103"/>
  <c r="T212" i="103" s="1"/>
  <c r="S210" i="103"/>
  <c r="R210" i="103"/>
  <c r="Q210" i="103"/>
  <c r="S209" i="103"/>
  <c r="R209" i="103"/>
  <c r="T209" i="103" s="1"/>
  <c r="Q209" i="103"/>
  <c r="S208" i="103"/>
  <c r="R208" i="103"/>
  <c r="Q208" i="103"/>
  <c r="S207" i="103"/>
  <c r="R207" i="103"/>
  <c r="Q207" i="103"/>
  <c r="S206" i="103"/>
  <c r="R206" i="103"/>
  <c r="Q206" i="103"/>
  <c r="S205" i="103"/>
  <c r="R205" i="103"/>
  <c r="T205" i="103" s="1"/>
  <c r="Q205" i="103"/>
  <c r="S203" i="103"/>
  <c r="R203" i="103"/>
  <c r="Q203" i="103"/>
  <c r="T203" i="103" s="1"/>
  <c r="S202" i="103"/>
  <c r="R202" i="103"/>
  <c r="Q202" i="103"/>
  <c r="T202" i="103" s="1"/>
  <c r="S201" i="103"/>
  <c r="R201" i="103"/>
  <c r="Q201" i="103"/>
  <c r="S200" i="103"/>
  <c r="R200" i="103"/>
  <c r="Q200" i="103"/>
  <c r="S199" i="103"/>
  <c r="R199" i="103"/>
  <c r="Q199" i="103"/>
  <c r="T199" i="103" s="1"/>
  <c r="S198" i="103"/>
  <c r="R198" i="103"/>
  <c r="Q198" i="103"/>
  <c r="T198" i="103" s="1"/>
  <c r="S196" i="103"/>
  <c r="R196" i="103"/>
  <c r="Q196" i="103"/>
  <c r="S195" i="103"/>
  <c r="R195" i="103"/>
  <c r="T195" i="103" s="1"/>
  <c r="Q195" i="103"/>
  <c r="S194" i="103"/>
  <c r="R194" i="103"/>
  <c r="Q194" i="103"/>
  <c r="S193" i="103"/>
  <c r="R193" i="103"/>
  <c r="Q193" i="103"/>
  <c r="S192" i="103"/>
  <c r="R192" i="103"/>
  <c r="Q192" i="103"/>
  <c r="S191" i="103"/>
  <c r="R191" i="103"/>
  <c r="T191" i="103" s="1"/>
  <c r="Q191" i="103"/>
  <c r="S189" i="103"/>
  <c r="R189" i="103"/>
  <c r="Q189" i="103"/>
  <c r="T189" i="103" s="1"/>
  <c r="S188" i="103"/>
  <c r="R188" i="103"/>
  <c r="Q188" i="103"/>
  <c r="T188" i="103" s="1"/>
  <c r="S187" i="103"/>
  <c r="R187" i="103"/>
  <c r="Q187" i="103"/>
  <c r="S186" i="103"/>
  <c r="R186" i="103"/>
  <c r="Q186" i="103"/>
  <c r="S185" i="103"/>
  <c r="R185" i="103"/>
  <c r="Q185" i="103"/>
  <c r="T185" i="103" s="1"/>
  <c r="S184" i="103"/>
  <c r="R184" i="103"/>
  <c r="Q184" i="103"/>
  <c r="S182" i="103"/>
  <c r="R182" i="103"/>
  <c r="Q182" i="103"/>
  <c r="S181" i="103"/>
  <c r="R181" i="103"/>
  <c r="T181" i="103" s="1"/>
  <c r="Q181" i="103"/>
  <c r="S180" i="103"/>
  <c r="R180" i="103"/>
  <c r="Q180" i="103"/>
  <c r="S179" i="103"/>
  <c r="R179" i="103"/>
  <c r="Q179" i="103"/>
  <c r="S178" i="103"/>
  <c r="R178" i="103"/>
  <c r="Q178" i="103"/>
  <c r="S177" i="103"/>
  <c r="R177" i="103"/>
  <c r="T177" i="103" s="1"/>
  <c r="Q177" i="103"/>
  <c r="S175" i="103"/>
  <c r="R175" i="103"/>
  <c r="Q175" i="103"/>
  <c r="T175" i="103" s="1"/>
  <c r="S174" i="103"/>
  <c r="R174" i="103"/>
  <c r="Q174" i="103"/>
  <c r="S173" i="103"/>
  <c r="R173" i="103"/>
  <c r="Q173" i="103"/>
  <c r="S172" i="103"/>
  <c r="R172" i="103"/>
  <c r="Q172" i="103"/>
  <c r="S171" i="103"/>
  <c r="R171" i="103"/>
  <c r="Q171" i="103"/>
  <c r="T171" i="103" s="1"/>
  <c r="S170" i="103"/>
  <c r="R170" i="103"/>
  <c r="Q170" i="103"/>
  <c r="S168" i="103"/>
  <c r="R168" i="103"/>
  <c r="Q168" i="103"/>
  <c r="S167" i="103"/>
  <c r="R167" i="103"/>
  <c r="T167" i="103" s="1"/>
  <c r="Q167" i="103"/>
  <c r="S166" i="103"/>
  <c r="R166" i="103"/>
  <c r="Q166" i="103"/>
  <c r="S165" i="103"/>
  <c r="R165" i="103"/>
  <c r="Q165" i="103"/>
  <c r="S164" i="103"/>
  <c r="R164" i="103"/>
  <c r="Q164" i="103"/>
  <c r="S163" i="103"/>
  <c r="R163" i="103"/>
  <c r="T163" i="103" s="1"/>
  <c r="Q163" i="103"/>
  <c r="S161" i="103"/>
  <c r="R161" i="103"/>
  <c r="Q161" i="103"/>
  <c r="T161" i="103" s="1"/>
  <c r="S160" i="103"/>
  <c r="R160" i="103"/>
  <c r="Q160" i="103"/>
  <c r="S159" i="103"/>
  <c r="R159" i="103"/>
  <c r="Q159" i="103"/>
  <c r="S158" i="103"/>
  <c r="R158" i="103"/>
  <c r="Q158" i="103"/>
  <c r="S157" i="103"/>
  <c r="R157" i="103"/>
  <c r="Q157" i="103"/>
  <c r="T157" i="103" s="1"/>
  <c r="S156" i="103"/>
  <c r="R156" i="103"/>
  <c r="Q156" i="103"/>
  <c r="S154" i="103"/>
  <c r="R154" i="103"/>
  <c r="Q154" i="103"/>
  <c r="S153" i="103"/>
  <c r="R153" i="103"/>
  <c r="T153" i="103" s="1"/>
  <c r="Q153" i="103"/>
  <c r="S152" i="103"/>
  <c r="R152" i="103"/>
  <c r="Q152" i="103"/>
  <c r="S151" i="103"/>
  <c r="R151" i="103"/>
  <c r="Q151" i="103"/>
  <c r="S150" i="103"/>
  <c r="R150" i="103"/>
  <c r="Q150" i="103"/>
  <c r="S149" i="103"/>
  <c r="R149" i="103"/>
  <c r="T149" i="103" s="1"/>
  <c r="Q149" i="103"/>
  <c r="S147" i="103"/>
  <c r="R147" i="103"/>
  <c r="Q147" i="103"/>
  <c r="T147" i="103" s="1"/>
  <c r="S146" i="103"/>
  <c r="R146" i="103"/>
  <c r="Q146" i="103"/>
  <c r="S145" i="103"/>
  <c r="R145" i="103"/>
  <c r="Q145" i="103"/>
  <c r="S144" i="103"/>
  <c r="R144" i="103"/>
  <c r="Q144" i="103"/>
  <c r="S143" i="103"/>
  <c r="R143" i="103"/>
  <c r="Q143" i="103"/>
  <c r="T143" i="103" s="1"/>
  <c r="S142" i="103"/>
  <c r="R142" i="103"/>
  <c r="Q142" i="103"/>
  <c r="S140" i="103"/>
  <c r="R140" i="103"/>
  <c r="Q140" i="103"/>
  <c r="S139" i="103"/>
  <c r="R139" i="103"/>
  <c r="T139" i="103" s="1"/>
  <c r="Q139" i="103"/>
  <c r="S138" i="103"/>
  <c r="R138" i="103"/>
  <c r="Q138" i="103"/>
  <c r="S137" i="103"/>
  <c r="R137" i="103"/>
  <c r="Q137" i="103"/>
  <c r="S136" i="103"/>
  <c r="R136" i="103"/>
  <c r="Q136" i="103"/>
  <c r="S135" i="103"/>
  <c r="R135" i="103"/>
  <c r="T135" i="103" s="1"/>
  <c r="Q135" i="103"/>
  <c r="S133" i="103"/>
  <c r="R133" i="103"/>
  <c r="Q133" i="103"/>
  <c r="T133" i="103" s="1"/>
  <c r="S132" i="103"/>
  <c r="R132" i="103"/>
  <c r="Q132" i="103"/>
  <c r="S131" i="103"/>
  <c r="R131" i="103"/>
  <c r="Q131" i="103"/>
  <c r="S130" i="103"/>
  <c r="R130" i="103"/>
  <c r="Q130" i="103"/>
  <c r="S129" i="103"/>
  <c r="R129" i="103"/>
  <c r="Q129" i="103"/>
  <c r="T129" i="103" s="1"/>
  <c r="S128" i="103"/>
  <c r="R128" i="103"/>
  <c r="Q128" i="103"/>
  <c r="S126" i="103"/>
  <c r="R126" i="103"/>
  <c r="Q126" i="103"/>
  <c r="S125" i="103"/>
  <c r="R125" i="103"/>
  <c r="T125" i="103" s="1"/>
  <c r="Q125" i="103"/>
  <c r="S124" i="103"/>
  <c r="R124" i="103"/>
  <c r="Q124" i="103"/>
  <c r="S123" i="103"/>
  <c r="R123" i="103"/>
  <c r="Q123" i="103"/>
  <c r="S122" i="103"/>
  <c r="R122" i="103"/>
  <c r="Q122" i="103"/>
  <c r="S121" i="103"/>
  <c r="R121" i="103"/>
  <c r="T121" i="103" s="1"/>
  <c r="Q121" i="103"/>
  <c r="S119" i="103"/>
  <c r="R119" i="103"/>
  <c r="Q119" i="103"/>
  <c r="T119" i="103" s="1"/>
  <c r="S118" i="103"/>
  <c r="R118" i="103"/>
  <c r="Q118" i="103"/>
  <c r="S117" i="103"/>
  <c r="R117" i="103"/>
  <c r="Q117" i="103"/>
  <c r="S116" i="103"/>
  <c r="R116" i="103"/>
  <c r="Q116" i="103"/>
  <c r="S115" i="103"/>
  <c r="R115" i="103"/>
  <c r="Q115" i="103"/>
  <c r="T115" i="103" s="1"/>
  <c r="S114" i="103"/>
  <c r="R114" i="103"/>
  <c r="Q114" i="103"/>
  <c r="S112" i="103"/>
  <c r="R112" i="103"/>
  <c r="Q112" i="103"/>
  <c r="S111" i="103"/>
  <c r="R111" i="103"/>
  <c r="T111" i="103" s="1"/>
  <c r="Q111" i="103"/>
  <c r="S110" i="103"/>
  <c r="R110" i="103"/>
  <c r="Q110" i="103"/>
  <c r="S109" i="103"/>
  <c r="R109" i="103"/>
  <c r="Q109" i="103"/>
  <c r="S108" i="103"/>
  <c r="R108" i="103"/>
  <c r="Q108" i="103"/>
  <c r="S107" i="103"/>
  <c r="R107" i="103"/>
  <c r="T107" i="103" s="1"/>
  <c r="Q107" i="103"/>
  <c r="S105" i="103"/>
  <c r="R105" i="103"/>
  <c r="Q105" i="103"/>
  <c r="T105" i="103" s="1"/>
  <c r="S104" i="103"/>
  <c r="R104" i="103"/>
  <c r="Q104" i="103"/>
  <c r="S103" i="103"/>
  <c r="R103" i="103"/>
  <c r="Q103" i="103"/>
  <c r="S102" i="103"/>
  <c r="R102" i="103"/>
  <c r="Q102" i="103"/>
  <c r="S101" i="103"/>
  <c r="R101" i="103"/>
  <c r="Q101" i="103"/>
  <c r="T101" i="103" s="1"/>
  <c r="S100" i="103"/>
  <c r="R100" i="103"/>
  <c r="Q100" i="103"/>
  <c r="S98" i="103"/>
  <c r="R98" i="103"/>
  <c r="Q98" i="103"/>
  <c r="S97" i="103"/>
  <c r="R97" i="103"/>
  <c r="T97" i="103" s="1"/>
  <c r="Q97" i="103"/>
  <c r="S96" i="103"/>
  <c r="R96" i="103"/>
  <c r="Q96" i="103"/>
  <c r="S95" i="103"/>
  <c r="R95" i="103"/>
  <c r="Q95" i="103"/>
  <c r="S94" i="103"/>
  <c r="R94" i="103"/>
  <c r="Q94" i="103"/>
  <c r="S93" i="103"/>
  <c r="R93" i="103"/>
  <c r="Q93" i="103"/>
  <c r="S91" i="103"/>
  <c r="R91" i="103"/>
  <c r="Q91" i="103"/>
  <c r="T91" i="103" s="1"/>
  <c r="S90" i="103"/>
  <c r="R90" i="103"/>
  <c r="Q90" i="103"/>
  <c r="S89" i="103"/>
  <c r="R89" i="103"/>
  <c r="Q89" i="103"/>
  <c r="S88" i="103"/>
  <c r="R88" i="103"/>
  <c r="Q88" i="103"/>
  <c r="S87" i="103"/>
  <c r="R87" i="103"/>
  <c r="Q87" i="103"/>
  <c r="T87" i="103" s="1"/>
  <c r="S86" i="103"/>
  <c r="R86" i="103"/>
  <c r="Q86" i="103"/>
  <c r="S84" i="103"/>
  <c r="R84" i="103"/>
  <c r="Q84" i="103"/>
  <c r="S83" i="103"/>
  <c r="R83" i="103"/>
  <c r="Q83" i="103"/>
  <c r="S82" i="103"/>
  <c r="R82" i="103"/>
  <c r="Q82" i="103"/>
  <c r="T82" i="103" s="1"/>
  <c r="S81" i="103"/>
  <c r="R81" i="103"/>
  <c r="Q81" i="103"/>
  <c r="S80" i="103"/>
  <c r="R80" i="103"/>
  <c r="Q80" i="103"/>
  <c r="S79" i="103"/>
  <c r="R79" i="103"/>
  <c r="Q79" i="103"/>
  <c r="S77" i="103"/>
  <c r="R77" i="103"/>
  <c r="Q77" i="103"/>
  <c r="S76" i="103"/>
  <c r="R76" i="103"/>
  <c r="Q76" i="103"/>
  <c r="S75" i="103"/>
  <c r="R75" i="103"/>
  <c r="Q75" i="103"/>
  <c r="S74" i="103"/>
  <c r="R74" i="103"/>
  <c r="T74" i="103" s="1"/>
  <c r="Q74" i="103"/>
  <c r="S73" i="103"/>
  <c r="R73" i="103"/>
  <c r="Q73" i="103"/>
  <c r="S72" i="103"/>
  <c r="R72" i="103"/>
  <c r="Q72" i="103"/>
  <c r="S70" i="103"/>
  <c r="R70" i="103"/>
  <c r="Q70" i="103"/>
  <c r="S69" i="103"/>
  <c r="R69" i="103"/>
  <c r="Q69" i="103"/>
  <c r="S68" i="103"/>
  <c r="R68" i="103"/>
  <c r="Q68" i="103"/>
  <c r="T68" i="103" s="1"/>
  <c r="S67" i="103"/>
  <c r="R67" i="103"/>
  <c r="Q67" i="103"/>
  <c r="S66" i="103"/>
  <c r="R66" i="103"/>
  <c r="Q66" i="103"/>
  <c r="S65" i="103"/>
  <c r="R65" i="103"/>
  <c r="Q65" i="103"/>
  <c r="S63" i="103"/>
  <c r="R63" i="103"/>
  <c r="Q63" i="103"/>
  <c r="S62" i="103"/>
  <c r="R62" i="103"/>
  <c r="Q62" i="103"/>
  <c r="S61" i="103"/>
  <c r="R61" i="103"/>
  <c r="Q61" i="103"/>
  <c r="S60" i="103"/>
  <c r="R60" i="103"/>
  <c r="T60" i="103" s="1"/>
  <c r="Q60" i="103"/>
  <c r="S59" i="103"/>
  <c r="R59" i="103"/>
  <c r="Q59" i="103"/>
  <c r="S58" i="103"/>
  <c r="R58" i="103"/>
  <c r="Q58" i="103"/>
  <c r="S56" i="103"/>
  <c r="R56" i="103"/>
  <c r="Q56" i="103"/>
  <c r="S55" i="103"/>
  <c r="R55" i="103"/>
  <c r="T55" i="103" s="1"/>
  <c r="Q55" i="103"/>
  <c r="S54" i="103"/>
  <c r="R54" i="103"/>
  <c r="Q54" i="103"/>
  <c r="S53" i="103"/>
  <c r="R53" i="103"/>
  <c r="Q53" i="103"/>
  <c r="S52" i="103"/>
  <c r="R52" i="103"/>
  <c r="Q52" i="103"/>
  <c r="S51" i="103"/>
  <c r="R51" i="103"/>
  <c r="T51" i="103" s="1"/>
  <c r="Q51" i="103"/>
  <c r="S49" i="103"/>
  <c r="R49" i="103"/>
  <c r="Q49" i="103"/>
  <c r="S48" i="103"/>
  <c r="R48" i="103"/>
  <c r="Q48" i="103"/>
  <c r="S47" i="103"/>
  <c r="R47" i="103"/>
  <c r="Q47" i="103"/>
  <c r="S46" i="103"/>
  <c r="R46" i="103"/>
  <c r="T46" i="103" s="1"/>
  <c r="Q46" i="103"/>
  <c r="S45" i="103"/>
  <c r="R45" i="103"/>
  <c r="Q45" i="103"/>
  <c r="S44" i="103"/>
  <c r="R44" i="103"/>
  <c r="Q44" i="103"/>
  <c r="S42" i="103"/>
  <c r="R42" i="103"/>
  <c r="Q42" i="103"/>
  <c r="S41" i="103"/>
  <c r="R41" i="103"/>
  <c r="T41" i="103" s="1"/>
  <c r="Q41" i="103"/>
  <c r="S40" i="103"/>
  <c r="R40" i="103"/>
  <c r="Q40" i="103"/>
  <c r="S39" i="103"/>
  <c r="R39" i="103"/>
  <c r="Q39" i="103"/>
  <c r="S38" i="103"/>
  <c r="R38" i="103"/>
  <c r="Q38" i="103"/>
  <c r="S37" i="103"/>
  <c r="R37" i="103"/>
  <c r="T37" i="103" s="1"/>
  <c r="Q37" i="103"/>
  <c r="S35" i="103"/>
  <c r="R35" i="103"/>
  <c r="Q35" i="103"/>
  <c r="S34" i="103"/>
  <c r="R34" i="103"/>
  <c r="Q34" i="103"/>
  <c r="S33" i="103"/>
  <c r="R33" i="103"/>
  <c r="Q33" i="103"/>
  <c r="S32" i="103"/>
  <c r="R32" i="103"/>
  <c r="T32" i="103" s="1"/>
  <c r="Q32" i="103"/>
  <c r="S31" i="103"/>
  <c r="R31" i="103"/>
  <c r="Q31" i="103"/>
  <c r="S30" i="103"/>
  <c r="R30" i="103"/>
  <c r="Q30" i="103"/>
  <c r="S28" i="103"/>
  <c r="R28" i="103"/>
  <c r="Q28" i="103"/>
  <c r="S27" i="103"/>
  <c r="R27" i="103"/>
  <c r="T27" i="103" s="1"/>
  <c r="Q27" i="103"/>
  <c r="S26" i="103"/>
  <c r="R26" i="103"/>
  <c r="Q26" i="103"/>
  <c r="S25" i="103"/>
  <c r="R25" i="103"/>
  <c r="Q25" i="103"/>
  <c r="S24" i="103"/>
  <c r="R24" i="103"/>
  <c r="Q24" i="103"/>
  <c r="S23" i="103"/>
  <c r="R23" i="103"/>
  <c r="T23" i="103" s="1"/>
  <c r="Q23" i="103"/>
  <c r="S21" i="103"/>
  <c r="R21" i="103"/>
  <c r="Q21" i="103"/>
  <c r="S20" i="103"/>
  <c r="R20" i="103"/>
  <c r="Q20" i="103"/>
  <c r="S19" i="103"/>
  <c r="R19" i="103"/>
  <c r="Q19" i="103"/>
  <c r="S18" i="103"/>
  <c r="R18" i="103"/>
  <c r="T18" i="103" s="1"/>
  <c r="Q18" i="103"/>
  <c r="S17" i="103"/>
  <c r="R17" i="103"/>
  <c r="Q17" i="103"/>
  <c r="S16" i="103"/>
  <c r="R16" i="103"/>
  <c r="Q16" i="103"/>
  <c r="Q12" i="103"/>
  <c r="R12" i="103"/>
  <c r="S12" i="103"/>
  <c r="Q13" i="103"/>
  <c r="R13" i="103"/>
  <c r="S13" i="103"/>
  <c r="Q14" i="103"/>
  <c r="R14" i="103"/>
  <c r="S14" i="103"/>
  <c r="S11" i="103"/>
  <c r="R11" i="103"/>
  <c r="Q11" i="103"/>
  <c r="S10" i="103"/>
  <c r="R10" i="103"/>
  <c r="Q10" i="103"/>
  <c r="S9" i="103"/>
  <c r="R9" i="103"/>
  <c r="Q9" i="103"/>
  <c r="S207" i="142"/>
  <c r="R207" i="142"/>
  <c r="Q207" i="142"/>
  <c r="S206" i="142"/>
  <c r="R206" i="142"/>
  <c r="Q206" i="142"/>
  <c r="S205" i="142"/>
  <c r="R205" i="142"/>
  <c r="Q205" i="142"/>
  <c r="S204" i="142"/>
  <c r="R204" i="142"/>
  <c r="Q204" i="142"/>
  <c r="S202" i="142"/>
  <c r="R202" i="142"/>
  <c r="Q202" i="142"/>
  <c r="S201" i="142"/>
  <c r="R201" i="142"/>
  <c r="Q201" i="142"/>
  <c r="S200" i="142"/>
  <c r="R200" i="142"/>
  <c r="Q200" i="142"/>
  <c r="S199" i="142"/>
  <c r="R199" i="142"/>
  <c r="Q199" i="142"/>
  <c r="S197" i="142"/>
  <c r="R197" i="142"/>
  <c r="Q197" i="142"/>
  <c r="S196" i="142"/>
  <c r="R196" i="142"/>
  <c r="Q196" i="142"/>
  <c r="S195" i="142"/>
  <c r="R195" i="142"/>
  <c r="Q195" i="142"/>
  <c r="S194" i="142"/>
  <c r="R194" i="142"/>
  <c r="Q194" i="142"/>
  <c r="S192" i="142"/>
  <c r="R192" i="142"/>
  <c r="Q192" i="142"/>
  <c r="S191" i="142"/>
  <c r="R191" i="142"/>
  <c r="Q191" i="142"/>
  <c r="S190" i="142"/>
  <c r="R190" i="142"/>
  <c r="Q190" i="142"/>
  <c r="S189" i="142"/>
  <c r="R189" i="142"/>
  <c r="Q189" i="142"/>
  <c r="S187" i="142"/>
  <c r="R187" i="142"/>
  <c r="Q187" i="142"/>
  <c r="S186" i="142"/>
  <c r="R186" i="142"/>
  <c r="Q186" i="142"/>
  <c r="S185" i="142"/>
  <c r="R185" i="142"/>
  <c r="Q185" i="142"/>
  <c r="S184" i="142"/>
  <c r="R184" i="142"/>
  <c r="Q184" i="142"/>
  <c r="S182" i="142"/>
  <c r="R182" i="142"/>
  <c r="Q182" i="142"/>
  <c r="S181" i="142"/>
  <c r="R181" i="142"/>
  <c r="Q181" i="142"/>
  <c r="S180" i="142"/>
  <c r="R180" i="142"/>
  <c r="Q180" i="142"/>
  <c r="S179" i="142"/>
  <c r="R179" i="142"/>
  <c r="Q179" i="142"/>
  <c r="S177" i="142"/>
  <c r="R177" i="142"/>
  <c r="Q177" i="142"/>
  <c r="S176" i="142"/>
  <c r="R176" i="142"/>
  <c r="Q176" i="142"/>
  <c r="S175" i="142"/>
  <c r="R175" i="142"/>
  <c r="Q175" i="142"/>
  <c r="S174" i="142"/>
  <c r="R174" i="142"/>
  <c r="Q174" i="142"/>
  <c r="T174" i="142" s="1"/>
  <c r="S172" i="142"/>
  <c r="R172" i="142"/>
  <c r="Q172" i="142"/>
  <c r="S171" i="142"/>
  <c r="R171" i="142"/>
  <c r="Q171" i="142"/>
  <c r="S170" i="142"/>
  <c r="R170" i="142"/>
  <c r="T170" i="142" s="1"/>
  <c r="Q170" i="142"/>
  <c r="S169" i="142"/>
  <c r="R169" i="142"/>
  <c r="Q169" i="142"/>
  <c r="S167" i="142"/>
  <c r="R167" i="142"/>
  <c r="Q167" i="142"/>
  <c r="S166" i="142"/>
  <c r="R166" i="142"/>
  <c r="Q166" i="142"/>
  <c r="S165" i="142"/>
  <c r="R165" i="142"/>
  <c r="Q165" i="142"/>
  <c r="S164" i="142"/>
  <c r="R164" i="142"/>
  <c r="Q164" i="142"/>
  <c r="T164" i="142" s="1"/>
  <c r="S162" i="142"/>
  <c r="R162" i="142"/>
  <c r="Q162" i="142"/>
  <c r="S161" i="142"/>
  <c r="R161" i="142"/>
  <c r="Q161" i="142"/>
  <c r="S160" i="142"/>
  <c r="R160" i="142"/>
  <c r="T160" i="142" s="1"/>
  <c r="Q160" i="142"/>
  <c r="S159" i="142"/>
  <c r="R159" i="142"/>
  <c r="Q159" i="142"/>
  <c r="S157" i="142"/>
  <c r="R157" i="142"/>
  <c r="Q157" i="142"/>
  <c r="S156" i="142"/>
  <c r="R156" i="142"/>
  <c r="Q156" i="142"/>
  <c r="S155" i="142"/>
  <c r="R155" i="142"/>
  <c r="T155" i="142" s="1"/>
  <c r="Q155" i="142"/>
  <c r="S154" i="142"/>
  <c r="R154" i="142"/>
  <c r="Q154" i="142"/>
  <c r="S152" i="142"/>
  <c r="R152" i="142"/>
  <c r="Q152" i="142"/>
  <c r="S151" i="142"/>
  <c r="R151" i="142"/>
  <c r="Q151" i="142"/>
  <c r="S150" i="142"/>
  <c r="R150" i="142"/>
  <c r="Q150" i="142"/>
  <c r="S149" i="142"/>
  <c r="R149" i="142"/>
  <c r="Q149" i="142"/>
  <c r="T149" i="142" s="1"/>
  <c r="S147" i="142"/>
  <c r="R147" i="142"/>
  <c r="Q147" i="142"/>
  <c r="S146" i="142"/>
  <c r="R146" i="142"/>
  <c r="Q146" i="142"/>
  <c r="S145" i="142"/>
  <c r="R145" i="142"/>
  <c r="T145" i="142" s="1"/>
  <c r="Q145" i="142"/>
  <c r="S144" i="142"/>
  <c r="R144" i="142"/>
  <c r="Q144" i="142"/>
  <c r="S142" i="142"/>
  <c r="R142" i="142"/>
  <c r="Q142" i="142"/>
  <c r="T142" i="142" s="1"/>
  <c r="S141" i="142"/>
  <c r="R141" i="142"/>
  <c r="Q141" i="142"/>
  <c r="S140" i="142"/>
  <c r="R140" i="142"/>
  <c r="Q140" i="142"/>
  <c r="S139" i="142"/>
  <c r="R139" i="142"/>
  <c r="Q139" i="142"/>
  <c r="S137" i="142"/>
  <c r="R137" i="142"/>
  <c r="Q137" i="142"/>
  <c r="S136" i="142"/>
  <c r="R136" i="142"/>
  <c r="Q136" i="142"/>
  <c r="S135" i="142"/>
  <c r="R135" i="142"/>
  <c r="Q135" i="142"/>
  <c r="S134" i="142"/>
  <c r="R134" i="142"/>
  <c r="Q134" i="142"/>
  <c r="S132" i="142"/>
  <c r="R132" i="142"/>
  <c r="Q132" i="142"/>
  <c r="S131" i="142"/>
  <c r="R131" i="142"/>
  <c r="Q131" i="142"/>
  <c r="S130" i="142"/>
  <c r="R130" i="142"/>
  <c r="Q130" i="142"/>
  <c r="S129" i="142"/>
  <c r="R129" i="142"/>
  <c r="Q129" i="142"/>
  <c r="S127" i="142"/>
  <c r="R127" i="142"/>
  <c r="Q127" i="142"/>
  <c r="T127" i="142" s="1"/>
  <c r="S126" i="142"/>
  <c r="R126" i="142"/>
  <c r="Q126" i="142"/>
  <c r="S125" i="142"/>
  <c r="R125" i="142"/>
  <c r="Q125" i="142"/>
  <c r="S124" i="142"/>
  <c r="R124" i="142"/>
  <c r="Q124" i="142"/>
  <c r="S122" i="142"/>
  <c r="R122" i="142"/>
  <c r="Q122" i="142"/>
  <c r="S121" i="142"/>
  <c r="R121" i="142"/>
  <c r="Q121" i="142"/>
  <c r="S120" i="142"/>
  <c r="R120" i="142"/>
  <c r="Q120" i="142"/>
  <c r="S119" i="142"/>
  <c r="R119" i="142"/>
  <c r="Q119" i="142"/>
  <c r="S117" i="142"/>
  <c r="R117" i="142"/>
  <c r="Q117" i="142"/>
  <c r="T117" i="142" s="1"/>
  <c r="S116" i="142"/>
  <c r="R116" i="142"/>
  <c r="Q116" i="142"/>
  <c r="S115" i="142"/>
  <c r="R115" i="142"/>
  <c r="Q115" i="142"/>
  <c r="S114" i="142"/>
  <c r="R114" i="142"/>
  <c r="Q114" i="142"/>
  <c r="S112" i="142"/>
  <c r="R112" i="142"/>
  <c r="Q112" i="142"/>
  <c r="S111" i="142"/>
  <c r="R111" i="142"/>
  <c r="Q111" i="142"/>
  <c r="S110" i="142"/>
  <c r="R110" i="142"/>
  <c r="Q110" i="142"/>
  <c r="S109" i="142"/>
  <c r="R109" i="142"/>
  <c r="Q109" i="142"/>
  <c r="T109" i="142" s="1"/>
  <c r="S107" i="142"/>
  <c r="R107" i="142"/>
  <c r="Q107" i="142"/>
  <c r="S106" i="142"/>
  <c r="R106" i="142"/>
  <c r="Q106" i="142"/>
  <c r="S105" i="142"/>
  <c r="R105" i="142"/>
  <c r="T105" i="142" s="1"/>
  <c r="Q105" i="142"/>
  <c r="S104" i="142"/>
  <c r="R104" i="142"/>
  <c r="Q104" i="142"/>
  <c r="S102" i="142"/>
  <c r="R102" i="142"/>
  <c r="Q102" i="142"/>
  <c r="S101" i="142"/>
  <c r="R101" i="142"/>
  <c r="Q101" i="142"/>
  <c r="S100" i="142"/>
  <c r="R100" i="142"/>
  <c r="Q100" i="142"/>
  <c r="S99" i="142"/>
  <c r="R99" i="142"/>
  <c r="Q99" i="142"/>
  <c r="T99" i="142" s="1"/>
  <c r="S97" i="142"/>
  <c r="R97" i="142"/>
  <c r="Q97" i="142"/>
  <c r="S96" i="142"/>
  <c r="R96" i="142"/>
  <c r="Q96" i="142"/>
  <c r="S95" i="142"/>
  <c r="R95" i="142"/>
  <c r="T95" i="142" s="1"/>
  <c r="Q95" i="142"/>
  <c r="S94" i="142"/>
  <c r="R94" i="142"/>
  <c r="Q94" i="142"/>
  <c r="S92" i="142"/>
  <c r="R92" i="142"/>
  <c r="Q92" i="142"/>
  <c r="S91" i="142"/>
  <c r="R91" i="142"/>
  <c r="Q91" i="142"/>
  <c r="S90" i="142"/>
  <c r="R90" i="142"/>
  <c r="Q90" i="142"/>
  <c r="S89" i="142"/>
  <c r="R89" i="142"/>
  <c r="Q89" i="142"/>
  <c r="T89" i="142" s="1"/>
  <c r="S87" i="142"/>
  <c r="R87" i="142"/>
  <c r="Q87" i="142"/>
  <c r="S86" i="142"/>
  <c r="R86" i="142"/>
  <c r="Q86" i="142"/>
  <c r="S85" i="142"/>
  <c r="R85" i="142"/>
  <c r="T85" i="142" s="1"/>
  <c r="Q85" i="142"/>
  <c r="S84" i="142"/>
  <c r="R84" i="142"/>
  <c r="Q84" i="142"/>
  <c r="S82" i="142"/>
  <c r="R82" i="142"/>
  <c r="Q82" i="142"/>
  <c r="S81" i="142"/>
  <c r="R81" i="142"/>
  <c r="Q81" i="142"/>
  <c r="S80" i="142"/>
  <c r="R80" i="142"/>
  <c r="T80" i="142" s="1"/>
  <c r="Q80" i="142"/>
  <c r="S79" i="142"/>
  <c r="R79" i="142"/>
  <c r="Q79" i="142"/>
  <c r="S77" i="142"/>
  <c r="R77" i="142"/>
  <c r="Q77" i="142"/>
  <c r="S76" i="142"/>
  <c r="R76" i="142"/>
  <c r="Q76" i="142"/>
  <c r="S75" i="142"/>
  <c r="R75" i="142"/>
  <c r="Q75" i="142"/>
  <c r="S74" i="142"/>
  <c r="R74" i="142"/>
  <c r="Q74" i="142"/>
  <c r="T74" i="142" s="1"/>
  <c r="S72" i="142"/>
  <c r="R72" i="142"/>
  <c r="Q72" i="142"/>
  <c r="S71" i="142"/>
  <c r="R71" i="142"/>
  <c r="Q71" i="142"/>
  <c r="S70" i="142"/>
  <c r="R70" i="142"/>
  <c r="T70" i="142" s="1"/>
  <c r="Q70" i="142"/>
  <c r="S69" i="142"/>
  <c r="R69" i="142"/>
  <c r="Q69" i="142"/>
  <c r="S67" i="142"/>
  <c r="R67" i="142"/>
  <c r="Q67" i="142"/>
  <c r="S66" i="142"/>
  <c r="R66" i="142"/>
  <c r="Q66" i="142"/>
  <c r="S65" i="142"/>
  <c r="R65" i="142"/>
  <c r="Q65" i="142"/>
  <c r="S64" i="142"/>
  <c r="R64" i="142"/>
  <c r="Q64" i="142"/>
  <c r="T64" i="142" s="1"/>
  <c r="S62" i="142"/>
  <c r="R62" i="142"/>
  <c r="Q62" i="142"/>
  <c r="S61" i="142"/>
  <c r="R61" i="142"/>
  <c r="Q61" i="142"/>
  <c r="S60" i="142"/>
  <c r="R60" i="142"/>
  <c r="T60" i="142" s="1"/>
  <c r="Q60" i="142"/>
  <c r="S59" i="142"/>
  <c r="R59" i="142"/>
  <c r="Q59" i="142"/>
  <c r="S57" i="142"/>
  <c r="R57" i="142"/>
  <c r="Q57" i="142"/>
  <c r="S56" i="142"/>
  <c r="R56" i="142"/>
  <c r="Q56" i="142"/>
  <c r="S55" i="142"/>
  <c r="R55" i="142"/>
  <c r="Q55" i="142"/>
  <c r="S54" i="142"/>
  <c r="R54" i="142"/>
  <c r="Q54" i="142"/>
  <c r="T54" i="142" s="1"/>
  <c r="S52" i="142"/>
  <c r="R52" i="142"/>
  <c r="Q52" i="142"/>
  <c r="S51" i="142"/>
  <c r="R51" i="142"/>
  <c r="Q51" i="142"/>
  <c r="S50" i="142"/>
  <c r="R50" i="142"/>
  <c r="T50" i="142" s="1"/>
  <c r="Q50" i="142"/>
  <c r="S49" i="142"/>
  <c r="R49" i="142"/>
  <c r="Q49" i="142"/>
  <c r="S47" i="142"/>
  <c r="R47" i="142"/>
  <c r="Q47" i="142"/>
  <c r="S46" i="142"/>
  <c r="R46" i="142"/>
  <c r="Q46" i="142"/>
  <c r="S45" i="142"/>
  <c r="R45" i="142"/>
  <c r="Q45" i="142"/>
  <c r="S44" i="142"/>
  <c r="R44" i="142"/>
  <c r="Q44" i="142"/>
  <c r="T44" i="142" s="1"/>
  <c r="S42" i="142"/>
  <c r="R42" i="142"/>
  <c r="Q42" i="142"/>
  <c r="S41" i="142"/>
  <c r="R41" i="142"/>
  <c r="Q41" i="142"/>
  <c r="S40" i="142"/>
  <c r="R40" i="142"/>
  <c r="T40" i="142" s="1"/>
  <c r="Q40" i="142"/>
  <c r="S39" i="142"/>
  <c r="R39" i="142"/>
  <c r="Q39" i="142"/>
  <c r="S37" i="142"/>
  <c r="R37" i="142"/>
  <c r="Q37" i="142"/>
  <c r="S36" i="142"/>
  <c r="R36" i="142"/>
  <c r="Q36" i="142"/>
  <c r="S35" i="142"/>
  <c r="R35" i="142"/>
  <c r="Q35" i="142"/>
  <c r="S34" i="142"/>
  <c r="R34" i="142"/>
  <c r="Q34" i="142"/>
  <c r="T34" i="142" s="1"/>
  <c r="S32" i="142"/>
  <c r="R32" i="142"/>
  <c r="Q32" i="142"/>
  <c r="S31" i="142"/>
  <c r="R31" i="142"/>
  <c r="Q31" i="142"/>
  <c r="S30" i="142"/>
  <c r="R30" i="142"/>
  <c r="T30" i="142" s="1"/>
  <c r="Q30" i="142"/>
  <c r="S29" i="142"/>
  <c r="R29" i="142"/>
  <c r="Q29" i="142"/>
  <c r="S27" i="142"/>
  <c r="R27" i="142"/>
  <c r="Q27" i="142"/>
  <c r="S26" i="142"/>
  <c r="R26" i="142"/>
  <c r="Q26" i="142"/>
  <c r="S25" i="142"/>
  <c r="R25" i="142"/>
  <c r="T25" i="142" s="1"/>
  <c r="Q25" i="142"/>
  <c r="S24" i="142"/>
  <c r="R24" i="142"/>
  <c r="Q24" i="142"/>
  <c r="S22" i="142"/>
  <c r="R22" i="142"/>
  <c r="Q22" i="142"/>
  <c r="S21" i="142"/>
  <c r="R21" i="142"/>
  <c r="Q21" i="142"/>
  <c r="S20" i="142"/>
  <c r="R20" i="142"/>
  <c r="T20" i="142" s="1"/>
  <c r="Q20" i="142"/>
  <c r="S19" i="142"/>
  <c r="R19" i="142"/>
  <c r="Q19" i="142"/>
  <c r="S17" i="142"/>
  <c r="R17" i="142"/>
  <c r="Q17" i="142"/>
  <c r="S16" i="142"/>
  <c r="R16" i="142"/>
  <c r="Q16" i="142"/>
  <c r="S15" i="142"/>
  <c r="R15" i="142"/>
  <c r="T15" i="142" s="1"/>
  <c r="Q15" i="142"/>
  <c r="S14" i="142"/>
  <c r="R14" i="142"/>
  <c r="Q14" i="142"/>
  <c r="S12" i="142"/>
  <c r="R12" i="142"/>
  <c r="Q12" i="142"/>
  <c r="S11" i="142"/>
  <c r="R11" i="142"/>
  <c r="Q11" i="142"/>
  <c r="S10" i="142"/>
  <c r="R10" i="142"/>
  <c r="Q10" i="142"/>
  <c r="S9" i="142"/>
  <c r="R9" i="142"/>
  <c r="Q9" i="142"/>
  <c r="T17" i="142" l="1"/>
  <c r="T22" i="142"/>
  <c r="T27" i="142"/>
  <c r="T32" i="142"/>
  <c r="T36" i="142"/>
  <c r="T42" i="142"/>
  <c r="T46" i="142"/>
  <c r="T52" i="142"/>
  <c r="T56" i="142"/>
  <c r="T62" i="142"/>
  <c r="T66" i="142"/>
  <c r="T72" i="142"/>
  <c r="T76" i="142"/>
  <c r="T82" i="142"/>
  <c r="T87" i="142"/>
  <c r="T91" i="142"/>
  <c r="T97" i="142"/>
  <c r="T101" i="142"/>
  <c r="T107" i="142"/>
  <c r="T147" i="142"/>
  <c r="T151" i="142"/>
  <c r="T157" i="142"/>
  <c r="T162" i="142"/>
  <c r="T166" i="142"/>
  <c r="T172" i="142"/>
  <c r="T176" i="142"/>
  <c r="T182" i="142"/>
  <c r="T187" i="142"/>
  <c r="T191" i="142"/>
  <c r="T197" i="142"/>
  <c r="T201" i="142"/>
  <c r="T207" i="142"/>
  <c r="T17" i="103"/>
  <c r="T21" i="103"/>
  <c r="T26" i="103"/>
  <c r="T31" i="103"/>
  <c r="T35" i="103"/>
  <c r="T40" i="103"/>
  <c r="T45" i="103"/>
  <c r="T49" i="103"/>
  <c r="T54" i="103"/>
  <c r="T59" i="103"/>
  <c r="T63" i="103"/>
  <c r="T67" i="103"/>
  <c r="T73" i="103"/>
  <c r="T77" i="103"/>
  <c r="T81" i="103"/>
  <c r="T86" i="103"/>
  <c r="T90" i="103"/>
  <c r="T96" i="103"/>
  <c r="T100" i="103"/>
  <c r="T104" i="103"/>
  <c r="T110" i="103"/>
  <c r="T114" i="103"/>
  <c r="T118" i="103"/>
  <c r="T124" i="103"/>
  <c r="T128" i="103"/>
  <c r="T132" i="103"/>
  <c r="T138" i="103"/>
  <c r="T142" i="103"/>
  <c r="T146" i="103"/>
  <c r="T152" i="103"/>
  <c r="T156" i="103"/>
  <c r="T160" i="103"/>
  <c r="T166" i="103"/>
  <c r="T170" i="103"/>
  <c r="T174" i="103"/>
  <c r="T180" i="103"/>
  <c r="T184" i="103"/>
  <c r="T194" i="103"/>
  <c r="T111" i="142"/>
  <c r="T115" i="142"/>
  <c r="T121" i="142"/>
  <c r="T125" i="142"/>
  <c r="T131" i="142"/>
  <c r="T136" i="142"/>
  <c r="T140" i="142"/>
  <c r="T16" i="103"/>
  <c r="T20" i="103"/>
  <c r="T25" i="103"/>
  <c r="T30" i="103"/>
  <c r="T34" i="103"/>
  <c r="T39" i="103"/>
  <c r="T44" i="103"/>
  <c r="T48" i="103"/>
  <c r="T53" i="103"/>
  <c r="T58" i="103"/>
  <c r="T62" i="103"/>
  <c r="T66" i="103"/>
  <c r="T70" i="103"/>
  <c r="T72" i="103"/>
  <c r="T76" i="103"/>
  <c r="T80" i="103"/>
  <c r="T89" i="103"/>
  <c r="T95" i="103"/>
  <c r="T103" i="103"/>
  <c r="T109" i="103"/>
  <c r="T113" i="103" s="1"/>
  <c r="AJ107" i="103" s="1"/>
  <c r="T117" i="103"/>
  <c r="T123" i="103"/>
  <c r="T131" i="103"/>
  <c r="T137" i="103"/>
  <c r="T145" i="103"/>
  <c r="T151" i="103"/>
  <c r="T159" i="103"/>
  <c r="T165" i="103"/>
  <c r="T169" i="103" s="1"/>
  <c r="AJ163" i="103" s="1"/>
  <c r="T173" i="103"/>
  <c r="T179" i="103"/>
  <c r="T180" i="142"/>
  <c r="T185" i="142"/>
  <c r="T189" i="142"/>
  <c r="T195" i="142"/>
  <c r="T199" i="142"/>
  <c r="T205" i="142"/>
  <c r="T19" i="103"/>
  <c r="T24" i="103"/>
  <c r="T28" i="103"/>
  <c r="T33" i="103"/>
  <c r="T38" i="103"/>
  <c r="T42" i="103"/>
  <c r="T47" i="103"/>
  <c r="T52" i="103"/>
  <c r="T56" i="103"/>
  <c r="T61" i="103"/>
  <c r="T65" i="103"/>
  <c r="T69" i="103"/>
  <c r="T75" i="103"/>
  <c r="T79" i="103"/>
  <c r="T83" i="103"/>
  <c r="T84" i="103"/>
  <c r="T88" i="103"/>
  <c r="T93" i="103"/>
  <c r="T94" i="103"/>
  <c r="T98" i="103"/>
  <c r="T102" i="103"/>
  <c r="T108" i="103"/>
  <c r="T112" i="103"/>
  <c r="T116" i="103"/>
  <c r="T122" i="103"/>
  <c r="T127" i="103" s="1"/>
  <c r="AJ121" i="103" s="1"/>
  <c r="T126" i="103"/>
  <c r="T130" i="103"/>
  <c r="T136" i="103"/>
  <c r="T140" i="103"/>
  <c r="T144" i="103"/>
  <c r="T150" i="103"/>
  <c r="T154" i="103"/>
  <c r="T158" i="103"/>
  <c r="T164" i="103"/>
  <c r="T168" i="103"/>
  <c r="T172" i="103"/>
  <c r="T178" i="103"/>
  <c r="T183" i="103" s="1"/>
  <c r="AJ177" i="103" s="1"/>
  <c r="T182" i="103"/>
  <c r="T119" i="142"/>
  <c r="T129" i="142"/>
  <c r="T134" i="142"/>
  <c r="T141" i="103"/>
  <c r="AJ135" i="103" s="1"/>
  <c r="T155" i="103"/>
  <c r="AJ149" i="103" s="1"/>
  <c r="T197" i="103"/>
  <c r="AJ191" i="103" s="1"/>
  <c r="T186" i="103"/>
  <c r="T192" i="103"/>
  <c r="T196" i="103"/>
  <c r="T200" i="103"/>
  <c r="T206" i="103"/>
  <c r="T211" i="103" s="1"/>
  <c r="AJ205" i="103" s="1"/>
  <c r="T210" i="103"/>
  <c r="T214" i="103"/>
  <c r="T220" i="103"/>
  <c r="T225" i="103" s="1"/>
  <c r="AJ219" i="103" s="1"/>
  <c r="T224" i="103"/>
  <c r="T228" i="103"/>
  <c r="T234" i="103"/>
  <c r="T238" i="103"/>
  <c r="T242" i="103"/>
  <c r="T248" i="103"/>
  <c r="T252" i="103"/>
  <c r="T256" i="103"/>
  <c r="T262" i="103"/>
  <c r="T267" i="103" s="1"/>
  <c r="AJ261" i="103" s="1"/>
  <c r="T266" i="103"/>
  <c r="T270" i="103"/>
  <c r="T276" i="103"/>
  <c r="T281" i="103" s="1"/>
  <c r="AJ275" i="103" s="1"/>
  <c r="T280" i="103"/>
  <c r="T284" i="103"/>
  <c r="T13" i="114"/>
  <c r="T17" i="114"/>
  <c r="T22" i="114"/>
  <c r="T27" i="114"/>
  <c r="T32" i="114"/>
  <c r="T37" i="114"/>
  <c r="T41" i="114"/>
  <c r="T46" i="114"/>
  <c r="T51" i="114"/>
  <c r="T56" i="114"/>
  <c r="T61" i="114"/>
  <c r="T65" i="114"/>
  <c r="T70" i="114"/>
  <c r="T74" i="114"/>
  <c r="T80" i="114"/>
  <c r="T88" i="114"/>
  <c r="T94" i="114"/>
  <c r="T98" i="114"/>
  <c r="T102" i="114" s="1"/>
  <c r="T104" i="114"/>
  <c r="T108" i="114" s="1"/>
  <c r="T112" i="114"/>
  <c r="T118" i="114"/>
  <c r="T122" i="114"/>
  <c r="T128" i="114"/>
  <c r="T136" i="114"/>
  <c r="T142" i="114"/>
  <c r="T146" i="114"/>
  <c r="T150" i="114" s="1"/>
  <c r="T152" i="114"/>
  <c r="T156" i="114" s="1"/>
  <c r="T160" i="114"/>
  <c r="T166" i="114"/>
  <c r="T170" i="114"/>
  <c r="T176" i="114"/>
  <c r="T184" i="114"/>
  <c r="T190" i="114"/>
  <c r="T194" i="114"/>
  <c r="T198" i="114" s="1"/>
  <c r="T199" i="114"/>
  <c r="T200" i="114"/>
  <c r="T208" i="114"/>
  <c r="T214" i="114"/>
  <c r="T218" i="114"/>
  <c r="T222" i="114" s="1"/>
  <c r="T224" i="114"/>
  <c r="T232" i="114"/>
  <c r="T238" i="114"/>
  <c r="T242" i="114"/>
  <c r="T253" i="103"/>
  <c r="AJ247" i="103" s="1"/>
  <c r="T78" i="114"/>
  <c r="T126" i="114"/>
  <c r="T174" i="114"/>
  <c r="T246" i="114"/>
  <c r="Q52" i="115"/>
  <c r="T208" i="103"/>
  <c r="T222" i="103"/>
  <c r="T236" i="103"/>
  <c r="T250" i="103"/>
  <c r="T264" i="103"/>
  <c r="T278" i="103"/>
  <c r="T15" i="114"/>
  <c r="T20" i="114"/>
  <c r="T25" i="114"/>
  <c r="T29" i="114"/>
  <c r="T34" i="114"/>
  <c r="T39" i="114"/>
  <c r="T44" i="114"/>
  <c r="T49" i="114"/>
  <c r="T53" i="114"/>
  <c r="T58" i="114"/>
  <c r="T63" i="114"/>
  <c r="T68" i="114"/>
  <c r="T82" i="114"/>
  <c r="T84" i="114" s="1"/>
  <c r="T92" i="114"/>
  <c r="T106" i="114"/>
  <c r="T116" i="114"/>
  <c r="T130" i="114"/>
  <c r="T132" i="114" s="1"/>
  <c r="T140" i="114"/>
  <c r="T154" i="114"/>
  <c r="T164" i="114"/>
  <c r="T178" i="114"/>
  <c r="T180" i="114" s="1"/>
  <c r="T202" i="114"/>
  <c r="T212" i="114"/>
  <c r="T226" i="114"/>
  <c r="T228" i="114" s="1"/>
  <c r="T236" i="114"/>
  <c r="T187" i="103"/>
  <c r="T193" i="103"/>
  <c r="T201" i="103"/>
  <c r="T204" i="103" s="1"/>
  <c r="AJ198" i="103" s="1"/>
  <c r="T207" i="103"/>
  <c r="T215" i="103"/>
  <c r="T221" i="103"/>
  <c r="T229" i="103"/>
  <c r="T232" i="103" s="1"/>
  <c r="AJ226" i="103" s="1"/>
  <c r="T235" i="103"/>
  <c r="T239" i="103" s="1"/>
  <c r="AJ233" i="103" s="1"/>
  <c r="T243" i="103"/>
  <c r="T249" i="103"/>
  <c r="T257" i="103"/>
  <c r="T263" i="103"/>
  <c r="T271" i="103"/>
  <c r="T277" i="103"/>
  <c r="T285" i="103"/>
  <c r="T288" i="103" s="1"/>
  <c r="AJ282" i="103" s="1"/>
  <c r="T14" i="114"/>
  <c r="T19" i="114"/>
  <c r="T23" i="114"/>
  <c r="T28" i="114"/>
  <c r="T33" i="114"/>
  <c r="T38" i="114"/>
  <c r="T43" i="114"/>
  <c r="T47" i="114"/>
  <c r="T52" i="114"/>
  <c r="T57" i="114"/>
  <c r="T62" i="114"/>
  <c r="T67" i="114"/>
  <c r="T72" i="114" s="1"/>
  <c r="T71" i="114"/>
  <c r="T75" i="114"/>
  <c r="T81" i="114"/>
  <c r="T85" i="114"/>
  <c r="T90" i="114" s="1"/>
  <c r="T89" i="114"/>
  <c r="T91" i="114"/>
  <c r="T96" i="114" s="1"/>
  <c r="T95" i="114"/>
  <c r="T99" i="114"/>
  <c r="T105" i="114"/>
  <c r="T109" i="114"/>
  <c r="T114" i="114" s="1"/>
  <c r="T113" i="114"/>
  <c r="T115" i="114"/>
  <c r="T120" i="114" s="1"/>
  <c r="T119" i="114"/>
  <c r="T123" i="114"/>
  <c r="T129" i="114"/>
  <c r="T133" i="114"/>
  <c r="T138" i="114" s="1"/>
  <c r="T137" i="114"/>
  <c r="T139" i="114"/>
  <c r="T144" i="114" s="1"/>
  <c r="T143" i="114"/>
  <c r="T147" i="114"/>
  <c r="T153" i="114"/>
  <c r="T157" i="114"/>
  <c r="T162" i="114" s="1"/>
  <c r="T161" i="114"/>
  <c r="T163" i="114"/>
  <c r="T168" i="114" s="1"/>
  <c r="T167" i="114"/>
  <c r="T171" i="114"/>
  <c r="T177" i="114"/>
  <c r="T181" i="114"/>
  <c r="T186" i="114" s="1"/>
  <c r="T185" i="114"/>
  <c r="T191" i="114"/>
  <c r="T195" i="114"/>
  <c r="T201" i="114"/>
  <c r="T205" i="114"/>
  <c r="T210" i="114" s="1"/>
  <c r="T209" i="114"/>
  <c r="T211" i="114"/>
  <c r="T215" i="114"/>
  <c r="T219" i="114"/>
  <c r="T225" i="114"/>
  <c r="T229" i="114"/>
  <c r="T233" i="114"/>
  <c r="T235" i="114"/>
  <c r="T240" i="114" s="1"/>
  <c r="T239" i="114"/>
  <c r="T243" i="114"/>
  <c r="T144" i="142"/>
  <c r="T148" i="142" s="1"/>
  <c r="T146" i="142"/>
  <c r="T150" i="142"/>
  <c r="T152" i="142"/>
  <c r="T154" i="142"/>
  <c r="T156" i="142"/>
  <c r="T159" i="142"/>
  <c r="T163" i="142" s="1"/>
  <c r="T161" i="142"/>
  <c r="T165" i="142"/>
  <c r="T167" i="142"/>
  <c r="T169" i="142"/>
  <c r="T173" i="142" s="1"/>
  <c r="T171" i="142"/>
  <c r="T175" i="142"/>
  <c r="T177" i="142"/>
  <c r="T179" i="142"/>
  <c r="T181" i="142"/>
  <c r="T184" i="142"/>
  <c r="T188" i="142" s="1"/>
  <c r="T186" i="142"/>
  <c r="T190" i="142"/>
  <c r="T193" i="142" s="1"/>
  <c r="T192" i="142"/>
  <c r="T194" i="142"/>
  <c r="T198" i="142" s="1"/>
  <c r="T196" i="142"/>
  <c r="T200" i="142"/>
  <c r="T202" i="142"/>
  <c r="T204" i="142"/>
  <c r="T206" i="142"/>
  <c r="T14" i="142"/>
  <c r="T16" i="142"/>
  <c r="T19" i="142"/>
  <c r="T21" i="142"/>
  <c r="T24" i="142"/>
  <c r="T26" i="142"/>
  <c r="T29" i="142"/>
  <c r="T31" i="142"/>
  <c r="T35" i="142"/>
  <c r="T37" i="142"/>
  <c r="T39" i="142"/>
  <c r="T43" i="142" s="1"/>
  <c r="T41" i="142"/>
  <c r="T45" i="142"/>
  <c r="T48" i="142" s="1"/>
  <c r="T47" i="142"/>
  <c r="T49" i="142"/>
  <c r="T53" i="142" s="1"/>
  <c r="T51" i="142"/>
  <c r="T55" i="142"/>
  <c r="T57" i="142"/>
  <c r="T59" i="142"/>
  <c r="T63" i="142" s="1"/>
  <c r="T61" i="142"/>
  <c r="T65" i="142"/>
  <c r="T67" i="142"/>
  <c r="T69" i="142"/>
  <c r="T73" i="142" s="1"/>
  <c r="T71" i="142"/>
  <c r="T75" i="142"/>
  <c r="T78" i="142" s="1"/>
  <c r="T77" i="142"/>
  <c r="T79" i="142"/>
  <c r="T81" i="142"/>
  <c r="T84" i="142"/>
  <c r="T88" i="142" s="1"/>
  <c r="T86" i="142"/>
  <c r="T90" i="142"/>
  <c r="T92" i="142"/>
  <c r="T94" i="142"/>
  <c r="T98" i="142" s="1"/>
  <c r="T96" i="142"/>
  <c r="T100" i="142"/>
  <c r="T103" i="142" s="1"/>
  <c r="T102" i="142"/>
  <c r="T104" i="142"/>
  <c r="T106" i="142"/>
  <c r="T110" i="142"/>
  <c r="T113" i="142" s="1"/>
  <c r="T112" i="142"/>
  <c r="T114" i="142"/>
  <c r="T116" i="142"/>
  <c r="T120" i="142"/>
  <c r="T123" i="142" s="1"/>
  <c r="T122" i="142"/>
  <c r="T124" i="142"/>
  <c r="T128" i="142" s="1"/>
  <c r="T126" i="142"/>
  <c r="T130" i="142"/>
  <c r="T132" i="142"/>
  <c r="T135" i="142"/>
  <c r="T138" i="142" s="1"/>
  <c r="T137" i="142"/>
  <c r="T139" i="142"/>
  <c r="T143" i="142" s="1"/>
  <c r="T141" i="142"/>
  <c r="Q10" i="115"/>
  <c r="T192" i="114"/>
  <c r="T204" i="114"/>
  <c r="T8" i="114"/>
  <c r="T9" i="114"/>
  <c r="T11" i="114"/>
  <c r="T7" i="114"/>
  <c r="T10" i="114"/>
  <c r="T10" i="103"/>
  <c r="T246" i="103"/>
  <c r="AJ240" i="103" s="1"/>
  <c r="T260" i="103"/>
  <c r="AJ254" i="103" s="1"/>
  <c r="T274" i="103"/>
  <c r="AJ268" i="103" s="1"/>
  <c r="T162" i="103"/>
  <c r="AJ156" i="103" s="1"/>
  <c r="T176" i="103"/>
  <c r="AJ170" i="103" s="1"/>
  <c r="T190" i="103"/>
  <c r="AJ184" i="103" s="1"/>
  <c r="T218" i="103"/>
  <c r="AJ212" i="103" s="1"/>
  <c r="T85" i="103"/>
  <c r="AJ79" i="103" s="1"/>
  <c r="T92" i="103"/>
  <c r="AJ86" i="103" s="1"/>
  <c r="T99" i="103"/>
  <c r="AJ93" i="103" s="1"/>
  <c r="T106" i="103"/>
  <c r="AJ100" i="103" s="1"/>
  <c r="T120" i="103"/>
  <c r="AJ114" i="103" s="1"/>
  <c r="T134" i="103"/>
  <c r="AJ128" i="103" s="1"/>
  <c r="T148" i="103"/>
  <c r="AJ142" i="103" s="1"/>
  <c r="T14" i="103"/>
  <c r="T13" i="103"/>
  <c r="T12" i="103"/>
  <c r="T9" i="103"/>
  <c r="T11" i="103"/>
  <c r="T11" i="142"/>
  <c r="T9" i="142"/>
  <c r="T203" i="142"/>
  <c r="T168" i="142"/>
  <c r="T178" i="142"/>
  <c r="T153" i="142"/>
  <c r="T118" i="142"/>
  <c r="T93" i="142"/>
  <c r="T68" i="142"/>
  <c r="T38" i="142"/>
  <c r="T10" i="142"/>
  <c r="T12" i="142"/>
  <c r="S166" i="136"/>
  <c r="R166" i="136"/>
  <c r="Q166" i="136"/>
  <c r="S165" i="136"/>
  <c r="R165" i="136"/>
  <c r="Q165" i="136"/>
  <c r="S164" i="136"/>
  <c r="R164" i="136"/>
  <c r="T164" i="136" s="1"/>
  <c r="Q164" i="136"/>
  <c r="S162" i="136"/>
  <c r="R162" i="136"/>
  <c r="Q162" i="136"/>
  <c r="T162" i="136" s="1"/>
  <c r="S161" i="136"/>
  <c r="R161" i="136"/>
  <c r="Q161" i="136"/>
  <c r="T161" i="136" s="1"/>
  <c r="S160" i="136"/>
  <c r="R160" i="136"/>
  <c r="Q160" i="136"/>
  <c r="S158" i="136"/>
  <c r="R158" i="136"/>
  <c r="T158" i="136" s="1"/>
  <c r="Q158" i="136"/>
  <c r="S157" i="136"/>
  <c r="R157" i="136"/>
  <c r="Q157" i="136"/>
  <c r="S156" i="136"/>
  <c r="R156" i="136"/>
  <c r="Q156" i="136"/>
  <c r="S154" i="136"/>
  <c r="R154" i="136"/>
  <c r="Q154" i="136"/>
  <c r="S153" i="136"/>
  <c r="R153" i="136"/>
  <c r="Q153" i="136"/>
  <c r="S152" i="136"/>
  <c r="R152" i="136"/>
  <c r="Q152" i="136"/>
  <c r="T152" i="136" s="1"/>
  <c r="S150" i="136"/>
  <c r="R150" i="136"/>
  <c r="Q150" i="136"/>
  <c r="S149" i="136"/>
  <c r="R149" i="136"/>
  <c r="Q149" i="136"/>
  <c r="S148" i="136"/>
  <c r="R148" i="136"/>
  <c r="T148" i="136" s="1"/>
  <c r="Q148" i="136"/>
  <c r="S146" i="136"/>
  <c r="R146" i="136"/>
  <c r="Q146" i="136"/>
  <c r="S145" i="136"/>
  <c r="R145" i="136"/>
  <c r="Q145" i="136"/>
  <c r="S144" i="136"/>
  <c r="R144" i="136"/>
  <c r="Q144" i="136"/>
  <c r="S142" i="136"/>
  <c r="R142" i="136"/>
  <c r="Q142" i="136"/>
  <c r="S141" i="136"/>
  <c r="R141" i="136"/>
  <c r="Q141" i="136"/>
  <c r="T141" i="136" s="1"/>
  <c r="S140" i="136"/>
  <c r="R140" i="136"/>
  <c r="Q140" i="136"/>
  <c r="T140" i="136" s="1"/>
  <c r="S138" i="136"/>
  <c r="R138" i="136"/>
  <c r="Q138" i="136"/>
  <c r="S137" i="136"/>
  <c r="R137" i="136"/>
  <c r="T137" i="136" s="1"/>
  <c r="Q137" i="136"/>
  <c r="S136" i="136"/>
  <c r="R136" i="136"/>
  <c r="Q136" i="136"/>
  <c r="S134" i="136"/>
  <c r="R134" i="136"/>
  <c r="Q134" i="136"/>
  <c r="T134" i="136" s="1"/>
  <c r="S133" i="136"/>
  <c r="R133" i="136"/>
  <c r="Q133" i="136"/>
  <c r="S132" i="136"/>
  <c r="R132" i="136"/>
  <c r="Q132" i="136"/>
  <c r="S130" i="136"/>
  <c r="R130" i="136"/>
  <c r="T130" i="136" s="1"/>
  <c r="Q130" i="136"/>
  <c r="S129" i="136"/>
  <c r="R129" i="136"/>
  <c r="Q129" i="136"/>
  <c r="S128" i="136"/>
  <c r="R128" i="136"/>
  <c r="Q128" i="136"/>
  <c r="S126" i="136"/>
  <c r="R126" i="136"/>
  <c r="T126" i="136" s="1"/>
  <c r="Q126" i="136"/>
  <c r="S125" i="136"/>
  <c r="R125" i="136"/>
  <c r="Q125" i="136"/>
  <c r="S124" i="136"/>
  <c r="R124" i="136"/>
  <c r="Q124" i="136"/>
  <c r="S122" i="136"/>
  <c r="R122" i="136"/>
  <c r="Q122" i="136"/>
  <c r="S121" i="136"/>
  <c r="R121" i="136"/>
  <c r="Q121" i="136"/>
  <c r="S120" i="136"/>
  <c r="R120" i="136"/>
  <c r="Q120" i="136"/>
  <c r="T120" i="136" s="1"/>
  <c r="S118" i="136"/>
  <c r="R118" i="136"/>
  <c r="Q118" i="136"/>
  <c r="S117" i="136"/>
  <c r="R117" i="136"/>
  <c r="Q117" i="136"/>
  <c r="S116" i="136"/>
  <c r="R116" i="136"/>
  <c r="T116" i="136" s="1"/>
  <c r="Q116" i="136"/>
  <c r="S114" i="136"/>
  <c r="R114" i="136"/>
  <c r="Q114" i="136"/>
  <c r="T114" i="136" s="1"/>
  <c r="S113" i="136"/>
  <c r="R113" i="136"/>
  <c r="Q113" i="136"/>
  <c r="T113" i="136" s="1"/>
  <c r="S112" i="136"/>
  <c r="R112" i="136"/>
  <c r="Q112" i="136"/>
  <c r="S110" i="136"/>
  <c r="R110" i="136"/>
  <c r="T110" i="136" s="1"/>
  <c r="Q110" i="136"/>
  <c r="S109" i="136"/>
  <c r="R109" i="136"/>
  <c r="Q109" i="136"/>
  <c r="S108" i="136"/>
  <c r="R108" i="136"/>
  <c r="Q108" i="136"/>
  <c r="S106" i="136"/>
  <c r="R106" i="136"/>
  <c r="Q106" i="136"/>
  <c r="S105" i="136"/>
  <c r="R105" i="136"/>
  <c r="T105" i="136" s="1"/>
  <c r="Q105" i="136"/>
  <c r="S104" i="136"/>
  <c r="R104" i="136"/>
  <c r="Q104" i="136"/>
  <c r="S102" i="136"/>
  <c r="R102" i="136"/>
  <c r="Q102" i="136"/>
  <c r="T102" i="136" s="1"/>
  <c r="S101" i="136"/>
  <c r="R101" i="136"/>
  <c r="Q101" i="136"/>
  <c r="S100" i="136"/>
  <c r="R100" i="136"/>
  <c r="Q100" i="136"/>
  <c r="S98" i="136"/>
  <c r="R98" i="136"/>
  <c r="Q98" i="136"/>
  <c r="S97" i="136"/>
  <c r="R97" i="136"/>
  <c r="Q97" i="136"/>
  <c r="S96" i="136"/>
  <c r="R96" i="136"/>
  <c r="Q96" i="136"/>
  <c r="S94" i="136"/>
  <c r="R94" i="136"/>
  <c r="T94" i="136" s="1"/>
  <c r="Q94" i="136"/>
  <c r="S93" i="136"/>
  <c r="R93" i="136"/>
  <c r="Q93" i="136"/>
  <c r="S92" i="136"/>
  <c r="R92" i="136"/>
  <c r="Q92" i="136"/>
  <c r="S90" i="136"/>
  <c r="R90" i="136"/>
  <c r="Q90" i="136"/>
  <c r="S89" i="136"/>
  <c r="R89" i="136"/>
  <c r="Q89" i="136"/>
  <c r="S88" i="136"/>
  <c r="R88" i="136"/>
  <c r="Q88" i="136"/>
  <c r="T88" i="136" s="1"/>
  <c r="S86" i="136"/>
  <c r="R86" i="136"/>
  <c r="Q86" i="136"/>
  <c r="S85" i="136"/>
  <c r="R85" i="136"/>
  <c r="Q85" i="136"/>
  <c r="S84" i="136"/>
  <c r="R84" i="136"/>
  <c r="T84" i="136" s="1"/>
  <c r="Q84" i="136"/>
  <c r="S82" i="136"/>
  <c r="R82" i="136"/>
  <c r="Q82" i="136"/>
  <c r="T82" i="136" s="1"/>
  <c r="S81" i="136"/>
  <c r="R81" i="136"/>
  <c r="Q81" i="136"/>
  <c r="T81" i="136" s="1"/>
  <c r="S80" i="136"/>
  <c r="R80" i="136"/>
  <c r="Q80" i="136"/>
  <c r="S78" i="136"/>
  <c r="R78" i="136"/>
  <c r="T78" i="136" s="1"/>
  <c r="Q78" i="136"/>
  <c r="S77" i="136"/>
  <c r="R77" i="136"/>
  <c r="Q77" i="136"/>
  <c r="S76" i="136"/>
  <c r="R76" i="136"/>
  <c r="Q76" i="136"/>
  <c r="S74" i="136"/>
  <c r="R74" i="136"/>
  <c r="Q74" i="136"/>
  <c r="S73" i="136"/>
  <c r="R73" i="136"/>
  <c r="Q73" i="136"/>
  <c r="S72" i="136"/>
  <c r="R72" i="136"/>
  <c r="Q72" i="136"/>
  <c r="T72" i="136" s="1"/>
  <c r="S70" i="136"/>
  <c r="R70" i="136"/>
  <c r="Q70" i="136"/>
  <c r="S69" i="136"/>
  <c r="R69" i="136"/>
  <c r="Q69" i="136"/>
  <c r="S68" i="136"/>
  <c r="R68" i="136"/>
  <c r="T68" i="136" s="1"/>
  <c r="Q68" i="136"/>
  <c r="S66" i="136"/>
  <c r="R66" i="136"/>
  <c r="Q66" i="136"/>
  <c r="T66" i="136" s="1"/>
  <c r="S65" i="136"/>
  <c r="R65" i="136"/>
  <c r="Q65" i="136"/>
  <c r="T65" i="136" s="1"/>
  <c r="S64" i="136"/>
  <c r="R64" i="136"/>
  <c r="Q64" i="136"/>
  <c r="S62" i="136"/>
  <c r="R62" i="136"/>
  <c r="T62" i="136" s="1"/>
  <c r="Q62" i="136"/>
  <c r="S61" i="136"/>
  <c r="R61" i="136"/>
  <c r="Q61" i="136"/>
  <c r="S60" i="136"/>
  <c r="R60" i="136"/>
  <c r="Q60" i="136"/>
  <c r="S58" i="136"/>
  <c r="R58" i="136"/>
  <c r="Q58" i="136"/>
  <c r="S57" i="136"/>
  <c r="R57" i="136"/>
  <c r="Q57" i="136"/>
  <c r="S56" i="136"/>
  <c r="R56" i="136"/>
  <c r="Q56" i="136"/>
  <c r="T56" i="136" s="1"/>
  <c r="S54" i="136"/>
  <c r="R54" i="136"/>
  <c r="Q54" i="136"/>
  <c r="S53" i="136"/>
  <c r="R53" i="136"/>
  <c r="Q53" i="136"/>
  <c r="S52" i="136"/>
  <c r="R52" i="136"/>
  <c r="T52" i="136" s="1"/>
  <c r="Q52" i="136"/>
  <c r="S50" i="136"/>
  <c r="R50" i="136"/>
  <c r="Q50" i="136"/>
  <c r="T50" i="136" s="1"/>
  <c r="S49" i="136"/>
  <c r="R49" i="136"/>
  <c r="Q49" i="136"/>
  <c r="T49" i="136" s="1"/>
  <c r="S48" i="136"/>
  <c r="R48" i="136"/>
  <c r="Q48" i="136"/>
  <c r="S46" i="136"/>
  <c r="R46" i="136"/>
  <c r="T46" i="136" s="1"/>
  <c r="Q46" i="136"/>
  <c r="S45" i="136"/>
  <c r="R45" i="136"/>
  <c r="T45" i="136" s="1"/>
  <c r="Q45" i="136"/>
  <c r="S44" i="136"/>
  <c r="R44" i="136"/>
  <c r="Q44" i="136"/>
  <c r="S42" i="136"/>
  <c r="R42" i="136"/>
  <c r="Q42" i="136"/>
  <c r="S41" i="136"/>
  <c r="R41" i="136"/>
  <c r="Q41" i="136"/>
  <c r="S40" i="136"/>
  <c r="R40" i="136"/>
  <c r="Q40" i="136"/>
  <c r="T40" i="136" s="1"/>
  <c r="S38" i="136"/>
  <c r="R38" i="136"/>
  <c r="Q38" i="136"/>
  <c r="S37" i="136"/>
  <c r="R37" i="136"/>
  <c r="Q37" i="136"/>
  <c r="S36" i="136"/>
  <c r="R36" i="136"/>
  <c r="T36" i="136" s="1"/>
  <c r="Q36" i="136"/>
  <c r="S34" i="136"/>
  <c r="R34" i="136"/>
  <c r="Q34" i="136"/>
  <c r="T34" i="136" s="1"/>
  <c r="S33" i="136"/>
  <c r="R33" i="136"/>
  <c r="Q33" i="136"/>
  <c r="T33" i="136" s="1"/>
  <c r="S32" i="136"/>
  <c r="R32" i="136"/>
  <c r="Q32" i="136"/>
  <c r="S30" i="136"/>
  <c r="R30" i="136"/>
  <c r="T30" i="136" s="1"/>
  <c r="Q30" i="136"/>
  <c r="S29" i="136"/>
  <c r="R29" i="136"/>
  <c r="Q29" i="136"/>
  <c r="S28" i="136"/>
  <c r="R28" i="136"/>
  <c r="Q28" i="136"/>
  <c r="S26" i="136"/>
  <c r="R26" i="136"/>
  <c r="Q26" i="136"/>
  <c r="S25" i="136"/>
  <c r="R25" i="136"/>
  <c r="T25" i="136" s="1"/>
  <c r="Q25" i="136"/>
  <c r="S24" i="136"/>
  <c r="R24" i="136"/>
  <c r="Q24" i="136"/>
  <c r="S22" i="136"/>
  <c r="R22" i="136"/>
  <c r="Q22" i="136"/>
  <c r="S21" i="136"/>
  <c r="R21" i="136"/>
  <c r="Q21" i="136"/>
  <c r="S20" i="136"/>
  <c r="R20" i="136"/>
  <c r="T20" i="136" s="1"/>
  <c r="Q20" i="136"/>
  <c r="S18" i="136"/>
  <c r="R18" i="136"/>
  <c r="T18" i="136" s="1"/>
  <c r="Q18" i="136"/>
  <c r="S17" i="136"/>
  <c r="R17" i="136"/>
  <c r="Q17" i="136"/>
  <c r="S16" i="136"/>
  <c r="R16" i="136"/>
  <c r="Q16" i="136"/>
  <c r="S14" i="136"/>
  <c r="R14" i="136"/>
  <c r="T14" i="136" s="1"/>
  <c r="Q14" i="136"/>
  <c r="S13" i="136"/>
  <c r="R13" i="136"/>
  <c r="Q13" i="136"/>
  <c r="S12" i="136"/>
  <c r="R12" i="136"/>
  <c r="Q12" i="136"/>
  <c r="S10" i="136"/>
  <c r="R10" i="136"/>
  <c r="Q10" i="136"/>
  <c r="S9" i="136"/>
  <c r="R9" i="136"/>
  <c r="Q9" i="136"/>
  <c r="S8" i="136"/>
  <c r="R8" i="136"/>
  <c r="Q8" i="136"/>
  <c r="S485" i="86"/>
  <c r="R485" i="86"/>
  <c r="Q485" i="86"/>
  <c r="S484" i="86"/>
  <c r="R484" i="86"/>
  <c r="Q484" i="86"/>
  <c r="S483" i="86"/>
  <c r="R483" i="86"/>
  <c r="Q483" i="86"/>
  <c r="S482" i="86"/>
  <c r="R482" i="86"/>
  <c r="Q482" i="86"/>
  <c r="S481" i="86"/>
  <c r="R481" i="86"/>
  <c r="Q481" i="86"/>
  <c r="S480" i="86"/>
  <c r="R480" i="86"/>
  <c r="Q480" i="86"/>
  <c r="S479" i="86"/>
  <c r="R479" i="86"/>
  <c r="Q479" i="86"/>
  <c r="S478" i="86"/>
  <c r="R478" i="86"/>
  <c r="Q478" i="86"/>
  <c r="S477" i="86"/>
  <c r="R477" i="86"/>
  <c r="Q477" i="86"/>
  <c r="S476" i="86"/>
  <c r="R476" i="86"/>
  <c r="Q476" i="86"/>
  <c r="S475" i="86"/>
  <c r="R475" i="86"/>
  <c r="Q475" i="86"/>
  <c r="S473" i="86"/>
  <c r="R473" i="86"/>
  <c r="Q473" i="86"/>
  <c r="S472" i="86"/>
  <c r="R472" i="86"/>
  <c r="Q472" i="86"/>
  <c r="T472" i="86" s="1"/>
  <c r="S471" i="86"/>
  <c r="R471" i="86"/>
  <c r="Q471" i="86"/>
  <c r="S470" i="86"/>
  <c r="R470" i="86"/>
  <c r="Q470" i="86"/>
  <c r="S469" i="86"/>
  <c r="R469" i="86"/>
  <c r="Q469" i="86"/>
  <c r="S468" i="86"/>
  <c r="R468" i="86"/>
  <c r="Q468" i="86"/>
  <c r="T468" i="86" s="1"/>
  <c r="S467" i="86"/>
  <c r="R467" i="86"/>
  <c r="Q467" i="86"/>
  <c r="S466" i="86"/>
  <c r="R466" i="86"/>
  <c r="Q466" i="86"/>
  <c r="S465" i="86"/>
  <c r="R465" i="86"/>
  <c r="Q465" i="86"/>
  <c r="S464" i="86"/>
  <c r="R464" i="86"/>
  <c r="Q464" i="86"/>
  <c r="T464" i="86" s="1"/>
  <c r="S463" i="86"/>
  <c r="R463" i="86"/>
  <c r="Q463" i="86"/>
  <c r="S461" i="86"/>
  <c r="R461" i="86"/>
  <c r="Q461" i="86"/>
  <c r="S460" i="86"/>
  <c r="R460" i="86"/>
  <c r="Q460" i="86"/>
  <c r="S459" i="86"/>
  <c r="R459" i="86"/>
  <c r="Q459" i="86"/>
  <c r="S458" i="86"/>
  <c r="R458" i="86"/>
  <c r="Q458" i="86"/>
  <c r="S457" i="86"/>
  <c r="R457" i="86"/>
  <c r="Q457" i="86"/>
  <c r="S456" i="86"/>
  <c r="R456" i="86"/>
  <c r="Q456" i="86"/>
  <c r="S455" i="86"/>
  <c r="R455" i="86"/>
  <c r="Q455" i="86"/>
  <c r="S454" i="86"/>
  <c r="R454" i="86"/>
  <c r="Q454" i="86"/>
  <c r="S453" i="86"/>
  <c r="R453" i="86"/>
  <c r="Q453" i="86"/>
  <c r="S452" i="86"/>
  <c r="R452" i="86"/>
  <c r="Q452" i="86"/>
  <c r="S451" i="86"/>
  <c r="R451" i="86"/>
  <c r="Q451" i="86"/>
  <c r="S449" i="86"/>
  <c r="R449" i="86"/>
  <c r="Q449" i="86"/>
  <c r="S448" i="86"/>
  <c r="R448" i="86"/>
  <c r="Q448" i="86"/>
  <c r="S447" i="86"/>
  <c r="R447" i="86"/>
  <c r="Q447" i="86"/>
  <c r="S446" i="86"/>
  <c r="R446" i="86"/>
  <c r="Q446" i="86"/>
  <c r="T446" i="86" s="1"/>
  <c r="S445" i="86"/>
  <c r="R445" i="86"/>
  <c r="Q445" i="86"/>
  <c r="S444" i="86"/>
  <c r="R444" i="86"/>
  <c r="Q444" i="86"/>
  <c r="S443" i="86"/>
  <c r="R443" i="86"/>
  <c r="Q443" i="86"/>
  <c r="T443" i="86" s="1"/>
  <c r="S442" i="86"/>
  <c r="R442" i="86"/>
  <c r="Q442" i="86"/>
  <c r="S441" i="86"/>
  <c r="R441" i="86"/>
  <c r="Q441" i="86"/>
  <c r="S440" i="86"/>
  <c r="R440" i="86"/>
  <c r="Q440" i="86"/>
  <c r="S439" i="86"/>
  <c r="R439" i="86"/>
  <c r="Q439" i="86"/>
  <c r="T439" i="86" s="1"/>
  <c r="S437" i="86"/>
  <c r="R437" i="86"/>
  <c r="Q437" i="86"/>
  <c r="S436" i="86"/>
  <c r="R436" i="86"/>
  <c r="Q436" i="86"/>
  <c r="S435" i="86"/>
  <c r="R435" i="86"/>
  <c r="T435" i="86" s="1"/>
  <c r="Q435" i="86"/>
  <c r="S434" i="86"/>
  <c r="R434" i="86"/>
  <c r="Q434" i="86"/>
  <c r="S433" i="86"/>
  <c r="R433" i="86"/>
  <c r="Q433" i="86"/>
  <c r="S432" i="86"/>
  <c r="R432" i="86"/>
  <c r="Q432" i="86"/>
  <c r="S431" i="86"/>
  <c r="R431" i="86"/>
  <c r="T431" i="86" s="1"/>
  <c r="Q431" i="86"/>
  <c r="S430" i="86"/>
  <c r="R430" i="86"/>
  <c r="Q430" i="86"/>
  <c r="S429" i="86"/>
  <c r="R429" i="86"/>
  <c r="Q429" i="86"/>
  <c r="S428" i="86"/>
  <c r="R428" i="86"/>
  <c r="Q428" i="86"/>
  <c r="S427" i="86"/>
  <c r="R427" i="86"/>
  <c r="T427" i="86" s="1"/>
  <c r="Q427" i="86"/>
  <c r="S425" i="86"/>
  <c r="R425" i="86"/>
  <c r="Q425" i="86"/>
  <c r="T425" i="86" s="1"/>
  <c r="S424" i="86"/>
  <c r="R424" i="86"/>
  <c r="Q424" i="86"/>
  <c r="S423" i="86"/>
  <c r="R423" i="86"/>
  <c r="Q423" i="86"/>
  <c r="S422" i="86"/>
  <c r="R422" i="86"/>
  <c r="Q422" i="86"/>
  <c r="S421" i="86"/>
  <c r="R421" i="86"/>
  <c r="Q421" i="86"/>
  <c r="T421" i="86" s="1"/>
  <c r="S420" i="86"/>
  <c r="R420" i="86"/>
  <c r="Q420" i="86"/>
  <c r="S419" i="86"/>
  <c r="R419" i="86"/>
  <c r="Q419" i="86"/>
  <c r="S418" i="86"/>
  <c r="R418" i="86"/>
  <c r="Q418" i="86"/>
  <c r="S417" i="86"/>
  <c r="R417" i="86"/>
  <c r="Q417" i="86"/>
  <c r="T417" i="86" s="1"/>
  <c r="S416" i="86"/>
  <c r="R416" i="86"/>
  <c r="Q416" i="86"/>
  <c r="S415" i="86"/>
  <c r="R415" i="86"/>
  <c r="Q415" i="86"/>
  <c r="S413" i="86"/>
  <c r="R413" i="86"/>
  <c r="T413" i="86" s="1"/>
  <c r="Q413" i="86"/>
  <c r="S412" i="86"/>
  <c r="R412" i="86"/>
  <c r="Q412" i="86"/>
  <c r="S411" i="86"/>
  <c r="R411" i="86"/>
  <c r="Q411" i="86"/>
  <c r="S410" i="86"/>
  <c r="R410" i="86"/>
  <c r="Q410" i="86"/>
  <c r="S409" i="86"/>
  <c r="R409" i="86"/>
  <c r="T409" i="86" s="1"/>
  <c r="Q409" i="86"/>
  <c r="S408" i="86"/>
  <c r="R408" i="86"/>
  <c r="Q408" i="86"/>
  <c r="S407" i="86"/>
  <c r="R407" i="86"/>
  <c r="Q407" i="86"/>
  <c r="S406" i="86"/>
  <c r="R406" i="86"/>
  <c r="Q406" i="86"/>
  <c r="S405" i="86"/>
  <c r="R405" i="86"/>
  <c r="T405" i="86" s="1"/>
  <c r="Q405" i="86"/>
  <c r="S404" i="86"/>
  <c r="R404" i="86"/>
  <c r="Q404" i="86"/>
  <c r="S403" i="86"/>
  <c r="R403" i="86"/>
  <c r="Q403" i="86"/>
  <c r="S401" i="86"/>
  <c r="R401" i="86"/>
  <c r="Q401" i="86"/>
  <c r="S400" i="86"/>
  <c r="R400" i="86"/>
  <c r="Q400" i="86"/>
  <c r="S399" i="86"/>
  <c r="R399" i="86"/>
  <c r="Q399" i="86"/>
  <c r="T399" i="86" s="1"/>
  <c r="S398" i="86"/>
  <c r="R398" i="86"/>
  <c r="Q398" i="86"/>
  <c r="S397" i="86"/>
  <c r="R397" i="86"/>
  <c r="Q397" i="86"/>
  <c r="S396" i="86"/>
  <c r="R396" i="86"/>
  <c r="Q396" i="86"/>
  <c r="S395" i="86"/>
  <c r="R395" i="86"/>
  <c r="Q395" i="86"/>
  <c r="T395" i="86" s="1"/>
  <c r="S394" i="86"/>
  <c r="R394" i="86"/>
  <c r="Q394" i="86"/>
  <c r="S393" i="86"/>
  <c r="R393" i="86"/>
  <c r="Q393" i="86"/>
  <c r="S392" i="86"/>
  <c r="R392" i="86"/>
  <c r="Q392" i="86"/>
  <c r="S391" i="86"/>
  <c r="R391" i="86"/>
  <c r="Q391" i="86"/>
  <c r="T391" i="86" s="1"/>
  <c r="S389" i="86"/>
  <c r="R389" i="86"/>
  <c r="Q389" i="86"/>
  <c r="S388" i="86"/>
  <c r="R388" i="86"/>
  <c r="Q388" i="86"/>
  <c r="S387" i="86"/>
  <c r="R387" i="86"/>
  <c r="T387" i="86" s="1"/>
  <c r="Q387" i="86"/>
  <c r="S386" i="86"/>
  <c r="R386" i="86"/>
  <c r="Q386" i="86"/>
  <c r="S385" i="86"/>
  <c r="R385" i="86"/>
  <c r="Q385" i="86"/>
  <c r="S384" i="86"/>
  <c r="R384" i="86"/>
  <c r="Q384" i="86"/>
  <c r="S383" i="86"/>
  <c r="R383" i="86"/>
  <c r="T383" i="86" s="1"/>
  <c r="Q383" i="86"/>
  <c r="S382" i="86"/>
  <c r="R382" i="86"/>
  <c r="Q382" i="86"/>
  <c r="S381" i="86"/>
  <c r="R381" i="86"/>
  <c r="Q381" i="86"/>
  <c r="S380" i="86"/>
  <c r="R380" i="86"/>
  <c r="Q380" i="86"/>
  <c r="S379" i="86"/>
  <c r="R379" i="86"/>
  <c r="T379" i="86" s="1"/>
  <c r="Q379" i="86"/>
  <c r="S377" i="86"/>
  <c r="R377" i="86"/>
  <c r="Q377" i="86"/>
  <c r="T377" i="86" s="1"/>
  <c r="S376" i="86"/>
  <c r="R376" i="86"/>
  <c r="Q376" i="86"/>
  <c r="S375" i="86"/>
  <c r="R375" i="86"/>
  <c r="Q375" i="86"/>
  <c r="S374" i="86"/>
  <c r="R374" i="86"/>
  <c r="Q374" i="86"/>
  <c r="S373" i="86"/>
  <c r="R373" i="86"/>
  <c r="Q373" i="86"/>
  <c r="T373" i="86" s="1"/>
  <c r="S372" i="86"/>
  <c r="R372" i="86"/>
  <c r="Q372" i="86"/>
  <c r="S371" i="86"/>
  <c r="R371" i="86"/>
  <c r="Q371" i="86"/>
  <c r="S370" i="86"/>
  <c r="R370" i="86"/>
  <c r="Q370" i="86"/>
  <c r="S369" i="86"/>
  <c r="R369" i="86"/>
  <c r="Q369" i="86"/>
  <c r="T369" i="86" s="1"/>
  <c r="S368" i="86"/>
  <c r="R368" i="86"/>
  <c r="Q368" i="86"/>
  <c r="S367" i="86"/>
  <c r="R367" i="86"/>
  <c r="Q367" i="86"/>
  <c r="S365" i="86"/>
  <c r="R365" i="86"/>
  <c r="T365" i="86" s="1"/>
  <c r="Q365" i="86"/>
  <c r="S364" i="86"/>
  <c r="R364" i="86"/>
  <c r="Q364" i="86"/>
  <c r="S363" i="86"/>
  <c r="R363" i="86"/>
  <c r="Q363" i="86"/>
  <c r="S362" i="86"/>
  <c r="R362" i="86"/>
  <c r="Q362" i="86"/>
  <c r="S361" i="86"/>
  <c r="R361" i="86"/>
  <c r="T361" i="86" s="1"/>
  <c r="Q361" i="86"/>
  <c r="S360" i="86"/>
  <c r="R360" i="86"/>
  <c r="Q360" i="86"/>
  <c r="S359" i="86"/>
  <c r="R359" i="86"/>
  <c r="Q359" i="86"/>
  <c r="S358" i="86"/>
  <c r="R358" i="86"/>
  <c r="Q358" i="86"/>
  <c r="S357" i="86"/>
  <c r="R357" i="86"/>
  <c r="T357" i="86" s="1"/>
  <c r="Q357" i="86"/>
  <c r="S356" i="86"/>
  <c r="R356" i="86"/>
  <c r="Q356" i="86"/>
  <c r="S355" i="86"/>
  <c r="R355" i="86"/>
  <c r="Q355" i="86"/>
  <c r="S353" i="86"/>
  <c r="R353" i="86"/>
  <c r="Q353" i="86"/>
  <c r="S352" i="86"/>
  <c r="R352" i="86"/>
  <c r="Q352" i="86"/>
  <c r="S351" i="86"/>
  <c r="R351" i="86"/>
  <c r="Q351" i="86"/>
  <c r="T351" i="86" s="1"/>
  <c r="S350" i="86"/>
  <c r="R350" i="86"/>
  <c r="Q350" i="86"/>
  <c r="S349" i="86"/>
  <c r="R349" i="86"/>
  <c r="Q349" i="86"/>
  <c r="S348" i="86"/>
  <c r="R348" i="86"/>
  <c r="Q348" i="86"/>
  <c r="S347" i="86"/>
  <c r="R347" i="86"/>
  <c r="Q347" i="86"/>
  <c r="T347" i="86" s="1"/>
  <c r="S346" i="86"/>
  <c r="R346" i="86"/>
  <c r="Q346" i="86"/>
  <c r="S345" i="86"/>
  <c r="R345" i="86"/>
  <c r="Q345" i="86"/>
  <c r="S344" i="86"/>
  <c r="R344" i="86"/>
  <c r="Q344" i="86"/>
  <c r="S343" i="86"/>
  <c r="R343" i="86"/>
  <c r="Q343" i="86"/>
  <c r="T343" i="86" s="1"/>
  <c r="S341" i="86"/>
  <c r="R341" i="86"/>
  <c r="Q341" i="86"/>
  <c r="S340" i="86"/>
  <c r="R340" i="86"/>
  <c r="Q340" i="86"/>
  <c r="S339" i="86"/>
  <c r="R339" i="86"/>
  <c r="T339" i="86" s="1"/>
  <c r="Q339" i="86"/>
  <c r="S338" i="86"/>
  <c r="R338" i="86"/>
  <c r="Q338" i="86"/>
  <c r="S337" i="86"/>
  <c r="R337" i="86"/>
  <c r="Q337" i="86"/>
  <c r="S336" i="86"/>
  <c r="R336" i="86"/>
  <c r="Q336" i="86"/>
  <c r="S335" i="86"/>
  <c r="R335" i="86"/>
  <c r="T335" i="86" s="1"/>
  <c r="Q335" i="86"/>
  <c r="S334" i="86"/>
  <c r="R334" i="86"/>
  <c r="Q334" i="86"/>
  <c r="S333" i="86"/>
  <c r="R333" i="86"/>
  <c r="Q333" i="86"/>
  <c r="S332" i="86"/>
  <c r="R332" i="86"/>
  <c r="Q332" i="86"/>
  <c r="S331" i="86"/>
  <c r="R331" i="86"/>
  <c r="T331" i="86" s="1"/>
  <c r="Q331" i="86"/>
  <c r="S329" i="86"/>
  <c r="R329" i="86"/>
  <c r="Q329" i="86"/>
  <c r="T329" i="86" s="1"/>
  <c r="S328" i="86"/>
  <c r="R328" i="86"/>
  <c r="Q328" i="86"/>
  <c r="S327" i="86"/>
  <c r="R327" i="86"/>
  <c r="Q327" i="86"/>
  <c r="S326" i="86"/>
  <c r="R326" i="86"/>
  <c r="Q326" i="86"/>
  <c r="S325" i="86"/>
  <c r="R325" i="86"/>
  <c r="Q325" i="86"/>
  <c r="T325" i="86" s="1"/>
  <c r="S324" i="86"/>
  <c r="R324" i="86"/>
  <c r="Q324" i="86"/>
  <c r="S323" i="86"/>
  <c r="R323" i="86"/>
  <c r="Q323" i="86"/>
  <c r="S322" i="86"/>
  <c r="R322" i="86"/>
  <c r="Q322" i="86"/>
  <c r="S321" i="86"/>
  <c r="R321" i="86"/>
  <c r="Q321" i="86"/>
  <c r="T321" i="86" s="1"/>
  <c r="S320" i="86"/>
  <c r="R320" i="86"/>
  <c r="Q320" i="86"/>
  <c r="S319" i="86"/>
  <c r="R319" i="86"/>
  <c r="Q319" i="86"/>
  <c r="S317" i="86"/>
  <c r="R317" i="86"/>
  <c r="T317" i="86" s="1"/>
  <c r="Q317" i="86"/>
  <c r="S316" i="86"/>
  <c r="R316" i="86"/>
  <c r="Q316" i="86"/>
  <c r="S315" i="86"/>
  <c r="R315" i="86"/>
  <c r="Q315" i="86"/>
  <c r="S314" i="86"/>
  <c r="R314" i="86"/>
  <c r="Q314" i="86"/>
  <c r="S313" i="86"/>
  <c r="R313" i="86"/>
  <c r="T313" i="86" s="1"/>
  <c r="Q313" i="86"/>
  <c r="S312" i="86"/>
  <c r="R312" i="86"/>
  <c r="Q312" i="86"/>
  <c r="S311" i="86"/>
  <c r="R311" i="86"/>
  <c r="Q311" i="86"/>
  <c r="S310" i="86"/>
  <c r="R310" i="86"/>
  <c r="Q310" i="86"/>
  <c r="S309" i="86"/>
  <c r="R309" i="86"/>
  <c r="T309" i="86" s="1"/>
  <c r="Q309" i="86"/>
  <c r="S308" i="86"/>
  <c r="R308" i="86"/>
  <c r="Q308" i="86"/>
  <c r="S307" i="86"/>
  <c r="R307" i="86"/>
  <c r="Q307" i="86"/>
  <c r="S305" i="86"/>
  <c r="R305" i="86"/>
  <c r="Q305" i="86"/>
  <c r="S304" i="86"/>
  <c r="R304" i="86"/>
  <c r="Q304" i="86"/>
  <c r="S303" i="86"/>
  <c r="R303" i="86"/>
  <c r="Q303" i="86"/>
  <c r="T303" i="86" s="1"/>
  <c r="S302" i="86"/>
  <c r="R302" i="86"/>
  <c r="Q302" i="86"/>
  <c r="S301" i="86"/>
  <c r="R301" i="86"/>
  <c r="Q301" i="86"/>
  <c r="S300" i="86"/>
  <c r="R300" i="86"/>
  <c r="Q300" i="86"/>
  <c r="S299" i="86"/>
  <c r="R299" i="86"/>
  <c r="Q299" i="86"/>
  <c r="T299" i="86" s="1"/>
  <c r="S298" i="86"/>
  <c r="R298" i="86"/>
  <c r="Q298" i="86"/>
  <c r="S297" i="86"/>
  <c r="R297" i="86"/>
  <c r="Q297" i="86"/>
  <c r="S296" i="86"/>
  <c r="R296" i="86"/>
  <c r="Q296" i="86"/>
  <c r="S295" i="86"/>
  <c r="R295" i="86"/>
  <c r="Q295" i="86"/>
  <c r="T295" i="86" s="1"/>
  <c r="S293" i="86"/>
  <c r="R293" i="86"/>
  <c r="Q293" i="86"/>
  <c r="S292" i="86"/>
  <c r="R292" i="86"/>
  <c r="Q292" i="86"/>
  <c r="S291" i="86"/>
  <c r="R291" i="86"/>
  <c r="T291" i="86" s="1"/>
  <c r="Q291" i="86"/>
  <c r="S290" i="86"/>
  <c r="R290" i="86"/>
  <c r="Q290" i="86"/>
  <c r="S289" i="86"/>
  <c r="R289" i="86"/>
  <c r="Q289" i="86"/>
  <c r="S288" i="86"/>
  <c r="R288" i="86"/>
  <c r="Q288" i="86"/>
  <c r="S287" i="86"/>
  <c r="R287" i="86"/>
  <c r="T287" i="86" s="1"/>
  <c r="Q287" i="86"/>
  <c r="S286" i="86"/>
  <c r="R286" i="86"/>
  <c r="Q286" i="86"/>
  <c r="S285" i="86"/>
  <c r="R285" i="86"/>
  <c r="Q285" i="86"/>
  <c r="S284" i="86"/>
  <c r="R284" i="86"/>
  <c r="Q284" i="86"/>
  <c r="S283" i="86"/>
  <c r="R283" i="86"/>
  <c r="T283" i="86" s="1"/>
  <c r="Q283" i="86"/>
  <c r="S281" i="86"/>
  <c r="R281" i="86"/>
  <c r="Q281" i="86"/>
  <c r="T281" i="86" s="1"/>
  <c r="S280" i="86"/>
  <c r="R280" i="86"/>
  <c r="Q280" i="86"/>
  <c r="S279" i="86"/>
  <c r="R279" i="86"/>
  <c r="Q279" i="86"/>
  <c r="S278" i="86"/>
  <c r="R278" i="86"/>
  <c r="Q278" i="86"/>
  <c r="S277" i="86"/>
  <c r="R277" i="86"/>
  <c r="Q277" i="86"/>
  <c r="T277" i="86" s="1"/>
  <c r="S276" i="86"/>
  <c r="R276" i="86"/>
  <c r="Q276" i="86"/>
  <c r="S275" i="86"/>
  <c r="R275" i="86"/>
  <c r="Q275" i="86"/>
  <c r="S274" i="86"/>
  <c r="R274" i="86"/>
  <c r="Q274" i="86"/>
  <c r="S273" i="86"/>
  <c r="R273" i="86"/>
  <c r="Q273" i="86"/>
  <c r="T273" i="86" s="1"/>
  <c r="S272" i="86"/>
  <c r="R272" i="86"/>
  <c r="Q272" i="86"/>
  <c r="S271" i="86"/>
  <c r="R271" i="86"/>
  <c r="Q271" i="86"/>
  <c r="S269" i="86"/>
  <c r="R269" i="86"/>
  <c r="T269" i="86" s="1"/>
  <c r="Q269" i="86"/>
  <c r="S268" i="86"/>
  <c r="R268" i="86"/>
  <c r="Q268" i="86"/>
  <c r="S267" i="86"/>
  <c r="R267" i="86"/>
  <c r="Q267" i="86"/>
  <c r="S266" i="86"/>
  <c r="R266" i="86"/>
  <c r="Q266" i="86"/>
  <c r="S265" i="86"/>
  <c r="R265" i="86"/>
  <c r="T265" i="86" s="1"/>
  <c r="Q265" i="86"/>
  <c r="S264" i="86"/>
  <c r="R264" i="86"/>
  <c r="Q264" i="86"/>
  <c r="S263" i="86"/>
  <c r="R263" i="86"/>
  <c r="Q263" i="86"/>
  <c r="S262" i="86"/>
  <c r="R262" i="86"/>
  <c r="Q262" i="86"/>
  <c r="S261" i="86"/>
  <c r="R261" i="86"/>
  <c r="T261" i="86" s="1"/>
  <c r="Q261" i="86"/>
  <c r="S260" i="86"/>
  <c r="R260" i="86"/>
  <c r="Q260" i="86"/>
  <c r="S259" i="86"/>
  <c r="R259" i="86"/>
  <c r="Q259" i="86"/>
  <c r="S257" i="86"/>
  <c r="R257" i="86"/>
  <c r="Q257" i="86"/>
  <c r="S256" i="86"/>
  <c r="R256" i="86"/>
  <c r="Q256" i="86"/>
  <c r="S255" i="86"/>
  <c r="R255" i="86"/>
  <c r="Q255" i="86"/>
  <c r="T255" i="86" s="1"/>
  <c r="S254" i="86"/>
  <c r="R254" i="86"/>
  <c r="Q254" i="86"/>
  <c r="S253" i="86"/>
  <c r="R253" i="86"/>
  <c r="Q253" i="86"/>
  <c r="S252" i="86"/>
  <c r="R252" i="86"/>
  <c r="Q252" i="86"/>
  <c r="S251" i="86"/>
  <c r="R251" i="86"/>
  <c r="Q251" i="86"/>
  <c r="T251" i="86" s="1"/>
  <c r="S250" i="86"/>
  <c r="R250" i="86"/>
  <c r="Q250" i="86"/>
  <c r="S249" i="86"/>
  <c r="R249" i="86"/>
  <c r="Q249" i="86"/>
  <c r="S248" i="86"/>
  <c r="R248" i="86"/>
  <c r="Q248" i="86"/>
  <c r="S247" i="86"/>
  <c r="R247" i="86"/>
  <c r="Q247" i="86"/>
  <c r="T247" i="86" s="1"/>
  <c r="S245" i="86"/>
  <c r="R245" i="86"/>
  <c r="Q245" i="86"/>
  <c r="S244" i="86"/>
  <c r="R244" i="86"/>
  <c r="Q244" i="86"/>
  <c r="S243" i="86"/>
  <c r="R243" i="86"/>
  <c r="Q243" i="86"/>
  <c r="S242" i="86"/>
  <c r="R242" i="86"/>
  <c r="Q242" i="86"/>
  <c r="S241" i="86"/>
  <c r="R241" i="86"/>
  <c r="Q241" i="86"/>
  <c r="S240" i="86"/>
  <c r="R240" i="86"/>
  <c r="Q240" i="86"/>
  <c r="S239" i="86"/>
  <c r="R239" i="86"/>
  <c r="Q239" i="86"/>
  <c r="S238" i="86"/>
  <c r="R238" i="86"/>
  <c r="Q238" i="86"/>
  <c r="S237" i="86"/>
  <c r="R237" i="86"/>
  <c r="Q237" i="86"/>
  <c r="S236" i="86"/>
  <c r="R236" i="86"/>
  <c r="Q236" i="86"/>
  <c r="S235" i="86"/>
  <c r="R235" i="86"/>
  <c r="Q235" i="86"/>
  <c r="S233" i="86"/>
  <c r="R233" i="86"/>
  <c r="Q233" i="86"/>
  <c r="S232" i="86"/>
  <c r="R232" i="86"/>
  <c r="Q232" i="86"/>
  <c r="T232" i="86" s="1"/>
  <c r="S231" i="86"/>
  <c r="R231" i="86"/>
  <c r="Q231" i="86"/>
  <c r="S230" i="86"/>
  <c r="R230" i="86"/>
  <c r="Q230" i="86"/>
  <c r="S229" i="86"/>
  <c r="R229" i="86"/>
  <c r="Q229" i="86"/>
  <c r="S228" i="86"/>
  <c r="R228" i="86"/>
  <c r="Q228" i="86"/>
  <c r="T228" i="86" s="1"/>
  <c r="S227" i="86"/>
  <c r="R227" i="86"/>
  <c r="Q227" i="86"/>
  <c r="S226" i="86"/>
  <c r="R226" i="86"/>
  <c r="Q226" i="86"/>
  <c r="S225" i="86"/>
  <c r="R225" i="86"/>
  <c r="Q225" i="86"/>
  <c r="S224" i="86"/>
  <c r="R224" i="86"/>
  <c r="Q224" i="86"/>
  <c r="T224" i="86" s="1"/>
  <c r="S223" i="86"/>
  <c r="R223" i="86"/>
  <c r="Q223" i="86"/>
  <c r="S221" i="86"/>
  <c r="R221" i="86"/>
  <c r="Q221" i="86"/>
  <c r="S220" i="86"/>
  <c r="R220" i="86"/>
  <c r="Q220" i="86"/>
  <c r="S219" i="86"/>
  <c r="R219" i="86"/>
  <c r="Q219" i="86"/>
  <c r="S218" i="86"/>
  <c r="R218" i="86"/>
  <c r="Q218" i="86"/>
  <c r="S217" i="86"/>
  <c r="R217" i="86"/>
  <c r="Q217" i="86"/>
  <c r="S216" i="86"/>
  <c r="R216" i="86"/>
  <c r="Q216" i="86"/>
  <c r="S215" i="86"/>
  <c r="R215" i="86"/>
  <c r="Q215" i="86"/>
  <c r="S214" i="86"/>
  <c r="R214" i="86"/>
  <c r="Q214" i="86"/>
  <c r="S213" i="86"/>
  <c r="R213" i="86"/>
  <c r="Q213" i="86"/>
  <c r="S212" i="86"/>
  <c r="R212" i="86"/>
  <c r="Q212" i="86"/>
  <c r="S211" i="86"/>
  <c r="R211" i="86"/>
  <c r="Q211" i="86"/>
  <c r="S209" i="86"/>
  <c r="R209" i="86"/>
  <c r="Q209" i="86"/>
  <c r="S208" i="86"/>
  <c r="R208" i="86"/>
  <c r="Q208" i="86"/>
  <c r="S207" i="86"/>
  <c r="R207" i="86"/>
  <c r="Q207" i="86"/>
  <c r="S206" i="86"/>
  <c r="R206" i="86"/>
  <c r="Q206" i="86"/>
  <c r="T206" i="86" s="1"/>
  <c r="S205" i="86"/>
  <c r="R205" i="86"/>
  <c r="Q205" i="86"/>
  <c r="S204" i="86"/>
  <c r="R204" i="86"/>
  <c r="Q204" i="86"/>
  <c r="S203" i="86"/>
  <c r="R203" i="86"/>
  <c r="Q203" i="86"/>
  <c r="S202" i="86"/>
  <c r="R202" i="86"/>
  <c r="Q202" i="86"/>
  <c r="T202" i="86" s="1"/>
  <c r="S201" i="86"/>
  <c r="R201" i="86"/>
  <c r="Q201" i="86"/>
  <c r="S200" i="86"/>
  <c r="R200" i="86"/>
  <c r="Q200" i="86"/>
  <c r="S199" i="86"/>
  <c r="R199" i="86"/>
  <c r="Q199" i="86"/>
  <c r="S197" i="86"/>
  <c r="R197" i="86"/>
  <c r="Q197" i="86"/>
  <c r="S196" i="86"/>
  <c r="R196" i="86"/>
  <c r="Q196" i="86"/>
  <c r="S195" i="86"/>
  <c r="R195" i="86"/>
  <c r="Q195" i="86"/>
  <c r="S194" i="86"/>
  <c r="R194" i="86"/>
  <c r="Q194" i="86"/>
  <c r="S193" i="86"/>
  <c r="R193" i="86"/>
  <c r="Q193" i="86"/>
  <c r="S192" i="86"/>
  <c r="R192" i="86"/>
  <c r="Q192" i="86"/>
  <c r="S191" i="86"/>
  <c r="R191" i="86"/>
  <c r="Q191" i="86"/>
  <c r="S190" i="86"/>
  <c r="R190" i="86"/>
  <c r="Q190" i="86"/>
  <c r="S189" i="86"/>
  <c r="R189" i="86"/>
  <c r="Q189" i="86"/>
  <c r="S188" i="86"/>
  <c r="R188" i="86"/>
  <c r="Q188" i="86"/>
  <c r="S187" i="86"/>
  <c r="R187" i="86"/>
  <c r="Q187" i="86"/>
  <c r="S185" i="86"/>
  <c r="R185" i="86"/>
  <c r="Q185" i="86"/>
  <c r="S184" i="86"/>
  <c r="R184" i="86"/>
  <c r="Q184" i="86"/>
  <c r="T184" i="86" s="1"/>
  <c r="S183" i="86"/>
  <c r="R183" i="86"/>
  <c r="Q183" i="86"/>
  <c r="S182" i="86"/>
  <c r="R182" i="86"/>
  <c r="Q182" i="86"/>
  <c r="S181" i="86"/>
  <c r="R181" i="86"/>
  <c r="Q181" i="86"/>
  <c r="S180" i="86"/>
  <c r="R180" i="86"/>
  <c r="Q180" i="86"/>
  <c r="T180" i="86" s="1"/>
  <c r="S179" i="86"/>
  <c r="R179" i="86"/>
  <c r="Q179" i="86"/>
  <c r="S178" i="86"/>
  <c r="R178" i="86"/>
  <c r="Q178" i="86"/>
  <c r="S177" i="86"/>
  <c r="R177" i="86"/>
  <c r="Q177" i="86"/>
  <c r="S176" i="86"/>
  <c r="R176" i="86"/>
  <c r="Q176" i="86"/>
  <c r="T176" i="86" s="1"/>
  <c r="S175" i="86"/>
  <c r="R175" i="86"/>
  <c r="Q175" i="86"/>
  <c r="S173" i="86"/>
  <c r="R173" i="86"/>
  <c r="Q173" i="86"/>
  <c r="S172" i="86"/>
  <c r="R172" i="86"/>
  <c r="Q172" i="86"/>
  <c r="S171" i="86"/>
  <c r="R171" i="86"/>
  <c r="Q171" i="86"/>
  <c r="S170" i="86"/>
  <c r="R170" i="86"/>
  <c r="Q170" i="86"/>
  <c r="S169" i="86"/>
  <c r="R169" i="86"/>
  <c r="Q169" i="86"/>
  <c r="S168" i="86"/>
  <c r="R168" i="86"/>
  <c r="Q168" i="86"/>
  <c r="S167" i="86"/>
  <c r="R167" i="86"/>
  <c r="Q167" i="86"/>
  <c r="S166" i="86"/>
  <c r="R166" i="86"/>
  <c r="Q166" i="86"/>
  <c r="S165" i="86"/>
  <c r="R165" i="86"/>
  <c r="Q165" i="86"/>
  <c r="S164" i="86"/>
  <c r="R164" i="86"/>
  <c r="Q164" i="86"/>
  <c r="S163" i="86"/>
  <c r="R163" i="86"/>
  <c r="Q163" i="86"/>
  <c r="S161" i="86"/>
  <c r="R161" i="86"/>
  <c r="Q161" i="86"/>
  <c r="S160" i="86"/>
  <c r="R160" i="86"/>
  <c r="Q160" i="86"/>
  <c r="S159" i="86"/>
  <c r="R159" i="86"/>
  <c r="Q159" i="86"/>
  <c r="T159" i="86" s="1"/>
  <c r="S158" i="86"/>
  <c r="R158" i="86"/>
  <c r="Q158" i="86"/>
  <c r="T158" i="86" s="1"/>
  <c r="S157" i="86"/>
  <c r="R157" i="86"/>
  <c r="Q157" i="86"/>
  <c r="S156" i="86"/>
  <c r="R156" i="86"/>
  <c r="Q156" i="86"/>
  <c r="S155" i="86"/>
  <c r="R155" i="86"/>
  <c r="Q155" i="86"/>
  <c r="T155" i="86" s="1"/>
  <c r="S154" i="86"/>
  <c r="R154" i="86"/>
  <c r="Q154" i="86"/>
  <c r="S153" i="86"/>
  <c r="R153" i="86"/>
  <c r="Q153" i="86"/>
  <c r="S152" i="86"/>
  <c r="R152" i="86"/>
  <c r="Q152" i="86"/>
  <c r="S151" i="86"/>
  <c r="R151" i="86"/>
  <c r="Q151" i="86"/>
  <c r="S149" i="86"/>
  <c r="R149" i="86"/>
  <c r="Q149" i="86"/>
  <c r="S148" i="86"/>
  <c r="R148" i="86"/>
  <c r="Q148" i="86"/>
  <c r="S147" i="86"/>
  <c r="R147" i="86"/>
  <c r="Q147" i="86"/>
  <c r="S146" i="86"/>
  <c r="R146" i="86"/>
  <c r="Q146" i="86"/>
  <c r="S145" i="86"/>
  <c r="R145" i="86"/>
  <c r="Q145" i="86"/>
  <c r="S144" i="86"/>
  <c r="R144" i="86"/>
  <c r="Q144" i="86"/>
  <c r="S143" i="86"/>
  <c r="R143" i="86"/>
  <c r="Q143" i="86"/>
  <c r="S142" i="86"/>
  <c r="R142" i="86"/>
  <c r="Q142" i="86"/>
  <c r="S141" i="86"/>
  <c r="R141" i="86"/>
  <c r="Q141" i="86"/>
  <c r="S140" i="86"/>
  <c r="R140" i="86"/>
  <c r="Q140" i="86"/>
  <c r="S139" i="86"/>
  <c r="R139" i="86"/>
  <c r="Q139" i="86"/>
  <c r="S137" i="86"/>
  <c r="R137" i="86"/>
  <c r="Q137" i="86"/>
  <c r="T137" i="86" s="1"/>
  <c r="S136" i="86"/>
  <c r="R136" i="86"/>
  <c r="Q136" i="86"/>
  <c r="T136" i="86" s="1"/>
  <c r="S135" i="86"/>
  <c r="R135" i="86"/>
  <c r="Q135" i="86"/>
  <c r="S134" i="86"/>
  <c r="R134" i="86"/>
  <c r="Q134" i="86"/>
  <c r="S133" i="86"/>
  <c r="R133" i="86"/>
  <c r="Q133" i="86"/>
  <c r="T133" i="86" s="1"/>
  <c r="S132" i="86"/>
  <c r="R132" i="86"/>
  <c r="Q132" i="86"/>
  <c r="T132" i="86" s="1"/>
  <c r="S131" i="86"/>
  <c r="R131" i="86"/>
  <c r="Q131" i="86"/>
  <c r="S130" i="86"/>
  <c r="R130" i="86"/>
  <c r="Q130" i="86"/>
  <c r="S129" i="86"/>
  <c r="R129" i="86"/>
  <c r="Q129" i="86"/>
  <c r="T129" i="86" s="1"/>
  <c r="S128" i="86"/>
  <c r="R128" i="86"/>
  <c r="Q128" i="86"/>
  <c r="S127" i="86"/>
  <c r="R127" i="86"/>
  <c r="Q127" i="86"/>
  <c r="S125" i="86"/>
  <c r="R125" i="86"/>
  <c r="T125" i="86" s="1"/>
  <c r="Q125" i="86"/>
  <c r="S124" i="86"/>
  <c r="R124" i="86"/>
  <c r="Q124" i="86"/>
  <c r="S123" i="86"/>
  <c r="R123" i="86"/>
  <c r="Q123" i="86"/>
  <c r="S122" i="86"/>
  <c r="R122" i="86"/>
  <c r="Q122" i="86"/>
  <c r="S121" i="86"/>
  <c r="R121" i="86"/>
  <c r="T121" i="86" s="1"/>
  <c r="Q121" i="86"/>
  <c r="S120" i="86"/>
  <c r="R120" i="86"/>
  <c r="Q120" i="86"/>
  <c r="S119" i="86"/>
  <c r="R119" i="86"/>
  <c r="Q119" i="86"/>
  <c r="S118" i="86"/>
  <c r="R118" i="86"/>
  <c r="Q118" i="86"/>
  <c r="S117" i="86"/>
  <c r="R117" i="86"/>
  <c r="T117" i="86" s="1"/>
  <c r="Q117" i="86"/>
  <c r="S116" i="86"/>
  <c r="R116" i="86"/>
  <c r="Q116" i="86"/>
  <c r="S115" i="86"/>
  <c r="R115" i="86"/>
  <c r="Q115" i="86"/>
  <c r="S113" i="86"/>
  <c r="R113" i="86"/>
  <c r="Q113" i="86"/>
  <c r="S112" i="86"/>
  <c r="R112" i="86"/>
  <c r="Q112" i="86"/>
  <c r="S111" i="86"/>
  <c r="R111" i="86"/>
  <c r="Q111" i="86"/>
  <c r="T111" i="86" s="1"/>
  <c r="S110" i="86"/>
  <c r="R110" i="86"/>
  <c r="Q110" i="86"/>
  <c r="S109" i="86"/>
  <c r="R109" i="86"/>
  <c r="Q109" i="86"/>
  <c r="S108" i="86"/>
  <c r="R108" i="86"/>
  <c r="Q108" i="86"/>
  <c r="S107" i="86"/>
  <c r="R107" i="86"/>
  <c r="Q107" i="86"/>
  <c r="T107" i="86" s="1"/>
  <c r="S106" i="86"/>
  <c r="R106" i="86"/>
  <c r="Q106" i="86"/>
  <c r="S105" i="86"/>
  <c r="R105" i="86"/>
  <c r="Q105" i="86"/>
  <c r="S104" i="86"/>
  <c r="R104" i="86"/>
  <c r="Q104" i="86"/>
  <c r="S103" i="86"/>
  <c r="R103" i="86"/>
  <c r="Q103" i="86"/>
  <c r="T103" i="86" s="1"/>
  <c r="S101" i="86"/>
  <c r="R101" i="86"/>
  <c r="Q101" i="86"/>
  <c r="S100" i="86"/>
  <c r="R100" i="86"/>
  <c r="Q100" i="86"/>
  <c r="S99" i="86"/>
  <c r="R99" i="86"/>
  <c r="T99" i="86" s="1"/>
  <c r="Q99" i="86"/>
  <c r="S98" i="86"/>
  <c r="R98" i="86"/>
  <c r="Q98" i="86"/>
  <c r="S97" i="86"/>
  <c r="R97" i="86"/>
  <c r="Q97" i="86"/>
  <c r="S96" i="86"/>
  <c r="R96" i="86"/>
  <c r="Q96" i="86"/>
  <c r="S95" i="86"/>
  <c r="R95" i="86"/>
  <c r="T95" i="86" s="1"/>
  <c r="Q95" i="86"/>
  <c r="S94" i="86"/>
  <c r="R94" i="86"/>
  <c r="Q94" i="86"/>
  <c r="S93" i="86"/>
  <c r="R93" i="86"/>
  <c r="Q93" i="86"/>
  <c r="S92" i="86"/>
  <c r="R92" i="86"/>
  <c r="Q92" i="86"/>
  <c r="S91" i="86"/>
  <c r="R91" i="86"/>
  <c r="T91" i="86" s="1"/>
  <c r="Q91" i="86"/>
  <c r="S89" i="86"/>
  <c r="R89" i="86"/>
  <c r="Q89" i="86"/>
  <c r="T89" i="86" s="1"/>
  <c r="S88" i="86"/>
  <c r="R88" i="86"/>
  <c r="Q88" i="86"/>
  <c r="S87" i="86"/>
  <c r="R87" i="86"/>
  <c r="Q87" i="86"/>
  <c r="S86" i="86"/>
  <c r="R86" i="86"/>
  <c r="Q86" i="86"/>
  <c r="S85" i="86"/>
  <c r="R85" i="86"/>
  <c r="Q85" i="86"/>
  <c r="T85" i="86" s="1"/>
  <c r="S84" i="86"/>
  <c r="R84" i="86"/>
  <c r="Q84" i="86"/>
  <c r="S83" i="86"/>
  <c r="R83" i="86"/>
  <c r="Q83" i="86"/>
  <c r="S82" i="86"/>
  <c r="R82" i="86"/>
  <c r="Q82" i="86"/>
  <c r="S81" i="86"/>
  <c r="R81" i="86"/>
  <c r="Q81" i="86"/>
  <c r="T81" i="86" s="1"/>
  <c r="S80" i="86"/>
  <c r="R80" i="86"/>
  <c r="Q80" i="86"/>
  <c r="S79" i="86"/>
  <c r="R79" i="86"/>
  <c r="Q79" i="86"/>
  <c r="S77" i="86"/>
  <c r="R77" i="86"/>
  <c r="T77" i="86" s="1"/>
  <c r="Q77" i="86"/>
  <c r="S76" i="86"/>
  <c r="R76" i="86"/>
  <c r="Q76" i="86"/>
  <c r="S75" i="86"/>
  <c r="R75" i="86"/>
  <c r="Q75" i="86"/>
  <c r="S74" i="86"/>
  <c r="R74" i="86"/>
  <c r="Q74" i="86"/>
  <c r="S73" i="86"/>
  <c r="R73" i="86"/>
  <c r="T73" i="86" s="1"/>
  <c r="Q73" i="86"/>
  <c r="S72" i="86"/>
  <c r="R72" i="86"/>
  <c r="Q72" i="86"/>
  <c r="S71" i="86"/>
  <c r="R71" i="86"/>
  <c r="Q71" i="86"/>
  <c r="S70" i="86"/>
  <c r="R70" i="86"/>
  <c r="Q70" i="86"/>
  <c r="S69" i="86"/>
  <c r="R69" i="86"/>
  <c r="T69" i="86" s="1"/>
  <c r="Q69" i="86"/>
  <c r="S68" i="86"/>
  <c r="R68" i="86"/>
  <c r="Q68" i="86"/>
  <c r="S67" i="86"/>
  <c r="R67" i="86"/>
  <c r="Q67" i="86"/>
  <c r="S65" i="86"/>
  <c r="R65" i="86"/>
  <c r="Q65" i="86"/>
  <c r="S64" i="86"/>
  <c r="R64" i="86"/>
  <c r="T64" i="86" s="1"/>
  <c r="Q64" i="86"/>
  <c r="S63" i="86"/>
  <c r="R63" i="86"/>
  <c r="Q63" i="86"/>
  <c r="S62" i="86"/>
  <c r="R62" i="86"/>
  <c r="Q62" i="86"/>
  <c r="S61" i="86"/>
  <c r="R61" i="86"/>
  <c r="Q61" i="86"/>
  <c r="S60" i="86"/>
  <c r="R60" i="86"/>
  <c r="T60" i="86" s="1"/>
  <c r="Q60" i="86"/>
  <c r="S59" i="86"/>
  <c r="R59" i="86"/>
  <c r="Q59" i="86"/>
  <c r="S58" i="86"/>
  <c r="R58" i="86"/>
  <c r="Q58" i="86"/>
  <c r="S57" i="86"/>
  <c r="R57" i="86"/>
  <c r="Q57" i="86"/>
  <c r="S56" i="86"/>
  <c r="R56" i="86"/>
  <c r="T56" i="86" s="1"/>
  <c r="Q56" i="86"/>
  <c r="S55" i="86"/>
  <c r="R55" i="86"/>
  <c r="Q55" i="86"/>
  <c r="S53" i="86"/>
  <c r="R53" i="86"/>
  <c r="Q53" i="86"/>
  <c r="S52" i="86"/>
  <c r="R52" i="86"/>
  <c r="Q52" i="86"/>
  <c r="S51" i="86"/>
  <c r="R51" i="86"/>
  <c r="T51" i="86" s="1"/>
  <c r="Q51" i="86"/>
  <c r="S50" i="86"/>
  <c r="R50" i="86"/>
  <c r="Q50" i="86"/>
  <c r="S49" i="86"/>
  <c r="R49" i="86"/>
  <c r="Q49" i="86"/>
  <c r="S48" i="86"/>
  <c r="R48" i="86"/>
  <c r="Q48" i="86"/>
  <c r="S47" i="86"/>
  <c r="R47" i="86"/>
  <c r="T47" i="86" s="1"/>
  <c r="Q47" i="86"/>
  <c r="S46" i="86"/>
  <c r="R46" i="86"/>
  <c r="Q46" i="86"/>
  <c r="S45" i="86"/>
  <c r="R45" i="86"/>
  <c r="Q45" i="86"/>
  <c r="S44" i="86"/>
  <c r="R44" i="86"/>
  <c r="Q44" i="86"/>
  <c r="S43" i="86"/>
  <c r="R43" i="86"/>
  <c r="T43" i="86" s="1"/>
  <c r="Q43" i="86"/>
  <c r="S41" i="86"/>
  <c r="R41" i="86"/>
  <c r="Q41" i="86"/>
  <c r="S40" i="86"/>
  <c r="R40" i="86"/>
  <c r="Q40" i="86"/>
  <c r="S39" i="86"/>
  <c r="R39" i="86"/>
  <c r="Q39" i="86"/>
  <c r="S38" i="86"/>
  <c r="R38" i="86"/>
  <c r="T38" i="86" s="1"/>
  <c r="Q38" i="86"/>
  <c r="S37" i="86"/>
  <c r="R37" i="86"/>
  <c r="Q37" i="86"/>
  <c r="S36" i="86"/>
  <c r="R36" i="86"/>
  <c r="Q36" i="86"/>
  <c r="S35" i="86"/>
  <c r="R35" i="86"/>
  <c r="Q35" i="86"/>
  <c r="S34" i="86"/>
  <c r="R34" i="86"/>
  <c r="T34" i="86" s="1"/>
  <c r="Q34" i="86"/>
  <c r="S33" i="86"/>
  <c r="R33" i="86"/>
  <c r="Q33" i="86"/>
  <c r="S32" i="86"/>
  <c r="R32" i="86"/>
  <c r="Q32" i="86"/>
  <c r="S31" i="86"/>
  <c r="R31" i="86"/>
  <c r="Q31" i="86"/>
  <c r="S29" i="86"/>
  <c r="R29" i="86"/>
  <c r="T29" i="86" s="1"/>
  <c r="Q29" i="86"/>
  <c r="S28" i="86"/>
  <c r="R28" i="86"/>
  <c r="Q28" i="86"/>
  <c r="S27" i="86"/>
  <c r="R27" i="86"/>
  <c r="Q27" i="86"/>
  <c r="S26" i="86"/>
  <c r="R26" i="86"/>
  <c r="Q26" i="86"/>
  <c r="S25" i="86"/>
  <c r="R25" i="86"/>
  <c r="T25" i="86" s="1"/>
  <c r="Q25" i="86"/>
  <c r="S24" i="86"/>
  <c r="R24" i="86"/>
  <c r="Q24" i="86"/>
  <c r="S23" i="86"/>
  <c r="R23" i="86"/>
  <c r="Q23" i="86"/>
  <c r="S22" i="86"/>
  <c r="R22" i="86"/>
  <c r="Q22" i="86"/>
  <c r="S21" i="86"/>
  <c r="R21" i="86"/>
  <c r="T21" i="86" s="1"/>
  <c r="Q21" i="86"/>
  <c r="S20" i="86"/>
  <c r="R20" i="86"/>
  <c r="Q20" i="86"/>
  <c r="S19" i="86"/>
  <c r="R19" i="86"/>
  <c r="Q19" i="86"/>
  <c r="Q8" i="86"/>
  <c r="R8" i="86"/>
  <c r="S8" i="86"/>
  <c r="Q9" i="86"/>
  <c r="R9" i="86"/>
  <c r="S9" i="86"/>
  <c r="Q10" i="86"/>
  <c r="R10" i="86"/>
  <c r="S10" i="86"/>
  <c r="Q11" i="86"/>
  <c r="R11" i="86"/>
  <c r="S11" i="86"/>
  <c r="Q12" i="86"/>
  <c r="R12" i="86"/>
  <c r="S12" i="86"/>
  <c r="Q13" i="86"/>
  <c r="R13" i="86"/>
  <c r="S13" i="86"/>
  <c r="Q14" i="86"/>
  <c r="R14" i="86"/>
  <c r="S14" i="86"/>
  <c r="Q15" i="86"/>
  <c r="R15" i="86"/>
  <c r="S15" i="86"/>
  <c r="Q16" i="86"/>
  <c r="R16" i="86"/>
  <c r="S16" i="86"/>
  <c r="Q17" i="86"/>
  <c r="R17" i="86"/>
  <c r="S17" i="86"/>
  <c r="S7" i="86"/>
  <c r="R7" i="86"/>
  <c r="Q7" i="86"/>
  <c r="S208" i="81"/>
  <c r="R208" i="81"/>
  <c r="Q208" i="81"/>
  <c r="S207" i="81"/>
  <c r="R207" i="81"/>
  <c r="Q207" i="81"/>
  <c r="S206" i="81"/>
  <c r="R206" i="81"/>
  <c r="Q206" i="81"/>
  <c r="S205" i="81"/>
  <c r="R205" i="81"/>
  <c r="Q205" i="81"/>
  <c r="S203" i="81"/>
  <c r="R203" i="81"/>
  <c r="Q203" i="81"/>
  <c r="S202" i="81"/>
  <c r="R202" i="81"/>
  <c r="Q202" i="81"/>
  <c r="S201" i="81"/>
  <c r="R201" i="81"/>
  <c r="Q201" i="81"/>
  <c r="S200" i="81"/>
  <c r="R200" i="81"/>
  <c r="Q200" i="81"/>
  <c r="T200" i="81" s="1"/>
  <c r="S198" i="81"/>
  <c r="R198" i="81"/>
  <c r="Q198" i="81"/>
  <c r="S197" i="81"/>
  <c r="R197" i="81"/>
  <c r="Q197" i="81"/>
  <c r="S196" i="81"/>
  <c r="R196" i="81"/>
  <c r="T196" i="81" s="1"/>
  <c r="Q196" i="81"/>
  <c r="S195" i="81"/>
  <c r="R195" i="81"/>
  <c r="Q195" i="81"/>
  <c r="S193" i="81"/>
  <c r="R193" i="81"/>
  <c r="Q193" i="81"/>
  <c r="S192" i="81"/>
  <c r="R192" i="81"/>
  <c r="Q192" i="81"/>
  <c r="S191" i="81"/>
  <c r="R191" i="81"/>
  <c r="T191" i="81" s="1"/>
  <c r="Q191" i="81"/>
  <c r="S190" i="81"/>
  <c r="R190" i="81"/>
  <c r="Q190" i="81"/>
  <c r="S188" i="81"/>
  <c r="R188" i="81"/>
  <c r="Q188" i="81"/>
  <c r="S187" i="81"/>
  <c r="R187" i="81"/>
  <c r="Q187" i="81"/>
  <c r="S186" i="81"/>
  <c r="R186" i="81"/>
  <c r="Q186" i="81"/>
  <c r="S185" i="81"/>
  <c r="R185" i="81"/>
  <c r="Q185" i="81"/>
  <c r="T185" i="81" s="1"/>
  <c r="S183" i="81"/>
  <c r="R183" i="81"/>
  <c r="Q183" i="81"/>
  <c r="S182" i="81"/>
  <c r="R182" i="81"/>
  <c r="Q182" i="81"/>
  <c r="S181" i="81"/>
  <c r="R181" i="81"/>
  <c r="T181" i="81" s="1"/>
  <c r="Q181" i="81"/>
  <c r="S180" i="81"/>
  <c r="R180" i="81"/>
  <c r="Q180" i="81"/>
  <c r="S178" i="81"/>
  <c r="R178" i="81"/>
  <c r="Q178" i="81"/>
  <c r="S177" i="81"/>
  <c r="R177" i="81"/>
  <c r="Q177" i="81"/>
  <c r="S176" i="81"/>
  <c r="R176" i="81"/>
  <c r="Q176" i="81"/>
  <c r="S175" i="81"/>
  <c r="R175" i="81"/>
  <c r="Q175" i="81"/>
  <c r="S173" i="81"/>
  <c r="R173" i="81"/>
  <c r="Q173" i="81"/>
  <c r="S172" i="81"/>
  <c r="R172" i="81"/>
  <c r="Q172" i="81"/>
  <c r="S171" i="81"/>
  <c r="R171" i="81"/>
  <c r="Q171" i="81"/>
  <c r="S170" i="81"/>
  <c r="R170" i="81"/>
  <c r="Q170" i="81"/>
  <c r="S168" i="81"/>
  <c r="R168" i="81"/>
  <c r="Q168" i="81"/>
  <c r="S167" i="81"/>
  <c r="R167" i="81"/>
  <c r="Q167" i="81"/>
  <c r="S166" i="81"/>
  <c r="R166" i="81"/>
  <c r="Q166" i="81"/>
  <c r="S165" i="81"/>
  <c r="R165" i="81"/>
  <c r="Q165" i="81"/>
  <c r="S163" i="81"/>
  <c r="R163" i="81"/>
  <c r="Q163" i="81"/>
  <c r="S162" i="81"/>
  <c r="R162" i="81"/>
  <c r="Q162" i="81"/>
  <c r="S161" i="81"/>
  <c r="R161" i="81"/>
  <c r="Q161" i="81"/>
  <c r="S160" i="81"/>
  <c r="R160" i="81"/>
  <c r="Q160" i="81"/>
  <c r="S158" i="81"/>
  <c r="R158" i="81"/>
  <c r="Q158" i="81"/>
  <c r="S157" i="81"/>
  <c r="R157" i="81"/>
  <c r="Q157" i="81"/>
  <c r="S156" i="81"/>
  <c r="R156" i="81"/>
  <c r="Q156" i="81"/>
  <c r="S155" i="81"/>
  <c r="R155" i="81"/>
  <c r="Q155" i="81"/>
  <c r="S153" i="81"/>
  <c r="R153" i="81"/>
  <c r="Q153" i="81"/>
  <c r="S152" i="81"/>
  <c r="R152" i="81"/>
  <c r="Q152" i="81"/>
  <c r="S151" i="81"/>
  <c r="R151" i="81"/>
  <c r="Q151" i="81"/>
  <c r="S150" i="81"/>
  <c r="R150" i="81"/>
  <c r="Q150" i="81"/>
  <c r="S148" i="81"/>
  <c r="R148" i="81"/>
  <c r="Q148" i="81"/>
  <c r="S147" i="81"/>
  <c r="R147" i="81"/>
  <c r="Q147" i="81"/>
  <c r="S146" i="81"/>
  <c r="R146" i="81"/>
  <c r="Q146" i="81"/>
  <c r="S145" i="81"/>
  <c r="R145" i="81"/>
  <c r="Q145" i="81"/>
  <c r="S143" i="81"/>
  <c r="R143" i="81"/>
  <c r="Q143" i="81"/>
  <c r="S142" i="81"/>
  <c r="R142" i="81"/>
  <c r="Q142" i="81"/>
  <c r="S141" i="81"/>
  <c r="R141" i="81"/>
  <c r="Q141" i="81"/>
  <c r="S140" i="81"/>
  <c r="R140" i="81"/>
  <c r="Q140" i="81"/>
  <c r="S138" i="81"/>
  <c r="R138" i="81"/>
  <c r="Q138" i="81"/>
  <c r="S137" i="81"/>
  <c r="R137" i="81"/>
  <c r="Q137" i="81"/>
  <c r="S136" i="81"/>
  <c r="R136" i="81"/>
  <c r="Q136" i="81"/>
  <c r="S135" i="81"/>
  <c r="R135" i="81"/>
  <c r="Q135" i="81"/>
  <c r="S133" i="81"/>
  <c r="R133" i="81"/>
  <c r="Q133" i="81"/>
  <c r="T133" i="81" s="1"/>
  <c r="S132" i="81"/>
  <c r="R132" i="81"/>
  <c r="Q132" i="81"/>
  <c r="S131" i="81"/>
  <c r="R131" i="81"/>
  <c r="Q131" i="81"/>
  <c r="S130" i="81"/>
  <c r="R130" i="81"/>
  <c r="Q130" i="81"/>
  <c r="S128" i="81"/>
  <c r="R128" i="81"/>
  <c r="Q128" i="81"/>
  <c r="S127" i="81"/>
  <c r="R127" i="81"/>
  <c r="Q127" i="81"/>
  <c r="S126" i="81"/>
  <c r="R126" i="81"/>
  <c r="Q126" i="81"/>
  <c r="S125" i="81"/>
  <c r="R125" i="81"/>
  <c r="Q125" i="81"/>
  <c r="S123" i="81"/>
  <c r="R123" i="81"/>
  <c r="Q123" i="81"/>
  <c r="T123" i="81" s="1"/>
  <c r="S122" i="81"/>
  <c r="R122" i="81"/>
  <c r="Q122" i="81"/>
  <c r="S121" i="81"/>
  <c r="R121" i="81"/>
  <c r="Q121" i="81"/>
  <c r="S120" i="81"/>
  <c r="R120" i="81"/>
  <c r="Q120" i="81"/>
  <c r="S118" i="81"/>
  <c r="R118" i="81"/>
  <c r="Q118" i="81"/>
  <c r="S117" i="81"/>
  <c r="R117" i="81"/>
  <c r="Q117" i="81"/>
  <c r="S116" i="81"/>
  <c r="R116" i="81"/>
  <c r="Q116" i="81"/>
  <c r="S115" i="81"/>
  <c r="R115" i="81"/>
  <c r="Q115" i="81"/>
  <c r="S113" i="81"/>
  <c r="R113" i="81"/>
  <c r="Q113" i="81"/>
  <c r="T113" i="81" s="1"/>
  <c r="S112" i="81"/>
  <c r="R112" i="81"/>
  <c r="Q112" i="81"/>
  <c r="S111" i="81"/>
  <c r="R111" i="81"/>
  <c r="Q111" i="81"/>
  <c r="S110" i="81"/>
  <c r="R110" i="81"/>
  <c r="Q110" i="81"/>
  <c r="S108" i="81"/>
  <c r="R108" i="81"/>
  <c r="Q108" i="81"/>
  <c r="S107" i="81"/>
  <c r="R107" i="81"/>
  <c r="Q107" i="81"/>
  <c r="S106" i="81"/>
  <c r="R106" i="81"/>
  <c r="Q106" i="81"/>
  <c r="S105" i="81"/>
  <c r="R105" i="81"/>
  <c r="Q105" i="81"/>
  <c r="S103" i="81"/>
  <c r="R103" i="81"/>
  <c r="Q103" i="81"/>
  <c r="S102" i="81"/>
  <c r="R102" i="81"/>
  <c r="Q102" i="81"/>
  <c r="S101" i="81"/>
  <c r="R101" i="81"/>
  <c r="Q101" i="81"/>
  <c r="S100" i="81"/>
  <c r="R100" i="81"/>
  <c r="Q100" i="81"/>
  <c r="S98" i="81"/>
  <c r="R98" i="81"/>
  <c r="Q98" i="81"/>
  <c r="T98" i="81" s="1"/>
  <c r="S97" i="81"/>
  <c r="R97" i="81"/>
  <c r="Q97" i="81"/>
  <c r="S96" i="81"/>
  <c r="R96" i="81"/>
  <c r="Q96" i="81"/>
  <c r="S95" i="81"/>
  <c r="R95" i="81"/>
  <c r="Q95" i="81"/>
  <c r="S93" i="81"/>
  <c r="R93" i="81"/>
  <c r="Q93" i="81"/>
  <c r="S92" i="81"/>
  <c r="R92" i="81"/>
  <c r="Q92" i="81"/>
  <c r="S91" i="81"/>
  <c r="R91" i="81"/>
  <c r="Q91" i="81"/>
  <c r="S90" i="81"/>
  <c r="R90" i="81"/>
  <c r="Q90" i="81"/>
  <c r="S88" i="81"/>
  <c r="R88" i="81"/>
  <c r="Q88" i="81"/>
  <c r="T88" i="81" s="1"/>
  <c r="S87" i="81"/>
  <c r="R87" i="81"/>
  <c r="Q87" i="81"/>
  <c r="S86" i="81"/>
  <c r="R86" i="81"/>
  <c r="Q86" i="81"/>
  <c r="S85" i="81"/>
  <c r="R85" i="81"/>
  <c r="Q85" i="81"/>
  <c r="S83" i="81"/>
  <c r="R83" i="81"/>
  <c r="Q83" i="81"/>
  <c r="S82" i="81"/>
  <c r="R82" i="81"/>
  <c r="Q82" i="81"/>
  <c r="S81" i="81"/>
  <c r="R81" i="81"/>
  <c r="Q81" i="81"/>
  <c r="S80" i="81"/>
  <c r="R80" i="81"/>
  <c r="Q80" i="81"/>
  <c r="S78" i="81"/>
  <c r="R78" i="81"/>
  <c r="Q78" i="81"/>
  <c r="T78" i="81" s="1"/>
  <c r="S77" i="81"/>
  <c r="R77" i="81"/>
  <c r="Q77" i="81"/>
  <c r="S76" i="81"/>
  <c r="R76" i="81"/>
  <c r="Q76" i="81"/>
  <c r="S75" i="81"/>
  <c r="R75" i="81"/>
  <c r="Q75" i="81"/>
  <c r="S73" i="81"/>
  <c r="R73" i="81"/>
  <c r="Q73" i="81"/>
  <c r="S72" i="81"/>
  <c r="R72" i="81"/>
  <c r="Q72" i="81"/>
  <c r="S71" i="81"/>
  <c r="R71" i="81"/>
  <c r="Q71" i="81"/>
  <c r="S70" i="81"/>
  <c r="R70" i="81"/>
  <c r="Q70" i="81"/>
  <c r="S68" i="81"/>
  <c r="R68" i="81"/>
  <c r="Q68" i="81"/>
  <c r="T68" i="81" s="1"/>
  <c r="S67" i="81"/>
  <c r="R67" i="81"/>
  <c r="Q67" i="81"/>
  <c r="S66" i="81"/>
  <c r="R66" i="81"/>
  <c r="Q66" i="81"/>
  <c r="S65" i="81"/>
  <c r="R65" i="81"/>
  <c r="Q65" i="81"/>
  <c r="S63" i="81"/>
  <c r="R63" i="81"/>
  <c r="Q63" i="81"/>
  <c r="S62" i="81"/>
  <c r="R62" i="81"/>
  <c r="Q62" i="81"/>
  <c r="S61" i="81"/>
  <c r="R61" i="81"/>
  <c r="Q61" i="81"/>
  <c r="S60" i="81"/>
  <c r="R60" i="81"/>
  <c r="Q60" i="81"/>
  <c r="S58" i="81"/>
  <c r="R58" i="81"/>
  <c r="Q58" i="81"/>
  <c r="S57" i="81"/>
  <c r="R57" i="81"/>
  <c r="Q57" i="81"/>
  <c r="S56" i="81"/>
  <c r="R56" i="81"/>
  <c r="Q56" i="81"/>
  <c r="S55" i="81"/>
  <c r="R55" i="81"/>
  <c r="Q55" i="81"/>
  <c r="S53" i="81"/>
  <c r="R53" i="81"/>
  <c r="Q53" i="81"/>
  <c r="S52" i="81"/>
  <c r="R52" i="81"/>
  <c r="Q52" i="81"/>
  <c r="S51" i="81"/>
  <c r="R51" i="81"/>
  <c r="Q51" i="81"/>
  <c r="S50" i="81"/>
  <c r="R50" i="81"/>
  <c r="Q50" i="81"/>
  <c r="S48" i="81"/>
  <c r="R48" i="81"/>
  <c r="Q48" i="81"/>
  <c r="S47" i="81"/>
  <c r="R47" i="81"/>
  <c r="Q47" i="81"/>
  <c r="S46" i="81"/>
  <c r="R46" i="81"/>
  <c r="Q46" i="81"/>
  <c r="S45" i="81"/>
  <c r="R45" i="81"/>
  <c r="Q45" i="81"/>
  <c r="S43" i="81"/>
  <c r="R43" i="81"/>
  <c r="Q43" i="81"/>
  <c r="S42" i="81"/>
  <c r="R42" i="81"/>
  <c r="Q42" i="81"/>
  <c r="S41" i="81"/>
  <c r="R41" i="81"/>
  <c r="Q41" i="81"/>
  <c r="S40" i="81"/>
  <c r="R40" i="81"/>
  <c r="Q40" i="81"/>
  <c r="S38" i="81"/>
  <c r="R38" i="81"/>
  <c r="Q38" i="81"/>
  <c r="S37" i="81"/>
  <c r="R37" i="81"/>
  <c r="Q37" i="81"/>
  <c r="S36" i="81"/>
  <c r="R36" i="81"/>
  <c r="Q36" i="81"/>
  <c r="S35" i="81"/>
  <c r="R35" i="81"/>
  <c r="Q35" i="81"/>
  <c r="S33" i="81"/>
  <c r="R33" i="81"/>
  <c r="Q33" i="81"/>
  <c r="S32" i="81"/>
  <c r="R32" i="81"/>
  <c r="Q32" i="81"/>
  <c r="S31" i="81"/>
  <c r="R31" i="81"/>
  <c r="Q31" i="81"/>
  <c r="S30" i="81"/>
  <c r="R30" i="81"/>
  <c r="Q30" i="81"/>
  <c r="S28" i="81"/>
  <c r="R28" i="81"/>
  <c r="Q28" i="81"/>
  <c r="T28" i="81" s="1"/>
  <c r="S27" i="81"/>
  <c r="R27" i="81"/>
  <c r="Q27" i="81"/>
  <c r="S26" i="81"/>
  <c r="R26" i="81"/>
  <c r="Q26" i="81"/>
  <c r="S25" i="81"/>
  <c r="R25" i="81"/>
  <c r="Q25" i="81"/>
  <c r="S23" i="81"/>
  <c r="R23" i="81"/>
  <c r="Q23" i="81"/>
  <c r="S22" i="81"/>
  <c r="R22" i="81"/>
  <c r="Q22" i="81"/>
  <c r="S21" i="81"/>
  <c r="R21" i="81"/>
  <c r="Q21" i="81"/>
  <c r="S20" i="81"/>
  <c r="R20" i="81"/>
  <c r="Q20" i="81"/>
  <c r="S18" i="81"/>
  <c r="R18" i="81"/>
  <c r="Q18" i="81"/>
  <c r="T18" i="81" s="1"/>
  <c r="S17" i="81"/>
  <c r="R17" i="81"/>
  <c r="Q17" i="81"/>
  <c r="S16" i="81"/>
  <c r="R16" i="81"/>
  <c r="Q16" i="81"/>
  <c r="S15" i="81"/>
  <c r="R15" i="81"/>
  <c r="Q15" i="81"/>
  <c r="Q13" i="81"/>
  <c r="R13" i="81"/>
  <c r="S13" i="81"/>
  <c r="S12" i="81"/>
  <c r="R12" i="81"/>
  <c r="Q12" i="81"/>
  <c r="S11" i="81"/>
  <c r="R11" i="81"/>
  <c r="Q11" i="81"/>
  <c r="S10" i="81"/>
  <c r="R10" i="81"/>
  <c r="Q10" i="81"/>
  <c r="S166" i="77"/>
  <c r="R166" i="77"/>
  <c r="Q166" i="77"/>
  <c r="S165" i="77"/>
  <c r="R165" i="77"/>
  <c r="Q165" i="77"/>
  <c r="S164" i="77"/>
  <c r="R164" i="77"/>
  <c r="Q164" i="77"/>
  <c r="T164" i="77" s="1"/>
  <c r="S162" i="77"/>
  <c r="R162" i="77"/>
  <c r="Q162" i="77"/>
  <c r="S161" i="77"/>
  <c r="R161" i="77"/>
  <c r="Q161" i="77"/>
  <c r="S160" i="77"/>
  <c r="R160" i="77"/>
  <c r="Q160" i="77"/>
  <c r="S158" i="77"/>
  <c r="R158" i="77"/>
  <c r="Q158" i="77"/>
  <c r="T158" i="77" s="1"/>
  <c r="S157" i="77"/>
  <c r="R157" i="77"/>
  <c r="Q157" i="77"/>
  <c r="S156" i="77"/>
  <c r="R156" i="77"/>
  <c r="Q156" i="77"/>
  <c r="S154" i="77"/>
  <c r="R154" i="77"/>
  <c r="Q154" i="77"/>
  <c r="S153" i="77"/>
  <c r="R153" i="77"/>
  <c r="Q153" i="77"/>
  <c r="S152" i="77"/>
  <c r="R152" i="77"/>
  <c r="Q152" i="77"/>
  <c r="S150" i="77"/>
  <c r="R150" i="77"/>
  <c r="Q150" i="77"/>
  <c r="S149" i="77"/>
  <c r="R149" i="77"/>
  <c r="Q149" i="77"/>
  <c r="S148" i="77"/>
  <c r="R148" i="77"/>
  <c r="Q148" i="77"/>
  <c r="S146" i="77"/>
  <c r="R146" i="77"/>
  <c r="Q146" i="77"/>
  <c r="S145" i="77"/>
  <c r="R145" i="77"/>
  <c r="Q145" i="77"/>
  <c r="S144" i="77"/>
  <c r="R144" i="77"/>
  <c r="Q144" i="77"/>
  <c r="S142" i="77"/>
  <c r="R142" i="77"/>
  <c r="Q142" i="77"/>
  <c r="S141" i="77"/>
  <c r="R141" i="77"/>
  <c r="Q141" i="77"/>
  <c r="S140" i="77"/>
  <c r="R140" i="77"/>
  <c r="Q140" i="77"/>
  <c r="S138" i="77"/>
  <c r="R138" i="77"/>
  <c r="Q138" i="77"/>
  <c r="S137" i="77"/>
  <c r="R137" i="77"/>
  <c r="Q137" i="77"/>
  <c r="T137" i="77" s="1"/>
  <c r="S136" i="77"/>
  <c r="R136" i="77"/>
  <c r="Q136" i="77"/>
  <c r="S134" i="77"/>
  <c r="R134" i="77"/>
  <c r="Q134" i="77"/>
  <c r="S133" i="77"/>
  <c r="R133" i="77"/>
  <c r="Q133" i="77"/>
  <c r="S132" i="77"/>
  <c r="R132" i="77"/>
  <c r="Q132" i="77"/>
  <c r="S130" i="77"/>
  <c r="R130" i="77"/>
  <c r="Q130" i="77"/>
  <c r="S129" i="77"/>
  <c r="R129" i="77"/>
  <c r="Q129" i="77"/>
  <c r="S128" i="77"/>
  <c r="R128" i="77"/>
  <c r="Q128" i="77"/>
  <c r="S126" i="77"/>
  <c r="R126" i="77"/>
  <c r="Q126" i="77"/>
  <c r="T126" i="77" s="1"/>
  <c r="S125" i="77"/>
  <c r="R125" i="77"/>
  <c r="Q125" i="77"/>
  <c r="S124" i="77"/>
  <c r="R124" i="77"/>
  <c r="Q124" i="77"/>
  <c r="S122" i="77"/>
  <c r="R122" i="77"/>
  <c r="Q122" i="77"/>
  <c r="S121" i="77"/>
  <c r="R121" i="77"/>
  <c r="Q121" i="77"/>
  <c r="S120" i="77"/>
  <c r="R120" i="77"/>
  <c r="Q120" i="77"/>
  <c r="S118" i="77"/>
  <c r="R118" i="77"/>
  <c r="Q118" i="77"/>
  <c r="S117" i="77"/>
  <c r="R117" i="77"/>
  <c r="Q117" i="77"/>
  <c r="S116" i="77"/>
  <c r="R116" i="77"/>
  <c r="Q116" i="77"/>
  <c r="T116" i="77" s="1"/>
  <c r="S114" i="77"/>
  <c r="R114" i="77"/>
  <c r="Q114" i="77"/>
  <c r="S113" i="77"/>
  <c r="R113" i="77"/>
  <c r="Q113" i="77"/>
  <c r="S112" i="77"/>
  <c r="R112" i="77"/>
  <c r="Q112" i="77"/>
  <c r="S110" i="77"/>
  <c r="R110" i="77"/>
  <c r="Q110" i="77"/>
  <c r="S109" i="77"/>
  <c r="R109" i="77"/>
  <c r="Q109" i="77"/>
  <c r="S108" i="77"/>
  <c r="R108" i="77"/>
  <c r="Q108" i="77"/>
  <c r="S106" i="77"/>
  <c r="R106" i="77"/>
  <c r="Q106" i="77"/>
  <c r="S105" i="77"/>
  <c r="R105" i="77"/>
  <c r="Q105" i="77"/>
  <c r="T105" i="77" s="1"/>
  <c r="S104" i="77"/>
  <c r="R104" i="77"/>
  <c r="Q104" i="77"/>
  <c r="S102" i="77"/>
  <c r="R102" i="77"/>
  <c r="Q102" i="77"/>
  <c r="S101" i="77"/>
  <c r="R101" i="77"/>
  <c r="Q101" i="77"/>
  <c r="S100" i="77"/>
  <c r="R100" i="77"/>
  <c r="Q100" i="77"/>
  <c r="S98" i="77"/>
  <c r="R98" i="77"/>
  <c r="Q98" i="77"/>
  <c r="S97" i="77"/>
  <c r="R97" i="77"/>
  <c r="Q97" i="77"/>
  <c r="S96" i="77"/>
  <c r="R96" i="77"/>
  <c r="Q96" i="77"/>
  <c r="S94" i="77"/>
  <c r="R94" i="77"/>
  <c r="Q94" i="77"/>
  <c r="S93" i="77"/>
  <c r="R93" i="77"/>
  <c r="Q93" i="77"/>
  <c r="S92" i="77"/>
  <c r="R92" i="77"/>
  <c r="Q92" i="77"/>
  <c r="S90" i="77"/>
  <c r="R90" i="77"/>
  <c r="Q90" i="77"/>
  <c r="S89" i="77"/>
  <c r="R89" i="77"/>
  <c r="Q89" i="77"/>
  <c r="S88" i="77"/>
  <c r="R88" i="77"/>
  <c r="Q88" i="77"/>
  <c r="S86" i="77"/>
  <c r="R86" i="77"/>
  <c r="Q86" i="77"/>
  <c r="S85" i="77"/>
  <c r="R85" i="77"/>
  <c r="Q85" i="77"/>
  <c r="S84" i="77"/>
  <c r="R84" i="77"/>
  <c r="Q84" i="77"/>
  <c r="T84" i="77" s="1"/>
  <c r="S82" i="77"/>
  <c r="R82" i="77"/>
  <c r="Q82" i="77"/>
  <c r="S81" i="77"/>
  <c r="R81" i="77"/>
  <c r="Q81" i="77"/>
  <c r="S80" i="77"/>
  <c r="R80" i="77"/>
  <c r="Q80" i="77"/>
  <c r="S78" i="77"/>
  <c r="R78" i="77"/>
  <c r="Q78" i="77"/>
  <c r="T78" i="77" s="1"/>
  <c r="S77" i="77"/>
  <c r="R77" i="77"/>
  <c r="Q77" i="77"/>
  <c r="S76" i="77"/>
  <c r="R76" i="77"/>
  <c r="Q76" i="77"/>
  <c r="S74" i="77"/>
  <c r="R74" i="77"/>
  <c r="Q74" i="77"/>
  <c r="S73" i="77"/>
  <c r="R73" i="77"/>
  <c r="Q73" i="77"/>
  <c r="S72" i="77"/>
  <c r="R72" i="77"/>
  <c r="Q72" i="77"/>
  <c r="S70" i="77"/>
  <c r="R70" i="77"/>
  <c r="Q70" i="77"/>
  <c r="S69" i="77"/>
  <c r="R69" i="77"/>
  <c r="Q69" i="77"/>
  <c r="S68" i="77"/>
  <c r="R68" i="77"/>
  <c r="Q68" i="77"/>
  <c r="S66" i="77"/>
  <c r="R66" i="77"/>
  <c r="Q66" i="77"/>
  <c r="S65" i="77"/>
  <c r="R65" i="77"/>
  <c r="Q65" i="77"/>
  <c r="S64" i="77"/>
  <c r="R64" i="77"/>
  <c r="Q64" i="77"/>
  <c r="S62" i="77"/>
  <c r="R62" i="77"/>
  <c r="Q62" i="77"/>
  <c r="S61" i="77"/>
  <c r="R61" i="77"/>
  <c r="Q61" i="77"/>
  <c r="S60" i="77"/>
  <c r="R60" i="77"/>
  <c r="Q60" i="77"/>
  <c r="S58" i="77"/>
  <c r="R58" i="77"/>
  <c r="Q58" i="77"/>
  <c r="S57" i="77"/>
  <c r="R57" i="77"/>
  <c r="Q57" i="77"/>
  <c r="T57" i="77" s="1"/>
  <c r="S56" i="77"/>
  <c r="R56" i="77"/>
  <c r="Q56" i="77"/>
  <c r="S54" i="77"/>
  <c r="R54" i="77"/>
  <c r="Q54" i="77"/>
  <c r="S53" i="77"/>
  <c r="R53" i="77"/>
  <c r="Q53" i="77"/>
  <c r="S52" i="77"/>
  <c r="R52" i="77"/>
  <c r="Q52" i="77"/>
  <c r="S50" i="77"/>
  <c r="R50" i="77"/>
  <c r="Q50" i="77"/>
  <c r="S49" i="77"/>
  <c r="R49" i="77"/>
  <c r="Q49" i="77"/>
  <c r="S48" i="77"/>
  <c r="R48" i="77"/>
  <c r="Q48" i="77"/>
  <c r="S46" i="77"/>
  <c r="R46" i="77"/>
  <c r="Q46" i="77"/>
  <c r="T46" i="77" s="1"/>
  <c r="S45" i="77"/>
  <c r="R45" i="77"/>
  <c r="Q45" i="77"/>
  <c r="S44" i="77"/>
  <c r="R44" i="77"/>
  <c r="Q44" i="77"/>
  <c r="S42" i="77"/>
  <c r="R42" i="77"/>
  <c r="Q42" i="77"/>
  <c r="S41" i="77"/>
  <c r="R41" i="77"/>
  <c r="Q41" i="77"/>
  <c r="S40" i="77"/>
  <c r="R40" i="77"/>
  <c r="Q40" i="77"/>
  <c r="S38" i="77"/>
  <c r="R38" i="77"/>
  <c r="Q38" i="77"/>
  <c r="S37" i="77"/>
  <c r="R37" i="77"/>
  <c r="Q37" i="77"/>
  <c r="S36" i="77"/>
  <c r="R36" i="77"/>
  <c r="Q36" i="77"/>
  <c r="T36" i="77" s="1"/>
  <c r="S34" i="77"/>
  <c r="R34" i="77"/>
  <c r="Q34" i="77"/>
  <c r="S33" i="77"/>
  <c r="R33" i="77"/>
  <c r="Q33" i="77"/>
  <c r="S32" i="77"/>
  <c r="R32" i="77"/>
  <c r="Q32" i="77"/>
  <c r="S30" i="77"/>
  <c r="R30" i="77"/>
  <c r="Q30" i="77"/>
  <c r="S29" i="77"/>
  <c r="R29" i="77"/>
  <c r="Q29" i="77"/>
  <c r="S28" i="77"/>
  <c r="R28" i="77"/>
  <c r="Q28" i="77"/>
  <c r="S26" i="77"/>
  <c r="R26" i="77"/>
  <c r="Q26" i="77"/>
  <c r="S25" i="77"/>
  <c r="R25" i="77"/>
  <c r="Q25" i="77"/>
  <c r="S24" i="77"/>
  <c r="R24" i="77"/>
  <c r="Q24" i="77"/>
  <c r="S22" i="77"/>
  <c r="R22" i="77"/>
  <c r="Q22" i="77"/>
  <c r="S21" i="77"/>
  <c r="R21" i="77"/>
  <c r="Q21" i="77"/>
  <c r="S20" i="77"/>
  <c r="R20" i="77"/>
  <c r="Q20" i="77"/>
  <c r="S18" i="77"/>
  <c r="R18" i="77"/>
  <c r="Q18" i="77"/>
  <c r="S17" i="77"/>
  <c r="R17" i="77"/>
  <c r="Q17" i="77"/>
  <c r="S16" i="77"/>
  <c r="R16" i="77"/>
  <c r="Q16" i="77"/>
  <c r="T16" i="77" s="1"/>
  <c r="S14" i="77"/>
  <c r="R14" i="77"/>
  <c r="Q14" i="77"/>
  <c r="T14" i="77" s="1"/>
  <c r="S13" i="77"/>
  <c r="R13" i="77"/>
  <c r="Q13" i="77"/>
  <c r="S12" i="77"/>
  <c r="R12" i="77"/>
  <c r="Q12" i="77"/>
  <c r="R8" i="77"/>
  <c r="S8" i="77"/>
  <c r="R9" i="77"/>
  <c r="S9" i="77"/>
  <c r="R10" i="77"/>
  <c r="S10" i="77"/>
  <c r="Q9" i="77"/>
  <c r="Q10" i="77"/>
  <c r="Q8" i="77"/>
  <c r="T21" i="77" l="1"/>
  <c r="T74" i="77"/>
  <c r="T80" i="77"/>
  <c r="T122" i="77"/>
  <c r="T128" i="77"/>
  <c r="T10" i="81"/>
  <c r="T20" i="81"/>
  <c r="T30" i="81"/>
  <c r="T40" i="81"/>
  <c r="T55" i="81"/>
  <c r="T60" i="81"/>
  <c r="T70" i="81"/>
  <c r="T80" i="81"/>
  <c r="T90" i="81"/>
  <c r="T100" i="81"/>
  <c r="T105" i="81"/>
  <c r="T115" i="81"/>
  <c r="T168" i="86"/>
  <c r="T172" i="86"/>
  <c r="T238" i="86"/>
  <c r="T10" i="77"/>
  <c r="T12" i="77"/>
  <c r="T13" i="77"/>
  <c r="T18" i="77"/>
  <c r="T24" i="77"/>
  <c r="T29" i="77"/>
  <c r="T34" i="77"/>
  <c r="T38" i="77"/>
  <c r="T40" i="77"/>
  <c r="T44" i="77"/>
  <c r="T50" i="77"/>
  <c r="T61" i="77"/>
  <c r="T65" i="77"/>
  <c r="T72" i="77"/>
  <c r="T76" i="77"/>
  <c r="T82" i="77"/>
  <c r="T86" i="77"/>
  <c r="T88" i="77"/>
  <c r="T93" i="77"/>
  <c r="T97" i="77"/>
  <c r="T109" i="77"/>
  <c r="T114" i="77"/>
  <c r="T118" i="77"/>
  <c r="T120" i="77"/>
  <c r="T124" i="77"/>
  <c r="T130" i="77"/>
  <c r="T141" i="77"/>
  <c r="T145" i="77"/>
  <c r="T152" i="77"/>
  <c r="T156" i="77"/>
  <c r="T162" i="77"/>
  <c r="T166" i="77"/>
  <c r="T12" i="81"/>
  <c r="T16" i="81"/>
  <c r="T22" i="81"/>
  <c r="T26" i="81"/>
  <c r="T32" i="81"/>
  <c r="T37" i="81"/>
  <c r="T42" i="81"/>
  <c r="T47" i="81"/>
  <c r="T52" i="81"/>
  <c r="T57" i="81"/>
  <c r="T62" i="81"/>
  <c r="T66" i="81"/>
  <c r="T72" i="81"/>
  <c r="T76" i="81"/>
  <c r="T82" i="81"/>
  <c r="T86" i="81"/>
  <c r="T92" i="81"/>
  <c r="T96" i="81"/>
  <c r="T102" i="81"/>
  <c r="T107" i="81"/>
  <c r="T111" i="81"/>
  <c r="T117" i="81"/>
  <c r="T121" i="81"/>
  <c r="T127" i="81"/>
  <c r="T131" i="81"/>
  <c r="T134" i="86"/>
  <c r="T140" i="86"/>
  <c r="T144" i="86"/>
  <c r="T152" i="86"/>
  <c r="T156" i="86"/>
  <c r="T160" i="86"/>
  <c r="T166" i="86"/>
  <c r="T170" i="86"/>
  <c r="T178" i="86"/>
  <c r="T182" i="86"/>
  <c r="T188" i="86"/>
  <c r="T192" i="86"/>
  <c r="T196" i="86"/>
  <c r="T200" i="86"/>
  <c r="T204" i="86"/>
  <c r="T208" i="86"/>
  <c r="T214" i="86"/>
  <c r="T218" i="86"/>
  <c r="T226" i="86"/>
  <c r="T230" i="86"/>
  <c r="T236" i="86"/>
  <c r="T240" i="86"/>
  <c r="T448" i="86"/>
  <c r="T454" i="86"/>
  <c r="T458" i="86"/>
  <c r="T466" i="86"/>
  <c r="T470" i="86"/>
  <c r="T476" i="86"/>
  <c r="T480" i="86"/>
  <c r="T16" i="136"/>
  <c r="T21" i="136"/>
  <c r="T26" i="136"/>
  <c r="T37" i="136"/>
  <c r="T41" i="136"/>
  <c r="T53" i="136"/>
  <c r="T57" i="136"/>
  <c r="T69" i="136"/>
  <c r="T73" i="136"/>
  <c r="T85" i="136"/>
  <c r="T89" i="136"/>
  <c r="T100" i="136"/>
  <c r="T106" i="136"/>
  <c r="T117" i="136"/>
  <c r="T121" i="136"/>
  <c r="T128" i="136"/>
  <c r="T132" i="136"/>
  <c r="T138" i="136"/>
  <c r="T142" i="136"/>
  <c r="T144" i="136"/>
  <c r="T149" i="136"/>
  <c r="T153" i="136"/>
  <c r="T165" i="136"/>
  <c r="T234" i="114"/>
  <c r="T216" i="114"/>
  <c r="T26" i="77"/>
  <c r="T32" i="77"/>
  <c r="T69" i="77"/>
  <c r="T90" i="77"/>
  <c r="T112" i="77"/>
  <c r="T45" i="81"/>
  <c r="T50" i="81"/>
  <c r="T125" i="81"/>
  <c r="T142" i="86"/>
  <c r="T146" i="86"/>
  <c r="T164" i="86"/>
  <c r="T216" i="86"/>
  <c r="T220" i="86"/>
  <c r="T242" i="86"/>
  <c r="T452" i="86"/>
  <c r="T456" i="86"/>
  <c r="T460" i="86"/>
  <c r="T478" i="86"/>
  <c r="T482" i="86"/>
  <c r="T13" i="136"/>
  <c r="T24" i="136"/>
  <c r="T29" i="136"/>
  <c r="T61" i="136"/>
  <c r="T77" i="136"/>
  <c r="T93" i="136"/>
  <c r="T98" i="136"/>
  <c r="T104" i="136"/>
  <c r="T109" i="136"/>
  <c r="T125" i="136"/>
  <c r="T136" i="136"/>
  <c r="T139" i="136" s="1"/>
  <c r="T143" i="136"/>
  <c r="T146" i="136"/>
  <c r="T157" i="136"/>
  <c r="T42" i="77"/>
  <c r="T48" i="77"/>
  <c r="T53" i="77"/>
  <c r="T101" i="77"/>
  <c r="T133" i="77"/>
  <c r="T149" i="77"/>
  <c r="T154" i="77"/>
  <c r="T160" i="77"/>
  <c r="T35" i="81"/>
  <c r="T190" i="86"/>
  <c r="T194" i="86"/>
  <c r="T212" i="86"/>
  <c r="T183" i="81"/>
  <c r="T187" i="81"/>
  <c r="T193" i="81"/>
  <c r="T198" i="81"/>
  <c r="T19" i="86"/>
  <c r="T23" i="86"/>
  <c r="T27" i="86"/>
  <c r="T32" i="86"/>
  <c r="T36" i="86"/>
  <c r="T40" i="86"/>
  <c r="T45" i="86"/>
  <c r="T49" i="86"/>
  <c r="T53" i="86"/>
  <c r="T58" i="86"/>
  <c r="T62" i="86"/>
  <c r="T67" i="86"/>
  <c r="T71" i="86"/>
  <c r="T75" i="86"/>
  <c r="T79" i="86"/>
  <c r="T83" i="86"/>
  <c r="T87" i="86"/>
  <c r="T93" i="86"/>
  <c r="T97" i="86"/>
  <c r="T101" i="86"/>
  <c r="T105" i="86"/>
  <c r="T109" i="86"/>
  <c r="T113" i="86"/>
  <c r="T115" i="86"/>
  <c r="T119" i="86"/>
  <c r="T123" i="86"/>
  <c r="T127" i="86"/>
  <c r="T131" i="86"/>
  <c r="T135" i="86"/>
  <c r="T153" i="86"/>
  <c r="T157" i="86"/>
  <c r="T161" i="86"/>
  <c r="T245" i="86"/>
  <c r="T249" i="86"/>
  <c r="T253" i="86"/>
  <c r="T257" i="86"/>
  <c r="T259" i="86"/>
  <c r="T263" i="86"/>
  <c r="T267" i="86"/>
  <c r="T271" i="86"/>
  <c r="T275" i="86"/>
  <c r="T279" i="86"/>
  <c r="T285" i="86"/>
  <c r="T289" i="86"/>
  <c r="T293" i="86"/>
  <c r="T297" i="86"/>
  <c r="T301" i="86"/>
  <c r="T305" i="86"/>
  <c r="T307" i="86"/>
  <c r="T311" i="86"/>
  <c r="T315" i="86"/>
  <c r="T319" i="86"/>
  <c r="T323" i="86"/>
  <c r="T327" i="86"/>
  <c r="T333" i="86"/>
  <c r="T337" i="86"/>
  <c r="T341" i="86"/>
  <c r="T345" i="86"/>
  <c r="T349" i="86"/>
  <c r="T353" i="86"/>
  <c r="T355" i="86"/>
  <c r="T359" i="86"/>
  <c r="T363" i="86"/>
  <c r="T367" i="86"/>
  <c r="T371" i="86"/>
  <c r="T375" i="86"/>
  <c r="T381" i="86"/>
  <c r="T385" i="86"/>
  <c r="T389" i="86"/>
  <c r="T393" i="86"/>
  <c r="T397" i="86"/>
  <c r="T401" i="86"/>
  <c r="T403" i="86"/>
  <c r="T407" i="86"/>
  <c r="T411" i="86"/>
  <c r="T415" i="86"/>
  <c r="T419" i="86"/>
  <c r="T423" i="86"/>
  <c r="T429" i="86"/>
  <c r="T433" i="86"/>
  <c r="T437" i="86"/>
  <c r="T441" i="86"/>
  <c r="T445" i="86"/>
  <c r="T12" i="136"/>
  <c r="T17" i="136"/>
  <c r="T22" i="136"/>
  <c r="T28" i="136"/>
  <c r="T32" i="136"/>
  <c r="T38" i="136"/>
  <c r="T42" i="136"/>
  <c r="T44" i="136"/>
  <c r="T48" i="136"/>
  <c r="T51" i="136" s="1"/>
  <c r="T54" i="136"/>
  <c r="T55" i="136" s="1"/>
  <c r="T58" i="136"/>
  <c r="T59" i="136" s="1"/>
  <c r="T60" i="136"/>
  <c r="T63" i="136" s="1"/>
  <c r="T64" i="136"/>
  <c r="T70" i="136"/>
  <c r="T74" i="136"/>
  <c r="T76" i="136"/>
  <c r="T80" i="136"/>
  <c r="T86" i="136"/>
  <c r="T90" i="136"/>
  <c r="T91" i="136" s="1"/>
  <c r="T92" i="136"/>
  <c r="T95" i="136" s="1"/>
  <c r="T96" i="136"/>
  <c r="T97" i="136"/>
  <c r="T101" i="136"/>
  <c r="T108" i="136"/>
  <c r="T112" i="136"/>
  <c r="T118" i="136"/>
  <c r="T122" i="136"/>
  <c r="T124" i="136"/>
  <c r="T129" i="136"/>
  <c r="T133" i="136"/>
  <c r="T145" i="136"/>
  <c r="T150" i="136"/>
  <c r="T151" i="136" s="1"/>
  <c r="T154" i="136"/>
  <c r="T155" i="136" s="1"/>
  <c r="T156" i="136"/>
  <c r="T159" i="136" s="1"/>
  <c r="T160" i="136"/>
  <c r="T163" i="136" s="1"/>
  <c r="T166" i="136"/>
  <c r="T135" i="81"/>
  <c r="T137" i="81"/>
  <c r="T141" i="81"/>
  <c r="T143" i="81"/>
  <c r="T145" i="81"/>
  <c r="T147" i="81"/>
  <c r="T150" i="81"/>
  <c r="T152" i="81"/>
  <c r="T156" i="81"/>
  <c r="T158" i="81"/>
  <c r="T202" i="81"/>
  <c r="T206" i="81"/>
  <c r="T208" i="81"/>
  <c r="T160" i="81"/>
  <c r="T162" i="81"/>
  <c r="T166" i="81"/>
  <c r="T168" i="81"/>
  <c r="T176" i="81"/>
  <c r="T178" i="81"/>
  <c r="T8" i="136"/>
  <c r="T10" i="136"/>
  <c r="T111" i="136"/>
  <c r="T115" i="136"/>
  <c r="T119" i="136"/>
  <c r="T123" i="136"/>
  <c r="T103" i="136"/>
  <c r="T71" i="136"/>
  <c r="T75" i="136"/>
  <c r="T79" i="136"/>
  <c r="T83" i="136"/>
  <c r="T31" i="136"/>
  <c r="T35" i="136"/>
  <c r="T39" i="136"/>
  <c r="T43" i="136"/>
  <c r="T9" i="136"/>
  <c r="T7" i="86"/>
  <c r="T139" i="86"/>
  <c r="T141" i="86"/>
  <c r="T143" i="86"/>
  <c r="T145" i="86"/>
  <c r="T147" i="86"/>
  <c r="T149" i="86"/>
  <c r="T151" i="86"/>
  <c r="T163" i="86"/>
  <c r="T165" i="86"/>
  <c r="T167" i="86"/>
  <c r="T169" i="86"/>
  <c r="T171" i="86"/>
  <c r="T173" i="86"/>
  <c r="T175" i="86"/>
  <c r="T177" i="86"/>
  <c r="T179" i="86"/>
  <c r="T181" i="86"/>
  <c r="T183" i="86"/>
  <c r="T185" i="86"/>
  <c r="T187" i="86"/>
  <c r="T189" i="86"/>
  <c r="T191" i="86"/>
  <c r="T193" i="86"/>
  <c r="T195" i="86"/>
  <c r="T197" i="86"/>
  <c r="T199" i="86"/>
  <c r="T201" i="86"/>
  <c r="T203" i="86"/>
  <c r="T205" i="86"/>
  <c r="T207" i="86"/>
  <c r="T209" i="86"/>
  <c r="T211" i="86"/>
  <c r="T213" i="86"/>
  <c r="T215" i="86"/>
  <c r="T217" i="86"/>
  <c r="T219" i="86"/>
  <c r="T221" i="86"/>
  <c r="T223" i="86"/>
  <c r="T225" i="86"/>
  <c r="T227" i="86"/>
  <c r="T229" i="86"/>
  <c r="T231" i="86"/>
  <c r="T233" i="86"/>
  <c r="T235" i="86"/>
  <c r="T237" i="86"/>
  <c r="T239" i="86"/>
  <c r="T241" i="86"/>
  <c r="T243" i="86"/>
  <c r="T20" i="86"/>
  <c r="T22" i="86"/>
  <c r="T24" i="86"/>
  <c r="T26" i="86"/>
  <c r="T28" i="86"/>
  <c r="T31" i="86"/>
  <c r="T33" i="86"/>
  <c r="T35" i="86"/>
  <c r="T37" i="86"/>
  <c r="T39" i="86"/>
  <c r="T41" i="86"/>
  <c r="T44" i="86"/>
  <c r="T46" i="86"/>
  <c r="T48" i="86"/>
  <c r="T50" i="86"/>
  <c r="T52" i="86"/>
  <c r="T55" i="86"/>
  <c r="T57" i="86"/>
  <c r="T59" i="86"/>
  <c r="T61" i="86"/>
  <c r="T63" i="86"/>
  <c r="T65" i="86"/>
  <c r="T68" i="86"/>
  <c r="T70" i="86"/>
  <c r="T72" i="86"/>
  <c r="T74" i="86"/>
  <c r="T76" i="86"/>
  <c r="T80" i="86"/>
  <c r="T82" i="86"/>
  <c r="T84" i="86"/>
  <c r="T86" i="86"/>
  <c r="T88" i="86"/>
  <c r="T92" i="86"/>
  <c r="T94" i="86"/>
  <c r="T96" i="86"/>
  <c r="T98" i="86"/>
  <c r="T100" i="86"/>
  <c r="T104" i="86"/>
  <c r="T106" i="86"/>
  <c r="T108" i="86"/>
  <c r="T110" i="86"/>
  <c r="T112" i="86"/>
  <c r="T116" i="86"/>
  <c r="T118" i="86"/>
  <c r="T120" i="86"/>
  <c r="T122" i="86"/>
  <c r="T124" i="86"/>
  <c r="T128" i="86"/>
  <c r="T138" i="86" s="1"/>
  <c r="T130" i="86"/>
  <c r="T148" i="86"/>
  <c r="T154" i="86"/>
  <c r="T447" i="86"/>
  <c r="T449" i="86"/>
  <c r="T451" i="86"/>
  <c r="T453" i="86"/>
  <c r="T455" i="86"/>
  <c r="T457" i="86"/>
  <c r="T459" i="86"/>
  <c r="T461" i="86"/>
  <c r="T463" i="86"/>
  <c r="T465" i="86"/>
  <c r="T467" i="86"/>
  <c r="T469" i="86"/>
  <c r="T471" i="86"/>
  <c r="T473" i="86"/>
  <c r="T475" i="86"/>
  <c r="T477" i="86"/>
  <c r="T479" i="86"/>
  <c r="T481" i="86"/>
  <c r="T483" i="86"/>
  <c r="T485" i="86"/>
  <c r="T244" i="86"/>
  <c r="T248" i="86"/>
  <c r="T250" i="86"/>
  <c r="T252" i="86"/>
  <c r="T254" i="86"/>
  <c r="T256" i="86"/>
  <c r="T260" i="86"/>
  <c r="T262" i="86"/>
  <c r="T264" i="86"/>
  <c r="T266" i="86"/>
  <c r="T268" i="86"/>
  <c r="T272" i="86"/>
  <c r="T274" i="86"/>
  <c r="T276" i="86"/>
  <c r="T278" i="86"/>
  <c r="T280" i="86"/>
  <c r="T284" i="86"/>
  <c r="T286" i="86"/>
  <c r="T288" i="86"/>
  <c r="T290" i="86"/>
  <c r="T292" i="86"/>
  <c r="T296" i="86"/>
  <c r="T298" i="86"/>
  <c r="T300" i="86"/>
  <c r="T302" i="86"/>
  <c r="T304" i="86"/>
  <c r="T308" i="86"/>
  <c r="T310" i="86"/>
  <c r="T312" i="86"/>
  <c r="T314" i="86"/>
  <c r="T316" i="86"/>
  <c r="T320" i="86"/>
  <c r="T322" i="86"/>
  <c r="T324" i="86"/>
  <c r="T326" i="86"/>
  <c r="T328" i="86"/>
  <c r="T332" i="86"/>
  <c r="T334" i="86"/>
  <c r="T336" i="86"/>
  <c r="T338" i="86"/>
  <c r="T340" i="86"/>
  <c r="T344" i="86"/>
  <c r="T346" i="86"/>
  <c r="T348" i="86"/>
  <c r="T350" i="86"/>
  <c r="T352" i="86"/>
  <c r="T356" i="86"/>
  <c r="T358" i="86"/>
  <c r="T360" i="86"/>
  <c r="T362" i="86"/>
  <c r="T364" i="86"/>
  <c r="T368" i="86"/>
  <c r="T370" i="86"/>
  <c r="T372" i="86"/>
  <c r="T374" i="86"/>
  <c r="T376" i="86"/>
  <c r="T380" i="86"/>
  <c r="T382" i="86"/>
  <c r="T384" i="86"/>
  <c r="T386" i="86"/>
  <c r="T388" i="86"/>
  <c r="T392" i="86"/>
  <c r="T394" i="86"/>
  <c r="T396" i="86"/>
  <c r="T398" i="86"/>
  <c r="T400" i="86"/>
  <c r="T404" i="86"/>
  <c r="T406" i="86"/>
  <c r="T408" i="86"/>
  <c r="T410" i="86"/>
  <c r="T412" i="86"/>
  <c r="T416" i="86"/>
  <c r="T418" i="86"/>
  <c r="T420" i="86"/>
  <c r="T422" i="86"/>
  <c r="T424" i="86"/>
  <c r="T428" i="86"/>
  <c r="T430" i="86"/>
  <c r="T432" i="86"/>
  <c r="T434" i="86"/>
  <c r="T436" i="86"/>
  <c r="T440" i="86"/>
  <c r="T442" i="86"/>
  <c r="T444" i="86"/>
  <c r="T484" i="86"/>
  <c r="T17" i="86"/>
  <c r="T16" i="86"/>
  <c r="T8" i="86"/>
  <c r="T15" i="86"/>
  <c r="T11" i="86"/>
  <c r="T9" i="86"/>
  <c r="T14" i="86"/>
  <c r="T12" i="86"/>
  <c r="T10" i="86"/>
  <c r="T13" i="86"/>
  <c r="T15" i="81"/>
  <c r="T17" i="81"/>
  <c r="T21" i="81"/>
  <c r="T23" i="81"/>
  <c r="T25" i="81"/>
  <c r="T27" i="81"/>
  <c r="T31" i="81"/>
  <c r="T33" i="81"/>
  <c r="T36" i="81"/>
  <c r="T38" i="81"/>
  <c r="T41" i="81"/>
  <c r="T43" i="81"/>
  <c r="T46" i="81"/>
  <c r="T48" i="81"/>
  <c r="T51" i="81"/>
  <c r="T53" i="81"/>
  <c r="T56" i="81"/>
  <c r="T58" i="81"/>
  <c r="T61" i="81"/>
  <c r="T63" i="81"/>
  <c r="T65" i="81"/>
  <c r="T67" i="81"/>
  <c r="T71" i="81"/>
  <c r="T73" i="81"/>
  <c r="T75" i="81"/>
  <c r="T77" i="81"/>
  <c r="T81" i="81"/>
  <c r="T83" i="81"/>
  <c r="T85" i="81"/>
  <c r="T87" i="81"/>
  <c r="T91" i="81"/>
  <c r="T93" i="81"/>
  <c r="T94" i="81" s="1"/>
  <c r="T95" i="81"/>
  <c r="T97" i="81"/>
  <c r="T101" i="81"/>
  <c r="T103" i="81"/>
  <c r="T106" i="81"/>
  <c r="T108" i="81"/>
  <c r="T110" i="81"/>
  <c r="T112" i="81"/>
  <c r="T116" i="81"/>
  <c r="T118" i="81"/>
  <c r="T120" i="81"/>
  <c r="T122" i="81"/>
  <c r="T126" i="81"/>
  <c r="T128" i="81"/>
  <c r="T130" i="81"/>
  <c r="T132" i="81"/>
  <c r="T136" i="81"/>
  <c r="T138" i="81"/>
  <c r="T140" i="81"/>
  <c r="T142" i="81"/>
  <c r="T146" i="81"/>
  <c r="T148" i="81"/>
  <c r="T151" i="81"/>
  <c r="T153" i="81"/>
  <c r="T155" i="81"/>
  <c r="T157" i="81"/>
  <c r="T161" i="81"/>
  <c r="T163" i="81"/>
  <c r="T165" i="81"/>
  <c r="T167" i="81"/>
  <c r="T169" i="81" s="1"/>
  <c r="T171" i="81"/>
  <c r="T173" i="81"/>
  <c r="T175" i="81"/>
  <c r="T177" i="81"/>
  <c r="T164" i="81"/>
  <c r="T170" i="81"/>
  <c r="T172" i="81"/>
  <c r="T180" i="81"/>
  <c r="T182" i="81"/>
  <c r="T186" i="81"/>
  <c r="T188" i="81"/>
  <c r="T189" i="81" s="1"/>
  <c r="T190" i="81"/>
  <c r="T192" i="81"/>
  <c r="T195" i="81"/>
  <c r="T197" i="81"/>
  <c r="T201" i="81"/>
  <c r="T203" i="81"/>
  <c r="T204" i="81" s="1"/>
  <c r="T205" i="81"/>
  <c r="T207" i="81"/>
  <c r="T109" i="81"/>
  <c r="T119" i="81"/>
  <c r="T129" i="81"/>
  <c r="T69" i="81"/>
  <c r="T79" i="81"/>
  <c r="T89" i="81"/>
  <c r="T99" i="81"/>
  <c r="T19" i="81"/>
  <c r="T11" i="81"/>
  <c r="T13" i="81"/>
  <c r="T17" i="77"/>
  <c r="T20" i="77"/>
  <c r="T22" i="77"/>
  <c r="T25" i="77"/>
  <c r="T28" i="77"/>
  <c r="T30" i="77"/>
  <c r="T33" i="77"/>
  <c r="T37" i="77"/>
  <c r="T41" i="77"/>
  <c r="T45" i="77"/>
  <c r="T49" i="77"/>
  <c r="T52" i="77"/>
  <c r="T54" i="77"/>
  <c r="T56" i="77"/>
  <c r="T58" i="77"/>
  <c r="T60" i="77"/>
  <c r="T62" i="77"/>
  <c r="T64" i="77"/>
  <c r="T66" i="77"/>
  <c r="T68" i="77"/>
  <c r="T70" i="77"/>
  <c r="T73" i="77"/>
  <c r="T77" i="77"/>
  <c r="T81" i="77"/>
  <c r="T85" i="77"/>
  <c r="T89" i="77"/>
  <c r="T92" i="77"/>
  <c r="T95" i="77" s="1"/>
  <c r="T94" i="77"/>
  <c r="T96" i="77"/>
  <c r="T99" i="77" s="1"/>
  <c r="T98" i="77"/>
  <c r="T100" i="77"/>
  <c r="T103" i="77" s="1"/>
  <c r="T102" i="77"/>
  <c r="T104" i="77"/>
  <c r="T106" i="77"/>
  <c r="T108" i="77"/>
  <c r="T110" i="77"/>
  <c r="T113" i="77"/>
  <c r="T115" i="77" s="1"/>
  <c r="T117" i="77"/>
  <c r="T121" i="77"/>
  <c r="T123" i="77" s="1"/>
  <c r="T125" i="77"/>
  <c r="T129" i="77"/>
  <c r="T132" i="77"/>
  <c r="T134" i="77"/>
  <c r="T135" i="77" s="1"/>
  <c r="T136" i="77"/>
  <c r="T138" i="77"/>
  <c r="T139" i="77" s="1"/>
  <c r="T140" i="77"/>
  <c r="T142" i="77"/>
  <c r="T143" i="77" s="1"/>
  <c r="T144" i="77"/>
  <c r="T146" i="77"/>
  <c r="T148" i="77"/>
  <c r="T150" i="77"/>
  <c r="T153" i="77"/>
  <c r="T157" i="77"/>
  <c r="T161" i="77"/>
  <c r="T165" i="77"/>
  <c r="T75" i="77"/>
  <c r="T79" i="77"/>
  <c r="T83" i="77"/>
  <c r="T87" i="77"/>
  <c r="T155" i="77"/>
  <c r="T159" i="77"/>
  <c r="T163" i="77"/>
  <c r="T167" i="77"/>
  <c r="T147" i="77"/>
  <c r="T119" i="77"/>
  <c r="T127" i="77"/>
  <c r="T107" i="77"/>
  <c r="T55" i="77"/>
  <c r="T59" i="77"/>
  <c r="T63" i="77"/>
  <c r="T67" i="77"/>
  <c r="T35" i="77"/>
  <c r="T39" i="77"/>
  <c r="T43" i="77"/>
  <c r="T47" i="77"/>
  <c r="T8" i="77"/>
  <c r="T9" i="77"/>
  <c r="T29" i="154"/>
  <c r="K29" i="154"/>
  <c r="J12" i="154"/>
  <c r="H7" i="154"/>
  <c r="H6" i="154"/>
  <c r="K5" i="154"/>
  <c r="H5" i="154"/>
  <c r="W4" i="154"/>
  <c r="H4" i="154"/>
  <c r="AF11" i="154" s="1"/>
  <c r="T29" i="153"/>
  <c r="K29" i="153"/>
  <c r="J12" i="153"/>
  <c r="H7" i="153"/>
  <c r="H6" i="153"/>
  <c r="K5" i="153"/>
  <c r="H5" i="153"/>
  <c r="W4" i="153"/>
  <c r="H4" i="153"/>
  <c r="AF11" i="153" s="1"/>
  <c r="T29" i="152"/>
  <c r="K29" i="152"/>
  <c r="J12" i="152"/>
  <c r="H7" i="152"/>
  <c r="H6" i="152"/>
  <c r="K5" i="152"/>
  <c r="H5" i="152"/>
  <c r="W4" i="152"/>
  <c r="H4" i="152"/>
  <c r="AF11" i="152" s="1"/>
  <c r="T29" i="132"/>
  <c r="K29" i="132"/>
  <c r="J12" i="132"/>
  <c r="H7" i="132"/>
  <c r="H6" i="132"/>
  <c r="K5" i="132"/>
  <c r="H5" i="132"/>
  <c r="W4" i="132"/>
  <c r="H4" i="132"/>
  <c r="AF11" i="132" s="1"/>
  <c r="T438" i="86" l="1"/>
  <c r="T390" i="86"/>
  <c r="T342" i="86"/>
  <c r="T294" i="86"/>
  <c r="T90" i="86"/>
  <c r="T179" i="81"/>
  <c r="T159" i="81"/>
  <c r="T139" i="81"/>
  <c r="T426" i="86"/>
  <c r="T378" i="86"/>
  <c r="T330" i="86"/>
  <c r="T282" i="86"/>
  <c r="T126" i="86"/>
  <c r="T78" i="86"/>
  <c r="T135" i="136"/>
  <c r="T414" i="86"/>
  <c r="T366" i="86"/>
  <c r="T318" i="86"/>
  <c r="T270" i="86"/>
  <c r="T114" i="86"/>
  <c r="T131" i="136"/>
  <c r="T154" i="81"/>
  <c r="T450" i="86"/>
  <c r="T402" i="86"/>
  <c r="T354" i="86"/>
  <c r="T306" i="86"/>
  <c r="T258" i="86"/>
  <c r="T102" i="86"/>
  <c r="T99" i="136"/>
  <c r="T84" i="81"/>
  <c r="T74" i="81"/>
  <c r="T64" i="81"/>
  <c r="T209" i="81"/>
  <c r="T199" i="81"/>
  <c r="T184" i="81"/>
  <c r="T174" i="81"/>
  <c r="T144" i="81"/>
  <c r="T134" i="81"/>
  <c r="T124" i="81"/>
  <c r="T114" i="81"/>
  <c r="T246" i="86"/>
  <c r="T234" i="86"/>
  <c r="T222" i="86"/>
  <c r="T210" i="86"/>
  <c r="T198" i="86"/>
  <c r="T186" i="86"/>
  <c r="T174" i="86"/>
  <c r="T486" i="86"/>
  <c r="T474" i="86"/>
  <c r="T462" i="86"/>
  <c r="T162" i="86"/>
  <c r="T150" i="86"/>
  <c r="S16" i="126"/>
  <c r="T16" i="126"/>
  <c r="U16" i="126"/>
  <c r="V16" i="126"/>
  <c r="W16" i="126"/>
  <c r="Y16" i="126"/>
  <c r="Z16" i="126"/>
  <c r="AA16" i="126"/>
  <c r="AB16" i="126"/>
  <c r="AC16" i="126"/>
  <c r="AD16" i="126"/>
  <c r="AE16" i="126"/>
  <c r="AF16" i="126"/>
  <c r="AG16" i="126"/>
  <c r="AH16" i="126"/>
  <c r="AI16" i="126"/>
  <c r="P17" i="126"/>
  <c r="Q17" i="126"/>
  <c r="R17" i="126"/>
  <c r="S17" i="126"/>
  <c r="T17" i="126"/>
  <c r="U17" i="126"/>
  <c r="V17" i="126"/>
  <c r="W17" i="126"/>
  <c r="X17" i="126"/>
  <c r="Y17" i="126"/>
  <c r="Z17" i="126"/>
  <c r="AA17" i="126"/>
  <c r="AB17" i="126"/>
  <c r="AC17" i="126"/>
  <c r="AD17" i="126"/>
  <c r="AE17" i="126"/>
  <c r="AF17" i="126"/>
  <c r="AG17" i="126"/>
  <c r="AH17" i="126"/>
  <c r="AI17" i="126"/>
  <c r="P18" i="126"/>
  <c r="Q18" i="126"/>
  <c r="R18" i="126"/>
  <c r="S18" i="126"/>
  <c r="T18" i="126"/>
  <c r="U18" i="126"/>
  <c r="V18" i="126"/>
  <c r="W18" i="126"/>
  <c r="X18" i="126"/>
  <c r="Y18" i="126"/>
  <c r="Z18" i="126"/>
  <c r="AA18" i="126"/>
  <c r="AB18" i="126"/>
  <c r="AC18" i="126"/>
  <c r="AD18" i="126"/>
  <c r="AE18" i="126"/>
  <c r="AF18" i="126"/>
  <c r="AG18" i="126"/>
  <c r="AH18" i="126"/>
  <c r="AI18" i="126"/>
  <c r="P19" i="126"/>
  <c r="Q19" i="126"/>
  <c r="R19" i="126"/>
  <c r="S19" i="126"/>
  <c r="T19" i="126"/>
  <c r="U19" i="126"/>
  <c r="V19" i="126"/>
  <c r="W19" i="126"/>
  <c r="X19" i="126"/>
  <c r="Y19" i="126"/>
  <c r="Z19" i="126"/>
  <c r="AA19" i="126"/>
  <c r="AB19" i="126"/>
  <c r="AC19" i="126"/>
  <c r="AD19" i="126"/>
  <c r="AE19" i="126"/>
  <c r="AF19" i="126"/>
  <c r="AG19" i="126"/>
  <c r="AH19" i="126"/>
  <c r="AI19" i="126"/>
  <c r="P20" i="126"/>
  <c r="Q20" i="126"/>
  <c r="R20" i="126"/>
  <c r="S20" i="126"/>
  <c r="T20" i="126"/>
  <c r="U20" i="126"/>
  <c r="V20" i="126"/>
  <c r="W20" i="126"/>
  <c r="X20" i="126"/>
  <c r="Y20" i="126"/>
  <c r="Z20" i="126"/>
  <c r="AA20" i="126"/>
  <c r="AB20" i="126"/>
  <c r="AC20" i="126"/>
  <c r="AD20" i="126"/>
  <c r="AE20" i="126"/>
  <c r="AF20" i="126"/>
  <c r="AG20" i="126"/>
  <c r="AH20" i="126"/>
  <c r="AI20" i="126"/>
  <c r="P21" i="126"/>
  <c r="Q21" i="126"/>
  <c r="R21" i="126"/>
  <c r="S21" i="126"/>
  <c r="T21" i="126"/>
  <c r="U21" i="126"/>
  <c r="V21" i="126"/>
  <c r="W21" i="126"/>
  <c r="X21" i="126"/>
  <c r="Y21" i="126"/>
  <c r="Z21" i="126"/>
  <c r="AA21" i="126"/>
  <c r="AB21" i="126"/>
  <c r="AC21" i="126"/>
  <c r="AD21" i="126"/>
  <c r="AE21" i="126"/>
  <c r="AF21" i="126"/>
  <c r="AG21" i="126"/>
  <c r="AH21" i="126"/>
  <c r="AI21" i="126"/>
  <c r="P22" i="126"/>
  <c r="Q22" i="126"/>
  <c r="R22" i="126"/>
  <c r="S22" i="126"/>
  <c r="T22" i="126"/>
  <c r="U22" i="126"/>
  <c r="V22" i="126"/>
  <c r="W22" i="126"/>
  <c r="X22" i="126"/>
  <c r="Y22" i="126"/>
  <c r="Z22" i="126"/>
  <c r="AA22" i="126"/>
  <c r="AB22" i="126"/>
  <c r="AC22" i="126"/>
  <c r="AD22" i="126"/>
  <c r="AE22" i="126"/>
  <c r="AF22" i="126"/>
  <c r="AG22" i="126"/>
  <c r="AH22" i="126"/>
  <c r="AI22" i="126"/>
  <c r="P23" i="126"/>
  <c r="Q23" i="126"/>
  <c r="R23" i="126"/>
  <c r="S23" i="126"/>
  <c r="T23" i="126"/>
  <c r="U23" i="126"/>
  <c r="V23" i="126"/>
  <c r="W23" i="126"/>
  <c r="X23" i="126"/>
  <c r="Y23" i="126"/>
  <c r="Z23" i="126"/>
  <c r="AA23" i="126"/>
  <c r="AB23" i="126"/>
  <c r="AC23" i="126"/>
  <c r="AD23" i="126"/>
  <c r="AE23" i="126"/>
  <c r="AF23" i="126"/>
  <c r="AG23" i="126"/>
  <c r="AH23" i="126"/>
  <c r="AI23" i="126"/>
  <c r="P24" i="126"/>
  <c r="Q24" i="126"/>
  <c r="R24" i="126"/>
  <c r="S24" i="126"/>
  <c r="T24" i="126"/>
  <c r="U24" i="126"/>
  <c r="V24" i="126"/>
  <c r="W24" i="126"/>
  <c r="X24" i="126"/>
  <c r="Y24" i="126"/>
  <c r="Z24" i="126"/>
  <c r="AA24" i="126"/>
  <c r="AB24" i="126"/>
  <c r="AC24" i="126"/>
  <c r="AD24" i="126"/>
  <c r="AE24" i="126"/>
  <c r="AF24" i="126"/>
  <c r="AG24" i="126"/>
  <c r="AH24" i="126"/>
  <c r="AI24" i="126"/>
  <c r="P25" i="126"/>
  <c r="Q25" i="126"/>
  <c r="R25" i="126"/>
  <c r="S25" i="126"/>
  <c r="T25" i="126"/>
  <c r="U25" i="126"/>
  <c r="V25" i="126"/>
  <c r="W25" i="126"/>
  <c r="X25" i="126"/>
  <c r="Y25" i="126"/>
  <c r="Z25" i="126"/>
  <c r="AA25" i="126"/>
  <c r="AB25" i="126"/>
  <c r="AC25" i="126"/>
  <c r="AD25" i="126"/>
  <c r="AE25" i="126"/>
  <c r="AF25" i="126"/>
  <c r="AG25" i="126"/>
  <c r="AH25" i="126"/>
  <c r="AI25" i="126"/>
  <c r="P26" i="126"/>
  <c r="Q26" i="126"/>
  <c r="R26" i="126"/>
  <c r="S26" i="126"/>
  <c r="T26" i="126"/>
  <c r="U26" i="126"/>
  <c r="V26" i="126"/>
  <c r="W26" i="126"/>
  <c r="X26" i="126"/>
  <c r="Y26" i="126"/>
  <c r="Z26" i="126"/>
  <c r="AA26" i="126"/>
  <c r="AB26" i="126"/>
  <c r="AC26" i="126"/>
  <c r="AD26" i="126"/>
  <c r="AE26" i="126"/>
  <c r="AF26" i="126"/>
  <c r="AG26" i="126"/>
  <c r="AH26" i="126"/>
  <c r="AI26" i="126"/>
  <c r="P27" i="126"/>
  <c r="Q27" i="126"/>
  <c r="R27" i="126"/>
  <c r="S27" i="126"/>
  <c r="T27" i="126"/>
  <c r="U27" i="126"/>
  <c r="V27" i="126"/>
  <c r="W27" i="126"/>
  <c r="X27" i="126"/>
  <c r="Y27" i="126"/>
  <c r="Z27" i="126"/>
  <c r="AA27" i="126"/>
  <c r="AB27" i="126"/>
  <c r="AC27" i="126"/>
  <c r="AD27" i="126"/>
  <c r="AE27" i="126"/>
  <c r="AF27" i="126"/>
  <c r="AG27" i="126"/>
  <c r="AH27" i="126"/>
  <c r="AI27" i="126"/>
  <c r="P28" i="126"/>
  <c r="Q28" i="126"/>
  <c r="R28" i="126"/>
  <c r="S28" i="126"/>
  <c r="T28" i="126"/>
  <c r="U28" i="126"/>
  <c r="V28" i="126"/>
  <c r="W28" i="126"/>
  <c r="X28" i="126"/>
  <c r="Y28" i="126"/>
  <c r="Z28" i="126"/>
  <c r="AA28" i="126"/>
  <c r="AB28" i="126"/>
  <c r="AC28" i="126"/>
  <c r="AD28" i="126"/>
  <c r="AE28" i="126"/>
  <c r="AF28" i="126"/>
  <c r="AG28" i="126"/>
  <c r="AH28" i="126"/>
  <c r="AI28" i="126"/>
  <c r="P29" i="126"/>
  <c r="Q29" i="126"/>
  <c r="R29" i="126"/>
  <c r="S29" i="126"/>
  <c r="T29" i="126"/>
  <c r="U29" i="126"/>
  <c r="V29" i="126"/>
  <c r="W29" i="126"/>
  <c r="X29" i="126"/>
  <c r="Y29" i="126"/>
  <c r="Z29" i="126"/>
  <c r="AA29" i="126"/>
  <c r="AB29" i="126"/>
  <c r="AC29" i="126"/>
  <c r="AD29" i="126"/>
  <c r="AE29" i="126"/>
  <c r="AF29" i="126"/>
  <c r="AG29" i="126"/>
  <c r="AH29" i="126"/>
  <c r="AI29" i="126"/>
  <c r="P30" i="126"/>
  <c r="Q30" i="126"/>
  <c r="R30" i="126"/>
  <c r="S30" i="126"/>
  <c r="T30" i="126"/>
  <c r="U30" i="126"/>
  <c r="V30" i="126"/>
  <c r="W30" i="126"/>
  <c r="X30" i="126"/>
  <c r="Y30" i="126"/>
  <c r="Z30" i="126"/>
  <c r="AA30" i="126"/>
  <c r="AB30" i="126"/>
  <c r="AC30" i="126"/>
  <c r="AD30" i="126"/>
  <c r="AE30" i="126"/>
  <c r="AF30" i="126"/>
  <c r="AG30" i="126"/>
  <c r="AH30" i="126"/>
  <c r="AI30" i="126"/>
  <c r="P31" i="126"/>
  <c r="Q31" i="126"/>
  <c r="R31" i="126"/>
  <c r="S31" i="126"/>
  <c r="T31" i="126"/>
  <c r="U31" i="126"/>
  <c r="V31" i="126"/>
  <c r="W31" i="126"/>
  <c r="X31" i="126"/>
  <c r="Y31" i="126"/>
  <c r="Z31" i="126"/>
  <c r="AA31" i="126"/>
  <c r="AB31" i="126"/>
  <c r="AC31" i="126"/>
  <c r="AD31" i="126"/>
  <c r="AE31" i="126"/>
  <c r="AF31" i="126"/>
  <c r="AG31" i="126"/>
  <c r="AH31" i="126"/>
  <c r="AI31" i="126"/>
  <c r="P32" i="126"/>
  <c r="Q32" i="126"/>
  <c r="R32" i="126"/>
  <c r="S32" i="126"/>
  <c r="T32" i="126"/>
  <c r="U32" i="126"/>
  <c r="V32" i="126"/>
  <c r="W32" i="126"/>
  <c r="X32" i="126"/>
  <c r="Y32" i="126"/>
  <c r="Z32" i="126"/>
  <c r="AA32" i="126"/>
  <c r="AB32" i="126"/>
  <c r="AC32" i="126"/>
  <c r="AD32" i="126"/>
  <c r="AE32" i="126"/>
  <c r="AF32" i="126"/>
  <c r="AG32" i="126"/>
  <c r="AH32" i="126"/>
  <c r="AI32" i="126"/>
  <c r="P33" i="126"/>
  <c r="Q33" i="126"/>
  <c r="R33" i="126"/>
  <c r="S33" i="126"/>
  <c r="T33" i="126"/>
  <c r="U33" i="126"/>
  <c r="V33" i="126"/>
  <c r="W33" i="126"/>
  <c r="X33" i="126"/>
  <c r="Y33" i="126"/>
  <c r="Z33" i="126"/>
  <c r="AA33" i="126"/>
  <c r="AB33" i="126"/>
  <c r="AC33" i="126"/>
  <c r="AD33" i="126"/>
  <c r="AE33" i="126"/>
  <c r="AF33" i="126"/>
  <c r="AG33" i="126"/>
  <c r="AH33" i="126"/>
  <c r="AI33" i="126"/>
  <c r="P34" i="126"/>
  <c r="Q34" i="126"/>
  <c r="R34" i="126"/>
  <c r="S34" i="126"/>
  <c r="T34" i="126"/>
  <c r="U34" i="126"/>
  <c r="V34" i="126"/>
  <c r="W34" i="126"/>
  <c r="X34" i="126"/>
  <c r="Y34" i="126"/>
  <c r="Z34" i="126"/>
  <c r="AA34" i="126"/>
  <c r="AB34" i="126"/>
  <c r="AC34" i="126"/>
  <c r="AD34" i="126"/>
  <c r="AE34" i="126"/>
  <c r="AF34" i="126"/>
  <c r="AG34" i="126"/>
  <c r="AH34" i="126"/>
  <c r="AI34" i="126"/>
  <c r="P35" i="126"/>
  <c r="Q35" i="126"/>
  <c r="R35" i="126"/>
  <c r="S35" i="126"/>
  <c r="T35" i="126"/>
  <c r="U35" i="126"/>
  <c r="V35" i="126"/>
  <c r="W35" i="126"/>
  <c r="X35" i="126"/>
  <c r="Y35" i="126"/>
  <c r="Z35" i="126"/>
  <c r="AA35" i="126"/>
  <c r="AB35" i="126"/>
  <c r="AC35" i="126"/>
  <c r="AD35" i="126"/>
  <c r="AE35" i="126"/>
  <c r="AF35" i="126"/>
  <c r="AG35" i="126"/>
  <c r="AH35" i="126"/>
  <c r="AI35" i="126"/>
  <c r="P36" i="126"/>
  <c r="Q36" i="126"/>
  <c r="R36" i="126"/>
  <c r="S36" i="126"/>
  <c r="T36" i="126"/>
  <c r="U36" i="126"/>
  <c r="V36" i="126"/>
  <c r="W36" i="126"/>
  <c r="X36" i="126"/>
  <c r="Y36" i="126"/>
  <c r="Z36" i="126"/>
  <c r="AA36" i="126"/>
  <c r="AB36" i="126"/>
  <c r="AC36" i="126"/>
  <c r="AD36" i="126"/>
  <c r="AE36" i="126"/>
  <c r="AF36" i="126"/>
  <c r="AG36" i="126"/>
  <c r="AH36" i="126"/>
  <c r="AI36" i="126"/>
  <c r="P37" i="126"/>
  <c r="Q37" i="126"/>
  <c r="R37" i="126"/>
  <c r="S37" i="126"/>
  <c r="T37" i="126"/>
  <c r="U37" i="126"/>
  <c r="V37" i="126"/>
  <c r="W37" i="126"/>
  <c r="X37" i="126"/>
  <c r="Y37" i="126"/>
  <c r="Z37" i="126"/>
  <c r="AA37" i="126"/>
  <c r="AB37" i="126"/>
  <c r="AC37" i="126"/>
  <c r="AD37" i="126"/>
  <c r="AE37" i="126"/>
  <c r="AF37" i="126"/>
  <c r="AG37" i="126"/>
  <c r="AH37" i="126"/>
  <c r="AI37" i="126"/>
  <c r="P38" i="126"/>
  <c r="Q38" i="126"/>
  <c r="R38" i="126"/>
  <c r="S38" i="126"/>
  <c r="T38" i="126"/>
  <c r="U38" i="126"/>
  <c r="V38" i="126"/>
  <c r="W38" i="126"/>
  <c r="X38" i="126"/>
  <c r="Y38" i="126"/>
  <c r="Z38" i="126"/>
  <c r="AA38" i="126"/>
  <c r="AB38" i="126"/>
  <c r="AC38" i="126"/>
  <c r="AD38" i="126"/>
  <c r="AE38" i="126"/>
  <c r="AF38" i="126"/>
  <c r="AG38" i="126"/>
  <c r="AH38" i="126"/>
  <c r="AI38" i="126"/>
  <c r="P39" i="126"/>
  <c r="Q39" i="126"/>
  <c r="R39" i="126"/>
  <c r="S39" i="126"/>
  <c r="T39" i="126"/>
  <c r="U39" i="126"/>
  <c r="V39" i="126"/>
  <c r="W39" i="126"/>
  <c r="X39" i="126"/>
  <c r="Y39" i="126"/>
  <c r="Z39" i="126"/>
  <c r="AA39" i="126"/>
  <c r="AB39" i="126"/>
  <c r="AC39" i="126"/>
  <c r="AD39" i="126"/>
  <c r="AE39" i="126"/>
  <c r="AF39" i="126"/>
  <c r="AG39" i="126"/>
  <c r="AH39" i="126"/>
  <c r="AI39" i="126"/>
  <c r="P40" i="126"/>
  <c r="Q40" i="126"/>
  <c r="R40" i="126"/>
  <c r="S40" i="126"/>
  <c r="T40" i="126"/>
  <c r="U40" i="126"/>
  <c r="V40" i="126"/>
  <c r="W40" i="126"/>
  <c r="X40" i="126"/>
  <c r="Y40" i="126"/>
  <c r="Z40" i="126"/>
  <c r="AA40" i="126"/>
  <c r="AB40" i="126"/>
  <c r="AC40" i="126"/>
  <c r="AD40" i="126"/>
  <c r="AE40" i="126"/>
  <c r="AF40" i="126"/>
  <c r="AG40" i="126"/>
  <c r="AH40" i="126"/>
  <c r="AI40" i="126"/>
  <c r="P41" i="126"/>
  <c r="Q41" i="126"/>
  <c r="R41" i="126"/>
  <c r="S41" i="126"/>
  <c r="T41" i="126"/>
  <c r="U41" i="126"/>
  <c r="V41" i="126"/>
  <c r="W41" i="126"/>
  <c r="X41" i="126"/>
  <c r="Y41" i="126"/>
  <c r="Z41" i="126"/>
  <c r="AA41" i="126"/>
  <c r="AB41" i="126"/>
  <c r="AC41" i="126"/>
  <c r="AD41" i="126"/>
  <c r="AE41" i="126"/>
  <c r="AF41" i="126"/>
  <c r="AG41" i="126"/>
  <c r="AH41" i="126"/>
  <c r="AI41" i="126"/>
  <c r="P42" i="126"/>
  <c r="Q42" i="126"/>
  <c r="R42" i="126"/>
  <c r="S42" i="126"/>
  <c r="T42" i="126"/>
  <c r="U42" i="126"/>
  <c r="V42" i="126"/>
  <c r="W42" i="126"/>
  <c r="X42" i="126"/>
  <c r="Y42" i="126"/>
  <c r="Z42" i="126"/>
  <c r="AA42" i="126"/>
  <c r="AB42" i="126"/>
  <c r="AC42" i="126"/>
  <c r="AD42" i="126"/>
  <c r="AE42" i="126"/>
  <c r="AF42" i="126"/>
  <c r="AG42" i="126"/>
  <c r="AH42" i="126"/>
  <c r="AI42" i="126"/>
  <c r="P43" i="126"/>
  <c r="Q43" i="126"/>
  <c r="R43" i="126"/>
  <c r="S43" i="126"/>
  <c r="T43" i="126"/>
  <c r="U43" i="126"/>
  <c r="V43" i="126"/>
  <c r="W43" i="126"/>
  <c r="X43" i="126"/>
  <c r="Y43" i="126"/>
  <c r="Z43" i="126"/>
  <c r="AA43" i="126"/>
  <c r="AB43" i="126"/>
  <c r="AC43" i="126"/>
  <c r="AD43" i="126"/>
  <c r="AE43" i="126"/>
  <c r="AF43" i="126"/>
  <c r="AG43" i="126"/>
  <c r="AH43" i="126"/>
  <c r="AI43" i="126"/>
  <c r="P44" i="126"/>
  <c r="Q44" i="126"/>
  <c r="R44" i="126"/>
  <c r="S44" i="126"/>
  <c r="T44" i="126"/>
  <c r="U44" i="126"/>
  <c r="V44" i="126"/>
  <c r="W44" i="126"/>
  <c r="X44" i="126"/>
  <c r="Y44" i="126"/>
  <c r="Z44" i="126"/>
  <c r="AA44" i="126"/>
  <c r="AB44" i="126"/>
  <c r="AC44" i="126"/>
  <c r="AD44" i="126"/>
  <c r="AE44" i="126"/>
  <c r="AF44" i="126"/>
  <c r="AG44" i="126"/>
  <c r="AH44" i="126"/>
  <c r="AI44" i="126"/>
  <c r="P45" i="126"/>
  <c r="Q45" i="126"/>
  <c r="R45" i="126"/>
  <c r="S45" i="126"/>
  <c r="T45" i="126"/>
  <c r="U45" i="126"/>
  <c r="V45" i="126"/>
  <c r="W45" i="126"/>
  <c r="X45" i="126"/>
  <c r="Y45" i="126"/>
  <c r="Z45" i="126"/>
  <c r="AA45" i="126"/>
  <c r="AB45" i="126"/>
  <c r="AC45" i="126"/>
  <c r="AD45" i="126"/>
  <c r="AE45" i="126"/>
  <c r="AF45" i="126"/>
  <c r="AG45" i="126"/>
  <c r="AH45" i="126"/>
  <c r="AI45" i="126"/>
  <c r="P46" i="126"/>
  <c r="Q46" i="126"/>
  <c r="R46" i="126"/>
  <c r="S46" i="126"/>
  <c r="T46" i="126"/>
  <c r="U46" i="126"/>
  <c r="V46" i="126"/>
  <c r="W46" i="126"/>
  <c r="X46" i="126"/>
  <c r="Y46" i="126"/>
  <c r="Z46" i="126"/>
  <c r="AA46" i="126"/>
  <c r="AB46" i="126"/>
  <c r="AC46" i="126"/>
  <c r="AD46" i="126"/>
  <c r="AE46" i="126"/>
  <c r="AF46" i="126"/>
  <c r="AG46" i="126"/>
  <c r="AH46" i="126"/>
  <c r="AI46" i="126"/>
  <c r="P47" i="126"/>
  <c r="Q47" i="126"/>
  <c r="R47" i="126"/>
  <c r="S47" i="126"/>
  <c r="T47" i="126"/>
  <c r="U47" i="126"/>
  <c r="V47" i="126"/>
  <c r="W47" i="126"/>
  <c r="X47" i="126"/>
  <c r="Y47" i="126"/>
  <c r="Z47" i="126"/>
  <c r="AA47" i="126"/>
  <c r="AB47" i="126"/>
  <c r="AC47" i="126"/>
  <c r="AD47" i="126"/>
  <c r="AE47" i="126"/>
  <c r="AF47" i="126"/>
  <c r="AG47" i="126"/>
  <c r="AH47" i="126"/>
  <c r="AI47" i="126"/>
  <c r="P48" i="126"/>
  <c r="Q48" i="126"/>
  <c r="R48" i="126"/>
  <c r="S48" i="126"/>
  <c r="T48" i="126"/>
  <c r="U48" i="126"/>
  <c r="V48" i="126"/>
  <c r="W48" i="126"/>
  <c r="X48" i="126"/>
  <c r="Y48" i="126"/>
  <c r="Z48" i="126"/>
  <c r="AA48" i="126"/>
  <c r="AB48" i="126"/>
  <c r="AC48" i="126"/>
  <c r="AD48" i="126"/>
  <c r="AE48" i="126"/>
  <c r="AF48" i="126"/>
  <c r="AG48" i="126"/>
  <c r="AH48" i="126"/>
  <c r="AI48" i="126"/>
  <c r="P49" i="126"/>
  <c r="Q49" i="126"/>
  <c r="R49" i="126"/>
  <c r="S49" i="126"/>
  <c r="T49" i="126"/>
  <c r="U49" i="126"/>
  <c r="V49" i="126"/>
  <c r="W49" i="126"/>
  <c r="X49" i="126"/>
  <c r="Y49" i="126"/>
  <c r="Z49" i="126"/>
  <c r="AA49" i="126"/>
  <c r="AB49" i="126"/>
  <c r="AC49" i="126"/>
  <c r="AD49" i="126"/>
  <c r="AE49" i="126"/>
  <c r="AF49" i="126"/>
  <c r="AG49" i="126"/>
  <c r="AH49" i="126"/>
  <c r="AI49" i="126"/>
  <c r="P50" i="126"/>
  <c r="Q50" i="126"/>
  <c r="R50" i="126"/>
  <c r="S50" i="126"/>
  <c r="T50" i="126"/>
  <c r="U50" i="126"/>
  <c r="V50" i="126"/>
  <c r="W50" i="126"/>
  <c r="X50" i="126"/>
  <c r="Y50" i="126"/>
  <c r="Z50" i="126"/>
  <c r="AA50" i="126"/>
  <c r="AB50" i="126"/>
  <c r="AC50" i="126"/>
  <c r="AD50" i="126"/>
  <c r="AE50" i="126"/>
  <c r="AF50" i="126"/>
  <c r="AG50" i="126"/>
  <c r="AH50" i="126"/>
  <c r="AI50" i="126"/>
  <c r="P51" i="126"/>
  <c r="Q51" i="126"/>
  <c r="R51" i="126"/>
  <c r="S51" i="126"/>
  <c r="T51" i="126"/>
  <c r="U51" i="126"/>
  <c r="V51" i="126"/>
  <c r="W51" i="126"/>
  <c r="X51" i="126"/>
  <c r="Y51" i="126"/>
  <c r="Z51" i="126"/>
  <c r="AA51" i="126"/>
  <c r="AB51" i="126"/>
  <c r="AC51" i="126"/>
  <c r="AD51" i="126"/>
  <c r="AE51" i="126"/>
  <c r="AF51" i="126"/>
  <c r="AG51" i="126"/>
  <c r="AH51" i="126"/>
  <c r="AI51" i="126"/>
  <c r="P52" i="126"/>
  <c r="Q52" i="126"/>
  <c r="R52" i="126"/>
  <c r="S52" i="126"/>
  <c r="T52" i="126"/>
  <c r="U52" i="126"/>
  <c r="V52" i="126"/>
  <c r="W52" i="126"/>
  <c r="X52" i="126"/>
  <c r="Y52" i="126"/>
  <c r="Z52" i="126"/>
  <c r="AA52" i="126"/>
  <c r="AB52" i="126"/>
  <c r="AC52" i="126"/>
  <c r="AD52" i="126"/>
  <c r="AE52" i="126"/>
  <c r="AF52" i="126"/>
  <c r="AG52" i="126"/>
  <c r="AH52" i="126"/>
  <c r="AI52" i="126"/>
  <c r="P53" i="126"/>
  <c r="Q53" i="126"/>
  <c r="R53" i="126"/>
  <c r="S53" i="126"/>
  <c r="T53" i="126"/>
  <c r="U53" i="126"/>
  <c r="V53" i="126"/>
  <c r="W53" i="126"/>
  <c r="X53" i="126"/>
  <c r="Y53" i="126"/>
  <c r="Z53" i="126"/>
  <c r="AA53" i="126"/>
  <c r="AB53" i="126"/>
  <c r="AC53" i="126"/>
  <c r="AD53" i="126"/>
  <c r="AE53" i="126"/>
  <c r="AF53" i="126"/>
  <c r="AG53" i="126"/>
  <c r="AH53" i="126"/>
  <c r="AI53" i="126"/>
  <c r="P54" i="126"/>
  <c r="Q54" i="126"/>
  <c r="R54" i="126"/>
  <c r="S54" i="126"/>
  <c r="T54" i="126"/>
  <c r="U54" i="126"/>
  <c r="V54" i="126"/>
  <c r="W54" i="126"/>
  <c r="X54" i="126"/>
  <c r="Y54" i="126"/>
  <c r="Z54" i="126"/>
  <c r="AA54" i="126"/>
  <c r="AB54" i="126"/>
  <c r="AC54" i="126"/>
  <c r="AD54" i="126"/>
  <c r="AE54" i="126"/>
  <c r="AF54" i="126"/>
  <c r="AG54" i="126"/>
  <c r="AH54" i="126"/>
  <c r="AI54" i="126"/>
  <c r="P17" i="127"/>
  <c r="Q17" i="127"/>
  <c r="R17" i="127"/>
  <c r="S17" i="127"/>
  <c r="T17" i="127"/>
  <c r="U17" i="127"/>
  <c r="V17" i="127"/>
  <c r="W17" i="127"/>
  <c r="X17" i="127"/>
  <c r="Y17" i="127"/>
  <c r="Z17" i="127"/>
  <c r="AA17" i="127"/>
  <c r="AB17" i="127"/>
  <c r="AC17" i="127"/>
  <c r="AD17" i="127"/>
  <c r="AE17" i="127"/>
  <c r="AF17" i="127"/>
  <c r="AG17" i="127"/>
  <c r="AH17" i="127"/>
  <c r="AI17" i="127"/>
  <c r="P18" i="127"/>
  <c r="Q18" i="127"/>
  <c r="R18" i="127"/>
  <c r="S18" i="127"/>
  <c r="T18" i="127"/>
  <c r="U18" i="127"/>
  <c r="V18" i="127"/>
  <c r="W18" i="127"/>
  <c r="X18" i="127"/>
  <c r="Y18" i="127"/>
  <c r="Z18" i="127"/>
  <c r="AA18" i="127"/>
  <c r="AB18" i="127"/>
  <c r="AC18" i="127"/>
  <c r="AD18" i="127"/>
  <c r="AE18" i="127"/>
  <c r="AF18" i="127"/>
  <c r="AG18" i="127"/>
  <c r="AH18" i="127"/>
  <c r="AI18" i="127"/>
  <c r="P19" i="127"/>
  <c r="Q19" i="127"/>
  <c r="R19" i="127"/>
  <c r="S19" i="127"/>
  <c r="T19" i="127"/>
  <c r="U19" i="127"/>
  <c r="V19" i="127"/>
  <c r="W19" i="127"/>
  <c r="X19" i="127"/>
  <c r="Y19" i="127"/>
  <c r="Z19" i="127"/>
  <c r="AA19" i="127"/>
  <c r="AB19" i="127"/>
  <c r="AC19" i="127"/>
  <c r="AD19" i="127"/>
  <c r="AE19" i="127"/>
  <c r="AF19" i="127"/>
  <c r="AG19" i="127"/>
  <c r="AH19" i="127"/>
  <c r="AI19" i="127"/>
  <c r="P20" i="127"/>
  <c r="Q20" i="127"/>
  <c r="R20" i="127"/>
  <c r="S20" i="127"/>
  <c r="T20" i="127"/>
  <c r="U20" i="127"/>
  <c r="V20" i="127"/>
  <c r="W20" i="127"/>
  <c r="X20" i="127"/>
  <c r="Y20" i="127"/>
  <c r="Z20" i="127"/>
  <c r="AA20" i="127"/>
  <c r="AB20" i="127"/>
  <c r="AC20" i="127"/>
  <c r="AD20" i="127"/>
  <c r="AE20" i="127"/>
  <c r="AF20" i="127"/>
  <c r="AG20" i="127"/>
  <c r="AH20" i="127"/>
  <c r="AI20" i="127"/>
  <c r="P21" i="127"/>
  <c r="Q21" i="127"/>
  <c r="R21" i="127"/>
  <c r="S21" i="127"/>
  <c r="T21" i="127"/>
  <c r="U21" i="127"/>
  <c r="V21" i="127"/>
  <c r="W21" i="127"/>
  <c r="X21" i="127"/>
  <c r="Y21" i="127"/>
  <c r="Z21" i="127"/>
  <c r="AA21" i="127"/>
  <c r="AB21" i="127"/>
  <c r="AC21" i="127"/>
  <c r="AD21" i="127"/>
  <c r="AE21" i="127"/>
  <c r="AF21" i="127"/>
  <c r="AG21" i="127"/>
  <c r="AH21" i="127"/>
  <c r="AI21" i="127"/>
  <c r="P22" i="127"/>
  <c r="Q22" i="127"/>
  <c r="R22" i="127"/>
  <c r="S22" i="127"/>
  <c r="T22" i="127"/>
  <c r="U22" i="127"/>
  <c r="V22" i="127"/>
  <c r="W22" i="127"/>
  <c r="X22" i="127"/>
  <c r="Y22" i="127"/>
  <c r="Z22" i="127"/>
  <c r="AA22" i="127"/>
  <c r="AB22" i="127"/>
  <c r="AC22" i="127"/>
  <c r="AD22" i="127"/>
  <c r="AE22" i="127"/>
  <c r="AF22" i="127"/>
  <c r="AG22" i="127"/>
  <c r="AH22" i="127"/>
  <c r="AI22" i="127"/>
  <c r="P23" i="127"/>
  <c r="Q23" i="127"/>
  <c r="R23" i="127"/>
  <c r="S23" i="127"/>
  <c r="T23" i="127"/>
  <c r="U23" i="127"/>
  <c r="V23" i="127"/>
  <c r="W23" i="127"/>
  <c r="X23" i="127"/>
  <c r="Y23" i="127"/>
  <c r="Z23" i="127"/>
  <c r="AA23" i="127"/>
  <c r="AB23" i="127"/>
  <c r="AC23" i="127"/>
  <c r="AD23" i="127"/>
  <c r="AE23" i="127"/>
  <c r="AF23" i="127"/>
  <c r="AG23" i="127"/>
  <c r="AH23" i="127"/>
  <c r="AI23" i="127"/>
  <c r="P24" i="127"/>
  <c r="Q24" i="127"/>
  <c r="R24" i="127"/>
  <c r="S24" i="127"/>
  <c r="T24" i="127"/>
  <c r="U24" i="127"/>
  <c r="V24" i="127"/>
  <c r="W24" i="127"/>
  <c r="X24" i="127"/>
  <c r="Y24" i="127"/>
  <c r="Z24" i="127"/>
  <c r="AA24" i="127"/>
  <c r="AB24" i="127"/>
  <c r="AC24" i="127"/>
  <c r="AD24" i="127"/>
  <c r="AE24" i="127"/>
  <c r="AF24" i="127"/>
  <c r="AG24" i="127"/>
  <c r="AH24" i="127"/>
  <c r="AI24" i="127"/>
  <c r="P25" i="127"/>
  <c r="Q25" i="127"/>
  <c r="R25" i="127"/>
  <c r="S25" i="127"/>
  <c r="T25" i="127"/>
  <c r="U25" i="127"/>
  <c r="V25" i="127"/>
  <c r="W25" i="127"/>
  <c r="X25" i="127"/>
  <c r="Y25" i="127"/>
  <c r="Z25" i="127"/>
  <c r="AA25" i="127"/>
  <c r="AB25" i="127"/>
  <c r="AC25" i="127"/>
  <c r="AD25" i="127"/>
  <c r="AE25" i="127"/>
  <c r="AF25" i="127"/>
  <c r="AG25" i="127"/>
  <c r="AH25" i="127"/>
  <c r="AI25" i="127"/>
  <c r="P26" i="127"/>
  <c r="Q26" i="127"/>
  <c r="R26" i="127"/>
  <c r="S26" i="127"/>
  <c r="T26" i="127"/>
  <c r="U26" i="127"/>
  <c r="V26" i="127"/>
  <c r="W26" i="127"/>
  <c r="X26" i="127"/>
  <c r="Y26" i="127"/>
  <c r="Z26" i="127"/>
  <c r="AA26" i="127"/>
  <c r="AB26" i="127"/>
  <c r="AC26" i="127"/>
  <c r="AD26" i="127"/>
  <c r="AE26" i="127"/>
  <c r="AF26" i="127"/>
  <c r="AG26" i="127"/>
  <c r="AH26" i="127"/>
  <c r="AI26" i="127"/>
  <c r="P27" i="127"/>
  <c r="Q27" i="127"/>
  <c r="R27" i="127"/>
  <c r="S27" i="127"/>
  <c r="T27" i="127"/>
  <c r="U27" i="127"/>
  <c r="V27" i="127"/>
  <c r="W27" i="127"/>
  <c r="X27" i="127"/>
  <c r="Y27" i="127"/>
  <c r="Z27" i="127"/>
  <c r="AA27" i="127"/>
  <c r="AB27" i="127"/>
  <c r="AC27" i="127"/>
  <c r="AD27" i="127"/>
  <c r="AE27" i="127"/>
  <c r="AF27" i="127"/>
  <c r="AG27" i="127"/>
  <c r="AH27" i="127"/>
  <c r="AI27" i="127"/>
  <c r="P28" i="127"/>
  <c r="Q28" i="127"/>
  <c r="R28" i="127"/>
  <c r="S28" i="127"/>
  <c r="T28" i="127"/>
  <c r="U28" i="127"/>
  <c r="V28" i="127"/>
  <c r="W28" i="127"/>
  <c r="X28" i="127"/>
  <c r="Y28" i="127"/>
  <c r="Z28" i="127"/>
  <c r="AA28" i="127"/>
  <c r="AB28" i="127"/>
  <c r="AC28" i="127"/>
  <c r="AD28" i="127"/>
  <c r="AE28" i="127"/>
  <c r="AF28" i="127"/>
  <c r="AG28" i="127"/>
  <c r="AH28" i="127"/>
  <c r="AI28" i="127"/>
  <c r="P29" i="127"/>
  <c r="Q29" i="127"/>
  <c r="R29" i="127"/>
  <c r="S29" i="127"/>
  <c r="T29" i="127"/>
  <c r="U29" i="127"/>
  <c r="V29" i="127"/>
  <c r="W29" i="127"/>
  <c r="X29" i="127"/>
  <c r="Y29" i="127"/>
  <c r="Z29" i="127"/>
  <c r="AA29" i="127"/>
  <c r="AB29" i="127"/>
  <c r="AC29" i="127"/>
  <c r="AD29" i="127"/>
  <c r="AE29" i="127"/>
  <c r="AF29" i="127"/>
  <c r="AG29" i="127"/>
  <c r="AH29" i="127"/>
  <c r="AI29" i="127"/>
  <c r="P30" i="127"/>
  <c r="Q30" i="127"/>
  <c r="R30" i="127"/>
  <c r="S30" i="127"/>
  <c r="T30" i="127"/>
  <c r="U30" i="127"/>
  <c r="V30" i="127"/>
  <c r="W30" i="127"/>
  <c r="X30" i="127"/>
  <c r="Y30" i="127"/>
  <c r="Z30" i="127"/>
  <c r="AA30" i="127"/>
  <c r="AB30" i="127"/>
  <c r="AC30" i="127"/>
  <c r="AD30" i="127"/>
  <c r="AE30" i="127"/>
  <c r="AF30" i="127"/>
  <c r="AG30" i="127"/>
  <c r="AH30" i="127"/>
  <c r="AI30" i="127"/>
  <c r="P31" i="127"/>
  <c r="Q31" i="127"/>
  <c r="R31" i="127"/>
  <c r="S31" i="127"/>
  <c r="T31" i="127"/>
  <c r="U31" i="127"/>
  <c r="V31" i="127"/>
  <c r="W31" i="127"/>
  <c r="X31" i="127"/>
  <c r="Y31" i="127"/>
  <c r="Z31" i="127"/>
  <c r="AA31" i="127"/>
  <c r="AB31" i="127"/>
  <c r="AC31" i="127"/>
  <c r="AD31" i="127"/>
  <c r="AE31" i="127"/>
  <c r="AF31" i="127"/>
  <c r="AG31" i="127"/>
  <c r="AH31" i="127"/>
  <c r="AI31" i="127"/>
  <c r="P32" i="127"/>
  <c r="Q32" i="127"/>
  <c r="R32" i="127"/>
  <c r="S32" i="127"/>
  <c r="T32" i="127"/>
  <c r="U32" i="127"/>
  <c r="V32" i="127"/>
  <c r="W32" i="127"/>
  <c r="X32" i="127"/>
  <c r="Y32" i="127"/>
  <c r="Z32" i="127"/>
  <c r="AA32" i="127"/>
  <c r="AB32" i="127"/>
  <c r="AC32" i="127"/>
  <c r="AD32" i="127"/>
  <c r="AE32" i="127"/>
  <c r="AF32" i="127"/>
  <c r="AG32" i="127"/>
  <c r="AH32" i="127"/>
  <c r="AI32" i="127"/>
  <c r="P33" i="127"/>
  <c r="Q33" i="127"/>
  <c r="R33" i="127"/>
  <c r="S33" i="127"/>
  <c r="T33" i="127"/>
  <c r="U33" i="127"/>
  <c r="V33" i="127"/>
  <c r="W33" i="127"/>
  <c r="X33" i="127"/>
  <c r="Y33" i="127"/>
  <c r="Z33" i="127"/>
  <c r="AA33" i="127"/>
  <c r="AB33" i="127"/>
  <c r="AC33" i="127"/>
  <c r="AD33" i="127"/>
  <c r="AE33" i="127"/>
  <c r="AF33" i="127"/>
  <c r="AG33" i="127"/>
  <c r="AH33" i="127"/>
  <c r="AI33" i="127"/>
  <c r="P34" i="127"/>
  <c r="Q34" i="127"/>
  <c r="R34" i="127"/>
  <c r="S34" i="127"/>
  <c r="T34" i="127"/>
  <c r="U34" i="127"/>
  <c r="V34" i="127"/>
  <c r="W34" i="127"/>
  <c r="X34" i="127"/>
  <c r="Y34" i="127"/>
  <c r="Z34" i="127"/>
  <c r="AA34" i="127"/>
  <c r="AB34" i="127"/>
  <c r="AC34" i="127"/>
  <c r="AD34" i="127"/>
  <c r="AE34" i="127"/>
  <c r="AF34" i="127"/>
  <c r="AG34" i="127"/>
  <c r="AH34" i="127"/>
  <c r="AI34" i="127"/>
  <c r="P35" i="127"/>
  <c r="Q35" i="127"/>
  <c r="R35" i="127"/>
  <c r="S35" i="127"/>
  <c r="T35" i="127"/>
  <c r="U35" i="127"/>
  <c r="V35" i="127"/>
  <c r="W35" i="127"/>
  <c r="X35" i="127"/>
  <c r="Y35" i="127"/>
  <c r="Z35" i="127"/>
  <c r="AA35" i="127"/>
  <c r="AB35" i="127"/>
  <c r="AC35" i="127"/>
  <c r="AD35" i="127"/>
  <c r="AE35" i="127"/>
  <c r="AF35" i="127"/>
  <c r="AG35" i="127"/>
  <c r="AH35" i="127"/>
  <c r="AI35" i="127"/>
  <c r="P36" i="127"/>
  <c r="Q36" i="127"/>
  <c r="R36" i="127"/>
  <c r="S36" i="127"/>
  <c r="T36" i="127"/>
  <c r="U36" i="127"/>
  <c r="V36" i="127"/>
  <c r="W36" i="127"/>
  <c r="X36" i="127"/>
  <c r="Y36" i="127"/>
  <c r="Z36" i="127"/>
  <c r="AA36" i="127"/>
  <c r="AB36" i="127"/>
  <c r="AC36" i="127"/>
  <c r="AD36" i="127"/>
  <c r="AE36" i="127"/>
  <c r="AF36" i="127"/>
  <c r="AG36" i="127"/>
  <c r="AH36" i="127"/>
  <c r="AI36" i="127"/>
  <c r="P37" i="127"/>
  <c r="Q37" i="127"/>
  <c r="R37" i="127"/>
  <c r="S37" i="127"/>
  <c r="T37" i="127"/>
  <c r="U37" i="127"/>
  <c r="V37" i="127"/>
  <c r="W37" i="127"/>
  <c r="X37" i="127"/>
  <c r="Y37" i="127"/>
  <c r="Z37" i="127"/>
  <c r="AA37" i="127"/>
  <c r="AB37" i="127"/>
  <c r="AC37" i="127"/>
  <c r="AD37" i="127"/>
  <c r="AE37" i="127"/>
  <c r="AF37" i="127"/>
  <c r="AG37" i="127"/>
  <c r="AH37" i="127"/>
  <c r="AI37" i="127"/>
  <c r="P38" i="127"/>
  <c r="Q38" i="127"/>
  <c r="R38" i="127"/>
  <c r="S38" i="127"/>
  <c r="T38" i="127"/>
  <c r="U38" i="127"/>
  <c r="V38" i="127"/>
  <c r="W38" i="127"/>
  <c r="X38" i="127"/>
  <c r="Y38" i="127"/>
  <c r="Z38" i="127"/>
  <c r="AA38" i="127"/>
  <c r="AB38" i="127"/>
  <c r="AC38" i="127"/>
  <c r="AD38" i="127"/>
  <c r="AE38" i="127"/>
  <c r="AF38" i="127"/>
  <c r="AG38" i="127"/>
  <c r="AH38" i="127"/>
  <c r="AI38" i="127"/>
  <c r="P39" i="127"/>
  <c r="Q39" i="127"/>
  <c r="R39" i="127"/>
  <c r="S39" i="127"/>
  <c r="T39" i="127"/>
  <c r="U39" i="127"/>
  <c r="V39" i="127"/>
  <c r="W39" i="127"/>
  <c r="X39" i="127"/>
  <c r="Y39" i="127"/>
  <c r="Z39" i="127"/>
  <c r="AA39" i="127"/>
  <c r="AB39" i="127"/>
  <c r="AC39" i="127"/>
  <c r="AD39" i="127"/>
  <c r="AE39" i="127"/>
  <c r="AF39" i="127"/>
  <c r="AG39" i="127"/>
  <c r="AH39" i="127"/>
  <c r="AI39" i="127"/>
  <c r="P40" i="127"/>
  <c r="Q40" i="127"/>
  <c r="R40" i="127"/>
  <c r="S40" i="127"/>
  <c r="T40" i="127"/>
  <c r="U40" i="127"/>
  <c r="V40" i="127"/>
  <c r="W40" i="127"/>
  <c r="X40" i="127"/>
  <c r="Y40" i="127"/>
  <c r="Z40" i="127"/>
  <c r="AA40" i="127"/>
  <c r="AB40" i="127"/>
  <c r="AC40" i="127"/>
  <c r="AD40" i="127"/>
  <c r="AE40" i="127"/>
  <c r="AF40" i="127"/>
  <c r="AG40" i="127"/>
  <c r="AH40" i="127"/>
  <c r="AI40" i="127"/>
  <c r="P41" i="127"/>
  <c r="Q41" i="127"/>
  <c r="R41" i="127"/>
  <c r="S41" i="127"/>
  <c r="T41" i="127"/>
  <c r="U41" i="127"/>
  <c r="V41" i="127"/>
  <c r="W41" i="127"/>
  <c r="X41" i="127"/>
  <c r="Y41" i="127"/>
  <c r="Z41" i="127"/>
  <c r="AA41" i="127"/>
  <c r="AB41" i="127"/>
  <c r="AC41" i="127"/>
  <c r="AD41" i="127"/>
  <c r="AE41" i="127"/>
  <c r="AF41" i="127"/>
  <c r="AG41" i="127"/>
  <c r="AH41" i="127"/>
  <c r="AI41" i="127"/>
  <c r="P42" i="127"/>
  <c r="Q42" i="127"/>
  <c r="R42" i="127"/>
  <c r="S42" i="127"/>
  <c r="T42" i="127"/>
  <c r="U42" i="127"/>
  <c r="V42" i="127"/>
  <c r="W42" i="127"/>
  <c r="X42" i="127"/>
  <c r="Y42" i="127"/>
  <c r="Z42" i="127"/>
  <c r="AA42" i="127"/>
  <c r="AB42" i="127"/>
  <c r="AC42" i="127"/>
  <c r="AD42" i="127"/>
  <c r="AE42" i="127"/>
  <c r="AF42" i="127"/>
  <c r="AG42" i="127"/>
  <c r="AH42" i="127"/>
  <c r="AI42" i="127"/>
  <c r="P43" i="127"/>
  <c r="Q43" i="127"/>
  <c r="R43" i="127"/>
  <c r="S43" i="127"/>
  <c r="T43" i="127"/>
  <c r="U43" i="127"/>
  <c r="V43" i="127"/>
  <c r="W43" i="127"/>
  <c r="X43" i="127"/>
  <c r="Y43" i="127"/>
  <c r="Z43" i="127"/>
  <c r="AA43" i="127"/>
  <c r="AB43" i="127"/>
  <c r="AC43" i="127"/>
  <c r="AD43" i="127"/>
  <c r="AE43" i="127"/>
  <c r="AF43" i="127"/>
  <c r="AG43" i="127"/>
  <c r="AH43" i="127"/>
  <c r="AI43" i="127"/>
  <c r="P44" i="127"/>
  <c r="Q44" i="127"/>
  <c r="R44" i="127"/>
  <c r="S44" i="127"/>
  <c r="T44" i="127"/>
  <c r="U44" i="127"/>
  <c r="V44" i="127"/>
  <c r="W44" i="127"/>
  <c r="X44" i="127"/>
  <c r="Y44" i="127"/>
  <c r="Z44" i="127"/>
  <c r="AA44" i="127"/>
  <c r="AB44" i="127"/>
  <c r="AC44" i="127"/>
  <c r="AD44" i="127"/>
  <c r="AE44" i="127"/>
  <c r="AF44" i="127"/>
  <c r="AG44" i="127"/>
  <c r="AH44" i="127"/>
  <c r="AI44" i="127"/>
  <c r="P45" i="127"/>
  <c r="Q45" i="127"/>
  <c r="R45" i="127"/>
  <c r="S45" i="127"/>
  <c r="T45" i="127"/>
  <c r="U45" i="127"/>
  <c r="V45" i="127"/>
  <c r="W45" i="127"/>
  <c r="X45" i="127"/>
  <c r="Y45" i="127"/>
  <c r="Z45" i="127"/>
  <c r="AA45" i="127"/>
  <c r="AB45" i="127"/>
  <c r="AC45" i="127"/>
  <c r="AD45" i="127"/>
  <c r="AE45" i="127"/>
  <c r="AF45" i="127"/>
  <c r="AG45" i="127"/>
  <c r="AH45" i="127"/>
  <c r="AI45" i="127"/>
  <c r="P46" i="127"/>
  <c r="Q46" i="127"/>
  <c r="R46" i="127"/>
  <c r="S46" i="127"/>
  <c r="T46" i="127"/>
  <c r="U46" i="127"/>
  <c r="V46" i="127"/>
  <c r="W46" i="127"/>
  <c r="X46" i="127"/>
  <c r="Y46" i="127"/>
  <c r="Z46" i="127"/>
  <c r="AA46" i="127"/>
  <c r="AB46" i="127"/>
  <c r="AC46" i="127"/>
  <c r="AD46" i="127"/>
  <c r="AE46" i="127"/>
  <c r="AF46" i="127"/>
  <c r="AG46" i="127"/>
  <c r="AH46" i="127"/>
  <c r="AI46" i="127"/>
  <c r="P47" i="127"/>
  <c r="Q47" i="127"/>
  <c r="R47" i="127"/>
  <c r="S47" i="127"/>
  <c r="T47" i="127"/>
  <c r="U47" i="127"/>
  <c r="V47" i="127"/>
  <c r="W47" i="127"/>
  <c r="X47" i="127"/>
  <c r="Y47" i="127"/>
  <c r="Z47" i="127"/>
  <c r="AA47" i="127"/>
  <c r="AB47" i="127"/>
  <c r="AC47" i="127"/>
  <c r="AD47" i="127"/>
  <c r="AE47" i="127"/>
  <c r="AF47" i="127"/>
  <c r="AG47" i="127"/>
  <c r="AH47" i="127"/>
  <c r="AI47" i="127"/>
  <c r="P48" i="127"/>
  <c r="Q48" i="127"/>
  <c r="R48" i="127"/>
  <c r="S48" i="127"/>
  <c r="T48" i="127"/>
  <c r="U48" i="127"/>
  <c r="V48" i="127"/>
  <c r="W48" i="127"/>
  <c r="X48" i="127"/>
  <c r="Y48" i="127"/>
  <c r="Z48" i="127"/>
  <c r="AA48" i="127"/>
  <c r="AB48" i="127"/>
  <c r="AC48" i="127"/>
  <c r="AD48" i="127"/>
  <c r="AE48" i="127"/>
  <c r="AF48" i="127"/>
  <c r="AG48" i="127"/>
  <c r="AH48" i="127"/>
  <c r="AI48" i="127"/>
  <c r="P49" i="127"/>
  <c r="Q49" i="127"/>
  <c r="R49" i="127"/>
  <c r="S49" i="127"/>
  <c r="T49" i="127"/>
  <c r="U49" i="127"/>
  <c r="V49" i="127"/>
  <c r="W49" i="127"/>
  <c r="X49" i="127"/>
  <c r="Y49" i="127"/>
  <c r="Z49" i="127"/>
  <c r="AA49" i="127"/>
  <c r="AB49" i="127"/>
  <c r="AC49" i="127"/>
  <c r="AD49" i="127"/>
  <c r="AE49" i="127"/>
  <c r="AF49" i="127"/>
  <c r="AG49" i="127"/>
  <c r="AH49" i="127"/>
  <c r="AI49" i="127"/>
  <c r="P50" i="127"/>
  <c r="Q50" i="127"/>
  <c r="R50" i="127"/>
  <c r="S50" i="127"/>
  <c r="T50" i="127"/>
  <c r="U50" i="127"/>
  <c r="V50" i="127"/>
  <c r="W50" i="127"/>
  <c r="X50" i="127"/>
  <c r="Y50" i="127"/>
  <c r="Z50" i="127"/>
  <c r="AA50" i="127"/>
  <c r="AB50" i="127"/>
  <c r="AC50" i="127"/>
  <c r="AD50" i="127"/>
  <c r="AE50" i="127"/>
  <c r="AF50" i="127"/>
  <c r="AG50" i="127"/>
  <c r="AH50" i="127"/>
  <c r="AI50" i="127"/>
  <c r="P51" i="127"/>
  <c r="Q51" i="127"/>
  <c r="R51" i="127"/>
  <c r="S51" i="127"/>
  <c r="T51" i="127"/>
  <c r="U51" i="127"/>
  <c r="V51" i="127"/>
  <c r="W51" i="127"/>
  <c r="X51" i="127"/>
  <c r="Y51" i="127"/>
  <c r="Z51" i="127"/>
  <c r="AA51" i="127"/>
  <c r="AB51" i="127"/>
  <c r="AC51" i="127"/>
  <c r="AD51" i="127"/>
  <c r="AE51" i="127"/>
  <c r="AF51" i="127"/>
  <c r="AG51" i="127"/>
  <c r="AH51" i="127"/>
  <c r="AI51" i="127"/>
  <c r="P52" i="127"/>
  <c r="Q52" i="127"/>
  <c r="R52" i="127"/>
  <c r="S52" i="127"/>
  <c r="T52" i="127"/>
  <c r="U52" i="127"/>
  <c r="V52" i="127"/>
  <c r="W52" i="127"/>
  <c r="X52" i="127"/>
  <c r="Y52" i="127"/>
  <c r="Z52" i="127"/>
  <c r="AA52" i="127"/>
  <c r="AB52" i="127"/>
  <c r="AC52" i="127"/>
  <c r="AD52" i="127"/>
  <c r="AE52" i="127"/>
  <c r="AF52" i="127"/>
  <c r="AG52" i="127"/>
  <c r="AH52" i="127"/>
  <c r="AI52" i="127"/>
  <c r="P53" i="127"/>
  <c r="Q53" i="127"/>
  <c r="R53" i="127"/>
  <c r="S53" i="127"/>
  <c r="T53" i="127"/>
  <c r="U53" i="127"/>
  <c r="V53" i="127"/>
  <c r="W53" i="127"/>
  <c r="X53" i="127"/>
  <c r="Y53" i="127"/>
  <c r="Z53" i="127"/>
  <c r="AA53" i="127"/>
  <c r="AB53" i="127"/>
  <c r="AC53" i="127"/>
  <c r="AD53" i="127"/>
  <c r="AE53" i="127"/>
  <c r="AF53" i="127"/>
  <c r="AG53" i="127"/>
  <c r="AH53" i="127"/>
  <c r="AI53" i="127"/>
  <c r="P54" i="127"/>
  <c r="Q54" i="127"/>
  <c r="R54" i="127"/>
  <c r="S54" i="127"/>
  <c r="T54" i="127"/>
  <c r="U54" i="127"/>
  <c r="V54" i="127"/>
  <c r="W54" i="127"/>
  <c r="X54" i="127"/>
  <c r="Y54" i="127"/>
  <c r="Z54" i="127"/>
  <c r="AA54" i="127"/>
  <c r="AB54" i="127"/>
  <c r="AC54" i="127"/>
  <c r="AD54" i="127"/>
  <c r="AE54" i="127"/>
  <c r="AF54" i="127"/>
  <c r="AG54" i="127"/>
  <c r="AH54" i="127"/>
  <c r="AI54" i="127"/>
  <c r="P16" i="127"/>
  <c r="Q16" i="127"/>
  <c r="R16" i="127"/>
  <c r="S16" i="127"/>
  <c r="T16" i="127"/>
  <c r="U16" i="127"/>
  <c r="W16" i="127"/>
  <c r="X16" i="127"/>
  <c r="Y16" i="127"/>
  <c r="Z16" i="127"/>
  <c r="AA16" i="127"/>
  <c r="AC16" i="127"/>
  <c r="AD16" i="127"/>
  <c r="AE16" i="127"/>
  <c r="AF16" i="127"/>
  <c r="AG16" i="127"/>
  <c r="AH16" i="127"/>
  <c r="AI16" i="127"/>
  <c r="P55" i="127"/>
  <c r="Q55" i="127"/>
  <c r="R55" i="127"/>
  <c r="S55" i="127"/>
  <c r="T55" i="127"/>
  <c r="U55" i="127"/>
  <c r="V55" i="127"/>
  <c r="W55" i="127"/>
  <c r="X55" i="127"/>
  <c r="Y55" i="127"/>
  <c r="Z55" i="127"/>
  <c r="AA55" i="127"/>
  <c r="AB55" i="127"/>
  <c r="AC55" i="127"/>
  <c r="AD55" i="127"/>
  <c r="AE55" i="127"/>
  <c r="AF55" i="127"/>
  <c r="AG55" i="127"/>
  <c r="AH55" i="127"/>
  <c r="AI55" i="127"/>
  <c r="P56" i="127"/>
  <c r="Q56" i="127"/>
  <c r="R56" i="127"/>
  <c r="S56" i="127"/>
  <c r="T56" i="127"/>
  <c r="U56" i="127"/>
  <c r="V56" i="127"/>
  <c r="W56" i="127"/>
  <c r="X56" i="127"/>
  <c r="Y56" i="127"/>
  <c r="Z56" i="127"/>
  <c r="AA56" i="127"/>
  <c r="AB56" i="127"/>
  <c r="AC56" i="127"/>
  <c r="AD56" i="127"/>
  <c r="AE56" i="127"/>
  <c r="AF56" i="127"/>
  <c r="AG56" i="127"/>
  <c r="AH56" i="127"/>
  <c r="AI56" i="127"/>
  <c r="P57" i="127"/>
  <c r="Q57" i="127"/>
  <c r="R57" i="127"/>
  <c r="S57" i="127"/>
  <c r="T57" i="127"/>
  <c r="U57" i="127"/>
  <c r="V57" i="127"/>
  <c r="W57" i="127"/>
  <c r="X57" i="127"/>
  <c r="Y57" i="127"/>
  <c r="Z57" i="127"/>
  <c r="AA57" i="127"/>
  <c r="AB57" i="127"/>
  <c r="AC57" i="127"/>
  <c r="AD57" i="127"/>
  <c r="AE57" i="127"/>
  <c r="AF57" i="127"/>
  <c r="AG57" i="127"/>
  <c r="AH57" i="127"/>
  <c r="AI57" i="127"/>
  <c r="P58" i="127"/>
  <c r="Q58" i="127"/>
  <c r="R58" i="127"/>
  <c r="S58" i="127"/>
  <c r="T58" i="127"/>
  <c r="U58" i="127"/>
  <c r="V58" i="127"/>
  <c r="W58" i="127"/>
  <c r="X58" i="127"/>
  <c r="Y58" i="127"/>
  <c r="Z58" i="127"/>
  <c r="AA58" i="127"/>
  <c r="AB58" i="127"/>
  <c r="AC58" i="127"/>
  <c r="AD58" i="127"/>
  <c r="AE58" i="127"/>
  <c r="AF58" i="127"/>
  <c r="AG58" i="127"/>
  <c r="AH58" i="127"/>
  <c r="AI58" i="127"/>
  <c r="P59" i="127"/>
  <c r="Q59" i="127"/>
  <c r="R59" i="127"/>
  <c r="S59" i="127"/>
  <c r="T59" i="127"/>
  <c r="U59" i="127"/>
  <c r="V59" i="127"/>
  <c r="W59" i="127"/>
  <c r="X59" i="127"/>
  <c r="Y59" i="127"/>
  <c r="Z59" i="127"/>
  <c r="AA59" i="127"/>
  <c r="AB59" i="127"/>
  <c r="AC59" i="127"/>
  <c r="AD59" i="127"/>
  <c r="AE59" i="127"/>
  <c r="AF59" i="127"/>
  <c r="AG59" i="127"/>
  <c r="AH59" i="127"/>
  <c r="AI59" i="127"/>
  <c r="P60" i="127"/>
  <c r="Q60" i="127"/>
  <c r="R60" i="127"/>
  <c r="S60" i="127"/>
  <c r="T60" i="127"/>
  <c r="U60" i="127"/>
  <c r="V60" i="127"/>
  <c r="W60" i="127"/>
  <c r="X60" i="127"/>
  <c r="Y60" i="127"/>
  <c r="Z60" i="127"/>
  <c r="AA60" i="127"/>
  <c r="AB60" i="127"/>
  <c r="AC60" i="127"/>
  <c r="AD60" i="127"/>
  <c r="AE60" i="127"/>
  <c r="AF60" i="127"/>
  <c r="AG60" i="127"/>
  <c r="AH60" i="127"/>
  <c r="AI60" i="127"/>
  <c r="P61" i="127"/>
  <c r="Q61" i="127"/>
  <c r="R61" i="127"/>
  <c r="S61" i="127"/>
  <c r="T61" i="127"/>
  <c r="U61" i="127"/>
  <c r="V61" i="127"/>
  <c r="W61" i="127"/>
  <c r="X61" i="127"/>
  <c r="Y61" i="127"/>
  <c r="Z61" i="127"/>
  <c r="AA61" i="127"/>
  <c r="AB61" i="127"/>
  <c r="AC61" i="127"/>
  <c r="AD61" i="127"/>
  <c r="AE61" i="127"/>
  <c r="AF61" i="127"/>
  <c r="AG61" i="127"/>
  <c r="AH61" i="127"/>
  <c r="AI61" i="127"/>
  <c r="P62" i="127"/>
  <c r="Q62" i="127"/>
  <c r="R62" i="127"/>
  <c r="S62" i="127"/>
  <c r="T62" i="127"/>
  <c r="U62" i="127"/>
  <c r="V62" i="127"/>
  <c r="W62" i="127"/>
  <c r="X62" i="127"/>
  <c r="Y62" i="127"/>
  <c r="Z62" i="127"/>
  <c r="AA62" i="127"/>
  <c r="AB62" i="127"/>
  <c r="AC62" i="127"/>
  <c r="AD62" i="127"/>
  <c r="AE62" i="127"/>
  <c r="AF62" i="127"/>
  <c r="AG62" i="127"/>
  <c r="AH62" i="127"/>
  <c r="AI62" i="127"/>
  <c r="P63" i="127"/>
  <c r="Q63" i="127"/>
  <c r="R63" i="127"/>
  <c r="S63" i="127"/>
  <c r="T63" i="127"/>
  <c r="U63" i="127"/>
  <c r="V63" i="127"/>
  <c r="W63" i="127"/>
  <c r="X63" i="127"/>
  <c r="Y63" i="127"/>
  <c r="Z63" i="127"/>
  <c r="AA63" i="127"/>
  <c r="AB63" i="127"/>
  <c r="AC63" i="127"/>
  <c r="AD63" i="127"/>
  <c r="AE63" i="127"/>
  <c r="AF63" i="127"/>
  <c r="AG63" i="127"/>
  <c r="AH63" i="127"/>
  <c r="AI63" i="127"/>
  <c r="P64" i="127"/>
  <c r="Q64" i="127"/>
  <c r="R64" i="127"/>
  <c r="S64" i="127"/>
  <c r="T64" i="127"/>
  <c r="U64" i="127"/>
  <c r="V64" i="127"/>
  <c r="W64" i="127"/>
  <c r="X64" i="127"/>
  <c r="Y64" i="127"/>
  <c r="Z64" i="127"/>
  <c r="AA64" i="127"/>
  <c r="AB64" i="127"/>
  <c r="AC64" i="127"/>
  <c r="AD64" i="127"/>
  <c r="AE64" i="127"/>
  <c r="AF64" i="127"/>
  <c r="AG64" i="127"/>
  <c r="AH64" i="127"/>
  <c r="AI64" i="127"/>
  <c r="P65" i="127"/>
  <c r="Q65" i="127"/>
  <c r="R65" i="127"/>
  <c r="S65" i="127"/>
  <c r="T65" i="127"/>
  <c r="U65" i="127"/>
  <c r="V65" i="127"/>
  <c r="W65" i="127"/>
  <c r="X65" i="127"/>
  <c r="Y65" i="127"/>
  <c r="Z65" i="127"/>
  <c r="AA65" i="127"/>
  <c r="AB65" i="127"/>
  <c r="AC65" i="127"/>
  <c r="AD65" i="127"/>
  <c r="AE65" i="127"/>
  <c r="AF65" i="127"/>
  <c r="AG65" i="127"/>
  <c r="AH65" i="127"/>
  <c r="AI65" i="127"/>
  <c r="P66" i="127"/>
  <c r="Q66" i="127"/>
  <c r="R66" i="127"/>
  <c r="S66" i="127"/>
  <c r="T66" i="127"/>
  <c r="U66" i="127"/>
  <c r="V66" i="127"/>
  <c r="W66" i="127"/>
  <c r="X66" i="127"/>
  <c r="Y66" i="127"/>
  <c r="Z66" i="127"/>
  <c r="AA66" i="127"/>
  <c r="AB66" i="127"/>
  <c r="AC66" i="127"/>
  <c r="AD66" i="127"/>
  <c r="AE66" i="127"/>
  <c r="AF66" i="127"/>
  <c r="AG66" i="127"/>
  <c r="AH66" i="127"/>
  <c r="AI66" i="127"/>
  <c r="P67" i="127"/>
  <c r="Q67" i="127"/>
  <c r="R67" i="127"/>
  <c r="S67" i="127"/>
  <c r="T67" i="127"/>
  <c r="U67" i="127"/>
  <c r="V67" i="127"/>
  <c r="W67" i="127"/>
  <c r="X67" i="127"/>
  <c r="Y67" i="127"/>
  <c r="Z67" i="127"/>
  <c r="AA67" i="127"/>
  <c r="AB67" i="127"/>
  <c r="AC67" i="127"/>
  <c r="AD67" i="127"/>
  <c r="AE67" i="127"/>
  <c r="AF67" i="127"/>
  <c r="AG67" i="127"/>
  <c r="AH67" i="127"/>
  <c r="AI67" i="127"/>
  <c r="P68" i="127"/>
  <c r="Q68" i="127"/>
  <c r="R68" i="127"/>
  <c r="S68" i="127"/>
  <c r="T68" i="127"/>
  <c r="U68" i="127"/>
  <c r="V68" i="127"/>
  <c r="W68" i="127"/>
  <c r="X68" i="127"/>
  <c r="Y68" i="127"/>
  <c r="Z68" i="127"/>
  <c r="AA68" i="127"/>
  <c r="AB68" i="127"/>
  <c r="AC68" i="127"/>
  <c r="AD68" i="127"/>
  <c r="AE68" i="127"/>
  <c r="AF68" i="127"/>
  <c r="AG68" i="127"/>
  <c r="AH68" i="127"/>
  <c r="AI68" i="127"/>
  <c r="P69" i="127"/>
  <c r="Q69" i="127"/>
  <c r="R69" i="127"/>
  <c r="S69" i="127"/>
  <c r="T69" i="127"/>
  <c r="U69" i="127"/>
  <c r="V69" i="127"/>
  <c r="W69" i="127"/>
  <c r="X69" i="127"/>
  <c r="Y69" i="127"/>
  <c r="Z69" i="127"/>
  <c r="AA69" i="127"/>
  <c r="AB69" i="127"/>
  <c r="AC69" i="127"/>
  <c r="AD69" i="127"/>
  <c r="AE69" i="127"/>
  <c r="AF69" i="127"/>
  <c r="AG69" i="127"/>
  <c r="AH69" i="127"/>
  <c r="AI69" i="127"/>
  <c r="P70" i="127"/>
  <c r="Q70" i="127"/>
  <c r="R70" i="127"/>
  <c r="S70" i="127"/>
  <c r="T70" i="127"/>
  <c r="U70" i="127"/>
  <c r="V70" i="127"/>
  <c r="W70" i="127"/>
  <c r="X70" i="127"/>
  <c r="Y70" i="127"/>
  <c r="Z70" i="127"/>
  <c r="AA70" i="127"/>
  <c r="AB70" i="127"/>
  <c r="AC70" i="127"/>
  <c r="AD70" i="127"/>
  <c r="AE70" i="127"/>
  <c r="AF70" i="127"/>
  <c r="AG70" i="127"/>
  <c r="AH70" i="127"/>
  <c r="AI70" i="127"/>
  <c r="P71" i="127"/>
  <c r="Q71" i="127"/>
  <c r="R71" i="127"/>
  <c r="S71" i="127"/>
  <c r="T71" i="127"/>
  <c r="U71" i="127"/>
  <c r="V71" i="127"/>
  <c r="W71" i="127"/>
  <c r="X71" i="127"/>
  <c r="Y71" i="127"/>
  <c r="Z71" i="127"/>
  <c r="AA71" i="127"/>
  <c r="AB71" i="127"/>
  <c r="AC71" i="127"/>
  <c r="AD71" i="127"/>
  <c r="AE71" i="127"/>
  <c r="AF71" i="127"/>
  <c r="AG71" i="127"/>
  <c r="AH71" i="127"/>
  <c r="AI71" i="127"/>
  <c r="P72" i="127"/>
  <c r="Q72" i="127"/>
  <c r="R72" i="127"/>
  <c r="S72" i="127"/>
  <c r="T72" i="127"/>
  <c r="U72" i="127"/>
  <c r="V72" i="127"/>
  <c r="W72" i="127"/>
  <c r="X72" i="127"/>
  <c r="Y72" i="127"/>
  <c r="Z72" i="127"/>
  <c r="AA72" i="127"/>
  <c r="AB72" i="127"/>
  <c r="AC72" i="127"/>
  <c r="AD72" i="127"/>
  <c r="AE72" i="127"/>
  <c r="AF72" i="127"/>
  <c r="AG72" i="127"/>
  <c r="AH72" i="127"/>
  <c r="AI72" i="127"/>
  <c r="P73" i="127"/>
  <c r="Q73" i="127"/>
  <c r="R73" i="127"/>
  <c r="S73" i="127"/>
  <c r="T73" i="127"/>
  <c r="U73" i="127"/>
  <c r="V73" i="127"/>
  <c r="W73" i="127"/>
  <c r="X73" i="127"/>
  <c r="Y73" i="127"/>
  <c r="Z73" i="127"/>
  <c r="AA73" i="127"/>
  <c r="AB73" i="127"/>
  <c r="AC73" i="127"/>
  <c r="AD73" i="127"/>
  <c r="AE73" i="127"/>
  <c r="AF73" i="127"/>
  <c r="AG73" i="127"/>
  <c r="AH73" i="127"/>
  <c r="AI73" i="127"/>
  <c r="P74" i="127"/>
  <c r="Q74" i="127"/>
  <c r="R74" i="127"/>
  <c r="S74" i="127"/>
  <c r="T74" i="127"/>
  <c r="U74" i="127"/>
  <c r="V74" i="127"/>
  <c r="W74" i="127"/>
  <c r="X74" i="127"/>
  <c r="Y74" i="127"/>
  <c r="Z74" i="127"/>
  <c r="AA74" i="127"/>
  <c r="AB74" i="127"/>
  <c r="AC74" i="127"/>
  <c r="AD74" i="127"/>
  <c r="AE74" i="127"/>
  <c r="AF74" i="127"/>
  <c r="AG74" i="127"/>
  <c r="AH74" i="127"/>
  <c r="AI74" i="127"/>
  <c r="P75" i="127"/>
  <c r="Q75" i="127"/>
  <c r="R75" i="127"/>
  <c r="S75" i="127"/>
  <c r="T75" i="127"/>
  <c r="U75" i="127"/>
  <c r="V75" i="127"/>
  <c r="W75" i="127"/>
  <c r="X75" i="127"/>
  <c r="Y75" i="127"/>
  <c r="Z75" i="127"/>
  <c r="AA75" i="127"/>
  <c r="AB75" i="127"/>
  <c r="AC75" i="127"/>
  <c r="AD75" i="127"/>
  <c r="AE75" i="127"/>
  <c r="AF75" i="127"/>
  <c r="AG75" i="127"/>
  <c r="AH75" i="127"/>
  <c r="AI75" i="127"/>
  <c r="P76" i="127"/>
  <c r="Q76" i="127"/>
  <c r="R76" i="127"/>
  <c r="S76" i="127"/>
  <c r="T76" i="127"/>
  <c r="U76" i="127"/>
  <c r="V76" i="127"/>
  <c r="W76" i="127"/>
  <c r="X76" i="127"/>
  <c r="Y76" i="127"/>
  <c r="Z76" i="127"/>
  <c r="AA76" i="127"/>
  <c r="AB76" i="127"/>
  <c r="AC76" i="127"/>
  <c r="AD76" i="127"/>
  <c r="AE76" i="127"/>
  <c r="AF76" i="127"/>
  <c r="AG76" i="127"/>
  <c r="AH76" i="127"/>
  <c r="AI76" i="127"/>
  <c r="P77" i="127"/>
  <c r="Q77" i="127"/>
  <c r="R77" i="127"/>
  <c r="S77" i="127"/>
  <c r="T77" i="127"/>
  <c r="U77" i="127"/>
  <c r="V77" i="127"/>
  <c r="W77" i="127"/>
  <c r="X77" i="127"/>
  <c r="Y77" i="127"/>
  <c r="Z77" i="127"/>
  <c r="AA77" i="127"/>
  <c r="AB77" i="127"/>
  <c r="AC77" i="127"/>
  <c r="AD77" i="127"/>
  <c r="AE77" i="127"/>
  <c r="AF77" i="127"/>
  <c r="AG77" i="127"/>
  <c r="AH77" i="127"/>
  <c r="AI77" i="127"/>
  <c r="P78" i="127"/>
  <c r="Q78" i="127"/>
  <c r="R78" i="127"/>
  <c r="S78" i="127"/>
  <c r="T78" i="127"/>
  <c r="U78" i="127"/>
  <c r="V78" i="127"/>
  <c r="W78" i="127"/>
  <c r="X78" i="127"/>
  <c r="Y78" i="127"/>
  <c r="Z78" i="127"/>
  <c r="AA78" i="127"/>
  <c r="AB78" i="127"/>
  <c r="AC78" i="127"/>
  <c r="AD78" i="127"/>
  <c r="AE78" i="127"/>
  <c r="AF78" i="127"/>
  <c r="AG78" i="127"/>
  <c r="AH78" i="127"/>
  <c r="AI78" i="127"/>
  <c r="P79" i="127"/>
  <c r="Q79" i="127"/>
  <c r="R79" i="127"/>
  <c r="S79" i="127"/>
  <c r="T79" i="127"/>
  <c r="U79" i="127"/>
  <c r="V79" i="127"/>
  <c r="W79" i="127"/>
  <c r="X79" i="127"/>
  <c r="Y79" i="127"/>
  <c r="Z79" i="127"/>
  <c r="AA79" i="127"/>
  <c r="AB79" i="127"/>
  <c r="AC79" i="127"/>
  <c r="AD79" i="127"/>
  <c r="AE79" i="127"/>
  <c r="AF79" i="127"/>
  <c r="AG79" i="127"/>
  <c r="AH79" i="127"/>
  <c r="AI79" i="127"/>
  <c r="P80" i="127"/>
  <c r="Q80" i="127"/>
  <c r="R80" i="127"/>
  <c r="S80" i="127"/>
  <c r="T80" i="127"/>
  <c r="U80" i="127"/>
  <c r="V80" i="127"/>
  <c r="W80" i="127"/>
  <c r="X80" i="127"/>
  <c r="Y80" i="127"/>
  <c r="Z80" i="127"/>
  <c r="AA80" i="127"/>
  <c r="AB80" i="127"/>
  <c r="AC80" i="127"/>
  <c r="AD80" i="127"/>
  <c r="AE80" i="127"/>
  <c r="AF80" i="127"/>
  <c r="AG80" i="127"/>
  <c r="AH80" i="127"/>
  <c r="AI80" i="127"/>
  <c r="P81" i="127"/>
  <c r="Q81" i="127"/>
  <c r="R81" i="127"/>
  <c r="S81" i="127"/>
  <c r="T81" i="127"/>
  <c r="U81" i="127"/>
  <c r="V81" i="127"/>
  <c r="W81" i="127"/>
  <c r="X81" i="127"/>
  <c r="Y81" i="127"/>
  <c r="Z81" i="127"/>
  <c r="AA81" i="127"/>
  <c r="AB81" i="127"/>
  <c r="AC81" i="127"/>
  <c r="AD81" i="127"/>
  <c r="AE81" i="127"/>
  <c r="AF81" i="127"/>
  <c r="AG81" i="127"/>
  <c r="AH81" i="127"/>
  <c r="AI81" i="127"/>
  <c r="P82" i="127"/>
  <c r="Q82" i="127"/>
  <c r="R82" i="127"/>
  <c r="S82" i="127"/>
  <c r="T82" i="127"/>
  <c r="U82" i="127"/>
  <c r="V82" i="127"/>
  <c r="W82" i="127"/>
  <c r="X82" i="127"/>
  <c r="Y82" i="127"/>
  <c r="Z82" i="127"/>
  <c r="AA82" i="127"/>
  <c r="AB82" i="127"/>
  <c r="AC82" i="127"/>
  <c r="AD82" i="127"/>
  <c r="AE82" i="127"/>
  <c r="AF82" i="127"/>
  <c r="AG82" i="127"/>
  <c r="AH82" i="127"/>
  <c r="AI82" i="127"/>
  <c r="P83" i="127"/>
  <c r="Q83" i="127"/>
  <c r="R83" i="127"/>
  <c r="S83" i="127"/>
  <c r="T83" i="127"/>
  <c r="U83" i="127"/>
  <c r="V83" i="127"/>
  <c r="W83" i="127"/>
  <c r="X83" i="127"/>
  <c r="Y83" i="127"/>
  <c r="Z83" i="127"/>
  <c r="AA83" i="127"/>
  <c r="AB83" i="127"/>
  <c r="AC83" i="127"/>
  <c r="AD83" i="127"/>
  <c r="AE83" i="127"/>
  <c r="AF83" i="127"/>
  <c r="AG83" i="127"/>
  <c r="AH83" i="127"/>
  <c r="AI83" i="127"/>
  <c r="P84" i="127"/>
  <c r="Q84" i="127"/>
  <c r="R84" i="127"/>
  <c r="S84" i="127"/>
  <c r="T84" i="127"/>
  <c r="U84" i="127"/>
  <c r="V84" i="127"/>
  <c r="W84" i="127"/>
  <c r="X84" i="127"/>
  <c r="Y84" i="127"/>
  <c r="Z84" i="127"/>
  <c r="AA84" i="127"/>
  <c r="AB84" i="127"/>
  <c r="AC84" i="127"/>
  <c r="AD84" i="127"/>
  <c r="AE84" i="127"/>
  <c r="AF84" i="127"/>
  <c r="AG84" i="127"/>
  <c r="AH84" i="127"/>
  <c r="AI84" i="127"/>
  <c r="P85" i="127"/>
  <c r="Q85" i="127"/>
  <c r="R85" i="127"/>
  <c r="S85" i="127"/>
  <c r="T85" i="127"/>
  <c r="U85" i="127"/>
  <c r="V85" i="127"/>
  <c r="W85" i="127"/>
  <c r="X85" i="127"/>
  <c r="Y85" i="127"/>
  <c r="Z85" i="127"/>
  <c r="AA85" i="127"/>
  <c r="AB85" i="127"/>
  <c r="AC85" i="127"/>
  <c r="AD85" i="127"/>
  <c r="AE85" i="127"/>
  <c r="AF85" i="127"/>
  <c r="AG85" i="127"/>
  <c r="AH85" i="127"/>
  <c r="AI85" i="127"/>
  <c r="P86" i="127"/>
  <c r="Q86" i="127"/>
  <c r="R86" i="127"/>
  <c r="S86" i="127"/>
  <c r="T86" i="127"/>
  <c r="U86" i="127"/>
  <c r="V86" i="127"/>
  <c r="W86" i="127"/>
  <c r="X86" i="127"/>
  <c r="Y86" i="127"/>
  <c r="Z86" i="127"/>
  <c r="AA86" i="127"/>
  <c r="AB86" i="127"/>
  <c r="AC86" i="127"/>
  <c r="AD86" i="127"/>
  <c r="AE86" i="127"/>
  <c r="AF86" i="127"/>
  <c r="AG86" i="127"/>
  <c r="AH86" i="127"/>
  <c r="AI86" i="127"/>
  <c r="P87" i="127"/>
  <c r="Q87" i="127"/>
  <c r="R87" i="127"/>
  <c r="S87" i="127"/>
  <c r="T87" i="127"/>
  <c r="U87" i="127"/>
  <c r="V87" i="127"/>
  <c r="W87" i="127"/>
  <c r="X87" i="127"/>
  <c r="Y87" i="127"/>
  <c r="Z87" i="127"/>
  <c r="AA87" i="127"/>
  <c r="AB87" i="127"/>
  <c r="AC87" i="127"/>
  <c r="AD87" i="127"/>
  <c r="AE87" i="127"/>
  <c r="AF87" i="127"/>
  <c r="AG87" i="127"/>
  <c r="AH87" i="127"/>
  <c r="AI87" i="127"/>
  <c r="P88" i="127"/>
  <c r="Q88" i="127"/>
  <c r="R88" i="127"/>
  <c r="S88" i="127"/>
  <c r="T88" i="127"/>
  <c r="U88" i="127"/>
  <c r="V88" i="127"/>
  <c r="W88" i="127"/>
  <c r="X88" i="127"/>
  <c r="Y88" i="127"/>
  <c r="Z88" i="127"/>
  <c r="AA88" i="127"/>
  <c r="AB88" i="127"/>
  <c r="AC88" i="127"/>
  <c r="AD88" i="127"/>
  <c r="AE88" i="127"/>
  <c r="AF88" i="127"/>
  <c r="AG88" i="127"/>
  <c r="AH88" i="127"/>
  <c r="AI88" i="127"/>
  <c r="P89" i="127"/>
  <c r="Q89" i="127"/>
  <c r="R89" i="127"/>
  <c r="S89" i="127"/>
  <c r="T89" i="127"/>
  <c r="U89" i="127"/>
  <c r="V89" i="127"/>
  <c r="W89" i="127"/>
  <c r="X89" i="127"/>
  <c r="Y89" i="127"/>
  <c r="Z89" i="127"/>
  <c r="AA89" i="127"/>
  <c r="AB89" i="127"/>
  <c r="AC89" i="127"/>
  <c r="AD89" i="127"/>
  <c r="AE89" i="127"/>
  <c r="AF89" i="127"/>
  <c r="AG89" i="127"/>
  <c r="AH89" i="127"/>
  <c r="AI89" i="127"/>
  <c r="P90" i="127"/>
  <c r="Q90" i="127"/>
  <c r="R90" i="127"/>
  <c r="S90" i="127"/>
  <c r="T90" i="127"/>
  <c r="U90" i="127"/>
  <c r="V90" i="127"/>
  <c r="W90" i="127"/>
  <c r="X90" i="127"/>
  <c r="Y90" i="127"/>
  <c r="Z90" i="127"/>
  <c r="AA90" i="127"/>
  <c r="AB90" i="127"/>
  <c r="AC90" i="127"/>
  <c r="AD90" i="127"/>
  <c r="AE90" i="127"/>
  <c r="AF90" i="127"/>
  <c r="AG90" i="127"/>
  <c r="AH90" i="127"/>
  <c r="AI90" i="127"/>
  <c r="P91" i="127"/>
  <c r="Q91" i="127"/>
  <c r="R91" i="127"/>
  <c r="S91" i="127"/>
  <c r="T91" i="127"/>
  <c r="U91" i="127"/>
  <c r="V91" i="127"/>
  <c r="W91" i="127"/>
  <c r="X91" i="127"/>
  <c r="Y91" i="127"/>
  <c r="Z91" i="127"/>
  <c r="AA91" i="127"/>
  <c r="AB91" i="127"/>
  <c r="AC91" i="127"/>
  <c r="AD91" i="127"/>
  <c r="AE91" i="127"/>
  <c r="AF91" i="127"/>
  <c r="AG91" i="127"/>
  <c r="AH91" i="127"/>
  <c r="AI91" i="127"/>
  <c r="P92" i="127"/>
  <c r="Q92" i="127"/>
  <c r="R92" i="127"/>
  <c r="S92" i="127"/>
  <c r="T92" i="127"/>
  <c r="U92" i="127"/>
  <c r="V92" i="127"/>
  <c r="W92" i="127"/>
  <c r="X92" i="127"/>
  <c r="Y92" i="127"/>
  <c r="Z92" i="127"/>
  <c r="AA92" i="127"/>
  <c r="AB92" i="127"/>
  <c r="AC92" i="127"/>
  <c r="AD92" i="127"/>
  <c r="AE92" i="127"/>
  <c r="AF92" i="127"/>
  <c r="AG92" i="127"/>
  <c r="AH92" i="127"/>
  <c r="AI92" i="127"/>
  <c r="P93" i="127"/>
  <c r="Q93" i="127"/>
  <c r="R93" i="127"/>
  <c r="S93" i="127"/>
  <c r="T93" i="127"/>
  <c r="U93" i="127"/>
  <c r="V93" i="127"/>
  <c r="W93" i="127"/>
  <c r="X93" i="127"/>
  <c r="Y93" i="127"/>
  <c r="Z93" i="127"/>
  <c r="AA93" i="127"/>
  <c r="AB93" i="127"/>
  <c r="AC93" i="127"/>
  <c r="AD93" i="127"/>
  <c r="AE93" i="127"/>
  <c r="AF93" i="127"/>
  <c r="AG93" i="127"/>
  <c r="AH93" i="127"/>
  <c r="AI93" i="127"/>
  <c r="P94" i="127"/>
  <c r="Q94" i="127"/>
  <c r="R94" i="127"/>
  <c r="S94" i="127"/>
  <c r="T94" i="127"/>
  <c r="U94" i="127"/>
  <c r="V94" i="127"/>
  <c r="W94" i="127"/>
  <c r="X94" i="127"/>
  <c r="Y94" i="127"/>
  <c r="Z94" i="127"/>
  <c r="AA94" i="127"/>
  <c r="AB94" i="127"/>
  <c r="AC94" i="127"/>
  <c r="AD94" i="127"/>
  <c r="AE94" i="127"/>
  <c r="AF94" i="127"/>
  <c r="AG94" i="127"/>
  <c r="AH94" i="127"/>
  <c r="AI94" i="127"/>
  <c r="P95" i="127"/>
  <c r="Q95" i="127"/>
  <c r="R95" i="127"/>
  <c r="S95" i="127"/>
  <c r="T95" i="127"/>
  <c r="U95" i="127"/>
  <c r="V95" i="127"/>
  <c r="W95" i="127"/>
  <c r="X95" i="127"/>
  <c r="Y95" i="127"/>
  <c r="Z95" i="127"/>
  <c r="AA95" i="127"/>
  <c r="AB95" i="127"/>
  <c r="AC95" i="127"/>
  <c r="AD95" i="127"/>
  <c r="AE95" i="127"/>
  <c r="AF95" i="127"/>
  <c r="AG95" i="127"/>
  <c r="AH95" i="127"/>
  <c r="AI95" i="127"/>
  <c r="P96" i="127"/>
  <c r="Q96" i="127"/>
  <c r="R96" i="127"/>
  <c r="S96" i="127"/>
  <c r="T96" i="127"/>
  <c r="U96" i="127"/>
  <c r="V96" i="127"/>
  <c r="W96" i="127"/>
  <c r="X96" i="127"/>
  <c r="Y96" i="127"/>
  <c r="Z96" i="127"/>
  <c r="AA96" i="127"/>
  <c r="AB96" i="127"/>
  <c r="AC96" i="127"/>
  <c r="AD96" i="127"/>
  <c r="AE96" i="127"/>
  <c r="AF96" i="127"/>
  <c r="AG96" i="127"/>
  <c r="AH96" i="127"/>
  <c r="AI96" i="127"/>
  <c r="P97" i="127"/>
  <c r="Q97" i="127"/>
  <c r="R97" i="127"/>
  <c r="S97" i="127"/>
  <c r="T97" i="127"/>
  <c r="U97" i="127"/>
  <c r="V97" i="127"/>
  <c r="W97" i="127"/>
  <c r="X97" i="127"/>
  <c r="Y97" i="127"/>
  <c r="Z97" i="127"/>
  <c r="AA97" i="127"/>
  <c r="AB97" i="127"/>
  <c r="AC97" i="127"/>
  <c r="AD97" i="127"/>
  <c r="AE97" i="127"/>
  <c r="AF97" i="127"/>
  <c r="AG97" i="127"/>
  <c r="AH97" i="127"/>
  <c r="AI97" i="127"/>
  <c r="P98" i="127"/>
  <c r="Q98" i="127"/>
  <c r="R98" i="127"/>
  <c r="S98" i="127"/>
  <c r="T98" i="127"/>
  <c r="U98" i="127"/>
  <c r="V98" i="127"/>
  <c r="W98" i="127"/>
  <c r="X98" i="127"/>
  <c r="Y98" i="127"/>
  <c r="Z98" i="127"/>
  <c r="AA98" i="127"/>
  <c r="AB98" i="127"/>
  <c r="AC98" i="127"/>
  <c r="AD98" i="127"/>
  <c r="AE98" i="127"/>
  <c r="AF98" i="127"/>
  <c r="AG98" i="127"/>
  <c r="AH98" i="127"/>
  <c r="AI98" i="127"/>
  <c r="P99" i="127"/>
  <c r="Q99" i="127"/>
  <c r="R99" i="127"/>
  <c r="S99" i="127"/>
  <c r="T99" i="127"/>
  <c r="U99" i="127"/>
  <c r="V99" i="127"/>
  <c r="W99" i="127"/>
  <c r="X99" i="127"/>
  <c r="Y99" i="127"/>
  <c r="Z99" i="127"/>
  <c r="AA99" i="127"/>
  <c r="AB99" i="127"/>
  <c r="AC99" i="127"/>
  <c r="AD99" i="127"/>
  <c r="AE99" i="127"/>
  <c r="AF99" i="127"/>
  <c r="AG99" i="127"/>
  <c r="AH99" i="127"/>
  <c r="AI99" i="127"/>
  <c r="P100" i="127"/>
  <c r="Q100" i="127"/>
  <c r="R100" i="127"/>
  <c r="S100" i="127"/>
  <c r="T100" i="127"/>
  <c r="U100" i="127"/>
  <c r="V100" i="127"/>
  <c r="W100" i="127"/>
  <c r="X100" i="127"/>
  <c r="Y100" i="127"/>
  <c r="Z100" i="127"/>
  <c r="AA100" i="127"/>
  <c r="AB100" i="127"/>
  <c r="AC100" i="127"/>
  <c r="AD100" i="127"/>
  <c r="AE100" i="127"/>
  <c r="AF100" i="127"/>
  <c r="AG100" i="127"/>
  <c r="AH100" i="127"/>
  <c r="AI100" i="127"/>
  <c r="P101" i="127"/>
  <c r="Q101" i="127"/>
  <c r="R101" i="127"/>
  <c r="S101" i="127"/>
  <c r="T101" i="127"/>
  <c r="U101" i="127"/>
  <c r="V101" i="127"/>
  <c r="W101" i="127"/>
  <c r="X101" i="127"/>
  <c r="Y101" i="127"/>
  <c r="Z101" i="127"/>
  <c r="AA101" i="127"/>
  <c r="AB101" i="127"/>
  <c r="AC101" i="127"/>
  <c r="AD101" i="127"/>
  <c r="AE101" i="127"/>
  <c r="AF101" i="127"/>
  <c r="AG101" i="127"/>
  <c r="AH101" i="127"/>
  <c r="AI101" i="127"/>
  <c r="P102" i="127"/>
  <c r="Q102" i="127"/>
  <c r="R102" i="127"/>
  <c r="S102" i="127"/>
  <c r="T102" i="127"/>
  <c r="U102" i="127"/>
  <c r="V102" i="127"/>
  <c r="W102" i="127"/>
  <c r="X102" i="127"/>
  <c r="Y102" i="127"/>
  <c r="Z102" i="127"/>
  <c r="AA102" i="127"/>
  <c r="AB102" i="127"/>
  <c r="AC102" i="127"/>
  <c r="AD102" i="127"/>
  <c r="AE102" i="127"/>
  <c r="AF102" i="127"/>
  <c r="AG102" i="127"/>
  <c r="AH102" i="127"/>
  <c r="AI102" i="127"/>
  <c r="P103" i="127"/>
  <c r="Q103" i="127"/>
  <c r="R103" i="127"/>
  <c r="S103" i="127"/>
  <c r="T103" i="127"/>
  <c r="U103" i="127"/>
  <c r="V103" i="127"/>
  <c r="W103" i="127"/>
  <c r="X103" i="127"/>
  <c r="Y103" i="127"/>
  <c r="Z103" i="127"/>
  <c r="AA103" i="127"/>
  <c r="AB103" i="127"/>
  <c r="AC103" i="127"/>
  <c r="AD103" i="127"/>
  <c r="AE103" i="127"/>
  <c r="AF103" i="127"/>
  <c r="AG103" i="127"/>
  <c r="AH103" i="127"/>
  <c r="AI103" i="127"/>
  <c r="P104" i="127"/>
  <c r="Q104" i="127"/>
  <c r="R104" i="127"/>
  <c r="S104" i="127"/>
  <c r="T104" i="127"/>
  <c r="U104" i="127"/>
  <c r="V104" i="127"/>
  <c r="W104" i="127"/>
  <c r="X104" i="127"/>
  <c r="Y104" i="127"/>
  <c r="Z104" i="127"/>
  <c r="AA104" i="127"/>
  <c r="AB104" i="127"/>
  <c r="AC104" i="127"/>
  <c r="AD104" i="127"/>
  <c r="AE104" i="127"/>
  <c r="AF104" i="127"/>
  <c r="AG104" i="127"/>
  <c r="AH104" i="127"/>
  <c r="AI104" i="127"/>
  <c r="P105" i="127"/>
  <c r="Q105" i="127"/>
  <c r="R105" i="127"/>
  <c r="S105" i="127"/>
  <c r="T105" i="127"/>
  <c r="U105" i="127"/>
  <c r="V105" i="127"/>
  <c r="W105" i="127"/>
  <c r="X105" i="127"/>
  <c r="Y105" i="127"/>
  <c r="Z105" i="127"/>
  <c r="AA105" i="127"/>
  <c r="AB105" i="127"/>
  <c r="AC105" i="127"/>
  <c r="AD105" i="127"/>
  <c r="AE105" i="127"/>
  <c r="AF105" i="127"/>
  <c r="AG105" i="127"/>
  <c r="AH105" i="127"/>
  <c r="AI105" i="127"/>
  <c r="P106" i="127"/>
  <c r="Q106" i="127"/>
  <c r="R106" i="127"/>
  <c r="S106" i="127"/>
  <c r="T106" i="127"/>
  <c r="U106" i="127"/>
  <c r="V106" i="127"/>
  <c r="W106" i="127"/>
  <c r="X106" i="127"/>
  <c r="Y106" i="127"/>
  <c r="Z106" i="127"/>
  <c r="AA106" i="127"/>
  <c r="AB106" i="127"/>
  <c r="AC106" i="127"/>
  <c r="AD106" i="127"/>
  <c r="AE106" i="127"/>
  <c r="AF106" i="127"/>
  <c r="AG106" i="127"/>
  <c r="AH106" i="127"/>
  <c r="AI106" i="127"/>
  <c r="P107" i="127"/>
  <c r="Q107" i="127"/>
  <c r="R107" i="127"/>
  <c r="S107" i="127"/>
  <c r="T107" i="127"/>
  <c r="U107" i="127"/>
  <c r="V107" i="127"/>
  <c r="W107" i="127"/>
  <c r="X107" i="127"/>
  <c r="Y107" i="127"/>
  <c r="Z107" i="127"/>
  <c r="AA107" i="127"/>
  <c r="AB107" i="127"/>
  <c r="AC107" i="127"/>
  <c r="AD107" i="127"/>
  <c r="AE107" i="127"/>
  <c r="AF107" i="127"/>
  <c r="AG107" i="127"/>
  <c r="AH107" i="127"/>
  <c r="AI107" i="127"/>
  <c r="P108" i="127"/>
  <c r="Q108" i="127"/>
  <c r="R108" i="127"/>
  <c r="S108" i="127"/>
  <c r="T108" i="127"/>
  <c r="U108" i="127"/>
  <c r="V108" i="127"/>
  <c r="W108" i="127"/>
  <c r="X108" i="127"/>
  <c r="Y108" i="127"/>
  <c r="Z108" i="127"/>
  <c r="AA108" i="127"/>
  <c r="AB108" i="127"/>
  <c r="AC108" i="127"/>
  <c r="AD108" i="127"/>
  <c r="AE108" i="127"/>
  <c r="AF108" i="127"/>
  <c r="AG108" i="127"/>
  <c r="AH108" i="127"/>
  <c r="AI108" i="127"/>
  <c r="P109" i="127"/>
  <c r="Q109" i="127"/>
  <c r="R109" i="127"/>
  <c r="S109" i="127"/>
  <c r="T109" i="127"/>
  <c r="U109" i="127"/>
  <c r="V109" i="127"/>
  <c r="W109" i="127"/>
  <c r="X109" i="127"/>
  <c r="Y109" i="127"/>
  <c r="Z109" i="127"/>
  <c r="AA109" i="127"/>
  <c r="AB109" i="127"/>
  <c r="AC109" i="127"/>
  <c r="AD109" i="127"/>
  <c r="AE109" i="127"/>
  <c r="AF109" i="127"/>
  <c r="AG109" i="127"/>
  <c r="AH109" i="127"/>
  <c r="AI109" i="127"/>
  <c r="P110" i="127"/>
  <c r="Q110" i="127"/>
  <c r="R110" i="127"/>
  <c r="S110" i="127"/>
  <c r="T110" i="127"/>
  <c r="U110" i="127"/>
  <c r="V110" i="127"/>
  <c r="W110" i="127"/>
  <c r="X110" i="127"/>
  <c r="Y110" i="127"/>
  <c r="Z110" i="127"/>
  <c r="AA110" i="127"/>
  <c r="AB110" i="127"/>
  <c r="AC110" i="127"/>
  <c r="AD110" i="127"/>
  <c r="AE110" i="127"/>
  <c r="AF110" i="127"/>
  <c r="AG110" i="127"/>
  <c r="AH110" i="127"/>
  <c r="AI110" i="127"/>
  <c r="P111" i="127"/>
  <c r="Q111" i="127"/>
  <c r="R111" i="127"/>
  <c r="S111" i="127"/>
  <c r="T111" i="127"/>
  <c r="U111" i="127"/>
  <c r="V111" i="127"/>
  <c r="W111" i="127"/>
  <c r="X111" i="127"/>
  <c r="Y111" i="127"/>
  <c r="Z111" i="127"/>
  <c r="AA111" i="127"/>
  <c r="AB111" i="127"/>
  <c r="AC111" i="127"/>
  <c r="AD111" i="127"/>
  <c r="AE111" i="127"/>
  <c r="AF111" i="127"/>
  <c r="AG111" i="127"/>
  <c r="AH111" i="127"/>
  <c r="AI111" i="127"/>
  <c r="P112" i="127"/>
  <c r="Q112" i="127"/>
  <c r="R112" i="127"/>
  <c r="S112" i="127"/>
  <c r="T112" i="127"/>
  <c r="U112" i="127"/>
  <c r="V112" i="127"/>
  <c r="W112" i="127"/>
  <c r="X112" i="127"/>
  <c r="Y112" i="127"/>
  <c r="Z112" i="127"/>
  <c r="AA112" i="127"/>
  <c r="AB112" i="127"/>
  <c r="AC112" i="127"/>
  <c r="AD112" i="127"/>
  <c r="AE112" i="127"/>
  <c r="AF112" i="127"/>
  <c r="AG112" i="127"/>
  <c r="AH112" i="127"/>
  <c r="AI112" i="127"/>
  <c r="P113" i="127"/>
  <c r="Q113" i="127"/>
  <c r="R113" i="127"/>
  <c r="S113" i="127"/>
  <c r="T113" i="127"/>
  <c r="U113" i="127"/>
  <c r="V113" i="127"/>
  <c r="W113" i="127"/>
  <c r="X113" i="127"/>
  <c r="Y113" i="127"/>
  <c r="Z113" i="127"/>
  <c r="AA113" i="127"/>
  <c r="AB113" i="127"/>
  <c r="AC113" i="127"/>
  <c r="AD113" i="127"/>
  <c r="AE113" i="127"/>
  <c r="AF113" i="127"/>
  <c r="AG113" i="127"/>
  <c r="AH113" i="127"/>
  <c r="AI113" i="127"/>
  <c r="P114" i="127"/>
  <c r="Q114" i="127"/>
  <c r="R114" i="127"/>
  <c r="S114" i="127"/>
  <c r="T114" i="127"/>
  <c r="U114" i="127"/>
  <c r="V114" i="127"/>
  <c r="W114" i="127"/>
  <c r="X114" i="127"/>
  <c r="Y114" i="127"/>
  <c r="Z114" i="127"/>
  <c r="AA114" i="127"/>
  <c r="AB114" i="127"/>
  <c r="AC114" i="127"/>
  <c r="AD114" i="127"/>
  <c r="AE114" i="127"/>
  <c r="AF114" i="127"/>
  <c r="AG114" i="127"/>
  <c r="AH114" i="127"/>
  <c r="AI114" i="127"/>
  <c r="P115" i="127"/>
  <c r="Q115" i="127"/>
  <c r="R115" i="127"/>
  <c r="S115" i="127"/>
  <c r="T115" i="127"/>
  <c r="U115" i="127"/>
  <c r="V115" i="127"/>
  <c r="W115" i="127"/>
  <c r="X115" i="127"/>
  <c r="Y115" i="127"/>
  <c r="Z115" i="127"/>
  <c r="AA115" i="127"/>
  <c r="AB115" i="127"/>
  <c r="AC115" i="127"/>
  <c r="AD115" i="127"/>
  <c r="AE115" i="127"/>
  <c r="AF115" i="127"/>
  <c r="AG115" i="127"/>
  <c r="AH115" i="127"/>
  <c r="AI115" i="127"/>
  <c r="P116" i="127"/>
  <c r="Q116" i="127"/>
  <c r="R116" i="127"/>
  <c r="S116" i="127"/>
  <c r="T116" i="127"/>
  <c r="U116" i="127"/>
  <c r="V116" i="127"/>
  <c r="W116" i="127"/>
  <c r="X116" i="127"/>
  <c r="Y116" i="127"/>
  <c r="Z116" i="127"/>
  <c r="AA116" i="127"/>
  <c r="AB116" i="127"/>
  <c r="AC116" i="127"/>
  <c r="AD116" i="127"/>
  <c r="AE116" i="127"/>
  <c r="AF116" i="127"/>
  <c r="AG116" i="127"/>
  <c r="AH116" i="127"/>
  <c r="AI116" i="127"/>
  <c r="P117" i="127"/>
  <c r="Q117" i="127"/>
  <c r="R117" i="127"/>
  <c r="S117" i="127"/>
  <c r="T117" i="127"/>
  <c r="U117" i="127"/>
  <c r="V117" i="127"/>
  <c r="W117" i="127"/>
  <c r="X117" i="127"/>
  <c r="Y117" i="127"/>
  <c r="Z117" i="127"/>
  <c r="AA117" i="127"/>
  <c r="AB117" i="127"/>
  <c r="AC117" i="127"/>
  <c r="AD117" i="127"/>
  <c r="AE117" i="127"/>
  <c r="AF117" i="127"/>
  <c r="AG117" i="127"/>
  <c r="AH117" i="127"/>
  <c r="AI117" i="127"/>
  <c r="P118" i="127"/>
  <c r="Q118" i="127"/>
  <c r="R118" i="127"/>
  <c r="S118" i="127"/>
  <c r="T118" i="127"/>
  <c r="U118" i="127"/>
  <c r="V118" i="127"/>
  <c r="W118" i="127"/>
  <c r="X118" i="127"/>
  <c r="Y118" i="127"/>
  <c r="Z118" i="127"/>
  <c r="AA118" i="127"/>
  <c r="AB118" i="127"/>
  <c r="AC118" i="127"/>
  <c r="AD118" i="127"/>
  <c r="AE118" i="127"/>
  <c r="AF118" i="127"/>
  <c r="AG118" i="127"/>
  <c r="AH118" i="127"/>
  <c r="AI118" i="127"/>
  <c r="P119" i="127"/>
  <c r="Q119" i="127"/>
  <c r="R119" i="127"/>
  <c r="S119" i="127"/>
  <c r="T119" i="127"/>
  <c r="U119" i="127"/>
  <c r="V119" i="127"/>
  <c r="W119" i="127"/>
  <c r="X119" i="127"/>
  <c r="Y119" i="127"/>
  <c r="Z119" i="127"/>
  <c r="AA119" i="127"/>
  <c r="AB119" i="127"/>
  <c r="AC119" i="127"/>
  <c r="AD119" i="127"/>
  <c r="AE119" i="127"/>
  <c r="AF119" i="127"/>
  <c r="AG119" i="127"/>
  <c r="AH119" i="127"/>
  <c r="AI119" i="127"/>
  <c r="P120" i="127"/>
  <c r="Q120" i="127"/>
  <c r="R120" i="127"/>
  <c r="S120" i="127"/>
  <c r="T120" i="127"/>
  <c r="U120" i="127"/>
  <c r="V120" i="127"/>
  <c r="W120" i="127"/>
  <c r="X120" i="127"/>
  <c r="Y120" i="127"/>
  <c r="Z120" i="127"/>
  <c r="AA120" i="127"/>
  <c r="AB120" i="127"/>
  <c r="AC120" i="127"/>
  <c r="AD120" i="127"/>
  <c r="AE120" i="127"/>
  <c r="AF120" i="127"/>
  <c r="AG120" i="127"/>
  <c r="AH120" i="127"/>
  <c r="AI120" i="127"/>
  <c r="P121" i="127"/>
  <c r="Q121" i="127"/>
  <c r="R121" i="127"/>
  <c r="S121" i="127"/>
  <c r="T121" i="127"/>
  <c r="U121" i="127"/>
  <c r="V121" i="127"/>
  <c r="W121" i="127"/>
  <c r="X121" i="127"/>
  <c r="Y121" i="127"/>
  <c r="Z121" i="127"/>
  <c r="AA121" i="127"/>
  <c r="AB121" i="127"/>
  <c r="AC121" i="127"/>
  <c r="AD121" i="127"/>
  <c r="AE121" i="127"/>
  <c r="AF121" i="127"/>
  <c r="AG121" i="127"/>
  <c r="AH121" i="127"/>
  <c r="AI121" i="127"/>
  <c r="P122" i="127"/>
  <c r="Q122" i="127"/>
  <c r="R122" i="127"/>
  <c r="S122" i="127"/>
  <c r="T122" i="127"/>
  <c r="U122" i="127"/>
  <c r="V122" i="127"/>
  <c r="W122" i="127"/>
  <c r="X122" i="127"/>
  <c r="Y122" i="127"/>
  <c r="Z122" i="127"/>
  <c r="AA122" i="127"/>
  <c r="AB122" i="127"/>
  <c r="AC122" i="127"/>
  <c r="AD122" i="127"/>
  <c r="AE122" i="127"/>
  <c r="AF122" i="127"/>
  <c r="AG122" i="127"/>
  <c r="AH122" i="127"/>
  <c r="AI122" i="127"/>
  <c r="P123" i="127"/>
  <c r="Q123" i="127"/>
  <c r="R123" i="127"/>
  <c r="S123" i="127"/>
  <c r="T123" i="127"/>
  <c r="U123" i="127"/>
  <c r="V123" i="127"/>
  <c r="W123" i="127"/>
  <c r="X123" i="127"/>
  <c r="Y123" i="127"/>
  <c r="Z123" i="127"/>
  <c r="AA123" i="127"/>
  <c r="AB123" i="127"/>
  <c r="AC123" i="127"/>
  <c r="AD123" i="127"/>
  <c r="AE123" i="127"/>
  <c r="AF123" i="127"/>
  <c r="AG123" i="127"/>
  <c r="AH123" i="127"/>
  <c r="AI123" i="127"/>
  <c r="P124" i="127"/>
  <c r="Q124" i="127"/>
  <c r="R124" i="127"/>
  <c r="S124" i="127"/>
  <c r="T124" i="127"/>
  <c r="U124" i="127"/>
  <c r="V124" i="127"/>
  <c r="W124" i="127"/>
  <c r="X124" i="127"/>
  <c r="Y124" i="127"/>
  <c r="Z124" i="127"/>
  <c r="AA124" i="127"/>
  <c r="AB124" i="127"/>
  <c r="AC124" i="127"/>
  <c r="AD124" i="127"/>
  <c r="AE124" i="127"/>
  <c r="AF124" i="127"/>
  <c r="AG124" i="127"/>
  <c r="AH124" i="127"/>
  <c r="AI124" i="127"/>
  <c r="P125" i="127"/>
  <c r="Q125" i="127"/>
  <c r="R125" i="127"/>
  <c r="S125" i="127"/>
  <c r="T125" i="127"/>
  <c r="U125" i="127"/>
  <c r="V125" i="127"/>
  <c r="W125" i="127"/>
  <c r="X125" i="127"/>
  <c r="Y125" i="127"/>
  <c r="Z125" i="127"/>
  <c r="AA125" i="127"/>
  <c r="AB125" i="127"/>
  <c r="AC125" i="127"/>
  <c r="AD125" i="127"/>
  <c r="AE125" i="127"/>
  <c r="AF125" i="127"/>
  <c r="AG125" i="127"/>
  <c r="AH125" i="127"/>
  <c r="AI125" i="127"/>
  <c r="P126" i="127"/>
  <c r="Q126" i="127"/>
  <c r="R126" i="127"/>
  <c r="S126" i="127"/>
  <c r="T126" i="127"/>
  <c r="U126" i="127"/>
  <c r="V126" i="127"/>
  <c r="W126" i="127"/>
  <c r="X126" i="127"/>
  <c r="Y126" i="127"/>
  <c r="Z126" i="127"/>
  <c r="AA126" i="127"/>
  <c r="AB126" i="127"/>
  <c r="AC126" i="127"/>
  <c r="AD126" i="127"/>
  <c r="AE126" i="127"/>
  <c r="AF126" i="127"/>
  <c r="AG126" i="127"/>
  <c r="AH126" i="127"/>
  <c r="AI126" i="127"/>
  <c r="P127" i="127"/>
  <c r="Q127" i="127"/>
  <c r="R127" i="127"/>
  <c r="S127" i="127"/>
  <c r="T127" i="127"/>
  <c r="U127" i="127"/>
  <c r="V127" i="127"/>
  <c r="W127" i="127"/>
  <c r="X127" i="127"/>
  <c r="Y127" i="127"/>
  <c r="Z127" i="127"/>
  <c r="AA127" i="127"/>
  <c r="AB127" i="127"/>
  <c r="AC127" i="127"/>
  <c r="AD127" i="127"/>
  <c r="AE127" i="127"/>
  <c r="AF127" i="127"/>
  <c r="AG127" i="127"/>
  <c r="AH127" i="127"/>
  <c r="AI127" i="127"/>
  <c r="P128" i="127"/>
  <c r="Q128" i="127"/>
  <c r="R128" i="127"/>
  <c r="S128" i="127"/>
  <c r="T128" i="127"/>
  <c r="U128" i="127"/>
  <c r="V128" i="127"/>
  <c r="W128" i="127"/>
  <c r="X128" i="127"/>
  <c r="Y128" i="127"/>
  <c r="Z128" i="127"/>
  <c r="AA128" i="127"/>
  <c r="AB128" i="127"/>
  <c r="AC128" i="127"/>
  <c r="AD128" i="127"/>
  <c r="AE128" i="127"/>
  <c r="AF128" i="127"/>
  <c r="AG128" i="127"/>
  <c r="AH128" i="127"/>
  <c r="AI128" i="127"/>
  <c r="P129" i="127"/>
  <c r="Q129" i="127"/>
  <c r="R129" i="127"/>
  <c r="S129" i="127"/>
  <c r="T129" i="127"/>
  <c r="U129" i="127"/>
  <c r="V129" i="127"/>
  <c r="W129" i="127"/>
  <c r="X129" i="127"/>
  <c r="Y129" i="127"/>
  <c r="Z129" i="127"/>
  <c r="AA129" i="127"/>
  <c r="AB129" i="127"/>
  <c r="AC129" i="127"/>
  <c r="AD129" i="127"/>
  <c r="AE129" i="127"/>
  <c r="AF129" i="127"/>
  <c r="AG129" i="127"/>
  <c r="AH129" i="127"/>
  <c r="AI129" i="127"/>
  <c r="P130" i="127"/>
  <c r="Q130" i="127"/>
  <c r="R130" i="127"/>
  <c r="S130" i="127"/>
  <c r="T130" i="127"/>
  <c r="U130" i="127"/>
  <c r="V130" i="127"/>
  <c r="W130" i="127"/>
  <c r="X130" i="127"/>
  <c r="Y130" i="127"/>
  <c r="Z130" i="127"/>
  <c r="AA130" i="127"/>
  <c r="AB130" i="127"/>
  <c r="AC130" i="127"/>
  <c r="AD130" i="127"/>
  <c r="AE130" i="127"/>
  <c r="AF130" i="127"/>
  <c r="AG130" i="127"/>
  <c r="AH130" i="127"/>
  <c r="AI130" i="127"/>
  <c r="P131" i="127"/>
  <c r="Q131" i="127"/>
  <c r="R131" i="127"/>
  <c r="S131" i="127"/>
  <c r="T131" i="127"/>
  <c r="U131" i="127"/>
  <c r="V131" i="127"/>
  <c r="W131" i="127"/>
  <c r="X131" i="127"/>
  <c r="Y131" i="127"/>
  <c r="Z131" i="127"/>
  <c r="AA131" i="127"/>
  <c r="AB131" i="127"/>
  <c r="AC131" i="127"/>
  <c r="AD131" i="127"/>
  <c r="AE131" i="127"/>
  <c r="AF131" i="127"/>
  <c r="AG131" i="127"/>
  <c r="AH131" i="127"/>
  <c r="AI131" i="127"/>
  <c r="P132" i="127"/>
  <c r="Q132" i="127"/>
  <c r="R132" i="127"/>
  <c r="S132" i="127"/>
  <c r="T132" i="127"/>
  <c r="U132" i="127"/>
  <c r="V132" i="127"/>
  <c r="W132" i="127"/>
  <c r="X132" i="127"/>
  <c r="Y132" i="127"/>
  <c r="Z132" i="127"/>
  <c r="AA132" i="127"/>
  <c r="AB132" i="127"/>
  <c r="AC132" i="127"/>
  <c r="AD132" i="127"/>
  <c r="AE132" i="127"/>
  <c r="AF132" i="127"/>
  <c r="AG132" i="127"/>
  <c r="AH132" i="127"/>
  <c r="AI132" i="127"/>
  <c r="P133" i="127"/>
  <c r="Q133" i="127"/>
  <c r="R133" i="127"/>
  <c r="S133" i="127"/>
  <c r="T133" i="127"/>
  <c r="U133" i="127"/>
  <c r="V133" i="127"/>
  <c r="W133" i="127"/>
  <c r="X133" i="127"/>
  <c r="Y133" i="127"/>
  <c r="Z133" i="127"/>
  <c r="AA133" i="127"/>
  <c r="AB133" i="127"/>
  <c r="AC133" i="127"/>
  <c r="AD133" i="127"/>
  <c r="AE133" i="127"/>
  <c r="AF133" i="127"/>
  <c r="AG133" i="127"/>
  <c r="AH133" i="127"/>
  <c r="AI133" i="127"/>
  <c r="P134" i="127"/>
  <c r="Q134" i="127"/>
  <c r="R134" i="127"/>
  <c r="S134" i="127"/>
  <c r="T134" i="127"/>
  <c r="U134" i="127"/>
  <c r="V134" i="127"/>
  <c r="W134" i="127"/>
  <c r="X134" i="127"/>
  <c r="Y134" i="127"/>
  <c r="Z134" i="127"/>
  <c r="AA134" i="127"/>
  <c r="AB134" i="127"/>
  <c r="AC134" i="127"/>
  <c r="AD134" i="127"/>
  <c r="AE134" i="127"/>
  <c r="AF134" i="127"/>
  <c r="AG134" i="127"/>
  <c r="AH134" i="127"/>
  <c r="AI134" i="127"/>
  <c r="P135" i="127"/>
  <c r="Q135" i="127"/>
  <c r="R135" i="127"/>
  <c r="S135" i="127"/>
  <c r="T135" i="127"/>
  <c r="U135" i="127"/>
  <c r="V135" i="127"/>
  <c r="W135" i="127"/>
  <c r="X135" i="127"/>
  <c r="Y135" i="127"/>
  <c r="Z135" i="127"/>
  <c r="AA135" i="127"/>
  <c r="AB135" i="127"/>
  <c r="AC135" i="127"/>
  <c r="AD135" i="127"/>
  <c r="AE135" i="127"/>
  <c r="AF135" i="127"/>
  <c r="AG135" i="127"/>
  <c r="AH135" i="127"/>
  <c r="AI135" i="127"/>
  <c r="P136" i="127"/>
  <c r="Q136" i="127"/>
  <c r="R136" i="127"/>
  <c r="S136" i="127"/>
  <c r="T136" i="127"/>
  <c r="U136" i="127"/>
  <c r="V136" i="127"/>
  <c r="W136" i="127"/>
  <c r="X136" i="127"/>
  <c r="Y136" i="127"/>
  <c r="Z136" i="127"/>
  <c r="AA136" i="127"/>
  <c r="AB136" i="127"/>
  <c r="AC136" i="127"/>
  <c r="AD136" i="127"/>
  <c r="AE136" i="127"/>
  <c r="AF136" i="127"/>
  <c r="AG136" i="127"/>
  <c r="AH136" i="127"/>
  <c r="AI136" i="127"/>
  <c r="P137" i="127"/>
  <c r="Q137" i="127"/>
  <c r="R137" i="127"/>
  <c r="S137" i="127"/>
  <c r="T137" i="127"/>
  <c r="U137" i="127"/>
  <c r="V137" i="127"/>
  <c r="W137" i="127"/>
  <c r="X137" i="127"/>
  <c r="Y137" i="127"/>
  <c r="Z137" i="127"/>
  <c r="AA137" i="127"/>
  <c r="AB137" i="127"/>
  <c r="AC137" i="127"/>
  <c r="AD137" i="127"/>
  <c r="AE137" i="127"/>
  <c r="AF137" i="127"/>
  <c r="AG137" i="127"/>
  <c r="AH137" i="127"/>
  <c r="AI137" i="127"/>
  <c r="P138" i="127"/>
  <c r="Q138" i="127"/>
  <c r="R138" i="127"/>
  <c r="S138" i="127"/>
  <c r="T138" i="127"/>
  <c r="U138" i="127"/>
  <c r="V138" i="127"/>
  <c r="W138" i="127"/>
  <c r="X138" i="127"/>
  <c r="Y138" i="127"/>
  <c r="Z138" i="127"/>
  <c r="AA138" i="127"/>
  <c r="AB138" i="127"/>
  <c r="AC138" i="127"/>
  <c r="AD138" i="127"/>
  <c r="AE138" i="127"/>
  <c r="AF138" i="127"/>
  <c r="AG138" i="127"/>
  <c r="AH138" i="127"/>
  <c r="AI138" i="127"/>
  <c r="P139" i="127"/>
  <c r="Q139" i="127"/>
  <c r="R139" i="127"/>
  <c r="S139" i="127"/>
  <c r="T139" i="127"/>
  <c r="U139" i="127"/>
  <c r="V139" i="127"/>
  <c r="W139" i="127"/>
  <c r="X139" i="127"/>
  <c r="Y139" i="127"/>
  <c r="Z139" i="127"/>
  <c r="AA139" i="127"/>
  <c r="AB139" i="127"/>
  <c r="AC139" i="127"/>
  <c r="AD139" i="127"/>
  <c r="AE139" i="127"/>
  <c r="AF139" i="127"/>
  <c r="AG139" i="127"/>
  <c r="AH139" i="127"/>
  <c r="AI139" i="127"/>
  <c r="P140" i="127"/>
  <c r="Q140" i="127"/>
  <c r="R140" i="127"/>
  <c r="S140" i="127"/>
  <c r="T140" i="127"/>
  <c r="U140" i="127"/>
  <c r="V140" i="127"/>
  <c r="W140" i="127"/>
  <c r="X140" i="127"/>
  <c r="Y140" i="127"/>
  <c r="Z140" i="127"/>
  <c r="AA140" i="127"/>
  <c r="AB140" i="127"/>
  <c r="AC140" i="127"/>
  <c r="AD140" i="127"/>
  <c r="AE140" i="127"/>
  <c r="AF140" i="127"/>
  <c r="AG140" i="127"/>
  <c r="AH140" i="127"/>
  <c r="AI140" i="127"/>
  <c r="P141" i="127"/>
  <c r="Q141" i="127"/>
  <c r="R141" i="127"/>
  <c r="S141" i="127"/>
  <c r="T141" i="127"/>
  <c r="U141" i="127"/>
  <c r="V141" i="127"/>
  <c r="W141" i="127"/>
  <c r="X141" i="127"/>
  <c r="Y141" i="127"/>
  <c r="Z141" i="127"/>
  <c r="AA141" i="127"/>
  <c r="AB141" i="127"/>
  <c r="AC141" i="127"/>
  <c r="AD141" i="127"/>
  <c r="AE141" i="127"/>
  <c r="AF141" i="127"/>
  <c r="AG141" i="127"/>
  <c r="AH141" i="127"/>
  <c r="AI141" i="127"/>
  <c r="P142" i="127"/>
  <c r="Q142" i="127"/>
  <c r="R142" i="127"/>
  <c r="S142" i="127"/>
  <c r="T142" i="127"/>
  <c r="U142" i="127"/>
  <c r="V142" i="127"/>
  <c r="W142" i="127"/>
  <c r="X142" i="127"/>
  <c r="Y142" i="127"/>
  <c r="Z142" i="127"/>
  <c r="AA142" i="127"/>
  <c r="AB142" i="127"/>
  <c r="AC142" i="127"/>
  <c r="AD142" i="127"/>
  <c r="AE142" i="127"/>
  <c r="AF142" i="127"/>
  <c r="AG142" i="127"/>
  <c r="AH142" i="127"/>
  <c r="AI142" i="127"/>
  <c r="P143" i="127"/>
  <c r="Q143" i="127"/>
  <c r="R143" i="127"/>
  <c r="S143" i="127"/>
  <c r="T143" i="127"/>
  <c r="U143" i="127"/>
  <c r="V143" i="127"/>
  <c r="W143" i="127"/>
  <c r="X143" i="127"/>
  <c r="Y143" i="127"/>
  <c r="Z143" i="127"/>
  <c r="AA143" i="127"/>
  <c r="AB143" i="127"/>
  <c r="AC143" i="127"/>
  <c r="AD143" i="127"/>
  <c r="AE143" i="127"/>
  <c r="AF143" i="127"/>
  <c r="AG143" i="127"/>
  <c r="AH143" i="127"/>
  <c r="AI143" i="127"/>
  <c r="P144" i="127"/>
  <c r="Q144" i="127"/>
  <c r="R144" i="127"/>
  <c r="S144" i="127"/>
  <c r="T144" i="127"/>
  <c r="U144" i="127"/>
  <c r="V144" i="127"/>
  <c r="W144" i="127"/>
  <c r="X144" i="127"/>
  <c r="Y144" i="127"/>
  <c r="Z144" i="127"/>
  <c r="AA144" i="127"/>
  <c r="AB144" i="127"/>
  <c r="AC144" i="127"/>
  <c r="AD144" i="127"/>
  <c r="AE144" i="127"/>
  <c r="AF144" i="127"/>
  <c r="AG144" i="127"/>
  <c r="AH144" i="127"/>
  <c r="AI144" i="127"/>
  <c r="P145" i="127"/>
  <c r="Q145" i="127"/>
  <c r="R145" i="127"/>
  <c r="S145" i="127"/>
  <c r="T145" i="127"/>
  <c r="U145" i="127"/>
  <c r="V145" i="127"/>
  <c r="W145" i="127"/>
  <c r="X145" i="127"/>
  <c r="Y145" i="127"/>
  <c r="Z145" i="127"/>
  <c r="AA145" i="127"/>
  <c r="AB145" i="127"/>
  <c r="AC145" i="127"/>
  <c r="AD145" i="127"/>
  <c r="AE145" i="127"/>
  <c r="AF145" i="127"/>
  <c r="AG145" i="127"/>
  <c r="AH145" i="127"/>
  <c r="AI145" i="127"/>
  <c r="P146" i="127"/>
  <c r="Q146" i="127"/>
  <c r="R146" i="127"/>
  <c r="S146" i="127"/>
  <c r="T146" i="127"/>
  <c r="U146" i="127"/>
  <c r="V146" i="127"/>
  <c r="W146" i="127"/>
  <c r="X146" i="127"/>
  <c r="Y146" i="127"/>
  <c r="Z146" i="127"/>
  <c r="AA146" i="127"/>
  <c r="AB146" i="127"/>
  <c r="AC146" i="127"/>
  <c r="AD146" i="127"/>
  <c r="AE146" i="127"/>
  <c r="AF146" i="127"/>
  <c r="AG146" i="127"/>
  <c r="AH146" i="127"/>
  <c r="AI146" i="127"/>
  <c r="P147" i="127"/>
  <c r="Q147" i="127"/>
  <c r="R147" i="127"/>
  <c r="S147" i="127"/>
  <c r="T147" i="127"/>
  <c r="U147" i="127"/>
  <c r="V147" i="127"/>
  <c r="W147" i="127"/>
  <c r="X147" i="127"/>
  <c r="Y147" i="127"/>
  <c r="Z147" i="127"/>
  <c r="AA147" i="127"/>
  <c r="AB147" i="127"/>
  <c r="AC147" i="127"/>
  <c r="AD147" i="127"/>
  <c r="AE147" i="127"/>
  <c r="AF147" i="127"/>
  <c r="AG147" i="127"/>
  <c r="AH147" i="127"/>
  <c r="AI147" i="127"/>
  <c r="P148" i="127"/>
  <c r="Q148" i="127"/>
  <c r="R148" i="127"/>
  <c r="S148" i="127"/>
  <c r="T148" i="127"/>
  <c r="U148" i="127"/>
  <c r="V148" i="127"/>
  <c r="W148" i="127"/>
  <c r="X148" i="127"/>
  <c r="Y148" i="127"/>
  <c r="Z148" i="127"/>
  <c r="AA148" i="127"/>
  <c r="AB148" i="127"/>
  <c r="AC148" i="127"/>
  <c r="AD148" i="127"/>
  <c r="AE148" i="127"/>
  <c r="AF148" i="127"/>
  <c r="AG148" i="127"/>
  <c r="AH148" i="127"/>
  <c r="AI148" i="127"/>
  <c r="P149" i="127"/>
  <c r="Q149" i="127"/>
  <c r="R149" i="127"/>
  <c r="S149" i="127"/>
  <c r="T149" i="127"/>
  <c r="U149" i="127"/>
  <c r="V149" i="127"/>
  <c r="W149" i="127"/>
  <c r="X149" i="127"/>
  <c r="Y149" i="127"/>
  <c r="Z149" i="127"/>
  <c r="AA149" i="127"/>
  <c r="AB149" i="127"/>
  <c r="AC149" i="127"/>
  <c r="AD149" i="127"/>
  <c r="AE149" i="127"/>
  <c r="AF149" i="127"/>
  <c r="AG149" i="127"/>
  <c r="AH149" i="127"/>
  <c r="AI149" i="127"/>
  <c r="P150" i="127"/>
  <c r="Q150" i="127"/>
  <c r="R150" i="127"/>
  <c r="S150" i="127"/>
  <c r="T150" i="127"/>
  <c r="U150" i="127"/>
  <c r="V150" i="127"/>
  <c r="W150" i="127"/>
  <c r="X150" i="127"/>
  <c r="Y150" i="127"/>
  <c r="Z150" i="127"/>
  <c r="AA150" i="127"/>
  <c r="AB150" i="127"/>
  <c r="AC150" i="127"/>
  <c r="AD150" i="127"/>
  <c r="AE150" i="127"/>
  <c r="AF150" i="127"/>
  <c r="AG150" i="127"/>
  <c r="AH150" i="127"/>
  <c r="AI150" i="127"/>
  <c r="P151" i="127"/>
  <c r="Q151" i="127"/>
  <c r="R151" i="127"/>
  <c r="S151" i="127"/>
  <c r="T151" i="127"/>
  <c r="U151" i="127"/>
  <c r="V151" i="127"/>
  <c r="W151" i="127"/>
  <c r="X151" i="127"/>
  <c r="Y151" i="127"/>
  <c r="Z151" i="127"/>
  <c r="AA151" i="127"/>
  <c r="AB151" i="127"/>
  <c r="AC151" i="127"/>
  <c r="AD151" i="127"/>
  <c r="AE151" i="127"/>
  <c r="AF151" i="127"/>
  <c r="AG151" i="127"/>
  <c r="AH151" i="127"/>
  <c r="AI151" i="127"/>
  <c r="P152" i="127"/>
  <c r="Q152" i="127"/>
  <c r="R152" i="127"/>
  <c r="S152" i="127"/>
  <c r="T152" i="127"/>
  <c r="U152" i="127"/>
  <c r="V152" i="127"/>
  <c r="W152" i="127"/>
  <c r="X152" i="127"/>
  <c r="Y152" i="127"/>
  <c r="Z152" i="127"/>
  <c r="AA152" i="127"/>
  <c r="AB152" i="127"/>
  <c r="AC152" i="127"/>
  <c r="AD152" i="127"/>
  <c r="AE152" i="127"/>
  <c r="AF152" i="127"/>
  <c r="AG152" i="127"/>
  <c r="AH152" i="127"/>
  <c r="AI152" i="127"/>
  <c r="P153" i="127"/>
  <c r="Q153" i="127"/>
  <c r="R153" i="127"/>
  <c r="S153" i="127"/>
  <c r="T153" i="127"/>
  <c r="U153" i="127"/>
  <c r="V153" i="127"/>
  <c r="W153" i="127"/>
  <c r="X153" i="127"/>
  <c r="Y153" i="127"/>
  <c r="Z153" i="127"/>
  <c r="AA153" i="127"/>
  <c r="AB153" i="127"/>
  <c r="AC153" i="127"/>
  <c r="AD153" i="127"/>
  <c r="AE153" i="127"/>
  <c r="AF153" i="127"/>
  <c r="AG153" i="127"/>
  <c r="AH153" i="127"/>
  <c r="AI153" i="127"/>
  <c r="P154" i="127"/>
  <c r="Q154" i="127"/>
  <c r="R154" i="127"/>
  <c r="S154" i="127"/>
  <c r="T154" i="127"/>
  <c r="U154" i="127"/>
  <c r="V154" i="127"/>
  <c r="W154" i="127"/>
  <c r="X154" i="127"/>
  <c r="Y154" i="127"/>
  <c r="Z154" i="127"/>
  <c r="AA154" i="127"/>
  <c r="AB154" i="127"/>
  <c r="AC154" i="127"/>
  <c r="AD154" i="127"/>
  <c r="AE154" i="127"/>
  <c r="AF154" i="127"/>
  <c r="AG154" i="127"/>
  <c r="AH154" i="127"/>
  <c r="AI154" i="127"/>
  <c r="P155" i="127"/>
  <c r="Q155" i="127"/>
  <c r="R155" i="127"/>
  <c r="S155" i="127"/>
  <c r="T155" i="127"/>
  <c r="U155" i="127"/>
  <c r="V155" i="127"/>
  <c r="W155" i="127"/>
  <c r="X155" i="127"/>
  <c r="Y155" i="127"/>
  <c r="Z155" i="127"/>
  <c r="AA155" i="127"/>
  <c r="AB155" i="127"/>
  <c r="AC155" i="127"/>
  <c r="AD155" i="127"/>
  <c r="AE155" i="127"/>
  <c r="AF155" i="127"/>
  <c r="AG155" i="127"/>
  <c r="AH155" i="127"/>
  <c r="AI155" i="127"/>
  <c r="P156" i="127"/>
  <c r="Q156" i="127"/>
  <c r="R156" i="127"/>
  <c r="S156" i="127"/>
  <c r="T156" i="127"/>
  <c r="U156" i="127"/>
  <c r="V156" i="127"/>
  <c r="W156" i="127"/>
  <c r="X156" i="127"/>
  <c r="Y156" i="127"/>
  <c r="Z156" i="127"/>
  <c r="AA156" i="127"/>
  <c r="AB156" i="127"/>
  <c r="AC156" i="127"/>
  <c r="AD156" i="127"/>
  <c r="AE156" i="127"/>
  <c r="AF156" i="127"/>
  <c r="AG156" i="127"/>
  <c r="AH156" i="127"/>
  <c r="AI156" i="127"/>
  <c r="P157" i="127"/>
  <c r="Q157" i="127"/>
  <c r="R157" i="127"/>
  <c r="S157" i="127"/>
  <c r="T157" i="127"/>
  <c r="U157" i="127"/>
  <c r="V157" i="127"/>
  <c r="W157" i="127"/>
  <c r="X157" i="127"/>
  <c r="Y157" i="127"/>
  <c r="Z157" i="127"/>
  <c r="AA157" i="127"/>
  <c r="AB157" i="127"/>
  <c r="AC157" i="127"/>
  <c r="AD157" i="127"/>
  <c r="AE157" i="127"/>
  <c r="AF157" i="127"/>
  <c r="AG157" i="127"/>
  <c r="AH157" i="127"/>
  <c r="AI157" i="127"/>
  <c r="P158" i="127"/>
  <c r="Q158" i="127"/>
  <c r="R158" i="127"/>
  <c r="S158" i="127"/>
  <c r="T158" i="127"/>
  <c r="U158" i="127"/>
  <c r="V158" i="127"/>
  <c r="W158" i="127"/>
  <c r="X158" i="127"/>
  <c r="Y158" i="127"/>
  <c r="Z158" i="127"/>
  <c r="AA158" i="127"/>
  <c r="AB158" i="127"/>
  <c r="AC158" i="127"/>
  <c r="AD158" i="127"/>
  <c r="AE158" i="127"/>
  <c r="AF158" i="127"/>
  <c r="AG158" i="127"/>
  <c r="AH158" i="127"/>
  <c r="AI158" i="127"/>
  <c r="P159" i="127"/>
  <c r="Q159" i="127"/>
  <c r="R159" i="127"/>
  <c r="S159" i="127"/>
  <c r="T159" i="127"/>
  <c r="U159" i="127"/>
  <c r="V159" i="127"/>
  <c r="W159" i="127"/>
  <c r="X159" i="127"/>
  <c r="Y159" i="127"/>
  <c r="Z159" i="127"/>
  <c r="AA159" i="127"/>
  <c r="AB159" i="127"/>
  <c r="AC159" i="127"/>
  <c r="AD159" i="127"/>
  <c r="AE159" i="127"/>
  <c r="AF159" i="127"/>
  <c r="AG159" i="127"/>
  <c r="AH159" i="127"/>
  <c r="AI159" i="127"/>
  <c r="P160" i="127"/>
  <c r="Q160" i="127"/>
  <c r="R160" i="127"/>
  <c r="S160" i="127"/>
  <c r="T160" i="127"/>
  <c r="U160" i="127"/>
  <c r="V160" i="127"/>
  <c r="W160" i="127"/>
  <c r="X160" i="127"/>
  <c r="Y160" i="127"/>
  <c r="Z160" i="127"/>
  <c r="AA160" i="127"/>
  <c r="AB160" i="127"/>
  <c r="AC160" i="127"/>
  <c r="AD160" i="127"/>
  <c r="AE160" i="127"/>
  <c r="AF160" i="127"/>
  <c r="AG160" i="127"/>
  <c r="AH160" i="127"/>
  <c r="AI160" i="127"/>
  <c r="P161" i="127"/>
  <c r="Q161" i="127"/>
  <c r="R161" i="127"/>
  <c r="S161" i="127"/>
  <c r="T161" i="127"/>
  <c r="U161" i="127"/>
  <c r="V161" i="127"/>
  <c r="W161" i="127"/>
  <c r="X161" i="127"/>
  <c r="Y161" i="127"/>
  <c r="Z161" i="127"/>
  <c r="AA161" i="127"/>
  <c r="AB161" i="127"/>
  <c r="AC161" i="127"/>
  <c r="AD161" i="127"/>
  <c r="AE161" i="127"/>
  <c r="AF161" i="127"/>
  <c r="AG161" i="127"/>
  <c r="AH161" i="127"/>
  <c r="AI161" i="127"/>
  <c r="P162" i="127"/>
  <c r="Q162" i="127"/>
  <c r="R162" i="127"/>
  <c r="S162" i="127"/>
  <c r="T162" i="127"/>
  <c r="U162" i="127"/>
  <c r="V162" i="127"/>
  <c r="W162" i="127"/>
  <c r="X162" i="127"/>
  <c r="Y162" i="127"/>
  <c r="Z162" i="127"/>
  <c r="AA162" i="127"/>
  <c r="AB162" i="127"/>
  <c r="AC162" i="127"/>
  <c r="AD162" i="127"/>
  <c r="AE162" i="127"/>
  <c r="AF162" i="127"/>
  <c r="AG162" i="127"/>
  <c r="AH162" i="127"/>
  <c r="AI162" i="127"/>
  <c r="P163" i="127"/>
  <c r="Q163" i="127"/>
  <c r="R163" i="127"/>
  <c r="S163" i="127"/>
  <c r="T163" i="127"/>
  <c r="U163" i="127"/>
  <c r="V163" i="127"/>
  <c r="W163" i="127"/>
  <c r="X163" i="127"/>
  <c r="Y163" i="127"/>
  <c r="Z163" i="127"/>
  <c r="AA163" i="127"/>
  <c r="AB163" i="127"/>
  <c r="AC163" i="127"/>
  <c r="AD163" i="127"/>
  <c r="AE163" i="127"/>
  <c r="AF163" i="127"/>
  <c r="AG163" i="127"/>
  <c r="AH163" i="127"/>
  <c r="AI163" i="127"/>
  <c r="P164" i="127"/>
  <c r="Q164" i="127"/>
  <c r="R164" i="127"/>
  <c r="S164" i="127"/>
  <c r="T164" i="127"/>
  <c r="U164" i="127"/>
  <c r="V164" i="127"/>
  <c r="W164" i="127"/>
  <c r="X164" i="127"/>
  <c r="Y164" i="127"/>
  <c r="Z164" i="127"/>
  <c r="AA164" i="127"/>
  <c r="AB164" i="127"/>
  <c r="AC164" i="127"/>
  <c r="AD164" i="127"/>
  <c r="AE164" i="127"/>
  <c r="AF164" i="127"/>
  <c r="AG164" i="127"/>
  <c r="AH164" i="127"/>
  <c r="AI164" i="127"/>
  <c r="P165" i="127"/>
  <c r="Q165" i="127"/>
  <c r="R165" i="127"/>
  <c r="S165" i="127"/>
  <c r="T165" i="127"/>
  <c r="U165" i="127"/>
  <c r="V165" i="127"/>
  <c r="W165" i="127"/>
  <c r="X165" i="127"/>
  <c r="Y165" i="127"/>
  <c r="Z165" i="127"/>
  <c r="AA165" i="127"/>
  <c r="AB165" i="127"/>
  <c r="AC165" i="127"/>
  <c r="AD165" i="127"/>
  <c r="AE165" i="127"/>
  <c r="AF165" i="127"/>
  <c r="AG165" i="127"/>
  <c r="AH165" i="127"/>
  <c r="AI165" i="127"/>
  <c r="P166" i="127"/>
  <c r="Q166" i="127"/>
  <c r="R166" i="127"/>
  <c r="S166" i="127"/>
  <c r="T166" i="127"/>
  <c r="U166" i="127"/>
  <c r="V166" i="127"/>
  <c r="W166" i="127"/>
  <c r="X166" i="127"/>
  <c r="Y166" i="127"/>
  <c r="Z166" i="127"/>
  <c r="AA166" i="127"/>
  <c r="AB166" i="127"/>
  <c r="AC166" i="127"/>
  <c r="AD166" i="127"/>
  <c r="AE166" i="127"/>
  <c r="AF166" i="127"/>
  <c r="AG166" i="127"/>
  <c r="AH166" i="127"/>
  <c r="AI166" i="127"/>
  <c r="P167" i="127"/>
  <c r="Q167" i="127"/>
  <c r="R167" i="127"/>
  <c r="S167" i="127"/>
  <c r="T167" i="127"/>
  <c r="U167" i="127"/>
  <c r="V167" i="127"/>
  <c r="W167" i="127"/>
  <c r="X167" i="127"/>
  <c r="Y167" i="127"/>
  <c r="Z167" i="127"/>
  <c r="AA167" i="127"/>
  <c r="AB167" i="127"/>
  <c r="AC167" i="127"/>
  <c r="AD167" i="127"/>
  <c r="AE167" i="127"/>
  <c r="AF167" i="127"/>
  <c r="AG167" i="127"/>
  <c r="AH167" i="127"/>
  <c r="AI167" i="127"/>
  <c r="P168" i="127"/>
  <c r="Q168" i="127"/>
  <c r="R168" i="127"/>
  <c r="S168" i="127"/>
  <c r="T168" i="127"/>
  <c r="U168" i="127"/>
  <c r="V168" i="127"/>
  <c r="W168" i="127"/>
  <c r="X168" i="127"/>
  <c r="Y168" i="127"/>
  <c r="Z168" i="127"/>
  <c r="AA168" i="127"/>
  <c r="AB168" i="127"/>
  <c r="AC168" i="127"/>
  <c r="AD168" i="127"/>
  <c r="AE168" i="127"/>
  <c r="AF168" i="127"/>
  <c r="AG168" i="127"/>
  <c r="AH168" i="127"/>
  <c r="AI168" i="127"/>
  <c r="P169" i="127"/>
  <c r="Q169" i="127"/>
  <c r="R169" i="127"/>
  <c r="S169" i="127"/>
  <c r="T169" i="127"/>
  <c r="U169" i="127"/>
  <c r="V169" i="127"/>
  <c r="W169" i="127"/>
  <c r="X169" i="127"/>
  <c r="Y169" i="127"/>
  <c r="Z169" i="127"/>
  <c r="AA169" i="127"/>
  <c r="AB169" i="127"/>
  <c r="AC169" i="127"/>
  <c r="AD169" i="127"/>
  <c r="AE169" i="127"/>
  <c r="AF169" i="127"/>
  <c r="AG169" i="127"/>
  <c r="AH169" i="127"/>
  <c r="AI169" i="127"/>
  <c r="P170" i="127"/>
  <c r="Q170" i="127"/>
  <c r="R170" i="127"/>
  <c r="S170" i="127"/>
  <c r="T170" i="127"/>
  <c r="U170" i="127"/>
  <c r="V170" i="127"/>
  <c r="W170" i="127"/>
  <c r="X170" i="127"/>
  <c r="Y170" i="127"/>
  <c r="Z170" i="127"/>
  <c r="AA170" i="127"/>
  <c r="AB170" i="127"/>
  <c r="AC170" i="127"/>
  <c r="AD170" i="127"/>
  <c r="AE170" i="127"/>
  <c r="AF170" i="127"/>
  <c r="AG170" i="127"/>
  <c r="AH170" i="127"/>
  <c r="AI170" i="127"/>
  <c r="P171" i="127"/>
  <c r="Q171" i="127"/>
  <c r="R171" i="127"/>
  <c r="S171" i="127"/>
  <c r="T171" i="127"/>
  <c r="U171" i="127"/>
  <c r="V171" i="127"/>
  <c r="W171" i="127"/>
  <c r="X171" i="127"/>
  <c r="Y171" i="127"/>
  <c r="Z171" i="127"/>
  <c r="AA171" i="127"/>
  <c r="AB171" i="127"/>
  <c r="AC171" i="127"/>
  <c r="AD171" i="127"/>
  <c r="AE171" i="127"/>
  <c r="AF171" i="127"/>
  <c r="AG171" i="127"/>
  <c r="AH171" i="127"/>
  <c r="AI171" i="127"/>
  <c r="P172" i="127"/>
  <c r="Q172" i="127"/>
  <c r="R172" i="127"/>
  <c r="S172" i="127"/>
  <c r="T172" i="127"/>
  <c r="U172" i="127"/>
  <c r="V172" i="127"/>
  <c r="W172" i="127"/>
  <c r="X172" i="127"/>
  <c r="Y172" i="127"/>
  <c r="Z172" i="127"/>
  <c r="AA172" i="127"/>
  <c r="AB172" i="127"/>
  <c r="AC172" i="127"/>
  <c r="AD172" i="127"/>
  <c r="AE172" i="127"/>
  <c r="AF172" i="127"/>
  <c r="AG172" i="127"/>
  <c r="AH172" i="127"/>
  <c r="AI172" i="127"/>
  <c r="P173" i="127"/>
  <c r="Q173" i="127"/>
  <c r="R173" i="127"/>
  <c r="S173" i="127"/>
  <c r="T173" i="127"/>
  <c r="U173" i="127"/>
  <c r="V173" i="127"/>
  <c r="W173" i="127"/>
  <c r="X173" i="127"/>
  <c r="Y173" i="127"/>
  <c r="Z173" i="127"/>
  <c r="AA173" i="127"/>
  <c r="AB173" i="127"/>
  <c r="AC173" i="127"/>
  <c r="AD173" i="127"/>
  <c r="AE173" i="127"/>
  <c r="AF173" i="127"/>
  <c r="AG173" i="127"/>
  <c r="AH173" i="127"/>
  <c r="AI173" i="127"/>
  <c r="P174" i="127"/>
  <c r="Q174" i="127"/>
  <c r="R174" i="127"/>
  <c r="S174" i="127"/>
  <c r="T174" i="127"/>
  <c r="U174" i="127"/>
  <c r="V174" i="127"/>
  <c r="W174" i="127"/>
  <c r="X174" i="127"/>
  <c r="Y174" i="127"/>
  <c r="Z174" i="127"/>
  <c r="AA174" i="127"/>
  <c r="AB174" i="127"/>
  <c r="AC174" i="127"/>
  <c r="AD174" i="127"/>
  <c r="AE174" i="127"/>
  <c r="AF174" i="127"/>
  <c r="AG174" i="127"/>
  <c r="AH174" i="127"/>
  <c r="AI174" i="127"/>
  <c r="P175" i="127"/>
  <c r="Q175" i="127"/>
  <c r="R175" i="127"/>
  <c r="S175" i="127"/>
  <c r="T175" i="127"/>
  <c r="U175" i="127"/>
  <c r="V175" i="127"/>
  <c r="W175" i="127"/>
  <c r="X175" i="127"/>
  <c r="Y175" i="127"/>
  <c r="Z175" i="127"/>
  <c r="AA175" i="127"/>
  <c r="AB175" i="127"/>
  <c r="AC175" i="127"/>
  <c r="AD175" i="127"/>
  <c r="AE175" i="127"/>
  <c r="AF175" i="127"/>
  <c r="AG175" i="127"/>
  <c r="AH175" i="127"/>
  <c r="AI175" i="127"/>
  <c r="P176" i="127"/>
  <c r="Q176" i="127"/>
  <c r="R176" i="127"/>
  <c r="S176" i="127"/>
  <c r="T176" i="127"/>
  <c r="U176" i="127"/>
  <c r="V176" i="127"/>
  <c r="W176" i="127"/>
  <c r="X176" i="127"/>
  <c r="Y176" i="127"/>
  <c r="Z176" i="127"/>
  <c r="AA176" i="127"/>
  <c r="AB176" i="127"/>
  <c r="AC176" i="127"/>
  <c r="AD176" i="127"/>
  <c r="AE176" i="127"/>
  <c r="AF176" i="127"/>
  <c r="AG176" i="127"/>
  <c r="AH176" i="127"/>
  <c r="AI176" i="127"/>
  <c r="P177" i="127"/>
  <c r="Q177" i="127"/>
  <c r="R177" i="127"/>
  <c r="S177" i="127"/>
  <c r="T177" i="127"/>
  <c r="U177" i="127"/>
  <c r="V177" i="127"/>
  <c r="W177" i="127"/>
  <c r="X177" i="127"/>
  <c r="Y177" i="127"/>
  <c r="Z177" i="127"/>
  <c r="AA177" i="127"/>
  <c r="AB177" i="127"/>
  <c r="AC177" i="127"/>
  <c r="AD177" i="127"/>
  <c r="AE177" i="127"/>
  <c r="AF177" i="127"/>
  <c r="AG177" i="127"/>
  <c r="AH177" i="127"/>
  <c r="AI177" i="127"/>
  <c r="P178" i="127"/>
  <c r="Q178" i="127"/>
  <c r="R178" i="127"/>
  <c r="S178" i="127"/>
  <c r="T178" i="127"/>
  <c r="U178" i="127"/>
  <c r="V178" i="127"/>
  <c r="W178" i="127"/>
  <c r="X178" i="127"/>
  <c r="Y178" i="127"/>
  <c r="Z178" i="127"/>
  <c r="AA178" i="127"/>
  <c r="AB178" i="127"/>
  <c r="AC178" i="127"/>
  <c r="AD178" i="127"/>
  <c r="AE178" i="127"/>
  <c r="AF178" i="127"/>
  <c r="AG178" i="127"/>
  <c r="AH178" i="127"/>
  <c r="AI178" i="127"/>
  <c r="P179" i="127"/>
  <c r="Q179" i="127"/>
  <c r="R179" i="127"/>
  <c r="S179" i="127"/>
  <c r="T179" i="127"/>
  <c r="U179" i="127"/>
  <c r="V179" i="127"/>
  <c r="W179" i="127"/>
  <c r="X179" i="127"/>
  <c r="Y179" i="127"/>
  <c r="Z179" i="127"/>
  <c r="AA179" i="127"/>
  <c r="AB179" i="127"/>
  <c r="AC179" i="127"/>
  <c r="AD179" i="127"/>
  <c r="AE179" i="127"/>
  <c r="AF179" i="127"/>
  <c r="AG179" i="127"/>
  <c r="AH179" i="127"/>
  <c r="AI179" i="127"/>
  <c r="P180" i="127"/>
  <c r="L180" i="127" s="1"/>
  <c r="Q180" i="127"/>
  <c r="R180" i="127"/>
  <c r="S180" i="127"/>
  <c r="T180" i="127"/>
  <c r="U180" i="127"/>
  <c r="V180" i="127"/>
  <c r="W180" i="127"/>
  <c r="X180" i="127"/>
  <c r="Y180" i="127"/>
  <c r="Z180" i="127"/>
  <c r="AA180" i="127"/>
  <c r="AB180" i="127"/>
  <c r="AC180" i="127"/>
  <c r="AD180" i="127"/>
  <c r="AE180" i="127"/>
  <c r="AF180" i="127"/>
  <c r="AG180" i="127"/>
  <c r="AH180" i="127"/>
  <c r="AI180" i="127"/>
  <c r="P181" i="127"/>
  <c r="Q181" i="127"/>
  <c r="R181" i="127"/>
  <c r="S181" i="127"/>
  <c r="T181" i="127"/>
  <c r="U181" i="127"/>
  <c r="V181" i="127"/>
  <c r="W181" i="127"/>
  <c r="X181" i="127"/>
  <c r="Y181" i="127"/>
  <c r="Z181" i="127"/>
  <c r="AA181" i="127"/>
  <c r="AB181" i="127"/>
  <c r="AC181" i="127"/>
  <c r="AD181" i="127"/>
  <c r="AE181" i="127"/>
  <c r="AF181" i="127"/>
  <c r="AG181" i="127"/>
  <c r="AH181" i="127"/>
  <c r="AI181" i="127"/>
  <c r="P182" i="127"/>
  <c r="Q182" i="127"/>
  <c r="R182" i="127"/>
  <c r="S182" i="127"/>
  <c r="T182" i="127"/>
  <c r="U182" i="127"/>
  <c r="V182" i="127"/>
  <c r="W182" i="127"/>
  <c r="X182" i="127"/>
  <c r="Y182" i="127"/>
  <c r="Z182" i="127"/>
  <c r="AA182" i="127"/>
  <c r="AB182" i="127"/>
  <c r="AC182" i="127"/>
  <c r="AD182" i="127"/>
  <c r="AE182" i="127"/>
  <c r="AF182" i="127"/>
  <c r="AG182" i="127"/>
  <c r="AH182" i="127"/>
  <c r="AI182" i="127"/>
  <c r="P183" i="127"/>
  <c r="Q183" i="127"/>
  <c r="R183" i="127"/>
  <c r="S183" i="127"/>
  <c r="T183" i="127"/>
  <c r="U183" i="127"/>
  <c r="V183" i="127"/>
  <c r="W183" i="127"/>
  <c r="X183" i="127"/>
  <c r="Y183" i="127"/>
  <c r="Z183" i="127"/>
  <c r="AA183" i="127"/>
  <c r="AB183" i="127"/>
  <c r="AC183" i="127"/>
  <c r="AD183" i="127"/>
  <c r="AE183" i="127"/>
  <c r="AF183" i="127"/>
  <c r="AG183" i="127"/>
  <c r="AH183" i="127"/>
  <c r="AI183" i="127"/>
  <c r="P184" i="127"/>
  <c r="Q184" i="127"/>
  <c r="R184" i="127"/>
  <c r="S184" i="127"/>
  <c r="T184" i="127"/>
  <c r="U184" i="127"/>
  <c r="V184" i="127"/>
  <c r="W184" i="127"/>
  <c r="X184" i="127"/>
  <c r="Y184" i="127"/>
  <c r="Z184" i="127"/>
  <c r="AA184" i="127"/>
  <c r="AB184" i="127"/>
  <c r="AC184" i="127"/>
  <c r="AD184" i="127"/>
  <c r="AE184" i="127"/>
  <c r="AF184" i="127"/>
  <c r="AG184" i="127"/>
  <c r="AH184" i="127"/>
  <c r="AI184" i="127"/>
  <c r="P185" i="127"/>
  <c r="L185" i="127" s="1"/>
  <c r="Q185" i="127"/>
  <c r="R185" i="127"/>
  <c r="S185" i="127"/>
  <c r="T185" i="127"/>
  <c r="U185" i="127"/>
  <c r="V185" i="127"/>
  <c r="W185" i="127"/>
  <c r="X185" i="127"/>
  <c r="Y185" i="127"/>
  <c r="Z185" i="127"/>
  <c r="AA185" i="127"/>
  <c r="AB185" i="127"/>
  <c r="AC185" i="127"/>
  <c r="AD185" i="127"/>
  <c r="AE185" i="127"/>
  <c r="AF185" i="127"/>
  <c r="AG185" i="127"/>
  <c r="AH185" i="127"/>
  <c r="AI185" i="127"/>
  <c r="P186" i="127"/>
  <c r="L186" i="127" s="1"/>
  <c r="Q186" i="127"/>
  <c r="R186" i="127"/>
  <c r="S186" i="127"/>
  <c r="T186" i="127"/>
  <c r="U186" i="127"/>
  <c r="V186" i="127"/>
  <c r="W186" i="127"/>
  <c r="X186" i="127"/>
  <c r="Y186" i="127"/>
  <c r="Z186" i="127"/>
  <c r="AA186" i="127"/>
  <c r="AB186" i="127"/>
  <c r="AC186" i="127"/>
  <c r="AD186" i="127"/>
  <c r="AE186" i="127"/>
  <c r="AF186" i="127"/>
  <c r="AG186" i="127"/>
  <c r="AH186" i="127"/>
  <c r="AI186" i="127"/>
  <c r="P187" i="127"/>
  <c r="Q187" i="127"/>
  <c r="R187" i="127"/>
  <c r="S187" i="127"/>
  <c r="T187" i="127"/>
  <c r="U187" i="127"/>
  <c r="V187" i="127"/>
  <c r="W187" i="127"/>
  <c r="X187" i="127"/>
  <c r="Y187" i="127"/>
  <c r="Z187" i="127"/>
  <c r="AA187" i="127"/>
  <c r="AB187" i="127"/>
  <c r="AC187" i="127"/>
  <c r="AD187" i="127"/>
  <c r="AE187" i="127"/>
  <c r="AF187" i="127"/>
  <c r="AG187" i="127"/>
  <c r="AH187" i="127"/>
  <c r="AI187" i="127"/>
  <c r="P188" i="127"/>
  <c r="Q188" i="127"/>
  <c r="R188" i="127"/>
  <c r="S188" i="127"/>
  <c r="T188" i="127"/>
  <c r="U188" i="127"/>
  <c r="V188" i="127"/>
  <c r="W188" i="127"/>
  <c r="X188" i="127"/>
  <c r="Y188" i="127"/>
  <c r="Z188" i="127"/>
  <c r="AA188" i="127"/>
  <c r="AB188" i="127"/>
  <c r="AC188" i="127"/>
  <c r="AD188" i="127"/>
  <c r="AE188" i="127"/>
  <c r="AF188" i="127"/>
  <c r="AG188" i="127"/>
  <c r="AH188" i="127"/>
  <c r="AI188" i="127"/>
  <c r="P189" i="127"/>
  <c r="Q189" i="127"/>
  <c r="R189" i="127"/>
  <c r="S189" i="127"/>
  <c r="T189" i="127"/>
  <c r="U189" i="127"/>
  <c r="V189" i="127"/>
  <c r="W189" i="127"/>
  <c r="X189" i="127"/>
  <c r="Y189" i="127"/>
  <c r="Z189" i="127"/>
  <c r="AA189" i="127"/>
  <c r="AB189" i="127"/>
  <c r="AC189" i="127"/>
  <c r="AD189" i="127"/>
  <c r="AE189" i="127"/>
  <c r="AF189" i="127"/>
  <c r="AG189" i="127"/>
  <c r="AH189" i="127"/>
  <c r="AI189" i="127"/>
  <c r="P190" i="127"/>
  <c r="Q190" i="127"/>
  <c r="R190" i="127"/>
  <c r="S190" i="127"/>
  <c r="T190" i="127"/>
  <c r="U190" i="127"/>
  <c r="V190" i="127"/>
  <c r="W190" i="127"/>
  <c r="X190" i="127"/>
  <c r="Y190" i="127"/>
  <c r="Z190" i="127"/>
  <c r="AA190" i="127"/>
  <c r="AB190" i="127"/>
  <c r="AC190" i="127"/>
  <c r="AD190" i="127"/>
  <c r="AE190" i="127"/>
  <c r="AF190" i="127"/>
  <c r="AG190" i="127"/>
  <c r="AH190" i="127"/>
  <c r="AI190" i="127"/>
  <c r="P191" i="127"/>
  <c r="Q191" i="127"/>
  <c r="R191" i="127"/>
  <c r="S191" i="127"/>
  <c r="T191" i="127"/>
  <c r="U191" i="127"/>
  <c r="V191" i="127"/>
  <c r="W191" i="127"/>
  <c r="X191" i="127"/>
  <c r="Y191" i="127"/>
  <c r="Z191" i="127"/>
  <c r="AA191" i="127"/>
  <c r="AB191" i="127"/>
  <c r="AC191" i="127"/>
  <c r="AD191" i="127"/>
  <c r="AE191" i="127"/>
  <c r="AF191" i="127"/>
  <c r="AG191" i="127"/>
  <c r="AH191" i="127"/>
  <c r="AI191" i="127"/>
  <c r="P192" i="127"/>
  <c r="Q192" i="127"/>
  <c r="R192" i="127"/>
  <c r="S192" i="127"/>
  <c r="T192" i="127"/>
  <c r="U192" i="127"/>
  <c r="V192" i="127"/>
  <c r="W192" i="127"/>
  <c r="X192" i="127"/>
  <c r="Y192" i="127"/>
  <c r="Z192" i="127"/>
  <c r="AA192" i="127"/>
  <c r="AB192" i="127"/>
  <c r="AC192" i="127"/>
  <c r="AD192" i="127"/>
  <c r="AE192" i="127"/>
  <c r="AF192" i="127"/>
  <c r="AG192" i="127"/>
  <c r="AH192" i="127"/>
  <c r="AI192" i="127"/>
  <c r="P193" i="127"/>
  <c r="Q193" i="127"/>
  <c r="R193" i="127"/>
  <c r="S193" i="127"/>
  <c r="T193" i="127"/>
  <c r="U193" i="127"/>
  <c r="V193" i="127"/>
  <c r="W193" i="127"/>
  <c r="X193" i="127"/>
  <c r="Y193" i="127"/>
  <c r="Z193" i="127"/>
  <c r="AA193" i="127"/>
  <c r="AB193" i="127"/>
  <c r="AC193" i="127"/>
  <c r="AD193" i="127"/>
  <c r="AE193" i="127"/>
  <c r="AF193" i="127"/>
  <c r="AG193" i="127"/>
  <c r="AH193" i="127"/>
  <c r="AI193" i="127"/>
  <c r="P194" i="127"/>
  <c r="Q194" i="127"/>
  <c r="R194" i="127"/>
  <c r="S194" i="127"/>
  <c r="T194" i="127"/>
  <c r="U194" i="127"/>
  <c r="V194" i="127"/>
  <c r="W194" i="127"/>
  <c r="X194" i="127"/>
  <c r="Y194" i="127"/>
  <c r="Z194" i="127"/>
  <c r="AA194" i="127"/>
  <c r="AB194" i="127"/>
  <c r="AC194" i="127"/>
  <c r="AD194" i="127"/>
  <c r="AE194" i="127"/>
  <c r="AF194" i="127"/>
  <c r="AG194" i="127"/>
  <c r="AH194" i="127"/>
  <c r="AI194" i="127"/>
  <c r="P195" i="127"/>
  <c r="Q195" i="127"/>
  <c r="R195" i="127"/>
  <c r="S195" i="127"/>
  <c r="T195" i="127"/>
  <c r="U195" i="127"/>
  <c r="V195" i="127"/>
  <c r="W195" i="127"/>
  <c r="X195" i="127"/>
  <c r="Y195" i="127"/>
  <c r="Z195" i="127"/>
  <c r="AA195" i="127"/>
  <c r="AB195" i="127"/>
  <c r="AC195" i="127"/>
  <c r="AD195" i="127"/>
  <c r="AE195" i="127"/>
  <c r="AF195" i="127"/>
  <c r="AG195" i="127"/>
  <c r="AH195" i="127"/>
  <c r="AI195" i="127"/>
  <c r="P196" i="127"/>
  <c r="Q196" i="127"/>
  <c r="R196" i="127"/>
  <c r="S196" i="127"/>
  <c r="T196" i="127"/>
  <c r="U196" i="127"/>
  <c r="V196" i="127"/>
  <c r="W196" i="127"/>
  <c r="X196" i="127"/>
  <c r="Y196" i="127"/>
  <c r="Z196" i="127"/>
  <c r="AA196" i="127"/>
  <c r="AB196" i="127"/>
  <c r="AC196" i="127"/>
  <c r="AD196" i="127"/>
  <c r="AE196" i="127"/>
  <c r="AF196" i="127"/>
  <c r="AG196" i="127"/>
  <c r="AH196" i="127"/>
  <c r="AI196" i="127"/>
  <c r="P197" i="127"/>
  <c r="L197" i="127" s="1"/>
  <c r="Q197" i="127"/>
  <c r="R197" i="127"/>
  <c r="S197" i="127"/>
  <c r="T197" i="127"/>
  <c r="U197" i="127"/>
  <c r="V197" i="127"/>
  <c r="W197" i="127"/>
  <c r="X197" i="127"/>
  <c r="Y197" i="127"/>
  <c r="Z197" i="127"/>
  <c r="AA197" i="127"/>
  <c r="AB197" i="127"/>
  <c r="AC197" i="127"/>
  <c r="AD197" i="127"/>
  <c r="AE197" i="127"/>
  <c r="AF197" i="127"/>
  <c r="AG197" i="127"/>
  <c r="AH197" i="127"/>
  <c r="AI197" i="127"/>
  <c r="P198" i="127"/>
  <c r="Q198" i="127"/>
  <c r="R198" i="127"/>
  <c r="S198" i="127"/>
  <c r="T198" i="127"/>
  <c r="U198" i="127"/>
  <c r="V198" i="127"/>
  <c r="W198" i="127"/>
  <c r="X198" i="127"/>
  <c r="Y198" i="127"/>
  <c r="Z198" i="127"/>
  <c r="AA198" i="127"/>
  <c r="AB198" i="127"/>
  <c r="AC198" i="127"/>
  <c r="AD198" i="127"/>
  <c r="AE198" i="127"/>
  <c r="AF198" i="127"/>
  <c r="AG198" i="127"/>
  <c r="AH198" i="127"/>
  <c r="AI198" i="127"/>
  <c r="P199" i="127"/>
  <c r="L199" i="127" s="1"/>
  <c r="Q199" i="127"/>
  <c r="R199" i="127"/>
  <c r="S199" i="127"/>
  <c r="T199" i="127"/>
  <c r="U199" i="127"/>
  <c r="V199" i="127"/>
  <c r="W199" i="127"/>
  <c r="X199" i="127"/>
  <c r="Y199" i="127"/>
  <c r="Z199" i="127"/>
  <c r="AA199" i="127"/>
  <c r="AB199" i="127"/>
  <c r="AC199" i="127"/>
  <c r="AD199" i="127"/>
  <c r="AE199" i="127"/>
  <c r="AF199" i="127"/>
  <c r="AG199" i="127"/>
  <c r="AH199" i="127"/>
  <c r="AI199" i="127"/>
  <c r="P200" i="127"/>
  <c r="Q200" i="127"/>
  <c r="R200" i="127"/>
  <c r="S200" i="127"/>
  <c r="T200" i="127"/>
  <c r="U200" i="127"/>
  <c r="V200" i="127"/>
  <c r="W200" i="127"/>
  <c r="X200" i="127"/>
  <c r="Y200" i="127"/>
  <c r="Z200" i="127"/>
  <c r="AA200" i="127"/>
  <c r="AB200" i="127"/>
  <c r="AC200" i="127"/>
  <c r="AD200" i="127"/>
  <c r="AE200" i="127"/>
  <c r="AF200" i="127"/>
  <c r="AG200" i="127"/>
  <c r="AH200" i="127"/>
  <c r="AI200" i="127"/>
  <c r="P201" i="127"/>
  <c r="Q201" i="127"/>
  <c r="R201" i="127"/>
  <c r="S201" i="127"/>
  <c r="T201" i="127"/>
  <c r="U201" i="127"/>
  <c r="V201" i="127"/>
  <c r="W201" i="127"/>
  <c r="X201" i="127"/>
  <c r="Y201" i="127"/>
  <c r="Z201" i="127"/>
  <c r="AA201" i="127"/>
  <c r="AB201" i="127"/>
  <c r="AC201" i="127"/>
  <c r="AD201" i="127"/>
  <c r="AE201" i="127"/>
  <c r="AF201" i="127"/>
  <c r="AG201" i="127"/>
  <c r="AH201" i="127"/>
  <c r="AI201" i="127"/>
  <c r="P202" i="127"/>
  <c r="Q202" i="127"/>
  <c r="R202" i="127"/>
  <c r="S202" i="127"/>
  <c r="T202" i="127"/>
  <c r="U202" i="127"/>
  <c r="V202" i="127"/>
  <c r="W202" i="127"/>
  <c r="X202" i="127"/>
  <c r="Y202" i="127"/>
  <c r="Z202" i="127"/>
  <c r="AA202" i="127"/>
  <c r="AB202" i="127"/>
  <c r="AC202" i="127"/>
  <c r="AD202" i="127"/>
  <c r="AE202" i="127"/>
  <c r="AF202" i="127"/>
  <c r="AG202" i="127"/>
  <c r="AH202" i="127"/>
  <c r="AI202" i="127"/>
  <c r="P203" i="127"/>
  <c r="Q203" i="127"/>
  <c r="R203" i="127"/>
  <c r="S203" i="127"/>
  <c r="T203" i="127"/>
  <c r="U203" i="127"/>
  <c r="V203" i="127"/>
  <c r="W203" i="127"/>
  <c r="X203" i="127"/>
  <c r="Y203" i="127"/>
  <c r="Z203" i="127"/>
  <c r="AA203" i="127"/>
  <c r="AB203" i="127"/>
  <c r="AC203" i="127"/>
  <c r="AD203" i="127"/>
  <c r="AE203" i="127"/>
  <c r="AF203" i="127"/>
  <c r="AG203" i="127"/>
  <c r="AH203" i="127"/>
  <c r="AI203" i="127"/>
  <c r="P204" i="127"/>
  <c r="Q204" i="127"/>
  <c r="R204" i="127"/>
  <c r="S204" i="127"/>
  <c r="T204" i="127"/>
  <c r="U204" i="127"/>
  <c r="V204" i="127"/>
  <c r="W204" i="127"/>
  <c r="X204" i="127"/>
  <c r="Y204" i="127"/>
  <c r="Z204" i="127"/>
  <c r="AA204" i="127"/>
  <c r="AB204" i="127"/>
  <c r="AC204" i="127"/>
  <c r="AD204" i="127"/>
  <c r="AE204" i="127"/>
  <c r="AF204" i="127"/>
  <c r="AG204" i="127"/>
  <c r="AH204" i="127"/>
  <c r="AI204" i="127"/>
  <c r="P205" i="127"/>
  <c r="Q205" i="127"/>
  <c r="R205" i="127"/>
  <c r="S205" i="127"/>
  <c r="T205" i="127"/>
  <c r="U205" i="127"/>
  <c r="V205" i="127"/>
  <c r="W205" i="127"/>
  <c r="X205" i="127"/>
  <c r="Y205" i="127"/>
  <c r="Z205" i="127"/>
  <c r="AA205" i="127"/>
  <c r="AB205" i="127"/>
  <c r="AC205" i="127"/>
  <c r="AD205" i="127"/>
  <c r="AE205" i="127"/>
  <c r="AF205" i="127"/>
  <c r="AG205" i="127"/>
  <c r="AH205" i="127"/>
  <c r="AI205" i="127"/>
  <c r="P206" i="127"/>
  <c r="Q206" i="127"/>
  <c r="R206" i="127"/>
  <c r="S206" i="127"/>
  <c r="T206" i="127"/>
  <c r="U206" i="127"/>
  <c r="V206" i="127"/>
  <c r="W206" i="127"/>
  <c r="X206" i="127"/>
  <c r="Y206" i="127"/>
  <c r="Z206" i="127"/>
  <c r="AA206" i="127"/>
  <c r="AB206" i="127"/>
  <c r="AC206" i="127"/>
  <c r="AD206" i="127"/>
  <c r="AE206" i="127"/>
  <c r="AF206" i="127"/>
  <c r="AG206" i="127"/>
  <c r="AH206" i="127"/>
  <c r="AI206" i="127"/>
  <c r="P207" i="127"/>
  <c r="Q207" i="127"/>
  <c r="R207" i="127"/>
  <c r="S207" i="127"/>
  <c r="T207" i="127"/>
  <c r="U207" i="127"/>
  <c r="V207" i="127"/>
  <c r="W207" i="127"/>
  <c r="X207" i="127"/>
  <c r="Y207" i="127"/>
  <c r="Z207" i="127"/>
  <c r="AA207" i="127"/>
  <c r="AB207" i="127"/>
  <c r="AC207" i="127"/>
  <c r="AD207" i="127"/>
  <c r="AE207" i="127"/>
  <c r="AF207" i="127"/>
  <c r="AG207" i="127"/>
  <c r="AH207" i="127"/>
  <c r="AI207" i="127"/>
  <c r="P208" i="127"/>
  <c r="Q208" i="127"/>
  <c r="R208" i="127"/>
  <c r="S208" i="127"/>
  <c r="T208" i="127"/>
  <c r="U208" i="127"/>
  <c r="V208" i="127"/>
  <c r="W208" i="127"/>
  <c r="X208" i="127"/>
  <c r="Y208" i="127"/>
  <c r="Z208" i="127"/>
  <c r="AA208" i="127"/>
  <c r="AB208" i="127"/>
  <c r="AC208" i="127"/>
  <c r="AD208" i="127"/>
  <c r="AE208" i="127"/>
  <c r="AF208" i="127"/>
  <c r="AG208" i="127"/>
  <c r="AH208" i="127"/>
  <c r="AI208" i="127"/>
  <c r="P209" i="127"/>
  <c r="L209" i="127" s="1"/>
  <c r="Q209" i="127"/>
  <c r="R209" i="127"/>
  <c r="S209" i="127"/>
  <c r="T209" i="127"/>
  <c r="U209" i="127"/>
  <c r="V209" i="127"/>
  <c r="W209" i="127"/>
  <c r="X209" i="127"/>
  <c r="Y209" i="127"/>
  <c r="Z209" i="127"/>
  <c r="AA209" i="127"/>
  <c r="AB209" i="127"/>
  <c r="AC209" i="127"/>
  <c r="AD209" i="127"/>
  <c r="AE209" i="127"/>
  <c r="AF209" i="127"/>
  <c r="AG209" i="127"/>
  <c r="AH209" i="127"/>
  <c r="AI209" i="127"/>
  <c r="P210" i="127"/>
  <c r="L210" i="127" s="1"/>
  <c r="Q210" i="127"/>
  <c r="R210" i="127"/>
  <c r="S210" i="127"/>
  <c r="T210" i="127"/>
  <c r="U210" i="127"/>
  <c r="V210" i="127"/>
  <c r="W210" i="127"/>
  <c r="X210" i="127"/>
  <c r="Y210" i="127"/>
  <c r="Z210" i="127"/>
  <c r="AA210" i="127"/>
  <c r="AB210" i="127"/>
  <c r="AC210" i="127"/>
  <c r="AD210" i="127"/>
  <c r="AE210" i="127"/>
  <c r="AF210" i="127"/>
  <c r="AG210" i="127"/>
  <c r="AH210" i="127"/>
  <c r="AI210" i="127"/>
  <c r="P211" i="127"/>
  <c r="L211" i="127" s="1"/>
  <c r="Q211" i="127"/>
  <c r="R211" i="127"/>
  <c r="S211" i="127"/>
  <c r="T211" i="127"/>
  <c r="U211" i="127"/>
  <c r="V211" i="127"/>
  <c r="W211" i="127"/>
  <c r="X211" i="127"/>
  <c r="Y211" i="127"/>
  <c r="Z211" i="127"/>
  <c r="AA211" i="127"/>
  <c r="AB211" i="127"/>
  <c r="AC211" i="127"/>
  <c r="AD211" i="127"/>
  <c r="AE211" i="127"/>
  <c r="AF211" i="127"/>
  <c r="AG211" i="127"/>
  <c r="AH211" i="127"/>
  <c r="AI211" i="127"/>
  <c r="P212" i="127"/>
  <c r="L212" i="127" s="1"/>
  <c r="Q212" i="127"/>
  <c r="R212" i="127"/>
  <c r="S212" i="127"/>
  <c r="T212" i="127"/>
  <c r="U212" i="127"/>
  <c r="V212" i="127"/>
  <c r="W212" i="127"/>
  <c r="X212" i="127"/>
  <c r="Y212" i="127"/>
  <c r="Z212" i="127"/>
  <c r="AA212" i="127"/>
  <c r="AB212" i="127"/>
  <c r="AC212" i="127"/>
  <c r="AD212" i="127"/>
  <c r="AE212" i="127"/>
  <c r="AF212" i="127"/>
  <c r="AG212" i="127"/>
  <c r="AH212" i="127"/>
  <c r="AI212" i="127"/>
  <c r="P213" i="127"/>
  <c r="L213" i="127" s="1"/>
  <c r="Q213" i="127"/>
  <c r="R213" i="127"/>
  <c r="S213" i="127"/>
  <c r="T213" i="127"/>
  <c r="U213" i="127"/>
  <c r="V213" i="127"/>
  <c r="W213" i="127"/>
  <c r="X213" i="127"/>
  <c r="Y213" i="127"/>
  <c r="Z213" i="127"/>
  <c r="AA213" i="127"/>
  <c r="AB213" i="127"/>
  <c r="AC213" i="127"/>
  <c r="AD213" i="127"/>
  <c r="AE213" i="127"/>
  <c r="AF213" i="127"/>
  <c r="AG213" i="127"/>
  <c r="AH213" i="127"/>
  <c r="AI213" i="127"/>
  <c r="P214" i="127"/>
  <c r="L214" i="127" s="1"/>
  <c r="Q214" i="127"/>
  <c r="R214" i="127"/>
  <c r="S214" i="127"/>
  <c r="T214" i="127"/>
  <c r="U214" i="127"/>
  <c r="V214" i="127"/>
  <c r="W214" i="127"/>
  <c r="X214" i="127"/>
  <c r="Y214" i="127"/>
  <c r="Z214" i="127"/>
  <c r="AA214" i="127"/>
  <c r="AB214" i="127"/>
  <c r="AC214" i="127"/>
  <c r="AD214" i="127"/>
  <c r="AE214" i="127"/>
  <c r="AF214" i="127"/>
  <c r="AG214" i="127"/>
  <c r="AH214" i="127"/>
  <c r="AI214" i="127"/>
  <c r="P215" i="127"/>
  <c r="Q215" i="127"/>
  <c r="R215" i="127"/>
  <c r="S215" i="127"/>
  <c r="T215" i="127"/>
  <c r="U215" i="127"/>
  <c r="V215" i="127"/>
  <c r="W215" i="127"/>
  <c r="X215" i="127"/>
  <c r="Y215" i="127"/>
  <c r="Z215" i="127"/>
  <c r="AA215" i="127"/>
  <c r="AB215" i="127"/>
  <c r="AC215" i="127"/>
  <c r="AD215" i="127"/>
  <c r="AE215" i="127"/>
  <c r="AF215" i="127"/>
  <c r="AG215" i="127"/>
  <c r="AH215" i="127"/>
  <c r="AI215" i="127"/>
  <c r="P216" i="127"/>
  <c r="L216" i="127" s="1"/>
  <c r="Q216" i="127"/>
  <c r="R216" i="127"/>
  <c r="S216" i="127"/>
  <c r="T216" i="127"/>
  <c r="U216" i="127"/>
  <c r="V216" i="127"/>
  <c r="W216" i="127"/>
  <c r="X216" i="127"/>
  <c r="Y216" i="127"/>
  <c r="Z216" i="127"/>
  <c r="AA216" i="127"/>
  <c r="AB216" i="127"/>
  <c r="AC216" i="127"/>
  <c r="AD216" i="127"/>
  <c r="AE216" i="127"/>
  <c r="AF216" i="127"/>
  <c r="AG216" i="127"/>
  <c r="AH216" i="127"/>
  <c r="AI216" i="127"/>
  <c r="P217" i="127"/>
  <c r="Q217" i="127"/>
  <c r="R217" i="127"/>
  <c r="S217" i="127"/>
  <c r="T217" i="127"/>
  <c r="U217" i="127"/>
  <c r="V217" i="127"/>
  <c r="W217" i="127"/>
  <c r="X217" i="127"/>
  <c r="Y217" i="127"/>
  <c r="Z217" i="127"/>
  <c r="AA217" i="127"/>
  <c r="AB217" i="127"/>
  <c r="AC217" i="127"/>
  <c r="AD217" i="127"/>
  <c r="AE217" i="127"/>
  <c r="AF217" i="127"/>
  <c r="AG217" i="127"/>
  <c r="AH217" i="127"/>
  <c r="AI217" i="127"/>
  <c r="P218" i="127"/>
  <c r="Q218" i="127"/>
  <c r="R218" i="127"/>
  <c r="S218" i="127"/>
  <c r="T218" i="127"/>
  <c r="U218" i="127"/>
  <c r="V218" i="127"/>
  <c r="W218" i="127"/>
  <c r="X218" i="127"/>
  <c r="Y218" i="127"/>
  <c r="Z218" i="127"/>
  <c r="AA218" i="127"/>
  <c r="AB218" i="127"/>
  <c r="AC218" i="127"/>
  <c r="AD218" i="127"/>
  <c r="AE218" i="127"/>
  <c r="AF218" i="127"/>
  <c r="AG218" i="127"/>
  <c r="AH218" i="127"/>
  <c r="AI218" i="127"/>
  <c r="P219" i="127"/>
  <c r="Q219" i="127"/>
  <c r="R219" i="127"/>
  <c r="S219" i="127"/>
  <c r="T219" i="127"/>
  <c r="U219" i="127"/>
  <c r="V219" i="127"/>
  <c r="W219" i="127"/>
  <c r="X219" i="127"/>
  <c r="Y219" i="127"/>
  <c r="Z219" i="127"/>
  <c r="AA219" i="127"/>
  <c r="AB219" i="127"/>
  <c r="AC219" i="127"/>
  <c r="AD219" i="127"/>
  <c r="AE219" i="127"/>
  <c r="AF219" i="127"/>
  <c r="AG219" i="127"/>
  <c r="AH219" i="127"/>
  <c r="AI219" i="127"/>
  <c r="P220" i="127"/>
  <c r="L220" i="127" s="1"/>
  <c r="Q220" i="127"/>
  <c r="R220" i="127"/>
  <c r="S220" i="127"/>
  <c r="T220" i="127"/>
  <c r="U220" i="127"/>
  <c r="V220" i="127"/>
  <c r="W220" i="127"/>
  <c r="X220" i="127"/>
  <c r="Y220" i="127"/>
  <c r="Z220" i="127"/>
  <c r="AA220" i="127"/>
  <c r="AB220" i="127"/>
  <c r="AC220" i="127"/>
  <c r="AD220" i="127"/>
  <c r="AE220" i="127"/>
  <c r="AF220" i="127"/>
  <c r="AG220" i="127"/>
  <c r="AH220" i="127"/>
  <c r="AI220" i="127"/>
  <c r="P221" i="127"/>
  <c r="Q221" i="127"/>
  <c r="R221" i="127"/>
  <c r="S221" i="127"/>
  <c r="T221" i="127"/>
  <c r="U221" i="127"/>
  <c r="V221" i="127"/>
  <c r="W221" i="127"/>
  <c r="X221" i="127"/>
  <c r="Y221" i="127"/>
  <c r="Z221" i="127"/>
  <c r="AA221" i="127"/>
  <c r="AB221" i="127"/>
  <c r="AC221" i="127"/>
  <c r="AD221" i="127"/>
  <c r="AE221" i="127"/>
  <c r="AF221" i="127"/>
  <c r="AG221" i="127"/>
  <c r="AH221" i="127"/>
  <c r="AI221" i="127"/>
  <c r="P222" i="127"/>
  <c r="Q222" i="127"/>
  <c r="R222" i="127"/>
  <c r="S222" i="127"/>
  <c r="T222" i="127"/>
  <c r="U222" i="127"/>
  <c r="V222" i="127"/>
  <c r="W222" i="127"/>
  <c r="X222" i="127"/>
  <c r="Y222" i="127"/>
  <c r="Z222" i="127"/>
  <c r="AA222" i="127"/>
  <c r="AB222" i="127"/>
  <c r="AC222" i="127"/>
  <c r="AD222" i="127"/>
  <c r="AE222" i="127"/>
  <c r="AF222" i="127"/>
  <c r="AG222" i="127"/>
  <c r="AH222" i="127"/>
  <c r="AI222" i="127"/>
  <c r="P223" i="127"/>
  <c r="Q223" i="127"/>
  <c r="R223" i="127"/>
  <c r="S223" i="127"/>
  <c r="T223" i="127"/>
  <c r="U223" i="127"/>
  <c r="V223" i="127"/>
  <c r="W223" i="127"/>
  <c r="X223" i="127"/>
  <c r="Y223" i="127"/>
  <c r="Z223" i="127"/>
  <c r="AA223" i="127"/>
  <c r="AB223" i="127"/>
  <c r="AC223" i="127"/>
  <c r="AD223" i="127"/>
  <c r="AE223" i="127"/>
  <c r="AF223" i="127"/>
  <c r="AG223" i="127"/>
  <c r="AH223" i="127"/>
  <c r="AI223" i="127"/>
  <c r="P224" i="127"/>
  <c r="Q224" i="127"/>
  <c r="R224" i="127"/>
  <c r="S224" i="127"/>
  <c r="T224" i="127"/>
  <c r="U224" i="127"/>
  <c r="V224" i="127"/>
  <c r="W224" i="127"/>
  <c r="X224" i="127"/>
  <c r="Y224" i="127"/>
  <c r="Z224" i="127"/>
  <c r="AA224" i="127"/>
  <c r="AB224" i="127"/>
  <c r="AC224" i="127"/>
  <c r="AD224" i="127"/>
  <c r="AE224" i="127"/>
  <c r="AF224" i="127"/>
  <c r="AG224" i="127"/>
  <c r="AH224" i="127"/>
  <c r="AI224" i="127"/>
  <c r="P225" i="127"/>
  <c r="L225" i="127" s="1"/>
  <c r="Q225" i="127"/>
  <c r="R225" i="127"/>
  <c r="S225" i="127"/>
  <c r="T225" i="127"/>
  <c r="U225" i="127"/>
  <c r="V225" i="127"/>
  <c r="W225" i="127"/>
  <c r="X225" i="127"/>
  <c r="Y225" i="127"/>
  <c r="Z225" i="127"/>
  <c r="AA225" i="127"/>
  <c r="AB225" i="127"/>
  <c r="AC225" i="127"/>
  <c r="AD225" i="127"/>
  <c r="AE225" i="127"/>
  <c r="AF225" i="127"/>
  <c r="AG225" i="127"/>
  <c r="AH225" i="127"/>
  <c r="AI225" i="127"/>
  <c r="P226" i="127"/>
  <c r="L226" i="127" s="1"/>
  <c r="Q226" i="127"/>
  <c r="R226" i="127"/>
  <c r="S226" i="127"/>
  <c r="T226" i="127"/>
  <c r="U226" i="127"/>
  <c r="V226" i="127"/>
  <c r="W226" i="127"/>
  <c r="X226" i="127"/>
  <c r="Y226" i="127"/>
  <c r="Z226" i="127"/>
  <c r="AA226" i="127"/>
  <c r="AB226" i="127"/>
  <c r="AC226" i="127"/>
  <c r="AD226" i="127"/>
  <c r="AE226" i="127"/>
  <c r="AF226" i="127"/>
  <c r="AG226" i="127"/>
  <c r="AH226" i="127"/>
  <c r="AI226" i="127"/>
  <c r="P227" i="127"/>
  <c r="L227" i="127" s="1"/>
  <c r="Q227" i="127"/>
  <c r="R227" i="127"/>
  <c r="S227" i="127"/>
  <c r="T227" i="127"/>
  <c r="U227" i="127"/>
  <c r="V227" i="127"/>
  <c r="W227" i="127"/>
  <c r="X227" i="127"/>
  <c r="Y227" i="127"/>
  <c r="Z227" i="127"/>
  <c r="AA227" i="127"/>
  <c r="AB227" i="127"/>
  <c r="AC227" i="127"/>
  <c r="AD227" i="127"/>
  <c r="AE227" i="127"/>
  <c r="AF227" i="127"/>
  <c r="AG227" i="127"/>
  <c r="AH227" i="127"/>
  <c r="AI227" i="127"/>
  <c r="P228" i="127"/>
  <c r="L228" i="127" s="1"/>
  <c r="Q228" i="127"/>
  <c r="R228" i="127"/>
  <c r="S228" i="127"/>
  <c r="T228" i="127"/>
  <c r="U228" i="127"/>
  <c r="V228" i="127"/>
  <c r="W228" i="127"/>
  <c r="X228" i="127"/>
  <c r="Y228" i="127"/>
  <c r="Z228" i="127"/>
  <c r="AA228" i="127"/>
  <c r="AB228" i="127"/>
  <c r="AC228" i="127"/>
  <c r="AD228" i="127"/>
  <c r="AE228" i="127"/>
  <c r="AF228" i="127"/>
  <c r="AG228" i="127"/>
  <c r="AH228" i="127"/>
  <c r="AI228" i="127"/>
  <c r="P229" i="127"/>
  <c r="L229" i="127" s="1"/>
  <c r="Q229" i="127"/>
  <c r="R229" i="127"/>
  <c r="S229" i="127"/>
  <c r="T229" i="127"/>
  <c r="U229" i="127"/>
  <c r="V229" i="127"/>
  <c r="W229" i="127"/>
  <c r="X229" i="127"/>
  <c r="Y229" i="127"/>
  <c r="Z229" i="127"/>
  <c r="AA229" i="127"/>
  <c r="AB229" i="127"/>
  <c r="AC229" i="127"/>
  <c r="AD229" i="127"/>
  <c r="AE229" i="127"/>
  <c r="AF229" i="127"/>
  <c r="AG229" i="127"/>
  <c r="AH229" i="127"/>
  <c r="AI229" i="127"/>
  <c r="P230" i="127"/>
  <c r="L230" i="127" s="1"/>
  <c r="Q230" i="127"/>
  <c r="R230" i="127"/>
  <c r="S230" i="127"/>
  <c r="T230" i="127"/>
  <c r="U230" i="127"/>
  <c r="V230" i="127"/>
  <c r="W230" i="127"/>
  <c r="X230" i="127"/>
  <c r="Y230" i="127"/>
  <c r="Z230" i="127"/>
  <c r="AA230" i="127"/>
  <c r="AB230" i="127"/>
  <c r="AC230" i="127"/>
  <c r="AD230" i="127"/>
  <c r="AE230" i="127"/>
  <c r="AF230" i="127"/>
  <c r="AG230" i="127"/>
  <c r="AH230" i="127"/>
  <c r="AI230" i="127"/>
  <c r="P231" i="127"/>
  <c r="L231" i="127" s="1"/>
  <c r="Q231" i="127"/>
  <c r="R231" i="127"/>
  <c r="S231" i="127"/>
  <c r="T231" i="127"/>
  <c r="U231" i="127"/>
  <c r="V231" i="127"/>
  <c r="W231" i="127"/>
  <c r="X231" i="127"/>
  <c r="Y231" i="127"/>
  <c r="Z231" i="127"/>
  <c r="AA231" i="127"/>
  <c r="AB231" i="127"/>
  <c r="AC231" i="127"/>
  <c r="AD231" i="127"/>
  <c r="AE231" i="127"/>
  <c r="AF231" i="127"/>
  <c r="AG231" i="127"/>
  <c r="AH231" i="127"/>
  <c r="AI231" i="127"/>
  <c r="P232" i="127"/>
  <c r="Q232" i="127"/>
  <c r="R232" i="127"/>
  <c r="S232" i="127"/>
  <c r="T232" i="127"/>
  <c r="U232" i="127"/>
  <c r="V232" i="127"/>
  <c r="W232" i="127"/>
  <c r="X232" i="127"/>
  <c r="Y232" i="127"/>
  <c r="Z232" i="127"/>
  <c r="AA232" i="127"/>
  <c r="AB232" i="127"/>
  <c r="AC232" i="127"/>
  <c r="AD232" i="127"/>
  <c r="AE232" i="127"/>
  <c r="AF232" i="127"/>
  <c r="AG232" i="127"/>
  <c r="AH232" i="127"/>
  <c r="AI232" i="127"/>
  <c r="P233" i="127"/>
  <c r="Q233" i="127"/>
  <c r="R233" i="127"/>
  <c r="S233" i="127"/>
  <c r="T233" i="127"/>
  <c r="U233" i="127"/>
  <c r="V233" i="127"/>
  <c r="W233" i="127"/>
  <c r="X233" i="127"/>
  <c r="Y233" i="127"/>
  <c r="Z233" i="127"/>
  <c r="AA233" i="127"/>
  <c r="AB233" i="127"/>
  <c r="AC233" i="127"/>
  <c r="AD233" i="127"/>
  <c r="AE233" i="127"/>
  <c r="AF233" i="127"/>
  <c r="AG233" i="127"/>
  <c r="AH233" i="127"/>
  <c r="AI233" i="127"/>
  <c r="P234" i="127"/>
  <c r="Q234" i="127"/>
  <c r="R234" i="127"/>
  <c r="S234" i="127"/>
  <c r="T234" i="127"/>
  <c r="U234" i="127"/>
  <c r="V234" i="127"/>
  <c r="W234" i="127"/>
  <c r="X234" i="127"/>
  <c r="Y234" i="127"/>
  <c r="Z234" i="127"/>
  <c r="AA234" i="127"/>
  <c r="AB234" i="127"/>
  <c r="AC234" i="127"/>
  <c r="AD234" i="127"/>
  <c r="AE234" i="127"/>
  <c r="AF234" i="127"/>
  <c r="AG234" i="127"/>
  <c r="AH234" i="127"/>
  <c r="AI234" i="127"/>
  <c r="P235" i="127"/>
  <c r="Q235" i="127"/>
  <c r="R235" i="127"/>
  <c r="S235" i="127"/>
  <c r="T235" i="127"/>
  <c r="U235" i="127"/>
  <c r="V235" i="127"/>
  <c r="W235" i="127"/>
  <c r="X235" i="127"/>
  <c r="Y235" i="127"/>
  <c r="Z235" i="127"/>
  <c r="AA235" i="127"/>
  <c r="AB235" i="127"/>
  <c r="AC235" i="127"/>
  <c r="AD235" i="127"/>
  <c r="AE235" i="127"/>
  <c r="AF235" i="127"/>
  <c r="AG235" i="127"/>
  <c r="AH235" i="127"/>
  <c r="AI235" i="127"/>
  <c r="P236" i="127"/>
  <c r="Q236" i="127"/>
  <c r="R236" i="127"/>
  <c r="S236" i="127"/>
  <c r="T236" i="127"/>
  <c r="U236" i="127"/>
  <c r="V236" i="127"/>
  <c r="W236" i="127"/>
  <c r="X236" i="127"/>
  <c r="Y236" i="127"/>
  <c r="Z236" i="127"/>
  <c r="AA236" i="127"/>
  <c r="AB236" i="127"/>
  <c r="AC236" i="127"/>
  <c r="AD236" i="127"/>
  <c r="AE236" i="127"/>
  <c r="AF236" i="127"/>
  <c r="AG236" i="127"/>
  <c r="AH236" i="127"/>
  <c r="AI236" i="127"/>
  <c r="P237" i="127"/>
  <c r="L237" i="127" s="1"/>
  <c r="Q237" i="127"/>
  <c r="R237" i="127"/>
  <c r="S237" i="127"/>
  <c r="T237" i="127"/>
  <c r="U237" i="127"/>
  <c r="V237" i="127"/>
  <c r="W237" i="127"/>
  <c r="X237" i="127"/>
  <c r="Y237" i="127"/>
  <c r="Z237" i="127"/>
  <c r="AA237" i="127"/>
  <c r="AB237" i="127"/>
  <c r="AC237" i="127"/>
  <c r="AD237" i="127"/>
  <c r="AE237" i="127"/>
  <c r="AF237" i="127"/>
  <c r="AG237" i="127"/>
  <c r="AH237" i="127"/>
  <c r="AI237" i="127"/>
  <c r="P238" i="127"/>
  <c r="L238" i="127" s="1"/>
  <c r="Q238" i="127"/>
  <c r="R238" i="127"/>
  <c r="S238" i="127"/>
  <c r="T238" i="127"/>
  <c r="U238" i="127"/>
  <c r="V238" i="127"/>
  <c r="W238" i="127"/>
  <c r="X238" i="127"/>
  <c r="Y238" i="127"/>
  <c r="Z238" i="127"/>
  <c r="AA238" i="127"/>
  <c r="AB238" i="127"/>
  <c r="AC238" i="127"/>
  <c r="AD238" i="127"/>
  <c r="AE238" i="127"/>
  <c r="AF238" i="127"/>
  <c r="AG238" i="127"/>
  <c r="AH238" i="127"/>
  <c r="AI238" i="127"/>
  <c r="P239" i="127"/>
  <c r="Q239" i="127"/>
  <c r="R239" i="127"/>
  <c r="S239" i="127"/>
  <c r="T239" i="127"/>
  <c r="U239" i="127"/>
  <c r="V239" i="127"/>
  <c r="W239" i="127"/>
  <c r="X239" i="127"/>
  <c r="Y239" i="127"/>
  <c r="Z239" i="127"/>
  <c r="AA239" i="127"/>
  <c r="AB239" i="127"/>
  <c r="AC239" i="127"/>
  <c r="AD239" i="127"/>
  <c r="AE239" i="127"/>
  <c r="AF239" i="127"/>
  <c r="AG239" i="127"/>
  <c r="AH239" i="127"/>
  <c r="AI239" i="127"/>
  <c r="P240" i="127"/>
  <c r="L240" i="127" s="1"/>
  <c r="Q240" i="127"/>
  <c r="R240" i="127"/>
  <c r="S240" i="127"/>
  <c r="T240" i="127"/>
  <c r="U240" i="127"/>
  <c r="V240" i="127"/>
  <c r="W240" i="127"/>
  <c r="X240" i="127"/>
  <c r="Y240" i="127"/>
  <c r="Z240" i="127"/>
  <c r="AA240" i="127"/>
  <c r="AB240" i="127"/>
  <c r="AC240" i="127"/>
  <c r="AD240" i="127"/>
  <c r="AE240" i="127"/>
  <c r="AF240" i="127"/>
  <c r="AG240" i="127"/>
  <c r="AH240" i="127"/>
  <c r="AI240" i="127"/>
  <c r="P241" i="127"/>
  <c r="L241" i="127" s="1"/>
  <c r="Q241" i="127"/>
  <c r="R241" i="127"/>
  <c r="S241" i="127"/>
  <c r="T241" i="127"/>
  <c r="U241" i="127"/>
  <c r="V241" i="127"/>
  <c r="W241" i="127"/>
  <c r="X241" i="127"/>
  <c r="Y241" i="127"/>
  <c r="Z241" i="127"/>
  <c r="AA241" i="127"/>
  <c r="AB241" i="127"/>
  <c r="AC241" i="127"/>
  <c r="AD241" i="127"/>
  <c r="AE241" i="127"/>
  <c r="AF241" i="127"/>
  <c r="AG241" i="127"/>
  <c r="AH241" i="127"/>
  <c r="AI241" i="127"/>
  <c r="P242" i="127"/>
  <c r="Q242" i="127"/>
  <c r="R242" i="127"/>
  <c r="S242" i="127"/>
  <c r="T242" i="127"/>
  <c r="U242" i="127"/>
  <c r="V242" i="127"/>
  <c r="W242" i="127"/>
  <c r="X242" i="127"/>
  <c r="Y242" i="127"/>
  <c r="Z242" i="127"/>
  <c r="AA242" i="127"/>
  <c r="AB242" i="127"/>
  <c r="AC242" i="127"/>
  <c r="AD242" i="127"/>
  <c r="AE242" i="127"/>
  <c r="AF242" i="127"/>
  <c r="AG242" i="127"/>
  <c r="AH242" i="127"/>
  <c r="AI242" i="127"/>
  <c r="P243" i="127"/>
  <c r="Q243" i="127"/>
  <c r="R243" i="127"/>
  <c r="S243" i="127"/>
  <c r="T243" i="127"/>
  <c r="U243" i="127"/>
  <c r="V243" i="127"/>
  <c r="W243" i="127"/>
  <c r="X243" i="127"/>
  <c r="Y243" i="127"/>
  <c r="Z243" i="127"/>
  <c r="AA243" i="127"/>
  <c r="AB243" i="127"/>
  <c r="AC243" i="127"/>
  <c r="AD243" i="127"/>
  <c r="AE243" i="127"/>
  <c r="AF243" i="127"/>
  <c r="AG243" i="127"/>
  <c r="AH243" i="127"/>
  <c r="AI243" i="127"/>
  <c r="P244" i="127"/>
  <c r="Q244" i="127"/>
  <c r="R244" i="127"/>
  <c r="S244" i="127"/>
  <c r="T244" i="127"/>
  <c r="U244" i="127"/>
  <c r="V244" i="127"/>
  <c r="W244" i="127"/>
  <c r="X244" i="127"/>
  <c r="Y244" i="127"/>
  <c r="Z244" i="127"/>
  <c r="AA244" i="127"/>
  <c r="AB244" i="127"/>
  <c r="AC244" i="127"/>
  <c r="AD244" i="127"/>
  <c r="AE244" i="127"/>
  <c r="AF244" i="127"/>
  <c r="AG244" i="127"/>
  <c r="AH244" i="127"/>
  <c r="AI244" i="127"/>
  <c r="P245" i="127"/>
  <c r="Q245" i="127"/>
  <c r="R245" i="127"/>
  <c r="S245" i="127"/>
  <c r="T245" i="127"/>
  <c r="U245" i="127"/>
  <c r="V245" i="127"/>
  <c r="W245" i="127"/>
  <c r="X245" i="127"/>
  <c r="Y245" i="127"/>
  <c r="Z245" i="127"/>
  <c r="AA245" i="127"/>
  <c r="AB245" i="127"/>
  <c r="AC245" i="127"/>
  <c r="AD245" i="127"/>
  <c r="AE245" i="127"/>
  <c r="AF245" i="127"/>
  <c r="AG245" i="127"/>
  <c r="AH245" i="127"/>
  <c r="AI245" i="127"/>
  <c r="P246" i="127"/>
  <c r="Q246" i="127"/>
  <c r="R246" i="127"/>
  <c r="S246" i="127"/>
  <c r="T246" i="127"/>
  <c r="U246" i="127"/>
  <c r="V246" i="127"/>
  <c r="W246" i="127"/>
  <c r="X246" i="127"/>
  <c r="Y246" i="127"/>
  <c r="Z246" i="127"/>
  <c r="AA246" i="127"/>
  <c r="AB246" i="127"/>
  <c r="AC246" i="127"/>
  <c r="AD246" i="127"/>
  <c r="AE246" i="127"/>
  <c r="AF246" i="127"/>
  <c r="AG246" i="127"/>
  <c r="AH246" i="127"/>
  <c r="AI246" i="127"/>
  <c r="P247" i="127"/>
  <c r="Q247" i="127"/>
  <c r="R247" i="127"/>
  <c r="S247" i="127"/>
  <c r="T247" i="127"/>
  <c r="U247" i="127"/>
  <c r="V247" i="127"/>
  <c r="W247" i="127"/>
  <c r="X247" i="127"/>
  <c r="Y247" i="127"/>
  <c r="Z247" i="127"/>
  <c r="AA247" i="127"/>
  <c r="AB247" i="127"/>
  <c r="AC247" i="127"/>
  <c r="AD247" i="127"/>
  <c r="AE247" i="127"/>
  <c r="AF247" i="127"/>
  <c r="AG247" i="127"/>
  <c r="AH247" i="127"/>
  <c r="AI247" i="127"/>
  <c r="P248" i="127"/>
  <c r="Q248" i="127"/>
  <c r="R248" i="127"/>
  <c r="S248" i="127"/>
  <c r="T248" i="127"/>
  <c r="U248" i="127"/>
  <c r="V248" i="127"/>
  <c r="W248" i="127"/>
  <c r="X248" i="127"/>
  <c r="Y248" i="127"/>
  <c r="Z248" i="127"/>
  <c r="AA248" i="127"/>
  <c r="AB248" i="127"/>
  <c r="AC248" i="127"/>
  <c r="AD248" i="127"/>
  <c r="AE248" i="127"/>
  <c r="AF248" i="127"/>
  <c r="AG248" i="127"/>
  <c r="AH248" i="127"/>
  <c r="AI248" i="127"/>
  <c r="P249" i="127"/>
  <c r="Q249" i="127"/>
  <c r="R249" i="127"/>
  <c r="S249" i="127"/>
  <c r="T249" i="127"/>
  <c r="U249" i="127"/>
  <c r="V249" i="127"/>
  <c r="W249" i="127"/>
  <c r="X249" i="127"/>
  <c r="Y249" i="127"/>
  <c r="Z249" i="127"/>
  <c r="AA249" i="127"/>
  <c r="AB249" i="127"/>
  <c r="AC249" i="127"/>
  <c r="AD249" i="127"/>
  <c r="AE249" i="127"/>
  <c r="AF249" i="127"/>
  <c r="AG249" i="127"/>
  <c r="AH249" i="127"/>
  <c r="AI249" i="127"/>
  <c r="P250" i="127"/>
  <c r="Q250" i="127"/>
  <c r="R250" i="127"/>
  <c r="S250" i="127"/>
  <c r="T250" i="127"/>
  <c r="U250" i="127"/>
  <c r="V250" i="127"/>
  <c r="W250" i="127"/>
  <c r="X250" i="127"/>
  <c r="Y250" i="127"/>
  <c r="Z250" i="127"/>
  <c r="AA250" i="127"/>
  <c r="AB250" i="127"/>
  <c r="AC250" i="127"/>
  <c r="AD250" i="127"/>
  <c r="AE250" i="127"/>
  <c r="AF250" i="127"/>
  <c r="AG250" i="127"/>
  <c r="AH250" i="127"/>
  <c r="AI250" i="127"/>
  <c r="P251" i="127"/>
  <c r="Q251" i="127"/>
  <c r="R251" i="127"/>
  <c r="S251" i="127"/>
  <c r="T251" i="127"/>
  <c r="U251" i="127"/>
  <c r="V251" i="127"/>
  <c r="W251" i="127"/>
  <c r="X251" i="127"/>
  <c r="Y251" i="127"/>
  <c r="Z251" i="127"/>
  <c r="AA251" i="127"/>
  <c r="AB251" i="127"/>
  <c r="AC251" i="127"/>
  <c r="AD251" i="127"/>
  <c r="AE251" i="127"/>
  <c r="AF251" i="127"/>
  <c r="AG251" i="127"/>
  <c r="AH251" i="127"/>
  <c r="AI251" i="127"/>
  <c r="P252" i="127"/>
  <c r="Q252" i="127"/>
  <c r="R252" i="127"/>
  <c r="S252" i="127"/>
  <c r="T252" i="127"/>
  <c r="U252" i="127"/>
  <c r="V252" i="127"/>
  <c r="W252" i="127"/>
  <c r="X252" i="127"/>
  <c r="Y252" i="127"/>
  <c r="Z252" i="127"/>
  <c r="AA252" i="127"/>
  <c r="AB252" i="127"/>
  <c r="AC252" i="127"/>
  <c r="AD252" i="127"/>
  <c r="AE252" i="127"/>
  <c r="AF252" i="127"/>
  <c r="AG252" i="127"/>
  <c r="AH252" i="127"/>
  <c r="AI252" i="127"/>
  <c r="P253" i="127"/>
  <c r="L253" i="127" s="1"/>
  <c r="Q253" i="127"/>
  <c r="R253" i="127"/>
  <c r="S253" i="127"/>
  <c r="T253" i="127"/>
  <c r="U253" i="127"/>
  <c r="V253" i="127"/>
  <c r="W253" i="127"/>
  <c r="X253" i="127"/>
  <c r="Y253" i="127"/>
  <c r="Z253" i="127"/>
  <c r="AA253" i="127"/>
  <c r="AB253" i="127"/>
  <c r="AC253" i="127"/>
  <c r="AD253" i="127"/>
  <c r="AE253" i="127"/>
  <c r="AF253" i="127"/>
  <c r="AG253" i="127"/>
  <c r="AH253" i="127"/>
  <c r="AI253" i="127"/>
  <c r="AI15" i="127"/>
  <c r="AH15" i="127"/>
  <c r="AG15" i="127"/>
  <c r="AF15" i="127"/>
  <c r="AE15" i="127"/>
  <c r="AD15" i="127"/>
  <c r="AB15" i="127"/>
  <c r="AA15" i="127"/>
  <c r="Y15" i="127"/>
  <c r="T15" i="127"/>
  <c r="S15" i="127"/>
  <c r="Q15" i="127"/>
  <c r="P15" i="127"/>
  <c r="T12" i="127"/>
  <c r="S12" i="127"/>
  <c r="AC15" i="127" s="1"/>
  <c r="R12" i="127"/>
  <c r="W15" i="127" s="1"/>
  <c r="Q12" i="127"/>
  <c r="P12" i="127"/>
  <c r="U15" i="127" s="1"/>
  <c r="L239" i="127" l="1"/>
  <c r="X15" i="127"/>
  <c r="L191" i="127"/>
  <c r="L190" i="127"/>
  <c r="L189" i="127"/>
  <c r="L187" i="127"/>
  <c r="M56" i="127"/>
  <c r="L252" i="127"/>
  <c r="L251" i="127"/>
  <c r="L250" i="127"/>
  <c r="N249" i="127"/>
  <c r="L248" i="127"/>
  <c r="L247" i="127"/>
  <c r="L245" i="127"/>
  <c r="O242" i="127"/>
  <c r="O235" i="127"/>
  <c r="O234" i="127"/>
  <c r="O233" i="127"/>
  <c r="O223" i="127"/>
  <c r="O222" i="127"/>
  <c r="O221" i="127"/>
  <c r="O217" i="127"/>
  <c r="O207" i="127"/>
  <c r="O205" i="127"/>
  <c r="O204" i="127"/>
  <c r="O203" i="127"/>
  <c r="O202" i="127"/>
  <c r="O201" i="127"/>
  <c r="O200" i="127"/>
  <c r="O195" i="127"/>
  <c r="O194" i="127"/>
  <c r="O193" i="127"/>
  <c r="O192" i="127"/>
  <c r="O183" i="127"/>
  <c r="O182" i="127"/>
  <c r="O181" i="127"/>
  <c r="O178" i="127"/>
  <c r="O55" i="127"/>
  <c r="N170" i="127"/>
  <c r="L169" i="127"/>
  <c r="L166" i="127"/>
  <c r="N162" i="127"/>
  <c r="M57" i="127"/>
  <c r="N253" i="127"/>
  <c r="L249" i="127"/>
  <c r="N248" i="127"/>
  <c r="O243" i="127"/>
  <c r="L243" i="127"/>
  <c r="L242" i="127"/>
  <c r="O241" i="127"/>
  <c r="O237" i="127"/>
  <c r="O236" i="127"/>
  <c r="L236" i="127"/>
  <c r="L235" i="127"/>
  <c r="L233" i="127"/>
  <c r="L232" i="127"/>
  <c r="O224" i="127"/>
  <c r="L224" i="127"/>
  <c r="L223" i="127"/>
  <c r="L222" i="127"/>
  <c r="O219" i="127"/>
  <c r="O218" i="127"/>
  <c r="L218" i="127"/>
  <c r="L217" i="127"/>
  <c r="O216" i="127"/>
  <c r="O215" i="127"/>
  <c r="O214" i="127"/>
  <c r="O213" i="127"/>
  <c r="O212" i="127"/>
  <c r="O208" i="127"/>
  <c r="L207" i="127"/>
  <c r="L200" i="127"/>
  <c r="O199" i="127"/>
  <c r="O198" i="127"/>
  <c r="O196" i="127"/>
  <c r="L196" i="127"/>
  <c r="L192" i="127"/>
  <c r="O191" i="127"/>
  <c r="O188" i="127"/>
  <c r="O184" i="127"/>
  <c r="L184" i="127"/>
  <c r="L183" i="127"/>
  <c r="L181" i="127"/>
  <c r="O180" i="127"/>
  <c r="O179" i="127"/>
  <c r="L179" i="127"/>
  <c r="N168" i="127"/>
  <c r="L168" i="127"/>
  <c r="N167" i="127"/>
  <c r="L167" i="127"/>
  <c r="N166" i="127"/>
  <c r="L165" i="127"/>
  <c r="R15" i="127"/>
  <c r="AB16" i="127"/>
  <c r="N16" i="127" s="1"/>
  <c r="L15" i="127"/>
  <c r="N250" i="127"/>
  <c r="L246" i="127"/>
  <c r="O240" i="127"/>
  <c r="O239" i="127"/>
  <c r="O238" i="127"/>
  <c r="L234" i="127"/>
  <c r="O232" i="127"/>
  <c r="O231" i="127"/>
  <c r="O230" i="127"/>
  <c r="O229" i="127"/>
  <c r="O228" i="127"/>
  <c r="O227" i="127"/>
  <c r="O226" i="127"/>
  <c r="O225" i="127"/>
  <c r="L221" i="127"/>
  <c r="O220" i="127"/>
  <c r="L219" i="127"/>
  <c r="L215" i="127"/>
  <c r="O211" i="127"/>
  <c r="O210" i="127"/>
  <c r="O209" i="127"/>
  <c r="L208" i="127"/>
  <c r="O206" i="127"/>
  <c r="L206" i="127"/>
  <c r="L205" i="127"/>
  <c r="L204" i="127"/>
  <c r="L203" i="127"/>
  <c r="L202" i="127"/>
  <c r="L201" i="127"/>
  <c r="L198" i="127"/>
  <c r="O197" i="127"/>
  <c r="L195" i="127"/>
  <c r="L194" i="127"/>
  <c r="L193" i="127"/>
  <c r="O190" i="127"/>
  <c r="O189" i="127"/>
  <c r="L188" i="127"/>
  <c r="O187" i="127"/>
  <c r="O186" i="127"/>
  <c r="O185" i="127"/>
  <c r="L182" i="127"/>
  <c r="L170" i="127"/>
  <c r="N169" i="127"/>
  <c r="N165" i="127"/>
  <c r="N164" i="127"/>
  <c r="L164" i="127"/>
  <c r="N163" i="127"/>
  <c r="L163" i="127"/>
  <c r="L162" i="127"/>
  <c r="N161" i="127"/>
  <c r="L161" i="127"/>
  <c r="N160" i="127"/>
  <c r="L160" i="127"/>
  <c r="N159" i="127"/>
  <c r="L159" i="127"/>
  <c r="N158" i="127"/>
  <c r="O177" i="127"/>
  <c r="O176" i="127"/>
  <c r="O175" i="127"/>
  <c r="O174" i="127"/>
  <c r="O173" i="127"/>
  <c r="O172" i="127"/>
  <c r="O170" i="127"/>
  <c r="O169" i="127"/>
  <c r="O168" i="127"/>
  <c r="O167" i="127"/>
  <c r="O166" i="127"/>
  <c r="O165" i="127"/>
  <c r="O164" i="127"/>
  <c r="O163" i="127"/>
  <c r="O162" i="127"/>
  <c r="O161" i="127"/>
  <c r="O160" i="127"/>
  <c r="O159" i="127"/>
  <c r="O158" i="127"/>
  <c r="O157" i="127"/>
  <c r="O156" i="127"/>
  <c r="O155" i="127"/>
  <c r="O154" i="127"/>
  <c r="O153" i="127"/>
  <c r="O152" i="127"/>
  <c r="O151" i="127"/>
  <c r="O150" i="127"/>
  <c r="O149" i="127"/>
  <c r="O148" i="127"/>
  <c r="O147" i="127"/>
  <c r="O146" i="127"/>
  <c r="O145" i="127"/>
  <c r="O144" i="127"/>
  <c r="O143" i="127"/>
  <c r="O142" i="127"/>
  <c r="O141" i="127"/>
  <c r="O140" i="127"/>
  <c r="O139" i="127"/>
  <c r="O138" i="127"/>
  <c r="O137" i="127"/>
  <c r="O136" i="127"/>
  <c r="O135" i="127"/>
  <c r="O134" i="127"/>
  <c r="O133" i="127"/>
  <c r="O132" i="127"/>
  <c r="O131" i="127"/>
  <c r="O130" i="127"/>
  <c r="O129" i="127"/>
  <c r="O128" i="127"/>
  <c r="O127" i="127"/>
  <c r="O126" i="127"/>
  <c r="O125" i="127"/>
  <c r="O124" i="127"/>
  <c r="O123" i="127"/>
  <c r="O122" i="127"/>
  <c r="O121" i="127"/>
  <c r="O120" i="127"/>
  <c r="O119" i="127"/>
  <c r="O118" i="127"/>
  <c r="O117" i="127"/>
  <c r="O116" i="127"/>
  <c r="O115" i="127"/>
  <c r="O114" i="127"/>
  <c r="O113" i="127"/>
  <c r="O112" i="127"/>
  <c r="O111" i="127"/>
  <c r="O110" i="127"/>
  <c r="O109" i="127"/>
  <c r="O108" i="127"/>
  <c r="O107" i="127"/>
  <c r="O106" i="127"/>
  <c r="O105" i="127"/>
  <c r="O104" i="127"/>
  <c r="O103" i="127"/>
  <c r="O102" i="127"/>
  <c r="O101" i="127"/>
  <c r="O100" i="127"/>
  <c r="O99" i="127"/>
  <c r="O98" i="127"/>
  <c r="O97" i="127"/>
  <c r="O96" i="127"/>
  <c r="O95" i="127"/>
  <c r="L158" i="127"/>
  <c r="N157" i="127"/>
  <c r="L157" i="127"/>
  <c r="N156" i="127"/>
  <c r="L156" i="127"/>
  <c r="N155" i="127"/>
  <c r="L155" i="127"/>
  <c r="N154" i="127"/>
  <c r="L154" i="127"/>
  <c r="N153" i="127"/>
  <c r="L153" i="127"/>
  <c r="N152" i="127"/>
  <c r="L152" i="127"/>
  <c r="N151" i="127"/>
  <c r="L151" i="127"/>
  <c r="N150" i="127"/>
  <c r="L150" i="127"/>
  <c r="N149" i="127"/>
  <c r="L149" i="127"/>
  <c r="N148" i="127"/>
  <c r="L148" i="127"/>
  <c r="N147" i="127"/>
  <c r="L147" i="127"/>
  <c r="N146" i="127"/>
  <c r="L146" i="127"/>
  <c r="N145" i="127"/>
  <c r="L145" i="127"/>
  <c r="N144" i="127"/>
  <c r="L144" i="127"/>
  <c r="N143" i="127"/>
  <c r="L143" i="127"/>
  <c r="N142" i="127"/>
  <c r="L142" i="127"/>
  <c r="N141" i="127"/>
  <c r="L141" i="127"/>
  <c r="N140" i="127"/>
  <c r="L140" i="127"/>
  <c r="N139" i="127"/>
  <c r="L139" i="127"/>
  <c r="N138" i="127"/>
  <c r="L138" i="127"/>
  <c r="N137" i="127"/>
  <c r="L137" i="127"/>
  <c r="N136" i="127"/>
  <c r="L136" i="127"/>
  <c r="N135" i="127"/>
  <c r="L135" i="127"/>
  <c r="N134" i="127"/>
  <c r="L134" i="127"/>
  <c r="N133" i="127"/>
  <c r="L133" i="127"/>
  <c r="N132" i="127"/>
  <c r="L132" i="127"/>
  <c r="N131" i="127"/>
  <c r="L131" i="127"/>
  <c r="N130" i="127"/>
  <c r="L130" i="127"/>
  <c r="N129" i="127"/>
  <c r="L129" i="127"/>
  <c r="N128" i="127"/>
  <c r="L128" i="127"/>
  <c r="N127" i="127"/>
  <c r="L127" i="127"/>
  <c r="N126" i="127"/>
  <c r="L126" i="127"/>
  <c r="N125" i="127"/>
  <c r="L125" i="127"/>
  <c r="N124" i="127"/>
  <c r="L124" i="127"/>
  <c r="N123" i="127"/>
  <c r="L123" i="127"/>
  <c r="N122" i="127"/>
  <c r="L122" i="127"/>
  <c r="N121" i="127"/>
  <c r="L121" i="127"/>
  <c r="N120" i="127"/>
  <c r="L120" i="127"/>
  <c r="N119" i="127"/>
  <c r="L119" i="127"/>
  <c r="N118" i="127"/>
  <c r="L118" i="127"/>
  <c r="N117" i="127"/>
  <c r="L117" i="127"/>
  <c r="N116" i="127"/>
  <c r="L116" i="127"/>
  <c r="N115" i="127"/>
  <c r="L115" i="127"/>
  <c r="N114" i="127"/>
  <c r="L114" i="127"/>
  <c r="N113" i="127"/>
  <c r="L113" i="127"/>
  <c r="N112" i="127"/>
  <c r="L112" i="127"/>
  <c r="N111" i="127"/>
  <c r="L111" i="127"/>
  <c r="N98" i="127"/>
  <c r="L98" i="127"/>
  <c r="N97" i="127"/>
  <c r="L97" i="127"/>
  <c r="N96" i="127"/>
  <c r="L96" i="127"/>
  <c r="N95" i="127"/>
  <c r="L95" i="127"/>
  <c r="N94" i="127"/>
  <c r="L94" i="127"/>
  <c r="N93" i="127"/>
  <c r="L93" i="127"/>
  <c r="N92" i="127"/>
  <c r="L92" i="127"/>
  <c r="N91" i="127"/>
  <c r="L91" i="127"/>
  <c r="N90" i="127"/>
  <c r="L90" i="127"/>
  <c r="N89" i="127"/>
  <c r="L89" i="127"/>
  <c r="N88" i="127"/>
  <c r="L88" i="127"/>
  <c r="N87" i="127"/>
  <c r="L87" i="127"/>
  <c r="N86" i="127"/>
  <c r="L86" i="127"/>
  <c r="N85" i="127"/>
  <c r="L85" i="127"/>
  <c r="N84" i="127"/>
  <c r="L84" i="127"/>
  <c r="N83" i="127"/>
  <c r="L83" i="127"/>
  <c r="N82" i="127"/>
  <c r="L82" i="127"/>
  <c r="N81" i="127"/>
  <c r="L81" i="127"/>
  <c r="N80" i="127"/>
  <c r="L80" i="127"/>
  <c r="N79" i="127"/>
  <c r="L79" i="127"/>
  <c r="N78" i="127"/>
  <c r="L78" i="127"/>
  <c r="N77" i="127"/>
  <c r="L77" i="127"/>
  <c r="N76" i="127"/>
  <c r="L76" i="127"/>
  <c r="N75" i="127"/>
  <c r="L75" i="127"/>
  <c r="N74" i="127"/>
  <c r="L74" i="127"/>
  <c r="N73" i="127"/>
  <c r="L73" i="127"/>
  <c r="N72" i="127"/>
  <c r="L72" i="127"/>
  <c r="N71" i="127"/>
  <c r="L71" i="127"/>
  <c r="N70" i="127"/>
  <c r="L70" i="127"/>
  <c r="N69" i="127"/>
  <c r="L69" i="127"/>
  <c r="N68" i="127"/>
  <c r="L68" i="127"/>
  <c r="N67" i="127"/>
  <c r="L67" i="127"/>
  <c r="N66" i="127"/>
  <c r="L66" i="127"/>
  <c r="N65" i="127"/>
  <c r="L65" i="127"/>
  <c r="N64" i="127"/>
  <c r="L64" i="127"/>
  <c r="N63" i="127"/>
  <c r="L63" i="127"/>
  <c r="N62" i="127"/>
  <c r="L62" i="127"/>
  <c r="N61" i="127"/>
  <c r="O94" i="127"/>
  <c r="O93" i="127"/>
  <c r="O92" i="127"/>
  <c r="O91" i="127"/>
  <c r="O90" i="127"/>
  <c r="O89" i="127"/>
  <c r="O88" i="127"/>
  <c r="O87" i="127"/>
  <c r="O86" i="127"/>
  <c r="O85" i="127"/>
  <c r="O84" i="127"/>
  <c r="O83" i="127"/>
  <c r="O82" i="127"/>
  <c r="O81" i="127"/>
  <c r="O80" i="127"/>
  <c r="O79" i="127"/>
  <c r="O78" i="127"/>
  <c r="O77" i="127"/>
  <c r="O76" i="127"/>
  <c r="O75" i="127"/>
  <c r="O74" i="127"/>
  <c r="O73" i="127"/>
  <c r="O72" i="127"/>
  <c r="O71" i="127"/>
  <c r="O70" i="127"/>
  <c r="O69" i="127"/>
  <c r="O68" i="127"/>
  <c r="O67" i="127"/>
  <c r="O66" i="127"/>
  <c r="O65" i="127"/>
  <c r="O64" i="127"/>
  <c r="O63" i="127"/>
  <c r="O62" i="127"/>
  <c r="O61" i="127"/>
  <c r="O60" i="127"/>
  <c r="O59" i="127"/>
  <c r="O58" i="127"/>
  <c r="O57" i="127"/>
  <c r="O56" i="127"/>
  <c r="N55" i="127"/>
  <c r="M55" i="127"/>
  <c r="L55" i="127"/>
  <c r="L61" i="127"/>
  <c r="N60" i="127"/>
  <c r="L60" i="127"/>
  <c r="N59" i="127"/>
  <c r="L59" i="127"/>
  <c r="N58" i="127"/>
  <c r="N57" i="127"/>
  <c r="L57" i="127"/>
  <c r="L16" i="127"/>
  <c r="N54" i="127"/>
  <c r="L54" i="127"/>
  <c r="N53" i="127"/>
  <c r="L53" i="127"/>
  <c r="N52" i="127"/>
  <c r="L52" i="127"/>
  <c r="N51" i="127"/>
  <c r="L51" i="127"/>
  <c r="N50" i="127"/>
  <c r="L50" i="127"/>
  <c r="N49" i="127"/>
  <c r="L49" i="127"/>
  <c r="N48" i="127"/>
  <c r="L48" i="127"/>
  <c r="N47" i="127"/>
  <c r="L47" i="127"/>
  <c r="N46" i="127"/>
  <c r="L46" i="127"/>
  <c r="N45" i="127"/>
  <c r="L45" i="127"/>
  <c r="N44" i="127"/>
  <c r="L44" i="127"/>
  <c r="N43" i="127"/>
  <c r="L43" i="127"/>
  <c r="N42" i="127"/>
  <c r="L42" i="127"/>
  <c r="N41" i="127"/>
  <c r="L41" i="127"/>
  <c r="N40" i="127"/>
  <c r="L40" i="127"/>
  <c r="N39" i="127"/>
  <c r="L39" i="127"/>
  <c r="N38" i="127"/>
  <c r="L38" i="127"/>
  <c r="N37" i="127"/>
  <c r="L37" i="127"/>
  <c r="N36" i="127"/>
  <c r="L36" i="127"/>
  <c r="N35" i="127"/>
  <c r="L35" i="127"/>
  <c r="N34" i="127"/>
  <c r="L34" i="127"/>
  <c r="N33" i="127"/>
  <c r="L33" i="127"/>
  <c r="N32" i="127"/>
  <c r="L32" i="127"/>
  <c r="N31" i="127"/>
  <c r="L31" i="127"/>
  <c r="N30" i="127"/>
  <c r="L30" i="127"/>
  <c r="N29" i="127"/>
  <c r="L29" i="127"/>
  <c r="N28" i="127"/>
  <c r="L28" i="127"/>
  <c r="N27" i="127"/>
  <c r="L27" i="127"/>
  <c r="N26" i="127"/>
  <c r="L26" i="127"/>
  <c r="N25" i="127"/>
  <c r="L25" i="127"/>
  <c r="N24" i="127"/>
  <c r="L24" i="127"/>
  <c r="N23" i="127"/>
  <c r="L23" i="127"/>
  <c r="N22" i="127"/>
  <c r="L22" i="127"/>
  <c r="N21" i="127"/>
  <c r="L21" i="127"/>
  <c r="N20" i="127"/>
  <c r="L20" i="127"/>
  <c r="N19" i="127"/>
  <c r="L19" i="127"/>
  <c r="N18" i="127"/>
  <c r="L18" i="127"/>
  <c r="N17" i="127"/>
  <c r="L17" i="127"/>
  <c r="M253" i="127"/>
  <c r="M243" i="127"/>
  <c r="M242" i="127"/>
  <c r="M241" i="127"/>
  <c r="M240" i="127"/>
  <c r="M239" i="127"/>
  <c r="M238" i="127"/>
  <c r="M237" i="127"/>
  <c r="M236" i="127"/>
  <c r="M235" i="127"/>
  <c r="M234" i="127"/>
  <c r="M233" i="127"/>
  <c r="M232" i="127"/>
  <c r="M231" i="127"/>
  <c r="M230" i="127"/>
  <c r="M229" i="127"/>
  <c r="M228" i="127"/>
  <c r="M227" i="127"/>
  <c r="M226" i="127"/>
  <c r="M225" i="127"/>
  <c r="M224" i="127"/>
  <c r="M223" i="127"/>
  <c r="M222" i="127"/>
  <c r="M221" i="127"/>
  <c r="M220" i="127"/>
  <c r="M219" i="127"/>
  <c r="M218" i="127"/>
  <c r="M217" i="127"/>
  <c r="M216" i="127"/>
  <c r="M215" i="127"/>
  <c r="M214" i="127"/>
  <c r="M213" i="127"/>
  <c r="M212" i="127"/>
  <c r="M211" i="127"/>
  <c r="M210" i="127"/>
  <c r="M209" i="127"/>
  <c r="M208" i="127"/>
  <c r="M207" i="127"/>
  <c r="M206" i="127"/>
  <c r="M205" i="127"/>
  <c r="M204" i="127"/>
  <c r="M203" i="127"/>
  <c r="M202" i="127"/>
  <c r="M201" i="127"/>
  <c r="M200" i="127"/>
  <c r="M199" i="127"/>
  <c r="M198" i="127"/>
  <c r="M197" i="127"/>
  <c r="M196" i="127"/>
  <c r="M195" i="127"/>
  <c r="M194" i="127"/>
  <c r="M193" i="127"/>
  <c r="M192" i="127"/>
  <c r="M191" i="127"/>
  <c r="M190" i="127"/>
  <c r="M189" i="127"/>
  <c r="M188" i="127"/>
  <c r="M187" i="127"/>
  <c r="M186" i="127"/>
  <c r="M185" i="127"/>
  <c r="M184" i="127"/>
  <c r="M183" i="127"/>
  <c r="M182" i="127"/>
  <c r="M181" i="127"/>
  <c r="M180" i="127"/>
  <c r="M179" i="127"/>
  <c r="M178" i="127"/>
  <c r="M177" i="127"/>
  <c r="M176" i="127"/>
  <c r="M175" i="127"/>
  <c r="M174" i="127"/>
  <c r="M173" i="127"/>
  <c r="M172" i="127"/>
  <c r="M170" i="127"/>
  <c r="M169" i="127"/>
  <c r="M168" i="127"/>
  <c r="M167" i="127"/>
  <c r="M166" i="127"/>
  <c r="M165" i="127"/>
  <c r="M164" i="127"/>
  <c r="M163" i="127"/>
  <c r="M162" i="127"/>
  <c r="M161" i="127"/>
  <c r="M160" i="127"/>
  <c r="M159" i="127"/>
  <c r="M158" i="127"/>
  <c r="M157" i="127"/>
  <c r="M156" i="127"/>
  <c r="M155" i="127"/>
  <c r="M154" i="127"/>
  <c r="M153" i="127"/>
  <c r="M152" i="127"/>
  <c r="M151" i="127"/>
  <c r="M150" i="127"/>
  <c r="M149" i="127"/>
  <c r="M148" i="127"/>
  <c r="M147" i="127"/>
  <c r="M146" i="127"/>
  <c r="M145" i="127"/>
  <c r="M144" i="127"/>
  <c r="M143" i="127"/>
  <c r="M142" i="127"/>
  <c r="M141" i="127"/>
  <c r="M140" i="127"/>
  <c r="M139" i="127"/>
  <c r="M138" i="127"/>
  <c r="M137" i="127"/>
  <c r="M136" i="127"/>
  <c r="M135" i="127"/>
  <c r="M134" i="127"/>
  <c r="M133" i="127"/>
  <c r="M132" i="127"/>
  <c r="M131" i="127"/>
  <c r="M130" i="127"/>
  <c r="M129" i="127"/>
  <c r="M128" i="127"/>
  <c r="M127" i="127"/>
  <c r="M126" i="127"/>
  <c r="M125" i="127"/>
  <c r="M124" i="127"/>
  <c r="M123" i="127"/>
  <c r="M122" i="127"/>
  <c r="M121" i="127"/>
  <c r="M120" i="127"/>
  <c r="M119" i="127"/>
  <c r="M118" i="127"/>
  <c r="M117" i="127"/>
  <c r="M116" i="127"/>
  <c r="M115" i="127"/>
  <c r="M114" i="127"/>
  <c r="M113" i="127"/>
  <c r="M112" i="127"/>
  <c r="M111" i="127"/>
  <c r="M110" i="127"/>
  <c r="M109" i="127"/>
  <c r="M108" i="127"/>
  <c r="M107" i="127"/>
  <c r="M106" i="127"/>
  <c r="M105" i="127"/>
  <c r="M104" i="127"/>
  <c r="M103" i="127"/>
  <c r="M102" i="127"/>
  <c r="M101" i="127"/>
  <c r="M100" i="127"/>
  <c r="V15" i="127"/>
  <c r="M15" i="127" s="1"/>
  <c r="V16" i="127"/>
  <c r="M98" i="127"/>
  <c r="M97" i="127"/>
  <c r="M96" i="127"/>
  <c r="M95" i="127"/>
  <c r="M94" i="127"/>
  <c r="M93" i="127"/>
  <c r="M92" i="127"/>
  <c r="M91" i="127"/>
  <c r="M90" i="127"/>
  <c r="M89" i="127"/>
  <c r="M88" i="127"/>
  <c r="M87" i="127"/>
  <c r="M86" i="127"/>
  <c r="M85" i="127"/>
  <c r="M84" i="127"/>
  <c r="M83" i="127"/>
  <c r="M82" i="127"/>
  <c r="M81" i="127"/>
  <c r="M80" i="127"/>
  <c r="M79" i="127"/>
  <c r="M78" i="127"/>
  <c r="M77" i="127"/>
  <c r="M76" i="127"/>
  <c r="M75" i="127"/>
  <c r="M74" i="127"/>
  <c r="M73" i="127"/>
  <c r="M72" i="127"/>
  <c r="M71" i="127"/>
  <c r="M70" i="127"/>
  <c r="M69" i="127"/>
  <c r="M68" i="127"/>
  <c r="M67" i="127"/>
  <c r="M66" i="127"/>
  <c r="M65" i="127"/>
  <c r="M64" i="127"/>
  <c r="M63" i="127"/>
  <c r="M62" i="127"/>
  <c r="M61" i="127"/>
  <c r="M60" i="127"/>
  <c r="M59" i="127"/>
  <c r="M58" i="127"/>
  <c r="N56" i="127"/>
  <c r="L56" i="127"/>
  <c r="M16" i="127"/>
  <c r="M54" i="127"/>
  <c r="M53" i="127"/>
  <c r="M52" i="127"/>
  <c r="M51" i="127"/>
  <c r="M50" i="127"/>
  <c r="M49" i="127"/>
  <c r="M48" i="127"/>
  <c r="M47" i="127"/>
  <c r="M46" i="127"/>
  <c r="M45" i="127"/>
  <c r="M44" i="127"/>
  <c r="M43" i="127"/>
  <c r="M42" i="127"/>
  <c r="M41" i="127"/>
  <c r="M40" i="127"/>
  <c r="M39" i="127"/>
  <c r="M38" i="127"/>
  <c r="M37" i="127"/>
  <c r="M36" i="127"/>
  <c r="M35" i="127"/>
  <c r="M34" i="127"/>
  <c r="M33" i="127"/>
  <c r="M32" i="127"/>
  <c r="M31" i="127"/>
  <c r="M30" i="127"/>
  <c r="M29" i="127"/>
  <c r="M28" i="127"/>
  <c r="M27" i="127"/>
  <c r="M26" i="127"/>
  <c r="M25" i="127"/>
  <c r="M24" i="127"/>
  <c r="M23" i="127"/>
  <c r="M22" i="127"/>
  <c r="M21" i="127"/>
  <c r="M20" i="127"/>
  <c r="M19" i="127"/>
  <c r="M18" i="127"/>
  <c r="M17" i="127"/>
  <c r="M54" i="126"/>
  <c r="M53" i="126"/>
  <c r="M52" i="126"/>
  <c r="M51" i="126"/>
  <c r="M50" i="126"/>
  <c r="M49" i="126"/>
  <c r="M48" i="126"/>
  <c r="M47" i="126"/>
  <c r="M46" i="126"/>
  <c r="M45" i="126"/>
  <c r="M44" i="126"/>
  <c r="M43" i="126"/>
  <c r="M42" i="126"/>
  <c r="M41" i="126"/>
  <c r="M40" i="126"/>
  <c r="M39" i="126"/>
  <c r="M38" i="126"/>
  <c r="M37" i="126"/>
  <c r="M36" i="126"/>
  <c r="M35" i="126"/>
  <c r="M34" i="126"/>
  <c r="M33" i="126"/>
  <c r="M32" i="126"/>
  <c r="M31" i="126"/>
  <c r="M30" i="126"/>
  <c r="M29" i="126"/>
  <c r="M28" i="126"/>
  <c r="M27" i="126"/>
  <c r="M26" i="126"/>
  <c r="M25" i="126"/>
  <c r="M24" i="126"/>
  <c r="M23" i="126"/>
  <c r="M22" i="126"/>
  <c r="M21" i="126"/>
  <c r="M20" i="126"/>
  <c r="M19" i="126"/>
  <c r="M18" i="126"/>
  <c r="M17" i="126"/>
  <c r="N54" i="126"/>
  <c r="L54" i="126"/>
  <c r="N53" i="126"/>
  <c r="L53" i="126"/>
  <c r="N52" i="126"/>
  <c r="L52" i="126"/>
  <c r="N51" i="126"/>
  <c r="L51" i="126"/>
  <c r="N50" i="126"/>
  <c r="L50" i="126"/>
  <c r="N49" i="126"/>
  <c r="L49" i="126"/>
  <c r="N48" i="126"/>
  <c r="L48" i="126"/>
  <c r="N47" i="126"/>
  <c r="L47" i="126"/>
  <c r="N46" i="126"/>
  <c r="L46" i="126"/>
  <c r="N45" i="126"/>
  <c r="L45" i="126"/>
  <c r="N44" i="126"/>
  <c r="L44" i="126"/>
  <c r="N43" i="126"/>
  <c r="L43" i="126"/>
  <c r="N42" i="126"/>
  <c r="L42" i="126"/>
  <c r="N41" i="126"/>
  <c r="L41" i="126"/>
  <c r="N40" i="126"/>
  <c r="L40" i="126"/>
  <c r="N39" i="126"/>
  <c r="L39" i="126"/>
  <c r="N38" i="126"/>
  <c r="L38" i="126"/>
  <c r="N37" i="126"/>
  <c r="L37" i="126"/>
  <c r="N36" i="126"/>
  <c r="L36" i="126"/>
  <c r="N35" i="126"/>
  <c r="L35" i="126"/>
  <c r="N34" i="126"/>
  <c r="L34" i="126"/>
  <c r="N33" i="126"/>
  <c r="L33" i="126"/>
  <c r="N32" i="126"/>
  <c r="L32" i="126"/>
  <c r="N31" i="126"/>
  <c r="L31" i="126"/>
  <c r="N30" i="126"/>
  <c r="L30" i="126"/>
  <c r="N29" i="126"/>
  <c r="L29" i="126"/>
  <c r="N28" i="126"/>
  <c r="L28" i="126"/>
  <c r="N27" i="126"/>
  <c r="L27" i="126"/>
  <c r="N26" i="126"/>
  <c r="L26" i="126"/>
  <c r="N25" i="126"/>
  <c r="L25" i="126"/>
  <c r="N24" i="126"/>
  <c r="L24" i="126"/>
  <c r="N23" i="126"/>
  <c r="L23" i="126"/>
  <c r="N22" i="126"/>
  <c r="L22" i="126"/>
  <c r="N21" i="126"/>
  <c r="L21" i="126"/>
  <c r="N20" i="126"/>
  <c r="L20" i="126"/>
  <c r="N19" i="126"/>
  <c r="L19" i="126"/>
  <c r="N18" i="126"/>
  <c r="L18" i="126"/>
  <c r="N17" i="126"/>
  <c r="L17" i="126"/>
  <c r="N16" i="126"/>
  <c r="O54" i="126"/>
  <c r="O53" i="126"/>
  <c r="O52" i="126"/>
  <c r="O51" i="126"/>
  <c r="O50" i="126"/>
  <c r="O49" i="126"/>
  <c r="O48" i="126"/>
  <c r="O47" i="126"/>
  <c r="O46" i="126"/>
  <c r="O45" i="126"/>
  <c r="O44" i="126"/>
  <c r="O43" i="126"/>
  <c r="O42" i="126"/>
  <c r="O41" i="126"/>
  <c r="O40" i="126"/>
  <c r="O39" i="126"/>
  <c r="O38" i="126"/>
  <c r="O37" i="126"/>
  <c r="O36" i="126"/>
  <c r="O35" i="126"/>
  <c r="O34" i="126"/>
  <c r="O33" i="126"/>
  <c r="O32" i="126"/>
  <c r="O31" i="126"/>
  <c r="O30" i="126"/>
  <c r="O29" i="126"/>
  <c r="O28" i="126"/>
  <c r="O27" i="126"/>
  <c r="O26" i="126"/>
  <c r="O25" i="126"/>
  <c r="O24" i="126"/>
  <c r="O23" i="126"/>
  <c r="O22" i="126"/>
  <c r="O21" i="126"/>
  <c r="O20" i="126"/>
  <c r="O19" i="126"/>
  <c r="O18" i="126"/>
  <c r="O17" i="126"/>
  <c r="O16" i="126"/>
  <c r="O54" i="127"/>
  <c r="O53" i="127"/>
  <c r="O52" i="127"/>
  <c r="O51" i="127"/>
  <c r="O50" i="127"/>
  <c r="O49" i="127"/>
  <c r="O48" i="127"/>
  <c r="O47" i="127"/>
  <c r="O46" i="127"/>
  <c r="O45" i="127"/>
  <c r="O44" i="127"/>
  <c r="O43" i="127"/>
  <c r="O42" i="127"/>
  <c r="O41" i="127"/>
  <c r="O40" i="127"/>
  <c r="O39" i="127"/>
  <c r="O38" i="127"/>
  <c r="O37" i="127"/>
  <c r="O36" i="127"/>
  <c r="O35" i="127"/>
  <c r="O34" i="127"/>
  <c r="O33" i="127"/>
  <c r="O32" i="127"/>
  <c r="O31" i="127"/>
  <c r="O30" i="127"/>
  <c r="O29" i="127"/>
  <c r="O28" i="127"/>
  <c r="O27" i="127"/>
  <c r="O26" i="127"/>
  <c r="O25" i="127"/>
  <c r="O24" i="127"/>
  <c r="O23" i="127"/>
  <c r="O22" i="127"/>
  <c r="O21" i="127"/>
  <c r="O20" i="127"/>
  <c r="O19" i="127"/>
  <c r="O18" i="127"/>
  <c r="O17" i="127"/>
  <c r="O16" i="127"/>
  <c r="L58" i="127"/>
  <c r="O252" i="127"/>
  <c r="O251" i="127"/>
  <c r="O247" i="127"/>
  <c r="O246" i="127"/>
  <c r="O245" i="127"/>
  <c r="O253" i="127"/>
  <c r="M252" i="127"/>
  <c r="N252" i="127"/>
  <c r="M251" i="127"/>
  <c r="N251" i="127"/>
  <c r="M250" i="127"/>
  <c r="M249" i="127"/>
  <c r="M248" i="127"/>
  <c r="M247" i="127"/>
  <c r="N247" i="127"/>
  <c r="M246" i="127"/>
  <c r="N246" i="127"/>
  <c r="M245" i="127"/>
  <c r="N245" i="127"/>
  <c r="M244" i="127"/>
  <c r="O250" i="127"/>
  <c r="O249" i="127"/>
  <c r="O248" i="127"/>
  <c r="O244" i="127"/>
  <c r="N244" i="127"/>
  <c r="L244" i="127"/>
  <c r="N243" i="127"/>
  <c r="N242" i="127"/>
  <c r="N241" i="127"/>
  <c r="N240" i="127"/>
  <c r="N239" i="127"/>
  <c r="N238" i="127"/>
  <c r="N237" i="127"/>
  <c r="N236" i="127"/>
  <c r="N235" i="127"/>
  <c r="N234" i="127"/>
  <c r="N233" i="127"/>
  <c r="N232" i="127"/>
  <c r="N231" i="127"/>
  <c r="N230" i="127"/>
  <c r="N229" i="127"/>
  <c r="N228" i="127"/>
  <c r="N227" i="127"/>
  <c r="N226" i="127"/>
  <c r="N225" i="127"/>
  <c r="N224" i="127"/>
  <c r="N223" i="127"/>
  <c r="N222" i="127"/>
  <c r="N221" i="127"/>
  <c r="N220" i="127"/>
  <c r="N219" i="127"/>
  <c r="N218" i="127"/>
  <c r="N217" i="127"/>
  <c r="N216" i="127"/>
  <c r="N215" i="127"/>
  <c r="N214" i="127"/>
  <c r="N213" i="127"/>
  <c r="N212" i="127"/>
  <c r="N211" i="127"/>
  <c r="N210" i="127"/>
  <c r="N209" i="127"/>
  <c r="N208" i="127"/>
  <c r="N207" i="127"/>
  <c r="N206" i="127"/>
  <c r="N205" i="127"/>
  <c r="N204" i="127"/>
  <c r="N203" i="127"/>
  <c r="N202" i="127"/>
  <c r="N201" i="127"/>
  <c r="N200" i="127"/>
  <c r="N199" i="127"/>
  <c r="N198" i="127"/>
  <c r="N197" i="127"/>
  <c r="N196" i="127"/>
  <c r="N195" i="127"/>
  <c r="N194" i="127"/>
  <c r="N193" i="127"/>
  <c r="N192" i="127"/>
  <c r="N191" i="127"/>
  <c r="N190" i="127"/>
  <c r="N189" i="127"/>
  <c r="N188" i="127"/>
  <c r="N187" i="127"/>
  <c r="N186" i="127"/>
  <c r="N185" i="127"/>
  <c r="N184" i="127"/>
  <c r="N183" i="127"/>
  <c r="N182" i="127"/>
  <c r="N181" i="127"/>
  <c r="N180" i="127"/>
  <c r="N179" i="127"/>
  <c r="L178" i="127"/>
  <c r="N178" i="127"/>
  <c r="O171" i="127"/>
  <c r="M171" i="127"/>
  <c r="N177" i="127"/>
  <c r="L177" i="127"/>
  <c r="N176" i="127"/>
  <c r="L176" i="127"/>
  <c r="N175" i="127"/>
  <c r="L175" i="127"/>
  <c r="N174" i="127"/>
  <c r="L174" i="127"/>
  <c r="N173" i="127"/>
  <c r="L173" i="127"/>
  <c r="N172" i="127"/>
  <c r="L172" i="127"/>
  <c r="N171" i="127"/>
  <c r="L171" i="127"/>
  <c r="N110" i="127"/>
  <c r="L110" i="127"/>
  <c r="N109" i="127"/>
  <c r="L109" i="127"/>
  <c r="N108" i="127"/>
  <c r="L108" i="127"/>
  <c r="N107" i="127"/>
  <c r="L107" i="127"/>
  <c r="N106" i="127"/>
  <c r="L106" i="127"/>
  <c r="N105" i="127"/>
  <c r="L105" i="127"/>
  <c r="N104" i="127"/>
  <c r="L104" i="127"/>
  <c r="N103" i="127"/>
  <c r="L103" i="127"/>
  <c r="N102" i="127"/>
  <c r="L102" i="127"/>
  <c r="N101" i="127"/>
  <c r="L101" i="127"/>
  <c r="N100" i="127"/>
  <c r="L100" i="127"/>
  <c r="N99" i="127"/>
  <c r="L99" i="127"/>
  <c r="M99" i="127"/>
  <c r="Z15" i="127"/>
  <c r="N15" i="127" s="1"/>
  <c r="H31" i="127"/>
  <c r="H47" i="127"/>
  <c r="H18" i="127"/>
  <c r="H20" i="127"/>
  <c r="H22" i="127"/>
  <c r="H24" i="127"/>
  <c r="H26" i="127"/>
  <c r="H28" i="127"/>
  <c r="H30" i="127"/>
  <c r="P55" i="126"/>
  <c r="Q55" i="126"/>
  <c r="R55" i="126"/>
  <c r="S55" i="126"/>
  <c r="T55" i="126"/>
  <c r="U55" i="126"/>
  <c r="V55" i="126"/>
  <c r="W55" i="126"/>
  <c r="X55" i="126"/>
  <c r="Y55" i="126"/>
  <c r="Z55" i="126"/>
  <c r="AA55" i="126"/>
  <c r="AB55" i="126"/>
  <c r="AC55" i="126"/>
  <c r="AD55" i="126"/>
  <c r="AE55" i="126"/>
  <c r="AF55" i="126"/>
  <c r="AG55" i="126"/>
  <c r="AH55" i="126"/>
  <c r="AI55" i="126"/>
  <c r="P56" i="126"/>
  <c r="Q56" i="126"/>
  <c r="R56" i="126"/>
  <c r="S56" i="126"/>
  <c r="T56" i="126"/>
  <c r="U56" i="126"/>
  <c r="V56" i="126"/>
  <c r="W56" i="126"/>
  <c r="X56" i="126"/>
  <c r="Y56" i="126"/>
  <c r="Z56" i="126"/>
  <c r="AA56" i="126"/>
  <c r="AB56" i="126"/>
  <c r="AC56" i="126"/>
  <c r="AD56" i="126"/>
  <c r="AE56" i="126"/>
  <c r="AF56" i="126"/>
  <c r="AG56" i="126"/>
  <c r="AH56" i="126"/>
  <c r="AI56" i="126"/>
  <c r="P57" i="126"/>
  <c r="Q57" i="126"/>
  <c r="R57" i="126"/>
  <c r="S57" i="126"/>
  <c r="T57" i="126"/>
  <c r="U57" i="126"/>
  <c r="V57" i="126"/>
  <c r="W57" i="126"/>
  <c r="X57" i="126"/>
  <c r="Y57" i="126"/>
  <c r="Z57" i="126"/>
  <c r="AA57" i="126"/>
  <c r="AB57" i="126"/>
  <c r="AC57" i="126"/>
  <c r="AD57" i="126"/>
  <c r="AE57" i="126"/>
  <c r="AF57" i="126"/>
  <c r="AG57" i="126"/>
  <c r="AH57" i="126"/>
  <c r="AI57" i="126"/>
  <c r="P58" i="126"/>
  <c r="Q58" i="126"/>
  <c r="R58" i="126"/>
  <c r="S58" i="126"/>
  <c r="T58" i="126"/>
  <c r="U58" i="126"/>
  <c r="V58" i="126"/>
  <c r="W58" i="126"/>
  <c r="X58" i="126"/>
  <c r="Y58" i="126"/>
  <c r="Z58" i="126"/>
  <c r="AA58" i="126"/>
  <c r="AB58" i="126"/>
  <c r="AC58" i="126"/>
  <c r="AD58" i="126"/>
  <c r="AE58" i="126"/>
  <c r="AF58" i="126"/>
  <c r="AG58" i="126"/>
  <c r="AH58" i="126"/>
  <c r="AI58" i="126"/>
  <c r="P59" i="126"/>
  <c r="Q59" i="126"/>
  <c r="R59" i="126"/>
  <c r="S59" i="126"/>
  <c r="T59" i="126"/>
  <c r="U59" i="126"/>
  <c r="V59" i="126"/>
  <c r="W59" i="126"/>
  <c r="X59" i="126"/>
  <c r="Y59" i="126"/>
  <c r="Z59" i="126"/>
  <c r="AA59" i="126"/>
  <c r="AB59" i="126"/>
  <c r="AC59" i="126"/>
  <c r="AD59" i="126"/>
  <c r="AE59" i="126"/>
  <c r="AF59" i="126"/>
  <c r="AG59" i="126"/>
  <c r="AH59" i="126"/>
  <c r="AI59" i="126"/>
  <c r="P60" i="126"/>
  <c r="Q60" i="126"/>
  <c r="R60" i="126"/>
  <c r="S60" i="126"/>
  <c r="T60" i="126"/>
  <c r="U60" i="126"/>
  <c r="V60" i="126"/>
  <c r="W60" i="126"/>
  <c r="X60" i="126"/>
  <c r="Y60" i="126"/>
  <c r="Z60" i="126"/>
  <c r="AA60" i="126"/>
  <c r="AB60" i="126"/>
  <c r="AC60" i="126"/>
  <c r="AD60" i="126"/>
  <c r="AE60" i="126"/>
  <c r="AF60" i="126"/>
  <c r="AG60" i="126"/>
  <c r="AH60" i="126"/>
  <c r="AI60" i="126"/>
  <c r="P61" i="126"/>
  <c r="Q61" i="126"/>
  <c r="R61" i="126"/>
  <c r="S61" i="126"/>
  <c r="T61" i="126"/>
  <c r="U61" i="126"/>
  <c r="V61" i="126"/>
  <c r="W61" i="126"/>
  <c r="X61" i="126"/>
  <c r="Y61" i="126"/>
  <c r="Z61" i="126"/>
  <c r="AA61" i="126"/>
  <c r="AB61" i="126"/>
  <c r="AC61" i="126"/>
  <c r="AD61" i="126"/>
  <c r="AE61" i="126"/>
  <c r="AF61" i="126"/>
  <c r="AG61" i="126"/>
  <c r="AH61" i="126"/>
  <c r="AI61" i="126"/>
  <c r="P62" i="126"/>
  <c r="Q62" i="126"/>
  <c r="R62" i="126"/>
  <c r="S62" i="126"/>
  <c r="T62" i="126"/>
  <c r="U62" i="126"/>
  <c r="V62" i="126"/>
  <c r="W62" i="126"/>
  <c r="X62" i="126"/>
  <c r="Y62" i="126"/>
  <c r="Z62" i="126"/>
  <c r="AA62" i="126"/>
  <c r="AB62" i="126"/>
  <c r="AC62" i="126"/>
  <c r="AD62" i="126"/>
  <c r="AE62" i="126"/>
  <c r="AF62" i="126"/>
  <c r="AG62" i="126"/>
  <c r="AH62" i="126"/>
  <c r="AI62" i="126"/>
  <c r="P63" i="126"/>
  <c r="Q63" i="126"/>
  <c r="R63" i="126"/>
  <c r="S63" i="126"/>
  <c r="T63" i="126"/>
  <c r="U63" i="126"/>
  <c r="V63" i="126"/>
  <c r="W63" i="126"/>
  <c r="X63" i="126"/>
  <c r="Y63" i="126"/>
  <c r="Z63" i="126"/>
  <c r="AA63" i="126"/>
  <c r="AB63" i="126"/>
  <c r="AC63" i="126"/>
  <c r="AD63" i="126"/>
  <c r="AE63" i="126"/>
  <c r="AF63" i="126"/>
  <c r="AG63" i="126"/>
  <c r="AH63" i="126"/>
  <c r="AI63" i="126"/>
  <c r="P64" i="126"/>
  <c r="Q64" i="126"/>
  <c r="R64" i="126"/>
  <c r="S64" i="126"/>
  <c r="T64" i="126"/>
  <c r="U64" i="126"/>
  <c r="V64" i="126"/>
  <c r="W64" i="126"/>
  <c r="X64" i="126"/>
  <c r="Y64" i="126"/>
  <c r="Z64" i="126"/>
  <c r="AA64" i="126"/>
  <c r="AB64" i="126"/>
  <c r="AC64" i="126"/>
  <c r="AD64" i="126"/>
  <c r="AE64" i="126"/>
  <c r="AF64" i="126"/>
  <c r="AG64" i="126"/>
  <c r="AH64" i="126"/>
  <c r="AI64" i="126"/>
  <c r="P65" i="126"/>
  <c r="Q65" i="126"/>
  <c r="R65" i="126"/>
  <c r="S65" i="126"/>
  <c r="T65" i="126"/>
  <c r="U65" i="126"/>
  <c r="V65" i="126"/>
  <c r="W65" i="126"/>
  <c r="X65" i="126"/>
  <c r="Y65" i="126"/>
  <c r="Z65" i="126"/>
  <c r="AA65" i="126"/>
  <c r="AB65" i="126"/>
  <c r="AC65" i="126"/>
  <c r="AD65" i="126"/>
  <c r="AE65" i="126"/>
  <c r="AF65" i="126"/>
  <c r="AG65" i="126"/>
  <c r="AH65" i="126"/>
  <c r="AI65" i="126"/>
  <c r="H25" i="126"/>
  <c r="H26" i="126"/>
  <c r="H27" i="126"/>
  <c r="H28" i="126"/>
  <c r="H29" i="126"/>
  <c r="H30" i="126"/>
  <c r="H31" i="126"/>
  <c r="H32" i="126"/>
  <c r="H33" i="126"/>
  <c r="H34" i="126"/>
  <c r="H35" i="126"/>
  <c r="H36" i="126"/>
  <c r="H37" i="126"/>
  <c r="H38" i="126"/>
  <c r="H39" i="126"/>
  <c r="H40" i="126"/>
  <c r="H41" i="126"/>
  <c r="H42" i="126"/>
  <c r="H43" i="126"/>
  <c r="AI15" i="126"/>
  <c r="AH15" i="126"/>
  <c r="AG15" i="126"/>
  <c r="AF15" i="126"/>
  <c r="AE15" i="126"/>
  <c r="AD15" i="126"/>
  <c r="AB15" i="126"/>
  <c r="AA15" i="126"/>
  <c r="Y15" i="126"/>
  <c r="X15" i="126"/>
  <c r="U15" i="126"/>
  <c r="T15" i="126"/>
  <c r="R15" i="126"/>
  <c r="Q15" i="126"/>
  <c r="T12" i="126"/>
  <c r="S12" i="126"/>
  <c r="AC15" i="126" s="1"/>
  <c r="R12" i="126"/>
  <c r="Q12" i="126"/>
  <c r="P12" i="126"/>
  <c r="P15" i="126" s="1"/>
  <c r="O15" i="127" l="1"/>
  <c r="S15" i="126"/>
  <c r="X16" i="126"/>
  <c r="M16" i="126" s="1"/>
  <c r="W15" i="126"/>
  <c r="R16" i="126"/>
  <c r="M65" i="126"/>
  <c r="M64" i="126"/>
  <c r="M63" i="126"/>
  <c r="M62" i="126"/>
  <c r="M61" i="126"/>
  <c r="M60" i="126"/>
  <c r="M59" i="126"/>
  <c r="M57" i="126"/>
  <c r="M56" i="126"/>
  <c r="M55" i="126"/>
  <c r="V15" i="126"/>
  <c r="Q16" i="126"/>
  <c r="N65" i="126"/>
  <c r="L65" i="126"/>
  <c r="N64" i="126"/>
  <c r="L64" i="126"/>
  <c r="N63" i="126"/>
  <c r="L63" i="126"/>
  <c r="N62" i="126"/>
  <c r="L62" i="126"/>
  <c r="N61" i="126"/>
  <c r="L61" i="126"/>
  <c r="N60" i="126"/>
  <c r="L60" i="126"/>
  <c r="N59" i="126"/>
  <c r="L59" i="126"/>
  <c r="N58" i="126"/>
  <c r="N57" i="126"/>
  <c r="L57" i="126"/>
  <c r="N56" i="126"/>
  <c r="L56" i="126"/>
  <c r="N55" i="126"/>
  <c r="L55" i="126"/>
  <c r="Z15" i="126"/>
  <c r="N15" i="126" s="1"/>
  <c r="P16" i="126"/>
  <c r="L16" i="126" s="1"/>
  <c r="L15" i="126"/>
  <c r="O65" i="126"/>
  <c r="O64" i="126"/>
  <c r="O63" i="126"/>
  <c r="O62" i="126"/>
  <c r="O61" i="126"/>
  <c r="O60" i="126"/>
  <c r="O59" i="126"/>
  <c r="O58" i="126"/>
  <c r="L58" i="126"/>
  <c r="M15" i="126"/>
  <c r="H16" i="127"/>
  <c r="H51" i="127"/>
  <c r="H43" i="127"/>
  <c r="H35" i="127"/>
  <c r="H23" i="127"/>
  <c r="H15" i="127"/>
  <c r="H39" i="127"/>
  <c r="H54" i="127"/>
  <c r="H52" i="127"/>
  <c r="H50" i="127"/>
  <c r="H48" i="127"/>
  <c r="H46" i="127"/>
  <c r="H44" i="127"/>
  <c r="H42" i="127"/>
  <c r="H40" i="127"/>
  <c r="H38" i="127"/>
  <c r="H36" i="127"/>
  <c r="H34" i="127"/>
  <c r="H32" i="127"/>
  <c r="H29" i="127"/>
  <c r="H25" i="127"/>
  <c r="H21" i="127"/>
  <c r="H17" i="127"/>
  <c r="H53" i="127"/>
  <c r="H49" i="127"/>
  <c r="H45" i="127"/>
  <c r="H41" i="127"/>
  <c r="H37" i="127"/>
  <c r="H33" i="127"/>
  <c r="H27" i="127"/>
  <c r="H19" i="127"/>
  <c r="M58" i="126"/>
  <c r="O57" i="126"/>
  <c r="O56" i="126"/>
  <c r="O55" i="126"/>
  <c r="H54" i="126"/>
  <c r="H53" i="126"/>
  <c r="H52" i="126"/>
  <c r="H51" i="126"/>
  <c r="H50" i="126"/>
  <c r="H49" i="126"/>
  <c r="H48" i="126"/>
  <c r="H47" i="126"/>
  <c r="H46" i="126"/>
  <c r="H45" i="126"/>
  <c r="H44" i="126"/>
  <c r="H24" i="126"/>
  <c r="H23" i="126"/>
  <c r="H22" i="126"/>
  <c r="H21" i="126"/>
  <c r="H20" i="126"/>
  <c r="H19" i="126"/>
  <c r="H18" i="126"/>
  <c r="H17" i="126"/>
  <c r="J114" i="74" l="1"/>
  <c r="J17" i="153"/>
  <c r="J17" i="152"/>
  <c r="J17" i="154"/>
  <c r="J17" i="132"/>
  <c r="O15" i="126"/>
  <c r="H15" i="126"/>
  <c r="H16" i="126"/>
  <c r="G14" i="149" l="1"/>
  <c r="G13" i="149"/>
  <c r="G12" i="149"/>
  <c r="G11" i="149"/>
  <c r="G10" i="149"/>
  <c r="B54" i="127" l="1"/>
  <c r="B53" i="127"/>
  <c r="B52" i="127"/>
  <c r="B51" i="127"/>
  <c r="B50" i="127"/>
  <c r="B49" i="127"/>
  <c r="B48" i="127"/>
  <c r="B47" i="127"/>
  <c r="B46" i="127"/>
  <c r="B45" i="127"/>
  <c r="B44" i="127"/>
  <c r="B43" i="127"/>
  <c r="B42" i="127"/>
  <c r="B41" i="127"/>
  <c r="B40" i="127"/>
  <c r="B39" i="127"/>
  <c r="B38" i="127"/>
  <c r="B37" i="127"/>
  <c r="B36" i="127"/>
  <c r="B35" i="127"/>
  <c r="B34" i="127"/>
  <c r="B33" i="127"/>
  <c r="B32" i="127"/>
  <c r="B31" i="127"/>
  <c r="B30" i="127"/>
  <c r="B29" i="127"/>
  <c r="B28" i="127"/>
  <c r="B27" i="127"/>
  <c r="B26" i="127"/>
  <c r="B25" i="127"/>
  <c r="B24" i="127"/>
  <c r="B23" i="127"/>
  <c r="B22" i="127"/>
  <c r="B21" i="127"/>
  <c r="B20" i="127"/>
  <c r="B19" i="127"/>
  <c r="B18" i="127"/>
  <c r="B17" i="127"/>
  <c r="B16" i="127"/>
  <c r="B15" i="127"/>
  <c r="B54" i="126"/>
  <c r="B53" i="126"/>
  <c r="B52" i="126"/>
  <c r="B51" i="126"/>
  <c r="B50" i="126"/>
  <c r="B49" i="126"/>
  <c r="B48" i="126"/>
  <c r="B47" i="126"/>
  <c r="B46" i="126"/>
  <c r="B45" i="126"/>
  <c r="B44" i="126"/>
  <c r="B43" i="126"/>
  <c r="B42" i="126"/>
  <c r="B41" i="126"/>
  <c r="B40" i="126"/>
  <c r="B39" i="126"/>
  <c r="B38" i="126"/>
  <c r="B37" i="126"/>
  <c r="B36" i="126"/>
  <c r="B35" i="126"/>
  <c r="B34" i="126"/>
  <c r="B33" i="126"/>
  <c r="B32" i="126"/>
  <c r="B31" i="126"/>
  <c r="B30" i="126"/>
  <c r="B29" i="126"/>
  <c r="B28" i="126"/>
  <c r="B27" i="126"/>
  <c r="B26" i="126"/>
  <c r="B25" i="126"/>
  <c r="B24" i="126"/>
  <c r="B23" i="126"/>
  <c r="B22" i="126"/>
  <c r="B21" i="126"/>
  <c r="B20" i="126"/>
  <c r="B19" i="126"/>
  <c r="B18" i="126"/>
  <c r="B17" i="126"/>
  <c r="B16" i="126"/>
  <c r="B15" i="126"/>
  <c r="J109" i="74" l="1"/>
  <c r="V285" i="103"/>
  <c r="W280" i="103"/>
  <c r="W278" i="103"/>
  <c r="W272" i="103"/>
  <c r="V264" i="103"/>
  <c r="V258" i="103"/>
  <c r="V250" i="103"/>
  <c r="V244" i="103"/>
  <c r="V236" i="103"/>
  <c r="V230" i="103"/>
  <c r="V222" i="103"/>
  <c r="V216" i="103"/>
  <c r="V210" i="103"/>
  <c r="V208" i="103"/>
  <c r="V202" i="103"/>
  <c r="V194" i="103"/>
  <c r="V188" i="103"/>
  <c r="V180" i="103"/>
  <c r="V174" i="103"/>
  <c r="V160" i="103"/>
  <c r="W154" i="103"/>
  <c r="W152" i="103"/>
  <c r="W146" i="103"/>
  <c r="V124" i="103"/>
  <c r="V118" i="103"/>
  <c r="W112" i="103"/>
  <c r="W110" i="103"/>
  <c r="W104" i="103"/>
  <c r="V96" i="103"/>
  <c r="V90" i="103"/>
  <c r="V82" i="103"/>
  <c r="V76" i="103"/>
  <c r="V68" i="103"/>
  <c r="V62" i="103"/>
  <c r="V54" i="103"/>
  <c r="V48" i="103"/>
  <c r="V41" i="103"/>
  <c r="W34" i="103"/>
  <c r="W28" i="103"/>
  <c r="W26" i="103"/>
  <c r="V166" i="77"/>
  <c r="V165" i="77"/>
  <c r="W164" i="77"/>
  <c r="V162" i="77"/>
  <c r="V161" i="77"/>
  <c r="V158" i="77"/>
  <c r="V157" i="77"/>
  <c r="U156" i="77"/>
  <c r="V154" i="77"/>
  <c r="V153" i="77"/>
  <c r="U150" i="77"/>
  <c r="V150" i="77"/>
  <c r="V149" i="77"/>
  <c r="U148" i="77"/>
  <c r="V146" i="77"/>
  <c r="V145" i="77"/>
  <c r="V142" i="77"/>
  <c r="V141" i="77"/>
  <c r="U140" i="77"/>
  <c r="V138" i="77"/>
  <c r="V137" i="77"/>
  <c r="V134" i="77"/>
  <c r="V133" i="77"/>
  <c r="U132" i="77"/>
  <c r="V130" i="77"/>
  <c r="V129" i="77"/>
  <c r="T131" i="77"/>
  <c r="V126" i="77"/>
  <c r="V125" i="77"/>
  <c r="W124" i="77"/>
  <c r="V122" i="77"/>
  <c r="V121" i="77"/>
  <c r="V118" i="77"/>
  <c r="V117" i="77"/>
  <c r="U116" i="77"/>
  <c r="V114" i="77"/>
  <c r="V113" i="77"/>
  <c r="V110" i="77"/>
  <c r="V109" i="77"/>
  <c r="U108" i="77"/>
  <c r="V106" i="77"/>
  <c r="V105" i="77"/>
  <c r="V102" i="77"/>
  <c r="V101" i="77"/>
  <c r="U100" i="77"/>
  <c r="W98" i="77"/>
  <c r="V97" i="77"/>
  <c r="W96" i="77"/>
  <c r="V94" i="77"/>
  <c r="W93" i="77"/>
  <c r="U92" i="77"/>
  <c r="W90" i="77"/>
  <c r="V89" i="77"/>
  <c r="W88" i="77"/>
  <c r="V86" i="77"/>
  <c r="W85" i="77"/>
  <c r="W84" i="77"/>
  <c r="W82" i="77"/>
  <c r="V81" i="77"/>
  <c r="W80" i="77"/>
  <c r="V78" i="77"/>
  <c r="W77" i="77"/>
  <c r="U76" i="77"/>
  <c r="W74" i="77"/>
  <c r="V73" i="77"/>
  <c r="W72" i="77"/>
  <c r="V70" i="77"/>
  <c r="W69" i="77"/>
  <c r="U68" i="77"/>
  <c r="W66" i="77"/>
  <c r="U65" i="77"/>
  <c r="V62" i="77"/>
  <c r="V61" i="77"/>
  <c r="U60" i="77"/>
  <c r="V58" i="77"/>
  <c r="V57" i="77"/>
  <c r="V54" i="77"/>
  <c r="V53" i="77"/>
  <c r="U52" i="77"/>
  <c r="V50" i="77"/>
  <c r="V49" i="77"/>
  <c r="W46" i="77"/>
  <c r="V45" i="77"/>
  <c r="W44" i="77"/>
  <c r="V42" i="77"/>
  <c r="V41" i="77"/>
  <c r="W40" i="77"/>
  <c r="V38" i="77"/>
  <c r="V37" i="77"/>
  <c r="W36" i="77"/>
  <c r="V34" i="77"/>
  <c r="V33" i="77"/>
  <c r="W32" i="77"/>
  <c r="V30" i="77"/>
  <c r="V29" i="77"/>
  <c r="W28" i="77"/>
  <c r="V26" i="77"/>
  <c r="V25" i="77"/>
  <c r="W24" i="77"/>
  <c r="V22" i="77"/>
  <c r="V21" i="77"/>
  <c r="W20" i="77"/>
  <c r="V18" i="77"/>
  <c r="V17" i="77"/>
  <c r="W16" i="77"/>
  <c r="V14" i="77"/>
  <c r="V13" i="77"/>
  <c r="W12" i="77"/>
  <c r="N51" i="60"/>
  <c r="O51" i="60"/>
  <c r="P51" i="60"/>
  <c r="Q51" i="60"/>
  <c r="R51" i="60"/>
  <c r="S51" i="60"/>
  <c r="T51" i="60"/>
  <c r="U51" i="60"/>
  <c r="N52" i="60"/>
  <c r="O52" i="60"/>
  <c r="P52" i="60"/>
  <c r="Q52" i="60"/>
  <c r="R52" i="60"/>
  <c r="S52" i="60"/>
  <c r="T52" i="60"/>
  <c r="U52" i="60"/>
  <c r="N53" i="60"/>
  <c r="O53" i="60"/>
  <c r="P53" i="60"/>
  <c r="Q53" i="60"/>
  <c r="R53" i="60"/>
  <c r="S53" i="60"/>
  <c r="T53" i="60"/>
  <c r="U53" i="60"/>
  <c r="N54" i="60"/>
  <c r="O54" i="60"/>
  <c r="P54" i="60"/>
  <c r="Q54" i="60"/>
  <c r="R54" i="60"/>
  <c r="S54" i="60"/>
  <c r="T54" i="60"/>
  <c r="U54" i="60"/>
  <c r="N55" i="60"/>
  <c r="O55" i="60"/>
  <c r="P55" i="60"/>
  <c r="Q55" i="60"/>
  <c r="R55" i="60"/>
  <c r="S55" i="60"/>
  <c r="T55" i="60"/>
  <c r="U55" i="60"/>
  <c r="N56" i="60"/>
  <c r="O56" i="60"/>
  <c r="P56" i="60"/>
  <c r="Q56" i="60"/>
  <c r="R56" i="60"/>
  <c r="S56" i="60"/>
  <c r="T56" i="60"/>
  <c r="U56" i="60"/>
  <c r="N57" i="60"/>
  <c r="O57" i="60"/>
  <c r="P57" i="60"/>
  <c r="Q57" i="60"/>
  <c r="R57" i="60"/>
  <c r="S57" i="60"/>
  <c r="T57" i="60"/>
  <c r="U57" i="60"/>
  <c r="N58" i="60"/>
  <c r="O58" i="60"/>
  <c r="P58" i="60"/>
  <c r="Q58" i="60"/>
  <c r="R58" i="60"/>
  <c r="S58" i="60"/>
  <c r="T58" i="60"/>
  <c r="U58" i="60"/>
  <c r="N59" i="60"/>
  <c r="O59" i="60"/>
  <c r="P59" i="60"/>
  <c r="Q59" i="60"/>
  <c r="R59" i="60"/>
  <c r="S59" i="60"/>
  <c r="T59" i="60"/>
  <c r="U59" i="60"/>
  <c r="N60" i="60"/>
  <c r="O60" i="60"/>
  <c r="P60" i="60"/>
  <c r="Q60" i="60"/>
  <c r="R60" i="60"/>
  <c r="S60" i="60"/>
  <c r="T60" i="60"/>
  <c r="U60" i="60"/>
  <c r="N61" i="60"/>
  <c r="O61" i="60"/>
  <c r="P61" i="60"/>
  <c r="Q61" i="60"/>
  <c r="R61" i="60"/>
  <c r="S61" i="60"/>
  <c r="T61" i="60"/>
  <c r="U61" i="60"/>
  <c r="N62" i="60"/>
  <c r="O62" i="60"/>
  <c r="P62" i="60"/>
  <c r="Q62" i="60"/>
  <c r="R62" i="60"/>
  <c r="S62" i="60"/>
  <c r="T62" i="60"/>
  <c r="U62" i="60"/>
  <c r="N63" i="60"/>
  <c r="O63" i="60"/>
  <c r="P63" i="60"/>
  <c r="Q63" i="60"/>
  <c r="R63" i="60"/>
  <c r="S63" i="60"/>
  <c r="T63" i="60"/>
  <c r="U63" i="60"/>
  <c r="N64" i="60"/>
  <c r="O64" i="60"/>
  <c r="P64" i="60"/>
  <c r="Q64" i="60"/>
  <c r="R64" i="60"/>
  <c r="S64" i="60"/>
  <c r="T64" i="60"/>
  <c r="U64" i="60"/>
  <c r="N65" i="60"/>
  <c r="O65" i="60"/>
  <c r="P65" i="60"/>
  <c r="Q65" i="60"/>
  <c r="R65" i="60"/>
  <c r="S65" i="60"/>
  <c r="T65" i="60"/>
  <c r="U65" i="60"/>
  <c r="N66" i="60"/>
  <c r="O66" i="60"/>
  <c r="P66" i="60"/>
  <c r="Q66" i="60"/>
  <c r="R66" i="60"/>
  <c r="S66" i="60"/>
  <c r="T66" i="60"/>
  <c r="U66" i="60"/>
  <c r="N67" i="60"/>
  <c r="O67" i="60"/>
  <c r="P67" i="60"/>
  <c r="Q67" i="60"/>
  <c r="R67" i="60"/>
  <c r="S67" i="60"/>
  <c r="T67" i="60"/>
  <c r="U67" i="60"/>
  <c r="N68" i="60"/>
  <c r="O68" i="60"/>
  <c r="P68" i="60"/>
  <c r="Q68" i="60"/>
  <c r="R68" i="60"/>
  <c r="S68" i="60"/>
  <c r="T68" i="60"/>
  <c r="U68" i="60"/>
  <c r="N69" i="60"/>
  <c r="O69" i="60"/>
  <c r="P69" i="60"/>
  <c r="Q69" i="60"/>
  <c r="R69" i="60"/>
  <c r="S69" i="60"/>
  <c r="T69" i="60"/>
  <c r="U69" i="60"/>
  <c r="N70" i="60"/>
  <c r="O70" i="60"/>
  <c r="P70" i="60"/>
  <c r="Q70" i="60"/>
  <c r="R70" i="60"/>
  <c r="S70" i="60"/>
  <c r="T70" i="60"/>
  <c r="U70" i="60"/>
  <c r="N71" i="60"/>
  <c r="O71" i="60"/>
  <c r="P71" i="60"/>
  <c r="Q71" i="60"/>
  <c r="R71" i="60"/>
  <c r="S71" i="60"/>
  <c r="T71" i="60"/>
  <c r="U71" i="60"/>
  <c r="N72" i="60"/>
  <c r="O72" i="60"/>
  <c r="P72" i="60"/>
  <c r="Q72" i="60"/>
  <c r="R72" i="60"/>
  <c r="S72" i="60"/>
  <c r="T72" i="60"/>
  <c r="U72" i="60"/>
  <c r="N73" i="60"/>
  <c r="O73" i="60"/>
  <c r="P73" i="60"/>
  <c r="Q73" i="60"/>
  <c r="R73" i="60"/>
  <c r="S73" i="60"/>
  <c r="T73" i="60"/>
  <c r="U73" i="60"/>
  <c r="N74" i="60"/>
  <c r="O74" i="60"/>
  <c r="P74" i="60"/>
  <c r="Q74" i="60"/>
  <c r="R74" i="60"/>
  <c r="S74" i="60"/>
  <c r="T74" i="60"/>
  <c r="U74" i="60"/>
  <c r="N75" i="60"/>
  <c r="O75" i="60"/>
  <c r="P75" i="60"/>
  <c r="Q75" i="60"/>
  <c r="R75" i="60"/>
  <c r="S75" i="60"/>
  <c r="T75" i="60"/>
  <c r="U75" i="60"/>
  <c r="N76" i="60"/>
  <c r="O76" i="60"/>
  <c r="P76" i="60"/>
  <c r="Q76" i="60"/>
  <c r="R76" i="60"/>
  <c r="S76" i="60"/>
  <c r="T76" i="60"/>
  <c r="U76" i="60"/>
  <c r="N77" i="60"/>
  <c r="O77" i="60"/>
  <c r="P77" i="60"/>
  <c r="Q77" i="60"/>
  <c r="R77" i="60"/>
  <c r="S77" i="60"/>
  <c r="T77" i="60"/>
  <c r="U77" i="60"/>
  <c r="N78" i="60"/>
  <c r="O78" i="60"/>
  <c r="P78" i="60"/>
  <c r="Q78" i="60"/>
  <c r="R78" i="60"/>
  <c r="S78" i="60"/>
  <c r="T78" i="60"/>
  <c r="U78" i="60"/>
  <c r="N79" i="60"/>
  <c r="O79" i="60"/>
  <c r="P79" i="60"/>
  <c r="Q79" i="60"/>
  <c r="R79" i="60"/>
  <c r="S79" i="60"/>
  <c r="T79" i="60"/>
  <c r="U79" i="60"/>
  <c r="N80" i="60"/>
  <c r="O80" i="60"/>
  <c r="P80" i="60"/>
  <c r="Q80" i="60"/>
  <c r="R80" i="60"/>
  <c r="S80" i="60"/>
  <c r="T80" i="60"/>
  <c r="U80" i="60"/>
  <c r="N81" i="60"/>
  <c r="O81" i="60"/>
  <c r="P81" i="60"/>
  <c r="Q81" i="60"/>
  <c r="R81" i="60"/>
  <c r="S81" i="60"/>
  <c r="T81" i="60"/>
  <c r="U81" i="60"/>
  <c r="N82" i="60"/>
  <c r="O82" i="60"/>
  <c r="P82" i="60"/>
  <c r="Q82" i="60"/>
  <c r="R82" i="60"/>
  <c r="S82" i="60"/>
  <c r="T82" i="60"/>
  <c r="U82" i="60"/>
  <c r="N83" i="60"/>
  <c r="O83" i="60"/>
  <c r="P83" i="60"/>
  <c r="Q83" i="60"/>
  <c r="R83" i="60"/>
  <c r="S83" i="60"/>
  <c r="T83" i="60"/>
  <c r="U83" i="60"/>
  <c r="N84" i="60"/>
  <c r="O84" i="60"/>
  <c r="P84" i="60"/>
  <c r="Q84" i="60"/>
  <c r="R84" i="60"/>
  <c r="S84" i="60"/>
  <c r="T84" i="60"/>
  <c r="U84" i="60"/>
  <c r="N85" i="60"/>
  <c r="O85" i="60"/>
  <c r="P85" i="60"/>
  <c r="Q85" i="60"/>
  <c r="R85" i="60"/>
  <c r="S85" i="60"/>
  <c r="T85" i="60"/>
  <c r="U85" i="60"/>
  <c r="N86" i="60"/>
  <c r="O86" i="60"/>
  <c r="P86" i="60"/>
  <c r="Q86" i="60"/>
  <c r="R86" i="60"/>
  <c r="S86" i="60"/>
  <c r="T86" i="60"/>
  <c r="U86" i="60"/>
  <c r="N87" i="60"/>
  <c r="O87" i="60"/>
  <c r="P87" i="60"/>
  <c r="Q87" i="60"/>
  <c r="R87" i="60"/>
  <c r="S87" i="60"/>
  <c r="T87" i="60"/>
  <c r="U87" i="60"/>
  <c r="N88" i="60"/>
  <c r="O88" i="60"/>
  <c r="P88" i="60"/>
  <c r="Q88" i="60"/>
  <c r="R88" i="60"/>
  <c r="S88" i="60"/>
  <c r="T88" i="60"/>
  <c r="U88" i="60"/>
  <c r="N89" i="60"/>
  <c r="O89" i="60"/>
  <c r="P89" i="60"/>
  <c r="Q89" i="60"/>
  <c r="R89" i="60"/>
  <c r="S89" i="60"/>
  <c r="T89" i="60"/>
  <c r="U89" i="60"/>
  <c r="N90" i="60"/>
  <c r="O90" i="60"/>
  <c r="P90" i="60"/>
  <c r="Q90" i="60"/>
  <c r="R90" i="60"/>
  <c r="S90" i="60"/>
  <c r="T90" i="60"/>
  <c r="U90" i="60"/>
  <c r="M90" i="60"/>
  <c r="M89" i="60"/>
  <c r="M88" i="60"/>
  <c r="V88" i="60" s="1"/>
  <c r="M87" i="60"/>
  <c r="M86" i="60"/>
  <c r="M85" i="60"/>
  <c r="M84" i="60"/>
  <c r="V84" i="60" s="1"/>
  <c r="M83" i="60"/>
  <c r="M82" i="60"/>
  <c r="V82" i="60" s="1"/>
  <c r="M81" i="60"/>
  <c r="M80" i="60"/>
  <c r="V80" i="60" s="1"/>
  <c r="M79" i="60"/>
  <c r="M78" i="60"/>
  <c r="V78" i="60" s="1"/>
  <c r="M77" i="60"/>
  <c r="M76" i="60"/>
  <c r="V76" i="60" s="1"/>
  <c r="M75" i="60"/>
  <c r="M74" i="60"/>
  <c r="V74" i="60" s="1"/>
  <c r="M73" i="60"/>
  <c r="M72" i="60"/>
  <c r="V72" i="60" s="1"/>
  <c r="M71" i="60"/>
  <c r="M70" i="60"/>
  <c r="V70" i="60" s="1"/>
  <c r="M69" i="60"/>
  <c r="M68" i="60"/>
  <c r="V68" i="60" s="1"/>
  <c r="M67" i="60"/>
  <c r="M66" i="60"/>
  <c r="V66" i="60" s="1"/>
  <c r="M65" i="60"/>
  <c r="M64" i="60"/>
  <c r="V64" i="60" s="1"/>
  <c r="M63" i="60"/>
  <c r="M62" i="60"/>
  <c r="V62" i="60" s="1"/>
  <c r="M61" i="60"/>
  <c r="L87" i="60"/>
  <c r="B87" i="60"/>
  <c r="X40" i="60"/>
  <c r="L40" i="60"/>
  <c r="B40" i="60"/>
  <c r="M60" i="60"/>
  <c r="M59" i="60"/>
  <c r="M58" i="60"/>
  <c r="M57" i="60"/>
  <c r="M56" i="60"/>
  <c r="M55" i="60"/>
  <c r="M54" i="60"/>
  <c r="M53" i="60"/>
  <c r="M52" i="60"/>
  <c r="M51" i="60"/>
  <c r="D51" i="60"/>
  <c r="E51" i="60"/>
  <c r="F51" i="60"/>
  <c r="G51" i="60"/>
  <c r="H51" i="60"/>
  <c r="D52" i="60"/>
  <c r="E52" i="60"/>
  <c r="F52" i="60"/>
  <c r="G52" i="60"/>
  <c r="H52" i="60"/>
  <c r="D53" i="60"/>
  <c r="E53" i="60"/>
  <c r="F53" i="60"/>
  <c r="G53" i="60"/>
  <c r="H53" i="60"/>
  <c r="D54" i="60"/>
  <c r="E54" i="60"/>
  <c r="F54" i="60"/>
  <c r="G54" i="60"/>
  <c r="H54" i="60"/>
  <c r="D55" i="60"/>
  <c r="E55" i="60"/>
  <c r="F55" i="60"/>
  <c r="G55" i="60"/>
  <c r="H55" i="60"/>
  <c r="D56" i="60"/>
  <c r="E56" i="60"/>
  <c r="F56" i="60"/>
  <c r="G56" i="60"/>
  <c r="H56" i="60"/>
  <c r="D57" i="60"/>
  <c r="E57" i="60"/>
  <c r="F57" i="60"/>
  <c r="G57" i="60"/>
  <c r="H57" i="60"/>
  <c r="D58" i="60"/>
  <c r="E58" i="60"/>
  <c r="F58" i="60"/>
  <c r="G58" i="60"/>
  <c r="H58" i="60"/>
  <c r="D59" i="60"/>
  <c r="E59" i="60"/>
  <c r="F59" i="60"/>
  <c r="G59" i="60"/>
  <c r="H59" i="60"/>
  <c r="D60" i="60"/>
  <c r="E60" i="60"/>
  <c r="F60" i="60"/>
  <c r="G60" i="60"/>
  <c r="H60" i="60"/>
  <c r="D61" i="60"/>
  <c r="E61" i="60"/>
  <c r="F61" i="60"/>
  <c r="G61" i="60"/>
  <c r="H61" i="60"/>
  <c r="D62" i="60"/>
  <c r="E62" i="60"/>
  <c r="F62" i="60"/>
  <c r="G62" i="60"/>
  <c r="H62" i="60"/>
  <c r="D63" i="60"/>
  <c r="E63" i="60"/>
  <c r="F63" i="60"/>
  <c r="G63" i="60"/>
  <c r="H63" i="60"/>
  <c r="D64" i="60"/>
  <c r="E64" i="60"/>
  <c r="F64" i="60"/>
  <c r="G64" i="60"/>
  <c r="H64" i="60"/>
  <c r="D65" i="60"/>
  <c r="E65" i="60"/>
  <c r="F65" i="60"/>
  <c r="G65" i="60"/>
  <c r="H65" i="60"/>
  <c r="D66" i="60"/>
  <c r="E66" i="60"/>
  <c r="F66" i="60"/>
  <c r="G66" i="60"/>
  <c r="H66" i="60"/>
  <c r="D67" i="60"/>
  <c r="E67" i="60"/>
  <c r="F67" i="60"/>
  <c r="G67" i="60"/>
  <c r="H67" i="60"/>
  <c r="D68" i="60"/>
  <c r="E68" i="60"/>
  <c r="F68" i="60"/>
  <c r="G68" i="60"/>
  <c r="H68" i="60"/>
  <c r="D69" i="60"/>
  <c r="E69" i="60"/>
  <c r="F69" i="60"/>
  <c r="G69" i="60"/>
  <c r="H69" i="60"/>
  <c r="D70" i="60"/>
  <c r="E70" i="60"/>
  <c r="F70" i="60"/>
  <c r="G70" i="60"/>
  <c r="H70" i="60"/>
  <c r="D71" i="60"/>
  <c r="E71" i="60"/>
  <c r="F71" i="60"/>
  <c r="G71" i="60"/>
  <c r="H71" i="60"/>
  <c r="D72" i="60"/>
  <c r="E72" i="60"/>
  <c r="F72" i="60"/>
  <c r="G72" i="60"/>
  <c r="H72" i="60"/>
  <c r="D73" i="60"/>
  <c r="E73" i="60"/>
  <c r="F73" i="60"/>
  <c r="G73" i="60"/>
  <c r="H73" i="60"/>
  <c r="D74" i="60"/>
  <c r="E74" i="60"/>
  <c r="F74" i="60"/>
  <c r="G74" i="60"/>
  <c r="H74" i="60"/>
  <c r="D75" i="60"/>
  <c r="E75" i="60"/>
  <c r="F75" i="60"/>
  <c r="G75" i="60"/>
  <c r="H75" i="60"/>
  <c r="D76" i="60"/>
  <c r="E76" i="60"/>
  <c r="F76" i="60"/>
  <c r="G76" i="60"/>
  <c r="H76" i="60"/>
  <c r="D77" i="60"/>
  <c r="E77" i="60"/>
  <c r="F77" i="60"/>
  <c r="G77" i="60"/>
  <c r="H77" i="60"/>
  <c r="D78" i="60"/>
  <c r="E78" i="60"/>
  <c r="F78" i="60"/>
  <c r="G78" i="60"/>
  <c r="H78" i="60"/>
  <c r="D79" i="60"/>
  <c r="E79" i="60"/>
  <c r="F79" i="60"/>
  <c r="G79" i="60"/>
  <c r="H79" i="60"/>
  <c r="D80" i="60"/>
  <c r="E80" i="60"/>
  <c r="F80" i="60"/>
  <c r="G80" i="60"/>
  <c r="H80" i="60"/>
  <c r="D81" i="60"/>
  <c r="E81" i="60"/>
  <c r="F81" i="60"/>
  <c r="G81" i="60"/>
  <c r="H81" i="60"/>
  <c r="D82" i="60"/>
  <c r="E82" i="60"/>
  <c r="F82" i="60"/>
  <c r="G82" i="60"/>
  <c r="H82" i="60"/>
  <c r="D83" i="60"/>
  <c r="E83" i="60"/>
  <c r="F83" i="60"/>
  <c r="G83" i="60"/>
  <c r="H83" i="60"/>
  <c r="D84" i="60"/>
  <c r="E84" i="60"/>
  <c r="F84" i="60"/>
  <c r="G84" i="60"/>
  <c r="H84" i="60"/>
  <c r="D85" i="60"/>
  <c r="E85" i="60"/>
  <c r="F85" i="60"/>
  <c r="G85" i="60"/>
  <c r="H85" i="60"/>
  <c r="D86" i="60"/>
  <c r="E86" i="60"/>
  <c r="F86" i="60"/>
  <c r="G86" i="60"/>
  <c r="H86" i="60"/>
  <c r="D87" i="60"/>
  <c r="E87" i="60"/>
  <c r="F87" i="60"/>
  <c r="G87" i="60"/>
  <c r="H87" i="60"/>
  <c r="D88" i="60"/>
  <c r="E88" i="60"/>
  <c r="F88" i="60"/>
  <c r="G88" i="60"/>
  <c r="H88" i="60"/>
  <c r="D89" i="60"/>
  <c r="E89" i="60"/>
  <c r="F89" i="60"/>
  <c r="G89" i="60"/>
  <c r="H89" i="60"/>
  <c r="D90" i="60"/>
  <c r="E90" i="60"/>
  <c r="F90" i="60"/>
  <c r="G90" i="60"/>
  <c r="H90" i="60"/>
  <c r="C90" i="60"/>
  <c r="C89" i="60"/>
  <c r="I89" i="60" s="1"/>
  <c r="C88" i="60"/>
  <c r="C87" i="60"/>
  <c r="C86" i="60"/>
  <c r="C85" i="60"/>
  <c r="I85" i="60" s="1"/>
  <c r="C84" i="60"/>
  <c r="C83" i="60"/>
  <c r="I83" i="60" s="1"/>
  <c r="C82" i="60"/>
  <c r="C81" i="60"/>
  <c r="I81" i="60" s="1"/>
  <c r="C80" i="60"/>
  <c r="C79" i="60"/>
  <c r="I79" i="60" s="1"/>
  <c r="C78" i="60"/>
  <c r="C77" i="60"/>
  <c r="I77" i="60" s="1"/>
  <c r="C76" i="60"/>
  <c r="C75" i="60"/>
  <c r="I75" i="60" s="1"/>
  <c r="C74" i="60"/>
  <c r="C73" i="60"/>
  <c r="I73" i="60" s="1"/>
  <c r="C72" i="60"/>
  <c r="C71" i="60"/>
  <c r="I71" i="60" s="1"/>
  <c r="C70" i="60"/>
  <c r="C69" i="60"/>
  <c r="I69" i="60" s="1"/>
  <c r="C68" i="60"/>
  <c r="C67" i="60"/>
  <c r="I67" i="60" s="1"/>
  <c r="C66" i="60"/>
  <c r="C65" i="60"/>
  <c r="I65" i="60" s="1"/>
  <c r="C64" i="60"/>
  <c r="C63" i="60"/>
  <c r="I63" i="60" s="1"/>
  <c r="C62" i="60"/>
  <c r="C61" i="60"/>
  <c r="I61" i="60" s="1"/>
  <c r="C60" i="60"/>
  <c r="C59" i="60"/>
  <c r="I59" i="60" s="1"/>
  <c r="C58" i="60"/>
  <c r="C57" i="60"/>
  <c r="I57" i="60" s="1"/>
  <c r="C56" i="60"/>
  <c r="C55" i="60"/>
  <c r="I55" i="60" s="1"/>
  <c r="C54" i="60"/>
  <c r="C53" i="60"/>
  <c r="I53" i="60" s="1"/>
  <c r="C52" i="60"/>
  <c r="C51" i="60"/>
  <c r="I51" i="60" s="1"/>
  <c r="I87" i="60" l="1"/>
  <c r="I52" i="60"/>
  <c r="I54" i="60"/>
  <c r="I56" i="60"/>
  <c r="I58" i="60"/>
  <c r="I60" i="60"/>
  <c r="I62" i="60"/>
  <c r="I64" i="60"/>
  <c r="I66" i="60"/>
  <c r="I68" i="60"/>
  <c r="I70" i="60"/>
  <c r="I72" i="60"/>
  <c r="I74" i="60"/>
  <c r="I76" i="60"/>
  <c r="I78" i="60"/>
  <c r="I80" i="60"/>
  <c r="I82" i="60"/>
  <c r="I84" i="60"/>
  <c r="I86" i="60"/>
  <c r="I88" i="60"/>
  <c r="I90" i="60"/>
  <c r="I43" i="60"/>
  <c r="V52" i="60"/>
  <c r="V54" i="60"/>
  <c r="V56" i="60"/>
  <c r="V58" i="60"/>
  <c r="V60" i="60"/>
  <c r="Y43" i="60"/>
  <c r="V53" i="60"/>
  <c r="V57" i="60"/>
  <c r="V63" i="60"/>
  <c r="V67" i="60"/>
  <c r="V71" i="60"/>
  <c r="V75" i="60"/>
  <c r="V79" i="60"/>
  <c r="V83" i="60"/>
  <c r="V87" i="60"/>
  <c r="V86" i="60"/>
  <c r="V90" i="60"/>
  <c r="V43" i="60"/>
  <c r="V55" i="60"/>
  <c r="V59" i="60"/>
  <c r="V61" i="60"/>
  <c r="V65" i="60"/>
  <c r="V69" i="60"/>
  <c r="V73" i="60"/>
  <c r="V77" i="60"/>
  <c r="V81" i="60"/>
  <c r="V85" i="60"/>
  <c r="V89" i="60"/>
  <c r="V51" i="60"/>
  <c r="W221" i="103"/>
  <c r="W235" i="103"/>
  <c r="W242" i="103"/>
  <c r="U275" i="103"/>
  <c r="V199" i="103"/>
  <c r="W240" i="103"/>
  <c r="W220" i="103"/>
  <c r="U42" i="77"/>
  <c r="U129" i="77"/>
  <c r="U21" i="77"/>
  <c r="U32" i="77"/>
  <c r="U62" i="77"/>
  <c r="U118" i="77"/>
  <c r="V163" i="77"/>
  <c r="U16" i="77"/>
  <c r="U26" i="77"/>
  <c r="U37" i="77"/>
  <c r="V59" i="77"/>
  <c r="U57" i="77"/>
  <c r="U102" i="77"/>
  <c r="U113" i="77"/>
  <c r="U124" i="77"/>
  <c r="U134" i="77"/>
  <c r="U145" i="77"/>
  <c r="U165" i="77"/>
  <c r="U13" i="77"/>
  <c r="U18" i="77"/>
  <c r="U24" i="77"/>
  <c r="U29" i="77"/>
  <c r="U34" i="77"/>
  <c r="U40" i="77"/>
  <c r="U45" i="77"/>
  <c r="T51" i="77"/>
  <c r="U49" i="77"/>
  <c r="U54" i="77"/>
  <c r="V67" i="77"/>
  <c r="U70" i="77"/>
  <c r="U73" i="77"/>
  <c r="U78" i="77"/>
  <c r="U81" i="77"/>
  <c r="U84" i="77"/>
  <c r="U86" i="77"/>
  <c r="U89" i="77"/>
  <c r="U94" i="77"/>
  <c r="U97" i="77"/>
  <c r="V107" i="77"/>
  <c r="U105" i="77"/>
  <c r="U110" i="77"/>
  <c r="U121" i="77"/>
  <c r="U126" i="77"/>
  <c r="V139" i="77"/>
  <c r="U137" i="77"/>
  <c r="U142" i="77"/>
  <c r="U153" i="77"/>
  <c r="U158" i="77"/>
  <c r="U162" i="77"/>
  <c r="W284" i="103"/>
  <c r="U284" i="103"/>
  <c r="V284" i="103"/>
  <c r="W286" i="103"/>
  <c r="U286" i="103"/>
  <c r="V286" i="103"/>
  <c r="V282" i="103"/>
  <c r="U282" i="103"/>
  <c r="U283" i="103"/>
  <c r="V287" i="103"/>
  <c r="W287" i="103"/>
  <c r="U287" i="103"/>
  <c r="U285" i="103"/>
  <c r="W285" i="103"/>
  <c r="W269" i="103"/>
  <c r="U269" i="103"/>
  <c r="V269" i="103"/>
  <c r="W270" i="103"/>
  <c r="U270" i="103"/>
  <c r="V270" i="103"/>
  <c r="V271" i="103"/>
  <c r="W271" i="103"/>
  <c r="U271" i="103"/>
  <c r="W275" i="103"/>
  <c r="V275" i="103"/>
  <c r="V276" i="103"/>
  <c r="W276" i="103"/>
  <c r="U276" i="103"/>
  <c r="W268" i="103"/>
  <c r="V273" i="103"/>
  <c r="W273" i="103"/>
  <c r="U273" i="103"/>
  <c r="V277" i="103"/>
  <c r="W277" i="103"/>
  <c r="U277" i="103"/>
  <c r="V279" i="103"/>
  <c r="W279" i="103"/>
  <c r="U279" i="103"/>
  <c r="V272" i="103"/>
  <c r="V278" i="103"/>
  <c r="V280" i="103"/>
  <c r="U272" i="103"/>
  <c r="U278" i="103"/>
  <c r="U280" i="103"/>
  <c r="W254" i="103"/>
  <c r="U254" i="103"/>
  <c r="V254" i="103"/>
  <c r="W259" i="103"/>
  <c r="U259" i="103"/>
  <c r="V259" i="103"/>
  <c r="W263" i="103"/>
  <c r="U263" i="103"/>
  <c r="V263" i="103"/>
  <c r="W265" i="103"/>
  <c r="U265" i="103"/>
  <c r="V265" i="103"/>
  <c r="V255" i="103"/>
  <c r="W255" i="103"/>
  <c r="U255" i="103"/>
  <c r="V256" i="103"/>
  <c r="W256" i="103"/>
  <c r="U256" i="103"/>
  <c r="W257" i="103"/>
  <c r="U257" i="103"/>
  <c r="V257" i="103"/>
  <c r="V261" i="103"/>
  <c r="U261" i="103"/>
  <c r="W262" i="103"/>
  <c r="U262" i="103"/>
  <c r="V262" i="103"/>
  <c r="V266" i="103"/>
  <c r="W266" i="103"/>
  <c r="U266" i="103"/>
  <c r="U258" i="103"/>
  <c r="W258" i="103"/>
  <c r="U264" i="103"/>
  <c r="W264" i="103"/>
  <c r="U240" i="103"/>
  <c r="W245" i="103"/>
  <c r="U245" i="103"/>
  <c r="V245" i="103"/>
  <c r="W249" i="103"/>
  <c r="U249" i="103"/>
  <c r="V249" i="103"/>
  <c r="W251" i="103"/>
  <c r="U251" i="103"/>
  <c r="V251" i="103"/>
  <c r="V241" i="103"/>
  <c r="W241" i="103"/>
  <c r="U241" i="103"/>
  <c r="V242" i="103"/>
  <c r="U242" i="103"/>
  <c r="W243" i="103"/>
  <c r="U243" i="103"/>
  <c r="V243" i="103"/>
  <c r="V247" i="103"/>
  <c r="U247" i="103"/>
  <c r="W248" i="103"/>
  <c r="U248" i="103"/>
  <c r="V248" i="103"/>
  <c r="V252" i="103"/>
  <c r="W252" i="103"/>
  <c r="U252" i="103"/>
  <c r="U244" i="103"/>
  <c r="W244" i="103"/>
  <c r="U250" i="103"/>
  <c r="W250" i="103"/>
  <c r="W226" i="103"/>
  <c r="U226" i="103"/>
  <c r="V226" i="103"/>
  <c r="W231" i="103"/>
  <c r="U231" i="103"/>
  <c r="V231" i="103"/>
  <c r="U235" i="103"/>
  <c r="W237" i="103"/>
  <c r="U237" i="103"/>
  <c r="V237" i="103"/>
  <c r="V227" i="103"/>
  <c r="W227" i="103"/>
  <c r="U227" i="103"/>
  <c r="V228" i="103"/>
  <c r="W228" i="103"/>
  <c r="U228" i="103"/>
  <c r="W229" i="103"/>
  <c r="U229" i="103"/>
  <c r="V229" i="103"/>
  <c r="V233" i="103"/>
  <c r="U233" i="103"/>
  <c r="W234" i="103"/>
  <c r="U234" i="103"/>
  <c r="V234" i="103"/>
  <c r="V238" i="103"/>
  <c r="W238" i="103"/>
  <c r="U238" i="103"/>
  <c r="U230" i="103"/>
  <c r="W230" i="103"/>
  <c r="U236" i="103"/>
  <c r="W236" i="103"/>
  <c r="W212" i="103"/>
  <c r="U212" i="103"/>
  <c r="V212" i="103"/>
  <c r="W217" i="103"/>
  <c r="U217" i="103"/>
  <c r="V217" i="103"/>
  <c r="U221" i="103"/>
  <c r="W223" i="103"/>
  <c r="U223" i="103"/>
  <c r="V223" i="103"/>
  <c r="V213" i="103"/>
  <c r="W213" i="103"/>
  <c r="U213" i="103"/>
  <c r="V214" i="103"/>
  <c r="W214" i="103"/>
  <c r="U214" i="103"/>
  <c r="W215" i="103"/>
  <c r="U215" i="103"/>
  <c r="V215" i="103"/>
  <c r="V219" i="103"/>
  <c r="U219" i="103"/>
  <c r="U220" i="103"/>
  <c r="V224" i="103"/>
  <c r="W224" i="103"/>
  <c r="U224" i="103"/>
  <c r="U216" i="103"/>
  <c r="W216" i="103"/>
  <c r="U222" i="103"/>
  <c r="W222" i="103"/>
  <c r="W199" i="103"/>
  <c r="V200" i="103"/>
  <c r="W200" i="103"/>
  <c r="U200" i="103"/>
  <c r="W201" i="103"/>
  <c r="U201" i="103"/>
  <c r="V201" i="103"/>
  <c r="V205" i="103"/>
  <c r="U205" i="103"/>
  <c r="W206" i="103"/>
  <c r="U206" i="103"/>
  <c r="V206" i="103"/>
  <c r="W198" i="103"/>
  <c r="U198" i="103"/>
  <c r="V198" i="103"/>
  <c r="W203" i="103"/>
  <c r="U203" i="103"/>
  <c r="V203" i="103"/>
  <c r="W207" i="103"/>
  <c r="U207" i="103"/>
  <c r="V207" i="103"/>
  <c r="W209" i="103"/>
  <c r="U209" i="103"/>
  <c r="V209" i="103"/>
  <c r="U202" i="103"/>
  <c r="W202" i="103"/>
  <c r="U208" i="103"/>
  <c r="W208" i="103"/>
  <c r="U210" i="103"/>
  <c r="W210" i="103"/>
  <c r="W184" i="103"/>
  <c r="U184" i="103"/>
  <c r="V184" i="103"/>
  <c r="W189" i="103"/>
  <c r="U189" i="103"/>
  <c r="V189" i="103"/>
  <c r="W193" i="103"/>
  <c r="U193" i="103"/>
  <c r="V193" i="103"/>
  <c r="W195" i="103"/>
  <c r="U195" i="103"/>
  <c r="V195" i="103"/>
  <c r="V185" i="103"/>
  <c r="U185" i="103"/>
  <c r="V186" i="103"/>
  <c r="W186" i="103"/>
  <c r="U186" i="103"/>
  <c r="W187" i="103"/>
  <c r="U187" i="103"/>
  <c r="V187" i="103"/>
  <c r="V191" i="103"/>
  <c r="W191" i="103"/>
  <c r="U191" i="103"/>
  <c r="W192" i="103"/>
  <c r="U192" i="103"/>
  <c r="V192" i="103"/>
  <c r="V196" i="103"/>
  <c r="W196" i="103"/>
  <c r="U196" i="103"/>
  <c r="U188" i="103"/>
  <c r="W188" i="103"/>
  <c r="U194" i="103"/>
  <c r="W194" i="103"/>
  <c r="W170" i="103"/>
  <c r="U170" i="103"/>
  <c r="V170" i="103"/>
  <c r="W175" i="103"/>
  <c r="U175" i="103"/>
  <c r="V175" i="103"/>
  <c r="W179" i="103"/>
  <c r="U179" i="103"/>
  <c r="V179" i="103"/>
  <c r="W181" i="103"/>
  <c r="U181" i="103"/>
  <c r="V181" i="103"/>
  <c r="V171" i="103"/>
  <c r="W171" i="103"/>
  <c r="U171" i="103"/>
  <c r="V172" i="103"/>
  <c r="W172" i="103"/>
  <c r="U172" i="103"/>
  <c r="W173" i="103"/>
  <c r="U173" i="103"/>
  <c r="V173" i="103"/>
  <c r="V177" i="103"/>
  <c r="W177" i="103"/>
  <c r="U177" i="103"/>
  <c r="W178" i="103"/>
  <c r="U178" i="103"/>
  <c r="V178" i="103"/>
  <c r="V182" i="103"/>
  <c r="W182" i="103"/>
  <c r="U182" i="103"/>
  <c r="U174" i="103"/>
  <c r="W174" i="103"/>
  <c r="U180" i="103"/>
  <c r="W180" i="103"/>
  <c r="V157" i="103"/>
  <c r="W157" i="103"/>
  <c r="U157" i="103"/>
  <c r="V158" i="103"/>
  <c r="W158" i="103"/>
  <c r="U158" i="103"/>
  <c r="W159" i="103"/>
  <c r="U159" i="103"/>
  <c r="V159" i="103"/>
  <c r="V163" i="103"/>
  <c r="W163" i="103"/>
  <c r="U163" i="103"/>
  <c r="W164" i="103"/>
  <c r="U164" i="103"/>
  <c r="V164" i="103"/>
  <c r="W167" i="103"/>
  <c r="U167" i="103"/>
  <c r="V167" i="103"/>
  <c r="W156" i="103"/>
  <c r="U156" i="103"/>
  <c r="V156" i="103"/>
  <c r="W161" i="103"/>
  <c r="U161" i="103"/>
  <c r="V161" i="103"/>
  <c r="W165" i="103"/>
  <c r="U165" i="103"/>
  <c r="V165" i="103"/>
  <c r="V166" i="103"/>
  <c r="W166" i="103"/>
  <c r="U166" i="103"/>
  <c r="V168" i="103"/>
  <c r="W168" i="103"/>
  <c r="U168" i="103"/>
  <c r="U160" i="103"/>
  <c r="W160" i="103"/>
  <c r="W143" i="103"/>
  <c r="U143" i="103"/>
  <c r="V143" i="103"/>
  <c r="W144" i="103"/>
  <c r="U144" i="103"/>
  <c r="V144" i="103"/>
  <c r="V145" i="103"/>
  <c r="W145" i="103"/>
  <c r="U145" i="103"/>
  <c r="W149" i="103"/>
  <c r="U149" i="103"/>
  <c r="V149" i="103"/>
  <c r="V150" i="103"/>
  <c r="W150" i="103"/>
  <c r="U150" i="103"/>
  <c r="V142" i="103"/>
  <c r="W142" i="103"/>
  <c r="U142" i="103"/>
  <c r="V147" i="103"/>
  <c r="W147" i="103"/>
  <c r="U147" i="103"/>
  <c r="V151" i="103"/>
  <c r="W151" i="103"/>
  <c r="U151" i="103"/>
  <c r="V153" i="103"/>
  <c r="W153" i="103"/>
  <c r="U153" i="103"/>
  <c r="V146" i="103"/>
  <c r="V152" i="103"/>
  <c r="V154" i="103"/>
  <c r="U146" i="103"/>
  <c r="U152" i="103"/>
  <c r="U154" i="103"/>
  <c r="W128" i="103"/>
  <c r="U128" i="103"/>
  <c r="V128" i="103"/>
  <c r="V129" i="103"/>
  <c r="W129" i="103"/>
  <c r="U129" i="103"/>
  <c r="V132" i="103"/>
  <c r="W132" i="103"/>
  <c r="U132" i="103"/>
  <c r="V135" i="103"/>
  <c r="W135" i="103"/>
  <c r="U135" i="103"/>
  <c r="W136" i="103"/>
  <c r="U136" i="103"/>
  <c r="V136" i="103"/>
  <c r="W139" i="103"/>
  <c r="U139" i="103"/>
  <c r="V139" i="103"/>
  <c r="V130" i="103"/>
  <c r="W130" i="103"/>
  <c r="U130" i="103"/>
  <c r="W131" i="103"/>
  <c r="U131" i="103"/>
  <c r="V131" i="103"/>
  <c r="W133" i="103"/>
  <c r="U133" i="103"/>
  <c r="V133" i="103"/>
  <c r="W137" i="103"/>
  <c r="U137" i="103"/>
  <c r="V137" i="103"/>
  <c r="V138" i="103"/>
  <c r="W138" i="103"/>
  <c r="U138" i="103"/>
  <c r="V140" i="103"/>
  <c r="W140" i="103"/>
  <c r="U140" i="103"/>
  <c r="W114" i="103"/>
  <c r="U114" i="103"/>
  <c r="V114" i="103"/>
  <c r="W119" i="103"/>
  <c r="U119" i="103"/>
  <c r="V119" i="103"/>
  <c r="W123" i="103"/>
  <c r="U123" i="103"/>
  <c r="V123" i="103"/>
  <c r="W125" i="103"/>
  <c r="U125" i="103"/>
  <c r="V125" i="103"/>
  <c r="V115" i="103"/>
  <c r="W115" i="103"/>
  <c r="U115" i="103"/>
  <c r="V116" i="103"/>
  <c r="W116" i="103"/>
  <c r="U116" i="103"/>
  <c r="W117" i="103"/>
  <c r="U117" i="103"/>
  <c r="V117" i="103"/>
  <c r="V121" i="103"/>
  <c r="W121" i="103"/>
  <c r="U121" i="103"/>
  <c r="W122" i="103"/>
  <c r="U122" i="103"/>
  <c r="V122" i="103"/>
  <c r="V126" i="103"/>
  <c r="W126" i="103"/>
  <c r="U126" i="103"/>
  <c r="U118" i="103"/>
  <c r="W118" i="103"/>
  <c r="U124" i="103"/>
  <c r="W124" i="103"/>
  <c r="W101" i="103"/>
  <c r="U101" i="103"/>
  <c r="V101" i="103"/>
  <c r="W102" i="103"/>
  <c r="U102" i="103"/>
  <c r="V102" i="103"/>
  <c r="V103" i="103"/>
  <c r="W103" i="103"/>
  <c r="U103" i="103"/>
  <c r="W107" i="103"/>
  <c r="U107" i="103"/>
  <c r="V107" i="103"/>
  <c r="V108" i="103"/>
  <c r="W108" i="103"/>
  <c r="U108" i="103"/>
  <c r="V100" i="103"/>
  <c r="W100" i="103"/>
  <c r="U100" i="103"/>
  <c r="V105" i="103"/>
  <c r="W105" i="103"/>
  <c r="U105" i="103"/>
  <c r="V109" i="103"/>
  <c r="W109" i="103"/>
  <c r="U109" i="103"/>
  <c r="V111" i="103"/>
  <c r="W111" i="103"/>
  <c r="U111" i="103"/>
  <c r="V104" i="103"/>
  <c r="V110" i="103"/>
  <c r="V112" i="103"/>
  <c r="U104" i="103"/>
  <c r="U110" i="103"/>
  <c r="U112" i="103"/>
  <c r="W86" i="103"/>
  <c r="U86" i="103"/>
  <c r="V86" i="103"/>
  <c r="W91" i="103"/>
  <c r="U91" i="103"/>
  <c r="V91" i="103"/>
  <c r="W95" i="103"/>
  <c r="U95" i="103"/>
  <c r="V95" i="103"/>
  <c r="W97" i="103"/>
  <c r="U97" i="103"/>
  <c r="V97" i="103"/>
  <c r="V87" i="103"/>
  <c r="W87" i="103"/>
  <c r="U87" i="103"/>
  <c r="V88" i="103"/>
  <c r="W88" i="103"/>
  <c r="U88" i="103"/>
  <c r="W89" i="103"/>
  <c r="U89" i="103"/>
  <c r="V89" i="103"/>
  <c r="V93" i="103"/>
  <c r="W93" i="103"/>
  <c r="U93" i="103"/>
  <c r="W94" i="103"/>
  <c r="U94" i="103"/>
  <c r="V94" i="103"/>
  <c r="V98" i="103"/>
  <c r="W98" i="103"/>
  <c r="U98" i="103"/>
  <c r="U90" i="103"/>
  <c r="W90" i="103"/>
  <c r="U96" i="103"/>
  <c r="W96" i="103"/>
  <c r="W72" i="103"/>
  <c r="U72" i="103"/>
  <c r="T78" i="103"/>
  <c r="AJ72" i="103" s="1"/>
  <c r="V72" i="103"/>
  <c r="W77" i="103"/>
  <c r="U77" i="103"/>
  <c r="V77" i="103"/>
  <c r="W81" i="103"/>
  <c r="U81" i="103"/>
  <c r="V81" i="103"/>
  <c r="W83" i="103"/>
  <c r="U83" i="103"/>
  <c r="V83" i="103"/>
  <c r="V73" i="103"/>
  <c r="W73" i="103"/>
  <c r="U73" i="103"/>
  <c r="V74" i="103"/>
  <c r="W74" i="103"/>
  <c r="U74" i="103"/>
  <c r="W75" i="103"/>
  <c r="U75" i="103"/>
  <c r="V75" i="103"/>
  <c r="V79" i="103"/>
  <c r="W79" i="103"/>
  <c r="U79" i="103"/>
  <c r="W80" i="103"/>
  <c r="U80" i="103"/>
  <c r="V80" i="103"/>
  <c r="V84" i="103"/>
  <c r="W84" i="103"/>
  <c r="U84" i="103"/>
  <c r="U76" i="103"/>
  <c r="W76" i="103"/>
  <c r="U82" i="103"/>
  <c r="W82" i="103"/>
  <c r="W58" i="103"/>
  <c r="U58" i="103"/>
  <c r="T64" i="103"/>
  <c r="AJ58" i="103" s="1"/>
  <c r="V58" i="103"/>
  <c r="W63" i="103"/>
  <c r="U63" i="103"/>
  <c r="V63" i="103"/>
  <c r="W67" i="103"/>
  <c r="U67" i="103"/>
  <c r="V67" i="103"/>
  <c r="W69" i="103"/>
  <c r="U69" i="103"/>
  <c r="V69" i="103"/>
  <c r="V59" i="103"/>
  <c r="W59" i="103"/>
  <c r="U59" i="103"/>
  <c r="V60" i="103"/>
  <c r="W60" i="103"/>
  <c r="U60" i="103"/>
  <c r="W61" i="103"/>
  <c r="U61" i="103"/>
  <c r="V61" i="103"/>
  <c r="T71" i="103"/>
  <c r="AJ65" i="103" s="1"/>
  <c r="V65" i="103"/>
  <c r="W65" i="103"/>
  <c r="U65" i="103"/>
  <c r="W66" i="103"/>
  <c r="U66" i="103"/>
  <c r="V66" i="103"/>
  <c r="V70" i="103"/>
  <c r="W70" i="103"/>
  <c r="U70" i="103"/>
  <c r="U62" i="103"/>
  <c r="W62" i="103"/>
  <c r="U68" i="103"/>
  <c r="W68" i="103"/>
  <c r="W44" i="103"/>
  <c r="U44" i="103"/>
  <c r="T50" i="103"/>
  <c r="AJ44" i="103" s="1"/>
  <c r="V44" i="103"/>
  <c r="V45" i="103"/>
  <c r="W45" i="103"/>
  <c r="U45" i="103"/>
  <c r="W49" i="103"/>
  <c r="U49" i="103"/>
  <c r="V49" i="103"/>
  <c r="W53" i="103"/>
  <c r="U53" i="103"/>
  <c r="V53" i="103"/>
  <c r="W55" i="103"/>
  <c r="U55" i="103"/>
  <c r="V55" i="103"/>
  <c r="V46" i="103"/>
  <c r="W46" i="103"/>
  <c r="U46" i="103"/>
  <c r="W47" i="103"/>
  <c r="U47" i="103"/>
  <c r="V47" i="103"/>
  <c r="T57" i="103"/>
  <c r="AJ51" i="103" s="1"/>
  <c r="V51" i="103"/>
  <c r="W51" i="103"/>
  <c r="U51" i="103"/>
  <c r="W52" i="103"/>
  <c r="U52" i="103"/>
  <c r="V52" i="103"/>
  <c r="V56" i="103"/>
  <c r="W56" i="103"/>
  <c r="U56" i="103"/>
  <c r="U48" i="103"/>
  <c r="W48" i="103"/>
  <c r="U54" i="103"/>
  <c r="W54" i="103"/>
  <c r="W37" i="103"/>
  <c r="U37" i="103"/>
  <c r="T43" i="103"/>
  <c r="AJ37" i="103" s="1"/>
  <c r="V37" i="103"/>
  <c r="W42" i="103"/>
  <c r="U42" i="103"/>
  <c r="V42" i="103"/>
  <c r="V38" i="103"/>
  <c r="W38" i="103"/>
  <c r="U38" i="103"/>
  <c r="V39" i="103"/>
  <c r="W39" i="103"/>
  <c r="U39" i="103"/>
  <c r="W40" i="103"/>
  <c r="U40" i="103"/>
  <c r="V40" i="103"/>
  <c r="U41" i="103"/>
  <c r="W41" i="103"/>
  <c r="V25" i="103"/>
  <c r="W25" i="103"/>
  <c r="U25" i="103"/>
  <c r="V27" i="103"/>
  <c r="W27" i="103"/>
  <c r="U27" i="103"/>
  <c r="W31" i="103"/>
  <c r="U31" i="103"/>
  <c r="V31" i="103"/>
  <c r="W32" i="103"/>
  <c r="U32" i="103"/>
  <c r="V32" i="103"/>
  <c r="V33" i="103"/>
  <c r="W33" i="103"/>
  <c r="U33" i="103"/>
  <c r="W23" i="103"/>
  <c r="U23" i="103"/>
  <c r="T29" i="103"/>
  <c r="AJ23" i="103" s="1"/>
  <c r="V23" i="103"/>
  <c r="V24" i="103"/>
  <c r="W24" i="103"/>
  <c r="U24" i="103"/>
  <c r="T36" i="103"/>
  <c r="AJ30" i="103" s="1"/>
  <c r="V30" i="103"/>
  <c r="W30" i="103"/>
  <c r="U30" i="103"/>
  <c r="V35" i="103"/>
  <c r="W35" i="103"/>
  <c r="U35" i="103"/>
  <c r="V26" i="103"/>
  <c r="V28" i="103"/>
  <c r="V34" i="103"/>
  <c r="U26" i="103"/>
  <c r="U28" i="103"/>
  <c r="U34" i="103"/>
  <c r="T22" i="103"/>
  <c r="AJ16" i="103" s="1"/>
  <c r="V16" i="103"/>
  <c r="W16" i="103"/>
  <c r="U16" i="103"/>
  <c r="W20" i="103"/>
  <c r="U20" i="103"/>
  <c r="V20" i="103"/>
  <c r="W17" i="103"/>
  <c r="U17" i="103"/>
  <c r="V17" i="103"/>
  <c r="W18" i="103"/>
  <c r="U18" i="103"/>
  <c r="V18" i="103"/>
  <c r="V19" i="103"/>
  <c r="W19" i="103"/>
  <c r="U19" i="103"/>
  <c r="V21" i="103"/>
  <c r="W21" i="103"/>
  <c r="U21" i="103"/>
  <c r="U12" i="77"/>
  <c r="W13" i="77"/>
  <c r="U14" i="77"/>
  <c r="U17" i="77"/>
  <c r="W18" i="77"/>
  <c r="U20" i="77"/>
  <c r="W21" i="77"/>
  <c r="U22" i="77"/>
  <c r="U25" i="77"/>
  <c r="W26" i="77"/>
  <c r="U28" i="77"/>
  <c r="W29" i="77"/>
  <c r="U30" i="77"/>
  <c r="U33" i="77"/>
  <c r="W34" i="77"/>
  <c r="U36" i="77"/>
  <c r="W37" i="77"/>
  <c r="U38" i="77"/>
  <c r="U41" i="77"/>
  <c r="W42" i="77"/>
  <c r="U44" i="77"/>
  <c r="W45" i="77"/>
  <c r="U46" i="77"/>
  <c r="U48" i="77"/>
  <c r="W49" i="77"/>
  <c r="U50" i="77"/>
  <c r="W52" i="77"/>
  <c r="U53" i="77"/>
  <c r="W54" i="77"/>
  <c r="U56" i="77"/>
  <c r="W57" i="77"/>
  <c r="U58" i="77"/>
  <c r="U63" i="77"/>
  <c r="W60" i="77"/>
  <c r="U61" i="77"/>
  <c r="W62" i="77"/>
  <c r="U64" i="77"/>
  <c r="V65" i="77"/>
  <c r="W65" i="77"/>
  <c r="V66" i="77"/>
  <c r="U66" i="77"/>
  <c r="V69" i="77"/>
  <c r="U69" i="77"/>
  <c r="U72" i="77"/>
  <c r="V74" i="77"/>
  <c r="U74" i="77"/>
  <c r="V77" i="77"/>
  <c r="U77" i="77"/>
  <c r="U80" i="77"/>
  <c r="V82" i="77"/>
  <c r="U82" i="77"/>
  <c r="V85" i="77"/>
  <c r="U85" i="77"/>
  <c r="T91" i="77"/>
  <c r="U88" i="77"/>
  <c r="V90" i="77"/>
  <c r="U90" i="77"/>
  <c r="V93" i="77"/>
  <c r="U93" i="77"/>
  <c r="U96" i="77"/>
  <c r="V98" i="77"/>
  <c r="U98" i="77"/>
  <c r="W14" i="77"/>
  <c r="W17" i="77"/>
  <c r="W22" i="77"/>
  <c r="W25" i="77"/>
  <c r="W30" i="77"/>
  <c r="W33" i="77"/>
  <c r="W38" i="77"/>
  <c r="W41" i="77"/>
  <c r="W48" i="77"/>
  <c r="W50" i="77"/>
  <c r="W53" i="77"/>
  <c r="W56" i="77"/>
  <c r="W58" i="77"/>
  <c r="W61" i="77"/>
  <c r="W64" i="77"/>
  <c r="W101" i="77"/>
  <c r="W104" i="77"/>
  <c r="W106" i="77"/>
  <c r="W109" i="77"/>
  <c r="W112" i="77"/>
  <c r="W114" i="77"/>
  <c r="W117" i="77"/>
  <c r="W120" i="77"/>
  <c r="W122" i="77"/>
  <c r="W125" i="77"/>
  <c r="W128" i="77"/>
  <c r="W130" i="77"/>
  <c r="W133" i="77"/>
  <c r="W136" i="77"/>
  <c r="W138" i="77"/>
  <c r="W141" i="77"/>
  <c r="W144" i="77"/>
  <c r="W146" i="77"/>
  <c r="W149" i="77"/>
  <c r="W152" i="77"/>
  <c r="W154" i="77"/>
  <c r="W157" i="77"/>
  <c r="W160" i="77"/>
  <c r="U161" i="77"/>
  <c r="W162" i="77"/>
  <c r="U164" i="77"/>
  <c r="W165" i="77"/>
  <c r="U166" i="77"/>
  <c r="T71" i="77"/>
  <c r="U71" i="77" s="1"/>
  <c r="W68" i="77"/>
  <c r="W70" i="77"/>
  <c r="W73" i="77"/>
  <c r="U79" i="77"/>
  <c r="W76" i="77"/>
  <c r="W78" i="77"/>
  <c r="W81" i="77"/>
  <c r="W86" i="77"/>
  <c r="W89" i="77"/>
  <c r="U95" i="77"/>
  <c r="W92" i="77"/>
  <c r="W94" i="77"/>
  <c r="W97" i="77"/>
  <c r="U103" i="77"/>
  <c r="W100" i="77"/>
  <c r="U101" i="77"/>
  <c r="W102" i="77"/>
  <c r="U104" i="77"/>
  <c r="W105" i="77"/>
  <c r="U106" i="77"/>
  <c r="T111" i="77"/>
  <c r="W108" i="77"/>
  <c r="U109" i="77"/>
  <c r="W110" i="77"/>
  <c r="U112" i="77"/>
  <c r="W113" i="77"/>
  <c r="U114" i="77"/>
  <c r="U119" i="77"/>
  <c r="W116" i="77"/>
  <c r="U117" i="77"/>
  <c r="W118" i="77"/>
  <c r="U120" i="77"/>
  <c r="W121" i="77"/>
  <c r="U122" i="77"/>
  <c r="U125" i="77"/>
  <c r="W126" i="77"/>
  <c r="U128" i="77"/>
  <c r="W129" i="77"/>
  <c r="U130" i="77"/>
  <c r="U135" i="77"/>
  <c r="W132" i="77"/>
  <c r="U133" i="77"/>
  <c r="W134" i="77"/>
  <c r="U136" i="77"/>
  <c r="W137" i="77"/>
  <c r="U138" i="77"/>
  <c r="W140" i="77"/>
  <c r="U141" i="77"/>
  <c r="W142" i="77"/>
  <c r="U144" i="77"/>
  <c r="W145" i="77"/>
  <c r="U146" i="77"/>
  <c r="T151" i="77"/>
  <c r="U151" i="77" s="1"/>
  <c r="W148" i="77"/>
  <c r="U149" i="77"/>
  <c r="W150" i="77"/>
  <c r="U152" i="77"/>
  <c r="W153" i="77"/>
  <c r="U154" i="77"/>
  <c r="W156" i="77"/>
  <c r="U157" i="77"/>
  <c r="W158" i="77"/>
  <c r="U160" i="77"/>
  <c r="W161" i="77"/>
  <c r="W166" i="77"/>
  <c r="U131" i="77"/>
  <c r="V131" i="77"/>
  <c r="AD128" i="77"/>
  <c r="AE128" i="77" s="1"/>
  <c r="U139" i="77"/>
  <c r="AD136" i="77"/>
  <c r="AE136" i="77" s="1"/>
  <c r="U143" i="77"/>
  <c r="V143" i="77"/>
  <c r="AD140" i="77"/>
  <c r="AE140" i="77" s="1"/>
  <c r="U147" i="77"/>
  <c r="V147" i="77"/>
  <c r="AD144" i="77"/>
  <c r="AE144" i="77" s="1"/>
  <c r="V151" i="77"/>
  <c r="U155" i="77"/>
  <c r="V155" i="77"/>
  <c r="AD152" i="77"/>
  <c r="AE152" i="77" s="1"/>
  <c r="U159" i="77"/>
  <c r="V159" i="77"/>
  <c r="AD156" i="77"/>
  <c r="AE156" i="77" s="1"/>
  <c r="U163" i="77"/>
  <c r="AD160" i="77"/>
  <c r="AE160" i="77" s="1"/>
  <c r="V128" i="77"/>
  <c r="V132" i="77"/>
  <c r="V136" i="77"/>
  <c r="V140" i="77"/>
  <c r="V144" i="77"/>
  <c r="V148" i="77"/>
  <c r="V152" i="77"/>
  <c r="V156" i="77"/>
  <c r="V160" i="77"/>
  <c r="V164" i="77"/>
  <c r="U91" i="77"/>
  <c r="V91" i="77"/>
  <c r="AD88" i="77"/>
  <c r="AE88" i="77" s="1"/>
  <c r="V95" i="77"/>
  <c r="U99" i="77"/>
  <c r="V99" i="77"/>
  <c r="AD96" i="77"/>
  <c r="AE96" i="77" s="1"/>
  <c r="V103" i="77"/>
  <c r="U107" i="77"/>
  <c r="AD104" i="77"/>
  <c r="AE104" i="77" s="1"/>
  <c r="U111" i="77"/>
  <c r="V111" i="77"/>
  <c r="AD108" i="77"/>
  <c r="AE108" i="77" s="1"/>
  <c r="U115" i="77"/>
  <c r="V115" i="77"/>
  <c r="AD112" i="77"/>
  <c r="AE112" i="77" s="1"/>
  <c r="V119" i="77"/>
  <c r="U123" i="77"/>
  <c r="V123" i="77"/>
  <c r="AD120" i="77"/>
  <c r="AE120" i="77" s="1"/>
  <c r="V88" i="77"/>
  <c r="V92" i="77"/>
  <c r="V96" i="77"/>
  <c r="V100" i="77"/>
  <c r="V104" i="77"/>
  <c r="V108" i="77"/>
  <c r="V112" i="77"/>
  <c r="V116" i="77"/>
  <c r="V120" i="77"/>
  <c r="V124" i="77"/>
  <c r="U51" i="77"/>
  <c r="V51" i="77"/>
  <c r="AD48" i="77"/>
  <c r="AE48" i="77" s="1"/>
  <c r="U55" i="77"/>
  <c r="V55" i="77"/>
  <c r="AD52" i="77"/>
  <c r="AE52" i="77" s="1"/>
  <c r="U59" i="77"/>
  <c r="AD56" i="77"/>
  <c r="AE56" i="77" s="1"/>
  <c r="V63" i="77"/>
  <c r="U67" i="77"/>
  <c r="AD64" i="77"/>
  <c r="AE64" i="77" s="1"/>
  <c r="V71" i="77"/>
  <c r="U75" i="77"/>
  <c r="V75" i="77"/>
  <c r="AD72" i="77"/>
  <c r="AE72" i="77" s="1"/>
  <c r="V79" i="77"/>
  <c r="U83" i="77"/>
  <c r="V83" i="77"/>
  <c r="AD80" i="77"/>
  <c r="AE80" i="77" s="1"/>
  <c r="V48" i="77"/>
  <c r="V52" i="77"/>
  <c r="V56" i="77"/>
  <c r="V60" i="77"/>
  <c r="V64" i="77"/>
  <c r="V68" i="77"/>
  <c r="V72" i="77"/>
  <c r="V76" i="77"/>
  <c r="V80" i="77"/>
  <c r="V84" i="77"/>
  <c r="V44" i="77"/>
  <c r="V46" i="77"/>
  <c r="V40" i="77"/>
  <c r="V36" i="77"/>
  <c r="V32" i="77"/>
  <c r="V28" i="77"/>
  <c r="T31" i="77"/>
  <c r="V24" i="77"/>
  <c r="T27" i="77"/>
  <c r="AD24" i="77" s="1"/>
  <c r="AE24" i="77" s="1"/>
  <c r="V20" i="77"/>
  <c r="T23" i="77"/>
  <c r="AD20" i="77" s="1"/>
  <c r="AE20" i="77" s="1"/>
  <c r="V16" i="77"/>
  <c r="T19" i="77"/>
  <c r="AD16" i="77" s="1"/>
  <c r="AE16" i="77" s="1"/>
  <c r="V12" i="77"/>
  <c r="T15" i="77"/>
  <c r="AD12" i="77" s="1"/>
  <c r="AE12" i="77" s="1"/>
  <c r="Z43" i="60"/>
  <c r="W185" i="103" l="1"/>
  <c r="W205" i="103"/>
  <c r="U199" i="103"/>
  <c r="V220" i="103"/>
  <c r="W219" i="103"/>
  <c r="V221" i="103"/>
  <c r="W233" i="103"/>
  <c r="V235" i="103"/>
  <c r="W247" i="103"/>
  <c r="V240" i="103"/>
  <c r="V246" i="103"/>
  <c r="AK240" i="103" s="1"/>
  <c r="W261" i="103"/>
  <c r="U268" i="103"/>
  <c r="V268" i="103"/>
  <c r="W282" i="103"/>
  <c r="V283" i="103"/>
  <c r="W283" i="103"/>
  <c r="V135" i="77"/>
  <c r="AD76" i="77"/>
  <c r="AE76" i="77" s="1"/>
  <c r="AD68" i="77"/>
  <c r="AE68" i="77" s="1"/>
  <c r="AD60" i="77"/>
  <c r="AE60" i="77" s="1"/>
  <c r="AD116" i="77"/>
  <c r="AE116" i="77" s="1"/>
  <c r="AD100" i="77"/>
  <c r="AE100" i="77" s="1"/>
  <c r="AD92" i="77"/>
  <c r="AE92" i="77" s="1"/>
  <c r="AD148" i="77"/>
  <c r="AE148" i="77" s="1"/>
  <c r="AD132" i="77"/>
  <c r="AE132" i="77" s="1"/>
  <c r="V288" i="103"/>
  <c r="AK282" i="103" s="1"/>
  <c r="U288" i="103"/>
  <c r="V274" i="103"/>
  <c r="AK268" i="103" s="1"/>
  <c r="U274" i="103"/>
  <c r="U281" i="103"/>
  <c r="V281" i="103"/>
  <c r="AK275" i="103" s="1"/>
  <c r="V267" i="103"/>
  <c r="AK261" i="103" s="1"/>
  <c r="U267" i="103"/>
  <c r="U260" i="103"/>
  <c r="V260" i="103"/>
  <c r="AK254" i="103" s="1"/>
  <c r="V253" i="103"/>
  <c r="AK247" i="103" s="1"/>
  <c r="U253" i="103"/>
  <c r="U246" i="103"/>
  <c r="V239" i="103"/>
  <c r="AK233" i="103" s="1"/>
  <c r="U239" i="103"/>
  <c r="U232" i="103"/>
  <c r="V232" i="103"/>
  <c r="AK226" i="103" s="1"/>
  <c r="V225" i="103"/>
  <c r="AK219" i="103" s="1"/>
  <c r="U225" i="103"/>
  <c r="U218" i="103"/>
  <c r="V218" i="103"/>
  <c r="AK212" i="103" s="1"/>
  <c r="U204" i="103"/>
  <c r="V204" i="103"/>
  <c r="AK198" i="103" s="1"/>
  <c r="V211" i="103"/>
  <c r="AK205" i="103" s="1"/>
  <c r="U211" i="103"/>
  <c r="V197" i="103"/>
  <c r="AK191" i="103" s="1"/>
  <c r="U197" i="103"/>
  <c r="U190" i="103"/>
  <c r="V190" i="103"/>
  <c r="AK184" i="103" s="1"/>
  <c r="V183" i="103"/>
  <c r="AK177" i="103" s="1"/>
  <c r="U183" i="103"/>
  <c r="U176" i="103"/>
  <c r="V176" i="103"/>
  <c r="AK170" i="103" s="1"/>
  <c r="V169" i="103"/>
  <c r="AK163" i="103" s="1"/>
  <c r="U169" i="103"/>
  <c r="U162" i="103"/>
  <c r="V162" i="103"/>
  <c r="AK156" i="103" s="1"/>
  <c r="V148" i="103"/>
  <c r="AK142" i="103" s="1"/>
  <c r="U148" i="103"/>
  <c r="U155" i="103"/>
  <c r="V155" i="103"/>
  <c r="AK149" i="103" s="1"/>
  <c r="V141" i="103"/>
  <c r="AK135" i="103" s="1"/>
  <c r="U141" i="103"/>
  <c r="U134" i="103"/>
  <c r="V134" i="103"/>
  <c r="AK128" i="103" s="1"/>
  <c r="V127" i="103"/>
  <c r="AK121" i="103" s="1"/>
  <c r="U127" i="103"/>
  <c r="U120" i="103"/>
  <c r="V120" i="103"/>
  <c r="AK114" i="103" s="1"/>
  <c r="V106" i="103"/>
  <c r="AK100" i="103" s="1"/>
  <c r="U106" i="103"/>
  <c r="U113" i="103"/>
  <c r="V113" i="103"/>
  <c r="AK107" i="103" s="1"/>
  <c r="V99" i="103"/>
  <c r="AK93" i="103" s="1"/>
  <c r="U99" i="103"/>
  <c r="U92" i="103"/>
  <c r="V92" i="103"/>
  <c r="AK86" i="103" s="1"/>
  <c r="V85" i="103"/>
  <c r="AK79" i="103" s="1"/>
  <c r="U85" i="103"/>
  <c r="U78" i="103"/>
  <c r="V78" i="103"/>
  <c r="AK72" i="103" s="1"/>
  <c r="V71" i="103"/>
  <c r="AK65" i="103" s="1"/>
  <c r="U71" i="103"/>
  <c r="U64" i="103"/>
  <c r="V64" i="103"/>
  <c r="AK58" i="103" s="1"/>
  <c r="V57" i="103"/>
  <c r="AK51" i="103" s="1"/>
  <c r="U57" i="103"/>
  <c r="U50" i="103"/>
  <c r="V50" i="103"/>
  <c r="AK44" i="103" s="1"/>
  <c r="U43" i="103"/>
  <c r="V43" i="103"/>
  <c r="AK37" i="103" s="1"/>
  <c r="V36" i="103"/>
  <c r="AK30" i="103" s="1"/>
  <c r="U36" i="103"/>
  <c r="U29" i="103"/>
  <c r="V29" i="103"/>
  <c r="AK23" i="103" s="1"/>
  <c r="V22" i="103"/>
  <c r="AK16" i="103" s="1"/>
  <c r="U22" i="103"/>
  <c r="U167" i="77"/>
  <c r="V167" i="77"/>
  <c r="AD164" i="77"/>
  <c r="AE164" i="77" s="1"/>
  <c r="U127" i="77"/>
  <c r="V127" i="77"/>
  <c r="AD124" i="77"/>
  <c r="AE124" i="77" s="1"/>
  <c r="U87" i="77"/>
  <c r="V87" i="77"/>
  <c r="AD84" i="77"/>
  <c r="AE84" i="77" s="1"/>
  <c r="U47" i="77"/>
  <c r="V47" i="77"/>
  <c r="AD44" i="77"/>
  <c r="AE44" i="77" s="1"/>
  <c r="U43" i="77"/>
  <c r="V43" i="77"/>
  <c r="AD40" i="77"/>
  <c r="AE40" i="77" s="1"/>
  <c r="U39" i="77"/>
  <c r="V39" i="77"/>
  <c r="AD36" i="77"/>
  <c r="AE36" i="77" s="1"/>
  <c r="U35" i="77"/>
  <c r="V35" i="77"/>
  <c r="AD32" i="77"/>
  <c r="AE32" i="77" s="1"/>
  <c r="U31" i="77"/>
  <c r="V31" i="77"/>
  <c r="AD28" i="77"/>
  <c r="U27" i="77"/>
  <c r="V27" i="77"/>
  <c r="U23" i="77"/>
  <c r="V23" i="77"/>
  <c r="U19" i="77"/>
  <c r="V19" i="77"/>
  <c r="U15" i="77"/>
  <c r="V15" i="77"/>
  <c r="D52" i="82"/>
  <c r="E52" i="82"/>
  <c r="F52" i="82"/>
  <c r="G52" i="82"/>
  <c r="D53" i="82"/>
  <c r="E53" i="82"/>
  <c r="F53" i="82"/>
  <c r="G53" i="82"/>
  <c r="D54" i="82"/>
  <c r="E54" i="82"/>
  <c r="F54" i="82"/>
  <c r="G54" i="82"/>
  <c r="D55" i="82"/>
  <c r="E55" i="82"/>
  <c r="F55" i="82"/>
  <c r="G55" i="82"/>
  <c r="D56" i="82"/>
  <c r="E56" i="82"/>
  <c r="F56" i="82"/>
  <c r="G56" i="82"/>
  <c r="D57" i="82"/>
  <c r="E57" i="82"/>
  <c r="F57" i="82"/>
  <c r="G57" i="82"/>
  <c r="D58" i="82"/>
  <c r="E58" i="82"/>
  <c r="F58" i="82"/>
  <c r="G58" i="82"/>
  <c r="D59" i="82"/>
  <c r="E59" i="82"/>
  <c r="F59" i="82"/>
  <c r="G59" i="82"/>
  <c r="D60" i="82"/>
  <c r="E60" i="82"/>
  <c r="F60" i="82"/>
  <c r="G60" i="82"/>
  <c r="D61" i="82"/>
  <c r="E61" i="82"/>
  <c r="F61" i="82"/>
  <c r="G61" i="82"/>
  <c r="D62" i="82"/>
  <c r="E62" i="82"/>
  <c r="F62" i="82"/>
  <c r="G62" i="82"/>
  <c r="D63" i="82"/>
  <c r="E63" i="82"/>
  <c r="F63" i="82"/>
  <c r="G63" i="82"/>
  <c r="D64" i="82"/>
  <c r="E64" i="82"/>
  <c r="F64" i="82"/>
  <c r="G64" i="82"/>
  <c r="D65" i="82"/>
  <c r="E65" i="82"/>
  <c r="F65" i="82"/>
  <c r="G65" i="82"/>
  <c r="D66" i="82"/>
  <c r="E66" i="82"/>
  <c r="F66" i="82"/>
  <c r="G66" i="82"/>
  <c r="D67" i="82"/>
  <c r="E67" i="82"/>
  <c r="F67" i="82"/>
  <c r="G67" i="82"/>
  <c r="D68" i="82"/>
  <c r="E68" i="82"/>
  <c r="F68" i="82"/>
  <c r="G68" i="82"/>
  <c r="D69" i="82"/>
  <c r="E69" i="82"/>
  <c r="F69" i="82"/>
  <c r="G69" i="82"/>
  <c r="D70" i="82"/>
  <c r="E70" i="82"/>
  <c r="F70" i="82"/>
  <c r="G70" i="82"/>
  <c r="D71" i="82"/>
  <c r="E71" i="82"/>
  <c r="F71" i="82"/>
  <c r="G71" i="82"/>
  <c r="D72" i="82"/>
  <c r="E72" i="82"/>
  <c r="F72" i="82"/>
  <c r="G72" i="82"/>
  <c r="D73" i="82"/>
  <c r="E73" i="82"/>
  <c r="F73" i="82"/>
  <c r="G73" i="82"/>
  <c r="D74" i="82"/>
  <c r="E74" i="82"/>
  <c r="F74" i="82"/>
  <c r="G74" i="82"/>
  <c r="D75" i="82"/>
  <c r="E75" i="82"/>
  <c r="F75" i="82"/>
  <c r="G75" i="82"/>
  <c r="D76" i="82"/>
  <c r="E76" i="82"/>
  <c r="F76" i="82"/>
  <c r="G76" i="82"/>
  <c r="D77" i="82"/>
  <c r="E77" i="82"/>
  <c r="F77" i="82"/>
  <c r="G77" i="82"/>
  <c r="D78" i="82"/>
  <c r="E78" i="82"/>
  <c r="F78" i="82"/>
  <c r="G78" i="82"/>
  <c r="D79" i="82"/>
  <c r="E79" i="82"/>
  <c r="F79" i="82"/>
  <c r="G79" i="82"/>
  <c r="D80" i="82"/>
  <c r="E80" i="82"/>
  <c r="F80" i="82"/>
  <c r="G80" i="82"/>
  <c r="D81" i="82"/>
  <c r="E81" i="82"/>
  <c r="F81" i="82"/>
  <c r="G81" i="82"/>
  <c r="D82" i="82"/>
  <c r="E82" i="82"/>
  <c r="F82" i="82"/>
  <c r="G82" i="82"/>
  <c r="D83" i="82"/>
  <c r="E83" i="82"/>
  <c r="F83" i="82"/>
  <c r="G83" i="82"/>
  <c r="D84" i="82"/>
  <c r="E84" i="82"/>
  <c r="F84" i="82"/>
  <c r="G84" i="82"/>
  <c r="D85" i="82"/>
  <c r="E85" i="82"/>
  <c r="F85" i="82"/>
  <c r="G85" i="82"/>
  <c r="D86" i="82"/>
  <c r="E86" i="82"/>
  <c r="F86" i="82"/>
  <c r="G86" i="82"/>
  <c r="D87" i="82"/>
  <c r="E87" i="82"/>
  <c r="F87" i="82"/>
  <c r="G87" i="82"/>
  <c r="D88" i="82"/>
  <c r="E88" i="82"/>
  <c r="F88" i="82"/>
  <c r="G88" i="82"/>
  <c r="D89" i="82"/>
  <c r="E89" i="82"/>
  <c r="F89" i="82"/>
  <c r="G89" i="82"/>
  <c r="D90" i="82"/>
  <c r="E90" i="82"/>
  <c r="F90" i="82"/>
  <c r="G90" i="82"/>
  <c r="D91" i="82"/>
  <c r="E91" i="82"/>
  <c r="F91" i="82"/>
  <c r="G91" i="82"/>
  <c r="C90" i="82"/>
  <c r="C89" i="82"/>
  <c r="C81" i="82"/>
  <c r="C91" i="82"/>
  <c r="C88" i="82"/>
  <c r="C87" i="82"/>
  <c r="C86" i="82"/>
  <c r="C85" i="82"/>
  <c r="C84" i="82"/>
  <c r="C83" i="82"/>
  <c r="C82" i="82"/>
  <c r="C80" i="82"/>
  <c r="C79" i="82"/>
  <c r="C78" i="82"/>
  <c r="C77" i="82"/>
  <c r="C76" i="82"/>
  <c r="C75" i="82"/>
  <c r="C74" i="82"/>
  <c r="C73" i="82"/>
  <c r="C72" i="82"/>
  <c r="C71" i="82"/>
  <c r="C70" i="82"/>
  <c r="C69" i="82"/>
  <c r="C68" i="82"/>
  <c r="C67" i="82"/>
  <c r="C66" i="82"/>
  <c r="C65" i="82"/>
  <c r="C64" i="82"/>
  <c r="C63" i="82"/>
  <c r="C62" i="82"/>
  <c r="C61" i="82"/>
  <c r="C60" i="82"/>
  <c r="C59" i="82"/>
  <c r="C58" i="82"/>
  <c r="C57" i="82"/>
  <c r="C56" i="82"/>
  <c r="C55" i="82"/>
  <c r="C54" i="82"/>
  <c r="D4" i="82"/>
  <c r="E4" i="82"/>
  <c r="F4" i="82"/>
  <c r="G4" i="82"/>
  <c r="D5" i="82"/>
  <c r="E5" i="82"/>
  <c r="F5" i="82"/>
  <c r="G5" i="82"/>
  <c r="D6" i="82"/>
  <c r="E6" i="82"/>
  <c r="F6" i="82"/>
  <c r="G6" i="82"/>
  <c r="D7" i="82"/>
  <c r="E7" i="82"/>
  <c r="F7" i="82"/>
  <c r="G7" i="82"/>
  <c r="D8" i="82"/>
  <c r="E8" i="82"/>
  <c r="F8" i="82"/>
  <c r="G8" i="82"/>
  <c r="D9" i="82"/>
  <c r="E9" i="82"/>
  <c r="F9" i="82"/>
  <c r="G9" i="82"/>
  <c r="D10" i="82"/>
  <c r="E10" i="82"/>
  <c r="F10" i="82"/>
  <c r="G10" i="82"/>
  <c r="D11" i="82"/>
  <c r="E11" i="82"/>
  <c r="F11" i="82"/>
  <c r="G11" i="82"/>
  <c r="D12" i="82"/>
  <c r="E12" i="82"/>
  <c r="F12" i="82"/>
  <c r="G12" i="82"/>
  <c r="D13" i="82"/>
  <c r="E13" i="82"/>
  <c r="F13" i="82"/>
  <c r="G13" i="82"/>
  <c r="D14" i="82"/>
  <c r="E14" i="82"/>
  <c r="F14" i="82"/>
  <c r="G14" i="82"/>
  <c r="D15" i="82"/>
  <c r="E15" i="82"/>
  <c r="F15" i="82"/>
  <c r="G15" i="82"/>
  <c r="D16" i="82"/>
  <c r="E16" i="82"/>
  <c r="F16" i="82"/>
  <c r="G16" i="82"/>
  <c r="D17" i="82"/>
  <c r="E17" i="82"/>
  <c r="F17" i="82"/>
  <c r="G17" i="82"/>
  <c r="D18" i="82"/>
  <c r="E18" i="82"/>
  <c r="F18" i="82"/>
  <c r="G18" i="82"/>
  <c r="D19" i="82"/>
  <c r="E19" i="82"/>
  <c r="F19" i="82"/>
  <c r="G19" i="82"/>
  <c r="D20" i="82"/>
  <c r="E20" i="82"/>
  <c r="F20" i="82"/>
  <c r="G20" i="82"/>
  <c r="D21" i="82"/>
  <c r="E21" i="82"/>
  <c r="F21" i="82"/>
  <c r="G21" i="82"/>
  <c r="D22" i="82"/>
  <c r="E22" i="82"/>
  <c r="F22" i="82"/>
  <c r="G22" i="82"/>
  <c r="D23" i="82"/>
  <c r="E23" i="82"/>
  <c r="F23" i="82"/>
  <c r="G23" i="82"/>
  <c r="D24" i="82"/>
  <c r="E24" i="82"/>
  <c r="F24" i="82"/>
  <c r="G24" i="82"/>
  <c r="D25" i="82"/>
  <c r="E25" i="82"/>
  <c r="F25" i="82"/>
  <c r="G25" i="82"/>
  <c r="D26" i="82"/>
  <c r="E26" i="82"/>
  <c r="F26" i="82"/>
  <c r="G26" i="82"/>
  <c r="D27" i="82"/>
  <c r="E27" i="82"/>
  <c r="F27" i="82"/>
  <c r="G27" i="82"/>
  <c r="D28" i="82"/>
  <c r="E28" i="82"/>
  <c r="F28" i="82"/>
  <c r="G28" i="82"/>
  <c r="D29" i="82"/>
  <c r="E29" i="82"/>
  <c r="F29" i="82"/>
  <c r="G29" i="82"/>
  <c r="D30" i="82"/>
  <c r="E30" i="82"/>
  <c r="F30" i="82"/>
  <c r="G30" i="82"/>
  <c r="D31" i="82"/>
  <c r="E31" i="82"/>
  <c r="F31" i="82"/>
  <c r="G31" i="82"/>
  <c r="D32" i="82"/>
  <c r="E32" i="82"/>
  <c r="F32" i="82"/>
  <c r="G32" i="82"/>
  <c r="D33" i="82"/>
  <c r="E33" i="82"/>
  <c r="F33" i="82"/>
  <c r="G33" i="82"/>
  <c r="D34" i="82"/>
  <c r="E34" i="82"/>
  <c r="F34" i="82"/>
  <c r="G34" i="82"/>
  <c r="D35" i="82"/>
  <c r="E35" i="82"/>
  <c r="F35" i="82"/>
  <c r="G35" i="82"/>
  <c r="D36" i="82"/>
  <c r="E36" i="82"/>
  <c r="F36" i="82"/>
  <c r="G36" i="82"/>
  <c r="D37" i="82"/>
  <c r="E37" i="82"/>
  <c r="F37" i="82"/>
  <c r="G37" i="82"/>
  <c r="D38" i="82"/>
  <c r="E38" i="82"/>
  <c r="F38" i="82"/>
  <c r="G38" i="82"/>
  <c r="D39" i="82"/>
  <c r="E39" i="82"/>
  <c r="F39" i="82"/>
  <c r="G39" i="82"/>
  <c r="D40" i="82"/>
  <c r="E40" i="82"/>
  <c r="F40" i="82"/>
  <c r="G40" i="82"/>
  <c r="D41" i="82"/>
  <c r="E41" i="82"/>
  <c r="F41" i="82"/>
  <c r="G41" i="82"/>
  <c r="D42" i="82"/>
  <c r="E42" i="82"/>
  <c r="F42" i="82"/>
  <c r="G42" i="82"/>
  <c r="D43" i="82"/>
  <c r="E43" i="82"/>
  <c r="F43" i="82"/>
  <c r="G43" i="82"/>
  <c r="C42" i="82"/>
  <c r="C41" i="82"/>
  <c r="C40" i="82"/>
  <c r="C33" i="82"/>
  <c r="C43" i="82"/>
  <c r="C39" i="82"/>
  <c r="C38" i="82"/>
  <c r="C37" i="82"/>
  <c r="C36" i="82"/>
  <c r="C35" i="82"/>
  <c r="C34" i="82"/>
  <c r="C32" i="82"/>
  <c r="C31" i="82"/>
  <c r="C30" i="82"/>
  <c r="C29" i="82"/>
  <c r="C28" i="82"/>
  <c r="C27" i="82"/>
  <c r="C26" i="82"/>
  <c r="C25" i="82"/>
  <c r="C24" i="82"/>
  <c r="C23" i="82"/>
  <c r="C22" i="82"/>
  <c r="C21" i="82"/>
  <c r="C20" i="82"/>
  <c r="C19" i="82"/>
  <c r="C18" i="82"/>
  <c r="C17" i="82"/>
  <c r="C16" i="82"/>
  <c r="C15" i="82"/>
  <c r="C14" i="82"/>
  <c r="C13" i="82"/>
  <c r="C12" i="82"/>
  <c r="C11" i="82"/>
  <c r="C10" i="82"/>
  <c r="C9" i="82"/>
  <c r="C8" i="82"/>
  <c r="C7" i="82"/>
  <c r="AE28" i="77" l="1"/>
  <c r="T150" i="74" s="1"/>
  <c r="R150" i="74"/>
  <c r="C6" i="82"/>
  <c r="H6" i="82" s="1"/>
  <c r="C53" i="82"/>
  <c r="C52" i="82"/>
  <c r="C5" i="82"/>
  <c r="C4" i="82"/>
  <c r="H4" i="82" s="1"/>
  <c r="O4" i="88"/>
  <c r="P4" i="88"/>
  <c r="Q4" i="88"/>
  <c r="R4" i="88"/>
  <c r="S4" i="88"/>
  <c r="T4" i="88"/>
  <c r="U4" i="88"/>
  <c r="V4" i="88"/>
  <c r="W4" i="88"/>
  <c r="X4" i="88"/>
  <c r="O5" i="88"/>
  <c r="P5" i="88"/>
  <c r="Q5" i="88"/>
  <c r="R5" i="88"/>
  <c r="S5" i="88"/>
  <c r="T5" i="88"/>
  <c r="U5" i="88"/>
  <c r="V5" i="88"/>
  <c r="W5" i="88"/>
  <c r="X5" i="88"/>
  <c r="O6" i="88"/>
  <c r="P6" i="88"/>
  <c r="Q6" i="88"/>
  <c r="R6" i="88"/>
  <c r="S6" i="88"/>
  <c r="T6" i="88"/>
  <c r="U6" i="88"/>
  <c r="V6" i="88"/>
  <c r="W6" i="88"/>
  <c r="X6" i="88"/>
  <c r="O7" i="88"/>
  <c r="P7" i="88"/>
  <c r="Q7" i="88"/>
  <c r="R7" i="88"/>
  <c r="S7" i="88"/>
  <c r="T7" i="88"/>
  <c r="U7" i="88"/>
  <c r="V7" i="88"/>
  <c r="W7" i="88"/>
  <c r="X7" i="88"/>
  <c r="O8" i="88"/>
  <c r="P8" i="88"/>
  <c r="Q8" i="88"/>
  <c r="R8" i="88"/>
  <c r="S8" i="88"/>
  <c r="T8" i="88"/>
  <c r="U8" i="88"/>
  <c r="V8" i="88"/>
  <c r="W8" i="88"/>
  <c r="X8" i="88"/>
  <c r="O9" i="88"/>
  <c r="P9" i="88"/>
  <c r="Q9" i="88"/>
  <c r="R9" i="88"/>
  <c r="S9" i="88"/>
  <c r="T9" i="88"/>
  <c r="U9" i="88"/>
  <c r="V9" i="88"/>
  <c r="W9" i="88"/>
  <c r="X9" i="88"/>
  <c r="O10" i="88"/>
  <c r="P10" i="88"/>
  <c r="Q10" i="88"/>
  <c r="R10" i="88"/>
  <c r="S10" i="88"/>
  <c r="T10" i="88"/>
  <c r="U10" i="88"/>
  <c r="V10" i="88"/>
  <c r="W10" i="88"/>
  <c r="X10" i="88"/>
  <c r="O11" i="88"/>
  <c r="P11" i="88"/>
  <c r="Q11" i="88"/>
  <c r="R11" i="88"/>
  <c r="S11" i="88"/>
  <c r="T11" i="88"/>
  <c r="U11" i="88"/>
  <c r="V11" i="88"/>
  <c r="W11" i="88"/>
  <c r="X11" i="88"/>
  <c r="O12" i="88"/>
  <c r="P12" i="88"/>
  <c r="Q12" i="88"/>
  <c r="R12" i="88"/>
  <c r="S12" i="88"/>
  <c r="T12" i="88"/>
  <c r="U12" i="88"/>
  <c r="V12" i="88"/>
  <c r="W12" i="88"/>
  <c r="X12" i="88"/>
  <c r="O13" i="88"/>
  <c r="P13" i="88"/>
  <c r="Q13" i="88"/>
  <c r="R13" i="88"/>
  <c r="S13" i="88"/>
  <c r="T13" i="88"/>
  <c r="U13" i="88"/>
  <c r="V13" i="88"/>
  <c r="W13" i="88"/>
  <c r="X13" i="88"/>
  <c r="O14" i="88"/>
  <c r="P14" i="88"/>
  <c r="Q14" i="88"/>
  <c r="R14" i="88"/>
  <c r="S14" i="88"/>
  <c r="T14" i="88"/>
  <c r="U14" i="88"/>
  <c r="V14" i="88"/>
  <c r="W14" i="88"/>
  <c r="X14" i="88"/>
  <c r="O15" i="88"/>
  <c r="P15" i="88"/>
  <c r="Q15" i="88"/>
  <c r="R15" i="88"/>
  <c r="S15" i="88"/>
  <c r="T15" i="88"/>
  <c r="U15" i="88"/>
  <c r="V15" i="88"/>
  <c r="W15" i="88"/>
  <c r="X15" i="88"/>
  <c r="O16" i="88"/>
  <c r="P16" i="88"/>
  <c r="Q16" i="88"/>
  <c r="R16" i="88"/>
  <c r="S16" i="88"/>
  <c r="T16" i="88"/>
  <c r="U16" i="88"/>
  <c r="V16" i="88"/>
  <c r="W16" i="88"/>
  <c r="X16" i="88"/>
  <c r="O17" i="88"/>
  <c r="P17" i="88"/>
  <c r="Q17" i="88"/>
  <c r="R17" i="88"/>
  <c r="S17" i="88"/>
  <c r="T17" i="88"/>
  <c r="U17" i="88"/>
  <c r="V17" i="88"/>
  <c r="W17" i="88"/>
  <c r="X17" i="88"/>
  <c r="O18" i="88"/>
  <c r="P18" i="88"/>
  <c r="Q18" i="88"/>
  <c r="R18" i="88"/>
  <c r="S18" i="88"/>
  <c r="T18" i="88"/>
  <c r="U18" i="88"/>
  <c r="V18" i="88"/>
  <c r="W18" i="88"/>
  <c r="X18" i="88"/>
  <c r="O19" i="88"/>
  <c r="P19" i="88"/>
  <c r="Q19" i="88"/>
  <c r="R19" i="88"/>
  <c r="S19" i="88"/>
  <c r="T19" i="88"/>
  <c r="U19" i="88"/>
  <c r="V19" i="88"/>
  <c r="W19" i="88"/>
  <c r="X19" i="88"/>
  <c r="O20" i="88"/>
  <c r="P20" i="88"/>
  <c r="Q20" i="88"/>
  <c r="R20" i="88"/>
  <c r="S20" i="88"/>
  <c r="T20" i="88"/>
  <c r="U20" i="88"/>
  <c r="V20" i="88"/>
  <c r="W20" i="88"/>
  <c r="X20" i="88"/>
  <c r="O21" i="88"/>
  <c r="P21" i="88"/>
  <c r="Q21" i="88"/>
  <c r="R21" i="88"/>
  <c r="S21" i="88"/>
  <c r="T21" i="88"/>
  <c r="U21" i="88"/>
  <c r="V21" i="88"/>
  <c r="W21" i="88"/>
  <c r="X21" i="88"/>
  <c r="O22" i="88"/>
  <c r="P22" i="88"/>
  <c r="Q22" i="88"/>
  <c r="R22" i="88"/>
  <c r="S22" i="88"/>
  <c r="T22" i="88"/>
  <c r="U22" i="88"/>
  <c r="V22" i="88"/>
  <c r="W22" i="88"/>
  <c r="X22" i="88"/>
  <c r="O23" i="88"/>
  <c r="P23" i="88"/>
  <c r="Q23" i="88"/>
  <c r="R23" i="88"/>
  <c r="S23" i="88"/>
  <c r="T23" i="88"/>
  <c r="U23" i="88"/>
  <c r="V23" i="88"/>
  <c r="W23" i="88"/>
  <c r="X23" i="88"/>
  <c r="O24" i="88"/>
  <c r="P24" i="88"/>
  <c r="Q24" i="88"/>
  <c r="R24" i="88"/>
  <c r="S24" i="88"/>
  <c r="T24" i="88"/>
  <c r="U24" i="88"/>
  <c r="V24" i="88"/>
  <c r="W24" i="88"/>
  <c r="X24" i="88"/>
  <c r="O25" i="88"/>
  <c r="P25" i="88"/>
  <c r="Q25" i="88"/>
  <c r="R25" i="88"/>
  <c r="S25" i="88"/>
  <c r="T25" i="88"/>
  <c r="U25" i="88"/>
  <c r="V25" i="88"/>
  <c r="W25" i="88"/>
  <c r="X25" i="88"/>
  <c r="O26" i="88"/>
  <c r="P26" i="88"/>
  <c r="Q26" i="88"/>
  <c r="R26" i="88"/>
  <c r="S26" i="88"/>
  <c r="T26" i="88"/>
  <c r="U26" i="88"/>
  <c r="V26" i="88"/>
  <c r="W26" i="88"/>
  <c r="X26" i="88"/>
  <c r="O27" i="88"/>
  <c r="P27" i="88"/>
  <c r="Q27" i="88"/>
  <c r="R27" i="88"/>
  <c r="S27" i="88"/>
  <c r="T27" i="88"/>
  <c r="U27" i="88"/>
  <c r="V27" i="88"/>
  <c r="W27" i="88"/>
  <c r="X27" i="88"/>
  <c r="O28" i="88"/>
  <c r="P28" i="88"/>
  <c r="Q28" i="88"/>
  <c r="R28" i="88"/>
  <c r="S28" i="88"/>
  <c r="T28" i="88"/>
  <c r="U28" i="88"/>
  <c r="V28" i="88"/>
  <c r="W28" i="88"/>
  <c r="X28" i="88"/>
  <c r="O29" i="88"/>
  <c r="P29" i="88"/>
  <c r="Q29" i="88"/>
  <c r="R29" i="88"/>
  <c r="S29" i="88"/>
  <c r="T29" i="88"/>
  <c r="U29" i="88"/>
  <c r="V29" i="88"/>
  <c r="W29" i="88"/>
  <c r="X29" i="88"/>
  <c r="O30" i="88"/>
  <c r="P30" i="88"/>
  <c r="Q30" i="88"/>
  <c r="R30" i="88"/>
  <c r="S30" i="88"/>
  <c r="T30" i="88"/>
  <c r="U30" i="88"/>
  <c r="V30" i="88"/>
  <c r="W30" i="88"/>
  <c r="X30" i="88"/>
  <c r="O31" i="88"/>
  <c r="P31" i="88"/>
  <c r="Q31" i="88"/>
  <c r="R31" i="88"/>
  <c r="S31" i="88"/>
  <c r="T31" i="88"/>
  <c r="U31" i="88"/>
  <c r="V31" i="88"/>
  <c r="W31" i="88"/>
  <c r="X31" i="88"/>
  <c r="O32" i="88"/>
  <c r="P32" i="88"/>
  <c r="Q32" i="88"/>
  <c r="R32" i="88"/>
  <c r="S32" i="88"/>
  <c r="T32" i="88"/>
  <c r="U32" i="88"/>
  <c r="V32" i="88"/>
  <c r="W32" i="88"/>
  <c r="X32" i="88"/>
  <c r="O33" i="88"/>
  <c r="P33" i="88"/>
  <c r="Q33" i="88"/>
  <c r="R33" i="88"/>
  <c r="S33" i="88"/>
  <c r="T33" i="88"/>
  <c r="U33" i="88"/>
  <c r="V33" i="88"/>
  <c r="W33" i="88"/>
  <c r="X33" i="88"/>
  <c r="O34" i="88"/>
  <c r="P34" i="88"/>
  <c r="Q34" i="88"/>
  <c r="R34" i="88"/>
  <c r="S34" i="88"/>
  <c r="T34" i="88"/>
  <c r="U34" i="88"/>
  <c r="V34" i="88"/>
  <c r="W34" i="88"/>
  <c r="X34" i="88"/>
  <c r="O35" i="88"/>
  <c r="P35" i="88"/>
  <c r="Q35" i="88"/>
  <c r="R35" i="88"/>
  <c r="S35" i="88"/>
  <c r="T35" i="88"/>
  <c r="U35" i="88"/>
  <c r="V35" i="88"/>
  <c r="W35" i="88"/>
  <c r="X35" i="88"/>
  <c r="O36" i="88"/>
  <c r="P36" i="88"/>
  <c r="Q36" i="88"/>
  <c r="R36" i="88"/>
  <c r="S36" i="88"/>
  <c r="T36" i="88"/>
  <c r="U36" i="88"/>
  <c r="V36" i="88"/>
  <c r="W36" i="88"/>
  <c r="X36" i="88"/>
  <c r="O37" i="88"/>
  <c r="P37" i="88"/>
  <c r="Q37" i="88"/>
  <c r="R37" i="88"/>
  <c r="S37" i="88"/>
  <c r="T37" i="88"/>
  <c r="U37" i="88"/>
  <c r="V37" i="88"/>
  <c r="W37" i="88"/>
  <c r="X37" i="88"/>
  <c r="O38" i="88"/>
  <c r="P38" i="88"/>
  <c r="Q38" i="88"/>
  <c r="R38" i="88"/>
  <c r="S38" i="88"/>
  <c r="T38" i="88"/>
  <c r="U38" i="88"/>
  <c r="V38" i="88"/>
  <c r="W38" i="88"/>
  <c r="X38" i="88"/>
  <c r="O39" i="88"/>
  <c r="P39" i="88"/>
  <c r="Q39" i="88"/>
  <c r="R39" i="88"/>
  <c r="S39" i="88"/>
  <c r="T39" i="88"/>
  <c r="U39" i="88"/>
  <c r="V39" i="88"/>
  <c r="W39" i="88"/>
  <c r="X39" i="88"/>
  <c r="O40" i="88"/>
  <c r="P40" i="88"/>
  <c r="Q40" i="88"/>
  <c r="R40" i="88"/>
  <c r="S40" i="88"/>
  <c r="T40" i="88"/>
  <c r="U40" i="88"/>
  <c r="V40" i="88"/>
  <c r="W40" i="88"/>
  <c r="X40" i="88"/>
  <c r="O41" i="88"/>
  <c r="P41" i="88"/>
  <c r="Q41" i="88"/>
  <c r="R41" i="88"/>
  <c r="S41" i="88"/>
  <c r="T41" i="88"/>
  <c r="U41" i="88"/>
  <c r="V41" i="88"/>
  <c r="W41" i="88"/>
  <c r="X41" i="88"/>
  <c r="O42" i="88"/>
  <c r="P42" i="88"/>
  <c r="Q42" i="88"/>
  <c r="R42" i="88"/>
  <c r="S42" i="88"/>
  <c r="T42" i="88"/>
  <c r="U42" i="88"/>
  <c r="V42" i="88"/>
  <c r="W42" i="88"/>
  <c r="X42" i="88"/>
  <c r="O43" i="88"/>
  <c r="P43" i="88"/>
  <c r="Q43" i="88"/>
  <c r="R43" i="88"/>
  <c r="S43" i="88"/>
  <c r="T43" i="88"/>
  <c r="U43" i="88"/>
  <c r="V43" i="88"/>
  <c r="W43" i="88"/>
  <c r="X43" i="88"/>
  <c r="O51" i="88"/>
  <c r="P51" i="88"/>
  <c r="Q51" i="88"/>
  <c r="R51" i="88"/>
  <c r="S51" i="88"/>
  <c r="T51" i="88"/>
  <c r="U51" i="88"/>
  <c r="V51" i="88"/>
  <c r="W51" i="88"/>
  <c r="X51" i="88"/>
  <c r="O52" i="88"/>
  <c r="P52" i="88"/>
  <c r="Q52" i="88"/>
  <c r="R52" i="88"/>
  <c r="S52" i="88"/>
  <c r="T52" i="88"/>
  <c r="U52" i="88"/>
  <c r="V52" i="88"/>
  <c r="W52" i="88"/>
  <c r="X52" i="88"/>
  <c r="O53" i="88"/>
  <c r="P53" i="88"/>
  <c r="Q53" i="88"/>
  <c r="R53" i="88"/>
  <c r="S53" i="88"/>
  <c r="T53" i="88"/>
  <c r="U53" i="88"/>
  <c r="V53" i="88"/>
  <c r="W53" i="88"/>
  <c r="X53" i="88"/>
  <c r="O54" i="88"/>
  <c r="P54" i="88"/>
  <c r="Q54" i="88"/>
  <c r="R54" i="88"/>
  <c r="S54" i="88"/>
  <c r="T54" i="88"/>
  <c r="U54" i="88"/>
  <c r="V54" i="88"/>
  <c r="W54" i="88"/>
  <c r="X54" i="88"/>
  <c r="O55" i="88"/>
  <c r="P55" i="88"/>
  <c r="Q55" i="88"/>
  <c r="R55" i="88"/>
  <c r="S55" i="88"/>
  <c r="T55" i="88"/>
  <c r="U55" i="88"/>
  <c r="V55" i="88"/>
  <c r="W55" i="88"/>
  <c r="X55" i="88"/>
  <c r="O56" i="88"/>
  <c r="P56" i="88"/>
  <c r="Q56" i="88"/>
  <c r="R56" i="88"/>
  <c r="S56" i="88"/>
  <c r="T56" i="88"/>
  <c r="U56" i="88"/>
  <c r="V56" i="88"/>
  <c r="W56" i="88"/>
  <c r="X56" i="88"/>
  <c r="O57" i="88"/>
  <c r="P57" i="88"/>
  <c r="Q57" i="88"/>
  <c r="R57" i="88"/>
  <c r="S57" i="88"/>
  <c r="T57" i="88"/>
  <c r="U57" i="88"/>
  <c r="V57" i="88"/>
  <c r="W57" i="88"/>
  <c r="X57" i="88"/>
  <c r="O58" i="88"/>
  <c r="P58" i="88"/>
  <c r="Q58" i="88"/>
  <c r="R58" i="88"/>
  <c r="S58" i="88"/>
  <c r="T58" i="88"/>
  <c r="U58" i="88"/>
  <c r="V58" i="88"/>
  <c r="W58" i="88"/>
  <c r="X58" i="88"/>
  <c r="O59" i="88"/>
  <c r="P59" i="88"/>
  <c r="Q59" i="88"/>
  <c r="R59" i="88"/>
  <c r="S59" i="88"/>
  <c r="T59" i="88"/>
  <c r="U59" i="88"/>
  <c r="V59" i="88"/>
  <c r="W59" i="88"/>
  <c r="X59" i="88"/>
  <c r="O60" i="88"/>
  <c r="P60" i="88"/>
  <c r="Q60" i="88"/>
  <c r="R60" i="88"/>
  <c r="S60" i="88"/>
  <c r="T60" i="88"/>
  <c r="U60" i="88"/>
  <c r="V60" i="88"/>
  <c r="W60" i="88"/>
  <c r="X60" i="88"/>
  <c r="O61" i="88"/>
  <c r="P61" i="88"/>
  <c r="Q61" i="88"/>
  <c r="R61" i="88"/>
  <c r="S61" i="88"/>
  <c r="T61" i="88"/>
  <c r="U61" i="88"/>
  <c r="V61" i="88"/>
  <c r="W61" i="88"/>
  <c r="X61" i="88"/>
  <c r="O62" i="88"/>
  <c r="P62" i="88"/>
  <c r="Q62" i="88"/>
  <c r="R62" i="88"/>
  <c r="S62" i="88"/>
  <c r="T62" i="88"/>
  <c r="U62" i="88"/>
  <c r="V62" i="88"/>
  <c r="W62" i="88"/>
  <c r="X62" i="88"/>
  <c r="O63" i="88"/>
  <c r="P63" i="88"/>
  <c r="Q63" i="88"/>
  <c r="R63" i="88"/>
  <c r="S63" i="88"/>
  <c r="T63" i="88"/>
  <c r="U63" i="88"/>
  <c r="V63" i="88"/>
  <c r="W63" i="88"/>
  <c r="X63" i="88"/>
  <c r="O64" i="88"/>
  <c r="P64" i="88"/>
  <c r="Q64" i="88"/>
  <c r="R64" i="88"/>
  <c r="S64" i="88"/>
  <c r="T64" i="88"/>
  <c r="U64" i="88"/>
  <c r="V64" i="88"/>
  <c r="W64" i="88"/>
  <c r="X64" i="88"/>
  <c r="O65" i="88"/>
  <c r="P65" i="88"/>
  <c r="Q65" i="88"/>
  <c r="R65" i="88"/>
  <c r="S65" i="88"/>
  <c r="T65" i="88"/>
  <c r="U65" i="88"/>
  <c r="V65" i="88"/>
  <c r="W65" i="88"/>
  <c r="X65" i="88"/>
  <c r="O66" i="88"/>
  <c r="P66" i="88"/>
  <c r="Q66" i="88"/>
  <c r="R66" i="88"/>
  <c r="S66" i="88"/>
  <c r="T66" i="88"/>
  <c r="U66" i="88"/>
  <c r="V66" i="88"/>
  <c r="W66" i="88"/>
  <c r="X66" i="88"/>
  <c r="O67" i="88"/>
  <c r="P67" i="88"/>
  <c r="Q67" i="88"/>
  <c r="R67" i="88"/>
  <c r="S67" i="88"/>
  <c r="T67" i="88"/>
  <c r="U67" i="88"/>
  <c r="V67" i="88"/>
  <c r="W67" i="88"/>
  <c r="X67" i="88"/>
  <c r="O68" i="88"/>
  <c r="P68" i="88"/>
  <c r="Q68" i="88"/>
  <c r="R68" i="88"/>
  <c r="S68" i="88"/>
  <c r="T68" i="88"/>
  <c r="U68" i="88"/>
  <c r="V68" i="88"/>
  <c r="W68" i="88"/>
  <c r="X68" i="88"/>
  <c r="O69" i="88"/>
  <c r="P69" i="88"/>
  <c r="Q69" i="88"/>
  <c r="R69" i="88"/>
  <c r="S69" i="88"/>
  <c r="T69" i="88"/>
  <c r="U69" i="88"/>
  <c r="V69" i="88"/>
  <c r="W69" i="88"/>
  <c r="X69" i="88"/>
  <c r="O70" i="88"/>
  <c r="P70" i="88"/>
  <c r="Q70" i="88"/>
  <c r="R70" i="88"/>
  <c r="S70" i="88"/>
  <c r="T70" i="88"/>
  <c r="U70" i="88"/>
  <c r="V70" i="88"/>
  <c r="W70" i="88"/>
  <c r="X70" i="88"/>
  <c r="O71" i="88"/>
  <c r="P71" i="88"/>
  <c r="Q71" i="88"/>
  <c r="R71" i="88"/>
  <c r="S71" i="88"/>
  <c r="T71" i="88"/>
  <c r="U71" i="88"/>
  <c r="V71" i="88"/>
  <c r="W71" i="88"/>
  <c r="X71" i="88"/>
  <c r="O72" i="88"/>
  <c r="P72" i="88"/>
  <c r="Q72" i="88"/>
  <c r="R72" i="88"/>
  <c r="S72" i="88"/>
  <c r="T72" i="88"/>
  <c r="U72" i="88"/>
  <c r="V72" i="88"/>
  <c r="W72" i="88"/>
  <c r="X72" i="88"/>
  <c r="O73" i="88"/>
  <c r="P73" i="88"/>
  <c r="Q73" i="88"/>
  <c r="R73" i="88"/>
  <c r="S73" i="88"/>
  <c r="T73" i="88"/>
  <c r="U73" i="88"/>
  <c r="V73" i="88"/>
  <c r="W73" i="88"/>
  <c r="X73" i="88"/>
  <c r="O74" i="88"/>
  <c r="P74" i="88"/>
  <c r="Q74" i="88"/>
  <c r="R74" i="88"/>
  <c r="S74" i="88"/>
  <c r="T74" i="88"/>
  <c r="U74" i="88"/>
  <c r="V74" i="88"/>
  <c r="W74" i="88"/>
  <c r="X74" i="88"/>
  <c r="O75" i="88"/>
  <c r="P75" i="88"/>
  <c r="Q75" i="88"/>
  <c r="R75" i="88"/>
  <c r="S75" i="88"/>
  <c r="T75" i="88"/>
  <c r="U75" i="88"/>
  <c r="V75" i="88"/>
  <c r="W75" i="88"/>
  <c r="X75" i="88"/>
  <c r="O76" i="88"/>
  <c r="P76" i="88"/>
  <c r="Q76" i="88"/>
  <c r="R76" i="88"/>
  <c r="S76" i="88"/>
  <c r="T76" i="88"/>
  <c r="U76" i="88"/>
  <c r="V76" i="88"/>
  <c r="W76" i="88"/>
  <c r="X76" i="88"/>
  <c r="O77" i="88"/>
  <c r="P77" i="88"/>
  <c r="Q77" i="88"/>
  <c r="R77" i="88"/>
  <c r="S77" i="88"/>
  <c r="T77" i="88"/>
  <c r="U77" i="88"/>
  <c r="V77" i="88"/>
  <c r="W77" i="88"/>
  <c r="X77" i="88"/>
  <c r="O78" i="88"/>
  <c r="P78" i="88"/>
  <c r="Q78" i="88"/>
  <c r="R78" i="88"/>
  <c r="S78" i="88"/>
  <c r="T78" i="88"/>
  <c r="U78" i="88"/>
  <c r="V78" i="88"/>
  <c r="W78" i="88"/>
  <c r="X78" i="88"/>
  <c r="O79" i="88"/>
  <c r="P79" i="88"/>
  <c r="Q79" i="88"/>
  <c r="R79" i="88"/>
  <c r="S79" i="88"/>
  <c r="T79" i="88"/>
  <c r="U79" i="88"/>
  <c r="V79" i="88"/>
  <c r="W79" i="88"/>
  <c r="X79" i="88"/>
  <c r="O80" i="88"/>
  <c r="P80" i="88"/>
  <c r="Q80" i="88"/>
  <c r="R80" i="88"/>
  <c r="S80" i="88"/>
  <c r="T80" i="88"/>
  <c r="U80" i="88"/>
  <c r="V80" i="88"/>
  <c r="W80" i="88"/>
  <c r="X80" i="88"/>
  <c r="O81" i="88"/>
  <c r="P81" i="88"/>
  <c r="Q81" i="88"/>
  <c r="R81" i="88"/>
  <c r="S81" i="88"/>
  <c r="T81" i="88"/>
  <c r="U81" i="88"/>
  <c r="V81" i="88"/>
  <c r="W81" i="88"/>
  <c r="X81" i="88"/>
  <c r="O82" i="88"/>
  <c r="P82" i="88"/>
  <c r="Q82" i="88"/>
  <c r="R82" i="88"/>
  <c r="S82" i="88"/>
  <c r="T82" i="88"/>
  <c r="U82" i="88"/>
  <c r="V82" i="88"/>
  <c r="W82" i="88"/>
  <c r="X82" i="88"/>
  <c r="O83" i="88"/>
  <c r="P83" i="88"/>
  <c r="Q83" i="88"/>
  <c r="R83" i="88"/>
  <c r="S83" i="88"/>
  <c r="T83" i="88"/>
  <c r="U83" i="88"/>
  <c r="V83" i="88"/>
  <c r="W83" i="88"/>
  <c r="X83" i="88"/>
  <c r="O84" i="88"/>
  <c r="P84" i="88"/>
  <c r="Q84" i="88"/>
  <c r="R84" i="88"/>
  <c r="S84" i="88"/>
  <c r="T84" i="88"/>
  <c r="U84" i="88"/>
  <c r="V84" i="88"/>
  <c r="W84" i="88"/>
  <c r="X84" i="88"/>
  <c r="O85" i="88"/>
  <c r="P85" i="88"/>
  <c r="Q85" i="88"/>
  <c r="R85" i="88"/>
  <c r="S85" i="88"/>
  <c r="T85" i="88"/>
  <c r="U85" i="88"/>
  <c r="V85" i="88"/>
  <c r="W85" i="88"/>
  <c r="X85" i="88"/>
  <c r="O86" i="88"/>
  <c r="P86" i="88"/>
  <c r="Q86" i="88"/>
  <c r="R86" i="88"/>
  <c r="S86" i="88"/>
  <c r="T86" i="88"/>
  <c r="U86" i="88"/>
  <c r="V86" i="88"/>
  <c r="W86" i="88"/>
  <c r="X86" i="88"/>
  <c r="O87" i="88"/>
  <c r="P87" i="88"/>
  <c r="Q87" i="88"/>
  <c r="R87" i="88"/>
  <c r="S87" i="88"/>
  <c r="T87" i="88"/>
  <c r="U87" i="88"/>
  <c r="V87" i="88"/>
  <c r="W87" i="88"/>
  <c r="X87" i="88"/>
  <c r="O88" i="88"/>
  <c r="P88" i="88"/>
  <c r="Q88" i="88"/>
  <c r="R88" i="88"/>
  <c r="S88" i="88"/>
  <c r="T88" i="88"/>
  <c r="U88" i="88"/>
  <c r="V88" i="88"/>
  <c r="W88" i="88"/>
  <c r="X88" i="88"/>
  <c r="O89" i="88"/>
  <c r="P89" i="88"/>
  <c r="Q89" i="88"/>
  <c r="R89" i="88"/>
  <c r="S89" i="88"/>
  <c r="T89" i="88"/>
  <c r="U89" i="88"/>
  <c r="V89" i="88"/>
  <c r="W89" i="88"/>
  <c r="X89" i="88"/>
  <c r="O90" i="88"/>
  <c r="P90" i="88"/>
  <c r="Q90" i="88"/>
  <c r="R90" i="88"/>
  <c r="S90" i="88"/>
  <c r="T90" i="88"/>
  <c r="U90" i="88"/>
  <c r="V90" i="88"/>
  <c r="W90" i="88"/>
  <c r="X90" i="88"/>
  <c r="H91" i="82"/>
  <c r="H90" i="82"/>
  <c r="H89" i="82"/>
  <c r="H88" i="82"/>
  <c r="H87" i="82"/>
  <c r="H86" i="82"/>
  <c r="H83" i="82"/>
  <c r="H82" i="82"/>
  <c r="H81" i="82"/>
  <c r="H80" i="82"/>
  <c r="H79" i="82"/>
  <c r="H78" i="82"/>
  <c r="H77" i="82"/>
  <c r="H76" i="82"/>
  <c r="H75" i="82"/>
  <c r="H74" i="82"/>
  <c r="H71" i="82"/>
  <c r="H70" i="82"/>
  <c r="H69" i="82"/>
  <c r="H68" i="82"/>
  <c r="H67" i="82"/>
  <c r="H66" i="82"/>
  <c r="H65" i="82"/>
  <c r="H64" i="82"/>
  <c r="H63" i="82"/>
  <c r="H62" i="82"/>
  <c r="H72" i="82"/>
  <c r="H73" i="82"/>
  <c r="H84" i="82"/>
  <c r="H85" i="82"/>
  <c r="H61" i="82"/>
  <c r="H60" i="82"/>
  <c r="H59" i="82"/>
  <c r="H58" i="82"/>
  <c r="H57" i="82"/>
  <c r="H56" i="82"/>
  <c r="H55" i="82"/>
  <c r="H54" i="82"/>
  <c r="H53" i="82"/>
  <c r="H43" i="82"/>
  <c r="H42" i="82"/>
  <c r="H41" i="82"/>
  <c r="H40" i="82"/>
  <c r="H39" i="82"/>
  <c r="H38" i="82"/>
  <c r="H37" i="82"/>
  <c r="H36" i="82"/>
  <c r="H35" i="82"/>
  <c r="H34" i="82"/>
  <c r="H33" i="82"/>
  <c r="H32" i="82"/>
  <c r="H31" i="82"/>
  <c r="H30" i="82"/>
  <c r="H29" i="82"/>
  <c r="H28" i="82"/>
  <c r="H27" i="82"/>
  <c r="H26" i="82"/>
  <c r="H25" i="82"/>
  <c r="H24" i="82"/>
  <c r="H23" i="82"/>
  <c r="H22" i="82"/>
  <c r="H21" i="82"/>
  <c r="H20" i="82"/>
  <c r="H19" i="82"/>
  <c r="H18" i="82"/>
  <c r="H17" i="82"/>
  <c r="H16" i="82"/>
  <c r="H15" i="82"/>
  <c r="H14" i="82"/>
  <c r="H13" i="82"/>
  <c r="H12" i="82"/>
  <c r="H11" i="82"/>
  <c r="H10" i="82"/>
  <c r="H9" i="82"/>
  <c r="H8" i="82"/>
  <c r="H7" i="82"/>
  <c r="H5" i="82"/>
  <c r="D51" i="151"/>
  <c r="E51" i="151"/>
  <c r="D52" i="151"/>
  <c r="E52" i="151"/>
  <c r="D53" i="151"/>
  <c r="E53" i="151"/>
  <c r="D54" i="151"/>
  <c r="E54" i="151"/>
  <c r="D55" i="151"/>
  <c r="E55" i="151"/>
  <c r="D56" i="151"/>
  <c r="E56" i="151"/>
  <c r="D57" i="151"/>
  <c r="E57" i="151"/>
  <c r="D58" i="151"/>
  <c r="E58" i="151"/>
  <c r="D59" i="151"/>
  <c r="E59" i="151"/>
  <c r="D60" i="151"/>
  <c r="E60" i="151"/>
  <c r="D61" i="151"/>
  <c r="E61" i="151"/>
  <c r="D62" i="151"/>
  <c r="E62" i="151"/>
  <c r="D63" i="151"/>
  <c r="E63" i="151"/>
  <c r="D64" i="151"/>
  <c r="E64" i="151"/>
  <c r="D65" i="151"/>
  <c r="E65" i="151"/>
  <c r="D66" i="151"/>
  <c r="E66" i="151"/>
  <c r="D67" i="151"/>
  <c r="E67" i="151"/>
  <c r="D68" i="151"/>
  <c r="E68" i="151"/>
  <c r="D69" i="151"/>
  <c r="E69" i="151"/>
  <c r="D70" i="151"/>
  <c r="E70" i="151"/>
  <c r="D71" i="151"/>
  <c r="E71" i="151"/>
  <c r="D72" i="151"/>
  <c r="E72" i="151"/>
  <c r="D73" i="151"/>
  <c r="E73" i="151"/>
  <c r="D74" i="151"/>
  <c r="E74" i="151"/>
  <c r="D75" i="151"/>
  <c r="E75" i="151"/>
  <c r="D76" i="151"/>
  <c r="E76" i="151"/>
  <c r="D77" i="151"/>
  <c r="E77" i="151"/>
  <c r="D78" i="151"/>
  <c r="E78" i="151"/>
  <c r="D79" i="151"/>
  <c r="E79" i="151"/>
  <c r="D80" i="151"/>
  <c r="E80" i="151"/>
  <c r="D81" i="151"/>
  <c r="E81" i="151"/>
  <c r="D82" i="151"/>
  <c r="E82" i="151"/>
  <c r="D83" i="151"/>
  <c r="E83" i="151"/>
  <c r="D84" i="151"/>
  <c r="E84" i="151"/>
  <c r="D85" i="151"/>
  <c r="E85" i="151"/>
  <c r="D86" i="151"/>
  <c r="E86" i="151"/>
  <c r="D87" i="151"/>
  <c r="E87" i="151"/>
  <c r="D88" i="151"/>
  <c r="E88" i="151"/>
  <c r="D89" i="151"/>
  <c r="F89" i="151" s="1"/>
  <c r="E89" i="151"/>
  <c r="D90" i="151"/>
  <c r="E90" i="151"/>
  <c r="C90" i="151"/>
  <c r="C89" i="151"/>
  <c r="C88" i="151"/>
  <c r="C87" i="151"/>
  <c r="C86" i="151"/>
  <c r="C85" i="151"/>
  <c r="C84" i="151"/>
  <c r="F84" i="151" s="1"/>
  <c r="C83" i="151"/>
  <c r="C82" i="151"/>
  <c r="C81" i="151"/>
  <c r="F81" i="151" s="1"/>
  <c r="C80" i="151"/>
  <c r="C79" i="151"/>
  <c r="C78" i="151"/>
  <c r="C77" i="151"/>
  <c r="F77" i="151" s="1"/>
  <c r="C76" i="151"/>
  <c r="F76" i="151" s="1"/>
  <c r="C75" i="151"/>
  <c r="C74" i="151"/>
  <c r="C73" i="151"/>
  <c r="F73" i="151" s="1"/>
  <c r="C72" i="151"/>
  <c r="C71" i="151"/>
  <c r="C70" i="151"/>
  <c r="C69" i="151"/>
  <c r="C68" i="151"/>
  <c r="F68" i="151" s="1"/>
  <c r="C67" i="151"/>
  <c r="C66" i="151"/>
  <c r="C65" i="151"/>
  <c r="F65" i="151" s="1"/>
  <c r="C64" i="151"/>
  <c r="F64" i="151" s="1"/>
  <c r="C63" i="151"/>
  <c r="C62" i="151"/>
  <c r="C61" i="151"/>
  <c r="F61" i="151" s="1"/>
  <c r="C60" i="151"/>
  <c r="F60" i="151" s="1"/>
  <c r="C59" i="151"/>
  <c r="C58" i="151"/>
  <c r="C57" i="151"/>
  <c r="F57" i="151" s="1"/>
  <c r="C56" i="151"/>
  <c r="F56" i="151" s="1"/>
  <c r="C55" i="151"/>
  <c r="C54" i="151"/>
  <c r="C53" i="151"/>
  <c r="F53" i="151" s="1"/>
  <c r="F55" i="151"/>
  <c r="F59" i="151"/>
  <c r="F63" i="151"/>
  <c r="F71" i="151"/>
  <c r="F72" i="151"/>
  <c r="F75" i="151"/>
  <c r="F79" i="151"/>
  <c r="F80" i="151"/>
  <c r="F83" i="151"/>
  <c r="F87" i="151"/>
  <c r="F88" i="151"/>
  <c r="C52" i="151"/>
  <c r="D51" i="150"/>
  <c r="D52" i="150"/>
  <c r="D53" i="150"/>
  <c r="D54" i="150"/>
  <c r="D55" i="150"/>
  <c r="D56" i="150"/>
  <c r="D57" i="150"/>
  <c r="D58" i="150"/>
  <c r="D59" i="150"/>
  <c r="D60" i="150"/>
  <c r="D61" i="150"/>
  <c r="D62" i="150"/>
  <c r="D63" i="150"/>
  <c r="D64" i="150"/>
  <c r="D65" i="150"/>
  <c r="D66" i="150"/>
  <c r="D67" i="150"/>
  <c r="D68" i="150"/>
  <c r="D69" i="150"/>
  <c r="D70" i="150"/>
  <c r="D71" i="150"/>
  <c r="D72" i="150"/>
  <c r="D73" i="150"/>
  <c r="D74" i="150"/>
  <c r="D75" i="150"/>
  <c r="D76" i="150"/>
  <c r="D77" i="150"/>
  <c r="D78" i="150"/>
  <c r="D79" i="150"/>
  <c r="D80" i="150"/>
  <c r="D81" i="150"/>
  <c r="D82" i="150"/>
  <c r="D83" i="150"/>
  <c r="D84" i="150"/>
  <c r="D85" i="150"/>
  <c r="D86" i="150"/>
  <c r="D87" i="150"/>
  <c r="D88" i="150"/>
  <c r="D89" i="150"/>
  <c r="D90" i="150"/>
  <c r="C90" i="150"/>
  <c r="C89" i="150"/>
  <c r="C88" i="150"/>
  <c r="C87" i="150"/>
  <c r="E87" i="150" s="1"/>
  <c r="C86" i="150"/>
  <c r="C85" i="150"/>
  <c r="C84" i="150"/>
  <c r="C83" i="150"/>
  <c r="E83" i="150" s="1"/>
  <c r="C82" i="150"/>
  <c r="C81" i="150"/>
  <c r="C80" i="150"/>
  <c r="C79" i="150"/>
  <c r="E79" i="150" s="1"/>
  <c r="C78" i="150"/>
  <c r="C77" i="150"/>
  <c r="C76" i="150"/>
  <c r="C75" i="150"/>
  <c r="E75" i="150" s="1"/>
  <c r="C74" i="150"/>
  <c r="C73" i="150"/>
  <c r="C72" i="150"/>
  <c r="C71" i="150"/>
  <c r="E71" i="150" s="1"/>
  <c r="C70" i="150"/>
  <c r="C69" i="150"/>
  <c r="C68" i="150"/>
  <c r="E68" i="150" s="1"/>
  <c r="C67" i="150"/>
  <c r="E67" i="150" s="1"/>
  <c r="C66" i="150"/>
  <c r="C65" i="150"/>
  <c r="C64" i="150"/>
  <c r="C63" i="150"/>
  <c r="E63" i="150" s="1"/>
  <c r="C62" i="150"/>
  <c r="C61" i="150"/>
  <c r="C60" i="150"/>
  <c r="C59" i="150"/>
  <c r="E59" i="150" s="1"/>
  <c r="C58" i="150"/>
  <c r="C57" i="150"/>
  <c r="C56" i="150"/>
  <c r="C55" i="150"/>
  <c r="E55" i="150" s="1"/>
  <c r="C54" i="150"/>
  <c r="C53" i="150"/>
  <c r="C52" i="150"/>
  <c r="E66" i="150"/>
  <c r="C51" i="150"/>
  <c r="E51" i="150" s="1"/>
  <c r="F52" i="151" l="1"/>
  <c r="E57" i="150"/>
  <c r="E65" i="150"/>
  <c r="E73" i="150"/>
  <c r="E81" i="150"/>
  <c r="E89" i="150"/>
  <c r="E53" i="150"/>
  <c r="E61" i="150"/>
  <c r="E69" i="150"/>
  <c r="E77" i="150"/>
  <c r="E85" i="150"/>
  <c r="F54" i="151"/>
  <c r="F58" i="151"/>
  <c r="F62" i="151"/>
  <c r="F66" i="151"/>
  <c r="F70" i="151"/>
  <c r="F74" i="151"/>
  <c r="F78" i="151"/>
  <c r="F82" i="151"/>
  <c r="F86" i="151"/>
  <c r="F90" i="151"/>
  <c r="F85" i="151"/>
  <c r="E74" i="150"/>
  <c r="E54" i="150"/>
  <c r="E70" i="150"/>
  <c r="E86" i="150"/>
  <c r="F69" i="151"/>
  <c r="E58" i="150"/>
  <c r="E90" i="150"/>
  <c r="E62" i="150"/>
  <c r="E78" i="150"/>
  <c r="E82" i="150"/>
  <c r="E52" i="150"/>
  <c r="E56" i="150"/>
  <c r="E60" i="150"/>
  <c r="E64" i="150"/>
  <c r="E72" i="150"/>
  <c r="E76" i="150"/>
  <c r="E80" i="150"/>
  <c r="E84" i="150"/>
  <c r="E88" i="150"/>
  <c r="F67" i="151"/>
  <c r="G288" i="109"/>
  <c r="G281" i="109"/>
  <c r="G274" i="109"/>
  <c r="G267" i="109"/>
  <c r="G260" i="109"/>
  <c r="G253" i="109"/>
  <c r="G246" i="109"/>
  <c r="G239" i="109"/>
  <c r="G232" i="109"/>
  <c r="G225" i="109"/>
  <c r="G218" i="109"/>
  <c r="G211" i="109"/>
  <c r="G204" i="109"/>
  <c r="G197" i="109"/>
  <c r="G190" i="109"/>
  <c r="G183" i="109"/>
  <c r="G176" i="109"/>
  <c r="G169" i="109"/>
  <c r="G162" i="109"/>
  <c r="G155" i="109"/>
  <c r="G148" i="109"/>
  <c r="G141" i="109"/>
  <c r="G134" i="109"/>
  <c r="G127" i="109"/>
  <c r="G120" i="109"/>
  <c r="G113" i="109"/>
  <c r="G106" i="109"/>
  <c r="G99" i="109"/>
  <c r="G92" i="109"/>
  <c r="G85" i="109"/>
  <c r="G78" i="109"/>
  <c r="G71" i="109"/>
  <c r="G64" i="109"/>
  <c r="G57" i="109"/>
  <c r="G50" i="109"/>
  <c r="G43" i="109"/>
  <c r="G36" i="109"/>
  <c r="G29" i="109"/>
  <c r="G22" i="109"/>
  <c r="G15" i="109"/>
  <c r="C384" i="74" l="1"/>
  <c r="C383" i="74"/>
  <c r="C382" i="74"/>
  <c r="C381" i="74"/>
  <c r="C380" i="74"/>
  <c r="C385" i="74"/>
  <c r="M52" i="82" l="1"/>
  <c r="N52" i="82"/>
  <c r="O52" i="82"/>
  <c r="M53" i="82"/>
  <c r="N53" i="82"/>
  <c r="O53" i="82"/>
  <c r="M54" i="82"/>
  <c r="N54" i="82"/>
  <c r="O54" i="82"/>
  <c r="M55" i="82"/>
  <c r="N55" i="82"/>
  <c r="O55" i="82"/>
  <c r="M56" i="82"/>
  <c r="N56" i="82"/>
  <c r="O56" i="82"/>
  <c r="M57" i="82"/>
  <c r="N57" i="82"/>
  <c r="O57" i="82"/>
  <c r="M58" i="82"/>
  <c r="N58" i="82"/>
  <c r="O58" i="82"/>
  <c r="M59" i="82"/>
  <c r="N59" i="82"/>
  <c r="O59" i="82"/>
  <c r="M60" i="82"/>
  <c r="N60" i="82"/>
  <c r="O60" i="82"/>
  <c r="M61" i="82"/>
  <c r="N61" i="82"/>
  <c r="O61" i="82"/>
  <c r="M62" i="82"/>
  <c r="N62" i="82"/>
  <c r="O62" i="82"/>
  <c r="M63" i="82"/>
  <c r="N63" i="82"/>
  <c r="O63" i="82"/>
  <c r="M64" i="82"/>
  <c r="N64" i="82"/>
  <c r="O64" i="82"/>
  <c r="M65" i="82"/>
  <c r="N65" i="82"/>
  <c r="O65" i="82"/>
  <c r="M66" i="82"/>
  <c r="N66" i="82"/>
  <c r="O66" i="82"/>
  <c r="M67" i="82"/>
  <c r="N67" i="82"/>
  <c r="O67" i="82"/>
  <c r="M68" i="82"/>
  <c r="N68" i="82"/>
  <c r="O68" i="82"/>
  <c r="M69" i="82"/>
  <c r="N69" i="82"/>
  <c r="O69" i="82"/>
  <c r="M70" i="82"/>
  <c r="N70" i="82"/>
  <c r="O70" i="82"/>
  <c r="M71" i="82"/>
  <c r="N71" i="82"/>
  <c r="O71" i="82"/>
  <c r="M72" i="82"/>
  <c r="N72" i="82"/>
  <c r="O72" i="82"/>
  <c r="M73" i="82"/>
  <c r="N73" i="82"/>
  <c r="O73" i="82"/>
  <c r="M74" i="82"/>
  <c r="N74" i="82"/>
  <c r="O74" i="82"/>
  <c r="M75" i="82"/>
  <c r="N75" i="82"/>
  <c r="O75" i="82"/>
  <c r="M76" i="82"/>
  <c r="N76" i="82"/>
  <c r="O76" i="82"/>
  <c r="M77" i="82"/>
  <c r="N77" i="82"/>
  <c r="O77" i="82"/>
  <c r="M78" i="82"/>
  <c r="N78" i="82"/>
  <c r="O78" i="82"/>
  <c r="M79" i="82"/>
  <c r="N79" i="82"/>
  <c r="O79" i="82"/>
  <c r="M80" i="82"/>
  <c r="N80" i="82"/>
  <c r="O80" i="82"/>
  <c r="M81" i="82"/>
  <c r="N81" i="82"/>
  <c r="O81" i="82"/>
  <c r="M82" i="82"/>
  <c r="N82" i="82"/>
  <c r="O82" i="82"/>
  <c r="M83" i="82"/>
  <c r="N83" i="82"/>
  <c r="O83" i="82"/>
  <c r="M84" i="82"/>
  <c r="N84" i="82"/>
  <c r="O84" i="82"/>
  <c r="M85" i="82"/>
  <c r="N85" i="82"/>
  <c r="O85" i="82"/>
  <c r="M86" i="82"/>
  <c r="N86" i="82"/>
  <c r="O86" i="82"/>
  <c r="M87" i="82"/>
  <c r="N87" i="82"/>
  <c r="O87" i="82"/>
  <c r="M88" i="82"/>
  <c r="N88" i="82"/>
  <c r="O88" i="82"/>
  <c r="M89" i="82"/>
  <c r="N89" i="82"/>
  <c r="O89" i="82"/>
  <c r="M90" i="82"/>
  <c r="N90" i="82"/>
  <c r="O90" i="82"/>
  <c r="M91" i="82"/>
  <c r="N91" i="82"/>
  <c r="O91" i="82"/>
  <c r="L91" i="82"/>
  <c r="P91" i="82" s="1"/>
  <c r="L90" i="82"/>
  <c r="L89" i="82"/>
  <c r="L88" i="82"/>
  <c r="L87" i="82"/>
  <c r="P87" i="82" s="1"/>
  <c r="L86" i="82"/>
  <c r="L85" i="82"/>
  <c r="L84" i="82"/>
  <c r="L83" i="82"/>
  <c r="P83" i="82" s="1"/>
  <c r="L82" i="82"/>
  <c r="L81" i="82"/>
  <c r="L80" i="82"/>
  <c r="L79" i="82"/>
  <c r="P79" i="82" s="1"/>
  <c r="L78" i="82"/>
  <c r="L77" i="82"/>
  <c r="L76" i="82"/>
  <c r="L75" i="82"/>
  <c r="P75" i="82" s="1"/>
  <c r="L74" i="82"/>
  <c r="L73" i="82"/>
  <c r="L72" i="82"/>
  <c r="L71" i="82"/>
  <c r="P71" i="82" s="1"/>
  <c r="L70" i="82"/>
  <c r="L69" i="82"/>
  <c r="L68" i="82"/>
  <c r="L67" i="82"/>
  <c r="P67" i="82" s="1"/>
  <c r="L66" i="82"/>
  <c r="L65" i="82"/>
  <c r="L64" i="82"/>
  <c r="L63" i="82"/>
  <c r="P63" i="82" s="1"/>
  <c r="L62" i="82"/>
  <c r="L61" i="82"/>
  <c r="L60" i="82"/>
  <c r="L59" i="82"/>
  <c r="P59" i="82" s="1"/>
  <c r="L58" i="82"/>
  <c r="L57" i="82"/>
  <c r="L56" i="82"/>
  <c r="L55" i="82"/>
  <c r="P55" i="82" s="1"/>
  <c r="L54" i="82"/>
  <c r="L53" i="82"/>
  <c r="L52" i="82"/>
  <c r="M4" i="82"/>
  <c r="N4" i="82"/>
  <c r="O4" i="82"/>
  <c r="M5" i="82"/>
  <c r="N5" i="82"/>
  <c r="O5" i="82"/>
  <c r="M6" i="82"/>
  <c r="N6" i="82"/>
  <c r="O6" i="82"/>
  <c r="M7" i="82"/>
  <c r="N7" i="82"/>
  <c r="O7" i="82"/>
  <c r="M8" i="82"/>
  <c r="N8" i="82"/>
  <c r="O8" i="82"/>
  <c r="M9" i="82"/>
  <c r="N9" i="82"/>
  <c r="O9" i="82"/>
  <c r="M10" i="82"/>
  <c r="N10" i="82"/>
  <c r="O10" i="82"/>
  <c r="M11" i="82"/>
  <c r="N11" i="82"/>
  <c r="O11" i="82"/>
  <c r="M12" i="82"/>
  <c r="N12" i="82"/>
  <c r="O12" i="82"/>
  <c r="M13" i="82"/>
  <c r="N13" i="82"/>
  <c r="O13" i="82"/>
  <c r="M14" i="82"/>
  <c r="N14" i="82"/>
  <c r="O14" i="82"/>
  <c r="M15" i="82"/>
  <c r="N15" i="82"/>
  <c r="O15" i="82"/>
  <c r="M16" i="82"/>
  <c r="N16" i="82"/>
  <c r="O16" i="82"/>
  <c r="M17" i="82"/>
  <c r="N17" i="82"/>
  <c r="O17" i="82"/>
  <c r="M18" i="82"/>
  <c r="N18" i="82"/>
  <c r="O18" i="82"/>
  <c r="M19" i="82"/>
  <c r="N19" i="82"/>
  <c r="O19" i="82"/>
  <c r="M20" i="82"/>
  <c r="N20" i="82"/>
  <c r="O20" i="82"/>
  <c r="M21" i="82"/>
  <c r="N21" i="82"/>
  <c r="O21" i="82"/>
  <c r="M22" i="82"/>
  <c r="N22" i="82"/>
  <c r="O22" i="82"/>
  <c r="M23" i="82"/>
  <c r="N23" i="82"/>
  <c r="O23" i="82"/>
  <c r="M24" i="82"/>
  <c r="N24" i="82"/>
  <c r="O24" i="82"/>
  <c r="M25" i="82"/>
  <c r="N25" i="82"/>
  <c r="O25" i="82"/>
  <c r="M26" i="82"/>
  <c r="N26" i="82"/>
  <c r="O26" i="82"/>
  <c r="M27" i="82"/>
  <c r="N27" i="82"/>
  <c r="O27" i="82"/>
  <c r="M28" i="82"/>
  <c r="N28" i="82"/>
  <c r="O28" i="82"/>
  <c r="M29" i="82"/>
  <c r="N29" i="82"/>
  <c r="O29" i="82"/>
  <c r="M30" i="82"/>
  <c r="N30" i="82"/>
  <c r="O30" i="82"/>
  <c r="M31" i="82"/>
  <c r="N31" i="82"/>
  <c r="O31" i="82"/>
  <c r="M32" i="82"/>
  <c r="N32" i="82"/>
  <c r="O32" i="82"/>
  <c r="M33" i="82"/>
  <c r="N33" i="82"/>
  <c r="O33" i="82"/>
  <c r="M34" i="82"/>
  <c r="N34" i="82"/>
  <c r="O34" i="82"/>
  <c r="M35" i="82"/>
  <c r="N35" i="82"/>
  <c r="O35" i="82"/>
  <c r="M36" i="82"/>
  <c r="N36" i="82"/>
  <c r="O36" i="82"/>
  <c r="M37" i="82"/>
  <c r="N37" i="82"/>
  <c r="O37" i="82"/>
  <c r="M38" i="82"/>
  <c r="N38" i="82"/>
  <c r="O38" i="82"/>
  <c r="M39" i="82"/>
  <c r="N39" i="82"/>
  <c r="O39" i="82"/>
  <c r="M40" i="82"/>
  <c r="N40" i="82"/>
  <c r="O40" i="82"/>
  <c r="M41" i="82"/>
  <c r="N41" i="82"/>
  <c r="O41" i="82"/>
  <c r="M42" i="82"/>
  <c r="N42" i="82"/>
  <c r="O42" i="82"/>
  <c r="M43" i="82"/>
  <c r="N43" i="82"/>
  <c r="O43" i="82"/>
  <c r="L43" i="82"/>
  <c r="L42" i="82"/>
  <c r="L41" i="82"/>
  <c r="L40" i="82"/>
  <c r="L39" i="82"/>
  <c r="L38" i="82"/>
  <c r="L37" i="82"/>
  <c r="L36" i="82"/>
  <c r="L35" i="82"/>
  <c r="P35" i="82" s="1"/>
  <c r="L34" i="82"/>
  <c r="L33" i="82"/>
  <c r="L32" i="82"/>
  <c r="L31" i="82"/>
  <c r="P31" i="82" s="1"/>
  <c r="L30" i="82"/>
  <c r="L29" i="82"/>
  <c r="L28" i="82"/>
  <c r="L27" i="82"/>
  <c r="L26" i="82"/>
  <c r="L25" i="82"/>
  <c r="L24" i="82"/>
  <c r="L23" i="82"/>
  <c r="P23" i="82" s="1"/>
  <c r="L22" i="82"/>
  <c r="L21" i="82"/>
  <c r="L20" i="82"/>
  <c r="L19" i="82"/>
  <c r="P19" i="82" s="1"/>
  <c r="L18" i="82"/>
  <c r="L17" i="82"/>
  <c r="L16" i="82"/>
  <c r="L15" i="82"/>
  <c r="P15" i="82" s="1"/>
  <c r="L14" i="82"/>
  <c r="L13" i="82"/>
  <c r="L12" i="82"/>
  <c r="L11" i="82"/>
  <c r="P11" i="82" s="1"/>
  <c r="L10" i="82"/>
  <c r="L9" i="82"/>
  <c r="L8" i="82"/>
  <c r="L7" i="82"/>
  <c r="P7" i="82" s="1"/>
  <c r="L6" i="82"/>
  <c r="L5" i="82"/>
  <c r="L4" i="82"/>
  <c r="P5" i="82"/>
  <c r="P54" i="82" l="1"/>
  <c r="P58" i="82"/>
  <c r="P62" i="82"/>
  <c r="P13" i="82"/>
  <c r="P17" i="82"/>
  <c r="P21" i="82"/>
  <c r="P53" i="82"/>
  <c r="P57" i="82"/>
  <c r="P61" i="82"/>
  <c r="T13" i="82" s="1"/>
  <c r="P65" i="82"/>
  <c r="P69" i="82"/>
  <c r="T21" i="82" s="1"/>
  <c r="P73" i="82"/>
  <c r="P77" i="82"/>
  <c r="P81" i="82"/>
  <c r="P85" i="82"/>
  <c r="P89" i="82"/>
  <c r="P9" i="82"/>
  <c r="T9" i="82" s="1"/>
  <c r="P52" i="82"/>
  <c r="P56" i="82"/>
  <c r="P60" i="82"/>
  <c r="P64" i="82"/>
  <c r="T16" i="82" s="1"/>
  <c r="P4" i="82"/>
  <c r="P24" i="82"/>
  <c r="P30" i="82"/>
  <c r="P6" i="82"/>
  <c r="T6" i="82" s="1"/>
  <c r="P8" i="82"/>
  <c r="P10" i="82"/>
  <c r="T10" i="82" s="1"/>
  <c r="P12" i="82"/>
  <c r="P14" i="82"/>
  <c r="T14" i="82" s="1"/>
  <c r="P66" i="82"/>
  <c r="P68" i="82"/>
  <c r="P16" i="82"/>
  <c r="P18" i="82"/>
  <c r="T18" i="82" s="1"/>
  <c r="P20" i="82"/>
  <c r="P22" i="82"/>
  <c r="P26" i="82"/>
  <c r="P28" i="82"/>
  <c r="P32" i="82"/>
  <c r="P34" i="82"/>
  <c r="P36" i="82"/>
  <c r="P38" i="82"/>
  <c r="P40" i="82"/>
  <c r="P42" i="82"/>
  <c r="P70" i="82"/>
  <c r="P72" i="82"/>
  <c r="T24" i="82" s="1"/>
  <c r="P74" i="82"/>
  <c r="P76" i="82"/>
  <c r="P78" i="82"/>
  <c r="P80" i="82"/>
  <c r="T32" i="82" s="1"/>
  <c r="P82" i="82"/>
  <c r="P84" i="82"/>
  <c r="P86" i="82"/>
  <c r="P88" i="82"/>
  <c r="T40" i="82" s="1"/>
  <c r="P90" i="82"/>
  <c r="P25" i="82"/>
  <c r="T25" i="82" s="1"/>
  <c r="P27" i="82"/>
  <c r="P29" i="82"/>
  <c r="T29" i="82" s="1"/>
  <c r="P33" i="82"/>
  <c r="P37" i="82"/>
  <c r="T37" i="82" s="1"/>
  <c r="P39" i="82"/>
  <c r="P41" i="82"/>
  <c r="T41" i="82" s="1"/>
  <c r="P43" i="82"/>
  <c r="T43" i="82" s="1"/>
  <c r="T5" i="82"/>
  <c r="T7" i="82"/>
  <c r="T8" i="82"/>
  <c r="T11" i="82"/>
  <c r="T12" i="82"/>
  <c r="T15" i="82"/>
  <c r="T19" i="82"/>
  <c r="T20" i="82"/>
  <c r="T22" i="82"/>
  <c r="T23" i="82"/>
  <c r="T26" i="82"/>
  <c r="T27" i="82"/>
  <c r="T30" i="82"/>
  <c r="T31" i="82"/>
  <c r="T33" i="82"/>
  <c r="T35" i="82"/>
  <c r="T38" i="82"/>
  <c r="T39" i="82"/>
  <c r="K51" i="111"/>
  <c r="L51" i="111"/>
  <c r="K52" i="111"/>
  <c r="L52" i="111"/>
  <c r="K53" i="111"/>
  <c r="L53" i="111"/>
  <c r="K54" i="111"/>
  <c r="L54" i="111"/>
  <c r="K55" i="111"/>
  <c r="L55" i="111"/>
  <c r="K56" i="111"/>
  <c r="L56" i="111"/>
  <c r="K57" i="111"/>
  <c r="L57" i="111"/>
  <c r="K58" i="111"/>
  <c r="L58" i="111"/>
  <c r="K59" i="111"/>
  <c r="L59" i="111"/>
  <c r="K60" i="111"/>
  <c r="L60" i="111"/>
  <c r="K61" i="111"/>
  <c r="L61" i="111"/>
  <c r="K62" i="111"/>
  <c r="L62" i="111"/>
  <c r="K63" i="111"/>
  <c r="L63" i="111"/>
  <c r="K64" i="111"/>
  <c r="L64" i="111"/>
  <c r="K65" i="111"/>
  <c r="L65" i="111"/>
  <c r="K66" i="111"/>
  <c r="L66" i="111"/>
  <c r="K67" i="111"/>
  <c r="L67" i="111"/>
  <c r="K68" i="111"/>
  <c r="L68" i="111"/>
  <c r="K69" i="111"/>
  <c r="L69" i="111"/>
  <c r="K70" i="111"/>
  <c r="L70" i="111"/>
  <c r="K71" i="111"/>
  <c r="L71" i="111"/>
  <c r="K72" i="111"/>
  <c r="L72" i="111"/>
  <c r="K73" i="111"/>
  <c r="L73" i="111"/>
  <c r="K74" i="111"/>
  <c r="L74" i="111"/>
  <c r="K75" i="111"/>
  <c r="L75" i="111"/>
  <c r="K76" i="111"/>
  <c r="L76" i="111"/>
  <c r="K77" i="111"/>
  <c r="L77" i="111"/>
  <c r="K78" i="111"/>
  <c r="L78" i="111"/>
  <c r="K79" i="111"/>
  <c r="L79" i="111"/>
  <c r="K80" i="111"/>
  <c r="L80" i="111"/>
  <c r="K81" i="111"/>
  <c r="L81" i="111"/>
  <c r="K82" i="111"/>
  <c r="L82" i="111"/>
  <c r="K83" i="111"/>
  <c r="L83" i="111"/>
  <c r="K84" i="111"/>
  <c r="L84" i="111"/>
  <c r="K85" i="111"/>
  <c r="L85" i="111"/>
  <c r="K86" i="111"/>
  <c r="L86" i="111"/>
  <c r="K87" i="111"/>
  <c r="L87" i="111"/>
  <c r="K88" i="111"/>
  <c r="L88" i="111"/>
  <c r="K89" i="111"/>
  <c r="L89" i="111"/>
  <c r="K90" i="111"/>
  <c r="L90" i="111"/>
  <c r="J90" i="111"/>
  <c r="J89" i="111"/>
  <c r="J88" i="111"/>
  <c r="J87" i="111"/>
  <c r="J86" i="111"/>
  <c r="M86" i="111" s="1"/>
  <c r="J85" i="111"/>
  <c r="J84" i="111"/>
  <c r="J83" i="111"/>
  <c r="J82" i="111"/>
  <c r="M82" i="111" s="1"/>
  <c r="J81" i="111"/>
  <c r="J80" i="111"/>
  <c r="J79" i="111"/>
  <c r="J78" i="111"/>
  <c r="M78" i="111" s="1"/>
  <c r="J77" i="111"/>
  <c r="J76" i="111"/>
  <c r="J75" i="111"/>
  <c r="J74" i="111"/>
  <c r="M74" i="111" s="1"/>
  <c r="J73" i="111"/>
  <c r="J72" i="111"/>
  <c r="J71" i="111"/>
  <c r="J70" i="111"/>
  <c r="M70" i="111" s="1"/>
  <c r="J69" i="111"/>
  <c r="J68" i="111"/>
  <c r="J67" i="111"/>
  <c r="J66" i="111"/>
  <c r="M66" i="111" s="1"/>
  <c r="J65" i="111"/>
  <c r="J64" i="111"/>
  <c r="M64" i="111" s="1"/>
  <c r="J63" i="111"/>
  <c r="J62" i="111"/>
  <c r="M62" i="111" s="1"/>
  <c r="J61" i="111"/>
  <c r="T17" i="82" l="1"/>
  <c r="T42" i="82"/>
  <c r="T34" i="82"/>
  <c r="M68" i="111"/>
  <c r="M72" i="111"/>
  <c r="M76" i="111"/>
  <c r="M80" i="111"/>
  <c r="M84" i="111"/>
  <c r="T36" i="82"/>
  <c r="T28" i="82"/>
  <c r="M88" i="111"/>
  <c r="M90" i="111"/>
  <c r="M61" i="111"/>
  <c r="M63" i="111"/>
  <c r="M65" i="111"/>
  <c r="M67" i="111"/>
  <c r="M69" i="111"/>
  <c r="M71" i="111"/>
  <c r="M73" i="111"/>
  <c r="M75" i="111"/>
  <c r="M77" i="111"/>
  <c r="M79" i="111"/>
  <c r="M81" i="111"/>
  <c r="M83" i="111"/>
  <c r="M85" i="111"/>
  <c r="M87" i="111"/>
  <c r="M89" i="111"/>
  <c r="J60" i="111"/>
  <c r="M60" i="111" s="1"/>
  <c r="J59" i="111"/>
  <c r="M59" i="111" s="1"/>
  <c r="J58" i="111"/>
  <c r="M58" i="111" s="1"/>
  <c r="J57" i="111"/>
  <c r="M57" i="111" s="1"/>
  <c r="J56" i="111"/>
  <c r="M56" i="111" s="1"/>
  <c r="J55" i="111"/>
  <c r="M55" i="111" s="1"/>
  <c r="J54" i="111"/>
  <c r="M54" i="111" s="1"/>
  <c r="J53" i="111"/>
  <c r="M53" i="111" s="1"/>
  <c r="J52" i="111"/>
  <c r="M52" i="111" s="1"/>
  <c r="J51" i="111"/>
  <c r="M51" i="111" s="1"/>
  <c r="K4" i="111"/>
  <c r="L4" i="111"/>
  <c r="K5" i="111"/>
  <c r="L5" i="111"/>
  <c r="K6" i="111"/>
  <c r="L6" i="111"/>
  <c r="K7" i="111"/>
  <c r="L7" i="111"/>
  <c r="K8" i="111"/>
  <c r="L8" i="111"/>
  <c r="K9" i="111"/>
  <c r="L9" i="111"/>
  <c r="K10" i="111"/>
  <c r="L10" i="111"/>
  <c r="K11" i="111"/>
  <c r="L11" i="111"/>
  <c r="K12" i="111"/>
  <c r="L12" i="111"/>
  <c r="K13" i="111"/>
  <c r="L13" i="111"/>
  <c r="K14" i="111"/>
  <c r="L14" i="111"/>
  <c r="K15" i="111"/>
  <c r="L15" i="111"/>
  <c r="K16" i="111"/>
  <c r="L16" i="111"/>
  <c r="K17" i="111"/>
  <c r="L17" i="111"/>
  <c r="K18" i="111"/>
  <c r="L18" i="111"/>
  <c r="K19" i="111"/>
  <c r="L19" i="111"/>
  <c r="K20" i="111"/>
  <c r="L20" i="111"/>
  <c r="K21" i="111"/>
  <c r="L21" i="111"/>
  <c r="K22" i="111"/>
  <c r="L22" i="111"/>
  <c r="K23" i="111"/>
  <c r="L23" i="111"/>
  <c r="K24" i="111"/>
  <c r="L24" i="111"/>
  <c r="K25" i="111"/>
  <c r="L25" i="111"/>
  <c r="K26" i="111"/>
  <c r="L26" i="111"/>
  <c r="K27" i="111"/>
  <c r="L27" i="111"/>
  <c r="K28" i="111"/>
  <c r="L28" i="111"/>
  <c r="K29" i="111"/>
  <c r="L29" i="111"/>
  <c r="K30" i="111"/>
  <c r="L30" i="111"/>
  <c r="K31" i="111"/>
  <c r="L31" i="111"/>
  <c r="K32" i="111"/>
  <c r="L32" i="111"/>
  <c r="K33" i="111"/>
  <c r="L33" i="111"/>
  <c r="K34" i="111"/>
  <c r="L34" i="111"/>
  <c r="K35" i="111"/>
  <c r="L35" i="111"/>
  <c r="K36" i="111"/>
  <c r="L36" i="111"/>
  <c r="K37" i="111"/>
  <c r="L37" i="111"/>
  <c r="K38" i="111"/>
  <c r="L38" i="111"/>
  <c r="K39" i="111"/>
  <c r="L39" i="111"/>
  <c r="K40" i="111"/>
  <c r="L40" i="111"/>
  <c r="K41" i="111"/>
  <c r="L41" i="111"/>
  <c r="K42" i="111"/>
  <c r="L42" i="111"/>
  <c r="K43" i="111"/>
  <c r="L43" i="111"/>
  <c r="J43" i="111"/>
  <c r="J42" i="111"/>
  <c r="J41" i="111"/>
  <c r="J40" i="111"/>
  <c r="J39" i="111"/>
  <c r="J38" i="111"/>
  <c r="J37" i="111"/>
  <c r="J36" i="111"/>
  <c r="J35" i="111"/>
  <c r="J34" i="111"/>
  <c r="J33" i="111"/>
  <c r="J32" i="111"/>
  <c r="J31" i="111"/>
  <c r="J30" i="111"/>
  <c r="J29" i="111"/>
  <c r="J28" i="111"/>
  <c r="J27" i="111"/>
  <c r="J26" i="111"/>
  <c r="J25" i="111"/>
  <c r="J24" i="111"/>
  <c r="J23" i="111"/>
  <c r="J22" i="111"/>
  <c r="J21" i="111"/>
  <c r="J20" i="111"/>
  <c r="J19" i="111"/>
  <c r="J18" i="111"/>
  <c r="J17" i="111"/>
  <c r="J16" i="111"/>
  <c r="J15" i="111"/>
  <c r="J14" i="111"/>
  <c r="J13" i="111"/>
  <c r="J12" i="111"/>
  <c r="J11" i="111"/>
  <c r="J10" i="111"/>
  <c r="J9" i="111"/>
  <c r="J8" i="111"/>
  <c r="J7" i="111"/>
  <c r="J6" i="111"/>
  <c r="M6" i="111" l="1"/>
  <c r="M7" i="111"/>
  <c r="M8" i="111"/>
  <c r="M9" i="111"/>
  <c r="M10" i="111"/>
  <c r="M11" i="111"/>
  <c r="M12" i="111"/>
  <c r="M13" i="111"/>
  <c r="M14" i="111"/>
  <c r="M15" i="111"/>
  <c r="M16" i="111"/>
  <c r="M17" i="111"/>
  <c r="M18" i="111"/>
  <c r="M19" i="111"/>
  <c r="M20" i="111"/>
  <c r="M21" i="111"/>
  <c r="M22" i="111"/>
  <c r="M23" i="111"/>
  <c r="M24" i="111"/>
  <c r="M25" i="111"/>
  <c r="M26" i="111"/>
  <c r="M27" i="111"/>
  <c r="M28" i="111"/>
  <c r="M29" i="111"/>
  <c r="M30" i="111"/>
  <c r="M31" i="111"/>
  <c r="M32" i="111"/>
  <c r="M33" i="111"/>
  <c r="M34" i="111"/>
  <c r="M35" i="111"/>
  <c r="M36" i="111"/>
  <c r="M37" i="111"/>
  <c r="M38" i="111"/>
  <c r="M39" i="111"/>
  <c r="M40" i="111"/>
  <c r="M41" i="111"/>
  <c r="M42" i="111"/>
  <c r="M43" i="111"/>
  <c r="J5" i="111"/>
  <c r="M5" i="111" s="1"/>
  <c r="J4" i="111"/>
  <c r="M4" i="111" s="1"/>
  <c r="D51" i="111"/>
  <c r="E51" i="111"/>
  <c r="D52" i="111"/>
  <c r="E52" i="111"/>
  <c r="D53" i="111"/>
  <c r="E53" i="111"/>
  <c r="D54" i="111"/>
  <c r="E54" i="111"/>
  <c r="D55" i="111"/>
  <c r="E55" i="111"/>
  <c r="D56" i="111"/>
  <c r="E56" i="111"/>
  <c r="D57" i="111"/>
  <c r="E57" i="111"/>
  <c r="D58" i="111"/>
  <c r="E58" i="111"/>
  <c r="D59" i="111"/>
  <c r="E59" i="111"/>
  <c r="D60" i="111"/>
  <c r="E60" i="111"/>
  <c r="D61" i="111"/>
  <c r="E61" i="111"/>
  <c r="D62" i="111"/>
  <c r="E62" i="111"/>
  <c r="D63" i="111"/>
  <c r="E63" i="111"/>
  <c r="D64" i="111"/>
  <c r="E64" i="111"/>
  <c r="D65" i="111"/>
  <c r="E65" i="111"/>
  <c r="D66" i="111"/>
  <c r="E66" i="111"/>
  <c r="D67" i="111"/>
  <c r="E67" i="111"/>
  <c r="D68" i="111"/>
  <c r="E68" i="111"/>
  <c r="D69" i="111"/>
  <c r="E69" i="111"/>
  <c r="D70" i="111"/>
  <c r="E70" i="111"/>
  <c r="D71" i="111"/>
  <c r="E71" i="111"/>
  <c r="D72" i="111"/>
  <c r="E72" i="111"/>
  <c r="D73" i="111"/>
  <c r="E73" i="111"/>
  <c r="D74" i="111"/>
  <c r="E74" i="111"/>
  <c r="D75" i="111"/>
  <c r="E75" i="111"/>
  <c r="D76" i="111"/>
  <c r="E76" i="111"/>
  <c r="D77" i="111"/>
  <c r="E77" i="111"/>
  <c r="D78" i="111"/>
  <c r="E78" i="111"/>
  <c r="D79" i="111"/>
  <c r="E79" i="111"/>
  <c r="D80" i="111"/>
  <c r="E80" i="111"/>
  <c r="D81" i="111"/>
  <c r="E81" i="111"/>
  <c r="D82" i="111"/>
  <c r="E82" i="111"/>
  <c r="D83" i="111"/>
  <c r="E83" i="111"/>
  <c r="D84" i="111"/>
  <c r="E84" i="111"/>
  <c r="D85" i="111"/>
  <c r="E85" i="111"/>
  <c r="D86" i="111"/>
  <c r="E86" i="111"/>
  <c r="D87" i="111"/>
  <c r="E87" i="111"/>
  <c r="D88" i="111"/>
  <c r="E88" i="111"/>
  <c r="D89" i="111"/>
  <c r="E89" i="111"/>
  <c r="D90" i="111"/>
  <c r="E90" i="111"/>
  <c r="C90" i="111"/>
  <c r="C89" i="111"/>
  <c r="C88" i="111"/>
  <c r="C87" i="111"/>
  <c r="C86" i="111"/>
  <c r="C85" i="111"/>
  <c r="C84" i="111"/>
  <c r="C83" i="111"/>
  <c r="C82" i="111"/>
  <c r="C81" i="111"/>
  <c r="C80" i="111"/>
  <c r="C79" i="111"/>
  <c r="C78" i="111"/>
  <c r="C77" i="111"/>
  <c r="C76" i="111"/>
  <c r="C75" i="111"/>
  <c r="C74" i="111"/>
  <c r="C73" i="111"/>
  <c r="C72" i="111"/>
  <c r="C71" i="111"/>
  <c r="C70" i="111"/>
  <c r="C69" i="111"/>
  <c r="C68" i="111"/>
  <c r="C67" i="111"/>
  <c r="C66" i="111"/>
  <c r="C65" i="111"/>
  <c r="C64" i="111"/>
  <c r="C63" i="111"/>
  <c r="C62" i="111"/>
  <c r="C61" i="111"/>
  <c r="C60" i="111"/>
  <c r="C59" i="111"/>
  <c r="C58" i="111"/>
  <c r="C57" i="111"/>
  <c r="C56" i="111"/>
  <c r="C55" i="111"/>
  <c r="C54" i="111"/>
  <c r="C53" i="111"/>
  <c r="C52" i="111"/>
  <c r="C51" i="111"/>
  <c r="D4" i="111"/>
  <c r="E4" i="111"/>
  <c r="D5" i="111"/>
  <c r="E5" i="111"/>
  <c r="D6" i="111"/>
  <c r="E6" i="111"/>
  <c r="D7" i="111"/>
  <c r="E7" i="111"/>
  <c r="D8" i="111"/>
  <c r="E8" i="111"/>
  <c r="D9" i="111"/>
  <c r="E9" i="111"/>
  <c r="D10" i="111"/>
  <c r="E10" i="111"/>
  <c r="D11" i="111"/>
  <c r="E11" i="111"/>
  <c r="D12" i="111"/>
  <c r="E12" i="111"/>
  <c r="D13" i="111"/>
  <c r="E13" i="111"/>
  <c r="D14" i="111"/>
  <c r="E14" i="111"/>
  <c r="D15" i="111"/>
  <c r="E15" i="111"/>
  <c r="D16" i="111"/>
  <c r="E16" i="111"/>
  <c r="D17" i="111"/>
  <c r="E17" i="111"/>
  <c r="D18" i="111"/>
  <c r="E18" i="111"/>
  <c r="D19" i="111"/>
  <c r="E19" i="111"/>
  <c r="D20" i="111"/>
  <c r="E20" i="111"/>
  <c r="D21" i="111"/>
  <c r="E21" i="111"/>
  <c r="D22" i="111"/>
  <c r="E22" i="111"/>
  <c r="D23" i="111"/>
  <c r="E23" i="111"/>
  <c r="D24" i="111"/>
  <c r="E24" i="111"/>
  <c r="D25" i="111"/>
  <c r="E25" i="111"/>
  <c r="D26" i="111"/>
  <c r="E26" i="111"/>
  <c r="D27" i="111"/>
  <c r="E27" i="111"/>
  <c r="D28" i="111"/>
  <c r="E28" i="111"/>
  <c r="D29" i="111"/>
  <c r="E29" i="111"/>
  <c r="D30" i="111"/>
  <c r="E30" i="111"/>
  <c r="D31" i="111"/>
  <c r="E31" i="111"/>
  <c r="D32" i="111"/>
  <c r="E32" i="111"/>
  <c r="D33" i="111"/>
  <c r="E33" i="111"/>
  <c r="D34" i="111"/>
  <c r="E34" i="111"/>
  <c r="D35" i="111"/>
  <c r="E35" i="111"/>
  <c r="D36" i="111"/>
  <c r="E36" i="111"/>
  <c r="D37" i="111"/>
  <c r="E37" i="111"/>
  <c r="D38" i="111"/>
  <c r="E38" i="111"/>
  <c r="D39" i="111"/>
  <c r="E39" i="111"/>
  <c r="D40" i="111"/>
  <c r="E40" i="111"/>
  <c r="D41" i="111"/>
  <c r="E41" i="111"/>
  <c r="D42" i="111"/>
  <c r="E42" i="111"/>
  <c r="D43" i="111"/>
  <c r="E43" i="111"/>
  <c r="C43" i="111"/>
  <c r="C42" i="111"/>
  <c r="C41" i="111"/>
  <c r="C40" i="111"/>
  <c r="C39" i="111"/>
  <c r="C38" i="111"/>
  <c r="C37" i="111"/>
  <c r="C36" i="111"/>
  <c r="C35" i="111"/>
  <c r="C34" i="111"/>
  <c r="C33" i="111"/>
  <c r="C32" i="111"/>
  <c r="C31" i="111"/>
  <c r="C30" i="111"/>
  <c r="C29" i="111"/>
  <c r="C28" i="111"/>
  <c r="C27" i="111"/>
  <c r="C26" i="111"/>
  <c r="C25" i="111"/>
  <c r="C24" i="111"/>
  <c r="C23" i="111"/>
  <c r="C22" i="111"/>
  <c r="C21" i="111"/>
  <c r="C20" i="111"/>
  <c r="C19" i="111"/>
  <c r="C18" i="111"/>
  <c r="C17" i="111"/>
  <c r="C16" i="111"/>
  <c r="C15" i="111"/>
  <c r="C14" i="111"/>
  <c r="C13" i="111"/>
  <c r="C12" i="111"/>
  <c r="C11" i="111"/>
  <c r="C10" i="111"/>
  <c r="C9" i="111"/>
  <c r="C8" i="111"/>
  <c r="C7" i="111"/>
  <c r="C6" i="111"/>
  <c r="C4" i="111"/>
  <c r="C5" i="111"/>
  <c r="L51" i="112"/>
  <c r="D5" i="112"/>
  <c r="E5" i="112"/>
  <c r="F5" i="112"/>
  <c r="G5" i="112"/>
  <c r="D6" i="112"/>
  <c r="E6" i="112"/>
  <c r="F6" i="112"/>
  <c r="G6" i="112"/>
  <c r="D7" i="112"/>
  <c r="E7" i="112"/>
  <c r="F7" i="112"/>
  <c r="G7" i="112"/>
  <c r="D8" i="112"/>
  <c r="E8" i="112"/>
  <c r="F8" i="112"/>
  <c r="G8" i="112"/>
  <c r="D9" i="112"/>
  <c r="E9" i="112"/>
  <c r="F9" i="112"/>
  <c r="G9" i="112"/>
  <c r="D10" i="112"/>
  <c r="E10" i="112"/>
  <c r="F10" i="112"/>
  <c r="G10" i="112"/>
  <c r="D11" i="112"/>
  <c r="E11" i="112"/>
  <c r="F11" i="112"/>
  <c r="G11" i="112"/>
  <c r="D12" i="112"/>
  <c r="E12" i="112"/>
  <c r="F12" i="112"/>
  <c r="G12" i="112"/>
  <c r="D13" i="112"/>
  <c r="E13" i="112"/>
  <c r="F13" i="112"/>
  <c r="G13" i="112"/>
  <c r="D14" i="112"/>
  <c r="E14" i="112"/>
  <c r="F14" i="112"/>
  <c r="G14" i="112"/>
  <c r="D15" i="112"/>
  <c r="E15" i="112"/>
  <c r="F15" i="112"/>
  <c r="G15" i="112"/>
  <c r="D16" i="112"/>
  <c r="E16" i="112"/>
  <c r="F16" i="112"/>
  <c r="G16" i="112"/>
  <c r="D17" i="112"/>
  <c r="E17" i="112"/>
  <c r="F17" i="112"/>
  <c r="G17" i="112"/>
  <c r="D18" i="112"/>
  <c r="E18" i="112"/>
  <c r="F18" i="112"/>
  <c r="G18" i="112"/>
  <c r="D19" i="112"/>
  <c r="E19" i="112"/>
  <c r="F19" i="112"/>
  <c r="G19" i="112"/>
  <c r="D20" i="112"/>
  <c r="E20" i="112"/>
  <c r="F20" i="112"/>
  <c r="G20" i="112"/>
  <c r="D21" i="112"/>
  <c r="E21" i="112"/>
  <c r="F21" i="112"/>
  <c r="G21" i="112"/>
  <c r="D22" i="112"/>
  <c r="E22" i="112"/>
  <c r="F22" i="112"/>
  <c r="G22" i="112"/>
  <c r="D23" i="112"/>
  <c r="E23" i="112"/>
  <c r="F23" i="112"/>
  <c r="G23" i="112"/>
  <c r="D24" i="112"/>
  <c r="E24" i="112"/>
  <c r="F24" i="112"/>
  <c r="G24" i="112"/>
  <c r="D25" i="112"/>
  <c r="E25" i="112"/>
  <c r="F25" i="112"/>
  <c r="G25" i="112"/>
  <c r="D26" i="112"/>
  <c r="E26" i="112"/>
  <c r="F26" i="112"/>
  <c r="G26" i="112"/>
  <c r="D27" i="112"/>
  <c r="E27" i="112"/>
  <c r="F27" i="112"/>
  <c r="G27" i="112"/>
  <c r="D28" i="112"/>
  <c r="E28" i="112"/>
  <c r="F28" i="112"/>
  <c r="G28" i="112"/>
  <c r="D29" i="112"/>
  <c r="E29" i="112"/>
  <c r="F29" i="112"/>
  <c r="G29" i="112"/>
  <c r="D30" i="112"/>
  <c r="E30" i="112"/>
  <c r="F30" i="112"/>
  <c r="G30" i="112"/>
  <c r="D31" i="112"/>
  <c r="E31" i="112"/>
  <c r="F31" i="112"/>
  <c r="G31" i="112"/>
  <c r="D32" i="112"/>
  <c r="E32" i="112"/>
  <c r="F32" i="112"/>
  <c r="G32" i="112"/>
  <c r="D33" i="112"/>
  <c r="E33" i="112"/>
  <c r="F33" i="112"/>
  <c r="G33" i="112"/>
  <c r="D34" i="112"/>
  <c r="E34" i="112"/>
  <c r="F34" i="112"/>
  <c r="G34" i="112"/>
  <c r="D35" i="112"/>
  <c r="E35" i="112"/>
  <c r="F35" i="112"/>
  <c r="G35" i="112"/>
  <c r="D36" i="112"/>
  <c r="E36" i="112"/>
  <c r="F36" i="112"/>
  <c r="G36" i="112"/>
  <c r="D37" i="112"/>
  <c r="E37" i="112"/>
  <c r="F37" i="112"/>
  <c r="G37" i="112"/>
  <c r="D38" i="112"/>
  <c r="E38" i="112"/>
  <c r="F38" i="112"/>
  <c r="G38" i="112"/>
  <c r="D39" i="112"/>
  <c r="E39" i="112"/>
  <c r="F39" i="112"/>
  <c r="G39" i="112"/>
  <c r="D40" i="112"/>
  <c r="E40" i="112"/>
  <c r="F40" i="112"/>
  <c r="G40" i="112"/>
  <c r="D41" i="112"/>
  <c r="E41" i="112"/>
  <c r="F41" i="112"/>
  <c r="G41" i="112"/>
  <c r="D42" i="112"/>
  <c r="E42" i="112"/>
  <c r="F42" i="112"/>
  <c r="G42" i="112"/>
  <c r="D43" i="112"/>
  <c r="E43" i="112"/>
  <c r="F43" i="112"/>
  <c r="G43" i="112"/>
  <c r="D4" i="112"/>
  <c r="E4" i="112"/>
  <c r="F4" i="112"/>
  <c r="G4" i="112"/>
  <c r="L4" i="112"/>
  <c r="C4" i="112"/>
  <c r="D51" i="112"/>
  <c r="E51" i="112"/>
  <c r="F51" i="112"/>
  <c r="G51" i="112"/>
  <c r="D52" i="112"/>
  <c r="E52" i="112"/>
  <c r="F52" i="112"/>
  <c r="G52" i="112"/>
  <c r="D53" i="112"/>
  <c r="E53" i="112"/>
  <c r="F53" i="112"/>
  <c r="G53" i="112"/>
  <c r="D54" i="112"/>
  <c r="E54" i="112"/>
  <c r="F54" i="112"/>
  <c r="G54" i="112"/>
  <c r="D55" i="112"/>
  <c r="E55" i="112"/>
  <c r="F55" i="112"/>
  <c r="G55" i="112"/>
  <c r="D56" i="112"/>
  <c r="E56" i="112"/>
  <c r="F56" i="112"/>
  <c r="G56" i="112"/>
  <c r="D57" i="112"/>
  <c r="E57" i="112"/>
  <c r="F57" i="112"/>
  <c r="G57" i="112"/>
  <c r="D58" i="112"/>
  <c r="E58" i="112"/>
  <c r="F58" i="112"/>
  <c r="G58" i="112"/>
  <c r="D59" i="112"/>
  <c r="E59" i="112"/>
  <c r="F59" i="112"/>
  <c r="G59" i="112"/>
  <c r="D60" i="112"/>
  <c r="E60" i="112"/>
  <c r="F60" i="112"/>
  <c r="G60" i="112"/>
  <c r="D61" i="112"/>
  <c r="E61" i="112"/>
  <c r="F61" i="112"/>
  <c r="G61" i="112"/>
  <c r="D62" i="112"/>
  <c r="E62" i="112"/>
  <c r="F62" i="112"/>
  <c r="G62" i="112"/>
  <c r="D63" i="112"/>
  <c r="E63" i="112"/>
  <c r="F63" i="112"/>
  <c r="G63" i="112"/>
  <c r="D64" i="112"/>
  <c r="E64" i="112"/>
  <c r="F64" i="112"/>
  <c r="G64" i="112"/>
  <c r="D65" i="112"/>
  <c r="E65" i="112"/>
  <c r="F65" i="112"/>
  <c r="G65" i="112"/>
  <c r="D66" i="112"/>
  <c r="E66" i="112"/>
  <c r="F66" i="112"/>
  <c r="G66" i="112"/>
  <c r="D67" i="112"/>
  <c r="E67" i="112"/>
  <c r="F67" i="112"/>
  <c r="G67" i="112"/>
  <c r="D68" i="112"/>
  <c r="E68" i="112"/>
  <c r="F68" i="112"/>
  <c r="G68" i="112"/>
  <c r="D69" i="112"/>
  <c r="E69" i="112"/>
  <c r="F69" i="112"/>
  <c r="G69" i="112"/>
  <c r="D70" i="112"/>
  <c r="E70" i="112"/>
  <c r="F70" i="112"/>
  <c r="G70" i="112"/>
  <c r="D71" i="112"/>
  <c r="E71" i="112"/>
  <c r="F71" i="112"/>
  <c r="G71" i="112"/>
  <c r="D72" i="112"/>
  <c r="E72" i="112"/>
  <c r="F72" i="112"/>
  <c r="G72" i="112"/>
  <c r="D73" i="112"/>
  <c r="E73" i="112"/>
  <c r="F73" i="112"/>
  <c r="G73" i="112"/>
  <c r="D74" i="112"/>
  <c r="E74" i="112"/>
  <c r="F74" i="112"/>
  <c r="G74" i="112"/>
  <c r="D75" i="112"/>
  <c r="E75" i="112"/>
  <c r="F75" i="112"/>
  <c r="G75" i="112"/>
  <c r="D76" i="112"/>
  <c r="E76" i="112"/>
  <c r="F76" i="112"/>
  <c r="G76" i="112"/>
  <c r="D77" i="112"/>
  <c r="E77" i="112"/>
  <c r="F77" i="112"/>
  <c r="G77" i="112"/>
  <c r="D78" i="112"/>
  <c r="E78" i="112"/>
  <c r="F78" i="112"/>
  <c r="G78" i="112"/>
  <c r="D79" i="112"/>
  <c r="E79" i="112"/>
  <c r="F79" i="112"/>
  <c r="G79" i="112"/>
  <c r="D80" i="112"/>
  <c r="E80" i="112"/>
  <c r="F80" i="112"/>
  <c r="G80" i="112"/>
  <c r="D81" i="112"/>
  <c r="E81" i="112"/>
  <c r="F81" i="112"/>
  <c r="G81" i="112"/>
  <c r="D82" i="112"/>
  <c r="E82" i="112"/>
  <c r="F82" i="112"/>
  <c r="G82" i="112"/>
  <c r="D83" i="112"/>
  <c r="E83" i="112"/>
  <c r="F83" i="112"/>
  <c r="G83" i="112"/>
  <c r="D84" i="112"/>
  <c r="E84" i="112"/>
  <c r="F84" i="112"/>
  <c r="G84" i="112"/>
  <c r="D85" i="112"/>
  <c r="E85" i="112"/>
  <c r="F85" i="112"/>
  <c r="G85" i="112"/>
  <c r="D86" i="112"/>
  <c r="E86" i="112"/>
  <c r="F86" i="112"/>
  <c r="G86" i="112"/>
  <c r="D87" i="112"/>
  <c r="E87" i="112"/>
  <c r="F87" i="112"/>
  <c r="G87" i="112"/>
  <c r="D88" i="112"/>
  <c r="E88" i="112"/>
  <c r="F88" i="112"/>
  <c r="G88" i="112"/>
  <c r="D89" i="112"/>
  <c r="E89" i="112"/>
  <c r="F89" i="112"/>
  <c r="G89" i="112"/>
  <c r="D90" i="112"/>
  <c r="E90" i="112"/>
  <c r="F90" i="112"/>
  <c r="G90" i="112"/>
  <c r="C5" i="112"/>
  <c r="L51" i="108"/>
  <c r="M51" i="108"/>
  <c r="N51" i="108"/>
  <c r="O51" i="108"/>
  <c r="P51" i="108"/>
  <c r="L52" i="108"/>
  <c r="M52" i="108"/>
  <c r="N52" i="108"/>
  <c r="O52" i="108"/>
  <c r="P52" i="108"/>
  <c r="L53" i="108"/>
  <c r="M53" i="108"/>
  <c r="N53" i="108"/>
  <c r="O53" i="108"/>
  <c r="P53" i="108"/>
  <c r="L54" i="108"/>
  <c r="M54" i="108"/>
  <c r="N54" i="108"/>
  <c r="O54" i="108"/>
  <c r="P54" i="108"/>
  <c r="L55" i="108"/>
  <c r="M55" i="108"/>
  <c r="N55" i="108"/>
  <c r="O55" i="108"/>
  <c r="P55" i="108"/>
  <c r="L56" i="108"/>
  <c r="M56" i="108"/>
  <c r="N56" i="108"/>
  <c r="O56" i="108"/>
  <c r="P56" i="108"/>
  <c r="L57" i="108"/>
  <c r="M57" i="108"/>
  <c r="N57" i="108"/>
  <c r="O57" i="108"/>
  <c r="P57" i="108"/>
  <c r="L58" i="108"/>
  <c r="M58" i="108"/>
  <c r="N58" i="108"/>
  <c r="O58" i="108"/>
  <c r="P58" i="108"/>
  <c r="L59" i="108"/>
  <c r="M59" i="108"/>
  <c r="N59" i="108"/>
  <c r="O59" i="108"/>
  <c r="P59" i="108"/>
  <c r="L60" i="108"/>
  <c r="M60" i="108"/>
  <c r="N60" i="108"/>
  <c r="O60" i="108"/>
  <c r="P60" i="108"/>
  <c r="L61" i="108"/>
  <c r="M61" i="108"/>
  <c r="N61" i="108"/>
  <c r="O61" i="108"/>
  <c r="P61" i="108"/>
  <c r="L62" i="108"/>
  <c r="M62" i="108"/>
  <c r="N62" i="108"/>
  <c r="O62" i="108"/>
  <c r="P62" i="108"/>
  <c r="L63" i="108"/>
  <c r="M63" i="108"/>
  <c r="N63" i="108"/>
  <c r="O63" i="108"/>
  <c r="P63" i="108"/>
  <c r="L64" i="108"/>
  <c r="M64" i="108"/>
  <c r="N64" i="108"/>
  <c r="O64" i="108"/>
  <c r="P64" i="108"/>
  <c r="L65" i="108"/>
  <c r="M65" i="108"/>
  <c r="N65" i="108"/>
  <c r="O65" i="108"/>
  <c r="P65" i="108"/>
  <c r="L66" i="108"/>
  <c r="M66" i="108"/>
  <c r="N66" i="108"/>
  <c r="O66" i="108"/>
  <c r="P66" i="108"/>
  <c r="L67" i="108"/>
  <c r="M67" i="108"/>
  <c r="N67" i="108"/>
  <c r="O67" i="108"/>
  <c r="P67" i="108"/>
  <c r="L68" i="108"/>
  <c r="M68" i="108"/>
  <c r="N68" i="108"/>
  <c r="O68" i="108"/>
  <c r="P68" i="108"/>
  <c r="L69" i="108"/>
  <c r="M69" i="108"/>
  <c r="N69" i="108"/>
  <c r="O69" i="108"/>
  <c r="P69" i="108"/>
  <c r="L70" i="108"/>
  <c r="M70" i="108"/>
  <c r="N70" i="108"/>
  <c r="O70" i="108"/>
  <c r="P70" i="108"/>
  <c r="L71" i="108"/>
  <c r="M71" i="108"/>
  <c r="N71" i="108"/>
  <c r="O71" i="108"/>
  <c r="P71" i="108"/>
  <c r="L72" i="108"/>
  <c r="M72" i="108"/>
  <c r="N72" i="108"/>
  <c r="O72" i="108"/>
  <c r="P72" i="108"/>
  <c r="L73" i="108"/>
  <c r="M73" i="108"/>
  <c r="N73" i="108"/>
  <c r="O73" i="108"/>
  <c r="P73" i="108"/>
  <c r="L74" i="108"/>
  <c r="M74" i="108"/>
  <c r="N74" i="108"/>
  <c r="O74" i="108"/>
  <c r="P74" i="108"/>
  <c r="L75" i="108"/>
  <c r="M75" i="108"/>
  <c r="N75" i="108"/>
  <c r="O75" i="108"/>
  <c r="P75" i="108"/>
  <c r="L76" i="108"/>
  <c r="M76" i="108"/>
  <c r="N76" i="108"/>
  <c r="O76" i="108"/>
  <c r="P76" i="108"/>
  <c r="L77" i="108"/>
  <c r="M77" i="108"/>
  <c r="N77" i="108"/>
  <c r="O77" i="108"/>
  <c r="P77" i="108"/>
  <c r="L78" i="108"/>
  <c r="M78" i="108"/>
  <c r="N78" i="108"/>
  <c r="O78" i="108"/>
  <c r="P78" i="108"/>
  <c r="L79" i="108"/>
  <c r="M79" i="108"/>
  <c r="N79" i="108"/>
  <c r="O79" i="108"/>
  <c r="P79" i="108"/>
  <c r="L80" i="108"/>
  <c r="M80" i="108"/>
  <c r="N80" i="108"/>
  <c r="O80" i="108"/>
  <c r="P80" i="108"/>
  <c r="L81" i="108"/>
  <c r="M81" i="108"/>
  <c r="N81" i="108"/>
  <c r="O81" i="108"/>
  <c r="P81" i="108"/>
  <c r="L82" i="108"/>
  <c r="M82" i="108"/>
  <c r="N82" i="108"/>
  <c r="O82" i="108"/>
  <c r="P82" i="108"/>
  <c r="L83" i="108"/>
  <c r="M83" i="108"/>
  <c r="N83" i="108"/>
  <c r="O83" i="108"/>
  <c r="P83" i="108"/>
  <c r="L84" i="108"/>
  <c r="M84" i="108"/>
  <c r="N84" i="108"/>
  <c r="O84" i="108"/>
  <c r="P84" i="108"/>
  <c r="L85" i="108"/>
  <c r="M85" i="108"/>
  <c r="N85" i="108"/>
  <c r="O85" i="108"/>
  <c r="P85" i="108"/>
  <c r="L86" i="108"/>
  <c r="M86" i="108"/>
  <c r="N86" i="108"/>
  <c r="O86" i="108"/>
  <c r="P86" i="108"/>
  <c r="L87" i="108"/>
  <c r="M87" i="108"/>
  <c r="N87" i="108"/>
  <c r="O87" i="108"/>
  <c r="P87" i="108"/>
  <c r="L88" i="108"/>
  <c r="M88" i="108"/>
  <c r="N88" i="108"/>
  <c r="O88" i="108"/>
  <c r="P88" i="108"/>
  <c r="L89" i="108"/>
  <c r="M89" i="108"/>
  <c r="N89" i="108"/>
  <c r="O89" i="108"/>
  <c r="P89" i="108"/>
  <c r="L90" i="108"/>
  <c r="M90" i="108"/>
  <c r="N90" i="108"/>
  <c r="O90" i="108"/>
  <c r="P90" i="108"/>
  <c r="K52" i="108"/>
  <c r="K53" i="108"/>
  <c r="K54" i="108"/>
  <c r="K55" i="108"/>
  <c r="K56" i="108"/>
  <c r="K57" i="108"/>
  <c r="K58" i="108"/>
  <c r="K59" i="108"/>
  <c r="K60" i="108"/>
  <c r="K61" i="108"/>
  <c r="K62" i="108"/>
  <c r="K63" i="108"/>
  <c r="K64" i="108"/>
  <c r="K65" i="108"/>
  <c r="K66" i="108"/>
  <c r="K67" i="108"/>
  <c r="K68" i="108"/>
  <c r="K69" i="108"/>
  <c r="K70" i="108"/>
  <c r="K71" i="108"/>
  <c r="K72" i="108"/>
  <c r="K73" i="108"/>
  <c r="K74" i="108"/>
  <c r="K75" i="108"/>
  <c r="K76" i="108"/>
  <c r="K77" i="108"/>
  <c r="K78" i="108"/>
  <c r="K79" i="108"/>
  <c r="K80" i="108"/>
  <c r="K81" i="108"/>
  <c r="K82" i="108"/>
  <c r="Q73" i="108" l="1"/>
  <c r="Q65" i="108"/>
  <c r="Q57" i="108"/>
  <c r="F54" i="111"/>
  <c r="F58" i="111"/>
  <c r="F62" i="111"/>
  <c r="F66" i="111"/>
  <c r="F70" i="111"/>
  <c r="F74" i="111"/>
  <c r="F78" i="111"/>
  <c r="F82" i="111"/>
  <c r="F86" i="111"/>
  <c r="F90" i="111"/>
  <c r="Q81" i="108"/>
  <c r="Q77" i="108"/>
  <c r="Q69" i="108"/>
  <c r="Q61" i="108"/>
  <c r="Q53" i="108"/>
  <c r="Q75" i="108"/>
  <c r="Q67" i="108"/>
  <c r="Q63" i="108"/>
  <c r="Q59" i="108"/>
  <c r="Q55" i="108"/>
  <c r="H5" i="112"/>
  <c r="H4" i="112"/>
  <c r="F52" i="111"/>
  <c r="F56" i="111"/>
  <c r="F60" i="111"/>
  <c r="F64" i="111"/>
  <c r="F68" i="111"/>
  <c r="F72" i="111"/>
  <c r="F76" i="111"/>
  <c r="F80" i="111"/>
  <c r="F84" i="111"/>
  <c r="F88" i="111"/>
  <c r="Q82" i="108"/>
  <c r="Q80" i="108"/>
  <c r="Q78" i="108"/>
  <c r="Q76" i="108"/>
  <c r="Q74" i="108"/>
  <c r="Q72" i="108"/>
  <c r="Q70" i="108"/>
  <c r="Q68" i="108"/>
  <c r="Q66" i="108"/>
  <c r="Q64" i="108"/>
  <c r="Q62" i="108"/>
  <c r="Q58" i="108"/>
  <c r="Q56" i="108"/>
  <c r="Q54" i="108"/>
  <c r="Q52" i="108"/>
  <c r="F53" i="111"/>
  <c r="F55" i="111"/>
  <c r="F57" i="111"/>
  <c r="F59" i="111"/>
  <c r="F61" i="111"/>
  <c r="F63" i="111"/>
  <c r="F65" i="111"/>
  <c r="F67" i="111"/>
  <c r="F69" i="111"/>
  <c r="F71" i="111"/>
  <c r="F73" i="111"/>
  <c r="F75" i="111"/>
  <c r="F77" i="111"/>
  <c r="F79" i="111"/>
  <c r="F81" i="111"/>
  <c r="F83" i="111"/>
  <c r="F85" i="111"/>
  <c r="F87" i="111"/>
  <c r="F89" i="111"/>
  <c r="F51" i="111"/>
  <c r="Q79" i="108"/>
  <c r="Q71" i="108"/>
  <c r="Q60" i="108"/>
  <c r="F4" i="111"/>
  <c r="F7" i="111"/>
  <c r="F9" i="111"/>
  <c r="F11" i="111"/>
  <c r="F13" i="111"/>
  <c r="F15" i="111"/>
  <c r="F17" i="111"/>
  <c r="F19" i="111"/>
  <c r="F21" i="111"/>
  <c r="F23" i="111"/>
  <c r="F25" i="111"/>
  <c r="F27" i="111"/>
  <c r="F29" i="111"/>
  <c r="F31" i="111"/>
  <c r="F33" i="111"/>
  <c r="F35" i="111"/>
  <c r="F37" i="111"/>
  <c r="F39" i="111"/>
  <c r="F41" i="111"/>
  <c r="F43" i="111"/>
  <c r="F5" i="111"/>
  <c r="F6" i="111"/>
  <c r="F8" i="111"/>
  <c r="F10" i="111"/>
  <c r="F12" i="111"/>
  <c r="F14" i="111"/>
  <c r="F16" i="111"/>
  <c r="F18" i="111"/>
  <c r="F20" i="111"/>
  <c r="F22" i="111"/>
  <c r="F24" i="111"/>
  <c r="F26" i="111"/>
  <c r="F28" i="111"/>
  <c r="F30" i="111"/>
  <c r="F32" i="111"/>
  <c r="F34" i="111"/>
  <c r="F36" i="111"/>
  <c r="F38" i="111"/>
  <c r="F40" i="111"/>
  <c r="F42" i="111"/>
  <c r="L4" i="108"/>
  <c r="M4" i="108"/>
  <c r="N4" i="108"/>
  <c r="O4" i="108"/>
  <c r="P4" i="108"/>
  <c r="L5" i="108"/>
  <c r="M5" i="108"/>
  <c r="N5" i="108"/>
  <c r="O5" i="108"/>
  <c r="P5" i="108"/>
  <c r="L6" i="108"/>
  <c r="M6" i="108"/>
  <c r="N6" i="108"/>
  <c r="O6" i="108"/>
  <c r="P6" i="108"/>
  <c r="L7" i="108"/>
  <c r="M7" i="108"/>
  <c r="N7" i="108"/>
  <c r="O7" i="108"/>
  <c r="P7" i="108"/>
  <c r="L8" i="108"/>
  <c r="M8" i="108"/>
  <c r="N8" i="108"/>
  <c r="O8" i="108"/>
  <c r="P8" i="108"/>
  <c r="L9" i="108"/>
  <c r="M9" i="108"/>
  <c r="N9" i="108"/>
  <c r="O9" i="108"/>
  <c r="P9" i="108"/>
  <c r="L10" i="108"/>
  <c r="M10" i="108"/>
  <c r="N10" i="108"/>
  <c r="O10" i="108"/>
  <c r="P10" i="108"/>
  <c r="L11" i="108"/>
  <c r="M11" i="108"/>
  <c r="N11" i="108"/>
  <c r="O11" i="108"/>
  <c r="P11" i="108"/>
  <c r="L12" i="108"/>
  <c r="M12" i="108"/>
  <c r="N12" i="108"/>
  <c r="O12" i="108"/>
  <c r="P12" i="108"/>
  <c r="L13" i="108"/>
  <c r="M13" i="108"/>
  <c r="N13" i="108"/>
  <c r="O13" i="108"/>
  <c r="P13" i="108"/>
  <c r="L14" i="108"/>
  <c r="M14" i="108"/>
  <c r="N14" i="108"/>
  <c r="O14" i="108"/>
  <c r="P14" i="108"/>
  <c r="L15" i="108"/>
  <c r="M15" i="108"/>
  <c r="N15" i="108"/>
  <c r="O15" i="108"/>
  <c r="P15" i="108"/>
  <c r="L16" i="108"/>
  <c r="M16" i="108"/>
  <c r="N16" i="108"/>
  <c r="O16" i="108"/>
  <c r="P16" i="108"/>
  <c r="L17" i="108"/>
  <c r="M17" i="108"/>
  <c r="N17" i="108"/>
  <c r="O17" i="108"/>
  <c r="P17" i="108"/>
  <c r="L18" i="108"/>
  <c r="M18" i="108"/>
  <c r="N18" i="108"/>
  <c r="O18" i="108"/>
  <c r="P18" i="108"/>
  <c r="L19" i="108"/>
  <c r="M19" i="108"/>
  <c r="N19" i="108"/>
  <c r="O19" i="108"/>
  <c r="P19" i="108"/>
  <c r="L20" i="108"/>
  <c r="M20" i="108"/>
  <c r="N20" i="108"/>
  <c r="O20" i="108"/>
  <c r="P20" i="108"/>
  <c r="L21" i="108"/>
  <c r="M21" i="108"/>
  <c r="N21" i="108"/>
  <c r="O21" i="108"/>
  <c r="P21" i="108"/>
  <c r="L22" i="108"/>
  <c r="M22" i="108"/>
  <c r="N22" i="108"/>
  <c r="O22" i="108"/>
  <c r="P22" i="108"/>
  <c r="L23" i="108"/>
  <c r="M23" i="108"/>
  <c r="N23" i="108"/>
  <c r="O23" i="108"/>
  <c r="P23" i="108"/>
  <c r="L24" i="108"/>
  <c r="M24" i="108"/>
  <c r="N24" i="108"/>
  <c r="O24" i="108"/>
  <c r="P24" i="108"/>
  <c r="L25" i="108"/>
  <c r="M25" i="108"/>
  <c r="N25" i="108"/>
  <c r="O25" i="108"/>
  <c r="P25" i="108"/>
  <c r="L26" i="108"/>
  <c r="M26" i="108"/>
  <c r="N26" i="108"/>
  <c r="O26" i="108"/>
  <c r="P26" i="108"/>
  <c r="L27" i="108"/>
  <c r="M27" i="108"/>
  <c r="N27" i="108"/>
  <c r="O27" i="108"/>
  <c r="P27" i="108"/>
  <c r="L28" i="108"/>
  <c r="M28" i="108"/>
  <c r="N28" i="108"/>
  <c r="O28" i="108"/>
  <c r="P28" i="108"/>
  <c r="L29" i="108"/>
  <c r="M29" i="108"/>
  <c r="N29" i="108"/>
  <c r="O29" i="108"/>
  <c r="P29" i="108"/>
  <c r="L30" i="108"/>
  <c r="M30" i="108"/>
  <c r="N30" i="108"/>
  <c r="O30" i="108"/>
  <c r="P30" i="108"/>
  <c r="L31" i="108"/>
  <c r="M31" i="108"/>
  <c r="N31" i="108"/>
  <c r="O31" i="108"/>
  <c r="P31" i="108"/>
  <c r="L32" i="108"/>
  <c r="M32" i="108"/>
  <c r="N32" i="108"/>
  <c r="O32" i="108"/>
  <c r="P32" i="108"/>
  <c r="L33" i="108"/>
  <c r="M33" i="108"/>
  <c r="N33" i="108"/>
  <c r="O33" i="108"/>
  <c r="P33" i="108"/>
  <c r="L34" i="108"/>
  <c r="M34" i="108"/>
  <c r="N34" i="108"/>
  <c r="O34" i="108"/>
  <c r="P34" i="108"/>
  <c r="L35" i="108"/>
  <c r="M35" i="108"/>
  <c r="N35" i="108"/>
  <c r="O35" i="108"/>
  <c r="P35" i="108"/>
  <c r="L36" i="108"/>
  <c r="M36" i="108"/>
  <c r="N36" i="108"/>
  <c r="O36" i="108"/>
  <c r="P36" i="108"/>
  <c r="L37" i="108"/>
  <c r="M37" i="108"/>
  <c r="N37" i="108"/>
  <c r="O37" i="108"/>
  <c r="P37" i="108"/>
  <c r="L38" i="108"/>
  <c r="M38" i="108"/>
  <c r="N38" i="108"/>
  <c r="O38" i="108"/>
  <c r="P38" i="108"/>
  <c r="L39" i="108"/>
  <c r="M39" i="108"/>
  <c r="N39" i="108"/>
  <c r="O39" i="108"/>
  <c r="P39" i="108"/>
  <c r="L40" i="108"/>
  <c r="M40" i="108"/>
  <c r="N40" i="108"/>
  <c r="O40" i="108"/>
  <c r="P40" i="108"/>
  <c r="L41" i="108"/>
  <c r="M41" i="108"/>
  <c r="N41" i="108"/>
  <c r="O41" i="108"/>
  <c r="P41" i="108"/>
  <c r="L42" i="108"/>
  <c r="M42" i="108"/>
  <c r="N42" i="108"/>
  <c r="O42" i="108"/>
  <c r="P42" i="108"/>
  <c r="L43" i="108"/>
  <c r="M43" i="108"/>
  <c r="N43" i="108"/>
  <c r="O43" i="108"/>
  <c r="P43" i="108"/>
  <c r="K43" i="108"/>
  <c r="K42" i="108"/>
  <c r="K41" i="108"/>
  <c r="K40" i="108"/>
  <c r="K39" i="108"/>
  <c r="K38" i="108"/>
  <c r="K37" i="108"/>
  <c r="K36" i="108"/>
  <c r="K35" i="108"/>
  <c r="K34" i="108"/>
  <c r="K33" i="108"/>
  <c r="K32" i="108"/>
  <c r="K31" i="108"/>
  <c r="K30" i="108"/>
  <c r="K29" i="108"/>
  <c r="Q29" i="108" s="1"/>
  <c r="K28" i="108"/>
  <c r="K27" i="108"/>
  <c r="K26" i="108"/>
  <c r="K25" i="108"/>
  <c r="Q25" i="108" s="1"/>
  <c r="K24" i="108"/>
  <c r="K23" i="108"/>
  <c r="K22" i="108"/>
  <c r="K21" i="108"/>
  <c r="Q21" i="108" s="1"/>
  <c r="K20" i="108"/>
  <c r="K19" i="108"/>
  <c r="K18" i="108"/>
  <c r="K17" i="108"/>
  <c r="Q17" i="108" s="1"/>
  <c r="K16" i="108"/>
  <c r="K15" i="108"/>
  <c r="K14" i="108"/>
  <c r="K13" i="108"/>
  <c r="Q13" i="108" s="1"/>
  <c r="K12" i="108"/>
  <c r="K11" i="108"/>
  <c r="K10" i="108"/>
  <c r="K9" i="108"/>
  <c r="K8" i="108"/>
  <c r="K7" i="108"/>
  <c r="K6" i="108"/>
  <c r="K5" i="108"/>
  <c r="Q5" i="108" s="1"/>
  <c r="K4" i="108"/>
  <c r="F205" i="57"/>
  <c r="F204" i="57"/>
  <c r="F203" i="57"/>
  <c r="F202" i="57"/>
  <c r="F200" i="57"/>
  <c r="F199" i="57"/>
  <c r="F198" i="57"/>
  <c r="F197" i="57"/>
  <c r="F195" i="57"/>
  <c r="F194" i="57"/>
  <c r="F193" i="57"/>
  <c r="F192" i="57"/>
  <c r="F190" i="57"/>
  <c r="F189" i="57"/>
  <c r="F188" i="57"/>
  <c r="F187" i="57"/>
  <c r="F185" i="57"/>
  <c r="F184" i="57"/>
  <c r="F183" i="57"/>
  <c r="F182" i="57"/>
  <c r="F180" i="57"/>
  <c r="F179" i="57"/>
  <c r="F178" i="57"/>
  <c r="F177" i="57"/>
  <c r="F175" i="57"/>
  <c r="F174" i="57"/>
  <c r="F173" i="57"/>
  <c r="F172" i="57"/>
  <c r="F170" i="57"/>
  <c r="F169" i="57"/>
  <c r="F168" i="57"/>
  <c r="F167" i="57"/>
  <c r="F165" i="57"/>
  <c r="F164" i="57"/>
  <c r="F163" i="57"/>
  <c r="F162" i="57"/>
  <c r="F160" i="57"/>
  <c r="F159" i="57"/>
  <c r="F158" i="57"/>
  <c r="F157" i="57"/>
  <c r="F155" i="57"/>
  <c r="F154" i="57"/>
  <c r="F153" i="57"/>
  <c r="F152" i="57"/>
  <c r="F150" i="57"/>
  <c r="F149" i="57"/>
  <c r="F148" i="57"/>
  <c r="F147" i="57"/>
  <c r="F145" i="57"/>
  <c r="F144" i="57"/>
  <c r="F143" i="57"/>
  <c r="F142" i="57"/>
  <c r="F140" i="57"/>
  <c r="F139" i="57"/>
  <c r="F138" i="57"/>
  <c r="F137" i="57"/>
  <c r="F135" i="57"/>
  <c r="F134" i="57"/>
  <c r="F133" i="57"/>
  <c r="F132" i="57"/>
  <c r="F130" i="57"/>
  <c r="F129" i="57"/>
  <c r="F128" i="57"/>
  <c r="F127" i="57"/>
  <c r="F125" i="57"/>
  <c r="F124" i="57"/>
  <c r="F123" i="57"/>
  <c r="F122" i="57"/>
  <c r="F120" i="57"/>
  <c r="F119" i="57"/>
  <c r="F118" i="57"/>
  <c r="F117" i="57"/>
  <c r="F115" i="57"/>
  <c r="F114" i="57"/>
  <c r="F113" i="57"/>
  <c r="F112" i="57"/>
  <c r="F110" i="57"/>
  <c r="F109" i="57"/>
  <c r="F108" i="57"/>
  <c r="F107" i="57"/>
  <c r="F105" i="57"/>
  <c r="F104" i="57"/>
  <c r="F103" i="57"/>
  <c r="F102" i="57"/>
  <c r="F100" i="57"/>
  <c r="F99" i="57"/>
  <c r="F98" i="57"/>
  <c r="F97" i="57"/>
  <c r="F95" i="57"/>
  <c r="F94" i="57"/>
  <c r="F93" i="57"/>
  <c r="F92" i="57"/>
  <c r="F90" i="57"/>
  <c r="F89" i="57"/>
  <c r="F88" i="57"/>
  <c r="F87" i="57"/>
  <c r="F85" i="57"/>
  <c r="F84" i="57"/>
  <c r="F83" i="57"/>
  <c r="F82" i="57"/>
  <c r="F80" i="57"/>
  <c r="F79" i="57"/>
  <c r="F78" i="57"/>
  <c r="F77" i="57"/>
  <c r="F75" i="57"/>
  <c r="F74" i="57"/>
  <c r="F73" i="57"/>
  <c r="F72" i="57"/>
  <c r="F70" i="57"/>
  <c r="F69" i="57"/>
  <c r="F68" i="57"/>
  <c r="F67" i="57"/>
  <c r="F65" i="57"/>
  <c r="F64" i="57"/>
  <c r="F63" i="57"/>
  <c r="F62" i="57"/>
  <c r="F60" i="57"/>
  <c r="F59" i="57"/>
  <c r="F58" i="57"/>
  <c r="F57" i="57"/>
  <c r="F55" i="57"/>
  <c r="F54" i="57"/>
  <c r="F53" i="57"/>
  <c r="F52" i="57"/>
  <c r="F50" i="57"/>
  <c r="F49" i="57"/>
  <c r="F48" i="57"/>
  <c r="F47" i="57"/>
  <c r="F45" i="57"/>
  <c r="F44" i="57"/>
  <c r="F43" i="57"/>
  <c r="F42" i="57"/>
  <c r="F40" i="57"/>
  <c r="F39" i="57"/>
  <c r="F38" i="57"/>
  <c r="F37" i="57"/>
  <c r="F35" i="57"/>
  <c r="F34" i="57"/>
  <c r="F33" i="57"/>
  <c r="F32" i="57"/>
  <c r="F30" i="57"/>
  <c r="F29" i="57"/>
  <c r="F28" i="57"/>
  <c r="F27" i="57"/>
  <c r="F25" i="57"/>
  <c r="F24" i="57"/>
  <c r="F23" i="57"/>
  <c r="F22" i="57"/>
  <c r="F20" i="57"/>
  <c r="F19" i="57"/>
  <c r="F18" i="57"/>
  <c r="F17" i="57"/>
  <c r="F15" i="57"/>
  <c r="F14" i="57"/>
  <c r="F13" i="57"/>
  <c r="F12" i="57"/>
  <c r="C4" i="108"/>
  <c r="N90" i="88"/>
  <c r="Y90" i="88" s="1"/>
  <c r="N89" i="88"/>
  <c r="Y89" i="88" s="1"/>
  <c r="N88" i="88"/>
  <c r="Y88" i="88" s="1"/>
  <c r="N87" i="88"/>
  <c r="Y87" i="88" s="1"/>
  <c r="N86" i="88"/>
  <c r="Y86" i="88" s="1"/>
  <c r="N85" i="88"/>
  <c r="Y85" i="88" s="1"/>
  <c r="N84" i="88"/>
  <c r="Y84" i="88" s="1"/>
  <c r="N83" i="88"/>
  <c r="Y83" i="88" s="1"/>
  <c r="N82" i="88"/>
  <c r="Y82" i="88" s="1"/>
  <c r="N81" i="88"/>
  <c r="Y81" i="88" s="1"/>
  <c r="N80" i="88"/>
  <c r="Y80" i="88" s="1"/>
  <c r="N79" i="88"/>
  <c r="Y79" i="88" s="1"/>
  <c r="N78" i="88"/>
  <c r="Y78" i="88" s="1"/>
  <c r="N77" i="88"/>
  <c r="Y77" i="88" s="1"/>
  <c r="N76" i="88"/>
  <c r="Y76" i="88" s="1"/>
  <c r="N75" i="88"/>
  <c r="Y75" i="88" s="1"/>
  <c r="N74" i="88"/>
  <c r="Y74" i="88" s="1"/>
  <c r="N73" i="88"/>
  <c r="Y73" i="88" s="1"/>
  <c r="N72" i="88"/>
  <c r="Y72" i="88" s="1"/>
  <c r="N71" i="88"/>
  <c r="Y71" i="88" s="1"/>
  <c r="N70" i="88"/>
  <c r="Y70" i="88" s="1"/>
  <c r="N69" i="88"/>
  <c r="Y69" i="88" s="1"/>
  <c r="N68" i="88"/>
  <c r="Y68" i="88" s="1"/>
  <c r="N67" i="88"/>
  <c r="Y67" i="88" s="1"/>
  <c r="N66" i="88"/>
  <c r="Y66" i="88" s="1"/>
  <c r="N65" i="88"/>
  <c r="Y65" i="88" s="1"/>
  <c r="N64" i="88"/>
  <c r="Y64" i="88" s="1"/>
  <c r="N63" i="88"/>
  <c r="Y63" i="88" s="1"/>
  <c r="N62" i="88"/>
  <c r="Y62" i="88" s="1"/>
  <c r="N61" i="88"/>
  <c r="Y61" i="88" s="1"/>
  <c r="N60" i="88"/>
  <c r="Y60" i="88" s="1"/>
  <c r="N59" i="88"/>
  <c r="Y59" i="88" s="1"/>
  <c r="N58" i="88"/>
  <c r="Y58" i="88" s="1"/>
  <c r="N57" i="88"/>
  <c r="Y57" i="88" s="1"/>
  <c r="N56" i="88"/>
  <c r="Y56" i="88" s="1"/>
  <c r="N55" i="88"/>
  <c r="Y55" i="88" s="1"/>
  <c r="N54" i="88"/>
  <c r="Y54" i="88" s="1"/>
  <c r="N53" i="88"/>
  <c r="Y53" i="88" s="1"/>
  <c r="N52" i="88"/>
  <c r="Y52" i="88" s="1"/>
  <c r="N51" i="88"/>
  <c r="Y51" i="88" s="1"/>
  <c r="N43" i="88"/>
  <c r="N42" i="88"/>
  <c r="Y42" i="88" s="1"/>
  <c r="N41" i="88"/>
  <c r="N40" i="88"/>
  <c r="Y40" i="88" s="1"/>
  <c r="N39" i="88"/>
  <c r="N38" i="88"/>
  <c r="Y38" i="88" s="1"/>
  <c r="N37" i="88"/>
  <c r="Y37" i="88" s="1"/>
  <c r="N36" i="88"/>
  <c r="Y36" i="88" s="1"/>
  <c r="N35" i="88"/>
  <c r="Y35" i="88" s="1"/>
  <c r="N34" i="88"/>
  <c r="Y34" i="88" s="1"/>
  <c r="N33" i="88"/>
  <c r="Y33" i="88" s="1"/>
  <c r="N32" i="88"/>
  <c r="Y32" i="88" s="1"/>
  <c r="N31" i="88"/>
  <c r="Y31" i="88" s="1"/>
  <c r="N30" i="88"/>
  <c r="Y30" i="88" s="1"/>
  <c r="N29" i="88"/>
  <c r="Y29" i="88" s="1"/>
  <c r="N28" i="88"/>
  <c r="Y28" i="88" s="1"/>
  <c r="N27" i="88"/>
  <c r="Y27" i="88" s="1"/>
  <c r="N26" i="88"/>
  <c r="Y26" i="88" s="1"/>
  <c r="N25" i="88"/>
  <c r="Y25" i="88" s="1"/>
  <c r="N24" i="88"/>
  <c r="Y24" i="88" s="1"/>
  <c r="N23" i="88"/>
  <c r="Y23" i="88" s="1"/>
  <c r="N22" i="88"/>
  <c r="Y22" i="88" s="1"/>
  <c r="N21" i="88"/>
  <c r="Y21" i="88" s="1"/>
  <c r="N20" i="88"/>
  <c r="Y20" i="88" s="1"/>
  <c r="N19" i="88"/>
  <c r="Y19" i="88" s="1"/>
  <c r="N18" i="88"/>
  <c r="Y18" i="88" s="1"/>
  <c r="N17" i="88"/>
  <c r="Y17" i="88" s="1"/>
  <c r="N16" i="88"/>
  <c r="Y16" i="88" s="1"/>
  <c r="N15" i="88"/>
  <c r="Y15" i="88" s="1"/>
  <c r="N14" i="88"/>
  <c r="Y14" i="88" s="1"/>
  <c r="N13" i="88"/>
  <c r="Y13" i="88" s="1"/>
  <c r="N12" i="88"/>
  <c r="Y12" i="88" s="1"/>
  <c r="N11" i="88"/>
  <c r="Y11" i="88" s="1"/>
  <c r="N10" i="88"/>
  <c r="Y10" i="88" s="1"/>
  <c r="N9" i="88"/>
  <c r="Y9" i="88" s="1"/>
  <c r="N8" i="88"/>
  <c r="Y8" i="88" s="1"/>
  <c r="N7" i="88"/>
  <c r="Y7" i="88" s="1"/>
  <c r="N6" i="88"/>
  <c r="Y6" i="88" s="1"/>
  <c r="N5" i="88"/>
  <c r="Y5" i="88" s="1"/>
  <c r="N4" i="88"/>
  <c r="Y4" i="88" s="1"/>
  <c r="L10" i="139"/>
  <c r="M10" i="139"/>
  <c r="N10" i="139"/>
  <c r="O10" i="139"/>
  <c r="P10" i="139"/>
  <c r="L11" i="139"/>
  <c r="M11" i="139"/>
  <c r="N11" i="139"/>
  <c r="O11" i="139"/>
  <c r="P11" i="139"/>
  <c r="L12" i="139"/>
  <c r="M12" i="139"/>
  <c r="N12" i="139"/>
  <c r="O12" i="139"/>
  <c r="P12" i="139"/>
  <c r="L13" i="139"/>
  <c r="M13" i="139"/>
  <c r="N13" i="139"/>
  <c r="O13" i="139"/>
  <c r="P13" i="139"/>
  <c r="L14" i="139"/>
  <c r="M14" i="139"/>
  <c r="N14" i="139"/>
  <c r="O14" i="139"/>
  <c r="P14" i="139"/>
  <c r="L15" i="139"/>
  <c r="M15" i="139"/>
  <c r="N15" i="139"/>
  <c r="O15" i="139"/>
  <c r="P15" i="139"/>
  <c r="L16" i="139"/>
  <c r="M16" i="139"/>
  <c r="N16" i="139"/>
  <c r="O16" i="139"/>
  <c r="P16" i="139"/>
  <c r="L17" i="139"/>
  <c r="M17" i="139"/>
  <c r="N17" i="139"/>
  <c r="O17" i="139"/>
  <c r="P17" i="139"/>
  <c r="L18" i="139"/>
  <c r="M18" i="139"/>
  <c r="N18" i="139"/>
  <c r="O18" i="139"/>
  <c r="P18" i="139"/>
  <c r="L19" i="139"/>
  <c r="M19" i="139"/>
  <c r="N19" i="139"/>
  <c r="O19" i="139"/>
  <c r="P19" i="139"/>
  <c r="L20" i="139"/>
  <c r="M20" i="139"/>
  <c r="N20" i="139"/>
  <c r="O20" i="139"/>
  <c r="P20" i="139"/>
  <c r="L21" i="139"/>
  <c r="M21" i="139"/>
  <c r="N21" i="139"/>
  <c r="O21" i="139"/>
  <c r="P21" i="139"/>
  <c r="L22" i="139"/>
  <c r="M22" i="139"/>
  <c r="N22" i="139"/>
  <c r="O22" i="139"/>
  <c r="P22" i="139"/>
  <c r="L23" i="139"/>
  <c r="M23" i="139"/>
  <c r="N23" i="139"/>
  <c r="O23" i="139"/>
  <c r="P23" i="139"/>
  <c r="L24" i="139"/>
  <c r="M24" i="139"/>
  <c r="N24" i="139"/>
  <c r="O24" i="139"/>
  <c r="P24" i="139"/>
  <c r="L25" i="139"/>
  <c r="M25" i="139"/>
  <c r="N25" i="139"/>
  <c r="O25" i="139"/>
  <c r="P25" i="139"/>
  <c r="L26" i="139"/>
  <c r="M26" i="139"/>
  <c r="N26" i="139"/>
  <c r="O26" i="139"/>
  <c r="P26" i="139"/>
  <c r="L27" i="139"/>
  <c r="M27" i="139"/>
  <c r="N27" i="139"/>
  <c r="O27" i="139"/>
  <c r="P27" i="139"/>
  <c r="L28" i="139"/>
  <c r="M28" i="139"/>
  <c r="N28" i="139"/>
  <c r="O28" i="139"/>
  <c r="P28" i="139"/>
  <c r="L29" i="139"/>
  <c r="M29" i="139"/>
  <c r="N29" i="139"/>
  <c r="O29" i="139"/>
  <c r="P29" i="139"/>
  <c r="L30" i="139"/>
  <c r="M30" i="139"/>
  <c r="N30" i="139"/>
  <c r="O30" i="139"/>
  <c r="P30" i="139"/>
  <c r="L31" i="139"/>
  <c r="M31" i="139"/>
  <c r="N31" i="139"/>
  <c r="O31" i="139"/>
  <c r="P31" i="139"/>
  <c r="L32" i="139"/>
  <c r="M32" i="139"/>
  <c r="N32" i="139"/>
  <c r="O32" i="139"/>
  <c r="P32" i="139"/>
  <c r="L33" i="139"/>
  <c r="M33" i="139"/>
  <c r="N33" i="139"/>
  <c r="O33" i="139"/>
  <c r="P33" i="139"/>
  <c r="L34" i="139"/>
  <c r="M34" i="139"/>
  <c r="N34" i="139"/>
  <c r="O34" i="139"/>
  <c r="P34" i="139"/>
  <c r="L35" i="139"/>
  <c r="M35" i="139"/>
  <c r="N35" i="139"/>
  <c r="O35" i="139"/>
  <c r="P35" i="139"/>
  <c r="L36" i="139"/>
  <c r="M36" i="139"/>
  <c r="N36" i="139"/>
  <c r="O36" i="139"/>
  <c r="P36" i="139"/>
  <c r="L37" i="139"/>
  <c r="M37" i="139"/>
  <c r="N37" i="139"/>
  <c r="O37" i="139"/>
  <c r="P37" i="139"/>
  <c r="L38" i="139"/>
  <c r="M38" i="139"/>
  <c r="N38" i="139"/>
  <c r="O38" i="139"/>
  <c r="P38" i="139"/>
  <c r="L39" i="139"/>
  <c r="M39" i="139"/>
  <c r="N39" i="139"/>
  <c r="O39" i="139"/>
  <c r="P39" i="139"/>
  <c r="L40" i="139"/>
  <c r="M40" i="139"/>
  <c r="N40" i="139"/>
  <c r="O40" i="139"/>
  <c r="P40" i="139"/>
  <c r="L41" i="139"/>
  <c r="M41" i="139"/>
  <c r="N41" i="139"/>
  <c r="O41" i="139"/>
  <c r="P41" i="139"/>
  <c r="L42" i="139"/>
  <c r="M42" i="139"/>
  <c r="N42" i="139"/>
  <c r="O42" i="139"/>
  <c r="P42" i="139"/>
  <c r="L43" i="139"/>
  <c r="M43" i="139"/>
  <c r="N43" i="139"/>
  <c r="O43" i="139"/>
  <c r="P43" i="139"/>
  <c r="L44" i="139"/>
  <c r="M44" i="139"/>
  <c r="N44" i="139"/>
  <c r="O44" i="139"/>
  <c r="P44" i="139"/>
  <c r="AV220" i="94" s="1"/>
  <c r="L45" i="139"/>
  <c r="M45" i="139"/>
  <c r="N45" i="139"/>
  <c r="O45" i="139"/>
  <c r="P45" i="139"/>
  <c r="L46" i="139"/>
  <c r="M46" i="139"/>
  <c r="N46" i="139"/>
  <c r="O46" i="139"/>
  <c r="P46" i="139"/>
  <c r="L47" i="139"/>
  <c r="M47" i="139"/>
  <c r="N47" i="139"/>
  <c r="O47" i="139"/>
  <c r="P47" i="139"/>
  <c r="L48" i="139"/>
  <c r="M48" i="139"/>
  <c r="N48" i="139"/>
  <c r="O48" i="139"/>
  <c r="P48" i="139"/>
  <c r="AV219" i="94"/>
  <c r="AU219" i="94"/>
  <c r="F125" i="133"/>
  <c r="F124" i="133"/>
  <c r="F122" i="133"/>
  <c r="F121" i="133"/>
  <c r="F119" i="133"/>
  <c r="F118" i="133"/>
  <c r="F116" i="133"/>
  <c r="F115" i="133"/>
  <c r="F113" i="133"/>
  <c r="F112" i="133"/>
  <c r="F110" i="133"/>
  <c r="F109" i="133"/>
  <c r="F107" i="133"/>
  <c r="F106" i="133"/>
  <c r="F104" i="133"/>
  <c r="F103" i="133"/>
  <c r="F101" i="133"/>
  <c r="F100" i="133"/>
  <c r="F98" i="133"/>
  <c r="F97" i="133"/>
  <c r="F95" i="133"/>
  <c r="F94" i="133"/>
  <c r="F92" i="133"/>
  <c r="F91" i="133"/>
  <c r="F89" i="133"/>
  <c r="F88" i="133"/>
  <c r="F86" i="133"/>
  <c r="F85" i="133"/>
  <c r="F83" i="133"/>
  <c r="F82" i="133"/>
  <c r="F80" i="133"/>
  <c r="F79" i="133"/>
  <c r="F77" i="133"/>
  <c r="F76" i="133"/>
  <c r="F74" i="133"/>
  <c r="F73" i="133"/>
  <c r="F71" i="133"/>
  <c r="F70" i="133"/>
  <c r="F68" i="133"/>
  <c r="F67" i="133"/>
  <c r="F65" i="133"/>
  <c r="F64" i="133"/>
  <c r="F62" i="133"/>
  <c r="F61" i="133"/>
  <c r="F59" i="133"/>
  <c r="F58" i="133"/>
  <c r="F56" i="133"/>
  <c r="F55" i="133"/>
  <c r="F53" i="133"/>
  <c r="F52" i="133"/>
  <c r="F50" i="133"/>
  <c r="F49" i="133"/>
  <c r="F47" i="133"/>
  <c r="F46" i="133"/>
  <c r="F44" i="133"/>
  <c r="F43" i="133"/>
  <c r="F41" i="133"/>
  <c r="F40" i="133"/>
  <c r="F38" i="133"/>
  <c r="F37" i="133"/>
  <c r="F35" i="133"/>
  <c r="F34" i="133"/>
  <c r="F32" i="133"/>
  <c r="F31" i="133"/>
  <c r="F29" i="133"/>
  <c r="F28" i="133"/>
  <c r="F26" i="133"/>
  <c r="F25" i="133"/>
  <c r="F23" i="133"/>
  <c r="F22" i="133"/>
  <c r="F20" i="133"/>
  <c r="F19" i="133"/>
  <c r="F17" i="133"/>
  <c r="F16" i="133"/>
  <c r="F14" i="133"/>
  <c r="F13" i="133"/>
  <c r="F11" i="133"/>
  <c r="F10" i="133"/>
  <c r="B10" i="139"/>
  <c r="B11" i="139"/>
  <c r="B12" i="139"/>
  <c r="B13" i="139"/>
  <c r="B14" i="139"/>
  <c r="B15" i="139"/>
  <c r="B16" i="139"/>
  <c r="B17" i="139"/>
  <c r="B18" i="139"/>
  <c r="B19" i="139"/>
  <c r="B20" i="139"/>
  <c r="B21" i="139"/>
  <c r="B22" i="139"/>
  <c r="B23" i="139"/>
  <c r="B24" i="139"/>
  <c r="B25" i="139"/>
  <c r="B26" i="139"/>
  <c r="B27" i="139"/>
  <c r="B28" i="139"/>
  <c r="B29" i="139"/>
  <c r="B30" i="139"/>
  <c r="B31" i="139"/>
  <c r="B32" i="139"/>
  <c r="B33" i="139"/>
  <c r="B34" i="139"/>
  <c r="B35" i="139"/>
  <c r="B36" i="139"/>
  <c r="B37" i="139"/>
  <c r="B38" i="139"/>
  <c r="B39" i="139"/>
  <c r="B40" i="139"/>
  <c r="B41" i="139"/>
  <c r="B42" i="139"/>
  <c r="B43" i="139"/>
  <c r="B44" i="139"/>
  <c r="B45" i="139"/>
  <c r="B46" i="139"/>
  <c r="B47" i="139"/>
  <c r="B48" i="139"/>
  <c r="AX219" i="94"/>
  <c r="O48" i="146"/>
  <c r="N48" i="146"/>
  <c r="M48" i="146"/>
  <c r="L48" i="146"/>
  <c r="P48" i="146" s="1"/>
  <c r="B48" i="146"/>
  <c r="O47" i="146"/>
  <c r="N47" i="146"/>
  <c r="M47" i="146"/>
  <c r="L47" i="146"/>
  <c r="P47" i="146" s="1"/>
  <c r="B47" i="146"/>
  <c r="O46" i="146"/>
  <c r="N46" i="146"/>
  <c r="M46" i="146"/>
  <c r="L46" i="146"/>
  <c r="P46" i="146" s="1"/>
  <c r="B46" i="146"/>
  <c r="O45" i="146"/>
  <c r="N45" i="146"/>
  <c r="M45" i="146"/>
  <c r="L45" i="146"/>
  <c r="P45" i="146" s="1"/>
  <c r="B45" i="146"/>
  <c r="O44" i="146"/>
  <c r="N44" i="146"/>
  <c r="M44" i="146"/>
  <c r="L44" i="146"/>
  <c r="P44" i="146" s="1"/>
  <c r="AZ221" i="94" s="1"/>
  <c r="B44" i="146"/>
  <c r="O48" i="145"/>
  <c r="N48" i="145"/>
  <c r="M48" i="145"/>
  <c r="L48" i="145"/>
  <c r="P48" i="145" s="1"/>
  <c r="B48" i="145"/>
  <c r="O47" i="145"/>
  <c r="N47" i="145"/>
  <c r="M47" i="145"/>
  <c r="L47" i="145"/>
  <c r="P47" i="145" s="1"/>
  <c r="B47" i="145"/>
  <c r="O46" i="145"/>
  <c r="N46" i="145"/>
  <c r="M46" i="145"/>
  <c r="L46" i="145"/>
  <c r="P46" i="145" s="1"/>
  <c r="B46" i="145"/>
  <c r="O45" i="145"/>
  <c r="N45" i="145"/>
  <c r="M45" i="145"/>
  <c r="L45" i="145"/>
  <c r="P45" i="145" s="1"/>
  <c r="B45" i="145"/>
  <c r="O44" i="145"/>
  <c r="N44" i="145"/>
  <c r="M44" i="145"/>
  <c r="L44" i="145"/>
  <c r="P44" i="145" s="1"/>
  <c r="B44" i="145"/>
  <c r="O48" i="144"/>
  <c r="N48" i="144"/>
  <c r="M48" i="144"/>
  <c r="L48" i="144"/>
  <c r="P48" i="144" s="1"/>
  <c r="B48" i="144"/>
  <c r="O47" i="144"/>
  <c r="N47" i="144"/>
  <c r="M47" i="144"/>
  <c r="L47" i="144"/>
  <c r="P47" i="144" s="1"/>
  <c r="B47" i="144"/>
  <c r="O46" i="144"/>
  <c r="N46" i="144"/>
  <c r="M46" i="144"/>
  <c r="L46" i="144"/>
  <c r="P46" i="144" s="1"/>
  <c r="B46" i="144"/>
  <c r="O45" i="144"/>
  <c r="N45" i="144"/>
  <c r="M45" i="144"/>
  <c r="L45" i="144"/>
  <c r="P45" i="144" s="1"/>
  <c r="B45" i="144"/>
  <c r="O44" i="144"/>
  <c r="N44" i="144"/>
  <c r="M44" i="144"/>
  <c r="L44" i="144"/>
  <c r="P44" i="144" s="1"/>
  <c r="AZ219" i="94" s="1"/>
  <c r="B44" i="144"/>
  <c r="O48" i="140"/>
  <c r="N48" i="140"/>
  <c r="M48" i="140"/>
  <c r="L48" i="140"/>
  <c r="P48" i="140" s="1"/>
  <c r="B48" i="140"/>
  <c r="O47" i="140"/>
  <c r="N47" i="140"/>
  <c r="M47" i="140"/>
  <c r="L47" i="140"/>
  <c r="P47" i="140" s="1"/>
  <c r="B47" i="140"/>
  <c r="O46" i="140"/>
  <c r="N46" i="140"/>
  <c r="M46" i="140"/>
  <c r="L46" i="140"/>
  <c r="P46" i="140" s="1"/>
  <c r="B46" i="140"/>
  <c r="O45" i="140"/>
  <c r="N45" i="140"/>
  <c r="M45" i="140"/>
  <c r="L45" i="140"/>
  <c r="P45" i="140" s="1"/>
  <c r="B45" i="140"/>
  <c r="O44" i="140"/>
  <c r="N44" i="140"/>
  <c r="M44" i="140"/>
  <c r="L44" i="140"/>
  <c r="P44" i="140" s="1"/>
  <c r="AV221" i="94" s="1"/>
  <c r="B44" i="140"/>
  <c r="O48" i="141"/>
  <c r="N48" i="141"/>
  <c r="M48" i="141"/>
  <c r="L48" i="141"/>
  <c r="P48" i="141" s="1"/>
  <c r="B48" i="141"/>
  <c r="O47" i="141"/>
  <c r="N47" i="141"/>
  <c r="M47" i="141"/>
  <c r="L47" i="141"/>
  <c r="P47" i="141" s="1"/>
  <c r="B47" i="141"/>
  <c r="O46" i="141"/>
  <c r="N46" i="141"/>
  <c r="M46" i="141"/>
  <c r="L46" i="141"/>
  <c r="P46" i="141" s="1"/>
  <c r="B46" i="141"/>
  <c r="O45" i="141"/>
  <c r="N45" i="141"/>
  <c r="M45" i="141"/>
  <c r="L45" i="141"/>
  <c r="P45" i="141" s="1"/>
  <c r="B45" i="141"/>
  <c r="O44" i="141"/>
  <c r="N44" i="141"/>
  <c r="M44" i="141"/>
  <c r="L44" i="141"/>
  <c r="P44" i="141" s="1"/>
  <c r="AZ220" i="94" s="1"/>
  <c r="B44" i="141"/>
  <c r="B44" i="138"/>
  <c r="L44" i="138"/>
  <c r="M44" i="138"/>
  <c r="N44" i="138"/>
  <c r="O44" i="138"/>
  <c r="P44" i="138"/>
  <c r="AV218" i="94" s="1"/>
  <c r="B45" i="138"/>
  <c r="L45" i="138"/>
  <c r="M45" i="138"/>
  <c r="N45" i="138"/>
  <c r="O45" i="138"/>
  <c r="P45" i="138"/>
  <c r="B46" i="138"/>
  <c r="L46" i="138"/>
  <c r="M46" i="138"/>
  <c r="N46" i="138"/>
  <c r="O46" i="138"/>
  <c r="P46" i="138"/>
  <c r="B47" i="138"/>
  <c r="L47" i="138"/>
  <c r="M47" i="138"/>
  <c r="N47" i="138"/>
  <c r="O47" i="138"/>
  <c r="P47" i="138"/>
  <c r="B48" i="138"/>
  <c r="L48" i="138"/>
  <c r="M48" i="138"/>
  <c r="N48" i="138"/>
  <c r="O48" i="138"/>
  <c r="P48" i="138"/>
  <c r="E49" i="104"/>
  <c r="F49" i="104"/>
  <c r="G49" i="104"/>
  <c r="H49" i="104"/>
  <c r="I49" i="104"/>
  <c r="J49" i="104"/>
  <c r="K49" i="104"/>
  <c r="D49" i="104"/>
  <c r="E48" i="97"/>
  <c r="F48" i="97"/>
  <c r="G48" i="97"/>
  <c r="H48" i="97"/>
  <c r="I48" i="97"/>
  <c r="J48" i="97"/>
  <c r="K48" i="97"/>
  <c r="B48" i="143"/>
  <c r="L48" i="143"/>
  <c r="M48" i="143"/>
  <c r="N48" i="143"/>
  <c r="O48" i="143"/>
  <c r="P48" i="143"/>
  <c r="B44" i="143"/>
  <c r="L44" i="143"/>
  <c r="M44" i="143"/>
  <c r="N44" i="143"/>
  <c r="O44" i="143"/>
  <c r="P44" i="143"/>
  <c r="AZ218" i="94" s="1"/>
  <c r="B45" i="143"/>
  <c r="L45" i="143"/>
  <c r="M45" i="143"/>
  <c r="N45" i="143"/>
  <c r="O45" i="143"/>
  <c r="P45" i="143"/>
  <c r="B46" i="143"/>
  <c r="L46" i="143"/>
  <c r="M46" i="143"/>
  <c r="N46" i="143"/>
  <c r="O46" i="143"/>
  <c r="P46" i="143"/>
  <c r="B47" i="143"/>
  <c r="L47" i="143"/>
  <c r="M47" i="143"/>
  <c r="N47" i="143"/>
  <c r="O47" i="143"/>
  <c r="P47" i="143"/>
  <c r="R242" i="94"/>
  <c r="L8" i="85"/>
  <c r="L9" i="85"/>
  <c r="L10" i="85"/>
  <c r="L11" i="85"/>
  <c r="P11" i="85" s="1"/>
  <c r="L12" i="85"/>
  <c r="L13" i="85"/>
  <c r="L14" i="85"/>
  <c r="L15" i="85"/>
  <c r="P15" i="85" s="1"/>
  <c r="L16" i="85"/>
  <c r="L17" i="85"/>
  <c r="L18" i="85"/>
  <c r="L19" i="85"/>
  <c r="P19" i="85" s="1"/>
  <c r="L20" i="85"/>
  <c r="L21" i="85"/>
  <c r="L22" i="85"/>
  <c r="L23" i="85"/>
  <c r="P23" i="85" s="1"/>
  <c r="L24" i="85"/>
  <c r="L25" i="85"/>
  <c r="L26" i="85"/>
  <c r="L27" i="85"/>
  <c r="P27" i="85" s="1"/>
  <c r="L28" i="85"/>
  <c r="L29" i="85"/>
  <c r="L30" i="85"/>
  <c r="L31" i="85"/>
  <c r="P31" i="85" s="1"/>
  <c r="L32" i="85"/>
  <c r="L33" i="85"/>
  <c r="L34" i="85"/>
  <c r="L35" i="85"/>
  <c r="P35" i="85" s="1"/>
  <c r="L36" i="85"/>
  <c r="L37" i="85"/>
  <c r="L38" i="85"/>
  <c r="L39" i="85"/>
  <c r="P39" i="85" s="1"/>
  <c r="L40" i="85"/>
  <c r="L41" i="85"/>
  <c r="L42" i="85"/>
  <c r="L43" i="85"/>
  <c r="P43" i="85" s="1"/>
  <c r="L44" i="85"/>
  <c r="L45" i="85"/>
  <c r="L46" i="85"/>
  <c r="P46" i="85" s="1"/>
  <c r="L7" i="85"/>
  <c r="E47" i="85"/>
  <c r="F47" i="85"/>
  <c r="G47" i="85"/>
  <c r="H47" i="85"/>
  <c r="I47" i="85"/>
  <c r="J47" i="85"/>
  <c r="K47" i="85"/>
  <c r="P8" i="85"/>
  <c r="P9" i="85"/>
  <c r="P10" i="85"/>
  <c r="P12" i="85"/>
  <c r="P13" i="85"/>
  <c r="P14" i="85"/>
  <c r="P16" i="85"/>
  <c r="P17" i="85"/>
  <c r="P18" i="85"/>
  <c r="P20" i="85"/>
  <c r="P21" i="85"/>
  <c r="P22" i="85"/>
  <c r="P24" i="85"/>
  <c r="P25" i="85"/>
  <c r="P26" i="85"/>
  <c r="P28" i="85"/>
  <c r="P29" i="85"/>
  <c r="P30" i="85"/>
  <c r="P32" i="85"/>
  <c r="P33" i="85"/>
  <c r="P34" i="85"/>
  <c r="P36" i="85"/>
  <c r="P37" i="85"/>
  <c r="P38" i="85"/>
  <c r="P40" i="85"/>
  <c r="P41" i="85"/>
  <c r="P42" i="85"/>
  <c r="P44" i="85"/>
  <c r="P45" i="85"/>
  <c r="B38" i="97"/>
  <c r="B39" i="97"/>
  <c r="B40" i="97"/>
  <c r="B41" i="97"/>
  <c r="B42" i="97"/>
  <c r="B43" i="97"/>
  <c r="B44" i="97"/>
  <c r="B45" i="97"/>
  <c r="B46" i="97"/>
  <c r="J51" i="151"/>
  <c r="K51" i="151"/>
  <c r="L51" i="151"/>
  <c r="J52" i="151"/>
  <c r="K52" i="151"/>
  <c r="L52" i="151"/>
  <c r="J53" i="151"/>
  <c r="K53" i="151"/>
  <c r="L53" i="151"/>
  <c r="J54" i="151"/>
  <c r="K54" i="151"/>
  <c r="L54" i="151"/>
  <c r="J55" i="151"/>
  <c r="K55" i="151"/>
  <c r="L55" i="151"/>
  <c r="J56" i="151"/>
  <c r="K56" i="151"/>
  <c r="L56" i="151"/>
  <c r="J57" i="151"/>
  <c r="K57" i="151"/>
  <c r="L57" i="151"/>
  <c r="J58" i="151"/>
  <c r="K58" i="151"/>
  <c r="L58" i="151"/>
  <c r="J59" i="151"/>
  <c r="K59" i="151"/>
  <c r="L59" i="151"/>
  <c r="J60" i="151"/>
  <c r="K60" i="151"/>
  <c r="L60" i="151"/>
  <c r="J61" i="151"/>
  <c r="K61" i="151"/>
  <c r="L61" i="151"/>
  <c r="J62" i="151"/>
  <c r="K62" i="151"/>
  <c r="L62" i="151"/>
  <c r="J63" i="151"/>
  <c r="K63" i="151"/>
  <c r="L63" i="151"/>
  <c r="J64" i="151"/>
  <c r="K64" i="151"/>
  <c r="L64" i="151"/>
  <c r="J65" i="151"/>
  <c r="K65" i="151"/>
  <c r="L65" i="151"/>
  <c r="J66" i="151"/>
  <c r="K66" i="151"/>
  <c r="L66" i="151"/>
  <c r="J67" i="151"/>
  <c r="K67" i="151"/>
  <c r="L67" i="151"/>
  <c r="J68" i="151"/>
  <c r="K68" i="151"/>
  <c r="L68" i="151"/>
  <c r="J69" i="151"/>
  <c r="K69" i="151"/>
  <c r="L69" i="151"/>
  <c r="J70" i="151"/>
  <c r="K70" i="151"/>
  <c r="L70" i="151"/>
  <c r="J71" i="151"/>
  <c r="K71" i="151"/>
  <c r="L71" i="151"/>
  <c r="J72" i="151"/>
  <c r="K72" i="151"/>
  <c r="L72" i="151"/>
  <c r="J73" i="151"/>
  <c r="K73" i="151"/>
  <c r="L73" i="151"/>
  <c r="J74" i="151"/>
  <c r="K74" i="151"/>
  <c r="L74" i="151"/>
  <c r="J75" i="151"/>
  <c r="K75" i="151"/>
  <c r="L75" i="151"/>
  <c r="J76" i="151"/>
  <c r="K76" i="151"/>
  <c r="L76" i="151"/>
  <c r="J77" i="151"/>
  <c r="K77" i="151"/>
  <c r="L77" i="151"/>
  <c r="J78" i="151"/>
  <c r="K78" i="151"/>
  <c r="L78" i="151"/>
  <c r="J79" i="151"/>
  <c r="K79" i="151"/>
  <c r="L79" i="151"/>
  <c r="J80" i="151"/>
  <c r="K80" i="151"/>
  <c r="L80" i="151"/>
  <c r="J81" i="151"/>
  <c r="K81" i="151"/>
  <c r="L81" i="151"/>
  <c r="J82" i="151"/>
  <c r="K82" i="151"/>
  <c r="L82" i="151"/>
  <c r="J83" i="151"/>
  <c r="K83" i="151"/>
  <c r="L83" i="151"/>
  <c r="J84" i="151"/>
  <c r="K84" i="151"/>
  <c r="L84" i="151"/>
  <c r="J85" i="151"/>
  <c r="K85" i="151"/>
  <c r="L85" i="151"/>
  <c r="J86" i="151"/>
  <c r="K86" i="151"/>
  <c r="L86" i="151"/>
  <c r="J87" i="151"/>
  <c r="K87" i="151"/>
  <c r="L87" i="151"/>
  <c r="J88" i="151"/>
  <c r="K88" i="151"/>
  <c r="L88" i="151"/>
  <c r="J89" i="151"/>
  <c r="K89" i="151"/>
  <c r="L89" i="151"/>
  <c r="J90" i="151"/>
  <c r="K90" i="151"/>
  <c r="L90" i="151"/>
  <c r="I90" i="151"/>
  <c r="I89" i="151"/>
  <c r="I88" i="151"/>
  <c r="M88" i="151" s="1"/>
  <c r="I87" i="151"/>
  <c r="I86" i="151"/>
  <c r="I85" i="151"/>
  <c r="I84" i="151"/>
  <c r="M84" i="151" s="1"/>
  <c r="I83" i="151"/>
  <c r="I82" i="151"/>
  <c r="I81" i="151"/>
  <c r="I80" i="151"/>
  <c r="M80" i="151" s="1"/>
  <c r="I79" i="151"/>
  <c r="I78" i="151"/>
  <c r="I77" i="151"/>
  <c r="I76" i="151"/>
  <c r="M76" i="151" s="1"/>
  <c r="I75" i="151"/>
  <c r="I74" i="151"/>
  <c r="I73" i="151"/>
  <c r="I72" i="151"/>
  <c r="M72" i="151" s="1"/>
  <c r="I71" i="151"/>
  <c r="I70" i="151"/>
  <c r="I69" i="151"/>
  <c r="I68" i="151"/>
  <c r="M68" i="151" s="1"/>
  <c r="I67" i="151"/>
  <c r="I66" i="151"/>
  <c r="I65" i="151"/>
  <c r="I64" i="151"/>
  <c r="M64" i="151" s="1"/>
  <c r="I63" i="151"/>
  <c r="I62" i="151"/>
  <c r="I61" i="151"/>
  <c r="I60" i="151"/>
  <c r="M60" i="151" s="1"/>
  <c r="I59" i="151"/>
  <c r="I58" i="151"/>
  <c r="I57" i="151"/>
  <c r="I56" i="151"/>
  <c r="M56" i="151" s="1"/>
  <c r="I55" i="151"/>
  <c r="I54" i="151"/>
  <c r="I53" i="151"/>
  <c r="M53" i="151" s="1"/>
  <c r="I52" i="151"/>
  <c r="I51" i="151"/>
  <c r="M51" i="151" s="1"/>
  <c r="J24" i="151"/>
  <c r="K24" i="151"/>
  <c r="L24" i="151"/>
  <c r="J25" i="151"/>
  <c r="K25" i="151"/>
  <c r="L25" i="151"/>
  <c r="J26" i="151"/>
  <c r="K26" i="151"/>
  <c r="L26" i="151"/>
  <c r="J27" i="151"/>
  <c r="K27" i="151"/>
  <c r="L27" i="151"/>
  <c r="J28" i="151"/>
  <c r="K28" i="151"/>
  <c r="L28" i="151"/>
  <c r="J29" i="151"/>
  <c r="K29" i="151"/>
  <c r="L29" i="151"/>
  <c r="J30" i="151"/>
  <c r="K30" i="151"/>
  <c r="L30" i="151"/>
  <c r="J31" i="151"/>
  <c r="K31" i="151"/>
  <c r="L31" i="151"/>
  <c r="J32" i="151"/>
  <c r="K32" i="151"/>
  <c r="L32" i="151"/>
  <c r="M32" i="151" s="1"/>
  <c r="J33" i="151"/>
  <c r="K33" i="151"/>
  <c r="L33" i="151"/>
  <c r="J34" i="151"/>
  <c r="K34" i="151"/>
  <c r="L34" i="151"/>
  <c r="J35" i="151"/>
  <c r="K35" i="151"/>
  <c r="L35" i="151"/>
  <c r="J36" i="151"/>
  <c r="K36" i="151"/>
  <c r="L36" i="151"/>
  <c r="J37" i="151"/>
  <c r="K37" i="151"/>
  <c r="L37" i="151"/>
  <c r="J38" i="151"/>
  <c r="K38" i="151"/>
  <c r="L38" i="151"/>
  <c r="J39" i="151"/>
  <c r="K39" i="151"/>
  <c r="L39" i="151"/>
  <c r="J40" i="151"/>
  <c r="K40" i="151"/>
  <c r="L40" i="151"/>
  <c r="J41" i="151"/>
  <c r="K41" i="151"/>
  <c r="L41" i="151"/>
  <c r="J42" i="151"/>
  <c r="K42" i="151"/>
  <c r="L42" i="151"/>
  <c r="J43" i="151"/>
  <c r="K43" i="151"/>
  <c r="L43" i="151"/>
  <c r="I43" i="151"/>
  <c r="I42" i="151"/>
  <c r="I41" i="151"/>
  <c r="I40" i="151"/>
  <c r="I39" i="151"/>
  <c r="I38" i="151"/>
  <c r="I37" i="151"/>
  <c r="I36" i="151"/>
  <c r="I35" i="151"/>
  <c r="I34" i="151"/>
  <c r="I33" i="151"/>
  <c r="I32" i="151"/>
  <c r="I31" i="151"/>
  <c r="I30" i="151"/>
  <c r="I29" i="151"/>
  <c r="I28" i="151"/>
  <c r="I27" i="151"/>
  <c r="I26" i="151"/>
  <c r="I25" i="151"/>
  <c r="I24" i="151"/>
  <c r="J4" i="151"/>
  <c r="K4" i="151"/>
  <c r="L4" i="151"/>
  <c r="J5" i="151"/>
  <c r="K5" i="151"/>
  <c r="L5" i="151"/>
  <c r="J6" i="151"/>
  <c r="K6" i="151"/>
  <c r="L6" i="151"/>
  <c r="J7" i="151"/>
  <c r="K7" i="151"/>
  <c r="L7" i="151"/>
  <c r="J8" i="151"/>
  <c r="K8" i="151"/>
  <c r="L8" i="151"/>
  <c r="J9" i="151"/>
  <c r="K9" i="151"/>
  <c r="L9" i="151"/>
  <c r="J10" i="151"/>
  <c r="K10" i="151"/>
  <c r="L10" i="151"/>
  <c r="J11" i="151"/>
  <c r="K11" i="151"/>
  <c r="L11" i="151"/>
  <c r="J12" i="151"/>
  <c r="K12" i="151"/>
  <c r="L12" i="151"/>
  <c r="J13" i="151"/>
  <c r="K13" i="151"/>
  <c r="L13" i="151"/>
  <c r="J14" i="151"/>
  <c r="K14" i="151"/>
  <c r="L14" i="151"/>
  <c r="J15" i="151"/>
  <c r="K15" i="151"/>
  <c r="L15" i="151"/>
  <c r="J16" i="151"/>
  <c r="K16" i="151"/>
  <c r="L16" i="151"/>
  <c r="J17" i="151"/>
  <c r="K17" i="151"/>
  <c r="L17" i="151"/>
  <c r="J18" i="151"/>
  <c r="K18" i="151"/>
  <c r="L18" i="151"/>
  <c r="J19" i="151"/>
  <c r="K19" i="151"/>
  <c r="L19" i="151"/>
  <c r="J20" i="151"/>
  <c r="K20" i="151"/>
  <c r="L20" i="151"/>
  <c r="J21" i="151"/>
  <c r="K21" i="151"/>
  <c r="L21" i="151"/>
  <c r="J22" i="151"/>
  <c r="K22" i="151"/>
  <c r="L22" i="151"/>
  <c r="J23" i="151"/>
  <c r="K23" i="151"/>
  <c r="L23" i="151"/>
  <c r="I23" i="151"/>
  <c r="I22" i="151"/>
  <c r="I21" i="151"/>
  <c r="I20" i="151"/>
  <c r="I19" i="151"/>
  <c r="I18" i="151"/>
  <c r="I17" i="151"/>
  <c r="I16" i="151"/>
  <c r="I15" i="151"/>
  <c r="I14" i="151"/>
  <c r="I13" i="151"/>
  <c r="I12" i="151"/>
  <c r="I11" i="151"/>
  <c r="I10" i="151"/>
  <c r="I9" i="151"/>
  <c r="I8" i="151"/>
  <c r="I7" i="151"/>
  <c r="I6" i="151"/>
  <c r="I5" i="151"/>
  <c r="I4" i="151"/>
  <c r="C51" i="151"/>
  <c r="F51" i="151" s="1"/>
  <c r="AZ245" i="94"/>
  <c r="AX245" i="94"/>
  <c r="AV245" i="94"/>
  <c r="AZ244" i="94"/>
  <c r="AY244" i="94"/>
  <c r="AX244" i="94"/>
  <c r="AV244" i="94"/>
  <c r="AZ243" i="94"/>
  <c r="AY243" i="94"/>
  <c r="AX243" i="94"/>
  <c r="AV243" i="94"/>
  <c r="AU243" i="94"/>
  <c r="AU247" i="94" s="1"/>
  <c r="H124" i="133" s="1"/>
  <c r="AZ242" i="94"/>
  <c r="AV242" i="94"/>
  <c r="AZ239" i="94"/>
  <c r="AX239" i="94"/>
  <c r="AV239" i="94"/>
  <c r="AZ238" i="94"/>
  <c r="AY238" i="94"/>
  <c r="AX238" i="94"/>
  <c r="AV238" i="94"/>
  <c r="AZ237" i="94"/>
  <c r="AY237" i="94"/>
  <c r="AX237" i="94"/>
  <c r="AV237" i="94"/>
  <c r="AU237" i="94"/>
  <c r="AU241" i="94" s="1"/>
  <c r="H121" i="133" s="1"/>
  <c r="AZ236" i="94"/>
  <c r="AV236" i="94"/>
  <c r="AZ233" i="94"/>
  <c r="AX233" i="94"/>
  <c r="AV233" i="94"/>
  <c r="AZ232" i="94"/>
  <c r="AY232" i="94"/>
  <c r="AX232" i="94"/>
  <c r="AV232" i="94"/>
  <c r="AZ231" i="94"/>
  <c r="AY231" i="94"/>
  <c r="AY235" i="94" s="1"/>
  <c r="H156" i="134" s="1"/>
  <c r="AX231" i="94"/>
  <c r="AV231" i="94"/>
  <c r="AU231" i="94"/>
  <c r="AU235" i="94" s="1"/>
  <c r="H118" i="133" s="1"/>
  <c r="AZ230" i="94"/>
  <c r="AV230" i="94"/>
  <c r="AZ227" i="94"/>
  <c r="AX227" i="94"/>
  <c r="AV227" i="94"/>
  <c r="AZ226" i="94"/>
  <c r="AY226" i="94"/>
  <c r="AX226" i="94"/>
  <c r="AV226" i="94"/>
  <c r="AZ225" i="94"/>
  <c r="AY225" i="94"/>
  <c r="AX225" i="94"/>
  <c r="AV225" i="94"/>
  <c r="AU225" i="94"/>
  <c r="AU229" i="94" s="1"/>
  <c r="H115" i="133" s="1"/>
  <c r="AZ224" i="94"/>
  <c r="AV224" i="94"/>
  <c r="AU223" i="94"/>
  <c r="H112" i="133" s="1"/>
  <c r="F17" i="134"/>
  <c r="F16" i="134"/>
  <c r="F15" i="134"/>
  <c r="F13" i="134"/>
  <c r="F12" i="134"/>
  <c r="F11" i="134"/>
  <c r="C4" i="151"/>
  <c r="D4" i="151"/>
  <c r="E4" i="151"/>
  <c r="H4" i="151"/>
  <c r="C5" i="151"/>
  <c r="F5" i="151" s="1"/>
  <c r="P5" i="151" s="1"/>
  <c r="D5" i="151"/>
  <c r="E5" i="151"/>
  <c r="H5" i="151"/>
  <c r="C6" i="151"/>
  <c r="D6" i="151"/>
  <c r="E6" i="151"/>
  <c r="H6" i="151"/>
  <c r="C7" i="151"/>
  <c r="D7" i="151"/>
  <c r="E7" i="151"/>
  <c r="H7" i="151"/>
  <c r="C8" i="151"/>
  <c r="D8" i="151"/>
  <c r="E8" i="151"/>
  <c r="H8" i="151"/>
  <c r="C9" i="151"/>
  <c r="D9" i="151"/>
  <c r="E9" i="151"/>
  <c r="H9" i="151"/>
  <c r="C10" i="151"/>
  <c r="D10" i="151"/>
  <c r="E10" i="151"/>
  <c r="H10" i="151"/>
  <c r="C11" i="151"/>
  <c r="D11" i="151"/>
  <c r="E11" i="151"/>
  <c r="H11" i="151"/>
  <c r="C12" i="151"/>
  <c r="D12" i="151"/>
  <c r="E12" i="151"/>
  <c r="H12" i="151"/>
  <c r="C13" i="151"/>
  <c r="D13" i="151"/>
  <c r="E13" i="151"/>
  <c r="H13" i="151"/>
  <c r="C14" i="151"/>
  <c r="D14" i="151"/>
  <c r="E14" i="151"/>
  <c r="H14" i="151"/>
  <c r="C15" i="151"/>
  <c r="D15" i="151"/>
  <c r="E15" i="151"/>
  <c r="H15" i="151"/>
  <c r="C16" i="151"/>
  <c r="D16" i="151"/>
  <c r="E16" i="151"/>
  <c r="H16" i="151"/>
  <c r="C17" i="151"/>
  <c r="D17" i="151"/>
  <c r="E17" i="151"/>
  <c r="H17" i="151"/>
  <c r="C18" i="151"/>
  <c r="D18" i="151"/>
  <c r="E18" i="151"/>
  <c r="H18" i="151"/>
  <c r="C19" i="151"/>
  <c r="D19" i="151"/>
  <c r="F19" i="151" s="1"/>
  <c r="P19" i="151" s="1"/>
  <c r="E19" i="151"/>
  <c r="H19" i="151"/>
  <c r="C20" i="151"/>
  <c r="D20" i="151"/>
  <c r="E20" i="151"/>
  <c r="H20" i="151"/>
  <c r="C21" i="151"/>
  <c r="D21" i="151"/>
  <c r="E21" i="151"/>
  <c r="H21" i="151"/>
  <c r="C22" i="151"/>
  <c r="D22" i="151"/>
  <c r="E22" i="151"/>
  <c r="H22" i="151"/>
  <c r="C23" i="151"/>
  <c r="D23" i="151"/>
  <c r="E23" i="151"/>
  <c r="H23" i="151"/>
  <c r="C24" i="151"/>
  <c r="D24" i="151"/>
  <c r="E24" i="151"/>
  <c r="H24" i="151"/>
  <c r="C25" i="151"/>
  <c r="D25" i="151"/>
  <c r="E25" i="151"/>
  <c r="H25" i="151"/>
  <c r="C26" i="151"/>
  <c r="D26" i="151"/>
  <c r="E26" i="151"/>
  <c r="H26" i="151"/>
  <c r="C27" i="151"/>
  <c r="D27" i="151"/>
  <c r="E27" i="151"/>
  <c r="H27" i="151"/>
  <c r="C28" i="151"/>
  <c r="D28" i="151"/>
  <c r="E28" i="151"/>
  <c r="H28" i="151"/>
  <c r="C29" i="151"/>
  <c r="D29" i="151"/>
  <c r="E29" i="151"/>
  <c r="H29" i="151"/>
  <c r="C30" i="151"/>
  <c r="D30" i="151"/>
  <c r="E30" i="151"/>
  <c r="H30" i="151"/>
  <c r="C31" i="151"/>
  <c r="D31" i="151"/>
  <c r="E31" i="151"/>
  <c r="H31" i="151"/>
  <c r="C32" i="151"/>
  <c r="D32" i="151"/>
  <c r="E32" i="151"/>
  <c r="H32" i="151"/>
  <c r="C33" i="151"/>
  <c r="D33" i="151"/>
  <c r="E33" i="151"/>
  <c r="H33" i="151"/>
  <c r="C34" i="151"/>
  <c r="D34" i="151"/>
  <c r="E34" i="151"/>
  <c r="H34" i="151"/>
  <c r="C35" i="151"/>
  <c r="D35" i="151"/>
  <c r="E35" i="151"/>
  <c r="H35" i="151"/>
  <c r="C36" i="151"/>
  <c r="D36" i="151"/>
  <c r="E36" i="151"/>
  <c r="H36" i="151"/>
  <c r="C37" i="151"/>
  <c r="D37" i="151"/>
  <c r="E37" i="151"/>
  <c r="H37" i="151"/>
  <c r="C38" i="151"/>
  <c r="D38" i="151"/>
  <c r="E38" i="151"/>
  <c r="H38" i="151"/>
  <c r="C39" i="151"/>
  <c r="D39" i="151"/>
  <c r="E39" i="151"/>
  <c r="H39" i="151"/>
  <c r="C40" i="151"/>
  <c r="D40" i="151"/>
  <c r="E40" i="151"/>
  <c r="H40" i="151"/>
  <c r="C41" i="151"/>
  <c r="D41" i="151"/>
  <c r="E41" i="151"/>
  <c r="H41" i="151"/>
  <c r="C42" i="151"/>
  <c r="D42" i="151"/>
  <c r="E42" i="151"/>
  <c r="H42" i="151"/>
  <c r="C43" i="151"/>
  <c r="D43" i="151"/>
  <c r="E43" i="151"/>
  <c r="H43" i="151"/>
  <c r="F165" i="134"/>
  <c r="F164" i="134"/>
  <c r="F163" i="134"/>
  <c r="F161" i="134"/>
  <c r="F160" i="134"/>
  <c r="F159" i="134"/>
  <c r="F157" i="134"/>
  <c r="F156" i="134"/>
  <c r="F155" i="134"/>
  <c r="F153" i="134"/>
  <c r="F152" i="134"/>
  <c r="F151" i="134"/>
  <c r="F149" i="134"/>
  <c r="F148" i="134"/>
  <c r="F147" i="134"/>
  <c r="F145" i="134"/>
  <c r="F144" i="134"/>
  <c r="F143" i="134"/>
  <c r="F141" i="134"/>
  <c r="F140" i="134"/>
  <c r="F139" i="134"/>
  <c r="F137" i="134"/>
  <c r="F136" i="134"/>
  <c r="F135" i="134"/>
  <c r="F133" i="134"/>
  <c r="F132" i="134"/>
  <c r="F131" i="134"/>
  <c r="F129" i="134"/>
  <c r="F128" i="134"/>
  <c r="F127" i="134"/>
  <c r="F125" i="134"/>
  <c r="F124" i="134"/>
  <c r="F123" i="134"/>
  <c r="F121" i="134"/>
  <c r="F120" i="134"/>
  <c r="F119" i="134"/>
  <c r="F117" i="134"/>
  <c r="F116" i="134"/>
  <c r="F115" i="134"/>
  <c r="F113" i="134"/>
  <c r="F112" i="134"/>
  <c r="F111" i="134"/>
  <c r="F109" i="134"/>
  <c r="F108" i="134"/>
  <c r="F107" i="134"/>
  <c r="F105" i="134"/>
  <c r="F104" i="134"/>
  <c r="F103" i="134"/>
  <c r="F101" i="134"/>
  <c r="F100" i="134"/>
  <c r="F99" i="134"/>
  <c r="F97" i="134"/>
  <c r="F96" i="134"/>
  <c r="F95" i="134"/>
  <c r="F93" i="134"/>
  <c r="F92" i="134"/>
  <c r="F91" i="134"/>
  <c r="F89" i="134"/>
  <c r="F88" i="134"/>
  <c r="F87" i="134"/>
  <c r="F85" i="134"/>
  <c r="F84" i="134"/>
  <c r="F83" i="134"/>
  <c r="F81" i="134"/>
  <c r="F80" i="134"/>
  <c r="F79" i="134"/>
  <c r="F77" i="134"/>
  <c r="F76" i="134"/>
  <c r="F75" i="134"/>
  <c r="F73" i="134"/>
  <c r="F72" i="134"/>
  <c r="F71" i="134"/>
  <c r="F69" i="134"/>
  <c r="F68" i="134"/>
  <c r="F67" i="134"/>
  <c r="F65" i="134"/>
  <c r="F64" i="134"/>
  <c r="F63" i="134"/>
  <c r="F61" i="134"/>
  <c r="F60" i="134"/>
  <c r="F59" i="134"/>
  <c r="F57" i="134"/>
  <c r="F56" i="134"/>
  <c r="F55" i="134"/>
  <c r="F53" i="134"/>
  <c r="F52" i="134"/>
  <c r="F51" i="134"/>
  <c r="F49" i="134"/>
  <c r="F48" i="134"/>
  <c r="F47" i="134"/>
  <c r="F45" i="134"/>
  <c r="F44" i="134"/>
  <c r="F43" i="134"/>
  <c r="F41" i="134"/>
  <c r="F40" i="134"/>
  <c r="F39" i="134"/>
  <c r="F37" i="134"/>
  <c r="F36" i="134"/>
  <c r="F35" i="134"/>
  <c r="F33" i="134"/>
  <c r="F32" i="134"/>
  <c r="F31" i="134"/>
  <c r="F29" i="134"/>
  <c r="F28" i="134"/>
  <c r="F27" i="134"/>
  <c r="F25" i="134"/>
  <c r="F24" i="134"/>
  <c r="F23" i="134"/>
  <c r="F21" i="134"/>
  <c r="F20" i="134"/>
  <c r="F19" i="134"/>
  <c r="F35" i="151" l="1"/>
  <c r="P35" i="151" s="1"/>
  <c r="AV229" i="94"/>
  <c r="H116" i="133" s="1"/>
  <c r="AV241" i="94"/>
  <c r="H122" i="133" s="1"/>
  <c r="AY219" i="94"/>
  <c r="AV223" i="94"/>
  <c r="H113" i="133" s="1"/>
  <c r="F4" i="151"/>
  <c r="AX229" i="94"/>
  <c r="H151" i="134" s="1"/>
  <c r="AX241" i="94"/>
  <c r="H159" i="134" s="1"/>
  <c r="J159" i="134" s="1"/>
  <c r="M28" i="151"/>
  <c r="M36" i="151"/>
  <c r="M40" i="151"/>
  <c r="M55" i="151"/>
  <c r="M59" i="151"/>
  <c r="M63" i="151"/>
  <c r="M67" i="151"/>
  <c r="M71" i="151"/>
  <c r="M75" i="151"/>
  <c r="M79" i="151"/>
  <c r="Q32" i="151" s="1"/>
  <c r="F11" i="151"/>
  <c r="P11" i="151" s="1"/>
  <c r="F27" i="151"/>
  <c r="P27" i="151" s="1"/>
  <c r="M54" i="151"/>
  <c r="M58" i="151"/>
  <c r="M62" i="151"/>
  <c r="M66" i="151"/>
  <c r="M70" i="151"/>
  <c r="M74" i="151"/>
  <c r="M78" i="151"/>
  <c r="M82" i="151"/>
  <c r="M86" i="151"/>
  <c r="Q7" i="108"/>
  <c r="Q11" i="108"/>
  <c r="Q15" i="108"/>
  <c r="Q19" i="108"/>
  <c r="Q23" i="108"/>
  <c r="Q27" i="108"/>
  <c r="F43" i="151"/>
  <c r="P43" i="151" s="1"/>
  <c r="M30" i="151"/>
  <c r="M34" i="151"/>
  <c r="M38" i="151"/>
  <c r="M42" i="151"/>
  <c r="M57" i="151"/>
  <c r="M61" i="151"/>
  <c r="M65" i="151"/>
  <c r="M69" i="151"/>
  <c r="M73" i="151"/>
  <c r="M77" i="151"/>
  <c r="Q31" i="108"/>
  <c r="Q33" i="108"/>
  <c r="Q35" i="108"/>
  <c r="Q37" i="108"/>
  <c r="Q4" i="108"/>
  <c r="Q6" i="108"/>
  <c r="Q8" i="108"/>
  <c r="Q10" i="108"/>
  <c r="Q12" i="108"/>
  <c r="Q16" i="108"/>
  <c r="Q18" i="108"/>
  <c r="Q20" i="108"/>
  <c r="Q22" i="108"/>
  <c r="Q24" i="108"/>
  <c r="Q26" i="108"/>
  <c r="Q28" i="108"/>
  <c r="Q30" i="108"/>
  <c r="Q32" i="108"/>
  <c r="Q36" i="108"/>
  <c r="Q40" i="108"/>
  <c r="M81" i="151"/>
  <c r="M83" i="151"/>
  <c r="Q36" i="151" s="1"/>
  <c r="M85" i="151"/>
  <c r="Q38" i="151" s="1"/>
  <c r="M87" i="151"/>
  <c r="Q40" i="151" s="1"/>
  <c r="M89" i="151"/>
  <c r="Q42" i="108"/>
  <c r="Q38" i="108"/>
  <c r="Q34" i="108"/>
  <c r="Q14" i="108"/>
  <c r="Q9" i="108"/>
  <c r="Q39" i="108"/>
  <c r="Q41" i="108"/>
  <c r="Q43" i="108"/>
  <c r="M6" i="151"/>
  <c r="Q6" i="151" s="1"/>
  <c r="M8" i="151"/>
  <c r="Q8" i="151" s="1"/>
  <c r="M10" i="151"/>
  <c r="Q10" i="151" s="1"/>
  <c r="M12" i="151"/>
  <c r="Q12" i="151" s="1"/>
  <c r="M14" i="151"/>
  <c r="Q14" i="151" s="1"/>
  <c r="M16" i="151"/>
  <c r="Q16" i="151" s="1"/>
  <c r="M18" i="151"/>
  <c r="M20" i="151"/>
  <c r="Q20" i="151" s="1"/>
  <c r="M22" i="151"/>
  <c r="Q22" i="151" s="1"/>
  <c r="M24" i="151"/>
  <c r="Q24" i="151" s="1"/>
  <c r="M26" i="151"/>
  <c r="Q26" i="151" s="1"/>
  <c r="M90" i="151"/>
  <c r="M31" i="151"/>
  <c r="Q31" i="151" s="1"/>
  <c r="M29" i="151"/>
  <c r="Q29" i="151" s="1"/>
  <c r="M27" i="151"/>
  <c r="M5" i="151"/>
  <c r="M25" i="151"/>
  <c r="Q25" i="151" s="1"/>
  <c r="M4" i="151"/>
  <c r="M7" i="151"/>
  <c r="Q7" i="151" s="1"/>
  <c r="M9" i="151"/>
  <c r="Q9" i="151" s="1"/>
  <c r="M11" i="151"/>
  <c r="M13" i="151"/>
  <c r="Q13" i="151" s="1"/>
  <c r="M15" i="151"/>
  <c r="Q15" i="151" s="1"/>
  <c r="M17" i="151"/>
  <c r="Q17" i="151" s="1"/>
  <c r="M19" i="151"/>
  <c r="Q19" i="151" s="1"/>
  <c r="M21" i="151"/>
  <c r="Q21" i="151" s="1"/>
  <c r="M23" i="151"/>
  <c r="Q23" i="151" s="1"/>
  <c r="M33" i="151"/>
  <c r="Q33" i="151" s="1"/>
  <c r="M35" i="151"/>
  <c r="Q35" i="151" s="1"/>
  <c r="M37" i="151"/>
  <c r="Q37" i="151" s="1"/>
  <c r="M39" i="151"/>
  <c r="Q39" i="151" s="1"/>
  <c r="M41" i="151"/>
  <c r="Q41" i="151" s="1"/>
  <c r="M43" i="151"/>
  <c r="M52" i="151"/>
  <c r="F31" i="151"/>
  <c r="P31" i="151" s="1"/>
  <c r="F15" i="151"/>
  <c r="P15" i="151" s="1"/>
  <c r="F39" i="151"/>
  <c r="P39" i="151" s="1"/>
  <c r="F23" i="151"/>
  <c r="P23" i="151" s="1"/>
  <c r="F7" i="151"/>
  <c r="P7" i="151" s="1"/>
  <c r="F41" i="151"/>
  <c r="P41" i="151" s="1"/>
  <c r="F40" i="151"/>
  <c r="P40" i="151" s="1"/>
  <c r="F33" i="151"/>
  <c r="P33" i="151" s="1"/>
  <c r="F25" i="151"/>
  <c r="P25" i="151" s="1"/>
  <c r="F17" i="151"/>
  <c r="P17" i="151" s="1"/>
  <c r="F9" i="151"/>
  <c r="P9" i="151" s="1"/>
  <c r="F37" i="151"/>
  <c r="P37" i="151" s="1"/>
  <c r="F29" i="151"/>
  <c r="P29" i="151" s="1"/>
  <c r="F21" i="151"/>
  <c r="P21" i="151" s="1"/>
  <c r="F13" i="151"/>
  <c r="P13" i="151" s="1"/>
  <c r="AZ235" i="94"/>
  <c r="Y39" i="88"/>
  <c r="Y41" i="88"/>
  <c r="Y43" i="88"/>
  <c r="Q5" i="151"/>
  <c r="AZ247" i="94"/>
  <c r="H114" i="133"/>
  <c r="H123" i="133"/>
  <c r="AV247" i="94"/>
  <c r="H125" i="133" s="1"/>
  <c r="H126" i="133" s="1"/>
  <c r="I124" i="133"/>
  <c r="J124" i="133"/>
  <c r="I121" i="133"/>
  <c r="J121" i="133"/>
  <c r="I122" i="133"/>
  <c r="J122" i="133"/>
  <c r="I118" i="133"/>
  <c r="J118" i="133"/>
  <c r="I115" i="133"/>
  <c r="J115" i="133"/>
  <c r="I116" i="133"/>
  <c r="J116" i="133"/>
  <c r="I112" i="133"/>
  <c r="J112" i="133"/>
  <c r="I113" i="133"/>
  <c r="J113" i="133"/>
  <c r="AY247" i="94"/>
  <c r="H164" i="134" s="1"/>
  <c r="J164" i="134" s="1"/>
  <c r="AV235" i="94"/>
  <c r="H119" i="133" s="1"/>
  <c r="AY220" i="94"/>
  <c r="AY223" i="94" s="1"/>
  <c r="H148" i="134" s="1"/>
  <c r="I148" i="134" s="1"/>
  <c r="AZ223" i="94"/>
  <c r="AX220" i="94"/>
  <c r="AY241" i="94"/>
  <c r="H160" i="134" s="1"/>
  <c r="I160" i="134" s="1"/>
  <c r="AX247" i="94"/>
  <c r="H163" i="134" s="1"/>
  <c r="J163" i="134" s="1"/>
  <c r="AX221" i="94"/>
  <c r="AY229" i="94"/>
  <c r="H152" i="134" s="1"/>
  <c r="I152" i="134" s="1"/>
  <c r="AX235" i="94"/>
  <c r="H155" i="134" s="1"/>
  <c r="J155" i="134" s="1"/>
  <c r="AZ229" i="94"/>
  <c r="AZ241" i="94"/>
  <c r="I151" i="134"/>
  <c r="I159" i="134"/>
  <c r="F42" i="151"/>
  <c r="P42" i="151" s="1"/>
  <c r="F38" i="151"/>
  <c r="P38" i="151" s="1"/>
  <c r="F34" i="151"/>
  <c r="P34" i="151" s="1"/>
  <c r="F30" i="151"/>
  <c r="P30" i="151" s="1"/>
  <c r="F26" i="151"/>
  <c r="P26" i="151" s="1"/>
  <c r="F22" i="151"/>
  <c r="P22" i="151" s="1"/>
  <c r="F18" i="151"/>
  <c r="P18" i="151" s="1"/>
  <c r="F14" i="151"/>
  <c r="P14" i="151" s="1"/>
  <c r="F10" i="151"/>
  <c r="P10" i="151" s="1"/>
  <c r="F6" i="151"/>
  <c r="P6" i="151" s="1"/>
  <c r="F36" i="151"/>
  <c r="P36" i="151" s="1"/>
  <c r="F32" i="151"/>
  <c r="P32" i="151" s="1"/>
  <c r="F28" i="151"/>
  <c r="P28" i="151" s="1"/>
  <c r="F24" i="151"/>
  <c r="P24" i="151" s="1"/>
  <c r="F20" i="151"/>
  <c r="P20" i="151" s="1"/>
  <c r="F16" i="151"/>
  <c r="P16" i="151" s="1"/>
  <c r="F12" i="151"/>
  <c r="P12" i="151" s="1"/>
  <c r="F8" i="151"/>
  <c r="P8" i="151" s="1"/>
  <c r="J156" i="134"/>
  <c r="I156" i="134"/>
  <c r="J151" i="134"/>
  <c r="K4" i="150"/>
  <c r="K5" i="150"/>
  <c r="K6" i="150"/>
  <c r="K7" i="150"/>
  <c r="K8" i="150"/>
  <c r="K9" i="150"/>
  <c r="K10" i="150"/>
  <c r="K11" i="150"/>
  <c r="K12" i="150"/>
  <c r="K13" i="150"/>
  <c r="K14" i="150"/>
  <c r="K15" i="150"/>
  <c r="K16" i="150"/>
  <c r="K17" i="150"/>
  <c r="K18" i="150"/>
  <c r="K19" i="150"/>
  <c r="K20" i="150"/>
  <c r="K21" i="150"/>
  <c r="K22" i="150"/>
  <c r="K23" i="150"/>
  <c r="K24" i="150"/>
  <c r="K25" i="150"/>
  <c r="K26" i="150"/>
  <c r="K27" i="150"/>
  <c r="K28" i="150"/>
  <c r="K29" i="150"/>
  <c r="K30" i="150"/>
  <c r="K31" i="150"/>
  <c r="K32" i="150"/>
  <c r="K33" i="150"/>
  <c r="K34" i="150"/>
  <c r="K35" i="150"/>
  <c r="K36" i="150"/>
  <c r="K37" i="150"/>
  <c r="K38" i="150"/>
  <c r="K39" i="150"/>
  <c r="K40" i="150"/>
  <c r="K41" i="150"/>
  <c r="K42" i="150"/>
  <c r="K43" i="150"/>
  <c r="J4" i="150"/>
  <c r="J5" i="150"/>
  <c r="J6" i="150"/>
  <c r="J7" i="150"/>
  <c r="J8" i="150"/>
  <c r="J9" i="150"/>
  <c r="J10" i="150"/>
  <c r="J11" i="150"/>
  <c r="J12" i="150"/>
  <c r="J13" i="150"/>
  <c r="J14" i="150"/>
  <c r="J15" i="150"/>
  <c r="J16" i="150"/>
  <c r="J17" i="150"/>
  <c r="J18" i="150"/>
  <c r="J19" i="150"/>
  <c r="J20" i="150"/>
  <c r="J21" i="150"/>
  <c r="J22" i="150"/>
  <c r="J23" i="150"/>
  <c r="J24" i="150"/>
  <c r="J25" i="150"/>
  <c r="J26" i="150"/>
  <c r="J27" i="150"/>
  <c r="J28" i="150"/>
  <c r="J29" i="150"/>
  <c r="J30" i="150"/>
  <c r="J31" i="150"/>
  <c r="J32" i="150"/>
  <c r="J33" i="150"/>
  <c r="J34" i="150"/>
  <c r="J35" i="150"/>
  <c r="J36" i="150"/>
  <c r="J37" i="150"/>
  <c r="J38" i="150"/>
  <c r="J39" i="150"/>
  <c r="J40" i="150"/>
  <c r="J41" i="150"/>
  <c r="J42" i="150"/>
  <c r="J43" i="150"/>
  <c r="I43" i="150"/>
  <c r="L43" i="150" s="1"/>
  <c r="I42" i="150"/>
  <c r="I41" i="150"/>
  <c r="I40" i="150"/>
  <c r="I39" i="150"/>
  <c r="L39" i="150" s="1"/>
  <c r="I38" i="150"/>
  <c r="I37" i="150"/>
  <c r="I36" i="150"/>
  <c r="I35" i="150"/>
  <c r="L35" i="150" s="1"/>
  <c r="I28" i="150"/>
  <c r="I27" i="150"/>
  <c r="L27" i="150" s="1"/>
  <c r="I26" i="150"/>
  <c r="I25" i="150"/>
  <c r="I24" i="150"/>
  <c r="I23" i="150"/>
  <c r="L23" i="150" s="1"/>
  <c r="I22" i="150"/>
  <c r="I21" i="150"/>
  <c r="I20" i="150"/>
  <c r="I19" i="150"/>
  <c r="L19" i="150" s="1"/>
  <c r="I18" i="150"/>
  <c r="I17" i="150"/>
  <c r="I16" i="150"/>
  <c r="I15" i="150"/>
  <c r="L15" i="150" s="1"/>
  <c r="I14" i="150"/>
  <c r="I13" i="150"/>
  <c r="I12" i="150"/>
  <c r="L12" i="150" s="1"/>
  <c r="I11" i="150"/>
  <c r="L11" i="150" s="1"/>
  <c r="I10" i="150"/>
  <c r="I9" i="150"/>
  <c r="I8" i="150"/>
  <c r="I6" i="150"/>
  <c r="L6" i="150" s="1"/>
  <c r="I29" i="150"/>
  <c r="I30" i="150"/>
  <c r="L30" i="150" s="1"/>
  <c r="I31" i="150"/>
  <c r="L31" i="150" s="1"/>
  <c r="I32" i="150"/>
  <c r="I33" i="150"/>
  <c r="I34" i="150"/>
  <c r="L34" i="150" s="1"/>
  <c r="I7" i="150"/>
  <c r="L7" i="150" s="1"/>
  <c r="I5" i="150"/>
  <c r="I4" i="150"/>
  <c r="D4" i="150"/>
  <c r="D5" i="150"/>
  <c r="D6" i="150"/>
  <c r="D7" i="150"/>
  <c r="D8" i="150"/>
  <c r="D9" i="150"/>
  <c r="D10" i="150"/>
  <c r="D11" i="150"/>
  <c r="D12" i="150"/>
  <c r="D13" i="150"/>
  <c r="D14" i="150"/>
  <c r="D15" i="150"/>
  <c r="D16" i="150"/>
  <c r="D17" i="150"/>
  <c r="D18" i="150"/>
  <c r="D19" i="150"/>
  <c r="D20" i="150"/>
  <c r="D21" i="150"/>
  <c r="D22" i="150"/>
  <c r="D23" i="150"/>
  <c r="D24" i="150"/>
  <c r="D25" i="150"/>
  <c r="D26" i="150"/>
  <c r="D27" i="150"/>
  <c r="D28" i="150"/>
  <c r="D29" i="150"/>
  <c r="D30" i="150"/>
  <c r="D31" i="150"/>
  <c r="D32" i="150"/>
  <c r="D33" i="150"/>
  <c r="D34" i="150"/>
  <c r="D35" i="150"/>
  <c r="D36" i="150"/>
  <c r="D37" i="150"/>
  <c r="D38" i="150"/>
  <c r="D39" i="150"/>
  <c r="D40" i="150"/>
  <c r="D41" i="150"/>
  <c r="D42" i="150"/>
  <c r="D43" i="150"/>
  <c r="C43" i="150"/>
  <c r="E43" i="150" s="1"/>
  <c r="C42" i="150"/>
  <c r="C41" i="150"/>
  <c r="C40" i="150"/>
  <c r="C39" i="150"/>
  <c r="E39" i="150" s="1"/>
  <c r="C38" i="150"/>
  <c r="C37" i="150"/>
  <c r="C36" i="150"/>
  <c r="C35" i="150"/>
  <c r="E35" i="150" s="1"/>
  <c r="C34" i="150"/>
  <c r="C33" i="150"/>
  <c r="C32" i="150"/>
  <c r="C31" i="150"/>
  <c r="E31" i="150" s="1"/>
  <c r="C30" i="150"/>
  <c r="C29" i="150"/>
  <c r="C28" i="150"/>
  <c r="C27" i="150"/>
  <c r="E27" i="150" s="1"/>
  <c r="C26" i="150"/>
  <c r="C25" i="150"/>
  <c r="C24" i="150"/>
  <c r="C23" i="150"/>
  <c r="E23" i="150" s="1"/>
  <c r="C22" i="150"/>
  <c r="C21" i="150"/>
  <c r="C20" i="150"/>
  <c r="C19" i="150"/>
  <c r="E19" i="150" s="1"/>
  <c r="C18" i="150"/>
  <c r="C17" i="150"/>
  <c r="C16" i="150"/>
  <c r="C15" i="150"/>
  <c r="E15" i="150" s="1"/>
  <c r="C14" i="150"/>
  <c r="C13" i="150"/>
  <c r="C12" i="150"/>
  <c r="C11" i="150"/>
  <c r="E11" i="150" s="1"/>
  <c r="C10" i="150"/>
  <c r="C9" i="150"/>
  <c r="C8" i="150"/>
  <c r="C7" i="150"/>
  <c r="E7" i="150" s="1"/>
  <c r="C6" i="150"/>
  <c r="C5" i="150"/>
  <c r="E5" i="150" s="1"/>
  <c r="C4" i="150"/>
  <c r="J51" i="78"/>
  <c r="N4" i="60"/>
  <c r="O4" i="60"/>
  <c r="P4" i="60"/>
  <c r="Q4" i="60"/>
  <c r="R4" i="60"/>
  <c r="S4" i="60"/>
  <c r="T4" i="60"/>
  <c r="U4" i="60"/>
  <c r="N5" i="60"/>
  <c r="O5" i="60"/>
  <c r="P5" i="60"/>
  <c r="Q5" i="60"/>
  <c r="R5" i="60"/>
  <c r="S5" i="60"/>
  <c r="T5" i="60"/>
  <c r="U5" i="60"/>
  <c r="N6" i="60"/>
  <c r="O6" i="60"/>
  <c r="P6" i="60"/>
  <c r="Q6" i="60"/>
  <c r="R6" i="60"/>
  <c r="S6" i="60"/>
  <c r="T6" i="60"/>
  <c r="U6" i="60"/>
  <c r="N7" i="60"/>
  <c r="O7" i="60"/>
  <c r="P7" i="60"/>
  <c r="Q7" i="60"/>
  <c r="R7" i="60"/>
  <c r="S7" i="60"/>
  <c r="T7" i="60"/>
  <c r="U7" i="60"/>
  <c r="N8" i="60"/>
  <c r="O8" i="60"/>
  <c r="P8" i="60"/>
  <c r="Q8" i="60"/>
  <c r="R8" i="60"/>
  <c r="S8" i="60"/>
  <c r="T8" i="60"/>
  <c r="U8" i="60"/>
  <c r="N9" i="60"/>
  <c r="O9" i="60"/>
  <c r="P9" i="60"/>
  <c r="Q9" i="60"/>
  <c r="R9" i="60"/>
  <c r="S9" i="60"/>
  <c r="T9" i="60"/>
  <c r="U9" i="60"/>
  <c r="N10" i="60"/>
  <c r="O10" i="60"/>
  <c r="P10" i="60"/>
  <c r="Q10" i="60"/>
  <c r="R10" i="60"/>
  <c r="S10" i="60"/>
  <c r="T10" i="60"/>
  <c r="U10" i="60"/>
  <c r="N11" i="60"/>
  <c r="O11" i="60"/>
  <c r="P11" i="60"/>
  <c r="Q11" i="60"/>
  <c r="R11" i="60"/>
  <c r="S11" i="60"/>
  <c r="T11" i="60"/>
  <c r="U11" i="60"/>
  <c r="N12" i="60"/>
  <c r="O12" i="60"/>
  <c r="P12" i="60"/>
  <c r="Q12" i="60"/>
  <c r="R12" i="60"/>
  <c r="S12" i="60"/>
  <c r="T12" i="60"/>
  <c r="U12" i="60"/>
  <c r="N13" i="60"/>
  <c r="O13" i="60"/>
  <c r="P13" i="60"/>
  <c r="Q13" i="60"/>
  <c r="R13" i="60"/>
  <c r="S13" i="60"/>
  <c r="T13" i="60"/>
  <c r="U13" i="60"/>
  <c r="N14" i="60"/>
  <c r="O14" i="60"/>
  <c r="P14" i="60"/>
  <c r="Q14" i="60"/>
  <c r="R14" i="60"/>
  <c r="S14" i="60"/>
  <c r="T14" i="60"/>
  <c r="U14" i="60"/>
  <c r="N15" i="60"/>
  <c r="O15" i="60"/>
  <c r="P15" i="60"/>
  <c r="Q15" i="60"/>
  <c r="R15" i="60"/>
  <c r="S15" i="60"/>
  <c r="T15" i="60"/>
  <c r="U15" i="60"/>
  <c r="N16" i="60"/>
  <c r="O16" i="60"/>
  <c r="P16" i="60"/>
  <c r="Q16" i="60"/>
  <c r="R16" i="60"/>
  <c r="S16" i="60"/>
  <c r="T16" i="60"/>
  <c r="U16" i="60"/>
  <c r="N17" i="60"/>
  <c r="O17" i="60"/>
  <c r="P17" i="60"/>
  <c r="Q17" i="60"/>
  <c r="R17" i="60"/>
  <c r="S17" i="60"/>
  <c r="T17" i="60"/>
  <c r="U17" i="60"/>
  <c r="N18" i="60"/>
  <c r="O18" i="60"/>
  <c r="P18" i="60"/>
  <c r="Q18" i="60"/>
  <c r="R18" i="60"/>
  <c r="S18" i="60"/>
  <c r="T18" i="60"/>
  <c r="U18" i="60"/>
  <c r="N19" i="60"/>
  <c r="O19" i="60"/>
  <c r="P19" i="60"/>
  <c r="Q19" i="60"/>
  <c r="R19" i="60"/>
  <c r="S19" i="60"/>
  <c r="T19" i="60"/>
  <c r="U19" i="60"/>
  <c r="N20" i="60"/>
  <c r="O20" i="60"/>
  <c r="P20" i="60"/>
  <c r="Q20" i="60"/>
  <c r="R20" i="60"/>
  <c r="S20" i="60"/>
  <c r="T20" i="60"/>
  <c r="U20" i="60"/>
  <c r="N21" i="60"/>
  <c r="O21" i="60"/>
  <c r="P21" i="60"/>
  <c r="Q21" i="60"/>
  <c r="R21" i="60"/>
  <c r="S21" i="60"/>
  <c r="T21" i="60"/>
  <c r="U21" i="60"/>
  <c r="N22" i="60"/>
  <c r="O22" i="60"/>
  <c r="P22" i="60"/>
  <c r="Q22" i="60"/>
  <c r="R22" i="60"/>
  <c r="S22" i="60"/>
  <c r="T22" i="60"/>
  <c r="U22" i="60"/>
  <c r="N23" i="60"/>
  <c r="O23" i="60"/>
  <c r="P23" i="60"/>
  <c r="Q23" i="60"/>
  <c r="R23" i="60"/>
  <c r="S23" i="60"/>
  <c r="T23" i="60"/>
  <c r="U23" i="60"/>
  <c r="N24" i="60"/>
  <c r="O24" i="60"/>
  <c r="P24" i="60"/>
  <c r="Q24" i="60"/>
  <c r="R24" i="60"/>
  <c r="S24" i="60"/>
  <c r="T24" i="60"/>
  <c r="U24" i="60"/>
  <c r="N25" i="60"/>
  <c r="O25" i="60"/>
  <c r="P25" i="60"/>
  <c r="Q25" i="60"/>
  <c r="R25" i="60"/>
  <c r="S25" i="60"/>
  <c r="T25" i="60"/>
  <c r="U25" i="60"/>
  <c r="N26" i="60"/>
  <c r="O26" i="60"/>
  <c r="P26" i="60"/>
  <c r="Q26" i="60"/>
  <c r="R26" i="60"/>
  <c r="S26" i="60"/>
  <c r="T26" i="60"/>
  <c r="U26" i="60"/>
  <c r="N27" i="60"/>
  <c r="O27" i="60"/>
  <c r="P27" i="60"/>
  <c r="Q27" i="60"/>
  <c r="R27" i="60"/>
  <c r="S27" i="60"/>
  <c r="T27" i="60"/>
  <c r="U27" i="60"/>
  <c r="N28" i="60"/>
  <c r="O28" i="60"/>
  <c r="P28" i="60"/>
  <c r="Q28" i="60"/>
  <c r="R28" i="60"/>
  <c r="S28" i="60"/>
  <c r="T28" i="60"/>
  <c r="U28" i="60"/>
  <c r="N29" i="60"/>
  <c r="O29" i="60"/>
  <c r="P29" i="60"/>
  <c r="Q29" i="60"/>
  <c r="R29" i="60"/>
  <c r="S29" i="60"/>
  <c r="T29" i="60"/>
  <c r="U29" i="60"/>
  <c r="N30" i="60"/>
  <c r="O30" i="60"/>
  <c r="P30" i="60"/>
  <c r="Q30" i="60"/>
  <c r="R30" i="60"/>
  <c r="S30" i="60"/>
  <c r="T30" i="60"/>
  <c r="U30" i="60"/>
  <c r="N31" i="60"/>
  <c r="O31" i="60"/>
  <c r="P31" i="60"/>
  <c r="Q31" i="60"/>
  <c r="R31" i="60"/>
  <c r="S31" i="60"/>
  <c r="T31" i="60"/>
  <c r="U31" i="60"/>
  <c r="N32" i="60"/>
  <c r="O32" i="60"/>
  <c r="P32" i="60"/>
  <c r="Q32" i="60"/>
  <c r="R32" i="60"/>
  <c r="S32" i="60"/>
  <c r="T32" i="60"/>
  <c r="U32" i="60"/>
  <c r="N33" i="60"/>
  <c r="O33" i="60"/>
  <c r="P33" i="60"/>
  <c r="Q33" i="60"/>
  <c r="R33" i="60"/>
  <c r="S33" i="60"/>
  <c r="T33" i="60"/>
  <c r="U33" i="60"/>
  <c r="N34" i="60"/>
  <c r="O34" i="60"/>
  <c r="P34" i="60"/>
  <c r="Q34" i="60"/>
  <c r="R34" i="60"/>
  <c r="S34" i="60"/>
  <c r="T34" i="60"/>
  <c r="U34" i="60"/>
  <c r="N35" i="60"/>
  <c r="O35" i="60"/>
  <c r="P35" i="60"/>
  <c r="Q35" i="60"/>
  <c r="R35" i="60"/>
  <c r="S35" i="60"/>
  <c r="T35" i="60"/>
  <c r="U35" i="60"/>
  <c r="N36" i="60"/>
  <c r="O36" i="60"/>
  <c r="P36" i="60"/>
  <c r="Q36" i="60"/>
  <c r="R36" i="60"/>
  <c r="S36" i="60"/>
  <c r="T36" i="60"/>
  <c r="U36" i="60"/>
  <c r="N37" i="60"/>
  <c r="O37" i="60"/>
  <c r="P37" i="60"/>
  <c r="Q37" i="60"/>
  <c r="R37" i="60"/>
  <c r="S37" i="60"/>
  <c r="T37" i="60"/>
  <c r="U37" i="60"/>
  <c r="N38" i="60"/>
  <c r="O38" i="60"/>
  <c r="P38" i="60"/>
  <c r="Q38" i="60"/>
  <c r="R38" i="60"/>
  <c r="S38" i="60"/>
  <c r="T38" i="60"/>
  <c r="U38" i="60"/>
  <c r="N39" i="60"/>
  <c r="O39" i="60"/>
  <c r="P39" i="60"/>
  <c r="Q39" i="60"/>
  <c r="R39" i="60"/>
  <c r="S39" i="60"/>
  <c r="T39" i="60"/>
  <c r="U39" i="60"/>
  <c r="N40" i="60"/>
  <c r="O40" i="60"/>
  <c r="P40" i="60"/>
  <c r="Q40" i="60"/>
  <c r="R40" i="60"/>
  <c r="S40" i="60"/>
  <c r="T40" i="60"/>
  <c r="U40" i="60"/>
  <c r="N41" i="60"/>
  <c r="O41" i="60"/>
  <c r="P41" i="60"/>
  <c r="Q41" i="60"/>
  <c r="R41" i="60"/>
  <c r="S41" i="60"/>
  <c r="T41" i="60"/>
  <c r="U41" i="60"/>
  <c r="N42" i="60"/>
  <c r="O42" i="60"/>
  <c r="P42" i="60"/>
  <c r="Q42" i="60"/>
  <c r="R42" i="60"/>
  <c r="S42" i="60"/>
  <c r="T42" i="60"/>
  <c r="U42" i="60"/>
  <c r="N43" i="60"/>
  <c r="O43" i="60"/>
  <c r="P43" i="60"/>
  <c r="Q43" i="60"/>
  <c r="R43" i="60"/>
  <c r="S43" i="60"/>
  <c r="T43" i="60"/>
  <c r="U43" i="60"/>
  <c r="M42" i="60"/>
  <c r="M41" i="60"/>
  <c r="M40" i="60"/>
  <c r="M39" i="60"/>
  <c r="M38" i="60"/>
  <c r="M37" i="60"/>
  <c r="M36" i="60"/>
  <c r="M35" i="60"/>
  <c r="M43" i="60"/>
  <c r="M34" i="60"/>
  <c r="M33" i="60"/>
  <c r="M32" i="60"/>
  <c r="M31" i="60"/>
  <c r="M30" i="60"/>
  <c r="M29" i="60"/>
  <c r="M28" i="60"/>
  <c r="M27" i="60"/>
  <c r="M26" i="60"/>
  <c r="M25" i="60"/>
  <c r="M24" i="60"/>
  <c r="M23" i="60"/>
  <c r="M22" i="60"/>
  <c r="M21" i="60"/>
  <c r="M20" i="60"/>
  <c r="M19" i="60"/>
  <c r="M18" i="60"/>
  <c r="M17" i="60"/>
  <c r="E6" i="150" l="1"/>
  <c r="E10" i="150"/>
  <c r="E14" i="150"/>
  <c r="L24" i="150"/>
  <c r="L28" i="150"/>
  <c r="L38" i="150"/>
  <c r="E17" i="150"/>
  <c r="E25" i="150"/>
  <c r="E37" i="150"/>
  <c r="L32" i="150"/>
  <c r="Q27" i="151"/>
  <c r="Q18" i="151"/>
  <c r="Q28" i="151"/>
  <c r="E9" i="150"/>
  <c r="E13" i="150"/>
  <c r="E21" i="150"/>
  <c r="E29" i="150"/>
  <c r="E33" i="150"/>
  <c r="E41" i="150"/>
  <c r="L5" i="150"/>
  <c r="L37" i="150"/>
  <c r="L41" i="150"/>
  <c r="E4" i="150"/>
  <c r="E8" i="150"/>
  <c r="E12" i="150"/>
  <c r="L4" i="150"/>
  <c r="L33" i="150"/>
  <c r="L29" i="150"/>
  <c r="L10" i="150"/>
  <c r="L26" i="150"/>
  <c r="L36" i="150"/>
  <c r="Q42" i="151"/>
  <c r="Q34" i="151"/>
  <c r="Q30" i="151"/>
  <c r="L9" i="150"/>
  <c r="L13" i="150"/>
  <c r="L17" i="150"/>
  <c r="L21" i="150"/>
  <c r="L25" i="150"/>
  <c r="Q11" i="151"/>
  <c r="Q43" i="151"/>
  <c r="L40" i="150"/>
  <c r="L42" i="150"/>
  <c r="L14" i="150"/>
  <c r="L16" i="150"/>
  <c r="L18" i="150"/>
  <c r="L20" i="150"/>
  <c r="L22" i="150"/>
  <c r="L8" i="150"/>
  <c r="E16" i="150"/>
  <c r="E18" i="150"/>
  <c r="E20" i="150"/>
  <c r="E22" i="150"/>
  <c r="E24" i="150"/>
  <c r="E26" i="150"/>
  <c r="E28" i="150"/>
  <c r="E30" i="150"/>
  <c r="E32" i="150"/>
  <c r="E34" i="150"/>
  <c r="E36" i="150"/>
  <c r="E38" i="150"/>
  <c r="E40" i="150"/>
  <c r="E42" i="150"/>
  <c r="K44" i="128"/>
  <c r="K42" i="128"/>
  <c r="I164" i="134"/>
  <c r="J125" i="133"/>
  <c r="M125" i="133" s="1"/>
  <c r="J119" i="133"/>
  <c r="K119" i="133" s="1"/>
  <c r="H120" i="133"/>
  <c r="I119" i="133"/>
  <c r="I125" i="133"/>
  <c r="M124" i="133"/>
  <c r="K124" i="133"/>
  <c r="L124" i="133"/>
  <c r="M122" i="133"/>
  <c r="K122" i="133"/>
  <c r="L122" i="133"/>
  <c r="M121" i="133"/>
  <c r="K121" i="133"/>
  <c r="L121" i="133"/>
  <c r="M118" i="133"/>
  <c r="K118" i="133"/>
  <c r="L118" i="133"/>
  <c r="M116" i="133"/>
  <c r="K116" i="133"/>
  <c r="L116" i="133"/>
  <c r="M115" i="133"/>
  <c r="K115" i="133"/>
  <c r="L115" i="133"/>
  <c r="M113" i="133"/>
  <c r="K113" i="133"/>
  <c r="L113" i="133"/>
  <c r="M112" i="133"/>
  <c r="K112" i="133"/>
  <c r="L112" i="133"/>
  <c r="J123" i="133"/>
  <c r="J114" i="133"/>
  <c r="J152" i="134"/>
  <c r="K152" i="134" s="1"/>
  <c r="I163" i="134"/>
  <c r="AX223" i="94"/>
  <c r="H147" i="134" s="1"/>
  <c r="J147" i="134" s="1"/>
  <c r="J160" i="134"/>
  <c r="K160" i="134" s="1"/>
  <c r="J148" i="134"/>
  <c r="L148" i="134" s="1"/>
  <c r="I155" i="134"/>
  <c r="M151" i="134"/>
  <c r="K151" i="134"/>
  <c r="L151" i="134"/>
  <c r="L156" i="134"/>
  <c r="M156" i="134"/>
  <c r="K156" i="134"/>
  <c r="L155" i="134"/>
  <c r="M155" i="134"/>
  <c r="K155" i="134"/>
  <c r="M159" i="134"/>
  <c r="K159" i="134"/>
  <c r="L159" i="134"/>
  <c r="L164" i="134"/>
  <c r="M164" i="134"/>
  <c r="K164" i="134"/>
  <c r="L163" i="134"/>
  <c r="M163" i="134"/>
  <c r="K163" i="134"/>
  <c r="M16" i="60"/>
  <c r="M15" i="60"/>
  <c r="M14" i="60"/>
  <c r="M13" i="60"/>
  <c r="M12" i="60"/>
  <c r="M11" i="60"/>
  <c r="M10" i="60"/>
  <c r="M9" i="60"/>
  <c r="M8" i="60"/>
  <c r="M7" i="60"/>
  <c r="M6" i="60"/>
  <c r="M5" i="60"/>
  <c r="M4" i="60"/>
  <c r="V4" i="60" s="1"/>
  <c r="G44" i="128" l="1"/>
  <c r="R121" i="133"/>
  <c r="S121" i="133" s="1"/>
  <c r="G41" i="128"/>
  <c r="R112" i="133"/>
  <c r="S112" i="133" s="1"/>
  <c r="M147" i="134"/>
  <c r="M119" i="133"/>
  <c r="K40" i="128"/>
  <c r="M160" i="134"/>
  <c r="J126" i="133"/>
  <c r="K125" i="133"/>
  <c r="J120" i="133"/>
  <c r="L125" i="133"/>
  <c r="L152" i="134"/>
  <c r="L119" i="133"/>
  <c r="L123" i="133"/>
  <c r="M123" i="133"/>
  <c r="K123" i="133"/>
  <c r="L114" i="133"/>
  <c r="M114" i="133"/>
  <c r="K114" i="133"/>
  <c r="M152" i="134"/>
  <c r="I147" i="134"/>
  <c r="L147" i="134"/>
  <c r="K147" i="134"/>
  <c r="M148" i="134"/>
  <c r="K148" i="134"/>
  <c r="L160" i="134"/>
  <c r="S166" i="115"/>
  <c r="S163" i="115"/>
  <c r="S158" i="115"/>
  <c r="S155" i="115"/>
  <c r="S150" i="115"/>
  <c r="S147" i="115"/>
  <c r="S142" i="115"/>
  <c r="S139" i="115"/>
  <c r="S134" i="115"/>
  <c r="S131" i="115"/>
  <c r="S126" i="115"/>
  <c r="S123" i="115"/>
  <c r="S118" i="115"/>
  <c r="S115" i="115"/>
  <c r="S110" i="115"/>
  <c r="S107" i="115"/>
  <c r="S102" i="115"/>
  <c r="S99" i="115"/>
  <c r="S94" i="115"/>
  <c r="S91" i="115"/>
  <c r="S86" i="115"/>
  <c r="S83" i="115"/>
  <c r="S78" i="115"/>
  <c r="S75" i="115"/>
  <c r="S70" i="115"/>
  <c r="S67" i="115"/>
  <c r="S62" i="115"/>
  <c r="S59" i="115"/>
  <c r="S46" i="115"/>
  <c r="S42" i="115"/>
  <c r="S38" i="115"/>
  <c r="S34" i="115"/>
  <c r="S30" i="115"/>
  <c r="S26" i="115"/>
  <c r="S22" i="115"/>
  <c r="S18" i="115"/>
  <c r="S14" i="115"/>
  <c r="V163" i="81"/>
  <c r="V113" i="81"/>
  <c r="V63" i="81"/>
  <c r="H165" i="134"/>
  <c r="H161" i="134"/>
  <c r="H157" i="134"/>
  <c r="H153" i="134"/>
  <c r="H149" i="134"/>
  <c r="AS150" i="59" l="1"/>
  <c r="AS290" i="59"/>
  <c r="AS160" i="59"/>
  <c r="AS180" i="59"/>
  <c r="AS350" i="59"/>
  <c r="AS370" i="59"/>
  <c r="AS170" i="59"/>
  <c r="AS330" i="59"/>
  <c r="G43" i="128"/>
  <c r="R118" i="133"/>
  <c r="S118" i="133" s="1"/>
  <c r="G45" i="128"/>
  <c r="R124" i="133"/>
  <c r="S124" i="133" s="1"/>
  <c r="V13" i="136"/>
  <c r="W13" i="136"/>
  <c r="U13" i="136"/>
  <c r="V14" i="136"/>
  <c r="W14" i="136"/>
  <c r="U14" i="136"/>
  <c r="V17" i="136"/>
  <c r="W17" i="136"/>
  <c r="U17" i="136"/>
  <c r="V18" i="136"/>
  <c r="W18" i="136"/>
  <c r="U18" i="136"/>
  <c r="V21" i="136"/>
  <c r="W21" i="136"/>
  <c r="U21" i="136"/>
  <c r="V22" i="136"/>
  <c r="W22" i="136"/>
  <c r="U22" i="136"/>
  <c r="V25" i="136"/>
  <c r="W25" i="136"/>
  <c r="U25" i="136"/>
  <c r="V26" i="136"/>
  <c r="W26" i="136"/>
  <c r="U26" i="136"/>
  <c r="V29" i="136"/>
  <c r="W29" i="136"/>
  <c r="U29" i="136"/>
  <c r="V30" i="136"/>
  <c r="W30" i="136"/>
  <c r="U30" i="136"/>
  <c r="V33" i="136"/>
  <c r="W33" i="136"/>
  <c r="U33" i="136"/>
  <c r="V34" i="136"/>
  <c r="U34" i="136"/>
  <c r="W34" i="136"/>
  <c r="V37" i="136"/>
  <c r="W37" i="136"/>
  <c r="U37" i="136"/>
  <c r="V38" i="136"/>
  <c r="W38" i="136"/>
  <c r="U38" i="136"/>
  <c r="V41" i="136"/>
  <c r="W41" i="136"/>
  <c r="U41" i="136"/>
  <c r="V42" i="136"/>
  <c r="U42" i="136"/>
  <c r="W42" i="136"/>
  <c r="V45" i="136"/>
  <c r="W45" i="136"/>
  <c r="U45" i="136"/>
  <c r="V46" i="136"/>
  <c r="W46" i="136"/>
  <c r="U46" i="136"/>
  <c r="V49" i="136"/>
  <c r="W49" i="136"/>
  <c r="U49" i="136"/>
  <c r="V50" i="136"/>
  <c r="U50" i="136"/>
  <c r="W50" i="136"/>
  <c r="V53" i="136"/>
  <c r="U53" i="136"/>
  <c r="W53" i="136"/>
  <c r="V54" i="136"/>
  <c r="U54" i="136"/>
  <c r="W54" i="136"/>
  <c r="V57" i="136"/>
  <c r="W57" i="136"/>
  <c r="U57" i="136"/>
  <c r="V58" i="136"/>
  <c r="U58" i="136"/>
  <c r="W58" i="136"/>
  <c r="V61" i="136"/>
  <c r="W61" i="136"/>
  <c r="U61" i="136"/>
  <c r="V62" i="136"/>
  <c r="W62" i="136"/>
  <c r="U62" i="136"/>
  <c r="V65" i="136"/>
  <c r="W65" i="136"/>
  <c r="U65" i="136"/>
  <c r="V66" i="136"/>
  <c r="U66" i="136"/>
  <c r="W66" i="136"/>
  <c r="V69" i="136"/>
  <c r="W69" i="136"/>
  <c r="U69" i="136"/>
  <c r="V70" i="136"/>
  <c r="W70" i="136"/>
  <c r="U70" i="136"/>
  <c r="V73" i="136"/>
  <c r="W73" i="136"/>
  <c r="U73" i="136"/>
  <c r="V74" i="136"/>
  <c r="U74" i="136"/>
  <c r="W74" i="136"/>
  <c r="V77" i="136"/>
  <c r="W77" i="136"/>
  <c r="U77" i="136"/>
  <c r="V78" i="136"/>
  <c r="W78" i="136"/>
  <c r="U78" i="136"/>
  <c r="V81" i="136"/>
  <c r="W81" i="136"/>
  <c r="U81" i="136"/>
  <c r="V82" i="136"/>
  <c r="U82" i="136"/>
  <c r="W82" i="136"/>
  <c r="V85" i="136"/>
  <c r="W85" i="136"/>
  <c r="U85" i="136"/>
  <c r="V86" i="136"/>
  <c r="W86" i="136"/>
  <c r="U86" i="136"/>
  <c r="V89" i="136"/>
  <c r="W89" i="136"/>
  <c r="U89" i="136"/>
  <c r="V90" i="136"/>
  <c r="U90" i="136"/>
  <c r="W90" i="136"/>
  <c r="V93" i="136"/>
  <c r="W93" i="136"/>
  <c r="U93" i="136"/>
  <c r="V94" i="136"/>
  <c r="W94" i="136"/>
  <c r="U94" i="136"/>
  <c r="V97" i="136"/>
  <c r="W97" i="136"/>
  <c r="U97" i="136"/>
  <c r="V98" i="136"/>
  <c r="U98" i="136"/>
  <c r="W98" i="136"/>
  <c r="V101" i="136"/>
  <c r="W101" i="136"/>
  <c r="U101" i="136"/>
  <c r="V102" i="136"/>
  <c r="W102" i="136"/>
  <c r="U102" i="136"/>
  <c r="V105" i="136"/>
  <c r="W105" i="136"/>
  <c r="U105" i="136"/>
  <c r="V106" i="136"/>
  <c r="U106" i="136"/>
  <c r="W106" i="136"/>
  <c r="V109" i="136"/>
  <c r="W109" i="136"/>
  <c r="U109" i="136"/>
  <c r="V110" i="136"/>
  <c r="W110" i="136"/>
  <c r="U110" i="136"/>
  <c r="V113" i="136"/>
  <c r="W113" i="136"/>
  <c r="U113" i="136"/>
  <c r="V114" i="136"/>
  <c r="U114" i="136"/>
  <c r="W114" i="136"/>
  <c r="V117" i="136"/>
  <c r="W117" i="136"/>
  <c r="U117" i="136"/>
  <c r="V118" i="136"/>
  <c r="W118" i="136"/>
  <c r="U118" i="136"/>
  <c r="V121" i="136"/>
  <c r="W121" i="136"/>
  <c r="U121" i="136"/>
  <c r="V122" i="136"/>
  <c r="U122" i="136"/>
  <c r="W122" i="136"/>
  <c r="V125" i="136"/>
  <c r="W125" i="136"/>
  <c r="U125" i="136"/>
  <c r="V126" i="136"/>
  <c r="W126" i="136"/>
  <c r="U126" i="136"/>
  <c r="V129" i="136"/>
  <c r="W129" i="136"/>
  <c r="U129" i="136"/>
  <c r="V130" i="136"/>
  <c r="U130" i="136"/>
  <c r="W130" i="136"/>
  <c r="V133" i="136"/>
  <c r="W133" i="136"/>
  <c r="U133" i="136"/>
  <c r="V134" i="136"/>
  <c r="W134" i="136"/>
  <c r="U134" i="136"/>
  <c r="V137" i="136"/>
  <c r="W137" i="136"/>
  <c r="U137" i="136"/>
  <c r="V138" i="136"/>
  <c r="U138" i="136"/>
  <c r="W138" i="136"/>
  <c r="V141" i="136"/>
  <c r="W141" i="136"/>
  <c r="U141" i="136"/>
  <c r="T15" i="136"/>
  <c r="W12" i="136"/>
  <c r="AD12" i="136"/>
  <c r="AE12" i="136" s="1"/>
  <c r="U12" i="136"/>
  <c r="V12" i="136"/>
  <c r="T19" i="136"/>
  <c r="W16" i="136"/>
  <c r="AD16" i="136"/>
  <c r="AE16" i="136" s="1"/>
  <c r="U16" i="136"/>
  <c r="V16" i="136"/>
  <c r="T23" i="136"/>
  <c r="W20" i="136"/>
  <c r="AD20" i="136"/>
  <c r="AE20" i="136" s="1"/>
  <c r="U20" i="136"/>
  <c r="V20" i="136"/>
  <c r="T27" i="136"/>
  <c r="W24" i="136"/>
  <c r="AD24" i="136"/>
  <c r="AE24" i="136" s="1"/>
  <c r="U24" i="136"/>
  <c r="V24" i="136"/>
  <c r="W28" i="136"/>
  <c r="AD28" i="136"/>
  <c r="U28" i="136"/>
  <c r="V28" i="136"/>
  <c r="U32" i="136"/>
  <c r="W32" i="136"/>
  <c r="AD32" i="136"/>
  <c r="AE32" i="136" s="1"/>
  <c r="V32" i="136"/>
  <c r="W36" i="136"/>
  <c r="AD36" i="136"/>
  <c r="AE36" i="136" s="1"/>
  <c r="U36" i="136"/>
  <c r="V36" i="136"/>
  <c r="U40" i="136"/>
  <c r="W40" i="136"/>
  <c r="AD40" i="136"/>
  <c r="AE40" i="136" s="1"/>
  <c r="V40" i="136"/>
  <c r="T47" i="136"/>
  <c r="W44" i="136"/>
  <c r="AD44" i="136"/>
  <c r="AE44" i="136" s="1"/>
  <c r="U44" i="136"/>
  <c r="V44" i="136"/>
  <c r="U48" i="136"/>
  <c r="W48" i="136"/>
  <c r="V48" i="136"/>
  <c r="AD48" i="136"/>
  <c r="AE48" i="136" s="1"/>
  <c r="U52" i="136"/>
  <c r="AD52" i="136"/>
  <c r="AE52" i="136" s="1"/>
  <c r="W52" i="136"/>
  <c r="V52" i="136"/>
  <c r="U56" i="136"/>
  <c r="W56" i="136"/>
  <c r="V56" i="136"/>
  <c r="AD56" i="136"/>
  <c r="AE56" i="136" s="1"/>
  <c r="W60" i="136"/>
  <c r="AD60" i="136"/>
  <c r="AE60" i="136" s="1"/>
  <c r="U60" i="136"/>
  <c r="V60" i="136"/>
  <c r="T67" i="136"/>
  <c r="U64" i="136"/>
  <c r="W64" i="136"/>
  <c r="AD64" i="136"/>
  <c r="AE64" i="136" s="1"/>
  <c r="V64" i="136"/>
  <c r="W68" i="136"/>
  <c r="AD68" i="136"/>
  <c r="AE68" i="136" s="1"/>
  <c r="U68" i="136"/>
  <c r="V68" i="136"/>
  <c r="U72" i="136"/>
  <c r="W72" i="136"/>
  <c r="AD72" i="136"/>
  <c r="AE72" i="136" s="1"/>
  <c r="V72" i="136"/>
  <c r="W76" i="136"/>
  <c r="AD76" i="136"/>
  <c r="AE76" i="136" s="1"/>
  <c r="U76" i="136"/>
  <c r="V76" i="136"/>
  <c r="U80" i="136"/>
  <c r="W80" i="136"/>
  <c r="AD80" i="136"/>
  <c r="AE80" i="136" s="1"/>
  <c r="V80" i="136"/>
  <c r="T87" i="136"/>
  <c r="W84" i="136"/>
  <c r="AD84" i="136"/>
  <c r="AE84" i="136" s="1"/>
  <c r="U84" i="136"/>
  <c r="V84" i="136"/>
  <c r="U88" i="136"/>
  <c r="W88" i="136"/>
  <c r="AD88" i="136"/>
  <c r="AE88" i="136" s="1"/>
  <c r="V88" i="136"/>
  <c r="W92" i="136"/>
  <c r="AD92" i="136"/>
  <c r="AE92" i="136" s="1"/>
  <c r="U92" i="136"/>
  <c r="V92" i="136"/>
  <c r="U96" i="136"/>
  <c r="W96" i="136"/>
  <c r="AD96" i="136"/>
  <c r="AE96" i="136" s="1"/>
  <c r="V96" i="136"/>
  <c r="W100" i="136"/>
  <c r="AD100" i="136"/>
  <c r="AE100" i="136" s="1"/>
  <c r="U100" i="136"/>
  <c r="V100" i="136"/>
  <c r="T107" i="136"/>
  <c r="U104" i="136"/>
  <c r="W104" i="136"/>
  <c r="AD104" i="136"/>
  <c r="AE104" i="136" s="1"/>
  <c r="V104" i="136"/>
  <c r="W108" i="136"/>
  <c r="AD108" i="136"/>
  <c r="AE108" i="136" s="1"/>
  <c r="U108" i="136"/>
  <c r="V108" i="136"/>
  <c r="U112" i="136"/>
  <c r="W112" i="136"/>
  <c r="AD112" i="136"/>
  <c r="AE112" i="136" s="1"/>
  <c r="V112" i="136"/>
  <c r="W116" i="136"/>
  <c r="AD116" i="136"/>
  <c r="AE116" i="136" s="1"/>
  <c r="U116" i="136"/>
  <c r="V116" i="136"/>
  <c r="U120" i="136"/>
  <c r="W120" i="136"/>
  <c r="AD120" i="136"/>
  <c r="AE120" i="136" s="1"/>
  <c r="V120" i="136"/>
  <c r="T127" i="136"/>
  <c r="W124" i="136"/>
  <c r="AD124" i="136"/>
  <c r="AE124" i="136" s="1"/>
  <c r="U124" i="136"/>
  <c r="V124" i="136"/>
  <c r="U128" i="136"/>
  <c r="W128" i="136"/>
  <c r="AD128" i="136"/>
  <c r="AE128" i="136" s="1"/>
  <c r="V128" i="136"/>
  <c r="W132" i="136"/>
  <c r="AD132" i="136"/>
  <c r="AE132" i="136" s="1"/>
  <c r="U132" i="136"/>
  <c r="V132" i="136"/>
  <c r="U136" i="136"/>
  <c r="W136" i="136"/>
  <c r="AD136" i="136"/>
  <c r="AE136" i="136" s="1"/>
  <c r="V136" i="136"/>
  <c r="W140" i="136"/>
  <c r="AD140" i="136"/>
  <c r="AE140" i="136" s="1"/>
  <c r="U140" i="136"/>
  <c r="V140" i="136"/>
  <c r="T147" i="136"/>
  <c r="U144" i="136"/>
  <c r="W144" i="136"/>
  <c r="AD144" i="136"/>
  <c r="AE144" i="136" s="1"/>
  <c r="V144" i="136"/>
  <c r="W148" i="136"/>
  <c r="AD148" i="136"/>
  <c r="AE148" i="136" s="1"/>
  <c r="U148" i="136"/>
  <c r="V148" i="136"/>
  <c r="U152" i="136"/>
  <c r="W152" i="136"/>
  <c r="AD152" i="136"/>
  <c r="AE152" i="136" s="1"/>
  <c r="V152" i="136"/>
  <c r="W156" i="136"/>
  <c r="AD156" i="136"/>
  <c r="AE156" i="136" s="1"/>
  <c r="U156" i="136"/>
  <c r="V156" i="136"/>
  <c r="U160" i="136"/>
  <c r="W160" i="136"/>
  <c r="AD160" i="136"/>
  <c r="AE160" i="136" s="1"/>
  <c r="V160" i="136"/>
  <c r="T167" i="136"/>
  <c r="W164" i="136"/>
  <c r="AD164" i="136"/>
  <c r="AE164" i="136" s="1"/>
  <c r="U164" i="136"/>
  <c r="V164" i="136"/>
  <c r="W126" i="81"/>
  <c r="W136" i="81"/>
  <c r="W146" i="81"/>
  <c r="W202" i="81"/>
  <c r="AS190" i="59"/>
  <c r="AS320" i="59"/>
  <c r="AS110" i="59"/>
  <c r="AA17" i="115"/>
  <c r="AB17" i="115" s="1"/>
  <c r="AA25" i="115"/>
  <c r="AB25" i="115" s="1"/>
  <c r="AA33" i="115"/>
  <c r="AB33" i="115" s="1"/>
  <c r="AA41" i="115"/>
  <c r="AB41" i="115" s="1"/>
  <c r="AA49" i="115"/>
  <c r="AB49" i="115" s="1"/>
  <c r="AA61" i="115"/>
  <c r="AB61" i="115" s="1"/>
  <c r="AA69" i="115"/>
  <c r="AB69" i="115" s="1"/>
  <c r="AA77" i="115"/>
  <c r="AB77" i="115" s="1"/>
  <c r="AA85" i="115"/>
  <c r="AB85" i="115" s="1"/>
  <c r="AA93" i="115"/>
  <c r="AB93" i="115" s="1"/>
  <c r="AA105" i="115"/>
  <c r="AB105" i="115" s="1"/>
  <c r="AA113" i="115"/>
  <c r="AB113" i="115" s="1"/>
  <c r="AA121" i="115"/>
  <c r="AB121" i="115" s="1"/>
  <c r="AA129" i="115"/>
  <c r="AB129" i="115" s="1"/>
  <c r="AA137" i="115"/>
  <c r="AB137" i="115" s="1"/>
  <c r="AA145" i="115"/>
  <c r="AB145" i="115" s="1"/>
  <c r="AA153" i="115"/>
  <c r="AB153" i="115" s="1"/>
  <c r="AA161" i="115"/>
  <c r="AB161" i="115" s="1"/>
  <c r="AA165" i="115"/>
  <c r="AB165" i="115" s="1"/>
  <c r="L126" i="133"/>
  <c r="W20" i="81"/>
  <c r="W30" i="81"/>
  <c r="W40" i="81"/>
  <c r="W50" i="81"/>
  <c r="W55" i="81"/>
  <c r="U61" i="81"/>
  <c r="U67" i="81"/>
  <c r="W72" i="81"/>
  <c r="AA13" i="115"/>
  <c r="AB13" i="115" s="1"/>
  <c r="AA21" i="115"/>
  <c r="AB21" i="115" s="1"/>
  <c r="AA29" i="115"/>
  <c r="AB29" i="115" s="1"/>
  <c r="AA37" i="115"/>
  <c r="AB37" i="115" s="1"/>
  <c r="AA45" i="115"/>
  <c r="AB45" i="115" s="1"/>
  <c r="AA53" i="115"/>
  <c r="AB53" i="115" s="1"/>
  <c r="AA57" i="115"/>
  <c r="AB57" i="115" s="1"/>
  <c r="AA65" i="115"/>
  <c r="AB65" i="115" s="1"/>
  <c r="AA73" i="115"/>
  <c r="AB73" i="115" s="1"/>
  <c r="AA81" i="115"/>
  <c r="AB81" i="115" s="1"/>
  <c r="AA89" i="115"/>
  <c r="AB89" i="115" s="1"/>
  <c r="AA97" i="115"/>
  <c r="AB97" i="115" s="1"/>
  <c r="AA101" i="115"/>
  <c r="AB101" i="115" s="1"/>
  <c r="AA109" i="115"/>
  <c r="AB109" i="115" s="1"/>
  <c r="AA117" i="115"/>
  <c r="AB117" i="115" s="1"/>
  <c r="AA125" i="115"/>
  <c r="AB125" i="115" s="1"/>
  <c r="AA133" i="115"/>
  <c r="AB133" i="115" s="1"/>
  <c r="AA141" i="115"/>
  <c r="AB141" i="115" s="1"/>
  <c r="AA149" i="115"/>
  <c r="AB149" i="115" s="1"/>
  <c r="AA157" i="115"/>
  <c r="AB157" i="115" s="1"/>
  <c r="AS130" i="59"/>
  <c r="AS120" i="59"/>
  <c r="AS360" i="59"/>
  <c r="W77" i="81"/>
  <c r="W87" i="81"/>
  <c r="W92" i="81"/>
  <c r="W97" i="81"/>
  <c r="W107" i="81"/>
  <c r="W112" i="81"/>
  <c r="M126" i="133"/>
  <c r="AS310" i="59"/>
  <c r="AS390" i="59"/>
  <c r="AS210" i="59"/>
  <c r="AS220" i="59"/>
  <c r="AS230" i="59"/>
  <c r="AS260" i="59"/>
  <c r="AS270" i="59"/>
  <c r="K126" i="133"/>
  <c r="J14" i="128"/>
  <c r="J12" i="128"/>
  <c r="W22" i="81"/>
  <c r="V27" i="81"/>
  <c r="W32" i="81"/>
  <c r="V37" i="81"/>
  <c r="W42" i="81"/>
  <c r="V47" i="81"/>
  <c r="W52" i="81"/>
  <c r="V56" i="81"/>
  <c r="V57" i="81"/>
  <c r="U62" i="81"/>
  <c r="W65" i="81"/>
  <c r="W71" i="81"/>
  <c r="W81" i="81"/>
  <c r="W91" i="81"/>
  <c r="W101" i="81"/>
  <c r="U111" i="81"/>
  <c r="V156" i="81"/>
  <c r="W157" i="81"/>
  <c r="AF160" i="81"/>
  <c r="AG160" i="81" s="1"/>
  <c r="W165" i="81"/>
  <c r="W171" i="81"/>
  <c r="W181" i="81"/>
  <c r="W191" i="81"/>
  <c r="W201" i="81"/>
  <c r="J15" i="128"/>
  <c r="J13" i="128"/>
  <c r="K120" i="133"/>
  <c r="M120" i="133"/>
  <c r="L120" i="133"/>
  <c r="H150" i="134"/>
  <c r="J149" i="134"/>
  <c r="T147" i="134" s="1"/>
  <c r="U147" i="134" s="1"/>
  <c r="I149" i="134"/>
  <c r="I157" i="134"/>
  <c r="H158" i="134"/>
  <c r="J157" i="134"/>
  <c r="T155" i="134" s="1"/>
  <c r="U155" i="134" s="1"/>
  <c r="J165" i="134"/>
  <c r="T163" i="134" s="1"/>
  <c r="U163" i="134" s="1"/>
  <c r="H166" i="134"/>
  <c r="I165" i="134"/>
  <c r="H154" i="134"/>
  <c r="I153" i="134"/>
  <c r="J153" i="134"/>
  <c r="T151" i="134" s="1"/>
  <c r="U151" i="134" s="1"/>
  <c r="H162" i="134"/>
  <c r="J161" i="134"/>
  <c r="T159" i="134" s="1"/>
  <c r="U159" i="134" s="1"/>
  <c r="I161" i="134"/>
  <c r="T133" i="115"/>
  <c r="R133" i="115"/>
  <c r="S133" i="115"/>
  <c r="T138" i="115"/>
  <c r="R138" i="115"/>
  <c r="S138" i="115"/>
  <c r="T143" i="115"/>
  <c r="R143" i="115"/>
  <c r="S143" i="115"/>
  <c r="Q148" i="115"/>
  <c r="T149" i="115"/>
  <c r="R149" i="115"/>
  <c r="S149" i="115"/>
  <c r="K41" i="130" s="1"/>
  <c r="T154" i="115"/>
  <c r="R154" i="115"/>
  <c r="S154" i="115"/>
  <c r="T159" i="115"/>
  <c r="R159" i="115"/>
  <c r="S159" i="115"/>
  <c r="T165" i="115"/>
  <c r="R165" i="115"/>
  <c r="Q168" i="115"/>
  <c r="S165" i="115"/>
  <c r="K45" i="130" s="1"/>
  <c r="T130" i="115"/>
  <c r="R130" i="115"/>
  <c r="S130" i="115"/>
  <c r="T135" i="115"/>
  <c r="R135" i="115"/>
  <c r="S135" i="115"/>
  <c r="S140" i="115"/>
  <c r="R140" i="115"/>
  <c r="T141" i="115"/>
  <c r="R141" i="115"/>
  <c r="S141" i="115"/>
  <c r="T146" i="115"/>
  <c r="R146" i="115"/>
  <c r="S146" i="115"/>
  <c r="T151" i="115"/>
  <c r="R151" i="115"/>
  <c r="S151" i="115"/>
  <c r="S156" i="115"/>
  <c r="R156" i="115"/>
  <c r="T157" i="115"/>
  <c r="R157" i="115"/>
  <c r="S157" i="115"/>
  <c r="T162" i="115"/>
  <c r="R162" i="115"/>
  <c r="S162" i="115"/>
  <c r="T167" i="115"/>
  <c r="R167" i="115"/>
  <c r="S167" i="115"/>
  <c r="R129" i="115"/>
  <c r="T129" i="115"/>
  <c r="R131" i="115"/>
  <c r="T131" i="115"/>
  <c r="R134" i="115"/>
  <c r="T134" i="115"/>
  <c r="R137" i="115"/>
  <c r="T137" i="115"/>
  <c r="R139" i="115"/>
  <c r="T139" i="115"/>
  <c r="R142" i="115"/>
  <c r="T142" i="115"/>
  <c r="R145" i="115"/>
  <c r="T145" i="115"/>
  <c r="R147" i="115"/>
  <c r="T147" i="115"/>
  <c r="R150" i="115"/>
  <c r="T150" i="115"/>
  <c r="R153" i="115"/>
  <c r="T153" i="115"/>
  <c r="R155" i="115"/>
  <c r="T155" i="115"/>
  <c r="R158" i="115"/>
  <c r="T158" i="115"/>
  <c r="R161" i="115"/>
  <c r="T161" i="115"/>
  <c r="R163" i="115"/>
  <c r="T163" i="115"/>
  <c r="R166" i="115"/>
  <c r="T166" i="115"/>
  <c r="S129" i="115"/>
  <c r="S137" i="115"/>
  <c r="K38" i="130" s="1"/>
  <c r="S145" i="115"/>
  <c r="S153" i="115"/>
  <c r="S161" i="115"/>
  <c r="T93" i="115"/>
  <c r="R93" i="115"/>
  <c r="S93" i="115"/>
  <c r="K27" i="130" s="1"/>
  <c r="T98" i="115"/>
  <c r="R98" i="115"/>
  <c r="S98" i="115"/>
  <c r="T103" i="115"/>
  <c r="R103" i="115"/>
  <c r="S103" i="115"/>
  <c r="Q108" i="115"/>
  <c r="T109" i="115"/>
  <c r="R109" i="115"/>
  <c r="S109" i="115"/>
  <c r="K31" i="130" s="1"/>
  <c r="T114" i="115"/>
  <c r="R114" i="115"/>
  <c r="S114" i="115"/>
  <c r="T119" i="115"/>
  <c r="R119" i="115"/>
  <c r="S119" i="115"/>
  <c r="T125" i="115"/>
  <c r="R125" i="115"/>
  <c r="Q128" i="115"/>
  <c r="S125" i="115"/>
  <c r="K35" i="130" s="1"/>
  <c r="T90" i="115"/>
  <c r="R90" i="115"/>
  <c r="S90" i="115"/>
  <c r="T95" i="115"/>
  <c r="R95" i="115"/>
  <c r="S95" i="115"/>
  <c r="S100" i="115"/>
  <c r="R100" i="115"/>
  <c r="T101" i="115"/>
  <c r="R101" i="115"/>
  <c r="S101" i="115"/>
  <c r="T106" i="115"/>
  <c r="R106" i="115"/>
  <c r="S106" i="115"/>
  <c r="T111" i="115"/>
  <c r="R111" i="115"/>
  <c r="S111" i="115"/>
  <c r="S116" i="115"/>
  <c r="R116" i="115"/>
  <c r="T117" i="115"/>
  <c r="R117" i="115"/>
  <c r="S117" i="115"/>
  <c r="T122" i="115"/>
  <c r="R122" i="115"/>
  <c r="S122" i="115"/>
  <c r="T127" i="115"/>
  <c r="R127" i="115"/>
  <c r="S127" i="115"/>
  <c r="R89" i="115"/>
  <c r="T89" i="115"/>
  <c r="R91" i="115"/>
  <c r="T91" i="115"/>
  <c r="R94" i="115"/>
  <c r="T94" i="115"/>
  <c r="R97" i="115"/>
  <c r="T97" i="115"/>
  <c r="R99" i="115"/>
  <c r="T99" i="115"/>
  <c r="R102" i="115"/>
  <c r="T102" i="115"/>
  <c r="R105" i="115"/>
  <c r="T105" i="115"/>
  <c r="R107" i="115"/>
  <c r="T107" i="115"/>
  <c r="R110" i="115"/>
  <c r="T110" i="115"/>
  <c r="R113" i="115"/>
  <c r="T113" i="115"/>
  <c r="R115" i="115"/>
  <c r="T115" i="115"/>
  <c r="R118" i="115"/>
  <c r="T118" i="115"/>
  <c r="R121" i="115"/>
  <c r="T121" i="115"/>
  <c r="R123" i="115"/>
  <c r="T123" i="115"/>
  <c r="R126" i="115"/>
  <c r="T126" i="115"/>
  <c r="S89" i="115"/>
  <c r="S97" i="115"/>
  <c r="K28" i="130" s="1"/>
  <c r="S105" i="115"/>
  <c r="S113" i="115"/>
  <c r="S121" i="115"/>
  <c r="S49" i="115"/>
  <c r="T49" i="115"/>
  <c r="R49" i="115"/>
  <c r="S51" i="115"/>
  <c r="T51" i="115"/>
  <c r="R51" i="115"/>
  <c r="S54" i="115"/>
  <c r="T54" i="115"/>
  <c r="R54" i="115"/>
  <c r="T58" i="115"/>
  <c r="R58" i="115"/>
  <c r="S58" i="115"/>
  <c r="T63" i="115"/>
  <c r="R63" i="115"/>
  <c r="S63" i="115"/>
  <c r="Q68" i="115"/>
  <c r="T69" i="115"/>
  <c r="R69" i="115"/>
  <c r="S69" i="115"/>
  <c r="T74" i="115"/>
  <c r="R74" i="115"/>
  <c r="S74" i="115"/>
  <c r="T79" i="115"/>
  <c r="R79" i="115"/>
  <c r="S79" i="115"/>
  <c r="T85" i="115"/>
  <c r="R85" i="115"/>
  <c r="Q88" i="115"/>
  <c r="S85" i="115"/>
  <c r="T50" i="115"/>
  <c r="R50" i="115"/>
  <c r="S50" i="115"/>
  <c r="T53" i="115"/>
  <c r="R53" i="115"/>
  <c r="S53" i="115"/>
  <c r="T55" i="115"/>
  <c r="R55" i="115"/>
  <c r="S55" i="115"/>
  <c r="S60" i="115"/>
  <c r="R60" i="115"/>
  <c r="T61" i="115"/>
  <c r="R61" i="115"/>
  <c r="S61" i="115"/>
  <c r="T66" i="115"/>
  <c r="R66" i="115"/>
  <c r="S66" i="115"/>
  <c r="T71" i="115"/>
  <c r="R71" i="115"/>
  <c r="S71" i="115"/>
  <c r="S76" i="115"/>
  <c r="R76" i="115"/>
  <c r="T77" i="115"/>
  <c r="K23" i="130" s="1"/>
  <c r="R77" i="115"/>
  <c r="S77" i="115"/>
  <c r="T82" i="115"/>
  <c r="R82" i="115"/>
  <c r="S82" i="115"/>
  <c r="T87" i="115"/>
  <c r="R87" i="115"/>
  <c r="S87" i="115"/>
  <c r="R57" i="115"/>
  <c r="T57" i="115"/>
  <c r="R59" i="115"/>
  <c r="T59" i="115"/>
  <c r="R62" i="115"/>
  <c r="T62" i="115"/>
  <c r="R65" i="115"/>
  <c r="T65" i="115"/>
  <c r="R67" i="115"/>
  <c r="T67" i="115"/>
  <c r="R70" i="115"/>
  <c r="T70" i="115"/>
  <c r="R73" i="115"/>
  <c r="T73" i="115"/>
  <c r="R75" i="115"/>
  <c r="T75" i="115"/>
  <c r="R78" i="115"/>
  <c r="T78" i="115"/>
  <c r="R81" i="115"/>
  <c r="T81" i="115"/>
  <c r="R83" i="115"/>
  <c r="T83" i="115"/>
  <c r="R86" i="115"/>
  <c r="T86" i="115"/>
  <c r="S57" i="115"/>
  <c r="S65" i="115"/>
  <c r="S73" i="115"/>
  <c r="S81" i="115"/>
  <c r="T45" i="115"/>
  <c r="R45" i="115"/>
  <c r="Q48" i="115"/>
  <c r="S45" i="115"/>
  <c r="T47" i="115"/>
  <c r="R47" i="115"/>
  <c r="S47" i="115"/>
  <c r="R46" i="115"/>
  <c r="T46" i="115"/>
  <c r="T41" i="115"/>
  <c r="R41" i="115"/>
  <c r="S41" i="115"/>
  <c r="T43" i="115"/>
  <c r="R43" i="115"/>
  <c r="S43" i="115"/>
  <c r="R42" i="115"/>
  <c r="T42" i="115"/>
  <c r="T37" i="115"/>
  <c r="R37" i="115"/>
  <c r="S37" i="115"/>
  <c r="T39" i="115"/>
  <c r="R39" i="115"/>
  <c r="S39" i="115"/>
  <c r="R38" i="115"/>
  <c r="T38" i="115"/>
  <c r="T33" i="115"/>
  <c r="R33" i="115"/>
  <c r="S33" i="115"/>
  <c r="T35" i="115"/>
  <c r="R35" i="115"/>
  <c r="S35" i="115"/>
  <c r="R34" i="115"/>
  <c r="T34" i="115"/>
  <c r="T29" i="115"/>
  <c r="R29" i="115"/>
  <c r="S29" i="115"/>
  <c r="T31" i="115"/>
  <c r="R31" i="115"/>
  <c r="S31" i="115"/>
  <c r="R30" i="115"/>
  <c r="T30" i="115"/>
  <c r="T25" i="115"/>
  <c r="R25" i="115"/>
  <c r="Q28" i="115"/>
  <c r="S25" i="115"/>
  <c r="T27" i="115"/>
  <c r="R27" i="115"/>
  <c r="S27" i="115"/>
  <c r="R26" i="115"/>
  <c r="T26" i="115"/>
  <c r="T21" i="115"/>
  <c r="R21" i="115"/>
  <c r="Q24" i="115"/>
  <c r="S21" i="115"/>
  <c r="T23" i="115"/>
  <c r="R23" i="115"/>
  <c r="S23" i="115"/>
  <c r="R22" i="115"/>
  <c r="T22" i="115"/>
  <c r="T17" i="115"/>
  <c r="R17" i="115"/>
  <c r="Q20" i="115"/>
  <c r="S17" i="115"/>
  <c r="T19" i="115"/>
  <c r="R19" i="115"/>
  <c r="S19" i="115"/>
  <c r="R18" i="115"/>
  <c r="T18" i="115"/>
  <c r="T13" i="115"/>
  <c r="R13" i="115"/>
  <c r="Q16" i="115"/>
  <c r="S13" i="115"/>
  <c r="T15" i="115"/>
  <c r="R15" i="115"/>
  <c r="S15" i="115"/>
  <c r="R14" i="115"/>
  <c r="T14" i="115"/>
  <c r="W162" i="81"/>
  <c r="V165" i="81"/>
  <c r="V160" i="81"/>
  <c r="W160" i="81"/>
  <c r="U160" i="81"/>
  <c r="E36" i="130" s="1"/>
  <c r="W161" i="81"/>
  <c r="U161" i="81"/>
  <c r="V161" i="81"/>
  <c r="W167" i="81"/>
  <c r="U167" i="81"/>
  <c r="V167" i="81"/>
  <c r="U163" i="81"/>
  <c r="W163" i="81"/>
  <c r="U170" i="81"/>
  <c r="V171" i="81"/>
  <c r="U171" i="81"/>
  <c r="U175" i="81"/>
  <c r="W176" i="81"/>
  <c r="U180" i="81"/>
  <c r="V181" i="81"/>
  <c r="U181" i="81"/>
  <c r="U185" i="81"/>
  <c r="W186" i="81"/>
  <c r="U190" i="81"/>
  <c r="V191" i="81"/>
  <c r="U191" i="81"/>
  <c r="U195" i="81"/>
  <c r="W196" i="81"/>
  <c r="U200" i="81"/>
  <c r="V201" i="81"/>
  <c r="U201" i="81"/>
  <c r="U205" i="81"/>
  <c r="W206" i="81"/>
  <c r="W168" i="81"/>
  <c r="U168" i="81"/>
  <c r="V168" i="81"/>
  <c r="V172" i="81"/>
  <c r="W172" i="81"/>
  <c r="U172" i="81"/>
  <c r="W173" i="81"/>
  <c r="U173" i="81"/>
  <c r="V173" i="81"/>
  <c r="V177" i="81"/>
  <c r="W177" i="81"/>
  <c r="U177" i="81"/>
  <c r="W178" i="81"/>
  <c r="U178" i="81"/>
  <c r="V178" i="81"/>
  <c r="V182" i="81"/>
  <c r="W182" i="81"/>
  <c r="U182" i="81"/>
  <c r="W183" i="81"/>
  <c r="U183" i="81"/>
  <c r="V183" i="81"/>
  <c r="V187" i="81"/>
  <c r="W187" i="81"/>
  <c r="U187" i="81"/>
  <c r="W188" i="81"/>
  <c r="U188" i="81"/>
  <c r="V188" i="81"/>
  <c r="V192" i="81"/>
  <c r="W192" i="81"/>
  <c r="U192" i="81"/>
  <c r="W193" i="81"/>
  <c r="U193" i="81"/>
  <c r="V193" i="81"/>
  <c r="V197" i="81"/>
  <c r="W197" i="81"/>
  <c r="U197" i="81"/>
  <c r="W198" i="81"/>
  <c r="U198" i="81"/>
  <c r="V198" i="81"/>
  <c r="U202" i="81"/>
  <c r="W203" i="81"/>
  <c r="U203" i="81"/>
  <c r="V203" i="81"/>
  <c r="V207" i="81"/>
  <c r="W207" i="81"/>
  <c r="U207" i="81"/>
  <c r="W208" i="81"/>
  <c r="U208" i="81"/>
  <c r="V208" i="81"/>
  <c r="U112" i="81"/>
  <c r="V115" i="81"/>
  <c r="W115" i="81"/>
  <c r="U115" i="81"/>
  <c r="U116" i="81"/>
  <c r="V110" i="81"/>
  <c r="U110" i="81"/>
  <c r="V111" i="81"/>
  <c r="W117" i="81"/>
  <c r="V117" i="81"/>
  <c r="U113" i="81"/>
  <c r="W113" i="81"/>
  <c r="W120" i="81"/>
  <c r="U120" i="81"/>
  <c r="V120" i="81"/>
  <c r="E28" i="130" s="1"/>
  <c r="W121" i="81"/>
  <c r="W125" i="81"/>
  <c r="U125" i="81"/>
  <c r="V125" i="81"/>
  <c r="E29" i="130" s="1"/>
  <c r="U126" i="81"/>
  <c r="W130" i="81"/>
  <c r="U130" i="81"/>
  <c r="V130" i="81"/>
  <c r="E30" i="130" s="1"/>
  <c r="W131" i="81"/>
  <c r="W135" i="81"/>
  <c r="U135" i="81"/>
  <c r="V135" i="81"/>
  <c r="E31" i="130" s="1"/>
  <c r="U136" i="81"/>
  <c r="W140" i="81"/>
  <c r="U140" i="81"/>
  <c r="V140" i="81"/>
  <c r="E32" i="130" s="1"/>
  <c r="W141" i="81"/>
  <c r="W145" i="81"/>
  <c r="U145" i="81"/>
  <c r="V145" i="81"/>
  <c r="E33" i="130" s="1"/>
  <c r="U146" i="81"/>
  <c r="W150" i="81"/>
  <c r="U150" i="81"/>
  <c r="V150" i="81"/>
  <c r="E34" i="130" s="1"/>
  <c r="W151" i="81"/>
  <c r="W155" i="81"/>
  <c r="U155" i="81"/>
  <c r="V155" i="81"/>
  <c r="E35" i="130" s="1"/>
  <c r="W118" i="81"/>
  <c r="U118" i="81"/>
  <c r="V118" i="81"/>
  <c r="W122" i="81"/>
  <c r="W123" i="81"/>
  <c r="U123" i="81"/>
  <c r="V123" i="81"/>
  <c r="W127" i="81"/>
  <c r="W128" i="81"/>
  <c r="U128" i="81"/>
  <c r="V128" i="81"/>
  <c r="W132" i="81"/>
  <c r="W133" i="81"/>
  <c r="U133" i="81"/>
  <c r="V133" i="81"/>
  <c r="W137" i="81"/>
  <c r="W138" i="81"/>
  <c r="U138" i="81"/>
  <c r="V138" i="81"/>
  <c r="W142" i="81"/>
  <c r="W143" i="81"/>
  <c r="U143" i="81"/>
  <c r="V143" i="81"/>
  <c r="W147" i="81"/>
  <c r="W148" i="81"/>
  <c r="U148" i="81"/>
  <c r="V148" i="81"/>
  <c r="W152" i="81"/>
  <c r="W153" i="81"/>
  <c r="U153" i="81"/>
  <c r="V153" i="81"/>
  <c r="W156" i="81"/>
  <c r="U157" i="81"/>
  <c r="W158" i="81"/>
  <c r="U158" i="81"/>
  <c r="V158" i="81"/>
  <c r="W62" i="81"/>
  <c r="V62" i="81"/>
  <c r="V65" i="81"/>
  <c r="U66" i="81"/>
  <c r="W60" i="81"/>
  <c r="W61" i="81"/>
  <c r="V61" i="81"/>
  <c r="V67" i="81"/>
  <c r="U63" i="81"/>
  <c r="W63" i="81"/>
  <c r="V70" i="81"/>
  <c r="V71" i="81"/>
  <c r="U71" i="81"/>
  <c r="W76" i="81"/>
  <c r="V80" i="81"/>
  <c r="V81" i="81"/>
  <c r="U81" i="81"/>
  <c r="W86" i="81"/>
  <c r="V90" i="81"/>
  <c r="V91" i="81"/>
  <c r="U91" i="81"/>
  <c r="W96" i="81"/>
  <c r="V100" i="81"/>
  <c r="V101" i="81"/>
  <c r="U101" i="81"/>
  <c r="W68" i="81"/>
  <c r="U68" i="81"/>
  <c r="V68" i="81"/>
  <c r="V72" i="81"/>
  <c r="U72" i="81"/>
  <c r="W73" i="81"/>
  <c r="U73" i="81"/>
  <c r="V73" i="81"/>
  <c r="V77" i="81"/>
  <c r="U77" i="81"/>
  <c r="W78" i="81"/>
  <c r="U78" i="81"/>
  <c r="V78" i="81"/>
  <c r="W83" i="81"/>
  <c r="U83" i="81"/>
  <c r="V83" i="81"/>
  <c r="V87" i="81"/>
  <c r="U87" i="81"/>
  <c r="W88" i="81"/>
  <c r="U88" i="81"/>
  <c r="V88" i="81"/>
  <c r="V92" i="81"/>
  <c r="W93" i="81"/>
  <c r="U93" i="81"/>
  <c r="V93" i="81"/>
  <c r="V97" i="81"/>
  <c r="U97" i="81"/>
  <c r="W98" i="81"/>
  <c r="U98" i="81"/>
  <c r="V98" i="81"/>
  <c r="W102" i="81"/>
  <c r="W103" i="81"/>
  <c r="U103" i="81"/>
  <c r="V103" i="81"/>
  <c r="V106" i="81"/>
  <c r="U106" i="81"/>
  <c r="V107" i="81"/>
  <c r="U107" i="81"/>
  <c r="W108" i="81"/>
  <c r="U108" i="81"/>
  <c r="V108" i="81"/>
  <c r="U55" i="81"/>
  <c r="V55" i="81"/>
  <c r="E15" i="130" s="1"/>
  <c r="W56" i="81"/>
  <c r="W57" i="81"/>
  <c r="W58" i="81"/>
  <c r="U58" i="81"/>
  <c r="V58" i="81"/>
  <c r="U50" i="81"/>
  <c r="V50" i="81"/>
  <c r="E14" i="130" s="1"/>
  <c r="V51" i="81"/>
  <c r="W51" i="81"/>
  <c r="U51" i="81"/>
  <c r="V52" i="81"/>
  <c r="U52" i="81"/>
  <c r="W53" i="81"/>
  <c r="U53" i="81"/>
  <c r="V53" i="81"/>
  <c r="W45" i="81"/>
  <c r="U45" i="81"/>
  <c r="T49" i="81"/>
  <c r="V45" i="81"/>
  <c r="E13" i="130" s="1"/>
  <c r="V46" i="81"/>
  <c r="W46" i="81"/>
  <c r="U46" i="81"/>
  <c r="W47" i="81"/>
  <c r="W48" i="81"/>
  <c r="U48" i="81"/>
  <c r="V48" i="81"/>
  <c r="U40" i="81"/>
  <c r="V40" i="81"/>
  <c r="E12" i="130" s="1"/>
  <c r="V41" i="81"/>
  <c r="W41" i="81"/>
  <c r="U41" i="81"/>
  <c r="V42" i="81"/>
  <c r="U42" i="81"/>
  <c r="W43" i="81"/>
  <c r="U43" i="81"/>
  <c r="V43" i="81"/>
  <c r="W35" i="81"/>
  <c r="U35" i="81"/>
  <c r="T39" i="81"/>
  <c r="V35" i="81"/>
  <c r="E11" i="130" s="1"/>
  <c r="V36" i="81"/>
  <c r="W36" i="81"/>
  <c r="U36" i="81"/>
  <c r="W37" i="81"/>
  <c r="W38" i="81"/>
  <c r="U38" i="81"/>
  <c r="V38" i="81"/>
  <c r="U30" i="81"/>
  <c r="V30" i="81"/>
  <c r="E10" i="130" s="1"/>
  <c r="V31" i="81"/>
  <c r="W31" i="81"/>
  <c r="U31" i="81"/>
  <c r="V32" i="81"/>
  <c r="U32" i="81"/>
  <c r="W33" i="81"/>
  <c r="U33" i="81"/>
  <c r="V33" i="81"/>
  <c r="V26" i="81"/>
  <c r="W26" i="81"/>
  <c r="U26" i="81"/>
  <c r="W27" i="81"/>
  <c r="W28" i="81"/>
  <c r="U28" i="81"/>
  <c r="V28" i="81"/>
  <c r="W25" i="81"/>
  <c r="U25" i="81"/>
  <c r="V25" i="81"/>
  <c r="U20" i="81"/>
  <c r="V20" i="81"/>
  <c r="V21" i="81"/>
  <c r="W21" i="81"/>
  <c r="U21" i="81"/>
  <c r="V22" i="81"/>
  <c r="U22" i="81"/>
  <c r="W23" i="81"/>
  <c r="U23" i="81"/>
  <c r="V23" i="81"/>
  <c r="W15" i="81"/>
  <c r="U15" i="81"/>
  <c r="V15" i="81"/>
  <c r="V16" i="81"/>
  <c r="W16" i="81"/>
  <c r="U16" i="81"/>
  <c r="V17" i="81"/>
  <c r="W17" i="81"/>
  <c r="U17" i="81"/>
  <c r="W18" i="81"/>
  <c r="U18" i="81"/>
  <c r="V18" i="81"/>
  <c r="D36" i="130"/>
  <c r="D38" i="130"/>
  <c r="D40" i="130"/>
  <c r="D42" i="130"/>
  <c r="D44" i="130"/>
  <c r="D37" i="130"/>
  <c r="D39" i="130"/>
  <c r="D41" i="130"/>
  <c r="D43" i="130"/>
  <c r="D45" i="130"/>
  <c r="D26" i="130"/>
  <c r="D28" i="130"/>
  <c r="D30" i="130"/>
  <c r="D32" i="130"/>
  <c r="D34" i="130"/>
  <c r="D27" i="130"/>
  <c r="D29" i="130"/>
  <c r="D31" i="130"/>
  <c r="D33" i="130"/>
  <c r="D35" i="130"/>
  <c r="D25" i="130"/>
  <c r="D15" i="130"/>
  <c r="D14" i="130"/>
  <c r="D13" i="130"/>
  <c r="D12" i="130"/>
  <c r="D11" i="130"/>
  <c r="D10" i="130"/>
  <c r="D9" i="130"/>
  <c r="D8" i="130"/>
  <c r="AS340" i="59"/>
  <c r="AS380" i="59"/>
  <c r="AS240" i="59"/>
  <c r="AS250" i="59"/>
  <c r="AS280" i="59"/>
  <c r="AS140" i="59"/>
  <c r="T242" i="94"/>
  <c r="X9" i="51"/>
  <c r="Q9" i="51"/>
  <c r="J9" i="51"/>
  <c r="AD9" i="51"/>
  <c r="AO10" i="148"/>
  <c r="AO11" i="148"/>
  <c r="AO12" i="148"/>
  <c r="AO13" i="148"/>
  <c r="AO14" i="148"/>
  <c r="AO15" i="148"/>
  <c r="AO16" i="148"/>
  <c r="AO17" i="148"/>
  <c r="AO18" i="148"/>
  <c r="AO19" i="148"/>
  <c r="AO20" i="148"/>
  <c r="AO21" i="148"/>
  <c r="AO22" i="148"/>
  <c r="AO23" i="148"/>
  <c r="AO24" i="148"/>
  <c r="AO25" i="148"/>
  <c r="AO26" i="148"/>
  <c r="AO27" i="148"/>
  <c r="AO28" i="148"/>
  <c r="AO29" i="148"/>
  <c r="AO30" i="148"/>
  <c r="AO31" i="148"/>
  <c r="AO32" i="148"/>
  <c r="AO33" i="148"/>
  <c r="AO34" i="148"/>
  <c r="AO35" i="148"/>
  <c r="AO36" i="148"/>
  <c r="AO37" i="148"/>
  <c r="AO38" i="148"/>
  <c r="AO39" i="148"/>
  <c r="AO40" i="148"/>
  <c r="AO41" i="148"/>
  <c r="AO42" i="148"/>
  <c r="AO43" i="148"/>
  <c r="AO44" i="148"/>
  <c r="AO45" i="148"/>
  <c r="AO46" i="148"/>
  <c r="AO47" i="148"/>
  <c r="AO48" i="148"/>
  <c r="AO49" i="148"/>
  <c r="AO9" i="148"/>
  <c r="AB9" i="148"/>
  <c r="O9" i="148"/>
  <c r="AP10" i="148"/>
  <c r="AS10" i="148" s="1"/>
  <c r="AQ10" i="148"/>
  <c r="AR10" i="148"/>
  <c r="AP11" i="148"/>
  <c r="AQ11" i="148"/>
  <c r="AR11" i="148"/>
  <c r="AP12" i="148"/>
  <c r="AQ12" i="148"/>
  <c r="AR12" i="148"/>
  <c r="AP13" i="148"/>
  <c r="AQ13" i="148"/>
  <c r="AR13" i="148"/>
  <c r="AP14" i="148"/>
  <c r="AS14" i="148" s="1"/>
  <c r="AQ14" i="148"/>
  <c r="AR14" i="148"/>
  <c r="AP15" i="148"/>
  <c r="AQ15" i="148"/>
  <c r="AR15" i="148"/>
  <c r="AP16" i="148"/>
  <c r="AQ16" i="148"/>
  <c r="AR16" i="148"/>
  <c r="AP17" i="148"/>
  <c r="AQ17" i="148"/>
  <c r="AR17" i="148"/>
  <c r="AP18" i="148"/>
  <c r="AS18" i="148" s="1"/>
  <c r="AQ18" i="148"/>
  <c r="AR18" i="148"/>
  <c r="AP19" i="148"/>
  <c r="AQ19" i="148"/>
  <c r="AR19" i="148"/>
  <c r="AP20" i="148"/>
  <c r="AQ20" i="148"/>
  <c r="AR20" i="148"/>
  <c r="AP21" i="148"/>
  <c r="AQ21" i="148"/>
  <c r="AR21" i="148"/>
  <c r="AP22" i="148"/>
  <c r="AS22" i="148" s="1"/>
  <c r="AQ22" i="148"/>
  <c r="AR22" i="148"/>
  <c r="AP23" i="148"/>
  <c r="AQ23" i="148"/>
  <c r="AR23" i="148"/>
  <c r="AP24" i="148"/>
  <c r="AQ24" i="148"/>
  <c r="AR24" i="148"/>
  <c r="AP25" i="148"/>
  <c r="AQ25" i="148"/>
  <c r="AR25" i="148"/>
  <c r="AP26" i="148"/>
  <c r="AS26" i="148" s="1"/>
  <c r="AQ26" i="148"/>
  <c r="AR26" i="148"/>
  <c r="AP27" i="148"/>
  <c r="AQ27" i="148"/>
  <c r="AR27" i="148"/>
  <c r="AP28" i="148"/>
  <c r="AQ28" i="148"/>
  <c r="AR28" i="148"/>
  <c r="AP29" i="148"/>
  <c r="AQ29" i="148"/>
  <c r="AR29" i="148"/>
  <c r="AP30" i="148"/>
  <c r="AS30" i="148" s="1"/>
  <c r="AQ30" i="148"/>
  <c r="AR30" i="148"/>
  <c r="AP31" i="148"/>
  <c r="AQ31" i="148"/>
  <c r="AR31" i="148"/>
  <c r="AP32" i="148"/>
  <c r="AQ32" i="148"/>
  <c r="AR32" i="148"/>
  <c r="AP33" i="148"/>
  <c r="AQ33" i="148"/>
  <c r="AR33" i="148"/>
  <c r="AP34" i="148"/>
  <c r="AS34" i="148" s="1"/>
  <c r="AQ34" i="148"/>
  <c r="AR34" i="148"/>
  <c r="AP35" i="148"/>
  <c r="AQ35" i="148"/>
  <c r="AR35" i="148"/>
  <c r="AP36" i="148"/>
  <c r="AQ36" i="148"/>
  <c r="AR36" i="148"/>
  <c r="AP37" i="148"/>
  <c r="AQ37" i="148"/>
  <c r="AR37" i="148"/>
  <c r="AP38" i="148"/>
  <c r="AS38" i="148" s="1"/>
  <c r="AQ38" i="148"/>
  <c r="AR38" i="148"/>
  <c r="AP39" i="148"/>
  <c r="AQ39" i="148"/>
  <c r="AR39" i="148"/>
  <c r="AP40" i="148"/>
  <c r="AQ40" i="148"/>
  <c r="AR40" i="148"/>
  <c r="AP41" i="148"/>
  <c r="AQ41" i="148"/>
  <c r="AR41" i="148"/>
  <c r="AP42" i="148"/>
  <c r="AS42" i="148" s="1"/>
  <c r="AQ42" i="148"/>
  <c r="AR42" i="148"/>
  <c r="AP43" i="148"/>
  <c r="AQ43" i="148"/>
  <c r="AR43" i="148"/>
  <c r="AP44" i="148"/>
  <c r="AQ44" i="148"/>
  <c r="AR44" i="148"/>
  <c r="AP45" i="148"/>
  <c r="AQ45" i="148"/>
  <c r="AR45" i="148"/>
  <c r="AP46" i="148"/>
  <c r="AS46" i="148" s="1"/>
  <c r="AQ46" i="148"/>
  <c r="AR46" i="148"/>
  <c r="AP47" i="148"/>
  <c r="AQ47" i="148"/>
  <c r="AR47" i="148"/>
  <c r="AP48" i="148"/>
  <c r="AQ48" i="148"/>
  <c r="AR48" i="148"/>
  <c r="AQ9" i="148"/>
  <c r="AR9" i="148"/>
  <c r="AP9" i="148"/>
  <c r="Y10" i="72"/>
  <c r="Z10" i="72"/>
  <c r="AA10" i="72"/>
  <c r="Y11" i="72"/>
  <c r="Z11" i="72"/>
  <c r="AA11" i="72"/>
  <c r="Y12" i="72"/>
  <c r="Z12" i="72"/>
  <c r="AA12" i="72"/>
  <c r="Y13" i="72"/>
  <c r="Z13" i="72"/>
  <c r="AA13" i="72"/>
  <c r="Y14" i="72"/>
  <c r="Z14" i="72"/>
  <c r="AA14" i="72"/>
  <c r="Y15" i="72"/>
  <c r="Z15" i="72"/>
  <c r="AA15" i="72"/>
  <c r="Y16" i="72"/>
  <c r="Z16" i="72"/>
  <c r="AA16" i="72"/>
  <c r="Y17" i="72"/>
  <c r="Z17" i="72"/>
  <c r="AA17" i="72"/>
  <c r="Y18" i="72"/>
  <c r="Z18" i="72"/>
  <c r="AA18" i="72"/>
  <c r="Y19" i="72"/>
  <c r="Z19" i="72"/>
  <c r="AA19" i="72"/>
  <c r="Y20" i="72"/>
  <c r="Z20" i="72"/>
  <c r="AA20" i="72"/>
  <c r="Y21" i="72"/>
  <c r="Z21" i="72"/>
  <c r="AA21" i="72"/>
  <c r="Y22" i="72"/>
  <c r="Z22" i="72"/>
  <c r="AA22" i="72"/>
  <c r="Y23" i="72"/>
  <c r="Z23" i="72"/>
  <c r="AA23" i="72"/>
  <c r="Y24" i="72"/>
  <c r="Z24" i="72"/>
  <c r="AA24" i="72"/>
  <c r="Y25" i="72"/>
  <c r="Z25" i="72"/>
  <c r="AA25" i="72"/>
  <c r="Y26" i="72"/>
  <c r="Z26" i="72"/>
  <c r="AA26" i="72"/>
  <c r="Y27" i="72"/>
  <c r="Z27" i="72"/>
  <c r="AA27" i="72"/>
  <c r="Y28" i="72"/>
  <c r="Z28" i="72"/>
  <c r="AA28" i="72"/>
  <c r="Y29" i="72"/>
  <c r="Z29" i="72"/>
  <c r="AA29" i="72"/>
  <c r="Y30" i="72"/>
  <c r="Z30" i="72"/>
  <c r="AA30" i="72"/>
  <c r="Y31" i="72"/>
  <c r="Z31" i="72"/>
  <c r="AA31" i="72"/>
  <c r="Y32" i="72"/>
  <c r="Z32" i="72"/>
  <c r="AA32" i="72"/>
  <c r="Y33" i="72"/>
  <c r="Z33" i="72"/>
  <c r="AA33" i="72"/>
  <c r="Y34" i="72"/>
  <c r="Z34" i="72"/>
  <c r="AA34" i="72"/>
  <c r="Y35" i="72"/>
  <c r="Z35" i="72"/>
  <c r="AA35" i="72"/>
  <c r="Y36" i="72"/>
  <c r="Z36" i="72"/>
  <c r="AA36" i="72"/>
  <c r="Y37" i="72"/>
  <c r="Z37" i="72"/>
  <c r="AA37" i="72"/>
  <c r="Y38" i="72"/>
  <c r="Z38" i="72"/>
  <c r="AA38" i="72"/>
  <c r="Y39" i="72"/>
  <c r="Z39" i="72"/>
  <c r="AA39" i="72"/>
  <c r="Y40" i="72"/>
  <c r="Z40" i="72"/>
  <c r="AA40" i="72"/>
  <c r="Y41" i="72"/>
  <c r="Z41" i="72"/>
  <c r="AA41" i="72"/>
  <c r="Y42" i="72"/>
  <c r="Z42" i="72"/>
  <c r="AA42" i="72"/>
  <c r="Y43" i="72"/>
  <c r="Z43" i="72"/>
  <c r="AA43" i="72"/>
  <c r="Y44" i="72"/>
  <c r="Z44" i="72"/>
  <c r="AA44" i="72"/>
  <c r="Y45" i="72"/>
  <c r="Z45" i="72"/>
  <c r="AA45" i="72"/>
  <c r="Y46" i="72"/>
  <c r="Z46" i="72"/>
  <c r="AA46" i="72"/>
  <c r="Y47" i="72"/>
  <c r="Z47" i="72"/>
  <c r="AA47" i="72"/>
  <c r="Y48" i="72"/>
  <c r="Z48" i="72"/>
  <c r="AA48" i="72"/>
  <c r="AA9" i="72"/>
  <c r="Z9" i="72"/>
  <c r="Y9" i="72"/>
  <c r="X9" i="72"/>
  <c r="V10" i="72"/>
  <c r="W10" i="72"/>
  <c r="X10" i="72"/>
  <c r="V11" i="72"/>
  <c r="W11" i="72"/>
  <c r="X11" i="72"/>
  <c r="V12" i="72"/>
  <c r="W12" i="72"/>
  <c r="X12" i="72"/>
  <c r="V13" i="72"/>
  <c r="W13" i="72"/>
  <c r="X13" i="72"/>
  <c r="V14" i="72"/>
  <c r="W14" i="72"/>
  <c r="X14" i="72"/>
  <c r="V15" i="72"/>
  <c r="W15" i="72"/>
  <c r="X15" i="72"/>
  <c r="V16" i="72"/>
  <c r="W16" i="72"/>
  <c r="X16" i="72"/>
  <c r="V17" i="72"/>
  <c r="W17" i="72"/>
  <c r="X17" i="72"/>
  <c r="V18" i="72"/>
  <c r="W18" i="72"/>
  <c r="X18" i="72"/>
  <c r="V19" i="72"/>
  <c r="W19" i="72"/>
  <c r="X19" i="72"/>
  <c r="V20" i="72"/>
  <c r="W20" i="72"/>
  <c r="X20" i="72"/>
  <c r="V21" i="72"/>
  <c r="W21" i="72"/>
  <c r="X21" i="72"/>
  <c r="V22" i="72"/>
  <c r="W22" i="72"/>
  <c r="X22" i="72"/>
  <c r="V23" i="72"/>
  <c r="W23" i="72"/>
  <c r="X23" i="72"/>
  <c r="V24" i="72"/>
  <c r="W24" i="72"/>
  <c r="X24" i="72"/>
  <c r="V25" i="72"/>
  <c r="W25" i="72"/>
  <c r="X25" i="72"/>
  <c r="V26" i="72"/>
  <c r="W26" i="72"/>
  <c r="X26" i="72"/>
  <c r="V27" i="72"/>
  <c r="W27" i="72"/>
  <c r="X27" i="72"/>
  <c r="V28" i="72"/>
  <c r="W28" i="72"/>
  <c r="X28" i="72"/>
  <c r="V29" i="72"/>
  <c r="W29" i="72"/>
  <c r="X29" i="72"/>
  <c r="V30" i="72"/>
  <c r="W30" i="72"/>
  <c r="X30" i="72"/>
  <c r="V31" i="72"/>
  <c r="W31" i="72"/>
  <c r="X31" i="72"/>
  <c r="V32" i="72"/>
  <c r="W32" i="72"/>
  <c r="X32" i="72"/>
  <c r="V33" i="72"/>
  <c r="W33" i="72"/>
  <c r="X33" i="72"/>
  <c r="V34" i="72"/>
  <c r="W34" i="72"/>
  <c r="X34" i="72"/>
  <c r="V35" i="72"/>
  <c r="W35" i="72"/>
  <c r="X35" i="72"/>
  <c r="V36" i="72"/>
  <c r="W36" i="72"/>
  <c r="X36" i="72"/>
  <c r="V37" i="72"/>
  <c r="W37" i="72"/>
  <c r="X37" i="72"/>
  <c r="V38" i="72"/>
  <c r="W38" i="72"/>
  <c r="X38" i="72"/>
  <c r="V39" i="72"/>
  <c r="W39" i="72"/>
  <c r="X39" i="72"/>
  <c r="V40" i="72"/>
  <c r="W40" i="72"/>
  <c r="X40" i="72"/>
  <c r="V41" i="72"/>
  <c r="W41" i="72"/>
  <c r="X41" i="72"/>
  <c r="V42" i="72"/>
  <c r="W42" i="72"/>
  <c r="X42" i="72"/>
  <c r="V43" i="72"/>
  <c r="W43" i="72"/>
  <c r="X43" i="72"/>
  <c r="V44" i="72"/>
  <c r="W44" i="72"/>
  <c r="X44" i="72"/>
  <c r="V45" i="72"/>
  <c r="W45" i="72"/>
  <c r="X45" i="72"/>
  <c r="V46" i="72"/>
  <c r="W46" i="72"/>
  <c r="X46" i="72"/>
  <c r="V47" i="72"/>
  <c r="W47" i="72"/>
  <c r="X47" i="72"/>
  <c r="V48" i="72"/>
  <c r="W48" i="72"/>
  <c r="X48" i="72"/>
  <c r="W9" i="72"/>
  <c r="V9" i="72"/>
  <c r="J10" i="72"/>
  <c r="K10" i="72"/>
  <c r="L10" i="72"/>
  <c r="J11" i="72"/>
  <c r="K11" i="72"/>
  <c r="L11" i="72"/>
  <c r="J12" i="72"/>
  <c r="K12" i="72"/>
  <c r="L12" i="72"/>
  <c r="J13" i="72"/>
  <c r="K13" i="72"/>
  <c r="L13" i="72"/>
  <c r="J14" i="72"/>
  <c r="K14" i="72"/>
  <c r="L14" i="72"/>
  <c r="J15" i="72"/>
  <c r="K15" i="72"/>
  <c r="L15" i="72"/>
  <c r="J16" i="72"/>
  <c r="K16" i="72"/>
  <c r="L16" i="72"/>
  <c r="J17" i="72"/>
  <c r="K17" i="72"/>
  <c r="L17" i="72"/>
  <c r="J18" i="72"/>
  <c r="K18" i="72"/>
  <c r="L18" i="72"/>
  <c r="J19" i="72"/>
  <c r="K19" i="72"/>
  <c r="L19" i="72"/>
  <c r="J20" i="72"/>
  <c r="K20" i="72"/>
  <c r="L20" i="72"/>
  <c r="J21" i="72"/>
  <c r="K21" i="72"/>
  <c r="L21" i="72"/>
  <c r="J22" i="72"/>
  <c r="K22" i="72"/>
  <c r="L22" i="72"/>
  <c r="J23" i="72"/>
  <c r="K23" i="72"/>
  <c r="L23" i="72"/>
  <c r="J24" i="72"/>
  <c r="K24" i="72"/>
  <c r="L24" i="72"/>
  <c r="J25" i="72"/>
  <c r="K25" i="72"/>
  <c r="L25" i="72"/>
  <c r="J26" i="72"/>
  <c r="K26" i="72"/>
  <c r="L26" i="72"/>
  <c r="J27" i="72"/>
  <c r="K27" i="72"/>
  <c r="L27" i="72"/>
  <c r="J28" i="72"/>
  <c r="K28" i="72"/>
  <c r="L28" i="72"/>
  <c r="J29" i="72"/>
  <c r="K29" i="72"/>
  <c r="L29" i="72"/>
  <c r="J30" i="72"/>
  <c r="K30" i="72"/>
  <c r="L30" i="72"/>
  <c r="J31" i="72"/>
  <c r="K31" i="72"/>
  <c r="L31" i="72"/>
  <c r="J32" i="72"/>
  <c r="K32" i="72"/>
  <c r="L32" i="72"/>
  <c r="J33" i="72"/>
  <c r="K33" i="72"/>
  <c r="L33" i="72"/>
  <c r="J34" i="72"/>
  <c r="K34" i="72"/>
  <c r="L34" i="72"/>
  <c r="J35" i="72"/>
  <c r="K35" i="72"/>
  <c r="L35" i="72"/>
  <c r="J36" i="72"/>
  <c r="K36" i="72"/>
  <c r="L36" i="72"/>
  <c r="J37" i="72"/>
  <c r="K37" i="72"/>
  <c r="L37" i="72"/>
  <c r="J38" i="72"/>
  <c r="K38" i="72"/>
  <c r="L38" i="72"/>
  <c r="J39" i="72"/>
  <c r="K39" i="72"/>
  <c r="L39" i="72"/>
  <c r="J40" i="72"/>
  <c r="K40" i="72"/>
  <c r="L40" i="72"/>
  <c r="J41" i="72"/>
  <c r="K41" i="72"/>
  <c r="L41" i="72"/>
  <c r="J42" i="72"/>
  <c r="K42" i="72"/>
  <c r="L42" i="72"/>
  <c r="J43" i="72"/>
  <c r="K43" i="72"/>
  <c r="L43" i="72"/>
  <c r="J44" i="72"/>
  <c r="K44" i="72"/>
  <c r="L44" i="72"/>
  <c r="J45" i="72"/>
  <c r="K45" i="72"/>
  <c r="L45" i="72"/>
  <c r="J46" i="72"/>
  <c r="K46" i="72"/>
  <c r="L46" i="72"/>
  <c r="J47" i="72"/>
  <c r="K47" i="72"/>
  <c r="L47" i="72"/>
  <c r="J48" i="72"/>
  <c r="K48" i="72"/>
  <c r="L48" i="72"/>
  <c r="N10" i="72"/>
  <c r="O10" i="72"/>
  <c r="P10" i="72"/>
  <c r="N11" i="72"/>
  <c r="O11" i="72"/>
  <c r="P11" i="72"/>
  <c r="N12" i="72"/>
  <c r="O12" i="72"/>
  <c r="P12" i="72"/>
  <c r="Q12" i="72"/>
  <c r="N13" i="72"/>
  <c r="O13" i="72"/>
  <c r="P13" i="72"/>
  <c r="Q13" i="72"/>
  <c r="N14" i="72"/>
  <c r="O14" i="72"/>
  <c r="P14" i="72"/>
  <c r="Q14" i="72"/>
  <c r="N15" i="72"/>
  <c r="O15" i="72"/>
  <c r="P15" i="72"/>
  <c r="Q15" i="72"/>
  <c r="N16" i="72"/>
  <c r="O16" i="72"/>
  <c r="P16" i="72"/>
  <c r="Q16" i="72"/>
  <c r="N17" i="72"/>
  <c r="O17" i="72"/>
  <c r="P17" i="72"/>
  <c r="Q17" i="72"/>
  <c r="N18" i="72"/>
  <c r="O18" i="72"/>
  <c r="P18" i="72"/>
  <c r="Q18" i="72"/>
  <c r="N19" i="72"/>
  <c r="O19" i="72"/>
  <c r="P19" i="72"/>
  <c r="Q19" i="72"/>
  <c r="N20" i="72"/>
  <c r="O20" i="72"/>
  <c r="P20" i="72"/>
  <c r="Q20" i="72"/>
  <c r="N21" i="72"/>
  <c r="O21" i="72"/>
  <c r="P21" i="72"/>
  <c r="Q21" i="72"/>
  <c r="N22" i="72"/>
  <c r="O22" i="72"/>
  <c r="P22" i="72"/>
  <c r="Q22" i="72"/>
  <c r="N23" i="72"/>
  <c r="O23" i="72"/>
  <c r="P23" i="72"/>
  <c r="Q23" i="72"/>
  <c r="N24" i="72"/>
  <c r="O24" i="72"/>
  <c r="P24" i="72"/>
  <c r="Q24" i="72"/>
  <c r="N25" i="72"/>
  <c r="O25" i="72"/>
  <c r="P25" i="72"/>
  <c r="Q25" i="72"/>
  <c r="N26" i="72"/>
  <c r="O26" i="72"/>
  <c r="P26" i="72"/>
  <c r="Q26" i="72"/>
  <c r="N27" i="72"/>
  <c r="O27" i="72"/>
  <c r="P27" i="72"/>
  <c r="Q27" i="72"/>
  <c r="N28" i="72"/>
  <c r="O28" i="72"/>
  <c r="P28" i="72"/>
  <c r="Q28" i="72"/>
  <c r="N29" i="72"/>
  <c r="O29" i="72"/>
  <c r="P29" i="72"/>
  <c r="Q29" i="72"/>
  <c r="N30" i="72"/>
  <c r="O30" i="72"/>
  <c r="P30" i="72"/>
  <c r="Q30" i="72"/>
  <c r="N31" i="72"/>
  <c r="O31" i="72"/>
  <c r="P31" i="72"/>
  <c r="Q31" i="72"/>
  <c r="N32" i="72"/>
  <c r="O32" i="72"/>
  <c r="P32" i="72"/>
  <c r="Q32" i="72"/>
  <c r="N33" i="72"/>
  <c r="O33" i="72"/>
  <c r="P33" i="72"/>
  <c r="Q33" i="72"/>
  <c r="N34" i="72"/>
  <c r="O34" i="72"/>
  <c r="P34" i="72"/>
  <c r="Q34" i="72"/>
  <c r="N35" i="72"/>
  <c r="O35" i="72"/>
  <c r="P35" i="72"/>
  <c r="Q35" i="72"/>
  <c r="N36" i="72"/>
  <c r="O36" i="72"/>
  <c r="P36" i="72"/>
  <c r="Q36" i="72"/>
  <c r="N37" i="72"/>
  <c r="O37" i="72"/>
  <c r="P37" i="72"/>
  <c r="Q37" i="72"/>
  <c r="N38" i="72"/>
  <c r="O38" i="72"/>
  <c r="P38" i="72"/>
  <c r="Q38" i="72"/>
  <c r="N39" i="72"/>
  <c r="O39" i="72"/>
  <c r="P39" i="72"/>
  <c r="Q39" i="72"/>
  <c r="N40" i="72"/>
  <c r="O40" i="72"/>
  <c r="P40" i="72"/>
  <c r="Q40" i="72"/>
  <c r="N41" i="72"/>
  <c r="O41" i="72"/>
  <c r="P41" i="72"/>
  <c r="Q41" i="72"/>
  <c r="N42" i="72"/>
  <c r="O42" i="72"/>
  <c r="P42" i="72"/>
  <c r="Q42" i="72"/>
  <c r="N43" i="72"/>
  <c r="O43" i="72"/>
  <c r="P43" i="72"/>
  <c r="Q43" i="72"/>
  <c r="N44" i="72"/>
  <c r="O44" i="72"/>
  <c r="P44" i="72"/>
  <c r="Q44" i="72"/>
  <c r="N45" i="72"/>
  <c r="O45" i="72"/>
  <c r="P45" i="72"/>
  <c r="Q45" i="72"/>
  <c r="N46" i="72"/>
  <c r="O46" i="72"/>
  <c r="P46" i="72"/>
  <c r="Q46" i="72"/>
  <c r="N47" i="72"/>
  <c r="O47" i="72"/>
  <c r="P47" i="72"/>
  <c r="Q47" i="72"/>
  <c r="N48" i="72"/>
  <c r="O48" i="72"/>
  <c r="P48" i="72"/>
  <c r="Q48" i="72"/>
  <c r="O9" i="72"/>
  <c r="P9" i="72"/>
  <c r="N9" i="72"/>
  <c r="L9" i="72"/>
  <c r="T9" i="72" s="1"/>
  <c r="K9" i="72"/>
  <c r="S9" i="72" s="1"/>
  <c r="J9" i="72"/>
  <c r="AF10" i="71"/>
  <c r="AG10" i="71"/>
  <c r="AH10" i="71"/>
  <c r="AI10" i="71"/>
  <c r="AJ10" i="71"/>
  <c r="AF11" i="71"/>
  <c r="AK11" i="71" s="1"/>
  <c r="AG11" i="71"/>
  <c r="AH11" i="71"/>
  <c r="AI11" i="71"/>
  <c r="AJ11" i="71"/>
  <c r="AF12" i="71"/>
  <c r="AG12" i="71"/>
  <c r="AH12" i="71"/>
  <c r="AI12" i="71"/>
  <c r="AJ12" i="71"/>
  <c r="AK12" i="71"/>
  <c r="AF13" i="71"/>
  <c r="AK13" i="71" s="1"/>
  <c r="AG13" i="71"/>
  <c r="AH13" i="71"/>
  <c r="AI13" i="71"/>
  <c r="AJ13" i="71"/>
  <c r="AF14" i="71"/>
  <c r="AG14" i="71"/>
  <c r="AH14" i="71"/>
  <c r="AI14" i="71"/>
  <c r="AJ14" i="71"/>
  <c r="AK14" i="71"/>
  <c r="AF15" i="71"/>
  <c r="AK15" i="71" s="1"/>
  <c r="AG15" i="71"/>
  <c r="AH15" i="71"/>
  <c r="AI15" i="71"/>
  <c r="AJ15" i="71"/>
  <c r="AF16" i="71"/>
  <c r="AG16" i="71"/>
  <c r="AH16" i="71"/>
  <c r="AI16" i="71"/>
  <c r="AJ16" i="71"/>
  <c r="AK16" i="71"/>
  <c r="AF17" i="71"/>
  <c r="AK17" i="71" s="1"/>
  <c r="AG17" i="71"/>
  <c r="AH17" i="71"/>
  <c r="AI17" i="71"/>
  <c r="AJ17" i="71"/>
  <c r="AF18" i="71"/>
  <c r="AG18" i="71"/>
  <c r="AH18" i="71"/>
  <c r="AI18" i="71"/>
  <c r="AJ18" i="71"/>
  <c r="AK18" i="71"/>
  <c r="AF19" i="71"/>
  <c r="AK19" i="71" s="1"/>
  <c r="AG19" i="71"/>
  <c r="AH19" i="71"/>
  <c r="AI19" i="71"/>
  <c r="AJ19" i="71"/>
  <c r="AF20" i="71"/>
  <c r="AG20" i="71"/>
  <c r="AH20" i="71"/>
  <c r="AI20" i="71"/>
  <c r="AJ20" i="71"/>
  <c r="AK20" i="71"/>
  <c r="AF21" i="71"/>
  <c r="AG21" i="71"/>
  <c r="AH21" i="71"/>
  <c r="AK21" i="71" s="1"/>
  <c r="AI21" i="71"/>
  <c r="AJ21" i="71"/>
  <c r="AF22" i="71"/>
  <c r="AG22" i="71"/>
  <c r="AH22" i="71"/>
  <c r="AI22" i="71"/>
  <c r="AJ22" i="71"/>
  <c r="AK22" i="71"/>
  <c r="AF23" i="71"/>
  <c r="AG23" i="71"/>
  <c r="AH23" i="71"/>
  <c r="AK23" i="71" s="1"/>
  <c r="AI23" i="71"/>
  <c r="AJ23" i="71"/>
  <c r="AF24" i="71"/>
  <c r="AG24" i="71"/>
  <c r="AH24" i="71"/>
  <c r="AI24" i="71"/>
  <c r="AJ24" i="71"/>
  <c r="AK24" i="71"/>
  <c r="AF25" i="71"/>
  <c r="AG25" i="71"/>
  <c r="AH25" i="71"/>
  <c r="AK25" i="71" s="1"/>
  <c r="AI25" i="71"/>
  <c r="AJ25" i="71"/>
  <c r="AF26" i="71"/>
  <c r="AG26" i="71"/>
  <c r="AH26" i="71"/>
  <c r="AI26" i="71"/>
  <c r="AJ26" i="71"/>
  <c r="AK26" i="71"/>
  <c r="AF27" i="71"/>
  <c r="AG27" i="71"/>
  <c r="AH27" i="71"/>
  <c r="AK27" i="71" s="1"/>
  <c r="AI27" i="71"/>
  <c r="AJ27" i="71"/>
  <c r="AF28" i="71"/>
  <c r="AG28" i="71"/>
  <c r="AH28" i="71"/>
  <c r="AI28" i="71"/>
  <c r="AJ28" i="71"/>
  <c r="AK28" i="71"/>
  <c r="AF29" i="71"/>
  <c r="AG29" i="71"/>
  <c r="AH29" i="71"/>
  <c r="AK29" i="71" s="1"/>
  <c r="AI29" i="71"/>
  <c r="AJ29" i="71"/>
  <c r="AF30" i="71"/>
  <c r="AG30" i="71"/>
  <c r="AH30" i="71"/>
  <c r="AI30" i="71"/>
  <c r="AJ30" i="71"/>
  <c r="AK30" i="71"/>
  <c r="AF31" i="71"/>
  <c r="AG31" i="71"/>
  <c r="AH31" i="71"/>
  <c r="AK31" i="71" s="1"/>
  <c r="AI31" i="71"/>
  <c r="AJ31" i="71"/>
  <c r="AF32" i="71"/>
  <c r="AG32" i="71"/>
  <c r="AH32" i="71"/>
  <c r="AI32" i="71"/>
  <c r="AJ32" i="71"/>
  <c r="AK32" i="71"/>
  <c r="AF33" i="71"/>
  <c r="AG33" i="71"/>
  <c r="AH33" i="71"/>
  <c r="AK33" i="71" s="1"/>
  <c r="AI33" i="71"/>
  <c r="AJ33" i="71"/>
  <c r="AF34" i="71"/>
  <c r="AG34" i="71"/>
  <c r="AH34" i="71"/>
  <c r="AI34" i="71"/>
  <c r="AJ34" i="71"/>
  <c r="AK34" i="71"/>
  <c r="AF35" i="71"/>
  <c r="AG35" i="71"/>
  <c r="AH35" i="71"/>
  <c r="AK35" i="71" s="1"/>
  <c r="AI35" i="71"/>
  <c r="AJ35" i="71"/>
  <c r="AF36" i="71"/>
  <c r="AG36" i="71"/>
  <c r="AH36" i="71"/>
  <c r="AI36" i="71"/>
  <c r="AJ36" i="71"/>
  <c r="AK36" i="71"/>
  <c r="AF37" i="71"/>
  <c r="AG37" i="71"/>
  <c r="AH37" i="71"/>
  <c r="AK37" i="71" s="1"/>
  <c r="AI37" i="71"/>
  <c r="AJ37" i="71"/>
  <c r="AF38" i="71"/>
  <c r="AG38" i="71"/>
  <c r="AH38" i="71"/>
  <c r="AI38" i="71"/>
  <c r="AJ38" i="71"/>
  <c r="AK38" i="71"/>
  <c r="AF39" i="71"/>
  <c r="AG39" i="71"/>
  <c r="AH39" i="71"/>
  <c r="AK39" i="71" s="1"/>
  <c r="AI39" i="71"/>
  <c r="AJ39" i="71"/>
  <c r="AF40" i="71"/>
  <c r="AG40" i="71"/>
  <c r="AH40" i="71"/>
  <c r="AI40" i="71"/>
  <c r="AJ40" i="71"/>
  <c r="AK40" i="71"/>
  <c r="AF41" i="71"/>
  <c r="AG41" i="71"/>
  <c r="AH41" i="71"/>
  <c r="AK41" i="71" s="1"/>
  <c r="AI41" i="71"/>
  <c r="AJ41" i="71"/>
  <c r="AF42" i="71"/>
  <c r="AG42" i="71"/>
  <c r="AH42" i="71"/>
  <c r="AI42" i="71"/>
  <c r="AJ42" i="71"/>
  <c r="AK42" i="71"/>
  <c r="AF43" i="71"/>
  <c r="AG43" i="71"/>
  <c r="AH43" i="71"/>
  <c r="AK43" i="71" s="1"/>
  <c r="AI43" i="71"/>
  <c r="AJ43" i="71"/>
  <c r="AF44" i="71"/>
  <c r="AG44" i="71"/>
  <c r="AH44" i="71"/>
  <c r="AI44" i="71"/>
  <c r="AJ44" i="71"/>
  <c r="AK44" i="71"/>
  <c r="AF45" i="71"/>
  <c r="AG45" i="71"/>
  <c r="AH45" i="71"/>
  <c r="AK45" i="71" s="1"/>
  <c r="AI45" i="71"/>
  <c r="AJ45" i="71"/>
  <c r="AF46" i="71"/>
  <c r="AG46" i="71"/>
  <c r="AH46" i="71"/>
  <c r="AI46" i="71"/>
  <c r="AJ46" i="71"/>
  <c r="AK46" i="71"/>
  <c r="AF47" i="71"/>
  <c r="AG47" i="71"/>
  <c r="AH47" i="71"/>
  <c r="AK47" i="71" s="1"/>
  <c r="AI47" i="71"/>
  <c r="AJ47" i="71"/>
  <c r="AF48" i="71"/>
  <c r="AG48" i="71"/>
  <c r="AH48" i="71"/>
  <c r="AI48" i="71"/>
  <c r="AJ48" i="71"/>
  <c r="AK48" i="71"/>
  <c r="AJ9" i="71"/>
  <c r="AI9" i="71"/>
  <c r="AH9" i="71"/>
  <c r="AG9" i="71"/>
  <c r="AF9" i="71"/>
  <c r="Z10" i="71"/>
  <c r="AA10" i="71"/>
  <c r="AB10" i="71"/>
  <c r="AC10" i="71"/>
  <c r="AD10" i="71"/>
  <c r="Z11" i="71"/>
  <c r="AA11" i="71"/>
  <c r="AB11" i="71"/>
  <c r="AC11" i="71"/>
  <c r="AD11" i="71"/>
  <c r="Z12" i="71"/>
  <c r="AA12" i="71"/>
  <c r="AB12" i="71"/>
  <c r="AC12" i="71"/>
  <c r="AD12" i="71"/>
  <c r="Z13" i="71"/>
  <c r="AA13" i="71"/>
  <c r="AB13" i="71"/>
  <c r="AC13" i="71"/>
  <c r="AD13" i="71"/>
  <c r="Z14" i="71"/>
  <c r="AA14" i="71"/>
  <c r="AB14" i="71"/>
  <c r="AC14" i="71"/>
  <c r="AD14" i="71"/>
  <c r="Z15" i="71"/>
  <c r="AA15" i="71"/>
  <c r="AB15" i="71"/>
  <c r="AC15" i="71"/>
  <c r="AD15" i="71"/>
  <c r="Z16" i="71"/>
  <c r="AA16" i="71"/>
  <c r="AB16" i="71"/>
  <c r="AC16" i="71"/>
  <c r="AD16" i="71"/>
  <c r="Z17" i="71"/>
  <c r="AA17" i="71"/>
  <c r="AB17" i="71"/>
  <c r="AC17" i="71"/>
  <c r="AD17" i="71"/>
  <c r="Z18" i="71"/>
  <c r="AA18" i="71"/>
  <c r="AB18" i="71"/>
  <c r="AC18" i="71"/>
  <c r="AD18" i="71"/>
  <c r="Z19" i="71"/>
  <c r="AA19" i="71"/>
  <c r="AB19" i="71"/>
  <c r="AC19" i="71"/>
  <c r="AD19" i="71"/>
  <c r="Z20" i="71"/>
  <c r="AA20" i="71"/>
  <c r="AB20" i="71"/>
  <c r="AC20" i="71"/>
  <c r="AD20" i="71"/>
  <c r="Z21" i="71"/>
  <c r="AA21" i="71"/>
  <c r="AB21" i="71"/>
  <c r="AC21" i="71"/>
  <c r="AD21" i="71"/>
  <c r="Z22" i="71"/>
  <c r="AA22" i="71"/>
  <c r="AB22" i="71"/>
  <c r="AC22" i="71"/>
  <c r="AD22" i="71"/>
  <c r="Z23" i="71"/>
  <c r="AA23" i="71"/>
  <c r="AB23" i="71"/>
  <c r="AC23" i="71"/>
  <c r="AD23" i="71"/>
  <c r="Z24" i="71"/>
  <c r="AA24" i="71"/>
  <c r="AB24" i="71"/>
  <c r="AC24" i="71"/>
  <c r="AD24" i="71"/>
  <c r="Z25" i="71"/>
  <c r="AA25" i="71"/>
  <c r="AB25" i="71"/>
  <c r="AC25" i="71"/>
  <c r="AD25" i="71"/>
  <c r="Z26" i="71"/>
  <c r="AA26" i="71"/>
  <c r="AB26" i="71"/>
  <c r="AC26" i="71"/>
  <c r="AD26" i="71"/>
  <c r="Z27" i="71"/>
  <c r="AA27" i="71"/>
  <c r="AB27" i="71"/>
  <c r="AC27" i="71"/>
  <c r="AD27" i="71"/>
  <c r="Z28" i="71"/>
  <c r="AA28" i="71"/>
  <c r="AB28" i="71"/>
  <c r="AC28" i="71"/>
  <c r="AD28" i="71"/>
  <c r="Z29" i="71"/>
  <c r="AA29" i="71"/>
  <c r="AB29" i="71"/>
  <c r="AC29" i="71"/>
  <c r="AD29" i="71"/>
  <c r="Z30" i="71"/>
  <c r="AA30" i="71"/>
  <c r="AB30" i="71"/>
  <c r="AC30" i="71"/>
  <c r="AD30" i="71"/>
  <c r="Z31" i="71"/>
  <c r="AA31" i="71"/>
  <c r="AB31" i="71"/>
  <c r="AC31" i="71"/>
  <c r="AD31" i="71"/>
  <c r="Z32" i="71"/>
  <c r="AA32" i="71"/>
  <c r="AB32" i="71"/>
  <c r="AC32" i="71"/>
  <c r="AD32" i="71"/>
  <c r="Z33" i="71"/>
  <c r="AA33" i="71"/>
  <c r="AB33" i="71"/>
  <c r="AC33" i="71"/>
  <c r="AD33" i="71"/>
  <c r="Z34" i="71"/>
  <c r="AA34" i="71"/>
  <c r="AB34" i="71"/>
  <c r="AC34" i="71"/>
  <c r="AD34" i="71"/>
  <c r="Z35" i="71"/>
  <c r="AA35" i="71"/>
  <c r="AB35" i="71"/>
  <c r="AC35" i="71"/>
  <c r="AD35" i="71"/>
  <c r="Z36" i="71"/>
  <c r="AA36" i="71"/>
  <c r="AB36" i="71"/>
  <c r="AC36" i="71"/>
  <c r="AD36" i="71"/>
  <c r="Z37" i="71"/>
  <c r="AA37" i="71"/>
  <c r="AB37" i="71"/>
  <c r="AC37" i="71"/>
  <c r="AD37" i="71"/>
  <c r="Z38" i="71"/>
  <c r="AA38" i="71"/>
  <c r="AB38" i="71"/>
  <c r="AC38" i="71"/>
  <c r="AD38" i="71"/>
  <c r="Z39" i="71"/>
  <c r="AA39" i="71"/>
  <c r="AB39" i="71"/>
  <c r="AC39" i="71"/>
  <c r="AD39" i="71"/>
  <c r="Z40" i="71"/>
  <c r="AA40" i="71"/>
  <c r="AB40" i="71"/>
  <c r="AC40" i="71"/>
  <c r="AD40" i="71"/>
  <c r="Z41" i="71"/>
  <c r="AA41" i="71"/>
  <c r="AB41" i="71"/>
  <c r="AC41" i="71"/>
  <c r="AD41" i="71"/>
  <c r="Z42" i="71"/>
  <c r="AA42" i="71"/>
  <c r="AB42" i="71"/>
  <c r="AC42" i="71"/>
  <c r="AD42" i="71"/>
  <c r="Z43" i="71"/>
  <c r="AA43" i="71"/>
  <c r="AB43" i="71"/>
  <c r="AC43" i="71"/>
  <c r="AD43" i="71"/>
  <c r="Z44" i="71"/>
  <c r="AA44" i="71"/>
  <c r="AB44" i="71"/>
  <c r="AC44" i="71"/>
  <c r="AD44" i="71"/>
  <c r="Z45" i="71"/>
  <c r="AA45" i="71"/>
  <c r="AB45" i="71"/>
  <c r="AC45" i="71"/>
  <c r="AD45" i="71"/>
  <c r="Z46" i="71"/>
  <c r="AA46" i="71"/>
  <c r="AB46" i="71"/>
  <c r="AC46" i="71"/>
  <c r="AD46" i="71"/>
  <c r="Z47" i="71"/>
  <c r="AA47" i="71"/>
  <c r="AB47" i="71"/>
  <c r="AC47" i="71"/>
  <c r="AD47" i="71"/>
  <c r="Z48" i="71"/>
  <c r="AA48" i="71"/>
  <c r="AB48" i="71"/>
  <c r="AC48" i="71"/>
  <c r="AD48" i="71"/>
  <c r="AD9" i="71"/>
  <c r="AC9" i="71"/>
  <c r="AB9" i="71"/>
  <c r="AA9" i="71"/>
  <c r="Z9" i="71"/>
  <c r="L10" i="106"/>
  <c r="M10" i="106"/>
  <c r="N10" i="106"/>
  <c r="O10" i="106"/>
  <c r="L11" i="106"/>
  <c r="M11" i="106"/>
  <c r="N11" i="106"/>
  <c r="O11" i="106"/>
  <c r="L12" i="106"/>
  <c r="M12" i="106"/>
  <c r="N12" i="106"/>
  <c r="O12" i="106"/>
  <c r="L13" i="106"/>
  <c r="M13" i="106"/>
  <c r="N13" i="106"/>
  <c r="O13" i="106"/>
  <c r="L14" i="106"/>
  <c r="M14" i="106"/>
  <c r="N14" i="106"/>
  <c r="O14" i="106"/>
  <c r="L15" i="106"/>
  <c r="M15" i="106"/>
  <c r="N15" i="106"/>
  <c r="O15" i="106"/>
  <c r="L16" i="106"/>
  <c r="M16" i="106"/>
  <c r="N16" i="106"/>
  <c r="O16" i="106"/>
  <c r="L17" i="106"/>
  <c r="M17" i="106"/>
  <c r="N17" i="106"/>
  <c r="O17" i="106"/>
  <c r="L18" i="106"/>
  <c r="M18" i="106"/>
  <c r="N18" i="106"/>
  <c r="O18" i="106"/>
  <c r="L19" i="106"/>
  <c r="M19" i="106"/>
  <c r="N19" i="106"/>
  <c r="O19" i="106"/>
  <c r="L20" i="106"/>
  <c r="M20" i="106"/>
  <c r="N20" i="106"/>
  <c r="O20" i="106"/>
  <c r="L21" i="106"/>
  <c r="M21" i="106"/>
  <c r="N21" i="106"/>
  <c r="O21" i="106"/>
  <c r="L22" i="106"/>
  <c r="M22" i="106"/>
  <c r="N22" i="106"/>
  <c r="O22" i="106"/>
  <c r="L23" i="106"/>
  <c r="M23" i="106"/>
  <c r="N23" i="106"/>
  <c r="O23" i="106"/>
  <c r="L24" i="106"/>
  <c r="M24" i="106"/>
  <c r="N24" i="106"/>
  <c r="O24" i="106"/>
  <c r="L25" i="106"/>
  <c r="M25" i="106"/>
  <c r="N25" i="106"/>
  <c r="O25" i="106"/>
  <c r="L26" i="106"/>
  <c r="M26" i="106"/>
  <c r="N26" i="106"/>
  <c r="O26" i="106"/>
  <c r="L27" i="106"/>
  <c r="M27" i="106"/>
  <c r="N27" i="106"/>
  <c r="O27" i="106"/>
  <c r="L28" i="106"/>
  <c r="M28" i="106"/>
  <c r="N28" i="106"/>
  <c r="O28" i="106"/>
  <c r="L29" i="106"/>
  <c r="M29" i="106"/>
  <c r="N29" i="106"/>
  <c r="O29" i="106"/>
  <c r="L30" i="106"/>
  <c r="M30" i="106"/>
  <c r="N30" i="106"/>
  <c r="O30" i="106"/>
  <c r="L31" i="106"/>
  <c r="M31" i="106"/>
  <c r="N31" i="106"/>
  <c r="O31" i="106"/>
  <c r="L32" i="106"/>
  <c r="M32" i="106"/>
  <c r="N32" i="106"/>
  <c r="O32" i="106"/>
  <c r="L33" i="106"/>
  <c r="M33" i="106"/>
  <c r="N33" i="106"/>
  <c r="O33" i="106"/>
  <c r="L34" i="106"/>
  <c r="M34" i="106"/>
  <c r="N34" i="106"/>
  <c r="O34" i="106"/>
  <c r="L35" i="106"/>
  <c r="M35" i="106"/>
  <c r="N35" i="106"/>
  <c r="O35" i="106"/>
  <c r="L36" i="106"/>
  <c r="M36" i="106"/>
  <c r="N36" i="106"/>
  <c r="O36" i="106"/>
  <c r="L37" i="106"/>
  <c r="M37" i="106"/>
  <c r="N37" i="106"/>
  <c r="O37" i="106"/>
  <c r="L38" i="106"/>
  <c r="M38" i="106"/>
  <c r="N38" i="106"/>
  <c r="O38" i="106"/>
  <c r="L39" i="106"/>
  <c r="M39" i="106"/>
  <c r="N39" i="106"/>
  <c r="O39" i="106"/>
  <c r="L40" i="106"/>
  <c r="M40" i="106"/>
  <c r="N40" i="106"/>
  <c r="O40" i="106"/>
  <c r="L41" i="106"/>
  <c r="M41" i="106"/>
  <c r="N41" i="106"/>
  <c r="O41" i="106"/>
  <c r="L42" i="106"/>
  <c r="M42" i="106"/>
  <c r="N42" i="106"/>
  <c r="O42" i="106"/>
  <c r="L43" i="106"/>
  <c r="M43" i="106"/>
  <c r="N43" i="106"/>
  <c r="O43" i="106"/>
  <c r="L44" i="106"/>
  <c r="M44" i="106"/>
  <c r="N44" i="106"/>
  <c r="O44" i="106"/>
  <c r="L45" i="106"/>
  <c r="M45" i="106"/>
  <c r="N45" i="106"/>
  <c r="O45" i="106"/>
  <c r="L46" i="106"/>
  <c r="M46" i="106"/>
  <c r="N46" i="106"/>
  <c r="O46" i="106"/>
  <c r="L47" i="106"/>
  <c r="M47" i="106"/>
  <c r="N47" i="106"/>
  <c r="O47" i="106"/>
  <c r="L48" i="106"/>
  <c r="M48" i="106"/>
  <c r="N48" i="106"/>
  <c r="O48" i="106"/>
  <c r="L9" i="106"/>
  <c r="M9" i="106"/>
  <c r="L10" i="105"/>
  <c r="M10" i="105"/>
  <c r="N10" i="105"/>
  <c r="O10" i="105"/>
  <c r="L11" i="105"/>
  <c r="M11" i="105"/>
  <c r="N11" i="105"/>
  <c r="O11" i="105"/>
  <c r="L12" i="105"/>
  <c r="M12" i="105"/>
  <c r="N12" i="105"/>
  <c r="O12" i="105"/>
  <c r="L13" i="105"/>
  <c r="M13" i="105"/>
  <c r="N13" i="105"/>
  <c r="O13" i="105"/>
  <c r="L14" i="105"/>
  <c r="M14" i="105"/>
  <c r="N14" i="105"/>
  <c r="O14" i="105"/>
  <c r="L15" i="105"/>
  <c r="M15" i="105"/>
  <c r="N15" i="105"/>
  <c r="O15" i="105"/>
  <c r="L16" i="105"/>
  <c r="M16" i="105"/>
  <c r="N16" i="105"/>
  <c r="O16" i="105"/>
  <c r="L17" i="105"/>
  <c r="M17" i="105"/>
  <c r="N17" i="105"/>
  <c r="O17" i="105"/>
  <c r="L18" i="105"/>
  <c r="M18" i="105"/>
  <c r="N18" i="105"/>
  <c r="O18" i="105"/>
  <c r="L19" i="105"/>
  <c r="M19" i="105"/>
  <c r="N19" i="105"/>
  <c r="O19" i="105"/>
  <c r="L20" i="105"/>
  <c r="M20" i="105"/>
  <c r="N20" i="105"/>
  <c r="O20" i="105"/>
  <c r="L21" i="105"/>
  <c r="M21" i="105"/>
  <c r="N21" i="105"/>
  <c r="O21" i="105"/>
  <c r="L22" i="105"/>
  <c r="M22" i="105"/>
  <c r="N22" i="105"/>
  <c r="O22" i="105"/>
  <c r="L23" i="105"/>
  <c r="M23" i="105"/>
  <c r="N23" i="105"/>
  <c r="O23" i="105"/>
  <c r="L24" i="105"/>
  <c r="M24" i="105"/>
  <c r="N24" i="105"/>
  <c r="O24" i="105"/>
  <c r="L25" i="105"/>
  <c r="M25" i="105"/>
  <c r="N25" i="105"/>
  <c r="O25" i="105"/>
  <c r="L26" i="105"/>
  <c r="M26" i="105"/>
  <c r="N26" i="105"/>
  <c r="O26" i="105"/>
  <c r="L27" i="105"/>
  <c r="M27" i="105"/>
  <c r="N27" i="105"/>
  <c r="O27" i="105"/>
  <c r="L28" i="105"/>
  <c r="M28" i="105"/>
  <c r="N28" i="105"/>
  <c r="O28" i="105"/>
  <c r="L29" i="105"/>
  <c r="M29" i="105"/>
  <c r="N29" i="105"/>
  <c r="O29" i="105"/>
  <c r="L30" i="105"/>
  <c r="M30" i="105"/>
  <c r="N30" i="105"/>
  <c r="O30" i="105"/>
  <c r="L31" i="105"/>
  <c r="M31" i="105"/>
  <c r="N31" i="105"/>
  <c r="O31" i="105"/>
  <c r="L32" i="105"/>
  <c r="M32" i="105"/>
  <c r="N32" i="105"/>
  <c r="O32" i="105"/>
  <c r="L33" i="105"/>
  <c r="M33" i="105"/>
  <c r="N33" i="105"/>
  <c r="O33" i="105"/>
  <c r="L34" i="105"/>
  <c r="M34" i="105"/>
  <c r="N34" i="105"/>
  <c r="O34" i="105"/>
  <c r="L35" i="105"/>
  <c r="M35" i="105"/>
  <c r="N35" i="105"/>
  <c r="O35" i="105"/>
  <c r="L36" i="105"/>
  <c r="M36" i="105"/>
  <c r="N36" i="105"/>
  <c r="O36" i="105"/>
  <c r="L37" i="105"/>
  <c r="M37" i="105"/>
  <c r="N37" i="105"/>
  <c r="O37" i="105"/>
  <c r="L38" i="105"/>
  <c r="M38" i="105"/>
  <c r="N38" i="105"/>
  <c r="O38" i="105"/>
  <c r="L39" i="105"/>
  <c r="M39" i="105"/>
  <c r="N39" i="105"/>
  <c r="O39" i="105"/>
  <c r="L40" i="105"/>
  <c r="M40" i="105"/>
  <c r="N40" i="105"/>
  <c r="O40" i="105"/>
  <c r="L41" i="105"/>
  <c r="M41" i="105"/>
  <c r="N41" i="105"/>
  <c r="O41" i="105"/>
  <c r="L42" i="105"/>
  <c r="M42" i="105"/>
  <c r="N42" i="105"/>
  <c r="O42" i="105"/>
  <c r="L43" i="105"/>
  <c r="M43" i="105"/>
  <c r="N43" i="105"/>
  <c r="O43" i="105"/>
  <c r="L44" i="105"/>
  <c r="M44" i="105"/>
  <c r="N44" i="105"/>
  <c r="O44" i="105"/>
  <c r="L45" i="105"/>
  <c r="M45" i="105"/>
  <c r="N45" i="105"/>
  <c r="O45" i="105"/>
  <c r="L46" i="105"/>
  <c r="M46" i="105"/>
  <c r="N46" i="105"/>
  <c r="O46" i="105"/>
  <c r="L47" i="105"/>
  <c r="M47" i="105"/>
  <c r="N47" i="105"/>
  <c r="O47" i="105"/>
  <c r="L48" i="105"/>
  <c r="M48" i="105"/>
  <c r="N48" i="105"/>
  <c r="O48" i="105"/>
  <c r="L9" i="105"/>
  <c r="L10" i="107"/>
  <c r="M10" i="107"/>
  <c r="N10" i="107"/>
  <c r="O10" i="107"/>
  <c r="L11" i="107"/>
  <c r="M11" i="107"/>
  <c r="N11" i="107"/>
  <c r="O11" i="107"/>
  <c r="L12" i="107"/>
  <c r="M12" i="107"/>
  <c r="N12" i="107"/>
  <c r="O12" i="107"/>
  <c r="L13" i="107"/>
  <c r="M13" i="107"/>
  <c r="N13" i="107"/>
  <c r="O13" i="107"/>
  <c r="L14" i="107"/>
  <c r="M14" i="107"/>
  <c r="N14" i="107"/>
  <c r="O14" i="107"/>
  <c r="L15" i="107"/>
  <c r="M15" i="107"/>
  <c r="N15" i="107"/>
  <c r="O15" i="107"/>
  <c r="L16" i="107"/>
  <c r="M16" i="107"/>
  <c r="N16" i="107"/>
  <c r="O16" i="107"/>
  <c r="L17" i="107"/>
  <c r="M17" i="107"/>
  <c r="N17" i="107"/>
  <c r="O17" i="107"/>
  <c r="L18" i="107"/>
  <c r="M18" i="107"/>
  <c r="N18" i="107"/>
  <c r="O18" i="107"/>
  <c r="L19" i="107"/>
  <c r="M19" i="107"/>
  <c r="N19" i="107"/>
  <c r="O19" i="107"/>
  <c r="L20" i="107"/>
  <c r="M20" i="107"/>
  <c r="N20" i="107"/>
  <c r="O20" i="107"/>
  <c r="L21" i="107"/>
  <c r="M21" i="107"/>
  <c r="N21" i="107"/>
  <c r="O21" i="107"/>
  <c r="L22" i="107"/>
  <c r="M22" i="107"/>
  <c r="N22" i="107"/>
  <c r="O22" i="107"/>
  <c r="L23" i="107"/>
  <c r="M23" i="107"/>
  <c r="N23" i="107"/>
  <c r="O23" i="107"/>
  <c r="L24" i="107"/>
  <c r="M24" i="107"/>
  <c r="N24" i="107"/>
  <c r="O24" i="107"/>
  <c r="L25" i="107"/>
  <c r="M25" i="107"/>
  <c r="N25" i="107"/>
  <c r="O25" i="107"/>
  <c r="L26" i="107"/>
  <c r="M26" i="107"/>
  <c r="N26" i="107"/>
  <c r="O26" i="107"/>
  <c r="L27" i="107"/>
  <c r="M27" i="107"/>
  <c r="N27" i="107"/>
  <c r="O27" i="107"/>
  <c r="L28" i="107"/>
  <c r="M28" i="107"/>
  <c r="N28" i="107"/>
  <c r="O28" i="107"/>
  <c r="L29" i="107"/>
  <c r="M29" i="107"/>
  <c r="N29" i="107"/>
  <c r="O29" i="107"/>
  <c r="L30" i="107"/>
  <c r="M30" i="107"/>
  <c r="N30" i="107"/>
  <c r="O30" i="107"/>
  <c r="L31" i="107"/>
  <c r="M31" i="107"/>
  <c r="N31" i="107"/>
  <c r="O31" i="107"/>
  <c r="L32" i="107"/>
  <c r="M32" i="107"/>
  <c r="N32" i="107"/>
  <c r="O32" i="107"/>
  <c r="L33" i="107"/>
  <c r="M33" i="107"/>
  <c r="N33" i="107"/>
  <c r="O33" i="107"/>
  <c r="L34" i="107"/>
  <c r="M34" i="107"/>
  <c r="N34" i="107"/>
  <c r="O34" i="107"/>
  <c r="L35" i="107"/>
  <c r="M35" i="107"/>
  <c r="N35" i="107"/>
  <c r="O35" i="107"/>
  <c r="L36" i="107"/>
  <c r="M36" i="107"/>
  <c r="N36" i="107"/>
  <c r="O36" i="107"/>
  <c r="L37" i="107"/>
  <c r="M37" i="107"/>
  <c r="N37" i="107"/>
  <c r="O37" i="107"/>
  <c r="L38" i="107"/>
  <c r="M38" i="107"/>
  <c r="N38" i="107"/>
  <c r="O38" i="107"/>
  <c r="L39" i="107"/>
  <c r="M39" i="107"/>
  <c r="N39" i="107"/>
  <c r="O39" i="107"/>
  <c r="L40" i="107"/>
  <c r="M40" i="107"/>
  <c r="N40" i="107"/>
  <c r="O40" i="107"/>
  <c r="L41" i="107"/>
  <c r="M41" i="107"/>
  <c r="N41" i="107"/>
  <c r="O41" i="107"/>
  <c r="L42" i="107"/>
  <c r="M42" i="107"/>
  <c r="N42" i="107"/>
  <c r="O42" i="107"/>
  <c r="L43" i="107"/>
  <c r="M43" i="107"/>
  <c r="N43" i="107"/>
  <c r="O43" i="107"/>
  <c r="L44" i="107"/>
  <c r="M44" i="107"/>
  <c r="N44" i="107"/>
  <c r="O44" i="107"/>
  <c r="L45" i="107"/>
  <c r="M45" i="107"/>
  <c r="N45" i="107"/>
  <c r="O45" i="107"/>
  <c r="L46" i="107"/>
  <c r="M46" i="107"/>
  <c r="N46" i="107"/>
  <c r="O46" i="107"/>
  <c r="L47" i="107"/>
  <c r="M47" i="107"/>
  <c r="N47" i="107"/>
  <c r="O47" i="107"/>
  <c r="L48" i="107"/>
  <c r="M48" i="107"/>
  <c r="N48" i="107"/>
  <c r="O48" i="107"/>
  <c r="L9" i="107"/>
  <c r="N9" i="107"/>
  <c r="M9" i="107"/>
  <c r="O9" i="107"/>
  <c r="O9" i="106"/>
  <c r="N9" i="106"/>
  <c r="O9" i="105"/>
  <c r="N9" i="105"/>
  <c r="M9" i="105"/>
  <c r="L10" i="104"/>
  <c r="M10" i="104"/>
  <c r="N10" i="104"/>
  <c r="O10" i="104"/>
  <c r="P10" i="104"/>
  <c r="L11" i="104"/>
  <c r="M11" i="104"/>
  <c r="N11" i="104"/>
  <c r="O11" i="104"/>
  <c r="P11" i="104"/>
  <c r="L12" i="104"/>
  <c r="M12" i="104"/>
  <c r="N12" i="104"/>
  <c r="O12" i="104"/>
  <c r="P12" i="104"/>
  <c r="L13" i="104"/>
  <c r="M13" i="104"/>
  <c r="N13" i="104"/>
  <c r="O13" i="104"/>
  <c r="P13" i="104"/>
  <c r="L14" i="104"/>
  <c r="M14" i="104"/>
  <c r="N14" i="104"/>
  <c r="O14" i="104"/>
  <c r="P14" i="104"/>
  <c r="L15" i="104"/>
  <c r="M15" i="104"/>
  <c r="N15" i="104"/>
  <c r="O15" i="104"/>
  <c r="P15" i="104"/>
  <c r="L16" i="104"/>
  <c r="M16" i="104"/>
  <c r="N16" i="104"/>
  <c r="O16" i="104"/>
  <c r="P16" i="104"/>
  <c r="L17" i="104"/>
  <c r="M17" i="104"/>
  <c r="N17" i="104"/>
  <c r="O17" i="104"/>
  <c r="P17" i="104"/>
  <c r="L18" i="104"/>
  <c r="M18" i="104"/>
  <c r="N18" i="104"/>
  <c r="O18" i="104"/>
  <c r="P18" i="104"/>
  <c r="L19" i="104"/>
  <c r="M19" i="104"/>
  <c r="N19" i="104"/>
  <c r="O19" i="104"/>
  <c r="P19" i="104"/>
  <c r="AH68" i="94" s="1"/>
  <c r="L20" i="104"/>
  <c r="M20" i="104"/>
  <c r="N20" i="104"/>
  <c r="O20" i="104"/>
  <c r="P20" i="104"/>
  <c r="AH74" i="94" s="1"/>
  <c r="L21" i="104"/>
  <c r="M21" i="104"/>
  <c r="N21" i="104"/>
  <c r="O21" i="104"/>
  <c r="P21" i="104"/>
  <c r="AH80" i="94" s="1"/>
  <c r="L22" i="104"/>
  <c r="M22" i="104"/>
  <c r="N22" i="104"/>
  <c r="O22" i="104"/>
  <c r="P22" i="104"/>
  <c r="AH86" i="94" s="1"/>
  <c r="L23" i="104"/>
  <c r="M23" i="104"/>
  <c r="N23" i="104"/>
  <c r="O23" i="104"/>
  <c r="P23" i="104"/>
  <c r="AH92" i="94" s="1"/>
  <c r="L24" i="104"/>
  <c r="M24" i="104"/>
  <c r="N24" i="104"/>
  <c r="O24" i="104"/>
  <c r="P24" i="104"/>
  <c r="AH98" i="94" s="1"/>
  <c r="L25" i="104"/>
  <c r="M25" i="104"/>
  <c r="N25" i="104"/>
  <c r="O25" i="104"/>
  <c r="P25" i="104"/>
  <c r="AH104" i="94" s="1"/>
  <c r="L26" i="104"/>
  <c r="M26" i="104"/>
  <c r="N26" i="104"/>
  <c r="O26" i="104"/>
  <c r="P26" i="104"/>
  <c r="AH110" i="94" s="1"/>
  <c r="L27" i="104"/>
  <c r="M27" i="104"/>
  <c r="N27" i="104"/>
  <c r="O27" i="104"/>
  <c r="P27" i="104"/>
  <c r="AH116" i="94" s="1"/>
  <c r="L28" i="104"/>
  <c r="M28" i="104"/>
  <c r="N28" i="104"/>
  <c r="O28" i="104"/>
  <c r="P28" i="104"/>
  <c r="AH122" i="94" s="1"/>
  <c r="L29" i="104"/>
  <c r="M29" i="104"/>
  <c r="N29" i="104"/>
  <c r="O29" i="104"/>
  <c r="P29" i="104"/>
  <c r="AH128" i="94" s="1"/>
  <c r="L30" i="104"/>
  <c r="M30" i="104"/>
  <c r="N30" i="104"/>
  <c r="O30" i="104"/>
  <c r="P30" i="104"/>
  <c r="AH134" i="94" s="1"/>
  <c r="L31" i="104"/>
  <c r="M31" i="104"/>
  <c r="N31" i="104"/>
  <c r="O31" i="104"/>
  <c r="P31" i="104"/>
  <c r="AH140" i="94" s="1"/>
  <c r="L32" i="104"/>
  <c r="M32" i="104"/>
  <c r="N32" i="104"/>
  <c r="O32" i="104"/>
  <c r="P32" i="104"/>
  <c r="AH146" i="94" s="1"/>
  <c r="L33" i="104"/>
  <c r="M33" i="104"/>
  <c r="N33" i="104"/>
  <c r="O33" i="104"/>
  <c r="P33" i="104"/>
  <c r="L34" i="104"/>
  <c r="M34" i="104"/>
  <c r="N34" i="104"/>
  <c r="O34" i="104"/>
  <c r="P34" i="104"/>
  <c r="L35" i="104"/>
  <c r="M35" i="104"/>
  <c r="N35" i="104"/>
  <c r="O35" i="104"/>
  <c r="P35" i="104"/>
  <c r="L36" i="104"/>
  <c r="M36" i="104"/>
  <c r="N36" i="104"/>
  <c r="O36" i="104"/>
  <c r="P36" i="104"/>
  <c r="L37" i="104"/>
  <c r="M37" i="104"/>
  <c r="N37" i="104"/>
  <c r="O37" i="104"/>
  <c r="P37" i="104"/>
  <c r="L38" i="104"/>
  <c r="M38" i="104"/>
  <c r="N38" i="104"/>
  <c r="O38" i="104"/>
  <c r="P38" i="104"/>
  <c r="L39" i="104"/>
  <c r="M39" i="104"/>
  <c r="N39" i="104"/>
  <c r="O39" i="104"/>
  <c r="P39" i="104"/>
  <c r="L40" i="104"/>
  <c r="M40" i="104"/>
  <c r="N40" i="104"/>
  <c r="O40" i="104"/>
  <c r="P40" i="104"/>
  <c r="L41" i="104"/>
  <c r="M41" i="104"/>
  <c r="N41" i="104"/>
  <c r="O41" i="104"/>
  <c r="P41" i="104"/>
  <c r="L42" i="104"/>
  <c r="M42" i="104"/>
  <c r="N42" i="104"/>
  <c r="O42" i="104"/>
  <c r="P42" i="104"/>
  <c r="L43" i="104"/>
  <c r="M43" i="104"/>
  <c r="N43" i="104"/>
  <c r="O43" i="104"/>
  <c r="P43" i="104"/>
  <c r="L44" i="104"/>
  <c r="M44" i="104"/>
  <c r="N44" i="104"/>
  <c r="O44" i="104"/>
  <c r="P44" i="104"/>
  <c r="L45" i="104"/>
  <c r="M45" i="104"/>
  <c r="N45" i="104"/>
  <c r="O45" i="104"/>
  <c r="P45" i="104"/>
  <c r="L46" i="104"/>
  <c r="M46" i="104"/>
  <c r="N46" i="104"/>
  <c r="O46" i="104"/>
  <c r="P46" i="104"/>
  <c r="L47" i="104"/>
  <c r="M47" i="104"/>
  <c r="N47" i="104"/>
  <c r="O47" i="104"/>
  <c r="P47" i="104"/>
  <c r="L48" i="104"/>
  <c r="M48" i="104"/>
  <c r="N48" i="104"/>
  <c r="O48" i="104"/>
  <c r="P48" i="104"/>
  <c r="L9" i="104"/>
  <c r="O9" i="104"/>
  <c r="N9" i="104"/>
  <c r="M9" i="104"/>
  <c r="AH10" i="70"/>
  <c r="AI10" i="70"/>
  <c r="AN10" i="70" s="1"/>
  <c r="AJ10" i="70"/>
  <c r="AK10" i="70"/>
  <c r="AL10" i="70"/>
  <c r="AM10" i="70"/>
  <c r="AH11" i="70"/>
  <c r="AI11" i="70"/>
  <c r="AJ11" i="70"/>
  <c r="AK11" i="70"/>
  <c r="AL11" i="70"/>
  <c r="AM11" i="70"/>
  <c r="AH12" i="70"/>
  <c r="AI12" i="70"/>
  <c r="AJ12" i="70"/>
  <c r="AK12" i="70"/>
  <c r="AL12" i="70"/>
  <c r="AM12" i="70"/>
  <c r="AN12" i="70"/>
  <c r="AH13" i="70"/>
  <c r="AI13" i="70"/>
  <c r="AJ13" i="70"/>
  <c r="AK13" i="70"/>
  <c r="AL13" i="70"/>
  <c r="AM13" i="70"/>
  <c r="AH14" i="70"/>
  <c r="AI14" i="70"/>
  <c r="AN14" i="70" s="1"/>
  <c r="AJ14" i="70"/>
  <c r="AK14" i="70"/>
  <c r="AL14" i="70"/>
  <c r="AM14" i="70"/>
  <c r="AH15" i="70"/>
  <c r="AI15" i="70"/>
  <c r="AJ15" i="70"/>
  <c r="AK15" i="70"/>
  <c r="AL15" i="70"/>
  <c r="AM15" i="70"/>
  <c r="AH16" i="70"/>
  <c r="AN16" i="70" s="1"/>
  <c r="AI16" i="70"/>
  <c r="AJ16" i="70"/>
  <c r="AK16" i="70"/>
  <c r="AL16" i="70"/>
  <c r="AM16" i="70"/>
  <c r="AH17" i="70"/>
  <c r="AI17" i="70"/>
  <c r="AJ17" i="70"/>
  <c r="AK17" i="70"/>
  <c r="AL17" i="70"/>
  <c r="AM17" i="70"/>
  <c r="AH18" i="70"/>
  <c r="AI18" i="70"/>
  <c r="AN18" i="70" s="1"/>
  <c r="AJ18" i="70"/>
  <c r="AK18" i="70"/>
  <c r="AL18" i="70"/>
  <c r="AM18" i="70"/>
  <c r="AH19" i="70"/>
  <c r="AI19" i="70"/>
  <c r="AJ19" i="70"/>
  <c r="AK19" i="70"/>
  <c r="AL19" i="70"/>
  <c r="AM19" i="70"/>
  <c r="AH20" i="70"/>
  <c r="AI20" i="70"/>
  <c r="AJ20" i="70"/>
  <c r="AK20" i="70"/>
  <c r="AL20" i="70"/>
  <c r="AM20" i="70"/>
  <c r="AN20" i="70"/>
  <c r="AH21" i="70"/>
  <c r="AI21" i="70"/>
  <c r="AJ21" i="70"/>
  <c r="AK21" i="70"/>
  <c r="AL21" i="70"/>
  <c r="AM21" i="70"/>
  <c r="AH22" i="70"/>
  <c r="AI22" i="70"/>
  <c r="AN22" i="70" s="1"/>
  <c r="AJ22" i="70"/>
  <c r="AK22" i="70"/>
  <c r="AL22" i="70"/>
  <c r="AM22" i="70"/>
  <c r="AH23" i="70"/>
  <c r="AI23" i="70"/>
  <c r="AJ23" i="70"/>
  <c r="AK23" i="70"/>
  <c r="AL23" i="70"/>
  <c r="AM23" i="70"/>
  <c r="AH24" i="70"/>
  <c r="AN24" i="70" s="1"/>
  <c r="AI24" i="70"/>
  <c r="AJ24" i="70"/>
  <c r="AK24" i="70"/>
  <c r="AL24" i="70"/>
  <c r="AM24" i="70"/>
  <c r="AH25" i="70"/>
  <c r="AI25" i="70"/>
  <c r="AJ25" i="70"/>
  <c r="AK25" i="70"/>
  <c r="AL25" i="70"/>
  <c r="AM25" i="70"/>
  <c r="AH26" i="70"/>
  <c r="AI26" i="70"/>
  <c r="AN26" i="70" s="1"/>
  <c r="AJ26" i="70"/>
  <c r="AK26" i="70"/>
  <c r="AL26" i="70"/>
  <c r="AM26" i="70"/>
  <c r="AH27" i="70"/>
  <c r="AI27" i="70"/>
  <c r="AJ27" i="70"/>
  <c r="AK27" i="70"/>
  <c r="AL27" i="70"/>
  <c r="AM27" i="70"/>
  <c r="AH28" i="70"/>
  <c r="AI28" i="70"/>
  <c r="AJ28" i="70"/>
  <c r="AK28" i="70"/>
  <c r="AL28" i="70"/>
  <c r="AM28" i="70"/>
  <c r="AN28" i="70"/>
  <c r="AH29" i="70"/>
  <c r="AI29" i="70"/>
  <c r="AJ29" i="70"/>
  <c r="AK29" i="70"/>
  <c r="AL29" i="70"/>
  <c r="AM29" i="70"/>
  <c r="AH30" i="70"/>
  <c r="AI30" i="70"/>
  <c r="AN30" i="70" s="1"/>
  <c r="AJ30" i="70"/>
  <c r="AK30" i="70"/>
  <c r="AL30" i="70"/>
  <c r="AM30" i="70"/>
  <c r="AH31" i="70"/>
  <c r="AI31" i="70"/>
  <c r="AJ31" i="70"/>
  <c r="AK31" i="70"/>
  <c r="AL31" i="70"/>
  <c r="AM31" i="70"/>
  <c r="AH32" i="70"/>
  <c r="AN32" i="70" s="1"/>
  <c r="AI32" i="70"/>
  <c r="AJ32" i="70"/>
  <c r="AK32" i="70"/>
  <c r="AL32" i="70"/>
  <c r="AM32" i="70"/>
  <c r="AH33" i="70"/>
  <c r="AI33" i="70"/>
  <c r="AJ33" i="70"/>
  <c r="AK33" i="70"/>
  <c r="AL33" i="70"/>
  <c r="AM33" i="70"/>
  <c r="AH34" i="70"/>
  <c r="AI34" i="70"/>
  <c r="AN34" i="70" s="1"/>
  <c r="AJ34" i="70"/>
  <c r="AK34" i="70"/>
  <c r="AL34" i="70"/>
  <c r="AM34" i="70"/>
  <c r="AH35" i="70"/>
  <c r="AI35" i="70"/>
  <c r="AJ35" i="70"/>
  <c r="AK35" i="70"/>
  <c r="AL35" i="70"/>
  <c r="AM35" i="70"/>
  <c r="AH36" i="70"/>
  <c r="AI36" i="70"/>
  <c r="AJ36" i="70"/>
  <c r="AK36" i="70"/>
  <c r="AL36" i="70"/>
  <c r="AM36" i="70"/>
  <c r="AN36" i="70"/>
  <c r="AH37" i="70"/>
  <c r="AI37" i="70"/>
  <c r="AJ37" i="70"/>
  <c r="AK37" i="70"/>
  <c r="AL37" i="70"/>
  <c r="AM37" i="70"/>
  <c r="AH38" i="70"/>
  <c r="AI38" i="70"/>
  <c r="AN38" i="70" s="1"/>
  <c r="AJ38" i="70"/>
  <c r="AK38" i="70"/>
  <c r="AL38" i="70"/>
  <c r="AM38" i="70"/>
  <c r="AH39" i="70"/>
  <c r="AI39" i="70"/>
  <c r="AJ39" i="70"/>
  <c r="AK39" i="70"/>
  <c r="AL39" i="70"/>
  <c r="AM39" i="70"/>
  <c r="AH40" i="70"/>
  <c r="AN40" i="70" s="1"/>
  <c r="AI40" i="70"/>
  <c r="AJ40" i="70"/>
  <c r="AK40" i="70"/>
  <c r="AL40" i="70"/>
  <c r="AM40" i="70"/>
  <c r="AH41" i="70"/>
  <c r="AI41" i="70"/>
  <c r="AJ41" i="70"/>
  <c r="AK41" i="70"/>
  <c r="AL41" i="70"/>
  <c r="AM41" i="70"/>
  <c r="AH42" i="70"/>
  <c r="AI42" i="70"/>
  <c r="AN42" i="70" s="1"/>
  <c r="AJ42" i="70"/>
  <c r="AK42" i="70"/>
  <c r="AL42" i="70"/>
  <c r="AM42" i="70"/>
  <c r="AH43" i="70"/>
  <c r="AI43" i="70"/>
  <c r="AJ43" i="70"/>
  <c r="AK43" i="70"/>
  <c r="AL43" i="70"/>
  <c r="AM43" i="70"/>
  <c r="AH44" i="70"/>
  <c r="AI44" i="70"/>
  <c r="AJ44" i="70"/>
  <c r="AK44" i="70"/>
  <c r="AL44" i="70"/>
  <c r="AM44" i="70"/>
  <c r="AN44" i="70"/>
  <c r="AH45" i="70"/>
  <c r="AI45" i="70"/>
  <c r="AJ45" i="70"/>
  <c r="AK45" i="70"/>
  <c r="AL45" i="70"/>
  <c r="AM45" i="70"/>
  <c r="AH46" i="70"/>
  <c r="AI46" i="70"/>
  <c r="AN46" i="70" s="1"/>
  <c r="AJ46" i="70"/>
  <c r="AK46" i="70"/>
  <c r="AL46" i="70"/>
  <c r="AM46" i="70"/>
  <c r="AH47" i="70"/>
  <c r="AI47" i="70"/>
  <c r="AJ47" i="70"/>
  <c r="AK47" i="70"/>
  <c r="AL47" i="70"/>
  <c r="AM47" i="70"/>
  <c r="AH48" i="70"/>
  <c r="AN48" i="70" s="1"/>
  <c r="AI48" i="70"/>
  <c r="AJ48" i="70"/>
  <c r="AK48" i="70"/>
  <c r="AL48" i="70"/>
  <c r="AM48" i="70"/>
  <c r="AM9" i="70"/>
  <c r="AL9" i="70"/>
  <c r="AK9" i="70"/>
  <c r="AJ9" i="70"/>
  <c r="AI9" i="70"/>
  <c r="AH9" i="70"/>
  <c r="AC10" i="70"/>
  <c r="AO10" i="70" s="1"/>
  <c r="AD10" i="70"/>
  <c r="AP10" i="70" s="1"/>
  <c r="AE10" i="70"/>
  <c r="AQ10" i="70" s="1"/>
  <c r="AF10" i="70"/>
  <c r="AR10" i="70" s="1"/>
  <c r="AC11" i="70"/>
  <c r="AO11" i="70" s="1"/>
  <c r="AD11" i="70"/>
  <c r="AE11" i="70"/>
  <c r="AQ11" i="70" s="1"/>
  <c r="AF11" i="70"/>
  <c r="AR11" i="70" s="1"/>
  <c r="AC12" i="70"/>
  <c r="AO12" i="70" s="1"/>
  <c r="AD12" i="70"/>
  <c r="AP12" i="70" s="1"/>
  <c r="AE12" i="70"/>
  <c r="AG12" i="70" s="1"/>
  <c r="AF12" i="70"/>
  <c r="AR12" i="70" s="1"/>
  <c r="AC13" i="70"/>
  <c r="AO13" i="70" s="1"/>
  <c r="AD13" i="70"/>
  <c r="AG13" i="70" s="1"/>
  <c r="AE13" i="70"/>
  <c r="AQ13" i="70" s="1"/>
  <c r="AF13" i="70"/>
  <c r="AR13" i="70" s="1"/>
  <c r="AC14" i="70"/>
  <c r="AO14" i="70" s="1"/>
  <c r="AD14" i="70"/>
  <c r="AG14" i="70" s="1"/>
  <c r="AE14" i="70"/>
  <c r="AQ14" i="70" s="1"/>
  <c r="AF14" i="70"/>
  <c r="AR14" i="70" s="1"/>
  <c r="AC15" i="70"/>
  <c r="AO15" i="70" s="1"/>
  <c r="AD15" i="70"/>
  <c r="AE15" i="70"/>
  <c r="AQ15" i="70" s="1"/>
  <c r="AF15" i="70"/>
  <c r="AR15" i="70" s="1"/>
  <c r="AC16" i="70"/>
  <c r="AO16" i="70" s="1"/>
  <c r="AD16" i="70"/>
  <c r="AP16" i="70" s="1"/>
  <c r="AE16" i="70"/>
  <c r="AQ16" i="70" s="1"/>
  <c r="AF16" i="70"/>
  <c r="AR16" i="70" s="1"/>
  <c r="AG16" i="70"/>
  <c r="AC17" i="70"/>
  <c r="AO17" i="70" s="1"/>
  <c r="AD17" i="70"/>
  <c r="AE17" i="70"/>
  <c r="AQ17" i="70" s="1"/>
  <c r="AF17" i="70"/>
  <c r="AR17" i="70" s="1"/>
  <c r="AC18" i="70"/>
  <c r="AO18" i="70" s="1"/>
  <c r="AD18" i="70"/>
  <c r="AP18" i="70" s="1"/>
  <c r="AE18" i="70"/>
  <c r="AQ18" i="70" s="1"/>
  <c r="AF18" i="70"/>
  <c r="AR18" i="70" s="1"/>
  <c r="AC19" i="70"/>
  <c r="AO19" i="70" s="1"/>
  <c r="AD19" i="70"/>
  <c r="AE19" i="70"/>
  <c r="AQ19" i="70" s="1"/>
  <c r="AF19" i="70"/>
  <c r="AR19" i="70" s="1"/>
  <c r="AC20" i="70"/>
  <c r="AO20" i="70" s="1"/>
  <c r="AD20" i="70"/>
  <c r="AP20" i="70" s="1"/>
  <c r="AE20" i="70"/>
  <c r="AG20" i="70" s="1"/>
  <c r="AF20" i="70"/>
  <c r="AR20" i="70" s="1"/>
  <c r="AC21" i="70"/>
  <c r="AO21" i="70" s="1"/>
  <c r="AD21" i="70"/>
  <c r="AG21" i="70" s="1"/>
  <c r="AE21" i="70"/>
  <c r="AQ21" i="70" s="1"/>
  <c r="AF21" i="70"/>
  <c r="AR21" i="70" s="1"/>
  <c r="AC22" i="70"/>
  <c r="AO22" i="70" s="1"/>
  <c r="AD22" i="70"/>
  <c r="AG22" i="70" s="1"/>
  <c r="AE22" i="70"/>
  <c r="AQ22" i="70" s="1"/>
  <c r="AF22" i="70"/>
  <c r="AR22" i="70" s="1"/>
  <c r="AC23" i="70"/>
  <c r="AO23" i="70" s="1"/>
  <c r="AD23" i="70"/>
  <c r="AE23" i="70"/>
  <c r="AQ23" i="70" s="1"/>
  <c r="AF23" i="70"/>
  <c r="AR23" i="70" s="1"/>
  <c r="AC24" i="70"/>
  <c r="AO24" i="70" s="1"/>
  <c r="AD24" i="70"/>
  <c r="AP24" i="70" s="1"/>
  <c r="AE24" i="70"/>
  <c r="AQ24" i="70" s="1"/>
  <c r="AF24" i="70"/>
  <c r="AR24" i="70" s="1"/>
  <c r="AG24" i="70"/>
  <c r="AC25" i="70"/>
  <c r="AO25" i="70" s="1"/>
  <c r="AD25" i="70"/>
  <c r="AE25" i="70"/>
  <c r="AQ25" i="70" s="1"/>
  <c r="AF25" i="70"/>
  <c r="AR25" i="70" s="1"/>
  <c r="AC26" i="70"/>
  <c r="AO26" i="70" s="1"/>
  <c r="AD26" i="70"/>
  <c r="AP26" i="70" s="1"/>
  <c r="AE26" i="70"/>
  <c r="AQ26" i="70" s="1"/>
  <c r="AF26" i="70"/>
  <c r="AR26" i="70" s="1"/>
  <c r="AC27" i="70"/>
  <c r="AO27" i="70" s="1"/>
  <c r="AD27" i="70"/>
  <c r="AE27" i="70"/>
  <c r="AQ27" i="70" s="1"/>
  <c r="AF27" i="70"/>
  <c r="AR27" i="70" s="1"/>
  <c r="AC28" i="70"/>
  <c r="AO28" i="70" s="1"/>
  <c r="AD28" i="70"/>
  <c r="AP28" i="70" s="1"/>
  <c r="AE28" i="70"/>
  <c r="AG28" i="70" s="1"/>
  <c r="AF28" i="70"/>
  <c r="AR28" i="70" s="1"/>
  <c r="AC29" i="70"/>
  <c r="AO29" i="70" s="1"/>
  <c r="AD29" i="70"/>
  <c r="AG29" i="70" s="1"/>
  <c r="AE29" i="70"/>
  <c r="AQ29" i="70" s="1"/>
  <c r="AF29" i="70"/>
  <c r="AR29" i="70" s="1"/>
  <c r="AC30" i="70"/>
  <c r="AO30" i="70" s="1"/>
  <c r="AD30" i="70"/>
  <c r="AG30" i="70" s="1"/>
  <c r="AE30" i="70"/>
  <c r="AQ30" i="70" s="1"/>
  <c r="AF30" i="70"/>
  <c r="AR30" i="70" s="1"/>
  <c r="AC31" i="70"/>
  <c r="AO31" i="70" s="1"/>
  <c r="AD31" i="70"/>
  <c r="AE31" i="70"/>
  <c r="AQ31" i="70" s="1"/>
  <c r="AF31" i="70"/>
  <c r="AR31" i="70" s="1"/>
  <c r="AC32" i="70"/>
  <c r="AO32" i="70" s="1"/>
  <c r="AD32" i="70"/>
  <c r="AP32" i="70" s="1"/>
  <c r="AE32" i="70"/>
  <c r="AQ32" i="70" s="1"/>
  <c r="AF32" i="70"/>
  <c r="AR32" i="70" s="1"/>
  <c r="AG32" i="70"/>
  <c r="AC33" i="70"/>
  <c r="AO33" i="70" s="1"/>
  <c r="AD33" i="70"/>
  <c r="AE33" i="70"/>
  <c r="AQ33" i="70" s="1"/>
  <c r="AF33" i="70"/>
  <c r="AR33" i="70" s="1"/>
  <c r="AC34" i="70"/>
  <c r="AO34" i="70" s="1"/>
  <c r="AD34" i="70"/>
  <c r="AP34" i="70" s="1"/>
  <c r="AE34" i="70"/>
  <c r="AQ34" i="70" s="1"/>
  <c r="AF34" i="70"/>
  <c r="AR34" i="70" s="1"/>
  <c r="AC35" i="70"/>
  <c r="AO35" i="70" s="1"/>
  <c r="AD35" i="70"/>
  <c r="AE35" i="70"/>
  <c r="AQ35" i="70" s="1"/>
  <c r="AF35" i="70"/>
  <c r="AR35" i="70" s="1"/>
  <c r="AC36" i="70"/>
  <c r="AO36" i="70" s="1"/>
  <c r="AD36" i="70"/>
  <c r="AP36" i="70" s="1"/>
  <c r="AE36" i="70"/>
  <c r="AG36" i="70" s="1"/>
  <c r="AF36" i="70"/>
  <c r="AR36" i="70" s="1"/>
  <c r="AC37" i="70"/>
  <c r="AO37" i="70" s="1"/>
  <c r="AD37" i="70"/>
  <c r="AG37" i="70" s="1"/>
  <c r="AE37" i="70"/>
  <c r="AQ37" i="70" s="1"/>
  <c r="AF37" i="70"/>
  <c r="AR37" i="70" s="1"/>
  <c r="AC38" i="70"/>
  <c r="AO38" i="70" s="1"/>
  <c r="AD38" i="70"/>
  <c r="AG38" i="70" s="1"/>
  <c r="AE38" i="70"/>
  <c r="AQ38" i="70" s="1"/>
  <c r="AF38" i="70"/>
  <c r="AR38" i="70" s="1"/>
  <c r="AC39" i="70"/>
  <c r="AO39" i="70" s="1"/>
  <c r="AD39" i="70"/>
  <c r="AE39" i="70"/>
  <c r="AQ39" i="70" s="1"/>
  <c r="AF39" i="70"/>
  <c r="AR39" i="70" s="1"/>
  <c r="AC40" i="70"/>
  <c r="AO40" i="70" s="1"/>
  <c r="AD40" i="70"/>
  <c r="AP40" i="70" s="1"/>
  <c r="AE40" i="70"/>
  <c r="AQ40" i="70" s="1"/>
  <c r="AF40" i="70"/>
  <c r="AR40" i="70" s="1"/>
  <c r="AG40" i="70"/>
  <c r="AC41" i="70"/>
  <c r="AO41" i="70" s="1"/>
  <c r="AD41" i="70"/>
  <c r="AE41" i="70"/>
  <c r="AQ41" i="70" s="1"/>
  <c r="AF41" i="70"/>
  <c r="AR41" i="70" s="1"/>
  <c r="AC42" i="70"/>
  <c r="AO42" i="70" s="1"/>
  <c r="AD42" i="70"/>
  <c r="AP42" i="70" s="1"/>
  <c r="AE42" i="70"/>
  <c r="AQ42" i="70" s="1"/>
  <c r="AF42" i="70"/>
  <c r="AR42" i="70" s="1"/>
  <c r="AC43" i="70"/>
  <c r="AO43" i="70" s="1"/>
  <c r="AD43" i="70"/>
  <c r="AE43" i="70"/>
  <c r="AQ43" i="70" s="1"/>
  <c r="AF43" i="70"/>
  <c r="AR43" i="70" s="1"/>
  <c r="AC44" i="70"/>
  <c r="AO44" i="70" s="1"/>
  <c r="AD44" i="70"/>
  <c r="AP44" i="70" s="1"/>
  <c r="AE44" i="70"/>
  <c r="AG44" i="70" s="1"/>
  <c r="AF44" i="70"/>
  <c r="AR44" i="70" s="1"/>
  <c r="AC45" i="70"/>
  <c r="AO45" i="70" s="1"/>
  <c r="AD45" i="70"/>
  <c r="AG45" i="70" s="1"/>
  <c r="AE45" i="70"/>
  <c r="AQ45" i="70" s="1"/>
  <c r="AF45" i="70"/>
  <c r="AR45" i="70" s="1"/>
  <c r="AC46" i="70"/>
  <c r="AO46" i="70" s="1"/>
  <c r="AD46" i="70"/>
  <c r="AG46" i="70" s="1"/>
  <c r="AE46" i="70"/>
  <c r="AQ46" i="70" s="1"/>
  <c r="AF46" i="70"/>
  <c r="AR46" i="70" s="1"/>
  <c r="AC47" i="70"/>
  <c r="AO47" i="70" s="1"/>
  <c r="AD47" i="70"/>
  <c r="AE47" i="70"/>
  <c r="AQ47" i="70" s="1"/>
  <c r="AF47" i="70"/>
  <c r="AR47" i="70" s="1"/>
  <c r="AC48" i="70"/>
  <c r="AO48" i="70" s="1"/>
  <c r="AD48" i="70"/>
  <c r="AP48" i="70" s="1"/>
  <c r="AE48" i="70"/>
  <c r="AQ48" i="70" s="1"/>
  <c r="AF48" i="70"/>
  <c r="AR48" i="70" s="1"/>
  <c r="AG48" i="70"/>
  <c r="AF9" i="70"/>
  <c r="AR9" i="70" s="1"/>
  <c r="E10" i="57" s="1"/>
  <c r="AE9" i="70"/>
  <c r="AQ9" i="70" s="1"/>
  <c r="E9" i="57" s="1"/>
  <c r="AD9" i="70"/>
  <c r="AP9" i="70" s="1"/>
  <c r="E8" i="57" s="1"/>
  <c r="AC9" i="70"/>
  <c r="AO9" i="70" s="1"/>
  <c r="E7" i="57" s="1"/>
  <c r="M10" i="146"/>
  <c r="N10" i="146"/>
  <c r="O10" i="146"/>
  <c r="M11" i="146"/>
  <c r="N11" i="146"/>
  <c r="O11" i="146"/>
  <c r="M12" i="146"/>
  <c r="N12" i="146"/>
  <c r="O12" i="146"/>
  <c r="M13" i="146"/>
  <c r="N13" i="146"/>
  <c r="O13" i="146"/>
  <c r="M14" i="146"/>
  <c r="N14" i="146"/>
  <c r="O14" i="146"/>
  <c r="M15" i="146"/>
  <c r="N15" i="146"/>
  <c r="O15" i="146"/>
  <c r="M16" i="146"/>
  <c r="N16" i="146"/>
  <c r="O16" i="146"/>
  <c r="M17" i="146"/>
  <c r="N17" i="146"/>
  <c r="O17" i="146"/>
  <c r="M18" i="146"/>
  <c r="N18" i="146"/>
  <c r="O18" i="146"/>
  <c r="M19" i="146"/>
  <c r="N19" i="146"/>
  <c r="O19" i="146"/>
  <c r="M20" i="146"/>
  <c r="N20" i="146"/>
  <c r="O20" i="146"/>
  <c r="M21" i="146"/>
  <c r="N21" i="146"/>
  <c r="O21" i="146"/>
  <c r="M22" i="146"/>
  <c r="N22" i="146"/>
  <c r="O22" i="146"/>
  <c r="M23" i="146"/>
  <c r="N23" i="146"/>
  <c r="O23" i="146"/>
  <c r="M24" i="146"/>
  <c r="N24" i="146"/>
  <c r="O24" i="146"/>
  <c r="M25" i="146"/>
  <c r="N25" i="146"/>
  <c r="O25" i="146"/>
  <c r="M26" i="146"/>
  <c r="N26" i="146"/>
  <c r="O26" i="146"/>
  <c r="M27" i="146"/>
  <c r="N27" i="146"/>
  <c r="O27" i="146"/>
  <c r="M28" i="146"/>
  <c r="N28" i="146"/>
  <c r="O28" i="146"/>
  <c r="M29" i="146"/>
  <c r="N29" i="146"/>
  <c r="O29" i="146"/>
  <c r="M30" i="146"/>
  <c r="N30" i="146"/>
  <c r="O30" i="146"/>
  <c r="M31" i="146"/>
  <c r="N31" i="146"/>
  <c r="O31" i="146"/>
  <c r="M32" i="146"/>
  <c r="N32" i="146"/>
  <c r="O32" i="146"/>
  <c r="M33" i="146"/>
  <c r="N33" i="146"/>
  <c r="O33" i="146"/>
  <c r="M34" i="146"/>
  <c r="N34" i="146"/>
  <c r="O34" i="146"/>
  <c r="M35" i="146"/>
  <c r="N35" i="146"/>
  <c r="O35" i="146"/>
  <c r="M36" i="146"/>
  <c r="N36" i="146"/>
  <c r="O36" i="146"/>
  <c r="M37" i="146"/>
  <c r="N37" i="146"/>
  <c r="O37" i="146"/>
  <c r="M38" i="146"/>
  <c r="N38" i="146"/>
  <c r="O38" i="146"/>
  <c r="M39" i="146"/>
  <c r="N39" i="146"/>
  <c r="O39" i="146"/>
  <c r="M40" i="146"/>
  <c r="N40" i="146"/>
  <c r="O40" i="146"/>
  <c r="M41" i="146"/>
  <c r="N41" i="146"/>
  <c r="O41" i="146"/>
  <c r="M42" i="146"/>
  <c r="N42" i="146"/>
  <c r="O42" i="146"/>
  <c r="M43" i="146"/>
  <c r="N43" i="146"/>
  <c r="O43" i="146"/>
  <c r="N9" i="146"/>
  <c r="M9" i="146"/>
  <c r="M10" i="144"/>
  <c r="N10" i="144"/>
  <c r="O10" i="144"/>
  <c r="M11" i="144"/>
  <c r="N11" i="144"/>
  <c r="O11" i="144"/>
  <c r="M12" i="144"/>
  <c r="N12" i="144"/>
  <c r="O12" i="144"/>
  <c r="M13" i="144"/>
  <c r="N13" i="144"/>
  <c r="O13" i="144"/>
  <c r="M14" i="144"/>
  <c r="N14" i="144"/>
  <c r="O14" i="144"/>
  <c r="M15" i="144"/>
  <c r="N15" i="144"/>
  <c r="O15" i="144"/>
  <c r="M16" i="144"/>
  <c r="N16" i="144"/>
  <c r="O16" i="144"/>
  <c r="M17" i="144"/>
  <c r="N17" i="144"/>
  <c r="O17" i="144"/>
  <c r="M18" i="144"/>
  <c r="N18" i="144"/>
  <c r="O18" i="144"/>
  <c r="M19" i="144"/>
  <c r="N19" i="144"/>
  <c r="O19" i="144"/>
  <c r="M20" i="144"/>
  <c r="N20" i="144"/>
  <c r="O20" i="144"/>
  <c r="M21" i="144"/>
  <c r="N21" i="144"/>
  <c r="O21" i="144"/>
  <c r="M22" i="144"/>
  <c r="N22" i="144"/>
  <c r="O22" i="144"/>
  <c r="M23" i="144"/>
  <c r="N23" i="144"/>
  <c r="O23" i="144"/>
  <c r="M24" i="144"/>
  <c r="N24" i="144"/>
  <c r="O24" i="144"/>
  <c r="M25" i="144"/>
  <c r="N25" i="144"/>
  <c r="O25" i="144"/>
  <c r="M26" i="144"/>
  <c r="N26" i="144"/>
  <c r="O26" i="144"/>
  <c r="M27" i="144"/>
  <c r="N27" i="144"/>
  <c r="O27" i="144"/>
  <c r="M28" i="144"/>
  <c r="N28" i="144"/>
  <c r="O28" i="144"/>
  <c r="M29" i="144"/>
  <c r="N29" i="144"/>
  <c r="O29" i="144"/>
  <c r="M30" i="144"/>
  <c r="N30" i="144"/>
  <c r="O30" i="144"/>
  <c r="M31" i="144"/>
  <c r="N31" i="144"/>
  <c r="O31" i="144"/>
  <c r="M32" i="144"/>
  <c r="N32" i="144"/>
  <c r="O32" i="144"/>
  <c r="M33" i="144"/>
  <c r="N33" i="144"/>
  <c r="O33" i="144"/>
  <c r="M34" i="144"/>
  <c r="N34" i="144"/>
  <c r="O34" i="144"/>
  <c r="M35" i="144"/>
  <c r="N35" i="144"/>
  <c r="O35" i="144"/>
  <c r="M36" i="144"/>
  <c r="N36" i="144"/>
  <c r="O36" i="144"/>
  <c r="M37" i="144"/>
  <c r="N37" i="144"/>
  <c r="O37" i="144"/>
  <c r="M38" i="144"/>
  <c r="N38" i="144"/>
  <c r="O38" i="144"/>
  <c r="M39" i="144"/>
  <c r="N39" i="144"/>
  <c r="O39" i="144"/>
  <c r="M40" i="144"/>
  <c r="N40" i="144"/>
  <c r="O40" i="144"/>
  <c r="M41" i="144"/>
  <c r="N41" i="144"/>
  <c r="O41" i="144"/>
  <c r="M42" i="144"/>
  <c r="N42" i="144"/>
  <c r="O42" i="144"/>
  <c r="M43" i="144"/>
  <c r="N43" i="144"/>
  <c r="O43" i="144"/>
  <c r="O9" i="144"/>
  <c r="N9" i="144"/>
  <c r="M9" i="144"/>
  <c r="AW10" i="137"/>
  <c r="AX10" i="137"/>
  <c r="AY10" i="137"/>
  <c r="BA10" i="137" s="1"/>
  <c r="AZ10" i="137"/>
  <c r="BB10" i="137"/>
  <c r="BC10" i="137"/>
  <c r="BE10" i="137" s="1"/>
  <c r="BD10" i="137"/>
  <c r="BF10" i="137"/>
  <c r="BG10" i="137"/>
  <c r="BH10" i="137" s="1"/>
  <c r="AW11" i="137"/>
  <c r="AX11" i="137"/>
  <c r="BA11" i="137" s="1"/>
  <c r="AY11" i="137"/>
  <c r="AZ11" i="137"/>
  <c r="BB11" i="137"/>
  <c r="BE11" i="137" s="1"/>
  <c r="BC11" i="137"/>
  <c r="BD11" i="137"/>
  <c r="BF11" i="137"/>
  <c r="BG11" i="137"/>
  <c r="AW12" i="137"/>
  <c r="AX12" i="137"/>
  <c r="AY12" i="137"/>
  <c r="AZ12" i="137"/>
  <c r="BA12" i="137"/>
  <c r="BB12" i="137"/>
  <c r="BC12" i="137"/>
  <c r="BD12" i="137"/>
  <c r="BE12" i="137"/>
  <c r="BF12" i="137"/>
  <c r="BG12" i="137"/>
  <c r="BH12" i="137" s="1"/>
  <c r="AW13" i="137"/>
  <c r="AX13" i="137"/>
  <c r="BA13" i="137" s="1"/>
  <c r="AY13" i="137"/>
  <c r="AZ13" i="137"/>
  <c r="BB13" i="137"/>
  <c r="BE13" i="137" s="1"/>
  <c r="BC13" i="137"/>
  <c r="BD13" i="137"/>
  <c r="BF13" i="137"/>
  <c r="BG13" i="137"/>
  <c r="AW14" i="137"/>
  <c r="AX14" i="137"/>
  <c r="AY14" i="137"/>
  <c r="BA14" i="137" s="1"/>
  <c r="AZ14" i="137"/>
  <c r="BB14" i="137"/>
  <c r="BC14" i="137"/>
  <c r="BE14" i="137" s="1"/>
  <c r="BD14" i="137"/>
  <c r="BF14" i="137"/>
  <c r="BG14" i="137"/>
  <c r="BH14" i="137" s="1"/>
  <c r="AW15" i="137"/>
  <c r="AX15" i="137"/>
  <c r="BA15" i="137" s="1"/>
  <c r="AY15" i="137"/>
  <c r="AZ15" i="137"/>
  <c r="BB15" i="137"/>
  <c r="BE15" i="137" s="1"/>
  <c r="BC15" i="137"/>
  <c r="BD15" i="137"/>
  <c r="BF15" i="137"/>
  <c r="BG15" i="137"/>
  <c r="AW16" i="137"/>
  <c r="AX16" i="137"/>
  <c r="AY16" i="137"/>
  <c r="AZ16" i="137"/>
  <c r="BA16" i="137"/>
  <c r="BB16" i="137"/>
  <c r="BC16" i="137"/>
  <c r="BD16" i="137"/>
  <c r="BE16" i="137"/>
  <c r="BF16" i="137"/>
  <c r="BG16" i="137"/>
  <c r="BH16" i="137" s="1"/>
  <c r="AW17" i="137"/>
  <c r="AX17" i="137"/>
  <c r="BA17" i="137" s="1"/>
  <c r="AY17" i="137"/>
  <c r="AZ17" i="137"/>
  <c r="BB17" i="137"/>
  <c r="BE17" i="137" s="1"/>
  <c r="BC17" i="137"/>
  <c r="BD17" i="137"/>
  <c r="BF17" i="137"/>
  <c r="BG17" i="137"/>
  <c r="AW18" i="137"/>
  <c r="AX18" i="137"/>
  <c r="AY18" i="137"/>
  <c r="BA18" i="137" s="1"/>
  <c r="AZ18" i="137"/>
  <c r="BB18" i="137"/>
  <c r="BC18" i="137"/>
  <c r="BE18" i="137" s="1"/>
  <c r="BD18" i="137"/>
  <c r="BF18" i="137"/>
  <c r="BG18" i="137"/>
  <c r="BH18" i="137" s="1"/>
  <c r="AW19" i="137"/>
  <c r="AX19" i="137"/>
  <c r="BA19" i="137" s="1"/>
  <c r="AY19" i="137"/>
  <c r="AZ19" i="137"/>
  <c r="BB19" i="137"/>
  <c r="BE19" i="137" s="1"/>
  <c r="BC19" i="137"/>
  <c r="BD19" i="137"/>
  <c r="BF19" i="137"/>
  <c r="BG19" i="137"/>
  <c r="AW20" i="137"/>
  <c r="AX20" i="137"/>
  <c r="AY20" i="137"/>
  <c r="AZ20" i="137"/>
  <c r="BA20" i="137"/>
  <c r="BB20" i="137"/>
  <c r="BC20" i="137"/>
  <c r="BD20" i="137"/>
  <c r="BE20" i="137"/>
  <c r="BF20" i="137"/>
  <c r="BG20" i="137"/>
  <c r="BH20" i="137" s="1"/>
  <c r="AW21" i="137"/>
  <c r="AX21" i="137"/>
  <c r="BA21" i="137" s="1"/>
  <c r="AY21" i="137"/>
  <c r="AZ21" i="137"/>
  <c r="BB21" i="137"/>
  <c r="BE21" i="137" s="1"/>
  <c r="BC21" i="137"/>
  <c r="BD21" i="137"/>
  <c r="BF21" i="137"/>
  <c r="BG21" i="137"/>
  <c r="AW22" i="137"/>
  <c r="AX22" i="137"/>
  <c r="AY22" i="137"/>
  <c r="BA22" i="137" s="1"/>
  <c r="AZ22" i="137"/>
  <c r="BB22" i="137"/>
  <c r="BC22" i="137"/>
  <c r="BE22" i="137" s="1"/>
  <c r="BD22" i="137"/>
  <c r="BF22" i="137"/>
  <c r="BG22" i="137"/>
  <c r="BH22" i="137" s="1"/>
  <c r="AW23" i="137"/>
  <c r="AX23" i="137"/>
  <c r="BA23" i="137" s="1"/>
  <c r="AY23" i="137"/>
  <c r="AZ23" i="137"/>
  <c r="BB23" i="137"/>
  <c r="BE23" i="137" s="1"/>
  <c r="BC23" i="137"/>
  <c r="BD23" i="137"/>
  <c r="BF23" i="137"/>
  <c r="BG23" i="137"/>
  <c r="AW24" i="137"/>
  <c r="AX24" i="137"/>
  <c r="AY24" i="137"/>
  <c r="AZ24" i="137"/>
  <c r="BA24" i="137"/>
  <c r="BB24" i="137"/>
  <c r="BC24" i="137"/>
  <c r="BD24" i="137"/>
  <c r="BE24" i="137"/>
  <c r="BF24" i="137"/>
  <c r="BG24" i="137"/>
  <c r="BH24" i="137" s="1"/>
  <c r="AW25" i="137"/>
  <c r="AX25" i="137"/>
  <c r="BA25" i="137" s="1"/>
  <c r="AY25" i="137"/>
  <c r="AZ25" i="137"/>
  <c r="BB25" i="137"/>
  <c r="BE25" i="137" s="1"/>
  <c r="BC25" i="137"/>
  <c r="BD25" i="137"/>
  <c r="BF25" i="137"/>
  <c r="BG25" i="137"/>
  <c r="AW26" i="137"/>
  <c r="AX26" i="137"/>
  <c r="AY26" i="137"/>
  <c r="BA26" i="137" s="1"/>
  <c r="AZ26" i="137"/>
  <c r="BB26" i="137"/>
  <c r="BC26" i="137"/>
  <c r="BE26" i="137" s="1"/>
  <c r="BD26" i="137"/>
  <c r="BF26" i="137"/>
  <c r="BG26" i="137"/>
  <c r="BH26" i="137" s="1"/>
  <c r="AW27" i="137"/>
  <c r="AX27" i="137"/>
  <c r="BA27" i="137" s="1"/>
  <c r="AY27" i="137"/>
  <c r="AZ27" i="137"/>
  <c r="BB27" i="137"/>
  <c r="BE27" i="137" s="1"/>
  <c r="BC27" i="137"/>
  <c r="BD27" i="137"/>
  <c r="BF27" i="137"/>
  <c r="BG27" i="137"/>
  <c r="AW28" i="137"/>
  <c r="AX28" i="137"/>
  <c r="AY28" i="137"/>
  <c r="AZ28" i="137"/>
  <c r="BA28" i="137"/>
  <c r="BB28" i="137"/>
  <c r="BC28" i="137"/>
  <c r="BD28" i="137"/>
  <c r="BE28" i="137"/>
  <c r="BF28" i="137"/>
  <c r="BG28" i="137"/>
  <c r="BH28" i="137" s="1"/>
  <c r="AW29" i="137"/>
  <c r="AX29" i="137"/>
  <c r="BA29" i="137" s="1"/>
  <c r="AY29" i="137"/>
  <c r="AZ29" i="137"/>
  <c r="BB29" i="137"/>
  <c r="BE29" i="137" s="1"/>
  <c r="BC29" i="137"/>
  <c r="BD29" i="137"/>
  <c r="BF29" i="137"/>
  <c r="BG29" i="137"/>
  <c r="AW30" i="137"/>
  <c r="AX30" i="137"/>
  <c r="AY30" i="137"/>
  <c r="BA30" i="137" s="1"/>
  <c r="AZ30" i="137"/>
  <c r="BB30" i="137"/>
  <c r="BC30" i="137"/>
  <c r="BE30" i="137" s="1"/>
  <c r="BD30" i="137"/>
  <c r="BF30" i="137"/>
  <c r="BG30" i="137"/>
  <c r="BH30" i="137" s="1"/>
  <c r="AW31" i="137"/>
  <c r="AX31" i="137"/>
  <c r="BA31" i="137" s="1"/>
  <c r="AY31" i="137"/>
  <c r="AZ31" i="137"/>
  <c r="BB31" i="137"/>
  <c r="BE31" i="137" s="1"/>
  <c r="BC31" i="137"/>
  <c r="BD31" i="137"/>
  <c r="BF31" i="137"/>
  <c r="BG31" i="137"/>
  <c r="AW32" i="137"/>
  <c r="AX32" i="137"/>
  <c r="AY32" i="137"/>
  <c r="AZ32" i="137"/>
  <c r="BA32" i="137"/>
  <c r="BB32" i="137"/>
  <c r="BC32" i="137"/>
  <c r="BD32" i="137"/>
  <c r="BE32" i="137"/>
  <c r="BF32" i="137"/>
  <c r="BG32" i="137"/>
  <c r="BH32" i="137" s="1"/>
  <c r="AW33" i="137"/>
  <c r="AX33" i="137"/>
  <c r="BA33" i="137" s="1"/>
  <c r="AY33" i="137"/>
  <c r="AZ33" i="137"/>
  <c r="BB33" i="137"/>
  <c r="BE33" i="137" s="1"/>
  <c r="BC33" i="137"/>
  <c r="BD33" i="137"/>
  <c r="BF33" i="137"/>
  <c r="BG33" i="137"/>
  <c r="AW34" i="137"/>
  <c r="AX34" i="137"/>
  <c r="AY34" i="137"/>
  <c r="BA34" i="137" s="1"/>
  <c r="AZ34" i="137"/>
  <c r="BB34" i="137"/>
  <c r="BC34" i="137"/>
  <c r="BE34" i="137" s="1"/>
  <c r="BD34" i="137"/>
  <c r="BF34" i="137"/>
  <c r="BG34" i="137"/>
  <c r="BH34" i="137" s="1"/>
  <c r="AW35" i="137"/>
  <c r="AX35" i="137"/>
  <c r="BA35" i="137" s="1"/>
  <c r="AY35" i="137"/>
  <c r="AZ35" i="137"/>
  <c r="BB35" i="137"/>
  <c r="BE35" i="137" s="1"/>
  <c r="BC35" i="137"/>
  <c r="BD35" i="137"/>
  <c r="BF35" i="137"/>
  <c r="BG35" i="137"/>
  <c r="AW36" i="137"/>
  <c r="AX36" i="137"/>
  <c r="AY36" i="137"/>
  <c r="AZ36" i="137"/>
  <c r="BA36" i="137"/>
  <c r="BB36" i="137"/>
  <c r="BC36" i="137"/>
  <c r="BD36" i="137"/>
  <c r="BE36" i="137"/>
  <c r="BF36" i="137"/>
  <c r="BG36" i="137"/>
  <c r="BH36" i="137" s="1"/>
  <c r="AW37" i="137"/>
  <c r="AX37" i="137"/>
  <c r="BA37" i="137" s="1"/>
  <c r="AY37" i="137"/>
  <c r="AZ37" i="137"/>
  <c r="BB37" i="137"/>
  <c r="BE37" i="137" s="1"/>
  <c r="BC37" i="137"/>
  <c r="BD37" i="137"/>
  <c r="BF37" i="137"/>
  <c r="BG37" i="137"/>
  <c r="AW38" i="137"/>
  <c r="AX38" i="137"/>
  <c r="AY38" i="137"/>
  <c r="BA38" i="137" s="1"/>
  <c r="AZ38" i="137"/>
  <c r="BB38" i="137"/>
  <c r="BC38" i="137"/>
  <c r="BE38" i="137" s="1"/>
  <c r="BD38" i="137"/>
  <c r="BF38" i="137"/>
  <c r="BG38" i="137"/>
  <c r="BH38" i="137" s="1"/>
  <c r="AW39" i="137"/>
  <c r="AX39" i="137"/>
  <c r="BA39" i="137" s="1"/>
  <c r="AY39" i="137"/>
  <c r="AZ39" i="137"/>
  <c r="BB39" i="137"/>
  <c r="BE39" i="137" s="1"/>
  <c r="BC39" i="137"/>
  <c r="BD39" i="137"/>
  <c r="BF39" i="137"/>
  <c r="BG39" i="137"/>
  <c r="AW40" i="137"/>
  <c r="AX40" i="137"/>
  <c r="AY40" i="137"/>
  <c r="AZ40" i="137"/>
  <c r="BA40" i="137"/>
  <c r="BB40" i="137"/>
  <c r="BC40" i="137"/>
  <c r="BD40" i="137"/>
  <c r="BE40" i="137"/>
  <c r="BF40" i="137"/>
  <c r="BG40" i="137"/>
  <c r="BH40" i="137" s="1"/>
  <c r="AW41" i="137"/>
  <c r="AX41" i="137"/>
  <c r="BA41" i="137" s="1"/>
  <c r="AY41" i="137"/>
  <c r="AZ41" i="137"/>
  <c r="BB41" i="137"/>
  <c r="BE41" i="137" s="1"/>
  <c r="BC41" i="137"/>
  <c r="BD41" i="137"/>
  <c r="BF41" i="137"/>
  <c r="BG41" i="137"/>
  <c r="AW42" i="137"/>
  <c r="AX42" i="137"/>
  <c r="AY42" i="137"/>
  <c r="BA42" i="137" s="1"/>
  <c r="AZ42" i="137"/>
  <c r="BB42" i="137"/>
  <c r="BC42" i="137"/>
  <c r="BE42" i="137" s="1"/>
  <c r="BD42" i="137"/>
  <c r="BF42" i="137"/>
  <c r="BG42" i="137"/>
  <c r="BH42" i="137" s="1"/>
  <c r="AW43" i="137"/>
  <c r="AX43" i="137"/>
  <c r="BA43" i="137" s="1"/>
  <c r="AY43" i="137"/>
  <c r="AZ43" i="137"/>
  <c r="BB43" i="137"/>
  <c r="BE43" i="137" s="1"/>
  <c r="BC43" i="137"/>
  <c r="BD43" i="137"/>
  <c r="BF43" i="137"/>
  <c r="BG43" i="137"/>
  <c r="AW44" i="137"/>
  <c r="AX44" i="137"/>
  <c r="AY44" i="137"/>
  <c r="AZ44" i="137"/>
  <c r="BA44" i="137"/>
  <c r="BB44" i="137"/>
  <c r="BC44" i="137"/>
  <c r="BD44" i="137"/>
  <c r="BE44" i="137"/>
  <c r="BF44" i="137"/>
  <c r="BG44" i="137"/>
  <c r="BH44" i="137" s="1"/>
  <c r="AW45" i="137"/>
  <c r="AX45" i="137"/>
  <c r="BA45" i="137" s="1"/>
  <c r="AY45" i="137"/>
  <c r="AZ45" i="137"/>
  <c r="BB45" i="137"/>
  <c r="BE45" i="137" s="1"/>
  <c r="BC45" i="137"/>
  <c r="BD45" i="137"/>
  <c r="BF45" i="137"/>
  <c r="BG45" i="137"/>
  <c r="AW46" i="137"/>
  <c r="AX46" i="137"/>
  <c r="AY46" i="137"/>
  <c r="BA46" i="137" s="1"/>
  <c r="AZ46" i="137"/>
  <c r="BB46" i="137"/>
  <c r="BC46" i="137"/>
  <c r="BE46" i="137" s="1"/>
  <c r="BD46" i="137"/>
  <c r="BF46" i="137"/>
  <c r="BG46" i="137"/>
  <c r="BH46" i="137" s="1"/>
  <c r="AW47" i="137"/>
  <c r="AX47" i="137"/>
  <c r="BA47" i="137" s="1"/>
  <c r="AY47" i="137"/>
  <c r="AZ47" i="137"/>
  <c r="BB47" i="137"/>
  <c r="BE47" i="137" s="1"/>
  <c r="BC47" i="137"/>
  <c r="BD47" i="137"/>
  <c r="BF47" i="137"/>
  <c r="BG47" i="137"/>
  <c r="AW48" i="137"/>
  <c r="AX48" i="137"/>
  <c r="AY48" i="137"/>
  <c r="AZ48" i="137"/>
  <c r="BA48" i="137"/>
  <c r="BB48" i="137"/>
  <c r="BC48" i="137"/>
  <c r="BD48" i="137"/>
  <c r="BE48" i="137"/>
  <c r="BF48" i="137"/>
  <c r="BG48" i="137"/>
  <c r="BH48" i="137" s="1"/>
  <c r="BG9" i="137"/>
  <c r="BH9" i="137" s="1"/>
  <c r="BF9" i="137"/>
  <c r="BC9" i="137"/>
  <c r="BD9" i="137"/>
  <c r="BE9" i="137" s="1"/>
  <c r="BB9" i="137"/>
  <c r="AY9" i="137"/>
  <c r="AZ9" i="137"/>
  <c r="BA9" i="137" s="1"/>
  <c r="AX9" i="137"/>
  <c r="AW9" i="137"/>
  <c r="AP10" i="137"/>
  <c r="AQ10" i="137"/>
  <c r="AR10" i="137"/>
  <c r="AT10" i="137"/>
  <c r="AU10" i="137"/>
  <c r="AV10" i="137"/>
  <c r="AP11" i="137"/>
  <c r="AQ11" i="137"/>
  <c r="AR11" i="137"/>
  <c r="AS11" i="137"/>
  <c r="AT11" i="137"/>
  <c r="AU11" i="137"/>
  <c r="AV11" i="137" s="1"/>
  <c r="AP12" i="137"/>
  <c r="AQ12" i="137"/>
  <c r="AR12" i="137"/>
  <c r="AT12" i="137"/>
  <c r="AU12" i="137"/>
  <c r="AV12" i="137"/>
  <c r="AP13" i="137"/>
  <c r="AQ13" i="137"/>
  <c r="AR13" i="137"/>
  <c r="AS13" i="137"/>
  <c r="AT13" i="137"/>
  <c r="AU13" i="137"/>
  <c r="AV13" i="137" s="1"/>
  <c r="AP14" i="137"/>
  <c r="AQ14" i="137"/>
  <c r="AR14" i="137"/>
  <c r="AT14" i="137"/>
  <c r="AU14" i="137"/>
  <c r="AV14" i="137"/>
  <c r="AP15" i="137"/>
  <c r="AQ15" i="137"/>
  <c r="AR15" i="137"/>
  <c r="AS15" i="137"/>
  <c r="AT15" i="137"/>
  <c r="AU15" i="137"/>
  <c r="AV15" i="137" s="1"/>
  <c r="AP16" i="137"/>
  <c r="AQ16" i="137"/>
  <c r="AR16" i="137"/>
  <c r="AT16" i="137"/>
  <c r="AU16" i="137"/>
  <c r="AV16" i="137"/>
  <c r="AP17" i="137"/>
  <c r="AQ17" i="137"/>
  <c r="AR17" i="137"/>
  <c r="AS17" i="137"/>
  <c r="AT17" i="137"/>
  <c r="AU17" i="137"/>
  <c r="AV17" i="137" s="1"/>
  <c r="AP18" i="137"/>
  <c r="AQ18" i="137"/>
  <c r="AR18" i="137"/>
  <c r="AT18" i="137"/>
  <c r="AU18" i="137"/>
  <c r="AV18" i="137"/>
  <c r="AP19" i="137"/>
  <c r="AQ19" i="137"/>
  <c r="AR19" i="137"/>
  <c r="AS19" i="137"/>
  <c r="AT19" i="137"/>
  <c r="AU19" i="137"/>
  <c r="AV19" i="137" s="1"/>
  <c r="AP20" i="137"/>
  <c r="AQ20" i="137"/>
  <c r="AR20" i="137"/>
  <c r="AT20" i="137"/>
  <c r="AU20" i="137"/>
  <c r="AV20" i="137"/>
  <c r="AP21" i="137"/>
  <c r="AQ21" i="137"/>
  <c r="AR21" i="137"/>
  <c r="AS21" i="137"/>
  <c r="AT21" i="137"/>
  <c r="AU21" i="137"/>
  <c r="AV21" i="137" s="1"/>
  <c r="AP22" i="137"/>
  <c r="AQ22" i="137"/>
  <c r="AR22" i="137"/>
  <c r="AT22" i="137"/>
  <c r="AU22" i="137"/>
  <c r="AV22" i="137"/>
  <c r="AP23" i="137"/>
  <c r="AQ23" i="137"/>
  <c r="AR23" i="137"/>
  <c r="AS23" i="137"/>
  <c r="AT23" i="137"/>
  <c r="AU23" i="137"/>
  <c r="AV23" i="137" s="1"/>
  <c r="AP24" i="137"/>
  <c r="AQ24" i="137"/>
  <c r="AR24" i="137"/>
  <c r="AT24" i="137"/>
  <c r="AU24" i="137"/>
  <c r="AV24" i="137"/>
  <c r="AP25" i="137"/>
  <c r="AQ25" i="137"/>
  <c r="AR25" i="137"/>
  <c r="AS25" i="137"/>
  <c r="AT25" i="137"/>
  <c r="AU25" i="137"/>
  <c r="AV25" i="137" s="1"/>
  <c r="AP26" i="137"/>
  <c r="AQ26" i="137"/>
  <c r="AR26" i="137"/>
  <c r="AT26" i="137"/>
  <c r="AU26" i="137"/>
  <c r="AV26" i="137"/>
  <c r="AP27" i="137"/>
  <c r="AQ27" i="137"/>
  <c r="AR27" i="137"/>
  <c r="AS27" i="137"/>
  <c r="AT27" i="137"/>
  <c r="AU27" i="137"/>
  <c r="AV27" i="137" s="1"/>
  <c r="AP28" i="137"/>
  <c r="AQ28" i="137"/>
  <c r="AR28" i="137"/>
  <c r="AT28" i="137"/>
  <c r="AU28" i="137"/>
  <c r="AV28" i="137"/>
  <c r="AP29" i="137"/>
  <c r="AQ29" i="137"/>
  <c r="AR29" i="137"/>
  <c r="AS29" i="137"/>
  <c r="AT29" i="137"/>
  <c r="AU29" i="137"/>
  <c r="AV29" i="137" s="1"/>
  <c r="AP30" i="137"/>
  <c r="AQ30" i="137"/>
  <c r="AR30" i="137"/>
  <c r="AT30" i="137"/>
  <c r="AU30" i="137"/>
  <c r="AV30" i="137"/>
  <c r="AP31" i="137"/>
  <c r="AQ31" i="137"/>
  <c r="AR31" i="137"/>
  <c r="AS31" i="137"/>
  <c r="AT31" i="137"/>
  <c r="AU31" i="137"/>
  <c r="AV31" i="137" s="1"/>
  <c r="AP32" i="137"/>
  <c r="AQ32" i="137"/>
  <c r="AR32" i="137"/>
  <c r="AT32" i="137"/>
  <c r="AU32" i="137"/>
  <c r="AV32" i="137"/>
  <c r="AP33" i="137"/>
  <c r="AQ33" i="137"/>
  <c r="AR33" i="137"/>
  <c r="AS33" i="137"/>
  <c r="AT33" i="137"/>
  <c r="AU33" i="137"/>
  <c r="AV33" i="137" s="1"/>
  <c r="AP34" i="137"/>
  <c r="AQ34" i="137"/>
  <c r="AR34" i="137"/>
  <c r="AT34" i="137"/>
  <c r="AU34" i="137"/>
  <c r="AV34" i="137"/>
  <c r="AP35" i="137"/>
  <c r="AQ35" i="137"/>
  <c r="AR35" i="137"/>
  <c r="AS35" i="137"/>
  <c r="AT35" i="137"/>
  <c r="AU35" i="137"/>
  <c r="AV35" i="137" s="1"/>
  <c r="AP36" i="137"/>
  <c r="AQ36" i="137"/>
  <c r="AR36" i="137"/>
  <c r="AT36" i="137"/>
  <c r="AU36" i="137"/>
  <c r="AV36" i="137"/>
  <c r="AP37" i="137"/>
  <c r="AQ37" i="137"/>
  <c r="AR37" i="137"/>
  <c r="AS37" i="137"/>
  <c r="AT37" i="137"/>
  <c r="AU37" i="137"/>
  <c r="AV37" i="137" s="1"/>
  <c r="AP38" i="137"/>
  <c r="AQ38" i="137"/>
  <c r="AR38" i="137"/>
  <c r="AT38" i="137"/>
  <c r="AU38" i="137"/>
  <c r="AV38" i="137"/>
  <c r="AP39" i="137"/>
  <c r="AQ39" i="137"/>
  <c r="AR39" i="137"/>
  <c r="AS39" i="137"/>
  <c r="AT39" i="137"/>
  <c r="AU39" i="137"/>
  <c r="AV39" i="137" s="1"/>
  <c r="AP40" i="137"/>
  <c r="AQ40" i="137"/>
  <c r="AR40" i="137"/>
  <c r="AT40" i="137"/>
  <c r="AU40" i="137"/>
  <c r="AV40" i="137"/>
  <c r="AP41" i="137"/>
  <c r="AQ41" i="137"/>
  <c r="AR41" i="137"/>
  <c r="AS41" i="137"/>
  <c r="AT41" i="137"/>
  <c r="AU41" i="137"/>
  <c r="AV41" i="137" s="1"/>
  <c r="AP42" i="137"/>
  <c r="AQ42" i="137"/>
  <c r="AR42" i="137"/>
  <c r="AT42" i="137"/>
  <c r="AU42" i="137"/>
  <c r="AV42" i="137"/>
  <c r="AP43" i="137"/>
  <c r="AQ43" i="137"/>
  <c r="AR43" i="137"/>
  <c r="AS43" i="137"/>
  <c r="AT43" i="137"/>
  <c r="AU43" i="137"/>
  <c r="AV43" i="137" s="1"/>
  <c r="AP44" i="137"/>
  <c r="AQ44" i="137"/>
  <c r="AR44" i="137"/>
  <c r="AT44" i="137"/>
  <c r="AU44" i="137"/>
  <c r="AV44" i="137"/>
  <c r="AP45" i="137"/>
  <c r="AQ45" i="137"/>
  <c r="AR45" i="137"/>
  <c r="AS45" i="137"/>
  <c r="AT45" i="137"/>
  <c r="AU45" i="137"/>
  <c r="AV45" i="137" s="1"/>
  <c r="AP46" i="137"/>
  <c r="AQ46" i="137"/>
  <c r="AR46" i="137"/>
  <c r="AT46" i="137"/>
  <c r="AU46" i="137"/>
  <c r="AV46" i="137"/>
  <c r="AP47" i="137"/>
  <c r="AQ47" i="137"/>
  <c r="AR47" i="137"/>
  <c r="AS47" i="137"/>
  <c r="AT47" i="137"/>
  <c r="AU47" i="137"/>
  <c r="AV47" i="137" s="1"/>
  <c r="AP48" i="137"/>
  <c r="AQ48" i="137"/>
  <c r="AR48" i="137"/>
  <c r="AT48" i="137"/>
  <c r="AU48" i="137"/>
  <c r="AV48" i="137"/>
  <c r="AU9" i="137"/>
  <c r="AT9" i="137"/>
  <c r="AV9" i="137" s="1"/>
  <c r="AS9" i="137"/>
  <c r="AQ9" i="137"/>
  <c r="AR9" i="137"/>
  <c r="AP9" i="137"/>
  <c r="AJ10" i="137"/>
  <c r="AK10" i="137"/>
  <c r="AL10" i="137"/>
  <c r="AM10" i="137"/>
  <c r="AN10" i="137"/>
  <c r="AJ11" i="137"/>
  <c r="AK11" i="137"/>
  <c r="AL11" i="137"/>
  <c r="AM11" i="137"/>
  <c r="AO11" i="137" s="1"/>
  <c r="AN11" i="137"/>
  <c r="AJ12" i="137"/>
  <c r="AK12" i="137"/>
  <c r="AL12" i="137"/>
  <c r="AM12" i="137"/>
  <c r="AN12" i="137"/>
  <c r="AO12" i="137"/>
  <c r="AJ13" i="137"/>
  <c r="AK13" i="137"/>
  <c r="AL13" i="137"/>
  <c r="AM13" i="137"/>
  <c r="AO13" i="137" s="1"/>
  <c r="AN13" i="137"/>
  <c r="AJ14" i="137"/>
  <c r="AK14" i="137"/>
  <c r="AL14" i="137"/>
  <c r="AM14" i="137"/>
  <c r="AN14" i="137"/>
  <c r="AO14" i="137"/>
  <c r="AJ15" i="137"/>
  <c r="AK15" i="137"/>
  <c r="AL15" i="137"/>
  <c r="AM15" i="137"/>
  <c r="AO15" i="137" s="1"/>
  <c r="AN15" i="137"/>
  <c r="AJ16" i="137"/>
  <c r="AK16" i="137"/>
  <c r="AL16" i="137"/>
  <c r="AM16" i="137"/>
  <c r="AN16" i="137"/>
  <c r="AO16" i="137"/>
  <c r="AJ17" i="137"/>
  <c r="AK17" i="137"/>
  <c r="AL17" i="137"/>
  <c r="AM17" i="137"/>
  <c r="AO17" i="137" s="1"/>
  <c r="AN17" i="137"/>
  <c r="AJ18" i="137"/>
  <c r="AK18" i="137"/>
  <c r="AL18" i="137"/>
  <c r="AM18" i="137"/>
  <c r="AN18" i="137"/>
  <c r="AO18" i="137"/>
  <c r="AJ19" i="137"/>
  <c r="AK19" i="137"/>
  <c r="AL19" i="137"/>
  <c r="AM19" i="137"/>
  <c r="AO19" i="137" s="1"/>
  <c r="AN19" i="137"/>
  <c r="AJ20" i="137"/>
  <c r="AK20" i="137"/>
  <c r="AL20" i="137"/>
  <c r="AM20" i="137"/>
  <c r="AN20" i="137"/>
  <c r="AO20" i="137"/>
  <c r="AJ21" i="137"/>
  <c r="AK21" i="137"/>
  <c r="AL21" i="137"/>
  <c r="AM21" i="137"/>
  <c r="AO21" i="137" s="1"/>
  <c r="AN21" i="137"/>
  <c r="AJ22" i="137"/>
  <c r="AK22" i="137"/>
  <c r="AL22" i="137"/>
  <c r="AM22" i="137"/>
  <c r="AN22" i="137"/>
  <c r="AO22" i="137"/>
  <c r="AJ23" i="137"/>
  <c r="AK23" i="137"/>
  <c r="AL23" i="137"/>
  <c r="AM23" i="137"/>
  <c r="AO23" i="137" s="1"/>
  <c r="AN23" i="137"/>
  <c r="AJ24" i="137"/>
  <c r="AK24" i="137"/>
  <c r="AL24" i="137"/>
  <c r="AM24" i="137"/>
  <c r="AN24" i="137"/>
  <c r="AO24" i="137"/>
  <c r="AJ25" i="137"/>
  <c r="AK25" i="137"/>
  <c r="AL25" i="137"/>
  <c r="AM25" i="137"/>
  <c r="AO25" i="137" s="1"/>
  <c r="AN25" i="137"/>
  <c r="AJ26" i="137"/>
  <c r="AK26" i="137"/>
  <c r="AL26" i="137"/>
  <c r="AM26" i="137"/>
  <c r="AN26" i="137"/>
  <c r="AO26" i="137"/>
  <c r="AJ27" i="137"/>
  <c r="AK27" i="137"/>
  <c r="AL27" i="137"/>
  <c r="AM27" i="137"/>
  <c r="AO27" i="137" s="1"/>
  <c r="AN27" i="137"/>
  <c r="AJ28" i="137"/>
  <c r="AK28" i="137"/>
  <c r="AL28" i="137"/>
  <c r="AM28" i="137"/>
  <c r="AN28" i="137"/>
  <c r="AO28" i="137"/>
  <c r="AJ29" i="137"/>
  <c r="AK29" i="137"/>
  <c r="AL29" i="137"/>
  <c r="AM29" i="137"/>
  <c r="AO29" i="137" s="1"/>
  <c r="AN29" i="137"/>
  <c r="AJ30" i="137"/>
  <c r="AK30" i="137"/>
  <c r="AL30" i="137"/>
  <c r="AM30" i="137"/>
  <c r="AN30" i="137"/>
  <c r="AO30" i="137"/>
  <c r="AJ31" i="137"/>
  <c r="AK31" i="137"/>
  <c r="AL31" i="137"/>
  <c r="AM31" i="137"/>
  <c r="AO31" i="137" s="1"/>
  <c r="AN31" i="137"/>
  <c r="AJ32" i="137"/>
  <c r="AK32" i="137"/>
  <c r="AL32" i="137"/>
  <c r="AM32" i="137"/>
  <c r="AN32" i="137"/>
  <c r="AO32" i="137"/>
  <c r="AJ33" i="137"/>
  <c r="AK33" i="137"/>
  <c r="AL33" i="137"/>
  <c r="AM33" i="137"/>
  <c r="AO33" i="137" s="1"/>
  <c r="AN33" i="137"/>
  <c r="AJ34" i="137"/>
  <c r="AK34" i="137"/>
  <c r="AL34" i="137"/>
  <c r="AM34" i="137"/>
  <c r="AN34" i="137"/>
  <c r="AO34" i="137"/>
  <c r="AJ35" i="137"/>
  <c r="AK35" i="137"/>
  <c r="AL35" i="137"/>
  <c r="AM35" i="137"/>
  <c r="AO35" i="137" s="1"/>
  <c r="AN35" i="137"/>
  <c r="AJ36" i="137"/>
  <c r="AK36" i="137"/>
  <c r="AL36" i="137"/>
  <c r="AM36" i="137"/>
  <c r="AN36" i="137"/>
  <c r="AO36" i="137"/>
  <c r="AJ37" i="137"/>
  <c r="AK37" i="137"/>
  <c r="AL37" i="137"/>
  <c r="AM37" i="137"/>
  <c r="AO37" i="137" s="1"/>
  <c r="AN37" i="137"/>
  <c r="AJ38" i="137"/>
  <c r="AK38" i="137"/>
  <c r="AL38" i="137"/>
  <c r="AM38" i="137"/>
  <c r="AN38" i="137"/>
  <c r="AO38" i="137"/>
  <c r="AJ39" i="137"/>
  <c r="AK39" i="137"/>
  <c r="AL39" i="137"/>
  <c r="AM39" i="137"/>
  <c r="AO39" i="137" s="1"/>
  <c r="AN39" i="137"/>
  <c r="AJ40" i="137"/>
  <c r="AK40" i="137"/>
  <c r="AL40" i="137"/>
  <c r="AM40" i="137"/>
  <c r="AN40" i="137"/>
  <c r="AO40" i="137"/>
  <c r="AJ41" i="137"/>
  <c r="AK41" i="137"/>
  <c r="AL41" i="137"/>
  <c r="AM41" i="137"/>
  <c r="AO41" i="137" s="1"/>
  <c r="AN41" i="137"/>
  <c r="AJ42" i="137"/>
  <c r="AK42" i="137"/>
  <c r="AL42" i="137"/>
  <c r="AM42" i="137"/>
  <c r="AN42" i="137"/>
  <c r="AO42" i="137"/>
  <c r="AJ43" i="137"/>
  <c r="AK43" i="137"/>
  <c r="AL43" i="137"/>
  <c r="AM43" i="137"/>
  <c r="AO43" i="137" s="1"/>
  <c r="AN43" i="137"/>
  <c r="AJ44" i="137"/>
  <c r="AK44" i="137"/>
  <c r="AL44" i="137"/>
  <c r="AM44" i="137"/>
  <c r="AN44" i="137"/>
  <c r="AO44" i="137"/>
  <c r="AJ45" i="137"/>
  <c r="AK45" i="137"/>
  <c r="AL45" i="137"/>
  <c r="AM45" i="137"/>
  <c r="AO45" i="137" s="1"/>
  <c r="AN45" i="137"/>
  <c r="AJ46" i="137"/>
  <c r="AK46" i="137"/>
  <c r="AL46" i="137"/>
  <c r="AM46" i="137"/>
  <c r="AN46" i="137"/>
  <c r="AO46" i="137"/>
  <c r="AJ47" i="137"/>
  <c r="AK47" i="137"/>
  <c r="AL47" i="137"/>
  <c r="AM47" i="137"/>
  <c r="AO47" i="137" s="1"/>
  <c r="AN47" i="137"/>
  <c r="AJ48" i="137"/>
  <c r="AK48" i="137"/>
  <c r="AL48" i="137"/>
  <c r="AM48" i="137"/>
  <c r="AN48" i="137"/>
  <c r="AO48" i="137"/>
  <c r="AL9" i="137"/>
  <c r="AM9" i="137"/>
  <c r="AN9" i="137"/>
  <c r="AK9" i="137"/>
  <c r="AO9" i="137" s="1"/>
  <c r="AJ9" i="137"/>
  <c r="AA10" i="137"/>
  <c r="AB10" i="137"/>
  <c r="AE10" i="137" s="1"/>
  <c r="AC10" i="137"/>
  <c r="AD10" i="137"/>
  <c r="AA11" i="137"/>
  <c r="AB11" i="137"/>
  <c r="AC11" i="137"/>
  <c r="AD11" i="137"/>
  <c r="AA12" i="137"/>
  <c r="AB12" i="137"/>
  <c r="AC12" i="137"/>
  <c r="AD12" i="137"/>
  <c r="AE12" i="137"/>
  <c r="AA13" i="137"/>
  <c r="AB13" i="137"/>
  <c r="AC13" i="137"/>
  <c r="AD13" i="137"/>
  <c r="AA14" i="137"/>
  <c r="AB14" i="137"/>
  <c r="AE14" i="137" s="1"/>
  <c r="AC14" i="137"/>
  <c r="AD14" i="137"/>
  <c r="AA15" i="137"/>
  <c r="AB15" i="137"/>
  <c r="AC15" i="137"/>
  <c r="AD15" i="137"/>
  <c r="AA16" i="137"/>
  <c r="AB16" i="137"/>
  <c r="AC16" i="137"/>
  <c r="AE16" i="137" s="1"/>
  <c r="AD16" i="137"/>
  <c r="AA17" i="137"/>
  <c r="AB17" i="137"/>
  <c r="AE17" i="137" s="1"/>
  <c r="AC17" i="137"/>
  <c r="AD17" i="137"/>
  <c r="AA18" i="137"/>
  <c r="AB18" i="137"/>
  <c r="AE18" i="137" s="1"/>
  <c r="AC18" i="137"/>
  <c r="AD18" i="137"/>
  <c r="AA19" i="137"/>
  <c r="AB19" i="137"/>
  <c r="AC19" i="137"/>
  <c r="AD19" i="137"/>
  <c r="AA20" i="137"/>
  <c r="AB20" i="137"/>
  <c r="AC20" i="137"/>
  <c r="AD20" i="137"/>
  <c r="AE20" i="137"/>
  <c r="AA21" i="137"/>
  <c r="AB21" i="137"/>
  <c r="AC21" i="137"/>
  <c r="AD21" i="137"/>
  <c r="AA22" i="137"/>
  <c r="AB22" i="137"/>
  <c r="AE22" i="137" s="1"/>
  <c r="AC22" i="137"/>
  <c r="AD22" i="137"/>
  <c r="AA23" i="137"/>
  <c r="AB23" i="137"/>
  <c r="AC23" i="137"/>
  <c r="AD23" i="137"/>
  <c r="AA24" i="137"/>
  <c r="AB24" i="137"/>
  <c r="AE24" i="137" s="1"/>
  <c r="AC24" i="137"/>
  <c r="AD24" i="137"/>
  <c r="AA25" i="137"/>
  <c r="AB25" i="137"/>
  <c r="AE25" i="137" s="1"/>
  <c r="AC25" i="137"/>
  <c r="AD25" i="137"/>
  <c r="AA26" i="137"/>
  <c r="AB26" i="137"/>
  <c r="AE26" i="137" s="1"/>
  <c r="AC26" i="137"/>
  <c r="AD26" i="137"/>
  <c r="AA27" i="137"/>
  <c r="AB27" i="137"/>
  <c r="AC27" i="137"/>
  <c r="AD27" i="137"/>
  <c r="AA28" i="137"/>
  <c r="AB28" i="137"/>
  <c r="AC28" i="137"/>
  <c r="AD28" i="137"/>
  <c r="AE28" i="137"/>
  <c r="AA29" i="137"/>
  <c r="AB29" i="137"/>
  <c r="AC29" i="137"/>
  <c r="AD29" i="137"/>
  <c r="AA30" i="137"/>
  <c r="AB30" i="137"/>
  <c r="AE30" i="137" s="1"/>
  <c r="AC30" i="137"/>
  <c r="AD30" i="137"/>
  <c r="AA31" i="137"/>
  <c r="AB31" i="137"/>
  <c r="AC31" i="137"/>
  <c r="AD31" i="137"/>
  <c r="AA32" i="137"/>
  <c r="AB32" i="137"/>
  <c r="AE32" i="137" s="1"/>
  <c r="AC32" i="137"/>
  <c r="AD32" i="137"/>
  <c r="AA33" i="137"/>
  <c r="AB33" i="137"/>
  <c r="AE33" i="137" s="1"/>
  <c r="AC33" i="137"/>
  <c r="AD33" i="137"/>
  <c r="AA34" i="137"/>
  <c r="AB34" i="137"/>
  <c r="AE34" i="137" s="1"/>
  <c r="AC34" i="137"/>
  <c r="AD34" i="137"/>
  <c r="AA35" i="137"/>
  <c r="AB35" i="137"/>
  <c r="AC35" i="137"/>
  <c r="AD35" i="137"/>
  <c r="AA36" i="137"/>
  <c r="AB36" i="137"/>
  <c r="AC36" i="137"/>
  <c r="AD36" i="137"/>
  <c r="AE36" i="137"/>
  <c r="AA37" i="137"/>
  <c r="AB37" i="137"/>
  <c r="AC37" i="137"/>
  <c r="AD37" i="137"/>
  <c r="AA38" i="137"/>
  <c r="AB38" i="137"/>
  <c r="AE38" i="137" s="1"/>
  <c r="AC38" i="137"/>
  <c r="AD38" i="137"/>
  <c r="AA39" i="137"/>
  <c r="AB39" i="137"/>
  <c r="AC39" i="137"/>
  <c r="AD39" i="137"/>
  <c r="AA40" i="137"/>
  <c r="AB40" i="137"/>
  <c r="AE40" i="137" s="1"/>
  <c r="AC40" i="137"/>
  <c r="AD40" i="137"/>
  <c r="AA41" i="137"/>
  <c r="AB41" i="137"/>
  <c r="AE41" i="137" s="1"/>
  <c r="AC41" i="137"/>
  <c r="AD41" i="137"/>
  <c r="AA42" i="137"/>
  <c r="AB42" i="137"/>
  <c r="AE42" i="137" s="1"/>
  <c r="AC42" i="137"/>
  <c r="AD42" i="137"/>
  <c r="AA43" i="137"/>
  <c r="AB43" i="137"/>
  <c r="AC43" i="137"/>
  <c r="AD43" i="137"/>
  <c r="AA44" i="137"/>
  <c r="AB44" i="137"/>
  <c r="AC44" i="137"/>
  <c r="AD44" i="137"/>
  <c r="AE44" i="137"/>
  <c r="AA45" i="137"/>
  <c r="AB45" i="137"/>
  <c r="AC45" i="137"/>
  <c r="AD45" i="137"/>
  <c r="AA46" i="137"/>
  <c r="AB46" i="137"/>
  <c r="AE46" i="137" s="1"/>
  <c r="AC46" i="137"/>
  <c r="AD46" i="137"/>
  <c r="AA47" i="137"/>
  <c r="AB47" i="137"/>
  <c r="AC47" i="137"/>
  <c r="AD47" i="137"/>
  <c r="AA48" i="137"/>
  <c r="AB48" i="137"/>
  <c r="AC48" i="137"/>
  <c r="AE48" i="137" s="1"/>
  <c r="AD48" i="137"/>
  <c r="AD9" i="137"/>
  <c r="AC9" i="137"/>
  <c r="AB9" i="137"/>
  <c r="AA9" i="137"/>
  <c r="W10" i="137"/>
  <c r="AF10" i="137" s="1"/>
  <c r="X10" i="137"/>
  <c r="AG10" i="137" s="1"/>
  <c r="Y10" i="137"/>
  <c r="AH10" i="137" s="1"/>
  <c r="W11" i="137"/>
  <c r="X11" i="137"/>
  <c r="AG11" i="137" s="1"/>
  <c r="Y11" i="137"/>
  <c r="AH11" i="137" s="1"/>
  <c r="W12" i="137"/>
  <c r="X12" i="137"/>
  <c r="AG12" i="137" s="1"/>
  <c r="Y12" i="137"/>
  <c r="AH12" i="137" s="1"/>
  <c r="W13" i="137"/>
  <c r="Z13" i="137" s="1"/>
  <c r="X13" i="137"/>
  <c r="AG13" i="137" s="1"/>
  <c r="Y13" i="137"/>
  <c r="AH13" i="137" s="1"/>
  <c r="W14" i="137"/>
  <c r="X14" i="137"/>
  <c r="AG14" i="137" s="1"/>
  <c r="Y14" i="137"/>
  <c r="AH14" i="137" s="1"/>
  <c r="W15" i="137"/>
  <c r="X15" i="137"/>
  <c r="AG15" i="137" s="1"/>
  <c r="Y15" i="137"/>
  <c r="AH15" i="137" s="1"/>
  <c r="W16" i="137"/>
  <c r="X16" i="137"/>
  <c r="AG16" i="137" s="1"/>
  <c r="Y16" i="137"/>
  <c r="AH16" i="137" s="1"/>
  <c r="W17" i="137"/>
  <c r="Z17" i="137" s="1"/>
  <c r="X17" i="137"/>
  <c r="AG17" i="137" s="1"/>
  <c r="Y17" i="137"/>
  <c r="AH17" i="137" s="1"/>
  <c r="W18" i="137"/>
  <c r="AF18" i="137" s="1"/>
  <c r="X18" i="137"/>
  <c r="AG18" i="137" s="1"/>
  <c r="Y18" i="137"/>
  <c r="AH18" i="137" s="1"/>
  <c r="W19" i="137"/>
  <c r="X19" i="137"/>
  <c r="AG19" i="137" s="1"/>
  <c r="Y19" i="137"/>
  <c r="AH19" i="137" s="1"/>
  <c r="W20" i="137"/>
  <c r="X20" i="137"/>
  <c r="AG20" i="137" s="1"/>
  <c r="Y20" i="137"/>
  <c r="AH20" i="137" s="1"/>
  <c r="W21" i="137"/>
  <c r="Z21" i="137" s="1"/>
  <c r="X21" i="137"/>
  <c r="AG21" i="137" s="1"/>
  <c r="Y21" i="137"/>
  <c r="AH21" i="137" s="1"/>
  <c r="W22" i="137"/>
  <c r="AF22" i="137" s="1"/>
  <c r="X22" i="137"/>
  <c r="AG22" i="137" s="1"/>
  <c r="Y22" i="137"/>
  <c r="AH22" i="137" s="1"/>
  <c r="W23" i="137"/>
  <c r="X23" i="137"/>
  <c r="AG23" i="137" s="1"/>
  <c r="Y23" i="137"/>
  <c r="AH23" i="137" s="1"/>
  <c r="W24" i="137"/>
  <c r="X24" i="137"/>
  <c r="AG24" i="137" s="1"/>
  <c r="Y24" i="137"/>
  <c r="AH24" i="137" s="1"/>
  <c r="W25" i="137"/>
  <c r="Z25" i="137" s="1"/>
  <c r="X25" i="137"/>
  <c r="AG25" i="137" s="1"/>
  <c r="Y25" i="137"/>
  <c r="AH25" i="137" s="1"/>
  <c r="W26" i="137"/>
  <c r="AF26" i="137" s="1"/>
  <c r="X26" i="137"/>
  <c r="AG26" i="137" s="1"/>
  <c r="Y26" i="137"/>
  <c r="AH26" i="137" s="1"/>
  <c r="W27" i="137"/>
  <c r="X27" i="137"/>
  <c r="AG27" i="137" s="1"/>
  <c r="Y27" i="137"/>
  <c r="AH27" i="137" s="1"/>
  <c r="W28" i="137"/>
  <c r="X28" i="137"/>
  <c r="AG28" i="137" s="1"/>
  <c r="Y28" i="137"/>
  <c r="AH28" i="137" s="1"/>
  <c r="W29" i="137"/>
  <c r="Z29" i="137" s="1"/>
  <c r="X29" i="137"/>
  <c r="AG29" i="137" s="1"/>
  <c r="Y29" i="137"/>
  <c r="AH29" i="137" s="1"/>
  <c r="W30" i="137"/>
  <c r="X30" i="137"/>
  <c r="AG30" i="137" s="1"/>
  <c r="Y30" i="137"/>
  <c r="AH30" i="137" s="1"/>
  <c r="W31" i="137"/>
  <c r="X31" i="137"/>
  <c r="AG31" i="137" s="1"/>
  <c r="Y31" i="137"/>
  <c r="AH31" i="137" s="1"/>
  <c r="W32" i="137"/>
  <c r="X32" i="137"/>
  <c r="AG32" i="137" s="1"/>
  <c r="Y32" i="137"/>
  <c r="AH32" i="137" s="1"/>
  <c r="W33" i="137"/>
  <c r="Z33" i="137" s="1"/>
  <c r="X33" i="137"/>
  <c r="AG33" i="137" s="1"/>
  <c r="Y33" i="137"/>
  <c r="AH33" i="137" s="1"/>
  <c r="W34" i="137"/>
  <c r="AF34" i="137" s="1"/>
  <c r="X34" i="137"/>
  <c r="AG34" i="137" s="1"/>
  <c r="Y34" i="137"/>
  <c r="AH34" i="137" s="1"/>
  <c r="W35" i="137"/>
  <c r="X35" i="137"/>
  <c r="AG35" i="137" s="1"/>
  <c r="Y35" i="137"/>
  <c r="AH35" i="137" s="1"/>
  <c r="W36" i="137"/>
  <c r="X36" i="137"/>
  <c r="AG36" i="137" s="1"/>
  <c r="Y36" i="137"/>
  <c r="AH36" i="137" s="1"/>
  <c r="W37" i="137"/>
  <c r="Z37" i="137" s="1"/>
  <c r="X37" i="137"/>
  <c r="AG37" i="137" s="1"/>
  <c r="Y37" i="137"/>
  <c r="AH37" i="137" s="1"/>
  <c r="W38" i="137"/>
  <c r="AF38" i="137" s="1"/>
  <c r="X38" i="137"/>
  <c r="AG38" i="137" s="1"/>
  <c r="Y38" i="137"/>
  <c r="AH38" i="137" s="1"/>
  <c r="W39" i="137"/>
  <c r="X39" i="137"/>
  <c r="AG39" i="137" s="1"/>
  <c r="Y39" i="137"/>
  <c r="AH39" i="137" s="1"/>
  <c r="W40" i="137"/>
  <c r="AF40" i="137" s="1"/>
  <c r="X40" i="137"/>
  <c r="AG40" i="137" s="1"/>
  <c r="Y40" i="137"/>
  <c r="AH40" i="137" s="1"/>
  <c r="W41" i="137"/>
  <c r="Z41" i="137" s="1"/>
  <c r="X41" i="137"/>
  <c r="AG41" i="137" s="1"/>
  <c r="Y41" i="137"/>
  <c r="AH41" i="137" s="1"/>
  <c r="W42" i="137"/>
  <c r="AF42" i="137" s="1"/>
  <c r="X42" i="137"/>
  <c r="AG42" i="137" s="1"/>
  <c r="Y42" i="137"/>
  <c r="AH42" i="137" s="1"/>
  <c r="W43" i="137"/>
  <c r="X43" i="137"/>
  <c r="AG43" i="137" s="1"/>
  <c r="Y43" i="137"/>
  <c r="AH43" i="137" s="1"/>
  <c r="W44" i="137"/>
  <c r="AF44" i="137" s="1"/>
  <c r="X44" i="137"/>
  <c r="AG44" i="137" s="1"/>
  <c r="Y44" i="137"/>
  <c r="AH44" i="137" s="1"/>
  <c r="W45" i="137"/>
  <c r="Z45" i="137" s="1"/>
  <c r="X45" i="137"/>
  <c r="AG45" i="137" s="1"/>
  <c r="Y45" i="137"/>
  <c r="AH45" i="137" s="1"/>
  <c r="W46" i="137"/>
  <c r="AF46" i="137" s="1"/>
  <c r="X46" i="137"/>
  <c r="AG46" i="137" s="1"/>
  <c r="Y46" i="137"/>
  <c r="AH46" i="137" s="1"/>
  <c r="W47" i="137"/>
  <c r="X47" i="137"/>
  <c r="AG47" i="137" s="1"/>
  <c r="Y47" i="137"/>
  <c r="AH47" i="137" s="1"/>
  <c r="W48" i="137"/>
  <c r="AF48" i="137" s="1"/>
  <c r="X48" i="137"/>
  <c r="AG48" i="137" s="1"/>
  <c r="Y48" i="137"/>
  <c r="AH48" i="137" s="1"/>
  <c r="Y9" i="137"/>
  <c r="AH9" i="137" s="1"/>
  <c r="E9" i="134" s="1"/>
  <c r="X9" i="137"/>
  <c r="AG9" i="137" s="1"/>
  <c r="E8" i="134" s="1"/>
  <c r="W9" i="137"/>
  <c r="AF9" i="137" s="1"/>
  <c r="E7" i="134" s="1"/>
  <c r="N9" i="138"/>
  <c r="M9" i="138"/>
  <c r="AM10" i="135"/>
  <c r="AN10" i="135"/>
  <c r="AO10" i="135"/>
  <c r="AP10" i="135" s="1"/>
  <c r="AQ10" i="135"/>
  <c r="AR10" i="135"/>
  <c r="AM11" i="135"/>
  <c r="AN11" i="135"/>
  <c r="AO11" i="135"/>
  <c r="AQ11" i="135"/>
  <c r="AR11" i="135"/>
  <c r="AM12" i="135"/>
  <c r="AN12" i="135"/>
  <c r="AP12" i="135" s="1"/>
  <c r="AO12" i="135"/>
  <c r="AQ12" i="135"/>
  <c r="AR12" i="135"/>
  <c r="AM13" i="135"/>
  <c r="AN13" i="135"/>
  <c r="AO13" i="135"/>
  <c r="AP13" i="135"/>
  <c r="AQ13" i="135"/>
  <c r="AR13" i="135"/>
  <c r="AM14" i="135"/>
  <c r="AN14" i="135"/>
  <c r="AP14" i="135" s="1"/>
  <c r="AO14" i="135"/>
  <c r="AQ14" i="135"/>
  <c r="AR14" i="135"/>
  <c r="AM15" i="135"/>
  <c r="AN15" i="135"/>
  <c r="AO15" i="135"/>
  <c r="AP15" i="135"/>
  <c r="AQ15" i="135"/>
  <c r="AR15" i="135"/>
  <c r="AM16" i="135"/>
  <c r="AN16" i="135"/>
  <c r="AP16" i="135" s="1"/>
  <c r="AO16" i="135"/>
  <c r="AQ16" i="135"/>
  <c r="AR16" i="135"/>
  <c r="AM17" i="135"/>
  <c r="AN17" i="135"/>
  <c r="AO17" i="135"/>
  <c r="AP17" i="135"/>
  <c r="AQ17" i="135"/>
  <c r="AR17" i="135"/>
  <c r="AM18" i="135"/>
  <c r="AN18" i="135"/>
  <c r="AO18" i="135"/>
  <c r="AP18" i="135" s="1"/>
  <c r="AQ18" i="135"/>
  <c r="AR18" i="135"/>
  <c r="AM19" i="135"/>
  <c r="AN19" i="135"/>
  <c r="AP19" i="135" s="1"/>
  <c r="AO19" i="135"/>
  <c r="AQ19" i="135"/>
  <c r="AR19" i="135"/>
  <c r="AM20" i="135"/>
  <c r="AN20" i="135"/>
  <c r="AO20" i="135"/>
  <c r="AP20" i="135" s="1"/>
  <c r="AQ20" i="135"/>
  <c r="AR20" i="135"/>
  <c r="AM21" i="135"/>
  <c r="AN21" i="135"/>
  <c r="AP21" i="135" s="1"/>
  <c r="AO21" i="135"/>
  <c r="AQ21" i="135"/>
  <c r="AR21" i="135"/>
  <c r="AM22" i="135"/>
  <c r="AN22" i="135"/>
  <c r="AO22" i="135"/>
  <c r="AP22" i="135" s="1"/>
  <c r="AQ22" i="135"/>
  <c r="AR22" i="135"/>
  <c r="AM23" i="135"/>
  <c r="AN23" i="135"/>
  <c r="AP23" i="135" s="1"/>
  <c r="AO23" i="135"/>
  <c r="AQ23" i="135"/>
  <c r="AR23" i="135"/>
  <c r="AM24" i="135"/>
  <c r="AN24" i="135"/>
  <c r="AO24" i="135"/>
  <c r="AP24" i="135" s="1"/>
  <c r="AQ24" i="135"/>
  <c r="AR24" i="135"/>
  <c r="AM25" i="135"/>
  <c r="AN25" i="135"/>
  <c r="AP25" i="135" s="1"/>
  <c r="AO25" i="135"/>
  <c r="AQ25" i="135"/>
  <c r="AR25" i="135"/>
  <c r="AM26" i="135"/>
  <c r="AN26" i="135"/>
  <c r="AO26" i="135"/>
  <c r="AP26" i="135" s="1"/>
  <c r="AQ26" i="135"/>
  <c r="AR26" i="135"/>
  <c r="AM27" i="135"/>
  <c r="AN27" i="135"/>
  <c r="AP27" i="135" s="1"/>
  <c r="AO27" i="135"/>
  <c r="AQ27" i="135"/>
  <c r="AR27" i="135"/>
  <c r="AM28" i="135"/>
  <c r="AN28" i="135"/>
  <c r="AO28" i="135"/>
  <c r="AP28" i="135" s="1"/>
  <c r="AQ28" i="135"/>
  <c r="AR28" i="135"/>
  <c r="AM29" i="135"/>
  <c r="AN29" i="135"/>
  <c r="AP29" i="135" s="1"/>
  <c r="AO29" i="135"/>
  <c r="AQ29" i="135"/>
  <c r="AR29" i="135"/>
  <c r="AM30" i="135"/>
  <c r="AN30" i="135"/>
  <c r="AO30" i="135"/>
  <c r="AP30" i="135" s="1"/>
  <c r="AQ30" i="135"/>
  <c r="AR30" i="135"/>
  <c r="AM31" i="135"/>
  <c r="AN31" i="135"/>
  <c r="AP31" i="135" s="1"/>
  <c r="AO31" i="135"/>
  <c r="AQ31" i="135"/>
  <c r="AR31" i="135"/>
  <c r="AM32" i="135"/>
  <c r="AN32" i="135"/>
  <c r="AO32" i="135"/>
  <c r="AP32" i="135" s="1"/>
  <c r="AQ32" i="135"/>
  <c r="AR32" i="135"/>
  <c r="AM33" i="135"/>
  <c r="AN33" i="135"/>
  <c r="AP33" i="135" s="1"/>
  <c r="AO33" i="135"/>
  <c r="AQ33" i="135"/>
  <c r="AR33" i="135"/>
  <c r="AM34" i="135"/>
  <c r="AN34" i="135"/>
  <c r="AO34" i="135"/>
  <c r="AP34" i="135" s="1"/>
  <c r="AQ34" i="135"/>
  <c r="AR34" i="135"/>
  <c r="AM35" i="135"/>
  <c r="AN35" i="135"/>
  <c r="AP35" i="135" s="1"/>
  <c r="AO35" i="135"/>
  <c r="AQ35" i="135"/>
  <c r="AR35" i="135"/>
  <c r="AM36" i="135"/>
  <c r="AN36" i="135"/>
  <c r="AO36" i="135"/>
  <c r="AP36" i="135" s="1"/>
  <c r="AQ36" i="135"/>
  <c r="AR36" i="135"/>
  <c r="AM37" i="135"/>
  <c r="AN37" i="135"/>
  <c r="AP37" i="135" s="1"/>
  <c r="AO37" i="135"/>
  <c r="AQ37" i="135"/>
  <c r="AR37" i="135"/>
  <c r="AM38" i="135"/>
  <c r="AN38" i="135"/>
  <c r="AO38" i="135"/>
  <c r="AP38" i="135" s="1"/>
  <c r="AQ38" i="135"/>
  <c r="AR38" i="135"/>
  <c r="AM39" i="135"/>
  <c r="AN39" i="135"/>
  <c r="AP39" i="135" s="1"/>
  <c r="AO39" i="135"/>
  <c r="AQ39" i="135"/>
  <c r="AR39" i="135"/>
  <c r="AM40" i="135"/>
  <c r="AN40" i="135"/>
  <c r="AO40" i="135"/>
  <c r="AP40" i="135" s="1"/>
  <c r="AQ40" i="135"/>
  <c r="AR40" i="135"/>
  <c r="AM41" i="135"/>
  <c r="AN41" i="135"/>
  <c r="AP41" i="135" s="1"/>
  <c r="AO41" i="135"/>
  <c r="AQ41" i="135"/>
  <c r="AR41" i="135"/>
  <c r="AM42" i="135"/>
  <c r="AN42" i="135"/>
  <c r="AO42" i="135"/>
  <c r="AP42" i="135" s="1"/>
  <c r="AQ42" i="135"/>
  <c r="AR42" i="135"/>
  <c r="AM43" i="135"/>
  <c r="AN43" i="135"/>
  <c r="AP43" i="135" s="1"/>
  <c r="AO43" i="135"/>
  <c r="AQ43" i="135"/>
  <c r="AR43" i="135"/>
  <c r="AM44" i="135"/>
  <c r="AN44" i="135"/>
  <c r="AO44" i="135"/>
  <c r="AP44" i="135" s="1"/>
  <c r="AQ44" i="135"/>
  <c r="AR44" i="135"/>
  <c r="AM45" i="135"/>
  <c r="AN45" i="135"/>
  <c r="AP45" i="135" s="1"/>
  <c r="AO45" i="135"/>
  <c r="AQ45" i="135"/>
  <c r="AR45" i="135"/>
  <c r="AM46" i="135"/>
  <c r="AN46" i="135"/>
  <c r="AO46" i="135"/>
  <c r="AP46" i="135" s="1"/>
  <c r="AQ46" i="135"/>
  <c r="AR46" i="135"/>
  <c r="AM47" i="135"/>
  <c r="AN47" i="135"/>
  <c r="AP47" i="135" s="1"/>
  <c r="AO47" i="135"/>
  <c r="AQ47" i="135"/>
  <c r="AR47" i="135"/>
  <c r="AM48" i="135"/>
  <c r="AN48" i="135"/>
  <c r="AO48" i="135"/>
  <c r="AP48" i="135" s="1"/>
  <c r="AQ48" i="135"/>
  <c r="AR48" i="135"/>
  <c r="AO9" i="135"/>
  <c r="AR9" i="135"/>
  <c r="AQ9" i="135"/>
  <c r="AN9" i="135"/>
  <c r="AP9" i="135" s="1"/>
  <c r="AM9" i="135"/>
  <c r="AG10" i="135"/>
  <c r="AH10" i="135"/>
  <c r="AI10" i="135"/>
  <c r="AJ10" i="135"/>
  <c r="AK10" i="135"/>
  <c r="AG11" i="135"/>
  <c r="AH11" i="135"/>
  <c r="AI11" i="135" s="1"/>
  <c r="AJ11" i="135"/>
  <c r="AK11" i="135"/>
  <c r="AL11" i="135" s="1"/>
  <c r="AG12" i="135"/>
  <c r="AI12" i="135" s="1"/>
  <c r="AH12" i="135"/>
  <c r="AJ12" i="135"/>
  <c r="AK12" i="135"/>
  <c r="AL12" i="135" s="1"/>
  <c r="AG13" i="135"/>
  <c r="AI13" i="135" s="1"/>
  <c r="AH13" i="135"/>
  <c r="AJ13" i="135"/>
  <c r="AK13" i="135"/>
  <c r="AG14" i="135"/>
  <c r="AH14" i="135"/>
  <c r="AI14" i="135"/>
  <c r="AJ14" i="135"/>
  <c r="AK14" i="135"/>
  <c r="AG15" i="135"/>
  <c r="AH15" i="135"/>
  <c r="AI15" i="135" s="1"/>
  <c r="AJ15" i="135"/>
  <c r="AK15" i="135"/>
  <c r="AL15" i="135" s="1"/>
  <c r="AG16" i="135"/>
  <c r="AI16" i="135" s="1"/>
  <c r="AH16" i="135"/>
  <c r="AJ16" i="135"/>
  <c r="AK16" i="135"/>
  <c r="AL16" i="135" s="1"/>
  <c r="AG17" i="135"/>
  <c r="AI17" i="135" s="1"/>
  <c r="AH17" i="135"/>
  <c r="AJ17" i="135"/>
  <c r="AK17" i="135"/>
  <c r="AG18" i="135"/>
  <c r="AH18" i="135"/>
  <c r="AI18" i="135"/>
  <c r="AJ18" i="135"/>
  <c r="AK18" i="135"/>
  <c r="AG19" i="135"/>
  <c r="AH19" i="135"/>
  <c r="AI19" i="135" s="1"/>
  <c r="AJ19" i="135"/>
  <c r="AK19" i="135"/>
  <c r="AL19" i="135" s="1"/>
  <c r="AG20" i="135"/>
  <c r="AI20" i="135" s="1"/>
  <c r="AH20" i="135"/>
  <c r="AJ20" i="135"/>
  <c r="AK20" i="135"/>
  <c r="AL20" i="135" s="1"/>
  <c r="AG21" i="135"/>
  <c r="AI21" i="135" s="1"/>
  <c r="AH21" i="135"/>
  <c r="AJ21" i="135"/>
  <c r="AK21" i="135"/>
  <c r="AG22" i="135"/>
  <c r="AH22" i="135"/>
  <c r="AI22" i="135"/>
  <c r="AJ22" i="135"/>
  <c r="AK22" i="135"/>
  <c r="AG23" i="135"/>
  <c r="AH23" i="135"/>
  <c r="AI23" i="135" s="1"/>
  <c r="AJ23" i="135"/>
  <c r="AK23" i="135"/>
  <c r="AL23" i="135" s="1"/>
  <c r="AG24" i="135"/>
  <c r="AI24" i="135" s="1"/>
  <c r="AH24" i="135"/>
  <c r="AJ24" i="135"/>
  <c r="AK24" i="135"/>
  <c r="AL24" i="135" s="1"/>
  <c r="AG25" i="135"/>
  <c r="AI25" i="135" s="1"/>
  <c r="AH25" i="135"/>
  <c r="AJ25" i="135"/>
  <c r="AK25" i="135"/>
  <c r="AG26" i="135"/>
  <c r="AH26" i="135"/>
  <c r="AI26" i="135"/>
  <c r="AJ26" i="135"/>
  <c r="AK26" i="135"/>
  <c r="AG27" i="135"/>
  <c r="AH27" i="135"/>
  <c r="AI27" i="135" s="1"/>
  <c r="AJ27" i="135"/>
  <c r="AK27" i="135"/>
  <c r="AL27" i="135" s="1"/>
  <c r="AG28" i="135"/>
  <c r="AI28" i="135" s="1"/>
  <c r="AH28" i="135"/>
  <c r="AJ28" i="135"/>
  <c r="AK28" i="135"/>
  <c r="AL28" i="135" s="1"/>
  <c r="AG29" i="135"/>
  <c r="AI29" i="135" s="1"/>
  <c r="AH29" i="135"/>
  <c r="AJ29" i="135"/>
  <c r="AK29" i="135"/>
  <c r="AG30" i="135"/>
  <c r="AH30" i="135"/>
  <c r="AI30" i="135"/>
  <c r="AJ30" i="135"/>
  <c r="AK30" i="135"/>
  <c r="AG31" i="135"/>
  <c r="AH31" i="135"/>
  <c r="AI31" i="135" s="1"/>
  <c r="AJ31" i="135"/>
  <c r="AK31" i="135"/>
  <c r="AL31" i="135" s="1"/>
  <c r="AG32" i="135"/>
  <c r="AI32" i="135" s="1"/>
  <c r="AH32" i="135"/>
  <c r="AJ32" i="135"/>
  <c r="AK32" i="135"/>
  <c r="AL32" i="135" s="1"/>
  <c r="AG33" i="135"/>
  <c r="AI33" i="135" s="1"/>
  <c r="AH33" i="135"/>
  <c r="AJ33" i="135"/>
  <c r="AK33" i="135"/>
  <c r="AG34" i="135"/>
  <c r="AH34" i="135"/>
  <c r="AI34" i="135"/>
  <c r="AJ34" i="135"/>
  <c r="AK34" i="135"/>
  <c r="AG35" i="135"/>
  <c r="AH35" i="135"/>
  <c r="AI35" i="135" s="1"/>
  <c r="AJ35" i="135"/>
  <c r="AK35" i="135"/>
  <c r="AL35" i="135" s="1"/>
  <c r="AG36" i="135"/>
  <c r="AI36" i="135" s="1"/>
  <c r="AH36" i="135"/>
  <c r="AJ36" i="135"/>
  <c r="AK36" i="135"/>
  <c r="AL36" i="135" s="1"/>
  <c r="AG37" i="135"/>
  <c r="AI37" i="135" s="1"/>
  <c r="AH37" i="135"/>
  <c r="AJ37" i="135"/>
  <c r="AK37" i="135"/>
  <c r="AG38" i="135"/>
  <c r="AH38" i="135"/>
  <c r="AI38" i="135"/>
  <c r="AJ38" i="135"/>
  <c r="AK38" i="135"/>
  <c r="AG39" i="135"/>
  <c r="AH39" i="135"/>
  <c r="AI39" i="135" s="1"/>
  <c r="AJ39" i="135"/>
  <c r="AK39" i="135"/>
  <c r="AL39" i="135" s="1"/>
  <c r="AG40" i="135"/>
  <c r="AI40" i="135" s="1"/>
  <c r="AH40" i="135"/>
  <c r="AJ40" i="135"/>
  <c r="AK40" i="135"/>
  <c r="AL40" i="135" s="1"/>
  <c r="AG41" i="135"/>
  <c r="AI41" i="135" s="1"/>
  <c r="AH41" i="135"/>
  <c r="AJ41" i="135"/>
  <c r="AK41" i="135"/>
  <c r="AG42" i="135"/>
  <c r="AH42" i="135"/>
  <c r="AI42" i="135"/>
  <c r="AJ42" i="135"/>
  <c r="AK42" i="135"/>
  <c r="AG43" i="135"/>
  <c r="AH43" i="135"/>
  <c r="AI43" i="135" s="1"/>
  <c r="AJ43" i="135"/>
  <c r="AK43" i="135"/>
  <c r="AL43" i="135" s="1"/>
  <c r="AG44" i="135"/>
  <c r="AI44" i="135" s="1"/>
  <c r="AH44" i="135"/>
  <c r="AJ44" i="135"/>
  <c r="AK44" i="135"/>
  <c r="AL44" i="135" s="1"/>
  <c r="AG45" i="135"/>
  <c r="AI45" i="135" s="1"/>
  <c r="AH45" i="135"/>
  <c r="AJ45" i="135"/>
  <c r="AK45" i="135"/>
  <c r="AG46" i="135"/>
  <c r="AH46" i="135"/>
  <c r="AI46" i="135"/>
  <c r="AJ46" i="135"/>
  <c r="AK46" i="135"/>
  <c r="AG47" i="135"/>
  <c r="AH47" i="135"/>
  <c r="AI47" i="135" s="1"/>
  <c r="AJ47" i="135"/>
  <c r="AK47" i="135"/>
  <c r="AL47" i="135" s="1"/>
  <c r="AG48" i="135"/>
  <c r="AI48" i="135" s="1"/>
  <c r="AH48" i="135"/>
  <c r="AJ48" i="135"/>
  <c r="AK48" i="135"/>
  <c r="AL48" i="135" s="1"/>
  <c r="AK9" i="135"/>
  <c r="AH9" i="135"/>
  <c r="AI9" i="135"/>
  <c r="AJ9" i="135"/>
  <c r="AL9" i="135" s="1"/>
  <c r="AG9" i="135"/>
  <c r="AD10" i="135"/>
  <c r="AE10" i="135"/>
  <c r="AF10" i="135" s="1"/>
  <c r="AD11" i="135"/>
  <c r="AE11" i="135"/>
  <c r="AF11" i="135" s="1"/>
  <c r="AD12" i="135"/>
  <c r="AF12" i="135" s="1"/>
  <c r="AE12" i="135"/>
  <c r="AD13" i="135"/>
  <c r="AE13" i="135"/>
  <c r="AF13" i="135" s="1"/>
  <c r="AD14" i="135"/>
  <c r="AF14" i="135" s="1"/>
  <c r="AE14" i="135"/>
  <c r="AD15" i="135"/>
  <c r="AE15" i="135"/>
  <c r="AD16" i="135"/>
  <c r="AE16" i="135"/>
  <c r="AF16" i="135"/>
  <c r="AD17" i="135"/>
  <c r="AE17" i="135"/>
  <c r="AD18" i="135"/>
  <c r="AE18" i="135"/>
  <c r="AF18" i="135" s="1"/>
  <c r="AD19" i="135"/>
  <c r="AE19" i="135"/>
  <c r="AF19" i="135" s="1"/>
  <c r="AD20" i="135"/>
  <c r="AF20" i="135" s="1"/>
  <c r="AE20" i="135"/>
  <c r="AD21" i="135"/>
  <c r="AE21" i="135"/>
  <c r="AF21" i="135" s="1"/>
  <c r="AD22" i="135"/>
  <c r="AF22" i="135" s="1"/>
  <c r="AE22" i="135"/>
  <c r="AD23" i="135"/>
  <c r="AE23" i="135"/>
  <c r="AD24" i="135"/>
  <c r="AE24" i="135"/>
  <c r="AF24" i="135"/>
  <c r="AD25" i="135"/>
  <c r="AE25" i="135"/>
  <c r="AD26" i="135"/>
  <c r="AE26" i="135"/>
  <c r="AF26" i="135" s="1"/>
  <c r="AD27" i="135"/>
  <c r="AE27" i="135"/>
  <c r="AF27" i="135" s="1"/>
  <c r="AD28" i="135"/>
  <c r="AF28" i="135" s="1"/>
  <c r="AE28" i="135"/>
  <c r="AD29" i="135"/>
  <c r="AE29" i="135"/>
  <c r="AF29" i="135" s="1"/>
  <c r="AD30" i="135"/>
  <c r="AF30" i="135" s="1"/>
  <c r="AE30" i="135"/>
  <c r="AD31" i="135"/>
  <c r="AE31" i="135"/>
  <c r="AD32" i="135"/>
  <c r="AE32" i="135"/>
  <c r="AF32" i="135"/>
  <c r="AD33" i="135"/>
  <c r="AE33" i="135"/>
  <c r="AD34" i="135"/>
  <c r="AE34" i="135"/>
  <c r="AF34" i="135" s="1"/>
  <c r="AD35" i="135"/>
  <c r="AE35" i="135"/>
  <c r="AF35" i="135" s="1"/>
  <c r="AD36" i="135"/>
  <c r="AF36" i="135" s="1"/>
  <c r="AE36" i="135"/>
  <c r="AD37" i="135"/>
  <c r="AE37" i="135"/>
  <c r="AF37" i="135" s="1"/>
  <c r="AD38" i="135"/>
  <c r="AF38" i="135" s="1"/>
  <c r="AE38" i="135"/>
  <c r="AD39" i="135"/>
  <c r="AE39" i="135"/>
  <c r="AD40" i="135"/>
  <c r="AE40" i="135"/>
  <c r="AF40" i="135"/>
  <c r="AD41" i="135"/>
  <c r="AE41" i="135"/>
  <c r="AD42" i="135"/>
  <c r="AE42" i="135"/>
  <c r="AF42" i="135" s="1"/>
  <c r="AD43" i="135"/>
  <c r="AE43" i="135"/>
  <c r="AF43" i="135" s="1"/>
  <c r="AD44" i="135"/>
  <c r="AF44" i="135" s="1"/>
  <c r="AE44" i="135"/>
  <c r="AD45" i="135"/>
  <c r="AE45" i="135"/>
  <c r="AF45" i="135" s="1"/>
  <c r="AD46" i="135"/>
  <c r="AF46" i="135" s="1"/>
  <c r="AE46" i="135"/>
  <c r="AD47" i="135"/>
  <c r="AE47" i="135"/>
  <c r="AD48" i="135"/>
  <c r="AE48" i="135"/>
  <c r="AF48" i="135"/>
  <c r="AF9" i="135"/>
  <c r="AE9" i="135"/>
  <c r="AD9" i="135"/>
  <c r="AA10" i="135"/>
  <c r="AC10" i="135" s="1"/>
  <c r="AB10" i="135"/>
  <c r="AA11" i="135"/>
  <c r="AB11" i="135"/>
  <c r="AC11" i="135" s="1"/>
  <c r="AA12" i="135"/>
  <c r="AB12" i="135"/>
  <c r="AA13" i="135"/>
  <c r="AB13" i="135"/>
  <c r="AA14" i="135"/>
  <c r="AC14" i="135" s="1"/>
  <c r="AB14" i="135"/>
  <c r="AA15" i="135"/>
  <c r="AB15" i="135"/>
  <c r="AA16" i="135"/>
  <c r="AB16" i="135"/>
  <c r="AC16" i="135" s="1"/>
  <c r="AA17" i="135"/>
  <c r="AB17" i="135"/>
  <c r="AA18" i="135"/>
  <c r="AB18" i="135"/>
  <c r="AC18" i="135"/>
  <c r="AA19" i="135"/>
  <c r="AB19" i="135"/>
  <c r="AA20" i="135"/>
  <c r="AB20" i="135"/>
  <c r="AC20" i="135" s="1"/>
  <c r="AA21" i="135"/>
  <c r="AB21" i="135"/>
  <c r="AA22" i="135"/>
  <c r="AB22" i="135"/>
  <c r="AC22" i="135" s="1"/>
  <c r="AA23" i="135"/>
  <c r="AB23" i="135"/>
  <c r="AC23" i="135" s="1"/>
  <c r="AA24" i="135"/>
  <c r="AB24" i="135"/>
  <c r="AA25" i="135"/>
  <c r="AB25" i="135"/>
  <c r="AA26" i="135"/>
  <c r="AC26" i="135" s="1"/>
  <c r="AB26" i="135"/>
  <c r="AA27" i="135"/>
  <c r="AB27" i="135"/>
  <c r="AC27" i="135" s="1"/>
  <c r="AA28" i="135"/>
  <c r="AB28" i="135"/>
  <c r="AA29" i="135"/>
  <c r="AB29" i="135"/>
  <c r="AA30" i="135"/>
  <c r="AC30" i="135" s="1"/>
  <c r="AB30" i="135"/>
  <c r="AA31" i="135"/>
  <c r="AB31" i="135"/>
  <c r="AA32" i="135"/>
  <c r="AB32" i="135"/>
  <c r="AC32" i="135" s="1"/>
  <c r="AA33" i="135"/>
  <c r="AB33" i="135"/>
  <c r="AA34" i="135"/>
  <c r="AB34" i="135"/>
  <c r="AC34" i="135"/>
  <c r="AA35" i="135"/>
  <c r="AB35" i="135"/>
  <c r="AA36" i="135"/>
  <c r="AB36" i="135"/>
  <c r="AC36" i="135" s="1"/>
  <c r="AA37" i="135"/>
  <c r="AB37" i="135"/>
  <c r="AA38" i="135"/>
  <c r="AB38" i="135"/>
  <c r="AC38" i="135" s="1"/>
  <c r="AA39" i="135"/>
  <c r="AB39" i="135"/>
  <c r="AC39" i="135" s="1"/>
  <c r="AA40" i="135"/>
  <c r="AB40" i="135"/>
  <c r="AA41" i="135"/>
  <c r="AB41" i="135"/>
  <c r="AA42" i="135"/>
  <c r="AC42" i="135" s="1"/>
  <c r="AB42" i="135"/>
  <c r="AA43" i="135"/>
  <c r="AB43" i="135"/>
  <c r="AC43" i="135" s="1"/>
  <c r="AA44" i="135"/>
  <c r="AB44" i="135"/>
  <c r="AA45" i="135"/>
  <c r="AB45" i="135"/>
  <c r="AA46" i="135"/>
  <c r="AC46" i="135" s="1"/>
  <c r="AB46" i="135"/>
  <c r="AA47" i="135"/>
  <c r="AB47" i="135"/>
  <c r="AA48" i="135"/>
  <c r="AB48" i="135"/>
  <c r="AC48" i="135" s="1"/>
  <c r="AB9" i="135"/>
  <c r="AA9" i="135"/>
  <c r="T10" i="135"/>
  <c r="U10" i="135"/>
  <c r="V10" i="135"/>
  <c r="T11" i="135"/>
  <c r="U11" i="135"/>
  <c r="V11" i="135"/>
  <c r="T12" i="135"/>
  <c r="U12" i="135"/>
  <c r="V12" i="135"/>
  <c r="T13" i="135"/>
  <c r="U13" i="135"/>
  <c r="V13" i="135"/>
  <c r="T14" i="135"/>
  <c r="U14" i="135"/>
  <c r="V14" i="135"/>
  <c r="W14" i="135" s="1"/>
  <c r="T15" i="135"/>
  <c r="U15" i="135"/>
  <c r="V15" i="135"/>
  <c r="W15" i="135" s="1"/>
  <c r="T16" i="135"/>
  <c r="U16" i="135"/>
  <c r="V16" i="135"/>
  <c r="W16" i="135" s="1"/>
  <c r="T17" i="135"/>
  <c r="U17" i="135"/>
  <c r="V17" i="135"/>
  <c r="W17" i="135" s="1"/>
  <c r="T18" i="135"/>
  <c r="U18" i="135"/>
  <c r="V18" i="135"/>
  <c r="W18" i="135" s="1"/>
  <c r="T19" i="135"/>
  <c r="U19" i="135"/>
  <c r="V19" i="135"/>
  <c r="W19" i="135" s="1"/>
  <c r="T20" i="135"/>
  <c r="U20" i="135"/>
  <c r="V20" i="135"/>
  <c r="W20" i="135" s="1"/>
  <c r="T21" i="135"/>
  <c r="U21" i="135"/>
  <c r="V21" i="135"/>
  <c r="W21" i="135" s="1"/>
  <c r="T22" i="135"/>
  <c r="U22" i="135"/>
  <c r="V22" i="135"/>
  <c r="W22" i="135" s="1"/>
  <c r="T23" i="135"/>
  <c r="U23" i="135"/>
  <c r="V23" i="135"/>
  <c r="W23" i="135" s="1"/>
  <c r="T24" i="135"/>
  <c r="U24" i="135"/>
  <c r="V24" i="135"/>
  <c r="W24" i="135" s="1"/>
  <c r="T25" i="135"/>
  <c r="U25" i="135"/>
  <c r="V25" i="135"/>
  <c r="W25" i="135" s="1"/>
  <c r="T26" i="135"/>
  <c r="U26" i="135"/>
  <c r="V26" i="135"/>
  <c r="W26" i="135" s="1"/>
  <c r="T27" i="135"/>
  <c r="U27" i="135"/>
  <c r="V27" i="135"/>
  <c r="W27" i="135" s="1"/>
  <c r="T28" i="135"/>
  <c r="U28" i="135"/>
  <c r="V28" i="135"/>
  <c r="W28" i="135" s="1"/>
  <c r="T29" i="135"/>
  <c r="U29" i="135"/>
  <c r="V29" i="135"/>
  <c r="W29" i="135" s="1"/>
  <c r="T30" i="135"/>
  <c r="U30" i="135"/>
  <c r="V30" i="135"/>
  <c r="W30" i="135" s="1"/>
  <c r="T31" i="135"/>
  <c r="U31" i="135"/>
  <c r="V31" i="135"/>
  <c r="W31" i="135" s="1"/>
  <c r="T32" i="135"/>
  <c r="U32" i="135"/>
  <c r="V32" i="135"/>
  <c r="W32" i="135" s="1"/>
  <c r="T33" i="135"/>
  <c r="U33" i="135"/>
  <c r="V33" i="135"/>
  <c r="W33" i="135" s="1"/>
  <c r="T34" i="135"/>
  <c r="U34" i="135"/>
  <c r="V34" i="135"/>
  <c r="W34" i="135" s="1"/>
  <c r="T35" i="135"/>
  <c r="U35" i="135"/>
  <c r="V35" i="135"/>
  <c r="W35" i="135" s="1"/>
  <c r="T36" i="135"/>
  <c r="U36" i="135"/>
  <c r="V36" i="135"/>
  <c r="W36" i="135" s="1"/>
  <c r="T37" i="135"/>
  <c r="U37" i="135"/>
  <c r="V37" i="135"/>
  <c r="W37" i="135" s="1"/>
  <c r="T38" i="135"/>
  <c r="U38" i="135"/>
  <c r="V38" i="135"/>
  <c r="W38" i="135" s="1"/>
  <c r="T39" i="135"/>
  <c r="U39" i="135"/>
  <c r="V39" i="135"/>
  <c r="W39" i="135" s="1"/>
  <c r="T40" i="135"/>
  <c r="U40" i="135"/>
  <c r="V40" i="135"/>
  <c r="W40" i="135" s="1"/>
  <c r="T41" i="135"/>
  <c r="U41" i="135"/>
  <c r="V41" i="135"/>
  <c r="W41" i="135" s="1"/>
  <c r="T42" i="135"/>
  <c r="U42" i="135"/>
  <c r="V42" i="135"/>
  <c r="W42" i="135" s="1"/>
  <c r="T43" i="135"/>
  <c r="U43" i="135"/>
  <c r="V43" i="135"/>
  <c r="W43" i="135" s="1"/>
  <c r="T44" i="135"/>
  <c r="U44" i="135"/>
  <c r="V44" i="135"/>
  <c r="W44" i="135" s="1"/>
  <c r="T45" i="135"/>
  <c r="U45" i="135"/>
  <c r="V45" i="135"/>
  <c r="W45" i="135" s="1"/>
  <c r="T46" i="135"/>
  <c r="U46" i="135"/>
  <c r="V46" i="135"/>
  <c r="W46" i="135" s="1"/>
  <c r="T47" i="135"/>
  <c r="U47" i="135"/>
  <c r="V47" i="135"/>
  <c r="W47" i="135" s="1"/>
  <c r="T48" i="135"/>
  <c r="U48" i="135"/>
  <c r="V48" i="135"/>
  <c r="W48" i="135" s="1"/>
  <c r="V9" i="135"/>
  <c r="U9" i="135"/>
  <c r="T9" i="135"/>
  <c r="Q10" i="135"/>
  <c r="X10" i="135" s="1"/>
  <c r="R10" i="135"/>
  <c r="Y10" i="135" s="1"/>
  <c r="Q11" i="135"/>
  <c r="X11" i="135" s="1"/>
  <c r="R11" i="135"/>
  <c r="Q12" i="135"/>
  <c r="X12" i="135" s="1"/>
  <c r="R12" i="135"/>
  <c r="Q13" i="135"/>
  <c r="X13" i="135" s="1"/>
  <c r="R13" i="135"/>
  <c r="Q14" i="135"/>
  <c r="X14" i="135" s="1"/>
  <c r="R14" i="135"/>
  <c r="Y14" i="135" s="1"/>
  <c r="S14" i="135"/>
  <c r="Q15" i="135"/>
  <c r="X15" i="135" s="1"/>
  <c r="R15" i="135"/>
  <c r="Q16" i="135"/>
  <c r="X16" i="135" s="1"/>
  <c r="R16" i="135"/>
  <c r="Q17" i="135"/>
  <c r="X17" i="135" s="1"/>
  <c r="R17" i="135"/>
  <c r="Q18" i="135"/>
  <c r="X18" i="135" s="1"/>
  <c r="R18" i="135"/>
  <c r="Y18" i="135" s="1"/>
  <c r="S18" i="135"/>
  <c r="Q19" i="135"/>
  <c r="X19" i="135" s="1"/>
  <c r="R19" i="135"/>
  <c r="Q20" i="135"/>
  <c r="X20" i="135" s="1"/>
  <c r="R20" i="135"/>
  <c r="Q21" i="135"/>
  <c r="X21" i="135" s="1"/>
  <c r="R21" i="135"/>
  <c r="Q22" i="135"/>
  <c r="X22" i="135" s="1"/>
  <c r="Z22" i="135" s="1"/>
  <c r="R22" i="135"/>
  <c r="Y22" i="135" s="1"/>
  <c r="Q23" i="135"/>
  <c r="X23" i="135" s="1"/>
  <c r="R23" i="135"/>
  <c r="Q24" i="135"/>
  <c r="X24" i="135" s="1"/>
  <c r="R24" i="135"/>
  <c r="Q25" i="135"/>
  <c r="X25" i="135" s="1"/>
  <c r="R25" i="135"/>
  <c r="Q26" i="135"/>
  <c r="X26" i="135" s="1"/>
  <c r="R26" i="135"/>
  <c r="Y26" i="135" s="1"/>
  <c r="Q27" i="135"/>
  <c r="X27" i="135" s="1"/>
  <c r="R27" i="135"/>
  <c r="Q28" i="135"/>
  <c r="X28" i="135" s="1"/>
  <c r="R28" i="135"/>
  <c r="Q29" i="135"/>
  <c r="X29" i="135" s="1"/>
  <c r="R29" i="135"/>
  <c r="Q30" i="135"/>
  <c r="X30" i="135" s="1"/>
  <c r="R30" i="135"/>
  <c r="Y30" i="135" s="1"/>
  <c r="S30" i="135"/>
  <c r="Q31" i="135"/>
  <c r="X31" i="135" s="1"/>
  <c r="R31" i="135"/>
  <c r="Q32" i="135"/>
  <c r="X32" i="135" s="1"/>
  <c r="R32" i="135"/>
  <c r="Q33" i="135"/>
  <c r="X33" i="135" s="1"/>
  <c r="R33" i="135"/>
  <c r="Q34" i="135"/>
  <c r="X34" i="135" s="1"/>
  <c r="R34" i="135"/>
  <c r="Y34" i="135" s="1"/>
  <c r="Q35" i="135"/>
  <c r="X35" i="135" s="1"/>
  <c r="R35" i="135"/>
  <c r="Q36" i="135"/>
  <c r="X36" i="135" s="1"/>
  <c r="R36" i="135"/>
  <c r="Q37" i="135"/>
  <c r="X37" i="135" s="1"/>
  <c r="R37" i="135"/>
  <c r="Q38" i="135"/>
  <c r="X38" i="135" s="1"/>
  <c r="Z38" i="135" s="1"/>
  <c r="R38" i="135"/>
  <c r="Y38" i="135" s="1"/>
  <c r="Q39" i="135"/>
  <c r="X39" i="135" s="1"/>
  <c r="R39" i="135"/>
  <c r="Q40" i="135"/>
  <c r="X40" i="135" s="1"/>
  <c r="R40" i="135"/>
  <c r="Y40" i="135" s="1"/>
  <c r="Q41" i="135"/>
  <c r="X41" i="135" s="1"/>
  <c r="R41" i="135"/>
  <c r="Q42" i="135"/>
  <c r="X42" i="135" s="1"/>
  <c r="Z42" i="135" s="1"/>
  <c r="R42" i="135"/>
  <c r="Y42" i="135" s="1"/>
  <c r="Q43" i="135"/>
  <c r="X43" i="135" s="1"/>
  <c r="R43" i="135"/>
  <c r="Q44" i="135"/>
  <c r="X44" i="135" s="1"/>
  <c r="R44" i="135"/>
  <c r="Y44" i="135" s="1"/>
  <c r="Q45" i="135"/>
  <c r="X45" i="135" s="1"/>
  <c r="R45" i="135"/>
  <c r="Q46" i="135"/>
  <c r="X46" i="135" s="1"/>
  <c r="R46" i="135"/>
  <c r="Y46" i="135" s="1"/>
  <c r="S46" i="135"/>
  <c r="Q47" i="135"/>
  <c r="X47" i="135" s="1"/>
  <c r="R47" i="135"/>
  <c r="Q48" i="135"/>
  <c r="X48" i="135" s="1"/>
  <c r="R48" i="135"/>
  <c r="Y48" i="135" s="1"/>
  <c r="R9" i="135"/>
  <c r="Y9" i="135" s="1"/>
  <c r="E8" i="133" s="1"/>
  <c r="Q9" i="135"/>
  <c r="X9" i="135" s="1"/>
  <c r="E7" i="133" s="1"/>
  <c r="BH10" i="69"/>
  <c r="BI10" i="69"/>
  <c r="BJ10" i="69"/>
  <c r="BK10" i="69"/>
  <c r="BL10" i="69"/>
  <c r="BH11" i="69"/>
  <c r="BI11" i="69"/>
  <c r="BJ11" i="69"/>
  <c r="BK11" i="69"/>
  <c r="BL11" i="69"/>
  <c r="BH12" i="69"/>
  <c r="BI12" i="69"/>
  <c r="BJ12" i="69"/>
  <c r="BK12" i="69"/>
  <c r="BL12" i="69"/>
  <c r="BH13" i="69"/>
  <c r="BI13" i="69"/>
  <c r="BJ13" i="69"/>
  <c r="BK13" i="69"/>
  <c r="BL13" i="69"/>
  <c r="BH14" i="69"/>
  <c r="BI14" i="69"/>
  <c r="BJ14" i="69"/>
  <c r="BK14" i="69"/>
  <c r="BL14" i="69"/>
  <c r="BH15" i="69"/>
  <c r="BI15" i="69"/>
  <c r="BJ15" i="69"/>
  <c r="BK15" i="69"/>
  <c r="BL15" i="69"/>
  <c r="BH16" i="69"/>
  <c r="BI16" i="69"/>
  <c r="BJ16" i="69"/>
  <c r="BK16" i="69"/>
  <c r="BL16" i="69"/>
  <c r="BH17" i="69"/>
  <c r="BI17" i="69"/>
  <c r="BJ17" i="69"/>
  <c r="BK17" i="69"/>
  <c r="BL17" i="69"/>
  <c r="BH18" i="69"/>
  <c r="BI18" i="69"/>
  <c r="BJ18" i="69"/>
  <c r="BK18" i="69"/>
  <c r="BL18" i="69"/>
  <c r="BH19" i="69"/>
  <c r="BI19" i="69"/>
  <c r="BJ19" i="69"/>
  <c r="BK19" i="69"/>
  <c r="BL19" i="69"/>
  <c r="BH20" i="69"/>
  <c r="BI20" i="69"/>
  <c r="BJ20" i="69"/>
  <c r="BK20" i="69"/>
  <c r="BL20" i="69"/>
  <c r="BH21" i="69"/>
  <c r="BI21" i="69"/>
  <c r="BJ21" i="69"/>
  <c r="BK21" i="69"/>
  <c r="BL21" i="69"/>
  <c r="BH22" i="69"/>
  <c r="BI22" i="69"/>
  <c r="BJ22" i="69"/>
  <c r="BK22" i="69"/>
  <c r="BL22" i="69"/>
  <c r="BH23" i="69"/>
  <c r="BI23" i="69"/>
  <c r="BJ23" i="69"/>
  <c r="BK23" i="69"/>
  <c r="BL23" i="69"/>
  <c r="BH24" i="69"/>
  <c r="BI24" i="69"/>
  <c r="BJ24" i="69"/>
  <c r="BK24" i="69"/>
  <c r="BL24" i="69"/>
  <c r="BH25" i="69"/>
  <c r="BI25" i="69"/>
  <c r="BJ25" i="69"/>
  <c r="BK25" i="69"/>
  <c r="BL25" i="69"/>
  <c r="BH26" i="69"/>
  <c r="BI26" i="69"/>
  <c r="BJ26" i="69"/>
  <c r="BK26" i="69"/>
  <c r="BL26" i="69"/>
  <c r="BH27" i="69"/>
  <c r="BI27" i="69"/>
  <c r="BJ27" i="69"/>
  <c r="BK27" i="69"/>
  <c r="BL27" i="69"/>
  <c r="BH28" i="69"/>
  <c r="BI28" i="69"/>
  <c r="BJ28" i="69"/>
  <c r="BK28" i="69"/>
  <c r="BL28" i="69"/>
  <c r="BH29" i="69"/>
  <c r="BI29" i="69"/>
  <c r="BJ29" i="69"/>
  <c r="BK29" i="69"/>
  <c r="BL29" i="69"/>
  <c r="BH30" i="69"/>
  <c r="BI30" i="69"/>
  <c r="BJ30" i="69"/>
  <c r="BK30" i="69"/>
  <c r="BL30" i="69"/>
  <c r="BH31" i="69"/>
  <c r="BI31" i="69"/>
  <c r="BJ31" i="69"/>
  <c r="BK31" i="69"/>
  <c r="BL31" i="69"/>
  <c r="BH32" i="69"/>
  <c r="BI32" i="69"/>
  <c r="BJ32" i="69"/>
  <c r="BK32" i="69"/>
  <c r="BL32" i="69"/>
  <c r="BH33" i="69"/>
  <c r="BI33" i="69"/>
  <c r="BJ33" i="69"/>
  <c r="BK33" i="69"/>
  <c r="BL33" i="69"/>
  <c r="BH34" i="69"/>
  <c r="BI34" i="69"/>
  <c r="BJ34" i="69"/>
  <c r="BK34" i="69"/>
  <c r="BL34" i="69"/>
  <c r="BH35" i="69"/>
  <c r="BI35" i="69"/>
  <c r="BJ35" i="69"/>
  <c r="BK35" i="69"/>
  <c r="BL35" i="69"/>
  <c r="BH36" i="69"/>
  <c r="BI36" i="69"/>
  <c r="BJ36" i="69"/>
  <c r="BK36" i="69"/>
  <c r="BL36" i="69"/>
  <c r="BH37" i="69"/>
  <c r="BI37" i="69"/>
  <c r="BJ37" i="69"/>
  <c r="BK37" i="69"/>
  <c r="BL37" i="69"/>
  <c r="BH38" i="69"/>
  <c r="BI38" i="69"/>
  <c r="BJ38" i="69"/>
  <c r="BK38" i="69"/>
  <c r="BL38" i="69"/>
  <c r="BH39" i="69"/>
  <c r="BI39" i="69"/>
  <c r="BJ39" i="69"/>
  <c r="BK39" i="69"/>
  <c r="BL39" i="69"/>
  <c r="BH40" i="69"/>
  <c r="BI40" i="69"/>
  <c r="BJ40" i="69"/>
  <c r="BK40" i="69"/>
  <c r="BL40" i="69"/>
  <c r="BH41" i="69"/>
  <c r="BI41" i="69"/>
  <c r="BJ41" i="69"/>
  <c r="BK41" i="69"/>
  <c r="BL41" i="69"/>
  <c r="BH42" i="69"/>
  <c r="BI42" i="69"/>
  <c r="BJ42" i="69"/>
  <c r="BK42" i="69"/>
  <c r="BL42" i="69"/>
  <c r="BH43" i="69"/>
  <c r="BI43" i="69"/>
  <c r="BJ43" i="69"/>
  <c r="BK43" i="69"/>
  <c r="BL43" i="69"/>
  <c r="BH44" i="69"/>
  <c r="BI44" i="69"/>
  <c r="BJ44" i="69"/>
  <c r="BK44" i="69"/>
  <c r="BL44" i="69"/>
  <c r="BH45" i="69"/>
  <c r="BI45" i="69"/>
  <c r="BJ45" i="69"/>
  <c r="BK45" i="69"/>
  <c r="BL45" i="69"/>
  <c r="BH46" i="69"/>
  <c r="BI46" i="69"/>
  <c r="BJ46" i="69"/>
  <c r="BK46" i="69"/>
  <c r="BL46" i="69"/>
  <c r="BH47" i="69"/>
  <c r="BI47" i="69"/>
  <c r="BJ47" i="69"/>
  <c r="BK47" i="69"/>
  <c r="BL47" i="69"/>
  <c r="BH48" i="69"/>
  <c r="BI48" i="69"/>
  <c r="BJ48" i="69"/>
  <c r="BK48" i="69"/>
  <c r="BL48" i="69"/>
  <c r="BI9" i="69"/>
  <c r="BJ9" i="69"/>
  <c r="BK9" i="69"/>
  <c r="BL9" i="69"/>
  <c r="AY46" i="69"/>
  <c r="E305" i="84" s="1"/>
  <c r="F305" i="84" s="1"/>
  <c r="BC46" i="69"/>
  <c r="E309" i="84" s="1"/>
  <c r="F309" i="84" s="1"/>
  <c r="AY47" i="69"/>
  <c r="E313" i="84" s="1"/>
  <c r="F313" i="84" s="1"/>
  <c r="BC47" i="69"/>
  <c r="E317" i="84" s="1"/>
  <c r="F317" i="84" s="1"/>
  <c r="AY48" i="69"/>
  <c r="E321" i="84" s="1"/>
  <c r="F321" i="84" s="1"/>
  <c r="BC48" i="69"/>
  <c r="E325" i="84" s="1"/>
  <c r="F325" i="84" s="1"/>
  <c r="BA9" i="69"/>
  <c r="E11" i="84" s="1"/>
  <c r="AW9" i="69"/>
  <c r="E7" i="84" s="1"/>
  <c r="AK10" i="69"/>
  <c r="AL10" i="69"/>
  <c r="AM10" i="69"/>
  <c r="AN10" i="69"/>
  <c r="AO10" i="69"/>
  <c r="AP10" i="69"/>
  <c r="AQ10" i="69"/>
  <c r="AR10" i="69"/>
  <c r="AS10" i="69"/>
  <c r="AT10" i="69"/>
  <c r="AU10" i="69"/>
  <c r="AK11" i="69"/>
  <c r="AL11" i="69"/>
  <c r="AM11" i="69"/>
  <c r="AN11" i="69"/>
  <c r="AO11" i="69"/>
  <c r="AP11" i="69"/>
  <c r="AQ11" i="69"/>
  <c r="AR11" i="69"/>
  <c r="AS11" i="69"/>
  <c r="AT11" i="69"/>
  <c r="AU11" i="69"/>
  <c r="AK12" i="69"/>
  <c r="AL12" i="69"/>
  <c r="AM12" i="69"/>
  <c r="AN12" i="69"/>
  <c r="AO12" i="69"/>
  <c r="AP12" i="69"/>
  <c r="AQ12" i="69"/>
  <c r="AR12" i="69"/>
  <c r="AS12" i="69"/>
  <c r="AT12" i="69"/>
  <c r="AU12" i="69"/>
  <c r="AK13" i="69"/>
  <c r="AL13" i="69"/>
  <c r="AM13" i="69"/>
  <c r="AN13" i="69"/>
  <c r="AO13" i="69"/>
  <c r="AP13" i="69"/>
  <c r="AQ13" i="69"/>
  <c r="AR13" i="69"/>
  <c r="AS13" i="69"/>
  <c r="AT13" i="69"/>
  <c r="AU13" i="69"/>
  <c r="AK14" i="69"/>
  <c r="AL14" i="69"/>
  <c r="AM14" i="69"/>
  <c r="AN14" i="69"/>
  <c r="AO14" i="69"/>
  <c r="AP14" i="69"/>
  <c r="AQ14" i="69"/>
  <c r="AR14" i="69"/>
  <c r="AS14" i="69"/>
  <c r="AT14" i="69"/>
  <c r="AU14" i="69"/>
  <c r="AK15" i="69"/>
  <c r="AV15" i="69" s="1"/>
  <c r="AL15" i="69"/>
  <c r="AM15" i="69"/>
  <c r="AN15" i="69"/>
  <c r="AO15" i="69"/>
  <c r="AP15" i="69"/>
  <c r="AQ15" i="69"/>
  <c r="AR15" i="69"/>
  <c r="AS15" i="69"/>
  <c r="AT15" i="69"/>
  <c r="AU15" i="69"/>
  <c r="AK16" i="69"/>
  <c r="AL16" i="69"/>
  <c r="AM16" i="69"/>
  <c r="AN16" i="69"/>
  <c r="AO16" i="69"/>
  <c r="AP16" i="69"/>
  <c r="AQ16" i="69"/>
  <c r="AR16" i="69"/>
  <c r="AS16" i="69"/>
  <c r="AT16" i="69"/>
  <c r="AU16" i="69"/>
  <c r="AK17" i="69"/>
  <c r="AL17" i="69"/>
  <c r="AM17" i="69"/>
  <c r="AN17" i="69"/>
  <c r="AO17" i="69"/>
  <c r="AP17" i="69"/>
  <c r="AQ17" i="69"/>
  <c r="AR17" i="69"/>
  <c r="AS17" i="69"/>
  <c r="AT17" i="69"/>
  <c r="AU17" i="69"/>
  <c r="AK18" i="69"/>
  <c r="AL18" i="69"/>
  <c r="AM18" i="69"/>
  <c r="AN18" i="69"/>
  <c r="AO18" i="69"/>
  <c r="AP18" i="69"/>
  <c r="AQ18" i="69"/>
  <c r="AR18" i="69"/>
  <c r="AS18" i="69"/>
  <c r="AT18" i="69"/>
  <c r="AU18" i="69"/>
  <c r="AK19" i="69"/>
  <c r="AV19" i="69" s="1"/>
  <c r="AL19" i="69"/>
  <c r="AM19" i="69"/>
  <c r="AN19" i="69"/>
  <c r="AO19" i="69"/>
  <c r="AP19" i="69"/>
  <c r="AQ19" i="69"/>
  <c r="AR19" i="69"/>
  <c r="AS19" i="69"/>
  <c r="AT19" i="69"/>
  <c r="AU19" i="69"/>
  <c r="AK20" i="69"/>
  <c r="AL20" i="69"/>
  <c r="AM20" i="69"/>
  <c r="AN20" i="69"/>
  <c r="AO20" i="69"/>
  <c r="AP20" i="69"/>
  <c r="AQ20" i="69"/>
  <c r="AR20" i="69"/>
  <c r="AS20" i="69"/>
  <c r="AT20" i="69"/>
  <c r="AU20" i="69"/>
  <c r="AK21" i="69"/>
  <c r="AL21" i="69"/>
  <c r="AM21" i="69"/>
  <c r="AN21" i="69"/>
  <c r="AO21" i="69"/>
  <c r="AP21" i="69"/>
  <c r="AQ21" i="69"/>
  <c r="AR21" i="69"/>
  <c r="AS21" i="69"/>
  <c r="AT21" i="69"/>
  <c r="AU21" i="69"/>
  <c r="AK22" i="69"/>
  <c r="AL22" i="69"/>
  <c r="AM22" i="69"/>
  <c r="AN22" i="69"/>
  <c r="AO22" i="69"/>
  <c r="AP22" i="69"/>
  <c r="AQ22" i="69"/>
  <c r="AR22" i="69"/>
  <c r="AS22" i="69"/>
  <c r="AT22" i="69"/>
  <c r="AU22" i="69"/>
  <c r="AK23" i="69"/>
  <c r="AV23" i="69" s="1"/>
  <c r="AL23" i="69"/>
  <c r="AM23" i="69"/>
  <c r="AN23" i="69"/>
  <c r="AO23" i="69"/>
  <c r="AP23" i="69"/>
  <c r="AQ23" i="69"/>
  <c r="AR23" i="69"/>
  <c r="AS23" i="69"/>
  <c r="AT23" i="69"/>
  <c r="AU23" i="69"/>
  <c r="AK24" i="69"/>
  <c r="AL24" i="69"/>
  <c r="AM24" i="69"/>
  <c r="AN24" i="69"/>
  <c r="AO24" i="69"/>
  <c r="AP24" i="69"/>
  <c r="AQ24" i="69"/>
  <c r="AR24" i="69"/>
  <c r="AS24" i="69"/>
  <c r="AT24" i="69"/>
  <c r="AU24" i="69"/>
  <c r="AK25" i="69"/>
  <c r="AL25" i="69"/>
  <c r="AM25" i="69"/>
  <c r="AN25" i="69"/>
  <c r="AO25" i="69"/>
  <c r="AP25" i="69"/>
  <c r="AQ25" i="69"/>
  <c r="AR25" i="69"/>
  <c r="AS25" i="69"/>
  <c r="AT25" i="69"/>
  <c r="AU25" i="69"/>
  <c r="AK26" i="69"/>
  <c r="AL26" i="69"/>
  <c r="AM26" i="69"/>
  <c r="AN26" i="69"/>
  <c r="AO26" i="69"/>
  <c r="AP26" i="69"/>
  <c r="AQ26" i="69"/>
  <c r="AR26" i="69"/>
  <c r="AS26" i="69"/>
  <c r="AT26" i="69"/>
  <c r="AU26" i="69"/>
  <c r="AK27" i="69"/>
  <c r="AV27" i="69" s="1"/>
  <c r="AL27" i="69"/>
  <c r="AM27" i="69"/>
  <c r="AN27" i="69"/>
  <c r="AO27" i="69"/>
  <c r="AP27" i="69"/>
  <c r="AQ27" i="69"/>
  <c r="AR27" i="69"/>
  <c r="AS27" i="69"/>
  <c r="AT27" i="69"/>
  <c r="AU27" i="69"/>
  <c r="AK28" i="69"/>
  <c r="AL28" i="69"/>
  <c r="AM28" i="69"/>
  <c r="AN28" i="69"/>
  <c r="AO28" i="69"/>
  <c r="AP28" i="69"/>
  <c r="AQ28" i="69"/>
  <c r="AR28" i="69"/>
  <c r="AS28" i="69"/>
  <c r="AT28" i="69"/>
  <c r="AU28" i="69"/>
  <c r="AK29" i="69"/>
  <c r="AL29" i="69"/>
  <c r="AM29" i="69"/>
  <c r="AN29" i="69"/>
  <c r="AO29" i="69"/>
  <c r="AP29" i="69"/>
  <c r="AQ29" i="69"/>
  <c r="AR29" i="69"/>
  <c r="AS29" i="69"/>
  <c r="AT29" i="69"/>
  <c r="AU29" i="69"/>
  <c r="AK30" i="69"/>
  <c r="AL30" i="69"/>
  <c r="AM30" i="69"/>
  <c r="AN30" i="69"/>
  <c r="AO30" i="69"/>
  <c r="AP30" i="69"/>
  <c r="AQ30" i="69"/>
  <c r="AR30" i="69"/>
  <c r="AS30" i="69"/>
  <c r="AT30" i="69"/>
  <c r="AU30" i="69"/>
  <c r="AK31" i="69"/>
  <c r="AL31" i="69"/>
  <c r="AM31" i="69"/>
  <c r="AN31" i="69"/>
  <c r="AO31" i="69"/>
  <c r="AP31" i="69"/>
  <c r="AQ31" i="69"/>
  <c r="AR31" i="69"/>
  <c r="AS31" i="69"/>
  <c r="AT31" i="69"/>
  <c r="AU31" i="69"/>
  <c r="AK32" i="69"/>
  <c r="AL32" i="69"/>
  <c r="AM32" i="69"/>
  <c r="AN32" i="69"/>
  <c r="AO32" i="69"/>
  <c r="AP32" i="69"/>
  <c r="AQ32" i="69"/>
  <c r="AR32" i="69"/>
  <c r="AS32" i="69"/>
  <c r="AT32" i="69"/>
  <c r="AU32" i="69"/>
  <c r="AK33" i="69"/>
  <c r="AL33" i="69"/>
  <c r="AM33" i="69"/>
  <c r="AN33" i="69"/>
  <c r="AO33" i="69"/>
  <c r="AP33" i="69"/>
  <c r="AQ33" i="69"/>
  <c r="AR33" i="69"/>
  <c r="AS33" i="69"/>
  <c r="AT33" i="69"/>
  <c r="AU33" i="69"/>
  <c r="AV33" i="69" s="1"/>
  <c r="AK34" i="69"/>
  <c r="AL34" i="69"/>
  <c r="AM34" i="69"/>
  <c r="AN34" i="69"/>
  <c r="AO34" i="69"/>
  <c r="AP34" i="69"/>
  <c r="AQ34" i="69"/>
  <c r="AR34" i="69"/>
  <c r="AS34" i="69"/>
  <c r="AT34" i="69"/>
  <c r="AU34" i="69"/>
  <c r="AV34" i="69"/>
  <c r="AK35" i="69"/>
  <c r="AL35" i="69"/>
  <c r="AM35" i="69"/>
  <c r="AN35" i="69"/>
  <c r="AO35" i="69"/>
  <c r="AP35" i="69"/>
  <c r="AQ35" i="69"/>
  <c r="AR35" i="69"/>
  <c r="AS35" i="69"/>
  <c r="AT35" i="69"/>
  <c r="AU35" i="69"/>
  <c r="AV35" i="69"/>
  <c r="AK36" i="69"/>
  <c r="AL36" i="69"/>
  <c r="AM36" i="69"/>
  <c r="AN36" i="69"/>
  <c r="AO36" i="69"/>
  <c r="AP36" i="69"/>
  <c r="AQ36" i="69"/>
  <c r="AR36" i="69"/>
  <c r="AS36" i="69"/>
  <c r="AT36" i="69"/>
  <c r="AU36" i="69"/>
  <c r="AV36" i="69"/>
  <c r="AK37" i="69"/>
  <c r="AL37" i="69"/>
  <c r="AM37" i="69"/>
  <c r="AN37" i="69"/>
  <c r="AO37" i="69"/>
  <c r="AP37" i="69"/>
  <c r="AQ37" i="69"/>
  <c r="AR37" i="69"/>
  <c r="AS37" i="69"/>
  <c r="AT37" i="69"/>
  <c r="AU37" i="69"/>
  <c r="AV37" i="69"/>
  <c r="AK38" i="69"/>
  <c r="AL38" i="69"/>
  <c r="AM38" i="69"/>
  <c r="AN38" i="69"/>
  <c r="AO38" i="69"/>
  <c r="AP38" i="69"/>
  <c r="AQ38" i="69"/>
  <c r="AR38" i="69"/>
  <c r="AS38" i="69"/>
  <c r="AT38" i="69"/>
  <c r="AU38" i="69"/>
  <c r="AV38" i="69"/>
  <c r="AK39" i="69"/>
  <c r="AL39" i="69"/>
  <c r="AM39" i="69"/>
  <c r="AN39" i="69"/>
  <c r="AO39" i="69"/>
  <c r="AP39" i="69"/>
  <c r="AQ39" i="69"/>
  <c r="AR39" i="69"/>
  <c r="AS39" i="69"/>
  <c r="AT39" i="69"/>
  <c r="AU39" i="69"/>
  <c r="AV39" i="69"/>
  <c r="AK40" i="69"/>
  <c r="AL40" i="69"/>
  <c r="AM40" i="69"/>
  <c r="AN40" i="69"/>
  <c r="AO40" i="69"/>
  <c r="AP40" i="69"/>
  <c r="AQ40" i="69"/>
  <c r="AR40" i="69"/>
  <c r="AS40" i="69"/>
  <c r="AT40" i="69"/>
  <c r="AU40" i="69"/>
  <c r="AV40" i="69"/>
  <c r="AK41" i="69"/>
  <c r="AL41" i="69"/>
  <c r="AM41" i="69"/>
  <c r="AN41" i="69"/>
  <c r="AO41" i="69"/>
  <c r="AP41" i="69"/>
  <c r="AQ41" i="69"/>
  <c r="AR41" i="69"/>
  <c r="AS41" i="69"/>
  <c r="AT41" i="69"/>
  <c r="AU41" i="69"/>
  <c r="AV41" i="69"/>
  <c r="AK42" i="69"/>
  <c r="AL42" i="69"/>
  <c r="AM42" i="69"/>
  <c r="AN42" i="69"/>
  <c r="AO42" i="69"/>
  <c r="AP42" i="69"/>
  <c r="AQ42" i="69"/>
  <c r="AR42" i="69"/>
  <c r="AS42" i="69"/>
  <c r="AT42" i="69"/>
  <c r="AU42" i="69"/>
  <c r="AV42" i="69"/>
  <c r="AK43" i="69"/>
  <c r="AL43" i="69"/>
  <c r="AM43" i="69"/>
  <c r="AN43" i="69"/>
  <c r="AO43" i="69"/>
  <c r="AP43" i="69"/>
  <c r="AQ43" i="69"/>
  <c r="AR43" i="69"/>
  <c r="AS43" i="69"/>
  <c r="AT43" i="69"/>
  <c r="AU43" i="69"/>
  <c r="AV43" i="69"/>
  <c r="AK44" i="69"/>
  <c r="AL44" i="69"/>
  <c r="AM44" i="69"/>
  <c r="AN44" i="69"/>
  <c r="AO44" i="69"/>
  <c r="AP44" i="69"/>
  <c r="AQ44" i="69"/>
  <c r="AR44" i="69"/>
  <c r="AS44" i="69"/>
  <c r="AT44" i="69"/>
  <c r="AU44" i="69"/>
  <c r="AV44" i="69"/>
  <c r="AK45" i="69"/>
  <c r="AL45" i="69"/>
  <c r="AM45" i="69"/>
  <c r="AN45" i="69"/>
  <c r="AO45" i="69"/>
  <c r="AP45" i="69"/>
  <c r="AQ45" i="69"/>
  <c r="AR45" i="69"/>
  <c r="AZ45" i="69" s="1"/>
  <c r="E298" i="84" s="1"/>
  <c r="F298" i="84" s="1"/>
  <c r="AS45" i="69"/>
  <c r="AT45" i="69"/>
  <c r="AU45" i="69"/>
  <c r="AV45" i="69"/>
  <c r="AK46" i="69"/>
  <c r="AL46" i="69"/>
  <c r="AM46" i="69"/>
  <c r="AN46" i="69"/>
  <c r="AO46" i="69"/>
  <c r="AP46" i="69"/>
  <c r="AQ46" i="69"/>
  <c r="AR46" i="69"/>
  <c r="AS46" i="69"/>
  <c r="AT46" i="69"/>
  <c r="AU46" i="69"/>
  <c r="AV46" i="69"/>
  <c r="AK47" i="69"/>
  <c r="AL47" i="69"/>
  <c r="AM47" i="69"/>
  <c r="AN47" i="69"/>
  <c r="AO47" i="69"/>
  <c r="AP47" i="69"/>
  <c r="AQ47" i="69"/>
  <c r="AR47" i="69"/>
  <c r="AS47" i="69"/>
  <c r="AT47" i="69"/>
  <c r="AU47" i="69"/>
  <c r="AV47" i="69"/>
  <c r="AK48" i="69"/>
  <c r="AL48" i="69"/>
  <c r="AM48" i="69"/>
  <c r="AN48" i="69"/>
  <c r="AO48" i="69"/>
  <c r="AP48" i="69"/>
  <c r="AQ48" i="69"/>
  <c r="AR48" i="69"/>
  <c r="AS48" i="69"/>
  <c r="AT48" i="69"/>
  <c r="AU48" i="69"/>
  <c r="AV48" i="69"/>
  <c r="AU9" i="69"/>
  <c r="AT9" i="69"/>
  <c r="AS9" i="69"/>
  <c r="AR9" i="69"/>
  <c r="AQ9" i="69"/>
  <c r="AP9" i="69"/>
  <c r="AN9" i="69"/>
  <c r="AO9" i="69"/>
  <c r="AM9" i="69"/>
  <c r="AL9" i="69"/>
  <c r="AK9" i="69"/>
  <c r="AC10" i="69"/>
  <c r="AJ10" i="69" s="1"/>
  <c r="AD10" i="69"/>
  <c r="AE10" i="69"/>
  <c r="AY10" i="69" s="1"/>
  <c r="E17" i="84" s="1"/>
  <c r="F17" i="84" s="1"/>
  <c r="AF10" i="69"/>
  <c r="AG10" i="69"/>
  <c r="BA10" i="69" s="1"/>
  <c r="E19" i="84" s="1"/>
  <c r="F19" i="84" s="1"/>
  <c r="AH10" i="69"/>
  <c r="BB10" i="69" s="1"/>
  <c r="E20" i="84" s="1"/>
  <c r="F20" i="84" s="1"/>
  <c r="AI10" i="69"/>
  <c r="BC10" i="69" s="1"/>
  <c r="E21" i="84" s="1"/>
  <c r="F21" i="84" s="1"/>
  <c r="AC11" i="69"/>
  <c r="AD11" i="69"/>
  <c r="AX11" i="69" s="1"/>
  <c r="E24" i="84" s="1"/>
  <c r="F24" i="84" s="1"/>
  <c r="AE11" i="69"/>
  <c r="AF11" i="69"/>
  <c r="AZ11" i="69" s="1"/>
  <c r="E26" i="84" s="1"/>
  <c r="F26" i="84" s="1"/>
  <c r="AG11" i="69"/>
  <c r="AH11" i="69"/>
  <c r="BB11" i="69" s="1"/>
  <c r="E28" i="84" s="1"/>
  <c r="F28" i="84" s="1"/>
  <c r="AI11" i="69"/>
  <c r="BC11" i="69" s="1"/>
  <c r="E29" i="84" s="1"/>
  <c r="F29" i="84" s="1"/>
  <c r="AC12" i="69"/>
  <c r="AD12" i="69"/>
  <c r="AX12" i="69" s="1"/>
  <c r="E32" i="84" s="1"/>
  <c r="F32" i="84" s="1"/>
  <c r="AE12" i="69"/>
  <c r="AY12" i="69" s="1"/>
  <c r="E33" i="84" s="1"/>
  <c r="F33" i="84" s="1"/>
  <c r="AF12" i="69"/>
  <c r="AZ12" i="69" s="1"/>
  <c r="E34" i="84" s="1"/>
  <c r="F34" i="84" s="1"/>
  <c r="AG12" i="69"/>
  <c r="AH12" i="69"/>
  <c r="BB12" i="69" s="1"/>
  <c r="E36" i="84" s="1"/>
  <c r="F36" i="84" s="1"/>
  <c r="AI12" i="69"/>
  <c r="BC12" i="69" s="1"/>
  <c r="E37" i="84" s="1"/>
  <c r="F37" i="84" s="1"/>
  <c r="AC13" i="69"/>
  <c r="AW13" i="69" s="1"/>
  <c r="AD13" i="69"/>
  <c r="AJ13" i="69" s="1"/>
  <c r="AE13" i="69"/>
  <c r="AY13" i="69" s="1"/>
  <c r="E41" i="84" s="1"/>
  <c r="F41" i="84" s="1"/>
  <c r="AF13" i="69"/>
  <c r="AG13" i="69"/>
  <c r="BA13" i="69" s="1"/>
  <c r="E43" i="84" s="1"/>
  <c r="F43" i="84" s="1"/>
  <c r="AH13" i="69"/>
  <c r="AI13" i="69"/>
  <c r="BC13" i="69" s="1"/>
  <c r="E45" i="84" s="1"/>
  <c r="F45" i="84" s="1"/>
  <c r="AC14" i="69"/>
  <c r="AW14" i="69" s="1"/>
  <c r="AD14" i="69"/>
  <c r="AE14" i="69"/>
  <c r="AY14" i="69" s="1"/>
  <c r="E49" i="84" s="1"/>
  <c r="F49" i="84" s="1"/>
  <c r="AF14" i="69"/>
  <c r="AG14" i="69"/>
  <c r="BA14" i="69" s="1"/>
  <c r="E51" i="84" s="1"/>
  <c r="F51" i="84" s="1"/>
  <c r="AH14" i="69"/>
  <c r="BB14" i="69" s="1"/>
  <c r="E52" i="84" s="1"/>
  <c r="F52" i="84" s="1"/>
  <c r="AI14" i="69"/>
  <c r="BC14" i="69" s="1"/>
  <c r="E53" i="84" s="1"/>
  <c r="F53" i="84" s="1"/>
  <c r="AC15" i="69"/>
  <c r="AJ15" i="69" s="1"/>
  <c r="AD15" i="69"/>
  <c r="AX15" i="69" s="1"/>
  <c r="E56" i="84" s="1"/>
  <c r="F56" i="84" s="1"/>
  <c r="AE15" i="69"/>
  <c r="AY15" i="69" s="1"/>
  <c r="E57" i="84" s="1"/>
  <c r="F57" i="84" s="1"/>
  <c r="AF15" i="69"/>
  <c r="AZ15" i="69" s="1"/>
  <c r="E58" i="84" s="1"/>
  <c r="F58" i="84" s="1"/>
  <c r="AG15" i="69"/>
  <c r="AH15" i="69"/>
  <c r="BB15" i="69" s="1"/>
  <c r="E60" i="84" s="1"/>
  <c r="F60" i="84" s="1"/>
  <c r="AI15" i="69"/>
  <c r="BC15" i="69" s="1"/>
  <c r="E61" i="84" s="1"/>
  <c r="F61" i="84" s="1"/>
  <c r="AC16" i="69"/>
  <c r="AD16" i="69"/>
  <c r="AX16" i="69" s="1"/>
  <c r="E64" i="84" s="1"/>
  <c r="F64" i="84" s="1"/>
  <c r="AE16" i="69"/>
  <c r="AY16" i="69" s="1"/>
  <c r="E65" i="84" s="1"/>
  <c r="F65" i="84" s="1"/>
  <c r="AF16" i="69"/>
  <c r="AZ16" i="69" s="1"/>
  <c r="E66" i="84" s="1"/>
  <c r="F66" i="84" s="1"/>
  <c r="AG16" i="69"/>
  <c r="AH16" i="69"/>
  <c r="BB16" i="69" s="1"/>
  <c r="E68" i="84" s="1"/>
  <c r="F68" i="84" s="1"/>
  <c r="AI16" i="69"/>
  <c r="BC16" i="69" s="1"/>
  <c r="E69" i="84" s="1"/>
  <c r="F69" i="84" s="1"/>
  <c r="AC17" i="69"/>
  <c r="AW17" i="69" s="1"/>
  <c r="AD17" i="69"/>
  <c r="AJ17" i="69" s="1"/>
  <c r="AE17" i="69"/>
  <c r="AY17" i="69" s="1"/>
  <c r="E73" i="84" s="1"/>
  <c r="F73" i="84" s="1"/>
  <c r="AF17" i="69"/>
  <c r="AG17" i="69"/>
  <c r="BA17" i="69" s="1"/>
  <c r="E75" i="84" s="1"/>
  <c r="F75" i="84" s="1"/>
  <c r="AH17" i="69"/>
  <c r="AI17" i="69"/>
  <c r="BC17" i="69" s="1"/>
  <c r="E77" i="84" s="1"/>
  <c r="F77" i="84" s="1"/>
  <c r="AC18" i="69"/>
  <c r="AW18" i="69" s="1"/>
  <c r="AD18" i="69"/>
  <c r="AE18" i="69"/>
  <c r="AY18" i="69" s="1"/>
  <c r="E81" i="84" s="1"/>
  <c r="F81" i="84" s="1"/>
  <c r="AF18" i="69"/>
  <c r="AG18" i="69"/>
  <c r="BA18" i="69" s="1"/>
  <c r="E83" i="84" s="1"/>
  <c r="F83" i="84" s="1"/>
  <c r="AH18" i="69"/>
  <c r="BB18" i="69" s="1"/>
  <c r="E84" i="84" s="1"/>
  <c r="F84" i="84" s="1"/>
  <c r="AI18" i="69"/>
  <c r="BC18" i="69" s="1"/>
  <c r="E85" i="84" s="1"/>
  <c r="F85" i="84" s="1"/>
  <c r="AC19" i="69"/>
  <c r="AJ19" i="69" s="1"/>
  <c r="AD19" i="69"/>
  <c r="AX19" i="69" s="1"/>
  <c r="E88" i="84" s="1"/>
  <c r="F88" i="84" s="1"/>
  <c r="AE19" i="69"/>
  <c r="AY19" i="69" s="1"/>
  <c r="E89" i="84" s="1"/>
  <c r="F89" i="84" s="1"/>
  <c r="AF19" i="69"/>
  <c r="AZ19" i="69" s="1"/>
  <c r="E90" i="84" s="1"/>
  <c r="F90" i="84" s="1"/>
  <c r="AG19" i="69"/>
  <c r="AH19" i="69"/>
  <c r="BB19" i="69" s="1"/>
  <c r="E92" i="84" s="1"/>
  <c r="F92" i="84" s="1"/>
  <c r="AI19" i="69"/>
  <c r="BC19" i="69" s="1"/>
  <c r="E93" i="84" s="1"/>
  <c r="F93" i="84" s="1"/>
  <c r="AC20" i="69"/>
  <c r="AD20" i="69"/>
  <c r="AX20" i="69" s="1"/>
  <c r="E96" i="84" s="1"/>
  <c r="F96" i="84" s="1"/>
  <c r="AE20" i="69"/>
  <c r="AY20" i="69" s="1"/>
  <c r="E97" i="84" s="1"/>
  <c r="F97" i="84" s="1"/>
  <c r="AF20" i="69"/>
  <c r="AZ20" i="69" s="1"/>
  <c r="E98" i="84" s="1"/>
  <c r="F98" i="84" s="1"/>
  <c r="AG20" i="69"/>
  <c r="AH20" i="69"/>
  <c r="BB20" i="69" s="1"/>
  <c r="E100" i="84" s="1"/>
  <c r="F100" i="84" s="1"/>
  <c r="AI20" i="69"/>
  <c r="BC20" i="69" s="1"/>
  <c r="E101" i="84" s="1"/>
  <c r="F101" i="84" s="1"/>
  <c r="AC21" i="69"/>
  <c r="AW21" i="69" s="1"/>
  <c r="E103" i="84" s="1"/>
  <c r="F103" i="84" s="1"/>
  <c r="AD21" i="69"/>
  <c r="AJ21" i="69" s="1"/>
  <c r="AE21" i="69"/>
  <c r="AY21" i="69" s="1"/>
  <c r="E105" i="84" s="1"/>
  <c r="F105" i="84" s="1"/>
  <c r="AF21" i="69"/>
  <c r="AG21" i="69"/>
  <c r="BA21" i="69" s="1"/>
  <c r="E107" i="84" s="1"/>
  <c r="F107" i="84" s="1"/>
  <c r="AH21" i="69"/>
  <c r="AI21" i="69"/>
  <c r="BC21" i="69" s="1"/>
  <c r="AC22" i="69"/>
  <c r="AW22" i="69" s="1"/>
  <c r="AD22" i="69"/>
  <c r="AE22" i="69"/>
  <c r="AY22" i="69" s="1"/>
  <c r="E113" i="84" s="1"/>
  <c r="F113" i="84" s="1"/>
  <c r="AF22" i="69"/>
  <c r="AG22" i="69"/>
  <c r="BA22" i="69" s="1"/>
  <c r="E115" i="84" s="1"/>
  <c r="F115" i="84" s="1"/>
  <c r="AH22" i="69"/>
  <c r="BB22" i="69" s="1"/>
  <c r="E116" i="84" s="1"/>
  <c r="F116" i="84" s="1"/>
  <c r="AI22" i="69"/>
  <c r="BC22" i="69" s="1"/>
  <c r="E117" i="84" s="1"/>
  <c r="F117" i="84" s="1"/>
  <c r="AC23" i="69"/>
  <c r="AJ23" i="69" s="1"/>
  <c r="AD23" i="69"/>
  <c r="AX23" i="69" s="1"/>
  <c r="E120" i="84" s="1"/>
  <c r="F120" i="84" s="1"/>
  <c r="AE23" i="69"/>
  <c r="AY23" i="69" s="1"/>
  <c r="E121" i="84" s="1"/>
  <c r="F121" i="84" s="1"/>
  <c r="AF23" i="69"/>
  <c r="AZ23" i="69" s="1"/>
  <c r="E122" i="84" s="1"/>
  <c r="F122" i="84" s="1"/>
  <c r="AG23" i="69"/>
  <c r="AH23" i="69"/>
  <c r="BB23" i="69" s="1"/>
  <c r="E124" i="84" s="1"/>
  <c r="F124" i="84" s="1"/>
  <c r="AI23" i="69"/>
  <c r="BC23" i="69" s="1"/>
  <c r="E125" i="84" s="1"/>
  <c r="F125" i="84" s="1"/>
  <c r="AC24" i="69"/>
  <c r="AJ24" i="69" s="1"/>
  <c r="AD24" i="69"/>
  <c r="AX24" i="69" s="1"/>
  <c r="E128" i="84" s="1"/>
  <c r="F128" i="84" s="1"/>
  <c r="AE24" i="69"/>
  <c r="AY24" i="69" s="1"/>
  <c r="E129" i="84" s="1"/>
  <c r="F129" i="84" s="1"/>
  <c r="AF24" i="69"/>
  <c r="AZ24" i="69" s="1"/>
  <c r="E130" i="84" s="1"/>
  <c r="F130" i="84" s="1"/>
  <c r="AG24" i="69"/>
  <c r="AH24" i="69"/>
  <c r="BB24" i="69" s="1"/>
  <c r="E132" i="84" s="1"/>
  <c r="F132" i="84" s="1"/>
  <c r="AI24" i="69"/>
  <c r="BC24" i="69" s="1"/>
  <c r="E133" i="84" s="1"/>
  <c r="F133" i="84" s="1"/>
  <c r="AC25" i="69"/>
  <c r="AW25" i="69" s="1"/>
  <c r="AD25" i="69"/>
  <c r="AE25" i="69"/>
  <c r="AY25" i="69" s="1"/>
  <c r="E137" i="84" s="1"/>
  <c r="F137" i="84" s="1"/>
  <c r="AF25" i="69"/>
  <c r="AG25" i="69"/>
  <c r="BA25" i="69" s="1"/>
  <c r="E139" i="84" s="1"/>
  <c r="F139" i="84" s="1"/>
  <c r="AH25" i="69"/>
  <c r="AI25" i="69"/>
  <c r="BC25" i="69" s="1"/>
  <c r="E141" i="84" s="1"/>
  <c r="F141" i="84" s="1"/>
  <c r="AC26" i="69"/>
  <c r="AD26" i="69"/>
  <c r="AE26" i="69"/>
  <c r="AY26" i="69" s="1"/>
  <c r="E145" i="84" s="1"/>
  <c r="F145" i="84" s="1"/>
  <c r="AF26" i="69"/>
  <c r="AG26" i="69"/>
  <c r="BA26" i="69" s="1"/>
  <c r="E147" i="84" s="1"/>
  <c r="F147" i="84" s="1"/>
  <c r="AH26" i="69"/>
  <c r="BB26" i="69" s="1"/>
  <c r="E148" i="84" s="1"/>
  <c r="F148" i="84" s="1"/>
  <c r="AI26" i="69"/>
  <c r="BC26" i="69" s="1"/>
  <c r="E149" i="84" s="1"/>
  <c r="F149" i="84" s="1"/>
  <c r="AC27" i="69"/>
  <c r="AD27" i="69"/>
  <c r="AX27" i="69" s="1"/>
  <c r="E152" i="84" s="1"/>
  <c r="F152" i="84" s="1"/>
  <c r="AE27" i="69"/>
  <c r="AF27" i="69"/>
  <c r="AZ27" i="69" s="1"/>
  <c r="E154" i="84" s="1"/>
  <c r="F154" i="84" s="1"/>
  <c r="AG27" i="69"/>
  <c r="AH27" i="69"/>
  <c r="BB27" i="69" s="1"/>
  <c r="E156" i="84" s="1"/>
  <c r="F156" i="84" s="1"/>
  <c r="AI27" i="69"/>
  <c r="BC27" i="69" s="1"/>
  <c r="E157" i="84" s="1"/>
  <c r="F157" i="84" s="1"/>
  <c r="AC28" i="69"/>
  <c r="AD28" i="69"/>
  <c r="AX28" i="69" s="1"/>
  <c r="E160" i="84" s="1"/>
  <c r="F160" i="84" s="1"/>
  <c r="AE28" i="69"/>
  <c r="AF28" i="69"/>
  <c r="AZ28" i="69" s="1"/>
  <c r="E162" i="84" s="1"/>
  <c r="F162" i="84" s="1"/>
  <c r="AG28" i="69"/>
  <c r="AH28" i="69"/>
  <c r="BB28" i="69" s="1"/>
  <c r="E164" i="84" s="1"/>
  <c r="F164" i="84" s="1"/>
  <c r="AI28" i="69"/>
  <c r="BC28" i="69" s="1"/>
  <c r="E165" i="84" s="1"/>
  <c r="F165" i="84" s="1"/>
  <c r="AJ28" i="69"/>
  <c r="AC29" i="69"/>
  <c r="AW29" i="69" s="1"/>
  <c r="AD29" i="69"/>
  <c r="AE29" i="69"/>
  <c r="AY29" i="69" s="1"/>
  <c r="E169" i="84" s="1"/>
  <c r="F169" i="84" s="1"/>
  <c r="AF29" i="69"/>
  <c r="AZ29" i="69" s="1"/>
  <c r="E170" i="84" s="1"/>
  <c r="F170" i="84" s="1"/>
  <c r="AG29" i="69"/>
  <c r="BA29" i="69" s="1"/>
  <c r="E171" i="84" s="1"/>
  <c r="F171" i="84" s="1"/>
  <c r="AH29" i="69"/>
  <c r="AI29" i="69"/>
  <c r="BC29" i="69" s="1"/>
  <c r="E173" i="84" s="1"/>
  <c r="F173" i="84" s="1"/>
  <c r="AJ29" i="69"/>
  <c r="AC30" i="69"/>
  <c r="AW30" i="69" s="1"/>
  <c r="AD30" i="69"/>
  <c r="AE30" i="69"/>
  <c r="AY30" i="69" s="1"/>
  <c r="E177" i="84" s="1"/>
  <c r="F177" i="84" s="1"/>
  <c r="AF30" i="69"/>
  <c r="AZ30" i="69" s="1"/>
  <c r="E178" i="84" s="1"/>
  <c r="F178" i="84" s="1"/>
  <c r="AG30" i="69"/>
  <c r="BA30" i="69" s="1"/>
  <c r="E179" i="84" s="1"/>
  <c r="F179" i="84" s="1"/>
  <c r="AH30" i="69"/>
  <c r="BB30" i="69" s="1"/>
  <c r="E180" i="84" s="1"/>
  <c r="F180" i="84" s="1"/>
  <c r="AI30" i="69"/>
  <c r="BC30" i="69" s="1"/>
  <c r="E181" i="84" s="1"/>
  <c r="F181" i="84" s="1"/>
  <c r="AJ30" i="69"/>
  <c r="AC31" i="69"/>
  <c r="AD31" i="69"/>
  <c r="AX31" i="69" s="1"/>
  <c r="E184" i="84" s="1"/>
  <c r="F184" i="84" s="1"/>
  <c r="AE31" i="69"/>
  <c r="AF31" i="69"/>
  <c r="AZ31" i="69" s="1"/>
  <c r="E186" i="84" s="1"/>
  <c r="F186" i="84" s="1"/>
  <c r="AG31" i="69"/>
  <c r="AH31" i="69"/>
  <c r="BB31" i="69" s="1"/>
  <c r="E188" i="84" s="1"/>
  <c r="F188" i="84" s="1"/>
  <c r="AI31" i="69"/>
  <c r="BC31" i="69" s="1"/>
  <c r="E189" i="84" s="1"/>
  <c r="F189" i="84" s="1"/>
  <c r="AC32" i="69"/>
  <c r="AD32" i="69"/>
  <c r="AE32" i="69"/>
  <c r="AF32" i="69"/>
  <c r="AZ32" i="69" s="1"/>
  <c r="E194" i="84" s="1"/>
  <c r="F194" i="84" s="1"/>
  <c r="AG32" i="69"/>
  <c r="AH32" i="69"/>
  <c r="BB32" i="69" s="1"/>
  <c r="E196" i="84" s="1"/>
  <c r="F196" i="84" s="1"/>
  <c r="AI32" i="69"/>
  <c r="BC32" i="69" s="1"/>
  <c r="E197" i="84" s="1"/>
  <c r="F197" i="84" s="1"/>
  <c r="AC33" i="69"/>
  <c r="AW33" i="69" s="1"/>
  <c r="AD33" i="69"/>
  <c r="AE33" i="69"/>
  <c r="AY33" i="69" s="1"/>
  <c r="E201" i="84" s="1"/>
  <c r="F201" i="84" s="1"/>
  <c r="AF33" i="69"/>
  <c r="AG33" i="69"/>
  <c r="BA33" i="69" s="1"/>
  <c r="E203" i="84" s="1"/>
  <c r="F203" i="84" s="1"/>
  <c r="AH33" i="69"/>
  <c r="AI33" i="69"/>
  <c r="BC33" i="69" s="1"/>
  <c r="E205" i="84" s="1"/>
  <c r="F205" i="84" s="1"/>
  <c r="AC34" i="69"/>
  <c r="AW34" i="69" s="1"/>
  <c r="AD34" i="69"/>
  <c r="AE34" i="69"/>
  <c r="AY34" i="69" s="1"/>
  <c r="E209" i="84" s="1"/>
  <c r="F209" i="84" s="1"/>
  <c r="AF34" i="69"/>
  <c r="AG34" i="69"/>
  <c r="BA34" i="69" s="1"/>
  <c r="E211" i="84" s="1"/>
  <c r="F211" i="84" s="1"/>
  <c r="AH34" i="69"/>
  <c r="BB34" i="69" s="1"/>
  <c r="E212" i="84" s="1"/>
  <c r="F212" i="84" s="1"/>
  <c r="AI34" i="69"/>
  <c r="BC34" i="69" s="1"/>
  <c r="E213" i="84" s="1"/>
  <c r="F213" i="84" s="1"/>
  <c r="AC35" i="69"/>
  <c r="AW35" i="69" s="1"/>
  <c r="AD35" i="69"/>
  <c r="AE35" i="69"/>
  <c r="AY35" i="69" s="1"/>
  <c r="E217" i="84" s="1"/>
  <c r="F217" i="84" s="1"/>
  <c r="AF35" i="69"/>
  <c r="AG35" i="69"/>
  <c r="BA35" i="69" s="1"/>
  <c r="E219" i="84" s="1"/>
  <c r="F219" i="84" s="1"/>
  <c r="AH35" i="69"/>
  <c r="BB35" i="69" s="1"/>
  <c r="E220" i="84" s="1"/>
  <c r="F220" i="84" s="1"/>
  <c r="AI35" i="69"/>
  <c r="BC35" i="69" s="1"/>
  <c r="E221" i="84" s="1"/>
  <c r="F221" i="84" s="1"/>
  <c r="AC36" i="69"/>
  <c r="AW36" i="69" s="1"/>
  <c r="AD36" i="69"/>
  <c r="AE36" i="69"/>
  <c r="AY36" i="69" s="1"/>
  <c r="E225" i="84" s="1"/>
  <c r="F225" i="84" s="1"/>
  <c r="AF36" i="69"/>
  <c r="AG36" i="69"/>
  <c r="BA36" i="69" s="1"/>
  <c r="E227" i="84" s="1"/>
  <c r="F227" i="84" s="1"/>
  <c r="AH36" i="69"/>
  <c r="BB36" i="69" s="1"/>
  <c r="E228" i="84" s="1"/>
  <c r="F228" i="84" s="1"/>
  <c r="AI36" i="69"/>
  <c r="BC36" i="69" s="1"/>
  <c r="E229" i="84" s="1"/>
  <c r="F229" i="84" s="1"/>
  <c r="AC37" i="69"/>
  <c r="AW37" i="69" s="1"/>
  <c r="AD37" i="69"/>
  <c r="AE37" i="69"/>
  <c r="AY37" i="69" s="1"/>
  <c r="E233" i="84" s="1"/>
  <c r="F233" i="84" s="1"/>
  <c r="AF37" i="69"/>
  <c r="AG37" i="69"/>
  <c r="BA37" i="69" s="1"/>
  <c r="E235" i="84" s="1"/>
  <c r="F235" i="84" s="1"/>
  <c r="AH37" i="69"/>
  <c r="BB37" i="69" s="1"/>
  <c r="E236" i="84" s="1"/>
  <c r="F236" i="84" s="1"/>
  <c r="AI37" i="69"/>
  <c r="BC37" i="69" s="1"/>
  <c r="E237" i="84" s="1"/>
  <c r="F237" i="84" s="1"/>
  <c r="AC38" i="69"/>
  <c r="AW38" i="69" s="1"/>
  <c r="AD38" i="69"/>
  <c r="AE38" i="69"/>
  <c r="AY38" i="69" s="1"/>
  <c r="E241" i="84" s="1"/>
  <c r="F241" i="84" s="1"/>
  <c r="AF38" i="69"/>
  <c r="AG38" i="69"/>
  <c r="BA38" i="69" s="1"/>
  <c r="E243" i="84" s="1"/>
  <c r="F243" i="84" s="1"/>
  <c r="AH38" i="69"/>
  <c r="BB38" i="69" s="1"/>
  <c r="E244" i="84" s="1"/>
  <c r="F244" i="84" s="1"/>
  <c r="AI38" i="69"/>
  <c r="BC38" i="69" s="1"/>
  <c r="E245" i="84" s="1"/>
  <c r="F245" i="84" s="1"/>
  <c r="AC39" i="69"/>
  <c r="AW39" i="69" s="1"/>
  <c r="AD39" i="69"/>
  <c r="AE39" i="69"/>
  <c r="AY39" i="69" s="1"/>
  <c r="E249" i="84" s="1"/>
  <c r="F249" i="84" s="1"/>
  <c r="AF39" i="69"/>
  <c r="AG39" i="69"/>
  <c r="BA39" i="69" s="1"/>
  <c r="E251" i="84" s="1"/>
  <c r="F251" i="84" s="1"/>
  <c r="AH39" i="69"/>
  <c r="BB39" i="69" s="1"/>
  <c r="E252" i="84" s="1"/>
  <c r="F252" i="84" s="1"/>
  <c r="AI39" i="69"/>
  <c r="BC39" i="69" s="1"/>
  <c r="E253" i="84" s="1"/>
  <c r="F253" i="84" s="1"/>
  <c r="AC40" i="69"/>
  <c r="AW40" i="69" s="1"/>
  <c r="AD40" i="69"/>
  <c r="AE40" i="69"/>
  <c r="AY40" i="69" s="1"/>
  <c r="E257" i="84" s="1"/>
  <c r="F257" i="84" s="1"/>
  <c r="AF40" i="69"/>
  <c r="AG40" i="69"/>
  <c r="BA40" i="69" s="1"/>
  <c r="E259" i="84" s="1"/>
  <c r="F259" i="84" s="1"/>
  <c r="AH40" i="69"/>
  <c r="BB40" i="69" s="1"/>
  <c r="E260" i="84" s="1"/>
  <c r="F260" i="84" s="1"/>
  <c r="AI40" i="69"/>
  <c r="BC40" i="69" s="1"/>
  <c r="E261" i="84" s="1"/>
  <c r="F261" i="84" s="1"/>
  <c r="AC41" i="69"/>
  <c r="AW41" i="69" s="1"/>
  <c r="AD41" i="69"/>
  <c r="AE41" i="69"/>
  <c r="AY41" i="69" s="1"/>
  <c r="E265" i="84" s="1"/>
  <c r="F265" i="84" s="1"/>
  <c r="AF41" i="69"/>
  <c r="AG41" i="69"/>
  <c r="BA41" i="69" s="1"/>
  <c r="E267" i="84" s="1"/>
  <c r="F267" i="84" s="1"/>
  <c r="AH41" i="69"/>
  <c r="BB41" i="69" s="1"/>
  <c r="E268" i="84" s="1"/>
  <c r="F268" i="84" s="1"/>
  <c r="AI41" i="69"/>
  <c r="BC41" i="69" s="1"/>
  <c r="E269" i="84" s="1"/>
  <c r="F269" i="84" s="1"/>
  <c r="AC42" i="69"/>
  <c r="AW42" i="69" s="1"/>
  <c r="AD42" i="69"/>
  <c r="AE42" i="69"/>
  <c r="AY42" i="69" s="1"/>
  <c r="E273" i="84" s="1"/>
  <c r="F273" i="84" s="1"/>
  <c r="AF42" i="69"/>
  <c r="AG42" i="69"/>
  <c r="BA42" i="69" s="1"/>
  <c r="E275" i="84" s="1"/>
  <c r="F275" i="84" s="1"/>
  <c r="AH42" i="69"/>
  <c r="BB42" i="69" s="1"/>
  <c r="E276" i="84" s="1"/>
  <c r="F276" i="84" s="1"/>
  <c r="AI42" i="69"/>
  <c r="BC42" i="69" s="1"/>
  <c r="E277" i="84" s="1"/>
  <c r="F277" i="84" s="1"/>
  <c r="AC43" i="69"/>
  <c r="AW43" i="69" s="1"/>
  <c r="AD43" i="69"/>
  <c r="AE43" i="69"/>
  <c r="AY43" i="69" s="1"/>
  <c r="E281" i="84" s="1"/>
  <c r="F281" i="84" s="1"/>
  <c r="AF43" i="69"/>
  <c r="AG43" i="69"/>
  <c r="BA43" i="69" s="1"/>
  <c r="E283" i="84" s="1"/>
  <c r="F283" i="84" s="1"/>
  <c r="AH43" i="69"/>
  <c r="BB43" i="69" s="1"/>
  <c r="E284" i="84" s="1"/>
  <c r="F284" i="84" s="1"/>
  <c r="AI43" i="69"/>
  <c r="BC43" i="69" s="1"/>
  <c r="E285" i="84" s="1"/>
  <c r="F285" i="84" s="1"/>
  <c r="AC44" i="69"/>
  <c r="AW44" i="69" s="1"/>
  <c r="E287" i="84" s="1"/>
  <c r="F287" i="84" s="1"/>
  <c r="AD44" i="69"/>
  <c r="AE44" i="69"/>
  <c r="AY44" i="69" s="1"/>
  <c r="E289" i="84" s="1"/>
  <c r="F289" i="84" s="1"/>
  <c r="AF44" i="69"/>
  <c r="AZ44" i="69" s="1"/>
  <c r="E290" i="84" s="1"/>
  <c r="F290" i="84" s="1"/>
  <c r="AG44" i="69"/>
  <c r="BA44" i="69" s="1"/>
  <c r="E291" i="84" s="1"/>
  <c r="F291" i="84" s="1"/>
  <c r="AH44" i="69"/>
  <c r="BB44" i="69" s="1"/>
  <c r="E292" i="84" s="1"/>
  <c r="F292" i="84" s="1"/>
  <c r="AI44" i="69"/>
  <c r="BC44" i="69" s="1"/>
  <c r="E293" i="84" s="1"/>
  <c r="F293" i="84" s="1"/>
  <c r="AC45" i="69"/>
  <c r="AW45" i="69" s="1"/>
  <c r="E295" i="84" s="1"/>
  <c r="F295" i="84" s="1"/>
  <c r="AD45" i="69"/>
  <c r="AE45" i="69"/>
  <c r="AY45" i="69" s="1"/>
  <c r="E297" i="84" s="1"/>
  <c r="F297" i="84" s="1"/>
  <c r="AF45" i="69"/>
  <c r="AG45" i="69"/>
  <c r="BA45" i="69" s="1"/>
  <c r="E299" i="84" s="1"/>
  <c r="F299" i="84" s="1"/>
  <c r="AH45" i="69"/>
  <c r="BB45" i="69" s="1"/>
  <c r="E300" i="84" s="1"/>
  <c r="F300" i="84" s="1"/>
  <c r="AI45" i="69"/>
  <c r="BC45" i="69" s="1"/>
  <c r="E301" i="84" s="1"/>
  <c r="F301" i="84" s="1"/>
  <c r="AC46" i="69"/>
  <c r="AW46" i="69" s="1"/>
  <c r="E303" i="84" s="1"/>
  <c r="F303" i="84" s="1"/>
  <c r="AD46" i="69"/>
  <c r="AX46" i="69" s="1"/>
  <c r="E304" i="84" s="1"/>
  <c r="F304" i="84" s="1"/>
  <c r="AE46" i="69"/>
  <c r="AF46" i="69"/>
  <c r="AZ46" i="69" s="1"/>
  <c r="E306" i="84" s="1"/>
  <c r="F306" i="84" s="1"/>
  <c r="AG46" i="69"/>
  <c r="BA46" i="69" s="1"/>
  <c r="E307" i="84" s="1"/>
  <c r="F307" i="84" s="1"/>
  <c r="AH46" i="69"/>
  <c r="BB46" i="69" s="1"/>
  <c r="E308" i="84" s="1"/>
  <c r="F308" i="84" s="1"/>
  <c r="AI46" i="69"/>
  <c r="AC47" i="69"/>
  <c r="AW47" i="69" s="1"/>
  <c r="AD47" i="69"/>
  <c r="AX47" i="69" s="1"/>
  <c r="E312" i="84" s="1"/>
  <c r="F312" i="84" s="1"/>
  <c r="AE47" i="69"/>
  <c r="AF47" i="69"/>
  <c r="AZ47" i="69" s="1"/>
  <c r="E314" i="84" s="1"/>
  <c r="F314" i="84" s="1"/>
  <c r="AG47" i="69"/>
  <c r="BA47" i="69" s="1"/>
  <c r="E315" i="84" s="1"/>
  <c r="F315" i="84" s="1"/>
  <c r="AH47" i="69"/>
  <c r="BB47" i="69" s="1"/>
  <c r="E316" i="84" s="1"/>
  <c r="F316" i="84" s="1"/>
  <c r="AI47" i="69"/>
  <c r="AC48" i="69"/>
  <c r="AW48" i="69" s="1"/>
  <c r="AD48" i="69"/>
  <c r="AX48" i="69" s="1"/>
  <c r="E320" i="84" s="1"/>
  <c r="F320" i="84" s="1"/>
  <c r="AE48" i="69"/>
  <c r="AF48" i="69"/>
  <c r="AZ48" i="69" s="1"/>
  <c r="E322" i="84" s="1"/>
  <c r="F322" i="84" s="1"/>
  <c r="AG48" i="69"/>
  <c r="BA48" i="69" s="1"/>
  <c r="E323" i="84" s="1"/>
  <c r="F323" i="84" s="1"/>
  <c r="AH48" i="69"/>
  <c r="BB48" i="69" s="1"/>
  <c r="E324" i="84" s="1"/>
  <c r="F324" i="84" s="1"/>
  <c r="AI48" i="69"/>
  <c r="AD9" i="69"/>
  <c r="AX9" i="69" s="1"/>
  <c r="E8" i="84" s="1"/>
  <c r="AI9" i="69"/>
  <c r="BC9" i="69" s="1"/>
  <c r="E13" i="84" s="1"/>
  <c r="AH9" i="69"/>
  <c r="BB9" i="69" s="1"/>
  <c r="E12" i="84" s="1"/>
  <c r="AG9" i="69"/>
  <c r="AF9" i="69"/>
  <c r="AZ9" i="69" s="1"/>
  <c r="E10" i="84" s="1"/>
  <c r="AE9" i="69"/>
  <c r="AY9" i="69" s="1"/>
  <c r="E9" i="84" s="1"/>
  <c r="AC9" i="69"/>
  <c r="E311" i="84" l="1"/>
  <c r="F311" i="84" s="1"/>
  <c r="BD47" i="69"/>
  <c r="E319" i="84"/>
  <c r="F319" i="84" s="1"/>
  <c r="BD48" i="69"/>
  <c r="E255" i="84"/>
  <c r="F255" i="84" s="1"/>
  <c r="E247" i="84"/>
  <c r="F247" i="84" s="1"/>
  <c r="E239" i="84"/>
  <c r="F239" i="84" s="1"/>
  <c r="E231" i="84"/>
  <c r="F231" i="84" s="1"/>
  <c r="E223" i="84"/>
  <c r="F223" i="84" s="1"/>
  <c r="E199" i="84"/>
  <c r="F199" i="84" s="1"/>
  <c r="AJ31" i="69"/>
  <c r="AX45" i="69"/>
  <c r="E296" i="84" s="1"/>
  <c r="F296" i="84" s="1"/>
  <c r="AX44" i="69"/>
  <c r="E288" i="84" s="1"/>
  <c r="F288" i="84" s="1"/>
  <c r="AX43" i="69"/>
  <c r="E280" i="84" s="1"/>
  <c r="F280" i="84" s="1"/>
  <c r="AX42" i="69"/>
  <c r="E272" i="84" s="1"/>
  <c r="F272" i="84" s="1"/>
  <c r="AX41" i="69"/>
  <c r="E264" i="84" s="1"/>
  <c r="F264" i="84" s="1"/>
  <c r="AX40" i="69"/>
  <c r="E256" i="84" s="1"/>
  <c r="F256" i="84" s="1"/>
  <c r="AX39" i="69"/>
  <c r="E248" i="84" s="1"/>
  <c r="F248" i="84" s="1"/>
  <c r="AX38" i="69"/>
  <c r="E240" i="84" s="1"/>
  <c r="F240" i="84" s="1"/>
  <c r="AX37" i="69"/>
  <c r="E232" i="84" s="1"/>
  <c r="F232" i="84" s="1"/>
  <c r="AX36" i="69"/>
  <c r="E224" i="84" s="1"/>
  <c r="F224" i="84" s="1"/>
  <c r="AX35" i="69"/>
  <c r="E216" i="84" s="1"/>
  <c r="F216" i="84" s="1"/>
  <c r="AX34" i="69"/>
  <c r="E208" i="84" s="1"/>
  <c r="F208" i="84" s="1"/>
  <c r="BB33" i="69"/>
  <c r="E204" i="84" s="1"/>
  <c r="F204" i="84" s="1"/>
  <c r="AX33" i="69"/>
  <c r="E200" i="84" s="1"/>
  <c r="F200" i="84" s="1"/>
  <c r="BA32" i="69"/>
  <c r="E195" i="84" s="1"/>
  <c r="F195" i="84" s="1"/>
  <c r="AW32" i="69"/>
  <c r="BA31" i="69"/>
  <c r="E187" i="84" s="1"/>
  <c r="F187" i="84" s="1"/>
  <c r="AW31" i="69"/>
  <c r="E175" i="84"/>
  <c r="F175" i="84" s="1"/>
  <c r="E167" i="84"/>
  <c r="F167" i="84" s="1"/>
  <c r="BA28" i="69"/>
  <c r="E163" i="84" s="1"/>
  <c r="F163" i="84" s="1"/>
  <c r="AW28" i="69"/>
  <c r="BA27" i="69"/>
  <c r="E155" i="84" s="1"/>
  <c r="F155" i="84" s="1"/>
  <c r="AW27" i="69"/>
  <c r="AZ26" i="69"/>
  <c r="E146" i="84" s="1"/>
  <c r="F146" i="84" s="1"/>
  <c r="AJ25" i="69"/>
  <c r="AZ25" i="69"/>
  <c r="E138" i="84" s="1"/>
  <c r="F138" i="84" s="1"/>
  <c r="AJ22" i="69"/>
  <c r="AZ22" i="69"/>
  <c r="E114" i="84" s="1"/>
  <c r="F114" i="84" s="1"/>
  <c r="AZ21" i="69"/>
  <c r="E106" i="84" s="1"/>
  <c r="F106" i="84" s="1"/>
  <c r="AJ20" i="69"/>
  <c r="AJ18" i="69"/>
  <c r="AZ18" i="69"/>
  <c r="E82" i="84" s="1"/>
  <c r="F82" i="84" s="1"/>
  <c r="AZ17" i="69"/>
  <c r="E74" i="84" s="1"/>
  <c r="F74" i="84" s="1"/>
  <c r="AJ16" i="69"/>
  <c r="AJ14" i="69"/>
  <c r="AZ14" i="69"/>
  <c r="E50" i="84" s="1"/>
  <c r="F50" i="84" s="1"/>
  <c r="AZ13" i="69"/>
  <c r="E42" i="84" s="1"/>
  <c r="F42" i="84" s="1"/>
  <c r="AJ12" i="69"/>
  <c r="AY11" i="69"/>
  <c r="E25" i="84" s="1"/>
  <c r="F25" i="84" s="1"/>
  <c r="AX10" i="69"/>
  <c r="E16" i="84" s="1"/>
  <c r="F16" i="84" s="1"/>
  <c r="AV32" i="69"/>
  <c r="AV30" i="69"/>
  <c r="AV28" i="69"/>
  <c r="AV26" i="69"/>
  <c r="AV22" i="69"/>
  <c r="AV18" i="69"/>
  <c r="AV14" i="69"/>
  <c r="BD46" i="69"/>
  <c r="AI48" i="137"/>
  <c r="AI44" i="137"/>
  <c r="AI40" i="137"/>
  <c r="E215" i="84"/>
  <c r="F215" i="84" s="1"/>
  <c r="AJ27" i="69"/>
  <c r="E109" i="84"/>
  <c r="F109" i="84" s="1"/>
  <c r="AV11" i="69"/>
  <c r="AJ48" i="69"/>
  <c r="AJ47" i="69"/>
  <c r="AJ46" i="69"/>
  <c r="AJ45" i="69"/>
  <c r="AJ44" i="69"/>
  <c r="AJ43" i="69"/>
  <c r="AZ43" i="69"/>
  <c r="E282" i="84" s="1"/>
  <c r="F282" i="84" s="1"/>
  <c r="AJ42" i="69"/>
  <c r="AZ42" i="69"/>
  <c r="E274" i="84" s="1"/>
  <c r="F274" i="84" s="1"/>
  <c r="AJ41" i="69"/>
  <c r="AZ41" i="69"/>
  <c r="E266" i="84" s="1"/>
  <c r="F266" i="84" s="1"/>
  <c r="AJ40" i="69"/>
  <c r="AZ40" i="69"/>
  <c r="E258" i="84" s="1"/>
  <c r="F258" i="84" s="1"/>
  <c r="AJ39" i="69"/>
  <c r="AZ39" i="69"/>
  <c r="E250" i="84" s="1"/>
  <c r="F250" i="84" s="1"/>
  <c r="AJ38" i="69"/>
  <c r="AZ38" i="69"/>
  <c r="E242" i="84" s="1"/>
  <c r="F242" i="84" s="1"/>
  <c r="AJ37" i="69"/>
  <c r="AZ37" i="69"/>
  <c r="E234" i="84" s="1"/>
  <c r="F234" i="84" s="1"/>
  <c r="AJ36" i="69"/>
  <c r="AZ36" i="69"/>
  <c r="E226" i="84" s="1"/>
  <c r="F226" i="84" s="1"/>
  <c r="AJ35" i="69"/>
  <c r="AZ35" i="69"/>
  <c r="E218" i="84" s="1"/>
  <c r="F218" i="84" s="1"/>
  <c r="AJ34" i="69"/>
  <c r="AZ34" i="69"/>
  <c r="E210" i="84" s="1"/>
  <c r="F210" i="84" s="1"/>
  <c r="AJ33" i="69"/>
  <c r="AZ33" i="69"/>
  <c r="E202" i="84" s="1"/>
  <c r="F202" i="84" s="1"/>
  <c r="AY32" i="69"/>
  <c r="E193" i="84" s="1"/>
  <c r="F193" i="84" s="1"/>
  <c r="AY31" i="69"/>
  <c r="E185" i="84" s="1"/>
  <c r="F185" i="84" s="1"/>
  <c r="AY28" i="69"/>
  <c r="E161" i="84" s="1"/>
  <c r="F161" i="84" s="1"/>
  <c r="AY27" i="69"/>
  <c r="E153" i="84" s="1"/>
  <c r="F153" i="84" s="1"/>
  <c r="AX26" i="69"/>
  <c r="E144" i="84" s="1"/>
  <c r="F144" i="84" s="1"/>
  <c r="BB25" i="69"/>
  <c r="E140" i="84" s="1"/>
  <c r="F140" i="84" s="1"/>
  <c r="AX25" i="69"/>
  <c r="E136" i="84" s="1"/>
  <c r="F136" i="84" s="1"/>
  <c r="AX22" i="69"/>
  <c r="E112" i="84" s="1"/>
  <c r="F112" i="84" s="1"/>
  <c r="BB21" i="69"/>
  <c r="E108" i="84" s="1"/>
  <c r="F108" i="84" s="1"/>
  <c r="AX21" i="69"/>
  <c r="E104" i="84" s="1"/>
  <c r="F104" i="84" s="1"/>
  <c r="AX18" i="69"/>
  <c r="E80" i="84" s="1"/>
  <c r="F80" i="84" s="1"/>
  <c r="BB17" i="69"/>
  <c r="E76" i="84" s="1"/>
  <c r="F76" i="84" s="1"/>
  <c r="AX17" i="69"/>
  <c r="E72" i="84" s="1"/>
  <c r="F72" i="84" s="1"/>
  <c r="AX14" i="69"/>
  <c r="E48" i="84" s="1"/>
  <c r="F48" i="84" s="1"/>
  <c r="BB13" i="69"/>
  <c r="E44" i="84" s="1"/>
  <c r="F44" i="84" s="1"/>
  <c r="AX13" i="69"/>
  <c r="E40" i="84" s="1"/>
  <c r="F40" i="84" s="1"/>
  <c r="AJ11" i="69"/>
  <c r="BA11" i="69"/>
  <c r="E27" i="84" s="1"/>
  <c r="F27" i="84" s="1"/>
  <c r="AW11" i="69"/>
  <c r="AV24" i="69"/>
  <c r="AV20" i="69"/>
  <c r="AV16" i="69"/>
  <c r="AV12" i="69"/>
  <c r="AZ10" i="69"/>
  <c r="E18" i="84" s="1"/>
  <c r="F18" i="84" s="1"/>
  <c r="BD44" i="69"/>
  <c r="AI46" i="137"/>
  <c r="AI42" i="137"/>
  <c r="AI38" i="137"/>
  <c r="AI34" i="137"/>
  <c r="AI26" i="137"/>
  <c r="AI22" i="137"/>
  <c r="AI18" i="137"/>
  <c r="AI10" i="137"/>
  <c r="E279" i="84"/>
  <c r="F279" i="84" s="1"/>
  <c r="E271" i="84"/>
  <c r="F271" i="84" s="1"/>
  <c r="BD42" i="69"/>
  <c r="E263" i="84"/>
  <c r="F263" i="84" s="1"/>
  <c r="E207" i="84"/>
  <c r="F207" i="84" s="1"/>
  <c r="AJ32" i="69"/>
  <c r="AX32" i="69"/>
  <c r="E192" i="84" s="1"/>
  <c r="F192" i="84" s="1"/>
  <c r="AX30" i="69"/>
  <c r="E176" i="84" s="1"/>
  <c r="F176" i="84" s="1"/>
  <c r="BB29" i="69"/>
  <c r="E172" i="84" s="1"/>
  <c r="F172" i="84" s="1"/>
  <c r="AX29" i="69"/>
  <c r="E168" i="84" s="1"/>
  <c r="F168" i="84" s="1"/>
  <c r="AJ26" i="69"/>
  <c r="AW26" i="69"/>
  <c r="E135" i="84"/>
  <c r="F135" i="84" s="1"/>
  <c r="BD25" i="69"/>
  <c r="BA24" i="69"/>
  <c r="E131" i="84" s="1"/>
  <c r="F131" i="84" s="1"/>
  <c r="AW24" i="69"/>
  <c r="BA23" i="69"/>
  <c r="E123" i="84" s="1"/>
  <c r="F123" i="84" s="1"/>
  <c r="AW23" i="69"/>
  <c r="E111" i="84"/>
  <c r="F111" i="84" s="1"/>
  <c r="BD22" i="69"/>
  <c r="BA20" i="69"/>
  <c r="AW20" i="69"/>
  <c r="E95" i="84" s="1"/>
  <c r="F95" i="84" s="1"/>
  <c r="BA19" i="69"/>
  <c r="E91" i="84" s="1"/>
  <c r="F91" i="84" s="1"/>
  <c r="AW19" i="69"/>
  <c r="E79" i="84"/>
  <c r="F79" i="84" s="1"/>
  <c r="E71" i="84"/>
  <c r="F71" i="84" s="1"/>
  <c r="BA16" i="69"/>
  <c r="E67" i="84" s="1"/>
  <c r="F67" i="84" s="1"/>
  <c r="AW16" i="69"/>
  <c r="BA15" i="69"/>
  <c r="E59" i="84" s="1"/>
  <c r="F59" i="84" s="1"/>
  <c r="AW15" i="69"/>
  <c r="E47" i="84"/>
  <c r="F47" i="84" s="1"/>
  <c r="E39" i="84"/>
  <c r="F39" i="84" s="1"/>
  <c r="BA12" i="69"/>
  <c r="E35" i="84" s="1"/>
  <c r="F35" i="84" s="1"/>
  <c r="AW12" i="69"/>
  <c r="AV31" i="69"/>
  <c r="AV29" i="69"/>
  <c r="AV25" i="69"/>
  <c r="AV21" i="69"/>
  <c r="AV17" i="69"/>
  <c r="AV13" i="69"/>
  <c r="BD45" i="69"/>
  <c r="Z46" i="135"/>
  <c r="S38" i="135"/>
  <c r="Z30" i="135"/>
  <c r="S22" i="135"/>
  <c r="Z14" i="135"/>
  <c r="AC44" i="135"/>
  <c r="AC35" i="135"/>
  <c r="AC28" i="135"/>
  <c r="AC19" i="135"/>
  <c r="AC12" i="135"/>
  <c r="AF41" i="135"/>
  <c r="AF33" i="135"/>
  <c r="AF25" i="135"/>
  <c r="AF17" i="135"/>
  <c r="AL46" i="135"/>
  <c r="AL42" i="135"/>
  <c r="AL38" i="135"/>
  <c r="AL34" i="135"/>
  <c r="AL30" i="135"/>
  <c r="AL26" i="135"/>
  <c r="AL22" i="135"/>
  <c r="AL18" i="135"/>
  <c r="AL14" i="135"/>
  <c r="AL10" i="135"/>
  <c r="Z47" i="137"/>
  <c r="Z43" i="137"/>
  <c r="Z39" i="137"/>
  <c r="Z35" i="137"/>
  <c r="Z31" i="137"/>
  <c r="Z27" i="137"/>
  <c r="Z23" i="137"/>
  <c r="Z19" i="137"/>
  <c r="Z15" i="137"/>
  <c r="Z11" i="137"/>
  <c r="AE45" i="137"/>
  <c r="AE37" i="137"/>
  <c r="AE29" i="137"/>
  <c r="AE21" i="137"/>
  <c r="AE13" i="137"/>
  <c r="AF35" i="137"/>
  <c r="AI35" i="137" s="1"/>
  <c r="AF33" i="137"/>
  <c r="AI33" i="137" s="1"/>
  <c r="AF19" i="137"/>
  <c r="AI19" i="137" s="1"/>
  <c r="AF17" i="137"/>
  <c r="AI17" i="137" s="1"/>
  <c r="AO10" i="137"/>
  <c r="AS48" i="70"/>
  <c r="AS44" i="70"/>
  <c r="AS42" i="70"/>
  <c r="AS16" i="70"/>
  <c r="AS12" i="70"/>
  <c r="AS10" i="70"/>
  <c r="S34" i="135"/>
  <c r="AC9" i="135"/>
  <c r="AC47" i="135"/>
  <c r="AC40" i="135"/>
  <c r="AC31" i="135"/>
  <c r="AC24" i="135"/>
  <c r="AC15" i="135"/>
  <c r="AF47" i="135"/>
  <c r="AF39" i="135"/>
  <c r="AF31" i="135"/>
  <c r="AF23" i="135"/>
  <c r="AF15" i="135"/>
  <c r="AL45" i="135"/>
  <c r="AL41" i="135"/>
  <c r="AL37" i="135"/>
  <c r="AL33" i="135"/>
  <c r="AL29" i="135"/>
  <c r="AL25" i="135"/>
  <c r="AL21" i="135"/>
  <c r="AL17" i="135"/>
  <c r="AL13" i="135"/>
  <c r="Z48" i="137"/>
  <c r="Z44" i="137"/>
  <c r="Z40" i="137"/>
  <c r="Z36" i="137"/>
  <c r="AF36" i="137"/>
  <c r="AI36" i="137" s="1"/>
  <c r="Z32" i="137"/>
  <c r="AF32" i="137"/>
  <c r="AI32" i="137" s="1"/>
  <c r="Z28" i="137"/>
  <c r="AF28" i="137"/>
  <c r="AI28" i="137" s="1"/>
  <c r="Z24" i="137"/>
  <c r="AF24" i="137"/>
  <c r="AI24" i="137" s="1"/>
  <c r="Z20" i="137"/>
  <c r="AF20" i="137"/>
  <c r="AI20" i="137" s="1"/>
  <c r="Z16" i="137"/>
  <c r="AF16" i="137"/>
  <c r="AI16" i="137" s="1"/>
  <c r="Z12" i="137"/>
  <c r="AF12" i="137"/>
  <c r="AI12" i="137" s="1"/>
  <c r="AE43" i="137"/>
  <c r="AE35" i="137"/>
  <c r="AE27" i="137"/>
  <c r="AE19" i="137"/>
  <c r="AE11" i="137"/>
  <c r="AF45" i="137"/>
  <c r="AI45" i="137" s="1"/>
  <c r="AF41" i="137"/>
  <c r="AI41" i="137" s="1"/>
  <c r="AF31" i="137"/>
  <c r="AI31" i="137" s="1"/>
  <c r="AF29" i="137"/>
  <c r="AI29" i="137" s="1"/>
  <c r="AF15" i="137"/>
  <c r="AI15" i="137" s="1"/>
  <c r="AF13" i="137"/>
  <c r="AI13" i="137" s="1"/>
  <c r="AS40" i="70"/>
  <c r="AS34" i="70"/>
  <c r="AF27" i="137"/>
  <c r="AI27" i="137" s="1"/>
  <c r="AF25" i="137"/>
  <c r="AI25" i="137" s="1"/>
  <c r="AF11" i="137"/>
  <c r="AI11" i="137" s="1"/>
  <c r="AS32" i="70"/>
  <c r="AS28" i="70"/>
  <c r="AS26" i="70"/>
  <c r="S42" i="135"/>
  <c r="S26" i="135"/>
  <c r="S10" i="135"/>
  <c r="AP11" i="135"/>
  <c r="Z46" i="137"/>
  <c r="Z42" i="137"/>
  <c r="Z38" i="137"/>
  <c r="Z34" i="137"/>
  <c r="Z30" i="137"/>
  <c r="Z26" i="137"/>
  <c r="Z22" i="137"/>
  <c r="Z18" i="137"/>
  <c r="Z14" i="137"/>
  <c r="Z10" i="137"/>
  <c r="AE47" i="137"/>
  <c r="AE39" i="137"/>
  <c r="AE31" i="137"/>
  <c r="AE23" i="137"/>
  <c r="AE15" i="137"/>
  <c r="AF47" i="137"/>
  <c r="AI47" i="137" s="1"/>
  <c r="AF43" i="137"/>
  <c r="AI43" i="137" s="1"/>
  <c r="AF39" i="137"/>
  <c r="AI39" i="137" s="1"/>
  <c r="AF37" i="137"/>
  <c r="AI37" i="137" s="1"/>
  <c r="AF30" i="137"/>
  <c r="AI30" i="137" s="1"/>
  <c r="AF23" i="137"/>
  <c r="AI23" i="137" s="1"/>
  <c r="AF21" i="137"/>
  <c r="AI21" i="137" s="1"/>
  <c r="AF14" i="137"/>
  <c r="AI14" i="137" s="1"/>
  <c r="AS24" i="70"/>
  <c r="AS18" i="70"/>
  <c r="BH45" i="137"/>
  <c r="BH41" i="137"/>
  <c r="BH37" i="137"/>
  <c r="BH33" i="137"/>
  <c r="BH29" i="137"/>
  <c r="BH25" i="137"/>
  <c r="BH21" i="137"/>
  <c r="BH17" i="137"/>
  <c r="BH13" i="137"/>
  <c r="AG47" i="70"/>
  <c r="AG42" i="70"/>
  <c r="AG39" i="70"/>
  <c r="AG34" i="70"/>
  <c r="AG31" i="70"/>
  <c r="AG26" i="70"/>
  <c r="AG23" i="70"/>
  <c r="AG18" i="70"/>
  <c r="AG15" i="70"/>
  <c r="AG10" i="70"/>
  <c r="AN43" i="70"/>
  <c r="AN35" i="70"/>
  <c r="AN27" i="70"/>
  <c r="AN19" i="70"/>
  <c r="AN11" i="70"/>
  <c r="AP47" i="70"/>
  <c r="AS47" i="70" s="1"/>
  <c r="AP39" i="70"/>
  <c r="AS39" i="70" s="1"/>
  <c r="AP31" i="70"/>
  <c r="AS31" i="70" s="1"/>
  <c r="AP23" i="70"/>
  <c r="AS23" i="70" s="1"/>
  <c r="AP15" i="70"/>
  <c r="AS15" i="70" s="1"/>
  <c r="AH224" i="94"/>
  <c r="AB224" i="94"/>
  <c r="AE224" i="94"/>
  <c r="AD224" i="94"/>
  <c r="AD229" i="94" s="1"/>
  <c r="AH200" i="94"/>
  <c r="AB200" i="94"/>
  <c r="AE200" i="94"/>
  <c r="AD200" i="94"/>
  <c r="AD205" i="94" s="1"/>
  <c r="AH176" i="94"/>
  <c r="AB176" i="94"/>
  <c r="AE176" i="94"/>
  <c r="AD176" i="94"/>
  <c r="AD181" i="94" s="1"/>
  <c r="AH152" i="94"/>
  <c r="AB152" i="94"/>
  <c r="AD152" i="94"/>
  <c r="AD157" i="94" s="1"/>
  <c r="AE56" i="94"/>
  <c r="AD56" i="94"/>
  <c r="AD61" i="94" s="1"/>
  <c r="AB56" i="94"/>
  <c r="AH56" i="94"/>
  <c r="AH32" i="94"/>
  <c r="AE32" i="94"/>
  <c r="AD32" i="94"/>
  <c r="AD37" i="94" s="1"/>
  <c r="AB32" i="94"/>
  <c r="AE45" i="71"/>
  <c r="AE41" i="71"/>
  <c r="AE37" i="71"/>
  <c r="AE33" i="71"/>
  <c r="AE29" i="71"/>
  <c r="AE25" i="71"/>
  <c r="AE21" i="71"/>
  <c r="AE17" i="71"/>
  <c r="AE13" i="71"/>
  <c r="E8" i="147"/>
  <c r="AR9" i="94"/>
  <c r="AR13" i="94" s="1"/>
  <c r="H8" i="147" s="1"/>
  <c r="T48" i="72"/>
  <c r="T47" i="72"/>
  <c r="T46" i="72"/>
  <c r="T45" i="72"/>
  <c r="T44" i="72"/>
  <c r="T43" i="72"/>
  <c r="T42" i="72"/>
  <c r="T41" i="72"/>
  <c r="T40" i="72"/>
  <c r="T39" i="72"/>
  <c r="T38" i="72"/>
  <c r="T37" i="72"/>
  <c r="T36" i="72"/>
  <c r="T35" i="72"/>
  <c r="T34" i="72"/>
  <c r="T33" i="72"/>
  <c r="T32" i="72"/>
  <c r="T31" i="72"/>
  <c r="T30" i="72"/>
  <c r="T29" i="72"/>
  <c r="T28" i="72"/>
  <c r="T27" i="72"/>
  <c r="T26" i="72"/>
  <c r="T25" i="72"/>
  <c r="T24" i="72"/>
  <c r="T23" i="72"/>
  <c r="T22" i="72"/>
  <c r="T21" i="72"/>
  <c r="T20" i="72"/>
  <c r="T19" i="72"/>
  <c r="T18" i="72"/>
  <c r="T17" i="72"/>
  <c r="T16" i="72"/>
  <c r="T15" i="72"/>
  <c r="T14" i="72"/>
  <c r="S13" i="72"/>
  <c r="R12" i="72"/>
  <c r="T10" i="72"/>
  <c r="AS48" i="148"/>
  <c r="AS44" i="148"/>
  <c r="AS40" i="148"/>
  <c r="AS36" i="148"/>
  <c r="AS32" i="148"/>
  <c r="AS28" i="148"/>
  <c r="AS24" i="148"/>
  <c r="AS20" i="148"/>
  <c r="AS16" i="148"/>
  <c r="AS12" i="148"/>
  <c r="AD68" i="94"/>
  <c r="AD73" i="94" s="1"/>
  <c r="AD74" i="94"/>
  <c r="AD79" i="94" s="1"/>
  <c r="AD80" i="94"/>
  <c r="AD85" i="94" s="1"/>
  <c r="AD86" i="94"/>
  <c r="AD91" i="94" s="1"/>
  <c r="AD92" i="94"/>
  <c r="AD97" i="94" s="1"/>
  <c r="AD98" i="94"/>
  <c r="AD103" i="94" s="1"/>
  <c r="AD104" i="94"/>
  <c r="AD109" i="94" s="1"/>
  <c r="AD110" i="94"/>
  <c r="AD115" i="94" s="1"/>
  <c r="AD116" i="94"/>
  <c r="AD121" i="94" s="1"/>
  <c r="AD122" i="94"/>
  <c r="AD128" i="94"/>
  <c r="AD133" i="94" s="1"/>
  <c r="AD134" i="94"/>
  <c r="AD139" i="94" s="1"/>
  <c r="AD140" i="94"/>
  <c r="AD145" i="94" s="1"/>
  <c r="AD146" i="94"/>
  <c r="AD151" i="94" s="1"/>
  <c r="AN41" i="70"/>
  <c r="AN33" i="70"/>
  <c r="AN25" i="70"/>
  <c r="AN17" i="70"/>
  <c r="AP46" i="70"/>
  <c r="AS46" i="70" s="1"/>
  <c r="AP45" i="70"/>
  <c r="AS45" i="70" s="1"/>
  <c r="AQ44" i="70"/>
  <c r="AP38" i="70"/>
  <c r="AS38" i="70" s="1"/>
  <c r="AP37" i="70"/>
  <c r="AS37" i="70" s="1"/>
  <c r="AQ36" i="70"/>
  <c r="AS36" i="70" s="1"/>
  <c r="AP30" i="70"/>
  <c r="AS30" i="70" s="1"/>
  <c r="AP29" i="70"/>
  <c r="AS29" i="70" s="1"/>
  <c r="AQ28" i="70"/>
  <c r="AP22" i="70"/>
  <c r="AS22" i="70" s="1"/>
  <c r="AP21" i="70"/>
  <c r="AS21" i="70" s="1"/>
  <c r="AQ20" i="70"/>
  <c r="AS20" i="70" s="1"/>
  <c r="AP14" i="70"/>
  <c r="AS14" i="70" s="1"/>
  <c r="AP13" i="70"/>
  <c r="AS13" i="70" s="1"/>
  <c r="AQ12" i="70"/>
  <c r="AH242" i="94"/>
  <c r="AE242" i="94"/>
  <c r="AD242" i="94"/>
  <c r="AB242" i="94"/>
  <c r="AH218" i="94"/>
  <c r="AB218" i="94"/>
  <c r="AE218" i="94"/>
  <c r="AD218" i="94"/>
  <c r="AD223" i="94" s="1"/>
  <c r="AH194" i="94"/>
  <c r="AB194" i="94"/>
  <c r="AE194" i="94"/>
  <c r="AD194" i="94"/>
  <c r="AD199" i="94" s="1"/>
  <c r="AH170" i="94"/>
  <c r="AB170" i="94"/>
  <c r="AE170" i="94"/>
  <c r="AD170" i="94"/>
  <c r="AD175" i="94" s="1"/>
  <c r="AB50" i="94"/>
  <c r="AH50" i="94"/>
  <c r="AE50" i="94"/>
  <c r="AD50" i="94"/>
  <c r="AD55" i="94" s="1"/>
  <c r="AH26" i="94"/>
  <c r="AE26" i="94"/>
  <c r="AD26" i="94"/>
  <c r="AD31" i="94" s="1"/>
  <c r="AB26" i="94"/>
  <c r="AE48" i="71"/>
  <c r="AE44" i="71"/>
  <c r="AE40" i="71"/>
  <c r="AE36" i="71"/>
  <c r="AE32" i="71"/>
  <c r="AE28" i="71"/>
  <c r="AE24" i="71"/>
  <c r="AE20" i="71"/>
  <c r="AE16" i="71"/>
  <c r="AE12" i="71"/>
  <c r="AK10" i="71"/>
  <c r="E9" i="147"/>
  <c r="AS10" i="94"/>
  <c r="AS13" i="94" s="1"/>
  <c r="H9" i="147" s="1"/>
  <c r="S48" i="72"/>
  <c r="S47" i="72"/>
  <c r="S46" i="72"/>
  <c r="S45" i="72"/>
  <c r="S44" i="72"/>
  <c r="S43" i="72"/>
  <c r="S42" i="72"/>
  <c r="S41" i="72"/>
  <c r="S40" i="72"/>
  <c r="S39" i="72"/>
  <c r="S38" i="72"/>
  <c r="S37" i="72"/>
  <c r="S36" i="72"/>
  <c r="S35" i="72"/>
  <c r="S34" i="72"/>
  <c r="S33" i="72"/>
  <c r="S32" i="72"/>
  <c r="S31" i="72"/>
  <c r="S30" i="72"/>
  <c r="S29" i="72"/>
  <c r="S28" i="72"/>
  <c r="S27" i="72"/>
  <c r="S26" i="72"/>
  <c r="S25" i="72"/>
  <c r="S24" i="72"/>
  <c r="S23" i="72"/>
  <c r="S22" i="72"/>
  <c r="S21" i="72"/>
  <c r="S20" i="72"/>
  <c r="S19" i="72"/>
  <c r="S18" i="72"/>
  <c r="S17" i="72"/>
  <c r="S16" i="72"/>
  <c r="S15" i="72"/>
  <c r="S14" i="72"/>
  <c r="R13" i="72"/>
  <c r="T11" i="72"/>
  <c r="S10" i="72"/>
  <c r="AS45" i="148"/>
  <c r="AS41" i="148"/>
  <c r="AS37" i="148"/>
  <c r="AS33" i="148"/>
  <c r="AS29" i="148"/>
  <c r="AS25" i="148"/>
  <c r="AS21" i="148"/>
  <c r="AS17" i="148"/>
  <c r="AS13" i="148"/>
  <c r="AE68" i="94"/>
  <c r="AE74" i="94"/>
  <c r="AE80" i="94"/>
  <c r="AE86" i="94"/>
  <c r="AE92" i="94"/>
  <c r="AE98" i="94"/>
  <c r="AE104" i="94"/>
  <c r="AE110" i="94"/>
  <c r="AE116" i="94"/>
  <c r="AE122" i="94"/>
  <c r="AE128" i="94"/>
  <c r="AE134" i="94"/>
  <c r="AE140" i="94"/>
  <c r="AE146" i="94"/>
  <c r="AS48" i="137"/>
  <c r="AS46" i="137"/>
  <c r="AS44" i="137"/>
  <c r="AS42" i="137"/>
  <c r="AS40" i="137"/>
  <c r="AS38" i="137"/>
  <c r="AS36" i="137"/>
  <c r="AS34" i="137"/>
  <c r="AS32" i="137"/>
  <c r="AS30" i="137"/>
  <c r="AS28" i="137"/>
  <c r="AS26" i="137"/>
  <c r="AS24" i="137"/>
  <c r="AS22" i="137"/>
  <c r="AS20" i="137"/>
  <c r="AS18" i="137"/>
  <c r="AS16" i="137"/>
  <c r="AS14" i="137"/>
  <c r="AS12" i="137"/>
  <c r="AS10" i="137"/>
  <c r="BH47" i="137"/>
  <c r="BH43" i="137"/>
  <c r="BH39" i="137"/>
  <c r="BH35" i="137"/>
  <c r="BH31" i="137"/>
  <c r="BH27" i="137"/>
  <c r="BH23" i="137"/>
  <c r="BH19" i="137"/>
  <c r="BH15" i="137"/>
  <c r="BH11" i="137"/>
  <c r="AG43" i="70"/>
  <c r="AG35" i="70"/>
  <c r="AG27" i="70"/>
  <c r="AG19" i="70"/>
  <c r="AG11" i="70"/>
  <c r="AN47" i="70"/>
  <c r="AN39" i="70"/>
  <c r="AN31" i="70"/>
  <c r="AN23" i="70"/>
  <c r="AN15" i="70"/>
  <c r="AP43" i="70"/>
  <c r="AS43" i="70" s="1"/>
  <c r="AP35" i="70"/>
  <c r="AS35" i="70" s="1"/>
  <c r="AP27" i="70"/>
  <c r="AS27" i="70" s="1"/>
  <c r="AP19" i="70"/>
  <c r="AS19" i="70" s="1"/>
  <c r="AP11" i="70"/>
  <c r="AS11" i="70" s="1"/>
  <c r="N52" i="104"/>
  <c r="N50" i="104"/>
  <c r="N51" i="104"/>
  <c r="AH236" i="94"/>
  <c r="AB236" i="94"/>
  <c r="AE236" i="94"/>
  <c r="AD236" i="94"/>
  <c r="AD241" i="94" s="1"/>
  <c r="AH212" i="94"/>
  <c r="AB212" i="94"/>
  <c r="AE212" i="94"/>
  <c r="AD212" i="94"/>
  <c r="AD217" i="94" s="1"/>
  <c r="AH188" i="94"/>
  <c r="AB188" i="94"/>
  <c r="AE188" i="94"/>
  <c r="AD188" i="94"/>
  <c r="AD193" i="94" s="1"/>
  <c r="AH164" i="94"/>
  <c r="AB164" i="94"/>
  <c r="AE164" i="94"/>
  <c r="AD164" i="94"/>
  <c r="AD169" i="94" s="1"/>
  <c r="AE44" i="94"/>
  <c r="AD44" i="94"/>
  <c r="AD49" i="94" s="1"/>
  <c r="AB44" i="94"/>
  <c r="AH44" i="94"/>
  <c r="AH20" i="94"/>
  <c r="AE20" i="94"/>
  <c r="AD20" i="94"/>
  <c r="AD25" i="94" s="1"/>
  <c r="AB20" i="94"/>
  <c r="AE47" i="71"/>
  <c r="AE43" i="71"/>
  <c r="AE39" i="71"/>
  <c r="AE35" i="71"/>
  <c r="AE31" i="71"/>
  <c r="AE27" i="71"/>
  <c r="AE23" i="71"/>
  <c r="AE19" i="71"/>
  <c r="AE15" i="71"/>
  <c r="AE11" i="71"/>
  <c r="R48" i="72"/>
  <c r="R47" i="72"/>
  <c r="R46" i="72"/>
  <c r="R45" i="72"/>
  <c r="R44" i="72"/>
  <c r="R43" i="72"/>
  <c r="R42" i="72"/>
  <c r="R41" i="72"/>
  <c r="R40" i="72"/>
  <c r="R39" i="72"/>
  <c r="R38" i="72"/>
  <c r="R37" i="72"/>
  <c r="R36" i="72"/>
  <c r="R35" i="72"/>
  <c r="R34" i="72"/>
  <c r="R33" i="72"/>
  <c r="R32" i="72"/>
  <c r="R31" i="72"/>
  <c r="R30" i="72"/>
  <c r="R29" i="72"/>
  <c r="R28" i="72"/>
  <c r="R27" i="72"/>
  <c r="R26" i="72"/>
  <c r="R25" i="72"/>
  <c r="R24" i="72"/>
  <c r="R23" i="72"/>
  <c r="R22" i="72"/>
  <c r="R21" i="72"/>
  <c r="R20" i="72"/>
  <c r="R19" i="72"/>
  <c r="R18" i="72"/>
  <c r="R17" i="72"/>
  <c r="R16" i="72"/>
  <c r="R15" i="72"/>
  <c r="R14" i="72"/>
  <c r="T12" i="72"/>
  <c r="S11" i="72"/>
  <c r="R10" i="72"/>
  <c r="AG41" i="70"/>
  <c r="AG33" i="70"/>
  <c r="AG25" i="70"/>
  <c r="AG17" i="70"/>
  <c r="AN45" i="70"/>
  <c r="AN37" i="70"/>
  <c r="AN29" i="70"/>
  <c r="AN21" i="70"/>
  <c r="AN13" i="70"/>
  <c r="AP41" i="70"/>
  <c r="AS41" i="70" s="1"/>
  <c r="AP33" i="70"/>
  <c r="AS33" i="70" s="1"/>
  <c r="AP25" i="70"/>
  <c r="AS25" i="70" s="1"/>
  <c r="AP17" i="70"/>
  <c r="AS17" i="70" s="1"/>
  <c r="O51" i="104"/>
  <c r="O52" i="104"/>
  <c r="O50" i="104"/>
  <c r="AH230" i="94"/>
  <c r="AB230" i="94"/>
  <c r="AE230" i="94"/>
  <c r="AD230" i="94"/>
  <c r="AD235" i="94" s="1"/>
  <c r="AH206" i="94"/>
  <c r="AB206" i="94"/>
  <c r="AE206" i="94"/>
  <c r="AD206" i="94"/>
  <c r="AD211" i="94" s="1"/>
  <c r="AH182" i="94"/>
  <c r="AB182" i="94"/>
  <c r="AE182" i="94"/>
  <c r="AD182" i="94"/>
  <c r="AH158" i="94"/>
  <c r="AB158" i="94"/>
  <c r="AE158" i="94"/>
  <c r="AD158" i="94"/>
  <c r="AD163" i="94" s="1"/>
  <c r="AB62" i="94"/>
  <c r="AD62" i="94"/>
  <c r="AD67" i="94" s="1"/>
  <c r="AH62" i="94"/>
  <c r="AE62" i="94"/>
  <c r="AD38" i="94"/>
  <c r="AD43" i="94" s="1"/>
  <c r="AB38" i="94"/>
  <c r="AH38" i="94"/>
  <c r="AE38" i="94"/>
  <c r="AE14" i="94"/>
  <c r="AD14" i="94"/>
  <c r="AD19" i="94" s="1"/>
  <c r="AB14" i="94"/>
  <c r="AH14" i="94"/>
  <c r="AE46" i="71"/>
  <c r="AE42" i="71"/>
  <c r="AE38" i="71"/>
  <c r="AE34" i="71"/>
  <c r="AE30" i="71"/>
  <c r="AE26" i="71"/>
  <c r="AE22" i="71"/>
  <c r="AE18" i="71"/>
  <c r="AE14" i="71"/>
  <c r="AE10" i="71"/>
  <c r="R9" i="72"/>
  <c r="M48" i="72"/>
  <c r="M47" i="72"/>
  <c r="M46" i="72"/>
  <c r="M45" i="72"/>
  <c r="M44" i="72"/>
  <c r="M43" i="72"/>
  <c r="M42" i="72"/>
  <c r="M41" i="72"/>
  <c r="M40" i="72"/>
  <c r="M39" i="72"/>
  <c r="M38" i="72"/>
  <c r="M37" i="72"/>
  <c r="M36" i="72"/>
  <c r="M35" i="72"/>
  <c r="M34" i="72"/>
  <c r="M33" i="72"/>
  <c r="M32" i="72"/>
  <c r="M31" i="72"/>
  <c r="M30" i="72"/>
  <c r="M29" i="72"/>
  <c r="M28" i="72"/>
  <c r="M27" i="72"/>
  <c r="M26" i="72"/>
  <c r="M25" i="72"/>
  <c r="M24" i="72"/>
  <c r="M23" i="72"/>
  <c r="M22" i="72"/>
  <c r="M21" i="72"/>
  <c r="M20" i="72"/>
  <c r="M19" i="72"/>
  <c r="M18" i="72"/>
  <c r="M17" i="72"/>
  <c r="M16" i="72"/>
  <c r="M15" i="72"/>
  <c r="M14" i="72"/>
  <c r="T13" i="72"/>
  <c r="S12" i="72"/>
  <c r="R11" i="72"/>
  <c r="AS9" i="148"/>
  <c r="AS47" i="148"/>
  <c r="AS43" i="148"/>
  <c r="AS39" i="148"/>
  <c r="AS35" i="148"/>
  <c r="AS31" i="148"/>
  <c r="AS27" i="148"/>
  <c r="AS23" i="148"/>
  <c r="AS19" i="148"/>
  <c r="AS15" i="148"/>
  <c r="AS11" i="148"/>
  <c r="AB68" i="94"/>
  <c r="AB74" i="94"/>
  <c r="AB80" i="94"/>
  <c r="AB86" i="94"/>
  <c r="AB92" i="94"/>
  <c r="AB98" i="94"/>
  <c r="AB104" i="94"/>
  <c r="AB110" i="94"/>
  <c r="AB116" i="94"/>
  <c r="AB122" i="94"/>
  <c r="AB128" i="94"/>
  <c r="AB134" i="94"/>
  <c r="AB140" i="94"/>
  <c r="AB146" i="94"/>
  <c r="AE152" i="94"/>
  <c r="AE28" i="136"/>
  <c r="T240" i="74" s="1"/>
  <c r="R240" i="74"/>
  <c r="K20" i="130"/>
  <c r="K24" i="130"/>
  <c r="K32" i="130"/>
  <c r="K33" i="130"/>
  <c r="K42" i="130"/>
  <c r="K43" i="130"/>
  <c r="V163" i="136"/>
  <c r="U163" i="136"/>
  <c r="V155" i="136"/>
  <c r="U155" i="136"/>
  <c r="V147" i="136"/>
  <c r="U147" i="136"/>
  <c r="V139" i="136"/>
  <c r="U139" i="136"/>
  <c r="V131" i="136"/>
  <c r="U131" i="136"/>
  <c r="V123" i="136"/>
  <c r="U123" i="136"/>
  <c r="V115" i="136"/>
  <c r="U115" i="136"/>
  <c r="V107" i="136"/>
  <c r="U107" i="136"/>
  <c r="V99" i="136"/>
  <c r="U99" i="136"/>
  <c r="V91" i="136"/>
  <c r="U91" i="136"/>
  <c r="V83" i="136"/>
  <c r="U83" i="136"/>
  <c r="V75" i="136"/>
  <c r="U75" i="136"/>
  <c r="V67" i="136"/>
  <c r="U67" i="136"/>
  <c r="V59" i="136"/>
  <c r="U59" i="136"/>
  <c r="V51" i="136"/>
  <c r="U51" i="136"/>
  <c r="V43" i="136"/>
  <c r="U43" i="136"/>
  <c r="V35" i="136"/>
  <c r="U35" i="136"/>
  <c r="U27" i="136"/>
  <c r="V27" i="136"/>
  <c r="U19" i="136"/>
  <c r="V19" i="136"/>
  <c r="V166" i="136"/>
  <c r="W166" i="136"/>
  <c r="U166" i="136"/>
  <c r="V162" i="136"/>
  <c r="U162" i="136"/>
  <c r="W162" i="136"/>
  <c r="V158" i="136"/>
  <c r="W158" i="136"/>
  <c r="U158" i="136"/>
  <c r="V154" i="136"/>
  <c r="U154" i="136"/>
  <c r="W154" i="136"/>
  <c r="V150" i="136"/>
  <c r="W150" i="136"/>
  <c r="U150" i="136"/>
  <c r="V146" i="136"/>
  <c r="U146" i="136"/>
  <c r="W146" i="136"/>
  <c r="V142" i="136"/>
  <c r="W142" i="136"/>
  <c r="U142" i="136"/>
  <c r="U167" i="136"/>
  <c r="V167" i="136"/>
  <c r="U159" i="136"/>
  <c r="V159" i="136"/>
  <c r="U151" i="136"/>
  <c r="V151" i="136"/>
  <c r="U143" i="136"/>
  <c r="V143" i="136"/>
  <c r="U135" i="136"/>
  <c r="V135" i="136"/>
  <c r="U127" i="136"/>
  <c r="V127" i="136"/>
  <c r="U119" i="136"/>
  <c r="V119" i="136"/>
  <c r="U111" i="136"/>
  <c r="V111" i="136"/>
  <c r="U103" i="136"/>
  <c r="V103" i="136"/>
  <c r="U95" i="136"/>
  <c r="V95" i="136"/>
  <c r="V87" i="136"/>
  <c r="U87" i="136"/>
  <c r="V79" i="136"/>
  <c r="U79" i="136"/>
  <c r="V71" i="136"/>
  <c r="U71" i="136"/>
  <c r="U63" i="136"/>
  <c r="V63" i="136"/>
  <c r="U55" i="136"/>
  <c r="V55" i="136"/>
  <c r="U47" i="136"/>
  <c r="V47" i="136"/>
  <c r="U39" i="136"/>
  <c r="V39" i="136"/>
  <c r="U31" i="136"/>
  <c r="V31" i="136"/>
  <c r="U23" i="136"/>
  <c r="V23" i="136"/>
  <c r="U15" i="136"/>
  <c r="V15" i="136"/>
  <c r="V165" i="136"/>
  <c r="W165" i="136"/>
  <c r="U165" i="136"/>
  <c r="V161" i="136"/>
  <c r="W161" i="136"/>
  <c r="U161" i="136"/>
  <c r="V157" i="136"/>
  <c r="W157" i="136"/>
  <c r="U157" i="136"/>
  <c r="V153" i="136"/>
  <c r="W153" i="136"/>
  <c r="U153" i="136"/>
  <c r="V149" i="136"/>
  <c r="W149" i="136"/>
  <c r="U149" i="136"/>
  <c r="V145" i="136"/>
  <c r="W145" i="136"/>
  <c r="U145" i="136"/>
  <c r="W205" i="81"/>
  <c r="V205" i="81"/>
  <c r="W200" i="81"/>
  <c r="W195" i="81"/>
  <c r="V195" i="81"/>
  <c r="W190" i="81"/>
  <c r="T194" i="81"/>
  <c r="W185" i="81"/>
  <c r="V185" i="81"/>
  <c r="W180" i="81"/>
  <c r="W175" i="81"/>
  <c r="V175" i="81"/>
  <c r="W170" i="81"/>
  <c r="AF150" i="81"/>
  <c r="AG150" i="81" s="1"/>
  <c r="V152" i="81"/>
  <c r="U152" i="81"/>
  <c r="AF140" i="81"/>
  <c r="AG140" i="81" s="1"/>
  <c r="V142" i="81"/>
  <c r="U142" i="81"/>
  <c r="AF130" i="81"/>
  <c r="AG130" i="81" s="1"/>
  <c r="V132" i="81"/>
  <c r="U132" i="81"/>
  <c r="AF120" i="81"/>
  <c r="AG120" i="81" s="1"/>
  <c r="V122" i="81"/>
  <c r="U122" i="81"/>
  <c r="W105" i="81"/>
  <c r="V105" i="81"/>
  <c r="W100" i="81"/>
  <c r="T104" i="81"/>
  <c r="W95" i="81"/>
  <c r="V95" i="81"/>
  <c r="W90" i="81"/>
  <c r="W85" i="81"/>
  <c r="V85" i="81"/>
  <c r="W80" i="81"/>
  <c r="W75" i="81"/>
  <c r="V75" i="81"/>
  <c r="W70" i="81"/>
  <c r="V102" i="81"/>
  <c r="U102" i="81"/>
  <c r="V82" i="81"/>
  <c r="U82" i="81"/>
  <c r="V60" i="81"/>
  <c r="U60" i="81"/>
  <c r="E16" i="130" s="1"/>
  <c r="V151" i="81"/>
  <c r="U151" i="81"/>
  <c r="V141" i="81"/>
  <c r="U141" i="81"/>
  <c r="V131" i="81"/>
  <c r="U131" i="81"/>
  <c r="V121" i="81"/>
  <c r="U121" i="81"/>
  <c r="W116" i="81"/>
  <c r="V116" i="81"/>
  <c r="T24" i="81"/>
  <c r="T29" i="81"/>
  <c r="U27" i="81"/>
  <c r="T34" i="81"/>
  <c r="U37" i="81"/>
  <c r="T44" i="81"/>
  <c r="U47" i="81"/>
  <c r="T54" i="81"/>
  <c r="U57" i="81"/>
  <c r="U92" i="81"/>
  <c r="W82" i="81"/>
  <c r="U105" i="81"/>
  <c r="U100" i="81"/>
  <c r="U95" i="81"/>
  <c r="U90" i="81"/>
  <c r="U85" i="81"/>
  <c r="U80" i="81"/>
  <c r="U75" i="81"/>
  <c r="U70" i="81"/>
  <c r="W67" i="81"/>
  <c r="U65" i="81"/>
  <c r="V157" i="81"/>
  <c r="V146" i="81"/>
  <c r="T149" i="81"/>
  <c r="V136" i="81"/>
  <c r="V126" i="81"/>
  <c r="W111" i="81"/>
  <c r="V202" i="81"/>
  <c r="V200" i="81"/>
  <c r="V190" i="81"/>
  <c r="V180" i="81"/>
  <c r="V170" i="81"/>
  <c r="U165" i="81"/>
  <c r="AF145" i="81"/>
  <c r="AG145" i="81" s="1"/>
  <c r="AF135" i="81"/>
  <c r="AG135" i="81" s="1"/>
  <c r="AF125" i="81"/>
  <c r="AG125" i="81" s="1"/>
  <c r="AF115" i="81"/>
  <c r="AG115" i="81" s="1"/>
  <c r="U166" i="81"/>
  <c r="V162" i="81"/>
  <c r="U56" i="81"/>
  <c r="T59" i="81"/>
  <c r="W106" i="81"/>
  <c r="U96" i="81"/>
  <c r="V96" i="81"/>
  <c r="U86" i="81"/>
  <c r="V86" i="81"/>
  <c r="U76" i="81"/>
  <c r="V76" i="81"/>
  <c r="V66" i="81"/>
  <c r="W66" i="81"/>
  <c r="U156" i="81"/>
  <c r="U147" i="81"/>
  <c r="V147" i="81"/>
  <c r="U137" i="81"/>
  <c r="V137" i="81"/>
  <c r="U127" i="81"/>
  <c r="V127" i="81"/>
  <c r="U117" i="81"/>
  <c r="W110" i="81"/>
  <c r="V112" i="81"/>
  <c r="U206" i="81"/>
  <c r="V206" i="81"/>
  <c r="U196" i="81"/>
  <c r="V196" i="81"/>
  <c r="U186" i="81"/>
  <c r="V186" i="81"/>
  <c r="U176" i="81"/>
  <c r="V176" i="81"/>
  <c r="V166" i="81"/>
  <c r="W166" i="81"/>
  <c r="U162" i="81"/>
  <c r="E7" i="130"/>
  <c r="E17" i="130"/>
  <c r="E8" i="130"/>
  <c r="K37" i="130"/>
  <c r="E37" i="130"/>
  <c r="AF155" i="81"/>
  <c r="AG155" i="81" s="1"/>
  <c r="E9" i="130"/>
  <c r="E25" i="130"/>
  <c r="E24" i="130"/>
  <c r="E23" i="130"/>
  <c r="E22" i="130"/>
  <c r="E21" i="130"/>
  <c r="E20" i="130"/>
  <c r="E19" i="130"/>
  <c r="E18" i="130"/>
  <c r="E26" i="130"/>
  <c r="E27" i="130"/>
  <c r="E45" i="130"/>
  <c r="E44" i="130"/>
  <c r="E43" i="130"/>
  <c r="E42" i="130"/>
  <c r="E41" i="130"/>
  <c r="E40" i="130"/>
  <c r="E39" i="130"/>
  <c r="E38" i="130"/>
  <c r="G8" i="130"/>
  <c r="G10" i="130"/>
  <c r="G12" i="130"/>
  <c r="G15" i="130"/>
  <c r="G22" i="130"/>
  <c r="G18" i="130"/>
  <c r="G25" i="130"/>
  <c r="G21" i="130"/>
  <c r="G33" i="130"/>
  <c r="G29" i="130"/>
  <c r="G45" i="130"/>
  <c r="G41" i="130"/>
  <c r="G37" i="130"/>
  <c r="K7" i="130"/>
  <c r="K8" i="130"/>
  <c r="K9" i="130"/>
  <c r="K10" i="130"/>
  <c r="K11" i="130"/>
  <c r="K12" i="130"/>
  <c r="K13" i="130"/>
  <c r="K14" i="130"/>
  <c r="K15" i="130"/>
  <c r="K22" i="130"/>
  <c r="K18" i="130"/>
  <c r="K19" i="130"/>
  <c r="K17" i="130"/>
  <c r="K25" i="130"/>
  <c r="K21" i="130"/>
  <c r="K16" i="130"/>
  <c r="K34" i="130"/>
  <c r="K30" i="130"/>
  <c r="K26" i="130"/>
  <c r="K29" i="130"/>
  <c r="K44" i="130"/>
  <c r="K40" i="130"/>
  <c r="K36" i="130"/>
  <c r="K39" i="130"/>
  <c r="J162" i="134"/>
  <c r="H44" i="128" s="1"/>
  <c r="J154" i="134"/>
  <c r="H42" i="128" s="1"/>
  <c r="J158" i="134"/>
  <c r="H43" i="128" s="1"/>
  <c r="J150" i="134"/>
  <c r="H41" i="128" s="1"/>
  <c r="G36" i="130"/>
  <c r="G32" i="130"/>
  <c r="G28" i="130"/>
  <c r="AF110" i="81"/>
  <c r="AG110" i="81" s="1"/>
  <c r="G13" i="130"/>
  <c r="AF60" i="81"/>
  <c r="AG60" i="81" s="1"/>
  <c r="AF50" i="81"/>
  <c r="AG50" i="81" s="1"/>
  <c r="AF40" i="81"/>
  <c r="AG40" i="81" s="1"/>
  <c r="AF30" i="81"/>
  <c r="AG30" i="81" s="1"/>
  <c r="AF20" i="81"/>
  <c r="AG20" i="81" s="1"/>
  <c r="G19" i="130"/>
  <c r="G7" i="130"/>
  <c r="G9" i="130"/>
  <c r="G11" i="130"/>
  <c r="G14" i="130"/>
  <c r="G24" i="130"/>
  <c r="G20" i="130"/>
  <c r="G16" i="130"/>
  <c r="G23" i="130"/>
  <c r="G35" i="130"/>
  <c r="G31" i="130"/>
  <c r="G27" i="130"/>
  <c r="G43" i="130"/>
  <c r="G39" i="130"/>
  <c r="J166" i="134"/>
  <c r="H45" i="128" s="1"/>
  <c r="G38" i="130"/>
  <c r="G34" i="130"/>
  <c r="G30" i="130"/>
  <c r="G26" i="130"/>
  <c r="AF205" i="81"/>
  <c r="AG205" i="81" s="1"/>
  <c r="AF200" i="81"/>
  <c r="AG200" i="81" s="1"/>
  <c r="AF195" i="81"/>
  <c r="AG195" i="81" s="1"/>
  <c r="AF190" i="81"/>
  <c r="AG190" i="81" s="1"/>
  <c r="AF185" i="81"/>
  <c r="AG185" i="81" s="1"/>
  <c r="AF180" i="81"/>
  <c r="AG180" i="81" s="1"/>
  <c r="AF175" i="81"/>
  <c r="AG175" i="81" s="1"/>
  <c r="AF170" i="81"/>
  <c r="AG170" i="81" s="1"/>
  <c r="AF165" i="81"/>
  <c r="AG165" i="81" s="1"/>
  <c r="AF105" i="81"/>
  <c r="AG105" i="81" s="1"/>
  <c r="AF100" i="81"/>
  <c r="AG100" i="81" s="1"/>
  <c r="AF95" i="81"/>
  <c r="AG95" i="81" s="1"/>
  <c r="AF90" i="81"/>
  <c r="AG90" i="81" s="1"/>
  <c r="AF85" i="81"/>
  <c r="AG85" i="81" s="1"/>
  <c r="AF80" i="81"/>
  <c r="AG80" i="81" s="1"/>
  <c r="AF75" i="81"/>
  <c r="AG75" i="81" s="1"/>
  <c r="AF70" i="81"/>
  <c r="AG70" i="81" s="1"/>
  <c r="AF65" i="81"/>
  <c r="AG65" i="81" s="1"/>
  <c r="G44" i="130"/>
  <c r="G42" i="130"/>
  <c r="G40" i="130"/>
  <c r="G17" i="130"/>
  <c r="AF55" i="81"/>
  <c r="AG55" i="81" s="1"/>
  <c r="AF45" i="81"/>
  <c r="AG45" i="81" s="1"/>
  <c r="AF35" i="81"/>
  <c r="AG35" i="81" s="1"/>
  <c r="AF25" i="81"/>
  <c r="AG25" i="81" s="1"/>
  <c r="AF15" i="81"/>
  <c r="AG15" i="81" s="1"/>
  <c r="H67" i="110"/>
  <c r="H70" i="110"/>
  <c r="H76" i="110"/>
  <c r="H73" i="110"/>
  <c r="H79" i="110"/>
  <c r="H82" i="110"/>
  <c r="H88" i="110"/>
  <c r="H85" i="110"/>
  <c r="H91" i="110"/>
  <c r="H94" i="110"/>
  <c r="H97" i="110"/>
  <c r="H100" i="110"/>
  <c r="H106" i="110"/>
  <c r="H103" i="110"/>
  <c r="H112" i="110"/>
  <c r="H109" i="110"/>
  <c r="H118" i="110"/>
  <c r="H115" i="110"/>
  <c r="H130" i="110"/>
  <c r="H127" i="110"/>
  <c r="H136" i="110"/>
  <c r="H133" i="110"/>
  <c r="H142" i="110"/>
  <c r="H139" i="110"/>
  <c r="H148" i="110"/>
  <c r="H145" i="110"/>
  <c r="H151" i="110"/>
  <c r="H154" i="110"/>
  <c r="H160" i="110"/>
  <c r="H157" i="110"/>
  <c r="H166" i="110"/>
  <c r="H163" i="110"/>
  <c r="H172" i="110"/>
  <c r="H169" i="110"/>
  <c r="H175" i="110"/>
  <c r="H178" i="110"/>
  <c r="H190" i="110"/>
  <c r="H187" i="110"/>
  <c r="H196" i="110"/>
  <c r="H193" i="110"/>
  <c r="H199" i="110"/>
  <c r="H202" i="110"/>
  <c r="H208" i="110"/>
  <c r="H205" i="110"/>
  <c r="H214" i="110"/>
  <c r="H211" i="110"/>
  <c r="H220" i="110"/>
  <c r="H217" i="110"/>
  <c r="H223" i="110"/>
  <c r="H226" i="110"/>
  <c r="H232" i="110"/>
  <c r="H229" i="110"/>
  <c r="H238" i="110"/>
  <c r="H235" i="110"/>
  <c r="M166" i="134"/>
  <c r="K166" i="134"/>
  <c r="L162" i="134"/>
  <c r="L154" i="134"/>
  <c r="K154" i="134"/>
  <c r="M154" i="134"/>
  <c r="M150" i="134"/>
  <c r="L150" i="134"/>
  <c r="K150" i="134"/>
  <c r="M52" i="104"/>
  <c r="M51" i="104"/>
  <c r="M50" i="104"/>
  <c r="M157" i="134"/>
  <c r="L157" i="134"/>
  <c r="K157" i="134"/>
  <c r="M149" i="134"/>
  <c r="L149" i="134"/>
  <c r="K149" i="134"/>
  <c r="M161" i="134"/>
  <c r="L161" i="134"/>
  <c r="K161" i="134"/>
  <c r="M153" i="134"/>
  <c r="L153" i="134"/>
  <c r="K153" i="134"/>
  <c r="M165" i="134"/>
  <c r="L165" i="134"/>
  <c r="K165" i="134"/>
  <c r="R144" i="115"/>
  <c r="S144" i="115"/>
  <c r="R160" i="115"/>
  <c r="S160" i="115"/>
  <c r="R168" i="115"/>
  <c r="S168" i="115"/>
  <c r="S164" i="115"/>
  <c r="R164" i="115"/>
  <c r="R152" i="115"/>
  <c r="S152" i="115"/>
  <c r="S148" i="115"/>
  <c r="R148" i="115"/>
  <c r="R136" i="115"/>
  <c r="S136" i="115"/>
  <c r="S132" i="115"/>
  <c r="R132" i="115"/>
  <c r="R104" i="115"/>
  <c r="S104" i="115"/>
  <c r="R120" i="115"/>
  <c r="S120" i="115"/>
  <c r="R128" i="115"/>
  <c r="S128" i="115"/>
  <c r="S124" i="115"/>
  <c r="R124" i="115"/>
  <c r="R112" i="115"/>
  <c r="S112" i="115"/>
  <c r="S108" i="115"/>
  <c r="R108" i="115"/>
  <c r="R96" i="115"/>
  <c r="S96" i="115"/>
  <c r="S92" i="115"/>
  <c r="R92" i="115"/>
  <c r="R64" i="115"/>
  <c r="S64" i="115"/>
  <c r="R56" i="115"/>
  <c r="S56" i="115"/>
  <c r="R88" i="115"/>
  <c r="S88" i="115"/>
  <c r="S84" i="115"/>
  <c r="R84" i="115"/>
  <c r="R72" i="115"/>
  <c r="S72" i="115"/>
  <c r="S68" i="115"/>
  <c r="R68" i="115"/>
  <c r="R80" i="115"/>
  <c r="S80" i="115"/>
  <c r="S52" i="115"/>
  <c r="R52" i="115"/>
  <c r="R48" i="115"/>
  <c r="S48" i="115"/>
  <c r="R44" i="115"/>
  <c r="S44" i="115"/>
  <c r="R40" i="115"/>
  <c r="S40" i="115"/>
  <c r="R36" i="115"/>
  <c r="S36" i="115"/>
  <c r="R32" i="115"/>
  <c r="S32" i="115"/>
  <c r="R28" i="115"/>
  <c r="S28" i="115"/>
  <c r="R24" i="115"/>
  <c r="S24" i="115"/>
  <c r="R20" i="115"/>
  <c r="S20" i="115"/>
  <c r="R16" i="115"/>
  <c r="S16" i="115"/>
  <c r="AV10" i="69"/>
  <c r="AW10" i="69"/>
  <c r="D22" i="130"/>
  <c r="D18" i="130"/>
  <c r="D23" i="130"/>
  <c r="D19" i="130"/>
  <c r="D24" i="130"/>
  <c r="D20" i="130"/>
  <c r="D16" i="130"/>
  <c r="D21" i="130"/>
  <c r="D17" i="130"/>
  <c r="Q10" i="72"/>
  <c r="M12" i="72"/>
  <c r="M10" i="72"/>
  <c r="Q11" i="72"/>
  <c r="M13" i="72"/>
  <c r="M11" i="72"/>
  <c r="S48" i="135"/>
  <c r="Z48" i="135"/>
  <c r="S45" i="135"/>
  <c r="Y45" i="135"/>
  <c r="Z45" i="135" s="1"/>
  <c r="S44" i="135"/>
  <c r="Z44" i="135"/>
  <c r="S41" i="135"/>
  <c r="Y41" i="135"/>
  <c r="Z41" i="135" s="1"/>
  <c r="S40" i="135"/>
  <c r="Z40" i="135"/>
  <c r="Y36" i="135"/>
  <c r="Z36" i="135" s="1"/>
  <c r="S36" i="135"/>
  <c r="S35" i="135"/>
  <c r="Y35" i="135"/>
  <c r="Z35" i="135" s="1"/>
  <c r="Z34" i="135"/>
  <c r="Y28" i="135"/>
  <c r="Z28" i="135" s="1"/>
  <c r="S28" i="135"/>
  <c r="S27" i="135"/>
  <c r="Y27" i="135"/>
  <c r="Z27" i="135" s="1"/>
  <c r="Z26" i="135"/>
  <c r="Y20" i="135"/>
  <c r="Z20" i="135" s="1"/>
  <c r="S20" i="135"/>
  <c r="S19" i="135"/>
  <c r="Y19" i="135"/>
  <c r="Z19" i="135" s="1"/>
  <c r="Z18" i="135"/>
  <c r="Y12" i="135"/>
  <c r="S12" i="135"/>
  <c r="S11" i="135"/>
  <c r="Y11" i="135"/>
  <c r="Z11" i="135" s="1"/>
  <c r="Z10" i="135"/>
  <c r="S47" i="135"/>
  <c r="Y47" i="135"/>
  <c r="Z47" i="135" s="1"/>
  <c r="S43" i="135"/>
  <c r="Y43" i="135"/>
  <c r="Z43" i="135" s="1"/>
  <c r="S39" i="135"/>
  <c r="Y39" i="135"/>
  <c r="Z39" i="135" s="1"/>
  <c r="Y32" i="135"/>
  <c r="Z32" i="135" s="1"/>
  <c r="S32" i="135"/>
  <c r="S31" i="135"/>
  <c r="Y31" i="135"/>
  <c r="Z31" i="135" s="1"/>
  <c r="Y24" i="135"/>
  <c r="Z24" i="135" s="1"/>
  <c r="S24" i="135"/>
  <c r="S23" i="135"/>
  <c r="Y23" i="135"/>
  <c r="Z23" i="135" s="1"/>
  <c r="Y16" i="135"/>
  <c r="Z16" i="135" s="1"/>
  <c r="S16" i="135"/>
  <c r="S15" i="135"/>
  <c r="Y15" i="135"/>
  <c r="Z15" i="135" s="1"/>
  <c r="Z12" i="135"/>
  <c r="S37" i="135"/>
  <c r="S33" i="135"/>
  <c r="S29" i="135"/>
  <c r="S25" i="135"/>
  <c r="S21" i="135"/>
  <c r="S17" i="135"/>
  <c r="S13" i="135"/>
  <c r="W12" i="135"/>
  <c r="W10" i="135"/>
  <c r="AC45" i="135"/>
  <c r="AC41" i="135"/>
  <c r="AC37" i="135"/>
  <c r="AC33" i="135"/>
  <c r="AC29" i="135"/>
  <c r="AC25" i="135"/>
  <c r="AC21" i="135"/>
  <c r="AC17" i="135"/>
  <c r="AC13" i="135"/>
  <c r="W13" i="135"/>
  <c r="W11" i="135"/>
  <c r="Y37" i="135"/>
  <c r="Z37" i="135" s="1"/>
  <c r="Y33" i="135"/>
  <c r="Z33" i="135" s="1"/>
  <c r="Y29" i="135"/>
  <c r="Z29" i="135" s="1"/>
  <c r="Y25" i="135"/>
  <c r="Z25" i="135" s="1"/>
  <c r="Y21" i="135"/>
  <c r="Z21" i="135" s="1"/>
  <c r="Y17" i="135"/>
  <c r="Z17" i="135" s="1"/>
  <c r="Y13" i="135"/>
  <c r="Z13" i="135" s="1"/>
  <c r="BE9" i="68"/>
  <c r="BE10" i="68"/>
  <c r="BE11" i="68"/>
  <c r="BE12" i="68"/>
  <c r="BE13" i="68"/>
  <c r="BE14" i="68"/>
  <c r="BE15" i="68"/>
  <c r="BE16" i="68"/>
  <c r="BE17" i="68"/>
  <c r="BE18" i="68"/>
  <c r="BE19" i="68"/>
  <c r="BE20" i="68"/>
  <c r="BE21" i="68"/>
  <c r="BE22" i="68"/>
  <c r="BE23" i="68"/>
  <c r="BE24" i="68"/>
  <c r="BE25" i="68"/>
  <c r="BE26" i="68"/>
  <c r="BE27" i="68"/>
  <c r="BE28" i="68"/>
  <c r="BE29" i="68"/>
  <c r="BE30" i="68"/>
  <c r="BE31" i="68"/>
  <c r="BE32" i="68"/>
  <c r="BE33" i="68"/>
  <c r="BE34" i="68"/>
  <c r="BE35" i="68"/>
  <c r="BE36" i="68"/>
  <c r="BE37" i="68"/>
  <c r="BE38" i="68"/>
  <c r="BE39" i="68"/>
  <c r="BE40" i="68"/>
  <c r="BE41" i="68"/>
  <c r="BE42" i="68"/>
  <c r="BE43" i="68"/>
  <c r="BE44" i="68"/>
  <c r="BE45" i="68"/>
  <c r="BE46" i="68"/>
  <c r="BE47" i="68"/>
  <c r="BE48" i="68"/>
  <c r="BB10" i="68"/>
  <c r="BC10" i="68"/>
  <c r="BB11" i="68"/>
  <c r="BC11" i="68"/>
  <c r="BB12" i="68"/>
  <c r="BC12" i="68"/>
  <c r="BB13" i="68"/>
  <c r="BC13" i="68"/>
  <c r="BB14" i="68"/>
  <c r="BC14" i="68"/>
  <c r="BB15" i="68"/>
  <c r="BC15" i="68"/>
  <c r="BB16" i="68"/>
  <c r="BC16" i="68"/>
  <c r="BB17" i="68"/>
  <c r="BC17" i="68"/>
  <c r="BB18" i="68"/>
  <c r="BC18" i="68"/>
  <c r="BB19" i="68"/>
  <c r="BC19" i="68"/>
  <c r="BB20" i="68"/>
  <c r="BC20" i="68"/>
  <c r="BB21" i="68"/>
  <c r="BC21" i="68"/>
  <c r="BB22" i="68"/>
  <c r="BC22" i="68"/>
  <c r="BB23" i="68"/>
  <c r="BC23" i="68"/>
  <c r="BB24" i="68"/>
  <c r="BC24" i="68"/>
  <c r="BB25" i="68"/>
  <c r="BC25" i="68"/>
  <c r="BB26" i="68"/>
  <c r="BC26" i="68"/>
  <c r="BB27" i="68"/>
  <c r="BC27" i="68"/>
  <c r="BB28" i="68"/>
  <c r="BC28" i="68"/>
  <c r="BB29" i="68"/>
  <c r="BC29" i="68"/>
  <c r="BB30" i="68"/>
  <c r="BC30" i="68"/>
  <c r="BB31" i="68"/>
  <c r="BC31" i="68"/>
  <c r="BB32" i="68"/>
  <c r="BC32" i="68"/>
  <c r="BB33" i="68"/>
  <c r="BC33" i="68"/>
  <c r="BB34" i="68"/>
  <c r="BC34" i="68"/>
  <c r="BB35" i="68"/>
  <c r="BC35" i="68"/>
  <c r="BB36" i="68"/>
  <c r="BC36" i="68"/>
  <c r="BB37" i="68"/>
  <c r="BC37" i="68"/>
  <c r="BB38" i="68"/>
  <c r="BC38" i="68"/>
  <c r="BB39" i="68"/>
  <c r="BC39" i="68"/>
  <c r="BB40" i="68"/>
  <c r="BC40" i="68"/>
  <c r="BB41" i="68"/>
  <c r="BC41" i="68"/>
  <c r="BB42" i="68"/>
  <c r="BC42" i="68"/>
  <c r="BB43" i="68"/>
  <c r="BC43" i="68"/>
  <c r="BB44" i="68"/>
  <c r="BC44" i="68"/>
  <c r="BB45" i="68"/>
  <c r="BC45" i="68"/>
  <c r="BB46" i="68"/>
  <c r="BC46" i="68"/>
  <c r="BB47" i="68"/>
  <c r="BC47" i="68"/>
  <c r="BB48" i="68"/>
  <c r="BC48" i="68"/>
  <c r="BC9" i="68"/>
  <c r="BB9" i="68"/>
  <c r="AY10" i="68"/>
  <c r="AZ10" i="68"/>
  <c r="AY11" i="68"/>
  <c r="AZ11" i="68"/>
  <c r="AY12" i="68"/>
  <c r="AZ12" i="68"/>
  <c r="AY13" i="68"/>
  <c r="AZ13" i="68"/>
  <c r="AY14" i="68"/>
  <c r="AZ14" i="68"/>
  <c r="AY15" i="68"/>
  <c r="AZ15" i="68"/>
  <c r="AY16" i="68"/>
  <c r="AZ16" i="68"/>
  <c r="AY17" i="68"/>
  <c r="AZ17" i="68"/>
  <c r="AY18" i="68"/>
  <c r="AZ18" i="68"/>
  <c r="AY19" i="68"/>
  <c r="AZ19" i="68"/>
  <c r="AY20" i="68"/>
  <c r="AZ20" i="68"/>
  <c r="AY21" i="68"/>
  <c r="AZ21" i="68"/>
  <c r="AY22" i="68"/>
  <c r="AZ22" i="68"/>
  <c r="AY23" i="68"/>
  <c r="AZ23" i="68"/>
  <c r="AY24" i="68"/>
  <c r="AZ24" i="68"/>
  <c r="AY25" i="68"/>
  <c r="AZ25" i="68"/>
  <c r="AY26" i="68"/>
  <c r="AZ26" i="68"/>
  <c r="AY27" i="68"/>
  <c r="AZ27" i="68"/>
  <c r="AY28" i="68"/>
  <c r="AZ28" i="68"/>
  <c r="AY29" i="68"/>
  <c r="AZ29" i="68"/>
  <c r="AY30" i="68"/>
  <c r="AZ30" i="68"/>
  <c r="AY31" i="68"/>
  <c r="AZ31" i="68"/>
  <c r="AY32" i="68"/>
  <c r="AZ32" i="68"/>
  <c r="AY33" i="68"/>
  <c r="AZ33" i="68"/>
  <c r="AY34" i="68"/>
  <c r="AZ34" i="68"/>
  <c r="AY35" i="68"/>
  <c r="AZ35" i="68"/>
  <c r="AY36" i="68"/>
  <c r="AZ36" i="68"/>
  <c r="AY37" i="68"/>
  <c r="AZ37" i="68"/>
  <c r="AY38" i="68"/>
  <c r="AZ38" i="68"/>
  <c r="AY39" i="68"/>
  <c r="AZ39" i="68"/>
  <c r="AY40" i="68"/>
  <c r="AZ40" i="68"/>
  <c r="AY41" i="68"/>
  <c r="AZ41" i="68"/>
  <c r="AY42" i="68"/>
  <c r="AZ42" i="68"/>
  <c r="AY43" i="68"/>
  <c r="AZ43" i="68"/>
  <c r="AY44" i="68"/>
  <c r="AZ44" i="68"/>
  <c r="AY45" i="68"/>
  <c r="AZ45" i="68"/>
  <c r="AY46" i="68"/>
  <c r="AZ46" i="68"/>
  <c r="AY47" i="68"/>
  <c r="AZ47" i="68"/>
  <c r="AY48" i="68"/>
  <c r="AZ48" i="68"/>
  <c r="AZ9" i="68"/>
  <c r="AV48" i="68"/>
  <c r="AW48" i="68"/>
  <c r="AV10" i="68"/>
  <c r="AW10" i="68"/>
  <c r="AV11" i="68"/>
  <c r="AW11" i="68"/>
  <c r="AV12" i="68"/>
  <c r="AW12" i="68"/>
  <c r="AV13" i="68"/>
  <c r="AW13" i="68"/>
  <c r="AV14" i="68"/>
  <c r="AW14" i="68"/>
  <c r="AV15" i="68"/>
  <c r="AW15" i="68"/>
  <c r="AV16" i="68"/>
  <c r="AW16" i="68"/>
  <c r="AV17" i="68"/>
  <c r="AW17" i="68"/>
  <c r="AV18" i="68"/>
  <c r="AW18" i="68"/>
  <c r="AV19" i="68"/>
  <c r="AW19" i="68"/>
  <c r="AV20" i="68"/>
  <c r="AW20" i="68"/>
  <c r="AV21" i="68"/>
  <c r="AW21" i="68"/>
  <c r="AV22" i="68"/>
  <c r="AW22" i="68"/>
  <c r="AV23" i="68"/>
  <c r="AW23" i="68"/>
  <c r="AV24" i="68"/>
  <c r="AW24" i="68"/>
  <c r="AV25" i="68"/>
  <c r="AW25" i="68"/>
  <c r="AV26" i="68"/>
  <c r="AW26" i="68"/>
  <c r="AV27" i="68"/>
  <c r="AW27" i="68"/>
  <c r="AV28" i="68"/>
  <c r="AW28" i="68"/>
  <c r="AV29" i="68"/>
  <c r="AW29" i="68"/>
  <c r="AV30" i="68"/>
  <c r="AW30" i="68"/>
  <c r="AV31" i="68"/>
  <c r="AW31" i="68"/>
  <c r="AV32" i="68"/>
  <c r="AW32" i="68"/>
  <c r="AV33" i="68"/>
  <c r="AW33" i="68"/>
  <c r="AV34" i="68"/>
  <c r="AW34" i="68"/>
  <c r="AV35" i="68"/>
  <c r="AW35" i="68"/>
  <c r="AV36" i="68"/>
  <c r="AW36" i="68"/>
  <c r="AV37" i="68"/>
  <c r="AW37" i="68"/>
  <c r="AV38" i="68"/>
  <c r="AW38" i="68"/>
  <c r="AV39" i="68"/>
  <c r="AW39" i="68"/>
  <c r="AV40" i="68"/>
  <c r="AW40" i="68"/>
  <c r="AV41" i="68"/>
  <c r="AW41" i="68"/>
  <c r="AV42" i="68"/>
  <c r="AW42" i="68"/>
  <c r="AV43" i="68"/>
  <c r="AW43" i="68"/>
  <c r="AV44" i="68"/>
  <c r="AW44" i="68"/>
  <c r="AV45" i="68"/>
  <c r="AW45" i="68"/>
  <c r="AV46" i="68"/>
  <c r="AW46" i="68"/>
  <c r="AV47" i="68"/>
  <c r="AW47" i="68"/>
  <c r="AW9" i="68"/>
  <c r="AY9" i="68"/>
  <c r="AV9" i="68"/>
  <c r="AU10" i="68"/>
  <c r="AU11" i="68"/>
  <c r="AU12" i="68"/>
  <c r="AU13" i="68"/>
  <c r="AU14" i="68"/>
  <c r="AU15" i="68"/>
  <c r="AU16" i="68"/>
  <c r="AU17" i="68"/>
  <c r="AU18" i="68"/>
  <c r="AU19" i="68"/>
  <c r="AU20" i="68"/>
  <c r="AU21" i="68"/>
  <c r="AU22" i="68"/>
  <c r="AU23" i="68"/>
  <c r="AU24" i="68"/>
  <c r="AU25" i="68"/>
  <c r="AU26" i="68"/>
  <c r="AU27" i="68"/>
  <c r="AU28" i="68"/>
  <c r="AU29" i="68"/>
  <c r="AU30" i="68"/>
  <c r="AU31" i="68"/>
  <c r="AU32" i="68"/>
  <c r="AU33" i="68"/>
  <c r="AU34" i="68"/>
  <c r="AU35" i="68"/>
  <c r="AU36" i="68"/>
  <c r="AU37" i="68"/>
  <c r="AU38" i="68"/>
  <c r="AU39" i="68"/>
  <c r="AU40" i="68"/>
  <c r="AU41" i="68"/>
  <c r="AU42" i="68"/>
  <c r="AU43" i="68"/>
  <c r="AU44" i="68"/>
  <c r="AU45" i="68"/>
  <c r="AU46" i="68"/>
  <c r="AU47" i="68"/>
  <c r="AU48" i="68"/>
  <c r="AU9" i="68"/>
  <c r="AR10" i="68"/>
  <c r="AS10" i="68"/>
  <c r="AR11" i="68"/>
  <c r="AS11" i="68"/>
  <c r="AR12" i="68"/>
  <c r="AS12" i="68"/>
  <c r="AR13" i="68"/>
  <c r="AS13" i="68"/>
  <c r="AR14" i="68"/>
  <c r="AS14" i="68"/>
  <c r="AR15" i="68"/>
  <c r="AS15" i="68"/>
  <c r="AR16" i="68"/>
  <c r="AS16" i="68"/>
  <c r="AR17" i="68"/>
  <c r="AS17" i="68"/>
  <c r="AR18" i="68"/>
  <c r="AS18" i="68"/>
  <c r="AR19" i="68"/>
  <c r="AS19" i="68"/>
  <c r="AR20" i="68"/>
  <c r="AS20" i="68"/>
  <c r="AR21" i="68"/>
  <c r="AS21" i="68"/>
  <c r="AR22" i="68"/>
  <c r="AS22" i="68"/>
  <c r="AR23" i="68"/>
  <c r="AS23" i="68"/>
  <c r="AR24" i="68"/>
  <c r="AS24" i="68"/>
  <c r="AR25" i="68"/>
  <c r="AS25" i="68"/>
  <c r="AR26" i="68"/>
  <c r="AS26" i="68"/>
  <c r="AR27" i="68"/>
  <c r="AS27" i="68"/>
  <c r="AR28" i="68"/>
  <c r="AS28" i="68"/>
  <c r="AR29" i="68"/>
  <c r="AS29" i="68"/>
  <c r="AR30" i="68"/>
  <c r="AS30" i="68"/>
  <c r="AR31" i="68"/>
  <c r="AS31" i="68"/>
  <c r="AR32" i="68"/>
  <c r="AS32" i="68"/>
  <c r="AR33" i="68"/>
  <c r="AS33" i="68"/>
  <c r="AR34" i="68"/>
  <c r="AS34" i="68"/>
  <c r="AR35" i="68"/>
  <c r="AS35" i="68"/>
  <c r="AR36" i="68"/>
  <c r="AS36" i="68"/>
  <c r="AR37" i="68"/>
  <c r="AS37" i="68"/>
  <c r="AR38" i="68"/>
  <c r="AS38" i="68"/>
  <c r="AR39" i="68"/>
  <c r="AS39" i="68"/>
  <c r="AR40" i="68"/>
  <c r="AS40" i="68"/>
  <c r="AR41" i="68"/>
  <c r="AS41" i="68"/>
  <c r="AR42" i="68"/>
  <c r="AS42" i="68"/>
  <c r="AR43" i="68"/>
  <c r="AS43" i="68"/>
  <c r="AR44" i="68"/>
  <c r="AS44" i="68"/>
  <c r="AR45" i="68"/>
  <c r="AS45" i="68"/>
  <c r="AR46" i="68"/>
  <c r="AS46" i="68"/>
  <c r="AR47" i="68"/>
  <c r="AS47" i="68"/>
  <c r="AR48" i="68"/>
  <c r="AS48" i="68"/>
  <c r="AS9" i="68"/>
  <c r="AR9" i="68"/>
  <c r="AT9" i="68" s="1"/>
  <c r="AL48" i="68"/>
  <c r="AM48" i="68"/>
  <c r="AN48" i="68"/>
  <c r="AO48" i="68"/>
  <c r="AP48" i="68"/>
  <c r="AL10" i="68"/>
  <c r="AM10" i="68"/>
  <c r="AN10" i="68"/>
  <c r="AO10" i="68"/>
  <c r="AP10" i="68"/>
  <c r="AL11" i="68"/>
  <c r="AM11" i="68"/>
  <c r="AN11" i="68"/>
  <c r="AO11" i="68"/>
  <c r="AP11" i="68"/>
  <c r="AL12" i="68"/>
  <c r="AM12" i="68"/>
  <c r="AN12" i="68"/>
  <c r="AO12" i="68"/>
  <c r="AP12" i="68"/>
  <c r="AL13" i="68"/>
  <c r="AM13" i="68"/>
  <c r="AN13" i="68"/>
  <c r="AO13" i="68"/>
  <c r="AP13" i="68"/>
  <c r="AL14" i="68"/>
  <c r="AM14" i="68"/>
  <c r="AN14" i="68"/>
  <c r="AQ14" i="68" s="1"/>
  <c r="AO14" i="68"/>
  <c r="AP14" i="68"/>
  <c r="AL15" i="68"/>
  <c r="AM15" i="68"/>
  <c r="AN15" i="68"/>
  <c r="AO15" i="68"/>
  <c r="AP15" i="68"/>
  <c r="AL16" i="68"/>
  <c r="AM16" i="68"/>
  <c r="AN16" i="68"/>
  <c r="AO16" i="68"/>
  <c r="AP16" i="68"/>
  <c r="AL17" i="68"/>
  <c r="AM17" i="68"/>
  <c r="AN17" i="68"/>
  <c r="AO17" i="68"/>
  <c r="AP17" i="68"/>
  <c r="AL18" i="68"/>
  <c r="AM18" i="68"/>
  <c r="AN18" i="68"/>
  <c r="AQ18" i="68" s="1"/>
  <c r="AO18" i="68"/>
  <c r="AP18" i="68"/>
  <c r="AL19" i="68"/>
  <c r="AM19" i="68"/>
  <c r="AN19" i="68"/>
  <c r="AQ19" i="68" s="1"/>
  <c r="AO19" i="68"/>
  <c r="AP19" i="68"/>
  <c r="AL20" i="68"/>
  <c r="AM20" i="68"/>
  <c r="AN20" i="68"/>
  <c r="AQ20" i="68" s="1"/>
  <c r="AO20" i="68"/>
  <c r="AP20" i="68"/>
  <c r="AL21" i="68"/>
  <c r="AM21" i="68"/>
  <c r="AN21" i="68"/>
  <c r="AQ21" i="68" s="1"/>
  <c r="AO21" i="68"/>
  <c r="AP21" i="68"/>
  <c r="AL22" i="68"/>
  <c r="AM22" i="68"/>
  <c r="AN22" i="68"/>
  <c r="AQ22" i="68" s="1"/>
  <c r="AO22" i="68"/>
  <c r="AP22" i="68"/>
  <c r="AL23" i="68"/>
  <c r="AM23" i="68"/>
  <c r="AN23" i="68"/>
  <c r="AQ23" i="68" s="1"/>
  <c r="AO23" i="68"/>
  <c r="AP23" i="68"/>
  <c r="AL24" i="68"/>
  <c r="AM24" i="68"/>
  <c r="AN24" i="68"/>
  <c r="AQ24" i="68" s="1"/>
  <c r="AO24" i="68"/>
  <c r="AP24" i="68"/>
  <c r="AL25" i="68"/>
  <c r="AM25" i="68"/>
  <c r="AN25" i="68"/>
  <c r="AQ25" i="68" s="1"/>
  <c r="AO25" i="68"/>
  <c r="AP25" i="68"/>
  <c r="AL26" i="68"/>
  <c r="AM26" i="68"/>
  <c r="AN26" i="68"/>
  <c r="AQ26" i="68" s="1"/>
  <c r="AO26" i="68"/>
  <c r="AP26" i="68"/>
  <c r="AL27" i="68"/>
  <c r="AM27" i="68"/>
  <c r="AN27" i="68"/>
  <c r="AQ27" i="68" s="1"/>
  <c r="AO27" i="68"/>
  <c r="AP27" i="68"/>
  <c r="AL28" i="68"/>
  <c r="AM28" i="68"/>
  <c r="AN28" i="68"/>
  <c r="AQ28" i="68" s="1"/>
  <c r="AO28" i="68"/>
  <c r="AP28" i="68"/>
  <c r="AL29" i="68"/>
  <c r="AM29" i="68"/>
  <c r="AN29" i="68"/>
  <c r="AQ29" i="68" s="1"/>
  <c r="AO29" i="68"/>
  <c r="AP29" i="68"/>
  <c r="AL30" i="68"/>
  <c r="AM30" i="68"/>
  <c r="AN30" i="68"/>
  <c r="AQ30" i="68" s="1"/>
  <c r="AO30" i="68"/>
  <c r="AP30" i="68"/>
  <c r="AL31" i="68"/>
  <c r="AM31" i="68"/>
  <c r="AN31" i="68"/>
  <c r="AQ31" i="68" s="1"/>
  <c r="AO31" i="68"/>
  <c r="AP31" i="68"/>
  <c r="AL32" i="68"/>
  <c r="AM32" i="68"/>
  <c r="AN32" i="68"/>
  <c r="AQ32" i="68" s="1"/>
  <c r="AO32" i="68"/>
  <c r="AP32" i="68"/>
  <c r="AL33" i="68"/>
  <c r="AM33" i="68"/>
  <c r="AN33" i="68"/>
  <c r="AQ33" i="68" s="1"/>
  <c r="AO33" i="68"/>
  <c r="AP33" i="68"/>
  <c r="AL34" i="68"/>
  <c r="AM34" i="68"/>
  <c r="AN34" i="68"/>
  <c r="AQ34" i="68" s="1"/>
  <c r="AO34" i="68"/>
  <c r="AP34" i="68"/>
  <c r="AL35" i="68"/>
  <c r="AM35" i="68"/>
  <c r="AN35" i="68"/>
  <c r="AQ35" i="68" s="1"/>
  <c r="AO35" i="68"/>
  <c r="AP35" i="68"/>
  <c r="AL36" i="68"/>
  <c r="AM36" i="68"/>
  <c r="AN36" i="68"/>
  <c r="AQ36" i="68" s="1"/>
  <c r="AO36" i="68"/>
  <c r="AP36" i="68"/>
  <c r="AL37" i="68"/>
  <c r="AM37" i="68"/>
  <c r="AN37" i="68"/>
  <c r="AQ37" i="68" s="1"/>
  <c r="AO37" i="68"/>
  <c r="AP37" i="68"/>
  <c r="AL38" i="68"/>
  <c r="AM38" i="68"/>
  <c r="AN38" i="68"/>
  <c r="AQ38" i="68" s="1"/>
  <c r="AO38" i="68"/>
  <c r="AP38" i="68"/>
  <c r="AL39" i="68"/>
  <c r="AM39" i="68"/>
  <c r="AN39" i="68"/>
  <c r="AQ39" i="68" s="1"/>
  <c r="AO39" i="68"/>
  <c r="AP39" i="68"/>
  <c r="AL40" i="68"/>
  <c r="AM40" i="68"/>
  <c r="AN40" i="68"/>
  <c r="AQ40" i="68" s="1"/>
  <c r="AO40" i="68"/>
  <c r="AP40" i="68"/>
  <c r="AL41" i="68"/>
  <c r="AM41" i="68"/>
  <c r="AN41" i="68"/>
  <c r="AQ41" i="68" s="1"/>
  <c r="AO41" i="68"/>
  <c r="AP41" i="68"/>
  <c r="AL42" i="68"/>
  <c r="AM42" i="68"/>
  <c r="AN42" i="68"/>
  <c r="AQ42" i="68" s="1"/>
  <c r="AO42" i="68"/>
  <c r="AP42" i="68"/>
  <c r="AL43" i="68"/>
  <c r="AM43" i="68"/>
  <c r="AN43" i="68"/>
  <c r="AQ43" i="68" s="1"/>
  <c r="AO43" i="68"/>
  <c r="AP43" i="68"/>
  <c r="AL44" i="68"/>
  <c r="AM44" i="68"/>
  <c r="AN44" i="68"/>
  <c r="AQ44" i="68" s="1"/>
  <c r="AO44" i="68"/>
  <c r="AP44" i="68"/>
  <c r="AL45" i="68"/>
  <c r="AM45" i="68"/>
  <c r="AN45" i="68"/>
  <c r="AQ45" i="68" s="1"/>
  <c r="AO45" i="68"/>
  <c r="AP45" i="68"/>
  <c r="AL46" i="68"/>
  <c r="AM46" i="68"/>
  <c r="AN46" i="68"/>
  <c r="AQ46" i="68" s="1"/>
  <c r="AO46" i="68"/>
  <c r="AP46" i="68"/>
  <c r="AL47" i="68"/>
  <c r="AM47" i="68"/>
  <c r="AN47" i="68"/>
  <c r="AQ47" i="68" s="1"/>
  <c r="AO47" i="68"/>
  <c r="AP47" i="68"/>
  <c r="AP9" i="68"/>
  <c r="AN9" i="68"/>
  <c r="AO9" i="68"/>
  <c r="AM9" i="68"/>
  <c r="AL9" i="68"/>
  <c r="AA10" i="68"/>
  <c r="AB10" i="68"/>
  <c r="AC10" i="68"/>
  <c r="AD10" i="68"/>
  <c r="AA11" i="68"/>
  <c r="AB11" i="68"/>
  <c r="AC11" i="68"/>
  <c r="AD11" i="68"/>
  <c r="AA12" i="68"/>
  <c r="AB12" i="68"/>
  <c r="AE12" i="68" s="1"/>
  <c r="AC12" i="68"/>
  <c r="AD12" i="68"/>
  <c r="AA13" i="68"/>
  <c r="AB13" i="68"/>
  <c r="AC13" i="68"/>
  <c r="AD13" i="68"/>
  <c r="AA14" i="68"/>
  <c r="AB14" i="68"/>
  <c r="AC14" i="68"/>
  <c r="AD14" i="68"/>
  <c r="AA15" i="68"/>
  <c r="AB15" i="68"/>
  <c r="AC15" i="68"/>
  <c r="AD15" i="68"/>
  <c r="AA16" i="68"/>
  <c r="AB16" i="68"/>
  <c r="AC16" i="68"/>
  <c r="AD16" i="68"/>
  <c r="AE16" i="68"/>
  <c r="AA17" i="68"/>
  <c r="AB17" i="68"/>
  <c r="AC17" i="68"/>
  <c r="AD17" i="68"/>
  <c r="AA18" i="68"/>
  <c r="AB18" i="68"/>
  <c r="AC18" i="68"/>
  <c r="AD18" i="68"/>
  <c r="AA19" i="68"/>
  <c r="AB19" i="68"/>
  <c r="AC19" i="68"/>
  <c r="AD19" i="68"/>
  <c r="AA20" i="68"/>
  <c r="AB20" i="68"/>
  <c r="AE20" i="68" s="1"/>
  <c r="AC20" i="68"/>
  <c r="AD20" i="68"/>
  <c r="AA21" i="68"/>
  <c r="AB21" i="68"/>
  <c r="AC21" i="68"/>
  <c r="AD21" i="68"/>
  <c r="AA22" i="68"/>
  <c r="AB22" i="68"/>
  <c r="AC22" i="68"/>
  <c r="AD22" i="68"/>
  <c r="AA23" i="68"/>
  <c r="AB23" i="68"/>
  <c r="AC23" i="68"/>
  <c r="AD23" i="68"/>
  <c r="AA24" i="68"/>
  <c r="AB24" i="68"/>
  <c r="AC24" i="68"/>
  <c r="AE24" i="68" s="1"/>
  <c r="AD24" i="68"/>
  <c r="AA25" i="68"/>
  <c r="AB25" i="68"/>
  <c r="AC25" i="68"/>
  <c r="AD25" i="68"/>
  <c r="AA26" i="68"/>
  <c r="AB26" i="68"/>
  <c r="AC26" i="68"/>
  <c r="AD26" i="68"/>
  <c r="AA27" i="68"/>
  <c r="AB27" i="68"/>
  <c r="AC27" i="68"/>
  <c r="AD27" i="68"/>
  <c r="AA28" i="68"/>
  <c r="AB28" i="68"/>
  <c r="AE28" i="68" s="1"/>
  <c r="AC28" i="68"/>
  <c r="AD28" i="68"/>
  <c r="AA29" i="68"/>
  <c r="AB29" i="68"/>
  <c r="AC29" i="68"/>
  <c r="AD29" i="68"/>
  <c r="AA30" i="68"/>
  <c r="AB30" i="68"/>
  <c r="AE30" i="68" s="1"/>
  <c r="AC30" i="68"/>
  <c r="AD30" i="68"/>
  <c r="AA31" i="68"/>
  <c r="AB31" i="68"/>
  <c r="AC31" i="68"/>
  <c r="AD31" i="68"/>
  <c r="AA32" i="68"/>
  <c r="AB32" i="68"/>
  <c r="AE32" i="68" s="1"/>
  <c r="AC32" i="68"/>
  <c r="AD32" i="68"/>
  <c r="AA33" i="68"/>
  <c r="AB33" i="68"/>
  <c r="AC33" i="68"/>
  <c r="AD33" i="68"/>
  <c r="AA34" i="68"/>
  <c r="AB34" i="68"/>
  <c r="AE34" i="68" s="1"/>
  <c r="AC34" i="68"/>
  <c r="AD34" i="68"/>
  <c r="AA35" i="68"/>
  <c r="AB35" i="68"/>
  <c r="AC35" i="68"/>
  <c r="AD35" i="68"/>
  <c r="AA36" i="68"/>
  <c r="AB36" i="68"/>
  <c r="AE36" i="68" s="1"/>
  <c r="AC36" i="68"/>
  <c r="AD36" i="68"/>
  <c r="AA37" i="68"/>
  <c r="AB37" i="68"/>
  <c r="AC37" i="68"/>
  <c r="AD37" i="68"/>
  <c r="AA38" i="68"/>
  <c r="AB38" i="68"/>
  <c r="AC38" i="68"/>
  <c r="AD38" i="68"/>
  <c r="AA39" i="68"/>
  <c r="AB39" i="68"/>
  <c r="AC39" i="68"/>
  <c r="AD39" i="68"/>
  <c r="AA40" i="68"/>
  <c r="AB40" i="68"/>
  <c r="AC40" i="68"/>
  <c r="AD40" i="68"/>
  <c r="AE40" i="68"/>
  <c r="AA41" i="68"/>
  <c r="AB41" i="68"/>
  <c r="AC41" i="68"/>
  <c r="AD41" i="68"/>
  <c r="AA42" i="68"/>
  <c r="AB42" i="68"/>
  <c r="AC42" i="68"/>
  <c r="AD42" i="68"/>
  <c r="AA43" i="68"/>
  <c r="AB43" i="68"/>
  <c r="AC43" i="68"/>
  <c r="AD43" i="68"/>
  <c r="AA44" i="68"/>
  <c r="AB44" i="68"/>
  <c r="AE44" i="68" s="1"/>
  <c r="AC44" i="68"/>
  <c r="AD44" i="68"/>
  <c r="AA45" i="68"/>
  <c r="AB45" i="68"/>
  <c r="AC45" i="68"/>
  <c r="AD45" i="68"/>
  <c r="AA46" i="68"/>
  <c r="AB46" i="68"/>
  <c r="AC46" i="68"/>
  <c r="AD46" i="68"/>
  <c r="AA47" i="68"/>
  <c r="AB47" i="68"/>
  <c r="AC47" i="68"/>
  <c r="AD47" i="68"/>
  <c r="AA48" i="68"/>
  <c r="AB48" i="68"/>
  <c r="AC48" i="68"/>
  <c r="AE48" i="68" s="1"/>
  <c r="AD48" i="68"/>
  <c r="AD9" i="68"/>
  <c r="AC9" i="68"/>
  <c r="AB9" i="68"/>
  <c r="AA9" i="68"/>
  <c r="U10" i="68"/>
  <c r="AF10" i="68" s="1"/>
  <c r="E13" i="79" s="1"/>
  <c r="F13" i="79" s="1"/>
  <c r="V10" i="68"/>
  <c r="AG10" i="68" s="1"/>
  <c r="E14" i="79" s="1"/>
  <c r="F14" i="79" s="1"/>
  <c r="W10" i="68"/>
  <c r="X10" i="68"/>
  <c r="AI10" i="68" s="1"/>
  <c r="E16" i="79" s="1"/>
  <c r="F16" i="79" s="1"/>
  <c r="Y10" i="68"/>
  <c r="U11" i="68"/>
  <c r="AF11" i="68" s="1"/>
  <c r="E19" i="79" s="1"/>
  <c r="F19" i="79" s="1"/>
  <c r="V11" i="68"/>
  <c r="W11" i="68"/>
  <c r="AH11" i="68" s="1"/>
  <c r="E21" i="79" s="1"/>
  <c r="F21" i="79" s="1"/>
  <c r="X11" i="68"/>
  <c r="Y11" i="68"/>
  <c r="U12" i="68"/>
  <c r="AF12" i="68" s="1"/>
  <c r="E25" i="79" s="1"/>
  <c r="F25" i="79" s="1"/>
  <c r="V12" i="68"/>
  <c r="W12" i="68"/>
  <c r="AH12" i="68" s="1"/>
  <c r="E27" i="79" s="1"/>
  <c r="F27" i="79" s="1"/>
  <c r="X12" i="68"/>
  <c r="Y12" i="68"/>
  <c r="U13" i="68"/>
  <c r="AF13" i="68" s="1"/>
  <c r="E31" i="79" s="1"/>
  <c r="F31" i="79" s="1"/>
  <c r="V13" i="68"/>
  <c r="AG13" i="68" s="1"/>
  <c r="E32" i="79" s="1"/>
  <c r="F32" i="79" s="1"/>
  <c r="W13" i="68"/>
  <c r="AH13" i="68" s="1"/>
  <c r="E33" i="79" s="1"/>
  <c r="F33" i="79" s="1"/>
  <c r="X13" i="68"/>
  <c r="AI13" i="68" s="1"/>
  <c r="E34" i="79" s="1"/>
  <c r="F34" i="79" s="1"/>
  <c r="Y13" i="68"/>
  <c r="U14" i="68"/>
  <c r="V14" i="68"/>
  <c r="AG14" i="68" s="1"/>
  <c r="E38" i="79" s="1"/>
  <c r="F38" i="79" s="1"/>
  <c r="W14" i="68"/>
  <c r="X14" i="68"/>
  <c r="AI14" i="68" s="1"/>
  <c r="E40" i="79" s="1"/>
  <c r="F40" i="79" s="1"/>
  <c r="Y14" i="68"/>
  <c r="U15" i="68"/>
  <c r="V15" i="68"/>
  <c r="AG15" i="68" s="1"/>
  <c r="E44" i="79" s="1"/>
  <c r="F44" i="79" s="1"/>
  <c r="W15" i="68"/>
  <c r="X15" i="68"/>
  <c r="AI15" i="68" s="1"/>
  <c r="E46" i="79" s="1"/>
  <c r="F46" i="79" s="1"/>
  <c r="Y15" i="68"/>
  <c r="Z15" i="68"/>
  <c r="U16" i="68"/>
  <c r="V16" i="68"/>
  <c r="AG16" i="68" s="1"/>
  <c r="E50" i="79" s="1"/>
  <c r="F50" i="79" s="1"/>
  <c r="W16" i="68"/>
  <c r="X16" i="68"/>
  <c r="AI16" i="68" s="1"/>
  <c r="E52" i="79" s="1"/>
  <c r="F52" i="79" s="1"/>
  <c r="Y16" i="68"/>
  <c r="U17" i="68"/>
  <c r="AF17" i="68" s="1"/>
  <c r="E55" i="79" s="1"/>
  <c r="F55" i="79" s="1"/>
  <c r="V17" i="68"/>
  <c r="AG17" i="68" s="1"/>
  <c r="E56" i="79" s="1"/>
  <c r="F56" i="79" s="1"/>
  <c r="W17" i="68"/>
  <c r="AH17" i="68" s="1"/>
  <c r="E57" i="79" s="1"/>
  <c r="F57" i="79" s="1"/>
  <c r="X17" i="68"/>
  <c r="AI17" i="68" s="1"/>
  <c r="E58" i="79" s="1"/>
  <c r="F58" i="79" s="1"/>
  <c r="Y17" i="68"/>
  <c r="Z17" i="68"/>
  <c r="U18" i="68"/>
  <c r="AF18" i="68" s="1"/>
  <c r="E61" i="79" s="1"/>
  <c r="F61" i="79" s="1"/>
  <c r="V18" i="68"/>
  <c r="AG18" i="68" s="1"/>
  <c r="E62" i="79" s="1"/>
  <c r="F62" i="79" s="1"/>
  <c r="W18" i="68"/>
  <c r="AH18" i="68" s="1"/>
  <c r="E63" i="79" s="1"/>
  <c r="F63" i="79" s="1"/>
  <c r="X18" i="68"/>
  <c r="AI18" i="68" s="1"/>
  <c r="E64" i="79" s="1"/>
  <c r="F64" i="79" s="1"/>
  <c r="Y18" i="68"/>
  <c r="Z18" i="68"/>
  <c r="U19" i="68"/>
  <c r="AF19" i="68" s="1"/>
  <c r="E67" i="79" s="1"/>
  <c r="F67" i="79" s="1"/>
  <c r="V19" i="68"/>
  <c r="AG19" i="68" s="1"/>
  <c r="E68" i="79" s="1"/>
  <c r="F68" i="79" s="1"/>
  <c r="W19" i="68"/>
  <c r="AH19" i="68" s="1"/>
  <c r="E69" i="79" s="1"/>
  <c r="F69" i="79" s="1"/>
  <c r="X19" i="68"/>
  <c r="AI19" i="68" s="1"/>
  <c r="E70" i="79" s="1"/>
  <c r="F70" i="79" s="1"/>
  <c r="Y19" i="68"/>
  <c r="Z19" i="68"/>
  <c r="U20" i="68"/>
  <c r="AF20" i="68" s="1"/>
  <c r="E73" i="79" s="1"/>
  <c r="F73" i="79" s="1"/>
  <c r="V20" i="68"/>
  <c r="AG20" i="68" s="1"/>
  <c r="E74" i="79" s="1"/>
  <c r="F74" i="79" s="1"/>
  <c r="W20" i="68"/>
  <c r="AH20" i="68" s="1"/>
  <c r="E75" i="79" s="1"/>
  <c r="F75" i="79" s="1"/>
  <c r="X20" i="68"/>
  <c r="AI20" i="68" s="1"/>
  <c r="E76" i="79" s="1"/>
  <c r="F76" i="79" s="1"/>
  <c r="Y20" i="68"/>
  <c r="U21" i="68"/>
  <c r="V21" i="68"/>
  <c r="AG21" i="68" s="1"/>
  <c r="E80" i="79" s="1"/>
  <c r="F80" i="79" s="1"/>
  <c r="W21" i="68"/>
  <c r="X21" i="68"/>
  <c r="AI21" i="68" s="1"/>
  <c r="E82" i="79" s="1"/>
  <c r="F82" i="79" s="1"/>
  <c r="Y21" i="68"/>
  <c r="Z21" i="68"/>
  <c r="U22" i="68"/>
  <c r="V22" i="68"/>
  <c r="AG22" i="68" s="1"/>
  <c r="E86" i="79" s="1"/>
  <c r="F86" i="79" s="1"/>
  <c r="W22" i="68"/>
  <c r="X22" i="68"/>
  <c r="AI22" i="68" s="1"/>
  <c r="E88" i="79" s="1"/>
  <c r="F88" i="79" s="1"/>
  <c r="Y22" i="68"/>
  <c r="U23" i="68"/>
  <c r="V23" i="68"/>
  <c r="AG23" i="68" s="1"/>
  <c r="E92" i="79" s="1"/>
  <c r="F92" i="79" s="1"/>
  <c r="W23" i="68"/>
  <c r="X23" i="68"/>
  <c r="AI23" i="68" s="1"/>
  <c r="E94" i="79" s="1"/>
  <c r="F94" i="79" s="1"/>
  <c r="Y23" i="68"/>
  <c r="Z23" i="68"/>
  <c r="U24" i="68"/>
  <c r="V24" i="68"/>
  <c r="AG24" i="68" s="1"/>
  <c r="E98" i="79" s="1"/>
  <c r="F98" i="79" s="1"/>
  <c r="W24" i="68"/>
  <c r="X24" i="68"/>
  <c r="AI24" i="68" s="1"/>
  <c r="E100" i="79" s="1"/>
  <c r="F100" i="79" s="1"/>
  <c r="Y24" i="68"/>
  <c r="U25" i="68"/>
  <c r="AF25" i="68" s="1"/>
  <c r="E103" i="79" s="1"/>
  <c r="F103" i="79" s="1"/>
  <c r="V25" i="68"/>
  <c r="AG25" i="68" s="1"/>
  <c r="E104" i="79" s="1"/>
  <c r="F104" i="79" s="1"/>
  <c r="W25" i="68"/>
  <c r="AH25" i="68" s="1"/>
  <c r="E105" i="79" s="1"/>
  <c r="F105" i="79" s="1"/>
  <c r="X25" i="68"/>
  <c r="AI25" i="68" s="1"/>
  <c r="E106" i="79" s="1"/>
  <c r="F106" i="79" s="1"/>
  <c r="Y25" i="68"/>
  <c r="Z25" i="68"/>
  <c r="U26" i="68"/>
  <c r="AF26" i="68" s="1"/>
  <c r="E109" i="79" s="1"/>
  <c r="F109" i="79" s="1"/>
  <c r="V26" i="68"/>
  <c r="AG26" i="68" s="1"/>
  <c r="E110" i="79" s="1"/>
  <c r="F110" i="79" s="1"/>
  <c r="W26" i="68"/>
  <c r="AH26" i="68" s="1"/>
  <c r="E111" i="79" s="1"/>
  <c r="F111" i="79" s="1"/>
  <c r="X26" i="68"/>
  <c r="AI26" i="68" s="1"/>
  <c r="E112" i="79" s="1"/>
  <c r="F112" i="79" s="1"/>
  <c r="Y26" i="68"/>
  <c r="U27" i="68"/>
  <c r="AF27" i="68" s="1"/>
  <c r="E115" i="79" s="1"/>
  <c r="F115" i="79" s="1"/>
  <c r="V27" i="68"/>
  <c r="AG27" i="68" s="1"/>
  <c r="E116" i="79" s="1"/>
  <c r="F116" i="79" s="1"/>
  <c r="W27" i="68"/>
  <c r="AH27" i="68" s="1"/>
  <c r="E117" i="79" s="1"/>
  <c r="F117" i="79" s="1"/>
  <c r="X27" i="68"/>
  <c r="AI27" i="68" s="1"/>
  <c r="E118" i="79" s="1"/>
  <c r="F118" i="79" s="1"/>
  <c r="Y27" i="68"/>
  <c r="Z27" i="68"/>
  <c r="U28" i="68"/>
  <c r="AF28" i="68" s="1"/>
  <c r="E121" i="79" s="1"/>
  <c r="F121" i="79" s="1"/>
  <c r="V28" i="68"/>
  <c r="AG28" i="68" s="1"/>
  <c r="E122" i="79" s="1"/>
  <c r="F122" i="79" s="1"/>
  <c r="W28" i="68"/>
  <c r="AH28" i="68" s="1"/>
  <c r="E123" i="79" s="1"/>
  <c r="F123" i="79" s="1"/>
  <c r="X28" i="68"/>
  <c r="AI28" i="68" s="1"/>
  <c r="E124" i="79" s="1"/>
  <c r="F124" i="79" s="1"/>
  <c r="Y28" i="68"/>
  <c r="U29" i="68"/>
  <c r="AF29" i="68" s="1"/>
  <c r="E127" i="79" s="1"/>
  <c r="F127" i="79" s="1"/>
  <c r="V29" i="68"/>
  <c r="AG29" i="68" s="1"/>
  <c r="E128" i="79" s="1"/>
  <c r="F128" i="79" s="1"/>
  <c r="W29" i="68"/>
  <c r="AH29" i="68" s="1"/>
  <c r="E129" i="79" s="1"/>
  <c r="F129" i="79" s="1"/>
  <c r="X29" i="68"/>
  <c r="AI29" i="68" s="1"/>
  <c r="E130" i="79" s="1"/>
  <c r="F130" i="79" s="1"/>
  <c r="Y29" i="68"/>
  <c r="Z29" i="68"/>
  <c r="U30" i="68"/>
  <c r="AF30" i="68" s="1"/>
  <c r="E133" i="79" s="1"/>
  <c r="F133" i="79" s="1"/>
  <c r="V30" i="68"/>
  <c r="AG30" i="68" s="1"/>
  <c r="E134" i="79" s="1"/>
  <c r="F134" i="79" s="1"/>
  <c r="W30" i="68"/>
  <c r="AH30" i="68" s="1"/>
  <c r="E135" i="79" s="1"/>
  <c r="F135" i="79" s="1"/>
  <c r="X30" i="68"/>
  <c r="AI30" i="68" s="1"/>
  <c r="E136" i="79" s="1"/>
  <c r="F136" i="79" s="1"/>
  <c r="Y30" i="68"/>
  <c r="U31" i="68"/>
  <c r="AF31" i="68" s="1"/>
  <c r="E139" i="79" s="1"/>
  <c r="F139" i="79" s="1"/>
  <c r="V31" i="68"/>
  <c r="AG31" i="68" s="1"/>
  <c r="E140" i="79" s="1"/>
  <c r="F140" i="79" s="1"/>
  <c r="W31" i="68"/>
  <c r="AH31" i="68" s="1"/>
  <c r="E141" i="79" s="1"/>
  <c r="F141" i="79" s="1"/>
  <c r="X31" i="68"/>
  <c r="AI31" i="68" s="1"/>
  <c r="E142" i="79" s="1"/>
  <c r="F142" i="79" s="1"/>
  <c r="Y31" i="68"/>
  <c r="Z31" i="68"/>
  <c r="U32" i="68"/>
  <c r="AF32" i="68" s="1"/>
  <c r="E145" i="79" s="1"/>
  <c r="F145" i="79" s="1"/>
  <c r="V32" i="68"/>
  <c r="AG32" i="68" s="1"/>
  <c r="E146" i="79" s="1"/>
  <c r="F146" i="79" s="1"/>
  <c r="W32" i="68"/>
  <c r="AH32" i="68" s="1"/>
  <c r="E147" i="79" s="1"/>
  <c r="F147" i="79" s="1"/>
  <c r="X32" i="68"/>
  <c r="AI32" i="68" s="1"/>
  <c r="E148" i="79" s="1"/>
  <c r="F148" i="79" s="1"/>
  <c r="Y32" i="68"/>
  <c r="U33" i="68"/>
  <c r="AF33" i="68" s="1"/>
  <c r="E151" i="79" s="1"/>
  <c r="F151" i="79" s="1"/>
  <c r="V33" i="68"/>
  <c r="AG33" i="68" s="1"/>
  <c r="E152" i="79" s="1"/>
  <c r="F152" i="79" s="1"/>
  <c r="W33" i="68"/>
  <c r="AH33" i="68" s="1"/>
  <c r="E153" i="79" s="1"/>
  <c r="F153" i="79" s="1"/>
  <c r="X33" i="68"/>
  <c r="AI33" i="68" s="1"/>
  <c r="E154" i="79" s="1"/>
  <c r="F154" i="79" s="1"/>
  <c r="Y33" i="68"/>
  <c r="Z33" i="68"/>
  <c r="U34" i="68"/>
  <c r="AF34" i="68" s="1"/>
  <c r="E157" i="79" s="1"/>
  <c r="F157" i="79" s="1"/>
  <c r="V34" i="68"/>
  <c r="AG34" i="68" s="1"/>
  <c r="E158" i="79" s="1"/>
  <c r="F158" i="79" s="1"/>
  <c r="W34" i="68"/>
  <c r="AH34" i="68" s="1"/>
  <c r="E159" i="79" s="1"/>
  <c r="F159" i="79" s="1"/>
  <c r="X34" i="68"/>
  <c r="AI34" i="68" s="1"/>
  <c r="E160" i="79" s="1"/>
  <c r="F160" i="79" s="1"/>
  <c r="Y34" i="68"/>
  <c r="U35" i="68"/>
  <c r="AF35" i="68" s="1"/>
  <c r="E163" i="79" s="1"/>
  <c r="F163" i="79" s="1"/>
  <c r="V35" i="68"/>
  <c r="AG35" i="68" s="1"/>
  <c r="E164" i="79" s="1"/>
  <c r="F164" i="79" s="1"/>
  <c r="W35" i="68"/>
  <c r="AH35" i="68" s="1"/>
  <c r="E165" i="79" s="1"/>
  <c r="F165" i="79" s="1"/>
  <c r="X35" i="68"/>
  <c r="AI35" i="68" s="1"/>
  <c r="E166" i="79" s="1"/>
  <c r="F166" i="79" s="1"/>
  <c r="Y35" i="68"/>
  <c r="Z35" i="68"/>
  <c r="U36" i="68"/>
  <c r="AF36" i="68" s="1"/>
  <c r="E169" i="79" s="1"/>
  <c r="F169" i="79" s="1"/>
  <c r="V36" i="68"/>
  <c r="AG36" i="68" s="1"/>
  <c r="E170" i="79" s="1"/>
  <c r="F170" i="79" s="1"/>
  <c r="W36" i="68"/>
  <c r="AH36" i="68" s="1"/>
  <c r="E171" i="79" s="1"/>
  <c r="F171" i="79" s="1"/>
  <c r="X36" i="68"/>
  <c r="AI36" i="68" s="1"/>
  <c r="E172" i="79" s="1"/>
  <c r="F172" i="79" s="1"/>
  <c r="Y36" i="68"/>
  <c r="U37" i="68"/>
  <c r="V37" i="68"/>
  <c r="AG37" i="68" s="1"/>
  <c r="E176" i="79" s="1"/>
  <c r="F176" i="79" s="1"/>
  <c r="W37" i="68"/>
  <c r="AH37" i="68" s="1"/>
  <c r="E177" i="79" s="1"/>
  <c r="F177" i="79" s="1"/>
  <c r="X37" i="68"/>
  <c r="AI37" i="68" s="1"/>
  <c r="E178" i="79" s="1"/>
  <c r="F178" i="79" s="1"/>
  <c r="Y37" i="68"/>
  <c r="Z37" i="68"/>
  <c r="U38" i="68"/>
  <c r="V38" i="68"/>
  <c r="AG38" i="68" s="1"/>
  <c r="E182" i="79" s="1"/>
  <c r="F182" i="79" s="1"/>
  <c r="W38" i="68"/>
  <c r="AH38" i="68" s="1"/>
  <c r="E183" i="79" s="1"/>
  <c r="F183" i="79" s="1"/>
  <c r="X38" i="68"/>
  <c r="AI38" i="68" s="1"/>
  <c r="E184" i="79" s="1"/>
  <c r="F184" i="79" s="1"/>
  <c r="Y38" i="68"/>
  <c r="U39" i="68"/>
  <c r="AF39" i="68" s="1"/>
  <c r="E187" i="79" s="1"/>
  <c r="F187" i="79" s="1"/>
  <c r="V39" i="68"/>
  <c r="AG39" i="68" s="1"/>
  <c r="E188" i="79" s="1"/>
  <c r="F188" i="79" s="1"/>
  <c r="W39" i="68"/>
  <c r="AH39" i="68" s="1"/>
  <c r="E189" i="79" s="1"/>
  <c r="F189" i="79" s="1"/>
  <c r="X39" i="68"/>
  <c r="AI39" i="68" s="1"/>
  <c r="E190" i="79" s="1"/>
  <c r="F190" i="79" s="1"/>
  <c r="Y39" i="68"/>
  <c r="Z39" i="68"/>
  <c r="U40" i="68"/>
  <c r="AF40" i="68" s="1"/>
  <c r="E193" i="79" s="1"/>
  <c r="F193" i="79" s="1"/>
  <c r="V40" i="68"/>
  <c r="AG40" i="68" s="1"/>
  <c r="E194" i="79" s="1"/>
  <c r="F194" i="79" s="1"/>
  <c r="W40" i="68"/>
  <c r="AH40" i="68" s="1"/>
  <c r="E195" i="79" s="1"/>
  <c r="F195" i="79" s="1"/>
  <c r="X40" i="68"/>
  <c r="AI40" i="68" s="1"/>
  <c r="E196" i="79" s="1"/>
  <c r="F196" i="79" s="1"/>
  <c r="Y40" i="68"/>
  <c r="AJ40" i="68" s="1"/>
  <c r="E197" i="79" s="1"/>
  <c r="F197" i="79" s="1"/>
  <c r="U41" i="68"/>
  <c r="AF41" i="68" s="1"/>
  <c r="E199" i="79" s="1"/>
  <c r="F199" i="79" s="1"/>
  <c r="V41" i="68"/>
  <c r="AG41" i="68" s="1"/>
  <c r="E200" i="79" s="1"/>
  <c r="F200" i="79" s="1"/>
  <c r="W41" i="68"/>
  <c r="AH41" i="68" s="1"/>
  <c r="E201" i="79" s="1"/>
  <c r="F201" i="79" s="1"/>
  <c r="X41" i="68"/>
  <c r="AI41" i="68" s="1"/>
  <c r="E202" i="79" s="1"/>
  <c r="F202" i="79" s="1"/>
  <c r="Y41" i="68"/>
  <c r="Z41" i="68"/>
  <c r="U42" i="68"/>
  <c r="AF42" i="68" s="1"/>
  <c r="E205" i="79" s="1"/>
  <c r="F205" i="79" s="1"/>
  <c r="V42" i="68"/>
  <c r="AG42" i="68" s="1"/>
  <c r="E206" i="79" s="1"/>
  <c r="F206" i="79" s="1"/>
  <c r="W42" i="68"/>
  <c r="AH42" i="68" s="1"/>
  <c r="E207" i="79" s="1"/>
  <c r="F207" i="79" s="1"/>
  <c r="X42" i="68"/>
  <c r="AI42" i="68" s="1"/>
  <c r="E208" i="79" s="1"/>
  <c r="F208" i="79" s="1"/>
  <c r="Y42" i="68"/>
  <c r="U43" i="68"/>
  <c r="AF43" i="68" s="1"/>
  <c r="E211" i="79" s="1"/>
  <c r="F211" i="79" s="1"/>
  <c r="V43" i="68"/>
  <c r="AG43" i="68" s="1"/>
  <c r="E212" i="79" s="1"/>
  <c r="F212" i="79" s="1"/>
  <c r="W43" i="68"/>
  <c r="AH43" i="68" s="1"/>
  <c r="E213" i="79" s="1"/>
  <c r="F213" i="79" s="1"/>
  <c r="X43" i="68"/>
  <c r="AI43" i="68" s="1"/>
  <c r="E214" i="79" s="1"/>
  <c r="F214" i="79" s="1"/>
  <c r="Y43" i="68"/>
  <c r="Z43" i="68"/>
  <c r="U44" i="68"/>
  <c r="AF44" i="68" s="1"/>
  <c r="E217" i="79" s="1"/>
  <c r="F217" i="79" s="1"/>
  <c r="V44" i="68"/>
  <c r="AG44" i="68" s="1"/>
  <c r="E218" i="79" s="1"/>
  <c r="F218" i="79" s="1"/>
  <c r="W44" i="68"/>
  <c r="AH44" i="68" s="1"/>
  <c r="E219" i="79" s="1"/>
  <c r="F219" i="79" s="1"/>
  <c r="X44" i="68"/>
  <c r="AI44" i="68" s="1"/>
  <c r="E220" i="79" s="1"/>
  <c r="F220" i="79" s="1"/>
  <c r="Y44" i="68"/>
  <c r="U45" i="68"/>
  <c r="AF45" i="68" s="1"/>
  <c r="E223" i="79" s="1"/>
  <c r="F223" i="79" s="1"/>
  <c r="V45" i="68"/>
  <c r="AG45" i="68" s="1"/>
  <c r="E224" i="79" s="1"/>
  <c r="F224" i="79" s="1"/>
  <c r="W45" i="68"/>
  <c r="AH45" i="68" s="1"/>
  <c r="E225" i="79" s="1"/>
  <c r="F225" i="79" s="1"/>
  <c r="X45" i="68"/>
  <c r="AI45" i="68" s="1"/>
  <c r="E226" i="79" s="1"/>
  <c r="F226" i="79" s="1"/>
  <c r="Y45" i="68"/>
  <c r="Z45" i="68"/>
  <c r="U46" i="68"/>
  <c r="AF46" i="68" s="1"/>
  <c r="E229" i="79" s="1"/>
  <c r="F229" i="79" s="1"/>
  <c r="V46" i="68"/>
  <c r="AG46" i="68" s="1"/>
  <c r="E230" i="79" s="1"/>
  <c r="F230" i="79" s="1"/>
  <c r="W46" i="68"/>
  <c r="AH46" i="68" s="1"/>
  <c r="E231" i="79" s="1"/>
  <c r="F231" i="79" s="1"/>
  <c r="X46" i="68"/>
  <c r="AI46" i="68" s="1"/>
  <c r="E232" i="79" s="1"/>
  <c r="F232" i="79" s="1"/>
  <c r="Y46" i="68"/>
  <c r="Z46" i="68"/>
  <c r="U47" i="68"/>
  <c r="AF47" i="68" s="1"/>
  <c r="E235" i="79" s="1"/>
  <c r="F235" i="79" s="1"/>
  <c r="V47" i="68"/>
  <c r="AG47" i="68" s="1"/>
  <c r="E236" i="79" s="1"/>
  <c r="F236" i="79" s="1"/>
  <c r="W47" i="68"/>
  <c r="AH47" i="68" s="1"/>
  <c r="E237" i="79" s="1"/>
  <c r="F237" i="79" s="1"/>
  <c r="X47" i="68"/>
  <c r="AI47" i="68" s="1"/>
  <c r="E238" i="79" s="1"/>
  <c r="F238" i="79" s="1"/>
  <c r="Y47" i="68"/>
  <c r="Z47" i="68"/>
  <c r="U48" i="68"/>
  <c r="AF48" i="68" s="1"/>
  <c r="E241" i="79" s="1"/>
  <c r="F241" i="79" s="1"/>
  <c r="V48" i="68"/>
  <c r="AG48" i="68" s="1"/>
  <c r="E242" i="79" s="1"/>
  <c r="F242" i="79" s="1"/>
  <c r="W48" i="68"/>
  <c r="AH48" i="68" s="1"/>
  <c r="E243" i="79" s="1"/>
  <c r="F243" i="79" s="1"/>
  <c r="X48" i="68"/>
  <c r="AI48" i="68" s="1"/>
  <c r="E244" i="79" s="1"/>
  <c r="F244" i="79" s="1"/>
  <c r="Y48" i="68"/>
  <c r="Z48" i="68"/>
  <c r="Y9" i="68"/>
  <c r="X9" i="68"/>
  <c r="AI9" i="68" s="1"/>
  <c r="W9" i="68"/>
  <c r="AH9" i="68" s="1"/>
  <c r="V9" i="68"/>
  <c r="AG9" i="68" s="1"/>
  <c r="U9" i="68"/>
  <c r="AF9" i="68" s="1"/>
  <c r="F165" i="76"/>
  <c r="F164" i="76"/>
  <c r="F163" i="76"/>
  <c r="F161" i="76"/>
  <c r="F160" i="76"/>
  <c r="F159" i="76"/>
  <c r="F157" i="76"/>
  <c r="F156" i="76"/>
  <c r="F155" i="76"/>
  <c r="F153" i="76"/>
  <c r="F152" i="76"/>
  <c r="F151" i="76"/>
  <c r="F149" i="76"/>
  <c r="F148" i="76"/>
  <c r="F147" i="76"/>
  <c r="F145" i="76"/>
  <c r="F144" i="76"/>
  <c r="F143" i="76"/>
  <c r="F141" i="76"/>
  <c r="F140" i="76"/>
  <c r="F139" i="76"/>
  <c r="F137" i="76"/>
  <c r="F136" i="76"/>
  <c r="F135" i="76"/>
  <c r="F133" i="76"/>
  <c r="F132" i="76"/>
  <c r="F131" i="76"/>
  <c r="F129" i="76"/>
  <c r="F128" i="76"/>
  <c r="F127" i="76"/>
  <c r="F125" i="76"/>
  <c r="F124" i="76"/>
  <c r="F123" i="76"/>
  <c r="F121" i="76"/>
  <c r="F120" i="76"/>
  <c r="F119" i="76"/>
  <c r="F117" i="76"/>
  <c r="F116" i="76"/>
  <c r="F115" i="76"/>
  <c r="F113" i="76"/>
  <c r="F112" i="76"/>
  <c r="F111" i="76"/>
  <c r="F109" i="76"/>
  <c r="F108" i="76"/>
  <c r="F107" i="76"/>
  <c r="F105" i="76"/>
  <c r="F104" i="76"/>
  <c r="F103" i="76"/>
  <c r="F101" i="76"/>
  <c r="F100" i="76"/>
  <c r="F99" i="76"/>
  <c r="F97" i="76"/>
  <c r="F96" i="76"/>
  <c r="F95" i="76"/>
  <c r="F93" i="76"/>
  <c r="F92" i="76"/>
  <c r="F91" i="76"/>
  <c r="F89" i="76"/>
  <c r="F88" i="76"/>
  <c r="F87" i="76"/>
  <c r="F85" i="76"/>
  <c r="F84" i="76"/>
  <c r="F83" i="76"/>
  <c r="F81" i="76"/>
  <c r="F80" i="76"/>
  <c r="F79" i="76"/>
  <c r="F77" i="76"/>
  <c r="F76" i="76"/>
  <c r="F75" i="76"/>
  <c r="F73" i="76"/>
  <c r="F72" i="76"/>
  <c r="F71" i="76"/>
  <c r="F69" i="76"/>
  <c r="F68" i="76"/>
  <c r="F67" i="76"/>
  <c r="F65" i="76"/>
  <c r="F64" i="76"/>
  <c r="F63" i="76"/>
  <c r="F61" i="76"/>
  <c r="F60" i="76"/>
  <c r="F59" i="76"/>
  <c r="F57" i="76"/>
  <c r="F56" i="76"/>
  <c r="F55" i="76"/>
  <c r="F53" i="76"/>
  <c r="F52" i="76"/>
  <c r="F51" i="76"/>
  <c r="F49" i="76"/>
  <c r="F48" i="76"/>
  <c r="F47" i="76"/>
  <c r="F45" i="76"/>
  <c r="F44" i="76"/>
  <c r="F43" i="76"/>
  <c r="F41" i="76"/>
  <c r="F40" i="76"/>
  <c r="F39" i="76"/>
  <c r="F37" i="76"/>
  <c r="F36" i="76"/>
  <c r="F35" i="76"/>
  <c r="F33" i="76"/>
  <c r="F32" i="76"/>
  <c r="F31" i="76"/>
  <c r="F29" i="76"/>
  <c r="F28" i="76"/>
  <c r="F27" i="76"/>
  <c r="F25" i="76"/>
  <c r="F24" i="76"/>
  <c r="F23" i="76"/>
  <c r="F21" i="76"/>
  <c r="F20" i="76"/>
  <c r="F19" i="76"/>
  <c r="R10" i="67"/>
  <c r="S10" i="67"/>
  <c r="T10" i="67"/>
  <c r="R11" i="67"/>
  <c r="S11" i="67"/>
  <c r="T11" i="67"/>
  <c r="R12" i="67"/>
  <c r="S12" i="67"/>
  <c r="T12" i="67"/>
  <c r="R13" i="67"/>
  <c r="U13" i="67" s="1"/>
  <c r="S13" i="67"/>
  <c r="T13" i="67"/>
  <c r="R14" i="67"/>
  <c r="S14" i="67"/>
  <c r="T14" i="67"/>
  <c r="R15" i="67"/>
  <c r="S15" i="67"/>
  <c r="T15" i="67"/>
  <c r="R16" i="67"/>
  <c r="S16" i="67"/>
  <c r="T16" i="67"/>
  <c r="R17" i="67"/>
  <c r="U17" i="67" s="1"/>
  <c r="S17" i="67"/>
  <c r="T17" i="67"/>
  <c r="R18" i="67"/>
  <c r="S18" i="67"/>
  <c r="T18" i="67"/>
  <c r="R19" i="67"/>
  <c r="S19" i="67"/>
  <c r="T19" i="67"/>
  <c r="R20" i="67"/>
  <c r="S20" i="67"/>
  <c r="T20" i="67"/>
  <c r="R21" i="67"/>
  <c r="U21" i="67" s="1"/>
  <c r="S21" i="67"/>
  <c r="T21" i="67"/>
  <c r="R22" i="67"/>
  <c r="S22" i="67"/>
  <c r="T22" i="67"/>
  <c r="R23" i="67"/>
  <c r="S23" i="67"/>
  <c r="T23" i="67"/>
  <c r="R24" i="67"/>
  <c r="S24" i="67"/>
  <c r="T24" i="67"/>
  <c r="R25" i="67"/>
  <c r="U25" i="67" s="1"/>
  <c r="S25" i="67"/>
  <c r="T25" i="67"/>
  <c r="R26" i="67"/>
  <c r="S26" i="67"/>
  <c r="T26" i="67"/>
  <c r="R27" i="67"/>
  <c r="S27" i="67"/>
  <c r="T27" i="67"/>
  <c r="R28" i="67"/>
  <c r="S28" i="67"/>
  <c r="T28" i="67"/>
  <c r="R29" i="67"/>
  <c r="U29" i="67" s="1"/>
  <c r="S29" i="67"/>
  <c r="T29" i="67"/>
  <c r="R30" i="67"/>
  <c r="S30" i="67"/>
  <c r="T30" i="67"/>
  <c r="R31" i="67"/>
  <c r="S31" i="67"/>
  <c r="T31" i="67"/>
  <c r="R32" i="67"/>
  <c r="S32" i="67"/>
  <c r="T32" i="67"/>
  <c r="R33" i="67"/>
  <c r="U33" i="67" s="1"/>
  <c r="S33" i="67"/>
  <c r="T33" i="67"/>
  <c r="R34" i="67"/>
  <c r="S34" i="67"/>
  <c r="T34" i="67"/>
  <c r="R35" i="67"/>
  <c r="S35" i="67"/>
  <c r="T35" i="67"/>
  <c r="R36" i="67"/>
  <c r="S36" i="67"/>
  <c r="T36" i="67"/>
  <c r="R37" i="67"/>
  <c r="U37" i="67" s="1"/>
  <c r="S37" i="67"/>
  <c r="T37" i="67"/>
  <c r="R38" i="67"/>
  <c r="S38" i="67"/>
  <c r="T38" i="67"/>
  <c r="R39" i="67"/>
  <c r="S39" i="67"/>
  <c r="T39" i="67"/>
  <c r="R40" i="67"/>
  <c r="S40" i="67"/>
  <c r="T40" i="67"/>
  <c r="R41" i="67"/>
  <c r="U41" i="67" s="1"/>
  <c r="S41" i="67"/>
  <c r="T41" i="67"/>
  <c r="R42" i="67"/>
  <c r="S42" i="67"/>
  <c r="T42" i="67"/>
  <c r="R43" i="67"/>
  <c r="S43" i="67"/>
  <c r="T43" i="67"/>
  <c r="R44" i="67"/>
  <c r="S44" i="67"/>
  <c r="T44" i="67"/>
  <c r="R45" i="67"/>
  <c r="U45" i="67" s="1"/>
  <c r="S45" i="67"/>
  <c r="T45" i="67"/>
  <c r="R46" i="67"/>
  <c r="S46" i="67"/>
  <c r="T46" i="67"/>
  <c r="R47" i="67"/>
  <c r="S47" i="67"/>
  <c r="T47" i="67"/>
  <c r="R48" i="67"/>
  <c r="S48" i="67"/>
  <c r="T48" i="67"/>
  <c r="F16" i="76"/>
  <c r="L9" i="92"/>
  <c r="M9" i="92"/>
  <c r="N9" i="92"/>
  <c r="O9" i="92"/>
  <c r="L10" i="92"/>
  <c r="M10" i="92"/>
  <c r="N10" i="92"/>
  <c r="O10" i="92"/>
  <c r="L11" i="92"/>
  <c r="M11" i="92"/>
  <c r="N11" i="92"/>
  <c r="O11" i="92"/>
  <c r="L12" i="92"/>
  <c r="M12" i="92"/>
  <c r="N12" i="92"/>
  <c r="O12" i="92"/>
  <c r="L13" i="92"/>
  <c r="M13" i="92"/>
  <c r="N13" i="92"/>
  <c r="O13" i="92"/>
  <c r="L14" i="92"/>
  <c r="M14" i="92"/>
  <c r="N14" i="92"/>
  <c r="O14" i="92"/>
  <c r="L15" i="92"/>
  <c r="M15" i="92"/>
  <c r="N15" i="92"/>
  <c r="O15" i="92"/>
  <c r="L16" i="92"/>
  <c r="M16" i="92"/>
  <c r="N16" i="92"/>
  <c r="O16" i="92"/>
  <c r="L17" i="92"/>
  <c r="M17" i="92"/>
  <c r="N17" i="92"/>
  <c r="O17" i="92"/>
  <c r="L18" i="92"/>
  <c r="M18" i="92"/>
  <c r="N18" i="92"/>
  <c r="O18" i="92"/>
  <c r="L19" i="92"/>
  <c r="M19" i="92"/>
  <c r="N19" i="92"/>
  <c r="O19" i="92"/>
  <c r="L20" i="92"/>
  <c r="M20" i="92"/>
  <c r="N20" i="92"/>
  <c r="O20" i="92"/>
  <c r="L21" i="92"/>
  <c r="M21" i="92"/>
  <c r="N21" i="92"/>
  <c r="O21" i="92"/>
  <c r="L22" i="92"/>
  <c r="M22" i="92"/>
  <c r="N22" i="92"/>
  <c r="O22" i="92"/>
  <c r="L23" i="92"/>
  <c r="M23" i="92"/>
  <c r="N23" i="92"/>
  <c r="O23" i="92"/>
  <c r="L24" i="92"/>
  <c r="M24" i="92"/>
  <c r="N24" i="92"/>
  <c r="O24" i="92"/>
  <c r="L25" i="92"/>
  <c r="M25" i="92"/>
  <c r="N25" i="92"/>
  <c r="O25" i="92"/>
  <c r="L26" i="92"/>
  <c r="M26" i="92"/>
  <c r="N26" i="92"/>
  <c r="O26" i="92"/>
  <c r="L27" i="92"/>
  <c r="M27" i="92"/>
  <c r="N27" i="92"/>
  <c r="O27" i="92"/>
  <c r="L28" i="92"/>
  <c r="M28" i="92"/>
  <c r="N28" i="92"/>
  <c r="O28" i="92"/>
  <c r="L29" i="92"/>
  <c r="M29" i="92"/>
  <c r="N29" i="92"/>
  <c r="O29" i="92"/>
  <c r="L30" i="92"/>
  <c r="M30" i="92"/>
  <c r="N30" i="92"/>
  <c r="O30" i="92"/>
  <c r="L31" i="92"/>
  <c r="M31" i="92"/>
  <c r="N31" i="92"/>
  <c r="O31" i="92"/>
  <c r="L32" i="92"/>
  <c r="M32" i="92"/>
  <c r="N32" i="92"/>
  <c r="O32" i="92"/>
  <c r="L33" i="92"/>
  <c r="M33" i="92"/>
  <c r="N33" i="92"/>
  <c r="O33" i="92"/>
  <c r="L34" i="92"/>
  <c r="M34" i="92"/>
  <c r="N34" i="92"/>
  <c r="O34" i="92"/>
  <c r="L35" i="92"/>
  <c r="M35" i="92"/>
  <c r="N35" i="92"/>
  <c r="O35" i="92"/>
  <c r="L36" i="92"/>
  <c r="M36" i="92"/>
  <c r="N36" i="92"/>
  <c r="O36" i="92"/>
  <c r="L37" i="92"/>
  <c r="M37" i="92"/>
  <c r="N37" i="92"/>
  <c r="O37" i="92"/>
  <c r="L38" i="92"/>
  <c r="M38" i="92"/>
  <c r="N38" i="92"/>
  <c r="O38" i="92"/>
  <c r="L39" i="92"/>
  <c r="M39" i="92"/>
  <c r="N39" i="92"/>
  <c r="O39" i="92"/>
  <c r="L40" i="92"/>
  <c r="M40" i="92"/>
  <c r="N40" i="92"/>
  <c r="O40" i="92"/>
  <c r="L41" i="92"/>
  <c r="M41" i="92"/>
  <c r="N41" i="92"/>
  <c r="O41" i="92"/>
  <c r="L42" i="92"/>
  <c r="M42" i="92"/>
  <c r="N42" i="92"/>
  <c r="O42" i="92"/>
  <c r="L43" i="92"/>
  <c r="M43" i="92"/>
  <c r="N43" i="92"/>
  <c r="O43" i="92"/>
  <c r="L44" i="92"/>
  <c r="M44" i="92"/>
  <c r="N44" i="92"/>
  <c r="O44" i="92"/>
  <c r="L45" i="92"/>
  <c r="M45" i="92"/>
  <c r="N45" i="92"/>
  <c r="O45" i="92"/>
  <c r="L46" i="92"/>
  <c r="M46" i="92"/>
  <c r="N46" i="92"/>
  <c r="O46" i="92"/>
  <c r="L47" i="92"/>
  <c r="M47" i="92"/>
  <c r="N47" i="92"/>
  <c r="O47" i="92"/>
  <c r="O8" i="92"/>
  <c r="N8" i="92"/>
  <c r="M8" i="92"/>
  <c r="L8" i="92"/>
  <c r="N9" i="91"/>
  <c r="O9" i="91"/>
  <c r="P9" i="91"/>
  <c r="N10" i="91"/>
  <c r="O10" i="91"/>
  <c r="P10" i="91"/>
  <c r="N11" i="91"/>
  <c r="O11" i="91"/>
  <c r="P11" i="91"/>
  <c r="N12" i="91"/>
  <c r="O12" i="91"/>
  <c r="P12" i="91"/>
  <c r="N13" i="91"/>
  <c r="O13" i="91"/>
  <c r="P13" i="91"/>
  <c r="N14" i="91"/>
  <c r="O14" i="91"/>
  <c r="P14" i="91"/>
  <c r="N15" i="91"/>
  <c r="O15" i="91"/>
  <c r="P15" i="91"/>
  <c r="N16" i="91"/>
  <c r="O16" i="91"/>
  <c r="P16" i="91"/>
  <c r="N17" i="91"/>
  <c r="O17" i="91"/>
  <c r="P17" i="91"/>
  <c r="N18" i="91"/>
  <c r="O18" i="91"/>
  <c r="P18" i="91"/>
  <c r="N19" i="91"/>
  <c r="O19" i="91"/>
  <c r="P19" i="91"/>
  <c r="N20" i="91"/>
  <c r="O20" i="91"/>
  <c r="P20" i="91"/>
  <c r="N21" i="91"/>
  <c r="O21" i="91"/>
  <c r="P21" i="91"/>
  <c r="N22" i="91"/>
  <c r="O22" i="91"/>
  <c r="P22" i="91"/>
  <c r="N23" i="91"/>
  <c r="O23" i="91"/>
  <c r="P23" i="91"/>
  <c r="N24" i="91"/>
  <c r="O24" i="91"/>
  <c r="P24" i="91"/>
  <c r="N25" i="91"/>
  <c r="O25" i="91"/>
  <c r="P25" i="91"/>
  <c r="N26" i="91"/>
  <c r="O26" i="91"/>
  <c r="P26" i="91"/>
  <c r="N27" i="91"/>
  <c r="O27" i="91"/>
  <c r="P27" i="91"/>
  <c r="N28" i="91"/>
  <c r="O28" i="91"/>
  <c r="P28" i="91"/>
  <c r="N29" i="91"/>
  <c r="O29" i="91"/>
  <c r="P29" i="91"/>
  <c r="N30" i="91"/>
  <c r="O30" i="91"/>
  <c r="P30" i="91"/>
  <c r="N31" i="91"/>
  <c r="O31" i="91"/>
  <c r="P31" i="91"/>
  <c r="N32" i="91"/>
  <c r="O32" i="91"/>
  <c r="P32" i="91"/>
  <c r="N33" i="91"/>
  <c r="O33" i="91"/>
  <c r="P33" i="91"/>
  <c r="N34" i="91"/>
  <c r="O34" i="91"/>
  <c r="P34" i="91"/>
  <c r="N35" i="91"/>
  <c r="O35" i="91"/>
  <c r="P35" i="91"/>
  <c r="N36" i="91"/>
  <c r="O36" i="91"/>
  <c r="P36" i="91"/>
  <c r="N37" i="91"/>
  <c r="O37" i="91"/>
  <c r="P37" i="91"/>
  <c r="N38" i="91"/>
  <c r="O38" i="91"/>
  <c r="P38" i="91"/>
  <c r="N39" i="91"/>
  <c r="O39" i="91"/>
  <c r="P39" i="91"/>
  <c r="N40" i="91"/>
  <c r="O40" i="91"/>
  <c r="P40" i="91"/>
  <c r="N41" i="91"/>
  <c r="O41" i="91"/>
  <c r="P41" i="91"/>
  <c r="N42" i="91"/>
  <c r="O42" i="91"/>
  <c r="P42" i="91"/>
  <c r="N43" i="91"/>
  <c r="O43" i="91"/>
  <c r="P43" i="91"/>
  <c r="N44" i="91"/>
  <c r="O44" i="91"/>
  <c r="P44" i="91"/>
  <c r="N45" i="91"/>
  <c r="O45" i="91"/>
  <c r="P45" i="91"/>
  <c r="N46" i="91"/>
  <c r="O46" i="91"/>
  <c r="P46" i="91"/>
  <c r="N47" i="91"/>
  <c r="O47" i="91"/>
  <c r="P47" i="91"/>
  <c r="O8" i="91"/>
  <c r="N8" i="91"/>
  <c r="M8" i="91"/>
  <c r="M11" i="75"/>
  <c r="F14" i="94" s="1"/>
  <c r="N11" i="75"/>
  <c r="O11" i="75"/>
  <c r="P11" i="75"/>
  <c r="M12" i="75"/>
  <c r="F20" i="94" s="1"/>
  <c r="N12" i="75"/>
  <c r="O12" i="75"/>
  <c r="P12" i="75"/>
  <c r="M13" i="75"/>
  <c r="F26" i="94" s="1"/>
  <c r="N13" i="75"/>
  <c r="O13" i="75"/>
  <c r="P13" i="75"/>
  <c r="M14" i="75"/>
  <c r="F32" i="94" s="1"/>
  <c r="N14" i="75"/>
  <c r="O14" i="75"/>
  <c r="P14" i="75"/>
  <c r="M15" i="75"/>
  <c r="F38" i="94" s="1"/>
  <c r="N15" i="75"/>
  <c r="O15" i="75"/>
  <c r="P15" i="75"/>
  <c r="M16" i="75"/>
  <c r="F44" i="94" s="1"/>
  <c r="N16" i="75"/>
  <c r="O16" i="75"/>
  <c r="P16" i="75"/>
  <c r="M17" i="75"/>
  <c r="F50" i="94" s="1"/>
  <c r="N17" i="75"/>
  <c r="O17" i="75"/>
  <c r="P17" i="75"/>
  <c r="M18" i="75"/>
  <c r="F56" i="94" s="1"/>
  <c r="N18" i="75"/>
  <c r="O18" i="75"/>
  <c r="P18" i="75"/>
  <c r="M19" i="75"/>
  <c r="F62" i="94" s="1"/>
  <c r="N19" i="75"/>
  <c r="O19" i="75"/>
  <c r="P19" i="75"/>
  <c r="M20" i="75"/>
  <c r="F68" i="94" s="1"/>
  <c r="H68" i="94" s="1"/>
  <c r="N20" i="75"/>
  <c r="O20" i="75"/>
  <c r="P20" i="75"/>
  <c r="M21" i="75"/>
  <c r="F74" i="94" s="1"/>
  <c r="H74" i="94" s="1"/>
  <c r="N21" i="75"/>
  <c r="O21" i="75"/>
  <c r="P21" i="75"/>
  <c r="M22" i="75"/>
  <c r="F80" i="94" s="1"/>
  <c r="H80" i="94" s="1"/>
  <c r="N22" i="75"/>
  <c r="O22" i="75"/>
  <c r="P22" i="75"/>
  <c r="M23" i="75"/>
  <c r="F86" i="94" s="1"/>
  <c r="H86" i="94" s="1"/>
  <c r="N23" i="75"/>
  <c r="O23" i="75"/>
  <c r="P23" i="75"/>
  <c r="M24" i="75"/>
  <c r="F92" i="94" s="1"/>
  <c r="H92" i="94" s="1"/>
  <c r="N24" i="75"/>
  <c r="O24" i="75"/>
  <c r="P24" i="75"/>
  <c r="M25" i="75"/>
  <c r="F98" i="94" s="1"/>
  <c r="H98" i="94" s="1"/>
  <c r="N25" i="75"/>
  <c r="O25" i="75"/>
  <c r="P25" i="75"/>
  <c r="M26" i="75"/>
  <c r="F104" i="94" s="1"/>
  <c r="H104" i="94" s="1"/>
  <c r="N26" i="75"/>
  <c r="O26" i="75"/>
  <c r="P26" i="75"/>
  <c r="M27" i="75"/>
  <c r="F110" i="94" s="1"/>
  <c r="H110" i="94" s="1"/>
  <c r="N27" i="75"/>
  <c r="O27" i="75"/>
  <c r="P27" i="75"/>
  <c r="M28" i="75"/>
  <c r="F116" i="94" s="1"/>
  <c r="H116" i="94" s="1"/>
  <c r="N28" i="75"/>
  <c r="O28" i="75"/>
  <c r="P28" i="75"/>
  <c r="M29" i="75"/>
  <c r="F122" i="94" s="1"/>
  <c r="H122" i="94" s="1"/>
  <c r="N29" i="75"/>
  <c r="O29" i="75"/>
  <c r="P29" i="75"/>
  <c r="M30" i="75"/>
  <c r="F128" i="94" s="1"/>
  <c r="H128" i="94" s="1"/>
  <c r="N30" i="75"/>
  <c r="O30" i="75"/>
  <c r="P30" i="75"/>
  <c r="M31" i="75"/>
  <c r="F134" i="94" s="1"/>
  <c r="N31" i="75"/>
  <c r="O31" i="75"/>
  <c r="P31" i="75"/>
  <c r="M32" i="75"/>
  <c r="F140" i="94" s="1"/>
  <c r="H140" i="94" s="1"/>
  <c r="N32" i="75"/>
  <c r="O32" i="75"/>
  <c r="P32" i="75"/>
  <c r="M33" i="75"/>
  <c r="F146" i="94" s="1"/>
  <c r="N33" i="75"/>
  <c r="O33" i="75"/>
  <c r="P33" i="75"/>
  <c r="M34" i="75"/>
  <c r="F152" i="94" s="1"/>
  <c r="H152" i="94" s="1"/>
  <c r="N34" i="75"/>
  <c r="O34" i="75"/>
  <c r="P34" i="75"/>
  <c r="M35" i="75"/>
  <c r="F158" i="94" s="1"/>
  <c r="N35" i="75"/>
  <c r="O35" i="75"/>
  <c r="P35" i="75"/>
  <c r="M36" i="75"/>
  <c r="F164" i="94" s="1"/>
  <c r="H164" i="94" s="1"/>
  <c r="N36" i="75"/>
  <c r="O36" i="75"/>
  <c r="P36" i="75"/>
  <c r="M37" i="75"/>
  <c r="F170" i="94" s="1"/>
  <c r="N37" i="75"/>
  <c r="O37" i="75"/>
  <c r="P37" i="75"/>
  <c r="M38" i="75"/>
  <c r="F176" i="94" s="1"/>
  <c r="N38" i="75"/>
  <c r="O38" i="75"/>
  <c r="P38" i="75"/>
  <c r="M39" i="75"/>
  <c r="F182" i="94" s="1"/>
  <c r="H182" i="94" s="1"/>
  <c r="N39" i="75"/>
  <c r="O39" i="75"/>
  <c r="P39" i="75"/>
  <c r="M40" i="75"/>
  <c r="F188" i="94" s="1"/>
  <c r="H188" i="94" s="1"/>
  <c r="N40" i="75"/>
  <c r="O40" i="75"/>
  <c r="P40" i="75"/>
  <c r="M41" i="75"/>
  <c r="F194" i="94" s="1"/>
  <c r="H194" i="94" s="1"/>
  <c r="N41" i="75"/>
  <c r="O41" i="75"/>
  <c r="P41" i="75"/>
  <c r="M42" i="75"/>
  <c r="F200" i="94" s="1"/>
  <c r="N42" i="75"/>
  <c r="O42" i="75"/>
  <c r="P42" i="75"/>
  <c r="M43" i="75"/>
  <c r="F206" i="94" s="1"/>
  <c r="N43" i="75"/>
  <c r="O43" i="75"/>
  <c r="P43" i="75"/>
  <c r="M44" i="75"/>
  <c r="F212" i="94" s="1"/>
  <c r="H212" i="94" s="1"/>
  <c r="N44" i="75"/>
  <c r="O44" i="75"/>
  <c r="P44" i="75"/>
  <c r="M45" i="75"/>
  <c r="F218" i="94" s="1"/>
  <c r="N45" i="75"/>
  <c r="O45" i="75"/>
  <c r="P45" i="75"/>
  <c r="M46" i="75"/>
  <c r="F224" i="94" s="1"/>
  <c r="H224" i="94" s="1"/>
  <c r="N46" i="75"/>
  <c r="O46" i="75"/>
  <c r="P46" i="75"/>
  <c r="M47" i="75"/>
  <c r="F230" i="94" s="1"/>
  <c r="N47" i="75"/>
  <c r="O47" i="75"/>
  <c r="P47" i="75"/>
  <c r="M48" i="75"/>
  <c r="F236" i="94" s="1"/>
  <c r="N48" i="75"/>
  <c r="O48" i="75"/>
  <c r="P48" i="75"/>
  <c r="M49" i="75"/>
  <c r="F242" i="94" s="1"/>
  <c r="H242" i="94" s="1"/>
  <c r="N49" i="75"/>
  <c r="O49" i="75"/>
  <c r="P49" i="75"/>
  <c r="P10" i="75"/>
  <c r="O10" i="75"/>
  <c r="N10" i="75"/>
  <c r="M10" i="75"/>
  <c r="F8" i="94" s="1"/>
  <c r="M9" i="90"/>
  <c r="N9" i="90"/>
  <c r="O9" i="90"/>
  <c r="M10" i="90"/>
  <c r="N10" i="90"/>
  <c r="O10" i="90"/>
  <c r="M11" i="90"/>
  <c r="N11" i="90"/>
  <c r="O11" i="90"/>
  <c r="M12" i="90"/>
  <c r="N12" i="90"/>
  <c r="O12" i="90"/>
  <c r="M13" i="90"/>
  <c r="N13" i="90"/>
  <c r="O13" i="90"/>
  <c r="M14" i="90"/>
  <c r="N14" i="90"/>
  <c r="O14" i="90"/>
  <c r="M15" i="90"/>
  <c r="N15" i="90"/>
  <c r="O15" i="90"/>
  <c r="M16" i="90"/>
  <c r="N16" i="90"/>
  <c r="O16" i="90"/>
  <c r="M17" i="90"/>
  <c r="N17" i="90"/>
  <c r="O17" i="90"/>
  <c r="M18" i="90"/>
  <c r="N18" i="90"/>
  <c r="O18" i="90"/>
  <c r="M19" i="90"/>
  <c r="N19" i="90"/>
  <c r="O19" i="90"/>
  <c r="M20" i="90"/>
  <c r="N20" i="90"/>
  <c r="O20" i="90"/>
  <c r="M21" i="90"/>
  <c r="N21" i="90"/>
  <c r="O21" i="90"/>
  <c r="M22" i="90"/>
  <c r="N22" i="90"/>
  <c r="O22" i="90"/>
  <c r="M23" i="90"/>
  <c r="N23" i="90"/>
  <c r="O23" i="90"/>
  <c r="M24" i="90"/>
  <c r="N24" i="90"/>
  <c r="O24" i="90"/>
  <c r="M25" i="90"/>
  <c r="N25" i="90"/>
  <c r="O25" i="90"/>
  <c r="M26" i="90"/>
  <c r="N26" i="90"/>
  <c r="O26" i="90"/>
  <c r="M27" i="90"/>
  <c r="N27" i="90"/>
  <c r="O27" i="90"/>
  <c r="M28" i="90"/>
  <c r="N28" i="90"/>
  <c r="O28" i="90"/>
  <c r="M29" i="90"/>
  <c r="N29" i="90"/>
  <c r="O29" i="90"/>
  <c r="M30" i="90"/>
  <c r="N30" i="90"/>
  <c r="O30" i="90"/>
  <c r="M31" i="90"/>
  <c r="N31" i="90"/>
  <c r="O31" i="90"/>
  <c r="M32" i="90"/>
  <c r="N32" i="90"/>
  <c r="O32" i="90"/>
  <c r="M33" i="90"/>
  <c r="N33" i="90"/>
  <c r="O33" i="90"/>
  <c r="M34" i="90"/>
  <c r="N34" i="90"/>
  <c r="O34" i="90"/>
  <c r="M35" i="90"/>
  <c r="N35" i="90"/>
  <c r="O35" i="90"/>
  <c r="M36" i="90"/>
  <c r="N36" i="90"/>
  <c r="O36" i="90"/>
  <c r="M37" i="90"/>
  <c r="N37" i="90"/>
  <c r="O37" i="90"/>
  <c r="M38" i="90"/>
  <c r="N38" i="90"/>
  <c r="O38" i="90"/>
  <c r="M39" i="90"/>
  <c r="N39" i="90"/>
  <c r="O39" i="90"/>
  <c r="M40" i="90"/>
  <c r="N40" i="90"/>
  <c r="O40" i="90"/>
  <c r="M41" i="90"/>
  <c r="N41" i="90"/>
  <c r="O41" i="90"/>
  <c r="M42" i="90"/>
  <c r="N42" i="90"/>
  <c r="O42" i="90"/>
  <c r="M43" i="90"/>
  <c r="N43" i="90"/>
  <c r="O43" i="90"/>
  <c r="M44" i="90"/>
  <c r="N44" i="90"/>
  <c r="O44" i="90"/>
  <c r="M45" i="90"/>
  <c r="N45" i="90"/>
  <c r="O45" i="90"/>
  <c r="M46" i="90"/>
  <c r="N46" i="90"/>
  <c r="O46" i="90"/>
  <c r="M47" i="90"/>
  <c r="N47" i="90"/>
  <c r="O47" i="90"/>
  <c r="O8" i="90"/>
  <c r="N8" i="90"/>
  <c r="M8" i="90"/>
  <c r="L9" i="90"/>
  <c r="L10" i="90"/>
  <c r="L11" i="90"/>
  <c r="L12" i="90"/>
  <c r="L13" i="90"/>
  <c r="L14" i="90"/>
  <c r="L15" i="90"/>
  <c r="L16" i="90"/>
  <c r="L17" i="90"/>
  <c r="L18" i="90"/>
  <c r="L19" i="90"/>
  <c r="L20" i="90"/>
  <c r="L21" i="90"/>
  <c r="L22" i="90"/>
  <c r="L23" i="90"/>
  <c r="L24" i="90"/>
  <c r="L25" i="90"/>
  <c r="L26" i="90"/>
  <c r="L27" i="90"/>
  <c r="L28" i="90"/>
  <c r="L29" i="90"/>
  <c r="L30" i="90"/>
  <c r="L31" i="90"/>
  <c r="L32" i="90"/>
  <c r="L33" i="90"/>
  <c r="L34" i="90"/>
  <c r="L35" i="90"/>
  <c r="L36" i="90"/>
  <c r="L37" i="90"/>
  <c r="L38" i="90"/>
  <c r="L39" i="90"/>
  <c r="L40" i="90"/>
  <c r="L41" i="90"/>
  <c r="L42" i="90"/>
  <c r="L43" i="90"/>
  <c r="L44" i="90"/>
  <c r="L45" i="90"/>
  <c r="L46" i="90"/>
  <c r="L47" i="90"/>
  <c r="L8" i="90"/>
  <c r="G9" i="94" s="1"/>
  <c r="AU10" i="67"/>
  <c r="AU11" i="67"/>
  <c r="AU12" i="67"/>
  <c r="AU13" i="67"/>
  <c r="AU14" i="67"/>
  <c r="AU15" i="67"/>
  <c r="AU16" i="67"/>
  <c r="AU17" i="67"/>
  <c r="AU18" i="67"/>
  <c r="AU19" i="67"/>
  <c r="AU20" i="67"/>
  <c r="AU21" i="67"/>
  <c r="AU22" i="67"/>
  <c r="AU23" i="67"/>
  <c r="AU24" i="67"/>
  <c r="AU25" i="67"/>
  <c r="AU26" i="67"/>
  <c r="AU27" i="67"/>
  <c r="AU28" i="67"/>
  <c r="AU29" i="67"/>
  <c r="AU30" i="67"/>
  <c r="AU31" i="67"/>
  <c r="AU32" i="67"/>
  <c r="AU33" i="67"/>
  <c r="AU34" i="67"/>
  <c r="AU35" i="67"/>
  <c r="AU36" i="67"/>
  <c r="AU37" i="67"/>
  <c r="AU38" i="67"/>
  <c r="AU39" i="67"/>
  <c r="AU40" i="67"/>
  <c r="AU41" i="67"/>
  <c r="AU42" i="67"/>
  <c r="AU43" i="67"/>
  <c r="AU44" i="67"/>
  <c r="AU45" i="67"/>
  <c r="AU46" i="67"/>
  <c r="AU47" i="67"/>
  <c r="AU48" i="67"/>
  <c r="AU9" i="67"/>
  <c r="AR10" i="67"/>
  <c r="AS10" i="67"/>
  <c r="AT10" i="67" s="1"/>
  <c r="AR11" i="67"/>
  <c r="AS11" i="67"/>
  <c r="AT11" i="67" s="1"/>
  <c r="AR12" i="67"/>
  <c r="AS12" i="67"/>
  <c r="AR13" i="67"/>
  <c r="AS13" i="67"/>
  <c r="AT13" i="67"/>
  <c r="AR14" i="67"/>
  <c r="AS14" i="67"/>
  <c r="AT14" i="67" s="1"/>
  <c r="AR15" i="67"/>
  <c r="AT15" i="67" s="1"/>
  <c r="AS15" i="67"/>
  <c r="AR16" i="67"/>
  <c r="AS16" i="67"/>
  <c r="AR17" i="67"/>
  <c r="AT17" i="67" s="1"/>
  <c r="AS17" i="67"/>
  <c r="AR18" i="67"/>
  <c r="AS18" i="67"/>
  <c r="AT18" i="67" s="1"/>
  <c r="AR19" i="67"/>
  <c r="AS19" i="67"/>
  <c r="AT19" i="67" s="1"/>
  <c r="AR20" i="67"/>
  <c r="AS20" i="67"/>
  <c r="AR21" i="67"/>
  <c r="AS21" i="67"/>
  <c r="AT21" i="67"/>
  <c r="AR22" i="67"/>
  <c r="AS22" i="67"/>
  <c r="AT22" i="67" s="1"/>
  <c r="AR23" i="67"/>
  <c r="AT23" i="67" s="1"/>
  <c r="AS23" i="67"/>
  <c r="AR24" i="67"/>
  <c r="AS24" i="67"/>
  <c r="AR25" i="67"/>
  <c r="AT25" i="67" s="1"/>
  <c r="AS25" i="67"/>
  <c r="AR26" i="67"/>
  <c r="AS26" i="67"/>
  <c r="AT26" i="67" s="1"/>
  <c r="AR27" i="67"/>
  <c r="AS27" i="67"/>
  <c r="AT27" i="67" s="1"/>
  <c r="AR28" i="67"/>
  <c r="AS28" i="67"/>
  <c r="AR29" i="67"/>
  <c r="AS29" i="67"/>
  <c r="AT29" i="67"/>
  <c r="AR30" i="67"/>
  <c r="AS30" i="67"/>
  <c r="AT30" i="67" s="1"/>
  <c r="AR31" i="67"/>
  <c r="AT31" i="67" s="1"/>
  <c r="AS31" i="67"/>
  <c r="AR32" i="67"/>
  <c r="AS32" i="67"/>
  <c r="AR33" i="67"/>
  <c r="AT33" i="67" s="1"/>
  <c r="AS33" i="67"/>
  <c r="AR34" i="67"/>
  <c r="AS34" i="67"/>
  <c r="AT34" i="67" s="1"/>
  <c r="AR35" i="67"/>
  <c r="AS35" i="67"/>
  <c r="AT35" i="67" s="1"/>
  <c r="AR36" i="67"/>
  <c r="AS36" i="67"/>
  <c r="AR37" i="67"/>
  <c r="AS37" i="67"/>
  <c r="AT37" i="67"/>
  <c r="AR38" i="67"/>
  <c r="AS38" i="67"/>
  <c r="AT38" i="67" s="1"/>
  <c r="AR39" i="67"/>
  <c r="AS39" i="67"/>
  <c r="AR40" i="67"/>
  <c r="AS40" i="67"/>
  <c r="AR41" i="67"/>
  <c r="AT41" i="67" s="1"/>
  <c r="AS41" i="67"/>
  <c r="AR42" i="67"/>
  <c r="AS42" i="67"/>
  <c r="AT42" i="67" s="1"/>
  <c r="AR43" i="67"/>
  <c r="AS43" i="67"/>
  <c r="AT43" i="67" s="1"/>
  <c r="AR44" i="67"/>
  <c r="AS44" i="67"/>
  <c r="AR45" i="67"/>
  <c r="AS45" i="67"/>
  <c r="AT45" i="67"/>
  <c r="AR46" i="67"/>
  <c r="AS46" i="67"/>
  <c r="AT46" i="67" s="1"/>
  <c r="AR47" i="67"/>
  <c r="AS47" i="67"/>
  <c r="AR48" i="67"/>
  <c r="AS48" i="67"/>
  <c r="AT9" i="67"/>
  <c r="AS9" i="67"/>
  <c r="AR9" i="67"/>
  <c r="AM10" i="67"/>
  <c r="AN10" i="67"/>
  <c r="AQ10" i="67" s="1"/>
  <c r="AO10" i="67"/>
  <c r="AP10" i="67"/>
  <c r="AM11" i="67"/>
  <c r="AN11" i="67"/>
  <c r="AO11" i="67"/>
  <c r="AP11" i="67"/>
  <c r="AM12" i="67"/>
  <c r="AN12" i="67"/>
  <c r="AO12" i="67"/>
  <c r="AQ12" i="67" s="1"/>
  <c r="AP12" i="67"/>
  <c r="AM13" i="67"/>
  <c r="AN13" i="67"/>
  <c r="AQ13" i="67" s="1"/>
  <c r="AO13" i="67"/>
  <c r="AP13" i="67"/>
  <c r="AM14" i="67"/>
  <c r="AN14" i="67"/>
  <c r="AQ14" i="67" s="1"/>
  <c r="AO14" i="67"/>
  <c r="AP14" i="67"/>
  <c r="AM15" i="67"/>
  <c r="AN15" i="67"/>
  <c r="AO15" i="67"/>
  <c r="AP15" i="67"/>
  <c r="AM16" i="67"/>
  <c r="AN16" i="67"/>
  <c r="AO16" i="67"/>
  <c r="AP16" i="67"/>
  <c r="AQ16" i="67"/>
  <c r="AM17" i="67"/>
  <c r="AN17" i="67"/>
  <c r="AO17" i="67"/>
  <c r="AP17" i="67"/>
  <c r="AM18" i="67"/>
  <c r="AN18" i="67"/>
  <c r="AO18" i="67"/>
  <c r="AP18" i="67"/>
  <c r="AM19" i="67"/>
  <c r="AN19" i="67"/>
  <c r="AO19" i="67"/>
  <c r="AP19" i="67"/>
  <c r="AM20" i="67"/>
  <c r="AN20" i="67"/>
  <c r="AO20" i="67"/>
  <c r="AP20" i="67"/>
  <c r="AQ20" i="67"/>
  <c r="AM21" i="67"/>
  <c r="AN21" i="67"/>
  <c r="AO21" i="67"/>
  <c r="AP21" i="67"/>
  <c r="AM22" i="67"/>
  <c r="AN22" i="67"/>
  <c r="AO22" i="67"/>
  <c r="AP22" i="67"/>
  <c r="AM23" i="67"/>
  <c r="AN23" i="67"/>
  <c r="AO23" i="67"/>
  <c r="AP23" i="67"/>
  <c r="AM24" i="67"/>
  <c r="AN24" i="67"/>
  <c r="AO24" i="67"/>
  <c r="AQ24" i="67" s="1"/>
  <c r="AP24" i="67"/>
  <c r="AM25" i="67"/>
  <c r="AN25" i="67"/>
  <c r="AQ25" i="67" s="1"/>
  <c r="AO25" i="67"/>
  <c r="AP25" i="67"/>
  <c r="AM26" i="67"/>
  <c r="AN26" i="67"/>
  <c r="AQ26" i="67" s="1"/>
  <c r="AO26" i="67"/>
  <c r="AP26" i="67"/>
  <c r="AM27" i="67"/>
  <c r="AN27" i="67"/>
  <c r="AO27" i="67"/>
  <c r="AP27" i="67"/>
  <c r="AM28" i="67"/>
  <c r="AN28" i="67"/>
  <c r="AO28" i="67"/>
  <c r="AQ28" i="67" s="1"/>
  <c r="AP28" i="67"/>
  <c r="AM29" i="67"/>
  <c r="AN29" i="67"/>
  <c r="AQ29" i="67" s="1"/>
  <c r="AO29" i="67"/>
  <c r="AP29" i="67"/>
  <c r="AM30" i="67"/>
  <c r="AN30" i="67"/>
  <c r="AQ30" i="67" s="1"/>
  <c r="AO30" i="67"/>
  <c r="AP30" i="67"/>
  <c r="AM31" i="67"/>
  <c r="AN31" i="67"/>
  <c r="AO31" i="67"/>
  <c r="AP31" i="67"/>
  <c r="AM32" i="67"/>
  <c r="AN32" i="67"/>
  <c r="AO32" i="67"/>
  <c r="AP32" i="67"/>
  <c r="AQ32" i="67"/>
  <c r="AM33" i="67"/>
  <c r="AN33" i="67"/>
  <c r="AO33" i="67"/>
  <c r="AP33" i="67"/>
  <c r="AM34" i="67"/>
  <c r="AN34" i="67"/>
  <c r="AO34" i="67"/>
  <c r="AP34" i="67"/>
  <c r="AM35" i="67"/>
  <c r="AN35" i="67"/>
  <c r="AO35" i="67"/>
  <c r="AP35" i="67"/>
  <c r="AM36" i="67"/>
  <c r="AN36" i="67"/>
  <c r="AO36" i="67"/>
  <c r="AP36" i="67"/>
  <c r="AQ36" i="67"/>
  <c r="AM37" i="67"/>
  <c r="AN37" i="67"/>
  <c r="AO37" i="67"/>
  <c r="AP37" i="67"/>
  <c r="AM38" i="67"/>
  <c r="AN38" i="67"/>
  <c r="AO38" i="67"/>
  <c r="AP38" i="67"/>
  <c r="AM39" i="67"/>
  <c r="AN39" i="67"/>
  <c r="AO39" i="67"/>
  <c r="AP39" i="67"/>
  <c r="AM40" i="67"/>
  <c r="AN40" i="67"/>
  <c r="AO40" i="67"/>
  <c r="AQ40" i="67" s="1"/>
  <c r="AP40" i="67"/>
  <c r="AM41" i="67"/>
  <c r="AN41" i="67"/>
  <c r="AQ41" i="67" s="1"/>
  <c r="AO41" i="67"/>
  <c r="AP41" i="67"/>
  <c r="AM42" i="67"/>
  <c r="AN42" i="67"/>
  <c r="AQ42" i="67" s="1"/>
  <c r="AO42" i="67"/>
  <c r="AP42" i="67"/>
  <c r="AM43" i="67"/>
  <c r="AN43" i="67"/>
  <c r="AO43" i="67"/>
  <c r="AP43" i="67"/>
  <c r="AM44" i="67"/>
  <c r="AN44" i="67"/>
  <c r="AO44" i="67"/>
  <c r="AQ44" i="67" s="1"/>
  <c r="AP44" i="67"/>
  <c r="AM45" i="67"/>
  <c r="AN45" i="67"/>
  <c r="AQ45" i="67" s="1"/>
  <c r="AO45" i="67"/>
  <c r="AP45" i="67"/>
  <c r="AM46" i="67"/>
  <c r="AN46" i="67"/>
  <c r="AQ46" i="67" s="1"/>
  <c r="AO46" i="67"/>
  <c r="AP46" i="67"/>
  <c r="AM47" i="67"/>
  <c r="AN47" i="67"/>
  <c r="AO47" i="67"/>
  <c r="AP47" i="67"/>
  <c r="AM48" i="67"/>
  <c r="AN48" i="67"/>
  <c r="AO48" i="67"/>
  <c r="AP48" i="67"/>
  <c r="AQ48" i="67"/>
  <c r="AK17" i="67"/>
  <c r="AH18" i="67"/>
  <c r="AH22" i="67"/>
  <c r="AO9" i="67"/>
  <c r="AP9" i="67"/>
  <c r="AN9" i="67"/>
  <c r="AM9" i="67"/>
  <c r="AD10" i="67"/>
  <c r="AE10" i="67"/>
  <c r="AF10" i="67"/>
  <c r="AG10" i="67"/>
  <c r="AI10" i="67"/>
  <c r="AJ10" i="67"/>
  <c r="AL10" i="67"/>
  <c r="AD11" i="67"/>
  <c r="AE11" i="67"/>
  <c r="AH11" i="67" s="1"/>
  <c r="AF11" i="67"/>
  <c r="AG11" i="67"/>
  <c r="AI11" i="67"/>
  <c r="AJ11" i="67"/>
  <c r="AK11" i="67" s="1"/>
  <c r="AL11" i="67"/>
  <c r="AD12" i="67"/>
  <c r="AE12" i="67"/>
  <c r="AF12" i="67"/>
  <c r="AH12" i="67" s="1"/>
  <c r="AG12" i="67"/>
  <c r="AI12" i="67"/>
  <c r="AK12" i="67" s="1"/>
  <c r="AJ12" i="67"/>
  <c r="AL12" i="67"/>
  <c r="AD13" i="67"/>
  <c r="AE13" i="67"/>
  <c r="AF13" i="67"/>
  <c r="AG13" i="67"/>
  <c r="AI13" i="67"/>
  <c r="AK13" i="67" s="1"/>
  <c r="AJ13" i="67"/>
  <c r="AL13" i="67"/>
  <c r="AD14" i="67"/>
  <c r="AE14" i="67"/>
  <c r="AH14" i="67" s="1"/>
  <c r="AF14" i="67"/>
  <c r="AG14" i="67"/>
  <c r="AI14" i="67"/>
  <c r="AK14" i="67" s="1"/>
  <c r="AJ14" i="67"/>
  <c r="AL14" i="67"/>
  <c r="AD15" i="67"/>
  <c r="AE15" i="67"/>
  <c r="AH15" i="67" s="1"/>
  <c r="AF15" i="67"/>
  <c r="AG15" i="67"/>
  <c r="AI15" i="67"/>
  <c r="AJ15" i="67"/>
  <c r="AK15" i="67" s="1"/>
  <c r="AL15" i="67"/>
  <c r="AD16" i="67"/>
  <c r="AE16" i="67"/>
  <c r="AF16" i="67"/>
  <c r="AH16" i="67" s="1"/>
  <c r="AG16" i="67"/>
  <c r="AI16" i="67"/>
  <c r="AK16" i="67" s="1"/>
  <c r="AJ16" i="67"/>
  <c r="AL16" i="67"/>
  <c r="AD17" i="67"/>
  <c r="AE17" i="67"/>
  <c r="AF17" i="67"/>
  <c r="AG17" i="67"/>
  <c r="AI17" i="67"/>
  <c r="AJ17" i="67"/>
  <c r="AL17" i="67"/>
  <c r="AD18" i="67"/>
  <c r="AE18" i="67"/>
  <c r="AF18" i="67"/>
  <c r="AG18" i="67"/>
  <c r="AI18" i="67"/>
  <c r="AK18" i="67" s="1"/>
  <c r="AJ18" i="67"/>
  <c r="AL18" i="67"/>
  <c r="AD19" i="67"/>
  <c r="AE19" i="67"/>
  <c r="AH19" i="67" s="1"/>
  <c r="AF19" i="67"/>
  <c r="AG19" i="67"/>
  <c r="AI19" i="67"/>
  <c r="AJ19" i="67"/>
  <c r="AK19" i="67" s="1"/>
  <c r="AL19" i="67"/>
  <c r="AD20" i="67"/>
  <c r="AE20" i="67"/>
  <c r="AF20" i="67"/>
  <c r="AH20" i="67" s="1"/>
  <c r="AG20" i="67"/>
  <c r="AI20" i="67"/>
  <c r="AK20" i="67" s="1"/>
  <c r="AJ20" i="67"/>
  <c r="AL20" i="67"/>
  <c r="AD21" i="67"/>
  <c r="AE21" i="67"/>
  <c r="AF21" i="67"/>
  <c r="AG21" i="67"/>
  <c r="AI21" i="67"/>
  <c r="AK21" i="67" s="1"/>
  <c r="AJ21" i="67"/>
  <c r="AL21" i="67"/>
  <c r="AD22" i="67"/>
  <c r="AE22" i="67"/>
  <c r="AF22" i="67"/>
  <c r="AG22" i="67"/>
  <c r="AI22" i="67"/>
  <c r="AK22" i="67" s="1"/>
  <c r="AJ22" i="67"/>
  <c r="AL22" i="67"/>
  <c r="AD23" i="67"/>
  <c r="AE23" i="67"/>
  <c r="AH23" i="67" s="1"/>
  <c r="AF23" i="67"/>
  <c r="AG23" i="67"/>
  <c r="AI23" i="67"/>
  <c r="AJ23" i="67"/>
  <c r="AK23" i="67" s="1"/>
  <c r="AL23" i="67"/>
  <c r="AD24" i="67"/>
  <c r="AE24" i="67"/>
  <c r="AF24" i="67"/>
  <c r="AH24" i="67" s="1"/>
  <c r="AG24" i="67"/>
  <c r="AI24" i="67"/>
  <c r="AK24" i="67" s="1"/>
  <c r="AJ24" i="67"/>
  <c r="AL24" i="67"/>
  <c r="AD25" i="67"/>
  <c r="AE25" i="67"/>
  <c r="AF25" i="67"/>
  <c r="AG25" i="67"/>
  <c r="AI25" i="67"/>
  <c r="AK25" i="67" s="1"/>
  <c r="AJ25" i="67"/>
  <c r="AL25" i="67"/>
  <c r="AD26" i="67"/>
  <c r="AE26" i="67"/>
  <c r="AH26" i="67" s="1"/>
  <c r="AF26" i="67"/>
  <c r="AG26" i="67"/>
  <c r="AI26" i="67"/>
  <c r="AK26" i="67" s="1"/>
  <c r="AJ26" i="67"/>
  <c r="AL26" i="67"/>
  <c r="AD27" i="67"/>
  <c r="AE27" i="67"/>
  <c r="AH27" i="67" s="1"/>
  <c r="AF27" i="67"/>
  <c r="AG27" i="67"/>
  <c r="AI27" i="67"/>
  <c r="AJ27" i="67"/>
  <c r="AK27" i="67" s="1"/>
  <c r="AL27" i="67"/>
  <c r="AD28" i="67"/>
  <c r="AE28" i="67"/>
  <c r="AF28" i="67"/>
  <c r="AH28" i="67" s="1"/>
  <c r="AG28" i="67"/>
  <c r="AI28" i="67"/>
  <c r="AK28" i="67" s="1"/>
  <c r="AJ28" i="67"/>
  <c r="AL28" i="67"/>
  <c r="AD29" i="67"/>
  <c r="AE29" i="67"/>
  <c r="AF29" i="67"/>
  <c r="AG29" i="67"/>
  <c r="AI29" i="67"/>
  <c r="AK29" i="67" s="1"/>
  <c r="AJ29" i="67"/>
  <c r="AL29" i="67"/>
  <c r="AD30" i="67"/>
  <c r="AE30" i="67"/>
  <c r="AH30" i="67" s="1"/>
  <c r="AF30" i="67"/>
  <c r="AG30" i="67"/>
  <c r="AI30" i="67"/>
  <c r="AK30" i="67" s="1"/>
  <c r="AJ30" i="67"/>
  <c r="AL30" i="67"/>
  <c r="AD31" i="67"/>
  <c r="AE31" i="67"/>
  <c r="AH31" i="67" s="1"/>
  <c r="AF31" i="67"/>
  <c r="AG31" i="67"/>
  <c r="AI31" i="67"/>
  <c r="AJ31" i="67"/>
  <c r="AK31" i="67" s="1"/>
  <c r="AL31" i="67"/>
  <c r="AD32" i="67"/>
  <c r="AE32" i="67"/>
  <c r="AF32" i="67"/>
  <c r="AH32" i="67" s="1"/>
  <c r="AG32" i="67"/>
  <c r="AI32" i="67"/>
  <c r="AK32" i="67" s="1"/>
  <c r="AJ32" i="67"/>
  <c r="AL32" i="67"/>
  <c r="AD33" i="67"/>
  <c r="AE33" i="67"/>
  <c r="AF33" i="67"/>
  <c r="AG33" i="67"/>
  <c r="AI33" i="67"/>
  <c r="AK33" i="67" s="1"/>
  <c r="AJ33" i="67"/>
  <c r="AL33" i="67"/>
  <c r="AD34" i="67"/>
  <c r="AE34" i="67"/>
  <c r="AF34" i="67"/>
  <c r="AH34" i="67" s="1"/>
  <c r="AG34" i="67"/>
  <c r="AI34" i="67"/>
  <c r="AK34" i="67" s="1"/>
  <c r="AJ34" i="67"/>
  <c r="AL34" i="67"/>
  <c r="AD35" i="67"/>
  <c r="AE35" i="67"/>
  <c r="AH35" i="67" s="1"/>
  <c r="AF35" i="67"/>
  <c r="AG35" i="67"/>
  <c r="AI35" i="67"/>
  <c r="AJ35" i="67"/>
  <c r="AK35" i="67" s="1"/>
  <c r="AL35" i="67"/>
  <c r="AD36" i="67"/>
  <c r="AE36" i="67"/>
  <c r="AF36" i="67"/>
  <c r="AH36" i="67" s="1"/>
  <c r="AG36" i="67"/>
  <c r="AI36" i="67"/>
  <c r="AK36" i="67" s="1"/>
  <c r="AJ36" i="67"/>
  <c r="AL36" i="67"/>
  <c r="AD37" i="67"/>
  <c r="AE37" i="67"/>
  <c r="AF37" i="67"/>
  <c r="AG37" i="67"/>
  <c r="AI37" i="67"/>
  <c r="AK37" i="67" s="1"/>
  <c r="AJ37" i="67"/>
  <c r="AL37" i="67"/>
  <c r="AD38" i="67"/>
  <c r="AE38" i="67"/>
  <c r="AH38" i="67" s="1"/>
  <c r="AF38" i="67"/>
  <c r="AG38" i="67"/>
  <c r="AI38" i="67"/>
  <c r="AK38" i="67" s="1"/>
  <c r="AJ38" i="67"/>
  <c r="AL38" i="67"/>
  <c r="AD39" i="67"/>
  <c r="AE39" i="67"/>
  <c r="AH39" i="67" s="1"/>
  <c r="AF39" i="67"/>
  <c r="AG39" i="67"/>
  <c r="AI39" i="67"/>
  <c r="AJ39" i="67"/>
  <c r="AK39" i="67" s="1"/>
  <c r="AL39" i="67"/>
  <c r="AD40" i="67"/>
  <c r="AE40" i="67"/>
  <c r="AF40" i="67"/>
  <c r="AH40" i="67" s="1"/>
  <c r="AG40" i="67"/>
  <c r="AI40" i="67"/>
  <c r="AK40" i="67" s="1"/>
  <c r="AJ40" i="67"/>
  <c r="AL40" i="67"/>
  <c r="AD41" i="67"/>
  <c r="AE41" i="67"/>
  <c r="AF41" i="67"/>
  <c r="AG41" i="67"/>
  <c r="AI41" i="67"/>
  <c r="AK41" i="67" s="1"/>
  <c r="AJ41" i="67"/>
  <c r="AL41" i="67"/>
  <c r="AD42" i="67"/>
  <c r="AE42" i="67"/>
  <c r="AH42" i="67" s="1"/>
  <c r="AF42" i="67"/>
  <c r="AG42" i="67"/>
  <c r="AI42" i="67"/>
  <c r="AK42" i="67" s="1"/>
  <c r="AJ42" i="67"/>
  <c r="AL42" i="67"/>
  <c r="AD43" i="67"/>
  <c r="AE43" i="67"/>
  <c r="AH43" i="67" s="1"/>
  <c r="AF43" i="67"/>
  <c r="AG43" i="67"/>
  <c r="AI43" i="67"/>
  <c r="AJ43" i="67"/>
  <c r="AK43" i="67" s="1"/>
  <c r="AL43" i="67"/>
  <c r="AD44" i="67"/>
  <c r="AE44" i="67"/>
  <c r="AF44" i="67"/>
  <c r="AH44" i="67" s="1"/>
  <c r="AG44" i="67"/>
  <c r="AI44" i="67"/>
  <c r="AK44" i="67" s="1"/>
  <c r="AJ44" i="67"/>
  <c r="AL44" i="67"/>
  <c r="AD45" i="67"/>
  <c r="AE45" i="67"/>
  <c r="AF45" i="67"/>
  <c r="AG45" i="67"/>
  <c r="AI45" i="67"/>
  <c r="AK45" i="67" s="1"/>
  <c r="AJ45" i="67"/>
  <c r="AL45" i="67"/>
  <c r="AD46" i="67"/>
  <c r="AE46" i="67"/>
  <c r="AH46" i="67" s="1"/>
  <c r="AF46" i="67"/>
  <c r="AG46" i="67"/>
  <c r="AI46" i="67"/>
  <c r="AK46" i="67" s="1"/>
  <c r="AJ46" i="67"/>
  <c r="AL46" i="67"/>
  <c r="AD47" i="67"/>
  <c r="AE47" i="67"/>
  <c r="AH47" i="67" s="1"/>
  <c r="AF47" i="67"/>
  <c r="AG47" i="67"/>
  <c r="AI47" i="67"/>
  <c r="AJ47" i="67"/>
  <c r="AK47" i="67" s="1"/>
  <c r="AL47" i="67"/>
  <c r="AD48" i="67"/>
  <c r="AE48" i="67"/>
  <c r="AF48" i="67"/>
  <c r="AH48" i="67" s="1"/>
  <c r="AG48" i="67"/>
  <c r="AI48" i="67"/>
  <c r="AK48" i="67" s="1"/>
  <c r="AJ48" i="67"/>
  <c r="AL48" i="67"/>
  <c r="AL9" i="67"/>
  <c r="AJ9" i="67"/>
  <c r="AK9" i="67" s="1"/>
  <c r="AI9" i="67"/>
  <c r="AF9" i="67"/>
  <c r="AG9" i="67"/>
  <c r="AE9" i="67"/>
  <c r="AD9" i="67"/>
  <c r="Z11" i="67"/>
  <c r="F15" i="76" s="1"/>
  <c r="AA14" i="67"/>
  <c r="AA16" i="67"/>
  <c r="AB19" i="67"/>
  <c r="AB21" i="67"/>
  <c r="Z25" i="67"/>
  <c r="Z27" i="67"/>
  <c r="AA32" i="67"/>
  <c r="AB37" i="67"/>
  <c r="Z43" i="67"/>
  <c r="V10" i="67"/>
  <c r="W10" i="67"/>
  <c r="AA10" i="67" s="1"/>
  <c r="F12" i="76" s="1"/>
  <c r="X10" i="67"/>
  <c r="AB10" i="67" s="1"/>
  <c r="F13" i="76" s="1"/>
  <c r="V11" i="67"/>
  <c r="W11" i="67"/>
  <c r="AA11" i="67" s="1"/>
  <c r="X11" i="67"/>
  <c r="AB11" i="67" s="1"/>
  <c r="F17" i="76" s="1"/>
  <c r="V12" i="67"/>
  <c r="W12" i="67"/>
  <c r="AA12" i="67" s="1"/>
  <c r="X12" i="67"/>
  <c r="AB12" i="67" s="1"/>
  <c r="V13" i="67"/>
  <c r="Y13" i="67" s="1"/>
  <c r="W13" i="67"/>
  <c r="AA13" i="67" s="1"/>
  <c r="X13" i="67"/>
  <c r="AB13" i="67" s="1"/>
  <c r="V14" i="67"/>
  <c r="Y14" i="67" s="1"/>
  <c r="W14" i="67"/>
  <c r="X14" i="67"/>
  <c r="AB14" i="67" s="1"/>
  <c r="V15" i="67"/>
  <c r="W15" i="67"/>
  <c r="AA15" i="67" s="1"/>
  <c r="X15" i="67"/>
  <c r="AB15" i="67" s="1"/>
  <c r="V16" i="67"/>
  <c r="W16" i="67"/>
  <c r="X16" i="67"/>
  <c r="AB16" i="67" s="1"/>
  <c r="V17" i="67"/>
  <c r="Y17" i="67" s="1"/>
  <c r="W17" i="67"/>
  <c r="AA17" i="67" s="1"/>
  <c r="X17" i="67"/>
  <c r="AB17" i="67" s="1"/>
  <c r="V18" i="67"/>
  <c r="Y18" i="67" s="1"/>
  <c r="W18" i="67"/>
  <c r="AA18" i="67" s="1"/>
  <c r="X18" i="67"/>
  <c r="AB18" i="67" s="1"/>
  <c r="V19" i="67"/>
  <c r="W19" i="67"/>
  <c r="AA19" i="67" s="1"/>
  <c r="X19" i="67"/>
  <c r="V20" i="67"/>
  <c r="W20" i="67"/>
  <c r="AA20" i="67" s="1"/>
  <c r="X20" i="67"/>
  <c r="AB20" i="67" s="1"/>
  <c r="V21" i="67"/>
  <c r="Y21" i="67" s="1"/>
  <c r="W21" i="67"/>
  <c r="AA21" i="67" s="1"/>
  <c r="X21" i="67"/>
  <c r="V22" i="67"/>
  <c r="Y22" i="67" s="1"/>
  <c r="W22" i="67"/>
  <c r="AA22" i="67" s="1"/>
  <c r="X22" i="67"/>
  <c r="AB22" i="67" s="1"/>
  <c r="V23" i="67"/>
  <c r="W23" i="67"/>
  <c r="AA23" i="67" s="1"/>
  <c r="X23" i="67"/>
  <c r="AB23" i="67" s="1"/>
  <c r="V24" i="67"/>
  <c r="W24" i="67"/>
  <c r="AA24" i="67" s="1"/>
  <c r="X24" i="67"/>
  <c r="AB24" i="67" s="1"/>
  <c r="V25" i="67"/>
  <c r="Y25" i="67" s="1"/>
  <c r="W25" i="67"/>
  <c r="AA25" i="67" s="1"/>
  <c r="X25" i="67"/>
  <c r="AB25" i="67" s="1"/>
  <c r="V26" i="67"/>
  <c r="Y26" i="67" s="1"/>
  <c r="W26" i="67"/>
  <c r="AA26" i="67" s="1"/>
  <c r="X26" i="67"/>
  <c r="AB26" i="67" s="1"/>
  <c r="V27" i="67"/>
  <c r="W27" i="67"/>
  <c r="AA27" i="67" s="1"/>
  <c r="X27" i="67"/>
  <c r="AB27" i="67" s="1"/>
  <c r="V28" i="67"/>
  <c r="W28" i="67"/>
  <c r="AA28" i="67" s="1"/>
  <c r="X28" i="67"/>
  <c r="AB28" i="67" s="1"/>
  <c r="V29" i="67"/>
  <c r="Y29" i="67" s="1"/>
  <c r="W29" i="67"/>
  <c r="AA29" i="67" s="1"/>
  <c r="X29" i="67"/>
  <c r="AB29" i="67" s="1"/>
  <c r="V30" i="67"/>
  <c r="Y30" i="67" s="1"/>
  <c r="W30" i="67"/>
  <c r="AA30" i="67" s="1"/>
  <c r="X30" i="67"/>
  <c r="AB30" i="67" s="1"/>
  <c r="V31" i="67"/>
  <c r="W31" i="67"/>
  <c r="AA31" i="67" s="1"/>
  <c r="X31" i="67"/>
  <c r="AB31" i="67" s="1"/>
  <c r="V32" i="67"/>
  <c r="W32" i="67"/>
  <c r="X32" i="67"/>
  <c r="AB32" i="67" s="1"/>
  <c r="V33" i="67"/>
  <c r="Y33" i="67" s="1"/>
  <c r="W33" i="67"/>
  <c r="AA33" i="67" s="1"/>
  <c r="X33" i="67"/>
  <c r="AB33" i="67" s="1"/>
  <c r="V34" i="67"/>
  <c r="Y34" i="67" s="1"/>
  <c r="W34" i="67"/>
  <c r="AA34" i="67" s="1"/>
  <c r="X34" i="67"/>
  <c r="AB34" i="67" s="1"/>
  <c r="V35" i="67"/>
  <c r="W35" i="67"/>
  <c r="AA35" i="67" s="1"/>
  <c r="X35" i="67"/>
  <c r="AB35" i="67" s="1"/>
  <c r="V36" i="67"/>
  <c r="W36" i="67"/>
  <c r="AA36" i="67" s="1"/>
  <c r="X36" i="67"/>
  <c r="AB36" i="67" s="1"/>
  <c r="V37" i="67"/>
  <c r="Y37" i="67" s="1"/>
  <c r="W37" i="67"/>
  <c r="AA37" i="67" s="1"/>
  <c r="X37" i="67"/>
  <c r="V38" i="67"/>
  <c r="Y38" i="67" s="1"/>
  <c r="W38" i="67"/>
  <c r="AA38" i="67" s="1"/>
  <c r="X38" i="67"/>
  <c r="AB38" i="67" s="1"/>
  <c r="V39" i="67"/>
  <c r="W39" i="67"/>
  <c r="AA39" i="67" s="1"/>
  <c r="X39" i="67"/>
  <c r="AB39" i="67" s="1"/>
  <c r="V40" i="67"/>
  <c r="W40" i="67"/>
  <c r="AA40" i="67" s="1"/>
  <c r="X40" i="67"/>
  <c r="AB40" i="67" s="1"/>
  <c r="V41" i="67"/>
  <c r="Y41" i="67" s="1"/>
  <c r="W41" i="67"/>
  <c r="AA41" i="67" s="1"/>
  <c r="X41" i="67"/>
  <c r="AB41" i="67" s="1"/>
  <c r="V42" i="67"/>
  <c r="Y42" i="67" s="1"/>
  <c r="W42" i="67"/>
  <c r="AA42" i="67" s="1"/>
  <c r="X42" i="67"/>
  <c r="AB42" i="67" s="1"/>
  <c r="V43" i="67"/>
  <c r="W43" i="67"/>
  <c r="AA43" i="67" s="1"/>
  <c r="X43" i="67"/>
  <c r="AB43" i="67" s="1"/>
  <c r="V44" i="67"/>
  <c r="W44" i="67"/>
  <c r="AA44" i="67" s="1"/>
  <c r="X44" i="67"/>
  <c r="AB44" i="67" s="1"/>
  <c r="V45" i="67"/>
  <c r="Y45" i="67" s="1"/>
  <c r="W45" i="67"/>
  <c r="AA45" i="67" s="1"/>
  <c r="X45" i="67"/>
  <c r="AB45" i="67" s="1"/>
  <c r="V46" i="67"/>
  <c r="Y46" i="67" s="1"/>
  <c r="W46" i="67"/>
  <c r="AA46" i="67" s="1"/>
  <c r="X46" i="67"/>
  <c r="AB46" i="67" s="1"/>
  <c r="V47" i="67"/>
  <c r="W47" i="67"/>
  <c r="AA47" i="67" s="1"/>
  <c r="X47" i="67"/>
  <c r="AB47" i="67" s="1"/>
  <c r="V48" i="67"/>
  <c r="W48" i="67"/>
  <c r="AA48" i="67" s="1"/>
  <c r="X48" i="67"/>
  <c r="AB48" i="67" s="1"/>
  <c r="X9" i="67"/>
  <c r="W9" i="67"/>
  <c r="V9" i="67"/>
  <c r="Y9" i="67" s="1"/>
  <c r="T9" i="67"/>
  <c r="AB9" i="67" s="1"/>
  <c r="S9" i="67"/>
  <c r="AA9" i="67" s="1"/>
  <c r="R9" i="67"/>
  <c r="U9" i="67" s="1"/>
  <c r="AS10" i="51"/>
  <c r="AT10" i="51"/>
  <c r="AU10" i="51"/>
  <c r="AV10" i="51"/>
  <c r="AS11" i="51"/>
  <c r="AT11" i="51"/>
  <c r="AU11" i="51"/>
  <c r="AV11" i="51"/>
  <c r="AS12" i="51"/>
  <c r="AT12" i="51"/>
  <c r="AU12" i="51"/>
  <c r="AV12" i="51"/>
  <c r="AS13" i="51"/>
  <c r="AT13" i="51"/>
  <c r="AU13" i="51"/>
  <c r="AV13" i="51"/>
  <c r="AS14" i="51"/>
  <c r="AT14" i="51"/>
  <c r="AU14" i="51"/>
  <c r="AV14" i="51"/>
  <c r="AS15" i="51"/>
  <c r="AT15" i="51"/>
  <c r="AU15" i="51"/>
  <c r="AV15" i="51"/>
  <c r="AS16" i="51"/>
  <c r="AT16" i="51"/>
  <c r="AU16" i="51"/>
  <c r="AV16" i="51"/>
  <c r="AS17" i="51"/>
  <c r="AT17" i="51"/>
  <c r="AU17" i="51"/>
  <c r="AV17" i="51"/>
  <c r="AS18" i="51"/>
  <c r="AV18" i="51" s="1"/>
  <c r="AT18" i="51"/>
  <c r="AU18" i="51"/>
  <c r="AS19" i="51"/>
  <c r="AV19" i="51" s="1"/>
  <c r="AT19" i="51"/>
  <c r="AU19" i="51"/>
  <c r="AS20" i="51"/>
  <c r="AV20" i="51" s="1"/>
  <c r="AT20" i="51"/>
  <c r="AU20" i="51"/>
  <c r="AS21" i="51"/>
  <c r="AV21" i="51" s="1"/>
  <c r="AT21" i="51"/>
  <c r="AU21" i="51"/>
  <c r="AS22" i="51"/>
  <c r="AV22" i="51" s="1"/>
  <c r="AT22" i="51"/>
  <c r="AU22" i="51"/>
  <c r="AS23" i="51"/>
  <c r="AV23" i="51" s="1"/>
  <c r="AT23" i="51"/>
  <c r="AU23" i="51"/>
  <c r="AS24" i="51"/>
  <c r="AV24" i="51" s="1"/>
  <c r="AT24" i="51"/>
  <c r="AU24" i="51"/>
  <c r="AS25" i="51"/>
  <c r="AV25" i="51" s="1"/>
  <c r="AT25" i="51"/>
  <c r="AU25" i="51"/>
  <c r="AS26" i="51"/>
  <c r="AV26" i="51" s="1"/>
  <c r="AT26" i="51"/>
  <c r="AU26" i="51"/>
  <c r="AS27" i="51"/>
  <c r="AV27" i="51" s="1"/>
  <c r="AT27" i="51"/>
  <c r="AU27" i="51"/>
  <c r="AS28" i="51"/>
  <c r="AV28" i="51" s="1"/>
  <c r="AT28" i="51"/>
  <c r="AU28" i="51"/>
  <c r="AS29" i="51"/>
  <c r="AV29" i="51" s="1"/>
  <c r="AT29" i="51"/>
  <c r="AU29" i="51"/>
  <c r="AS30" i="51"/>
  <c r="AV30" i="51" s="1"/>
  <c r="AT30" i="51"/>
  <c r="AU30" i="51"/>
  <c r="AS31" i="51"/>
  <c r="AV31" i="51" s="1"/>
  <c r="AT31" i="51"/>
  <c r="AU31" i="51"/>
  <c r="AS32" i="51"/>
  <c r="AV32" i="51" s="1"/>
  <c r="AT32" i="51"/>
  <c r="AU32" i="51"/>
  <c r="AS33" i="51"/>
  <c r="AV33" i="51" s="1"/>
  <c r="AT33" i="51"/>
  <c r="AU33" i="51"/>
  <c r="AS34" i="51"/>
  <c r="AV34" i="51" s="1"/>
  <c r="AT34" i="51"/>
  <c r="AU34" i="51"/>
  <c r="AS35" i="51"/>
  <c r="AV35" i="51" s="1"/>
  <c r="AT35" i="51"/>
  <c r="AU35" i="51"/>
  <c r="AS36" i="51"/>
  <c r="AV36" i="51" s="1"/>
  <c r="AT36" i="51"/>
  <c r="AU36" i="51"/>
  <c r="AS37" i="51"/>
  <c r="AV37" i="51" s="1"/>
  <c r="AT37" i="51"/>
  <c r="AU37" i="51"/>
  <c r="AS38" i="51"/>
  <c r="AV38" i="51" s="1"/>
  <c r="AT38" i="51"/>
  <c r="AU38" i="51"/>
  <c r="AS39" i="51"/>
  <c r="AV39" i="51" s="1"/>
  <c r="AT39" i="51"/>
  <c r="AU39" i="51"/>
  <c r="AS40" i="51"/>
  <c r="AV40" i="51" s="1"/>
  <c r="AT40" i="51"/>
  <c r="AU40" i="51"/>
  <c r="AS41" i="51"/>
  <c r="AV41" i="51" s="1"/>
  <c r="AT41" i="51"/>
  <c r="AU41" i="51"/>
  <c r="AS42" i="51"/>
  <c r="AV42" i="51" s="1"/>
  <c r="AT42" i="51"/>
  <c r="AU42" i="51"/>
  <c r="AS43" i="51"/>
  <c r="AV43" i="51" s="1"/>
  <c r="AT43" i="51"/>
  <c r="AU43" i="51"/>
  <c r="AS44" i="51"/>
  <c r="AV44" i="51" s="1"/>
  <c r="AT44" i="51"/>
  <c r="AU44" i="51"/>
  <c r="AS45" i="51"/>
  <c r="AV45" i="51" s="1"/>
  <c r="AT45" i="51"/>
  <c r="AU45" i="51"/>
  <c r="AS46" i="51"/>
  <c r="AV46" i="51" s="1"/>
  <c r="AT46" i="51"/>
  <c r="AU46" i="51"/>
  <c r="AS47" i="51"/>
  <c r="AV47" i="51" s="1"/>
  <c r="AT47" i="51"/>
  <c r="AU47" i="51"/>
  <c r="AS48" i="51"/>
  <c r="AV48" i="51" s="1"/>
  <c r="AT48" i="51"/>
  <c r="AU48" i="51"/>
  <c r="AS9" i="51"/>
  <c r="AU9" i="51"/>
  <c r="AT9" i="51"/>
  <c r="AQ50" i="51"/>
  <c r="AP50" i="51"/>
  <c r="AO50" i="51"/>
  <c r="AN50" i="51"/>
  <c r="AM50" i="51"/>
  <c r="AL50" i="51"/>
  <c r="AJ50" i="51"/>
  <c r="AI50" i="51"/>
  <c r="AH50" i="51"/>
  <c r="AG50" i="51"/>
  <c r="AF50" i="51"/>
  <c r="AE50" i="51"/>
  <c r="AC50" i="51"/>
  <c r="AB50" i="51"/>
  <c r="AA50" i="51"/>
  <c r="Z50" i="51"/>
  <c r="Y50" i="51"/>
  <c r="W50" i="51"/>
  <c r="V50" i="51"/>
  <c r="U50" i="51"/>
  <c r="T50" i="51"/>
  <c r="S50" i="51"/>
  <c r="R50" i="51"/>
  <c r="P50" i="51"/>
  <c r="O50" i="51"/>
  <c r="N50" i="51"/>
  <c r="M50" i="51"/>
  <c r="L50" i="51"/>
  <c r="K50" i="51"/>
  <c r="I50" i="51"/>
  <c r="H50" i="51"/>
  <c r="G50" i="51"/>
  <c r="F50" i="51"/>
  <c r="E50" i="51"/>
  <c r="J10" i="51"/>
  <c r="J11" i="51"/>
  <c r="J12" i="51"/>
  <c r="J13" i="51"/>
  <c r="J14" i="51"/>
  <c r="J15" i="51"/>
  <c r="J16" i="51"/>
  <c r="J17" i="51"/>
  <c r="J18" i="51"/>
  <c r="J19" i="51"/>
  <c r="J20" i="51"/>
  <c r="J21" i="51"/>
  <c r="J22" i="51"/>
  <c r="J23" i="51"/>
  <c r="J24" i="51"/>
  <c r="J25" i="51"/>
  <c r="J26" i="51"/>
  <c r="J27" i="51"/>
  <c r="J28" i="51"/>
  <c r="J29" i="51"/>
  <c r="J30" i="51"/>
  <c r="J31" i="51"/>
  <c r="J32" i="51"/>
  <c r="J33" i="51"/>
  <c r="J34" i="51"/>
  <c r="J35" i="51"/>
  <c r="J36" i="51"/>
  <c r="J37" i="51"/>
  <c r="J38" i="51"/>
  <c r="J39" i="51"/>
  <c r="J40" i="51"/>
  <c r="J41" i="51"/>
  <c r="J42" i="51"/>
  <c r="J43" i="51"/>
  <c r="J44" i="51"/>
  <c r="J45" i="51"/>
  <c r="J46" i="51"/>
  <c r="J47" i="51"/>
  <c r="J48" i="51"/>
  <c r="Q10" i="51"/>
  <c r="Q11" i="51"/>
  <c r="Q12" i="51"/>
  <c r="Q13" i="51"/>
  <c r="Q14" i="51"/>
  <c r="Q15" i="51"/>
  <c r="Q16" i="51"/>
  <c r="Q17" i="51"/>
  <c r="Q18" i="51"/>
  <c r="Q19" i="51"/>
  <c r="Q20" i="51"/>
  <c r="Q21" i="51"/>
  <c r="Q22" i="51"/>
  <c r="Q23" i="51"/>
  <c r="Q24" i="51"/>
  <c r="Q25" i="51"/>
  <c r="Q26" i="51"/>
  <c r="Q27" i="51"/>
  <c r="Q28" i="51"/>
  <c r="Q29" i="51"/>
  <c r="Q30" i="51"/>
  <c r="Q31" i="51"/>
  <c r="Q32" i="51"/>
  <c r="Q33" i="51"/>
  <c r="Q34" i="51"/>
  <c r="Q35" i="51"/>
  <c r="Q36" i="51"/>
  <c r="Q37" i="51"/>
  <c r="Q38" i="51"/>
  <c r="Q39" i="51"/>
  <c r="Q40" i="51"/>
  <c r="Q41" i="51"/>
  <c r="Q42" i="51"/>
  <c r="Q43" i="51"/>
  <c r="Q44" i="51"/>
  <c r="Q45" i="51"/>
  <c r="Q46" i="51"/>
  <c r="Q47" i="51"/>
  <c r="Q48" i="51"/>
  <c r="X10" i="51"/>
  <c r="X11" i="51"/>
  <c r="X12" i="51"/>
  <c r="X13" i="51"/>
  <c r="X14" i="51"/>
  <c r="X15" i="51"/>
  <c r="X16" i="51"/>
  <c r="X17" i="51"/>
  <c r="X18" i="51"/>
  <c r="X19" i="51"/>
  <c r="X20" i="51"/>
  <c r="X21" i="51"/>
  <c r="X22" i="51"/>
  <c r="X23" i="51"/>
  <c r="X24" i="51"/>
  <c r="X25" i="51"/>
  <c r="X26" i="51"/>
  <c r="X27" i="51"/>
  <c r="X28" i="51"/>
  <c r="X29" i="51"/>
  <c r="X30" i="51"/>
  <c r="X31" i="51"/>
  <c r="X32" i="51"/>
  <c r="X33" i="51"/>
  <c r="X34" i="51"/>
  <c r="X35" i="51"/>
  <c r="X36" i="51"/>
  <c r="X37" i="51"/>
  <c r="X38" i="51"/>
  <c r="X39" i="51"/>
  <c r="X40" i="51"/>
  <c r="X41" i="51"/>
  <c r="X42" i="51"/>
  <c r="X43" i="51"/>
  <c r="X44" i="51"/>
  <c r="X45" i="51"/>
  <c r="X46" i="51"/>
  <c r="X47" i="51"/>
  <c r="X48" i="51"/>
  <c r="AD10" i="51"/>
  <c r="AD11" i="51"/>
  <c r="AD12" i="51"/>
  <c r="AD13" i="51"/>
  <c r="AD14" i="51"/>
  <c r="AD15" i="51"/>
  <c r="AD16" i="51"/>
  <c r="AD17" i="51"/>
  <c r="AD18" i="51"/>
  <c r="AD19" i="51"/>
  <c r="AD20" i="51"/>
  <c r="AD21" i="51"/>
  <c r="AD22" i="51"/>
  <c r="AD23" i="51"/>
  <c r="AD24" i="51"/>
  <c r="AD25" i="51"/>
  <c r="AD26" i="51"/>
  <c r="AD27" i="51"/>
  <c r="AD28" i="51"/>
  <c r="AD29" i="51"/>
  <c r="AD30" i="51"/>
  <c r="AD31" i="51"/>
  <c r="AD32" i="51"/>
  <c r="AD33" i="51"/>
  <c r="AD34" i="51"/>
  <c r="AD35" i="51"/>
  <c r="AD36" i="51"/>
  <c r="AD37" i="51"/>
  <c r="AD38" i="51"/>
  <c r="AD39" i="51"/>
  <c r="AD40" i="51"/>
  <c r="AD41" i="51"/>
  <c r="AD42" i="51"/>
  <c r="AD43" i="51"/>
  <c r="AD44" i="51"/>
  <c r="AD45" i="51"/>
  <c r="AD46" i="51"/>
  <c r="AD47" i="51"/>
  <c r="AD48" i="51"/>
  <c r="AK10" i="51"/>
  <c r="AK11" i="51"/>
  <c r="AK12" i="51"/>
  <c r="AK13" i="51"/>
  <c r="AK14" i="51"/>
  <c r="AK15" i="51"/>
  <c r="AK16" i="51"/>
  <c r="AK17" i="51"/>
  <c r="AK18" i="51"/>
  <c r="AK19" i="51"/>
  <c r="AK20" i="51"/>
  <c r="AK21" i="51"/>
  <c r="AK22" i="51"/>
  <c r="AK23" i="51"/>
  <c r="AK24" i="51"/>
  <c r="AK25" i="51"/>
  <c r="AK26" i="51"/>
  <c r="AK27" i="51"/>
  <c r="AK28" i="51"/>
  <c r="AK29" i="51"/>
  <c r="AK30" i="51"/>
  <c r="AK31" i="51"/>
  <c r="AK32" i="51"/>
  <c r="AK33" i="51"/>
  <c r="AK34" i="51"/>
  <c r="AK35" i="51"/>
  <c r="AK36" i="51"/>
  <c r="AK37" i="51"/>
  <c r="AK38" i="51"/>
  <c r="AK39" i="51"/>
  <c r="AK40" i="51"/>
  <c r="AK41" i="51"/>
  <c r="AK42" i="51"/>
  <c r="AK43" i="51"/>
  <c r="AK44" i="51"/>
  <c r="AK45" i="51"/>
  <c r="AK46" i="51"/>
  <c r="AK47" i="51"/>
  <c r="AK48" i="51"/>
  <c r="AR10" i="51"/>
  <c r="AR11" i="51"/>
  <c r="AR12" i="51"/>
  <c r="AR13" i="51"/>
  <c r="AR14" i="51"/>
  <c r="AR15" i="51"/>
  <c r="AR16" i="51"/>
  <c r="AR17" i="51"/>
  <c r="AR18" i="51"/>
  <c r="AR19" i="51"/>
  <c r="AR20" i="51"/>
  <c r="AR21" i="51"/>
  <c r="AR22" i="51"/>
  <c r="AR23" i="51"/>
  <c r="AR24" i="51"/>
  <c r="AR25" i="51"/>
  <c r="AR26" i="51"/>
  <c r="AR27" i="51"/>
  <c r="AR28" i="51"/>
  <c r="AR29" i="51"/>
  <c r="AR30" i="51"/>
  <c r="AR31" i="51"/>
  <c r="AR32" i="51"/>
  <c r="AR33" i="51"/>
  <c r="AR34" i="51"/>
  <c r="AR35" i="51"/>
  <c r="AR36" i="51"/>
  <c r="AR37" i="51"/>
  <c r="AR38" i="51"/>
  <c r="AR39" i="51"/>
  <c r="AR40" i="51"/>
  <c r="AR41" i="51"/>
  <c r="AR42" i="51"/>
  <c r="AR43" i="51"/>
  <c r="AR44" i="51"/>
  <c r="AR45" i="51"/>
  <c r="AR46" i="51"/>
  <c r="AR47" i="51"/>
  <c r="AR48" i="51"/>
  <c r="AR9" i="51"/>
  <c r="AK9" i="51"/>
  <c r="BM10" i="4"/>
  <c r="BN10" i="4"/>
  <c r="BM11" i="4"/>
  <c r="BN11" i="4"/>
  <c r="BM12" i="4"/>
  <c r="BN12" i="4"/>
  <c r="BM13" i="4"/>
  <c r="BN13" i="4"/>
  <c r="BM14" i="4"/>
  <c r="BN14" i="4"/>
  <c r="BM15" i="4"/>
  <c r="BN15" i="4"/>
  <c r="BM16" i="4"/>
  <c r="BN16" i="4"/>
  <c r="BM17" i="4"/>
  <c r="BN17" i="4"/>
  <c r="BM18" i="4"/>
  <c r="BN18" i="4"/>
  <c r="BM19" i="4"/>
  <c r="BN19" i="4"/>
  <c r="BM20" i="4"/>
  <c r="BN20" i="4"/>
  <c r="BM21" i="4"/>
  <c r="BN21" i="4"/>
  <c r="BM22" i="4"/>
  <c r="BN22" i="4"/>
  <c r="BM23" i="4"/>
  <c r="BN23" i="4"/>
  <c r="BM24" i="4"/>
  <c r="BN24" i="4"/>
  <c r="BM25" i="4"/>
  <c r="BN25" i="4"/>
  <c r="BM26" i="4"/>
  <c r="BN26" i="4"/>
  <c r="BM27" i="4"/>
  <c r="BN27" i="4"/>
  <c r="BM28" i="4"/>
  <c r="BN28" i="4"/>
  <c r="BM29" i="4"/>
  <c r="BN29" i="4"/>
  <c r="BM30" i="4"/>
  <c r="BN30" i="4"/>
  <c r="BM31" i="4"/>
  <c r="BN31" i="4"/>
  <c r="BM32" i="4"/>
  <c r="BN32" i="4"/>
  <c r="BM33" i="4"/>
  <c r="BN33" i="4"/>
  <c r="BM34" i="4"/>
  <c r="BN34" i="4"/>
  <c r="BM35" i="4"/>
  <c r="BN35" i="4"/>
  <c r="BM36" i="4"/>
  <c r="BN36" i="4"/>
  <c r="BM37" i="4"/>
  <c r="BN37" i="4"/>
  <c r="BM38" i="4"/>
  <c r="BN38" i="4"/>
  <c r="BM39" i="4"/>
  <c r="BN39" i="4"/>
  <c r="BM40" i="4"/>
  <c r="BN40" i="4"/>
  <c r="BM41" i="4"/>
  <c r="BN41" i="4"/>
  <c r="BM42" i="4"/>
  <c r="BN42" i="4"/>
  <c r="BM43" i="4"/>
  <c r="BN43" i="4"/>
  <c r="BM44" i="4"/>
  <c r="BN44" i="4"/>
  <c r="BM45" i="4"/>
  <c r="BN45" i="4"/>
  <c r="BM46" i="4"/>
  <c r="BN46" i="4"/>
  <c r="BM47" i="4"/>
  <c r="BN47" i="4"/>
  <c r="BM48" i="4"/>
  <c r="BN48" i="4"/>
  <c r="BN9" i="4"/>
  <c r="BM9" i="4"/>
  <c r="BH10" i="4"/>
  <c r="BI10" i="4"/>
  <c r="BJ10" i="4"/>
  <c r="BL10" i="4" s="1"/>
  <c r="BK10" i="4"/>
  <c r="BH11" i="4"/>
  <c r="BI11" i="4"/>
  <c r="BJ11" i="4"/>
  <c r="BL11" i="4" s="1"/>
  <c r="BK11" i="4"/>
  <c r="BH12" i="4"/>
  <c r="BI12" i="4"/>
  <c r="BJ12" i="4"/>
  <c r="BL12" i="4" s="1"/>
  <c r="BK12" i="4"/>
  <c r="BH13" i="4"/>
  <c r="BI13" i="4"/>
  <c r="BJ13" i="4"/>
  <c r="BL13" i="4" s="1"/>
  <c r="BK13" i="4"/>
  <c r="BH14" i="4"/>
  <c r="BI14" i="4"/>
  <c r="BJ14" i="4"/>
  <c r="BL14" i="4" s="1"/>
  <c r="BK14" i="4"/>
  <c r="BH15" i="4"/>
  <c r="BI15" i="4"/>
  <c r="BJ15" i="4"/>
  <c r="BL15" i="4" s="1"/>
  <c r="BK15" i="4"/>
  <c r="BH16" i="4"/>
  <c r="BI16" i="4"/>
  <c r="BJ16" i="4"/>
  <c r="BL16" i="4" s="1"/>
  <c r="BK16" i="4"/>
  <c r="BH17" i="4"/>
  <c r="BI17" i="4"/>
  <c r="BJ17" i="4"/>
  <c r="BL17" i="4" s="1"/>
  <c r="BK17" i="4"/>
  <c r="BH18" i="4"/>
  <c r="BI18" i="4"/>
  <c r="BJ18" i="4"/>
  <c r="BL18" i="4" s="1"/>
  <c r="BK18" i="4"/>
  <c r="BH19" i="4"/>
  <c r="BI19" i="4"/>
  <c r="BJ19" i="4"/>
  <c r="BL19" i="4" s="1"/>
  <c r="BK19" i="4"/>
  <c r="BH20" i="4"/>
  <c r="BI20" i="4"/>
  <c r="BJ20" i="4"/>
  <c r="BL20" i="4" s="1"/>
  <c r="BK20" i="4"/>
  <c r="BH21" i="4"/>
  <c r="BI21" i="4"/>
  <c r="BJ21" i="4"/>
  <c r="BL21" i="4" s="1"/>
  <c r="BK21" i="4"/>
  <c r="BH22" i="4"/>
  <c r="BI22" i="4"/>
  <c r="BJ22" i="4"/>
  <c r="BL22" i="4" s="1"/>
  <c r="BK22" i="4"/>
  <c r="BH23" i="4"/>
  <c r="BI23" i="4"/>
  <c r="BJ23" i="4"/>
  <c r="BL23" i="4" s="1"/>
  <c r="BK23" i="4"/>
  <c r="BH24" i="4"/>
  <c r="BI24" i="4"/>
  <c r="BJ24" i="4"/>
  <c r="BL24" i="4" s="1"/>
  <c r="BK24" i="4"/>
  <c r="BH25" i="4"/>
  <c r="BI25" i="4"/>
  <c r="BJ25" i="4"/>
  <c r="BL25" i="4" s="1"/>
  <c r="BK25" i="4"/>
  <c r="BH26" i="4"/>
  <c r="BI26" i="4"/>
  <c r="BJ26" i="4"/>
  <c r="BL26" i="4" s="1"/>
  <c r="BK26" i="4"/>
  <c r="BH27" i="4"/>
  <c r="BI27" i="4"/>
  <c r="BJ27" i="4"/>
  <c r="BL27" i="4" s="1"/>
  <c r="BK27" i="4"/>
  <c r="BH28" i="4"/>
  <c r="BI28" i="4"/>
  <c r="BJ28" i="4"/>
  <c r="BL28" i="4" s="1"/>
  <c r="BK28" i="4"/>
  <c r="BH29" i="4"/>
  <c r="BI29" i="4"/>
  <c r="BJ29" i="4"/>
  <c r="BL29" i="4" s="1"/>
  <c r="BK29" i="4"/>
  <c r="BH30" i="4"/>
  <c r="BI30" i="4"/>
  <c r="BJ30" i="4"/>
  <c r="BL30" i="4" s="1"/>
  <c r="BK30" i="4"/>
  <c r="BH31" i="4"/>
  <c r="BI31" i="4"/>
  <c r="BJ31" i="4"/>
  <c r="BL31" i="4" s="1"/>
  <c r="BK31" i="4"/>
  <c r="BH32" i="4"/>
  <c r="BI32" i="4"/>
  <c r="BJ32" i="4"/>
  <c r="BL32" i="4" s="1"/>
  <c r="BK32" i="4"/>
  <c r="BH33" i="4"/>
  <c r="BI33" i="4"/>
  <c r="BJ33" i="4"/>
  <c r="BL33" i="4" s="1"/>
  <c r="BK33" i="4"/>
  <c r="BH34" i="4"/>
  <c r="BI34" i="4"/>
  <c r="BJ34" i="4"/>
  <c r="BL34" i="4" s="1"/>
  <c r="BK34" i="4"/>
  <c r="BH35" i="4"/>
  <c r="BI35" i="4"/>
  <c r="BJ35" i="4"/>
  <c r="BL35" i="4" s="1"/>
  <c r="BK35" i="4"/>
  <c r="BH36" i="4"/>
  <c r="BI36" i="4"/>
  <c r="BJ36" i="4"/>
  <c r="BL36" i="4" s="1"/>
  <c r="BK36" i="4"/>
  <c r="BH37" i="4"/>
  <c r="BI37" i="4"/>
  <c r="BJ37" i="4"/>
  <c r="BL37" i="4" s="1"/>
  <c r="BK37" i="4"/>
  <c r="BH38" i="4"/>
  <c r="BI38" i="4"/>
  <c r="BJ38" i="4"/>
  <c r="BL38" i="4" s="1"/>
  <c r="BK38" i="4"/>
  <c r="BH39" i="4"/>
  <c r="BI39" i="4"/>
  <c r="BJ39" i="4"/>
  <c r="BL39" i="4" s="1"/>
  <c r="BK39" i="4"/>
  <c r="BH40" i="4"/>
  <c r="BI40" i="4"/>
  <c r="BJ40" i="4"/>
  <c r="BL40" i="4" s="1"/>
  <c r="BK40" i="4"/>
  <c r="BH41" i="4"/>
  <c r="BI41" i="4"/>
  <c r="BJ41" i="4"/>
  <c r="BL41" i="4" s="1"/>
  <c r="BK41" i="4"/>
  <c r="BH42" i="4"/>
  <c r="BI42" i="4"/>
  <c r="BJ42" i="4"/>
  <c r="BL42" i="4" s="1"/>
  <c r="BK42" i="4"/>
  <c r="BH43" i="4"/>
  <c r="BI43" i="4"/>
  <c r="BJ43" i="4"/>
  <c r="BL43" i="4" s="1"/>
  <c r="BK43" i="4"/>
  <c r="BH44" i="4"/>
  <c r="BI44" i="4"/>
  <c r="BJ44" i="4"/>
  <c r="BL44" i="4" s="1"/>
  <c r="BK44" i="4"/>
  <c r="BH45" i="4"/>
  <c r="BI45" i="4"/>
  <c r="BJ45" i="4"/>
  <c r="BL45" i="4" s="1"/>
  <c r="BK45" i="4"/>
  <c r="BH46" i="4"/>
  <c r="BI46" i="4"/>
  <c r="BJ46" i="4"/>
  <c r="BL46" i="4" s="1"/>
  <c r="BK46" i="4"/>
  <c r="BH47" i="4"/>
  <c r="BI47" i="4"/>
  <c r="BJ47" i="4"/>
  <c r="BL47" i="4" s="1"/>
  <c r="BK47" i="4"/>
  <c r="BH48" i="4"/>
  <c r="BI48" i="4"/>
  <c r="BJ48" i="4"/>
  <c r="BL48" i="4" s="1"/>
  <c r="BK48" i="4"/>
  <c r="BK9" i="4"/>
  <c r="BJ9" i="4"/>
  <c r="BL9" i="4" s="1"/>
  <c r="BI9" i="4"/>
  <c r="BH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9" i="4"/>
  <c r="AX9" i="4"/>
  <c r="AE10" i="4"/>
  <c r="AF10" i="4"/>
  <c r="AG10" i="4"/>
  <c r="AH10" i="4"/>
  <c r="AI10" i="4"/>
  <c r="AJ10" i="4"/>
  <c r="AK10" i="4"/>
  <c r="AL10" i="4"/>
  <c r="AM10" i="4"/>
  <c r="AE11" i="4"/>
  <c r="AF11" i="4"/>
  <c r="AG11" i="4"/>
  <c r="AH11" i="4"/>
  <c r="AI11" i="4"/>
  <c r="AJ11" i="4"/>
  <c r="AK11" i="4"/>
  <c r="AL11" i="4"/>
  <c r="AM11" i="4"/>
  <c r="AE12" i="4"/>
  <c r="AF12" i="4"/>
  <c r="AG12" i="4"/>
  <c r="AH12" i="4"/>
  <c r="AI12" i="4"/>
  <c r="AJ12" i="4"/>
  <c r="AK12" i="4"/>
  <c r="AL12" i="4"/>
  <c r="AM12" i="4"/>
  <c r="AE13" i="4"/>
  <c r="AF13" i="4"/>
  <c r="AG13" i="4"/>
  <c r="AH13" i="4"/>
  <c r="AI13" i="4"/>
  <c r="AJ13" i="4"/>
  <c r="AK13" i="4"/>
  <c r="AL13" i="4"/>
  <c r="AM13" i="4"/>
  <c r="AE14" i="4"/>
  <c r="AF14" i="4"/>
  <c r="AG14" i="4"/>
  <c r="AH14" i="4"/>
  <c r="AI14" i="4"/>
  <c r="AJ14" i="4"/>
  <c r="AK14" i="4"/>
  <c r="AL14" i="4"/>
  <c r="AM14" i="4"/>
  <c r="AE15" i="4"/>
  <c r="AF15" i="4"/>
  <c r="AG15" i="4"/>
  <c r="AH15" i="4"/>
  <c r="AI15" i="4"/>
  <c r="AJ15" i="4"/>
  <c r="AK15" i="4"/>
  <c r="AL15" i="4"/>
  <c r="AM15" i="4"/>
  <c r="AE16" i="4"/>
  <c r="AF16" i="4"/>
  <c r="AG16" i="4"/>
  <c r="AH16" i="4"/>
  <c r="AI16" i="4"/>
  <c r="AJ16" i="4"/>
  <c r="AK16" i="4"/>
  <c r="AL16" i="4"/>
  <c r="AM16" i="4"/>
  <c r="AE17" i="4"/>
  <c r="AF17" i="4"/>
  <c r="AG17" i="4"/>
  <c r="AH17" i="4"/>
  <c r="AI17" i="4"/>
  <c r="AJ17" i="4"/>
  <c r="AK17" i="4"/>
  <c r="AL17" i="4"/>
  <c r="AM17" i="4"/>
  <c r="AE18" i="4"/>
  <c r="AF18" i="4"/>
  <c r="AG18" i="4"/>
  <c r="AH18" i="4"/>
  <c r="AI18" i="4"/>
  <c r="AJ18" i="4"/>
  <c r="AK18" i="4"/>
  <c r="AL18" i="4"/>
  <c r="AM18" i="4"/>
  <c r="AE19" i="4"/>
  <c r="AF19" i="4"/>
  <c r="AG19" i="4"/>
  <c r="AH19" i="4"/>
  <c r="AI19" i="4"/>
  <c r="AJ19" i="4"/>
  <c r="AK19" i="4"/>
  <c r="AL19" i="4"/>
  <c r="AM19" i="4"/>
  <c r="AE20" i="4"/>
  <c r="AF20" i="4"/>
  <c r="AG20" i="4"/>
  <c r="AH20" i="4"/>
  <c r="AI20" i="4"/>
  <c r="AJ20" i="4"/>
  <c r="AK20" i="4"/>
  <c r="AL20" i="4"/>
  <c r="AM20" i="4"/>
  <c r="AE21" i="4"/>
  <c r="AF21" i="4"/>
  <c r="AG21" i="4"/>
  <c r="AH21" i="4"/>
  <c r="AI21" i="4"/>
  <c r="AJ21" i="4"/>
  <c r="AK21" i="4"/>
  <c r="AL21" i="4"/>
  <c r="AM21" i="4"/>
  <c r="AE22" i="4"/>
  <c r="AF22" i="4"/>
  <c r="AG22" i="4"/>
  <c r="AH22" i="4"/>
  <c r="AI22" i="4"/>
  <c r="AJ22" i="4"/>
  <c r="AK22" i="4"/>
  <c r="AL22" i="4"/>
  <c r="AM22" i="4"/>
  <c r="AE23" i="4"/>
  <c r="AF23" i="4"/>
  <c r="AG23" i="4"/>
  <c r="AH23" i="4"/>
  <c r="AI23" i="4"/>
  <c r="AJ23" i="4"/>
  <c r="AK23" i="4"/>
  <c r="AL23" i="4"/>
  <c r="AM23" i="4"/>
  <c r="AE24" i="4"/>
  <c r="AF24" i="4"/>
  <c r="AG24" i="4"/>
  <c r="AH24" i="4"/>
  <c r="AI24" i="4"/>
  <c r="AJ24" i="4"/>
  <c r="AK24" i="4"/>
  <c r="AL24" i="4"/>
  <c r="AM24" i="4"/>
  <c r="AE25" i="4"/>
  <c r="AF25" i="4"/>
  <c r="AG25" i="4"/>
  <c r="AH25" i="4"/>
  <c r="AI25" i="4"/>
  <c r="AJ25" i="4"/>
  <c r="AK25" i="4"/>
  <c r="AL25" i="4"/>
  <c r="AM25" i="4"/>
  <c r="AE26" i="4"/>
  <c r="AF26" i="4"/>
  <c r="AG26" i="4"/>
  <c r="AH26" i="4"/>
  <c r="AI26" i="4"/>
  <c r="AJ26" i="4"/>
  <c r="AK26" i="4"/>
  <c r="AL26" i="4"/>
  <c r="AM26" i="4"/>
  <c r="AE27" i="4"/>
  <c r="AF27" i="4"/>
  <c r="AG27" i="4"/>
  <c r="AH27" i="4"/>
  <c r="AI27" i="4"/>
  <c r="AJ27" i="4"/>
  <c r="AK27" i="4"/>
  <c r="AL27" i="4"/>
  <c r="AM27" i="4"/>
  <c r="AE28" i="4"/>
  <c r="AF28" i="4"/>
  <c r="AG28" i="4"/>
  <c r="AH28" i="4"/>
  <c r="AI28" i="4"/>
  <c r="AJ28" i="4"/>
  <c r="AK28" i="4"/>
  <c r="AL28" i="4"/>
  <c r="AM28" i="4"/>
  <c r="AE29" i="4"/>
  <c r="AF29" i="4"/>
  <c r="AG29" i="4"/>
  <c r="AH29" i="4"/>
  <c r="AI29" i="4"/>
  <c r="AJ29" i="4"/>
  <c r="AK29" i="4"/>
  <c r="AL29" i="4"/>
  <c r="AM29" i="4"/>
  <c r="AE30" i="4"/>
  <c r="AF30" i="4"/>
  <c r="AG30" i="4"/>
  <c r="AH30" i="4"/>
  <c r="AI30" i="4"/>
  <c r="AJ30" i="4"/>
  <c r="AK30" i="4"/>
  <c r="AL30" i="4"/>
  <c r="AM30" i="4"/>
  <c r="AE31" i="4"/>
  <c r="AF31" i="4"/>
  <c r="AG31" i="4"/>
  <c r="AH31" i="4"/>
  <c r="AI31" i="4"/>
  <c r="AJ31" i="4"/>
  <c r="AK31" i="4"/>
  <c r="AL31" i="4"/>
  <c r="AM31" i="4"/>
  <c r="AE32" i="4"/>
  <c r="AF32" i="4"/>
  <c r="AG32" i="4"/>
  <c r="AH32" i="4"/>
  <c r="AI32" i="4"/>
  <c r="AJ32" i="4"/>
  <c r="AK32" i="4"/>
  <c r="AL32" i="4"/>
  <c r="AM32" i="4"/>
  <c r="AE33" i="4"/>
  <c r="AF33" i="4"/>
  <c r="AG33" i="4"/>
  <c r="AH33" i="4"/>
  <c r="AI33" i="4"/>
  <c r="AJ33" i="4"/>
  <c r="AK33" i="4"/>
  <c r="AL33" i="4"/>
  <c r="AM33" i="4"/>
  <c r="AE34" i="4"/>
  <c r="AF34" i="4"/>
  <c r="AG34" i="4"/>
  <c r="AH34" i="4"/>
  <c r="AI34" i="4"/>
  <c r="AJ34" i="4"/>
  <c r="AK34" i="4"/>
  <c r="AL34" i="4"/>
  <c r="AM34" i="4"/>
  <c r="AE35" i="4"/>
  <c r="AF35" i="4"/>
  <c r="AG35" i="4"/>
  <c r="AH35" i="4"/>
  <c r="AI35" i="4"/>
  <c r="AJ35" i="4"/>
  <c r="AK35" i="4"/>
  <c r="AL35" i="4"/>
  <c r="AM35" i="4"/>
  <c r="AE36" i="4"/>
  <c r="AF36" i="4"/>
  <c r="AG36" i="4"/>
  <c r="AH36" i="4"/>
  <c r="AI36" i="4"/>
  <c r="AJ36" i="4"/>
  <c r="AK36" i="4"/>
  <c r="AL36" i="4"/>
  <c r="AM36" i="4"/>
  <c r="AE37" i="4"/>
  <c r="AF37" i="4"/>
  <c r="AG37" i="4"/>
  <c r="AH37" i="4"/>
  <c r="AI37" i="4"/>
  <c r="AJ37" i="4"/>
  <c r="AK37" i="4"/>
  <c r="AL37" i="4"/>
  <c r="AM37" i="4"/>
  <c r="AE38" i="4"/>
  <c r="AF38" i="4"/>
  <c r="AG38" i="4"/>
  <c r="AH38" i="4"/>
  <c r="AI38" i="4"/>
  <c r="AJ38" i="4"/>
  <c r="AK38" i="4"/>
  <c r="AL38" i="4"/>
  <c r="AM38" i="4"/>
  <c r="AE39" i="4"/>
  <c r="AF39" i="4"/>
  <c r="AG39" i="4"/>
  <c r="AH39" i="4"/>
  <c r="AI39" i="4"/>
  <c r="AJ39" i="4"/>
  <c r="AK39" i="4"/>
  <c r="AL39" i="4"/>
  <c r="AM39" i="4"/>
  <c r="AE40" i="4"/>
  <c r="AF40" i="4"/>
  <c r="AG40" i="4"/>
  <c r="AH40" i="4"/>
  <c r="AI40" i="4"/>
  <c r="AJ40" i="4"/>
  <c r="AK40" i="4"/>
  <c r="AL40" i="4"/>
  <c r="AM40" i="4"/>
  <c r="AE41" i="4"/>
  <c r="AF41" i="4"/>
  <c r="AG41" i="4"/>
  <c r="AH41" i="4"/>
  <c r="AI41" i="4"/>
  <c r="AJ41" i="4"/>
  <c r="AK41" i="4"/>
  <c r="AL41" i="4"/>
  <c r="AM41" i="4"/>
  <c r="AE42" i="4"/>
  <c r="AF42" i="4"/>
  <c r="AG42" i="4"/>
  <c r="AH42" i="4"/>
  <c r="AI42" i="4"/>
  <c r="AJ42" i="4"/>
  <c r="AK42" i="4"/>
  <c r="AL42" i="4"/>
  <c r="AM42" i="4"/>
  <c r="AE43" i="4"/>
  <c r="AF43" i="4"/>
  <c r="AG43" i="4"/>
  <c r="AH43" i="4"/>
  <c r="AI43" i="4"/>
  <c r="AJ43" i="4"/>
  <c r="AK43" i="4"/>
  <c r="AL43" i="4"/>
  <c r="AM43" i="4"/>
  <c r="AE44" i="4"/>
  <c r="AF44" i="4"/>
  <c r="AG44" i="4"/>
  <c r="AH44" i="4"/>
  <c r="AI44" i="4"/>
  <c r="AJ44" i="4"/>
  <c r="AK44" i="4"/>
  <c r="AL44" i="4"/>
  <c r="AM44" i="4"/>
  <c r="AE45" i="4"/>
  <c r="AF45" i="4"/>
  <c r="AG45" i="4"/>
  <c r="AH45" i="4"/>
  <c r="AI45" i="4"/>
  <c r="AJ45" i="4"/>
  <c r="AK45" i="4"/>
  <c r="AL45" i="4"/>
  <c r="AM45" i="4"/>
  <c r="AE46" i="4"/>
  <c r="AF46" i="4"/>
  <c r="AG46" i="4"/>
  <c r="AH46" i="4"/>
  <c r="AI46" i="4"/>
  <c r="AJ46" i="4"/>
  <c r="AK46" i="4"/>
  <c r="AL46" i="4"/>
  <c r="AM46" i="4"/>
  <c r="AE47" i="4"/>
  <c r="AF47" i="4"/>
  <c r="AG47" i="4"/>
  <c r="AH47" i="4"/>
  <c r="AI47" i="4"/>
  <c r="AJ47" i="4"/>
  <c r="AK47" i="4"/>
  <c r="AL47" i="4"/>
  <c r="AM47" i="4"/>
  <c r="AE48" i="4"/>
  <c r="AF48" i="4"/>
  <c r="AG48" i="4"/>
  <c r="AH48" i="4"/>
  <c r="AI48" i="4"/>
  <c r="AJ48" i="4"/>
  <c r="AK48" i="4"/>
  <c r="AL48" i="4"/>
  <c r="AM48" i="4"/>
  <c r="AM9" i="4"/>
  <c r="AL9" i="4"/>
  <c r="AK9" i="4"/>
  <c r="AI9" i="4"/>
  <c r="AW9" i="4" s="1"/>
  <c r="AJ9" i="4"/>
  <c r="AH9" i="4"/>
  <c r="AG9" i="4"/>
  <c r="AF9" i="4"/>
  <c r="AE9" i="4"/>
  <c r="X10" i="4"/>
  <c r="E16" i="109" s="1"/>
  <c r="Y10" i="4"/>
  <c r="E17" i="109" s="1"/>
  <c r="F17" i="109" s="1"/>
  <c r="Z10" i="4"/>
  <c r="E18" i="109" s="1"/>
  <c r="F18" i="109" s="1"/>
  <c r="AA10" i="4"/>
  <c r="E19" i="109" s="1"/>
  <c r="F19" i="109" s="1"/>
  <c r="AB10" i="4"/>
  <c r="E20" i="109" s="1"/>
  <c r="F20" i="109" s="1"/>
  <c r="AC10" i="4"/>
  <c r="X11" i="4"/>
  <c r="E23" i="109" s="1"/>
  <c r="F23" i="109" s="1"/>
  <c r="Y11" i="4"/>
  <c r="E24" i="109" s="1"/>
  <c r="F24" i="109" s="1"/>
  <c r="Z11" i="4"/>
  <c r="E25" i="109" s="1"/>
  <c r="F25" i="109" s="1"/>
  <c r="AA11" i="4"/>
  <c r="E26" i="109" s="1"/>
  <c r="F26" i="109" s="1"/>
  <c r="AB11" i="4"/>
  <c r="E27" i="109" s="1"/>
  <c r="F27" i="109" s="1"/>
  <c r="AC11" i="4"/>
  <c r="X12" i="4"/>
  <c r="E30" i="109" s="1"/>
  <c r="F30" i="109" s="1"/>
  <c r="Y12" i="4"/>
  <c r="E31" i="109" s="1"/>
  <c r="F31" i="109" s="1"/>
  <c r="Z12" i="4"/>
  <c r="E32" i="109" s="1"/>
  <c r="F32" i="109" s="1"/>
  <c r="AA12" i="4"/>
  <c r="E33" i="109" s="1"/>
  <c r="F33" i="109" s="1"/>
  <c r="AB12" i="4"/>
  <c r="E34" i="109" s="1"/>
  <c r="F34" i="109" s="1"/>
  <c r="AC12" i="4"/>
  <c r="X13" i="4"/>
  <c r="E37" i="109" s="1"/>
  <c r="Y13" i="4"/>
  <c r="E38" i="109" s="1"/>
  <c r="F38" i="109" s="1"/>
  <c r="Z13" i="4"/>
  <c r="E39" i="109" s="1"/>
  <c r="F39" i="109" s="1"/>
  <c r="AA13" i="4"/>
  <c r="E40" i="109" s="1"/>
  <c r="F40" i="109" s="1"/>
  <c r="AB13" i="4"/>
  <c r="E41" i="109" s="1"/>
  <c r="F41" i="109" s="1"/>
  <c r="AC13" i="4"/>
  <c r="X14" i="4"/>
  <c r="E44" i="109" s="1"/>
  <c r="F44" i="109" s="1"/>
  <c r="Y14" i="4"/>
  <c r="E45" i="109" s="1"/>
  <c r="F45" i="109" s="1"/>
  <c r="Z14" i="4"/>
  <c r="E46" i="109" s="1"/>
  <c r="F46" i="109" s="1"/>
  <c r="AA14" i="4"/>
  <c r="E47" i="109" s="1"/>
  <c r="F47" i="109" s="1"/>
  <c r="AB14" i="4"/>
  <c r="E48" i="109" s="1"/>
  <c r="F48" i="109" s="1"/>
  <c r="AC14" i="4"/>
  <c r="X15" i="4"/>
  <c r="E51" i="109" s="1"/>
  <c r="Y15" i="4"/>
  <c r="E52" i="109" s="1"/>
  <c r="F52" i="109" s="1"/>
  <c r="Z15" i="4"/>
  <c r="E53" i="109" s="1"/>
  <c r="F53" i="109" s="1"/>
  <c r="AA15" i="4"/>
  <c r="E54" i="109" s="1"/>
  <c r="F54" i="109" s="1"/>
  <c r="AB15" i="4"/>
  <c r="E55" i="109" s="1"/>
  <c r="F55" i="109" s="1"/>
  <c r="AC15" i="4"/>
  <c r="X16" i="4"/>
  <c r="E58" i="109" s="1"/>
  <c r="Y16" i="4"/>
  <c r="E59" i="109" s="1"/>
  <c r="F59" i="109" s="1"/>
  <c r="Z16" i="4"/>
  <c r="E60" i="109" s="1"/>
  <c r="F60" i="109" s="1"/>
  <c r="AA16" i="4"/>
  <c r="E61" i="109" s="1"/>
  <c r="F61" i="109" s="1"/>
  <c r="AB16" i="4"/>
  <c r="E62" i="109" s="1"/>
  <c r="F62" i="109" s="1"/>
  <c r="AC16" i="4"/>
  <c r="X17" i="4"/>
  <c r="E65" i="109" s="1"/>
  <c r="Y17" i="4"/>
  <c r="E66" i="109" s="1"/>
  <c r="F66" i="109" s="1"/>
  <c r="Z17" i="4"/>
  <c r="E67" i="109" s="1"/>
  <c r="F67" i="109" s="1"/>
  <c r="AA17" i="4"/>
  <c r="E68" i="109" s="1"/>
  <c r="F68" i="109" s="1"/>
  <c r="AB17" i="4"/>
  <c r="E69" i="109" s="1"/>
  <c r="F69" i="109" s="1"/>
  <c r="AC17" i="4"/>
  <c r="X18" i="4"/>
  <c r="E72" i="109" s="1"/>
  <c r="Y18" i="4"/>
  <c r="E73" i="109" s="1"/>
  <c r="F73" i="109" s="1"/>
  <c r="Z18" i="4"/>
  <c r="E74" i="109" s="1"/>
  <c r="F74" i="109" s="1"/>
  <c r="AA18" i="4"/>
  <c r="E75" i="109" s="1"/>
  <c r="F75" i="109" s="1"/>
  <c r="AB18" i="4"/>
  <c r="E76" i="109" s="1"/>
  <c r="F76" i="109" s="1"/>
  <c r="AC18" i="4"/>
  <c r="X19" i="4"/>
  <c r="E79" i="109" s="1"/>
  <c r="Y19" i="4"/>
  <c r="E80" i="109" s="1"/>
  <c r="F80" i="109" s="1"/>
  <c r="Z19" i="4"/>
  <c r="E81" i="109" s="1"/>
  <c r="F81" i="109" s="1"/>
  <c r="AA19" i="4"/>
  <c r="E82" i="109" s="1"/>
  <c r="F82" i="109" s="1"/>
  <c r="AB19" i="4"/>
  <c r="E83" i="109" s="1"/>
  <c r="F83" i="109" s="1"/>
  <c r="AC19" i="4"/>
  <c r="X20" i="4"/>
  <c r="E86" i="109" s="1"/>
  <c r="Y20" i="4"/>
  <c r="E87" i="109" s="1"/>
  <c r="F87" i="109" s="1"/>
  <c r="Z20" i="4"/>
  <c r="E88" i="109" s="1"/>
  <c r="F88" i="109" s="1"/>
  <c r="AA20" i="4"/>
  <c r="E89" i="109" s="1"/>
  <c r="F89" i="109" s="1"/>
  <c r="AB20" i="4"/>
  <c r="E90" i="109" s="1"/>
  <c r="F90" i="109" s="1"/>
  <c r="AC20" i="4"/>
  <c r="X21" i="4"/>
  <c r="E93" i="109" s="1"/>
  <c r="Y21" i="4"/>
  <c r="E94" i="109" s="1"/>
  <c r="F94" i="109" s="1"/>
  <c r="Z21" i="4"/>
  <c r="E95" i="109" s="1"/>
  <c r="F95" i="109" s="1"/>
  <c r="AA21" i="4"/>
  <c r="E96" i="109" s="1"/>
  <c r="F96" i="109" s="1"/>
  <c r="AB21" i="4"/>
  <c r="E97" i="109" s="1"/>
  <c r="F97" i="109" s="1"/>
  <c r="AC21" i="4"/>
  <c r="X22" i="4"/>
  <c r="E100" i="109" s="1"/>
  <c r="Y22" i="4"/>
  <c r="E101" i="109" s="1"/>
  <c r="F101" i="109" s="1"/>
  <c r="Z22" i="4"/>
  <c r="E102" i="109" s="1"/>
  <c r="F102" i="109" s="1"/>
  <c r="AA22" i="4"/>
  <c r="E103" i="109" s="1"/>
  <c r="F103" i="109" s="1"/>
  <c r="AB22" i="4"/>
  <c r="E104" i="109" s="1"/>
  <c r="F104" i="109" s="1"/>
  <c r="AC22" i="4"/>
  <c r="X23" i="4"/>
  <c r="E107" i="109" s="1"/>
  <c r="Y23" i="4"/>
  <c r="E108" i="109" s="1"/>
  <c r="F108" i="109" s="1"/>
  <c r="Z23" i="4"/>
  <c r="E109" i="109" s="1"/>
  <c r="F109" i="109" s="1"/>
  <c r="AA23" i="4"/>
  <c r="E110" i="109" s="1"/>
  <c r="F110" i="109" s="1"/>
  <c r="AB23" i="4"/>
  <c r="E111" i="109" s="1"/>
  <c r="F111" i="109" s="1"/>
  <c r="AC23" i="4"/>
  <c r="X24" i="4"/>
  <c r="E114" i="109" s="1"/>
  <c r="Y24" i="4"/>
  <c r="E115" i="109" s="1"/>
  <c r="F115" i="109" s="1"/>
  <c r="Z24" i="4"/>
  <c r="E116" i="109" s="1"/>
  <c r="F116" i="109" s="1"/>
  <c r="AA24" i="4"/>
  <c r="E117" i="109" s="1"/>
  <c r="F117" i="109" s="1"/>
  <c r="AB24" i="4"/>
  <c r="E118" i="109" s="1"/>
  <c r="F118" i="109" s="1"/>
  <c r="AC24" i="4"/>
  <c r="X25" i="4"/>
  <c r="E121" i="109" s="1"/>
  <c r="Y25" i="4"/>
  <c r="E122" i="109" s="1"/>
  <c r="F122" i="109" s="1"/>
  <c r="Z25" i="4"/>
  <c r="E123" i="109" s="1"/>
  <c r="F123" i="109" s="1"/>
  <c r="AA25" i="4"/>
  <c r="E124" i="109" s="1"/>
  <c r="F124" i="109" s="1"/>
  <c r="AB25" i="4"/>
  <c r="E125" i="109" s="1"/>
  <c r="F125" i="109" s="1"/>
  <c r="AC25" i="4"/>
  <c r="X26" i="4"/>
  <c r="E128" i="109" s="1"/>
  <c r="Y26" i="4"/>
  <c r="E129" i="109" s="1"/>
  <c r="F129" i="109" s="1"/>
  <c r="Z26" i="4"/>
  <c r="E130" i="109" s="1"/>
  <c r="F130" i="109" s="1"/>
  <c r="AA26" i="4"/>
  <c r="E131" i="109" s="1"/>
  <c r="F131" i="109" s="1"/>
  <c r="AB26" i="4"/>
  <c r="E132" i="109" s="1"/>
  <c r="F132" i="109" s="1"/>
  <c r="AC26" i="4"/>
  <c r="X27" i="4"/>
  <c r="E135" i="109" s="1"/>
  <c r="Y27" i="4"/>
  <c r="E136" i="109" s="1"/>
  <c r="F136" i="109" s="1"/>
  <c r="Z27" i="4"/>
  <c r="E137" i="109" s="1"/>
  <c r="F137" i="109" s="1"/>
  <c r="AA27" i="4"/>
  <c r="E138" i="109" s="1"/>
  <c r="F138" i="109" s="1"/>
  <c r="AB27" i="4"/>
  <c r="E139" i="109" s="1"/>
  <c r="F139" i="109" s="1"/>
  <c r="AC27" i="4"/>
  <c r="X28" i="4"/>
  <c r="E142" i="109" s="1"/>
  <c r="Y28" i="4"/>
  <c r="E143" i="109" s="1"/>
  <c r="F143" i="109" s="1"/>
  <c r="Z28" i="4"/>
  <c r="E144" i="109" s="1"/>
  <c r="F144" i="109" s="1"/>
  <c r="AA28" i="4"/>
  <c r="E145" i="109" s="1"/>
  <c r="F145" i="109" s="1"/>
  <c r="AB28" i="4"/>
  <c r="E146" i="109" s="1"/>
  <c r="F146" i="109" s="1"/>
  <c r="AC28" i="4"/>
  <c r="X29" i="4"/>
  <c r="E149" i="109" s="1"/>
  <c r="Y29" i="4"/>
  <c r="E150" i="109" s="1"/>
  <c r="F150" i="109" s="1"/>
  <c r="Z29" i="4"/>
  <c r="E151" i="109" s="1"/>
  <c r="F151" i="109" s="1"/>
  <c r="AA29" i="4"/>
  <c r="E152" i="109" s="1"/>
  <c r="F152" i="109" s="1"/>
  <c r="AB29" i="4"/>
  <c r="E153" i="109" s="1"/>
  <c r="F153" i="109" s="1"/>
  <c r="AC29" i="4"/>
  <c r="X30" i="4"/>
  <c r="E156" i="109" s="1"/>
  <c r="Y30" i="4"/>
  <c r="E157" i="109" s="1"/>
  <c r="F157" i="109" s="1"/>
  <c r="Z30" i="4"/>
  <c r="E158" i="109" s="1"/>
  <c r="F158" i="109" s="1"/>
  <c r="AA30" i="4"/>
  <c r="E159" i="109" s="1"/>
  <c r="F159" i="109" s="1"/>
  <c r="AB30" i="4"/>
  <c r="E160" i="109" s="1"/>
  <c r="F160" i="109" s="1"/>
  <c r="AC30" i="4"/>
  <c r="X31" i="4"/>
  <c r="E163" i="109" s="1"/>
  <c r="Y31" i="4"/>
  <c r="E164" i="109" s="1"/>
  <c r="F164" i="109" s="1"/>
  <c r="Z31" i="4"/>
  <c r="E165" i="109" s="1"/>
  <c r="F165" i="109" s="1"/>
  <c r="AA31" i="4"/>
  <c r="E166" i="109" s="1"/>
  <c r="F166" i="109" s="1"/>
  <c r="AB31" i="4"/>
  <c r="E167" i="109" s="1"/>
  <c r="F167" i="109" s="1"/>
  <c r="AC31" i="4"/>
  <c r="X32" i="4"/>
  <c r="E170" i="109" s="1"/>
  <c r="Y32" i="4"/>
  <c r="E171" i="109" s="1"/>
  <c r="F171" i="109" s="1"/>
  <c r="Z32" i="4"/>
  <c r="E172" i="109" s="1"/>
  <c r="F172" i="109" s="1"/>
  <c r="AA32" i="4"/>
  <c r="E173" i="109" s="1"/>
  <c r="F173" i="109" s="1"/>
  <c r="AB32" i="4"/>
  <c r="E174" i="109" s="1"/>
  <c r="F174" i="109" s="1"/>
  <c r="AC32" i="4"/>
  <c r="X33" i="4"/>
  <c r="E177" i="109" s="1"/>
  <c r="F177" i="109" s="1"/>
  <c r="Y33" i="4"/>
  <c r="E178" i="109" s="1"/>
  <c r="F178" i="109" s="1"/>
  <c r="Z33" i="4"/>
  <c r="E179" i="109" s="1"/>
  <c r="F179" i="109" s="1"/>
  <c r="AA33" i="4"/>
  <c r="E180" i="109" s="1"/>
  <c r="F180" i="109" s="1"/>
  <c r="AB33" i="4"/>
  <c r="E181" i="109" s="1"/>
  <c r="F181" i="109" s="1"/>
  <c r="AC33" i="4"/>
  <c r="X34" i="4"/>
  <c r="E184" i="109" s="1"/>
  <c r="Y34" i="4"/>
  <c r="E185" i="109" s="1"/>
  <c r="F185" i="109" s="1"/>
  <c r="Z34" i="4"/>
  <c r="E186" i="109" s="1"/>
  <c r="F186" i="109" s="1"/>
  <c r="AA34" i="4"/>
  <c r="E187" i="109" s="1"/>
  <c r="F187" i="109" s="1"/>
  <c r="AB34" i="4"/>
  <c r="E188" i="109" s="1"/>
  <c r="F188" i="109" s="1"/>
  <c r="AC34" i="4"/>
  <c r="X35" i="4"/>
  <c r="E191" i="109" s="1"/>
  <c r="Y35" i="4"/>
  <c r="E192" i="109" s="1"/>
  <c r="F192" i="109" s="1"/>
  <c r="Z35" i="4"/>
  <c r="E193" i="109" s="1"/>
  <c r="F193" i="109" s="1"/>
  <c r="AA35" i="4"/>
  <c r="E194" i="109" s="1"/>
  <c r="F194" i="109" s="1"/>
  <c r="AB35" i="4"/>
  <c r="E195" i="109" s="1"/>
  <c r="F195" i="109" s="1"/>
  <c r="AC35" i="4"/>
  <c r="X36" i="4"/>
  <c r="E198" i="109" s="1"/>
  <c r="Y36" i="4"/>
  <c r="E199" i="109" s="1"/>
  <c r="F199" i="109" s="1"/>
  <c r="Z36" i="4"/>
  <c r="E200" i="109" s="1"/>
  <c r="F200" i="109" s="1"/>
  <c r="AA36" i="4"/>
  <c r="E201" i="109" s="1"/>
  <c r="F201" i="109" s="1"/>
  <c r="AB36" i="4"/>
  <c r="E202" i="109" s="1"/>
  <c r="F202" i="109" s="1"/>
  <c r="AC36" i="4"/>
  <c r="X37" i="4"/>
  <c r="E205" i="109" s="1"/>
  <c r="Y37" i="4"/>
  <c r="E206" i="109" s="1"/>
  <c r="F206" i="109" s="1"/>
  <c r="Z37" i="4"/>
  <c r="E207" i="109" s="1"/>
  <c r="F207" i="109" s="1"/>
  <c r="AA37" i="4"/>
  <c r="E208" i="109" s="1"/>
  <c r="F208" i="109" s="1"/>
  <c r="AB37" i="4"/>
  <c r="E209" i="109" s="1"/>
  <c r="F209" i="109" s="1"/>
  <c r="AC37" i="4"/>
  <c r="X38" i="4"/>
  <c r="E212" i="109" s="1"/>
  <c r="Y38" i="4"/>
  <c r="E213" i="109" s="1"/>
  <c r="F213" i="109" s="1"/>
  <c r="Z38" i="4"/>
  <c r="E214" i="109" s="1"/>
  <c r="F214" i="109" s="1"/>
  <c r="AA38" i="4"/>
  <c r="E215" i="109" s="1"/>
  <c r="F215" i="109" s="1"/>
  <c r="AB38" i="4"/>
  <c r="E216" i="109" s="1"/>
  <c r="F216" i="109" s="1"/>
  <c r="AC38" i="4"/>
  <c r="X39" i="4"/>
  <c r="E219" i="109" s="1"/>
  <c r="Y39" i="4"/>
  <c r="E220" i="109" s="1"/>
  <c r="F220" i="109" s="1"/>
  <c r="Z39" i="4"/>
  <c r="E221" i="109" s="1"/>
  <c r="F221" i="109" s="1"/>
  <c r="AA39" i="4"/>
  <c r="E222" i="109" s="1"/>
  <c r="F222" i="109" s="1"/>
  <c r="AB39" i="4"/>
  <c r="E223" i="109" s="1"/>
  <c r="F223" i="109" s="1"/>
  <c r="AC39" i="4"/>
  <c r="X40" i="4"/>
  <c r="E226" i="109" s="1"/>
  <c r="Y40" i="4"/>
  <c r="E227" i="109" s="1"/>
  <c r="F227" i="109" s="1"/>
  <c r="Z40" i="4"/>
  <c r="E228" i="109" s="1"/>
  <c r="F228" i="109" s="1"/>
  <c r="AA40" i="4"/>
  <c r="E229" i="109" s="1"/>
  <c r="F229" i="109" s="1"/>
  <c r="AB40" i="4"/>
  <c r="E230" i="109" s="1"/>
  <c r="F230" i="109" s="1"/>
  <c r="AC40" i="4"/>
  <c r="X41" i="4"/>
  <c r="E233" i="109" s="1"/>
  <c r="Y41" i="4"/>
  <c r="E234" i="109" s="1"/>
  <c r="F234" i="109" s="1"/>
  <c r="Z41" i="4"/>
  <c r="E235" i="109" s="1"/>
  <c r="F235" i="109" s="1"/>
  <c r="AA41" i="4"/>
  <c r="E236" i="109" s="1"/>
  <c r="F236" i="109" s="1"/>
  <c r="AB41" i="4"/>
  <c r="E237" i="109" s="1"/>
  <c r="F237" i="109" s="1"/>
  <c r="AC41" i="4"/>
  <c r="X42" i="4"/>
  <c r="E240" i="109" s="1"/>
  <c r="Y42" i="4"/>
  <c r="E241" i="109" s="1"/>
  <c r="F241" i="109" s="1"/>
  <c r="Z42" i="4"/>
  <c r="E242" i="109" s="1"/>
  <c r="F242" i="109" s="1"/>
  <c r="AA42" i="4"/>
  <c r="E243" i="109" s="1"/>
  <c r="F243" i="109" s="1"/>
  <c r="AB42" i="4"/>
  <c r="E244" i="109" s="1"/>
  <c r="F244" i="109" s="1"/>
  <c r="AC42" i="4"/>
  <c r="X43" i="4"/>
  <c r="E247" i="109" s="1"/>
  <c r="Y43" i="4"/>
  <c r="E248" i="109" s="1"/>
  <c r="F248" i="109" s="1"/>
  <c r="Z43" i="4"/>
  <c r="E249" i="109" s="1"/>
  <c r="F249" i="109" s="1"/>
  <c r="AA43" i="4"/>
  <c r="E250" i="109" s="1"/>
  <c r="F250" i="109" s="1"/>
  <c r="AB43" i="4"/>
  <c r="E251" i="109" s="1"/>
  <c r="F251" i="109" s="1"/>
  <c r="AC43" i="4"/>
  <c r="X44" i="4"/>
  <c r="E254" i="109" s="1"/>
  <c r="Y44" i="4"/>
  <c r="E255" i="109" s="1"/>
  <c r="F255" i="109" s="1"/>
  <c r="Z44" i="4"/>
  <c r="E256" i="109" s="1"/>
  <c r="F256" i="109" s="1"/>
  <c r="AA44" i="4"/>
  <c r="E257" i="109" s="1"/>
  <c r="F257" i="109" s="1"/>
  <c r="AB44" i="4"/>
  <c r="E258" i="109" s="1"/>
  <c r="F258" i="109" s="1"/>
  <c r="AC44" i="4"/>
  <c r="X45" i="4"/>
  <c r="E261" i="109" s="1"/>
  <c r="Y45" i="4"/>
  <c r="E262" i="109" s="1"/>
  <c r="F262" i="109" s="1"/>
  <c r="Z45" i="4"/>
  <c r="E263" i="109" s="1"/>
  <c r="F263" i="109" s="1"/>
  <c r="AA45" i="4"/>
  <c r="E264" i="109" s="1"/>
  <c r="F264" i="109" s="1"/>
  <c r="AB45" i="4"/>
  <c r="E265" i="109" s="1"/>
  <c r="F265" i="109" s="1"/>
  <c r="AC45" i="4"/>
  <c r="X46" i="4"/>
  <c r="E268" i="109" s="1"/>
  <c r="Y46" i="4"/>
  <c r="E269" i="109" s="1"/>
  <c r="F269" i="109" s="1"/>
  <c r="Z46" i="4"/>
  <c r="E270" i="109" s="1"/>
  <c r="F270" i="109" s="1"/>
  <c r="AA46" i="4"/>
  <c r="E271" i="109" s="1"/>
  <c r="F271" i="109" s="1"/>
  <c r="AB46" i="4"/>
  <c r="E272" i="109" s="1"/>
  <c r="F272" i="109" s="1"/>
  <c r="AC46" i="4"/>
  <c r="X47" i="4"/>
  <c r="E275" i="109" s="1"/>
  <c r="Y47" i="4"/>
  <c r="E276" i="109" s="1"/>
  <c r="F276" i="109" s="1"/>
  <c r="Z47" i="4"/>
  <c r="E277" i="109" s="1"/>
  <c r="F277" i="109" s="1"/>
  <c r="AA47" i="4"/>
  <c r="E278" i="109" s="1"/>
  <c r="F278" i="109" s="1"/>
  <c r="AB47" i="4"/>
  <c r="E279" i="109" s="1"/>
  <c r="F279" i="109" s="1"/>
  <c r="AC47" i="4"/>
  <c r="X48" i="4"/>
  <c r="E282" i="109" s="1"/>
  <c r="Y48" i="4"/>
  <c r="E283" i="109" s="1"/>
  <c r="F283" i="109" s="1"/>
  <c r="Z48" i="4"/>
  <c r="E284" i="109" s="1"/>
  <c r="F284" i="109" s="1"/>
  <c r="AA48" i="4"/>
  <c r="E285" i="109" s="1"/>
  <c r="F285" i="109" s="1"/>
  <c r="AB48" i="4"/>
  <c r="E286" i="109" s="1"/>
  <c r="F286" i="109" s="1"/>
  <c r="AC48" i="4"/>
  <c r="AC9" i="4"/>
  <c r="AT9" i="4" s="1"/>
  <c r="AB9" i="4"/>
  <c r="E13" i="109" s="1"/>
  <c r="AA9" i="4"/>
  <c r="E12" i="109" s="1"/>
  <c r="Z9" i="4"/>
  <c r="E11" i="109" s="1"/>
  <c r="Y9" i="4"/>
  <c r="E10" i="109" s="1"/>
  <c r="X9" i="4"/>
  <c r="E9" i="109" s="1"/>
  <c r="AO9" i="4" l="1"/>
  <c r="AS9" i="4"/>
  <c r="Y47" i="67"/>
  <c r="Y43" i="67"/>
  <c r="Y39" i="67"/>
  <c r="Y35" i="67"/>
  <c r="Y31" i="67"/>
  <c r="Y27" i="67"/>
  <c r="Y23" i="67"/>
  <c r="Y19" i="67"/>
  <c r="Y15" i="67"/>
  <c r="Y11" i="67"/>
  <c r="Z9" i="67"/>
  <c r="Z46" i="67"/>
  <c r="Z39" i="67"/>
  <c r="Z37" i="67"/>
  <c r="Z30" i="67"/>
  <c r="Z23" i="67"/>
  <c r="Z21" i="67"/>
  <c r="Z14" i="67"/>
  <c r="AT47" i="67"/>
  <c r="AP9" i="4"/>
  <c r="Y48" i="67"/>
  <c r="Z48" i="67"/>
  <c r="Y44" i="67"/>
  <c r="Z44" i="67"/>
  <c r="Y40" i="67"/>
  <c r="Z40" i="67"/>
  <c r="Y36" i="67"/>
  <c r="Z36" i="67"/>
  <c r="Z42" i="67"/>
  <c r="Z35" i="67"/>
  <c r="Z33" i="67"/>
  <c r="Z26" i="67"/>
  <c r="Z19" i="67"/>
  <c r="Z17" i="67"/>
  <c r="AH9" i="67"/>
  <c r="AH45" i="67"/>
  <c r="AH41" i="67"/>
  <c r="AH37" i="67"/>
  <c r="AH33" i="67"/>
  <c r="AH29" i="67"/>
  <c r="AH25" i="67"/>
  <c r="AH21" i="67"/>
  <c r="AH17" i="67"/>
  <c r="AH13" i="67"/>
  <c r="AQ9" i="67"/>
  <c r="AQ38" i="67"/>
  <c r="AQ37" i="67"/>
  <c r="AQ22" i="67"/>
  <c r="AQ21" i="67"/>
  <c r="AT39" i="67"/>
  <c r="AQ9" i="4"/>
  <c r="Z47" i="67"/>
  <c r="Z45" i="67"/>
  <c r="Z38" i="67"/>
  <c r="Z31" i="67"/>
  <c r="Z29" i="67"/>
  <c r="Z22" i="67"/>
  <c r="Z15" i="67"/>
  <c r="Z13" i="67"/>
  <c r="AQ34" i="67"/>
  <c r="AQ33" i="67"/>
  <c r="AQ18" i="67"/>
  <c r="AQ17" i="67"/>
  <c r="AR9" i="4"/>
  <c r="Z41" i="67"/>
  <c r="Z34" i="67"/>
  <c r="Z18" i="67"/>
  <c r="F225" i="94"/>
  <c r="E225" i="94"/>
  <c r="G225" i="94"/>
  <c r="F201" i="94"/>
  <c r="E201" i="94"/>
  <c r="G201" i="94"/>
  <c r="F177" i="94"/>
  <c r="E177" i="94"/>
  <c r="G177" i="94"/>
  <c r="F153" i="94"/>
  <c r="E153" i="94"/>
  <c r="G153" i="94"/>
  <c r="F129" i="94"/>
  <c r="E129" i="94"/>
  <c r="G129" i="94"/>
  <c r="F105" i="94"/>
  <c r="E105" i="94"/>
  <c r="G105" i="94"/>
  <c r="F81" i="94"/>
  <c r="E81" i="94"/>
  <c r="G81" i="94"/>
  <c r="G57" i="94"/>
  <c r="F57" i="94"/>
  <c r="E57" i="94"/>
  <c r="G33" i="94"/>
  <c r="F33" i="94"/>
  <c r="E33" i="94"/>
  <c r="U47" i="67"/>
  <c r="U43" i="67"/>
  <c r="U39" i="67"/>
  <c r="U35" i="67"/>
  <c r="U31" i="67"/>
  <c r="U27" i="67"/>
  <c r="U23" i="67"/>
  <c r="U19" i="67"/>
  <c r="U15" i="67"/>
  <c r="U11" i="67"/>
  <c r="Z44" i="68"/>
  <c r="Z42" i="68"/>
  <c r="Z40" i="68"/>
  <c r="Z38" i="68"/>
  <c r="Z36" i="68"/>
  <c r="Z34" i="68"/>
  <c r="Z32" i="68"/>
  <c r="Z30" i="68"/>
  <c r="Z28" i="68"/>
  <c r="Z26" i="68"/>
  <c r="Z24" i="68"/>
  <c r="Z22" i="68"/>
  <c r="Z20" i="68"/>
  <c r="Z16" i="68"/>
  <c r="Z14" i="68"/>
  <c r="AJ12" i="68"/>
  <c r="AE42" i="68"/>
  <c r="AQ16" i="68"/>
  <c r="AQ12" i="68"/>
  <c r="H206" i="94"/>
  <c r="H236" i="94"/>
  <c r="E20" i="147"/>
  <c r="F20" i="147" s="1"/>
  <c r="AR27" i="94"/>
  <c r="AR31" i="94" s="1"/>
  <c r="H20" i="147" s="1"/>
  <c r="I20" i="147" s="1"/>
  <c r="E16" i="147"/>
  <c r="F16" i="147" s="1"/>
  <c r="J16" i="147" s="1"/>
  <c r="AR21" i="94"/>
  <c r="AR25" i="94" s="1"/>
  <c r="H16" i="147" s="1"/>
  <c r="E35" i="147"/>
  <c r="F35" i="147" s="1"/>
  <c r="AQ50" i="94"/>
  <c r="AQ55" i="94" s="1"/>
  <c r="H35" i="147" s="1"/>
  <c r="E51" i="147"/>
  <c r="F51" i="147" s="1"/>
  <c r="AQ74" i="94"/>
  <c r="AQ79" i="94" s="1"/>
  <c r="H51" i="147" s="1"/>
  <c r="E67" i="147"/>
  <c r="F67" i="147" s="1"/>
  <c r="AQ98" i="94"/>
  <c r="AQ103" i="94" s="1"/>
  <c r="H67" i="147" s="1"/>
  <c r="E83" i="147"/>
  <c r="F83" i="147" s="1"/>
  <c r="AQ122" i="94"/>
  <c r="AQ127" i="94" s="1"/>
  <c r="H83" i="147" s="1"/>
  <c r="I83" i="147" s="1"/>
  <c r="E99" i="147"/>
  <c r="F99" i="147" s="1"/>
  <c r="AQ146" i="94"/>
  <c r="AQ151" i="94" s="1"/>
  <c r="H99" i="147" s="1"/>
  <c r="E115" i="147"/>
  <c r="F115" i="147" s="1"/>
  <c r="AQ170" i="94"/>
  <c r="AQ175" i="94" s="1"/>
  <c r="H115" i="147" s="1"/>
  <c r="E131" i="147"/>
  <c r="F131" i="147" s="1"/>
  <c r="AQ194" i="94"/>
  <c r="AQ199" i="94" s="1"/>
  <c r="H131" i="147" s="1"/>
  <c r="E147" i="147"/>
  <c r="F147" i="147" s="1"/>
  <c r="AQ218" i="94"/>
  <c r="AQ223" i="94" s="1"/>
  <c r="H147" i="147" s="1"/>
  <c r="E163" i="147"/>
  <c r="F163" i="147" s="1"/>
  <c r="AQ242" i="94"/>
  <c r="AQ247" i="94" s="1"/>
  <c r="H163" i="147" s="1"/>
  <c r="I163" i="147" s="1"/>
  <c r="H22" i="110"/>
  <c r="H19" i="110"/>
  <c r="E23" i="147"/>
  <c r="F23" i="147" s="1"/>
  <c r="J23" i="147" s="1"/>
  <c r="AQ32" i="94"/>
  <c r="AQ37" i="94" s="1"/>
  <c r="H23" i="147" s="1"/>
  <c r="E40" i="147"/>
  <c r="F40" i="147" s="1"/>
  <c r="AR57" i="94"/>
  <c r="AR61" i="94" s="1"/>
  <c r="H40" i="147" s="1"/>
  <c r="E56" i="147"/>
  <c r="F56" i="147" s="1"/>
  <c r="AR81" i="94"/>
  <c r="AR85" i="94" s="1"/>
  <c r="H56" i="147" s="1"/>
  <c r="E72" i="147"/>
  <c r="F72" i="147" s="1"/>
  <c r="AR105" i="94"/>
  <c r="AR109" i="94" s="1"/>
  <c r="H72" i="147" s="1"/>
  <c r="E88" i="147"/>
  <c r="F88" i="147" s="1"/>
  <c r="AR129" i="94"/>
  <c r="AR133" i="94" s="1"/>
  <c r="H88" i="147" s="1"/>
  <c r="E104" i="147"/>
  <c r="F104" i="147" s="1"/>
  <c r="I104" i="147" s="1"/>
  <c r="AR153" i="94"/>
  <c r="AR157" i="94" s="1"/>
  <c r="H104" i="147" s="1"/>
  <c r="E120" i="147"/>
  <c r="F120" i="147" s="1"/>
  <c r="AR177" i="94"/>
  <c r="AR181" i="94" s="1"/>
  <c r="H120" i="147" s="1"/>
  <c r="E136" i="147"/>
  <c r="F136" i="147" s="1"/>
  <c r="AR201" i="94"/>
  <c r="AR205" i="94" s="1"/>
  <c r="H136" i="147" s="1"/>
  <c r="E152" i="147"/>
  <c r="F152" i="147" s="1"/>
  <c r="AR225" i="94"/>
  <c r="AR229" i="94" s="1"/>
  <c r="H152" i="147" s="1"/>
  <c r="E13" i="147"/>
  <c r="F13" i="147" s="1"/>
  <c r="I13" i="147" s="1"/>
  <c r="AS16" i="94"/>
  <c r="AS19" i="94" s="1"/>
  <c r="H13" i="147" s="1"/>
  <c r="E33" i="147"/>
  <c r="F33" i="147" s="1"/>
  <c r="AS46" i="94"/>
  <c r="AS49" i="94" s="1"/>
  <c r="H33" i="147" s="1"/>
  <c r="E49" i="147"/>
  <c r="F49" i="147" s="1"/>
  <c r="AS70" i="94"/>
  <c r="AS73" i="94" s="1"/>
  <c r="H49" i="147" s="1"/>
  <c r="E65" i="147"/>
  <c r="F65" i="147" s="1"/>
  <c r="I65" i="147" s="1"/>
  <c r="AS94" i="94"/>
  <c r="AS97" i="94" s="1"/>
  <c r="H65" i="147" s="1"/>
  <c r="E81" i="147"/>
  <c r="F81" i="147" s="1"/>
  <c r="AS118" i="94"/>
  <c r="AS121" i="94" s="1"/>
  <c r="H81" i="147" s="1"/>
  <c r="E97" i="147"/>
  <c r="F97" i="147" s="1"/>
  <c r="AS142" i="94"/>
  <c r="AS145" i="94" s="1"/>
  <c r="H97" i="147" s="1"/>
  <c r="E113" i="147"/>
  <c r="F113" i="147" s="1"/>
  <c r="AS166" i="94"/>
  <c r="AS169" i="94" s="1"/>
  <c r="H113" i="147" s="1"/>
  <c r="E129" i="147"/>
  <c r="F129" i="147" s="1"/>
  <c r="AS190" i="94"/>
  <c r="AS193" i="94" s="1"/>
  <c r="H129" i="147" s="1"/>
  <c r="E145" i="147"/>
  <c r="F145" i="147" s="1"/>
  <c r="AS214" i="94"/>
  <c r="AS217" i="94" s="1"/>
  <c r="H145" i="147" s="1"/>
  <c r="J145" i="147" s="1"/>
  <c r="E161" i="147"/>
  <c r="F161" i="147" s="1"/>
  <c r="AS238" i="94"/>
  <c r="AS241" i="94" s="1"/>
  <c r="H161" i="147" s="1"/>
  <c r="BD15" i="69"/>
  <c r="E55" i="84"/>
  <c r="F55" i="84" s="1"/>
  <c r="BD19" i="69"/>
  <c r="E87" i="84"/>
  <c r="F87" i="84" s="1"/>
  <c r="E127" i="84"/>
  <c r="F127" i="84" s="1"/>
  <c r="BD24" i="69"/>
  <c r="E143" i="84"/>
  <c r="F143" i="84" s="1"/>
  <c r="BD26" i="69"/>
  <c r="BD33" i="69"/>
  <c r="BD37" i="69"/>
  <c r="BD39" i="69"/>
  <c r="Y32" i="67"/>
  <c r="Y28" i="67"/>
  <c r="Y24" i="67"/>
  <c r="Y20" i="67"/>
  <c r="Y16" i="67"/>
  <c r="Y12" i="67"/>
  <c r="Z32" i="67"/>
  <c r="Z28" i="67"/>
  <c r="Z24" i="67"/>
  <c r="Z20" i="67"/>
  <c r="Z16" i="67"/>
  <c r="Z12" i="67"/>
  <c r="AQ43" i="67"/>
  <c r="AQ35" i="67"/>
  <c r="AQ27" i="67"/>
  <c r="AQ19" i="67"/>
  <c r="AQ11" i="67"/>
  <c r="AT44" i="67"/>
  <c r="AT36" i="67"/>
  <c r="AT28" i="67"/>
  <c r="AT20" i="67"/>
  <c r="AT12" i="67"/>
  <c r="E243" i="94"/>
  <c r="G243" i="94"/>
  <c r="F243" i="94"/>
  <c r="F219" i="94"/>
  <c r="E219" i="94"/>
  <c r="G219" i="94"/>
  <c r="F195" i="94"/>
  <c r="E195" i="94"/>
  <c r="G195" i="94"/>
  <c r="F171" i="94"/>
  <c r="E171" i="94"/>
  <c r="G171" i="94"/>
  <c r="F147" i="94"/>
  <c r="E147" i="94"/>
  <c r="G147" i="94"/>
  <c r="F123" i="94"/>
  <c r="E123" i="94"/>
  <c r="G123" i="94"/>
  <c r="F99" i="94"/>
  <c r="E99" i="94"/>
  <c r="G99" i="94"/>
  <c r="F75" i="94"/>
  <c r="E75" i="94"/>
  <c r="G75" i="94"/>
  <c r="F51" i="94"/>
  <c r="E51" i="94"/>
  <c r="G51" i="94"/>
  <c r="G27" i="94"/>
  <c r="F27" i="94"/>
  <c r="E27" i="94"/>
  <c r="E9" i="94"/>
  <c r="U48" i="67"/>
  <c r="U44" i="67"/>
  <c r="U40" i="67"/>
  <c r="U36" i="67"/>
  <c r="U32" i="67"/>
  <c r="U28" i="67"/>
  <c r="U24" i="67"/>
  <c r="U20" i="67"/>
  <c r="U16" i="67"/>
  <c r="U12" i="67"/>
  <c r="AJ48" i="68"/>
  <c r="E245" i="79" s="1"/>
  <c r="F245" i="79" s="1"/>
  <c r="AJ44" i="68"/>
  <c r="E221" i="79" s="1"/>
  <c r="F221" i="79" s="1"/>
  <c r="AF38" i="68"/>
  <c r="E181" i="79" s="1"/>
  <c r="F181" i="79" s="1"/>
  <c r="AJ36" i="68"/>
  <c r="E173" i="79" s="1"/>
  <c r="F173" i="79" s="1"/>
  <c r="AJ24" i="68"/>
  <c r="E101" i="79" s="1"/>
  <c r="F101" i="79" s="1"/>
  <c r="AF24" i="68"/>
  <c r="E97" i="79" s="1"/>
  <c r="F97" i="79" s="1"/>
  <c r="AH23" i="68"/>
  <c r="E93" i="79" s="1"/>
  <c r="F93" i="79" s="1"/>
  <c r="AF22" i="68"/>
  <c r="E85" i="79" s="1"/>
  <c r="F85" i="79" s="1"/>
  <c r="AH21" i="68"/>
  <c r="E81" i="79" s="1"/>
  <c r="F81" i="79" s="1"/>
  <c r="AJ20" i="68"/>
  <c r="E77" i="79" s="1"/>
  <c r="F77" i="79" s="1"/>
  <c r="AJ16" i="68"/>
  <c r="E53" i="79" s="1"/>
  <c r="F53" i="79" s="1"/>
  <c r="AF16" i="68"/>
  <c r="E49" i="79" s="1"/>
  <c r="F49" i="79" s="1"/>
  <c r="AH15" i="68"/>
  <c r="E45" i="79" s="1"/>
  <c r="F45" i="79" s="1"/>
  <c r="AF14" i="68"/>
  <c r="E37" i="79" s="1"/>
  <c r="F37" i="79" s="1"/>
  <c r="AI12" i="68"/>
  <c r="E28" i="79" s="1"/>
  <c r="F28" i="79" s="1"/>
  <c r="Z11" i="68"/>
  <c r="AG11" i="68"/>
  <c r="E20" i="79" s="1"/>
  <c r="F20" i="79" s="1"/>
  <c r="AE38" i="68"/>
  <c r="AQ9" i="68"/>
  <c r="AQ15" i="68"/>
  <c r="AQ11" i="68"/>
  <c r="AT48" i="68"/>
  <c r="AT46" i="68"/>
  <c r="AT44" i="68"/>
  <c r="AT42" i="68"/>
  <c r="AT40" i="68"/>
  <c r="AT38" i="68"/>
  <c r="AT36" i="68"/>
  <c r="AT34" i="68"/>
  <c r="AT32" i="68"/>
  <c r="AT30" i="68"/>
  <c r="AT28" i="68"/>
  <c r="AT26" i="68"/>
  <c r="AT24" i="68"/>
  <c r="AT22" i="68"/>
  <c r="AT20" i="68"/>
  <c r="AT18" i="68"/>
  <c r="AT16" i="68"/>
  <c r="AT14" i="68"/>
  <c r="AT12" i="68"/>
  <c r="AT10" i="68"/>
  <c r="H146" i="94"/>
  <c r="H230" i="94"/>
  <c r="H218" i="94"/>
  <c r="H200" i="94"/>
  <c r="E25" i="147"/>
  <c r="F25" i="147" s="1"/>
  <c r="J25" i="147" s="1"/>
  <c r="AS34" i="94"/>
  <c r="AS37" i="94" s="1"/>
  <c r="H25" i="147" s="1"/>
  <c r="E7" i="147"/>
  <c r="AQ8" i="94"/>
  <c r="AQ13" i="94" s="1"/>
  <c r="H7" i="147" s="1"/>
  <c r="AS28" i="94"/>
  <c r="AS31" i="94" s="1"/>
  <c r="H21" i="147" s="1"/>
  <c r="E21" i="147"/>
  <c r="F21" i="147" s="1"/>
  <c r="J21" i="147" s="1"/>
  <c r="E39" i="147"/>
  <c r="F39" i="147" s="1"/>
  <c r="AQ56" i="94"/>
  <c r="AQ61" i="94" s="1"/>
  <c r="H39" i="147" s="1"/>
  <c r="E55" i="147"/>
  <c r="F55" i="147" s="1"/>
  <c r="AQ80" i="94"/>
  <c r="AQ85" i="94" s="1"/>
  <c r="H55" i="147" s="1"/>
  <c r="E71" i="147"/>
  <c r="F71" i="147" s="1"/>
  <c r="AQ104" i="94"/>
  <c r="AQ109" i="94" s="1"/>
  <c r="H71" i="147" s="1"/>
  <c r="E87" i="147"/>
  <c r="F87" i="147" s="1"/>
  <c r="AQ128" i="94"/>
  <c r="AQ133" i="94" s="1"/>
  <c r="H87" i="147" s="1"/>
  <c r="E103" i="147"/>
  <c r="F103" i="147" s="1"/>
  <c r="AQ152" i="94"/>
  <c r="AQ157" i="94" s="1"/>
  <c r="H103" i="147" s="1"/>
  <c r="E119" i="147"/>
  <c r="F119" i="147" s="1"/>
  <c r="AQ176" i="94"/>
  <c r="AQ181" i="94" s="1"/>
  <c r="H119" i="147" s="1"/>
  <c r="E135" i="147"/>
  <c r="F135" i="147" s="1"/>
  <c r="AQ200" i="94"/>
  <c r="AQ205" i="94" s="1"/>
  <c r="H135" i="147" s="1"/>
  <c r="E151" i="147"/>
  <c r="F151" i="147" s="1"/>
  <c r="AQ224" i="94"/>
  <c r="AQ229" i="94" s="1"/>
  <c r="H151" i="147" s="1"/>
  <c r="H46" i="110"/>
  <c r="H43" i="110"/>
  <c r="E28" i="147"/>
  <c r="F28" i="147" s="1"/>
  <c r="AR39" i="94"/>
  <c r="AR43" i="94" s="1"/>
  <c r="H28" i="147" s="1"/>
  <c r="E44" i="147"/>
  <c r="F44" i="147" s="1"/>
  <c r="J44" i="147" s="1"/>
  <c r="AR63" i="94"/>
  <c r="AR67" i="94" s="1"/>
  <c r="H44" i="147" s="1"/>
  <c r="E60" i="147"/>
  <c r="F60" i="147" s="1"/>
  <c r="AR87" i="94"/>
  <c r="AR91" i="94" s="1"/>
  <c r="H60" i="147" s="1"/>
  <c r="E76" i="147"/>
  <c r="F76" i="147" s="1"/>
  <c r="AR111" i="94"/>
  <c r="AR115" i="94" s="1"/>
  <c r="H76" i="147" s="1"/>
  <c r="E92" i="147"/>
  <c r="F92" i="147" s="1"/>
  <c r="AR135" i="94"/>
  <c r="AR139" i="94" s="1"/>
  <c r="H92" i="147" s="1"/>
  <c r="E108" i="147"/>
  <c r="F108" i="147" s="1"/>
  <c r="AR159" i="94"/>
  <c r="AR163" i="94" s="1"/>
  <c r="H108" i="147" s="1"/>
  <c r="E124" i="147"/>
  <c r="F124" i="147" s="1"/>
  <c r="I124" i="147" s="1"/>
  <c r="AR183" i="94"/>
  <c r="AR187" i="94" s="1"/>
  <c r="H124" i="147" s="1"/>
  <c r="E140" i="147"/>
  <c r="F140" i="147" s="1"/>
  <c r="AR207" i="94"/>
  <c r="AR211" i="94" s="1"/>
  <c r="H140" i="147" s="1"/>
  <c r="E156" i="147"/>
  <c r="F156" i="147" s="1"/>
  <c r="AR231" i="94"/>
  <c r="AR235" i="94" s="1"/>
  <c r="H156" i="147" s="1"/>
  <c r="H52" i="110"/>
  <c r="H49" i="110"/>
  <c r="E19" i="147"/>
  <c r="F19" i="147" s="1"/>
  <c r="AQ26" i="94"/>
  <c r="AQ31" i="94" s="1"/>
  <c r="H19" i="147" s="1"/>
  <c r="I19" i="147" s="1"/>
  <c r="E37" i="147"/>
  <c r="F37" i="147" s="1"/>
  <c r="AS52" i="94"/>
  <c r="AS55" i="94" s="1"/>
  <c r="H37" i="147" s="1"/>
  <c r="E53" i="147"/>
  <c r="F53" i="147" s="1"/>
  <c r="AS76" i="94"/>
  <c r="AS79" i="94" s="1"/>
  <c r="H53" i="147" s="1"/>
  <c r="E69" i="147"/>
  <c r="F69" i="147" s="1"/>
  <c r="AS100" i="94"/>
  <c r="AS103" i="94" s="1"/>
  <c r="H69" i="147" s="1"/>
  <c r="E85" i="147"/>
  <c r="F85" i="147" s="1"/>
  <c r="AS124" i="94"/>
  <c r="AS127" i="94" s="1"/>
  <c r="H85" i="147" s="1"/>
  <c r="I85" i="147" s="1"/>
  <c r="E101" i="147"/>
  <c r="F101" i="147" s="1"/>
  <c r="AS148" i="94"/>
  <c r="AS151" i="94" s="1"/>
  <c r="H101" i="147" s="1"/>
  <c r="E117" i="147"/>
  <c r="F117" i="147" s="1"/>
  <c r="AS172" i="94"/>
  <c r="AS175" i="94" s="1"/>
  <c r="H117" i="147" s="1"/>
  <c r="E133" i="147"/>
  <c r="F133" i="147" s="1"/>
  <c r="AS196" i="94"/>
  <c r="AS199" i="94" s="1"/>
  <c r="H133" i="147" s="1"/>
  <c r="E149" i="147"/>
  <c r="F149" i="147" s="1"/>
  <c r="AS220" i="94"/>
  <c r="AS223" i="94" s="1"/>
  <c r="H149" i="147" s="1"/>
  <c r="E165" i="147"/>
  <c r="F165" i="147" s="1"/>
  <c r="AS244" i="94"/>
  <c r="AS247" i="94" s="1"/>
  <c r="H165" i="147" s="1"/>
  <c r="I165" i="147" s="1"/>
  <c r="BD13" i="69"/>
  <c r="BD17" i="69"/>
  <c r="BD41" i="69"/>
  <c r="BD43" i="69"/>
  <c r="BD11" i="69"/>
  <c r="E23" i="84"/>
  <c r="F23" i="84" s="1"/>
  <c r="BD21" i="69"/>
  <c r="E151" i="84"/>
  <c r="F151" i="84" s="1"/>
  <c r="BD27" i="69"/>
  <c r="BD29" i="69"/>
  <c r="E183" i="84"/>
  <c r="F183" i="84" s="1"/>
  <c r="BD31" i="69"/>
  <c r="F237" i="94"/>
  <c r="E237" i="94"/>
  <c r="G237" i="94"/>
  <c r="F213" i="94"/>
  <c r="E213" i="94"/>
  <c r="G213" i="94"/>
  <c r="F189" i="94"/>
  <c r="E189" i="94"/>
  <c r="G189" i="94"/>
  <c r="F165" i="94"/>
  <c r="E165" i="94"/>
  <c r="G165" i="94"/>
  <c r="F141" i="94"/>
  <c r="E141" i="94"/>
  <c r="G141" i="94"/>
  <c r="F117" i="94"/>
  <c r="E117" i="94"/>
  <c r="G117" i="94"/>
  <c r="F93" i="94"/>
  <c r="E93" i="94"/>
  <c r="G93" i="94"/>
  <c r="F69" i="94"/>
  <c r="E69" i="94"/>
  <c r="G69" i="94"/>
  <c r="G45" i="94"/>
  <c r="F45" i="94"/>
  <c r="E45" i="94"/>
  <c r="G21" i="94"/>
  <c r="F21" i="94"/>
  <c r="E21" i="94"/>
  <c r="F9" i="94"/>
  <c r="H170" i="94"/>
  <c r="H158" i="94"/>
  <c r="H176" i="94"/>
  <c r="H16" i="110"/>
  <c r="H13" i="110"/>
  <c r="H64" i="110"/>
  <c r="H61" i="110"/>
  <c r="AQ38" i="94"/>
  <c r="AQ43" i="94" s="1"/>
  <c r="H27" i="147" s="1"/>
  <c r="E27" i="147"/>
  <c r="F27" i="147" s="1"/>
  <c r="E43" i="147"/>
  <c r="F43" i="147" s="1"/>
  <c r="AQ62" i="94"/>
  <c r="AQ67" i="94" s="1"/>
  <c r="H43" i="147" s="1"/>
  <c r="I43" i="147" s="1"/>
  <c r="E59" i="147"/>
  <c r="F59" i="147" s="1"/>
  <c r="AQ86" i="94"/>
  <c r="AQ91" i="94" s="1"/>
  <c r="H59" i="147" s="1"/>
  <c r="E75" i="147"/>
  <c r="F75" i="147" s="1"/>
  <c r="AQ110" i="94"/>
  <c r="AQ115" i="94" s="1"/>
  <c r="H75" i="147" s="1"/>
  <c r="E91" i="147"/>
  <c r="F91" i="147" s="1"/>
  <c r="AQ134" i="94"/>
  <c r="AQ139" i="94" s="1"/>
  <c r="H91" i="147" s="1"/>
  <c r="E107" i="147"/>
  <c r="F107" i="147" s="1"/>
  <c r="AQ158" i="94"/>
  <c r="AQ163" i="94" s="1"/>
  <c r="H107" i="147" s="1"/>
  <c r="E123" i="147"/>
  <c r="F123" i="147" s="1"/>
  <c r="I123" i="147" s="1"/>
  <c r="AQ182" i="94"/>
  <c r="AQ187" i="94" s="1"/>
  <c r="H123" i="147" s="1"/>
  <c r="E139" i="147"/>
  <c r="F139" i="147" s="1"/>
  <c r="AQ206" i="94"/>
  <c r="AQ211" i="94" s="1"/>
  <c r="H139" i="147" s="1"/>
  <c r="E155" i="147"/>
  <c r="F155" i="147" s="1"/>
  <c r="AQ230" i="94"/>
  <c r="AQ235" i="94" s="1"/>
  <c r="H155" i="147" s="1"/>
  <c r="E12" i="147"/>
  <c r="F12" i="147" s="1"/>
  <c r="AR15" i="94"/>
  <c r="AR19" i="94" s="1"/>
  <c r="H12" i="147" s="1"/>
  <c r="J12" i="147" s="1"/>
  <c r="E32" i="147"/>
  <c r="F32" i="147" s="1"/>
  <c r="AR45" i="94"/>
  <c r="AR49" i="94" s="1"/>
  <c r="H32" i="147" s="1"/>
  <c r="E48" i="147"/>
  <c r="F48" i="147" s="1"/>
  <c r="AR69" i="94"/>
  <c r="AR73" i="94" s="1"/>
  <c r="H48" i="147" s="1"/>
  <c r="E64" i="147"/>
  <c r="F64" i="147" s="1"/>
  <c r="AR93" i="94"/>
  <c r="AR97" i="94" s="1"/>
  <c r="H64" i="147" s="1"/>
  <c r="J64" i="147" s="1"/>
  <c r="E80" i="147"/>
  <c r="F80" i="147" s="1"/>
  <c r="AR117" i="94"/>
  <c r="AR121" i="94" s="1"/>
  <c r="H80" i="147" s="1"/>
  <c r="E96" i="147"/>
  <c r="F96" i="147" s="1"/>
  <c r="AR141" i="94"/>
  <c r="AR145" i="94" s="1"/>
  <c r="H96" i="147" s="1"/>
  <c r="E112" i="147"/>
  <c r="F112" i="147" s="1"/>
  <c r="AR165" i="94"/>
  <c r="AR169" i="94" s="1"/>
  <c r="H112" i="147" s="1"/>
  <c r="E128" i="147"/>
  <c r="F128" i="147" s="1"/>
  <c r="AR189" i="94"/>
  <c r="AR193" i="94" s="1"/>
  <c r="H128" i="147" s="1"/>
  <c r="E144" i="147"/>
  <c r="F144" i="147" s="1"/>
  <c r="AR213" i="94"/>
  <c r="AR217" i="94" s="1"/>
  <c r="H144" i="147" s="1"/>
  <c r="J144" i="147" s="1"/>
  <c r="E160" i="147"/>
  <c r="F160" i="147" s="1"/>
  <c r="AR237" i="94"/>
  <c r="AR241" i="94" s="1"/>
  <c r="H160" i="147" s="1"/>
  <c r="H25" i="110"/>
  <c r="H28" i="110"/>
  <c r="E24" i="147"/>
  <c r="F24" i="147" s="1"/>
  <c r="J24" i="147" s="1"/>
  <c r="AR33" i="94"/>
  <c r="AR37" i="94" s="1"/>
  <c r="H24" i="147" s="1"/>
  <c r="E41" i="147"/>
  <c r="F41" i="147" s="1"/>
  <c r="AS58" i="94"/>
  <c r="AS61" i="94" s="1"/>
  <c r="H41" i="147" s="1"/>
  <c r="E57" i="147"/>
  <c r="F57" i="147" s="1"/>
  <c r="AS82" i="94"/>
  <c r="AS85" i="94" s="1"/>
  <c r="H57" i="147" s="1"/>
  <c r="E73" i="147"/>
  <c r="F73" i="147" s="1"/>
  <c r="AS106" i="94"/>
  <c r="AS109" i="94" s="1"/>
  <c r="H73" i="147" s="1"/>
  <c r="E89" i="147"/>
  <c r="F89" i="147" s="1"/>
  <c r="AS130" i="94"/>
  <c r="AS133" i="94" s="1"/>
  <c r="H89" i="147" s="1"/>
  <c r="E105" i="147"/>
  <c r="F105" i="147" s="1"/>
  <c r="I105" i="147" s="1"/>
  <c r="AS154" i="94"/>
  <c r="AS157" i="94" s="1"/>
  <c r="H105" i="147" s="1"/>
  <c r="E121" i="147"/>
  <c r="F121" i="147" s="1"/>
  <c r="AS178" i="94"/>
  <c r="AS181" i="94" s="1"/>
  <c r="H121" i="147" s="1"/>
  <c r="E137" i="147"/>
  <c r="F137" i="147" s="1"/>
  <c r="AS202" i="94"/>
  <c r="AS205" i="94" s="1"/>
  <c r="H137" i="147" s="1"/>
  <c r="E153" i="147"/>
  <c r="F153" i="147" s="1"/>
  <c r="AS226" i="94"/>
  <c r="AS229" i="94" s="1"/>
  <c r="H153" i="147" s="1"/>
  <c r="H34" i="110"/>
  <c r="H31" i="110"/>
  <c r="BD12" i="69"/>
  <c r="E31" i="84"/>
  <c r="F31" i="84" s="1"/>
  <c r="BD16" i="69"/>
  <c r="E63" i="84"/>
  <c r="F63" i="84" s="1"/>
  <c r="E119" i="84"/>
  <c r="F119" i="84" s="1"/>
  <c r="BD23" i="69"/>
  <c r="BD36" i="69"/>
  <c r="BD38" i="69"/>
  <c r="BD40" i="69"/>
  <c r="AQ47" i="67"/>
  <c r="AQ39" i="67"/>
  <c r="AQ31" i="67"/>
  <c r="AQ23" i="67"/>
  <c r="AQ15" i="67"/>
  <c r="AT48" i="67"/>
  <c r="AT40" i="67"/>
  <c r="AT32" i="67"/>
  <c r="AT24" i="67"/>
  <c r="AT16" i="67"/>
  <c r="F231" i="94"/>
  <c r="E231" i="94"/>
  <c r="G231" i="94"/>
  <c r="F207" i="94"/>
  <c r="E207" i="94"/>
  <c r="G207" i="94"/>
  <c r="F183" i="94"/>
  <c r="E183" i="94"/>
  <c r="G183" i="94"/>
  <c r="F159" i="94"/>
  <c r="E159" i="94"/>
  <c r="G159" i="94"/>
  <c r="F135" i="94"/>
  <c r="E135" i="94"/>
  <c r="G135" i="94"/>
  <c r="F111" i="94"/>
  <c r="E111" i="94"/>
  <c r="G111" i="94"/>
  <c r="F87" i="94"/>
  <c r="E87" i="94"/>
  <c r="G87" i="94"/>
  <c r="E63" i="94"/>
  <c r="G63" i="94"/>
  <c r="F63" i="94"/>
  <c r="G39" i="94"/>
  <c r="F39" i="94"/>
  <c r="E39" i="94"/>
  <c r="G15" i="94"/>
  <c r="F15" i="94"/>
  <c r="E15" i="94"/>
  <c r="H62" i="94"/>
  <c r="H56" i="94"/>
  <c r="H50" i="94"/>
  <c r="H44" i="94"/>
  <c r="H38" i="94"/>
  <c r="H32" i="94"/>
  <c r="H26" i="94"/>
  <c r="H20" i="94"/>
  <c r="H14" i="94"/>
  <c r="U46" i="67"/>
  <c r="U42" i="67"/>
  <c r="U38" i="67"/>
  <c r="U34" i="67"/>
  <c r="U30" i="67"/>
  <c r="U26" i="67"/>
  <c r="U22" i="67"/>
  <c r="U18" i="67"/>
  <c r="U14" i="67"/>
  <c r="AF37" i="68"/>
  <c r="E175" i="79" s="1"/>
  <c r="F175" i="79" s="1"/>
  <c r="AH24" i="68"/>
  <c r="E99" i="79" s="1"/>
  <c r="F99" i="79" s="1"/>
  <c r="AF23" i="68"/>
  <c r="E91" i="79" s="1"/>
  <c r="F91" i="79" s="1"/>
  <c r="AH22" i="68"/>
  <c r="E87" i="79" s="1"/>
  <c r="F87" i="79" s="1"/>
  <c r="AF21" i="68"/>
  <c r="E79" i="79" s="1"/>
  <c r="F79" i="79" s="1"/>
  <c r="AH16" i="68"/>
  <c r="E51" i="79" s="1"/>
  <c r="F51" i="79" s="1"/>
  <c r="AF15" i="68"/>
  <c r="E43" i="79" s="1"/>
  <c r="F43" i="79" s="1"/>
  <c r="AH14" i="68"/>
  <c r="E39" i="79" s="1"/>
  <c r="F39" i="79" s="1"/>
  <c r="Z12" i="68"/>
  <c r="AG12" i="68"/>
  <c r="E26" i="79" s="1"/>
  <c r="F26" i="79" s="1"/>
  <c r="AI11" i="68"/>
  <c r="E22" i="79" s="1"/>
  <c r="F22" i="79" s="1"/>
  <c r="AE46" i="68"/>
  <c r="AQ17" i="68"/>
  <c r="AQ13" i="68"/>
  <c r="AT47" i="68"/>
  <c r="AT45" i="68"/>
  <c r="AT43" i="68"/>
  <c r="AT41" i="68"/>
  <c r="AT39" i="68"/>
  <c r="AT37" i="68"/>
  <c r="AT35" i="68"/>
  <c r="AT33" i="68"/>
  <c r="AT31" i="68"/>
  <c r="AT29" i="68"/>
  <c r="AT27" i="68"/>
  <c r="AT25" i="68"/>
  <c r="AT23" i="68"/>
  <c r="AT21" i="68"/>
  <c r="AT19" i="68"/>
  <c r="AT17" i="68"/>
  <c r="AT15" i="68"/>
  <c r="AT13" i="68"/>
  <c r="AT11" i="68"/>
  <c r="H134" i="94"/>
  <c r="E15" i="147"/>
  <c r="F15" i="147" s="1"/>
  <c r="AQ20" i="94"/>
  <c r="AQ25" i="94" s="1"/>
  <c r="H15" i="147" s="1"/>
  <c r="I15" i="147" s="1"/>
  <c r="H40" i="110"/>
  <c r="H37" i="110"/>
  <c r="E11" i="147"/>
  <c r="F11" i="147" s="1"/>
  <c r="I11" i="147" s="1"/>
  <c r="AQ14" i="94"/>
  <c r="AQ19" i="94" s="1"/>
  <c r="H11" i="147" s="1"/>
  <c r="E31" i="147"/>
  <c r="F31" i="147" s="1"/>
  <c r="AQ44" i="94"/>
  <c r="AQ49" i="94" s="1"/>
  <c r="H31" i="147" s="1"/>
  <c r="E47" i="147"/>
  <c r="F47" i="147" s="1"/>
  <c r="AQ68" i="94"/>
  <c r="AQ73" i="94" s="1"/>
  <c r="H47" i="147" s="1"/>
  <c r="H50" i="147" s="1"/>
  <c r="E63" i="147"/>
  <c r="F63" i="147" s="1"/>
  <c r="AQ92" i="94"/>
  <c r="AQ97" i="94" s="1"/>
  <c r="H63" i="147" s="1"/>
  <c r="H66" i="147" s="1"/>
  <c r="E79" i="147"/>
  <c r="F79" i="147" s="1"/>
  <c r="AQ116" i="94"/>
  <c r="AQ121" i="94" s="1"/>
  <c r="H79" i="147" s="1"/>
  <c r="H82" i="147" s="1"/>
  <c r="E95" i="147"/>
  <c r="F95" i="147" s="1"/>
  <c r="AQ140" i="94"/>
  <c r="AQ145" i="94" s="1"/>
  <c r="H95" i="147" s="1"/>
  <c r="H98" i="147" s="1"/>
  <c r="E111" i="147"/>
  <c r="F111" i="147" s="1"/>
  <c r="AQ164" i="94"/>
  <c r="AQ169" i="94" s="1"/>
  <c r="H111" i="147" s="1"/>
  <c r="H114" i="147" s="1"/>
  <c r="E127" i="147"/>
  <c r="F127" i="147" s="1"/>
  <c r="AQ188" i="94"/>
  <c r="AQ193" i="94" s="1"/>
  <c r="H127" i="147" s="1"/>
  <c r="H130" i="147" s="1"/>
  <c r="E143" i="147"/>
  <c r="F143" i="147" s="1"/>
  <c r="J143" i="147" s="1"/>
  <c r="AQ212" i="94"/>
  <c r="AQ217" i="94" s="1"/>
  <c r="H143" i="147" s="1"/>
  <c r="E159" i="147"/>
  <c r="F159" i="147" s="1"/>
  <c r="AQ236" i="94"/>
  <c r="AQ241" i="94" s="1"/>
  <c r="H159" i="147" s="1"/>
  <c r="H162" i="147" s="1"/>
  <c r="E17" i="147"/>
  <c r="F17" i="147" s="1"/>
  <c r="AS22" i="94"/>
  <c r="AS25" i="94" s="1"/>
  <c r="H17" i="147" s="1"/>
  <c r="I17" i="147" s="1"/>
  <c r="E36" i="147"/>
  <c r="F36" i="147" s="1"/>
  <c r="AR51" i="94"/>
  <c r="AR55" i="94" s="1"/>
  <c r="H36" i="147" s="1"/>
  <c r="E52" i="147"/>
  <c r="F52" i="147" s="1"/>
  <c r="AR75" i="94"/>
  <c r="AR79" i="94" s="1"/>
  <c r="H52" i="147" s="1"/>
  <c r="E68" i="147"/>
  <c r="F68" i="147" s="1"/>
  <c r="AR99" i="94"/>
  <c r="AR103" i="94" s="1"/>
  <c r="H68" i="147" s="1"/>
  <c r="E84" i="147"/>
  <c r="F84" i="147" s="1"/>
  <c r="AR123" i="94"/>
  <c r="AR127" i="94" s="1"/>
  <c r="H84" i="147" s="1"/>
  <c r="I84" i="147" s="1"/>
  <c r="E100" i="147"/>
  <c r="F100" i="147" s="1"/>
  <c r="AR147" i="94"/>
  <c r="AR151" i="94" s="1"/>
  <c r="H100" i="147" s="1"/>
  <c r="E116" i="147"/>
  <c r="F116" i="147" s="1"/>
  <c r="AR171" i="94"/>
  <c r="AR175" i="94" s="1"/>
  <c r="H116" i="147" s="1"/>
  <c r="E132" i="147"/>
  <c r="F132" i="147" s="1"/>
  <c r="AR195" i="94"/>
  <c r="AR199" i="94" s="1"/>
  <c r="H132" i="147" s="1"/>
  <c r="E148" i="147"/>
  <c r="F148" i="147" s="1"/>
  <c r="AR219" i="94"/>
  <c r="AR223" i="94" s="1"/>
  <c r="H148" i="147" s="1"/>
  <c r="E164" i="147"/>
  <c r="F164" i="147" s="1"/>
  <c r="AR243" i="94"/>
  <c r="AR247" i="94" s="1"/>
  <c r="H164" i="147" s="1"/>
  <c r="I164" i="147" s="1"/>
  <c r="E29" i="147"/>
  <c r="F29" i="147" s="1"/>
  <c r="AS40" i="94"/>
  <c r="AS43" i="94" s="1"/>
  <c r="H29" i="147" s="1"/>
  <c r="E45" i="147"/>
  <c r="F45" i="147" s="1"/>
  <c r="AS64" i="94"/>
  <c r="AS67" i="94" s="1"/>
  <c r="H45" i="147" s="1"/>
  <c r="I45" i="147" s="1"/>
  <c r="E61" i="147"/>
  <c r="F61" i="147" s="1"/>
  <c r="AS88" i="94"/>
  <c r="AS91" i="94" s="1"/>
  <c r="H61" i="147" s="1"/>
  <c r="E77" i="147"/>
  <c r="F77" i="147" s="1"/>
  <c r="AS112" i="94"/>
  <c r="AS115" i="94" s="1"/>
  <c r="H77" i="147" s="1"/>
  <c r="E93" i="147"/>
  <c r="F93" i="147" s="1"/>
  <c r="AS136" i="94"/>
  <c r="AS139" i="94" s="1"/>
  <c r="H93" i="147" s="1"/>
  <c r="E109" i="147"/>
  <c r="F109" i="147" s="1"/>
  <c r="AS160" i="94"/>
  <c r="AS163" i="94" s="1"/>
  <c r="H109" i="147" s="1"/>
  <c r="E125" i="147"/>
  <c r="F125" i="147" s="1"/>
  <c r="AS184" i="94"/>
  <c r="AS187" i="94" s="1"/>
  <c r="H125" i="147" s="1"/>
  <c r="J125" i="147" s="1"/>
  <c r="E141" i="147"/>
  <c r="F141" i="147" s="1"/>
  <c r="AS208" i="94"/>
  <c r="AS211" i="94" s="1"/>
  <c r="H141" i="147" s="1"/>
  <c r="E157" i="147"/>
  <c r="F157" i="147" s="1"/>
  <c r="AS232" i="94"/>
  <c r="AS235" i="94" s="1"/>
  <c r="H157" i="147" s="1"/>
  <c r="H55" i="110"/>
  <c r="H58" i="110"/>
  <c r="BD14" i="69"/>
  <c r="BD18" i="69"/>
  <c r="BD20" i="69"/>
  <c r="E99" i="84"/>
  <c r="F99" i="84" s="1"/>
  <c r="BD34" i="69"/>
  <c r="BD35" i="69"/>
  <c r="E159" i="84"/>
  <c r="F159" i="84" s="1"/>
  <c r="BD28" i="69"/>
  <c r="BD30" i="69"/>
  <c r="E191" i="84"/>
  <c r="F191" i="84" s="1"/>
  <c r="BD32" i="69"/>
  <c r="L158" i="134"/>
  <c r="K162" i="134"/>
  <c r="M162" i="134"/>
  <c r="L166" i="134"/>
  <c r="K158" i="134"/>
  <c r="M158" i="134"/>
  <c r="AK10" i="67"/>
  <c r="U10" i="67"/>
  <c r="Y10" i="67"/>
  <c r="AH10" i="67"/>
  <c r="Z10" i="67"/>
  <c r="F11" i="76" s="1"/>
  <c r="F37" i="109"/>
  <c r="F58" i="109"/>
  <c r="F79" i="109"/>
  <c r="F93" i="109"/>
  <c r="F107" i="109"/>
  <c r="F121" i="109"/>
  <c r="F142" i="109"/>
  <c r="F156" i="109"/>
  <c r="F170" i="109"/>
  <c r="F184" i="109"/>
  <c r="F205" i="109"/>
  <c r="F219" i="109"/>
  <c r="F233" i="109"/>
  <c r="F247" i="109"/>
  <c r="F261" i="109"/>
  <c r="F275" i="109"/>
  <c r="BD10" i="69"/>
  <c r="E15" i="84"/>
  <c r="F15" i="84" s="1"/>
  <c r="AV9" i="51"/>
  <c r="AK48" i="68"/>
  <c r="AK44" i="68"/>
  <c r="AK40" i="68"/>
  <c r="AK36" i="68"/>
  <c r="Z13" i="68"/>
  <c r="Z10" i="68"/>
  <c r="AH10" i="68"/>
  <c r="AE47" i="68"/>
  <c r="AE43" i="68"/>
  <c r="AJ43" i="68" s="1"/>
  <c r="AE39" i="68"/>
  <c r="AE35" i="68"/>
  <c r="AJ35" i="68" s="1"/>
  <c r="AE31" i="68"/>
  <c r="AJ31" i="68" s="1"/>
  <c r="AE26" i="68"/>
  <c r="AE25" i="68"/>
  <c r="AE18" i="68"/>
  <c r="AJ18" i="68" s="1"/>
  <c r="AE17" i="68"/>
  <c r="AE10" i="68"/>
  <c r="AJ10" i="68" s="1"/>
  <c r="E17" i="79" s="1"/>
  <c r="F17" i="79" s="1"/>
  <c r="AJ47" i="68"/>
  <c r="AJ46" i="68"/>
  <c r="AJ42" i="68"/>
  <c r="AJ39" i="68"/>
  <c r="AJ38" i="68"/>
  <c r="AJ34" i="68"/>
  <c r="AJ32" i="68"/>
  <c r="AJ30" i="68"/>
  <c r="AJ28" i="68"/>
  <c r="AJ26" i="68"/>
  <c r="AJ25" i="68"/>
  <c r="AK24" i="68"/>
  <c r="AK20" i="68"/>
  <c r="AJ19" i="68"/>
  <c r="AJ17" i="68"/>
  <c r="AK16" i="68"/>
  <c r="AE45" i="68"/>
  <c r="AJ45" i="68" s="1"/>
  <c r="AE41" i="68"/>
  <c r="AJ41" i="68" s="1"/>
  <c r="AE37" i="68"/>
  <c r="AJ37" i="68" s="1"/>
  <c r="AE33" i="68"/>
  <c r="AJ33" i="68" s="1"/>
  <c r="AE29" i="68"/>
  <c r="AJ29" i="68" s="1"/>
  <c r="AE22" i="68"/>
  <c r="AJ22" i="68" s="1"/>
  <c r="AE21" i="68"/>
  <c r="AJ21" i="68" s="1"/>
  <c r="AE14" i="68"/>
  <c r="AJ14" i="68" s="1"/>
  <c r="AE13" i="68"/>
  <c r="AJ13" i="68" s="1"/>
  <c r="AE27" i="68"/>
  <c r="AJ27" i="68" s="1"/>
  <c r="AE23" i="68"/>
  <c r="AJ23" i="68" s="1"/>
  <c r="AE19" i="68"/>
  <c r="AE15" i="68"/>
  <c r="AJ15" i="68" s="1"/>
  <c r="AE11" i="68"/>
  <c r="AJ11" i="68" s="1"/>
  <c r="AQ10" i="68"/>
  <c r="AQ48" i="68"/>
  <c r="F268" i="109"/>
  <c r="F282" i="109"/>
  <c r="F240" i="109"/>
  <c r="F254" i="109"/>
  <c r="F212" i="109"/>
  <c r="F226" i="109"/>
  <c r="F198" i="109"/>
  <c r="F191" i="109"/>
  <c r="F163" i="109"/>
  <c r="F135" i="109"/>
  <c r="F149" i="109"/>
  <c r="F114" i="109"/>
  <c r="F128" i="109"/>
  <c r="F100" i="109"/>
  <c r="F72" i="109"/>
  <c r="F86" i="109"/>
  <c r="F51" i="109"/>
  <c r="F65" i="109"/>
  <c r="F16" i="109"/>
  <c r="M10" i="145"/>
  <c r="N10" i="145"/>
  <c r="O10" i="145"/>
  <c r="M11" i="145"/>
  <c r="N11" i="145"/>
  <c r="O11" i="145"/>
  <c r="M12" i="145"/>
  <c r="N12" i="145"/>
  <c r="O12" i="145"/>
  <c r="M13" i="145"/>
  <c r="N13" i="145"/>
  <c r="O13" i="145"/>
  <c r="M14" i="145"/>
  <c r="N14" i="145"/>
  <c r="O14" i="145"/>
  <c r="M15" i="145"/>
  <c r="N15" i="145"/>
  <c r="O15" i="145"/>
  <c r="M16" i="145"/>
  <c r="N16" i="145"/>
  <c r="O16" i="145"/>
  <c r="M17" i="145"/>
  <c r="N17" i="145"/>
  <c r="O17" i="145"/>
  <c r="M18" i="145"/>
  <c r="N18" i="145"/>
  <c r="O18" i="145"/>
  <c r="M19" i="145"/>
  <c r="N19" i="145"/>
  <c r="O19" i="145"/>
  <c r="M20" i="145"/>
  <c r="N20" i="145"/>
  <c r="O20" i="145"/>
  <c r="M21" i="145"/>
  <c r="N21" i="145"/>
  <c r="O21" i="145"/>
  <c r="M22" i="145"/>
  <c r="N22" i="145"/>
  <c r="O22" i="145"/>
  <c r="M23" i="145"/>
  <c r="N23" i="145"/>
  <c r="O23" i="145"/>
  <c r="M24" i="145"/>
  <c r="N24" i="145"/>
  <c r="O24" i="145"/>
  <c r="M25" i="145"/>
  <c r="N25" i="145"/>
  <c r="O25" i="145"/>
  <c r="M26" i="145"/>
  <c r="N26" i="145"/>
  <c r="O26" i="145"/>
  <c r="M27" i="145"/>
  <c r="N27" i="145"/>
  <c r="O27" i="145"/>
  <c r="M28" i="145"/>
  <c r="N28" i="145"/>
  <c r="O28" i="145"/>
  <c r="M29" i="145"/>
  <c r="N29" i="145"/>
  <c r="O29" i="145"/>
  <c r="M30" i="145"/>
  <c r="N30" i="145"/>
  <c r="O30" i="145"/>
  <c r="M31" i="145"/>
  <c r="N31" i="145"/>
  <c r="O31" i="145"/>
  <c r="M32" i="145"/>
  <c r="N32" i="145"/>
  <c r="O32" i="145"/>
  <c r="M33" i="145"/>
  <c r="N33" i="145"/>
  <c r="O33" i="145"/>
  <c r="M34" i="145"/>
  <c r="N34" i="145"/>
  <c r="O34" i="145"/>
  <c r="M35" i="145"/>
  <c r="N35" i="145"/>
  <c r="O35" i="145"/>
  <c r="M36" i="145"/>
  <c r="N36" i="145"/>
  <c r="O36" i="145"/>
  <c r="M37" i="145"/>
  <c r="N37" i="145"/>
  <c r="O37" i="145"/>
  <c r="M38" i="145"/>
  <c r="N38" i="145"/>
  <c r="O38" i="145"/>
  <c r="M39" i="145"/>
  <c r="N39" i="145"/>
  <c r="O39" i="145"/>
  <c r="M40" i="145"/>
  <c r="N40" i="145"/>
  <c r="O40" i="145"/>
  <c r="M41" i="145"/>
  <c r="N41" i="145"/>
  <c r="O41" i="145"/>
  <c r="M42" i="145"/>
  <c r="N42" i="145"/>
  <c r="O42" i="145"/>
  <c r="M43" i="145"/>
  <c r="N43" i="145"/>
  <c r="O43" i="145"/>
  <c r="N9" i="145"/>
  <c r="M9" i="145"/>
  <c r="M10" i="143"/>
  <c r="N10" i="143"/>
  <c r="O10" i="143"/>
  <c r="M11" i="143"/>
  <c r="N11" i="143"/>
  <c r="O11" i="143"/>
  <c r="M12" i="143"/>
  <c r="N12" i="143"/>
  <c r="O12" i="143"/>
  <c r="M13" i="143"/>
  <c r="N13" i="143"/>
  <c r="O13" i="143"/>
  <c r="M14" i="143"/>
  <c r="N14" i="143"/>
  <c r="O14" i="143"/>
  <c r="M15" i="143"/>
  <c r="N15" i="143"/>
  <c r="O15" i="143"/>
  <c r="M16" i="143"/>
  <c r="N16" i="143"/>
  <c r="O16" i="143"/>
  <c r="M17" i="143"/>
  <c r="N17" i="143"/>
  <c r="O17" i="143"/>
  <c r="M18" i="143"/>
  <c r="N18" i="143"/>
  <c r="O18" i="143"/>
  <c r="M19" i="143"/>
  <c r="N19" i="143"/>
  <c r="O19" i="143"/>
  <c r="M20" i="143"/>
  <c r="N20" i="143"/>
  <c r="O20" i="143"/>
  <c r="M21" i="143"/>
  <c r="N21" i="143"/>
  <c r="O21" i="143"/>
  <c r="M22" i="143"/>
  <c r="N22" i="143"/>
  <c r="O22" i="143"/>
  <c r="M23" i="143"/>
  <c r="N23" i="143"/>
  <c r="O23" i="143"/>
  <c r="M24" i="143"/>
  <c r="N24" i="143"/>
  <c r="O24" i="143"/>
  <c r="M25" i="143"/>
  <c r="N25" i="143"/>
  <c r="O25" i="143"/>
  <c r="M26" i="143"/>
  <c r="N26" i="143"/>
  <c r="O26" i="143"/>
  <c r="M27" i="143"/>
  <c r="N27" i="143"/>
  <c r="O27" i="143"/>
  <c r="M28" i="143"/>
  <c r="N28" i="143"/>
  <c r="O28" i="143"/>
  <c r="M29" i="143"/>
  <c r="N29" i="143"/>
  <c r="O29" i="143"/>
  <c r="M30" i="143"/>
  <c r="N30" i="143"/>
  <c r="O30" i="143"/>
  <c r="M31" i="143"/>
  <c r="N31" i="143"/>
  <c r="O31" i="143"/>
  <c r="M32" i="143"/>
  <c r="N32" i="143"/>
  <c r="O32" i="143"/>
  <c r="M33" i="143"/>
  <c r="N33" i="143"/>
  <c r="O33" i="143"/>
  <c r="M34" i="143"/>
  <c r="N34" i="143"/>
  <c r="O34" i="143"/>
  <c r="M35" i="143"/>
  <c r="N35" i="143"/>
  <c r="O35" i="143"/>
  <c r="M36" i="143"/>
  <c r="N36" i="143"/>
  <c r="O36" i="143"/>
  <c r="M37" i="143"/>
  <c r="N37" i="143"/>
  <c r="O37" i="143"/>
  <c r="M38" i="143"/>
  <c r="N38" i="143"/>
  <c r="O38" i="143"/>
  <c r="M39" i="143"/>
  <c r="N39" i="143"/>
  <c r="O39" i="143"/>
  <c r="M40" i="143"/>
  <c r="N40" i="143"/>
  <c r="O40" i="143"/>
  <c r="M41" i="143"/>
  <c r="N41" i="143"/>
  <c r="O41" i="143"/>
  <c r="M42" i="143"/>
  <c r="N42" i="143"/>
  <c r="O42" i="143"/>
  <c r="M43" i="143"/>
  <c r="N43" i="143"/>
  <c r="O43" i="143"/>
  <c r="O9" i="143"/>
  <c r="N9" i="143"/>
  <c r="M9" i="143"/>
  <c r="M8" i="96"/>
  <c r="N8" i="96"/>
  <c r="O8" i="96"/>
  <c r="M9" i="96"/>
  <c r="N9" i="96"/>
  <c r="O9" i="96"/>
  <c r="M10" i="96"/>
  <c r="N10" i="96"/>
  <c r="O10" i="96"/>
  <c r="M11" i="96"/>
  <c r="N11" i="96"/>
  <c r="O11" i="96"/>
  <c r="M12" i="96"/>
  <c r="N12" i="96"/>
  <c r="O12" i="96"/>
  <c r="M13" i="96"/>
  <c r="N13" i="96"/>
  <c r="O13" i="96"/>
  <c r="M14" i="96"/>
  <c r="N14" i="96"/>
  <c r="O14" i="96"/>
  <c r="M15" i="96"/>
  <c r="N15" i="96"/>
  <c r="O15" i="96"/>
  <c r="M16" i="96"/>
  <c r="N16" i="96"/>
  <c r="O16" i="96"/>
  <c r="M17" i="96"/>
  <c r="N17" i="96"/>
  <c r="O17" i="96"/>
  <c r="M18" i="96"/>
  <c r="N18" i="96"/>
  <c r="O18" i="96"/>
  <c r="M19" i="96"/>
  <c r="N19" i="96"/>
  <c r="O19" i="96"/>
  <c r="M20" i="96"/>
  <c r="N20" i="96"/>
  <c r="O20" i="96"/>
  <c r="M21" i="96"/>
  <c r="N21" i="96"/>
  <c r="O21" i="96"/>
  <c r="M22" i="96"/>
  <c r="N22" i="96"/>
  <c r="O22" i="96"/>
  <c r="M23" i="96"/>
  <c r="N23" i="96"/>
  <c r="O23" i="96"/>
  <c r="M24" i="96"/>
  <c r="N24" i="96"/>
  <c r="O24" i="96"/>
  <c r="M25" i="96"/>
  <c r="N25" i="96"/>
  <c r="O25" i="96"/>
  <c r="M26" i="96"/>
  <c r="N26" i="96"/>
  <c r="O26" i="96"/>
  <c r="M27" i="96"/>
  <c r="N27" i="96"/>
  <c r="O27" i="96"/>
  <c r="M28" i="96"/>
  <c r="N28" i="96"/>
  <c r="O28" i="96"/>
  <c r="M29" i="96"/>
  <c r="N29" i="96"/>
  <c r="O29" i="96"/>
  <c r="M30" i="96"/>
  <c r="N30" i="96"/>
  <c r="O30" i="96"/>
  <c r="M31" i="96"/>
  <c r="N31" i="96"/>
  <c r="O31" i="96"/>
  <c r="M32" i="96"/>
  <c r="N32" i="96"/>
  <c r="O32" i="96"/>
  <c r="M33" i="96"/>
  <c r="N33" i="96"/>
  <c r="O33" i="96"/>
  <c r="M34" i="96"/>
  <c r="N34" i="96"/>
  <c r="O34" i="96"/>
  <c r="M35" i="96"/>
  <c r="N35" i="96"/>
  <c r="O35" i="96"/>
  <c r="M36" i="96"/>
  <c r="N36" i="96"/>
  <c r="O36" i="96"/>
  <c r="M37" i="96"/>
  <c r="N37" i="96"/>
  <c r="O37" i="96"/>
  <c r="M38" i="96"/>
  <c r="N38" i="96"/>
  <c r="O38" i="96"/>
  <c r="M39" i="96"/>
  <c r="N39" i="96"/>
  <c r="O39" i="96"/>
  <c r="M40" i="96"/>
  <c r="N40" i="96"/>
  <c r="O40" i="96"/>
  <c r="M41" i="96"/>
  <c r="N41" i="96"/>
  <c r="O41" i="96"/>
  <c r="M42" i="96"/>
  <c r="N42" i="96"/>
  <c r="O42" i="96"/>
  <c r="M43" i="96"/>
  <c r="N43" i="96"/>
  <c r="O43" i="96"/>
  <c r="M44" i="96"/>
  <c r="N44" i="96"/>
  <c r="O44" i="96"/>
  <c r="M45" i="96"/>
  <c r="N45" i="96"/>
  <c r="O45" i="96"/>
  <c r="M46" i="96"/>
  <c r="N46" i="96"/>
  <c r="O46" i="96"/>
  <c r="O7" i="96"/>
  <c r="N7" i="96"/>
  <c r="M7" i="96"/>
  <c r="L8" i="96"/>
  <c r="L9" i="96"/>
  <c r="L10" i="96"/>
  <c r="L11" i="96"/>
  <c r="L12" i="96"/>
  <c r="L13" i="96"/>
  <c r="L14" i="96"/>
  <c r="L15" i="96"/>
  <c r="L16" i="96"/>
  <c r="L17" i="96"/>
  <c r="L18" i="96"/>
  <c r="L19" i="96"/>
  <c r="L20" i="96"/>
  <c r="L21" i="96"/>
  <c r="L22" i="96"/>
  <c r="L23" i="96"/>
  <c r="L24" i="96"/>
  <c r="L25" i="96"/>
  <c r="L26" i="96"/>
  <c r="L27" i="96"/>
  <c r="L28" i="96"/>
  <c r="L29" i="96"/>
  <c r="L30" i="96"/>
  <c r="L31" i="96"/>
  <c r="L32" i="96"/>
  <c r="L33" i="96"/>
  <c r="L34" i="96"/>
  <c r="L35" i="96"/>
  <c r="L36" i="96"/>
  <c r="L37" i="96"/>
  <c r="L38" i="96"/>
  <c r="L39" i="96"/>
  <c r="L40" i="96"/>
  <c r="L41" i="96"/>
  <c r="L42" i="96"/>
  <c r="L43" i="96"/>
  <c r="L44" i="96"/>
  <c r="L45" i="96"/>
  <c r="L46" i="96"/>
  <c r="L7" i="96"/>
  <c r="L8" i="95"/>
  <c r="L9" i="95"/>
  <c r="L10" i="95"/>
  <c r="L11" i="95"/>
  <c r="L12" i="95"/>
  <c r="L13" i="95"/>
  <c r="L14" i="95"/>
  <c r="L15" i="95"/>
  <c r="L16" i="95"/>
  <c r="L17" i="95"/>
  <c r="L18" i="95"/>
  <c r="L19" i="95"/>
  <c r="L20" i="95"/>
  <c r="L21" i="95"/>
  <c r="L22" i="95"/>
  <c r="L23" i="95"/>
  <c r="L24" i="95"/>
  <c r="L25" i="95"/>
  <c r="L26" i="95"/>
  <c r="L27" i="95"/>
  <c r="L28" i="95"/>
  <c r="L29" i="95"/>
  <c r="L30" i="95"/>
  <c r="L31" i="95"/>
  <c r="L32" i="95"/>
  <c r="L33" i="95"/>
  <c r="L34" i="95"/>
  <c r="L35" i="95"/>
  <c r="L36" i="95"/>
  <c r="L37" i="95"/>
  <c r="L38" i="95"/>
  <c r="L39" i="95"/>
  <c r="L40" i="95"/>
  <c r="L41" i="95"/>
  <c r="L42" i="95"/>
  <c r="L43" i="95"/>
  <c r="L44" i="95"/>
  <c r="L45" i="95"/>
  <c r="L46" i="95"/>
  <c r="L7" i="95"/>
  <c r="M8" i="95"/>
  <c r="N8" i="95"/>
  <c r="O8" i="95"/>
  <c r="M9" i="95"/>
  <c r="N9" i="95"/>
  <c r="O9" i="95"/>
  <c r="M10" i="95"/>
  <c r="N10" i="95"/>
  <c r="O10" i="95"/>
  <c r="M11" i="95"/>
  <c r="N11" i="95"/>
  <c r="O11" i="95"/>
  <c r="M12" i="95"/>
  <c r="N12" i="95"/>
  <c r="O12" i="95"/>
  <c r="M13" i="95"/>
  <c r="N13" i="95"/>
  <c r="O13" i="95"/>
  <c r="M14" i="95"/>
  <c r="N14" i="95"/>
  <c r="O14" i="95"/>
  <c r="M15" i="95"/>
  <c r="N15" i="95"/>
  <c r="O15" i="95"/>
  <c r="M16" i="95"/>
  <c r="N16" i="95"/>
  <c r="O16" i="95"/>
  <c r="M17" i="95"/>
  <c r="N17" i="95"/>
  <c r="O17" i="95"/>
  <c r="M18" i="95"/>
  <c r="N18" i="95"/>
  <c r="O18" i="95"/>
  <c r="M19" i="95"/>
  <c r="N19" i="95"/>
  <c r="O19" i="95"/>
  <c r="M20" i="95"/>
  <c r="N20" i="95"/>
  <c r="O20" i="95"/>
  <c r="M21" i="95"/>
  <c r="N21" i="95"/>
  <c r="O21" i="95"/>
  <c r="M22" i="95"/>
  <c r="N22" i="95"/>
  <c r="O22" i="95"/>
  <c r="M23" i="95"/>
  <c r="N23" i="95"/>
  <c r="O23" i="95"/>
  <c r="M24" i="95"/>
  <c r="N24" i="95"/>
  <c r="O24" i="95"/>
  <c r="M25" i="95"/>
  <c r="N25" i="95"/>
  <c r="O25" i="95"/>
  <c r="M26" i="95"/>
  <c r="N26" i="95"/>
  <c r="O26" i="95"/>
  <c r="M27" i="95"/>
  <c r="N27" i="95"/>
  <c r="O27" i="95"/>
  <c r="M28" i="95"/>
  <c r="N28" i="95"/>
  <c r="O28" i="95"/>
  <c r="M29" i="95"/>
  <c r="N29" i="95"/>
  <c r="O29" i="95"/>
  <c r="M30" i="95"/>
  <c r="N30" i="95"/>
  <c r="O30" i="95"/>
  <c r="M31" i="95"/>
  <c r="N31" i="95"/>
  <c r="O31" i="95"/>
  <c r="M32" i="95"/>
  <c r="N32" i="95"/>
  <c r="O32" i="95"/>
  <c r="M33" i="95"/>
  <c r="N33" i="95"/>
  <c r="O33" i="95"/>
  <c r="M34" i="95"/>
  <c r="N34" i="95"/>
  <c r="O34" i="95"/>
  <c r="M35" i="95"/>
  <c r="N35" i="95"/>
  <c r="O35" i="95"/>
  <c r="M36" i="95"/>
  <c r="N36" i="95"/>
  <c r="O36" i="95"/>
  <c r="M37" i="95"/>
  <c r="N37" i="95"/>
  <c r="O37" i="95"/>
  <c r="M38" i="95"/>
  <c r="N38" i="95"/>
  <c r="O38" i="95"/>
  <c r="M39" i="95"/>
  <c r="N39" i="95"/>
  <c r="O39" i="95"/>
  <c r="M40" i="95"/>
  <c r="N40" i="95"/>
  <c r="O40" i="95"/>
  <c r="M41" i="95"/>
  <c r="N41" i="95"/>
  <c r="O41" i="95"/>
  <c r="M42" i="95"/>
  <c r="N42" i="95"/>
  <c r="O42" i="95"/>
  <c r="M43" i="95"/>
  <c r="N43" i="95"/>
  <c r="O43" i="95"/>
  <c r="M44" i="95"/>
  <c r="N44" i="95"/>
  <c r="O44" i="95"/>
  <c r="M45" i="95"/>
  <c r="N45" i="95"/>
  <c r="O45" i="95"/>
  <c r="M46" i="95"/>
  <c r="N46" i="95"/>
  <c r="O46" i="95"/>
  <c r="N7" i="95"/>
  <c r="M7" i="95"/>
  <c r="L10" i="100"/>
  <c r="M10" i="100"/>
  <c r="N10" i="100"/>
  <c r="O10" i="100"/>
  <c r="L11" i="100"/>
  <c r="M11" i="100"/>
  <c r="N11" i="100"/>
  <c r="O11" i="100"/>
  <c r="L12" i="100"/>
  <c r="M12" i="100"/>
  <c r="N12" i="100"/>
  <c r="O12" i="100"/>
  <c r="L13" i="100"/>
  <c r="M13" i="100"/>
  <c r="N13" i="100"/>
  <c r="O13" i="100"/>
  <c r="L14" i="100"/>
  <c r="M14" i="100"/>
  <c r="N14" i="100"/>
  <c r="O14" i="100"/>
  <c r="L15" i="100"/>
  <c r="M15" i="100"/>
  <c r="N15" i="100"/>
  <c r="O15" i="100"/>
  <c r="L16" i="100"/>
  <c r="M16" i="100"/>
  <c r="N16" i="100"/>
  <c r="O16" i="100"/>
  <c r="L17" i="100"/>
  <c r="M17" i="100"/>
  <c r="N17" i="100"/>
  <c r="O17" i="100"/>
  <c r="L18" i="100"/>
  <c r="M18" i="100"/>
  <c r="N18" i="100"/>
  <c r="O18" i="100"/>
  <c r="L19" i="100"/>
  <c r="M19" i="100"/>
  <c r="N19" i="100"/>
  <c r="O19" i="100"/>
  <c r="L20" i="100"/>
  <c r="M20" i="100"/>
  <c r="N20" i="100"/>
  <c r="O20" i="100"/>
  <c r="L21" i="100"/>
  <c r="M21" i="100"/>
  <c r="N21" i="100"/>
  <c r="O21" i="100"/>
  <c r="L22" i="100"/>
  <c r="M22" i="100"/>
  <c r="N22" i="100"/>
  <c r="O22" i="100"/>
  <c r="L23" i="100"/>
  <c r="M23" i="100"/>
  <c r="N23" i="100"/>
  <c r="O23" i="100"/>
  <c r="L24" i="100"/>
  <c r="M24" i="100"/>
  <c r="N24" i="100"/>
  <c r="O24" i="100"/>
  <c r="L25" i="100"/>
  <c r="M25" i="100"/>
  <c r="N25" i="100"/>
  <c r="O25" i="100"/>
  <c r="L26" i="100"/>
  <c r="M26" i="100"/>
  <c r="N26" i="100"/>
  <c r="O26" i="100"/>
  <c r="L27" i="100"/>
  <c r="M27" i="100"/>
  <c r="N27" i="100"/>
  <c r="O27" i="100"/>
  <c r="L28" i="100"/>
  <c r="M28" i="100"/>
  <c r="N28" i="100"/>
  <c r="O28" i="100"/>
  <c r="L29" i="100"/>
  <c r="M29" i="100"/>
  <c r="N29" i="100"/>
  <c r="O29" i="100"/>
  <c r="L30" i="100"/>
  <c r="M30" i="100"/>
  <c r="N30" i="100"/>
  <c r="O30" i="100"/>
  <c r="L31" i="100"/>
  <c r="M31" i="100"/>
  <c r="N31" i="100"/>
  <c r="O31" i="100"/>
  <c r="L32" i="100"/>
  <c r="M32" i="100"/>
  <c r="N32" i="100"/>
  <c r="O32" i="100"/>
  <c r="L33" i="100"/>
  <c r="M33" i="100"/>
  <c r="N33" i="100"/>
  <c r="O33" i="100"/>
  <c r="L34" i="100"/>
  <c r="M34" i="100"/>
  <c r="N34" i="100"/>
  <c r="O34" i="100"/>
  <c r="L35" i="100"/>
  <c r="M35" i="100"/>
  <c r="N35" i="100"/>
  <c r="O35" i="100"/>
  <c r="L36" i="100"/>
  <c r="M36" i="100"/>
  <c r="N36" i="100"/>
  <c r="O36" i="100"/>
  <c r="L37" i="100"/>
  <c r="M37" i="100"/>
  <c r="N37" i="100"/>
  <c r="O37" i="100"/>
  <c r="L38" i="100"/>
  <c r="M38" i="100"/>
  <c r="N38" i="100"/>
  <c r="O38" i="100"/>
  <c r="L39" i="100"/>
  <c r="M39" i="100"/>
  <c r="N39" i="100"/>
  <c r="O39" i="100"/>
  <c r="L40" i="100"/>
  <c r="M40" i="100"/>
  <c r="N40" i="100"/>
  <c r="O40" i="100"/>
  <c r="L41" i="100"/>
  <c r="M41" i="100"/>
  <c r="N41" i="100"/>
  <c r="O41" i="100"/>
  <c r="L42" i="100"/>
  <c r="M42" i="100"/>
  <c r="N42" i="100"/>
  <c r="O42" i="100"/>
  <c r="L43" i="100"/>
  <c r="M43" i="100"/>
  <c r="N43" i="100"/>
  <c r="O43" i="100"/>
  <c r="L44" i="100"/>
  <c r="M44" i="100"/>
  <c r="N44" i="100"/>
  <c r="O44" i="100"/>
  <c r="L45" i="100"/>
  <c r="M45" i="100"/>
  <c r="N45" i="100"/>
  <c r="O45" i="100"/>
  <c r="L46" i="100"/>
  <c r="M46" i="100"/>
  <c r="N46" i="100"/>
  <c r="O46" i="100"/>
  <c r="L47" i="100"/>
  <c r="M47" i="100"/>
  <c r="N47" i="100"/>
  <c r="O47" i="100"/>
  <c r="L48" i="100"/>
  <c r="M48" i="100"/>
  <c r="N48" i="100"/>
  <c r="O48" i="100"/>
  <c r="L9" i="100"/>
  <c r="O9" i="100"/>
  <c r="N9" i="100"/>
  <c r="M9" i="100"/>
  <c r="M10" i="99"/>
  <c r="N10" i="99"/>
  <c r="O10" i="99"/>
  <c r="M11" i="99"/>
  <c r="N11" i="99"/>
  <c r="O11" i="99"/>
  <c r="M12" i="99"/>
  <c r="N12" i="99"/>
  <c r="O12" i="99"/>
  <c r="M13" i="99"/>
  <c r="N13" i="99"/>
  <c r="O13" i="99"/>
  <c r="M14" i="99"/>
  <c r="N14" i="99"/>
  <c r="O14" i="99"/>
  <c r="M15" i="99"/>
  <c r="N15" i="99"/>
  <c r="O15" i="99"/>
  <c r="M16" i="99"/>
  <c r="N16" i="99"/>
  <c r="O16" i="99"/>
  <c r="M17" i="99"/>
  <c r="N17" i="99"/>
  <c r="O17" i="99"/>
  <c r="M18" i="99"/>
  <c r="N18" i="99"/>
  <c r="O18" i="99"/>
  <c r="M19" i="99"/>
  <c r="N19" i="99"/>
  <c r="O19" i="99"/>
  <c r="M20" i="99"/>
  <c r="N20" i="99"/>
  <c r="O20" i="99"/>
  <c r="M21" i="99"/>
  <c r="N21" i="99"/>
  <c r="O21" i="99"/>
  <c r="M22" i="99"/>
  <c r="N22" i="99"/>
  <c r="O22" i="99"/>
  <c r="M23" i="99"/>
  <c r="N23" i="99"/>
  <c r="O23" i="99"/>
  <c r="M24" i="99"/>
  <c r="N24" i="99"/>
  <c r="O24" i="99"/>
  <c r="M25" i="99"/>
  <c r="N25" i="99"/>
  <c r="O25" i="99"/>
  <c r="M26" i="99"/>
  <c r="N26" i="99"/>
  <c r="O26" i="99"/>
  <c r="M27" i="99"/>
  <c r="N27" i="99"/>
  <c r="O27" i="99"/>
  <c r="M28" i="99"/>
  <c r="N28" i="99"/>
  <c r="O28" i="99"/>
  <c r="M29" i="99"/>
  <c r="N29" i="99"/>
  <c r="O29" i="99"/>
  <c r="M30" i="99"/>
  <c r="N30" i="99"/>
  <c r="O30" i="99"/>
  <c r="M31" i="99"/>
  <c r="N31" i="99"/>
  <c r="O31" i="99"/>
  <c r="M32" i="99"/>
  <c r="N32" i="99"/>
  <c r="O32" i="99"/>
  <c r="M33" i="99"/>
  <c r="N33" i="99"/>
  <c r="O33" i="99"/>
  <c r="M34" i="99"/>
  <c r="N34" i="99"/>
  <c r="O34" i="99"/>
  <c r="M35" i="99"/>
  <c r="N35" i="99"/>
  <c r="O35" i="99"/>
  <c r="M36" i="99"/>
  <c r="N36" i="99"/>
  <c r="O36" i="99"/>
  <c r="M37" i="99"/>
  <c r="N37" i="99"/>
  <c r="O37" i="99"/>
  <c r="M38" i="99"/>
  <c r="N38" i="99"/>
  <c r="O38" i="99"/>
  <c r="M39" i="99"/>
  <c r="N39" i="99"/>
  <c r="O39" i="99"/>
  <c r="M40" i="99"/>
  <c r="N40" i="99"/>
  <c r="O40" i="99"/>
  <c r="M41" i="99"/>
  <c r="N41" i="99"/>
  <c r="O41" i="99"/>
  <c r="M42" i="99"/>
  <c r="N42" i="99"/>
  <c r="O42" i="99"/>
  <c r="M43" i="99"/>
  <c r="N43" i="99"/>
  <c r="O43" i="99"/>
  <c r="M44" i="99"/>
  <c r="N44" i="99"/>
  <c r="O44" i="99"/>
  <c r="M45" i="99"/>
  <c r="N45" i="99"/>
  <c r="O45" i="99"/>
  <c r="M46" i="99"/>
  <c r="N46" i="99"/>
  <c r="O46" i="99"/>
  <c r="M47" i="99"/>
  <c r="N47" i="99"/>
  <c r="O47" i="99"/>
  <c r="M48" i="99"/>
  <c r="N48" i="99"/>
  <c r="O48" i="99"/>
  <c r="O9" i="99"/>
  <c r="N9" i="99"/>
  <c r="M9" i="99"/>
  <c r="L10" i="99"/>
  <c r="R10" i="99" s="1"/>
  <c r="L11" i="99"/>
  <c r="L12" i="99"/>
  <c r="L13" i="99"/>
  <c r="L14" i="99"/>
  <c r="L15" i="99"/>
  <c r="L16" i="99"/>
  <c r="L17" i="99"/>
  <c r="L18" i="99"/>
  <c r="L19" i="99"/>
  <c r="L20" i="99"/>
  <c r="L21" i="99"/>
  <c r="L22" i="99"/>
  <c r="L23" i="99"/>
  <c r="L24" i="99"/>
  <c r="L25" i="99"/>
  <c r="L26" i="99"/>
  <c r="L27" i="99"/>
  <c r="L28" i="99"/>
  <c r="L29" i="99"/>
  <c r="L30" i="99"/>
  <c r="L31" i="99"/>
  <c r="L32" i="99"/>
  <c r="L33" i="99"/>
  <c r="L34" i="99"/>
  <c r="L35" i="99"/>
  <c r="L36" i="99"/>
  <c r="L37" i="99"/>
  <c r="L38" i="99"/>
  <c r="L39" i="99"/>
  <c r="L40" i="99"/>
  <c r="L41" i="99"/>
  <c r="L42" i="99"/>
  <c r="L43" i="99"/>
  <c r="L44" i="99"/>
  <c r="L45" i="99"/>
  <c r="L46" i="99"/>
  <c r="L47" i="99"/>
  <c r="L48" i="99"/>
  <c r="L9" i="99"/>
  <c r="M10" i="80"/>
  <c r="N10" i="80"/>
  <c r="O10" i="80"/>
  <c r="M11" i="80"/>
  <c r="N11" i="80"/>
  <c r="O11" i="80"/>
  <c r="M12" i="80"/>
  <c r="N12" i="80"/>
  <c r="O12" i="80"/>
  <c r="M13" i="80"/>
  <c r="N13" i="80"/>
  <c r="O13" i="80"/>
  <c r="M14" i="80"/>
  <c r="N14" i="80"/>
  <c r="O14" i="80"/>
  <c r="M15" i="80"/>
  <c r="N15" i="80"/>
  <c r="O15" i="80"/>
  <c r="M16" i="80"/>
  <c r="N16" i="80"/>
  <c r="O16" i="80"/>
  <c r="M17" i="80"/>
  <c r="N17" i="80"/>
  <c r="O17" i="80"/>
  <c r="M18" i="80"/>
  <c r="N18" i="80"/>
  <c r="O18" i="80"/>
  <c r="M19" i="80"/>
  <c r="N19" i="80"/>
  <c r="O19" i="80"/>
  <c r="M20" i="80"/>
  <c r="N20" i="80"/>
  <c r="O20" i="80"/>
  <c r="M21" i="80"/>
  <c r="N21" i="80"/>
  <c r="O21" i="80"/>
  <c r="M22" i="80"/>
  <c r="N22" i="80"/>
  <c r="O22" i="80"/>
  <c r="M23" i="80"/>
  <c r="N23" i="80"/>
  <c r="O23" i="80"/>
  <c r="M24" i="80"/>
  <c r="N24" i="80"/>
  <c r="O24" i="80"/>
  <c r="M25" i="80"/>
  <c r="N25" i="80"/>
  <c r="O25" i="80"/>
  <c r="M26" i="80"/>
  <c r="N26" i="80"/>
  <c r="O26" i="80"/>
  <c r="M27" i="80"/>
  <c r="N27" i="80"/>
  <c r="O27" i="80"/>
  <c r="M28" i="80"/>
  <c r="N28" i="80"/>
  <c r="O28" i="80"/>
  <c r="M29" i="80"/>
  <c r="N29" i="80"/>
  <c r="O29" i="80"/>
  <c r="M30" i="80"/>
  <c r="N30" i="80"/>
  <c r="O30" i="80"/>
  <c r="M31" i="80"/>
  <c r="N31" i="80"/>
  <c r="O31" i="80"/>
  <c r="M32" i="80"/>
  <c r="N32" i="80"/>
  <c r="O32" i="80"/>
  <c r="M33" i="80"/>
  <c r="N33" i="80"/>
  <c r="O33" i="80"/>
  <c r="M34" i="80"/>
  <c r="N34" i="80"/>
  <c r="O34" i="80"/>
  <c r="M35" i="80"/>
  <c r="N35" i="80"/>
  <c r="O35" i="80"/>
  <c r="M36" i="80"/>
  <c r="N36" i="80"/>
  <c r="O36" i="80"/>
  <c r="M37" i="80"/>
  <c r="N37" i="80"/>
  <c r="O37" i="80"/>
  <c r="M38" i="80"/>
  <c r="N38" i="80"/>
  <c r="O38" i="80"/>
  <c r="M39" i="80"/>
  <c r="N39" i="80"/>
  <c r="O39" i="80"/>
  <c r="M40" i="80"/>
  <c r="N40" i="80"/>
  <c r="O40" i="80"/>
  <c r="M41" i="80"/>
  <c r="N41" i="80"/>
  <c r="O41" i="80"/>
  <c r="M42" i="80"/>
  <c r="N42" i="80"/>
  <c r="O42" i="80"/>
  <c r="M43" i="80"/>
  <c r="N43" i="80"/>
  <c r="O43" i="80"/>
  <c r="M44" i="80"/>
  <c r="N44" i="80"/>
  <c r="O44" i="80"/>
  <c r="M45" i="80"/>
  <c r="N45" i="80"/>
  <c r="O45" i="80"/>
  <c r="M46" i="80"/>
  <c r="N46" i="80"/>
  <c r="O46" i="80"/>
  <c r="M47" i="80"/>
  <c r="N47" i="80"/>
  <c r="O47" i="80"/>
  <c r="M48" i="80"/>
  <c r="N48" i="80"/>
  <c r="O48" i="80"/>
  <c r="O9" i="80"/>
  <c r="N9" i="80"/>
  <c r="M9" i="80"/>
  <c r="M10" i="101"/>
  <c r="N10" i="101"/>
  <c r="O10" i="101"/>
  <c r="M11" i="101"/>
  <c r="N11" i="101"/>
  <c r="O11" i="101"/>
  <c r="M12" i="101"/>
  <c r="N12" i="101"/>
  <c r="O12" i="101"/>
  <c r="M13" i="101"/>
  <c r="N13" i="101"/>
  <c r="O13" i="101"/>
  <c r="M14" i="101"/>
  <c r="N14" i="101"/>
  <c r="O14" i="101"/>
  <c r="M15" i="101"/>
  <c r="N15" i="101"/>
  <c r="O15" i="101"/>
  <c r="M16" i="101"/>
  <c r="N16" i="101"/>
  <c r="O16" i="101"/>
  <c r="M17" i="101"/>
  <c r="N17" i="101"/>
  <c r="O17" i="101"/>
  <c r="M18" i="101"/>
  <c r="N18" i="101"/>
  <c r="O18" i="101"/>
  <c r="M19" i="101"/>
  <c r="N19" i="101"/>
  <c r="O19" i="101"/>
  <c r="M20" i="101"/>
  <c r="N20" i="101"/>
  <c r="O20" i="101"/>
  <c r="M21" i="101"/>
  <c r="N21" i="101"/>
  <c r="O21" i="101"/>
  <c r="M22" i="101"/>
  <c r="N22" i="101"/>
  <c r="O22" i="101"/>
  <c r="M23" i="101"/>
  <c r="N23" i="101"/>
  <c r="O23" i="101"/>
  <c r="M24" i="101"/>
  <c r="N24" i="101"/>
  <c r="O24" i="101"/>
  <c r="M25" i="101"/>
  <c r="N25" i="101"/>
  <c r="O25" i="101"/>
  <c r="M26" i="101"/>
  <c r="N26" i="101"/>
  <c r="O26" i="101"/>
  <c r="M27" i="101"/>
  <c r="N27" i="101"/>
  <c r="O27" i="101"/>
  <c r="M28" i="101"/>
  <c r="N28" i="101"/>
  <c r="O28" i="101"/>
  <c r="M29" i="101"/>
  <c r="N29" i="101"/>
  <c r="O29" i="101"/>
  <c r="M30" i="101"/>
  <c r="N30" i="101"/>
  <c r="O30" i="101"/>
  <c r="M31" i="101"/>
  <c r="N31" i="101"/>
  <c r="O31" i="101"/>
  <c r="M32" i="101"/>
  <c r="N32" i="101"/>
  <c r="O32" i="101"/>
  <c r="M33" i="101"/>
  <c r="N33" i="101"/>
  <c r="O33" i="101"/>
  <c r="M34" i="101"/>
  <c r="N34" i="101"/>
  <c r="O34" i="101"/>
  <c r="M35" i="101"/>
  <c r="N35" i="101"/>
  <c r="O35" i="101"/>
  <c r="M36" i="101"/>
  <c r="N36" i="101"/>
  <c r="O36" i="101"/>
  <c r="M37" i="101"/>
  <c r="N37" i="101"/>
  <c r="O37" i="101"/>
  <c r="M38" i="101"/>
  <c r="N38" i="101"/>
  <c r="O38" i="101"/>
  <c r="M39" i="101"/>
  <c r="N39" i="101"/>
  <c r="O39" i="101"/>
  <c r="M40" i="101"/>
  <c r="N40" i="101"/>
  <c r="O40" i="101"/>
  <c r="M41" i="101"/>
  <c r="N41" i="101"/>
  <c r="O41" i="101"/>
  <c r="M42" i="101"/>
  <c r="N42" i="101"/>
  <c r="O42" i="101"/>
  <c r="M43" i="101"/>
  <c r="N43" i="101"/>
  <c r="O43" i="101"/>
  <c r="M44" i="101"/>
  <c r="N44" i="101"/>
  <c r="O44" i="101"/>
  <c r="M45" i="101"/>
  <c r="N45" i="101"/>
  <c r="O45" i="101"/>
  <c r="M46" i="101"/>
  <c r="N46" i="101"/>
  <c r="O46" i="101"/>
  <c r="M47" i="101"/>
  <c r="N47" i="101"/>
  <c r="O47" i="101"/>
  <c r="M48" i="101"/>
  <c r="N48" i="101"/>
  <c r="O48" i="101"/>
  <c r="N9" i="101"/>
  <c r="Q10" i="99"/>
  <c r="S10" i="99"/>
  <c r="Q11" i="99"/>
  <c r="R11" i="99"/>
  <c r="S11" i="99"/>
  <c r="T11" i="99"/>
  <c r="Q12" i="99"/>
  <c r="R12" i="99"/>
  <c r="S12" i="99"/>
  <c r="T12" i="99"/>
  <c r="Q13" i="99"/>
  <c r="R13" i="99"/>
  <c r="S13" i="99"/>
  <c r="T13" i="99"/>
  <c r="Q14" i="99"/>
  <c r="R14" i="99"/>
  <c r="S14" i="99"/>
  <c r="T14" i="99"/>
  <c r="Q15" i="99"/>
  <c r="R15" i="99"/>
  <c r="S15" i="99"/>
  <c r="T15" i="99"/>
  <c r="Q16" i="99"/>
  <c r="R16" i="99"/>
  <c r="S16" i="99"/>
  <c r="T16" i="99"/>
  <c r="Q17" i="99"/>
  <c r="R17" i="99"/>
  <c r="S17" i="99"/>
  <c r="T17" i="99"/>
  <c r="Q18" i="99"/>
  <c r="R18" i="99"/>
  <c r="S18" i="99"/>
  <c r="T18" i="99"/>
  <c r="Q19" i="99"/>
  <c r="R19" i="99"/>
  <c r="S19" i="99"/>
  <c r="T19" i="99"/>
  <c r="Q20" i="99"/>
  <c r="R20" i="99"/>
  <c r="S20" i="99"/>
  <c r="T20" i="99"/>
  <c r="Q21" i="99"/>
  <c r="R21" i="99"/>
  <c r="S21" i="99"/>
  <c r="T21" i="99"/>
  <c r="Q22" i="99"/>
  <c r="R22" i="99"/>
  <c r="S22" i="99"/>
  <c r="T22" i="99"/>
  <c r="Q23" i="99"/>
  <c r="R23" i="99"/>
  <c r="S23" i="99"/>
  <c r="T23" i="99"/>
  <c r="Q24" i="99"/>
  <c r="R24" i="99"/>
  <c r="S24" i="99"/>
  <c r="T24" i="99"/>
  <c r="Q25" i="99"/>
  <c r="R25" i="99"/>
  <c r="S25" i="99"/>
  <c r="T25" i="99"/>
  <c r="Q26" i="99"/>
  <c r="R26" i="99"/>
  <c r="S26" i="99"/>
  <c r="T26" i="99"/>
  <c r="Q27" i="99"/>
  <c r="R27" i="99"/>
  <c r="S27" i="99"/>
  <c r="T27" i="99"/>
  <c r="Q28" i="99"/>
  <c r="R28" i="99"/>
  <c r="S28" i="99"/>
  <c r="T28" i="99"/>
  <c r="Q29" i="99"/>
  <c r="R29" i="99"/>
  <c r="S29" i="99"/>
  <c r="T29" i="99"/>
  <c r="Q30" i="99"/>
  <c r="R30" i="99"/>
  <c r="S30" i="99"/>
  <c r="T30" i="99"/>
  <c r="Q31" i="99"/>
  <c r="R31" i="99"/>
  <c r="S31" i="99"/>
  <c r="T31" i="99"/>
  <c r="Q32" i="99"/>
  <c r="R32" i="99"/>
  <c r="S32" i="99"/>
  <c r="T32" i="99"/>
  <c r="Q33" i="99"/>
  <c r="R33" i="99"/>
  <c r="S33" i="99"/>
  <c r="T33" i="99"/>
  <c r="Q34" i="99"/>
  <c r="R34" i="99"/>
  <c r="S34" i="99"/>
  <c r="T34" i="99"/>
  <c r="Q35" i="99"/>
  <c r="R35" i="99"/>
  <c r="S35" i="99"/>
  <c r="T35" i="99"/>
  <c r="Q36" i="99"/>
  <c r="R36" i="99"/>
  <c r="S36" i="99"/>
  <c r="T36" i="99"/>
  <c r="Q37" i="99"/>
  <c r="R37" i="99"/>
  <c r="S37" i="99"/>
  <c r="T37" i="99"/>
  <c r="Q38" i="99"/>
  <c r="R38" i="99"/>
  <c r="S38" i="99"/>
  <c r="T38" i="99"/>
  <c r="Q39" i="99"/>
  <c r="R39" i="99"/>
  <c r="S39" i="99"/>
  <c r="T39" i="99"/>
  <c r="Q40" i="99"/>
  <c r="R40" i="99"/>
  <c r="S40" i="99"/>
  <c r="T40" i="99"/>
  <c r="Q41" i="99"/>
  <c r="R41" i="99"/>
  <c r="S41" i="99"/>
  <c r="T41" i="99"/>
  <c r="Q42" i="99"/>
  <c r="R42" i="99"/>
  <c r="S42" i="99"/>
  <c r="T42" i="99"/>
  <c r="Q43" i="99"/>
  <c r="R43" i="99"/>
  <c r="S43" i="99"/>
  <c r="T43" i="99"/>
  <c r="Q44" i="99"/>
  <c r="R44" i="99"/>
  <c r="S44" i="99"/>
  <c r="T44" i="99"/>
  <c r="Q45" i="99"/>
  <c r="R45" i="99"/>
  <c r="S45" i="99"/>
  <c r="T45" i="99"/>
  <c r="Q46" i="99"/>
  <c r="R46" i="99"/>
  <c r="S46" i="99"/>
  <c r="T46" i="99"/>
  <c r="Q47" i="99"/>
  <c r="R47" i="99"/>
  <c r="S47" i="99"/>
  <c r="T47" i="99"/>
  <c r="Q48" i="99"/>
  <c r="R48" i="99"/>
  <c r="S48" i="99"/>
  <c r="T48" i="99"/>
  <c r="T9" i="99"/>
  <c r="S9" i="99"/>
  <c r="R9" i="99"/>
  <c r="Q9" i="99"/>
  <c r="AK18" i="68" l="1"/>
  <c r="E65" i="79"/>
  <c r="F65" i="79" s="1"/>
  <c r="E167" i="79"/>
  <c r="F167" i="79" s="1"/>
  <c r="AK35" i="68"/>
  <c r="E215" i="79"/>
  <c r="F215" i="79" s="1"/>
  <c r="AK43" i="68"/>
  <c r="AK14" i="68"/>
  <c r="E41" i="79"/>
  <c r="F41" i="79" s="1"/>
  <c r="AK33" i="68"/>
  <c r="E155" i="79"/>
  <c r="F155" i="79" s="1"/>
  <c r="AK28" i="68"/>
  <c r="E125" i="79"/>
  <c r="F125" i="79" s="1"/>
  <c r="AK31" i="68"/>
  <c r="E143" i="79"/>
  <c r="F143" i="79" s="1"/>
  <c r="I141" i="147"/>
  <c r="J141" i="147"/>
  <c r="J109" i="147"/>
  <c r="I109" i="147"/>
  <c r="J77" i="147"/>
  <c r="I77" i="147"/>
  <c r="J45" i="147"/>
  <c r="I148" i="147"/>
  <c r="J148" i="147"/>
  <c r="J116" i="147"/>
  <c r="I116" i="147"/>
  <c r="J84" i="147"/>
  <c r="J52" i="147"/>
  <c r="I52" i="147"/>
  <c r="J17" i="147"/>
  <c r="J159" i="147"/>
  <c r="I159" i="147"/>
  <c r="I127" i="147"/>
  <c r="J127" i="147"/>
  <c r="I95" i="147"/>
  <c r="J95" i="147"/>
  <c r="I63" i="147"/>
  <c r="J63" i="147"/>
  <c r="I31" i="147"/>
  <c r="J31" i="147"/>
  <c r="J15" i="147"/>
  <c r="H39" i="94"/>
  <c r="H159" i="94"/>
  <c r="I137" i="147"/>
  <c r="J137" i="147"/>
  <c r="J73" i="147"/>
  <c r="I73" i="147"/>
  <c r="I41" i="147"/>
  <c r="J41" i="147"/>
  <c r="L144" i="147"/>
  <c r="M144" i="147"/>
  <c r="K144" i="147"/>
  <c r="M12" i="147"/>
  <c r="K12" i="147"/>
  <c r="L12" i="147"/>
  <c r="H158" i="147"/>
  <c r="J123" i="147"/>
  <c r="H94" i="147"/>
  <c r="H62" i="147"/>
  <c r="I27" i="147"/>
  <c r="J27" i="147"/>
  <c r="H93" i="94"/>
  <c r="H189" i="94"/>
  <c r="J165" i="147"/>
  <c r="J133" i="147"/>
  <c r="I133" i="147"/>
  <c r="J101" i="147"/>
  <c r="I101" i="147"/>
  <c r="I69" i="147"/>
  <c r="J69" i="147"/>
  <c r="I37" i="147"/>
  <c r="J37" i="147"/>
  <c r="I44" i="147"/>
  <c r="I151" i="147"/>
  <c r="J151" i="147"/>
  <c r="J119" i="147"/>
  <c r="I119" i="147"/>
  <c r="I87" i="147"/>
  <c r="J87" i="147"/>
  <c r="J55" i="147"/>
  <c r="I55" i="147"/>
  <c r="I21" i="147"/>
  <c r="H27" i="94"/>
  <c r="H51" i="94"/>
  <c r="H147" i="94"/>
  <c r="I145" i="147"/>
  <c r="J113" i="147"/>
  <c r="I113" i="147"/>
  <c r="I81" i="147"/>
  <c r="J81" i="147"/>
  <c r="I49" i="147"/>
  <c r="J49" i="147"/>
  <c r="J152" i="147"/>
  <c r="I152" i="147"/>
  <c r="J120" i="147"/>
  <c r="I120" i="147"/>
  <c r="I88" i="147"/>
  <c r="J88" i="147"/>
  <c r="I56" i="147"/>
  <c r="J56" i="147"/>
  <c r="K23" i="147"/>
  <c r="L23" i="147"/>
  <c r="M23" i="147"/>
  <c r="T23" i="147"/>
  <c r="U23" i="147" s="1"/>
  <c r="H134" i="147"/>
  <c r="H102" i="147"/>
  <c r="H70" i="147"/>
  <c r="J20" i="147"/>
  <c r="H105" i="94"/>
  <c r="H201" i="94"/>
  <c r="AK23" i="68"/>
  <c r="E95" i="79"/>
  <c r="F95" i="79" s="1"/>
  <c r="AK21" i="68"/>
  <c r="E83" i="79"/>
  <c r="F83" i="79" s="1"/>
  <c r="AK37" i="68"/>
  <c r="E179" i="79"/>
  <c r="F179" i="79" s="1"/>
  <c r="AK17" i="68"/>
  <c r="E59" i="79"/>
  <c r="F59" i="79" s="1"/>
  <c r="AK30" i="68"/>
  <c r="E137" i="79"/>
  <c r="F137" i="79" s="1"/>
  <c r="AK38" i="68"/>
  <c r="E185" i="79"/>
  <c r="F185" i="79" s="1"/>
  <c r="AK46" i="68"/>
  <c r="E233" i="79"/>
  <c r="F233" i="79" s="1"/>
  <c r="AK10" i="68"/>
  <c r="E15" i="79"/>
  <c r="F15" i="79" s="1"/>
  <c r="M125" i="147"/>
  <c r="K125" i="147"/>
  <c r="L125" i="147"/>
  <c r="I143" i="147"/>
  <c r="H146" i="147"/>
  <c r="J11" i="147"/>
  <c r="H15" i="94"/>
  <c r="H63" i="94"/>
  <c r="H135" i="94"/>
  <c r="H231" i="94"/>
  <c r="I24" i="147"/>
  <c r="I144" i="147"/>
  <c r="J112" i="147"/>
  <c r="I112" i="147"/>
  <c r="I80" i="147"/>
  <c r="J80" i="147"/>
  <c r="I48" i="147"/>
  <c r="J48" i="147"/>
  <c r="I12" i="147"/>
  <c r="I155" i="147"/>
  <c r="J155" i="147"/>
  <c r="J91" i="147"/>
  <c r="I91" i="147"/>
  <c r="J59" i="147"/>
  <c r="I59" i="147"/>
  <c r="H45" i="94"/>
  <c r="H69" i="94"/>
  <c r="H165" i="94"/>
  <c r="I140" i="147"/>
  <c r="J140" i="147"/>
  <c r="I108" i="147"/>
  <c r="J108" i="147"/>
  <c r="I76" i="147"/>
  <c r="J76" i="147"/>
  <c r="M44" i="147"/>
  <c r="K44" i="147"/>
  <c r="L44" i="147"/>
  <c r="H138" i="147"/>
  <c r="H106" i="147"/>
  <c r="H74" i="147"/>
  <c r="H123" i="94"/>
  <c r="H219" i="94"/>
  <c r="H243" i="94"/>
  <c r="J65" i="147"/>
  <c r="J104" i="147"/>
  <c r="J163" i="147"/>
  <c r="J131" i="147"/>
  <c r="I131" i="147"/>
  <c r="I99" i="147"/>
  <c r="J99" i="147"/>
  <c r="I67" i="147"/>
  <c r="J67" i="147"/>
  <c r="I35" i="147"/>
  <c r="J35" i="147"/>
  <c r="H57" i="94"/>
  <c r="H81" i="94"/>
  <c r="H177" i="94"/>
  <c r="AK11" i="68"/>
  <c r="E23" i="79"/>
  <c r="F23" i="79" s="1"/>
  <c r="AK27" i="68"/>
  <c r="E119" i="79"/>
  <c r="F119" i="79" s="1"/>
  <c r="AK22" i="68"/>
  <c r="E89" i="79"/>
  <c r="F89" i="79" s="1"/>
  <c r="AK41" i="68"/>
  <c r="E203" i="79"/>
  <c r="F203" i="79" s="1"/>
  <c r="AK25" i="68"/>
  <c r="E107" i="79"/>
  <c r="F107" i="79" s="1"/>
  <c r="AK32" i="68"/>
  <c r="E149" i="79"/>
  <c r="F149" i="79" s="1"/>
  <c r="AK39" i="68"/>
  <c r="E191" i="79"/>
  <c r="F191" i="79" s="1"/>
  <c r="AK47" i="68"/>
  <c r="E239" i="79"/>
  <c r="F239" i="79" s="1"/>
  <c r="I157" i="147"/>
  <c r="J157" i="147"/>
  <c r="I125" i="147"/>
  <c r="J93" i="147"/>
  <c r="I93" i="147"/>
  <c r="J61" i="147"/>
  <c r="I61" i="147"/>
  <c r="I29" i="147"/>
  <c r="J29" i="147"/>
  <c r="J164" i="147"/>
  <c r="J132" i="147"/>
  <c r="I132" i="147"/>
  <c r="I100" i="147"/>
  <c r="J100" i="147"/>
  <c r="I68" i="147"/>
  <c r="J68" i="147"/>
  <c r="I36" i="147"/>
  <c r="J36" i="147"/>
  <c r="T143" i="147"/>
  <c r="U143" i="147" s="1"/>
  <c r="M143" i="147"/>
  <c r="K143" i="147"/>
  <c r="L143" i="147"/>
  <c r="J146" i="147"/>
  <c r="I111" i="147"/>
  <c r="J111" i="147"/>
  <c r="J79" i="147"/>
  <c r="I79" i="147"/>
  <c r="I47" i="147"/>
  <c r="J47" i="147"/>
  <c r="H111" i="94"/>
  <c r="H207" i="94"/>
  <c r="I153" i="147"/>
  <c r="J153" i="147"/>
  <c r="J121" i="147"/>
  <c r="I121" i="147"/>
  <c r="I89" i="147"/>
  <c r="J89" i="147"/>
  <c r="J57" i="147"/>
  <c r="I57" i="147"/>
  <c r="K24" i="147"/>
  <c r="M24" i="147"/>
  <c r="L24" i="147"/>
  <c r="M64" i="147"/>
  <c r="L64" i="147"/>
  <c r="K64" i="147"/>
  <c r="H142" i="147"/>
  <c r="H110" i="147"/>
  <c r="H78" i="147"/>
  <c r="H21" i="94"/>
  <c r="H141" i="94"/>
  <c r="H237" i="94"/>
  <c r="I149" i="147"/>
  <c r="J149" i="147"/>
  <c r="I117" i="147"/>
  <c r="J117" i="147"/>
  <c r="J85" i="147"/>
  <c r="J53" i="147"/>
  <c r="I53" i="147"/>
  <c r="J19" i="147"/>
  <c r="J124" i="147"/>
  <c r="I135" i="147"/>
  <c r="J135" i="147"/>
  <c r="I103" i="147"/>
  <c r="J103" i="147"/>
  <c r="I71" i="147"/>
  <c r="J71" i="147"/>
  <c r="I39" i="147"/>
  <c r="J39" i="147"/>
  <c r="I25" i="147"/>
  <c r="H99" i="94"/>
  <c r="H195" i="94"/>
  <c r="I161" i="147"/>
  <c r="J161" i="147"/>
  <c r="I129" i="147"/>
  <c r="J129" i="147"/>
  <c r="I97" i="147"/>
  <c r="J97" i="147"/>
  <c r="I33" i="147"/>
  <c r="J33" i="147"/>
  <c r="I136" i="147"/>
  <c r="J136" i="147"/>
  <c r="J72" i="147"/>
  <c r="I72" i="147"/>
  <c r="I40" i="147"/>
  <c r="J40" i="147"/>
  <c r="H150" i="147"/>
  <c r="H118" i="147"/>
  <c r="H54" i="147"/>
  <c r="I16" i="147"/>
  <c r="H33" i="94"/>
  <c r="H153" i="94"/>
  <c r="AK15" i="68"/>
  <c r="E47" i="79"/>
  <c r="F47" i="79" s="1"/>
  <c r="AK13" i="68"/>
  <c r="E35" i="79"/>
  <c r="F35" i="79" s="1"/>
  <c r="AK29" i="68"/>
  <c r="E131" i="79"/>
  <c r="F131" i="79" s="1"/>
  <c r="AK45" i="68"/>
  <c r="E227" i="79"/>
  <c r="F227" i="79" s="1"/>
  <c r="AK19" i="68"/>
  <c r="E71" i="79"/>
  <c r="F71" i="79" s="1"/>
  <c r="AK26" i="68"/>
  <c r="E113" i="79"/>
  <c r="F113" i="79" s="1"/>
  <c r="AK34" i="68"/>
  <c r="E161" i="79"/>
  <c r="F161" i="79" s="1"/>
  <c r="AK42" i="68"/>
  <c r="E209" i="79"/>
  <c r="F209" i="79" s="1"/>
  <c r="H87" i="94"/>
  <c r="H183" i="94"/>
  <c r="J105" i="147"/>
  <c r="I160" i="147"/>
  <c r="J160" i="147"/>
  <c r="I128" i="147"/>
  <c r="J128" i="147"/>
  <c r="I96" i="147"/>
  <c r="J96" i="147"/>
  <c r="I64" i="147"/>
  <c r="I32" i="147"/>
  <c r="J32" i="147"/>
  <c r="I139" i="147"/>
  <c r="J139" i="147"/>
  <c r="J107" i="147"/>
  <c r="I107" i="147"/>
  <c r="J75" i="147"/>
  <c r="I75" i="147"/>
  <c r="J43" i="147"/>
  <c r="H117" i="94"/>
  <c r="H213" i="94"/>
  <c r="I156" i="147"/>
  <c r="J156" i="147"/>
  <c r="J92" i="147"/>
  <c r="I92" i="147"/>
  <c r="J60" i="147"/>
  <c r="I60" i="147"/>
  <c r="I28" i="147"/>
  <c r="J28" i="147"/>
  <c r="H154" i="147"/>
  <c r="H122" i="147"/>
  <c r="H90" i="147"/>
  <c r="H58" i="147"/>
  <c r="L21" i="147"/>
  <c r="M21" i="147"/>
  <c r="K21" i="147"/>
  <c r="K25" i="147"/>
  <c r="L25" i="147"/>
  <c r="M25" i="147"/>
  <c r="H75" i="94"/>
  <c r="H171" i="94"/>
  <c r="M145" i="147"/>
  <c r="K145" i="147"/>
  <c r="L145" i="147"/>
  <c r="J13" i="147"/>
  <c r="I23" i="147"/>
  <c r="I147" i="147"/>
  <c r="J147" i="147"/>
  <c r="I115" i="147"/>
  <c r="J115" i="147"/>
  <c r="J83" i="147"/>
  <c r="J51" i="147"/>
  <c r="I51" i="147"/>
  <c r="L16" i="147"/>
  <c r="M16" i="147"/>
  <c r="K16" i="147"/>
  <c r="AK12" i="68"/>
  <c r="E29" i="79"/>
  <c r="F29" i="79" s="1"/>
  <c r="H129" i="94"/>
  <c r="H225" i="94"/>
  <c r="D7" i="130"/>
  <c r="I22" i="128"/>
  <c r="I23" i="128"/>
  <c r="I26" i="128"/>
  <c r="I27" i="128"/>
  <c r="I38" i="128"/>
  <c r="I41" i="128"/>
  <c r="I44" i="128"/>
  <c r="I17" i="128"/>
  <c r="I20" i="128"/>
  <c r="I21" i="128"/>
  <c r="I24" i="128"/>
  <c r="I31" i="128"/>
  <c r="I39" i="128"/>
  <c r="I42" i="128"/>
  <c r="I43" i="128"/>
  <c r="I28" i="128"/>
  <c r="I29" i="128"/>
  <c r="I37" i="128"/>
  <c r="I40" i="128"/>
  <c r="I16" i="128"/>
  <c r="I18" i="128"/>
  <c r="I19" i="128"/>
  <c r="I30" i="128"/>
  <c r="I32" i="128"/>
  <c r="I33" i="128"/>
  <c r="I34" i="128"/>
  <c r="I36" i="128"/>
  <c r="T10" i="99"/>
  <c r="D24" i="128"/>
  <c r="D23" i="128"/>
  <c r="D22" i="128"/>
  <c r="K115" i="147" l="1"/>
  <c r="L115" i="147"/>
  <c r="J118" i="147"/>
  <c r="T115" i="147"/>
  <c r="U115" i="147" s="1"/>
  <c r="M115" i="147"/>
  <c r="M60" i="147"/>
  <c r="K60" i="147"/>
  <c r="L60" i="147"/>
  <c r="M32" i="147"/>
  <c r="K32" i="147"/>
  <c r="L32" i="147"/>
  <c r="L72" i="147"/>
  <c r="M72" i="147"/>
  <c r="K72" i="147"/>
  <c r="T39" i="147"/>
  <c r="U39" i="147" s="1"/>
  <c r="M39" i="147"/>
  <c r="K39" i="147"/>
  <c r="L39" i="147"/>
  <c r="T103" i="147"/>
  <c r="U103" i="147" s="1"/>
  <c r="J106" i="147"/>
  <c r="K103" i="147"/>
  <c r="L103" i="147"/>
  <c r="M103" i="147"/>
  <c r="K124" i="147"/>
  <c r="L124" i="147"/>
  <c r="M124" i="147"/>
  <c r="K85" i="147"/>
  <c r="M85" i="147"/>
  <c r="L85" i="147"/>
  <c r="M57" i="147"/>
  <c r="L57" i="147"/>
  <c r="K57" i="147"/>
  <c r="L121" i="147"/>
  <c r="K121" i="147"/>
  <c r="M121" i="147"/>
  <c r="M146" i="147"/>
  <c r="L146" i="147"/>
  <c r="K146" i="147"/>
  <c r="L132" i="147"/>
  <c r="K132" i="147"/>
  <c r="M132" i="147"/>
  <c r="K67" i="147"/>
  <c r="T67" i="147"/>
  <c r="U67" i="147" s="1"/>
  <c r="L67" i="147"/>
  <c r="J70" i="147"/>
  <c r="M67" i="147"/>
  <c r="L65" i="147"/>
  <c r="K65" i="147"/>
  <c r="M65" i="147"/>
  <c r="L91" i="147"/>
  <c r="J94" i="147"/>
  <c r="M91" i="147"/>
  <c r="T91" i="147"/>
  <c r="U91" i="147" s="1"/>
  <c r="K91" i="147"/>
  <c r="K48" i="147"/>
  <c r="L48" i="147"/>
  <c r="M48" i="147"/>
  <c r="M120" i="147"/>
  <c r="K120" i="147"/>
  <c r="L120" i="147"/>
  <c r="L113" i="147"/>
  <c r="M113" i="147"/>
  <c r="K113" i="147"/>
  <c r="M69" i="147"/>
  <c r="K69" i="147"/>
  <c r="L69" i="147"/>
  <c r="K31" i="147"/>
  <c r="L31" i="147"/>
  <c r="T31" i="147"/>
  <c r="U31" i="147" s="1"/>
  <c r="M31" i="147"/>
  <c r="L95" i="147"/>
  <c r="T95" i="147"/>
  <c r="U95" i="147" s="1"/>
  <c r="J98" i="147"/>
  <c r="M95" i="147"/>
  <c r="K95" i="147"/>
  <c r="L52" i="147"/>
  <c r="M52" i="147"/>
  <c r="K52" i="147"/>
  <c r="M148" i="147"/>
  <c r="K148" i="147"/>
  <c r="L148" i="147"/>
  <c r="M77" i="147"/>
  <c r="K77" i="147"/>
  <c r="L77" i="147"/>
  <c r="L13" i="147"/>
  <c r="M13" i="147"/>
  <c r="K13" i="147"/>
  <c r="M28" i="147"/>
  <c r="K28" i="147"/>
  <c r="L28" i="147"/>
  <c r="T43" i="147"/>
  <c r="U43" i="147" s="1"/>
  <c r="K43" i="147"/>
  <c r="L43" i="147"/>
  <c r="M43" i="147"/>
  <c r="M107" i="147"/>
  <c r="K107" i="147"/>
  <c r="L107" i="147"/>
  <c r="T107" i="147"/>
  <c r="U107" i="147" s="1"/>
  <c r="J110" i="147"/>
  <c r="L128" i="147"/>
  <c r="M128" i="147"/>
  <c r="K128" i="147"/>
  <c r="L105" i="147"/>
  <c r="K105" i="147"/>
  <c r="M105" i="147"/>
  <c r="L40" i="147"/>
  <c r="M40" i="147"/>
  <c r="K40" i="147"/>
  <c r="M136" i="147"/>
  <c r="K136" i="147"/>
  <c r="L136" i="147"/>
  <c r="K97" i="147"/>
  <c r="M97" i="147"/>
  <c r="L97" i="147"/>
  <c r="L161" i="147"/>
  <c r="M161" i="147"/>
  <c r="K161" i="147"/>
  <c r="L19" i="147"/>
  <c r="M19" i="147"/>
  <c r="K19" i="147"/>
  <c r="T19" i="147"/>
  <c r="U19" i="147" s="1"/>
  <c r="M117" i="147"/>
  <c r="K117" i="147"/>
  <c r="L117" i="147"/>
  <c r="L89" i="147"/>
  <c r="M89" i="147"/>
  <c r="K89" i="147"/>
  <c r="L153" i="147"/>
  <c r="M153" i="147"/>
  <c r="K153" i="147"/>
  <c r="J82" i="147"/>
  <c r="T79" i="147"/>
  <c r="U79" i="147" s="1"/>
  <c r="L79" i="147"/>
  <c r="K79" i="147"/>
  <c r="M79" i="147"/>
  <c r="K36" i="147"/>
  <c r="L36" i="147"/>
  <c r="M36" i="147"/>
  <c r="M100" i="147"/>
  <c r="K100" i="147"/>
  <c r="L100" i="147"/>
  <c r="K164" i="147"/>
  <c r="L164" i="147"/>
  <c r="M164" i="147"/>
  <c r="L61" i="147"/>
  <c r="M61" i="147"/>
  <c r="K61" i="147"/>
  <c r="K157" i="147"/>
  <c r="L157" i="147"/>
  <c r="M157" i="147"/>
  <c r="J134" i="147"/>
  <c r="M131" i="147"/>
  <c r="T131" i="147"/>
  <c r="U131" i="147" s="1"/>
  <c r="K131" i="147"/>
  <c r="L131" i="147"/>
  <c r="M108" i="147"/>
  <c r="K108" i="147"/>
  <c r="L108" i="147"/>
  <c r="T155" i="147"/>
  <c r="U155" i="147" s="1"/>
  <c r="L155" i="147"/>
  <c r="J158" i="147"/>
  <c r="M155" i="147"/>
  <c r="K155" i="147"/>
  <c r="M112" i="147"/>
  <c r="K112" i="147"/>
  <c r="L112" i="147"/>
  <c r="M88" i="147"/>
  <c r="K88" i="147"/>
  <c r="L88" i="147"/>
  <c r="L81" i="147"/>
  <c r="M81" i="147"/>
  <c r="K81" i="147"/>
  <c r="J58" i="147"/>
  <c r="T55" i="147"/>
  <c r="U55" i="147" s="1"/>
  <c r="M55" i="147"/>
  <c r="K55" i="147"/>
  <c r="L55" i="147"/>
  <c r="M119" i="147"/>
  <c r="T119" i="147"/>
  <c r="U119" i="147" s="1"/>
  <c r="L119" i="147"/>
  <c r="J122" i="147"/>
  <c r="K119" i="147"/>
  <c r="M133" i="147"/>
  <c r="L133" i="147"/>
  <c r="K133" i="147"/>
  <c r="K73" i="147"/>
  <c r="L73" i="147"/>
  <c r="M73" i="147"/>
  <c r="L159" i="147"/>
  <c r="K159" i="147"/>
  <c r="J162" i="147"/>
  <c r="T159" i="147"/>
  <c r="U159" i="147" s="1"/>
  <c r="M159" i="147"/>
  <c r="K84" i="147"/>
  <c r="L84" i="147"/>
  <c r="M84" i="147"/>
  <c r="J54" i="147"/>
  <c r="M51" i="147"/>
  <c r="T51" i="147"/>
  <c r="U51" i="147" s="1"/>
  <c r="K51" i="147"/>
  <c r="L51" i="147"/>
  <c r="T147" i="147"/>
  <c r="U147" i="147" s="1"/>
  <c r="M147" i="147"/>
  <c r="K147" i="147"/>
  <c r="L147" i="147"/>
  <c r="J150" i="147"/>
  <c r="L92" i="147"/>
  <c r="M92" i="147"/>
  <c r="K92" i="147"/>
  <c r="L139" i="147"/>
  <c r="J142" i="147"/>
  <c r="T139" i="147"/>
  <c r="U139" i="147" s="1"/>
  <c r="M139" i="147"/>
  <c r="K139" i="147"/>
  <c r="M71" i="147"/>
  <c r="K71" i="147"/>
  <c r="L71" i="147"/>
  <c r="J74" i="147"/>
  <c r="T71" i="147"/>
  <c r="U71" i="147" s="1"/>
  <c r="M135" i="147"/>
  <c r="T135" i="147"/>
  <c r="U135" i="147" s="1"/>
  <c r="K135" i="147"/>
  <c r="L135" i="147"/>
  <c r="J138" i="147"/>
  <c r="K47" i="147"/>
  <c r="L47" i="147"/>
  <c r="T47" i="147"/>
  <c r="U47" i="147" s="1"/>
  <c r="J50" i="147"/>
  <c r="M47" i="147"/>
  <c r="L111" i="147"/>
  <c r="M111" i="147"/>
  <c r="K111" i="147"/>
  <c r="T111" i="147"/>
  <c r="U111" i="147" s="1"/>
  <c r="J114" i="147"/>
  <c r="L29" i="147"/>
  <c r="M29" i="147"/>
  <c r="K29" i="147"/>
  <c r="L35" i="147"/>
  <c r="M35" i="147"/>
  <c r="T35" i="147"/>
  <c r="U35" i="147" s="1"/>
  <c r="K35" i="147"/>
  <c r="T99" i="147"/>
  <c r="U99" i="147" s="1"/>
  <c r="J102" i="147"/>
  <c r="M99" i="147"/>
  <c r="K99" i="147"/>
  <c r="L99" i="147"/>
  <c r="K163" i="147"/>
  <c r="L163" i="147"/>
  <c r="T163" i="147"/>
  <c r="U163" i="147" s="1"/>
  <c r="M163" i="147"/>
  <c r="L59" i="147"/>
  <c r="J62" i="147"/>
  <c r="T59" i="147"/>
  <c r="U59" i="147" s="1"/>
  <c r="M59" i="147"/>
  <c r="K59" i="147"/>
  <c r="L80" i="147"/>
  <c r="M80" i="147"/>
  <c r="K80" i="147"/>
  <c r="T11" i="147"/>
  <c r="U11" i="147" s="1"/>
  <c r="M11" i="147"/>
  <c r="K11" i="147"/>
  <c r="L11" i="147"/>
  <c r="L152" i="147"/>
  <c r="M152" i="147"/>
  <c r="K152" i="147"/>
  <c r="J90" i="147"/>
  <c r="T87" i="147"/>
  <c r="U87" i="147" s="1"/>
  <c r="M87" i="147"/>
  <c r="K87" i="147"/>
  <c r="L87" i="147"/>
  <c r="M151" i="147"/>
  <c r="K151" i="147"/>
  <c r="J154" i="147"/>
  <c r="T151" i="147"/>
  <c r="U151" i="147" s="1"/>
  <c r="L151" i="147"/>
  <c r="M37" i="147"/>
  <c r="K37" i="147"/>
  <c r="L37" i="147"/>
  <c r="M165" i="147"/>
  <c r="K165" i="147"/>
  <c r="L165" i="147"/>
  <c r="M27" i="147"/>
  <c r="K27" i="147"/>
  <c r="T27" i="147"/>
  <c r="U27" i="147" s="1"/>
  <c r="L27" i="147"/>
  <c r="T123" i="147"/>
  <c r="U123" i="147" s="1"/>
  <c r="L123" i="147"/>
  <c r="M123" i="147"/>
  <c r="K123" i="147"/>
  <c r="K41" i="147"/>
  <c r="L41" i="147"/>
  <c r="M41" i="147"/>
  <c r="L137" i="147"/>
  <c r="K137" i="147"/>
  <c r="M137" i="147"/>
  <c r="T63" i="147"/>
  <c r="U63" i="147" s="1"/>
  <c r="L63" i="147"/>
  <c r="M63" i="147"/>
  <c r="J66" i="147"/>
  <c r="K63" i="147"/>
  <c r="L127" i="147"/>
  <c r="J130" i="147"/>
  <c r="T127" i="147"/>
  <c r="U127" i="147" s="1"/>
  <c r="M127" i="147"/>
  <c r="K127" i="147"/>
  <c r="K17" i="147"/>
  <c r="L17" i="147"/>
  <c r="M17" i="147"/>
  <c r="K45" i="147"/>
  <c r="M45" i="147"/>
  <c r="L45" i="147"/>
  <c r="M109" i="147"/>
  <c r="K109" i="147"/>
  <c r="L109" i="147"/>
  <c r="T83" i="147"/>
  <c r="U83" i="147" s="1"/>
  <c r="M83" i="147"/>
  <c r="L83" i="147"/>
  <c r="K83" i="147"/>
  <c r="L156" i="147"/>
  <c r="M156" i="147"/>
  <c r="K156" i="147"/>
  <c r="T75" i="147"/>
  <c r="U75" i="147" s="1"/>
  <c r="K75" i="147"/>
  <c r="L75" i="147"/>
  <c r="J78" i="147"/>
  <c r="M75" i="147"/>
  <c r="L96" i="147"/>
  <c r="M96" i="147"/>
  <c r="K96" i="147"/>
  <c r="M160" i="147"/>
  <c r="L160" i="147"/>
  <c r="K160" i="147"/>
  <c r="M33" i="147"/>
  <c r="K33" i="147"/>
  <c r="L33" i="147"/>
  <c r="K129" i="147"/>
  <c r="L129" i="147"/>
  <c r="M129" i="147"/>
  <c r="L53" i="147"/>
  <c r="M53" i="147"/>
  <c r="K53" i="147"/>
  <c r="M149" i="147"/>
  <c r="K149" i="147"/>
  <c r="L149" i="147"/>
  <c r="K68" i="147"/>
  <c r="L68" i="147"/>
  <c r="M68" i="147"/>
  <c r="L93" i="147"/>
  <c r="K93" i="147"/>
  <c r="M93" i="147"/>
  <c r="L104" i="147"/>
  <c r="K104" i="147"/>
  <c r="M104" i="147"/>
  <c r="K76" i="147"/>
  <c r="L76" i="147"/>
  <c r="M76" i="147"/>
  <c r="M140" i="147"/>
  <c r="K140" i="147"/>
  <c r="L140" i="147"/>
  <c r="K20" i="147"/>
  <c r="M20" i="147"/>
  <c r="L20" i="147"/>
  <c r="M56" i="147"/>
  <c r="K56" i="147"/>
  <c r="L56" i="147"/>
  <c r="M49" i="147"/>
  <c r="K49" i="147"/>
  <c r="L49" i="147"/>
  <c r="L101" i="147"/>
  <c r="M101" i="147"/>
  <c r="K101" i="147"/>
  <c r="K15" i="147"/>
  <c r="M15" i="147"/>
  <c r="L15" i="147"/>
  <c r="T15" i="147"/>
  <c r="U15" i="147" s="1"/>
  <c r="K116" i="147"/>
  <c r="L116" i="147"/>
  <c r="M116" i="147"/>
  <c r="M141" i="147"/>
  <c r="K141" i="147"/>
  <c r="L141" i="147"/>
  <c r="D36" i="128"/>
  <c r="D16" i="128"/>
  <c r="D31" i="128"/>
  <c r="D44" i="128"/>
  <c r="D15" i="128"/>
  <c r="D19" i="128"/>
  <c r="D26" i="128"/>
  <c r="D30" i="128"/>
  <c r="D32" i="128"/>
  <c r="D40" i="128"/>
  <c r="D41" i="128"/>
  <c r="D11" i="128"/>
  <c r="D12" i="128"/>
  <c r="D17" i="128"/>
  <c r="D18" i="128"/>
  <c r="D20" i="128"/>
  <c r="D29" i="128"/>
  <c r="D28" i="128"/>
  <c r="D34" i="128"/>
  <c r="D33" i="128"/>
  <c r="D37" i="128"/>
  <c r="D39" i="128"/>
  <c r="D43" i="128"/>
  <c r="D45" i="128"/>
  <c r="D14" i="128"/>
  <c r="D25" i="128"/>
  <c r="D13" i="128"/>
  <c r="D27" i="128"/>
  <c r="D35" i="128"/>
  <c r="D38" i="128"/>
  <c r="D42" i="128"/>
  <c r="D21" i="128"/>
  <c r="J44" i="128"/>
  <c r="J34" i="128"/>
  <c r="J29" i="128"/>
  <c r="J27" i="128"/>
  <c r="J22" i="128"/>
  <c r="J36" i="128"/>
  <c r="J28" i="128"/>
  <c r="J16" i="128"/>
  <c r="J43" i="128"/>
  <c r="J41" i="128"/>
  <c r="J30" i="128"/>
  <c r="J26" i="128"/>
  <c r="J23" i="128"/>
  <c r="J19" i="128"/>
  <c r="J42" i="128"/>
  <c r="J37" i="128"/>
  <c r="J32" i="128"/>
  <c r="J20" i="128"/>
  <c r="J17" i="128"/>
  <c r="J40" i="128"/>
  <c r="J21" i="128"/>
  <c r="J39" i="128"/>
  <c r="J33" i="128"/>
  <c r="J18" i="128"/>
  <c r="B90" i="151"/>
  <c r="H90" i="151"/>
  <c r="B89" i="151"/>
  <c r="H89" i="151"/>
  <c r="B88" i="151"/>
  <c r="H88" i="151"/>
  <c r="B87" i="151"/>
  <c r="H87" i="151"/>
  <c r="B86" i="151"/>
  <c r="H86" i="151"/>
  <c r="B85" i="151"/>
  <c r="H85" i="151"/>
  <c r="B84" i="151"/>
  <c r="H84" i="151"/>
  <c r="B83" i="151"/>
  <c r="H83" i="151"/>
  <c r="B82" i="151"/>
  <c r="H82" i="151"/>
  <c r="B81" i="151"/>
  <c r="H81" i="151"/>
  <c r="B80" i="151"/>
  <c r="H80" i="151"/>
  <c r="B79" i="151"/>
  <c r="H79" i="151"/>
  <c r="B78" i="151"/>
  <c r="H78" i="151"/>
  <c r="B77" i="151"/>
  <c r="H77" i="151"/>
  <c r="B76" i="151"/>
  <c r="H76" i="151"/>
  <c r="B75" i="151"/>
  <c r="H75" i="151"/>
  <c r="B74" i="151"/>
  <c r="H74" i="151"/>
  <c r="B73" i="151"/>
  <c r="H73" i="151"/>
  <c r="B72" i="151"/>
  <c r="H72" i="151"/>
  <c r="B71" i="151"/>
  <c r="H71" i="151"/>
  <c r="B70" i="151"/>
  <c r="H70" i="151"/>
  <c r="B69" i="151"/>
  <c r="H69" i="151"/>
  <c r="B68" i="151"/>
  <c r="H68" i="151"/>
  <c r="B67" i="151"/>
  <c r="H67" i="151"/>
  <c r="B66" i="151"/>
  <c r="H66" i="151"/>
  <c r="B65" i="151"/>
  <c r="H65" i="151"/>
  <c r="B64" i="151"/>
  <c r="H64" i="151"/>
  <c r="B63" i="151"/>
  <c r="H63" i="151"/>
  <c r="B62" i="151"/>
  <c r="H62" i="151"/>
  <c r="B61" i="151"/>
  <c r="H61" i="151"/>
  <c r="B60" i="151"/>
  <c r="H60" i="151"/>
  <c r="B59" i="151"/>
  <c r="H59" i="151"/>
  <c r="B58" i="151"/>
  <c r="H58" i="151"/>
  <c r="B57" i="151"/>
  <c r="H57" i="151"/>
  <c r="B56" i="151"/>
  <c r="H56" i="151"/>
  <c r="B55" i="151"/>
  <c r="H55" i="151"/>
  <c r="B54" i="151"/>
  <c r="H54" i="151"/>
  <c r="B53" i="151"/>
  <c r="H53" i="151"/>
  <c r="B52" i="151"/>
  <c r="H52" i="151"/>
  <c r="B51" i="151"/>
  <c r="Q4" i="151"/>
  <c r="V265" i="74" s="1"/>
  <c r="H51" i="151"/>
  <c r="O43" i="151"/>
  <c r="B43" i="151"/>
  <c r="O42" i="151"/>
  <c r="B42" i="151"/>
  <c r="O41" i="151"/>
  <c r="B41" i="151"/>
  <c r="O40" i="151"/>
  <c r="B40" i="151"/>
  <c r="O39" i="151"/>
  <c r="B39" i="151"/>
  <c r="O38" i="151"/>
  <c r="B38" i="151"/>
  <c r="O37" i="151"/>
  <c r="B37" i="151"/>
  <c r="O36" i="151"/>
  <c r="B36" i="151"/>
  <c r="O35" i="151"/>
  <c r="B35" i="151"/>
  <c r="O34" i="151"/>
  <c r="B34" i="151"/>
  <c r="O33" i="151"/>
  <c r="B33" i="151"/>
  <c r="O32" i="151"/>
  <c r="B32" i="151"/>
  <c r="O31" i="151"/>
  <c r="B31" i="151"/>
  <c r="O30" i="151"/>
  <c r="B30" i="151"/>
  <c r="O29" i="151"/>
  <c r="B29" i="151"/>
  <c r="O28" i="151"/>
  <c r="B28" i="151"/>
  <c r="O27" i="151"/>
  <c r="B27" i="151"/>
  <c r="O26" i="151"/>
  <c r="B26" i="151"/>
  <c r="O25" i="151"/>
  <c r="B25" i="151"/>
  <c r="O24" i="151"/>
  <c r="B24" i="151"/>
  <c r="O23" i="151"/>
  <c r="B23" i="151"/>
  <c r="O22" i="151"/>
  <c r="B22" i="151"/>
  <c r="O21" i="151"/>
  <c r="B21" i="151"/>
  <c r="O20" i="151"/>
  <c r="B20" i="151"/>
  <c r="O19" i="151"/>
  <c r="B19" i="151"/>
  <c r="O18" i="151"/>
  <c r="B18" i="151"/>
  <c r="O17" i="151"/>
  <c r="B17" i="151"/>
  <c r="O16" i="151"/>
  <c r="B16" i="151"/>
  <c r="O15" i="151"/>
  <c r="B15" i="151"/>
  <c r="O14" i="151"/>
  <c r="B14" i="151"/>
  <c r="O13" i="151"/>
  <c r="B13" i="151"/>
  <c r="O12" i="151"/>
  <c r="B12" i="151"/>
  <c r="O11" i="151"/>
  <c r="B11" i="151"/>
  <c r="O10" i="151"/>
  <c r="B10" i="151"/>
  <c r="O9" i="151"/>
  <c r="B9" i="151"/>
  <c r="O8" i="151"/>
  <c r="B8" i="151"/>
  <c r="O7" i="151"/>
  <c r="B7" i="151"/>
  <c r="O6" i="151"/>
  <c r="B6" i="151"/>
  <c r="O5" i="151"/>
  <c r="B5" i="151"/>
  <c r="O4" i="151"/>
  <c r="B4" i="151"/>
  <c r="B90" i="150"/>
  <c r="K89" i="150"/>
  <c r="J89" i="150"/>
  <c r="I89" i="150"/>
  <c r="H89" i="150"/>
  <c r="B89" i="150"/>
  <c r="K88" i="150"/>
  <c r="J88" i="150"/>
  <c r="I88" i="150"/>
  <c r="H88" i="150"/>
  <c r="B88" i="150"/>
  <c r="K87" i="150"/>
  <c r="J87" i="150"/>
  <c r="I87" i="150"/>
  <c r="H87" i="150"/>
  <c r="B87" i="150"/>
  <c r="K86" i="150"/>
  <c r="J86" i="150"/>
  <c r="I86" i="150"/>
  <c r="H86" i="150"/>
  <c r="B86" i="150"/>
  <c r="K85" i="150"/>
  <c r="J85" i="150"/>
  <c r="I85" i="150"/>
  <c r="H85" i="150"/>
  <c r="B85" i="150"/>
  <c r="K84" i="150"/>
  <c r="J84" i="150"/>
  <c r="I84" i="150"/>
  <c r="H84" i="150"/>
  <c r="B84" i="150"/>
  <c r="K83" i="150"/>
  <c r="J83" i="150"/>
  <c r="I83" i="150"/>
  <c r="H83" i="150"/>
  <c r="B83" i="150"/>
  <c r="K82" i="150"/>
  <c r="J82" i="150"/>
  <c r="I82" i="150"/>
  <c r="H82" i="150"/>
  <c r="B82" i="150"/>
  <c r="K81" i="150"/>
  <c r="J81" i="150"/>
  <c r="I81" i="150"/>
  <c r="H81" i="150"/>
  <c r="B81" i="150"/>
  <c r="K80" i="150"/>
  <c r="J80" i="150"/>
  <c r="I80" i="150"/>
  <c r="H80" i="150"/>
  <c r="B80" i="150"/>
  <c r="K79" i="150"/>
  <c r="J79" i="150"/>
  <c r="I79" i="150"/>
  <c r="H79" i="150"/>
  <c r="B79" i="150"/>
  <c r="K78" i="150"/>
  <c r="J78" i="150"/>
  <c r="I78" i="150"/>
  <c r="H78" i="150"/>
  <c r="B78" i="150"/>
  <c r="K77" i="150"/>
  <c r="J77" i="150"/>
  <c r="I77" i="150"/>
  <c r="H77" i="150"/>
  <c r="B77" i="150"/>
  <c r="K76" i="150"/>
  <c r="J76" i="150"/>
  <c r="I76" i="150"/>
  <c r="H76" i="150"/>
  <c r="B76" i="150"/>
  <c r="K75" i="150"/>
  <c r="J75" i="150"/>
  <c r="I75" i="150"/>
  <c r="H75" i="150"/>
  <c r="B75" i="150"/>
  <c r="K74" i="150"/>
  <c r="J74" i="150"/>
  <c r="I74" i="150"/>
  <c r="H74" i="150"/>
  <c r="B74" i="150"/>
  <c r="K73" i="150"/>
  <c r="J73" i="150"/>
  <c r="I73" i="150"/>
  <c r="H73" i="150"/>
  <c r="B73" i="150"/>
  <c r="K72" i="150"/>
  <c r="J72" i="150"/>
  <c r="I72" i="150"/>
  <c r="H72" i="150"/>
  <c r="B72" i="150"/>
  <c r="K71" i="150"/>
  <c r="J71" i="150"/>
  <c r="I71" i="150"/>
  <c r="H71" i="150"/>
  <c r="B71" i="150"/>
  <c r="K70" i="150"/>
  <c r="J70" i="150"/>
  <c r="I70" i="150"/>
  <c r="H70" i="150"/>
  <c r="B70" i="150"/>
  <c r="K69" i="150"/>
  <c r="J69" i="150"/>
  <c r="I69" i="150"/>
  <c r="H69" i="150"/>
  <c r="B69" i="150"/>
  <c r="K68" i="150"/>
  <c r="J68" i="150"/>
  <c r="I68" i="150"/>
  <c r="H68" i="150"/>
  <c r="B68" i="150"/>
  <c r="K67" i="150"/>
  <c r="J67" i="150"/>
  <c r="I67" i="150"/>
  <c r="H67" i="150"/>
  <c r="B67" i="150"/>
  <c r="K66" i="150"/>
  <c r="J66" i="150"/>
  <c r="I66" i="150"/>
  <c r="H66" i="150"/>
  <c r="B66" i="150"/>
  <c r="K65" i="150"/>
  <c r="J65" i="150"/>
  <c r="I65" i="150"/>
  <c r="H65" i="150"/>
  <c r="B65" i="150"/>
  <c r="K64" i="150"/>
  <c r="J64" i="150"/>
  <c r="I64" i="150"/>
  <c r="H64" i="150"/>
  <c r="B64" i="150"/>
  <c r="K63" i="150"/>
  <c r="J63" i="150"/>
  <c r="I63" i="150"/>
  <c r="H63" i="150"/>
  <c r="B63" i="150"/>
  <c r="K62" i="150"/>
  <c r="J62" i="150"/>
  <c r="I62" i="150"/>
  <c r="H62" i="150"/>
  <c r="B62" i="150"/>
  <c r="K61" i="150"/>
  <c r="J61" i="150"/>
  <c r="I61" i="150"/>
  <c r="H61" i="150"/>
  <c r="B61" i="150"/>
  <c r="K60" i="150"/>
  <c r="J60" i="150"/>
  <c r="I60" i="150"/>
  <c r="H60" i="150"/>
  <c r="B60" i="150"/>
  <c r="K59" i="150"/>
  <c r="J59" i="150"/>
  <c r="I59" i="150"/>
  <c r="H59" i="150"/>
  <c r="B59" i="150"/>
  <c r="K58" i="150"/>
  <c r="J58" i="150"/>
  <c r="I58" i="150"/>
  <c r="H58" i="150"/>
  <c r="B58" i="150"/>
  <c r="K57" i="150"/>
  <c r="J57" i="150"/>
  <c r="I57" i="150"/>
  <c r="H57" i="150"/>
  <c r="B57" i="150"/>
  <c r="K56" i="150"/>
  <c r="J56" i="150"/>
  <c r="I56" i="150"/>
  <c r="H56" i="150"/>
  <c r="B56" i="150"/>
  <c r="K55" i="150"/>
  <c r="J55" i="150"/>
  <c r="I55" i="150"/>
  <c r="H55" i="150"/>
  <c r="B55" i="150"/>
  <c r="K54" i="150"/>
  <c r="J54" i="150"/>
  <c r="I54" i="150"/>
  <c r="H54" i="150"/>
  <c r="B54" i="150"/>
  <c r="K53" i="150"/>
  <c r="J53" i="150"/>
  <c r="I53" i="150"/>
  <c r="H53" i="150"/>
  <c r="B53" i="150"/>
  <c r="K52" i="150"/>
  <c r="J52" i="150"/>
  <c r="I52" i="150"/>
  <c r="H52" i="150"/>
  <c r="B52" i="150"/>
  <c r="K51" i="150"/>
  <c r="J51" i="150"/>
  <c r="I51" i="150"/>
  <c r="H51" i="150"/>
  <c r="B51" i="150"/>
  <c r="K50" i="150"/>
  <c r="J50" i="150"/>
  <c r="I50" i="150"/>
  <c r="H50" i="150"/>
  <c r="N43" i="150"/>
  <c r="H43" i="150"/>
  <c r="B43" i="150"/>
  <c r="N42" i="150"/>
  <c r="H42" i="150"/>
  <c r="B42" i="150"/>
  <c r="N41" i="150"/>
  <c r="H41" i="150"/>
  <c r="B41" i="150"/>
  <c r="N40" i="150"/>
  <c r="H40" i="150"/>
  <c r="B40" i="150"/>
  <c r="N39" i="150"/>
  <c r="H39" i="150"/>
  <c r="B39" i="150"/>
  <c r="N38" i="150"/>
  <c r="H38" i="150"/>
  <c r="B38" i="150"/>
  <c r="N37" i="150"/>
  <c r="H37" i="150"/>
  <c r="B37" i="150"/>
  <c r="N36" i="150"/>
  <c r="H36" i="150"/>
  <c r="B36" i="150"/>
  <c r="N35" i="150"/>
  <c r="H35" i="150"/>
  <c r="B35" i="150"/>
  <c r="N34" i="150"/>
  <c r="H34" i="150"/>
  <c r="B34" i="150"/>
  <c r="N33" i="150"/>
  <c r="H33" i="150"/>
  <c r="B33" i="150"/>
  <c r="N32" i="150"/>
  <c r="H32" i="150"/>
  <c r="B32" i="150"/>
  <c r="N31" i="150"/>
  <c r="H31" i="150"/>
  <c r="B31" i="150"/>
  <c r="N30" i="150"/>
  <c r="H30" i="150"/>
  <c r="B30" i="150"/>
  <c r="N29" i="150"/>
  <c r="H29" i="150"/>
  <c r="B29" i="150"/>
  <c r="N28" i="150"/>
  <c r="H28" i="150"/>
  <c r="B28" i="150"/>
  <c r="N27" i="150"/>
  <c r="H27" i="150"/>
  <c r="B27" i="150"/>
  <c r="N26" i="150"/>
  <c r="H26" i="150"/>
  <c r="B26" i="150"/>
  <c r="N25" i="150"/>
  <c r="H25" i="150"/>
  <c r="B25" i="150"/>
  <c r="N24" i="150"/>
  <c r="H24" i="150"/>
  <c r="B24" i="150"/>
  <c r="N23" i="150"/>
  <c r="H23" i="150"/>
  <c r="B23" i="150"/>
  <c r="N22" i="150"/>
  <c r="H22" i="150"/>
  <c r="B22" i="150"/>
  <c r="N21" i="150"/>
  <c r="H21" i="150"/>
  <c r="B21" i="150"/>
  <c r="N20" i="150"/>
  <c r="H20" i="150"/>
  <c r="B20" i="150"/>
  <c r="N19" i="150"/>
  <c r="H19" i="150"/>
  <c r="B19" i="150"/>
  <c r="N18" i="150"/>
  <c r="H18" i="150"/>
  <c r="B18" i="150"/>
  <c r="N17" i="150"/>
  <c r="H17" i="150"/>
  <c r="B17" i="150"/>
  <c r="N16" i="150"/>
  <c r="H16" i="150"/>
  <c r="B16" i="150"/>
  <c r="N15" i="150"/>
  <c r="H15" i="150"/>
  <c r="B15" i="150"/>
  <c r="N14" i="150"/>
  <c r="H14" i="150"/>
  <c r="B14" i="150"/>
  <c r="N13" i="150"/>
  <c r="H13" i="150"/>
  <c r="B13" i="150"/>
  <c r="N12" i="150"/>
  <c r="H12" i="150"/>
  <c r="B12" i="150"/>
  <c r="N11" i="150"/>
  <c r="H11" i="150"/>
  <c r="B11" i="150"/>
  <c r="N10" i="150"/>
  <c r="H10" i="150"/>
  <c r="B10" i="150"/>
  <c r="N9" i="150"/>
  <c r="H9" i="150"/>
  <c r="B9" i="150"/>
  <c r="N8" i="150"/>
  <c r="H8" i="150"/>
  <c r="B8" i="150"/>
  <c r="N7" i="150"/>
  <c r="H7" i="150"/>
  <c r="B7" i="150"/>
  <c r="N6" i="150"/>
  <c r="H6" i="150"/>
  <c r="B6" i="150"/>
  <c r="N5" i="150"/>
  <c r="H5" i="150"/>
  <c r="B5" i="150"/>
  <c r="N4" i="150"/>
  <c r="H4" i="150"/>
  <c r="B4" i="150"/>
  <c r="K19" i="128" l="1"/>
  <c r="L62" i="147"/>
  <c r="M62" i="147"/>
  <c r="K62" i="147"/>
  <c r="K16" i="128"/>
  <c r="L50" i="147"/>
  <c r="M50" i="147"/>
  <c r="K50" i="147"/>
  <c r="K38" i="128"/>
  <c r="M138" i="147"/>
  <c r="K138" i="147"/>
  <c r="L138" i="147"/>
  <c r="K30" i="128"/>
  <c r="K106" i="147"/>
  <c r="M106" i="147"/>
  <c r="L106" i="147"/>
  <c r="K20" i="128"/>
  <c r="M66" i="147"/>
  <c r="L66" i="147"/>
  <c r="K66" i="147"/>
  <c r="K29" i="128"/>
  <c r="L102" i="147"/>
  <c r="M102" i="147"/>
  <c r="K102" i="147"/>
  <c r="K39" i="128"/>
  <c r="M142" i="147"/>
  <c r="K142" i="147"/>
  <c r="L142" i="147"/>
  <c r="M162" i="147"/>
  <c r="K162" i="147"/>
  <c r="L162" i="147"/>
  <c r="K37" i="128"/>
  <c r="M134" i="147"/>
  <c r="K134" i="147"/>
  <c r="L134" i="147"/>
  <c r="K24" i="128"/>
  <c r="M82" i="147"/>
  <c r="K82" i="147"/>
  <c r="L82" i="147"/>
  <c r="K31" i="128"/>
  <c r="K110" i="147"/>
  <c r="L110" i="147"/>
  <c r="M110" i="147"/>
  <c r="K27" i="128"/>
  <c r="M94" i="147"/>
  <c r="K94" i="147"/>
  <c r="L94" i="147"/>
  <c r="K33" i="128"/>
  <c r="M118" i="147"/>
  <c r="K118" i="147"/>
  <c r="L118" i="147"/>
  <c r="K36" i="128"/>
  <c r="K130" i="147"/>
  <c r="L130" i="147"/>
  <c r="M130" i="147"/>
  <c r="K26" i="128"/>
  <c r="K90" i="147"/>
  <c r="L90" i="147"/>
  <c r="M90" i="147"/>
  <c r="K32" i="128"/>
  <c r="M114" i="147"/>
  <c r="K114" i="147"/>
  <c r="L114" i="147"/>
  <c r="K22" i="128"/>
  <c r="L74" i="147"/>
  <c r="M74" i="147"/>
  <c r="K74" i="147"/>
  <c r="K41" i="128"/>
  <c r="L150" i="147"/>
  <c r="M150" i="147"/>
  <c r="K150" i="147"/>
  <c r="K23" i="128"/>
  <c r="L78" i="147"/>
  <c r="M78" i="147"/>
  <c r="K78" i="147"/>
  <c r="L154" i="147"/>
  <c r="M154" i="147"/>
  <c r="K154" i="147"/>
  <c r="K17" i="128"/>
  <c r="K54" i="147"/>
  <c r="L54" i="147"/>
  <c r="M54" i="147"/>
  <c r="K34" i="128"/>
  <c r="M122" i="147"/>
  <c r="K122" i="147"/>
  <c r="L122" i="147"/>
  <c r="K18" i="128"/>
  <c r="L58" i="147"/>
  <c r="M58" i="147"/>
  <c r="K58" i="147"/>
  <c r="K43" i="128"/>
  <c r="L158" i="147"/>
  <c r="M158" i="147"/>
  <c r="K158" i="147"/>
  <c r="K28" i="128"/>
  <c r="K98" i="147"/>
  <c r="L98" i="147"/>
  <c r="M98" i="147"/>
  <c r="K21" i="128"/>
  <c r="L70" i="147"/>
  <c r="M70" i="147"/>
  <c r="K70" i="147"/>
  <c r="L50" i="150"/>
  <c r="P4" i="150" s="1"/>
  <c r="L58" i="150"/>
  <c r="P12" i="150" s="1"/>
  <c r="L60" i="150"/>
  <c r="P14" i="150" s="1"/>
  <c r="L62" i="150"/>
  <c r="P16" i="150" s="1"/>
  <c r="L64" i="150"/>
  <c r="P18" i="150" s="1"/>
  <c r="L66" i="150"/>
  <c r="P20" i="150" s="1"/>
  <c r="L68" i="150"/>
  <c r="P22" i="150" s="1"/>
  <c r="L56" i="150"/>
  <c r="P10" i="150" s="1"/>
  <c r="L54" i="150"/>
  <c r="P8" i="150" s="1"/>
  <c r="L52" i="150"/>
  <c r="P6" i="150" s="1"/>
  <c r="L51" i="150"/>
  <c r="P5" i="150" s="1"/>
  <c r="L53" i="150"/>
  <c r="P7" i="150" s="1"/>
  <c r="L55" i="150"/>
  <c r="P9" i="150" s="1"/>
  <c r="L57" i="150"/>
  <c r="P11" i="150" s="1"/>
  <c r="L59" i="150"/>
  <c r="P13" i="150" s="1"/>
  <c r="L61" i="150"/>
  <c r="P15" i="150" s="1"/>
  <c r="L63" i="150"/>
  <c r="P17" i="150" s="1"/>
  <c r="L65" i="150"/>
  <c r="P19" i="150" s="1"/>
  <c r="L67" i="150"/>
  <c r="P21" i="150" s="1"/>
  <c r="L69" i="150"/>
  <c r="P23" i="150" s="1"/>
  <c r="L71" i="150"/>
  <c r="P25" i="150" s="1"/>
  <c r="L73" i="150"/>
  <c r="P27" i="150" s="1"/>
  <c r="L75" i="150"/>
  <c r="P29" i="150" s="1"/>
  <c r="L77" i="150"/>
  <c r="P31" i="150" s="1"/>
  <c r="L79" i="150"/>
  <c r="P33" i="150" s="1"/>
  <c r="L81" i="150"/>
  <c r="P35" i="150" s="1"/>
  <c r="L83" i="150"/>
  <c r="P37" i="150" s="1"/>
  <c r="L85" i="150"/>
  <c r="P39" i="150" s="1"/>
  <c r="L87" i="150"/>
  <c r="P41" i="150" s="1"/>
  <c r="L89" i="150"/>
  <c r="P43" i="150" s="1"/>
  <c r="L70" i="150"/>
  <c r="P24" i="150" s="1"/>
  <c r="L72" i="150"/>
  <c r="P26" i="150" s="1"/>
  <c r="L74" i="150"/>
  <c r="P28" i="150" s="1"/>
  <c r="L76" i="150"/>
  <c r="P30" i="150" s="1"/>
  <c r="L78" i="150"/>
  <c r="P32" i="150" s="1"/>
  <c r="L80" i="150"/>
  <c r="P34" i="150" s="1"/>
  <c r="L82" i="150"/>
  <c r="P36" i="150" s="1"/>
  <c r="L84" i="150"/>
  <c r="P38" i="150" s="1"/>
  <c r="L86" i="150"/>
  <c r="P40" i="150" s="1"/>
  <c r="L88" i="150"/>
  <c r="P42" i="150" s="1"/>
  <c r="O20" i="150"/>
  <c r="O22" i="150"/>
  <c r="O24" i="150"/>
  <c r="O9" i="150"/>
  <c r="O11" i="150"/>
  <c r="O13" i="150"/>
  <c r="O17" i="150"/>
  <c r="O26" i="150"/>
  <c r="O18" i="150"/>
  <c r="O28" i="150"/>
  <c r="O38" i="150"/>
  <c r="O4" i="150"/>
  <c r="O6" i="150"/>
  <c r="O8" i="150"/>
  <c r="O15" i="150"/>
  <c r="O5" i="150"/>
  <c r="O7" i="150"/>
  <c r="O10" i="150"/>
  <c r="O12" i="150"/>
  <c r="O19" i="150"/>
  <c r="O21" i="150"/>
  <c r="O23" i="150"/>
  <c r="O25" i="150"/>
  <c r="O27" i="150"/>
  <c r="O30" i="150"/>
  <c r="O32" i="150"/>
  <c r="O34" i="150"/>
  <c r="O36" i="150"/>
  <c r="O39" i="150"/>
  <c r="O40" i="150"/>
  <c r="O42" i="150"/>
  <c r="O29" i="150"/>
  <c r="O31" i="150"/>
  <c r="O33" i="150"/>
  <c r="O35" i="150"/>
  <c r="O37" i="150"/>
  <c r="O41" i="150"/>
  <c r="O43" i="150"/>
  <c r="P4" i="151"/>
  <c r="M265" i="74" s="1"/>
  <c r="M240" i="74" l="1"/>
  <c r="V240" i="74"/>
  <c r="O16" i="150"/>
  <c r="O14" i="150"/>
  <c r="AS53" i="148"/>
  <c r="AR53" i="148"/>
  <c r="AQ53" i="148"/>
  <c r="AP53" i="148"/>
  <c r="AS52" i="148"/>
  <c r="AR52" i="148"/>
  <c r="AQ52" i="148"/>
  <c r="AP52" i="148"/>
  <c r="AS51" i="148"/>
  <c r="AR51" i="148"/>
  <c r="AQ51" i="148"/>
  <c r="AP51" i="148"/>
  <c r="AM50" i="148"/>
  <c r="AJ50" i="148"/>
  <c r="AD50" i="148"/>
  <c r="AC50" i="148"/>
  <c r="AA50" i="148"/>
  <c r="W50" i="148"/>
  <c r="Q50" i="148"/>
  <c r="P50" i="148"/>
  <c r="M50" i="148"/>
  <c r="J50" i="148"/>
  <c r="I50" i="148"/>
  <c r="D50" i="148"/>
  <c r="AV48" i="148"/>
  <c r="AB48" i="148"/>
  <c r="AU48" i="148" s="1"/>
  <c r="O48" i="148"/>
  <c r="AT48" i="148" s="1"/>
  <c r="B48" i="148"/>
  <c r="AV47" i="148"/>
  <c r="AB47" i="148"/>
  <c r="AU47" i="148" s="1"/>
  <c r="O47" i="148"/>
  <c r="AT47" i="148" s="1"/>
  <c r="B47" i="148"/>
  <c r="AV46" i="148"/>
  <c r="AB46" i="148"/>
  <c r="AU46" i="148" s="1"/>
  <c r="O46" i="148"/>
  <c r="AT46" i="148" s="1"/>
  <c r="B46" i="148"/>
  <c r="AV45" i="148"/>
  <c r="AB45" i="148"/>
  <c r="AU45" i="148" s="1"/>
  <c r="O45" i="148"/>
  <c r="AT45" i="148" s="1"/>
  <c r="AW45" i="148" s="1"/>
  <c r="AX45" i="148" s="1"/>
  <c r="B45" i="148"/>
  <c r="AV44" i="148"/>
  <c r="AB44" i="148"/>
  <c r="AU44" i="148" s="1"/>
  <c r="O44" i="148"/>
  <c r="AT44" i="148" s="1"/>
  <c r="B44" i="148"/>
  <c r="AV43" i="148"/>
  <c r="AB43" i="148"/>
  <c r="AU43" i="148" s="1"/>
  <c r="O43" i="148"/>
  <c r="AT43" i="148" s="1"/>
  <c r="AW43" i="148" s="1"/>
  <c r="AX43" i="148" s="1"/>
  <c r="B43" i="148"/>
  <c r="AV42" i="148"/>
  <c r="AB42" i="148"/>
  <c r="AU42" i="148" s="1"/>
  <c r="O42" i="148"/>
  <c r="AT42" i="148" s="1"/>
  <c r="B42" i="148"/>
  <c r="AV41" i="148"/>
  <c r="AB41" i="148"/>
  <c r="AU41" i="148" s="1"/>
  <c r="O41" i="148"/>
  <c r="AT41" i="148" s="1"/>
  <c r="AW41" i="148" s="1"/>
  <c r="AX41" i="148" s="1"/>
  <c r="B41" i="148"/>
  <c r="AV40" i="148"/>
  <c r="AB40" i="148"/>
  <c r="AU40" i="148" s="1"/>
  <c r="O40" i="148"/>
  <c r="AT40" i="148" s="1"/>
  <c r="B40" i="148"/>
  <c r="AV39" i="148"/>
  <c r="AB39" i="148"/>
  <c r="AU39" i="148" s="1"/>
  <c r="O39" i="148"/>
  <c r="AT39" i="148" s="1"/>
  <c r="AW39" i="148" s="1"/>
  <c r="AX39" i="148" s="1"/>
  <c r="B39" i="148"/>
  <c r="AV38" i="148"/>
  <c r="AB38" i="148"/>
  <c r="AU38" i="148" s="1"/>
  <c r="O38" i="148"/>
  <c r="AT38" i="148" s="1"/>
  <c r="B38" i="148"/>
  <c r="AV37" i="148"/>
  <c r="AB37" i="148"/>
  <c r="AU37" i="148" s="1"/>
  <c r="O37" i="148"/>
  <c r="AT37" i="148" s="1"/>
  <c r="AW37" i="148" s="1"/>
  <c r="AX37" i="148" s="1"/>
  <c r="B37" i="148"/>
  <c r="AV36" i="148"/>
  <c r="AB36" i="148"/>
  <c r="AU36" i="148" s="1"/>
  <c r="O36" i="148"/>
  <c r="AT36" i="148" s="1"/>
  <c r="B36" i="148"/>
  <c r="AV35" i="148"/>
  <c r="AB35" i="148"/>
  <c r="AU35" i="148" s="1"/>
  <c r="O35" i="148"/>
  <c r="AT35" i="148" s="1"/>
  <c r="AW35" i="148" s="1"/>
  <c r="AX35" i="148" s="1"/>
  <c r="B35" i="148"/>
  <c r="AV34" i="148"/>
  <c r="AB34" i="148"/>
  <c r="AU34" i="148" s="1"/>
  <c r="O34" i="148"/>
  <c r="AT34" i="148" s="1"/>
  <c r="B34" i="148"/>
  <c r="AV33" i="148"/>
  <c r="AB33" i="148"/>
  <c r="AU33" i="148" s="1"/>
  <c r="O33" i="148"/>
  <c r="AT33" i="148" s="1"/>
  <c r="AW33" i="148" s="1"/>
  <c r="AX33" i="148" s="1"/>
  <c r="B33" i="148"/>
  <c r="AV32" i="148"/>
  <c r="AB32" i="148"/>
  <c r="AU32" i="148" s="1"/>
  <c r="O32" i="148"/>
  <c r="AT32" i="148" s="1"/>
  <c r="B32" i="148"/>
  <c r="AV31" i="148"/>
  <c r="AB31" i="148"/>
  <c r="AU31" i="148" s="1"/>
  <c r="O31" i="148"/>
  <c r="AT31" i="148" s="1"/>
  <c r="AW31" i="148" s="1"/>
  <c r="AX31" i="148" s="1"/>
  <c r="B31" i="148"/>
  <c r="AV30" i="148"/>
  <c r="AB30" i="148"/>
  <c r="AU30" i="148" s="1"/>
  <c r="O30" i="148"/>
  <c r="AT30" i="148" s="1"/>
  <c r="B30" i="148"/>
  <c r="AV29" i="148"/>
  <c r="AB29" i="148"/>
  <c r="AU29" i="148" s="1"/>
  <c r="O29" i="148"/>
  <c r="AT29" i="148" s="1"/>
  <c r="B29" i="148"/>
  <c r="AV28" i="148"/>
  <c r="AB28" i="148"/>
  <c r="AU28" i="148" s="1"/>
  <c r="O28" i="148"/>
  <c r="AT28" i="148" s="1"/>
  <c r="B28" i="148"/>
  <c r="AV27" i="148"/>
  <c r="AB27" i="148"/>
  <c r="AU27" i="148" s="1"/>
  <c r="O27" i="148"/>
  <c r="AT27" i="148" s="1"/>
  <c r="B27" i="148"/>
  <c r="AV26" i="148"/>
  <c r="AB26" i="148"/>
  <c r="AU26" i="148" s="1"/>
  <c r="O26" i="148"/>
  <c r="AT26" i="148" s="1"/>
  <c r="B26" i="148"/>
  <c r="AV25" i="148"/>
  <c r="AB25" i="148"/>
  <c r="AU25" i="148" s="1"/>
  <c r="O25" i="148"/>
  <c r="AT25" i="148" s="1"/>
  <c r="B25" i="148"/>
  <c r="AV24" i="148"/>
  <c r="AB24" i="148"/>
  <c r="AU24" i="148" s="1"/>
  <c r="O24" i="148"/>
  <c r="AT24" i="148" s="1"/>
  <c r="B24" i="148"/>
  <c r="AV23" i="148"/>
  <c r="AB23" i="148"/>
  <c r="AU23" i="148" s="1"/>
  <c r="O23" i="148"/>
  <c r="AT23" i="148" s="1"/>
  <c r="B23" i="148"/>
  <c r="AV22" i="148"/>
  <c r="AB22" i="148"/>
  <c r="AU22" i="148" s="1"/>
  <c r="O22" i="148"/>
  <c r="AT22" i="148" s="1"/>
  <c r="B22" i="148"/>
  <c r="AV21" i="148"/>
  <c r="AB21" i="148"/>
  <c r="AU21" i="148" s="1"/>
  <c r="O21" i="148"/>
  <c r="AT21" i="148" s="1"/>
  <c r="B21" i="148"/>
  <c r="AV20" i="148"/>
  <c r="AB20" i="148"/>
  <c r="AU20" i="148" s="1"/>
  <c r="O20" i="148"/>
  <c r="AT20" i="148" s="1"/>
  <c r="B20" i="148"/>
  <c r="AV19" i="148"/>
  <c r="AB19" i="148"/>
  <c r="AU19" i="148" s="1"/>
  <c r="O19" i="148"/>
  <c r="AT19" i="148" s="1"/>
  <c r="B19" i="148"/>
  <c r="AV18" i="148"/>
  <c r="AB18" i="148"/>
  <c r="AU18" i="148" s="1"/>
  <c r="O18" i="148"/>
  <c r="AT18" i="148" s="1"/>
  <c r="AW18" i="148" s="1"/>
  <c r="AX18" i="148" s="1"/>
  <c r="B18" i="148"/>
  <c r="AV17" i="148"/>
  <c r="AB17" i="148"/>
  <c r="AU17" i="148" s="1"/>
  <c r="O17" i="148"/>
  <c r="AT17" i="148" s="1"/>
  <c r="B17" i="148"/>
  <c r="AV16" i="148"/>
  <c r="AB16" i="148"/>
  <c r="AU16" i="148" s="1"/>
  <c r="O16" i="148"/>
  <c r="AT16" i="148" s="1"/>
  <c r="AW16" i="148" s="1"/>
  <c r="AX16" i="148" s="1"/>
  <c r="B16" i="148"/>
  <c r="AV15" i="148"/>
  <c r="AB15" i="148"/>
  <c r="AU15" i="148" s="1"/>
  <c r="O15" i="148"/>
  <c r="AT15" i="148" s="1"/>
  <c r="B15" i="148"/>
  <c r="AV14" i="148"/>
  <c r="AB14" i="148"/>
  <c r="AU14" i="148" s="1"/>
  <c r="O14" i="148"/>
  <c r="AT14" i="148" s="1"/>
  <c r="AW14" i="148" s="1"/>
  <c r="AX14" i="148" s="1"/>
  <c r="B14" i="148"/>
  <c r="AV13" i="148"/>
  <c r="AB13" i="148"/>
  <c r="AU13" i="148" s="1"/>
  <c r="O13" i="148"/>
  <c r="AT13" i="148" s="1"/>
  <c r="B13" i="148"/>
  <c r="AV12" i="148"/>
  <c r="AB12" i="148"/>
  <c r="AU12" i="148" s="1"/>
  <c r="O12" i="148"/>
  <c r="AT12" i="148" s="1"/>
  <c r="AW12" i="148" s="1"/>
  <c r="AX12" i="148" s="1"/>
  <c r="B12" i="148"/>
  <c r="AV11" i="148"/>
  <c r="AB11" i="148"/>
  <c r="AU11" i="148" s="1"/>
  <c r="O11" i="148"/>
  <c r="AT11" i="148" s="1"/>
  <c r="B11" i="148"/>
  <c r="AV10" i="148"/>
  <c r="AB10" i="148"/>
  <c r="AU10" i="148" s="1"/>
  <c r="O10" i="148"/>
  <c r="AT10" i="148" s="1"/>
  <c r="B10" i="148"/>
  <c r="AV9" i="148"/>
  <c r="AU9" i="148"/>
  <c r="AT9" i="148"/>
  <c r="B9" i="148"/>
  <c r="C165" i="115"/>
  <c r="C161" i="115"/>
  <c r="C157" i="115"/>
  <c r="C153" i="115"/>
  <c r="C149" i="115"/>
  <c r="C145" i="115"/>
  <c r="C141" i="115"/>
  <c r="C137" i="115"/>
  <c r="C133" i="115"/>
  <c r="C129" i="115"/>
  <c r="C125" i="115"/>
  <c r="C121" i="115"/>
  <c r="C117" i="115"/>
  <c r="C113" i="115"/>
  <c r="C109" i="115"/>
  <c r="C105" i="115"/>
  <c r="C101" i="115"/>
  <c r="C97" i="115"/>
  <c r="C93" i="115"/>
  <c r="C89" i="115"/>
  <c r="C85" i="115"/>
  <c r="C81" i="115"/>
  <c r="C77" i="115"/>
  <c r="C73" i="115"/>
  <c r="C69" i="115"/>
  <c r="C65" i="115"/>
  <c r="C61" i="115"/>
  <c r="C57" i="115"/>
  <c r="C53" i="115"/>
  <c r="C49" i="115"/>
  <c r="C45" i="115"/>
  <c r="C41" i="115"/>
  <c r="C37" i="115"/>
  <c r="C29" i="115"/>
  <c r="C25" i="115"/>
  <c r="C21" i="115"/>
  <c r="C17" i="115"/>
  <c r="C13" i="115"/>
  <c r="S11" i="115"/>
  <c r="S10" i="115"/>
  <c r="C9" i="115"/>
  <c r="F7" i="147"/>
  <c r="C163" i="147"/>
  <c r="C159" i="147"/>
  <c r="C155" i="147"/>
  <c r="C151" i="147"/>
  <c r="C147" i="147"/>
  <c r="C143" i="147"/>
  <c r="C139" i="147"/>
  <c r="C135" i="147"/>
  <c r="C131" i="147"/>
  <c r="C127" i="147"/>
  <c r="C123" i="147"/>
  <c r="C119" i="147"/>
  <c r="C115" i="147"/>
  <c r="C111" i="147"/>
  <c r="C107" i="147"/>
  <c r="C103" i="147"/>
  <c r="C99" i="147"/>
  <c r="C95" i="147"/>
  <c r="C91" i="147"/>
  <c r="C87" i="147"/>
  <c r="C83" i="147"/>
  <c r="C79" i="147"/>
  <c r="C75" i="147"/>
  <c r="C71" i="147"/>
  <c r="C67" i="147"/>
  <c r="C63" i="147"/>
  <c r="C59" i="147"/>
  <c r="C55" i="147"/>
  <c r="C51" i="147"/>
  <c r="C47" i="147"/>
  <c r="C43" i="147"/>
  <c r="C39" i="147"/>
  <c r="C35" i="147"/>
  <c r="C31" i="147"/>
  <c r="C27" i="147"/>
  <c r="C23" i="147"/>
  <c r="C19" i="147"/>
  <c r="C15" i="147"/>
  <c r="C11" i="147"/>
  <c r="F9" i="147"/>
  <c r="F8" i="147"/>
  <c r="C7" i="147"/>
  <c r="AA9" i="115" l="1"/>
  <c r="R339" i="74" s="1"/>
  <c r="Q12" i="115"/>
  <c r="S12" i="115" s="1"/>
  <c r="AW47" i="148"/>
  <c r="AX47" i="148" s="1"/>
  <c r="AW20" i="148"/>
  <c r="AX20" i="148" s="1"/>
  <c r="AW22" i="148"/>
  <c r="AX22" i="148" s="1"/>
  <c r="AW24" i="148"/>
  <c r="AX24" i="148" s="1"/>
  <c r="AW26" i="148"/>
  <c r="AX26" i="148" s="1"/>
  <c r="AW28" i="148"/>
  <c r="AX28" i="148" s="1"/>
  <c r="AW30" i="148"/>
  <c r="AX30" i="148" s="1"/>
  <c r="AW11" i="148"/>
  <c r="AX11" i="148" s="1"/>
  <c r="AV53" i="148"/>
  <c r="AV52" i="148"/>
  <c r="AV51" i="148"/>
  <c r="AU53" i="148"/>
  <c r="AU52" i="148"/>
  <c r="AU51" i="148"/>
  <c r="AW10" i="148"/>
  <c r="AX10" i="148" s="1"/>
  <c r="AT53" i="148"/>
  <c r="AT52" i="148"/>
  <c r="AT51" i="148"/>
  <c r="AW13" i="148"/>
  <c r="AX13" i="148" s="1"/>
  <c r="AW15" i="148"/>
  <c r="AX15" i="148" s="1"/>
  <c r="AW17" i="148"/>
  <c r="AX17" i="148" s="1"/>
  <c r="AW19" i="148"/>
  <c r="AX19" i="148" s="1"/>
  <c r="AW21" i="148"/>
  <c r="AX21" i="148" s="1"/>
  <c r="AW23" i="148"/>
  <c r="AX23" i="148" s="1"/>
  <c r="AW25" i="148"/>
  <c r="AX25" i="148" s="1"/>
  <c r="AW27" i="148"/>
  <c r="AX27" i="148" s="1"/>
  <c r="AW29" i="148"/>
  <c r="AX29" i="148" s="1"/>
  <c r="AW32" i="148"/>
  <c r="AX32" i="148" s="1"/>
  <c r="AW34" i="148"/>
  <c r="AX34" i="148" s="1"/>
  <c r="AW36" i="148"/>
  <c r="AX36" i="148" s="1"/>
  <c r="AW38" i="148"/>
  <c r="AX38" i="148" s="1"/>
  <c r="AW40" i="148"/>
  <c r="AX40" i="148" s="1"/>
  <c r="AW42" i="148"/>
  <c r="AX42" i="148" s="1"/>
  <c r="AW44" i="148"/>
  <c r="AX44" i="148" s="1"/>
  <c r="AW46" i="148"/>
  <c r="AX46" i="148" s="1"/>
  <c r="AW48" i="148"/>
  <c r="AX48" i="148" s="1"/>
  <c r="R9" i="115"/>
  <c r="T9" i="115"/>
  <c r="R10" i="115"/>
  <c r="T10" i="115"/>
  <c r="R11" i="115"/>
  <c r="T11" i="115"/>
  <c r="S9" i="115"/>
  <c r="AB9" i="115" l="1"/>
  <c r="T339" i="74" s="1"/>
  <c r="K6" i="130"/>
  <c r="R12" i="115"/>
  <c r="AW9" i="148"/>
  <c r="AX9" i="148" s="1"/>
  <c r="K47" i="130" l="1"/>
  <c r="K48" i="130"/>
  <c r="E19" i="131" s="1"/>
  <c r="K49" i="130"/>
  <c r="C19" i="131"/>
  <c r="D19" i="131" s="1"/>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F19" i="131" l="1"/>
  <c r="W101" i="74"/>
  <c r="J44" i="71"/>
  <c r="O44" i="71"/>
  <c r="T44" i="71"/>
  <c r="Y44" i="71"/>
  <c r="AL44" i="71"/>
  <c r="E217" i="110" s="1"/>
  <c r="F217" i="110" s="1"/>
  <c r="AM44" i="71"/>
  <c r="E218" i="110" s="1"/>
  <c r="F218" i="110" s="1"/>
  <c r="AN44" i="71"/>
  <c r="E219" i="110" s="1"/>
  <c r="F219" i="110" s="1"/>
  <c r="AO44" i="71"/>
  <c r="E220" i="110" s="1"/>
  <c r="F220" i="110" s="1"/>
  <c r="AP44" i="71"/>
  <c r="E221" i="110" s="1"/>
  <c r="F221" i="110" s="1"/>
  <c r="AR44" i="71"/>
  <c r="AS44" i="71"/>
  <c r="AT44" i="71"/>
  <c r="AV44" i="71"/>
  <c r="AW44" i="71"/>
  <c r="AY44" i="71"/>
  <c r="AZ44" i="71"/>
  <c r="BB44" i="71"/>
  <c r="BC44" i="71"/>
  <c r="BD44" i="71" s="1"/>
  <c r="BE44" i="71"/>
  <c r="BF44" i="71"/>
  <c r="BG44" i="71"/>
  <c r="BI44" i="71"/>
  <c r="BJ44" i="71"/>
  <c r="BL44" i="71"/>
  <c r="BM44" i="71"/>
  <c r="BN44" i="71"/>
  <c r="BO44" i="71"/>
  <c r="BP44" i="71"/>
  <c r="BQ44" i="71"/>
  <c r="J45" i="71"/>
  <c r="O45" i="71"/>
  <c r="T45" i="71"/>
  <c r="Y45" i="71"/>
  <c r="AL45" i="71"/>
  <c r="E223" i="110" s="1"/>
  <c r="F223" i="110" s="1"/>
  <c r="AM45" i="71"/>
  <c r="E224" i="110" s="1"/>
  <c r="F224" i="110" s="1"/>
  <c r="AN45" i="71"/>
  <c r="E225" i="110" s="1"/>
  <c r="F225" i="110" s="1"/>
  <c r="AO45" i="71"/>
  <c r="E226" i="110" s="1"/>
  <c r="F226" i="110" s="1"/>
  <c r="AP45" i="71"/>
  <c r="E227" i="110" s="1"/>
  <c r="F227" i="110" s="1"/>
  <c r="AR45" i="71"/>
  <c r="AS45" i="71"/>
  <c r="AT45" i="71"/>
  <c r="AV45" i="71"/>
  <c r="AW45" i="71"/>
  <c r="AY45" i="71"/>
  <c r="AZ45" i="71"/>
  <c r="BA45" i="71" s="1"/>
  <c r="BB45" i="71"/>
  <c r="BC45" i="71"/>
  <c r="BD45" i="71" s="1"/>
  <c r="BE45" i="71"/>
  <c r="BF45" i="71"/>
  <c r="BG45" i="71"/>
  <c r="BI45" i="71"/>
  <c r="BJ45" i="71"/>
  <c r="BL45" i="71"/>
  <c r="BM45" i="71"/>
  <c r="BN45" i="71"/>
  <c r="BO45" i="71"/>
  <c r="BP45" i="71"/>
  <c r="BQ45" i="71"/>
  <c r="J46" i="71"/>
  <c r="O46" i="71"/>
  <c r="T46" i="71"/>
  <c r="Y46" i="71"/>
  <c r="AL46" i="71"/>
  <c r="E229" i="110" s="1"/>
  <c r="F229" i="110" s="1"/>
  <c r="AM46" i="71"/>
  <c r="E230" i="110" s="1"/>
  <c r="F230" i="110" s="1"/>
  <c r="AN46" i="71"/>
  <c r="E231" i="110" s="1"/>
  <c r="F231" i="110" s="1"/>
  <c r="AO46" i="71"/>
  <c r="E232" i="110" s="1"/>
  <c r="F232" i="110" s="1"/>
  <c r="AP46" i="71"/>
  <c r="E233" i="110" s="1"/>
  <c r="F233" i="110" s="1"/>
  <c r="AR46" i="71"/>
  <c r="AS46" i="71"/>
  <c r="AT46" i="71"/>
  <c r="AV46" i="71"/>
  <c r="AW46" i="71"/>
  <c r="AY46" i="71"/>
  <c r="AZ46" i="71"/>
  <c r="BB46" i="71"/>
  <c r="BC46" i="71"/>
  <c r="BD46" i="71" s="1"/>
  <c r="BE46" i="71"/>
  <c r="BF46" i="71"/>
  <c r="BG46" i="71"/>
  <c r="BI46" i="71"/>
  <c r="BJ46" i="71"/>
  <c r="BL46" i="71"/>
  <c r="BM46" i="71"/>
  <c r="BN46" i="71"/>
  <c r="BO46" i="71"/>
  <c r="BP46" i="71"/>
  <c r="BQ46" i="71"/>
  <c r="J47" i="71"/>
  <c r="O47" i="71"/>
  <c r="T47" i="71"/>
  <c r="Y47" i="71"/>
  <c r="AL47" i="71"/>
  <c r="E235" i="110" s="1"/>
  <c r="F235" i="110" s="1"/>
  <c r="AM47" i="71"/>
  <c r="E236" i="110" s="1"/>
  <c r="F236" i="110" s="1"/>
  <c r="AN47" i="71"/>
  <c r="E237" i="110" s="1"/>
  <c r="F237" i="110" s="1"/>
  <c r="AO47" i="71"/>
  <c r="E238" i="110" s="1"/>
  <c r="F238" i="110" s="1"/>
  <c r="AP47" i="71"/>
  <c r="E239" i="110" s="1"/>
  <c r="F239" i="110" s="1"/>
  <c r="AR47" i="71"/>
  <c r="AS47" i="71"/>
  <c r="AT47" i="71"/>
  <c r="AV47" i="71"/>
  <c r="AW47" i="71"/>
  <c r="AY47" i="71"/>
  <c r="AZ47" i="71"/>
  <c r="BA47" i="71"/>
  <c r="BB47" i="71"/>
  <c r="BC47" i="71"/>
  <c r="BD47" i="71" s="1"/>
  <c r="BE47" i="71"/>
  <c r="BF47" i="71"/>
  <c r="BG47" i="71"/>
  <c r="BI47" i="71"/>
  <c r="BJ47" i="71"/>
  <c r="BL47" i="71"/>
  <c r="BM47" i="71"/>
  <c r="BN47" i="71"/>
  <c r="BO47" i="71"/>
  <c r="BP47" i="71"/>
  <c r="BQ47" i="71"/>
  <c r="J48" i="71"/>
  <c r="O48" i="71"/>
  <c r="T48" i="71"/>
  <c r="Y48" i="71"/>
  <c r="AL48" i="71"/>
  <c r="E241" i="110" s="1"/>
  <c r="F241" i="110" s="1"/>
  <c r="AM48" i="71"/>
  <c r="E242" i="110" s="1"/>
  <c r="F242" i="110" s="1"/>
  <c r="AN48" i="71"/>
  <c r="E243" i="110" s="1"/>
  <c r="F243" i="110" s="1"/>
  <c r="AO48" i="71"/>
  <c r="E244" i="110" s="1"/>
  <c r="F244" i="110" s="1"/>
  <c r="AP48" i="71"/>
  <c r="E245" i="110" s="1"/>
  <c r="F245" i="110" s="1"/>
  <c r="AR48" i="71"/>
  <c r="AS48" i="71"/>
  <c r="AT48" i="71"/>
  <c r="AV48" i="71"/>
  <c r="AW48" i="71"/>
  <c r="AY48" i="71"/>
  <c r="AZ48" i="71"/>
  <c r="BB48" i="71"/>
  <c r="BC48" i="71"/>
  <c r="BD48" i="71" s="1"/>
  <c r="BE48" i="71"/>
  <c r="BF48" i="71"/>
  <c r="BG48" i="71"/>
  <c r="BI48" i="71"/>
  <c r="BJ48" i="71"/>
  <c r="BL48" i="71"/>
  <c r="BM48" i="71"/>
  <c r="BN48" i="71"/>
  <c r="BO48" i="71"/>
  <c r="BP48" i="71"/>
  <c r="BQ48" i="71"/>
  <c r="H44" i="70"/>
  <c r="O44" i="70"/>
  <c r="U44" i="70"/>
  <c r="AB44" i="70"/>
  <c r="AT44" i="70"/>
  <c r="AU44" i="70"/>
  <c r="AV44" i="70"/>
  <c r="AX44" i="70"/>
  <c r="AY44" i="70"/>
  <c r="AZ44" i="70"/>
  <c r="BB44" i="70"/>
  <c r="BC44" i="70"/>
  <c r="BD44" i="70"/>
  <c r="BF44" i="70"/>
  <c r="BG44" i="70"/>
  <c r="BH44" i="70"/>
  <c r="BJ44" i="70"/>
  <c r="BK44" i="70"/>
  <c r="BM44" i="70"/>
  <c r="BO44" i="70"/>
  <c r="BP44" i="70"/>
  <c r="BQ44" i="70" s="1"/>
  <c r="BR44" i="70"/>
  <c r="BS44" i="70"/>
  <c r="BT44" i="70"/>
  <c r="H45" i="70"/>
  <c r="O45" i="70"/>
  <c r="U45" i="70"/>
  <c r="AB45" i="70"/>
  <c r="AT45" i="70"/>
  <c r="AU45" i="70"/>
  <c r="AV45" i="70"/>
  <c r="AX45" i="70"/>
  <c r="AY45" i="70"/>
  <c r="AZ45" i="70"/>
  <c r="BB45" i="70"/>
  <c r="BC45" i="70"/>
  <c r="BD45" i="70"/>
  <c r="BF45" i="70"/>
  <c r="BG45" i="70"/>
  <c r="BH45" i="70"/>
  <c r="BJ45" i="70"/>
  <c r="BK45" i="70"/>
  <c r="BM45" i="70"/>
  <c r="BO45" i="70"/>
  <c r="BP45" i="70"/>
  <c r="BQ45" i="70" s="1"/>
  <c r="BR45" i="70"/>
  <c r="BS45" i="70"/>
  <c r="BT45" i="70"/>
  <c r="H46" i="70"/>
  <c r="O46" i="70"/>
  <c r="U46" i="70"/>
  <c r="AB46" i="70"/>
  <c r="AT46" i="70"/>
  <c r="AU46" i="70"/>
  <c r="AV46" i="70"/>
  <c r="AX46" i="70"/>
  <c r="AY46" i="70"/>
  <c r="AZ46" i="70"/>
  <c r="BB46" i="70"/>
  <c r="BC46" i="70"/>
  <c r="BD46" i="70"/>
  <c r="BF46" i="70"/>
  <c r="BG46" i="70"/>
  <c r="BH46" i="70"/>
  <c r="BJ46" i="70"/>
  <c r="BK46" i="70"/>
  <c r="BM46" i="70"/>
  <c r="BO46" i="70"/>
  <c r="BP46" i="70"/>
  <c r="BQ46" i="70" s="1"/>
  <c r="BR46" i="70"/>
  <c r="BS46" i="70"/>
  <c r="BT46" i="70"/>
  <c r="H47" i="70"/>
  <c r="O47" i="70"/>
  <c r="U47" i="70"/>
  <c r="AB47" i="70"/>
  <c r="AT47" i="70"/>
  <c r="AU47" i="70"/>
  <c r="AV47" i="70"/>
  <c r="AX47" i="70"/>
  <c r="AY47" i="70"/>
  <c r="AZ47" i="70"/>
  <c r="BB47" i="70"/>
  <c r="BC47" i="70"/>
  <c r="BD47" i="70"/>
  <c r="BF47" i="70"/>
  <c r="BG47" i="70"/>
  <c r="BH47" i="70"/>
  <c r="BJ47" i="70"/>
  <c r="BK47" i="70"/>
  <c r="BM47" i="70"/>
  <c r="BO47" i="70"/>
  <c r="BP47" i="70"/>
  <c r="BQ47" i="70" s="1"/>
  <c r="BR47" i="70"/>
  <c r="BS47" i="70"/>
  <c r="BT47" i="70"/>
  <c r="H48" i="70"/>
  <c r="O48" i="70"/>
  <c r="U48" i="70"/>
  <c r="AB48" i="70"/>
  <c r="AT48" i="70"/>
  <c r="AU48" i="70"/>
  <c r="AV48" i="70"/>
  <c r="AX48" i="70"/>
  <c r="AY48" i="70"/>
  <c r="AZ48" i="70"/>
  <c r="BB48" i="70"/>
  <c r="BC48" i="70"/>
  <c r="BD48" i="70"/>
  <c r="BF48" i="70"/>
  <c r="BG48" i="70"/>
  <c r="BH48" i="70"/>
  <c r="BJ48" i="70"/>
  <c r="BK48" i="70"/>
  <c r="BM48" i="70"/>
  <c r="BO48" i="70"/>
  <c r="BP48" i="70"/>
  <c r="BQ48" i="70" s="1"/>
  <c r="BR48" i="70"/>
  <c r="BS48" i="70"/>
  <c r="BT48" i="70"/>
  <c r="L43" i="146"/>
  <c r="P43" i="146" s="1"/>
  <c r="B43" i="146"/>
  <c r="L42" i="146"/>
  <c r="P42" i="146" s="1"/>
  <c r="B42" i="146"/>
  <c r="L41" i="146"/>
  <c r="P41" i="146" s="1"/>
  <c r="B41" i="146"/>
  <c r="L40" i="146"/>
  <c r="P40" i="146" s="1"/>
  <c r="B40" i="146"/>
  <c r="L39" i="146"/>
  <c r="P39" i="146" s="1"/>
  <c r="B39" i="146"/>
  <c r="L38" i="146"/>
  <c r="P38" i="146" s="1"/>
  <c r="B38" i="146"/>
  <c r="L37" i="146"/>
  <c r="P37" i="146" s="1"/>
  <c r="B37" i="146"/>
  <c r="L36" i="146"/>
  <c r="P36" i="146" s="1"/>
  <c r="B36" i="146"/>
  <c r="L35" i="146"/>
  <c r="P35" i="146" s="1"/>
  <c r="B35" i="146"/>
  <c r="L34" i="146"/>
  <c r="P34" i="146" s="1"/>
  <c r="B34" i="146"/>
  <c r="L33" i="146"/>
  <c r="P33" i="146" s="1"/>
  <c r="B33" i="146"/>
  <c r="L32" i="146"/>
  <c r="P32" i="146" s="1"/>
  <c r="B32" i="146"/>
  <c r="L31" i="146"/>
  <c r="P31" i="146" s="1"/>
  <c r="B31" i="146"/>
  <c r="L30" i="146"/>
  <c r="P30" i="146" s="1"/>
  <c r="B30" i="146"/>
  <c r="L29" i="146"/>
  <c r="P29" i="146" s="1"/>
  <c r="B29" i="146"/>
  <c r="L28" i="146"/>
  <c r="P28" i="146" s="1"/>
  <c r="B28" i="146"/>
  <c r="L27" i="146"/>
  <c r="P27" i="146" s="1"/>
  <c r="B27" i="146"/>
  <c r="L26" i="146"/>
  <c r="P26" i="146" s="1"/>
  <c r="B26" i="146"/>
  <c r="L25" i="146"/>
  <c r="P25" i="146" s="1"/>
  <c r="B25" i="146"/>
  <c r="L24" i="146"/>
  <c r="P24" i="146" s="1"/>
  <c r="B24" i="146"/>
  <c r="L23" i="146"/>
  <c r="P23" i="146" s="1"/>
  <c r="B23" i="146"/>
  <c r="L22" i="146"/>
  <c r="P22" i="146" s="1"/>
  <c r="B22" i="146"/>
  <c r="L21" i="146"/>
  <c r="P21" i="146" s="1"/>
  <c r="B21" i="146"/>
  <c r="L20" i="146"/>
  <c r="P20" i="146" s="1"/>
  <c r="B20" i="146"/>
  <c r="L19" i="146"/>
  <c r="P19" i="146" s="1"/>
  <c r="B19" i="146"/>
  <c r="L18" i="146"/>
  <c r="P18" i="146" s="1"/>
  <c r="B18" i="146"/>
  <c r="L17" i="146"/>
  <c r="P17" i="146" s="1"/>
  <c r="B17" i="146"/>
  <c r="L16" i="146"/>
  <c r="P16" i="146" s="1"/>
  <c r="B16" i="146"/>
  <c r="L15" i="146"/>
  <c r="P15" i="146" s="1"/>
  <c r="B15" i="146"/>
  <c r="L14" i="146"/>
  <c r="P14" i="146" s="1"/>
  <c r="B14" i="146"/>
  <c r="L13" i="146"/>
  <c r="P13" i="146" s="1"/>
  <c r="B13" i="146"/>
  <c r="L12" i="146"/>
  <c r="P12" i="146" s="1"/>
  <c r="B12" i="146"/>
  <c r="L11" i="146"/>
  <c r="P11" i="146" s="1"/>
  <c r="B11" i="146"/>
  <c r="L10" i="146"/>
  <c r="P10" i="146" s="1"/>
  <c r="B10" i="146"/>
  <c r="O9" i="146"/>
  <c r="L9" i="146"/>
  <c r="P9" i="146" s="1"/>
  <c r="B9" i="146"/>
  <c r="L43" i="145"/>
  <c r="P43" i="145" s="1"/>
  <c r="B43" i="145"/>
  <c r="L42" i="145"/>
  <c r="P42" i="145" s="1"/>
  <c r="B42" i="145"/>
  <c r="L41" i="145"/>
  <c r="P41" i="145" s="1"/>
  <c r="B41" i="145"/>
  <c r="L40" i="145"/>
  <c r="P40" i="145" s="1"/>
  <c r="B40" i="145"/>
  <c r="L39" i="145"/>
  <c r="P39" i="145" s="1"/>
  <c r="B39" i="145"/>
  <c r="L38" i="145"/>
  <c r="P38" i="145" s="1"/>
  <c r="B38" i="145"/>
  <c r="L37" i="145"/>
  <c r="P37" i="145" s="1"/>
  <c r="B37" i="145"/>
  <c r="L36" i="145"/>
  <c r="P36" i="145" s="1"/>
  <c r="B36" i="145"/>
  <c r="L35" i="145"/>
  <c r="P35" i="145" s="1"/>
  <c r="B35" i="145"/>
  <c r="L34" i="145"/>
  <c r="P34" i="145" s="1"/>
  <c r="B34" i="145"/>
  <c r="L33" i="145"/>
  <c r="P33" i="145" s="1"/>
  <c r="B33" i="145"/>
  <c r="L32" i="145"/>
  <c r="P32" i="145" s="1"/>
  <c r="B32" i="145"/>
  <c r="L31" i="145"/>
  <c r="P31" i="145" s="1"/>
  <c r="B31" i="145"/>
  <c r="L30" i="145"/>
  <c r="P30" i="145" s="1"/>
  <c r="B30" i="145"/>
  <c r="L29" i="145"/>
  <c r="P29" i="145" s="1"/>
  <c r="B29" i="145"/>
  <c r="L28" i="145"/>
  <c r="P28" i="145" s="1"/>
  <c r="B28" i="145"/>
  <c r="L27" i="145"/>
  <c r="P27" i="145" s="1"/>
  <c r="B27" i="145"/>
  <c r="L26" i="145"/>
  <c r="P26" i="145" s="1"/>
  <c r="B26" i="145"/>
  <c r="L25" i="145"/>
  <c r="P25" i="145" s="1"/>
  <c r="B25" i="145"/>
  <c r="L24" i="145"/>
  <c r="P24" i="145" s="1"/>
  <c r="B24" i="145"/>
  <c r="L23" i="145"/>
  <c r="P23" i="145" s="1"/>
  <c r="B23" i="145"/>
  <c r="L22" i="145"/>
  <c r="P22" i="145" s="1"/>
  <c r="B22" i="145"/>
  <c r="L21" i="145"/>
  <c r="P21" i="145" s="1"/>
  <c r="B21" i="145"/>
  <c r="L20" i="145"/>
  <c r="P20" i="145" s="1"/>
  <c r="B20" i="145"/>
  <c r="L19" i="145"/>
  <c r="P19" i="145" s="1"/>
  <c r="B19" i="145"/>
  <c r="L18" i="145"/>
  <c r="P18" i="145" s="1"/>
  <c r="B18" i="145"/>
  <c r="L17" i="145"/>
  <c r="P17" i="145" s="1"/>
  <c r="B17" i="145"/>
  <c r="L16" i="145"/>
  <c r="P16" i="145" s="1"/>
  <c r="B16" i="145"/>
  <c r="L15" i="145"/>
  <c r="P15" i="145" s="1"/>
  <c r="B15" i="145"/>
  <c r="L14" i="145"/>
  <c r="P14" i="145" s="1"/>
  <c r="B14" i="145"/>
  <c r="L13" i="145"/>
  <c r="P13" i="145" s="1"/>
  <c r="B13" i="145"/>
  <c r="L12" i="145"/>
  <c r="P12" i="145" s="1"/>
  <c r="B12" i="145"/>
  <c r="L11" i="145"/>
  <c r="P11" i="145" s="1"/>
  <c r="B11" i="145"/>
  <c r="L10" i="145"/>
  <c r="P10" i="145" s="1"/>
  <c r="B10" i="145"/>
  <c r="O9" i="145"/>
  <c r="L9" i="145"/>
  <c r="P9" i="145" s="1"/>
  <c r="B9" i="145"/>
  <c r="L43" i="144"/>
  <c r="P43" i="144" s="1"/>
  <c r="B43" i="144"/>
  <c r="L42" i="144"/>
  <c r="P42" i="144" s="1"/>
  <c r="B42" i="144"/>
  <c r="L41" i="144"/>
  <c r="P41" i="144" s="1"/>
  <c r="B41" i="144"/>
  <c r="L40" i="144"/>
  <c r="P40" i="144" s="1"/>
  <c r="B40" i="144"/>
  <c r="L39" i="144"/>
  <c r="P39" i="144" s="1"/>
  <c r="B39" i="144"/>
  <c r="L38" i="144"/>
  <c r="P38" i="144" s="1"/>
  <c r="B38" i="144"/>
  <c r="L37" i="144"/>
  <c r="P37" i="144" s="1"/>
  <c r="B37" i="144"/>
  <c r="L36" i="144"/>
  <c r="P36" i="144" s="1"/>
  <c r="B36" i="144"/>
  <c r="L35" i="144"/>
  <c r="P35" i="144" s="1"/>
  <c r="B35" i="144"/>
  <c r="L34" i="144"/>
  <c r="P34" i="144" s="1"/>
  <c r="B34" i="144"/>
  <c r="L33" i="144"/>
  <c r="P33" i="144" s="1"/>
  <c r="B33" i="144"/>
  <c r="L32" i="144"/>
  <c r="P32" i="144" s="1"/>
  <c r="B32" i="144"/>
  <c r="L31" i="144"/>
  <c r="P31" i="144" s="1"/>
  <c r="B31" i="144"/>
  <c r="L30" i="144"/>
  <c r="P30" i="144" s="1"/>
  <c r="B30" i="144"/>
  <c r="L29" i="144"/>
  <c r="P29" i="144" s="1"/>
  <c r="B29" i="144"/>
  <c r="L28" i="144"/>
  <c r="P28" i="144" s="1"/>
  <c r="B28" i="144"/>
  <c r="L27" i="144"/>
  <c r="P27" i="144" s="1"/>
  <c r="B27" i="144"/>
  <c r="L26" i="144"/>
  <c r="P26" i="144" s="1"/>
  <c r="B26" i="144"/>
  <c r="L25" i="144"/>
  <c r="P25" i="144" s="1"/>
  <c r="B25" i="144"/>
  <c r="L24" i="144"/>
  <c r="P24" i="144" s="1"/>
  <c r="B24" i="144"/>
  <c r="L23" i="144"/>
  <c r="P23" i="144" s="1"/>
  <c r="B23" i="144"/>
  <c r="L22" i="144"/>
  <c r="P22" i="144" s="1"/>
  <c r="B22" i="144"/>
  <c r="L21" i="144"/>
  <c r="P21" i="144" s="1"/>
  <c r="B21" i="144"/>
  <c r="L20" i="144"/>
  <c r="P20" i="144" s="1"/>
  <c r="B20" i="144"/>
  <c r="L19" i="144"/>
  <c r="P19" i="144" s="1"/>
  <c r="B19" i="144"/>
  <c r="L18" i="144"/>
  <c r="P18" i="144" s="1"/>
  <c r="B18" i="144"/>
  <c r="L17" i="144"/>
  <c r="P17" i="144" s="1"/>
  <c r="B17" i="144"/>
  <c r="L16" i="144"/>
  <c r="P16" i="144" s="1"/>
  <c r="B16" i="144"/>
  <c r="L15" i="144"/>
  <c r="P15" i="144" s="1"/>
  <c r="B15" i="144"/>
  <c r="L14" i="144"/>
  <c r="P14" i="144" s="1"/>
  <c r="B14" i="144"/>
  <c r="L13" i="144"/>
  <c r="P13" i="144" s="1"/>
  <c r="B13" i="144"/>
  <c r="L12" i="144"/>
  <c r="P12" i="144" s="1"/>
  <c r="B12" i="144"/>
  <c r="L11" i="144"/>
  <c r="P11" i="144" s="1"/>
  <c r="B11" i="144"/>
  <c r="L10" i="144"/>
  <c r="P10" i="144" s="1"/>
  <c r="B10" i="144"/>
  <c r="L9" i="144"/>
  <c r="P9" i="144" s="1"/>
  <c r="B9" i="144"/>
  <c r="L43" i="143"/>
  <c r="P43" i="143" s="1"/>
  <c r="AZ212" i="94" s="1"/>
  <c r="B43" i="143"/>
  <c r="L42" i="143"/>
  <c r="P42" i="143" s="1"/>
  <c r="AZ206" i="94" s="1"/>
  <c r="B42" i="143"/>
  <c r="L41" i="143"/>
  <c r="P41" i="143" s="1"/>
  <c r="AZ200" i="94" s="1"/>
  <c r="B41" i="143"/>
  <c r="L40" i="143"/>
  <c r="P40" i="143" s="1"/>
  <c r="AZ194" i="94" s="1"/>
  <c r="B40" i="143"/>
  <c r="L39" i="143"/>
  <c r="P39" i="143" s="1"/>
  <c r="AZ188" i="94" s="1"/>
  <c r="B39" i="143"/>
  <c r="L38" i="143"/>
  <c r="P38" i="143" s="1"/>
  <c r="AZ182" i="94" s="1"/>
  <c r="B38" i="143"/>
  <c r="L37" i="143"/>
  <c r="P37" i="143" s="1"/>
  <c r="AZ176" i="94" s="1"/>
  <c r="B37" i="143"/>
  <c r="L36" i="143"/>
  <c r="P36" i="143" s="1"/>
  <c r="AZ170" i="94" s="1"/>
  <c r="B36" i="143"/>
  <c r="L35" i="143"/>
  <c r="P35" i="143" s="1"/>
  <c r="AZ164" i="94" s="1"/>
  <c r="B35" i="143"/>
  <c r="L34" i="143"/>
  <c r="P34" i="143" s="1"/>
  <c r="AZ158" i="94" s="1"/>
  <c r="B34" i="143"/>
  <c r="L33" i="143"/>
  <c r="P33" i="143" s="1"/>
  <c r="AZ152" i="94" s="1"/>
  <c r="B33" i="143"/>
  <c r="L32" i="143"/>
  <c r="P32" i="143" s="1"/>
  <c r="AZ146" i="94" s="1"/>
  <c r="B32" i="143"/>
  <c r="L31" i="143"/>
  <c r="P31" i="143" s="1"/>
  <c r="AZ140" i="94" s="1"/>
  <c r="B31" i="143"/>
  <c r="L30" i="143"/>
  <c r="P30" i="143" s="1"/>
  <c r="AZ134" i="94" s="1"/>
  <c r="B30" i="143"/>
  <c r="L29" i="143"/>
  <c r="P29" i="143" s="1"/>
  <c r="AZ128" i="94" s="1"/>
  <c r="B29" i="143"/>
  <c r="L28" i="143"/>
  <c r="P28" i="143" s="1"/>
  <c r="AZ122" i="94" s="1"/>
  <c r="B28" i="143"/>
  <c r="L27" i="143"/>
  <c r="P27" i="143" s="1"/>
  <c r="AZ116" i="94" s="1"/>
  <c r="B27" i="143"/>
  <c r="L26" i="143"/>
  <c r="P26" i="143" s="1"/>
  <c r="AZ110" i="94" s="1"/>
  <c r="B26" i="143"/>
  <c r="L25" i="143"/>
  <c r="P25" i="143" s="1"/>
  <c r="AZ104" i="94" s="1"/>
  <c r="B25" i="143"/>
  <c r="L24" i="143"/>
  <c r="P24" i="143" s="1"/>
  <c r="AZ98" i="94" s="1"/>
  <c r="B24" i="143"/>
  <c r="L23" i="143"/>
  <c r="P23" i="143" s="1"/>
  <c r="AZ92" i="94" s="1"/>
  <c r="B23" i="143"/>
  <c r="L22" i="143"/>
  <c r="P22" i="143" s="1"/>
  <c r="AZ86" i="94" s="1"/>
  <c r="B22" i="143"/>
  <c r="L21" i="143"/>
  <c r="P21" i="143" s="1"/>
  <c r="AZ80" i="94" s="1"/>
  <c r="B21" i="143"/>
  <c r="L20" i="143"/>
  <c r="P20" i="143" s="1"/>
  <c r="AZ74" i="94" s="1"/>
  <c r="B20" i="143"/>
  <c r="L19" i="143"/>
  <c r="P19" i="143" s="1"/>
  <c r="AZ68" i="94" s="1"/>
  <c r="B19" i="143"/>
  <c r="L18" i="143"/>
  <c r="P18" i="143" s="1"/>
  <c r="AZ62" i="94" s="1"/>
  <c r="B18" i="143"/>
  <c r="L17" i="143"/>
  <c r="P17" i="143" s="1"/>
  <c r="AZ56" i="94" s="1"/>
  <c r="B17" i="143"/>
  <c r="L16" i="143"/>
  <c r="P16" i="143" s="1"/>
  <c r="AZ50" i="94" s="1"/>
  <c r="B16" i="143"/>
  <c r="L15" i="143"/>
  <c r="P15" i="143" s="1"/>
  <c r="AZ44" i="94" s="1"/>
  <c r="B15" i="143"/>
  <c r="L14" i="143"/>
  <c r="P14" i="143" s="1"/>
  <c r="AZ38" i="94" s="1"/>
  <c r="B14" i="143"/>
  <c r="L13" i="143"/>
  <c r="P13" i="143" s="1"/>
  <c r="AZ32" i="94" s="1"/>
  <c r="B13" i="143"/>
  <c r="L12" i="143"/>
  <c r="P12" i="143" s="1"/>
  <c r="AZ26" i="94" s="1"/>
  <c r="B12" i="143"/>
  <c r="L11" i="143"/>
  <c r="P11" i="143" s="1"/>
  <c r="AZ20" i="94" s="1"/>
  <c r="B11" i="143"/>
  <c r="L10" i="143"/>
  <c r="P10" i="143" s="1"/>
  <c r="AZ14" i="94" s="1"/>
  <c r="B10" i="143"/>
  <c r="L9" i="143"/>
  <c r="P9" i="143" s="1"/>
  <c r="AZ8" i="94" s="1"/>
  <c r="B9" i="143"/>
  <c r="I232" i="110" l="1"/>
  <c r="J232" i="110"/>
  <c r="I223" i="110"/>
  <c r="J223" i="110"/>
  <c r="J226" i="110"/>
  <c r="I226" i="110"/>
  <c r="I217" i="110"/>
  <c r="J217" i="110"/>
  <c r="J235" i="110"/>
  <c r="I235" i="110"/>
  <c r="I220" i="110"/>
  <c r="J220" i="110"/>
  <c r="I238" i="110"/>
  <c r="J238" i="110"/>
  <c r="I229" i="110"/>
  <c r="J229" i="110"/>
  <c r="AX17" i="94"/>
  <c r="AZ17" i="94"/>
  <c r="AX23" i="94"/>
  <c r="AZ23" i="94"/>
  <c r="AZ29" i="94"/>
  <c r="AX29" i="94"/>
  <c r="AX35" i="94"/>
  <c r="AZ35" i="94"/>
  <c r="AZ41" i="94"/>
  <c r="AX41" i="94"/>
  <c r="AZ47" i="94"/>
  <c r="AX47" i="94"/>
  <c r="AZ53" i="94"/>
  <c r="AX53" i="94"/>
  <c r="AZ59" i="94"/>
  <c r="AX59" i="94"/>
  <c r="AZ65" i="94"/>
  <c r="AX65" i="94"/>
  <c r="AZ71" i="94"/>
  <c r="AX71" i="94"/>
  <c r="AZ77" i="94"/>
  <c r="AX77" i="94"/>
  <c r="AZ83" i="94"/>
  <c r="AX83" i="94"/>
  <c r="AZ89" i="94"/>
  <c r="AX89" i="94"/>
  <c r="AZ95" i="94"/>
  <c r="AX95" i="94"/>
  <c r="AZ101" i="94"/>
  <c r="AX101" i="94"/>
  <c r="AZ107" i="94"/>
  <c r="AX107" i="94"/>
  <c r="AZ113" i="94"/>
  <c r="AX113" i="94"/>
  <c r="AZ119" i="94"/>
  <c r="AX119" i="94"/>
  <c r="AZ125" i="94"/>
  <c r="AX125" i="94"/>
  <c r="AZ131" i="94"/>
  <c r="AX131" i="94"/>
  <c r="AZ137" i="94"/>
  <c r="AX137" i="94"/>
  <c r="AZ143" i="94"/>
  <c r="AX143" i="94"/>
  <c r="AZ149" i="94"/>
  <c r="AX149" i="94"/>
  <c r="AZ155" i="94"/>
  <c r="AX155" i="94"/>
  <c r="AZ161" i="94"/>
  <c r="AX161" i="94"/>
  <c r="AZ167" i="94"/>
  <c r="AX167" i="94"/>
  <c r="AZ173" i="94"/>
  <c r="AX173" i="94"/>
  <c r="AZ179" i="94"/>
  <c r="AX179" i="94"/>
  <c r="AZ185" i="94"/>
  <c r="AX185" i="94"/>
  <c r="AZ191" i="94"/>
  <c r="AX191" i="94"/>
  <c r="AX197" i="94"/>
  <c r="AZ197" i="94"/>
  <c r="AX203" i="94"/>
  <c r="AZ203" i="94"/>
  <c r="AX209" i="94"/>
  <c r="AZ209" i="94"/>
  <c r="AX215" i="94"/>
  <c r="AZ215" i="94"/>
  <c r="AY15" i="94"/>
  <c r="AZ15" i="94"/>
  <c r="AX15" i="94"/>
  <c r="AY21" i="94"/>
  <c r="AZ21" i="94"/>
  <c r="AX21" i="94"/>
  <c r="AZ27" i="94"/>
  <c r="AX27" i="94"/>
  <c r="AY27" i="94"/>
  <c r="AZ33" i="94"/>
  <c r="AX33" i="94"/>
  <c r="AY33" i="94"/>
  <c r="AZ39" i="94"/>
  <c r="AX39" i="94"/>
  <c r="AY39" i="94"/>
  <c r="AZ45" i="94"/>
  <c r="AX45" i="94"/>
  <c r="AY45" i="94"/>
  <c r="AY51" i="94"/>
  <c r="AZ51" i="94"/>
  <c r="AX51" i="94"/>
  <c r="AZ57" i="94"/>
  <c r="AX57" i="94"/>
  <c r="AY57" i="94"/>
  <c r="AY63" i="94"/>
  <c r="AZ63" i="94"/>
  <c r="AX63" i="94"/>
  <c r="AZ69" i="94"/>
  <c r="AX69" i="94"/>
  <c r="AY69" i="94"/>
  <c r="AY75" i="94"/>
  <c r="AZ75" i="94"/>
  <c r="AX75" i="94"/>
  <c r="AZ81" i="94"/>
  <c r="AX81" i="94"/>
  <c r="AY81" i="94"/>
  <c r="AY87" i="94"/>
  <c r="AZ87" i="94"/>
  <c r="AX87" i="94"/>
  <c r="AZ93" i="94"/>
  <c r="AX93" i="94"/>
  <c r="AY93" i="94"/>
  <c r="AY99" i="94"/>
  <c r="AZ99" i="94"/>
  <c r="AX99" i="94"/>
  <c r="AZ105" i="94"/>
  <c r="AX105" i="94"/>
  <c r="AY105" i="94"/>
  <c r="AY111" i="94"/>
  <c r="AZ111" i="94"/>
  <c r="AX111" i="94"/>
  <c r="AZ117" i="94"/>
  <c r="AX117" i="94"/>
  <c r="AY117" i="94"/>
  <c r="AY123" i="94"/>
  <c r="AZ123" i="94"/>
  <c r="AX123" i="94"/>
  <c r="AZ129" i="94"/>
  <c r="AX129" i="94"/>
  <c r="AY129" i="94"/>
  <c r="AY135" i="94"/>
  <c r="AZ135" i="94"/>
  <c r="AX135" i="94"/>
  <c r="AZ141" i="94"/>
  <c r="AX141" i="94"/>
  <c r="AY141" i="94"/>
  <c r="AY147" i="94"/>
  <c r="AZ147" i="94"/>
  <c r="AX147" i="94"/>
  <c r="AZ153" i="94"/>
  <c r="AX153" i="94"/>
  <c r="AY153" i="94"/>
  <c r="AY159" i="94"/>
  <c r="AZ159" i="94"/>
  <c r="AX159" i="94"/>
  <c r="AZ165" i="94"/>
  <c r="AX165" i="94"/>
  <c r="AY165" i="94"/>
  <c r="AY171" i="94"/>
  <c r="AZ171" i="94"/>
  <c r="AX171" i="94"/>
  <c r="AZ177" i="94"/>
  <c r="AX177" i="94"/>
  <c r="AY177" i="94"/>
  <c r="AY183" i="94"/>
  <c r="AZ183" i="94"/>
  <c r="AX183" i="94"/>
  <c r="AZ189" i="94"/>
  <c r="AX189" i="94"/>
  <c r="AY189" i="94"/>
  <c r="AZ195" i="94"/>
  <c r="AX195" i="94"/>
  <c r="AY195" i="94"/>
  <c r="AY201" i="94"/>
  <c r="AZ201" i="94"/>
  <c r="AX201" i="94"/>
  <c r="AZ207" i="94"/>
  <c r="AX207" i="94"/>
  <c r="AY207" i="94"/>
  <c r="AY213" i="94"/>
  <c r="AZ213" i="94"/>
  <c r="AX213" i="94"/>
  <c r="AQ47" i="71"/>
  <c r="AZ11" i="94"/>
  <c r="AX11" i="94"/>
  <c r="AZ9" i="94"/>
  <c r="AY9" i="94"/>
  <c r="AX9" i="94"/>
  <c r="AX48" i="71"/>
  <c r="BK47" i="71"/>
  <c r="BH47" i="71"/>
  <c r="BK48" i="71"/>
  <c r="BA48" i="71"/>
  <c r="BH48" i="71"/>
  <c r="AX47" i="71"/>
  <c r="BA46" i="71"/>
  <c r="AQ45" i="71"/>
  <c r="BA44" i="71"/>
  <c r="AQ46" i="71"/>
  <c r="AQ44" i="71"/>
  <c r="BH46" i="71"/>
  <c r="AX46" i="71"/>
  <c r="BH45" i="71"/>
  <c r="AX45" i="71"/>
  <c r="BH44" i="71"/>
  <c r="AX44" i="71"/>
  <c r="BK46" i="71"/>
  <c r="BK45" i="71"/>
  <c r="BK44" i="71"/>
  <c r="AQ48" i="71"/>
  <c r="AU48" i="71"/>
  <c r="AU47" i="71"/>
  <c r="AU46" i="71"/>
  <c r="AU45" i="71"/>
  <c r="AU44" i="71"/>
  <c r="BN45" i="70"/>
  <c r="BN46" i="70"/>
  <c r="BN48" i="70"/>
  <c r="BN44" i="70"/>
  <c r="BI45" i="70"/>
  <c r="BA45" i="70"/>
  <c r="BN47" i="70"/>
  <c r="BE45" i="70"/>
  <c r="AW45" i="70"/>
  <c r="BI47" i="70"/>
  <c r="BA47" i="70"/>
  <c r="BE47" i="70"/>
  <c r="AW47" i="70"/>
  <c r="BU48" i="70"/>
  <c r="BE48" i="70"/>
  <c r="AW48" i="70"/>
  <c r="BI46" i="70"/>
  <c r="BA46" i="70"/>
  <c r="BE44" i="70"/>
  <c r="AW44" i="70"/>
  <c r="BI48" i="70"/>
  <c r="BA48" i="70"/>
  <c r="BE46" i="70"/>
  <c r="AW46" i="70"/>
  <c r="BI44" i="70"/>
  <c r="BA44" i="70"/>
  <c r="BU46" i="70"/>
  <c r="BU44" i="70"/>
  <c r="BU47" i="70"/>
  <c r="BU45" i="70"/>
  <c r="V206" i="142"/>
  <c r="C204" i="142"/>
  <c r="V201" i="142"/>
  <c r="C199" i="142"/>
  <c r="V196" i="142"/>
  <c r="C194" i="142"/>
  <c r="V191" i="142"/>
  <c r="C189" i="142"/>
  <c r="V186" i="142"/>
  <c r="C184" i="142"/>
  <c r="V181" i="142"/>
  <c r="C179" i="142"/>
  <c r="V176" i="142"/>
  <c r="C174" i="142"/>
  <c r="V171" i="142"/>
  <c r="V170" i="142"/>
  <c r="C169" i="142"/>
  <c r="V165" i="142"/>
  <c r="C164" i="142"/>
  <c r="V160" i="142"/>
  <c r="C159" i="142"/>
  <c r="V155" i="142"/>
  <c r="C154" i="142"/>
  <c r="V150" i="142"/>
  <c r="C149" i="142"/>
  <c r="V145" i="142"/>
  <c r="C144" i="142"/>
  <c r="V140" i="142"/>
  <c r="C139" i="142"/>
  <c r="V135" i="142"/>
  <c r="C134" i="142"/>
  <c r="V130" i="142"/>
  <c r="C129" i="142"/>
  <c r="V125" i="142"/>
  <c r="C124" i="142"/>
  <c r="V121" i="142"/>
  <c r="V120" i="142"/>
  <c r="C119" i="142"/>
  <c r="V116" i="142"/>
  <c r="V115" i="142"/>
  <c r="C114" i="142"/>
  <c r="C109" i="142"/>
  <c r="C104" i="142"/>
  <c r="V101" i="142"/>
  <c r="C99" i="142"/>
  <c r="V96" i="142"/>
  <c r="C94" i="142"/>
  <c r="V91" i="142"/>
  <c r="C89" i="142"/>
  <c r="V86" i="142"/>
  <c r="C84" i="142"/>
  <c r="V81" i="142"/>
  <c r="C79" i="142"/>
  <c r="V76" i="142"/>
  <c r="C74" i="142"/>
  <c r="V71" i="142"/>
  <c r="C69" i="142"/>
  <c r="V66" i="142"/>
  <c r="C64" i="142"/>
  <c r="V61" i="142"/>
  <c r="C59" i="142"/>
  <c r="V56" i="142"/>
  <c r="C54" i="142"/>
  <c r="V51" i="142"/>
  <c r="C49" i="142"/>
  <c r="V46" i="142"/>
  <c r="C44" i="142"/>
  <c r="V41" i="142"/>
  <c r="C39" i="142"/>
  <c r="V36" i="142"/>
  <c r="U35" i="142"/>
  <c r="C34" i="142"/>
  <c r="V31" i="142"/>
  <c r="V30" i="142"/>
  <c r="C29" i="142"/>
  <c r="V26" i="142"/>
  <c r="C24" i="142"/>
  <c r="V21" i="142"/>
  <c r="C19" i="142"/>
  <c r="V16" i="142"/>
  <c r="C14" i="142"/>
  <c r="V11" i="142"/>
  <c r="C9" i="142"/>
  <c r="C163" i="134"/>
  <c r="O43" i="141"/>
  <c r="N43" i="141"/>
  <c r="M43" i="141"/>
  <c r="L43" i="141"/>
  <c r="P43" i="141" s="1"/>
  <c r="B43" i="141"/>
  <c r="O42" i="141"/>
  <c r="N42" i="141"/>
  <c r="M42" i="141"/>
  <c r="L42" i="141"/>
  <c r="P42" i="141" s="1"/>
  <c r="B42" i="141"/>
  <c r="O41" i="141"/>
  <c r="N41" i="141"/>
  <c r="M41" i="141"/>
  <c r="L41" i="141"/>
  <c r="P41" i="141" s="1"/>
  <c r="B41" i="141"/>
  <c r="O40" i="141"/>
  <c r="N40" i="141"/>
  <c r="M40" i="141"/>
  <c r="L40" i="141"/>
  <c r="P40" i="141" s="1"/>
  <c r="B40" i="141"/>
  <c r="O39" i="141"/>
  <c r="N39" i="141"/>
  <c r="M39" i="141"/>
  <c r="L39" i="141"/>
  <c r="P39" i="141" s="1"/>
  <c r="B39" i="141"/>
  <c r="O38" i="141"/>
  <c r="N38" i="141"/>
  <c r="M38" i="141"/>
  <c r="L38" i="141"/>
  <c r="P38" i="141" s="1"/>
  <c r="B38" i="141"/>
  <c r="O37" i="141"/>
  <c r="N37" i="141"/>
  <c r="M37" i="141"/>
  <c r="L37" i="141"/>
  <c r="P37" i="141" s="1"/>
  <c r="B37" i="141"/>
  <c r="O36" i="141"/>
  <c r="N36" i="141"/>
  <c r="M36" i="141"/>
  <c r="L36" i="141"/>
  <c r="P36" i="141" s="1"/>
  <c r="B36" i="141"/>
  <c r="O35" i="141"/>
  <c r="N35" i="141"/>
  <c r="M35" i="141"/>
  <c r="L35" i="141"/>
  <c r="P35" i="141" s="1"/>
  <c r="B35" i="141"/>
  <c r="O34" i="141"/>
  <c r="N34" i="141"/>
  <c r="M34" i="141"/>
  <c r="L34" i="141"/>
  <c r="P34" i="141" s="1"/>
  <c r="B34" i="141"/>
  <c r="O33" i="141"/>
  <c r="N33" i="141"/>
  <c r="M33" i="141"/>
  <c r="L33" i="141"/>
  <c r="P33" i="141" s="1"/>
  <c r="B33" i="141"/>
  <c r="O32" i="141"/>
  <c r="N32" i="141"/>
  <c r="M32" i="141"/>
  <c r="L32" i="141"/>
  <c r="P32" i="141" s="1"/>
  <c r="B32" i="141"/>
  <c r="O31" i="141"/>
  <c r="N31" i="141"/>
  <c r="M31" i="141"/>
  <c r="L31" i="141"/>
  <c r="P31" i="141" s="1"/>
  <c r="B31" i="141"/>
  <c r="O30" i="141"/>
  <c r="N30" i="141"/>
  <c r="M30" i="141"/>
  <c r="L30" i="141"/>
  <c r="P30" i="141" s="1"/>
  <c r="B30" i="141"/>
  <c r="O29" i="141"/>
  <c r="N29" i="141"/>
  <c r="M29" i="141"/>
  <c r="L29" i="141"/>
  <c r="P29" i="141" s="1"/>
  <c r="B29" i="141"/>
  <c r="O28" i="141"/>
  <c r="N28" i="141"/>
  <c r="M28" i="141"/>
  <c r="L28" i="141"/>
  <c r="P28" i="141" s="1"/>
  <c r="B28" i="141"/>
  <c r="O27" i="141"/>
  <c r="N27" i="141"/>
  <c r="M27" i="141"/>
  <c r="L27" i="141"/>
  <c r="P27" i="141" s="1"/>
  <c r="B27" i="141"/>
  <c r="O26" i="141"/>
  <c r="N26" i="141"/>
  <c r="M26" i="141"/>
  <c r="L26" i="141"/>
  <c r="P26" i="141" s="1"/>
  <c r="B26" i="141"/>
  <c r="O25" i="141"/>
  <c r="N25" i="141"/>
  <c r="M25" i="141"/>
  <c r="L25" i="141"/>
  <c r="P25" i="141" s="1"/>
  <c r="B25" i="141"/>
  <c r="O24" i="141"/>
  <c r="N24" i="141"/>
  <c r="M24" i="141"/>
  <c r="L24" i="141"/>
  <c r="P24" i="141" s="1"/>
  <c r="B24" i="141"/>
  <c r="O23" i="141"/>
  <c r="N23" i="141"/>
  <c r="M23" i="141"/>
  <c r="L23" i="141"/>
  <c r="P23" i="141" s="1"/>
  <c r="B23" i="141"/>
  <c r="O22" i="141"/>
  <c r="N22" i="141"/>
  <c r="M22" i="141"/>
  <c r="L22" i="141"/>
  <c r="P22" i="141" s="1"/>
  <c r="B22" i="141"/>
  <c r="O21" i="141"/>
  <c r="N21" i="141"/>
  <c r="M21" i="141"/>
  <c r="L21" i="141"/>
  <c r="P21" i="141" s="1"/>
  <c r="B21" i="141"/>
  <c r="O20" i="141"/>
  <c r="N20" i="141"/>
  <c r="M20" i="141"/>
  <c r="L20" i="141"/>
  <c r="P20" i="141" s="1"/>
  <c r="B20" i="141"/>
  <c r="O19" i="141"/>
  <c r="N19" i="141"/>
  <c r="M19" i="141"/>
  <c r="L19" i="141"/>
  <c r="P19" i="141" s="1"/>
  <c r="B19" i="141"/>
  <c r="O18" i="141"/>
  <c r="N18" i="141"/>
  <c r="M18" i="141"/>
  <c r="L18" i="141"/>
  <c r="P18" i="141" s="1"/>
  <c r="B18" i="141"/>
  <c r="O17" i="141"/>
  <c r="N17" i="141"/>
  <c r="M17" i="141"/>
  <c r="L17" i="141"/>
  <c r="P17" i="141" s="1"/>
  <c r="B17" i="141"/>
  <c r="O16" i="141"/>
  <c r="N16" i="141"/>
  <c r="M16" i="141"/>
  <c r="L16" i="141"/>
  <c r="P16" i="141" s="1"/>
  <c r="B16" i="141"/>
  <c r="O15" i="141"/>
  <c r="N15" i="141"/>
  <c r="M15" i="141"/>
  <c r="L15" i="141"/>
  <c r="P15" i="141" s="1"/>
  <c r="B15" i="141"/>
  <c r="O14" i="141"/>
  <c r="N14" i="141"/>
  <c r="M14" i="141"/>
  <c r="L14" i="141"/>
  <c r="P14" i="141" s="1"/>
  <c r="B14" i="141"/>
  <c r="O13" i="141"/>
  <c r="N13" i="141"/>
  <c r="M13" i="141"/>
  <c r="L13" i="141"/>
  <c r="P13" i="141" s="1"/>
  <c r="B13" i="141"/>
  <c r="O12" i="141"/>
  <c r="N12" i="141"/>
  <c r="M12" i="141"/>
  <c r="L12" i="141"/>
  <c r="P12" i="141" s="1"/>
  <c r="B12" i="141"/>
  <c r="O11" i="141"/>
  <c r="N11" i="141"/>
  <c r="M11" i="141"/>
  <c r="L11" i="141"/>
  <c r="P11" i="141" s="1"/>
  <c r="B11" i="141"/>
  <c r="O10" i="141"/>
  <c r="N10" i="141"/>
  <c r="M10" i="141"/>
  <c r="L10" i="141"/>
  <c r="P10" i="141" s="1"/>
  <c r="B10" i="141"/>
  <c r="O9" i="141"/>
  <c r="N9" i="141"/>
  <c r="M9" i="141"/>
  <c r="L9" i="141"/>
  <c r="P9" i="141" s="1"/>
  <c r="B9" i="141"/>
  <c r="O43" i="140"/>
  <c r="N43" i="140"/>
  <c r="M43" i="140"/>
  <c r="L43" i="140"/>
  <c r="P43" i="140" s="1"/>
  <c r="AV215" i="94" s="1"/>
  <c r="B43" i="140"/>
  <c r="O42" i="140"/>
  <c r="N42" i="140"/>
  <c r="M42" i="140"/>
  <c r="L42" i="140"/>
  <c r="P42" i="140" s="1"/>
  <c r="AV209" i="94" s="1"/>
  <c r="B42" i="140"/>
  <c r="O41" i="140"/>
  <c r="N41" i="140"/>
  <c r="M41" i="140"/>
  <c r="L41" i="140"/>
  <c r="P41" i="140" s="1"/>
  <c r="AV203" i="94" s="1"/>
  <c r="B41" i="140"/>
  <c r="O40" i="140"/>
  <c r="N40" i="140"/>
  <c r="M40" i="140"/>
  <c r="L40" i="140"/>
  <c r="P40" i="140" s="1"/>
  <c r="AV197" i="94" s="1"/>
  <c r="B40" i="140"/>
  <c r="O39" i="140"/>
  <c r="N39" i="140"/>
  <c r="M39" i="140"/>
  <c r="L39" i="140"/>
  <c r="P39" i="140" s="1"/>
  <c r="AV191" i="94" s="1"/>
  <c r="B39" i="140"/>
  <c r="O38" i="140"/>
  <c r="N38" i="140"/>
  <c r="M38" i="140"/>
  <c r="L38" i="140"/>
  <c r="P38" i="140" s="1"/>
  <c r="AV185" i="94" s="1"/>
  <c r="B38" i="140"/>
  <c r="O37" i="140"/>
  <c r="N37" i="140"/>
  <c r="M37" i="140"/>
  <c r="L37" i="140"/>
  <c r="P37" i="140" s="1"/>
  <c r="AV179" i="94" s="1"/>
  <c r="B37" i="140"/>
  <c r="O36" i="140"/>
  <c r="N36" i="140"/>
  <c r="M36" i="140"/>
  <c r="L36" i="140"/>
  <c r="P36" i="140" s="1"/>
  <c r="AV173" i="94" s="1"/>
  <c r="B36" i="140"/>
  <c r="O35" i="140"/>
  <c r="N35" i="140"/>
  <c r="M35" i="140"/>
  <c r="L35" i="140"/>
  <c r="P35" i="140" s="1"/>
  <c r="AV167" i="94" s="1"/>
  <c r="B35" i="140"/>
  <c r="O34" i="140"/>
  <c r="N34" i="140"/>
  <c r="M34" i="140"/>
  <c r="L34" i="140"/>
  <c r="P34" i="140" s="1"/>
  <c r="AV161" i="94" s="1"/>
  <c r="B34" i="140"/>
  <c r="O33" i="140"/>
  <c r="N33" i="140"/>
  <c r="M33" i="140"/>
  <c r="L33" i="140"/>
  <c r="P33" i="140" s="1"/>
  <c r="AV155" i="94" s="1"/>
  <c r="B33" i="140"/>
  <c r="O32" i="140"/>
  <c r="N32" i="140"/>
  <c r="M32" i="140"/>
  <c r="L32" i="140"/>
  <c r="P32" i="140" s="1"/>
  <c r="AV149" i="94" s="1"/>
  <c r="B32" i="140"/>
  <c r="O31" i="140"/>
  <c r="N31" i="140"/>
  <c r="M31" i="140"/>
  <c r="L31" i="140"/>
  <c r="P31" i="140" s="1"/>
  <c r="AV143" i="94" s="1"/>
  <c r="B31" i="140"/>
  <c r="O30" i="140"/>
  <c r="N30" i="140"/>
  <c r="M30" i="140"/>
  <c r="L30" i="140"/>
  <c r="P30" i="140" s="1"/>
  <c r="AV137" i="94" s="1"/>
  <c r="B30" i="140"/>
  <c r="O29" i="140"/>
  <c r="N29" i="140"/>
  <c r="M29" i="140"/>
  <c r="L29" i="140"/>
  <c r="P29" i="140" s="1"/>
  <c r="AV131" i="94" s="1"/>
  <c r="B29" i="140"/>
  <c r="O28" i="140"/>
  <c r="N28" i="140"/>
  <c r="M28" i="140"/>
  <c r="L28" i="140"/>
  <c r="P28" i="140" s="1"/>
  <c r="AV125" i="94" s="1"/>
  <c r="B28" i="140"/>
  <c r="O27" i="140"/>
  <c r="N27" i="140"/>
  <c r="M27" i="140"/>
  <c r="L27" i="140"/>
  <c r="P27" i="140" s="1"/>
  <c r="AV119" i="94" s="1"/>
  <c r="B27" i="140"/>
  <c r="O26" i="140"/>
  <c r="N26" i="140"/>
  <c r="M26" i="140"/>
  <c r="L26" i="140"/>
  <c r="P26" i="140" s="1"/>
  <c r="AV113" i="94" s="1"/>
  <c r="B26" i="140"/>
  <c r="O25" i="140"/>
  <c r="N25" i="140"/>
  <c r="M25" i="140"/>
  <c r="L25" i="140"/>
  <c r="P25" i="140" s="1"/>
  <c r="AV107" i="94" s="1"/>
  <c r="B25" i="140"/>
  <c r="O24" i="140"/>
  <c r="N24" i="140"/>
  <c r="M24" i="140"/>
  <c r="L24" i="140"/>
  <c r="P24" i="140" s="1"/>
  <c r="AV101" i="94" s="1"/>
  <c r="B24" i="140"/>
  <c r="O23" i="140"/>
  <c r="N23" i="140"/>
  <c r="M23" i="140"/>
  <c r="L23" i="140"/>
  <c r="P23" i="140" s="1"/>
  <c r="AV95" i="94" s="1"/>
  <c r="B23" i="140"/>
  <c r="O22" i="140"/>
  <c r="N22" i="140"/>
  <c r="M22" i="140"/>
  <c r="L22" i="140"/>
  <c r="P22" i="140" s="1"/>
  <c r="AV89" i="94" s="1"/>
  <c r="B22" i="140"/>
  <c r="O21" i="140"/>
  <c r="N21" i="140"/>
  <c r="M21" i="140"/>
  <c r="L21" i="140"/>
  <c r="P21" i="140" s="1"/>
  <c r="AV83" i="94" s="1"/>
  <c r="B21" i="140"/>
  <c r="O20" i="140"/>
  <c r="N20" i="140"/>
  <c r="M20" i="140"/>
  <c r="L20" i="140"/>
  <c r="P20" i="140" s="1"/>
  <c r="AV77" i="94" s="1"/>
  <c r="B20" i="140"/>
  <c r="O19" i="140"/>
  <c r="N19" i="140"/>
  <c r="M19" i="140"/>
  <c r="L19" i="140"/>
  <c r="P19" i="140" s="1"/>
  <c r="AV71" i="94" s="1"/>
  <c r="B19" i="140"/>
  <c r="O18" i="140"/>
  <c r="N18" i="140"/>
  <c r="M18" i="140"/>
  <c r="L18" i="140"/>
  <c r="P18" i="140" s="1"/>
  <c r="AV65" i="94" s="1"/>
  <c r="B18" i="140"/>
  <c r="O17" i="140"/>
  <c r="N17" i="140"/>
  <c r="M17" i="140"/>
  <c r="L17" i="140"/>
  <c r="P17" i="140" s="1"/>
  <c r="AV59" i="94" s="1"/>
  <c r="B17" i="140"/>
  <c r="O16" i="140"/>
  <c r="N16" i="140"/>
  <c r="M16" i="140"/>
  <c r="L16" i="140"/>
  <c r="P16" i="140" s="1"/>
  <c r="AV53" i="94" s="1"/>
  <c r="B16" i="140"/>
  <c r="O15" i="140"/>
  <c r="N15" i="140"/>
  <c r="M15" i="140"/>
  <c r="L15" i="140"/>
  <c r="P15" i="140" s="1"/>
  <c r="AV47" i="94" s="1"/>
  <c r="B15" i="140"/>
  <c r="O14" i="140"/>
  <c r="N14" i="140"/>
  <c r="M14" i="140"/>
  <c r="L14" i="140"/>
  <c r="P14" i="140" s="1"/>
  <c r="AV41" i="94" s="1"/>
  <c r="B14" i="140"/>
  <c r="O13" i="140"/>
  <c r="N13" i="140"/>
  <c r="M13" i="140"/>
  <c r="L13" i="140"/>
  <c r="P13" i="140" s="1"/>
  <c r="AV35" i="94" s="1"/>
  <c r="B13" i="140"/>
  <c r="O12" i="140"/>
  <c r="N12" i="140"/>
  <c r="M12" i="140"/>
  <c r="L12" i="140"/>
  <c r="P12" i="140" s="1"/>
  <c r="AV29" i="94" s="1"/>
  <c r="B12" i="140"/>
  <c r="O11" i="140"/>
  <c r="N11" i="140"/>
  <c r="M11" i="140"/>
  <c r="L11" i="140"/>
  <c r="P11" i="140" s="1"/>
  <c r="AV23" i="94" s="1"/>
  <c r="B11" i="140"/>
  <c r="O10" i="140"/>
  <c r="N10" i="140"/>
  <c r="M10" i="140"/>
  <c r="L10" i="140"/>
  <c r="P10" i="140" s="1"/>
  <c r="AV17" i="94" s="1"/>
  <c r="B10" i="140"/>
  <c r="O9" i="140"/>
  <c r="N9" i="140"/>
  <c r="M9" i="140"/>
  <c r="L9" i="140"/>
  <c r="P9" i="140" s="1"/>
  <c r="AV11" i="94" s="1"/>
  <c r="B9" i="140"/>
  <c r="O9" i="139"/>
  <c r="N9" i="139"/>
  <c r="M9" i="139"/>
  <c r="L9" i="139"/>
  <c r="P9" i="139" s="1"/>
  <c r="B9" i="139"/>
  <c r="O43" i="138"/>
  <c r="N43" i="138"/>
  <c r="M43" i="138"/>
  <c r="L43" i="138"/>
  <c r="P43" i="138" s="1"/>
  <c r="AV212" i="94" s="1"/>
  <c r="B43" i="138"/>
  <c r="O42" i="138"/>
  <c r="N42" i="138"/>
  <c r="M42" i="138"/>
  <c r="L42" i="138"/>
  <c r="P42" i="138" s="1"/>
  <c r="AV206" i="94" s="1"/>
  <c r="B42" i="138"/>
  <c r="O41" i="138"/>
  <c r="N41" i="138"/>
  <c r="M41" i="138"/>
  <c r="L41" i="138"/>
  <c r="P41" i="138" s="1"/>
  <c r="AV200" i="94" s="1"/>
  <c r="B41" i="138"/>
  <c r="O40" i="138"/>
  <c r="N40" i="138"/>
  <c r="M40" i="138"/>
  <c r="L40" i="138"/>
  <c r="P40" i="138" s="1"/>
  <c r="AV194" i="94" s="1"/>
  <c r="B40" i="138"/>
  <c r="O39" i="138"/>
  <c r="N39" i="138"/>
  <c r="M39" i="138"/>
  <c r="L39" i="138"/>
  <c r="P39" i="138" s="1"/>
  <c r="AV188" i="94" s="1"/>
  <c r="B39" i="138"/>
  <c r="O38" i="138"/>
  <c r="N38" i="138"/>
  <c r="M38" i="138"/>
  <c r="L38" i="138"/>
  <c r="P38" i="138" s="1"/>
  <c r="AV182" i="94" s="1"/>
  <c r="B38" i="138"/>
  <c r="O37" i="138"/>
  <c r="N37" i="138"/>
  <c r="M37" i="138"/>
  <c r="L37" i="138"/>
  <c r="P37" i="138" s="1"/>
  <c r="AV176" i="94" s="1"/>
  <c r="B37" i="138"/>
  <c r="O36" i="138"/>
  <c r="N36" i="138"/>
  <c r="M36" i="138"/>
  <c r="L36" i="138"/>
  <c r="P36" i="138" s="1"/>
  <c r="AV170" i="94" s="1"/>
  <c r="B36" i="138"/>
  <c r="O35" i="138"/>
  <c r="N35" i="138"/>
  <c r="M35" i="138"/>
  <c r="L35" i="138"/>
  <c r="P35" i="138" s="1"/>
  <c r="AV164" i="94" s="1"/>
  <c r="B35" i="138"/>
  <c r="O34" i="138"/>
  <c r="N34" i="138"/>
  <c r="M34" i="138"/>
  <c r="L34" i="138"/>
  <c r="P34" i="138" s="1"/>
  <c r="AV158" i="94" s="1"/>
  <c r="B34" i="138"/>
  <c r="O33" i="138"/>
  <c r="N33" i="138"/>
  <c r="M33" i="138"/>
  <c r="L33" i="138"/>
  <c r="P33" i="138" s="1"/>
  <c r="AV152" i="94" s="1"/>
  <c r="B33" i="138"/>
  <c r="O32" i="138"/>
  <c r="N32" i="138"/>
  <c r="M32" i="138"/>
  <c r="L32" i="138"/>
  <c r="P32" i="138" s="1"/>
  <c r="AV146" i="94" s="1"/>
  <c r="B32" i="138"/>
  <c r="O31" i="138"/>
  <c r="N31" i="138"/>
  <c r="M31" i="138"/>
  <c r="L31" i="138"/>
  <c r="P31" i="138" s="1"/>
  <c r="AV140" i="94" s="1"/>
  <c r="B31" i="138"/>
  <c r="O30" i="138"/>
  <c r="N30" i="138"/>
  <c r="M30" i="138"/>
  <c r="L30" i="138"/>
  <c r="P30" i="138" s="1"/>
  <c r="AV134" i="94" s="1"/>
  <c r="B30" i="138"/>
  <c r="O29" i="138"/>
  <c r="N29" i="138"/>
  <c r="M29" i="138"/>
  <c r="L29" i="138"/>
  <c r="P29" i="138" s="1"/>
  <c r="AV128" i="94" s="1"/>
  <c r="B29" i="138"/>
  <c r="O28" i="138"/>
  <c r="N28" i="138"/>
  <c r="M28" i="138"/>
  <c r="L28" i="138"/>
  <c r="P28" i="138" s="1"/>
  <c r="AV122" i="94" s="1"/>
  <c r="B28" i="138"/>
  <c r="O27" i="138"/>
  <c r="N27" i="138"/>
  <c r="M27" i="138"/>
  <c r="L27" i="138"/>
  <c r="P27" i="138" s="1"/>
  <c r="AV116" i="94" s="1"/>
  <c r="B27" i="138"/>
  <c r="O26" i="138"/>
  <c r="N26" i="138"/>
  <c r="M26" i="138"/>
  <c r="L26" i="138"/>
  <c r="P26" i="138" s="1"/>
  <c r="AV110" i="94" s="1"/>
  <c r="B26" i="138"/>
  <c r="O25" i="138"/>
  <c r="N25" i="138"/>
  <c r="M25" i="138"/>
  <c r="L25" i="138"/>
  <c r="P25" i="138" s="1"/>
  <c r="AV104" i="94" s="1"/>
  <c r="B25" i="138"/>
  <c r="O24" i="138"/>
  <c r="N24" i="138"/>
  <c r="M24" i="138"/>
  <c r="L24" i="138"/>
  <c r="P24" i="138" s="1"/>
  <c r="AV98" i="94" s="1"/>
  <c r="B24" i="138"/>
  <c r="O23" i="138"/>
  <c r="N23" i="138"/>
  <c r="M23" i="138"/>
  <c r="L23" i="138"/>
  <c r="P23" i="138" s="1"/>
  <c r="AV92" i="94" s="1"/>
  <c r="B23" i="138"/>
  <c r="O22" i="138"/>
  <c r="N22" i="138"/>
  <c r="M22" i="138"/>
  <c r="L22" i="138"/>
  <c r="P22" i="138" s="1"/>
  <c r="AV86" i="94" s="1"/>
  <c r="B22" i="138"/>
  <c r="O21" i="138"/>
  <c r="N21" i="138"/>
  <c r="M21" i="138"/>
  <c r="L21" i="138"/>
  <c r="P21" i="138" s="1"/>
  <c r="AV80" i="94" s="1"/>
  <c r="B21" i="138"/>
  <c r="O20" i="138"/>
  <c r="N20" i="138"/>
  <c r="M20" i="138"/>
  <c r="L20" i="138"/>
  <c r="P20" i="138" s="1"/>
  <c r="AV74" i="94" s="1"/>
  <c r="B20" i="138"/>
  <c r="O19" i="138"/>
  <c r="N19" i="138"/>
  <c r="M19" i="138"/>
  <c r="L19" i="138"/>
  <c r="P19" i="138" s="1"/>
  <c r="AV68" i="94" s="1"/>
  <c r="B19" i="138"/>
  <c r="O18" i="138"/>
  <c r="N18" i="138"/>
  <c r="M18" i="138"/>
  <c r="L18" i="138"/>
  <c r="P18" i="138" s="1"/>
  <c r="AV62" i="94" s="1"/>
  <c r="B18" i="138"/>
  <c r="O17" i="138"/>
  <c r="N17" i="138"/>
  <c r="M17" i="138"/>
  <c r="L17" i="138"/>
  <c r="P17" i="138" s="1"/>
  <c r="AV56" i="94" s="1"/>
  <c r="B17" i="138"/>
  <c r="O16" i="138"/>
  <c r="N16" i="138"/>
  <c r="M16" i="138"/>
  <c r="L16" i="138"/>
  <c r="P16" i="138" s="1"/>
  <c r="AV50" i="94" s="1"/>
  <c r="B16" i="138"/>
  <c r="O15" i="138"/>
  <c r="N15" i="138"/>
  <c r="M15" i="138"/>
  <c r="L15" i="138"/>
  <c r="P15" i="138" s="1"/>
  <c r="AV44" i="94" s="1"/>
  <c r="B15" i="138"/>
  <c r="O14" i="138"/>
  <c r="N14" i="138"/>
  <c r="M14" i="138"/>
  <c r="L14" i="138"/>
  <c r="P14" i="138" s="1"/>
  <c r="AV38" i="94" s="1"/>
  <c r="B14" i="138"/>
  <c r="O13" i="138"/>
  <c r="N13" i="138"/>
  <c r="M13" i="138"/>
  <c r="L13" i="138"/>
  <c r="P13" i="138" s="1"/>
  <c r="AV32" i="94" s="1"/>
  <c r="B13" i="138"/>
  <c r="O12" i="138"/>
  <c r="N12" i="138"/>
  <c r="M12" i="138"/>
  <c r="L12" i="138"/>
  <c r="P12" i="138" s="1"/>
  <c r="AV26" i="94" s="1"/>
  <c r="B12" i="138"/>
  <c r="O11" i="138"/>
  <c r="N11" i="138"/>
  <c r="M11" i="138"/>
  <c r="L11" i="138"/>
  <c r="P11" i="138" s="1"/>
  <c r="AV20" i="94" s="1"/>
  <c r="B11" i="138"/>
  <c r="O10" i="138"/>
  <c r="N10" i="138"/>
  <c r="M10" i="138"/>
  <c r="L10" i="138"/>
  <c r="P10" i="138" s="1"/>
  <c r="AV14" i="94" s="1"/>
  <c r="B10" i="138"/>
  <c r="O9" i="138"/>
  <c r="L9" i="138"/>
  <c r="P9" i="138" s="1"/>
  <c r="AV8" i="94" s="1"/>
  <c r="B9" i="138"/>
  <c r="B43" i="137"/>
  <c r="B42" i="137"/>
  <c r="B41" i="137"/>
  <c r="B40" i="137"/>
  <c r="B39" i="137"/>
  <c r="B38" i="137"/>
  <c r="B37" i="137"/>
  <c r="B36" i="137"/>
  <c r="B35" i="137"/>
  <c r="B34" i="137"/>
  <c r="B33" i="137"/>
  <c r="B32" i="137"/>
  <c r="B31" i="137"/>
  <c r="B30" i="137"/>
  <c r="B29" i="137"/>
  <c r="B28" i="137"/>
  <c r="B27" i="137"/>
  <c r="B26" i="137"/>
  <c r="B25" i="137"/>
  <c r="B24" i="137"/>
  <c r="B23" i="137"/>
  <c r="B22" i="137"/>
  <c r="B21" i="137"/>
  <c r="B20" i="137"/>
  <c r="B19" i="137"/>
  <c r="B18" i="137"/>
  <c r="B17" i="137"/>
  <c r="B16" i="137"/>
  <c r="B15" i="137"/>
  <c r="B14" i="137"/>
  <c r="B13" i="137"/>
  <c r="B12" i="137"/>
  <c r="B11" i="137"/>
  <c r="B10" i="137"/>
  <c r="AI9" i="137"/>
  <c r="AE9" i="137"/>
  <c r="Z9" i="137"/>
  <c r="B9" i="137"/>
  <c r="C164" i="136"/>
  <c r="C160" i="136"/>
  <c r="C156" i="136"/>
  <c r="C152" i="136"/>
  <c r="C148" i="136"/>
  <c r="C144" i="136"/>
  <c r="C140" i="136"/>
  <c r="C136" i="136"/>
  <c r="C132" i="136"/>
  <c r="C128" i="136"/>
  <c r="C124" i="136"/>
  <c r="C120" i="136"/>
  <c r="C116" i="136"/>
  <c r="C112" i="136"/>
  <c r="C108" i="136"/>
  <c r="C104" i="136"/>
  <c r="C100" i="136"/>
  <c r="C96" i="136"/>
  <c r="C92" i="136"/>
  <c r="C88" i="136"/>
  <c r="C84" i="136"/>
  <c r="C80" i="136"/>
  <c r="C76" i="136"/>
  <c r="C72" i="136"/>
  <c r="C68" i="136"/>
  <c r="C64" i="136"/>
  <c r="C60" i="136"/>
  <c r="C56" i="136"/>
  <c r="C52" i="136"/>
  <c r="C48" i="136"/>
  <c r="C44" i="136"/>
  <c r="C40" i="136"/>
  <c r="C36" i="136"/>
  <c r="C28" i="136"/>
  <c r="C24" i="136"/>
  <c r="C20" i="136"/>
  <c r="C16" i="136"/>
  <c r="C12" i="136"/>
  <c r="V10" i="136"/>
  <c r="V9" i="136"/>
  <c r="T11" i="136"/>
  <c r="C8" i="136"/>
  <c r="B43" i="135"/>
  <c r="B42" i="135"/>
  <c r="B41" i="135"/>
  <c r="B40" i="135"/>
  <c r="B39" i="135"/>
  <c r="B38" i="135"/>
  <c r="B37" i="135"/>
  <c r="B36" i="135"/>
  <c r="B35" i="135"/>
  <c r="B34" i="135"/>
  <c r="B33" i="135"/>
  <c r="B32" i="135"/>
  <c r="B31" i="135"/>
  <c r="B30" i="135"/>
  <c r="B29" i="135"/>
  <c r="B28" i="135"/>
  <c r="B27" i="135"/>
  <c r="B26" i="135"/>
  <c r="B25" i="135"/>
  <c r="B24" i="135"/>
  <c r="B23" i="135"/>
  <c r="B22" i="135"/>
  <c r="B21" i="135"/>
  <c r="B20" i="135"/>
  <c r="B19" i="135"/>
  <c r="B18" i="135"/>
  <c r="B17" i="135"/>
  <c r="B16" i="135"/>
  <c r="B15" i="135"/>
  <c r="B14" i="135"/>
  <c r="B13" i="135"/>
  <c r="B12" i="135"/>
  <c r="B11" i="135"/>
  <c r="B10" i="135"/>
  <c r="S9" i="135"/>
  <c r="B9" i="135"/>
  <c r="M229" i="110" l="1"/>
  <c r="L229" i="110"/>
  <c r="K229" i="110"/>
  <c r="K238" i="110"/>
  <c r="M238" i="110"/>
  <c r="L238" i="110"/>
  <c r="L235" i="110"/>
  <c r="K235" i="110"/>
  <c r="M235" i="110"/>
  <c r="K217" i="110"/>
  <c r="L217" i="110"/>
  <c r="M217" i="110"/>
  <c r="L223" i="110"/>
  <c r="K223" i="110"/>
  <c r="M223" i="110"/>
  <c r="K232" i="110"/>
  <c r="L232" i="110"/>
  <c r="M232" i="110"/>
  <c r="M220" i="110"/>
  <c r="L220" i="110"/>
  <c r="K220" i="110"/>
  <c r="L226" i="110"/>
  <c r="M226" i="110"/>
  <c r="K226" i="110"/>
  <c r="AF9" i="142"/>
  <c r="AD8" i="136"/>
  <c r="AV28" i="94"/>
  <c r="AV27" i="94"/>
  <c r="AU27" i="94"/>
  <c r="AU31" i="94" s="1"/>
  <c r="H16" i="133" s="1"/>
  <c r="AU39" i="94"/>
  <c r="AU43" i="94" s="1"/>
  <c r="H22" i="133" s="1"/>
  <c r="AV40" i="94"/>
  <c r="AV39" i="94"/>
  <c r="AV51" i="94"/>
  <c r="AV52" i="94"/>
  <c r="AU51" i="94"/>
  <c r="AU55" i="94" s="1"/>
  <c r="H28" i="133" s="1"/>
  <c r="AV63" i="94"/>
  <c r="AV64" i="94"/>
  <c r="AU63" i="94"/>
  <c r="AU67" i="94" s="1"/>
  <c r="H34" i="133" s="1"/>
  <c r="AV76" i="94"/>
  <c r="AV75" i="94"/>
  <c r="AU75" i="94"/>
  <c r="AU79" i="94" s="1"/>
  <c r="H40" i="133" s="1"/>
  <c r="AV88" i="94"/>
  <c r="AV87" i="94"/>
  <c r="AU87" i="94"/>
  <c r="AU91" i="94" s="1"/>
  <c r="H46" i="133" s="1"/>
  <c r="AV100" i="94"/>
  <c r="AV99" i="94"/>
  <c r="AU99" i="94"/>
  <c r="AU103" i="94" s="1"/>
  <c r="H52" i="133" s="1"/>
  <c r="AV112" i="94"/>
  <c r="AV111" i="94"/>
  <c r="AV115" i="94" s="1"/>
  <c r="H59" i="133" s="1"/>
  <c r="AU111" i="94"/>
  <c r="AU115" i="94" s="1"/>
  <c r="H58" i="133" s="1"/>
  <c r="AV124" i="94"/>
  <c r="AV123" i="94"/>
  <c r="AU123" i="94"/>
  <c r="AU127" i="94" s="1"/>
  <c r="H64" i="133" s="1"/>
  <c r="AV136" i="94"/>
  <c r="AV135" i="94"/>
  <c r="AU135" i="94"/>
  <c r="AU139" i="94" s="1"/>
  <c r="H70" i="133" s="1"/>
  <c r="AV148" i="94"/>
  <c r="AV147" i="94"/>
  <c r="AU147" i="94"/>
  <c r="AU151" i="94" s="1"/>
  <c r="H76" i="133" s="1"/>
  <c r="AV160" i="94"/>
  <c r="AV159" i="94"/>
  <c r="AV163" i="94" s="1"/>
  <c r="H83" i="133" s="1"/>
  <c r="AU159" i="94"/>
  <c r="AU163" i="94" s="1"/>
  <c r="H82" i="133" s="1"/>
  <c r="AV172" i="94"/>
  <c r="AV171" i="94"/>
  <c r="AU171" i="94"/>
  <c r="AU175" i="94" s="1"/>
  <c r="H88" i="133" s="1"/>
  <c r="AV184" i="94"/>
  <c r="AV183" i="94"/>
  <c r="AU183" i="94"/>
  <c r="AU187" i="94" s="1"/>
  <c r="H94" i="133" s="1"/>
  <c r="AU195" i="94"/>
  <c r="AU199" i="94" s="1"/>
  <c r="H100" i="133" s="1"/>
  <c r="AV196" i="94"/>
  <c r="AV195" i="94"/>
  <c r="AU207" i="94"/>
  <c r="AU211" i="94" s="1"/>
  <c r="H106" i="133" s="1"/>
  <c r="AV208" i="94"/>
  <c r="AV207" i="94"/>
  <c r="AV9" i="94"/>
  <c r="AV10" i="94"/>
  <c r="AU9" i="94"/>
  <c r="AU13" i="94" s="1"/>
  <c r="H7" i="133" s="1"/>
  <c r="AU33" i="94"/>
  <c r="AU37" i="94" s="1"/>
  <c r="H19" i="133" s="1"/>
  <c r="AV34" i="94"/>
  <c r="AV33" i="94"/>
  <c r="AV46" i="94"/>
  <c r="AU45" i="94"/>
  <c r="AU49" i="94" s="1"/>
  <c r="H25" i="133" s="1"/>
  <c r="AV45" i="94"/>
  <c r="AV58" i="94"/>
  <c r="AU57" i="94"/>
  <c r="AU61" i="94" s="1"/>
  <c r="H31" i="133" s="1"/>
  <c r="AV57" i="94"/>
  <c r="AU69" i="94"/>
  <c r="AU73" i="94" s="1"/>
  <c r="H37" i="133" s="1"/>
  <c r="AV70" i="94"/>
  <c r="AV69" i="94"/>
  <c r="AV73" i="94" s="1"/>
  <c r="H38" i="133" s="1"/>
  <c r="AU81" i="94"/>
  <c r="AU85" i="94" s="1"/>
  <c r="H43" i="133" s="1"/>
  <c r="AV82" i="94"/>
  <c r="AV81" i="94"/>
  <c r="AU93" i="94"/>
  <c r="AU97" i="94" s="1"/>
  <c r="H49" i="133" s="1"/>
  <c r="AV94" i="94"/>
  <c r="AV93" i="94"/>
  <c r="AU105" i="94"/>
  <c r="AU109" i="94" s="1"/>
  <c r="H55" i="133" s="1"/>
  <c r="AV106" i="94"/>
  <c r="AV105" i="94"/>
  <c r="AU117" i="94"/>
  <c r="AU121" i="94" s="1"/>
  <c r="H61" i="133" s="1"/>
  <c r="AV118" i="94"/>
  <c r="AV117" i="94"/>
  <c r="AV121" i="94" s="1"/>
  <c r="H62" i="133" s="1"/>
  <c r="AU129" i="94"/>
  <c r="AU133" i="94" s="1"/>
  <c r="H67" i="133" s="1"/>
  <c r="AV130" i="94"/>
  <c r="AV129" i="94"/>
  <c r="AU141" i="94"/>
  <c r="AU145" i="94" s="1"/>
  <c r="H73" i="133" s="1"/>
  <c r="AV142" i="94"/>
  <c r="AV141" i="94"/>
  <c r="AU153" i="94"/>
  <c r="AU157" i="94" s="1"/>
  <c r="H79" i="133" s="1"/>
  <c r="AV154" i="94"/>
  <c r="AV153" i="94"/>
  <c r="AU165" i="94"/>
  <c r="AU169" i="94" s="1"/>
  <c r="H85" i="133" s="1"/>
  <c r="AV166" i="94"/>
  <c r="AV165" i="94"/>
  <c r="AV169" i="94" s="1"/>
  <c r="H86" i="133" s="1"/>
  <c r="AU177" i="94"/>
  <c r="AU181" i="94" s="1"/>
  <c r="H91" i="133" s="1"/>
  <c r="AV178" i="94"/>
  <c r="AV177" i="94"/>
  <c r="AU189" i="94"/>
  <c r="AU193" i="94" s="1"/>
  <c r="H97" i="133" s="1"/>
  <c r="AV190" i="94"/>
  <c r="AV189" i="94"/>
  <c r="AV202" i="94"/>
  <c r="AV201" i="94"/>
  <c r="AV205" i="94" s="1"/>
  <c r="H104" i="133" s="1"/>
  <c r="AU201" i="94"/>
  <c r="AU205" i="94" s="1"/>
  <c r="H103" i="133" s="1"/>
  <c r="AV214" i="94"/>
  <c r="AV213" i="94"/>
  <c r="AU213" i="94"/>
  <c r="AU217" i="94" s="1"/>
  <c r="H109" i="133" s="1"/>
  <c r="AV31" i="94"/>
  <c r="H17" i="133" s="1"/>
  <c r="AZ40" i="94"/>
  <c r="AX40" i="94"/>
  <c r="AY40" i="94"/>
  <c r="AY43" i="94" s="1"/>
  <c r="H28" i="134" s="1"/>
  <c r="J28" i="134" s="1"/>
  <c r="AZ52" i="94"/>
  <c r="AX52" i="94"/>
  <c r="AY52" i="94"/>
  <c r="AZ64" i="94"/>
  <c r="AZ67" i="94" s="1"/>
  <c r="H45" i="134" s="1"/>
  <c r="I45" i="134" s="1"/>
  <c r="AX64" i="94"/>
  <c r="AY64" i="94"/>
  <c r="AY76" i="94"/>
  <c r="AZ76" i="94"/>
  <c r="AZ79" i="94" s="1"/>
  <c r="H53" i="134" s="1"/>
  <c r="AX76" i="94"/>
  <c r="AY88" i="94"/>
  <c r="AZ88" i="94"/>
  <c r="AX88" i="94"/>
  <c r="AX91" i="94" s="1"/>
  <c r="H59" i="134" s="1"/>
  <c r="J59" i="134" s="1"/>
  <c r="AY100" i="94"/>
  <c r="AZ100" i="94"/>
  <c r="AZ103" i="94" s="1"/>
  <c r="H69" i="134" s="1"/>
  <c r="AX100" i="94"/>
  <c r="AY112" i="94"/>
  <c r="AY115" i="94" s="1"/>
  <c r="H76" i="134" s="1"/>
  <c r="J76" i="134" s="1"/>
  <c r="AZ112" i="94"/>
  <c r="AZ115" i="94" s="1"/>
  <c r="H77" i="134" s="1"/>
  <c r="I77" i="134" s="1"/>
  <c r="AX112" i="94"/>
  <c r="AY124" i="94"/>
  <c r="AZ124" i="94"/>
  <c r="AZ127" i="94" s="1"/>
  <c r="H85" i="134" s="1"/>
  <c r="AX124" i="94"/>
  <c r="AY136" i="94"/>
  <c r="AZ136" i="94"/>
  <c r="AX136" i="94"/>
  <c r="AX139" i="94" s="1"/>
  <c r="H91" i="134" s="1"/>
  <c r="J91" i="134" s="1"/>
  <c r="AY148" i="94"/>
  <c r="AZ148" i="94"/>
  <c r="AZ151" i="94" s="1"/>
  <c r="H101" i="134" s="1"/>
  <c r="AX148" i="94"/>
  <c r="AY160" i="94"/>
  <c r="AY163" i="94" s="1"/>
  <c r="H108" i="134" s="1"/>
  <c r="I108" i="134" s="1"/>
  <c r="AZ160" i="94"/>
  <c r="AX160" i="94"/>
  <c r="AY172" i="94"/>
  <c r="AZ172" i="94"/>
  <c r="AZ175" i="94" s="1"/>
  <c r="H117" i="134" s="1"/>
  <c r="AX172" i="94"/>
  <c r="AY184" i="94"/>
  <c r="AY187" i="94" s="1"/>
  <c r="H124" i="134" s="1"/>
  <c r="I124" i="134" s="1"/>
  <c r="AZ184" i="94"/>
  <c r="AX184" i="94"/>
  <c r="AX187" i="94" s="1"/>
  <c r="H123" i="134" s="1"/>
  <c r="I123" i="134" s="1"/>
  <c r="AZ196" i="94"/>
  <c r="AX196" i="94"/>
  <c r="AX199" i="94" s="1"/>
  <c r="H131" i="134" s="1"/>
  <c r="AY196" i="94"/>
  <c r="AZ208" i="94"/>
  <c r="AZ211" i="94" s="1"/>
  <c r="H141" i="134" s="1"/>
  <c r="J141" i="134" s="1"/>
  <c r="AX208" i="94"/>
  <c r="AX211" i="94" s="1"/>
  <c r="H139" i="134" s="1"/>
  <c r="AY208" i="94"/>
  <c r="AZ187" i="94"/>
  <c r="H125" i="134" s="1"/>
  <c r="I125" i="134" s="1"/>
  <c r="AZ163" i="94"/>
  <c r="H109" i="134" s="1"/>
  <c r="I109" i="134" s="1"/>
  <c r="AZ139" i="94"/>
  <c r="H93" i="134" s="1"/>
  <c r="J93" i="134" s="1"/>
  <c r="AZ91" i="94"/>
  <c r="H61" i="134" s="1"/>
  <c r="J61" i="134" s="1"/>
  <c r="AZ55" i="94"/>
  <c r="H37" i="134" s="1"/>
  <c r="I37" i="134" s="1"/>
  <c r="AX43" i="94"/>
  <c r="H27" i="134" s="1"/>
  <c r="J27" i="134" s="1"/>
  <c r="AY10" i="94"/>
  <c r="AX10" i="94"/>
  <c r="AX13" i="94" s="1"/>
  <c r="H7" i="134" s="1"/>
  <c r="AZ10" i="94"/>
  <c r="AZ13" i="94" s="1"/>
  <c r="H9" i="134" s="1"/>
  <c r="AY34" i="94"/>
  <c r="AY37" i="94" s="1"/>
  <c r="H24" i="134" s="1"/>
  <c r="AZ34" i="94"/>
  <c r="AZ37" i="94" s="1"/>
  <c r="H25" i="134" s="1"/>
  <c r="AX34" i="94"/>
  <c r="AZ46" i="94"/>
  <c r="AZ49" i="94" s="1"/>
  <c r="H33" i="134" s="1"/>
  <c r="AX46" i="94"/>
  <c r="AY46" i="94"/>
  <c r="AY49" i="94" s="1"/>
  <c r="H32" i="134" s="1"/>
  <c r="AZ58" i="94"/>
  <c r="AZ61" i="94" s="1"/>
  <c r="H41" i="134" s="1"/>
  <c r="AX58" i="94"/>
  <c r="AY58" i="94"/>
  <c r="AY61" i="94" s="1"/>
  <c r="H40" i="134" s="1"/>
  <c r="AY70" i="94"/>
  <c r="AY73" i="94" s="1"/>
  <c r="H48" i="134" s="1"/>
  <c r="AZ70" i="94"/>
  <c r="AZ73" i="94" s="1"/>
  <c r="H49" i="134" s="1"/>
  <c r="AX70" i="94"/>
  <c r="AY82" i="94"/>
  <c r="AY85" i="94" s="1"/>
  <c r="H56" i="134" s="1"/>
  <c r="AZ82" i="94"/>
  <c r="AZ85" i="94" s="1"/>
  <c r="H57" i="134" s="1"/>
  <c r="AX82" i="94"/>
  <c r="AY94" i="94"/>
  <c r="AY97" i="94" s="1"/>
  <c r="H64" i="134" s="1"/>
  <c r="AZ94" i="94"/>
  <c r="AZ97" i="94" s="1"/>
  <c r="H65" i="134" s="1"/>
  <c r="AX94" i="94"/>
  <c r="AY106" i="94"/>
  <c r="AY109" i="94" s="1"/>
  <c r="H72" i="134" s="1"/>
  <c r="AZ106" i="94"/>
  <c r="AZ109" i="94" s="1"/>
  <c r="H73" i="134" s="1"/>
  <c r="AX106" i="94"/>
  <c r="AX109" i="94" s="1"/>
  <c r="H71" i="134" s="1"/>
  <c r="J71" i="134" s="1"/>
  <c r="AY118" i="94"/>
  <c r="AY121" i="94" s="1"/>
  <c r="H80" i="134" s="1"/>
  <c r="AZ118" i="94"/>
  <c r="AZ121" i="94" s="1"/>
  <c r="H81" i="134" s="1"/>
  <c r="AX118" i="94"/>
  <c r="AX121" i="94" s="1"/>
  <c r="H79" i="134" s="1"/>
  <c r="J79" i="134" s="1"/>
  <c r="AY130" i="94"/>
  <c r="AY133" i="94" s="1"/>
  <c r="H88" i="134" s="1"/>
  <c r="AZ130" i="94"/>
  <c r="AZ133" i="94" s="1"/>
  <c r="H89" i="134" s="1"/>
  <c r="AX130" i="94"/>
  <c r="AY142" i="94"/>
  <c r="AY145" i="94" s="1"/>
  <c r="H96" i="134" s="1"/>
  <c r="AZ142" i="94"/>
  <c r="AZ145" i="94" s="1"/>
  <c r="H97" i="134" s="1"/>
  <c r="AX142" i="94"/>
  <c r="AY154" i="94"/>
  <c r="AY157" i="94" s="1"/>
  <c r="H104" i="134" s="1"/>
  <c r="AZ154" i="94"/>
  <c r="AZ157" i="94" s="1"/>
  <c r="H105" i="134" s="1"/>
  <c r="AX154" i="94"/>
  <c r="AX157" i="94" s="1"/>
  <c r="H103" i="134" s="1"/>
  <c r="J103" i="134" s="1"/>
  <c r="AY166" i="94"/>
  <c r="AY169" i="94" s="1"/>
  <c r="H112" i="134" s="1"/>
  <c r="AZ166" i="94"/>
  <c r="AZ169" i="94" s="1"/>
  <c r="H113" i="134" s="1"/>
  <c r="AX166" i="94"/>
  <c r="AX169" i="94" s="1"/>
  <c r="H111" i="134" s="1"/>
  <c r="J111" i="134" s="1"/>
  <c r="AY178" i="94"/>
  <c r="AY181" i="94" s="1"/>
  <c r="H120" i="134" s="1"/>
  <c r="AZ178" i="94"/>
  <c r="AZ181" i="94" s="1"/>
  <c r="H121" i="134" s="1"/>
  <c r="AX178" i="94"/>
  <c r="AY190" i="94"/>
  <c r="AY193" i="94" s="1"/>
  <c r="H128" i="134" s="1"/>
  <c r="AZ190" i="94"/>
  <c r="AZ193" i="94" s="1"/>
  <c r="H129" i="134" s="1"/>
  <c r="AX190" i="94"/>
  <c r="AZ202" i="94"/>
  <c r="AZ205" i="94" s="1"/>
  <c r="H137" i="134" s="1"/>
  <c r="J137" i="134" s="1"/>
  <c r="AX202" i="94"/>
  <c r="AX205" i="94" s="1"/>
  <c r="H135" i="134" s="1"/>
  <c r="AY202" i="94"/>
  <c r="AY205" i="94" s="1"/>
  <c r="H136" i="134" s="1"/>
  <c r="AZ214" i="94"/>
  <c r="AX214" i="94"/>
  <c r="AX217" i="94" s="1"/>
  <c r="H143" i="134" s="1"/>
  <c r="AY214" i="94"/>
  <c r="AY217" i="94" s="1"/>
  <c r="H144" i="134" s="1"/>
  <c r="AY13" i="94"/>
  <c r="H8" i="134" s="1"/>
  <c r="AZ217" i="94"/>
  <c r="H145" i="134" s="1"/>
  <c r="I145" i="134" s="1"/>
  <c r="AY211" i="94"/>
  <c r="H140" i="134" s="1"/>
  <c r="I140" i="134" s="1"/>
  <c r="AY199" i="94"/>
  <c r="H132" i="134" s="1"/>
  <c r="J132" i="134" s="1"/>
  <c r="AZ199" i="94"/>
  <c r="H133" i="134" s="1"/>
  <c r="I133" i="134" s="1"/>
  <c r="AX193" i="94"/>
  <c r="H127" i="134" s="1"/>
  <c r="I127" i="134" s="1"/>
  <c r="AX181" i="94"/>
  <c r="H119" i="134" s="1"/>
  <c r="I119" i="134" s="1"/>
  <c r="AX175" i="94"/>
  <c r="H115" i="134" s="1"/>
  <c r="J115" i="134" s="1"/>
  <c r="AY175" i="94"/>
  <c r="H116" i="134" s="1"/>
  <c r="I116" i="134" s="1"/>
  <c r="AX163" i="94"/>
  <c r="H107" i="134" s="1"/>
  <c r="J107" i="134" s="1"/>
  <c r="AX151" i="94"/>
  <c r="H99" i="134" s="1"/>
  <c r="I99" i="134" s="1"/>
  <c r="AY151" i="94"/>
  <c r="H100" i="134" s="1"/>
  <c r="I100" i="134" s="1"/>
  <c r="AX145" i="94"/>
  <c r="H95" i="134" s="1"/>
  <c r="I95" i="134" s="1"/>
  <c r="AY139" i="94"/>
  <c r="H92" i="134" s="1"/>
  <c r="I92" i="134" s="1"/>
  <c r="AX133" i="94"/>
  <c r="H87" i="134" s="1"/>
  <c r="I87" i="134" s="1"/>
  <c r="AX127" i="94"/>
  <c r="H83" i="134" s="1"/>
  <c r="J83" i="134" s="1"/>
  <c r="AY127" i="94"/>
  <c r="H84" i="134" s="1"/>
  <c r="I84" i="134" s="1"/>
  <c r="AX115" i="94"/>
  <c r="H75" i="134" s="1"/>
  <c r="I75" i="134" s="1"/>
  <c r="AX103" i="94"/>
  <c r="H67" i="134" s="1"/>
  <c r="I67" i="134" s="1"/>
  <c r="AY103" i="94"/>
  <c r="H68" i="134" s="1"/>
  <c r="I68" i="134" s="1"/>
  <c r="AX97" i="94"/>
  <c r="H63" i="134" s="1"/>
  <c r="J63" i="134" s="1"/>
  <c r="AY91" i="94"/>
  <c r="H60" i="134" s="1"/>
  <c r="I60" i="134" s="1"/>
  <c r="AX85" i="94"/>
  <c r="H55" i="134" s="1"/>
  <c r="I55" i="134" s="1"/>
  <c r="AX79" i="94"/>
  <c r="H51" i="134" s="1"/>
  <c r="I51" i="134" s="1"/>
  <c r="AY79" i="94"/>
  <c r="H52" i="134" s="1"/>
  <c r="J52" i="134" s="1"/>
  <c r="AX73" i="94"/>
  <c r="H47" i="134" s="1"/>
  <c r="J47" i="134" s="1"/>
  <c r="AX67" i="94"/>
  <c r="H43" i="134" s="1"/>
  <c r="I43" i="134" s="1"/>
  <c r="AY67" i="94"/>
  <c r="H44" i="134" s="1"/>
  <c r="I44" i="134" s="1"/>
  <c r="AX61" i="94"/>
  <c r="H39" i="134" s="1"/>
  <c r="J39" i="134" s="1"/>
  <c r="AX55" i="94"/>
  <c r="H35" i="134" s="1"/>
  <c r="J35" i="134" s="1"/>
  <c r="AY55" i="94"/>
  <c r="H36" i="134" s="1"/>
  <c r="I36" i="134" s="1"/>
  <c r="AX49" i="94"/>
  <c r="H31" i="134" s="1"/>
  <c r="J31" i="134" s="1"/>
  <c r="AZ43" i="94"/>
  <c r="H29" i="134" s="1"/>
  <c r="I29" i="134" s="1"/>
  <c r="AX37" i="94"/>
  <c r="H23" i="134" s="1"/>
  <c r="J23" i="134" s="1"/>
  <c r="J145" i="134"/>
  <c r="J37" i="134"/>
  <c r="AV16" i="94"/>
  <c r="AU15" i="94"/>
  <c r="AU19" i="94" s="1"/>
  <c r="H10" i="133" s="1"/>
  <c r="AV15" i="94"/>
  <c r="AV21" i="94"/>
  <c r="AV22" i="94"/>
  <c r="AU21" i="94"/>
  <c r="AU25" i="94" s="1"/>
  <c r="H13" i="133" s="1"/>
  <c r="AY16" i="94"/>
  <c r="AY19" i="94" s="1"/>
  <c r="H12" i="134" s="1"/>
  <c r="AZ16" i="94"/>
  <c r="AZ19" i="94" s="1"/>
  <c r="H13" i="134" s="1"/>
  <c r="AX16" i="94"/>
  <c r="AX19" i="94" s="1"/>
  <c r="H11" i="134" s="1"/>
  <c r="AZ28" i="94"/>
  <c r="AZ31" i="94" s="1"/>
  <c r="H21" i="134" s="1"/>
  <c r="AX28" i="94"/>
  <c r="AX31" i="94" s="1"/>
  <c r="H19" i="134" s="1"/>
  <c r="AY28" i="94"/>
  <c r="AY31" i="94" s="1"/>
  <c r="H20" i="134" s="1"/>
  <c r="AZ22" i="94"/>
  <c r="AZ25" i="94" s="1"/>
  <c r="H17" i="134" s="1"/>
  <c r="AX22" i="94"/>
  <c r="AX25" i="94" s="1"/>
  <c r="H15" i="134" s="1"/>
  <c r="AY22" i="94"/>
  <c r="AY25" i="94" s="1"/>
  <c r="H16" i="134" s="1"/>
  <c r="U112" i="142"/>
  <c r="W37" i="142"/>
  <c r="W17" i="142"/>
  <c r="W57" i="142"/>
  <c r="U97" i="142"/>
  <c r="W27" i="142"/>
  <c r="U47" i="142"/>
  <c r="U67" i="142"/>
  <c r="U87" i="142"/>
  <c r="AF109" i="142"/>
  <c r="AG109" i="142" s="1"/>
  <c r="W122" i="142"/>
  <c r="AF129" i="142"/>
  <c r="AG129" i="142" s="1"/>
  <c r="AF149" i="142"/>
  <c r="AG149" i="142" s="1"/>
  <c r="V167" i="142"/>
  <c r="AF14" i="142"/>
  <c r="AG14" i="142" s="1"/>
  <c r="U22" i="142"/>
  <c r="AF24" i="142"/>
  <c r="AG24" i="142" s="1"/>
  <c r="V32" i="142"/>
  <c r="AF34" i="142"/>
  <c r="AG34" i="142" s="1"/>
  <c r="W42" i="142"/>
  <c r="AF44" i="142"/>
  <c r="AG44" i="142" s="1"/>
  <c r="U52" i="142"/>
  <c r="AF54" i="142"/>
  <c r="AG54" i="142" s="1"/>
  <c r="U62" i="142"/>
  <c r="AF64" i="142"/>
  <c r="AG64" i="142" s="1"/>
  <c r="U72" i="142"/>
  <c r="AF74" i="142"/>
  <c r="AG74" i="142" s="1"/>
  <c r="AF79" i="142"/>
  <c r="AG79" i="142" s="1"/>
  <c r="AF84" i="142"/>
  <c r="AG84" i="142" s="1"/>
  <c r="U92" i="142"/>
  <c r="AF94" i="142"/>
  <c r="AG94" i="142" s="1"/>
  <c r="W102" i="142"/>
  <c r="W117" i="142"/>
  <c r="U124" i="142"/>
  <c r="U164" i="142"/>
  <c r="AF174" i="142"/>
  <c r="AG174" i="142" s="1"/>
  <c r="AF184" i="142"/>
  <c r="AG184" i="142" s="1"/>
  <c r="AF194" i="142"/>
  <c r="AG194" i="142" s="1"/>
  <c r="AF204" i="142"/>
  <c r="AG204" i="142" s="1"/>
  <c r="W12" i="142"/>
  <c r="U12" i="142"/>
  <c r="V12" i="142"/>
  <c r="W15" i="142"/>
  <c r="U15" i="142"/>
  <c r="V15" i="142"/>
  <c r="W25" i="142"/>
  <c r="U25" i="142"/>
  <c r="V25" i="142"/>
  <c r="V9" i="142"/>
  <c r="T13" i="142"/>
  <c r="W9" i="142"/>
  <c r="U9" i="142"/>
  <c r="W10" i="142"/>
  <c r="U10" i="142"/>
  <c r="V10" i="142"/>
  <c r="U17" i="142"/>
  <c r="W19" i="142"/>
  <c r="W20" i="142"/>
  <c r="U20" i="142"/>
  <c r="V20" i="142"/>
  <c r="U27" i="142"/>
  <c r="U11" i="142"/>
  <c r="W11" i="142"/>
  <c r="U16" i="142"/>
  <c r="W16" i="142"/>
  <c r="U21" i="142"/>
  <c r="W21" i="142"/>
  <c r="U26" i="142"/>
  <c r="W26" i="142"/>
  <c r="U30" i="142"/>
  <c r="W45" i="142"/>
  <c r="U45" i="142"/>
  <c r="V45" i="142"/>
  <c r="V54" i="142"/>
  <c r="W55" i="142"/>
  <c r="U55" i="142"/>
  <c r="V55" i="142"/>
  <c r="U64" i="142"/>
  <c r="W65" i="142"/>
  <c r="U65" i="142"/>
  <c r="V65" i="142"/>
  <c r="V72" i="142"/>
  <c r="W74" i="142"/>
  <c r="W75" i="142"/>
  <c r="U75" i="142"/>
  <c r="V75" i="142"/>
  <c r="W85" i="142"/>
  <c r="U85" i="142"/>
  <c r="V85" i="142"/>
  <c r="V94" i="142"/>
  <c r="W95" i="142"/>
  <c r="U95" i="142"/>
  <c r="V95" i="142"/>
  <c r="U102" i="142"/>
  <c r="W30" i="142"/>
  <c r="W31" i="142"/>
  <c r="U31" i="142"/>
  <c r="W35" i="142"/>
  <c r="V35" i="142"/>
  <c r="U37" i="142"/>
  <c r="U39" i="142"/>
  <c r="W40" i="142"/>
  <c r="U40" i="142"/>
  <c r="V40" i="142"/>
  <c r="W47" i="142"/>
  <c r="W50" i="142"/>
  <c r="U50" i="142"/>
  <c r="V50" i="142"/>
  <c r="W60" i="142"/>
  <c r="U60" i="142"/>
  <c r="V60" i="142"/>
  <c r="V67" i="142"/>
  <c r="W69" i="142"/>
  <c r="W70" i="142"/>
  <c r="U70" i="142"/>
  <c r="V70" i="142"/>
  <c r="W77" i="142"/>
  <c r="U77" i="142"/>
  <c r="V77" i="142"/>
  <c r="V79" i="142"/>
  <c r="W79" i="142"/>
  <c r="U79" i="142"/>
  <c r="W80" i="142"/>
  <c r="U80" i="142"/>
  <c r="V80" i="142"/>
  <c r="W87" i="142"/>
  <c r="V87" i="142"/>
  <c r="W90" i="142"/>
  <c r="U90" i="142"/>
  <c r="V90" i="142"/>
  <c r="V97" i="142"/>
  <c r="U99" i="142"/>
  <c r="W100" i="142"/>
  <c r="U100" i="142"/>
  <c r="V100" i="142"/>
  <c r="W112" i="142"/>
  <c r="V112" i="142"/>
  <c r="U122" i="142"/>
  <c r="U36" i="142"/>
  <c r="W36" i="142"/>
  <c r="U41" i="142"/>
  <c r="W41" i="142"/>
  <c r="U46" i="142"/>
  <c r="W46" i="142"/>
  <c r="U51" i="142"/>
  <c r="W51" i="142"/>
  <c r="U56" i="142"/>
  <c r="W56" i="142"/>
  <c r="U61" i="142"/>
  <c r="W61" i="142"/>
  <c r="U66" i="142"/>
  <c r="W66" i="142"/>
  <c r="U71" i="142"/>
  <c r="W71" i="142"/>
  <c r="U76" i="142"/>
  <c r="W76" i="142"/>
  <c r="U81" i="142"/>
  <c r="W81" i="142"/>
  <c r="U86" i="142"/>
  <c r="W86" i="142"/>
  <c r="U91" i="142"/>
  <c r="W91" i="142"/>
  <c r="U96" i="142"/>
  <c r="W96" i="142"/>
  <c r="U101" i="142"/>
  <c r="W101" i="142"/>
  <c r="AF114" i="142"/>
  <c r="AG114" i="142" s="1"/>
  <c r="U116" i="142"/>
  <c r="AF119" i="142"/>
  <c r="AG119" i="142" s="1"/>
  <c r="U121" i="142"/>
  <c r="W126" i="142"/>
  <c r="U126" i="142"/>
  <c r="V126" i="142"/>
  <c r="U127" i="142"/>
  <c r="V134" i="142"/>
  <c r="W136" i="142"/>
  <c r="U136" i="142"/>
  <c r="V136" i="142"/>
  <c r="W137" i="142"/>
  <c r="W146" i="142"/>
  <c r="U146" i="142"/>
  <c r="V146" i="142"/>
  <c r="V147" i="142"/>
  <c r="U147" i="142"/>
  <c r="V154" i="142"/>
  <c r="W156" i="142"/>
  <c r="U156" i="142"/>
  <c r="V156" i="142"/>
  <c r="W157" i="142"/>
  <c r="W166" i="142"/>
  <c r="U166" i="142"/>
  <c r="V166" i="142"/>
  <c r="W115" i="142"/>
  <c r="U115" i="142"/>
  <c r="W116" i="142"/>
  <c r="W120" i="142"/>
  <c r="U120" i="142"/>
  <c r="W121" i="142"/>
  <c r="T133" i="142"/>
  <c r="W129" i="142"/>
  <c r="U129" i="142"/>
  <c r="V129" i="142"/>
  <c r="W131" i="142"/>
  <c r="U131" i="142"/>
  <c r="V131" i="142"/>
  <c r="V132" i="142"/>
  <c r="W132" i="142"/>
  <c r="U132" i="142"/>
  <c r="W139" i="142"/>
  <c r="U139" i="142"/>
  <c r="H32" i="130" s="1"/>
  <c r="V139" i="142"/>
  <c r="W141" i="142"/>
  <c r="U141" i="142"/>
  <c r="V141" i="142"/>
  <c r="V142" i="142"/>
  <c r="W142" i="142"/>
  <c r="U142" i="142"/>
  <c r="W149" i="142"/>
  <c r="U149" i="142"/>
  <c r="V149" i="142"/>
  <c r="H34" i="130" s="1"/>
  <c r="W151" i="142"/>
  <c r="U151" i="142"/>
  <c r="V151" i="142"/>
  <c r="V152" i="142"/>
  <c r="W152" i="142"/>
  <c r="U152" i="142"/>
  <c r="W159" i="142"/>
  <c r="U159" i="142"/>
  <c r="H36" i="130"/>
  <c r="V159" i="142"/>
  <c r="W161" i="142"/>
  <c r="U161" i="142"/>
  <c r="V161" i="142"/>
  <c r="V162" i="142"/>
  <c r="W162" i="142"/>
  <c r="U162" i="142"/>
  <c r="W169" i="142"/>
  <c r="U169" i="142"/>
  <c r="V169" i="142"/>
  <c r="U125" i="142"/>
  <c r="W125" i="142"/>
  <c r="U130" i="142"/>
  <c r="W130" i="142"/>
  <c r="U135" i="142"/>
  <c r="W135" i="142"/>
  <c r="U140" i="142"/>
  <c r="W140" i="142"/>
  <c r="U145" i="142"/>
  <c r="W145" i="142"/>
  <c r="U150" i="142"/>
  <c r="W150" i="142"/>
  <c r="U155" i="142"/>
  <c r="W155" i="142"/>
  <c r="U160" i="142"/>
  <c r="W160" i="142"/>
  <c r="U165" i="142"/>
  <c r="W165" i="142"/>
  <c r="U167" i="142"/>
  <c r="U170" i="142"/>
  <c r="W172" i="142"/>
  <c r="U172" i="142"/>
  <c r="V172" i="142"/>
  <c r="U174" i="142"/>
  <c r="W175" i="142"/>
  <c r="U175" i="142"/>
  <c r="V175" i="142"/>
  <c r="W182" i="142"/>
  <c r="U182" i="142"/>
  <c r="V182" i="142"/>
  <c r="U184" i="142"/>
  <c r="W185" i="142"/>
  <c r="U185" i="142"/>
  <c r="V185" i="142"/>
  <c r="W192" i="142"/>
  <c r="U192" i="142"/>
  <c r="V192" i="142"/>
  <c r="U194" i="142"/>
  <c r="W195" i="142"/>
  <c r="U195" i="142"/>
  <c r="V195" i="142"/>
  <c r="W202" i="142"/>
  <c r="U202" i="142"/>
  <c r="V202" i="142"/>
  <c r="T208" i="142"/>
  <c r="U204" i="142"/>
  <c r="W205" i="142"/>
  <c r="U205" i="142"/>
  <c r="V205" i="142"/>
  <c r="W167" i="142"/>
  <c r="W170" i="142"/>
  <c r="W177" i="142"/>
  <c r="U177" i="142"/>
  <c r="V177" i="142"/>
  <c r="V179" i="142"/>
  <c r="T183" i="142"/>
  <c r="W179" i="142"/>
  <c r="U179" i="142"/>
  <c r="W180" i="142"/>
  <c r="U180" i="142"/>
  <c r="V180" i="142"/>
  <c r="W187" i="142"/>
  <c r="U187" i="142"/>
  <c r="V187" i="142"/>
  <c r="V189" i="142"/>
  <c r="W189" i="142"/>
  <c r="U189" i="142"/>
  <c r="W190" i="142"/>
  <c r="U190" i="142"/>
  <c r="V190" i="142"/>
  <c r="W197" i="142"/>
  <c r="U197" i="142"/>
  <c r="V197" i="142"/>
  <c r="V199" i="142"/>
  <c r="W199" i="142"/>
  <c r="U199" i="142"/>
  <c r="W200" i="142"/>
  <c r="U200" i="142"/>
  <c r="V200" i="142"/>
  <c r="W207" i="142"/>
  <c r="U207" i="142"/>
  <c r="V207" i="142"/>
  <c r="U171" i="142"/>
  <c r="W171" i="142"/>
  <c r="U176" i="142"/>
  <c r="W176" i="142"/>
  <c r="U181" i="142"/>
  <c r="W181" i="142"/>
  <c r="U186" i="142"/>
  <c r="W186" i="142"/>
  <c r="U191" i="142"/>
  <c r="W191" i="142"/>
  <c r="U196" i="142"/>
  <c r="W196" i="142"/>
  <c r="U201" i="142"/>
  <c r="W201" i="142"/>
  <c r="U206" i="142"/>
  <c r="W206" i="142"/>
  <c r="W9" i="135"/>
  <c r="V11" i="136"/>
  <c r="U11" i="136"/>
  <c r="U8" i="136"/>
  <c r="W8" i="136"/>
  <c r="U9" i="136"/>
  <c r="W9" i="136"/>
  <c r="U10" i="136"/>
  <c r="W10" i="136"/>
  <c r="V8" i="136"/>
  <c r="Z9" i="135"/>
  <c r="C159" i="134"/>
  <c r="C155" i="134"/>
  <c r="C151" i="134"/>
  <c r="C147" i="134"/>
  <c r="C143" i="134"/>
  <c r="C139" i="134"/>
  <c r="C135" i="134"/>
  <c r="C131" i="134"/>
  <c r="C127" i="134"/>
  <c r="C123" i="134"/>
  <c r="C119" i="134"/>
  <c r="C115" i="134"/>
  <c r="C111" i="134"/>
  <c r="C107" i="134"/>
  <c r="C103" i="134"/>
  <c r="C99" i="134"/>
  <c r="C95" i="134"/>
  <c r="C91" i="134"/>
  <c r="C87" i="134"/>
  <c r="C83" i="134"/>
  <c r="C79" i="134"/>
  <c r="C75" i="134"/>
  <c r="C71" i="134"/>
  <c r="C67" i="134"/>
  <c r="C63" i="134"/>
  <c r="C59" i="134"/>
  <c r="C55" i="134"/>
  <c r="C51" i="134"/>
  <c r="C47" i="134"/>
  <c r="C43" i="134"/>
  <c r="C39" i="134"/>
  <c r="C35" i="134"/>
  <c r="C31" i="134"/>
  <c r="C27" i="134"/>
  <c r="C23" i="134"/>
  <c r="C19" i="134"/>
  <c r="C15" i="134"/>
  <c r="C11" i="134"/>
  <c r="C7" i="134"/>
  <c r="C124" i="133"/>
  <c r="C121" i="133"/>
  <c r="C118" i="133"/>
  <c r="C115" i="133"/>
  <c r="C112" i="133"/>
  <c r="C109" i="133"/>
  <c r="C106" i="133"/>
  <c r="C103" i="133"/>
  <c r="C100" i="133"/>
  <c r="C97" i="133"/>
  <c r="C94" i="133"/>
  <c r="C91" i="133"/>
  <c r="C88" i="133"/>
  <c r="C85" i="133"/>
  <c r="C82" i="133"/>
  <c r="C79" i="133"/>
  <c r="C76" i="133"/>
  <c r="C73" i="133"/>
  <c r="C70" i="133"/>
  <c r="C67" i="133"/>
  <c r="C64" i="133"/>
  <c r="C61" i="133"/>
  <c r="C58" i="133"/>
  <c r="C55" i="133"/>
  <c r="C52" i="133"/>
  <c r="C49" i="133"/>
  <c r="C46" i="133"/>
  <c r="C43" i="133"/>
  <c r="C40" i="133"/>
  <c r="C37" i="133"/>
  <c r="C34" i="133"/>
  <c r="C31" i="133"/>
  <c r="C28" i="133"/>
  <c r="C25" i="133"/>
  <c r="C22" i="133"/>
  <c r="C19" i="133"/>
  <c r="C16" i="133"/>
  <c r="C13" i="133"/>
  <c r="C10" i="133"/>
  <c r="F8" i="133"/>
  <c r="F7" i="133"/>
  <c r="C7" i="133"/>
  <c r="W485" i="86"/>
  <c r="W484" i="86"/>
  <c r="W483" i="86"/>
  <c r="W482" i="86"/>
  <c r="W481" i="86"/>
  <c r="W480" i="86"/>
  <c r="W479" i="86"/>
  <c r="W478" i="86"/>
  <c r="W477" i="86"/>
  <c r="W476" i="86"/>
  <c r="W473" i="86"/>
  <c r="W472" i="86"/>
  <c r="W471" i="86"/>
  <c r="W470" i="86"/>
  <c r="W469" i="86"/>
  <c r="W468" i="86"/>
  <c r="W467" i="86"/>
  <c r="W466" i="86"/>
  <c r="W465" i="86"/>
  <c r="W464" i="86"/>
  <c r="W461" i="86"/>
  <c r="V460" i="86"/>
  <c r="V459" i="86"/>
  <c r="V458" i="86"/>
  <c r="V457" i="86"/>
  <c r="V456" i="86"/>
  <c r="V455" i="86"/>
  <c r="V454" i="86"/>
  <c r="V453" i="86"/>
  <c r="V452" i="86"/>
  <c r="W449" i="86"/>
  <c r="W448" i="86"/>
  <c r="W447" i="86"/>
  <c r="W446" i="86"/>
  <c r="W445" i="86"/>
  <c r="W444" i="86"/>
  <c r="W443" i="86"/>
  <c r="W442" i="86"/>
  <c r="W441" i="86"/>
  <c r="W440" i="86"/>
  <c r="W437" i="86"/>
  <c r="W436" i="86"/>
  <c r="W435" i="86"/>
  <c r="W434" i="86"/>
  <c r="W433" i="86"/>
  <c r="W432" i="86"/>
  <c r="W431" i="86"/>
  <c r="W430" i="86"/>
  <c r="W429" i="86"/>
  <c r="W428" i="86"/>
  <c r="W425" i="86"/>
  <c r="W424" i="86"/>
  <c r="W423" i="86"/>
  <c r="W422" i="86"/>
  <c r="W421" i="86"/>
  <c r="W420" i="86"/>
  <c r="W419" i="86"/>
  <c r="W418" i="86"/>
  <c r="W417" i="86"/>
  <c r="W416" i="86"/>
  <c r="W413" i="86"/>
  <c r="V412" i="86"/>
  <c r="V411" i="86"/>
  <c r="V410" i="86"/>
  <c r="V409" i="86"/>
  <c r="V408" i="86"/>
  <c r="V407" i="86"/>
  <c r="V406" i="86"/>
  <c r="V405" i="86"/>
  <c r="V404" i="86"/>
  <c r="W401" i="86"/>
  <c r="W400" i="86"/>
  <c r="W399" i="86"/>
  <c r="W398" i="86"/>
  <c r="W397" i="86"/>
  <c r="W396" i="86"/>
  <c r="W395" i="86"/>
  <c r="W394" i="86"/>
  <c r="W393" i="86"/>
  <c r="W392" i="86"/>
  <c r="W389" i="86"/>
  <c r="W388" i="86"/>
  <c r="W387" i="86"/>
  <c r="W386" i="86"/>
  <c r="W385" i="86"/>
  <c r="W384" i="86"/>
  <c r="W383" i="86"/>
  <c r="W382" i="86"/>
  <c r="W381" i="86"/>
  <c r="W380" i="86"/>
  <c r="W377" i="86"/>
  <c r="W376" i="86"/>
  <c r="W375" i="86"/>
  <c r="W374" i="86"/>
  <c r="W373" i="86"/>
  <c r="W372" i="86"/>
  <c r="W371" i="86"/>
  <c r="W370" i="86"/>
  <c r="W369" i="86"/>
  <c r="W368" i="86"/>
  <c r="W365" i="86"/>
  <c r="W364" i="86"/>
  <c r="W363" i="86"/>
  <c r="W362" i="86"/>
  <c r="W361" i="86"/>
  <c r="W360" i="86"/>
  <c r="W359" i="86"/>
  <c r="W358" i="86"/>
  <c r="W357" i="86"/>
  <c r="W356" i="86"/>
  <c r="W353" i="86"/>
  <c r="W352" i="86"/>
  <c r="W351" i="86"/>
  <c r="W350" i="86"/>
  <c r="W349" i="86"/>
  <c r="W348" i="86"/>
  <c r="W347" i="86"/>
  <c r="W346" i="86"/>
  <c r="W345" i="86"/>
  <c r="W344" i="86"/>
  <c r="W341" i="86"/>
  <c r="W340" i="86"/>
  <c r="W339" i="86"/>
  <c r="W338" i="86"/>
  <c r="W337" i="86"/>
  <c r="W336" i="86"/>
  <c r="W335" i="86"/>
  <c r="W334" i="86"/>
  <c r="W333" i="86"/>
  <c r="W332" i="86"/>
  <c r="W329" i="86"/>
  <c r="V328" i="86"/>
  <c r="V327" i="86"/>
  <c r="V326" i="86"/>
  <c r="V325" i="86"/>
  <c r="V324" i="86"/>
  <c r="V323" i="86"/>
  <c r="V322" i="86"/>
  <c r="V321" i="86"/>
  <c r="V320" i="86"/>
  <c r="W317" i="86"/>
  <c r="V316" i="86"/>
  <c r="V315" i="86"/>
  <c r="V314" i="86"/>
  <c r="V313" i="86"/>
  <c r="V312" i="86"/>
  <c r="V311" i="86"/>
  <c r="V310" i="86"/>
  <c r="V309" i="86"/>
  <c r="V308" i="86"/>
  <c r="W305" i="86"/>
  <c r="W304" i="86"/>
  <c r="W303" i="86"/>
  <c r="W302" i="86"/>
  <c r="W301" i="86"/>
  <c r="W300" i="86"/>
  <c r="W299" i="86"/>
  <c r="W298" i="86"/>
  <c r="W297" i="86"/>
  <c r="W296" i="86"/>
  <c r="W293" i="86"/>
  <c r="W292" i="86"/>
  <c r="W291" i="86"/>
  <c r="W290" i="86"/>
  <c r="W289" i="86"/>
  <c r="W288" i="86"/>
  <c r="W287" i="86"/>
  <c r="W286" i="86"/>
  <c r="W285" i="86"/>
  <c r="W284" i="86"/>
  <c r="W281" i="86"/>
  <c r="W280" i="86"/>
  <c r="W279" i="86"/>
  <c r="W278" i="86"/>
  <c r="W277" i="86"/>
  <c r="W276" i="86"/>
  <c r="W275" i="86"/>
  <c r="W274" i="86"/>
  <c r="W273" i="86"/>
  <c r="W272" i="86"/>
  <c r="W269" i="86"/>
  <c r="W268" i="86"/>
  <c r="W267" i="86"/>
  <c r="W266" i="86"/>
  <c r="W265" i="86"/>
  <c r="W264" i="86"/>
  <c r="W263" i="86"/>
  <c r="W262" i="86"/>
  <c r="W261" i="86"/>
  <c r="W260" i="86"/>
  <c r="W257" i="86"/>
  <c r="W256" i="86"/>
  <c r="W255" i="86"/>
  <c r="W254" i="86"/>
  <c r="W253" i="86"/>
  <c r="W252" i="86"/>
  <c r="W251" i="86"/>
  <c r="W250" i="86"/>
  <c r="W249" i="86"/>
  <c r="W248" i="86"/>
  <c r="W245" i="86"/>
  <c r="W244" i="86"/>
  <c r="W243" i="86"/>
  <c r="W242" i="86"/>
  <c r="W241" i="86"/>
  <c r="W240" i="86"/>
  <c r="W239" i="86"/>
  <c r="W238" i="86"/>
  <c r="W237" i="86"/>
  <c r="W236" i="86"/>
  <c r="W233" i="86"/>
  <c r="V232" i="86"/>
  <c r="V231" i="86"/>
  <c r="V230" i="86"/>
  <c r="V229" i="86"/>
  <c r="V228" i="86"/>
  <c r="V227" i="86"/>
  <c r="V226" i="86"/>
  <c r="V225" i="86"/>
  <c r="V224" i="86"/>
  <c r="W221" i="86"/>
  <c r="W220" i="86"/>
  <c r="W219" i="86"/>
  <c r="W218" i="86"/>
  <c r="W217" i="86"/>
  <c r="W216" i="86"/>
  <c r="W215" i="86"/>
  <c r="W214" i="86"/>
  <c r="W213" i="86"/>
  <c r="W212" i="86"/>
  <c r="W209" i="86"/>
  <c r="W208" i="86"/>
  <c r="W207" i="86"/>
  <c r="W206" i="86"/>
  <c r="W205" i="86"/>
  <c r="W204" i="86"/>
  <c r="W203" i="86"/>
  <c r="W202" i="86"/>
  <c r="W201" i="86"/>
  <c r="W200" i="86"/>
  <c r="W197" i="86"/>
  <c r="W196" i="86"/>
  <c r="W195" i="86"/>
  <c r="W194" i="86"/>
  <c r="W193" i="86"/>
  <c r="W192" i="86"/>
  <c r="W191" i="86"/>
  <c r="W190" i="86"/>
  <c r="W189" i="86"/>
  <c r="W188" i="86"/>
  <c r="W185" i="86"/>
  <c r="W184" i="86"/>
  <c r="W183" i="86"/>
  <c r="W182" i="86"/>
  <c r="W181" i="86"/>
  <c r="W180" i="86"/>
  <c r="W179" i="86"/>
  <c r="W178" i="86"/>
  <c r="W177" i="86"/>
  <c r="W176" i="86"/>
  <c r="W173" i="86"/>
  <c r="W172" i="86"/>
  <c r="W171" i="86"/>
  <c r="W170" i="86"/>
  <c r="W169" i="86"/>
  <c r="W168" i="86"/>
  <c r="W167" i="86"/>
  <c r="W166" i="86"/>
  <c r="W165" i="86"/>
  <c r="W164" i="86"/>
  <c r="W161" i="86"/>
  <c r="W160" i="86"/>
  <c r="W159" i="86"/>
  <c r="W158" i="86"/>
  <c r="W157" i="86"/>
  <c r="W156" i="86"/>
  <c r="W155" i="86"/>
  <c r="W154" i="86"/>
  <c r="W153" i="86"/>
  <c r="W152" i="86"/>
  <c r="W149" i="86"/>
  <c r="W148" i="86"/>
  <c r="W147" i="86"/>
  <c r="W146" i="86"/>
  <c r="W145" i="86"/>
  <c r="W144" i="86"/>
  <c r="W143" i="86"/>
  <c r="W142" i="86"/>
  <c r="W141" i="86"/>
  <c r="W140" i="86"/>
  <c r="W137" i="86"/>
  <c r="W136" i="86"/>
  <c r="W135" i="86"/>
  <c r="W134" i="86"/>
  <c r="W133" i="86"/>
  <c r="W132" i="86"/>
  <c r="W131" i="86"/>
  <c r="W130" i="86"/>
  <c r="W129" i="86"/>
  <c r="W128" i="86"/>
  <c r="W125" i="86"/>
  <c r="W124" i="86"/>
  <c r="W123" i="86"/>
  <c r="W122" i="86"/>
  <c r="W121" i="86"/>
  <c r="W120" i="86"/>
  <c r="W119" i="86"/>
  <c r="W118" i="86"/>
  <c r="W117" i="86"/>
  <c r="W116" i="86"/>
  <c r="W113" i="86"/>
  <c r="W112" i="86"/>
  <c r="W111" i="86"/>
  <c r="W110" i="86"/>
  <c r="W109" i="86"/>
  <c r="W108" i="86"/>
  <c r="W107" i="86"/>
  <c r="W106" i="86"/>
  <c r="W105" i="86"/>
  <c r="W104" i="86"/>
  <c r="W101" i="86"/>
  <c r="W100" i="86"/>
  <c r="W99" i="86"/>
  <c r="W98" i="86"/>
  <c r="W97" i="86"/>
  <c r="W96" i="86"/>
  <c r="W95" i="86"/>
  <c r="W94" i="86"/>
  <c r="W93" i="86"/>
  <c r="W92" i="86"/>
  <c r="W89" i="86"/>
  <c r="W88" i="86"/>
  <c r="W87" i="86"/>
  <c r="W86" i="86"/>
  <c r="W85" i="86"/>
  <c r="W84" i="86"/>
  <c r="W83" i="86"/>
  <c r="W82" i="86"/>
  <c r="W81" i="86"/>
  <c r="W80" i="86"/>
  <c r="W77" i="86"/>
  <c r="W76" i="86"/>
  <c r="W75" i="86"/>
  <c r="W74" i="86"/>
  <c r="W73" i="86"/>
  <c r="W72" i="86"/>
  <c r="W71" i="86"/>
  <c r="W70" i="86"/>
  <c r="W69" i="86"/>
  <c r="W68" i="86"/>
  <c r="W65" i="86"/>
  <c r="W64" i="86"/>
  <c r="W63" i="86"/>
  <c r="W62" i="86"/>
  <c r="W61" i="86"/>
  <c r="W60" i="86"/>
  <c r="W59" i="86"/>
  <c r="W58" i="86"/>
  <c r="W57" i="86"/>
  <c r="W56" i="86"/>
  <c r="W53" i="86"/>
  <c r="V52" i="86"/>
  <c r="V51" i="86"/>
  <c r="V50" i="86"/>
  <c r="V49" i="86"/>
  <c r="V48" i="86"/>
  <c r="V47" i="86"/>
  <c r="V46" i="86"/>
  <c r="V45" i="86"/>
  <c r="V44" i="86"/>
  <c r="W41" i="86"/>
  <c r="W40" i="86"/>
  <c r="W39" i="86"/>
  <c r="W38" i="86"/>
  <c r="W37" i="86"/>
  <c r="W36" i="86"/>
  <c r="W35" i="86"/>
  <c r="W34" i="86"/>
  <c r="W33" i="86"/>
  <c r="W32" i="86"/>
  <c r="W29" i="86"/>
  <c r="W28" i="86"/>
  <c r="W27" i="86"/>
  <c r="W26" i="86"/>
  <c r="W24" i="86"/>
  <c r="W23" i="86"/>
  <c r="W22" i="86"/>
  <c r="W21" i="86"/>
  <c r="W20" i="86"/>
  <c r="V16" i="86"/>
  <c r="V17" i="86"/>
  <c r="AX9" i="68"/>
  <c r="BA9" i="68"/>
  <c r="BD9" i="68"/>
  <c r="AX10" i="68"/>
  <c r="BA10" i="68"/>
  <c r="BD10" i="68"/>
  <c r="AX11" i="68"/>
  <c r="BA11" i="68"/>
  <c r="BD11" i="68"/>
  <c r="AX12" i="68"/>
  <c r="BA12" i="68"/>
  <c r="BD12" i="68"/>
  <c r="AX13" i="68"/>
  <c r="BA13" i="68"/>
  <c r="BD13" i="68"/>
  <c r="AX14" i="68"/>
  <c r="BA14" i="68"/>
  <c r="BD14" i="68"/>
  <c r="AX15" i="68"/>
  <c r="BA15" i="68"/>
  <c r="BD15" i="68"/>
  <c r="AX16" i="68"/>
  <c r="BA16" i="68"/>
  <c r="BD16" i="68"/>
  <c r="AX17" i="68"/>
  <c r="BA17" i="68"/>
  <c r="BD17" i="68"/>
  <c r="AX18" i="68"/>
  <c r="BA18" i="68"/>
  <c r="BD18" i="68"/>
  <c r="AX19" i="68"/>
  <c r="BA19" i="68"/>
  <c r="BD19" i="68"/>
  <c r="AX20" i="68"/>
  <c r="BA20" i="68"/>
  <c r="BD20" i="68"/>
  <c r="AX21" i="68"/>
  <c r="BA21" i="68"/>
  <c r="BD21" i="68"/>
  <c r="AX22" i="68"/>
  <c r="BA22" i="68"/>
  <c r="BD22" i="68"/>
  <c r="AX23" i="68"/>
  <c r="BA23" i="68"/>
  <c r="BD23" i="68"/>
  <c r="AX24" i="68"/>
  <c r="BA24" i="68"/>
  <c r="BD24" i="68"/>
  <c r="AX25" i="68"/>
  <c r="BA25" i="68"/>
  <c r="BD25" i="68"/>
  <c r="AX26" i="68"/>
  <c r="BA26" i="68"/>
  <c r="BD26" i="68"/>
  <c r="AX27" i="68"/>
  <c r="BA27" i="68"/>
  <c r="BD27" i="68"/>
  <c r="AX28" i="68"/>
  <c r="BA28" i="68"/>
  <c r="BD28" i="68"/>
  <c r="AX29" i="68"/>
  <c r="BA29" i="68"/>
  <c r="BD29" i="68"/>
  <c r="AX30" i="68"/>
  <c r="BA30" i="68"/>
  <c r="BD30" i="68"/>
  <c r="AX31" i="68"/>
  <c r="BA31" i="68"/>
  <c r="BD31" i="68"/>
  <c r="AX32" i="68"/>
  <c r="BA32" i="68"/>
  <c r="BD32" i="68"/>
  <c r="AX33" i="68"/>
  <c r="BA33" i="68"/>
  <c r="BD33" i="68"/>
  <c r="AX34" i="68"/>
  <c r="BA34" i="68"/>
  <c r="BD34" i="68"/>
  <c r="AX35" i="68"/>
  <c r="BA35" i="68"/>
  <c r="BD35" i="68"/>
  <c r="AX36" i="68"/>
  <c r="BA36" i="68"/>
  <c r="BD36" i="68"/>
  <c r="AX37" i="68"/>
  <c r="BA37" i="68"/>
  <c r="BD37" i="68"/>
  <c r="AX38" i="68"/>
  <c r="BA38" i="68"/>
  <c r="BD38" i="68"/>
  <c r="AX39" i="68"/>
  <c r="BA39" i="68"/>
  <c r="BD39" i="68"/>
  <c r="AX40" i="68"/>
  <c r="BA40" i="68"/>
  <c r="BD40" i="68"/>
  <c r="AX41" i="68"/>
  <c r="BA41" i="68"/>
  <c r="BD41" i="68"/>
  <c r="AX42" i="68"/>
  <c r="BA42" i="68"/>
  <c r="BD42" i="68"/>
  <c r="AX43" i="68"/>
  <c r="BA43" i="68"/>
  <c r="BD43" i="68"/>
  <c r="AX44" i="68"/>
  <c r="BA44" i="68"/>
  <c r="BD44" i="68"/>
  <c r="AX45" i="68"/>
  <c r="BA45" i="68"/>
  <c r="BD45" i="68"/>
  <c r="AX46" i="68"/>
  <c r="BA46" i="68"/>
  <c r="BD46" i="68"/>
  <c r="AX47" i="68"/>
  <c r="BA47" i="68"/>
  <c r="BD47" i="68"/>
  <c r="AX48" i="68"/>
  <c r="BA48" i="68"/>
  <c r="BD48" i="68"/>
  <c r="AV193" i="94" l="1"/>
  <c r="H98" i="133" s="1"/>
  <c r="AV145" i="94"/>
  <c r="H74" i="133" s="1"/>
  <c r="AV97" i="94"/>
  <c r="H50" i="133" s="1"/>
  <c r="AV13" i="94"/>
  <c r="H8" i="133" s="1"/>
  <c r="AV199" i="94"/>
  <c r="H101" i="133" s="1"/>
  <c r="AV61" i="94"/>
  <c r="H32" i="133" s="1"/>
  <c r="R265" i="74"/>
  <c r="J139" i="134"/>
  <c r="I139" i="134"/>
  <c r="AV49" i="94"/>
  <c r="H26" i="133" s="1"/>
  <c r="AV187" i="94"/>
  <c r="H95" i="133" s="1"/>
  <c r="AV139" i="94"/>
  <c r="H71" i="133" s="1"/>
  <c r="J71" i="133" s="1"/>
  <c r="AV91" i="94"/>
  <c r="H47" i="133" s="1"/>
  <c r="J47" i="133" s="1"/>
  <c r="AV19" i="94"/>
  <c r="H11" i="133" s="1"/>
  <c r="W204" i="142"/>
  <c r="V204" i="142"/>
  <c r="W194" i="142"/>
  <c r="V194" i="142"/>
  <c r="W184" i="142"/>
  <c r="V184" i="142"/>
  <c r="W174" i="142"/>
  <c r="V174" i="142"/>
  <c r="U63" i="142"/>
  <c r="W92" i="142"/>
  <c r="AF104" i="142"/>
  <c r="AG104" i="142" s="1"/>
  <c r="H30" i="130"/>
  <c r="V111" i="142"/>
  <c r="W110" i="142"/>
  <c r="U110" i="142"/>
  <c r="V109" i="142"/>
  <c r="V108" i="142"/>
  <c r="W107" i="142"/>
  <c r="U107" i="142"/>
  <c r="V106" i="142"/>
  <c r="W105" i="142"/>
  <c r="U105" i="142"/>
  <c r="V104" i="142"/>
  <c r="V103" i="142"/>
  <c r="V13" i="142"/>
  <c r="W111" i="142"/>
  <c r="U111" i="142"/>
  <c r="V110" i="142"/>
  <c r="W109" i="142"/>
  <c r="U109" i="142"/>
  <c r="U108" i="142"/>
  <c r="V107" i="142"/>
  <c r="W106" i="142"/>
  <c r="U106" i="142"/>
  <c r="V105" i="142"/>
  <c r="W104" i="142"/>
  <c r="U104" i="142"/>
  <c r="U103" i="142"/>
  <c r="U13" i="142"/>
  <c r="AF179" i="142"/>
  <c r="AG179" i="142" s="1"/>
  <c r="AF159" i="142"/>
  <c r="AG159" i="142" s="1"/>
  <c r="AF99" i="142"/>
  <c r="AG99" i="142" s="1"/>
  <c r="AF59" i="142"/>
  <c r="AG59" i="142" s="1"/>
  <c r="AF19" i="142"/>
  <c r="AG19" i="142" s="1"/>
  <c r="AF39" i="142"/>
  <c r="AG39" i="142" s="1"/>
  <c r="AF199" i="142"/>
  <c r="AG199" i="142" s="1"/>
  <c r="AF139" i="142"/>
  <c r="AG139" i="142" s="1"/>
  <c r="AF164" i="142"/>
  <c r="AG164" i="142" s="1"/>
  <c r="W154" i="142"/>
  <c r="AF154" i="142"/>
  <c r="AG154" i="142" s="1"/>
  <c r="W144" i="142"/>
  <c r="AF144" i="142"/>
  <c r="AG144" i="142" s="1"/>
  <c r="U134" i="142"/>
  <c r="AF134" i="142"/>
  <c r="AG134" i="142" s="1"/>
  <c r="W124" i="142"/>
  <c r="AF124" i="142"/>
  <c r="AG124" i="142" s="1"/>
  <c r="T108" i="142"/>
  <c r="AF189" i="142"/>
  <c r="AG189" i="142" s="1"/>
  <c r="AF169" i="142"/>
  <c r="AG169" i="142" s="1"/>
  <c r="V89" i="142"/>
  <c r="AF89" i="142"/>
  <c r="AG89" i="142" s="1"/>
  <c r="V69" i="142"/>
  <c r="AF69" i="142"/>
  <c r="AG69" i="142" s="1"/>
  <c r="V49" i="142"/>
  <c r="AF49" i="142"/>
  <c r="AG49" i="142" s="1"/>
  <c r="W29" i="142"/>
  <c r="AF29" i="142"/>
  <c r="AG29" i="142" s="1"/>
  <c r="H42" i="130"/>
  <c r="H45" i="130"/>
  <c r="H41" i="130"/>
  <c r="U154" i="142"/>
  <c r="U144" i="142"/>
  <c r="W134" i="142"/>
  <c r="V128" i="142"/>
  <c r="W97" i="142"/>
  <c r="U89" i="142"/>
  <c r="T83" i="142"/>
  <c r="U83" i="142" s="1"/>
  <c r="H20" i="130"/>
  <c r="U57" i="142"/>
  <c r="W32" i="142"/>
  <c r="V92" i="142"/>
  <c r="U82" i="142"/>
  <c r="W72" i="142"/>
  <c r="W62" i="142"/>
  <c r="H44" i="130"/>
  <c r="H40" i="130"/>
  <c r="H43" i="130"/>
  <c r="H39" i="130"/>
  <c r="H38" i="130"/>
  <c r="V164" i="142"/>
  <c r="W164" i="142"/>
  <c r="H35" i="130"/>
  <c r="V144" i="142"/>
  <c r="V124" i="142"/>
  <c r="V122" i="142"/>
  <c r="W89" i="142"/>
  <c r="U69" i="142"/>
  <c r="H18" i="130" s="1"/>
  <c r="V57" i="142"/>
  <c r="V37" i="142"/>
  <c r="V102" i="142"/>
  <c r="V82" i="142"/>
  <c r="W82" i="142"/>
  <c r="V52" i="142"/>
  <c r="V17" i="142"/>
  <c r="W22" i="142"/>
  <c r="T158" i="142"/>
  <c r="U158" i="142" s="1"/>
  <c r="H33" i="130"/>
  <c r="U138" i="142"/>
  <c r="H29" i="130"/>
  <c r="V84" i="142"/>
  <c r="V64" i="142"/>
  <c r="V44" i="142"/>
  <c r="U34" i="142"/>
  <c r="V14" i="142"/>
  <c r="V99" i="142"/>
  <c r="V59" i="142"/>
  <c r="V19" i="142"/>
  <c r="V39" i="142"/>
  <c r="AE8" i="136"/>
  <c r="H37" i="130"/>
  <c r="H22" i="130"/>
  <c r="W49" i="142"/>
  <c r="AG9" i="142"/>
  <c r="T265" i="74" s="1"/>
  <c r="V43" i="86"/>
  <c r="W31" i="86"/>
  <c r="W55" i="86"/>
  <c r="W79" i="86"/>
  <c r="W103" i="86"/>
  <c r="W127" i="86"/>
  <c r="W151" i="86"/>
  <c r="W175" i="86"/>
  <c r="W199" i="86"/>
  <c r="V223" i="86"/>
  <c r="W247" i="86"/>
  <c r="W271" i="86"/>
  <c r="W295" i="86"/>
  <c r="V319" i="86"/>
  <c r="W343" i="86"/>
  <c r="W367" i="86"/>
  <c r="W391" i="86"/>
  <c r="W415" i="86"/>
  <c r="W439" i="86"/>
  <c r="U453" i="86"/>
  <c r="W475" i="86"/>
  <c r="W67" i="86"/>
  <c r="W91" i="86"/>
  <c r="W115" i="86"/>
  <c r="W139" i="86"/>
  <c r="W163" i="86"/>
  <c r="W187" i="86"/>
  <c r="W211" i="86"/>
  <c r="W235" i="86"/>
  <c r="W259" i="86"/>
  <c r="W283" i="86"/>
  <c r="V307" i="86"/>
  <c r="W331" i="86"/>
  <c r="W355" i="86"/>
  <c r="W379" i="86"/>
  <c r="V403" i="86"/>
  <c r="W427" i="86"/>
  <c r="V451" i="86"/>
  <c r="W463" i="86"/>
  <c r="H31" i="130"/>
  <c r="V127" i="142"/>
  <c r="W67" i="142"/>
  <c r="U59" i="142"/>
  <c r="V47" i="142"/>
  <c r="U117" i="142"/>
  <c r="W94" i="142"/>
  <c r="U84" i="142"/>
  <c r="V74" i="142"/>
  <c r="V68" i="142"/>
  <c r="W54" i="142"/>
  <c r="U44" i="142"/>
  <c r="V24" i="142"/>
  <c r="J124" i="134"/>
  <c r="I35" i="134"/>
  <c r="I132" i="134"/>
  <c r="I63" i="134"/>
  <c r="J51" i="134"/>
  <c r="J99" i="134"/>
  <c r="I47" i="134"/>
  <c r="J60" i="134"/>
  <c r="T59" i="134" s="1"/>
  <c r="U59" i="134" s="1"/>
  <c r="J92" i="134"/>
  <c r="T91" i="134" s="1"/>
  <c r="U91" i="134" s="1"/>
  <c r="I111" i="134"/>
  <c r="J117" i="134"/>
  <c r="K117" i="134" s="1"/>
  <c r="I117" i="134"/>
  <c r="J101" i="134"/>
  <c r="I101" i="134"/>
  <c r="J85" i="134"/>
  <c r="L85" i="134" s="1"/>
  <c r="I85" i="134"/>
  <c r="I69" i="134"/>
  <c r="J69" i="134"/>
  <c r="J53" i="134"/>
  <c r="K53" i="134" s="1"/>
  <c r="I53" i="134"/>
  <c r="U157" i="142"/>
  <c r="V157" i="142"/>
  <c r="W147" i="142"/>
  <c r="U137" i="142"/>
  <c r="V137" i="142"/>
  <c r="W127" i="142"/>
  <c r="W99" i="142"/>
  <c r="W59" i="142"/>
  <c r="W39" i="142"/>
  <c r="V117" i="142"/>
  <c r="U94" i="142"/>
  <c r="W84" i="142"/>
  <c r="U74" i="142"/>
  <c r="H19" i="130" s="1"/>
  <c r="U78" i="142"/>
  <c r="W64" i="142"/>
  <c r="H17" i="130" s="1"/>
  <c r="U54" i="142"/>
  <c r="T58" i="142"/>
  <c r="W44" i="142"/>
  <c r="V27" i="142"/>
  <c r="U19" i="142"/>
  <c r="W24" i="142"/>
  <c r="W14" i="142"/>
  <c r="G6" i="130"/>
  <c r="H6" i="130"/>
  <c r="J140" i="134"/>
  <c r="J123" i="134"/>
  <c r="I27" i="134"/>
  <c r="J45" i="134"/>
  <c r="K45" i="134" s="1"/>
  <c r="I61" i="134"/>
  <c r="J77" i="134"/>
  <c r="I93" i="134"/>
  <c r="J109" i="134"/>
  <c r="M109" i="134" s="1"/>
  <c r="J125" i="134"/>
  <c r="I137" i="134"/>
  <c r="J133" i="134"/>
  <c r="L133" i="134" s="1"/>
  <c r="J119" i="134"/>
  <c r="L119" i="134" s="1"/>
  <c r="I103" i="134"/>
  <c r="J75" i="134"/>
  <c r="T75" i="134" s="1"/>
  <c r="U75" i="134" s="1"/>
  <c r="I107" i="134"/>
  <c r="J100" i="134"/>
  <c r="L100" i="134" s="1"/>
  <c r="J87" i="134"/>
  <c r="I71" i="134"/>
  <c r="J11" i="133"/>
  <c r="I11" i="133"/>
  <c r="J84" i="134"/>
  <c r="I91" i="134"/>
  <c r="J55" i="134"/>
  <c r="M55" i="134" s="1"/>
  <c r="H86" i="134"/>
  <c r="J17" i="133"/>
  <c r="I17" i="133"/>
  <c r="I103" i="133"/>
  <c r="J103" i="133"/>
  <c r="I91" i="133"/>
  <c r="J91" i="133"/>
  <c r="I79" i="133"/>
  <c r="J79" i="133"/>
  <c r="I67" i="133"/>
  <c r="J67" i="133"/>
  <c r="J55" i="133"/>
  <c r="I55" i="133"/>
  <c r="J43" i="133"/>
  <c r="I43" i="133"/>
  <c r="J32" i="133"/>
  <c r="I32" i="133"/>
  <c r="H27" i="133"/>
  <c r="I25" i="133"/>
  <c r="J25" i="133"/>
  <c r="J19" i="133"/>
  <c r="I19" i="133"/>
  <c r="I106" i="133"/>
  <c r="J106" i="133"/>
  <c r="J94" i="133"/>
  <c r="H96" i="133"/>
  <c r="I94" i="133"/>
  <c r="J82" i="133"/>
  <c r="H84" i="133"/>
  <c r="I82" i="133"/>
  <c r="J70" i="133"/>
  <c r="H72" i="133"/>
  <c r="I70" i="133"/>
  <c r="J58" i="133"/>
  <c r="H60" i="133"/>
  <c r="I58" i="133"/>
  <c r="J46" i="133"/>
  <c r="I46" i="133"/>
  <c r="J34" i="133"/>
  <c r="I34" i="133"/>
  <c r="J22" i="133"/>
  <c r="I22" i="133"/>
  <c r="J13" i="133"/>
  <c r="I13" i="133"/>
  <c r="J10" i="133"/>
  <c r="I10" i="133"/>
  <c r="J109" i="133"/>
  <c r="I109" i="133"/>
  <c r="I104" i="133"/>
  <c r="J104" i="133"/>
  <c r="J98" i="133"/>
  <c r="I98" i="133"/>
  <c r="H99" i="133"/>
  <c r="J97" i="133"/>
  <c r="I97" i="133"/>
  <c r="J86" i="133"/>
  <c r="I86" i="133"/>
  <c r="H87" i="133"/>
  <c r="J85" i="133"/>
  <c r="I85" i="133"/>
  <c r="J74" i="133"/>
  <c r="I74" i="133"/>
  <c r="H75" i="133"/>
  <c r="J73" i="133"/>
  <c r="I73" i="133"/>
  <c r="J62" i="133"/>
  <c r="I62" i="133"/>
  <c r="H63" i="133"/>
  <c r="J61" i="133"/>
  <c r="I61" i="133"/>
  <c r="I50" i="133"/>
  <c r="J50" i="133"/>
  <c r="H51" i="133"/>
  <c r="I49" i="133"/>
  <c r="J49" i="133"/>
  <c r="I38" i="133"/>
  <c r="J38" i="133"/>
  <c r="H39" i="133"/>
  <c r="I37" i="133"/>
  <c r="J37" i="133"/>
  <c r="J31" i="133"/>
  <c r="I31" i="133"/>
  <c r="I26" i="133"/>
  <c r="J26" i="133"/>
  <c r="J101" i="133"/>
  <c r="I101" i="133"/>
  <c r="J100" i="133"/>
  <c r="H102" i="133"/>
  <c r="I100" i="133"/>
  <c r="J95" i="133"/>
  <c r="I95" i="133"/>
  <c r="J88" i="133"/>
  <c r="I88" i="133"/>
  <c r="J83" i="133"/>
  <c r="I83" i="133"/>
  <c r="J76" i="133"/>
  <c r="I76" i="133"/>
  <c r="I71" i="133"/>
  <c r="J64" i="133"/>
  <c r="I64" i="133"/>
  <c r="J59" i="133"/>
  <c r="I59" i="133"/>
  <c r="J52" i="133"/>
  <c r="I52" i="133"/>
  <c r="I47" i="133"/>
  <c r="J40" i="133"/>
  <c r="I40" i="133"/>
  <c r="J28" i="133"/>
  <c r="I28" i="133"/>
  <c r="J16" i="133"/>
  <c r="I16" i="133"/>
  <c r="H78" i="134"/>
  <c r="I79" i="134"/>
  <c r="H110" i="134"/>
  <c r="I31" i="134"/>
  <c r="H54" i="134"/>
  <c r="H62" i="134"/>
  <c r="J67" i="134"/>
  <c r="L67" i="134" s="1"/>
  <c r="I76" i="134"/>
  <c r="I83" i="134"/>
  <c r="J95" i="134"/>
  <c r="K95" i="134" s="1"/>
  <c r="J108" i="134"/>
  <c r="T107" i="134" s="1"/>
  <c r="U107" i="134" s="1"/>
  <c r="I115" i="134"/>
  <c r="J127" i="134"/>
  <c r="I141" i="134"/>
  <c r="AV217" i="94"/>
  <c r="H110" i="133" s="1"/>
  <c r="AV181" i="94"/>
  <c r="H92" i="133" s="1"/>
  <c r="AV157" i="94"/>
  <c r="H80" i="133" s="1"/>
  <c r="AV133" i="94"/>
  <c r="H68" i="133" s="1"/>
  <c r="AV109" i="94"/>
  <c r="H56" i="133" s="1"/>
  <c r="AV85" i="94"/>
  <c r="H44" i="133" s="1"/>
  <c r="AV37" i="94"/>
  <c r="H20" i="133" s="1"/>
  <c r="AV211" i="94"/>
  <c r="H107" i="133" s="1"/>
  <c r="H108" i="133" s="1"/>
  <c r="AV175" i="94"/>
  <c r="H89" i="133" s="1"/>
  <c r="AV151" i="94"/>
  <c r="H77" i="133" s="1"/>
  <c r="H78" i="133" s="1"/>
  <c r="AV127" i="94"/>
  <c r="H65" i="133" s="1"/>
  <c r="AV103" i="94"/>
  <c r="H53" i="133" s="1"/>
  <c r="H54" i="133" s="1"/>
  <c r="AV79" i="94"/>
  <c r="H41" i="133" s="1"/>
  <c r="AV43" i="94"/>
  <c r="H23" i="133" s="1"/>
  <c r="H24" i="133" s="1"/>
  <c r="J64" i="134"/>
  <c r="I64" i="134"/>
  <c r="J57" i="134"/>
  <c r="K57" i="134" s="1"/>
  <c r="I57" i="134"/>
  <c r="J48" i="134"/>
  <c r="I48" i="134"/>
  <c r="J32" i="134"/>
  <c r="I32" i="134"/>
  <c r="J25" i="134"/>
  <c r="L25" i="134" s="1"/>
  <c r="I25" i="134"/>
  <c r="AV67" i="94"/>
  <c r="H35" i="133" s="1"/>
  <c r="AV55" i="94"/>
  <c r="H29" i="133" s="1"/>
  <c r="H30" i="133" s="1"/>
  <c r="AV25" i="94"/>
  <c r="H14" i="133" s="1"/>
  <c r="H118" i="134"/>
  <c r="I23" i="134"/>
  <c r="J116" i="134"/>
  <c r="K116" i="134" s="1"/>
  <c r="H30" i="134"/>
  <c r="I28" i="134"/>
  <c r="J36" i="134"/>
  <c r="T35" i="134" s="1"/>
  <c r="U35" i="134" s="1"/>
  <c r="I39" i="134"/>
  <c r="J43" i="134"/>
  <c r="M43" i="134" s="1"/>
  <c r="I52" i="134"/>
  <c r="I59" i="134"/>
  <c r="J68" i="134"/>
  <c r="M68" i="134" s="1"/>
  <c r="H46" i="134"/>
  <c r="J29" i="134"/>
  <c r="L29" i="134" s="1"/>
  <c r="H94" i="134"/>
  <c r="H126" i="134"/>
  <c r="H142" i="134"/>
  <c r="H38" i="134"/>
  <c r="J44" i="134"/>
  <c r="L44" i="134" s="1"/>
  <c r="H70" i="134"/>
  <c r="H102" i="134"/>
  <c r="I143" i="134"/>
  <c r="J143" i="134"/>
  <c r="H146" i="134"/>
  <c r="J136" i="134"/>
  <c r="K136" i="134" s="1"/>
  <c r="I136" i="134"/>
  <c r="J129" i="134"/>
  <c r="L129" i="134" s="1"/>
  <c r="I129" i="134"/>
  <c r="I120" i="134"/>
  <c r="J120" i="134"/>
  <c r="K120" i="134" s="1"/>
  <c r="H122" i="134"/>
  <c r="I113" i="134"/>
  <c r="J113" i="134"/>
  <c r="I104" i="134"/>
  <c r="J104" i="134"/>
  <c r="H106" i="134"/>
  <c r="I97" i="134"/>
  <c r="J97" i="134"/>
  <c r="M97" i="134" s="1"/>
  <c r="J88" i="134"/>
  <c r="M88" i="134" s="1"/>
  <c r="I88" i="134"/>
  <c r="H90" i="134"/>
  <c r="I81" i="134"/>
  <c r="J81" i="134"/>
  <c r="L81" i="134" s="1"/>
  <c r="J72" i="134"/>
  <c r="K72" i="134" s="1"/>
  <c r="H74" i="134"/>
  <c r="I72" i="134"/>
  <c r="J65" i="134"/>
  <c r="M65" i="134" s="1"/>
  <c r="H66" i="134"/>
  <c r="I65" i="134"/>
  <c r="J56" i="134"/>
  <c r="L56" i="134" s="1"/>
  <c r="I56" i="134"/>
  <c r="J49" i="134"/>
  <c r="K49" i="134" s="1"/>
  <c r="H50" i="134"/>
  <c r="I49" i="134"/>
  <c r="J40" i="134"/>
  <c r="M40" i="134" s="1"/>
  <c r="I40" i="134"/>
  <c r="I41" i="134"/>
  <c r="J41" i="134"/>
  <c r="M41" i="134" s="1"/>
  <c r="H26" i="134"/>
  <c r="I24" i="134"/>
  <c r="J24" i="134"/>
  <c r="T23" i="134" s="1"/>
  <c r="U23" i="134" s="1"/>
  <c r="J144" i="134"/>
  <c r="K144" i="134" s="1"/>
  <c r="I144" i="134"/>
  <c r="I135" i="134"/>
  <c r="J135" i="134"/>
  <c r="T135" i="134" s="1"/>
  <c r="U135" i="134" s="1"/>
  <c r="H138" i="134"/>
  <c r="I128" i="134"/>
  <c r="H130" i="134"/>
  <c r="J128" i="134"/>
  <c r="I121" i="134"/>
  <c r="J121" i="134"/>
  <c r="L121" i="134" s="1"/>
  <c r="I112" i="134"/>
  <c r="H114" i="134"/>
  <c r="J112" i="134"/>
  <c r="T111" i="134" s="1"/>
  <c r="U111" i="134" s="1"/>
  <c r="I105" i="134"/>
  <c r="J105" i="134"/>
  <c r="I96" i="134"/>
  <c r="H98" i="134"/>
  <c r="J96" i="134"/>
  <c r="K96" i="134" s="1"/>
  <c r="J89" i="134"/>
  <c r="L89" i="134" s="1"/>
  <c r="I89" i="134"/>
  <c r="J80" i="134"/>
  <c r="K80" i="134" s="1"/>
  <c r="H82" i="134"/>
  <c r="I80" i="134"/>
  <c r="J73" i="134"/>
  <c r="M73" i="134" s="1"/>
  <c r="I73" i="134"/>
  <c r="I33" i="134"/>
  <c r="H34" i="134"/>
  <c r="J33" i="134"/>
  <c r="L33" i="134" s="1"/>
  <c r="I131" i="134"/>
  <c r="H134" i="134"/>
  <c r="J131" i="134"/>
  <c r="H42" i="134"/>
  <c r="H58" i="134"/>
  <c r="L87" i="134"/>
  <c r="L91" i="134"/>
  <c r="M91" i="134"/>
  <c r="K91" i="134"/>
  <c r="J94" i="134"/>
  <c r="H27" i="128" s="1"/>
  <c r="M123" i="134"/>
  <c r="K123" i="134"/>
  <c r="L123" i="134"/>
  <c r="J126" i="134"/>
  <c r="H35" i="128" s="1"/>
  <c r="K137" i="134"/>
  <c r="M137" i="134"/>
  <c r="L137" i="134"/>
  <c r="L53" i="134"/>
  <c r="K73" i="134"/>
  <c r="L72" i="134"/>
  <c r="M85" i="134"/>
  <c r="K89" i="134"/>
  <c r="M101" i="134"/>
  <c r="L101" i="134"/>
  <c r="K101" i="134"/>
  <c r="L117" i="134"/>
  <c r="L125" i="134"/>
  <c r="M125" i="134"/>
  <c r="K125" i="134"/>
  <c r="K129" i="134"/>
  <c r="M136" i="134"/>
  <c r="M144" i="134"/>
  <c r="L36" i="134"/>
  <c r="L35" i="134"/>
  <c r="K35" i="134"/>
  <c r="M35" i="134"/>
  <c r="J38" i="134"/>
  <c r="H13" i="128" s="1"/>
  <c r="M44" i="134"/>
  <c r="L43" i="134"/>
  <c r="K43" i="134"/>
  <c r="M47" i="134"/>
  <c r="K47" i="134"/>
  <c r="L47" i="134"/>
  <c r="L51" i="134"/>
  <c r="K51" i="134"/>
  <c r="M51" i="134"/>
  <c r="L55" i="134"/>
  <c r="M60" i="134"/>
  <c r="L68" i="134"/>
  <c r="K71" i="134"/>
  <c r="M71" i="134"/>
  <c r="L71" i="134"/>
  <c r="K92" i="134"/>
  <c r="L92" i="134"/>
  <c r="M92" i="134"/>
  <c r="L124" i="134"/>
  <c r="K124" i="134"/>
  <c r="M124" i="134"/>
  <c r="L132" i="134"/>
  <c r="M132" i="134"/>
  <c r="K132" i="134"/>
  <c r="L141" i="134"/>
  <c r="M141" i="134"/>
  <c r="K141" i="134"/>
  <c r="M75" i="134"/>
  <c r="L75" i="134"/>
  <c r="K75" i="134"/>
  <c r="J78" i="134"/>
  <c r="H23" i="128" s="1"/>
  <c r="M79" i="134"/>
  <c r="L79" i="134"/>
  <c r="K79" i="134"/>
  <c r="L84" i="134"/>
  <c r="M84" i="134"/>
  <c r="K84" i="134"/>
  <c r="K100" i="134"/>
  <c r="M100" i="134"/>
  <c r="M103" i="134"/>
  <c r="K103" i="134"/>
  <c r="L103" i="134"/>
  <c r="M107" i="134"/>
  <c r="L107" i="134"/>
  <c r="K107" i="134"/>
  <c r="J110" i="134"/>
  <c r="H31" i="128" s="1"/>
  <c r="M116" i="134"/>
  <c r="L116" i="134"/>
  <c r="K119" i="134"/>
  <c r="M119" i="134"/>
  <c r="M140" i="134"/>
  <c r="L140" i="134"/>
  <c r="K140" i="134"/>
  <c r="K24" i="134"/>
  <c r="L24" i="134"/>
  <c r="L27" i="134"/>
  <c r="K27" i="134"/>
  <c r="M27" i="134"/>
  <c r="J30" i="134"/>
  <c r="H11" i="128" s="1"/>
  <c r="K33" i="134"/>
  <c r="M33" i="134"/>
  <c r="L32" i="134"/>
  <c r="M32" i="134"/>
  <c r="L37" i="134"/>
  <c r="M37" i="134"/>
  <c r="K37" i="134"/>
  <c r="L45" i="134"/>
  <c r="M45" i="134"/>
  <c r="K48" i="134"/>
  <c r="L48" i="134"/>
  <c r="M48" i="134"/>
  <c r="M57" i="134"/>
  <c r="L61" i="134"/>
  <c r="K61" i="134"/>
  <c r="M61" i="134"/>
  <c r="L64" i="134"/>
  <c r="K64" i="134"/>
  <c r="M64" i="134"/>
  <c r="L69" i="134"/>
  <c r="M69" i="134"/>
  <c r="K69" i="134"/>
  <c r="K77" i="134"/>
  <c r="M77" i="134"/>
  <c r="L77" i="134"/>
  <c r="K81" i="134"/>
  <c r="K93" i="134"/>
  <c r="M93" i="134"/>
  <c r="L93" i="134"/>
  <c r="L97" i="134"/>
  <c r="M96" i="134"/>
  <c r="M105" i="134"/>
  <c r="K105" i="134"/>
  <c r="K104" i="134"/>
  <c r="L104" i="134"/>
  <c r="L109" i="134"/>
  <c r="L113" i="134"/>
  <c r="K113" i="134"/>
  <c r="M113" i="134"/>
  <c r="L112" i="134"/>
  <c r="K121" i="134"/>
  <c r="M121" i="134"/>
  <c r="M120" i="134"/>
  <c r="L128" i="134"/>
  <c r="K128" i="134"/>
  <c r="M128" i="134"/>
  <c r="L131" i="134"/>
  <c r="K131" i="134"/>
  <c r="M131" i="134"/>
  <c r="M135" i="134"/>
  <c r="L135" i="134"/>
  <c r="K135" i="134"/>
  <c r="J138" i="134"/>
  <c r="H38" i="128" s="1"/>
  <c r="K139" i="134"/>
  <c r="L143" i="134"/>
  <c r="M143" i="134"/>
  <c r="M23" i="134"/>
  <c r="L23" i="134"/>
  <c r="K23" i="134"/>
  <c r="J26" i="134"/>
  <c r="H10" i="128" s="1"/>
  <c r="M28" i="134"/>
  <c r="K28" i="134"/>
  <c r="L28" i="134"/>
  <c r="L31" i="134"/>
  <c r="K31" i="134"/>
  <c r="M31" i="134"/>
  <c r="M39" i="134"/>
  <c r="L39" i="134"/>
  <c r="K39" i="134"/>
  <c r="L52" i="134"/>
  <c r="M52" i="134"/>
  <c r="K52" i="134"/>
  <c r="M59" i="134"/>
  <c r="L59" i="134"/>
  <c r="K59" i="134"/>
  <c r="J62" i="134"/>
  <c r="H19" i="128" s="1"/>
  <c r="L63" i="134"/>
  <c r="K63" i="134"/>
  <c r="M63" i="134"/>
  <c r="J66" i="134"/>
  <c r="H20" i="128" s="1"/>
  <c r="K67" i="134"/>
  <c r="J70" i="134"/>
  <c r="H21" i="128" s="1"/>
  <c r="M76" i="134"/>
  <c r="L76" i="134"/>
  <c r="K76" i="134"/>
  <c r="M83" i="134"/>
  <c r="L83" i="134"/>
  <c r="K83" i="134"/>
  <c r="J86" i="134"/>
  <c r="H25" i="128" s="1"/>
  <c r="J98" i="134"/>
  <c r="H28" i="128" s="1"/>
  <c r="M99" i="134"/>
  <c r="L99" i="134"/>
  <c r="K99" i="134"/>
  <c r="J102" i="134"/>
  <c r="H29" i="128" s="1"/>
  <c r="K108" i="134"/>
  <c r="L111" i="134"/>
  <c r="K111" i="134"/>
  <c r="M111" i="134"/>
  <c r="K115" i="134"/>
  <c r="M115" i="134"/>
  <c r="L115" i="134"/>
  <c r="M127" i="134"/>
  <c r="L127" i="134"/>
  <c r="K127" i="134"/>
  <c r="L145" i="134"/>
  <c r="M145" i="134"/>
  <c r="K145" i="134"/>
  <c r="J15" i="134"/>
  <c r="I15" i="134"/>
  <c r="H18" i="134"/>
  <c r="I20" i="134"/>
  <c r="J20" i="134"/>
  <c r="J21" i="134"/>
  <c r="I21" i="134"/>
  <c r="I13" i="134"/>
  <c r="J13" i="134"/>
  <c r="J16" i="134"/>
  <c r="I16" i="134"/>
  <c r="J17" i="134"/>
  <c r="I17" i="134"/>
  <c r="J19" i="134"/>
  <c r="I19" i="134"/>
  <c r="H22" i="134"/>
  <c r="J11" i="134"/>
  <c r="T11" i="134" s="1"/>
  <c r="U11" i="134" s="1"/>
  <c r="I11" i="134"/>
  <c r="H14" i="134"/>
  <c r="J12" i="134"/>
  <c r="I12" i="134"/>
  <c r="V62" i="142"/>
  <c r="W52" i="142"/>
  <c r="U42" i="142"/>
  <c r="T33" i="142"/>
  <c r="U33" i="142" s="1"/>
  <c r="V22" i="142"/>
  <c r="U49" i="142"/>
  <c r="H14" i="130" s="1"/>
  <c r="U53" i="142"/>
  <c r="H12" i="130"/>
  <c r="V42" i="142"/>
  <c r="U32" i="142"/>
  <c r="U29" i="142"/>
  <c r="V29" i="142"/>
  <c r="H10" i="130" s="1"/>
  <c r="T23" i="142"/>
  <c r="U23" i="142" s="1"/>
  <c r="H8" i="130"/>
  <c r="U310" i="86"/>
  <c r="U46" i="86"/>
  <c r="U230" i="86"/>
  <c r="U326" i="86"/>
  <c r="U406" i="86"/>
  <c r="U50" i="86"/>
  <c r="U226" i="86"/>
  <c r="U314" i="86"/>
  <c r="U322" i="86"/>
  <c r="U410" i="86"/>
  <c r="U44" i="86"/>
  <c r="U48" i="86"/>
  <c r="U52" i="86"/>
  <c r="U224" i="86"/>
  <c r="U228" i="86"/>
  <c r="U232" i="86"/>
  <c r="U308" i="86"/>
  <c r="U312" i="86"/>
  <c r="U316" i="86"/>
  <c r="U320" i="86"/>
  <c r="U324" i="86"/>
  <c r="U328" i="86"/>
  <c r="U404" i="86"/>
  <c r="U408" i="86"/>
  <c r="U412" i="86"/>
  <c r="U451" i="86"/>
  <c r="U455" i="86"/>
  <c r="U459" i="86"/>
  <c r="U457" i="86"/>
  <c r="U461" i="86"/>
  <c r="U403" i="86"/>
  <c r="W404" i="86"/>
  <c r="U405" i="86"/>
  <c r="W406" i="86"/>
  <c r="U407" i="86"/>
  <c r="W408" i="86"/>
  <c r="U409" i="86"/>
  <c r="W410" i="86"/>
  <c r="U411" i="86"/>
  <c r="W412" i="86"/>
  <c r="U413" i="86"/>
  <c r="W451" i="86"/>
  <c r="U452" i="86"/>
  <c r="W453" i="86"/>
  <c r="U454" i="86"/>
  <c r="W455" i="86"/>
  <c r="U456" i="86"/>
  <c r="W457" i="86"/>
  <c r="U458" i="86"/>
  <c r="W459" i="86"/>
  <c r="U460" i="86"/>
  <c r="W403" i="86"/>
  <c r="W405" i="86"/>
  <c r="W407" i="86"/>
  <c r="W409" i="86"/>
  <c r="W411" i="86"/>
  <c r="W452" i="86"/>
  <c r="W454" i="86"/>
  <c r="W456" i="86"/>
  <c r="W458" i="86"/>
  <c r="W460" i="86"/>
  <c r="U307" i="86"/>
  <c r="W308" i="86"/>
  <c r="U309" i="86"/>
  <c r="W310" i="86"/>
  <c r="U311" i="86"/>
  <c r="W312" i="86"/>
  <c r="U313" i="86"/>
  <c r="W314" i="86"/>
  <c r="U315" i="86"/>
  <c r="W316" i="86"/>
  <c r="U317" i="86"/>
  <c r="U319" i="86"/>
  <c r="W320" i="86"/>
  <c r="U321" i="86"/>
  <c r="W322" i="86"/>
  <c r="U323" i="86"/>
  <c r="W324" i="86"/>
  <c r="U325" i="86"/>
  <c r="W326" i="86"/>
  <c r="U327" i="86"/>
  <c r="W328" i="86"/>
  <c r="U329" i="86"/>
  <c r="W307" i="86"/>
  <c r="W309" i="86"/>
  <c r="W311" i="86"/>
  <c r="W313" i="86"/>
  <c r="W315" i="86"/>
  <c r="W319" i="86"/>
  <c r="W321" i="86"/>
  <c r="W323" i="86"/>
  <c r="W325" i="86"/>
  <c r="W327" i="86"/>
  <c r="U223" i="86"/>
  <c r="W224" i="86"/>
  <c r="U225" i="86"/>
  <c r="W226" i="86"/>
  <c r="U227" i="86"/>
  <c r="W228" i="86"/>
  <c r="U229" i="86"/>
  <c r="W230" i="86"/>
  <c r="U231" i="86"/>
  <c r="W232" i="86"/>
  <c r="U233" i="86"/>
  <c r="W223" i="86"/>
  <c r="W225" i="86"/>
  <c r="W227" i="86"/>
  <c r="W229" i="86"/>
  <c r="W231" i="86"/>
  <c r="W44" i="86"/>
  <c r="U45" i="86"/>
  <c r="W46" i="86"/>
  <c r="U47" i="86"/>
  <c r="W48" i="86"/>
  <c r="U49" i="86"/>
  <c r="W50" i="86"/>
  <c r="U51" i="86"/>
  <c r="W52" i="86"/>
  <c r="U53" i="86"/>
  <c r="W45" i="86"/>
  <c r="W47" i="86"/>
  <c r="W49" i="86"/>
  <c r="W51" i="86"/>
  <c r="W17" i="86"/>
  <c r="U17" i="86"/>
  <c r="W16" i="86"/>
  <c r="U16" i="86"/>
  <c r="V34" i="142"/>
  <c r="W34" i="142"/>
  <c r="U24" i="142"/>
  <c r="T28" i="142"/>
  <c r="V28" i="142" s="1"/>
  <c r="H26" i="130"/>
  <c r="U14" i="142"/>
  <c r="H7" i="130" s="1"/>
  <c r="T18" i="142"/>
  <c r="V18" i="142" s="1"/>
  <c r="U193" i="142"/>
  <c r="V193" i="142"/>
  <c r="U208" i="142"/>
  <c r="V208" i="142"/>
  <c r="U188" i="142"/>
  <c r="V188" i="142"/>
  <c r="U173" i="142"/>
  <c r="V173" i="142"/>
  <c r="V163" i="142"/>
  <c r="U163" i="142"/>
  <c r="V143" i="142"/>
  <c r="U143" i="142"/>
  <c r="V158" i="142"/>
  <c r="V138" i="142"/>
  <c r="U93" i="142"/>
  <c r="V93" i="142"/>
  <c r="U73" i="142"/>
  <c r="V73" i="142"/>
  <c r="U88" i="142"/>
  <c r="V88" i="142"/>
  <c r="U68" i="142"/>
  <c r="U48" i="142"/>
  <c r="V48" i="142"/>
  <c r="U38" i="142"/>
  <c r="V38" i="142"/>
  <c r="U203" i="142"/>
  <c r="V203" i="142"/>
  <c r="U183" i="142"/>
  <c r="V183" i="142"/>
  <c r="U198" i="142"/>
  <c r="V198" i="142"/>
  <c r="U178" i="142"/>
  <c r="V178" i="142"/>
  <c r="V153" i="142"/>
  <c r="U153" i="142"/>
  <c r="V133" i="142"/>
  <c r="U133" i="142"/>
  <c r="V168" i="142"/>
  <c r="U168" i="142"/>
  <c r="V148" i="142"/>
  <c r="U148" i="142"/>
  <c r="U128" i="142"/>
  <c r="V119" i="142"/>
  <c r="W119" i="142"/>
  <c r="U119" i="142"/>
  <c r="V114" i="142"/>
  <c r="W114" i="142"/>
  <c r="U114" i="142"/>
  <c r="V83" i="142"/>
  <c r="V63" i="142"/>
  <c r="U43" i="142"/>
  <c r="V43" i="142"/>
  <c r="U98" i="142"/>
  <c r="V98" i="142"/>
  <c r="V78" i="142"/>
  <c r="U58" i="142"/>
  <c r="V58" i="142"/>
  <c r="U28" i="142"/>
  <c r="V475" i="86"/>
  <c r="V476" i="86"/>
  <c r="V477" i="86"/>
  <c r="V478" i="86"/>
  <c r="V479" i="86"/>
  <c r="V480" i="86"/>
  <c r="V481" i="86"/>
  <c r="V482" i="86"/>
  <c r="V483" i="86"/>
  <c r="V484" i="86"/>
  <c r="V485" i="86"/>
  <c r="U475" i="86"/>
  <c r="U476" i="86"/>
  <c r="U477" i="86"/>
  <c r="U478" i="86"/>
  <c r="U479" i="86"/>
  <c r="U480" i="86"/>
  <c r="U481" i="86"/>
  <c r="U482" i="86"/>
  <c r="U483" i="86"/>
  <c r="U484" i="86"/>
  <c r="U485" i="86"/>
  <c r="V463" i="86"/>
  <c r="V464" i="86"/>
  <c r="V465" i="86"/>
  <c r="V466" i="86"/>
  <c r="V467" i="86"/>
  <c r="V468" i="86"/>
  <c r="V469" i="86"/>
  <c r="V470" i="86"/>
  <c r="V471" i="86"/>
  <c r="V472" i="86"/>
  <c r="V473" i="86"/>
  <c r="U463" i="86"/>
  <c r="U464" i="86"/>
  <c r="U465" i="86"/>
  <c r="U466" i="86"/>
  <c r="U467" i="86"/>
  <c r="U468" i="86"/>
  <c r="U469" i="86"/>
  <c r="U470" i="86"/>
  <c r="U471" i="86"/>
  <c r="U472" i="86"/>
  <c r="U473" i="86"/>
  <c r="V461" i="86"/>
  <c r="V439" i="86"/>
  <c r="V440" i="86"/>
  <c r="V441" i="86"/>
  <c r="V442" i="86"/>
  <c r="V443" i="86"/>
  <c r="V444" i="86"/>
  <c r="V445" i="86"/>
  <c r="V446" i="86"/>
  <c r="V447" i="86"/>
  <c r="V448" i="86"/>
  <c r="V449" i="86"/>
  <c r="U439" i="86"/>
  <c r="U440" i="86"/>
  <c r="U441" i="86"/>
  <c r="U442" i="86"/>
  <c r="U443" i="86"/>
  <c r="U444" i="86"/>
  <c r="U445" i="86"/>
  <c r="U446" i="86"/>
  <c r="U447" i="86"/>
  <c r="U448" i="86"/>
  <c r="U449" i="86"/>
  <c r="V427" i="86"/>
  <c r="V428" i="86"/>
  <c r="V429" i="86"/>
  <c r="V430" i="86"/>
  <c r="V431" i="86"/>
  <c r="V432" i="86"/>
  <c r="V433" i="86"/>
  <c r="V434" i="86"/>
  <c r="V435" i="86"/>
  <c r="V436" i="86"/>
  <c r="V437" i="86"/>
  <c r="U427" i="86"/>
  <c r="U428" i="86"/>
  <c r="U429" i="86"/>
  <c r="U430" i="86"/>
  <c r="U431" i="86"/>
  <c r="U432" i="86"/>
  <c r="U433" i="86"/>
  <c r="U434" i="86"/>
  <c r="U435" i="86"/>
  <c r="U436" i="86"/>
  <c r="U437" i="86"/>
  <c r="V415" i="86"/>
  <c r="V416" i="86"/>
  <c r="V417" i="86"/>
  <c r="V418" i="86"/>
  <c r="V419" i="86"/>
  <c r="V420" i="86"/>
  <c r="V421" i="86"/>
  <c r="V422" i="86"/>
  <c r="V423" i="86"/>
  <c r="V424" i="86"/>
  <c r="V425" i="86"/>
  <c r="U415" i="86"/>
  <c r="U416" i="86"/>
  <c r="U417" i="86"/>
  <c r="U418" i="86"/>
  <c r="U419" i="86"/>
  <c r="U420" i="86"/>
  <c r="U421" i="86"/>
  <c r="U422" i="86"/>
  <c r="U423" i="86"/>
  <c r="U424" i="86"/>
  <c r="U425" i="86"/>
  <c r="V413" i="86"/>
  <c r="V391" i="86"/>
  <c r="V392" i="86"/>
  <c r="V393" i="86"/>
  <c r="V394" i="86"/>
  <c r="V395" i="86"/>
  <c r="V396" i="86"/>
  <c r="V397" i="86"/>
  <c r="V398" i="86"/>
  <c r="V399" i="86"/>
  <c r="V400" i="86"/>
  <c r="V401" i="86"/>
  <c r="U391" i="86"/>
  <c r="U392" i="86"/>
  <c r="U393" i="86"/>
  <c r="U394" i="86"/>
  <c r="U395" i="86"/>
  <c r="U396" i="86"/>
  <c r="U397" i="86"/>
  <c r="U398" i="86"/>
  <c r="U399" i="86"/>
  <c r="U400" i="86"/>
  <c r="U401" i="86"/>
  <c r="V379" i="86"/>
  <c r="V380" i="86"/>
  <c r="V381" i="86"/>
  <c r="V382" i="86"/>
  <c r="V383" i="86"/>
  <c r="V384" i="86"/>
  <c r="V385" i="86"/>
  <c r="V386" i="86"/>
  <c r="V387" i="86"/>
  <c r="V388" i="86"/>
  <c r="V389" i="86"/>
  <c r="U379" i="86"/>
  <c r="U380" i="86"/>
  <c r="U381" i="86"/>
  <c r="U382" i="86"/>
  <c r="U383" i="86"/>
  <c r="U384" i="86"/>
  <c r="U385" i="86"/>
  <c r="U386" i="86"/>
  <c r="U387" i="86"/>
  <c r="U388" i="86"/>
  <c r="U389" i="86"/>
  <c r="V367" i="86"/>
  <c r="V368" i="86"/>
  <c r="V369" i="86"/>
  <c r="V370" i="86"/>
  <c r="V371" i="86"/>
  <c r="V372" i="86"/>
  <c r="V373" i="86"/>
  <c r="V374" i="86"/>
  <c r="V375" i="86"/>
  <c r="V376" i="86"/>
  <c r="V377" i="86"/>
  <c r="U367" i="86"/>
  <c r="U368" i="86"/>
  <c r="U369" i="86"/>
  <c r="U370" i="86"/>
  <c r="U371" i="86"/>
  <c r="U372" i="86"/>
  <c r="U373" i="86"/>
  <c r="U374" i="86"/>
  <c r="U375" i="86"/>
  <c r="U376" i="86"/>
  <c r="U377" i="86"/>
  <c r="V355" i="86"/>
  <c r="V356" i="86"/>
  <c r="V357" i="86"/>
  <c r="V358" i="86"/>
  <c r="V359" i="86"/>
  <c r="V360" i="86"/>
  <c r="V361" i="86"/>
  <c r="V362" i="86"/>
  <c r="V363" i="86"/>
  <c r="V364" i="86"/>
  <c r="V365" i="86"/>
  <c r="U355" i="86"/>
  <c r="U356" i="86"/>
  <c r="U357" i="86"/>
  <c r="U358" i="86"/>
  <c r="U359" i="86"/>
  <c r="U360" i="86"/>
  <c r="U361" i="86"/>
  <c r="U362" i="86"/>
  <c r="U363" i="86"/>
  <c r="U364" i="86"/>
  <c r="U365" i="86"/>
  <c r="V343" i="86"/>
  <c r="V344" i="86"/>
  <c r="V345" i="86"/>
  <c r="V346" i="86"/>
  <c r="V347" i="86"/>
  <c r="V348" i="86"/>
  <c r="V349" i="86"/>
  <c r="V350" i="86"/>
  <c r="V351" i="86"/>
  <c r="V352" i="86"/>
  <c r="V353" i="86"/>
  <c r="U343" i="86"/>
  <c r="U344" i="86"/>
  <c r="U345" i="86"/>
  <c r="U346" i="86"/>
  <c r="U347" i="86"/>
  <c r="U348" i="86"/>
  <c r="U349" i="86"/>
  <c r="U350" i="86"/>
  <c r="U351" i="86"/>
  <c r="U352" i="86"/>
  <c r="U353" i="86"/>
  <c r="V331" i="86"/>
  <c r="V332" i="86"/>
  <c r="V333" i="86"/>
  <c r="V334" i="86"/>
  <c r="V335" i="86"/>
  <c r="V336" i="86"/>
  <c r="V337" i="86"/>
  <c r="V338" i="86"/>
  <c r="V339" i="86"/>
  <c r="V340" i="86"/>
  <c r="V341" i="86"/>
  <c r="U331" i="86"/>
  <c r="U332" i="86"/>
  <c r="U333" i="86"/>
  <c r="U334" i="86"/>
  <c r="U335" i="86"/>
  <c r="U336" i="86"/>
  <c r="U337" i="86"/>
  <c r="U338" i="86"/>
  <c r="U339" i="86"/>
  <c r="U340" i="86"/>
  <c r="U341" i="86"/>
  <c r="V329" i="86"/>
  <c r="V317" i="86"/>
  <c r="V295" i="86"/>
  <c r="V296" i="86"/>
  <c r="V297" i="86"/>
  <c r="V298" i="86"/>
  <c r="V299" i="86"/>
  <c r="V300" i="86"/>
  <c r="V301" i="86"/>
  <c r="V302" i="86"/>
  <c r="V303" i="86"/>
  <c r="V304" i="86"/>
  <c r="V305" i="86"/>
  <c r="U295" i="86"/>
  <c r="U296" i="86"/>
  <c r="U297" i="86"/>
  <c r="U298" i="86"/>
  <c r="U299" i="86"/>
  <c r="U300" i="86"/>
  <c r="U301" i="86"/>
  <c r="U302" i="86"/>
  <c r="U303" i="86"/>
  <c r="U304" i="86"/>
  <c r="U305" i="86"/>
  <c r="V283" i="86"/>
  <c r="V284" i="86"/>
  <c r="V285" i="86"/>
  <c r="V286" i="86"/>
  <c r="V287" i="86"/>
  <c r="V288" i="86"/>
  <c r="V289" i="86"/>
  <c r="V290" i="86"/>
  <c r="V291" i="86"/>
  <c r="V292" i="86"/>
  <c r="V293" i="86"/>
  <c r="U283" i="86"/>
  <c r="U284" i="86"/>
  <c r="U285" i="86"/>
  <c r="U286" i="86"/>
  <c r="U287" i="86"/>
  <c r="U288" i="86"/>
  <c r="U289" i="86"/>
  <c r="U290" i="86"/>
  <c r="U291" i="86"/>
  <c r="U292" i="86"/>
  <c r="U293" i="86"/>
  <c r="V271" i="86"/>
  <c r="V272" i="86"/>
  <c r="V273" i="86"/>
  <c r="V274" i="86"/>
  <c r="V275" i="86"/>
  <c r="V276" i="86"/>
  <c r="V277" i="86"/>
  <c r="V278" i="86"/>
  <c r="V279" i="86"/>
  <c r="V280" i="86"/>
  <c r="V281" i="86"/>
  <c r="U271" i="86"/>
  <c r="U272" i="86"/>
  <c r="U273" i="86"/>
  <c r="U274" i="86"/>
  <c r="U275" i="86"/>
  <c r="U276" i="86"/>
  <c r="U277" i="86"/>
  <c r="U278" i="86"/>
  <c r="U279" i="86"/>
  <c r="U280" i="86"/>
  <c r="U281" i="86"/>
  <c r="V259" i="86"/>
  <c r="V260" i="86"/>
  <c r="V261" i="86"/>
  <c r="V262" i="86"/>
  <c r="V263" i="86"/>
  <c r="V264" i="86"/>
  <c r="V265" i="86"/>
  <c r="V266" i="86"/>
  <c r="V267" i="86"/>
  <c r="V268" i="86"/>
  <c r="V269" i="86"/>
  <c r="U259" i="86"/>
  <c r="U260" i="86"/>
  <c r="U261" i="86"/>
  <c r="U262" i="86"/>
  <c r="U263" i="86"/>
  <c r="U264" i="86"/>
  <c r="U265" i="86"/>
  <c r="U266" i="86"/>
  <c r="U267" i="86"/>
  <c r="U268" i="86"/>
  <c r="U269" i="86"/>
  <c r="V247" i="86"/>
  <c r="V248" i="86"/>
  <c r="V249" i="86"/>
  <c r="V250" i="86"/>
  <c r="V251" i="86"/>
  <c r="V252" i="86"/>
  <c r="V253" i="86"/>
  <c r="V254" i="86"/>
  <c r="V255" i="86"/>
  <c r="V256" i="86"/>
  <c r="V257" i="86"/>
  <c r="U247" i="86"/>
  <c r="U248" i="86"/>
  <c r="U249" i="86"/>
  <c r="U250" i="86"/>
  <c r="U251" i="86"/>
  <c r="U252" i="86"/>
  <c r="U253" i="86"/>
  <c r="U254" i="86"/>
  <c r="U255" i="86"/>
  <c r="U256" i="86"/>
  <c r="U257" i="86"/>
  <c r="V235" i="86"/>
  <c r="V236" i="86"/>
  <c r="V237" i="86"/>
  <c r="V238" i="86"/>
  <c r="V239" i="86"/>
  <c r="V240" i="86"/>
  <c r="V241" i="86"/>
  <c r="V242" i="86"/>
  <c r="V243" i="86"/>
  <c r="V244" i="86"/>
  <c r="V245" i="86"/>
  <c r="U235" i="86"/>
  <c r="U236" i="86"/>
  <c r="U237" i="86"/>
  <c r="U238" i="86"/>
  <c r="U239" i="86"/>
  <c r="U240" i="86"/>
  <c r="U241" i="86"/>
  <c r="U242" i="86"/>
  <c r="U243" i="86"/>
  <c r="U244" i="86"/>
  <c r="U245" i="86"/>
  <c r="V233" i="86"/>
  <c r="V211" i="86"/>
  <c r="V212" i="86"/>
  <c r="V213" i="86"/>
  <c r="V214" i="86"/>
  <c r="V215" i="86"/>
  <c r="V216" i="86"/>
  <c r="V217" i="86"/>
  <c r="V218" i="86"/>
  <c r="V219" i="86"/>
  <c r="V220" i="86"/>
  <c r="V221" i="86"/>
  <c r="U211" i="86"/>
  <c r="U212" i="86"/>
  <c r="U213" i="86"/>
  <c r="U214" i="86"/>
  <c r="U215" i="86"/>
  <c r="U216" i="86"/>
  <c r="U217" i="86"/>
  <c r="U218" i="86"/>
  <c r="U219" i="86"/>
  <c r="U220" i="86"/>
  <c r="U221" i="86"/>
  <c r="V199" i="86"/>
  <c r="V200" i="86"/>
  <c r="V201" i="86"/>
  <c r="V202" i="86"/>
  <c r="V203" i="86"/>
  <c r="V204" i="86"/>
  <c r="V205" i="86"/>
  <c r="V206" i="86"/>
  <c r="V207" i="86"/>
  <c r="V208" i="86"/>
  <c r="V209" i="86"/>
  <c r="U199" i="86"/>
  <c r="U200" i="86"/>
  <c r="U201" i="86"/>
  <c r="U202" i="86"/>
  <c r="U203" i="86"/>
  <c r="U204" i="86"/>
  <c r="U205" i="86"/>
  <c r="U206" i="86"/>
  <c r="U207" i="86"/>
  <c r="U208" i="86"/>
  <c r="U209" i="86"/>
  <c r="V187" i="86"/>
  <c r="V188" i="86"/>
  <c r="V189" i="86"/>
  <c r="V190" i="86"/>
  <c r="V191" i="86"/>
  <c r="V192" i="86"/>
  <c r="V193" i="86"/>
  <c r="V194" i="86"/>
  <c r="V195" i="86"/>
  <c r="V196" i="86"/>
  <c r="V197" i="86"/>
  <c r="U187" i="86"/>
  <c r="U188" i="86"/>
  <c r="U189" i="86"/>
  <c r="U190" i="86"/>
  <c r="U191" i="86"/>
  <c r="U192" i="86"/>
  <c r="U193" i="86"/>
  <c r="U194" i="86"/>
  <c r="U195" i="86"/>
  <c r="U196" i="86"/>
  <c r="U197" i="86"/>
  <c r="V175" i="86"/>
  <c r="V176" i="86"/>
  <c r="V177" i="86"/>
  <c r="V178" i="86"/>
  <c r="V179" i="86"/>
  <c r="V180" i="86"/>
  <c r="V181" i="86"/>
  <c r="V182" i="86"/>
  <c r="V183" i="86"/>
  <c r="V184" i="86"/>
  <c r="V185" i="86"/>
  <c r="U175" i="86"/>
  <c r="U176" i="86"/>
  <c r="U177" i="86"/>
  <c r="U178" i="86"/>
  <c r="U179" i="86"/>
  <c r="U180" i="86"/>
  <c r="U181" i="86"/>
  <c r="U182" i="86"/>
  <c r="U183" i="86"/>
  <c r="U184" i="86"/>
  <c r="U185" i="86"/>
  <c r="V163" i="86"/>
  <c r="V164" i="86"/>
  <c r="V165" i="86"/>
  <c r="V166" i="86"/>
  <c r="V167" i="86"/>
  <c r="V168" i="86"/>
  <c r="V169" i="86"/>
  <c r="V170" i="86"/>
  <c r="V171" i="86"/>
  <c r="V172" i="86"/>
  <c r="V173" i="86"/>
  <c r="U163" i="86"/>
  <c r="U164" i="86"/>
  <c r="U165" i="86"/>
  <c r="U166" i="86"/>
  <c r="U167" i="86"/>
  <c r="U168" i="86"/>
  <c r="U169" i="86"/>
  <c r="U170" i="86"/>
  <c r="U171" i="86"/>
  <c r="U172" i="86"/>
  <c r="U173" i="86"/>
  <c r="U43" i="86"/>
  <c r="W43" i="86"/>
  <c r="AU163" i="86"/>
  <c r="AV163" i="86" s="1"/>
  <c r="X174" i="86"/>
  <c r="F19" i="130" s="1"/>
  <c r="V151" i="86"/>
  <c r="V152" i="86"/>
  <c r="V153" i="86"/>
  <c r="V154" i="86"/>
  <c r="V155" i="86"/>
  <c r="V156" i="86"/>
  <c r="V157" i="86"/>
  <c r="V158" i="86"/>
  <c r="V159" i="86"/>
  <c r="V160" i="86"/>
  <c r="V161" i="86"/>
  <c r="U151" i="86"/>
  <c r="U152" i="86"/>
  <c r="U153" i="86"/>
  <c r="U154" i="86"/>
  <c r="U155" i="86"/>
  <c r="U156" i="86"/>
  <c r="U157" i="86"/>
  <c r="U158" i="86"/>
  <c r="U159" i="86"/>
  <c r="U160" i="86"/>
  <c r="U161" i="86"/>
  <c r="V139" i="86"/>
  <c r="V140" i="86"/>
  <c r="V141" i="86"/>
  <c r="V142" i="86"/>
  <c r="V143" i="86"/>
  <c r="V144" i="86"/>
  <c r="V145" i="86"/>
  <c r="V146" i="86"/>
  <c r="V147" i="86"/>
  <c r="V148" i="86"/>
  <c r="V149" i="86"/>
  <c r="U139" i="86"/>
  <c r="U140" i="86"/>
  <c r="U141" i="86"/>
  <c r="U142" i="86"/>
  <c r="U143" i="86"/>
  <c r="U144" i="86"/>
  <c r="U145" i="86"/>
  <c r="U146" i="86"/>
  <c r="U147" i="86"/>
  <c r="U148" i="86"/>
  <c r="U149" i="86"/>
  <c r="V127" i="86"/>
  <c r="V128" i="86"/>
  <c r="V129" i="86"/>
  <c r="V130" i="86"/>
  <c r="V131" i="86"/>
  <c r="V132" i="86"/>
  <c r="V133" i="86"/>
  <c r="V134" i="86"/>
  <c r="V135" i="86"/>
  <c r="V136" i="86"/>
  <c r="V137" i="86"/>
  <c r="U127" i="86"/>
  <c r="U128" i="86"/>
  <c r="U129" i="86"/>
  <c r="U130" i="86"/>
  <c r="U131" i="86"/>
  <c r="U132" i="86"/>
  <c r="U133" i="86"/>
  <c r="U134" i="86"/>
  <c r="U135" i="86"/>
  <c r="U136" i="86"/>
  <c r="U137" i="86"/>
  <c r="V115" i="86"/>
  <c r="V116" i="86"/>
  <c r="V117" i="86"/>
  <c r="V118" i="86"/>
  <c r="V119" i="86"/>
  <c r="V120" i="86"/>
  <c r="V121" i="86"/>
  <c r="V122" i="86"/>
  <c r="V123" i="86"/>
  <c r="V124" i="86"/>
  <c r="V125" i="86"/>
  <c r="U115" i="86"/>
  <c r="U116" i="86"/>
  <c r="U117" i="86"/>
  <c r="U118" i="86"/>
  <c r="U119" i="86"/>
  <c r="U120" i="86"/>
  <c r="U121" i="86"/>
  <c r="U122" i="86"/>
  <c r="U123" i="86"/>
  <c r="U124" i="86"/>
  <c r="U125" i="86"/>
  <c r="V103" i="86"/>
  <c r="V104" i="86"/>
  <c r="V105" i="86"/>
  <c r="V106" i="86"/>
  <c r="V107" i="86"/>
  <c r="V108" i="86"/>
  <c r="V109" i="86"/>
  <c r="V110" i="86"/>
  <c r="V111" i="86"/>
  <c r="V112" i="86"/>
  <c r="V113" i="86"/>
  <c r="U103" i="86"/>
  <c r="U104" i="86"/>
  <c r="U105" i="86"/>
  <c r="U106" i="86"/>
  <c r="U107" i="86"/>
  <c r="U108" i="86"/>
  <c r="U109" i="86"/>
  <c r="U110" i="86"/>
  <c r="U111" i="86"/>
  <c r="U112" i="86"/>
  <c r="U113" i="86"/>
  <c r="V91" i="86"/>
  <c r="V92" i="86"/>
  <c r="V93" i="86"/>
  <c r="V94" i="86"/>
  <c r="V95" i="86"/>
  <c r="V96" i="86"/>
  <c r="V97" i="86"/>
  <c r="V98" i="86"/>
  <c r="V99" i="86"/>
  <c r="V100" i="86"/>
  <c r="V101" i="86"/>
  <c r="U91" i="86"/>
  <c r="U92" i="86"/>
  <c r="U93" i="86"/>
  <c r="U94" i="86"/>
  <c r="U95" i="86"/>
  <c r="U96" i="86"/>
  <c r="U97" i="86"/>
  <c r="U98" i="86"/>
  <c r="U99" i="86"/>
  <c r="U100" i="86"/>
  <c r="U101" i="86"/>
  <c r="V79" i="86"/>
  <c r="V80" i="86"/>
  <c r="V81" i="86"/>
  <c r="V82" i="86"/>
  <c r="V83" i="86"/>
  <c r="V84" i="86"/>
  <c r="V85" i="86"/>
  <c r="V86" i="86"/>
  <c r="V87" i="86"/>
  <c r="V88" i="86"/>
  <c r="V89" i="86"/>
  <c r="U79" i="86"/>
  <c r="U80" i="86"/>
  <c r="U81" i="86"/>
  <c r="U82" i="86"/>
  <c r="U83" i="86"/>
  <c r="U84" i="86"/>
  <c r="U85" i="86"/>
  <c r="U86" i="86"/>
  <c r="U87" i="86"/>
  <c r="U88" i="86"/>
  <c r="U89" i="86"/>
  <c r="V67" i="86"/>
  <c r="V68" i="86"/>
  <c r="V69" i="86"/>
  <c r="V70" i="86"/>
  <c r="V71" i="86"/>
  <c r="V72" i="86"/>
  <c r="V73" i="86"/>
  <c r="V74" i="86"/>
  <c r="V75" i="86"/>
  <c r="V76" i="86"/>
  <c r="V77" i="86"/>
  <c r="U67" i="86"/>
  <c r="U68" i="86"/>
  <c r="U69" i="86"/>
  <c r="U70" i="86"/>
  <c r="U71" i="86"/>
  <c r="U72" i="86"/>
  <c r="U73" i="86"/>
  <c r="U74" i="86"/>
  <c r="U75" i="86"/>
  <c r="U76" i="86"/>
  <c r="U77" i="86"/>
  <c r="V55" i="86"/>
  <c r="V56" i="86"/>
  <c r="V57" i="86"/>
  <c r="V58" i="86"/>
  <c r="V59" i="86"/>
  <c r="V60" i="86"/>
  <c r="V61" i="86"/>
  <c r="V62" i="86"/>
  <c r="V63" i="86"/>
  <c r="V64" i="86"/>
  <c r="V65" i="86"/>
  <c r="U55" i="86"/>
  <c r="U56" i="86"/>
  <c r="U57" i="86"/>
  <c r="U58" i="86"/>
  <c r="U59" i="86"/>
  <c r="U60" i="86"/>
  <c r="U61" i="86"/>
  <c r="U62" i="86"/>
  <c r="U63" i="86"/>
  <c r="U64" i="86"/>
  <c r="U65" i="86"/>
  <c r="V53" i="86"/>
  <c r="V31" i="86"/>
  <c r="V32" i="86"/>
  <c r="V33" i="86"/>
  <c r="V34" i="86"/>
  <c r="V35" i="86"/>
  <c r="V36" i="86"/>
  <c r="V37" i="86"/>
  <c r="V38" i="86"/>
  <c r="V39" i="86"/>
  <c r="V40" i="86"/>
  <c r="V41" i="86"/>
  <c r="U31" i="86"/>
  <c r="U32" i="86"/>
  <c r="U33" i="86"/>
  <c r="U34" i="86"/>
  <c r="U35" i="86"/>
  <c r="U36" i="86"/>
  <c r="U37" i="86"/>
  <c r="U38" i="86"/>
  <c r="U39" i="86"/>
  <c r="U40" i="86"/>
  <c r="U41" i="86"/>
  <c r="V20" i="86"/>
  <c r="V21" i="86"/>
  <c r="V22" i="86"/>
  <c r="V23" i="86"/>
  <c r="V24" i="86"/>
  <c r="V26" i="86"/>
  <c r="V27" i="86"/>
  <c r="V28" i="86"/>
  <c r="V29" i="86"/>
  <c r="U20" i="86"/>
  <c r="U21" i="86"/>
  <c r="U22" i="86"/>
  <c r="U23" i="86"/>
  <c r="U24" i="86"/>
  <c r="U26" i="86"/>
  <c r="U27" i="86"/>
  <c r="U28" i="86"/>
  <c r="U29" i="86"/>
  <c r="E48" i="131"/>
  <c r="A48" i="131"/>
  <c r="C7" i="131"/>
  <c r="C6" i="131"/>
  <c r="B45" i="130"/>
  <c r="B44" i="130"/>
  <c r="B43" i="130"/>
  <c r="B42" i="130"/>
  <c r="B41" i="130"/>
  <c r="B40" i="130"/>
  <c r="B39" i="130"/>
  <c r="B38" i="130"/>
  <c r="B37" i="130"/>
  <c r="B36" i="130"/>
  <c r="B35" i="130"/>
  <c r="B34" i="130"/>
  <c r="B33" i="130"/>
  <c r="B32" i="130"/>
  <c r="B31" i="130"/>
  <c r="B30" i="130"/>
  <c r="B29" i="130"/>
  <c r="B28" i="130"/>
  <c r="B27" i="130"/>
  <c r="B26" i="130"/>
  <c r="B25" i="130"/>
  <c r="B24" i="130"/>
  <c r="B23" i="130"/>
  <c r="B22" i="130"/>
  <c r="B21" i="130"/>
  <c r="B20" i="130"/>
  <c r="B19" i="130"/>
  <c r="B18" i="130"/>
  <c r="B17" i="130"/>
  <c r="B16" i="130"/>
  <c r="B15" i="130"/>
  <c r="B14" i="130"/>
  <c r="B13" i="130"/>
  <c r="B12" i="130"/>
  <c r="B11" i="130"/>
  <c r="B10" i="130"/>
  <c r="B9" i="130"/>
  <c r="B8" i="130"/>
  <c r="B7" i="130"/>
  <c r="B6" i="130"/>
  <c r="T103" i="134" l="1"/>
  <c r="U103" i="134" s="1"/>
  <c r="J146" i="134"/>
  <c r="H40" i="128" s="1"/>
  <c r="T31" i="134"/>
  <c r="U31" i="134" s="1"/>
  <c r="T47" i="134"/>
  <c r="U47" i="134" s="1"/>
  <c r="J142" i="134"/>
  <c r="H39" i="128" s="1"/>
  <c r="M95" i="134"/>
  <c r="M112" i="134"/>
  <c r="K97" i="134"/>
  <c r="K55" i="134"/>
  <c r="M29" i="134"/>
  <c r="M117" i="134"/>
  <c r="K85" i="134"/>
  <c r="M53" i="134"/>
  <c r="M108" i="134"/>
  <c r="L95" i="134"/>
  <c r="M67" i="134"/>
  <c r="J42" i="134"/>
  <c r="H14" i="128" s="1"/>
  <c r="J34" i="134"/>
  <c r="H12" i="128" s="1"/>
  <c r="K143" i="134"/>
  <c r="L139" i="134"/>
  <c r="L120" i="134"/>
  <c r="K112" i="134"/>
  <c r="K109" i="134"/>
  <c r="L96" i="134"/>
  <c r="M81" i="134"/>
  <c r="L57" i="134"/>
  <c r="K41" i="134"/>
  <c r="K32" i="134"/>
  <c r="M24" i="134"/>
  <c r="J122" i="134"/>
  <c r="H34" i="128" s="1"/>
  <c r="L60" i="134"/>
  <c r="J54" i="134"/>
  <c r="H17" i="128" s="1"/>
  <c r="K44" i="134"/>
  <c r="M36" i="134"/>
  <c r="L136" i="134"/>
  <c r="M80" i="134"/>
  <c r="M25" i="134"/>
  <c r="M133" i="134"/>
  <c r="T131" i="134"/>
  <c r="U131" i="134" s="1"/>
  <c r="H48" i="133"/>
  <c r="T83" i="134"/>
  <c r="U83" i="134" s="1"/>
  <c r="T139" i="134"/>
  <c r="U139" i="134" s="1"/>
  <c r="M139" i="134"/>
  <c r="T15" i="134"/>
  <c r="U15" i="134" s="1"/>
  <c r="J130" i="134"/>
  <c r="H36" i="128" s="1"/>
  <c r="J118" i="134"/>
  <c r="H33" i="128" s="1"/>
  <c r="J114" i="134"/>
  <c r="H32" i="128" s="1"/>
  <c r="L108" i="134"/>
  <c r="J134" i="134"/>
  <c r="H37" i="128" s="1"/>
  <c r="M104" i="134"/>
  <c r="L41" i="134"/>
  <c r="K60" i="134"/>
  <c r="J46" i="134"/>
  <c r="H15" i="128" s="1"/>
  <c r="K36" i="134"/>
  <c r="K88" i="134"/>
  <c r="L65" i="134"/>
  <c r="K40" i="134"/>
  <c r="T63" i="134"/>
  <c r="U63" i="134" s="1"/>
  <c r="T143" i="134"/>
  <c r="U143" i="134" s="1"/>
  <c r="T43" i="134"/>
  <c r="U43" i="134" s="1"/>
  <c r="T127" i="134"/>
  <c r="U127" i="134" s="1"/>
  <c r="T67" i="134"/>
  <c r="U67" i="134" s="1"/>
  <c r="T119" i="134"/>
  <c r="U119" i="134" s="1"/>
  <c r="T123" i="134"/>
  <c r="U123" i="134" s="1"/>
  <c r="T99" i="134"/>
  <c r="U99" i="134" s="1"/>
  <c r="T115" i="134"/>
  <c r="U115" i="134" s="1"/>
  <c r="T19" i="134"/>
  <c r="U19" i="134" s="1"/>
  <c r="T95" i="134"/>
  <c r="U95" i="134" s="1"/>
  <c r="T55" i="134"/>
  <c r="U55" i="134" s="1"/>
  <c r="T87" i="134"/>
  <c r="U87" i="134" s="1"/>
  <c r="T51" i="134"/>
  <c r="U51" i="134" s="1"/>
  <c r="T27" i="134"/>
  <c r="U27" i="134" s="1"/>
  <c r="T71" i="134"/>
  <c r="U71" i="134" s="1"/>
  <c r="T39" i="134"/>
  <c r="U39" i="134" s="1"/>
  <c r="T79" i="134"/>
  <c r="U79" i="134" s="1"/>
  <c r="U18" i="142"/>
  <c r="V23" i="142"/>
  <c r="V53" i="142"/>
  <c r="V33" i="142"/>
  <c r="H25" i="130"/>
  <c r="H27" i="130"/>
  <c r="H28" i="130"/>
  <c r="H11" i="130"/>
  <c r="M87" i="134"/>
  <c r="H21" i="130"/>
  <c r="H16" i="130"/>
  <c r="H9" i="130"/>
  <c r="H24" i="130"/>
  <c r="H13" i="130"/>
  <c r="H15" i="130"/>
  <c r="H23" i="130"/>
  <c r="C16" i="131"/>
  <c r="D16" i="131" s="1"/>
  <c r="G47" i="130"/>
  <c r="G48" i="130"/>
  <c r="E15" i="131" s="1"/>
  <c r="G49" i="130"/>
  <c r="C15" i="131"/>
  <c r="D15" i="131" s="1"/>
  <c r="M129" i="134"/>
  <c r="L88" i="134"/>
  <c r="L73" i="134"/>
  <c r="K25" i="134"/>
  <c r="J90" i="134"/>
  <c r="H26" i="128" s="1"/>
  <c r="K65" i="134"/>
  <c r="L40" i="134"/>
  <c r="J106" i="134"/>
  <c r="H30" i="128" s="1"/>
  <c r="L105" i="134"/>
  <c r="J82" i="134"/>
  <c r="H24" i="128" s="1"/>
  <c r="J74" i="134"/>
  <c r="H22" i="128" s="1"/>
  <c r="K68" i="134"/>
  <c r="J58" i="134"/>
  <c r="H18" i="128" s="1"/>
  <c r="J50" i="134"/>
  <c r="H16" i="128" s="1"/>
  <c r="K29" i="134"/>
  <c r="L144" i="134"/>
  <c r="M72" i="134"/>
  <c r="K56" i="134"/>
  <c r="M49" i="134"/>
  <c r="K133" i="134"/>
  <c r="K87" i="134"/>
  <c r="M89" i="134"/>
  <c r="L80" i="134"/>
  <c r="M56" i="134"/>
  <c r="L49" i="134"/>
  <c r="J14" i="133"/>
  <c r="I14" i="133"/>
  <c r="J35" i="133"/>
  <c r="J36" i="133" s="1"/>
  <c r="I35" i="133"/>
  <c r="J41" i="133"/>
  <c r="J42" i="133" s="1"/>
  <c r="I41" i="133"/>
  <c r="J65" i="133"/>
  <c r="I65" i="133"/>
  <c r="J89" i="133"/>
  <c r="J90" i="133" s="1"/>
  <c r="I89" i="133"/>
  <c r="J20" i="133"/>
  <c r="I20" i="133"/>
  <c r="J56" i="133"/>
  <c r="I56" i="133"/>
  <c r="I80" i="133"/>
  <c r="J80" i="133"/>
  <c r="J110" i="133"/>
  <c r="J111" i="133" s="1"/>
  <c r="I110" i="133"/>
  <c r="M16" i="133"/>
  <c r="L16" i="133"/>
  <c r="K16" i="133"/>
  <c r="K40" i="133"/>
  <c r="L40" i="133"/>
  <c r="M40" i="133"/>
  <c r="M47" i="133"/>
  <c r="L47" i="133"/>
  <c r="K47" i="133"/>
  <c r="L64" i="133"/>
  <c r="M64" i="133"/>
  <c r="K64" i="133"/>
  <c r="J66" i="133"/>
  <c r="L71" i="133"/>
  <c r="K71" i="133"/>
  <c r="M71" i="133"/>
  <c r="L88" i="133"/>
  <c r="M88" i="133"/>
  <c r="K88" i="133"/>
  <c r="L95" i="133"/>
  <c r="K95" i="133"/>
  <c r="M95" i="133"/>
  <c r="M26" i="133"/>
  <c r="L26" i="133"/>
  <c r="K26" i="133"/>
  <c r="J39" i="133"/>
  <c r="K37" i="133"/>
  <c r="M37" i="133"/>
  <c r="L37" i="133"/>
  <c r="M50" i="133"/>
  <c r="L50" i="133"/>
  <c r="K50" i="133"/>
  <c r="K62" i="133"/>
  <c r="M62" i="133"/>
  <c r="L62" i="133"/>
  <c r="M73" i="133"/>
  <c r="L73" i="133"/>
  <c r="J75" i="133"/>
  <c r="K73" i="133"/>
  <c r="K86" i="133"/>
  <c r="M86" i="133"/>
  <c r="L86" i="133"/>
  <c r="M97" i="133"/>
  <c r="L97" i="133"/>
  <c r="J99" i="133"/>
  <c r="K97" i="133"/>
  <c r="M104" i="133"/>
  <c r="L104" i="133"/>
  <c r="K104" i="133"/>
  <c r="L109" i="133"/>
  <c r="M109" i="133"/>
  <c r="K109" i="133"/>
  <c r="M10" i="133"/>
  <c r="L10" i="133"/>
  <c r="K10" i="133"/>
  <c r="M13" i="133"/>
  <c r="L13" i="133"/>
  <c r="K13" i="133"/>
  <c r="K34" i="133"/>
  <c r="L34" i="133"/>
  <c r="M34" i="133"/>
  <c r="L58" i="133"/>
  <c r="M58" i="133"/>
  <c r="K58" i="133"/>
  <c r="J60" i="133"/>
  <c r="L82" i="133"/>
  <c r="M82" i="133"/>
  <c r="K82" i="133"/>
  <c r="J84" i="133"/>
  <c r="M106" i="133"/>
  <c r="L106" i="133"/>
  <c r="K106" i="133"/>
  <c r="M19" i="133"/>
  <c r="L19" i="133"/>
  <c r="K19" i="133"/>
  <c r="M67" i="133"/>
  <c r="L67" i="133"/>
  <c r="K67" i="133"/>
  <c r="K79" i="133"/>
  <c r="M79" i="133"/>
  <c r="L79" i="133"/>
  <c r="M91" i="133"/>
  <c r="L91" i="133"/>
  <c r="K91" i="133"/>
  <c r="K103" i="133"/>
  <c r="M103" i="133"/>
  <c r="L103" i="133"/>
  <c r="J29" i="133"/>
  <c r="I29" i="133"/>
  <c r="J23" i="133"/>
  <c r="J24" i="133" s="1"/>
  <c r="I23" i="133"/>
  <c r="J53" i="133"/>
  <c r="J54" i="133" s="1"/>
  <c r="I53" i="133"/>
  <c r="J77" i="133"/>
  <c r="J78" i="133" s="1"/>
  <c r="I77" i="133"/>
  <c r="I107" i="133"/>
  <c r="J107" i="133"/>
  <c r="J44" i="133"/>
  <c r="I44" i="133"/>
  <c r="I68" i="133"/>
  <c r="J68" i="133"/>
  <c r="I92" i="133"/>
  <c r="J92" i="133"/>
  <c r="J30" i="133"/>
  <c r="K28" i="133"/>
  <c r="L28" i="133"/>
  <c r="M28" i="133"/>
  <c r="H42" i="133"/>
  <c r="K52" i="133"/>
  <c r="L52" i="133"/>
  <c r="M52" i="133"/>
  <c r="L59" i="133"/>
  <c r="K59" i="133"/>
  <c r="M59" i="133"/>
  <c r="H66" i="133"/>
  <c r="L76" i="133"/>
  <c r="M76" i="133"/>
  <c r="K76" i="133"/>
  <c r="L83" i="133"/>
  <c r="K83" i="133"/>
  <c r="M83" i="133"/>
  <c r="H90" i="133"/>
  <c r="L100" i="133"/>
  <c r="M100" i="133"/>
  <c r="J102" i="133"/>
  <c r="K100" i="133"/>
  <c r="M101" i="133"/>
  <c r="L101" i="133"/>
  <c r="K101" i="133"/>
  <c r="K31" i="133"/>
  <c r="M31" i="133"/>
  <c r="L31" i="133"/>
  <c r="K38" i="133"/>
  <c r="M38" i="133"/>
  <c r="L38" i="133"/>
  <c r="M49" i="133"/>
  <c r="L49" i="133"/>
  <c r="J51" i="133"/>
  <c r="K49" i="133"/>
  <c r="J63" i="133"/>
  <c r="K61" i="133"/>
  <c r="M61" i="133"/>
  <c r="L61" i="133"/>
  <c r="M74" i="133"/>
  <c r="L74" i="133"/>
  <c r="K74" i="133"/>
  <c r="J87" i="133"/>
  <c r="K85" i="133"/>
  <c r="M85" i="133"/>
  <c r="L85" i="133"/>
  <c r="M98" i="133"/>
  <c r="L98" i="133"/>
  <c r="K98" i="133"/>
  <c r="H111" i="133"/>
  <c r="K22" i="133"/>
  <c r="L22" i="133"/>
  <c r="M22" i="133"/>
  <c r="H36" i="133"/>
  <c r="J48" i="133"/>
  <c r="K46" i="133"/>
  <c r="L46" i="133"/>
  <c r="M46" i="133"/>
  <c r="L70" i="133"/>
  <c r="M70" i="133"/>
  <c r="J72" i="133"/>
  <c r="K70" i="133"/>
  <c r="L94" i="133"/>
  <c r="M94" i="133"/>
  <c r="J96" i="133"/>
  <c r="K94" i="133"/>
  <c r="M25" i="133"/>
  <c r="L25" i="133"/>
  <c r="J27" i="133"/>
  <c r="K25" i="133"/>
  <c r="M32" i="133"/>
  <c r="L32" i="133"/>
  <c r="K32" i="133"/>
  <c r="M43" i="133"/>
  <c r="L43" i="133"/>
  <c r="K43" i="133"/>
  <c r="K55" i="133"/>
  <c r="M55" i="133"/>
  <c r="L55" i="133"/>
  <c r="K17" i="133"/>
  <c r="M17" i="133"/>
  <c r="L17" i="133"/>
  <c r="K11" i="133"/>
  <c r="M11" i="133"/>
  <c r="L11" i="133"/>
  <c r="L102" i="134"/>
  <c r="M102" i="134"/>
  <c r="K102" i="134"/>
  <c r="L98" i="134"/>
  <c r="M98" i="134"/>
  <c r="K98" i="134"/>
  <c r="M86" i="134"/>
  <c r="K86" i="134"/>
  <c r="L86" i="134"/>
  <c r="L42" i="134"/>
  <c r="M42" i="134"/>
  <c r="K42" i="134"/>
  <c r="M34" i="134"/>
  <c r="K34" i="134"/>
  <c r="K30" i="134"/>
  <c r="L30" i="134"/>
  <c r="M30" i="134"/>
  <c r="K122" i="134"/>
  <c r="M122" i="134"/>
  <c r="M38" i="134"/>
  <c r="K38" i="134"/>
  <c r="L38" i="134"/>
  <c r="L126" i="134"/>
  <c r="K126" i="134"/>
  <c r="M126" i="134"/>
  <c r="L94" i="134"/>
  <c r="M94" i="134"/>
  <c r="K94" i="134"/>
  <c r="M90" i="134"/>
  <c r="K90" i="134"/>
  <c r="L90" i="134"/>
  <c r="L130" i="134"/>
  <c r="M130" i="134"/>
  <c r="K130" i="134"/>
  <c r="L118" i="134"/>
  <c r="M118" i="134"/>
  <c r="M114" i="134"/>
  <c r="K114" i="134"/>
  <c r="L114" i="134"/>
  <c r="M70" i="134"/>
  <c r="K70" i="134"/>
  <c r="L70" i="134"/>
  <c r="L66" i="134"/>
  <c r="M66" i="134"/>
  <c r="K66" i="134"/>
  <c r="L62" i="134"/>
  <c r="M62" i="134"/>
  <c r="K62" i="134"/>
  <c r="L26" i="134"/>
  <c r="M26" i="134"/>
  <c r="K26" i="134"/>
  <c r="L146" i="134"/>
  <c r="M146" i="134"/>
  <c r="K146" i="134"/>
  <c r="L142" i="134"/>
  <c r="M142" i="134"/>
  <c r="K142" i="134"/>
  <c r="M138" i="134"/>
  <c r="K138" i="134"/>
  <c r="L138" i="134"/>
  <c r="K134" i="134"/>
  <c r="L134" i="134"/>
  <c r="M134" i="134"/>
  <c r="K110" i="134"/>
  <c r="M110" i="134"/>
  <c r="L110" i="134"/>
  <c r="K106" i="134"/>
  <c r="M106" i="134"/>
  <c r="L106" i="134"/>
  <c r="L82" i="134"/>
  <c r="L78" i="134"/>
  <c r="M78" i="134"/>
  <c r="K78" i="134"/>
  <c r="L74" i="134"/>
  <c r="M74" i="134"/>
  <c r="K74" i="134"/>
  <c r="K58" i="134"/>
  <c r="L58" i="134"/>
  <c r="M58" i="134"/>
  <c r="K54" i="134"/>
  <c r="L54" i="134"/>
  <c r="M54" i="134"/>
  <c r="L50" i="134"/>
  <c r="K46" i="134"/>
  <c r="L46" i="134"/>
  <c r="M46" i="134"/>
  <c r="M12" i="134"/>
  <c r="L12" i="134"/>
  <c r="K12" i="134"/>
  <c r="M19" i="134"/>
  <c r="L19" i="134"/>
  <c r="K19" i="134"/>
  <c r="J22" i="134"/>
  <c r="H9" i="128" s="1"/>
  <c r="K17" i="134"/>
  <c r="L17" i="134"/>
  <c r="M17" i="134"/>
  <c r="M16" i="134"/>
  <c r="L16" i="134"/>
  <c r="K16" i="134"/>
  <c r="K21" i="134"/>
  <c r="M21" i="134"/>
  <c r="L21" i="134"/>
  <c r="L11" i="134"/>
  <c r="K11" i="134"/>
  <c r="M11" i="134"/>
  <c r="J14" i="134"/>
  <c r="H7" i="128" s="1"/>
  <c r="K13" i="134"/>
  <c r="L13" i="134"/>
  <c r="M13" i="134"/>
  <c r="K20" i="134"/>
  <c r="M20" i="134"/>
  <c r="L20" i="134"/>
  <c r="L15" i="134"/>
  <c r="K15" i="134"/>
  <c r="M15" i="134"/>
  <c r="J18" i="134"/>
  <c r="H8" i="128" s="1"/>
  <c r="V123" i="142"/>
  <c r="U123" i="142"/>
  <c r="U118" i="142"/>
  <c r="V118" i="142"/>
  <c r="U113" i="142"/>
  <c r="V113" i="142"/>
  <c r="V174" i="86"/>
  <c r="U174" i="86"/>
  <c r="C8" i="131"/>
  <c r="C24" i="131" s="1"/>
  <c r="M82" i="134" l="1"/>
  <c r="K118" i="134"/>
  <c r="L122" i="134"/>
  <c r="L34" i="134"/>
  <c r="M50" i="134"/>
  <c r="K50" i="134"/>
  <c r="K82" i="134"/>
  <c r="G35" i="128"/>
  <c r="R94" i="133"/>
  <c r="S94" i="133" s="1"/>
  <c r="G24" i="128"/>
  <c r="R61" i="133"/>
  <c r="S61" i="133" s="1"/>
  <c r="G20" i="128"/>
  <c r="R49" i="133"/>
  <c r="S49" i="133" s="1"/>
  <c r="G13" i="128"/>
  <c r="R28" i="133"/>
  <c r="G29" i="128"/>
  <c r="R76" i="133"/>
  <c r="S76" i="133" s="1"/>
  <c r="G21" i="128"/>
  <c r="R52" i="133"/>
  <c r="G11" i="128"/>
  <c r="R22" i="133"/>
  <c r="S22" i="133" s="1"/>
  <c r="G28" i="128"/>
  <c r="R73" i="133"/>
  <c r="S73" i="133" s="1"/>
  <c r="G16" i="128"/>
  <c r="R37" i="133"/>
  <c r="S37" i="133" s="1"/>
  <c r="G12" i="128"/>
  <c r="R25" i="133"/>
  <c r="S25" i="133" s="1"/>
  <c r="G27" i="128"/>
  <c r="R70" i="133"/>
  <c r="S70" i="133" s="1"/>
  <c r="G19" i="128"/>
  <c r="R46" i="133"/>
  <c r="S46" i="133" s="1"/>
  <c r="G32" i="128"/>
  <c r="R85" i="133"/>
  <c r="S85" i="133" s="1"/>
  <c r="G37" i="128"/>
  <c r="R100" i="133"/>
  <c r="S100" i="133" s="1"/>
  <c r="G31" i="128"/>
  <c r="R82" i="133"/>
  <c r="S82" i="133" s="1"/>
  <c r="G23" i="128"/>
  <c r="R58" i="133"/>
  <c r="S58" i="133" s="1"/>
  <c r="G36" i="128"/>
  <c r="R97" i="133"/>
  <c r="S97" i="133" s="1"/>
  <c r="G25" i="128"/>
  <c r="R64" i="133"/>
  <c r="G40" i="128"/>
  <c r="R109" i="133"/>
  <c r="S109" i="133" s="1"/>
  <c r="G33" i="128"/>
  <c r="R88" i="133"/>
  <c r="G17" i="128"/>
  <c r="R40" i="133"/>
  <c r="S40" i="133" s="1"/>
  <c r="G15" i="128"/>
  <c r="R34" i="133"/>
  <c r="H49" i="130"/>
  <c r="H48" i="130"/>
  <c r="E16" i="131" s="1"/>
  <c r="F16" i="131" s="1"/>
  <c r="H47" i="130"/>
  <c r="S88" i="133"/>
  <c r="S64" i="133"/>
  <c r="S52" i="133"/>
  <c r="S28" i="133"/>
  <c r="S34" i="133"/>
  <c r="F15" i="131"/>
  <c r="M78" i="133"/>
  <c r="L78" i="133"/>
  <c r="K78" i="133"/>
  <c r="M54" i="133"/>
  <c r="L54" i="133"/>
  <c r="K54" i="133"/>
  <c r="K42" i="133"/>
  <c r="M42" i="133"/>
  <c r="L42" i="133"/>
  <c r="K24" i="133"/>
  <c r="M24" i="133"/>
  <c r="L24" i="133"/>
  <c r="M87" i="133"/>
  <c r="L87" i="133"/>
  <c r="K87" i="133"/>
  <c r="M102" i="133"/>
  <c r="L102" i="133"/>
  <c r="K102" i="133"/>
  <c r="K92" i="133"/>
  <c r="M92" i="133"/>
  <c r="L92" i="133"/>
  <c r="K68" i="133"/>
  <c r="M68" i="133"/>
  <c r="L68" i="133"/>
  <c r="M107" i="133"/>
  <c r="L107" i="133"/>
  <c r="K107" i="133"/>
  <c r="J108" i="133"/>
  <c r="M36" i="133"/>
  <c r="L36" i="133"/>
  <c r="K36" i="133"/>
  <c r="K111" i="133"/>
  <c r="M111" i="133"/>
  <c r="L111" i="133"/>
  <c r="L75" i="133"/>
  <c r="K75" i="133"/>
  <c r="M75" i="133"/>
  <c r="M39" i="133"/>
  <c r="L39" i="133"/>
  <c r="K39" i="133"/>
  <c r="K66" i="133"/>
  <c r="M66" i="133"/>
  <c r="L66" i="133"/>
  <c r="M80" i="133"/>
  <c r="L80" i="133"/>
  <c r="K80" i="133"/>
  <c r="L27" i="133"/>
  <c r="K27" i="133"/>
  <c r="M27" i="133"/>
  <c r="K96" i="133"/>
  <c r="M96" i="133"/>
  <c r="L96" i="133"/>
  <c r="K72" i="133"/>
  <c r="M72" i="133"/>
  <c r="L72" i="133"/>
  <c r="K48" i="133"/>
  <c r="M48" i="133"/>
  <c r="L48" i="133"/>
  <c r="M63" i="133"/>
  <c r="L63" i="133"/>
  <c r="K63" i="133"/>
  <c r="L51" i="133"/>
  <c r="K51" i="133"/>
  <c r="M51" i="133"/>
  <c r="M30" i="133"/>
  <c r="L30" i="133"/>
  <c r="K30" i="133"/>
  <c r="K44" i="133"/>
  <c r="M44" i="133"/>
  <c r="L44" i="133"/>
  <c r="M77" i="133"/>
  <c r="L77" i="133"/>
  <c r="K77" i="133"/>
  <c r="L53" i="133"/>
  <c r="K53" i="133"/>
  <c r="M53" i="133"/>
  <c r="M23" i="133"/>
  <c r="L23" i="133"/>
  <c r="K23" i="133"/>
  <c r="L29" i="133"/>
  <c r="K29" i="133"/>
  <c r="M29" i="133"/>
  <c r="M84" i="133"/>
  <c r="L84" i="133"/>
  <c r="K84" i="133"/>
  <c r="M60" i="133"/>
  <c r="L60" i="133"/>
  <c r="K60" i="133"/>
  <c r="L99" i="133"/>
  <c r="K99" i="133"/>
  <c r="M99" i="133"/>
  <c r="K90" i="133"/>
  <c r="M90" i="133"/>
  <c r="L90" i="133"/>
  <c r="L110" i="133"/>
  <c r="K110" i="133"/>
  <c r="M110" i="133"/>
  <c r="M56" i="133"/>
  <c r="L56" i="133"/>
  <c r="K56" i="133"/>
  <c r="K20" i="133"/>
  <c r="M20" i="133"/>
  <c r="L20" i="133"/>
  <c r="M89" i="133"/>
  <c r="K89" i="133"/>
  <c r="L89" i="133"/>
  <c r="M65" i="133"/>
  <c r="K65" i="133"/>
  <c r="L65" i="133"/>
  <c r="L41" i="133"/>
  <c r="K41" i="133"/>
  <c r="M41" i="133"/>
  <c r="M35" i="133"/>
  <c r="L35" i="133"/>
  <c r="K35" i="133"/>
  <c r="K14" i="133"/>
  <c r="M14" i="133"/>
  <c r="L14" i="133"/>
  <c r="K18" i="134"/>
  <c r="L18" i="134"/>
  <c r="M18" i="134"/>
  <c r="M14" i="134"/>
  <c r="K14" i="134"/>
  <c r="L14" i="134"/>
  <c r="M22" i="134"/>
  <c r="K22" i="134"/>
  <c r="L22" i="134"/>
  <c r="A48" i="129"/>
  <c r="E48" i="129"/>
  <c r="C215" i="84"/>
  <c r="B37" i="128"/>
  <c r="B38" i="128"/>
  <c r="B39" i="128"/>
  <c r="B40" i="128"/>
  <c r="B41" i="128"/>
  <c r="B42" i="128"/>
  <c r="B43" i="128"/>
  <c r="B44" i="128"/>
  <c r="B45" i="128"/>
  <c r="C7" i="129"/>
  <c r="C6" i="129"/>
  <c r="G39" i="128" l="1"/>
  <c r="R106" i="133"/>
  <c r="S106" i="133" s="1"/>
  <c r="M108" i="133"/>
  <c r="L108" i="133"/>
  <c r="K108" i="133"/>
  <c r="C8" i="129"/>
  <c r="C24" i="129" s="1"/>
  <c r="B31" i="128" l="1"/>
  <c r="B32" i="128"/>
  <c r="B33" i="128"/>
  <c r="B34" i="128"/>
  <c r="B35" i="128"/>
  <c r="B3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6" i="128"/>
  <c r="M81" i="112" l="1"/>
  <c r="N81" i="112"/>
  <c r="O81" i="112"/>
  <c r="P81" i="112"/>
  <c r="M82" i="112"/>
  <c r="N82" i="112"/>
  <c r="O82" i="112"/>
  <c r="P82" i="112"/>
  <c r="M83" i="112"/>
  <c r="N83" i="112"/>
  <c r="O83" i="112"/>
  <c r="P83" i="112"/>
  <c r="M84" i="112"/>
  <c r="N84" i="112"/>
  <c r="O84" i="112"/>
  <c r="P84" i="112"/>
  <c r="M85" i="112"/>
  <c r="N85" i="112"/>
  <c r="O85" i="112"/>
  <c r="P85" i="112"/>
  <c r="M86" i="112"/>
  <c r="N86" i="112"/>
  <c r="O86" i="112"/>
  <c r="P86" i="112"/>
  <c r="M87" i="112"/>
  <c r="N87" i="112"/>
  <c r="O87" i="112"/>
  <c r="P87" i="112"/>
  <c r="M88" i="112"/>
  <c r="N88" i="112"/>
  <c r="O88" i="112"/>
  <c r="P88" i="112"/>
  <c r="M89" i="112"/>
  <c r="N89" i="112"/>
  <c r="O89" i="112"/>
  <c r="P89" i="112"/>
  <c r="M90" i="112"/>
  <c r="N90" i="112"/>
  <c r="O90" i="112"/>
  <c r="P90" i="112"/>
  <c r="L90" i="112"/>
  <c r="L89" i="112"/>
  <c r="L88" i="112"/>
  <c r="L87" i="112"/>
  <c r="L86" i="112"/>
  <c r="L85" i="112"/>
  <c r="L84" i="112"/>
  <c r="L83" i="112"/>
  <c r="L82" i="112"/>
  <c r="L81" i="112"/>
  <c r="M70" i="112"/>
  <c r="N70" i="112"/>
  <c r="O70" i="112"/>
  <c r="P70" i="112"/>
  <c r="M71" i="112"/>
  <c r="N71" i="112"/>
  <c r="O71" i="112"/>
  <c r="P71" i="112"/>
  <c r="M72" i="112"/>
  <c r="N72" i="112"/>
  <c r="O72" i="112"/>
  <c r="P72" i="112"/>
  <c r="M73" i="112"/>
  <c r="N73" i="112"/>
  <c r="O73" i="112"/>
  <c r="P73" i="112"/>
  <c r="M74" i="112"/>
  <c r="N74" i="112"/>
  <c r="O74" i="112"/>
  <c r="P74" i="112"/>
  <c r="M75" i="112"/>
  <c r="N75" i="112"/>
  <c r="O75" i="112"/>
  <c r="P75" i="112"/>
  <c r="M76" i="112"/>
  <c r="N76" i="112"/>
  <c r="O76" i="112"/>
  <c r="P76" i="112"/>
  <c r="M77" i="112"/>
  <c r="N77" i="112"/>
  <c r="O77" i="112"/>
  <c r="P77" i="112"/>
  <c r="M78" i="112"/>
  <c r="N78" i="112"/>
  <c r="O78" i="112"/>
  <c r="P78" i="112"/>
  <c r="M79" i="112"/>
  <c r="N79" i="112"/>
  <c r="O79" i="112"/>
  <c r="P79" i="112"/>
  <c r="M80" i="112"/>
  <c r="N80" i="112"/>
  <c r="O80" i="112"/>
  <c r="P80" i="112"/>
  <c r="L80" i="112"/>
  <c r="L79" i="112"/>
  <c r="L78" i="112"/>
  <c r="L77" i="112"/>
  <c r="L76" i="112"/>
  <c r="L75" i="112"/>
  <c r="L74" i="112"/>
  <c r="L73" i="112"/>
  <c r="L72" i="112"/>
  <c r="L71" i="112"/>
  <c r="L70" i="112"/>
  <c r="M52" i="112"/>
  <c r="N52" i="112"/>
  <c r="O52" i="112"/>
  <c r="P52" i="112"/>
  <c r="L52" i="112"/>
  <c r="M51" i="112"/>
  <c r="N51" i="112"/>
  <c r="O51" i="112"/>
  <c r="P51" i="112"/>
  <c r="M53" i="112"/>
  <c r="N53" i="112"/>
  <c r="O53" i="112"/>
  <c r="P53" i="112"/>
  <c r="M54" i="112"/>
  <c r="N54" i="112"/>
  <c r="O54" i="112"/>
  <c r="P54" i="112"/>
  <c r="M55" i="112"/>
  <c r="N55" i="112"/>
  <c r="O55" i="112"/>
  <c r="P55" i="112"/>
  <c r="M56" i="112"/>
  <c r="N56" i="112"/>
  <c r="O56" i="112"/>
  <c r="P56" i="112"/>
  <c r="M57" i="112"/>
  <c r="N57" i="112"/>
  <c r="O57" i="112"/>
  <c r="P57" i="112"/>
  <c r="M58" i="112"/>
  <c r="N58" i="112"/>
  <c r="O58" i="112"/>
  <c r="P58" i="112"/>
  <c r="M59" i="112"/>
  <c r="N59" i="112"/>
  <c r="O59" i="112"/>
  <c r="P59" i="112"/>
  <c r="M60" i="112"/>
  <c r="N60" i="112"/>
  <c r="O60" i="112"/>
  <c r="P60" i="112"/>
  <c r="M61" i="112"/>
  <c r="N61" i="112"/>
  <c r="O61" i="112"/>
  <c r="P61" i="112"/>
  <c r="M62" i="112"/>
  <c r="N62" i="112"/>
  <c r="O62" i="112"/>
  <c r="P62" i="112"/>
  <c r="M63" i="112"/>
  <c r="N63" i="112"/>
  <c r="O63" i="112"/>
  <c r="P63" i="112"/>
  <c r="M64" i="112"/>
  <c r="N64" i="112"/>
  <c r="O64" i="112"/>
  <c r="P64" i="112"/>
  <c r="M65" i="112"/>
  <c r="N65" i="112"/>
  <c r="O65" i="112"/>
  <c r="P65" i="112"/>
  <c r="M66" i="112"/>
  <c r="N66" i="112"/>
  <c r="O66" i="112"/>
  <c r="P66" i="112"/>
  <c r="M67" i="112"/>
  <c r="N67" i="112"/>
  <c r="O67" i="112"/>
  <c r="P67" i="112"/>
  <c r="M68" i="112"/>
  <c r="N68" i="112"/>
  <c r="O68" i="112"/>
  <c r="P68" i="112"/>
  <c r="M69" i="112"/>
  <c r="N69" i="112"/>
  <c r="O69" i="112"/>
  <c r="P69" i="112"/>
  <c r="L69" i="112"/>
  <c r="L68" i="112"/>
  <c r="L67" i="112"/>
  <c r="L66" i="112"/>
  <c r="L65" i="112"/>
  <c r="L64" i="112"/>
  <c r="L63" i="112"/>
  <c r="L62" i="112"/>
  <c r="L61" i="112"/>
  <c r="L60" i="112"/>
  <c r="L59" i="112"/>
  <c r="L58" i="112"/>
  <c r="L57" i="112"/>
  <c r="L56" i="112"/>
  <c r="L55" i="112"/>
  <c r="L54" i="112"/>
  <c r="L53" i="112"/>
  <c r="M35" i="112"/>
  <c r="N35" i="112"/>
  <c r="O35" i="112"/>
  <c r="P35" i="112"/>
  <c r="M36" i="112"/>
  <c r="N36" i="112"/>
  <c r="O36" i="112"/>
  <c r="P36" i="112"/>
  <c r="M37" i="112"/>
  <c r="N37" i="112"/>
  <c r="O37" i="112"/>
  <c r="P37" i="112"/>
  <c r="M38" i="112"/>
  <c r="N38" i="112"/>
  <c r="O38" i="112"/>
  <c r="P38" i="112"/>
  <c r="M39" i="112"/>
  <c r="N39" i="112"/>
  <c r="O39" i="112"/>
  <c r="P39" i="112"/>
  <c r="M40" i="112"/>
  <c r="N40" i="112"/>
  <c r="O40" i="112"/>
  <c r="P40" i="112"/>
  <c r="M41" i="112"/>
  <c r="N41" i="112"/>
  <c r="O41" i="112"/>
  <c r="P41" i="112"/>
  <c r="M42" i="112"/>
  <c r="N42" i="112"/>
  <c r="O42" i="112"/>
  <c r="P42" i="112"/>
  <c r="M43" i="112"/>
  <c r="N43" i="112"/>
  <c r="O43" i="112"/>
  <c r="P43" i="112"/>
  <c r="L43" i="112"/>
  <c r="L42" i="112"/>
  <c r="L41" i="112"/>
  <c r="L40" i="112"/>
  <c r="L39" i="112"/>
  <c r="L38" i="112"/>
  <c r="L37" i="112"/>
  <c r="L36" i="112"/>
  <c r="L35" i="112"/>
  <c r="M24" i="112"/>
  <c r="N24" i="112"/>
  <c r="O24" i="112"/>
  <c r="P24" i="112"/>
  <c r="M25" i="112"/>
  <c r="N25" i="112"/>
  <c r="O25" i="112"/>
  <c r="P25" i="112"/>
  <c r="M26" i="112"/>
  <c r="N26" i="112"/>
  <c r="O26" i="112"/>
  <c r="P26" i="112"/>
  <c r="M27" i="112"/>
  <c r="N27" i="112"/>
  <c r="O27" i="112"/>
  <c r="P27" i="112"/>
  <c r="M28" i="112"/>
  <c r="N28" i="112"/>
  <c r="O28" i="112"/>
  <c r="P28" i="112"/>
  <c r="M29" i="112"/>
  <c r="N29" i="112"/>
  <c r="O29" i="112"/>
  <c r="P29" i="112"/>
  <c r="M30" i="112"/>
  <c r="N30" i="112"/>
  <c r="O30" i="112"/>
  <c r="P30" i="112"/>
  <c r="M31" i="112"/>
  <c r="N31" i="112"/>
  <c r="O31" i="112"/>
  <c r="P31" i="112"/>
  <c r="M32" i="112"/>
  <c r="N32" i="112"/>
  <c r="O32" i="112"/>
  <c r="P32" i="112"/>
  <c r="M33" i="112"/>
  <c r="N33" i="112"/>
  <c r="O33" i="112"/>
  <c r="P33" i="112"/>
  <c r="M34" i="112"/>
  <c r="N34" i="112"/>
  <c r="O34" i="112"/>
  <c r="P34" i="112"/>
  <c r="L34" i="112"/>
  <c r="L33" i="112"/>
  <c r="L32" i="112"/>
  <c r="L31" i="112"/>
  <c r="L30" i="112"/>
  <c r="L29" i="112"/>
  <c r="L28" i="112"/>
  <c r="L27" i="112"/>
  <c r="L26" i="112"/>
  <c r="L25" i="112"/>
  <c r="L24" i="112"/>
  <c r="M5" i="112"/>
  <c r="N5" i="112"/>
  <c r="O5" i="112"/>
  <c r="P5" i="112"/>
  <c r="M6" i="112"/>
  <c r="N6" i="112"/>
  <c r="O6" i="112"/>
  <c r="P6" i="112"/>
  <c r="M7" i="112"/>
  <c r="N7" i="112"/>
  <c r="O7" i="112"/>
  <c r="P7" i="112"/>
  <c r="M8" i="112"/>
  <c r="N8" i="112"/>
  <c r="O8" i="112"/>
  <c r="P8" i="112"/>
  <c r="M9" i="112"/>
  <c r="N9" i="112"/>
  <c r="O9" i="112"/>
  <c r="P9" i="112"/>
  <c r="M10" i="112"/>
  <c r="N10" i="112"/>
  <c r="O10" i="112"/>
  <c r="P10" i="112"/>
  <c r="M11" i="112"/>
  <c r="N11" i="112"/>
  <c r="O11" i="112"/>
  <c r="P11" i="112"/>
  <c r="M12" i="112"/>
  <c r="N12" i="112"/>
  <c r="O12" i="112"/>
  <c r="P12" i="112"/>
  <c r="M13" i="112"/>
  <c r="N13" i="112"/>
  <c r="O13" i="112"/>
  <c r="P13" i="112"/>
  <c r="M14" i="112"/>
  <c r="N14" i="112"/>
  <c r="O14" i="112"/>
  <c r="P14" i="112"/>
  <c r="M15" i="112"/>
  <c r="N15" i="112"/>
  <c r="O15" i="112"/>
  <c r="P15" i="112"/>
  <c r="M16" i="112"/>
  <c r="N16" i="112"/>
  <c r="O16" i="112"/>
  <c r="P16" i="112"/>
  <c r="M17" i="112"/>
  <c r="N17" i="112"/>
  <c r="O17" i="112"/>
  <c r="P17" i="112"/>
  <c r="M18" i="112"/>
  <c r="N18" i="112"/>
  <c r="O18" i="112"/>
  <c r="P18" i="112"/>
  <c r="M19" i="112"/>
  <c r="N19" i="112"/>
  <c r="O19" i="112"/>
  <c r="P19" i="112"/>
  <c r="M20" i="112"/>
  <c r="N20" i="112"/>
  <c r="O20" i="112"/>
  <c r="P20" i="112"/>
  <c r="M21" i="112"/>
  <c r="N21" i="112"/>
  <c r="O21" i="112"/>
  <c r="P21" i="112"/>
  <c r="M22" i="112"/>
  <c r="N22" i="112"/>
  <c r="O22" i="112"/>
  <c r="P22" i="112"/>
  <c r="M23" i="112"/>
  <c r="N23" i="112"/>
  <c r="O23" i="112"/>
  <c r="P23" i="112"/>
  <c r="L23" i="112"/>
  <c r="L22" i="112"/>
  <c r="L21" i="112"/>
  <c r="L20" i="112"/>
  <c r="L19" i="112"/>
  <c r="L18" i="112"/>
  <c r="L17" i="112"/>
  <c r="L16" i="112"/>
  <c r="L15" i="112"/>
  <c r="L14" i="112"/>
  <c r="L13" i="112"/>
  <c r="L12" i="112"/>
  <c r="L11" i="112"/>
  <c r="L10" i="112"/>
  <c r="L9" i="112"/>
  <c r="L8" i="112"/>
  <c r="L7" i="112"/>
  <c r="L6" i="112"/>
  <c r="L5" i="112"/>
  <c r="M4" i="112"/>
  <c r="N4" i="112"/>
  <c r="O4" i="112"/>
  <c r="P4" i="112"/>
  <c r="Q55" i="112" l="1"/>
  <c r="Q59" i="112"/>
  <c r="Q63" i="112"/>
  <c r="Q70" i="112"/>
  <c r="Q74" i="112"/>
  <c r="Q78" i="112"/>
  <c r="Q82" i="112"/>
  <c r="Q86" i="112"/>
  <c r="Q90" i="112"/>
  <c r="Q36" i="112"/>
  <c r="Q53" i="112"/>
  <c r="Q57" i="112"/>
  <c r="Q61" i="112"/>
  <c r="Q65" i="112"/>
  <c r="Q72" i="112"/>
  <c r="Q76" i="112"/>
  <c r="Q80" i="112"/>
  <c r="Q84" i="112"/>
  <c r="Q88" i="112"/>
  <c r="Q52" i="112"/>
  <c r="Q35" i="112"/>
  <c r="U35" i="112" s="1"/>
  <c r="Q37" i="112"/>
  <c r="U37" i="112" s="1"/>
  <c r="Q39" i="112"/>
  <c r="Q41" i="112"/>
  <c r="U41" i="112" s="1"/>
  <c r="Q43" i="112"/>
  <c r="U43" i="112" s="1"/>
  <c r="Q54" i="112"/>
  <c r="Q56" i="112"/>
  <c r="Q58" i="112"/>
  <c r="Q60" i="112"/>
  <c r="Q62" i="112"/>
  <c r="Q64" i="112"/>
  <c r="Q66" i="112"/>
  <c r="Q68" i="112"/>
  <c r="Q71" i="112"/>
  <c r="Q73" i="112"/>
  <c r="Q75" i="112"/>
  <c r="Q77" i="112"/>
  <c r="Q79" i="112"/>
  <c r="Q81" i="112"/>
  <c r="Q83" i="112"/>
  <c r="Q85" i="112"/>
  <c r="Q87" i="112"/>
  <c r="Q89" i="112"/>
  <c r="Q24" i="112"/>
  <c r="Q13" i="112"/>
  <c r="U13" i="112" s="1"/>
  <c r="Q15" i="112"/>
  <c r="U15" i="112" s="1"/>
  <c r="Q17" i="112"/>
  <c r="U17" i="112" s="1"/>
  <c r="Q19" i="112"/>
  <c r="U19" i="112" s="1"/>
  <c r="Q21" i="112"/>
  <c r="U21" i="112" s="1"/>
  <c r="Q23" i="112"/>
  <c r="Q25" i="112"/>
  <c r="U25" i="112" s="1"/>
  <c r="Q27" i="112"/>
  <c r="U27" i="112" s="1"/>
  <c r="Q29" i="112"/>
  <c r="Q31" i="112"/>
  <c r="U31" i="112" s="1"/>
  <c r="Q33" i="112"/>
  <c r="U33" i="112" s="1"/>
  <c r="Q38" i="112"/>
  <c r="U38" i="112" s="1"/>
  <c r="Q12" i="112"/>
  <c r="U12" i="112" s="1"/>
  <c r="Q14" i="112"/>
  <c r="U14" i="112" s="1"/>
  <c r="Q16" i="112"/>
  <c r="U16" i="112" s="1"/>
  <c r="Q18" i="112"/>
  <c r="Q20" i="112"/>
  <c r="Q22" i="112"/>
  <c r="Q26" i="112"/>
  <c r="U26" i="112" s="1"/>
  <c r="Q28" i="112"/>
  <c r="U28" i="112" s="1"/>
  <c r="Q30" i="112"/>
  <c r="U30" i="112" s="1"/>
  <c r="Q32" i="112"/>
  <c r="U32" i="112" s="1"/>
  <c r="Q40" i="112"/>
  <c r="Q42" i="112"/>
  <c r="U42" i="112" s="1"/>
  <c r="Q67" i="112"/>
  <c r="U20" i="112" s="1"/>
  <c r="Q11" i="112"/>
  <c r="Q5" i="112"/>
  <c r="Q4" i="112"/>
  <c r="Q34" i="112"/>
  <c r="Q69" i="112"/>
  <c r="U22" i="112" s="1"/>
  <c r="Q51" i="112"/>
  <c r="Q10" i="112"/>
  <c r="U10" i="112" s="1"/>
  <c r="Q9" i="112"/>
  <c r="Q8" i="112"/>
  <c r="U8" i="112" s="1"/>
  <c r="Q7" i="112"/>
  <c r="Q6" i="112"/>
  <c r="U6" i="112" s="1"/>
  <c r="U39" i="112" l="1"/>
  <c r="U23" i="112"/>
  <c r="U5" i="112"/>
  <c r="U11" i="112"/>
  <c r="U9" i="112"/>
  <c r="U34" i="112"/>
  <c r="U29" i="112"/>
  <c r="U7" i="112"/>
  <c r="U40" i="112"/>
  <c r="U18" i="112"/>
  <c r="U24" i="112"/>
  <c r="U36" i="112"/>
  <c r="B90" i="112"/>
  <c r="B89" i="112"/>
  <c r="B88" i="112"/>
  <c r="B87" i="112"/>
  <c r="B86" i="112"/>
  <c r="B85" i="112"/>
  <c r="B84" i="112"/>
  <c r="B83" i="112"/>
  <c r="B82" i="112"/>
  <c r="B81" i="112"/>
  <c r="B80" i="112"/>
  <c r="B79" i="112"/>
  <c r="B78" i="112"/>
  <c r="B77" i="112"/>
  <c r="B76" i="112"/>
  <c r="B75" i="112"/>
  <c r="B74" i="112"/>
  <c r="B73" i="112"/>
  <c r="B72" i="112"/>
  <c r="B71" i="112"/>
  <c r="B70" i="112"/>
  <c r="B69" i="112"/>
  <c r="B68" i="112"/>
  <c r="B67" i="112"/>
  <c r="B66" i="112"/>
  <c r="B65" i="112"/>
  <c r="B64" i="112"/>
  <c r="B63" i="112"/>
  <c r="B62" i="112"/>
  <c r="B61" i="112"/>
  <c r="B60" i="112"/>
  <c r="B59" i="112"/>
  <c r="B58" i="112"/>
  <c r="B57" i="112"/>
  <c r="B56" i="112"/>
  <c r="B55" i="112"/>
  <c r="B54" i="112"/>
  <c r="B53" i="112"/>
  <c r="B52" i="112"/>
  <c r="B51" i="112"/>
  <c r="B43" i="112"/>
  <c r="B42" i="112"/>
  <c r="B41" i="112"/>
  <c r="B40" i="112"/>
  <c r="B39" i="112"/>
  <c r="B38" i="112"/>
  <c r="B37" i="112"/>
  <c r="B36" i="112"/>
  <c r="B35" i="112"/>
  <c r="B34" i="112"/>
  <c r="B33" i="112"/>
  <c r="B32" i="112"/>
  <c r="B31" i="112"/>
  <c r="B30" i="112"/>
  <c r="B29" i="112"/>
  <c r="B28" i="112"/>
  <c r="B27" i="112"/>
  <c r="B26" i="112"/>
  <c r="B25" i="112"/>
  <c r="B24" i="112"/>
  <c r="B23" i="112"/>
  <c r="B22" i="112"/>
  <c r="B21" i="112"/>
  <c r="B20" i="112"/>
  <c r="B19" i="112"/>
  <c r="B18" i="112"/>
  <c r="B17" i="112"/>
  <c r="B16" i="112"/>
  <c r="B15" i="112"/>
  <c r="B14" i="112"/>
  <c r="B13" i="112"/>
  <c r="B12" i="112"/>
  <c r="B11" i="112"/>
  <c r="B10" i="112"/>
  <c r="B9" i="112"/>
  <c r="B8" i="112"/>
  <c r="B7" i="112"/>
  <c r="B6" i="112"/>
  <c r="B5" i="112"/>
  <c r="B4" i="112"/>
  <c r="K90" i="112"/>
  <c r="K89" i="112"/>
  <c r="K88" i="112"/>
  <c r="K87" i="112"/>
  <c r="K86" i="112"/>
  <c r="K85" i="112"/>
  <c r="K84" i="112"/>
  <c r="K83" i="112"/>
  <c r="K82" i="112"/>
  <c r="K81" i="112"/>
  <c r="K80" i="112"/>
  <c r="K79" i="112"/>
  <c r="K78" i="112"/>
  <c r="K77" i="112"/>
  <c r="K76" i="112"/>
  <c r="K75" i="112"/>
  <c r="K74" i="112"/>
  <c r="K73" i="112"/>
  <c r="K72" i="112"/>
  <c r="K71" i="112"/>
  <c r="K70" i="112"/>
  <c r="K69" i="112"/>
  <c r="K68" i="112"/>
  <c r="K67" i="112"/>
  <c r="K66" i="112"/>
  <c r="K65" i="112"/>
  <c r="K64" i="112"/>
  <c r="K63" i="112"/>
  <c r="K62" i="112"/>
  <c r="K61" i="112"/>
  <c r="K60" i="112"/>
  <c r="K59" i="112"/>
  <c r="K58" i="112"/>
  <c r="K57" i="112"/>
  <c r="K56" i="112"/>
  <c r="K55" i="112"/>
  <c r="K54" i="112"/>
  <c r="K53" i="112"/>
  <c r="K52" i="112"/>
  <c r="K51" i="112"/>
  <c r="K5" i="112"/>
  <c r="K6" i="112"/>
  <c r="K7" i="112"/>
  <c r="K8" i="112"/>
  <c r="K9" i="112"/>
  <c r="K10" i="112"/>
  <c r="K11" i="112"/>
  <c r="K12" i="112"/>
  <c r="K13" i="112"/>
  <c r="K14" i="112"/>
  <c r="K15" i="112"/>
  <c r="K16" i="112"/>
  <c r="K17" i="112"/>
  <c r="K18" i="112"/>
  <c r="K19" i="112"/>
  <c r="K20" i="112"/>
  <c r="K21" i="112"/>
  <c r="K22" i="112"/>
  <c r="K23" i="112"/>
  <c r="K24" i="112"/>
  <c r="K25" i="112"/>
  <c r="K26" i="112"/>
  <c r="K27" i="112"/>
  <c r="K28" i="112"/>
  <c r="K29" i="112"/>
  <c r="K30" i="112"/>
  <c r="K31" i="112"/>
  <c r="K32" i="112"/>
  <c r="K33" i="112"/>
  <c r="K34" i="112"/>
  <c r="K35" i="112"/>
  <c r="K36" i="112"/>
  <c r="K37" i="112"/>
  <c r="K38" i="112"/>
  <c r="K39" i="112"/>
  <c r="K40" i="112"/>
  <c r="K41" i="112"/>
  <c r="K42" i="112"/>
  <c r="K43" i="112"/>
  <c r="K4" i="112"/>
  <c r="C90" i="112"/>
  <c r="H90" i="112" s="1"/>
  <c r="C89" i="112"/>
  <c r="H89" i="112" s="1"/>
  <c r="C88" i="112"/>
  <c r="H88" i="112" s="1"/>
  <c r="C87" i="112"/>
  <c r="H87" i="112" s="1"/>
  <c r="C86" i="112"/>
  <c r="H86" i="112" s="1"/>
  <c r="C85" i="112"/>
  <c r="H85" i="112" s="1"/>
  <c r="C84" i="112"/>
  <c r="H84" i="112" s="1"/>
  <c r="C83" i="112"/>
  <c r="H83" i="112" s="1"/>
  <c r="C82" i="112"/>
  <c r="H82" i="112" s="1"/>
  <c r="C81" i="112"/>
  <c r="H81" i="112" s="1"/>
  <c r="C80" i="112"/>
  <c r="H80" i="112" s="1"/>
  <c r="C79" i="112"/>
  <c r="H79" i="112" s="1"/>
  <c r="C78" i="112"/>
  <c r="H78" i="112" s="1"/>
  <c r="C77" i="112"/>
  <c r="H77" i="112" s="1"/>
  <c r="C76" i="112"/>
  <c r="H76" i="112" s="1"/>
  <c r="C75" i="112"/>
  <c r="H75" i="112" s="1"/>
  <c r="C74" i="112"/>
  <c r="H74" i="112" s="1"/>
  <c r="C73" i="112"/>
  <c r="H73" i="112" s="1"/>
  <c r="C72" i="112"/>
  <c r="H72" i="112" s="1"/>
  <c r="C71" i="112"/>
  <c r="H71" i="112" s="1"/>
  <c r="C70" i="112"/>
  <c r="H70" i="112" s="1"/>
  <c r="C69" i="112"/>
  <c r="H69" i="112" s="1"/>
  <c r="C68" i="112"/>
  <c r="H68" i="112" s="1"/>
  <c r="C67" i="112"/>
  <c r="H67" i="112" s="1"/>
  <c r="C66" i="112"/>
  <c r="H66" i="112" s="1"/>
  <c r="C65" i="112"/>
  <c r="H65" i="112" s="1"/>
  <c r="C64" i="112"/>
  <c r="H64" i="112" s="1"/>
  <c r="C63" i="112"/>
  <c r="H63" i="112" s="1"/>
  <c r="C62" i="112"/>
  <c r="H62" i="112" s="1"/>
  <c r="C61" i="112"/>
  <c r="H61" i="112" s="1"/>
  <c r="C60" i="112"/>
  <c r="H60" i="112" s="1"/>
  <c r="C59" i="112"/>
  <c r="H59" i="112" s="1"/>
  <c r="C58" i="112"/>
  <c r="H58" i="112" s="1"/>
  <c r="C57" i="112"/>
  <c r="H57" i="112" s="1"/>
  <c r="C56" i="112"/>
  <c r="H56" i="112" s="1"/>
  <c r="C55" i="112"/>
  <c r="H55" i="112" s="1"/>
  <c r="C54" i="112"/>
  <c r="H54" i="112" s="1"/>
  <c r="C53" i="112"/>
  <c r="H53" i="112" s="1"/>
  <c r="C52" i="112"/>
  <c r="H52" i="112" s="1"/>
  <c r="T5" i="112" s="1"/>
  <c r="C51" i="112"/>
  <c r="H51" i="112" s="1"/>
  <c r="C43" i="112"/>
  <c r="H43" i="112" s="1"/>
  <c r="T43" i="112" s="1"/>
  <c r="C42" i="112"/>
  <c r="H42" i="112" s="1"/>
  <c r="T42" i="112" s="1"/>
  <c r="C41" i="112"/>
  <c r="H41" i="112" s="1"/>
  <c r="T41" i="112" s="1"/>
  <c r="C40" i="112"/>
  <c r="H40" i="112" s="1"/>
  <c r="T40" i="112" s="1"/>
  <c r="C39" i="112"/>
  <c r="H39" i="112" s="1"/>
  <c r="T39" i="112" s="1"/>
  <c r="C38" i="112"/>
  <c r="H38" i="112" s="1"/>
  <c r="T38" i="112" s="1"/>
  <c r="C37" i="112"/>
  <c r="H37" i="112" s="1"/>
  <c r="T37" i="112" s="1"/>
  <c r="C36" i="112"/>
  <c r="H36" i="112" s="1"/>
  <c r="T36" i="112" s="1"/>
  <c r="C35" i="112"/>
  <c r="H35" i="112" s="1"/>
  <c r="T35" i="112" s="1"/>
  <c r="C34" i="112"/>
  <c r="H34" i="112" s="1"/>
  <c r="T34" i="112" s="1"/>
  <c r="C33" i="112"/>
  <c r="H33" i="112" s="1"/>
  <c r="T33" i="112" s="1"/>
  <c r="C32" i="112"/>
  <c r="H32" i="112" s="1"/>
  <c r="T32" i="112" s="1"/>
  <c r="C31" i="112"/>
  <c r="H31" i="112" s="1"/>
  <c r="T31" i="112" s="1"/>
  <c r="C30" i="112"/>
  <c r="H30" i="112" s="1"/>
  <c r="T30" i="112" s="1"/>
  <c r="C29" i="112"/>
  <c r="H29" i="112" s="1"/>
  <c r="T29" i="112" s="1"/>
  <c r="C28" i="112"/>
  <c r="H28" i="112" s="1"/>
  <c r="T28" i="112" s="1"/>
  <c r="C27" i="112"/>
  <c r="H27" i="112" s="1"/>
  <c r="T27" i="112" s="1"/>
  <c r="C26" i="112"/>
  <c r="H26" i="112" s="1"/>
  <c r="T26" i="112" s="1"/>
  <c r="C25" i="112"/>
  <c r="H25" i="112" s="1"/>
  <c r="T25" i="112" s="1"/>
  <c r="C24" i="112"/>
  <c r="H24" i="112" s="1"/>
  <c r="T24" i="112" s="1"/>
  <c r="C23" i="112"/>
  <c r="H23" i="112" s="1"/>
  <c r="T23" i="112" s="1"/>
  <c r="C22" i="112"/>
  <c r="H22" i="112" s="1"/>
  <c r="T22" i="112" s="1"/>
  <c r="C21" i="112"/>
  <c r="H21" i="112" s="1"/>
  <c r="T21" i="112" s="1"/>
  <c r="C20" i="112"/>
  <c r="H20" i="112" s="1"/>
  <c r="T20" i="112" s="1"/>
  <c r="C19" i="112"/>
  <c r="H19" i="112" s="1"/>
  <c r="T19" i="112" s="1"/>
  <c r="C18" i="112"/>
  <c r="H18" i="112" s="1"/>
  <c r="T18" i="112" s="1"/>
  <c r="C17" i="112"/>
  <c r="H17" i="112" s="1"/>
  <c r="T17" i="112" s="1"/>
  <c r="C16" i="112"/>
  <c r="H16" i="112" s="1"/>
  <c r="T16" i="112" s="1"/>
  <c r="C15" i="112"/>
  <c r="H15" i="112" s="1"/>
  <c r="T15" i="112" s="1"/>
  <c r="C14" i="112"/>
  <c r="H14" i="112" s="1"/>
  <c r="T14" i="112" s="1"/>
  <c r="C13" i="112"/>
  <c r="H13" i="112" s="1"/>
  <c r="T13" i="112" s="1"/>
  <c r="C12" i="112"/>
  <c r="H12" i="112" s="1"/>
  <c r="T12" i="112" s="1"/>
  <c r="C11" i="112"/>
  <c r="H11" i="112" s="1"/>
  <c r="T11" i="112" s="1"/>
  <c r="C10" i="112"/>
  <c r="H10" i="112" s="1"/>
  <c r="T10" i="112" s="1"/>
  <c r="C9" i="112"/>
  <c r="H9" i="112" s="1"/>
  <c r="T9" i="112" s="1"/>
  <c r="C8" i="112"/>
  <c r="H8" i="112" s="1"/>
  <c r="T8" i="112" s="1"/>
  <c r="C7" i="112"/>
  <c r="H7" i="112" s="1"/>
  <c r="T7" i="112" s="1"/>
  <c r="C6" i="112"/>
  <c r="H6" i="112" s="1"/>
  <c r="T6" i="112" s="1"/>
  <c r="K90" i="108" l="1"/>
  <c r="Q90" i="108" s="1"/>
  <c r="K89" i="108"/>
  <c r="Q89" i="108" s="1"/>
  <c r="K88" i="108"/>
  <c r="Q88" i="108" s="1"/>
  <c r="K87" i="108"/>
  <c r="Q87" i="108" s="1"/>
  <c r="K86" i="108"/>
  <c r="Q86" i="108" s="1"/>
  <c r="K85" i="108"/>
  <c r="Q85" i="108" s="1"/>
  <c r="K84" i="108"/>
  <c r="Q84" i="108" s="1"/>
  <c r="K83" i="108"/>
  <c r="Q83" i="108" s="1"/>
  <c r="K51" i="108"/>
  <c r="Q51" i="108" s="1"/>
  <c r="J52" i="108"/>
  <c r="J53" i="108"/>
  <c r="J54" i="108"/>
  <c r="J55" i="108"/>
  <c r="J56" i="108"/>
  <c r="J57" i="108"/>
  <c r="J58" i="108"/>
  <c r="J59" i="108"/>
  <c r="J60" i="108"/>
  <c r="J61" i="108"/>
  <c r="J62" i="108"/>
  <c r="J63" i="108"/>
  <c r="J64" i="108"/>
  <c r="J65" i="108"/>
  <c r="J66" i="108"/>
  <c r="J67" i="108"/>
  <c r="J68" i="108"/>
  <c r="J69" i="108"/>
  <c r="J70" i="108"/>
  <c r="J71" i="108"/>
  <c r="J72" i="108"/>
  <c r="J73" i="108"/>
  <c r="J74" i="108"/>
  <c r="J75" i="108"/>
  <c r="J76" i="108"/>
  <c r="J77" i="108"/>
  <c r="J78" i="108"/>
  <c r="J79" i="108"/>
  <c r="J80" i="108"/>
  <c r="J81" i="108"/>
  <c r="J82" i="108"/>
  <c r="J83" i="108"/>
  <c r="J84" i="108"/>
  <c r="J85" i="108"/>
  <c r="J86" i="108"/>
  <c r="J87" i="108"/>
  <c r="J88" i="108"/>
  <c r="J89" i="108"/>
  <c r="J90" i="108"/>
  <c r="J51" i="108"/>
  <c r="D82" i="108" l="1"/>
  <c r="E82" i="108"/>
  <c r="F82" i="108"/>
  <c r="D83" i="108"/>
  <c r="E83" i="108"/>
  <c r="F83" i="108"/>
  <c r="D84" i="108"/>
  <c r="E84" i="108"/>
  <c r="F84" i="108"/>
  <c r="D85" i="108"/>
  <c r="E85" i="108"/>
  <c r="F85" i="108"/>
  <c r="D86" i="108"/>
  <c r="E86" i="108"/>
  <c r="F86" i="108"/>
  <c r="D87" i="108"/>
  <c r="E87" i="108"/>
  <c r="F87" i="108"/>
  <c r="D88" i="108"/>
  <c r="E88" i="108"/>
  <c r="F88" i="108"/>
  <c r="D89" i="108"/>
  <c r="E89" i="108"/>
  <c r="F89" i="108"/>
  <c r="D90" i="108"/>
  <c r="E90" i="108"/>
  <c r="F90" i="108"/>
  <c r="C90" i="108"/>
  <c r="C89" i="108"/>
  <c r="C88" i="108"/>
  <c r="C87" i="108"/>
  <c r="C86" i="108"/>
  <c r="C85" i="108"/>
  <c r="C84" i="108"/>
  <c r="C83" i="108"/>
  <c r="C82" i="108"/>
  <c r="D57" i="108"/>
  <c r="E57" i="108"/>
  <c r="F57" i="108"/>
  <c r="C57" i="108"/>
  <c r="D78" i="108"/>
  <c r="E78" i="108"/>
  <c r="F78" i="108"/>
  <c r="C78" i="108"/>
  <c r="D71" i="108"/>
  <c r="E71" i="108"/>
  <c r="F71" i="108"/>
  <c r="D72" i="108"/>
  <c r="E72" i="108"/>
  <c r="F72" i="108"/>
  <c r="D73" i="108"/>
  <c r="E73" i="108"/>
  <c r="F73" i="108"/>
  <c r="D74" i="108"/>
  <c r="E74" i="108"/>
  <c r="F74" i="108"/>
  <c r="D75" i="108"/>
  <c r="E75" i="108"/>
  <c r="F75" i="108"/>
  <c r="D76" i="108"/>
  <c r="E76" i="108"/>
  <c r="F76" i="108"/>
  <c r="D77" i="108"/>
  <c r="E77" i="108"/>
  <c r="F77" i="108"/>
  <c r="D79" i="108"/>
  <c r="E79" i="108"/>
  <c r="F79" i="108"/>
  <c r="D80" i="108"/>
  <c r="E80" i="108"/>
  <c r="F80" i="108"/>
  <c r="D81" i="108"/>
  <c r="E81" i="108"/>
  <c r="F81" i="108"/>
  <c r="C81" i="108"/>
  <c r="C80" i="108"/>
  <c r="C79" i="108"/>
  <c r="C77" i="108"/>
  <c r="C76" i="108"/>
  <c r="C75" i="108"/>
  <c r="C74" i="108"/>
  <c r="C73" i="108"/>
  <c r="C72" i="108"/>
  <c r="C71" i="108"/>
  <c r="D51" i="108"/>
  <c r="E51" i="108"/>
  <c r="F51" i="108"/>
  <c r="D52" i="108"/>
  <c r="E52" i="108"/>
  <c r="F52" i="108"/>
  <c r="D53" i="108"/>
  <c r="E53" i="108"/>
  <c r="F53" i="108"/>
  <c r="D54" i="108"/>
  <c r="E54" i="108"/>
  <c r="F54" i="108"/>
  <c r="D55" i="108"/>
  <c r="E55" i="108"/>
  <c r="F55" i="108"/>
  <c r="D56" i="108"/>
  <c r="E56" i="108"/>
  <c r="F56" i="108"/>
  <c r="D58" i="108"/>
  <c r="E58" i="108"/>
  <c r="F58" i="108"/>
  <c r="D59" i="108"/>
  <c r="E59" i="108"/>
  <c r="F59" i="108"/>
  <c r="D60" i="108"/>
  <c r="E60" i="108"/>
  <c r="F60" i="108"/>
  <c r="D61" i="108"/>
  <c r="E61" i="108"/>
  <c r="F61" i="108"/>
  <c r="D62" i="108"/>
  <c r="E62" i="108"/>
  <c r="F62" i="108"/>
  <c r="D63" i="108"/>
  <c r="E63" i="108"/>
  <c r="F63" i="108"/>
  <c r="D64" i="108"/>
  <c r="E64" i="108"/>
  <c r="F64" i="108"/>
  <c r="D65" i="108"/>
  <c r="E65" i="108"/>
  <c r="F65" i="108"/>
  <c r="D66" i="108"/>
  <c r="E66" i="108"/>
  <c r="F66" i="108"/>
  <c r="D67" i="108"/>
  <c r="E67" i="108"/>
  <c r="F67" i="108"/>
  <c r="D68" i="108"/>
  <c r="E68" i="108"/>
  <c r="F68" i="108"/>
  <c r="D69" i="108"/>
  <c r="E69" i="108"/>
  <c r="F69" i="108"/>
  <c r="D70" i="108"/>
  <c r="E70" i="108"/>
  <c r="F70" i="108"/>
  <c r="C70" i="108"/>
  <c r="C69" i="108"/>
  <c r="C68" i="108"/>
  <c r="C67" i="108"/>
  <c r="C66" i="108"/>
  <c r="C65" i="108"/>
  <c r="C64" i="108"/>
  <c r="C63" i="108"/>
  <c r="C62" i="108"/>
  <c r="C61" i="108"/>
  <c r="C60" i="108"/>
  <c r="C59" i="108"/>
  <c r="C58" i="108"/>
  <c r="C56" i="108"/>
  <c r="C55" i="108"/>
  <c r="C54" i="108"/>
  <c r="C53" i="108"/>
  <c r="C52" i="108"/>
  <c r="C51" i="108"/>
  <c r="D35" i="108"/>
  <c r="E35" i="108"/>
  <c r="F35" i="108"/>
  <c r="D36" i="108"/>
  <c r="E36" i="108"/>
  <c r="F36" i="108"/>
  <c r="D37" i="108"/>
  <c r="E37" i="108"/>
  <c r="F37" i="108"/>
  <c r="D38" i="108"/>
  <c r="E38" i="108"/>
  <c r="F38" i="108"/>
  <c r="D39" i="108"/>
  <c r="E39" i="108"/>
  <c r="F39" i="108"/>
  <c r="D40" i="108"/>
  <c r="E40" i="108"/>
  <c r="F40" i="108"/>
  <c r="D41" i="108"/>
  <c r="E41" i="108"/>
  <c r="F41" i="108"/>
  <c r="D42" i="108"/>
  <c r="E42" i="108"/>
  <c r="F42" i="108"/>
  <c r="D43" i="108"/>
  <c r="E43" i="108"/>
  <c r="F43" i="108"/>
  <c r="C43" i="108"/>
  <c r="C41" i="108"/>
  <c r="C42" i="108"/>
  <c r="C40" i="108"/>
  <c r="C39" i="108"/>
  <c r="C38" i="108"/>
  <c r="C37" i="108"/>
  <c r="C36" i="108"/>
  <c r="C35" i="108"/>
  <c r="D24" i="108"/>
  <c r="E24" i="108"/>
  <c r="F24" i="108"/>
  <c r="D25" i="108"/>
  <c r="E25" i="108"/>
  <c r="F25" i="108"/>
  <c r="D26" i="108"/>
  <c r="E26" i="108"/>
  <c r="F26" i="108"/>
  <c r="D27" i="108"/>
  <c r="E27" i="108"/>
  <c r="F27" i="108"/>
  <c r="D28" i="108"/>
  <c r="E28" i="108"/>
  <c r="F28" i="108"/>
  <c r="D29" i="108"/>
  <c r="E29" i="108"/>
  <c r="F29" i="108"/>
  <c r="D30" i="108"/>
  <c r="E30" i="108"/>
  <c r="F30" i="108"/>
  <c r="D31" i="108"/>
  <c r="E31" i="108"/>
  <c r="F31" i="108"/>
  <c r="D32" i="108"/>
  <c r="E32" i="108"/>
  <c r="F32" i="108"/>
  <c r="D33" i="108"/>
  <c r="E33" i="108"/>
  <c r="F33" i="108"/>
  <c r="D34" i="108"/>
  <c r="E34" i="108"/>
  <c r="F34" i="108"/>
  <c r="C34" i="108"/>
  <c r="C33" i="108"/>
  <c r="C32" i="108"/>
  <c r="C31" i="108"/>
  <c r="C30" i="108"/>
  <c r="C29" i="108"/>
  <c r="C28" i="108"/>
  <c r="C27" i="108"/>
  <c r="C26" i="108"/>
  <c r="C25" i="108"/>
  <c r="C24" i="108"/>
  <c r="D13" i="108"/>
  <c r="E13" i="108"/>
  <c r="F13" i="108"/>
  <c r="D14" i="108"/>
  <c r="E14" i="108"/>
  <c r="F14" i="108"/>
  <c r="D15" i="108"/>
  <c r="E15" i="108"/>
  <c r="F15" i="108"/>
  <c r="D16" i="108"/>
  <c r="E16" i="108"/>
  <c r="F16" i="108"/>
  <c r="D17" i="108"/>
  <c r="E17" i="108"/>
  <c r="F17" i="108"/>
  <c r="D18" i="108"/>
  <c r="E18" i="108"/>
  <c r="F18" i="108"/>
  <c r="D19" i="108"/>
  <c r="E19" i="108"/>
  <c r="F19" i="108"/>
  <c r="D20" i="108"/>
  <c r="E20" i="108"/>
  <c r="F20" i="108"/>
  <c r="D21" i="108"/>
  <c r="E21" i="108"/>
  <c r="F21" i="108"/>
  <c r="D22" i="108"/>
  <c r="E22" i="108"/>
  <c r="F22" i="108"/>
  <c r="D23" i="108"/>
  <c r="E23" i="108"/>
  <c r="F23" i="108"/>
  <c r="C23" i="108"/>
  <c r="C22" i="108"/>
  <c r="C21" i="108"/>
  <c r="C20" i="108"/>
  <c r="C19" i="108"/>
  <c r="C18" i="108"/>
  <c r="C17" i="108"/>
  <c r="C16" i="108"/>
  <c r="C15" i="108"/>
  <c r="C14" i="108"/>
  <c r="C13" i="108"/>
  <c r="D12" i="108"/>
  <c r="E12" i="108"/>
  <c r="F12" i="108"/>
  <c r="C12" i="108"/>
  <c r="D4" i="108"/>
  <c r="E4" i="108"/>
  <c r="F4" i="108"/>
  <c r="D5" i="108"/>
  <c r="E5" i="108"/>
  <c r="F5" i="108"/>
  <c r="D6" i="108"/>
  <c r="E6" i="108"/>
  <c r="F6" i="108"/>
  <c r="D7" i="108"/>
  <c r="E7" i="108"/>
  <c r="F7" i="108"/>
  <c r="D8" i="108"/>
  <c r="E8" i="108"/>
  <c r="F8" i="108"/>
  <c r="D9" i="108"/>
  <c r="E9" i="108"/>
  <c r="F9" i="108"/>
  <c r="D10" i="108"/>
  <c r="E10" i="108"/>
  <c r="F10" i="108"/>
  <c r="D11" i="108"/>
  <c r="E11" i="108"/>
  <c r="F11" i="108"/>
  <c r="C11" i="108"/>
  <c r="C10" i="108"/>
  <c r="C9" i="108"/>
  <c r="C8" i="108"/>
  <c r="C7" i="108"/>
  <c r="C6" i="108"/>
  <c r="C5" i="108"/>
  <c r="G5" i="108" s="1"/>
  <c r="G85" i="108" l="1"/>
  <c r="G89" i="108"/>
  <c r="G7" i="108"/>
  <c r="G11" i="108"/>
  <c r="G4" i="108"/>
  <c r="G16" i="108"/>
  <c r="G20" i="108"/>
  <c r="G27" i="108"/>
  <c r="G31" i="108"/>
  <c r="G38" i="108"/>
  <c r="G41" i="108"/>
  <c r="G52" i="108"/>
  <c r="G54" i="108"/>
  <c r="G59" i="108"/>
  <c r="G63" i="108"/>
  <c r="G67" i="108"/>
  <c r="G74" i="108"/>
  <c r="G79" i="108"/>
  <c r="G84" i="108"/>
  <c r="G18" i="108"/>
  <c r="G33" i="108"/>
  <c r="G40" i="108"/>
  <c r="G56" i="108"/>
  <c r="G61" i="108"/>
  <c r="G65" i="108"/>
  <c r="G69" i="108"/>
  <c r="G72" i="108"/>
  <c r="G76" i="108"/>
  <c r="G81" i="108"/>
  <c r="G83" i="108"/>
  <c r="G87" i="108"/>
  <c r="G9" i="108"/>
  <c r="G14" i="108"/>
  <c r="G22" i="108"/>
  <c r="G25" i="108"/>
  <c r="G29" i="108"/>
  <c r="G36" i="108"/>
  <c r="G51" i="108"/>
  <c r="G71" i="108"/>
  <c r="G82" i="108"/>
  <c r="G53" i="108"/>
  <c r="G55" i="108"/>
  <c r="G58" i="108"/>
  <c r="G60" i="108"/>
  <c r="G62" i="108"/>
  <c r="G64" i="108"/>
  <c r="G66" i="108"/>
  <c r="G73" i="108"/>
  <c r="G75" i="108"/>
  <c r="G77" i="108"/>
  <c r="G86" i="108"/>
  <c r="G68" i="108"/>
  <c r="G70" i="108"/>
  <c r="G80" i="108"/>
  <c r="G78" i="108"/>
  <c r="G57" i="108"/>
  <c r="G88" i="108"/>
  <c r="G90" i="108"/>
  <c r="G6" i="108"/>
  <c r="G8" i="108"/>
  <c r="G10" i="108"/>
  <c r="G12" i="108"/>
  <c r="G13" i="108"/>
  <c r="G15" i="108"/>
  <c r="G17" i="108"/>
  <c r="G19" i="108"/>
  <c r="G21" i="108"/>
  <c r="G23" i="108"/>
  <c r="G24" i="108"/>
  <c r="G26" i="108"/>
  <c r="G28" i="108"/>
  <c r="G30" i="108"/>
  <c r="G32" i="108"/>
  <c r="G34" i="108"/>
  <c r="G35" i="108"/>
  <c r="G37" i="108"/>
  <c r="G39" i="108"/>
  <c r="G42" i="108"/>
  <c r="G43" i="108"/>
  <c r="D82" i="88"/>
  <c r="E82" i="88"/>
  <c r="F82" i="88"/>
  <c r="G82" i="88"/>
  <c r="H82" i="88"/>
  <c r="I82" i="88"/>
  <c r="D83" i="88"/>
  <c r="E83" i="88"/>
  <c r="F83" i="88"/>
  <c r="G83" i="88"/>
  <c r="H83" i="88"/>
  <c r="I83" i="88"/>
  <c r="D84" i="88"/>
  <c r="E84" i="88"/>
  <c r="F84" i="88"/>
  <c r="G84" i="88"/>
  <c r="H84" i="88"/>
  <c r="I84" i="88"/>
  <c r="D85" i="88"/>
  <c r="E85" i="88"/>
  <c r="F85" i="88"/>
  <c r="G85" i="88"/>
  <c r="H85" i="88"/>
  <c r="I85" i="88"/>
  <c r="D86" i="88"/>
  <c r="E86" i="88"/>
  <c r="F86" i="88"/>
  <c r="G86" i="88"/>
  <c r="H86" i="88"/>
  <c r="I86" i="88"/>
  <c r="D87" i="88"/>
  <c r="E87" i="88"/>
  <c r="F87" i="88"/>
  <c r="G87" i="88"/>
  <c r="H87" i="88"/>
  <c r="I87" i="88"/>
  <c r="D88" i="88"/>
  <c r="E88" i="88"/>
  <c r="F88" i="88"/>
  <c r="G88" i="88"/>
  <c r="H88" i="88"/>
  <c r="I88" i="88"/>
  <c r="D89" i="88"/>
  <c r="E89" i="88"/>
  <c r="F89" i="88"/>
  <c r="G89" i="88"/>
  <c r="H89" i="88"/>
  <c r="I89" i="88"/>
  <c r="D90" i="88"/>
  <c r="E90" i="88"/>
  <c r="F90" i="88"/>
  <c r="G90" i="88"/>
  <c r="H90" i="88"/>
  <c r="I90" i="88"/>
  <c r="C90" i="88"/>
  <c r="C89" i="88"/>
  <c r="C88" i="88"/>
  <c r="C87" i="88"/>
  <c r="C86" i="88"/>
  <c r="C85" i="88"/>
  <c r="C84" i="88"/>
  <c r="C83" i="88"/>
  <c r="C82" i="88"/>
  <c r="D78" i="88"/>
  <c r="E78" i="88"/>
  <c r="F78" i="88"/>
  <c r="G78" i="88"/>
  <c r="H78" i="88"/>
  <c r="I78" i="88"/>
  <c r="C78" i="88"/>
  <c r="D75" i="88"/>
  <c r="E75" i="88"/>
  <c r="F75" i="88"/>
  <c r="G75" i="88"/>
  <c r="H75" i="88"/>
  <c r="I75" i="88"/>
  <c r="C75" i="88"/>
  <c r="D71" i="88"/>
  <c r="E71" i="88"/>
  <c r="F71" i="88"/>
  <c r="G71" i="88"/>
  <c r="H71" i="88"/>
  <c r="I71" i="88"/>
  <c r="D72" i="88"/>
  <c r="E72" i="88"/>
  <c r="F72" i="88"/>
  <c r="G72" i="88"/>
  <c r="H72" i="88"/>
  <c r="I72" i="88"/>
  <c r="D73" i="88"/>
  <c r="E73" i="88"/>
  <c r="F73" i="88"/>
  <c r="G73" i="88"/>
  <c r="H73" i="88"/>
  <c r="I73" i="88"/>
  <c r="D74" i="88"/>
  <c r="E74" i="88"/>
  <c r="F74" i="88"/>
  <c r="G74" i="88"/>
  <c r="H74" i="88"/>
  <c r="I74" i="88"/>
  <c r="D76" i="88"/>
  <c r="E76" i="88"/>
  <c r="F76" i="88"/>
  <c r="G76" i="88"/>
  <c r="H76" i="88"/>
  <c r="I76" i="88"/>
  <c r="D77" i="88"/>
  <c r="E77" i="88"/>
  <c r="F77" i="88"/>
  <c r="G77" i="88"/>
  <c r="H77" i="88"/>
  <c r="I77" i="88"/>
  <c r="D79" i="88"/>
  <c r="E79" i="88"/>
  <c r="F79" i="88"/>
  <c r="G79" i="88"/>
  <c r="H79" i="88"/>
  <c r="I79" i="88"/>
  <c r="D80" i="88"/>
  <c r="E80" i="88"/>
  <c r="F80" i="88"/>
  <c r="G80" i="88"/>
  <c r="H80" i="88"/>
  <c r="I80" i="88"/>
  <c r="D81" i="88"/>
  <c r="E81" i="88"/>
  <c r="F81" i="88"/>
  <c r="G81" i="88"/>
  <c r="H81" i="88"/>
  <c r="I81" i="88"/>
  <c r="C81" i="88"/>
  <c r="C80" i="88"/>
  <c r="C79" i="88"/>
  <c r="C77" i="88"/>
  <c r="C76" i="88"/>
  <c r="C74" i="88"/>
  <c r="C73" i="88"/>
  <c r="C72" i="88"/>
  <c r="C71" i="88"/>
  <c r="D66" i="88"/>
  <c r="E66" i="88"/>
  <c r="F66" i="88"/>
  <c r="G66" i="88"/>
  <c r="H66" i="88"/>
  <c r="I66" i="88"/>
  <c r="D67" i="88"/>
  <c r="E67" i="88"/>
  <c r="F67" i="88"/>
  <c r="G67" i="88"/>
  <c r="H67" i="88"/>
  <c r="I67" i="88"/>
  <c r="D68" i="88"/>
  <c r="E68" i="88"/>
  <c r="F68" i="88"/>
  <c r="G68" i="88"/>
  <c r="H68" i="88"/>
  <c r="I68" i="88"/>
  <c r="D69" i="88"/>
  <c r="E69" i="88"/>
  <c r="F69" i="88"/>
  <c r="G69" i="88"/>
  <c r="H69" i="88"/>
  <c r="I69" i="88"/>
  <c r="D70" i="88"/>
  <c r="E70" i="88"/>
  <c r="F70" i="88"/>
  <c r="G70" i="88"/>
  <c r="H70" i="88"/>
  <c r="I70" i="88"/>
  <c r="C70" i="88"/>
  <c r="C69" i="88"/>
  <c r="C68" i="88"/>
  <c r="C67" i="88"/>
  <c r="C66" i="88"/>
  <c r="D61" i="88"/>
  <c r="E61" i="88"/>
  <c r="F61" i="88"/>
  <c r="G61" i="88"/>
  <c r="H61" i="88"/>
  <c r="I61" i="88"/>
  <c r="D62" i="88"/>
  <c r="E62" i="88"/>
  <c r="F62" i="88"/>
  <c r="G62" i="88"/>
  <c r="H62" i="88"/>
  <c r="I62" i="88"/>
  <c r="D63" i="88"/>
  <c r="E63" i="88"/>
  <c r="F63" i="88"/>
  <c r="G63" i="88"/>
  <c r="H63" i="88"/>
  <c r="I63" i="88"/>
  <c r="D64" i="88"/>
  <c r="E64" i="88"/>
  <c r="F64" i="88"/>
  <c r="G64" i="88"/>
  <c r="H64" i="88"/>
  <c r="I64" i="88"/>
  <c r="D65" i="88"/>
  <c r="E65" i="88"/>
  <c r="F65" i="88"/>
  <c r="G65" i="88"/>
  <c r="H65" i="88"/>
  <c r="I65" i="88"/>
  <c r="C65" i="88"/>
  <c r="C64" i="88"/>
  <c r="C63" i="88"/>
  <c r="C62" i="88"/>
  <c r="C61" i="88"/>
  <c r="D51" i="88"/>
  <c r="E51" i="88"/>
  <c r="F51" i="88"/>
  <c r="G51" i="88"/>
  <c r="H51" i="88"/>
  <c r="I51" i="88"/>
  <c r="D52" i="88"/>
  <c r="E52" i="88"/>
  <c r="F52" i="88"/>
  <c r="G52" i="88"/>
  <c r="H52" i="88"/>
  <c r="I52" i="88"/>
  <c r="D53" i="88"/>
  <c r="E53" i="88"/>
  <c r="F53" i="88"/>
  <c r="G53" i="88"/>
  <c r="H53" i="88"/>
  <c r="I53" i="88"/>
  <c r="D54" i="88"/>
  <c r="E54" i="88"/>
  <c r="F54" i="88"/>
  <c r="G54" i="88"/>
  <c r="H54" i="88"/>
  <c r="I54" i="88"/>
  <c r="D55" i="88"/>
  <c r="E55" i="88"/>
  <c r="F55" i="88"/>
  <c r="G55" i="88"/>
  <c r="H55" i="88"/>
  <c r="I55" i="88"/>
  <c r="D56" i="88"/>
  <c r="E56" i="88"/>
  <c r="F56" i="88"/>
  <c r="G56" i="88"/>
  <c r="H56" i="88"/>
  <c r="I56" i="88"/>
  <c r="D57" i="88"/>
  <c r="E57" i="88"/>
  <c r="F57" i="88"/>
  <c r="G57" i="88"/>
  <c r="H57" i="88"/>
  <c r="I57" i="88"/>
  <c r="D58" i="88"/>
  <c r="E58" i="88"/>
  <c r="F58" i="88"/>
  <c r="G58" i="88"/>
  <c r="H58" i="88"/>
  <c r="I58" i="88"/>
  <c r="D59" i="88"/>
  <c r="E59" i="88"/>
  <c r="F59" i="88"/>
  <c r="G59" i="88"/>
  <c r="H59" i="88"/>
  <c r="I59" i="88"/>
  <c r="D60" i="88"/>
  <c r="E60" i="88"/>
  <c r="F60" i="88"/>
  <c r="G60" i="88"/>
  <c r="H60" i="88"/>
  <c r="I60" i="88"/>
  <c r="C60" i="88"/>
  <c r="C59" i="88"/>
  <c r="C58" i="88"/>
  <c r="C57" i="88"/>
  <c r="C56" i="88"/>
  <c r="C55" i="88"/>
  <c r="C54" i="88"/>
  <c r="C53" i="88"/>
  <c r="C52" i="88"/>
  <c r="C51" i="88"/>
  <c r="J51" i="88" s="1"/>
  <c r="J71" i="88" l="1"/>
  <c r="J76" i="88"/>
  <c r="J85" i="88"/>
  <c r="J89" i="88"/>
  <c r="J54" i="88"/>
  <c r="J58" i="88"/>
  <c r="J62" i="88"/>
  <c r="J68" i="88"/>
  <c r="J74" i="88"/>
  <c r="J80" i="88"/>
  <c r="J75" i="88"/>
  <c r="J84" i="88"/>
  <c r="J88" i="88"/>
  <c r="J73" i="88"/>
  <c r="J83" i="88"/>
  <c r="J87" i="88"/>
  <c r="J56" i="88"/>
  <c r="J60" i="88"/>
  <c r="J64" i="88"/>
  <c r="J66" i="88"/>
  <c r="J70" i="88"/>
  <c r="J72" i="88"/>
  <c r="J77" i="88"/>
  <c r="J82" i="88"/>
  <c r="J86" i="88"/>
  <c r="J90" i="88"/>
  <c r="J52" i="88"/>
  <c r="J53" i="88"/>
  <c r="J55" i="88"/>
  <c r="J57" i="88"/>
  <c r="J59" i="88"/>
  <c r="J61" i="88"/>
  <c r="J63" i="88"/>
  <c r="J67" i="88"/>
  <c r="J69" i="88"/>
  <c r="J79" i="88"/>
  <c r="J65" i="88"/>
  <c r="J81" i="88"/>
  <c r="J78" i="88"/>
  <c r="N91" i="74"/>
  <c r="D35" i="88"/>
  <c r="E35" i="88"/>
  <c r="F35" i="88"/>
  <c r="G35" i="88"/>
  <c r="H35" i="88"/>
  <c r="I35" i="88"/>
  <c r="D36" i="88"/>
  <c r="E36" i="88"/>
  <c r="F36" i="88"/>
  <c r="G36" i="88"/>
  <c r="H36" i="88"/>
  <c r="I36" i="88"/>
  <c r="D37" i="88"/>
  <c r="E37" i="88"/>
  <c r="F37" i="88"/>
  <c r="G37" i="88"/>
  <c r="H37" i="88"/>
  <c r="I37" i="88"/>
  <c r="D38" i="88"/>
  <c r="E38" i="88"/>
  <c r="F38" i="88"/>
  <c r="G38" i="88"/>
  <c r="H38" i="88"/>
  <c r="I38" i="88"/>
  <c r="D39" i="88"/>
  <c r="E39" i="88"/>
  <c r="F39" i="88"/>
  <c r="G39" i="88"/>
  <c r="H39" i="88"/>
  <c r="I39" i="88"/>
  <c r="D40" i="88"/>
  <c r="E40" i="88"/>
  <c r="F40" i="88"/>
  <c r="G40" i="88"/>
  <c r="H40" i="88"/>
  <c r="I40" i="88"/>
  <c r="D41" i="88"/>
  <c r="E41" i="88"/>
  <c r="F41" i="88"/>
  <c r="G41" i="88"/>
  <c r="H41" i="88"/>
  <c r="I41" i="88"/>
  <c r="D42" i="88"/>
  <c r="E42" i="88"/>
  <c r="F42" i="88"/>
  <c r="G42" i="88"/>
  <c r="H42" i="88"/>
  <c r="I42" i="88"/>
  <c r="D43" i="88"/>
  <c r="E43" i="88"/>
  <c r="F43" i="88"/>
  <c r="G43" i="88"/>
  <c r="H43" i="88"/>
  <c r="I43" i="88"/>
  <c r="C43" i="88"/>
  <c r="C42" i="88"/>
  <c r="C41" i="88"/>
  <c r="C40" i="88"/>
  <c r="C39" i="88"/>
  <c r="C38" i="88"/>
  <c r="C37" i="88"/>
  <c r="C36" i="88"/>
  <c r="C35" i="88"/>
  <c r="D24" i="88"/>
  <c r="E24" i="88"/>
  <c r="F24" i="88"/>
  <c r="G24" i="88"/>
  <c r="H24" i="88"/>
  <c r="I24" i="88"/>
  <c r="D25" i="88"/>
  <c r="E25" i="88"/>
  <c r="F25" i="88"/>
  <c r="G25" i="88"/>
  <c r="H25" i="88"/>
  <c r="I25" i="88"/>
  <c r="D26" i="88"/>
  <c r="E26" i="88"/>
  <c r="F26" i="88"/>
  <c r="G26" i="88"/>
  <c r="H26" i="88"/>
  <c r="I26" i="88"/>
  <c r="D27" i="88"/>
  <c r="E27" i="88"/>
  <c r="F27" i="88"/>
  <c r="G27" i="88"/>
  <c r="H27" i="88"/>
  <c r="I27" i="88"/>
  <c r="D28" i="88"/>
  <c r="E28" i="88"/>
  <c r="F28" i="88"/>
  <c r="G28" i="88"/>
  <c r="H28" i="88"/>
  <c r="I28" i="88"/>
  <c r="D29" i="88"/>
  <c r="E29" i="88"/>
  <c r="F29" i="88"/>
  <c r="G29" i="88"/>
  <c r="H29" i="88"/>
  <c r="I29" i="88"/>
  <c r="D30" i="88"/>
  <c r="E30" i="88"/>
  <c r="F30" i="88"/>
  <c r="G30" i="88"/>
  <c r="H30" i="88"/>
  <c r="I30" i="88"/>
  <c r="D31" i="88"/>
  <c r="E31" i="88"/>
  <c r="F31" i="88"/>
  <c r="G31" i="88"/>
  <c r="H31" i="88"/>
  <c r="I31" i="88"/>
  <c r="D32" i="88"/>
  <c r="E32" i="88"/>
  <c r="F32" i="88"/>
  <c r="G32" i="88"/>
  <c r="H32" i="88"/>
  <c r="I32" i="88"/>
  <c r="D33" i="88"/>
  <c r="E33" i="88"/>
  <c r="F33" i="88"/>
  <c r="G33" i="88"/>
  <c r="H33" i="88"/>
  <c r="I33" i="88"/>
  <c r="D34" i="88"/>
  <c r="E34" i="88"/>
  <c r="F34" i="88"/>
  <c r="G34" i="88"/>
  <c r="H34" i="88"/>
  <c r="I34" i="88"/>
  <c r="C34" i="88"/>
  <c r="C33" i="88"/>
  <c r="C32" i="88"/>
  <c r="C31" i="88"/>
  <c r="C30" i="88"/>
  <c r="C29" i="88"/>
  <c r="C28" i="88"/>
  <c r="C27" i="88"/>
  <c r="C26" i="88"/>
  <c r="C25" i="88"/>
  <c r="C24" i="88"/>
  <c r="D14" i="88"/>
  <c r="E14" i="88"/>
  <c r="F14" i="88"/>
  <c r="G14" i="88"/>
  <c r="H14" i="88"/>
  <c r="I14" i="88"/>
  <c r="D15" i="88"/>
  <c r="E15" i="88"/>
  <c r="F15" i="88"/>
  <c r="G15" i="88"/>
  <c r="H15" i="88"/>
  <c r="I15" i="88"/>
  <c r="D16" i="88"/>
  <c r="E16" i="88"/>
  <c r="F16" i="88"/>
  <c r="G16" i="88"/>
  <c r="H16" i="88"/>
  <c r="I16" i="88"/>
  <c r="D17" i="88"/>
  <c r="E17" i="88"/>
  <c r="F17" i="88"/>
  <c r="G17" i="88"/>
  <c r="H17" i="88"/>
  <c r="I17" i="88"/>
  <c r="D18" i="88"/>
  <c r="E18" i="88"/>
  <c r="F18" i="88"/>
  <c r="G18" i="88"/>
  <c r="H18" i="88"/>
  <c r="I18" i="88"/>
  <c r="D19" i="88"/>
  <c r="E19" i="88"/>
  <c r="F19" i="88"/>
  <c r="G19" i="88"/>
  <c r="H19" i="88"/>
  <c r="I19" i="88"/>
  <c r="D20" i="88"/>
  <c r="E20" i="88"/>
  <c r="F20" i="88"/>
  <c r="G20" i="88"/>
  <c r="H20" i="88"/>
  <c r="I20" i="88"/>
  <c r="D21" i="88"/>
  <c r="E21" i="88"/>
  <c r="F21" i="88"/>
  <c r="G21" i="88"/>
  <c r="H21" i="88"/>
  <c r="I21" i="88"/>
  <c r="D22" i="88"/>
  <c r="E22" i="88"/>
  <c r="F22" i="88"/>
  <c r="G22" i="88"/>
  <c r="H22" i="88"/>
  <c r="I22" i="88"/>
  <c r="D23" i="88"/>
  <c r="E23" i="88"/>
  <c r="F23" i="88"/>
  <c r="G23" i="88"/>
  <c r="H23" i="88"/>
  <c r="I23" i="88"/>
  <c r="C23" i="88"/>
  <c r="C22" i="88"/>
  <c r="C21" i="88"/>
  <c r="C20" i="88"/>
  <c r="C19" i="88"/>
  <c r="C18" i="88"/>
  <c r="C17" i="88"/>
  <c r="C16" i="88"/>
  <c r="C15" i="88"/>
  <c r="C14" i="88"/>
  <c r="D9" i="88"/>
  <c r="E9" i="88"/>
  <c r="F9" i="88"/>
  <c r="G9" i="88"/>
  <c r="H9" i="88"/>
  <c r="I9" i="88"/>
  <c r="D10" i="88"/>
  <c r="E10" i="88"/>
  <c r="F10" i="88"/>
  <c r="G10" i="88"/>
  <c r="H10" i="88"/>
  <c r="I10" i="88"/>
  <c r="D11" i="88"/>
  <c r="E11" i="88"/>
  <c r="F11" i="88"/>
  <c r="G11" i="88"/>
  <c r="H11" i="88"/>
  <c r="I11" i="88"/>
  <c r="D12" i="88"/>
  <c r="E12" i="88"/>
  <c r="F12" i="88"/>
  <c r="G12" i="88"/>
  <c r="H12" i="88"/>
  <c r="I12" i="88"/>
  <c r="D13" i="88"/>
  <c r="E13" i="88"/>
  <c r="F13" i="88"/>
  <c r="G13" i="88"/>
  <c r="H13" i="88"/>
  <c r="I13" i="88"/>
  <c r="C13" i="88"/>
  <c r="C12" i="88"/>
  <c r="C11" i="88"/>
  <c r="C10" i="88"/>
  <c r="C9" i="88"/>
  <c r="D5" i="88"/>
  <c r="E5" i="88"/>
  <c r="F5" i="88"/>
  <c r="G5" i="88"/>
  <c r="H5" i="88"/>
  <c r="I5" i="88"/>
  <c r="D6" i="88"/>
  <c r="E6" i="88"/>
  <c r="F6" i="88"/>
  <c r="G6" i="88"/>
  <c r="H6" i="88"/>
  <c r="I6" i="88"/>
  <c r="D7" i="88"/>
  <c r="E7" i="88"/>
  <c r="F7" i="88"/>
  <c r="G7" i="88"/>
  <c r="H7" i="88"/>
  <c r="I7" i="88"/>
  <c r="D8" i="88"/>
  <c r="E8" i="88"/>
  <c r="F8" i="88"/>
  <c r="G8" i="88"/>
  <c r="H8" i="88"/>
  <c r="I8" i="88"/>
  <c r="C8" i="88"/>
  <c r="C7" i="88"/>
  <c r="C6" i="88"/>
  <c r="C5" i="88"/>
  <c r="D4" i="88"/>
  <c r="E4" i="88"/>
  <c r="F4" i="88"/>
  <c r="G4" i="88"/>
  <c r="H4" i="88"/>
  <c r="I4" i="88"/>
  <c r="C4" i="88"/>
  <c r="S42" i="82"/>
  <c r="S40" i="82"/>
  <c r="S38" i="82"/>
  <c r="S37" i="82"/>
  <c r="S36" i="82"/>
  <c r="S35" i="82"/>
  <c r="S34" i="82"/>
  <c r="S32" i="82"/>
  <c r="S30" i="82"/>
  <c r="S28" i="82"/>
  <c r="S26" i="82"/>
  <c r="S24" i="82"/>
  <c r="S22" i="82"/>
  <c r="S20" i="82"/>
  <c r="S18" i="82"/>
  <c r="S16" i="82"/>
  <c r="S14" i="82"/>
  <c r="H52" i="82"/>
  <c r="S12" i="82"/>
  <c r="S10" i="82"/>
  <c r="S8" i="82"/>
  <c r="S6" i="82"/>
  <c r="J14" i="88" l="1"/>
  <c r="J26" i="88"/>
  <c r="J36" i="88"/>
  <c r="J40" i="88"/>
  <c r="J25" i="88"/>
  <c r="J35" i="88"/>
  <c r="J24" i="88"/>
  <c r="J28" i="88"/>
  <c r="J38" i="88"/>
  <c r="J5" i="88"/>
  <c r="J7" i="88"/>
  <c r="J9" i="88"/>
  <c r="J11" i="88"/>
  <c r="J13" i="88"/>
  <c r="J15" i="88"/>
  <c r="J17" i="88"/>
  <c r="J19" i="88"/>
  <c r="J21" i="88"/>
  <c r="J23" i="88"/>
  <c r="J27" i="88"/>
  <c r="J29" i="88"/>
  <c r="J31" i="88"/>
  <c r="J33" i="88"/>
  <c r="J37" i="88"/>
  <c r="J39" i="88"/>
  <c r="J41" i="88"/>
  <c r="J43" i="88"/>
  <c r="J4" i="88"/>
  <c r="J6" i="88"/>
  <c r="J8" i="88"/>
  <c r="J10" i="88"/>
  <c r="J12" i="88"/>
  <c r="J16" i="88"/>
  <c r="J18" i="88"/>
  <c r="J20" i="88"/>
  <c r="J22" i="88"/>
  <c r="J30" i="88"/>
  <c r="J32" i="88"/>
  <c r="J34" i="88"/>
  <c r="J42" i="88"/>
  <c r="S5" i="82"/>
  <c r="S7" i="82"/>
  <c r="S9" i="82"/>
  <c r="S11" i="82"/>
  <c r="S13" i="82"/>
  <c r="S15" i="82"/>
  <c r="S17" i="82"/>
  <c r="S19" i="82"/>
  <c r="S21" i="82"/>
  <c r="S23" i="82"/>
  <c r="S25" i="82"/>
  <c r="S27" i="82"/>
  <c r="S29" i="82"/>
  <c r="S31" i="82"/>
  <c r="S33" i="82"/>
  <c r="S39" i="82"/>
  <c r="S41" i="82"/>
  <c r="S43" i="82"/>
  <c r="C400" i="59"/>
  <c r="C390" i="59"/>
  <c r="C380" i="59"/>
  <c r="C370" i="59"/>
  <c r="C360" i="59"/>
  <c r="C350" i="59"/>
  <c r="C340" i="59"/>
  <c r="C330" i="59"/>
  <c r="C320" i="59"/>
  <c r="D35" i="60"/>
  <c r="E35" i="60"/>
  <c r="F35" i="60"/>
  <c r="G35" i="60"/>
  <c r="H35" i="60"/>
  <c r="D36" i="60"/>
  <c r="E36" i="60"/>
  <c r="F36" i="60"/>
  <c r="G36" i="60"/>
  <c r="H36" i="60"/>
  <c r="D37" i="60"/>
  <c r="E37" i="60"/>
  <c r="F37" i="60"/>
  <c r="G37" i="60"/>
  <c r="H37" i="60"/>
  <c r="D38" i="60"/>
  <c r="E38" i="60"/>
  <c r="F38" i="60"/>
  <c r="G38" i="60"/>
  <c r="H38" i="60"/>
  <c r="D39" i="60"/>
  <c r="E39" i="60"/>
  <c r="F39" i="60"/>
  <c r="G39" i="60"/>
  <c r="H39" i="60"/>
  <c r="D40" i="60"/>
  <c r="E40" i="60"/>
  <c r="F40" i="60"/>
  <c r="G40" i="60"/>
  <c r="H40" i="60"/>
  <c r="D41" i="60"/>
  <c r="E41" i="60"/>
  <c r="F41" i="60"/>
  <c r="G41" i="60"/>
  <c r="H41" i="60"/>
  <c r="D42" i="60"/>
  <c r="E42" i="60"/>
  <c r="F42" i="60"/>
  <c r="G42" i="60"/>
  <c r="H42" i="60"/>
  <c r="D43" i="60"/>
  <c r="E43" i="60"/>
  <c r="F43" i="60"/>
  <c r="G43" i="60"/>
  <c r="H43" i="60"/>
  <c r="C43" i="60"/>
  <c r="C42" i="60"/>
  <c r="C41" i="60"/>
  <c r="C40" i="60"/>
  <c r="C39" i="60"/>
  <c r="C38" i="60"/>
  <c r="C37" i="60"/>
  <c r="C36" i="60"/>
  <c r="C35" i="60"/>
  <c r="D24" i="60"/>
  <c r="E24" i="60"/>
  <c r="F24" i="60"/>
  <c r="G24" i="60"/>
  <c r="H24" i="60"/>
  <c r="D25" i="60"/>
  <c r="E25" i="60"/>
  <c r="F25" i="60"/>
  <c r="G25" i="60"/>
  <c r="H25" i="60"/>
  <c r="D26" i="60"/>
  <c r="E26" i="60"/>
  <c r="F26" i="60"/>
  <c r="G26" i="60"/>
  <c r="H26" i="60"/>
  <c r="D27" i="60"/>
  <c r="E27" i="60"/>
  <c r="F27" i="60"/>
  <c r="G27" i="60"/>
  <c r="H27" i="60"/>
  <c r="D28" i="60"/>
  <c r="E28" i="60"/>
  <c r="F28" i="60"/>
  <c r="G28" i="60"/>
  <c r="H28" i="60"/>
  <c r="D29" i="60"/>
  <c r="E29" i="60"/>
  <c r="F29" i="60"/>
  <c r="G29" i="60"/>
  <c r="H29" i="60"/>
  <c r="D30" i="60"/>
  <c r="E30" i="60"/>
  <c r="F30" i="60"/>
  <c r="G30" i="60"/>
  <c r="H30" i="60"/>
  <c r="D31" i="60"/>
  <c r="E31" i="60"/>
  <c r="F31" i="60"/>
  <c r="G31" i="60"/>
  <c r="H31" i="60"/>
  <c r="D32" i="60"/>
  <c r="E32" i="60"/>
  <c r="F32" i="60"/>
  <c r="G32" i="60"/>
  <c r="H32" i="60"/>
  <c r="D33" i="60"/>
  <c r="E33" i="60"/>
  <c r="F33" i="60"/>
  <c r="G33" i="60"/>
  <c r="H33" i="60"/>
  <c r="D34" i="60"/>
  <c r="E34" i="60"/>
  <c r="F34" i="60"/>
  <c r="G34" i="60"/>
  <c r="H34" i="60"/>
  <c r="C34" i="60"/>
  <c r="C33" i="60"/>
  <c r="C32" i="60"/>
  <c r="C31" i="60"/>
  <c r="C30" i="60"/>
  <c r="C29" i="60"/>
  <c r="C28" i="60"/>
  <c r="C27" i="60"/>
  <c r="C26" i="60"/>
  <c r="I26" i="60" s="1"/>
  <c r="C25" i="60"/>
  <c r="C24" i="60"/>
  <c r="D14" i="60"/>
  <c r="E14" i="60"/>
  <c r="F14" i="60"/>
  <c r="G14" i="60"/>
  <c r="H14" i="60"/>
  <c r="D15" i="60"/>
  <c r="E15" i="60"/>
  <c r="F15" i="60"/>
  <c r="G15" i="60"/>
  <c r="H15" i="60"/>
  <c r="D16" i="60"/>
  <c r="E16" i="60"/>
  <c r="F16" i="60"/>
  <c r="G16" i="60"/>
  <c r="H16" i="60"/>
  <c r="D17" i="60"/>
  <c r="E17" i="60"/>
  <c r="F17" i="60"/>
  <c r="G17" i="60"/>
  <c r="H17" i="60"/>
  <c r="D18" i="60"/>
  <c r="E18" i="60"/>
  <c r="F18" i="60"/>
  <c r="G18" i="60"/>
  <c r="H18" i="60"/>
  <c r="D19" i="60"/>
  <c r="E19" i="60"/>
  <c r="F19" i="60"/>
  <c r="G19" i="60"/>
  <c r="H19" i="60"/>
  <c r="D20" i="60"/>
  <c r="E20" i="60"/>
  <c r="F20" i="60"/>
  <c r="G20" i="60"/>
  <c r="H20" i="60"/>
  <c r="D21" i="60"/>
  <c r="E21" i="60"/>
  <c r="F21" i="60"/>
  <c r="G21" i="60"/>
  <c r="H21" i="60"/>
  <c r="D22" i="60"/>
  <c r="E22" i="60"/>
  <c r="F22" i="60"/>
  <c r="G22" i="60"/>
  <c r="H22" i="60"/>
  <c r="D23" i="60"/>
  <c r="E23" i="60"/>
  <c r="F23" i="60"/>
  <c r="G23" i="60"/>
  <c r="H23" i="60"/>
  <c r="C23" i="60"/>
  <c r="C22" i="60"/>
  <c r="C21" i="60"/>
  <c r="C20" i="60"/>
  <c r="I20" i="60" s="1"/>
  <c r="C19" i="60"/>
  <c r="C18" i="60"/>
  <c r="C17" i="60"/>
  <c r="C16" i="60"/>
  <c r="I16" i="60" s="1"/>
  <c r="C15" i="60"/>
  <c r="C14" i="60"/>
  <c r="D4" i="60"/>
  <c r="E4" i="60"/>
  <c r="F4" i="60"/>
  <c r="G4" i="60"/>
  <c r="H4" i="60"/>
  <c r="D5" i="60"/>
  <c r="E5" i="60"/>
  <c r="F5" i="60"/>
  <c r="G5" i="60"/>
  <c r="H5" i="60"/>
  <c r="D6" i="60"/>
  <c r="E6" i="60"/>
  <c r="F6" i="60"/>
  <c r="G6" i="60"/>
  <c r="H6" i="60"/>
  <c r="D7" i="60"/>
  <c r="E7" i="60"/>
  <c r="F7" i="60"/>
  <c r="G7" i="60"/>
  <c r="H7" i="60"/>
  <c r="D8" i="60"/>
  <c r="E8" i="60"/>
  <c r="F8" i="60"/>
  <c r="G8" i="60"/>
  <c r="H8" i="60"/>
  <c r="D9" i="60"/>
  <c r="E9" i="60"/>
  <c r="F9" i="60"/>
  <c r="G9" i="60"/>
  <c r="H9" i="60"/>
  <c r="D10" i="60"/>
  <c r="E10" i="60"/>
  <c r="F10" i="60"/>
  <c r="G10" i="60"/>
  <c r="H10" i="60"/>
  <c r="D11" i="60"/>
  <c r="E11" i="60"/>
  <c r="F11" i="60"/>
  <c r="G11" i="60"/>
  <c r="H11" i="60"/>
  <c r="D12" i="60"/>
  <c r="E12" i="60"/>
  <c r="F12" i="60"/>
  <c r="G12" i="60"/>
  <c r="H12" i="60"/>
  <c r="D13" i="60"/>
  <c r="E13" i="60"/>
  <c r="F13" i="60"/>
  <c r="G13" i="60"/>
  <c r="H13" i="60"/>
  <c r="C13" i="60"/>
  <c r="C12" i="60"/>
  <c r="C11" i="60"/>
  <c r="C10" i="60"/>
  <c r="I10" i="60" s="1"/>
  <c r="C9" i="60"/>
  <c r="C8" i="60"/>
  <c r="C7" i="60"/>
  <c r="C6" i="60"/>
  <c r="I6" i="60" s="1"/>
  <c r="C5" i="60"/>
  <c r="C4" i="60"/>
  <c r="D82" i="78"/>
  <c r="E82" i="78"/>
  <c r="D83" i="78"/>
  <c r="E83" i="78"/>
  <c r="D84" i="78"/>
  <c r="E84" i="78"/>
  <c r="D85" i="78"/>
  <c r="E85" i="78"/>
  <c r="D86" i="78"/>
  <c r="E86" i="78"/>
  <c r="D87" i="78"/>
  <c r="E87" i="78"/>
  <c r="D88" i="78"/>
  <c r="E88" i="78"/>
  <c r="D89" i="78"/>
  <c r="E89" i="78"/>
  <c r="D90" i="78"/>
  <c r="E90" i="78"/>
  <c r="C90" i="78"/>
  <c r="C89" i="78"/>
  <c r="F89" i="78" s="1"/>
  <c r="C88" i="78"/>
  <c r="C87" i="78"/>
  <c r="F87" i="78" s="1"/>
  <c r="C86" i="78"/>
  <c r="C85" i="78"/>
  <c r="F85" i="78" s="1"/>
  <c r="C84" i="78"/>
  <c r="C83" i="78"/>
  <c r="F83" i="78" s="1"/>
  <c r="C82" i="78"/>
  <c r="D52" i="78"/>
  <c r="E52" i="78"/>
  <c r="D53" i="78"/>
  <c r="E53" i="78"/>
  <c r="D54" i="78"/>
  <c r="E54" i="78"/>
  <c r="D55" i="78"/>
  <c r="E55" i="78"/>
  <c r="D56" i="78"/>
  <c r="E56" i="78"/>
  <c r="D57" i="78"/>
  <c r="E57" i="78"/>
  <c r="D58" i="78"/>
  <c r="E58" i="78"/>
  <c r="D59" i="78"/>
  <c r="E59" i="78"/>
  <c r="D60" i="78"/>
  <c r="E60" i="78"/>
  <c r="D61" i="78"/>
  <c r="E61" i="78"/>
  <c r="D62" i="78"/>
  <c r="E62" i="78"/>
  <c r="D63" i="78"/>
  <c r="E63" i="78"/>
  <c r="D64" i="78"/>
  <c r="E64" i="78"/>
  <c r="D65" i="78"/>
  <c r="E65" i="78"/>
  <c r="D66" i="78"/>
  <c r="E66" i="78"/>
  <c r="D67" i="78"/>
  <c r="E67" i="78"/>
  <c r="D68" i="78"/>
  <c r="E68" i="78"/>
  <c r="D69" i="78"/>
  <c r="E69" i="78"/>
  <c r="D70" i="78"/>
  <c r="E70" i="78"/>
  <c r="D71" i="78"/>
  <c r="E71" i="78"/>
  <c r="D72" i="78"/>
  <c r="E72" i="78"/>
  <c r="D73" i="78"/>
  <c r="E73" i="78"/>
  <c r="D74" i="78"/>
  <c r="E74" i="78"/>
  <c r="D75" i="78"/>
  <c r="E75" i="78"/>
  <c r="D76" i="78"/>
  <c r="E76" i="78"/>
  <c r="D77" i="78"/>
  <c r="E77" i="78"/>
  <c r="D78" i="78"/>
  <c r="E78" i="78"/>
  <c r="D79" i="78"/>
  <c r="E79" i="78"/>
  <c r="D80" i="78"/>
  <c r="E80" i="78"/>
  <c r="D81" i="78"/>
  <c r="E81" i="78"/>
  <c r="C81" i="78"/>
  <c r="C80" i="78"/>
  <c r="C79" i="78"/>
  <c r="F79" i="78" s="1"/>
  <c r="C78" i="78"/>
  <c r="C77" i="78"/>
  <c r="C76" i="78"/>
  <c r="C75" i="78"/>
  <c r="F75" i="78" s="1"/>
  <c r="C74" i="78"/>
  <c r="C73" i="78"/>
  <c r="C72" i="78"/>
  <c r="C71" i="78"/>
  <c r="F71" i="78" s="1"/>
  <c r="C70" i="78"/>
  <c r="C69" i="78"/>
  <c r="C68" i="78"/>
  <c r="C67" i="78"/>
  <c r="F67" i="78" s="1"/>
  <c r="C66" i="78"/>
  <c r="C65" i="78"/>
  <c r="C64" i="78"/>
  <c r="C63" i="78"/>
  <c r="F63" i="78" s="1"/>
  <c r="C62" i="78"/>
  <c r="C61" i="78"/>
  <c r="C60" i="78"/>
  <c r="C59" i="78"/>
  <c r="F59" i="78" s="1"/>
  <c r="C58" i="78"/>
  <c r="C57" i="78"/>
  <c r="C56" i="78"/>
  <c r="C55" i="78"/>
  <c r="F55" i="78" s="1"/>
  <c r="C54" i="78"/>
  <c r="C53" i="78"/>
  <c r="C52" i="78"/>
  <c r="D51" i="78"/>
  <c r="E51" i="78"/>
  <c r="C51" i="78"/>
  <c r="D43" i="78"/>
  <c r="E43" i="78"/>
  <c r="D11" i="78"/>
  <c r="E11" i="78"/>
  <c r="C11" i="78"/>
  <c r="D10" i="78"/>
  <c r="E10" i="78"/>
  <c r="C10" i="78"/>
  <c r="D35" i="78"/>
  <c r="E35" i="78"/>
  <c r="D36" i="78"/>
  <c r="E36" i="78"/>
  <c r="D37" i="78"/>
  <c r="E37" i="78"/>
  <c r="D38" i="78"/>
  <c r="E38" i="78"/>
  <c r="D39" i="78"/>
  <c r="E39" i="78"/>
  <c r="D40" i="78"/>
  <c r="E40" i="78"/>
  <c r="D41" i="78"/>
  <c r="E41" i="78"/>
  <c r="D42" i="78"/>
  <c r="E42" i="78"/>
  <c r="C43" i="78"/>
  <c r="C42" i="78"/>
  <c r="C41" i="78"/>
  <c r="C40" i="78"/>
  <c r="C39" i="78"/>
  <c r="C38" i="78"/>
  <c r="F38" i="78" s="1"/>
  <c r="C37" i="78"/>
  <c r="C36" i="78"/>
  <c r="D18" i="78"/>
  <c r="E18" i="78"/>
  <c r="D19" i="78"/>
  <c r="E19" i="78"/>
  <c r="D20" i="78"/>
  <c r="E20" i="78"/>
  <c r="D21" i="78"/>
  <c r="E21" i="78"/>
  <c r="D22" i="78"/>
  <c r="E22" i="78"/>
  <c r="D23" i="78"/>
  <c r="E23" i="78"/>
  <c r="D24" i="78"/>
  <c r="E24" i="78"/>
  <c r="D25" i="78"/>
  <c r="E25" i="78"/>
  <c r="D26" i="78"/>
  <c r="E26" i="78"/>
  <c r="D27" i="78"/>
  <c r="E27" i="78"/>
  <c r="D28" i="78"/>
  <c r="E28" i="78"/>
  <c r="D29" i="78"/>
  <c r="E29" i="78"/>
  <c r="D30" i="78"/>
  <c r="E30" i="78"/>
  <c r="D31" i="78"/>
  <c r="E31" i="78"/>
  <c r="D32" i="78"/>
  <c r="E32" i="78"/>
  <c r="D33" i="78"/>
  <c r="E33" i="78"/>
  <c r="D34" i="78"/>
  <c r="E34" i="78"/>
  <c r="C35" i="78"/>
  <c r="C34" i="78"/>
  <c r="C33" i="78"/>
  <c r="C32" i="78"/>
  <c r="C31" i="78"/>
  <c r="C30" i="78"/>
  <c r="C29" i="78"/>
  <c r="C28" i="78"/>
  <c r="F28" i="78" s="1"/>
  <c r="C27" i="78"/>
  <c r="C26" i="78"/>
  <c r="C25" i="78"/>
  <c r="C24" i="78"/>
  <c r="F24" i="78" s="1"/>
  <c r="C23" i="78"/>
  <c r="C22" i="78"/>
  <c r="C21" i="78"/>
  <c r="C20" i="78"/>
  <c r="F20" i="78" s="1"/>
  <c r="C19" i="78"/>
  <c r="D6" i="78"/>
  <c r="E6" i="78"/>
  <c r="D7" i="78"/>
  <c r="E7" i="78"/>
  <c r="D8" i="78"/>
  <c r="E8" i="78"/>
  <c r="D9" i="78"/>
  <c r="E9" i="78"/>
  <c r="D12" i="78"/>
  <c r="E12" i="78"/>
  <c r="D13" i="78"/>
  <c r="E13" i="78"/>
  <c r="D14" i="78"/>
  <c r="E14" i="78"/>
  <c r="D15" i="78"/>
  <c r="E15" i="78"/>
  <c r="D16" i="78"/>
  <c r="E16" i="78"/>
  <c r="D17" i="78"/>
  <c r="E17" i="78"/>
  <c r="C18" i="78"/>
  <c r="C17" i="78"/>
  <c r="C16" i="78"/>
  <c r="C15" i="78"/>
  <c r="C14" i="78"/>
  <c r="C13" i="78"/>
  <c r="C12" i="78"/>
  <c r="C9" i="78"/>
  <c r="C8" i="78"/>
  <c r="F8" i="78" s="1"/>
  <c r="C7" i="78"/>
  <c r="C6" i="78"/>
  <c r="F6" i="78" s="1"/>
  <c r="D5" i="78"/>
  <c r="E5" i="78"/>
  <c r="C5" i="78"/>
  <c r="D4" i="78"/>
  <c r="E4" i="78"/>
  <c r="C4" i="78"/>
  <c r="I30" i="60" l="1"/>
  <c r="I34" i="60"/>
  <c r="I35" i="60"/>
  <c r="I39" i="60"/>
  <c r="F54" i="78"/>
  <c r="F58" i="78"/>
  <c r="F62" i="78"/>
  <c r="F66" i="78"/>
  <c r="F82" i="78"/>
  <c r="I15" i="60"/>
  <c r="I19" i="60"/>
  <c r="I25" i="60"/>
  <c r="I29" i="60"/>
  <c r="I38" i="60"/>
  <c r="I42" i="60"/>
  <c r="F4" i="78"/>
  <c r="F22" i="78"/>
  <c r="F57" i="78"/>
  <c r="F69" i="78"/>
  <c r="F77" i="78"/>
  <c r="I4" i="60"/>
  <c r="I8" i="60"/>
  <c r="I12" i="60"/>
  <c r="I14" i="60"/>
  <c r="I18" i="60"/>
  <c r="I22" i="60"/>
  <c r="I24" i="60"/>
  <c r="I28" i="60"/>
  <c r="I32" i="60"/>
  <c r="I37" i="60"/>
  <c r="I41" i="60"/>
  <c r="F18" i="78"/>
  <c r="F26" i="78"/>
  <c r="F36" i="78"/>
  <c r="F53" i="78"/>
  <c r="F61" i="78"/>
  <c r="F65" i="78"/>
  <c r="F73" i="78"/>
  <c r="F81" i="78"/>
  <c r="F52" i="78"/>
  <c r="F56" i="78"/>
  <c r="F60" i="78"/>
  <c r="F64" i="78"/>
  <c r="F68" i="78"/>
  <c r="I7" i="60"/>
  <c r="I17" i="60"/>
  <c r="I27" i="60"/>
  <c r="I31" i="60"/>
  <c r="I36" i="60"/>
  <c r="I40" i="60"/>
  <c r="I5" i="60"/>
  <c r="F5" i="78"/>
  <c r="F7" i="78"/>
  <c r="F9" i="78"/>
  <c r="F13" i="78"/>
  <c r="F15" i="78"/>
  <c r="F17" i="78"/>
  <c r="F19" i="78"/>
  <c r="F21" i="78"/>
  <c r="F23" i="78"/>
  <c r="F25" i="78"/>
  <c r="F27" i="78"/>
  <c r="F29" i="78"/>
  <c r="F31" i="78"/>
  <c r="F35" i="78"/>
  <c r="F37" i="78"/>
  <c r="F70" i="78"/>
  <c r="F72" i="78"/>
  <c r="F74" i="78"/>
  <c r="F76" i="78"/>
  <c r="F78" i="78"/>
  <c r="F80" i="78"/>
  <c r="F84" i="78"/>
  <c r="F86" i="78"/>
  <c r="F88" i="78"/>
  <c r="F90" i="78"/>
  <c r="F51" i="78"/>
  <c r="I9" i="60"/>
  <c r="I11" i="60"/>
  <c r="I21" i="60"/>
  <c r="I33" i="60"/>
  <c r="F33" i="78"/>
  <c r="F39" i="78"/>
  <c r="F41" i="78"/>
  <c r="F43" i="78"/>
  <c r="F11" i="78"/>
  <c r="F12" i="78"/>
  <c r="F14" i="78"/>
  <c r="F16" i="78"/>
  <c r="F30" i="78"/>
  <c r="F32" i="78"/>
  <c r="F34" i="78"/>
  <c r="F40" i="78"/>
  <c r="F42" i="78"/>
  <c r="F10" i="78"/>
  <c r="I13" i="60"/>
  <c r="I23" i="60"/>
  <c r="C241" i="114"/>
  <c r="C235" i="114"/>
  <c r="C229" i="114"/>
  <c r="C223" i="114"/>
  <c r="C217" i="114"/>
  <c r="C211" i="114"/>
  <c r="C205" i="114"/>
  <c r="C199" i="114"/>
  <c r="C193" i="114"/>
  <c r="C187" i="114"/>
  <c r="C181" i="114"/>
  <c r="C175" i="114"/>
  <c r="C169" i="114"/>
  <c r="C163" i="114"/>
  <c r="C157" i="114"/>
  <c r="C151" i="114"/>
  <c r="C145" i="114"/>
  <c r="C139" i="114"/>
  <c r="C133" i="114"/>
  <c r="C127" i="114"/>
  <c r="C121" i="114"/>
  <c r="C115" i="114"/>
  <c r="C109" i="114"/>
  <c r="C103" i="114"/>
  <c r="C97" i="114"/>
  <c r="C91" i="114"/>
  <c r="C85" i="114"/>
  <c r="C79" i="114"/>
  <c r="C73" i="114"/>
  <c r="C67" i="114"/>
  <c r="C61" i="114"/>
  <c r="C55" i="114"/>
  <c r="C49" i="114"/>
  <c r="C43" i="114"/>
  <c r="C37" i="114"/>
  <c r="C31" i="114"/>
  <c r="C25" i="114"/>
  <c r="C19" i="114"/>
  <c r="C13" i="114"/>
  <c r="C7" i="114"/>
  <c r="C241" i="110"/>
  <c r="C235" i="110"/>
  <c r="C229" i="110"/>
  <c r="C223" i="110"/>
  <c r="C217" i="110"/>
  <c r="AD248" i="94"/>
  <c r="AD127" i="94" l="1"/>
  <c r="AD187" i="94"/>
  <c r="AD247" i="94"/>
  <c r="U244" i="114"/>
  <c r="V245" i="114"/>
  <c r="W219" i="114"/>
  <c r="U219" i="114"/>
  <c r="V219" i="114"/>
  <c r="W225" i="114"/>
  <c r="U225" i="114"/>
  <c r="V225" i="114"/>
  <c r="V231" i="114"/>
  <c r="W231" i="114"/>
  <c r="U231" i="114"/>
  <c r="V237" i="114"/>
  <c r="W237" i="114"/>
  <c r="U237" i="114"/>
  <c r="V243" i="114"/>
  <c r="W243" i="114"/>
  <c r="U243" i="114"/>
  <c r="V218" i="114"/>
  <c r="W218" i="114"/>
  <c r="U218" i="114"/>
  <c r="V224" i="114"/>
  <c r="U224" i="114"/>
  <c r="W224" i="114"/>
  <c r="W230" i="114"/>
  <c r="U230" i="114"/>
  <c r="V230" i="114"/>
  <c r="W236" i="114"/>
  <c r="U236" i="114"/>
  <c r="V236" i="114"/>
  <c r="W242" i="114"/>
  <c r="U242" i="114"/>
  <c r="V242" i="114"/>
  <c r="B44" i="120"/>
  <c r="L44" i="120"/>
  <c r="M44" i="120"/>
  <c r="N44" i="120"/>
  <c r="O44" i="120"/>
  <c r="P44" i="120"/>
  <c r="B45" i="120"/>
  <c r="L45" i="120"/>
  <c r="M45" i="120"/>
  <c r="N45" i="120"/>
  <c r="O45" i="120"/>
  <c r="P45" i="120"/>
  <c r="B46" i="120"/>
  <c r="L46" i="120"/>
  <c r="M46" i="120"/>
  <c r="N46" i="120"/>
  <c r="O46" i="120"/>
  <c r="P46" i="120"/>
  <c r="B47" i="120"/>
  <c r="L47" i="120"/>
  <c r="M47" i="120"/>
  <c r="N47" i="120"/>
  <c r="O47" i="120"/>
  <c r="P47" i="120"/>
  <c r="B48" i="120"/>
  <c r="L48" i="120"/>
  <c r="M48" i="120"/>
  <c r="N48" i="120"/>
  <c r="O48" i="120"/>
  <c r="P48" i="120"/>
  <c r="B44" i="119"/>
  <c r="L44" i="119"/>
  <c r="M44" i="119"/>
  <c r="N44" i="119"/>
  <c r="O44" i="119"/>
  <c r="P44" i="119"/>
  <c r="B45" i="119"/>
  <c r="L45" i="119"/>
  <c r="M45" i="119"/>
  <c r="N45" i="119"/>
  <c r="O45" i="119"/>
  <c r="P45" i="119"/>
  <c r="B46" i="119"/>
  <c r="L46" i="119"/>
  <c r="M46" i="119"/>
  <c r="N46" i="119"/>
  <c r="O46" i="119"/>
  <c r="P46" i="119"/>
  <c r="B47" i="119"/>
  <c r="L47" i="119"/>
  <c r="M47" i="119"/>
  <c r="N47" i="119"/>
  <c r="O47" i="119"/>
  <c r="P47" i="119"/>
  <c r="B48" i="119"/>
  <c r="L48" i="119"/>
  <c r="M48" i="119"/>
  <c r="N48" i="119"/>
  <c r="O48" i="119"/>
  <c r="P48" i="119"/>
  <c r="B44" i="118"/>
  <c r="L44" i="118"/>
  <c r="M44" i="118"/>
  <c r="N44" i="118"/>
  <c r="O44" i="118"/>
  <c r="P44" i="118"/>
  <c r="B45" i="118"/>
  <c r="L45" i="118"/>
  <c r="M45" i="118"/>
  <c r="N45" i="118"/>
  <c r="O45" i="118"/>
  <c r="P45" i="118"/>
  <c r="B46" i="118"/>
  <c r="L46" i="118"/>
  <c r="M46" i="118"/>
  <c r="N46" i="118"/>
  <c r="O46" i="118"/>
  <c r="P46" i="118"/>
  <c r="B47" i="118"/>
  <c r="L47" i="118"/>
  <c r="M47" i="118"/>
  <c r="N47" i="118"/>
  <c r="O47" i="118"/>
  <c r="P47" i="118"/>
  <c r="B48" i="118"/>
  <c r="L48" i="118"/>
  <c r="M48" i="118"/>
  <c r="N48" i="118"/>
  <c r="O48" i="118"/>
  <c r="P48" i="118"/>
  <c r="B44" i="116"/>
  <c r="L44" i="116"/>
  <c r="M44" i="116"/>
  <c r="N44" i="116"/>
  <c r="O44" i="116"/>
  <c r="P44" i="116"/>
  <c r="B45" i="116"/>
  <c r="L45" i="116"/>
  <c r="M45" i="116"/>
  <c r="N45" i="116"/>
  <c r="O45" i="116"/>
  <c r="P45" i="116"/>
  <c r="B46" i="116"/>
  <c r="L46" i="116"/>
  <c r="M46" i="116"/>
  <c r="N46" i="116"/>
  <c r="O46" i="116"/>
  <c r="P46" i="116"/>
  <c r="B47" i="116"/>
  <c r="L47" i="116"/>
  <c r="M47" i="116"/>
  <c r="N47" i="116"/>
  <c r="O47" i="116"/>
  <c r="P47" i="116"/>
  <c r="B48" i="116"/>
  <c r="L48" i="116"/>
  <c r="M48" i="116"/>
  <c r="N48" i="116"/>
  <c r="O48" i="116"/>
  <c r="P48" i="116"/>
  <c r="L434" i="74"/>
  <c r="L433" i="74"/>
  <c r="L432" i="74"/>
  <c r="AH235" i="114" l="1"/>
  <c r="AI235" i="114" s="1"/>
  <c r="AH229" i="114"/>
  <c r="AI229" i="114" s="1"/>
  <c r="AH223" i="114"/>
  <c r="AI223" i="114" s="1"/>
  <c r="AH217" i="114"/>
  <c r="AI217" i="114" s="1"/>
  <c r="AH241" i="114"/>
  <c r="AI241" i="114" s="1"/>
  <c r="V241" i="114"/>
  <c r="H184" i="110"/>
  <c r="H181" i="110"/>
  <c r="H244" i="110"/>
  <c r="H241" i="110"/>
  <c r="H121" i="110"/>
  <c r="H124" i="110"/>
  <c r="V244" i="114"/>
  <c r="W244" i="114"/>
  <c r="W245" i="114"/>
  <c r="W241" i="114"/>
  <c r="U245" i="114"/>
  <c r="U241" i="114"/>
  <c r="V235" i="114"/>
  <c r="W235" i="114"/>
  <c r="U235" i="114"/>
  <c r="V226" i="114"/>
  <c r="W226" i="114"/>
  <c r="U226" i="114"/>
  <c r="W217" i="114"/>
  <c r="U217" i="114"/>
  <c r="V217" i="114"/>
  <c r="V220" i="114"/>
  <c r="W220" i="114"/>
  <c r="U220" i="114"/>
  <c r="W221" i="114"/>
  <c r="U221" i="114"/>
  <c r="V221" i="114"/>
  <c r="V239" i="114"/>
  <c r="W239" i="114"/>
  <c r="U239" i="114"/>
  <c r="I45" i="130"/>
  <c r="V233" i="114"/>
  <c r="W233" i="114"/>
  <c r="U233" i="114"/>
  <c r="W227" i="114"/>
  <c r="U227" i="114"/>
  <c r="V227" i="114"/>
  <c r="U246" i="114"/>
  <c r="W238" i="114"/>
  <c r="U238" i="114"/>
  <c r="V238" i="114"/>
  <c r="W232" i="114"/>
  <c r="U232" i="114"/>
  <c r="V232" i="114"/>
  <c r="V229" i="114"/>
  <c r="W229" i="114"/>
  <c r="U229" i="114"/>
  <c r="W223" i="114"/>
  <c r="U223" i="114"/>
  <c r="V223" i="114"/>
  <c r="I41" i="130"/>
  <c r="J475" i="74"/>
  <c r="C449" i="74" s="1"/>
  <c r="H474" i="74"/>
  <c r="C448" i="74" s="1"/>
  <c r="R463" i="74"/>
  <c r="P462" i="74"/>
  <c r="L420" i="74"/>
  <c r="L419" i="74"/>
  <c r="L418" i="74"/>
  <c r="L417" i="74"/>
  <c r="C420" i="74"/>
  <c r="C419" i="74"/>
  <c r="C418" i="74"/>
  <c r="C417" i="74"/>
  <c r="B7" i="125"/>
  <c r="B8" i="125"/>
  <c r="B9" i="125"/>
  <c r="B10" i="125"/>
  <c r="B11" i="125"/>
  <c r="B12" i="125"/>
  <c r="B13" i="125"/>
  <c r="B14" i="125"/>
  <c r="B15" i="125"/>
  <c r="B16" i="125"/>
  <c r="B17" i="125"/>
  <c r="B18" i="125"/>
  <c r="B19" i="125"/>
  <c r="B20" i="125"/>
  <c r="B21" i="125"/>
  <c r="B22" i="125"/>
  <c r="B23" i="125"/>
  <c r="B24" i="125"/>
  <c r="B25" i="125"/>
  <c r="B26" i="125"/>
  <c r="B27" i="125"/>
  <c r="B28" i="125"/>
  <c r="B29" i="125"/>
  <c r="B30" i="125"/>
  <c r="B31" i="125"/>
  <c r="B32" i="125"/>
  <c r="B33" i="125"/>
  <c r="B34" i="125"/>
  <c r="B35" i="125"/>
  <c r="B36" i="125"/>
  <c r="B37" i="125"/>
  <c r="B38" i="125"/>
  <c r="B39" i="125"/>
  <c r="B40" i="125"/>
  <c r="B41" i="125"/>
  <c r="B42" i="125"/>
  <c r="B43" i="125"/>
  <c r="B44" i="125"/>
  <c r="B45" i="125"/>
  <c r="B6" i="125"/>
  <c r="K410" i="74"/>
  <c r="K409" i="74"/>
  <c r="K408" i="74"/>
  <c r="K407" i="74"/>
  <c r="Q399" i="74"/>
  <c r="K400" i="74"/>
  <c r="Q400" i="74"/>
  <c r="K399" i="74"/>
  <c r="A390" i="74"/>
  <c r="M385" i="74"/>
  <c r="M384" i="74"/>
  <c r="M383" i="74"/>
  <c r="M382" i="74"/>
  <c r="M381" i="74"/>
  <c r="M380" i="74"/>
  <c r="I43" i="130" l="1"/>
  <c r="I42" i="130"/>
  <c r="I44" i="130"/>
  <c r="J241" i="110"/>
  <c r="I241" i="110"/>
  <c r="J244" i="110"/>
  <c r="I244" i="110"/>
  <c r="V228" i="114"/>
  <c r="V246" i="114"/>
  <c r="U228" i="114"/>
  <c r="V240" i="114"/>
  <c r="U240" i="114"/>
  <c r="U222" i="114"/>
  <c r="V222" i="114"/>
  <c r="V234" i="114"/>
  <c r="U234" i="114"/>
  <c r="C282" i="103"/>
  <c r="C275" i="103"/>
  <c r="C268" i="103"/>
  <c r="C261" i="103"/>
  <c r="C254" i="103"/>
  <c r="C247" i="103"/>
  <c r="C240" i="103"/>
  <c r="C233" i="103"/>
  <c r="C226" i="103"/>
  <c r="C219" i="103"/>
  <c r="C212" i="103"/>
  <c r="C205" i="103"/>
  <c r="C198" i="103"/>
  <c r="C191" i="103"/>
  <c r="C184" i="103"/>
  <c r="C177" i="103"/>
  <c r="C170" i="103"/>
  <c r="C163" i="103"/>
  <c r="C156" i="103"/>
  <c r="C149" i="103"/>
  <c r="C142" i="103"/>
  <c r="C135" i="103"/>
  <c r="C128" i="103"/>
  <c r="C121" i="103"/>
  <c r="C114" i="103"/>
  <c r="C107" i="103"/>
  <c r="C100" i="103"/>
  <c r="C93" i="103"/>
  <c r="C86" i="103"/>
  <c r="C79" i="103"/>
  <c r="C72" i="103"/>
  <c r="C65" i="103"/>
  <c r="C58" i="103"/>
  <c r="C51" i="103"/>
  <c r="C44" i="103"/>
  <c r="C37" i="103"/>
  <c r="C30" i="103"/>
  <c r="C23" i="103"/>
  <c r="C16" i="103"/>
  <c r="C9" i="103"/>
  <c r="C475" i="86"/>
  <c r="C463" i="86"/>
  <c r="C451" i="86"/>
  <c r="C439" i="86"/>
  <c r="C427" i="86"/>
  <c r="C415" i="86"/>
  <c r="C403" i="86"/>
  <c r="C391" i="86"/>
  <c r="C379" i="86"/>
  <c r="C367" i="86"/>
  <c r="C355" i="86"/>
  <c r="C343" i="86"/>
  <c r="C331" i="86"/>
  <c r="C319" i="86"/>
  <c r="C307" i="86"/>
  <c r="C295" i="86"/>
  <c r="C283" i="86"/>
  <c r="C271" i="86"/>
  <c r="C259" i="86"/>
  <c r="C247" i="86"/>
  <c r="C235" i="86"/>
  <c r="C223" i="86"/>
  <c r="C211" i="86"/>
  <c r="C199" i="86"/>
  <c r="C187" i="86"/>
  <c r="C175" i="86"/>
  <c r="C163" i="86"/>
  <c r="C151" i="86"/>
  <c r="C139" i="86"/>
  <c r="C127" i="86"/>
  <c r="C115" i="86"/>
  <c r="C103" i="86"/>
  <c r="C91" i="86"/>
  <c r="C79" i="86"/>
  <c r="C67" i="86"/>
  <c r="C55" i="86"/>
  <c r="C43" i="86"/>
  <c r="C31" i="86"/>
  <c r="C19" i="86"/>
  <c r="C7" i="86"/>
  <c r="C205" i="81"/>
  <c r="C200" i="81"/>
  <c r="C195" i="81"/>
  <c r="C190" i="81"/>
  <c r="C185" i="81"/>
  <c r="C180" i="81"/>
  <c r="C175" i="81"/>
  <c r="C170" i="81"/>
  <c r="C165" i="81"/>
  <c r="C160" i="81"/>
  <c r="C155" i="81"/>
  <c r="C150" i="81"/>
  <c r="C145" i="81"/>
  <c r="C140" i="81"/>
  <c r="C135" i="81"/>
  <c r="C130" i="81"/>
  <c r="C125" i="81"/>
  <c r="C120" i="81"/>
  <c r="C115" i="81"/>
  <c r="C110" i="81"/>
  <c r="C105" i="81"/>
  <c r="C100" i="81"/>
  <c r="C95" i="81"/>
  <c r="C90" i="81"/>
  <c r="C85" i="81"/>
  <c r="C80" i="81"/>
  <c r="C75" i="81"/>
  <c r="C70" i="81"/>
  <c r="C65" i="81"/>
  <c r="C60" i="81"/>
  <c r="C55" i="81"/>
  <c r="C50" i="81"/>
  <c r="C45" i="81"/>
  <c r="C40" i="81"/>
  <c r="C35" i="81"/>
  <c r="C30" i="81"/>
  <c r="C25" i="81"/>
  <c r="C20" i="81"/>
  <c r="C15" i="81"/>
  <c r="C10" i="81"/>
  <c r="K244" i="110" l="1"/>
  <c r="M244" i="110"/>
  <c r="L244" i="110"/>
  <c r="M241" i="110"/>
  <c r="L241" i="110"/>
  <c r="K241" i="110"/>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B11" i="107"/>
  <c r="B10" i="107"/>
  <c r="B9" i="107"/>
  <c r="B48" i="106"/>
  <c r="B47" i="106"/>
  <c r="B46" i="106"/>
  <c r="B45" i="106"/>
  <c r="B44" i="106"/>
  <c r="B43" i="106"/>
  <c r="B42" i="106"/>
  <c r="B41" i="106"/>
  <c r="B40" i="106"/>
  <c r="B39" i="106"/>
  <c r="B38" i="106"/>
  <c r="B37" i="106"/>
  <c r="B36" i="106"/>
  <c r="B35" i="106"/>
  <c r="B34" i="106"/>
  <c r="B33" i="106"/>
  <c r="B32" i="106"/>
  <c r="B31" i="106"/>
  <c r="B30" i="106"/>
  <c r="B29" i="106"/>
  <c r="B28" i="106"/>
  <c r="B27" i="106"/>
  <c r="B26" i="106"/>
  <c r="B25" i="106"/>
  <c r="B24" i="106"/>
  <c r="B23" i="106"/>
  <c r="B22" i="106"/>
  <c r="B21" i="106"/>
  <c r="B20" i="106"/>
  <c r="B19" i="106"/>
  <c r="B18" i="106"/>
  <c r="B17" i="106"/>
  <c r="B16" i="106"/>
  <c r="B15" i="106"/>
  <c r="B14" i="106"/>
  <c r="B13" i="106"/>
  <c r="B12" i="106"/>
  <c r="B11" i="106"/>
  <c r="B10" i="106"/>
  <c r="B9" i="106"/>
  <c r="B48" i="105"/>
  <c r="B47" i="105"/>
  <c r="B46" i="105"/>
  <c r="B45" i="105"/>
  <c r="B44" i="105"/>
  <c r="B43" i="105"/>
  <c r="B42" i="105"/>
  <c r="B41" i="105"/>
  <c r="B40" i="105"/>
  <c r="B39" i="105"/>
  <c r="B38" i="105"/>
  <c r="B37" i="105"/>
  <c r="B36" i="105"/>
  <c r="B35" i="105"/>
  <c r="B34" i="105"/>
  <c r="B33" i="105"/>
  <c r="B32" i="105"/>
  <c r="B31" i="105"/>
  <c r="B30" i="105"/>
  <c r="B29" i="105"/>
  <c r="B28" i="105"/>
  <c r="B27" i="105"/>
  <c r="B26" i="105"/>
  <c r="B25" i="105"/>
  <c r="B24" i="105"/>
  <c r="B23" i="105"/>
  <c r="B22" i="105"/>
  <c r="B21" i="105"/>
  <c r="B20" i="105"/>
  <c r="B19" i="105"/>
  <c r="B18" i="105"/>
  <c r="B17" i="105"/>
  <c r="B16" i="105"/>
  <c r="B15" i="105"/>
  <c r="B14" i="105"/>
  <c r="B13" i="105"/>
  <c r="B12" i="105"/>
  <c r="B11" i="105"/>
  <c r="B10" i="105"/>
  <c r="B9" i="105"/>
  <c r="B10" i="104"/>
  <c r="B11" i="104"/>
  <c r="B12" i="104"/>
  <c r="B13" i="104"/>
  <c r="B14" i="104"/>
  <c r="B15" i="104"/>
  <c r="B16" i="104"/>
  <c r="B17" i="104"/>
  <c r="B18" i="104"/>
  <c r="B19" i="104"/>
  <c r="B20" i="104"/>
  <c r="B21" i="104"/>
  <c r="B22" i="104"/>
  <c r="B23" i="104"/>
  <c r="B24" i="104"/>
  <c r="B25" i="104"/>
  <c r="B26" i="104"/>
  <c r="B27" i="104"/>
  <c r="B28" i="104"/>
  <c r="B29" i="104"/>
  <c r="B30" i="104"/>
  <c r="B31" i="104"/>
  <c r="B32" i="104"/>
  <c r="B33" i="104"/>
  <c r="B34" i="104"/>
  <c r="B35" i="104"/>
  <c r="B36" i="104"/>
  <c r="B37" i="104"/>
  <c r="B38" i="104"/>
  <c r="B39" i="104"/>
  <c r="B40" i="104"/>
  <c r="B41" i="104"/>
  <c r="B42" i="104"/>
  <c r="B43" i="104"/>
  <c r="B44" i="104"/>
  <c r="B45" i="104"/>
  <c r="B46" i="104"/>
  <c r="B47" i="104"/>
  <c r="B48" i="104"/>
  <c r="B9" i="104"/>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10" i="107"/>
  <c r="P11" i="107"/>
  <c r="P12" i="107"/>
  <c r="P13" i="107"/>
  <c r="P14" i="107"/>
  <c r="P15" i="107"/>
  <c r="P16" i="107"/>
  <c r="P17" i="107"/>
  <c r="P18" i="107"/>
  <c r="P19" i="107"/>
  <c r="P20" i="107"/>
  <c r="P21" i="107"/>
  <c r="P22" i="107"/>
  <c r="P23" i="107"/>
  <c r="P24" i="107"/>
  <c r="P25" i="107"/>
  <c r="P26" i="107"/>
  <c r="P27" i="107"/>
  <c r="P28" i="107"/>
  <c r="P29" i="107"/>
  <c r="P30" i="107"/>
  <c r="P31" i="107"/>
  <c r="P32" i="107"/>
  <c r="P33" i="107"/>
  <c r="P34" i="107"/>
  <c r="P35" i="107"/>
  <c r="P36" i="107"/>
  <c r="P37" i="107"/>
  <c r="P38" i="107"/>
  <c r="P39" i="107"/>
  <c r="P40" i="107"/>
  <c r="P41" i="107"/>
  <c r="P42" i="107"/>
  <c r="P43" i="107"/>
  <c r="P44" i="107"/>
  <c r="P45" i="107"/>
  <c r="P46" i="107"/>
  <c r="P47" i="107"/>
  <c r="P48" i="107"/>
  <c r="P10" i="106"/>
  <c r="P11" i="106"/>
  <c r="P12" i="106"/>
  <c r="P13" i="106"/>
  <c r="P14" i="106"/>
  <c r="P15" i="106"/>
  <c r="P16" i="106"/>
  <c r="P17" i="106"/>
  <c r="P18" i="106"/>
  <c r="P19" i="106"/>
  <c r="P20" i="106"/>
  <c r="P21" i="106"/>
  <c r="P22" i="106"/>
  <c r="P23" i="106"/>
  <c r="P24" i="106"/>
  <c r="P25" i="106"/>
  <c r="P26" i="106"/>
  <c r="P27" i="106"/>
  <c r="P28" i="106"/>
  <c r="P29" i="106"/>
  <c r="P30" i="106"/>
  <c r="P31" i="106"/>
  <c r="P32" i="106"/>
  <c r="P33" i="106"/>
  <c r="P34" i="106"/>
  <c r="P35" i="106"/>
  <c r="P36" i="106"/>
  <c r="P37" i="106"/>
  <c r="P38" i="106"/>
  <c r="P39" i="106"/>
  <c r="P40" i="106"/>
  <c r="P41" i="106"/>
  <c r="P42" i="106"/>
  <c r="P43" i="106"/>
  <c r="P44" i="106"/>
  <c r="P45" i="106"/>
  <c r="P46" i="106"/>
  <c r="P47" i="106"/>
  <c r="P48" i="106"/>
  <c r="C202" i="57"/>
  <c r="C197" i="57"/>
  <c r="C192" i="57"/>
  <c r="C187" i="57"/>
  <c r="C182" i="57"/>
  <c r="C319" i="84"/>
  <c r="C311" i="84"/>
  <c r="C303" i="84"/>
  <c r="C295" i="84"/>
  <c r="C287" i="84"/>
  <c r="C279" i="84"/>
  <c r="C271" i="84"/>
  <c r="C263" i="84"/>
  <c r="C255" i="84"/>
  <c r="C247" i="84"/>
  <c r="C239" i="84"/>
  <c r="C231" i="84"/>
  <c r="C223" i="84"/>
  <c r="C207" i="84"/>
  <c r="C199" i="84"/>
  <c r="C191" i="84"/>
  <c r="C183" i="84"/>
  <c r="C175" i="84"/>
  <c r="C167" i="84"/>
  <c r="C159" i="84"/>
  <c r="C151" i="84"/>
  <c r="C143" i="84"/>
  <c r="C135" i="84"/>
  <c r="C127" i="84"/>
  <c r="C119" i="84"/>
  <c r="C111" i="84"/>
  <c r="C103" i="84"/>
  <c r="C95" i="84"/>
  <c r="C87" i="84"/>
  <c r="C79" i="84"/>
  <c r="C71" i="84"/>
  <c r="C63" i="84"/>
  <c r="C55" i="84"/>
  <c r="C47" i="84"/>
  <c r="C39" i="84"/>
  <c r="C31" i="84"/>
  <c r="C23" i="84"/>
  <c r="C15" i="84"/>
  <c r="C7" i="84"/>
  <c r="L8" i="97"/>
  <c r="L9" i="97"/>
  <c r="L10" i="97"/>
  <c r="L11" i="97"/>
  <c r="L12" i="97"/>
  <c r="L13" i="97"/>
  <c r="L14" i="97"/>
  <c r="L15" i="97"/>
  <c r="L16" i="97"/>
  <c r="L17" i="97"/>
  <c r="L18" i="97"/>
  <c r="L19" i="97"/>
  <c r="L20" i="97"/>
  <c r="L21" i="97"/>
  <c r="L22" i="97"/>
  <c r="L23" i="97"/>
  <c r="L24" i="97"/>
  <c r="L25" i="97"/>
  <c r="L26" i="97"/>
  <c r="L27" i="97"/>
  <c r="L28" i="97"/>
  <c r="L29" i="97"/>
  <c r="L30" i="97"/>
  <c r="L31" i="97"/>
  <c r="L32" i="97"/>
  <c r="L33" i="97"/>
  <c r="L34" i="97"/>
  <c r="L35" i="97"/>
  <c r="L36" i="97"/>
  <c r="L37" i="97"/>
  <c r="L38" i="97"/>
  <c r="L39" i="97"/>
  <c r="L40" i="97"/>
  <c r="P40" i="97" s="1"/>
  <c r="L41" i="97"/>
  <c r="P41" i="97" s="1"/>
  <c r="L42" i="97"/>
  <c r="L43" i="97"/>
  <c r="L44" i="97"/>
  <c r="P44" i="97" s="1"/>
  <c r="L45" i="97"/>
  <c r="P45" i="97" s="1"/>
  <c r="L46" i="97"/>
  <c r="L7" i="97"/>
  <c r="M8" i="97"/>
  <c r="N8" i="97"/>
  <c r="O8" i="97"/>
  <c r="M9" i="97"/>
  <c r="N9" i="97"/>
  <c r="O9" i="97"/>
  <c r="M10" i="97"/>
  <c r="N10" i="97"/>
  <c r="O10" i="97"/>
  <c r="M11" i="97"/>
  <c r="N11" i="97"/>
  <c r="O11" i="97"/>
  <c r="M12" i="97"/>
  <c r="N12" i="97"/>
  <c r="O12" i="97"/>
  <c r="M13" i="97"/>
  <c r="N13" i="97"/>
  <c r="O13" i="97"/>
  <c r="M14" i="97"/>
  <c r="N14" i="97"/>
  <c r="O14" i="97"/>
  <c r="M15" i="97"/>
  <c r="N15" i="97"/>
  <c r="O15" i="97"/>
  <c r="M16" i="97"/>
  <c r="N16" i="97"/>
  <c r="O16" i="97"/>
  <c r="M17" i="97"/>
  <c r="N17" i="97"/>
  <c r="O17" i="97"/>
  <c r="M18" i="97"/>
  <c r="N18" i="97"/>
  <c r="O18" i="97"/>
  <c r="M19" i="97"/>
  <c r="N19" i="97"/>
  <c r="O19" i="97"/>
  <c r="M20" i="97"/>
  <c r="N20" i="97"/>
  <c r="O20" i="97"/>
  <c r="M21" i="97"/>
  <c r="N21" i="97"/>
  <c r="O21" i="97"/>
  <c r="M22" i="97"/>
  <c r="N22" i="97"/>
  <c r="O22" i="97"/>
  <c r="M23" i="97"/>
  <c r="N23" i="97"/>
  <c r="O23" i="97"/>
  <c r="M24" i="97"/>
  <c r="N24" i="97"/>
  <c r="O24" i="97"/>
  <c r="M25" i="97"/>
  <c r="N25" i="97"/>
  <c r="O25" i="97"/>
  <c r="M26" i="97"/>
  <c r="N26" i="97"/>
  <c r="O26" i="97"/>
  <c r="M27" i="97"/>
  <c r="N27" i="97"/>
  <c r="O27" i="97"/>
  <c r="M28" i="97"/>
  <c r="N28" i="97"/>
  <c r="O28" i="97"/>
  <c r="M29" i="97"/>
  <c r="N29" i="97"/>
  <c r="O29" i="97"/>
  <c r="M30" i="97"/>
  <c r="N30" i="97"/>
  <c r="O30" i="97"/>
  <c r="M31" i="97"/>
  <c r="N31" i="97"/>
  <c r="O31" i="97"/>
  <c r="M32" i="97"/>
  <c r="N32" i="97"/>
  <c r="O32" i="97"/>
  <c r="M33" i="97"/>
  <c r="N33" i="97"/>
  <c r="O33" i="97"/>
  <c r="M34" i="97"/>
  <c r="N34" i="97"/>
  <c r="O34" i="97"/>
  <c r="M35" i="97"/>
  <c r="N35" i="97"/>
  <c r="O35" i="97"/>
  <c r="M36" i="97"/>
  <c r="N36" i="97"/>
  <c r="O36" i="97"/>
  <c r="M37" i="97"/>
  <c r="N37" i="97"/>
  <c r="O37" i="97"/>
  <c r="M38" i="97"/>
  <c r="N38" i="97"/>
  <c r="O38" i="97"/>
  <c r="M39" i="97"/>
  <c r="N39" i="97"/>
  <c r="O39" i="97"/>
  <c r="M40" i="97"/>
  <c r="N40" i="97"/>
  <c r="O40" i="97"/>
  <c r="M41" i="97"/>
  <c r="N41" i="97"/>
  <c r="O41" i="97"/>
  <c r="M42" i="97"/>
  <c r="N42" i="97"/>
  <c r="O42" i="97"/>
  <c r="M43" i="97"/>
  <c r="N43" i="97"/>
  <c r="O43" i="97"/>
  <c r="M44" i="97"/>
  <c r="N44" i="97"/>
  <c r="O44" i="97"/>
  <c r="M45" i="97"/>
  <c r="N45" i="97"/>
  <c r="O45" i="97"/>
  <c r="M46" i="97"/>
  <c r="N46" i="97"/>
  <c r="O46" i="97"/>
  <c r="O7" i="97"/>
  <c r="N7" i="97"/>
  <c r="M7" i="97"/>
  <c r="M8" i="85"/>
  <c r="M9" i="85"/>
  <c r="M10" i="85"/>
  <c r="M11" i="85"/>
  <c r="M12" i="85"/>
  <c r="M13" i="85"/>
  <c r="M14" i="85"/>
  <c r="M15" i="85"/>
  <c r="M16" i="85"/>
  <c r="M17" i="85"/>
  <c r="M18" i="85"/>
  <c r="M19" i="85"/>
  <c r="M20" i="85"/>
  <c r="M21" i="85"/>
  <c r="M22" i="85"/>
  <c r="M23" i="85"/>
  <c r="M24" i="85"/>
  <c r="M25" i="85"/>
  <c r="M26" i="85"/>
  <c r="M27" i="85"/>
  <c r="M28" i="85"/>
  <c r="M29" i="85"/>
  <c r="M30" i="85"/>
  <c r="M31" i="85"/>
  <c r="M32" i="85"/>
  <c r="M33" i="85"/>
  <c r="M34" i="85"/>
  <c r="M35" i="85"/>
  <c r="M36" i="85"/>
  <c r="M37" i="85"/>
  <c r="M38" i="85"/>
  <c r="M39" i="85"/>
  <c r="M40" i="85"/>
  <c r="M41" i="85"/>
  <c r="M42" i="85"/>
  <c r="M43" i="85"/>
  <c r="M44" i="85"/>
  <c r="M45" i="85"/>
  <c r="M46" i="85"/>
  <c r="M7" i="85"/>
  <c r="O7" i="95"/>
  <c r="P12" i="95"/>
  <c r="P13" i="95"/>
  <c r="P14" i="95"/>
  <c r="P15" i="95"/>
  <c r="P16" i="95"/>
  <c r="P17" i="95"/>
  <c r="P18" i="95"/>
  <c r="P19" i="95"/>
  <c r="P20" i="95"/>
  <c r="P21" i="95"/>
  <c r="P22" i="95"/>
  <c r="P23" i="95"/>
  <c r="P24" i="95"/>
  <c r="P25" i="95"/>
  <c r="P26" i="95"/>
  <c r="P27" i="95"/>
  <c r="P28" i="95"/>
  <c r="P29" i="95"/>
  <c r="P30" i="95"/>
  <c r="P31" i="95"/>
  <c r="P32" i="95"/>
  <c r="P33" i="95"/>
  <c r="P34" i="95"/>
  <c r="P35" i="95"/>
  <c r="P36" i="95"/>
  <c r="P37" i="95"/>
  <c r="P38" i="95"/>
  <c r="P39" i="95"/>
  <c r="P40" i="95"/>
  <c r="P41" i="95"/>
  <c r="P42" i="95"/>
  <c r="P43" i="95"/>
  <c r="P44" i="95"/>
  <c r="P45" i="95"/>
  <c r="P46" i="95"/>
  <c r="P38" i="97"/>
  <c r="P39" i="97"/>
  <c r="P42" i="97"/>
  <c r="P43" i="97"/>
  <c r="P46" i="97"/>
  <c r="B38" i="96"/>
  <c r="P38" i="96"/>
  <c r="B39" i="96"/>
  <c r="P39" i="96"/>
  <c r="B40" i="96"/>
  <c r="P40" i="96"/>
  <c r="B41" i="96"/>
  <c r="P41" i="96"/>
  <c r="B42" i="96"/>
  <c r="P42" i="96"/>
  <c r="B43" i="96"/>
  <c r="P43" i="96"/>
  <c r="B44" i="96"/>
  <c r="P44" i="96"/>
  <c r="B45" i="96"/>
  <c r="P45" i="96"/>
  <c r="B46" i="96"/>
  <c r="P46" i="96"/>
  <c r="B39" i="95"/>
  <c r="B40" i="95"/>
  <c r="B41" i="95"/>
  <c r="B42" i="95"/>
  <c r="B43" i="95"/>
  <c r="B44" i="95"/>
  <c r="B45" i="95"/>
  <c r="B46" i="95"/>
  <c r="B33" i="95"/>
  <c r="B34" i="95"/>
  <c r="B35" i="95"/>
  <c r="B36" i="95"/>
  <c r="B37" i="95"/>
  <c r="B38" i="95"/>
  <c r="B38" i="85"/>
  <c r="N38" i="85"/>
  <c r="O38" i="85"/>
  <c r="B39" i="85"/>
  <c r="N39" i="85"/>
  <c r="O39" i="85"/>
  <c r="B40" i="85"/>
  <c r="N40" i="85"/>
  <c r="O40" i="85"/>
  <c r="B41" i="85"/>
  <c r="N41" i="85"/>
  <c r="O41" i="85"/>
  <c r="B42" i="85"/>
  <c r="N42" i="85"/>
  <c r="O42" i="85"/>
  <c r="B43" i="85"/>
  <c r="N43" i="85"/>
  <c r="O43" i="85"/>
  <c r="B44" i="85"/>
  <c r="N44" i="85"/>
  <c r="O44" i="85"/>
  <c r="B45" i="85"/>
  <c r="N45" i="85"/>
  <c r="O45" i="85"/>
  <c r="B46" i="85"/>
  <c r="N46" i="85"/>
  <c r="O46" i="85"/>
  <c r="C241" i="79"/>
  <c r="C235" i="79"/>
  <c r="C229" i="79"/>
  <c r="C223" i="79"/>
  <c r="C217" i="79"/>
  <c r="C211" i="79"/>
  <c r="C205" i="79"/>
  <c r="C199" i="79"/>
  <c r="C193" i="79"/>
  <c r="C187" i="79"/>
  <c r="C181" i="79"/>
  <c r="C175" i="79"/>
  <c r="C169" i="79"/>
  <c r="C163" i="79"/>
  <c r="C157" i="79"/>
  <c r="C151" i="79"/>
  <c r="C145" i="79"/>
  <c r="C139" i="79"/>
  <c r="C133" i="79"/>
  <c r="C127" i="79"/>
  <c r="C121" i="79"/>
  <c r="C115" i="79"/>
  <c r="C109" i="79"/>
  <c r="C103" i="79"/>
  <c r="C97" i="79"/>
  <c r="C91" i="79"/>
  <c r="C85" i="79"/>
  <c r="C79" i="79"/>
  <c r="C73" i="79"/>
  <c r="C67" i="79"/>
  <c r="C61" i="79"/>
  <c r="C55" i="79"/>
  <c r="C49" i="79"/>
  <c r="C43" i="79"/>
  <c r="C37" i="79"/>
  <c r="C31" i="79"/>
  <c r="C25" i="79"/>
  <c r="C19" i="79"/>
  <c r="C13" i="79"/>
  <c r="C163" i="76"/>
  <c r="C159" i="76"/>
  <c r="C155" i="76"/>
  <c r="C151" i="76"/>
  <c r="C147" i="76"/>
  <c r="C143" i="76"/>
  <c r="C139" i="76"/>
  <c r="C135" i="76"/>
  <c r="C131" i="76"/>
  <c r="C127" i="76"/>
  <c r="C123" i="76"/>
  <c r="C119" i="76"/>
  <c r="C115" i="76"/>
  <c r="C111" i="76"/>
  <c r="C107" i="76"/>
  <c r="C103" i="76"/>
  <c r="C99" i="76"/>
  <c r="C95" i="76"/>
  <c r="C91" i="76"/>
  <c r="C87" i="76"/>
  <c r="C83" i="76"/>
  <c r="C79" i="76"/>
  <c r="C75" i="76"/>
  <c r="C71" i="76"/>
  <c r="C67" i="76"/>
  <c r="C63" i="76"/>
  <c r="C59" i="76"/>
  <c r="C55" i="76"/>
  <c r="C51" i="76"/>
  <c r="C47" i="76"/>
  <c r="C43" i="76"/>
  <c r="C39" i="76"/>
  <c r="C35" i="76"/>
  <c r="C31" i="76"/>
  <c r="C27" i="76"/>
  <c r="C23" i="76"/>
  <c r="C19" i="76"/>
  <c r="C15" i="76"/>
  <c r="C11" i="76"/>
  <c r="V233" i="94" l="1"/>
  <c r="R233" i="94"/>
  <c r="U233" i="94"/>
  <c r="Q233" i="94"/>
  <c r="T233" i="94"/>
  <c r="W233" i="94"/>
  <c r="S233" i="94"/>
  <c r="V209" i="94"/>
  <c r="R209" i="94"/>
  <c r="U209" i="94"/>
  <c r="Q209" i="94"/>
  <c r="T209" i="94"/>
  <c r="W209" i="94"/>
  <c r="S209" i="94"/>
  <c r="V239" i="94"/>
  <c r="R239" i="94"/>
  <c r="U239" i="94"/>
  <c r="Q239" i="94"/>
  <c r="T239" i="94"/>
  <c r="W239" i="94"/>
  <c r="S239" i="94"/>
  <c r="V215" i="94"/>
  <c r="R215" i="94"/>
  <c r="U215" i="94"/>
  <c r="Q215" i="94"/>
  <c r="T215" i="94"/>
  <c r="W215" i="94"/>
  <c r="S215" i="94"/>
  <c r="V227" i="94"/>
  <c r="R227" i="94"/>
  <c r="U227" i="94"/>
  <c r="Q227" i="94"/>
  <c r="T227" i="94"/>
  <c r="W227" i="94"/>
  <c r="S227" i="94"/>
  <c r="U231" i="94"/>
  <c r="U235" i="94" s="1"/>
  <c r="T231" i="94"/>
  <c r="S231" i="94"/>
  <c r="S235" i="94" s="1"/>
  <c r="H305" i="84" s="1"/>
  <c r="V231" i="94"/>
  <c r="V235" i="94" s="1"/>
  <c r="H308" i="84" s="1"/>
  <c r="U159" i="94"/>
  <c r="T159" i="94"/>
  <c r="S159" i="94"/>
  <c r="V159" i="94"/>
  <c r="U111" i="94"/>
  <c r="T111" i="94"/>
  <c r="S111" i="94"/>
  <c r="V111" i="94"/>
  <c r="T63" i="94"/>
  <c r="U63" i="94"/>
  <c r="S63" i="94"/>
  <c r="V63" i="94"/>
  <c r="AH220" i="94"/>
  <c r="AH223" i="94" s="1"/>
  <c r="H221" i="110" s="1"/>
  <c r="AF220" i="94"/>
  <c r="Z220" i="94"/>
  <c r="AB220" i="94"/>
  <c r="AH148" i="94"/>
  <c r="AH151" i="94" s="1"/>
  <c r="H149" i="110" s="1"/>
  <c r="AF148" i="94"/>
  <c r="Z148" i="94"/>
  <c r="AB148" i="94"/>
  <c r="AB52" i="94"/>
  <c r="Z52" i="94"/>
  <c r="AH52" i="94"/>
  <c r="AH55" i="94" s="1"/>
  <c r="H53" i="110" s="1"/>
  <c r="AF52" i="94"/>
  <c r="AF215" i="94"/>
  <c r="AE215" i="94"/>
  <c r="AE217" i="94" s="1"/>
  <c r="H212" i="110" s="1"/>
  <c r="AA215" i="94"/>
  <c r="AA217" i="94" s="1"/>
  <c r="H179" i="57" s="1"/>
  <c r="Z215" i="94"/>
  <c r="AF143" i="94"/>
  <c r="AE143" i="94"/>
  <c r="AE145" i="94" s="1"/>
  <c r="H140" i="110" s="1"/>
  <c r="AA143" i="94"/>
  <c r="AA145" i="94" s="1"/>
  <c r="H119" i="57" s="1"/>
  <c r="Z143" i="94"/>
  <c r="AF95" i="94"/>
  <c r="AE95" i="94"/>
  <c r="AE97" i="94" s="1"/>
  <c r="H92" i="110" s="1"/>
  <c r="AA95" i="94"/>
  <c r="AA97" i="94" s="1"/>
  <c r="H79" i="57" s="1"/>
  <c r="Z95" i="94"/>
  <c r="Z23" i="94"/>
  <c r="AF23" i="94"/>
  <c r="AE23" i="94"/>
  <c r="AE25" i="94" s="1"/>
  <c r="H20" i="110" s="1"/>
  <c r="AA23" i="94"/>
  <c r="AA25" i="94" s="1"/>
  <c r="H19" i="57" s="1"/>
  <c r="AG207" i="94"/>
  <c r="AG211" i="94" s="1"/>
  <c r="AF207" i="94"/>
  <c r="AB207" i="94"/>
  <c r="Z207" i="94"/>
  <c r="Y207" i="94"/>
  <c r="Y211" i="94" s="1"/>
  <c r="H172" i="57" s="1"/>
  <c r="AF135" i="94"/>
  <c r="AG135" i="94"/>
  <c r="AG139" i="94" s="1"/>
  <c r="AB135" i="94"/>
  <c r="Z135" i="94"/>
  <c r="Y135" i="94"/>
  <c r="Y139" i="94" s="1"/>
  <c r="H112" i="57" s="1"/>
  <c r="AF111" i="94"/>
  <c r="AG111" i="94"/>
  <c r="AG115" i="94" s="1"/>
  <c r="AB111" i="94"/>
  <c r="Z111" i="94"/>
  <c r="Y111" i="94"/>
  <c r="Y115" i="94" s="1"/>
  <c r="H92" i="57" s="1"/>
  <c r="Z63" i="94"/>
  <c r="AF63" i="94"/>
  <c r="AB63" i="94"/>
  <c r="Y63" i="94"/>
  <c r="Y67" i="94" s="1"/>
  <c r="H52" i="57" s="1"/>
  <c r="AG63" i="94"/>
  <c r="AG67" i="94" s="1"/>
  <c r="AF39" i="94"/>
  <c r="AB39" i="94"/>
  <c r="Z39" i="94"/>
  <c r="AG39" i="94"/>
  <c r="AG43" i="94" s="1"/>
  <c r="Y39" i="94"/>
  <c r="Y43" i="94" s="1"/>
  <c r="H32" i="57" s="1"/>
  <c r="AF15" i="94"/>
  <c r="AB15" i="94"/>
  <c r="Z15" i="94"/>
  <c r="AG15" i="94"/>
  <c r="AG19" i="94" s="1"/>
  <c r="Y15" i="94"/>
  <c r="Y19" i="94" s="1"/>
  <c r="H12" i="57" s="1"/>
  <c r="W238" i="94"/>
  <c r="W241" i="94" s="1"/>
  <c r="R238" i="94"/>
  <c r="Q238" i="94"/>
  <c r="Q241" i="94" s="1"/>
  <c r="W226" i="94"/>
  <c r="W229" i="94" s="1"/>
  <c r="R226" i="94"/>
  <c r="Q226" i="94"/>
  <c r="Q229" i="94" s="1"/>
  <c r="W214" i="94"/>
  <c r="W217" i="94" s="1"/>
  <c r="R214" i="94"/>
  <c r="Q214" i="94"/>
  <c r="Q217" i="94" s="1"/>
  <c r="W202" i="94"/>
  <c r="R202" i="94"/>
  <c r="Q202" i="94"/>
  <c r="U245" i="94"/>
  <c r="Q245" i="94"/>
  <c r="T245" i="94"/>
  <c r="W245" i="94"/>
  <c r="S245" i="94"/>
  <c r="V245" i="94"/>
  <c r="R245" i="94"/>
  <c r="V221" i="94"/>
  <c r="R221" i="94"/>
  <c r="U221" i="94"/>
  <c r="Q221" i="94"/>
  <c r="T221" i="94"/>
  <c r="W221" i="94"/>
  <c r="S221" i="94"/>
  <c r="V197" i="94"/>
  <c r="R197" i="94"/>
  <c r="U197" i="94"/>
  <c r="Q197" i="94"/>
  <c r="T197" i="94"/>
  <c r="W197" i="94"/>
  <c r="S197" i="94"/>
  <c r="U225" i="94"/>
  <c r="U229" i="94" s="1"/>
  <c r="T225" i="94"/>
  <c r="S225" i="94"/>
  <c r="S229" i="94" s="1"/>
  <c r="H297" i="84" s="1"/>
  <c r="V225" i="94"/>
  <c r="V229" i="94" s="1"/>
  <c r="H300" i="84" s="1"/>
  <c r="U201" i="94"/>
  <c r="T201" i="94"/>
  <c r="S201" i="94"/>
  <c r="V201" i="94"/>
  <c r="U177" i="94"/>
  <c r="T177" i="94"/>
  <c r="S177" i="94"/>
  <c r="V177" i="94"/>
  <c r="U153" i="94"/>
  <c r="T153" i="94"/>
  <c r="V153" i="94"/>
  <c r="S153" i="94"/>
  <c r="U129" i="94"/>
  <c r="T129" i="94"/>
  <c r="S129" i="94"/>
  <c r="V129" i="94"/>
  <c r="U105" i="94"/>
  <c r="T105" i="94"/>
  <c r="S105" i="94"/>
  <c r="V105" i="94"/>
  <c r="U81" i="94"/>
  <c r="T81" i="94"/>
  <c r="S81" i="94"/>
  <c r="V81" i="94"/>
  <c r="S57" i="94"/>
  <c r="V57" i="94"/>
  <c r="U57" i="94"/>
  <c r="T57" i="94"/>
  <c r="AH238" i="94"/>
  <c r="AH241" i="94" s="1"/>
  <c r="H239" i="110" s="1"/>
  <c r="AF238" i="94"/>
  <c r="Z238" i="94"/>
  <c r="AB238" i="94"/>
  <c r="AH214" i="94"/>
  <c r="AH217" i="94" s="1"/>
  <c r="H215" i="110" s="1"/>
  <c r="AF214" i="94"/>
  <c r="Z214" i="94"/>
  <c r="AB214" i="94"/>
  <c r="AH190" i="94"/>
  <c r="AH193" i="94" s="1"/>
  <c r="H191" i="110" s="1"/>
  <c r="AF190" i="94"/>
  <c r="Z190" i="94"/>
  <c r="AB190" i="94"/>
  <c r="AF166" i="94"/>
  <c r="AH166" i="94"/>
  <c r="AH169" i="94" s="1"/>
  <c r="H167" i="110" s="1"/>
  <c r="Z166" i="94"/>
  <c r="AB166" i="94"/>
  <c r="AH142" i="94"/>
  <c r="AH145" i="94" s="1"/>
  <c r="H143" i="110" s="1"/>
  <c r="AF142" i="94"/>
  <c r="Z142" i="94"/>
  <c r="AB142" i="94"/>
  <c r="AH118" i="94"/>
  <c r="AH121" i="94" s="1"/>
  <c r="H119" i="110" s="1"/>
  <c r="AF118" i="94"/>
  <c r="Z118" i="94"/>
  <c r="AB118" i="94"/>
  <c r="AH94" i="94"/>
  <c r="AH97" i="94" s="1"/>
  <c r="H95" i="110" s="1"/>
  <c r="AF94" i="94"/>
  <c r="Z94" i="94"/>
  <c r="AB94" i="94"/>
  <c r="AH70" i="94"/>
  <c r="AH73" i="94" s="1"/>
  <c r="H71" i="110" s="1"/>
  <c r="AF70" i="94"/>
  <c r="Z70" i="94"/>
  <c r="AB70" i="94"/>
  <c r="AH46" i="94"/>
  <c r="AH49" i="94" s="1"/>
  <c r="H47" i="110" s="1"/>
  <c r="AF46" i="94"/>
  <c r="AB46" i="94"/>
  <c r="Z46" i="94"/>
  <c r="AH22" i="94"/>
  <c r="AH25" i="94" s="1"/>
  <c r="H23" i="110" s="1"/>
  <c r="AF22" i="94"/>
  <c r="AB22" i="94"/>
  <c r="Z22" i="94"/>
  <c r="AF233" i="94"/>
  <c r="AE233" i="94"/>
  <c r="AE235" i="94" s="1"/>
  <c r="H230" i="110" s="1"/>
  <c r="AA233" i="94"/>
  <c r="AA235" i="94" s="1"/>
  <c r="H194" i="57" s="1"/>
  <c r="Z233" i="94"/>
  <c r="AF209" i="94"/>
  <c r="AE209" i="94"/>
  <c r="AE211" i="94" s="1"/>
  <c r="H206" i="110" s="1"/>
  <c r="AA209" i="94"/>
  <c r="AA211" i="94" s="1"/>
  <c r="H174" i="57" s="1"/>
  <c r="Z209" i="94"/>
  <c r="AF185" i="94"/>
  <c r="AE185" i="94"/>
  <c r="AE187" i="94" s="1"/>
  <c r="H182" i="110" s="1"/>
  <c r="AA185" i="94"/>
  <c r="Z185" i="94"/>
  <c r="AF161" i="94"/>
  <c r="AE161" i="94"/>
  <c r="AE163" i="94" s="1"/>
  <c r="H158" i="110" s="1"/>
  <c r="AA161" i="94"/>
  <c r="AA163" i="94" s="1"/>
  <c r="H134" i="57" s="1"/>
  <c r="Z161" i="94"/>
  <c r="AF137" i="94"/>
  <c r="AE137" i="94"/>
  <c r="AE139" i="94" s="1"/>
  <c r="H134" i="110" s="1"/>
  <c r="AA137" i="94"/>
  <c r="AA139" i="94" s="1"/>
  <c r="H114" i="57" s="1"/>
  <c r="Z137" i="94"/>
  <c r="AF113" i="94"/>
  <c r="AE113" i="94"/>
  <c r="AE115" i="94" s="1"/>
  <c r="H110" i="110" s="1"/>
  <c r="AA113" i="94"/>
  <c r="AA115" i="94" s="1"/>
  <c r="H94" i="57" s="1"/>
  <c r="Z113" i="94"/>
  <c r="AF89" i="94"/>
  <c r="AE89" i="94"/>
  <c r="AE91" i="94" s="1"/>
  <c r="H86" i="110" s="1"/>
  <c r="AA89" i="94"/>
  <c r="AA91" i="94" s="1"/>
  <c r="H74" i="57" s="1"/>
  <c r="Z89" i="94"/>
  <c r="AE65" i="94"/>
  <c r="AE67" i="94" s="1"/>
  <c r="H62" i="110" s="1"/>
  <c r="Z65" i="94"/>
  <c r="AF65" i="94"/>
  <c r="AA65" i="94"/>
  <c r="AA67" i="94" s="1"/>
  <c r="H54" i="57" s="1"/>
  <c r="AF41" i="94"/>
  <c r="AE41" i="94"/>
  <c r="AE43" i="94" s="1"/>
  <c r="H38" i="110" s="1"/>
  <c r="AA41" i="94"/>
  <c r="AA43" i="94" s="1"/>
  <c r="H34" i="57" s="1"/>
  <c r="Z41" i="94"/>
  <c r="AE17" i="94"/>
  <c r="AE19" i="94" s="1"/>
  <c r="H14" i="110" s="1"/>
  <c r="AA17" i="94"/>
  <c r="AA19" i="94" s="1"/>
  <c r="H14" i="57" s="1"/>
  <c r="Z17" i="94"/>
  <c r="AF17" i="94"/>
  <c r="AG225" i="94"/>
  <c r="AG229" i="94" s="1"/>
  <c r="AF225" i="94"/>
  <c r="AB225" i="94"/>
  <c r="Z225" i="94"/>
  <c r="Y225" i="94"/>
  <c r="Y229" i="94" s="1"/>
  <c r="H187" i="57" s="1"/>
  <c r="AF201" i="94"/>
  <c r="AG201" i="94"/>
  <c r="AG205" i="94" s="1"/>
  <c r="AB201" i="94"/>
  <c r="Z201" i="94"/>
  <c r="Y201" i="94"/>
  <c r="Y205" i="94" s="1"/>
  <c r="H167" i="57" s="1"/>
  <c r="AF177" i="94"/>
  <c r="AG177" i="94"/>
  <c r="AG181" i="94" s="1"/>
  <c r="AB177" i="94"/>
  <c r="Z177" i="94"/>
  <c r="Y177" i="94"/>
  <c r="Y181" i="94" s="1"/>
  <c r="H147" i="57" s="1"/>
  <c r="AG153" i="94"/>
  <c r="AG157" i="94" s="1"/>
  <c r="AF153" i="94"/>
  <c r="AF157" i="94" s="1"/>
  <c r="H153" i="110" s="1"/>
  <c r="AB153" i="94"/>
  <c r="Z153" i="94"/>
  <c r="Y153" i="94"/>
  <c r="Y157" i="94" s="1"/>
  <c r="H127" i="57" s="1"/>
  <c r="AG129" i="94"/>
  <c r="AG133" i="94" s="1"/>
  <c r="AF129" i="94"/>
  <c r="AB129" i="94"/>
  <c r="Z129" i="94"/>
  <c r="Y129" i="94"/>
  <c r="Y133" i="94" s="1"/>
  <c r="H107" i="57" s="1"/>
  <c r="AG105" i="94"/>
  <c r="AG109" i="94" s="1"/>
  <c r="AF105" i="94"/>
  <c r="AB105" i="94"/>
  <c r="Z105" i="94"/>
  <c r="Y105" i="94"/>
  <c r="Y109" i="94" s="1"/>
  <c r="H87" i="57" s="1"/>
  <c r="AF81" i="94"/>
  <c r="AG81" i="94"/>
  <c r="AG85" i="94" s="1"/>
  <c r="AB81" i="94"/>
  <c r="Z81" i="94"/>
  <c r="Y81" i="94"/>
  <c r="Y85" i="94" s="1"/>
  <c r="H67" i="57" s="1"/>
  <c r="AG57" i="94"/>
  <c r="AG61" i="94" s="1"/>
  <c r="Y57" i="94"/>
  <c r="Y61" i="94" s="1"/>
  <c r="H47" i="57" s="1"/>
  <c r="AF57" i="94"/>
  <c r="AB57" i="94"/>
  <c r="Z57" i="94"/>
  <c r="AG33" i="94"/>
  <c r="AG37" i="94" s="1"/>
  <c r="Y33" i="94"/>
  <c r="Y37" i="94" s="1"/>
  <c r="H27" i="57" s="1"/>
  <c r="AF33" i="94"/>
  <c r="AB33" i="94"/>
  <c r="Z33" i="94"/>
  <c r="Z37" i="94" s="1"/>
  <c r="H28" i="57" s="1"/>
  <c r="V203" i="94"/>
  <c r="R203" i="94"/>
  <c r="U203" i="94"/>
  <c r="Q203" i="94"/>
  <c r="T203" i="94"/>
  <c r="W203" i="94"/>
  <c r="S203" i="94"/>
  <c r="U183" i="94"/>
  <c r="T183" i="94"/>
  <c r="S183" i="94"/>
  <c r="V183" i="94"/>
  <c r="U135" i="94"/>
  <c r="T135" i="94"/>
  <c r="S135" i="94"/>
  <c r="V135" i="94"/>
  <c r="V39" i="94"/>
  <c r="U39" i="94"/>
  <c r="T39" i="94"/>
  <c r="S39" i="94"/>
  <c r="AH244" i="94"/>
  <c r="AH247" i="94" s="1"/>
  <c r="H245" i="110" s="1"/>
  <c r="AF244" i="94"/>
  <c r="AB244" i="94"/>
  <c r="Z244" i="94"/>
  <c r="AF172" i="94"/>
  <c r="AH172" i="94"/>
  <c r="AH175" i="94" s="1"/>
  <c r="H173" i="110" s="1"/>
  <c r="Z172" i="94"/>
  <c r="AB172" i="94"/>
  <c r="AH124" i="94"/>
  <c r="AH127" i="94" s="1"/>
  <c r="H125" i="110" s="1"/>
  <c r="AF124" i="94"/>
  <c r="Z124" i="94"/>
  <c r="AB124" i="94"/>
  <c r="AH76" i="94"/>
  <c r="AH79" i="94" s="1"/>
  <c r="H77" i="110" s="1"/>
  <c r="AF76" i="94"/>
  <c r="Z76" i="94"/>
  <c r="AB76" i="94"/>
  <c r="AF239" i="94"/>
  <c r="AE239" i="94"/>
  <c r="AE241" i="94" s="1"/>
  <c r="H236" i="110" s="1"/>
  <c r="AA239" i="94"/>
  <c r="AA241" i="94" s="1"/>
  <c r="H199" i="57" s="1"/>
  <c r="Z239" i="94"/>
  <c r="AF191" i="94"/>
  <c r="AE191" i="94"/>
  <c r="AE193" i="94" s="1"/>
  <c r="H188" i="110" s="1"/>
  <c r="AA191" i="94"/>
  <c r="AA193" i="94" s="1"/>
  <c r="H159" i="57" s="1"/>
  <c r="Z191" i="94"/>
  <c r="AF119" i="94"/>
  <c r="AE119" i="94"/>
  <c r="AE121" i="94" s="1"/>
  <c r="H116" i="110" s="1"/>
  <c r="AA119" i="94"/>
  <c r="AA121" i="94" s="1"/>
  <c r="H99" i="57" s="1"/>
  <c r="Z119" i="94"/>
  <c r="AA47" i="94"/>
  <c r="AA49" i="94" s="1"/>
  <c r="H39" i="57" s="1"/>
  <c r="Z47" i="94"/>
  <c r="AF47" i="94"/>
  <c r="AE47" i="94"/>
  <c r="AE49" i="94" s="1"/>
  <c r="H44" i="110" s="1"/>
  <c r="AF183" i="94"/>
  <c r="AF187" i="94" s="1"/>
  <c r="H183" i="110" s="1"/>
  <c r="AG183" i="94"/>
  <c r="AG187" i="94" s="1"/>
  <c r="AB183" i="94"/>
  <c r="Z183" i="94"/>
  <c r="Y183" i="94"/>
  <c r="T243" i="94"/>
  <c r="S243" i="94"/>
  <c r="S247" i="94" s="1"/>
  <c r="H321" i="84" s="1"/>
  <c r="V243" i="94"/>
  <c r="V247" i="94" s="1"/>
  <c r="H324" i="84" s="1"/>
  <c r="U243" i="94"/>
  <c r="U247" i="94" s="1"/>
  <c r="H323" i="84" s="1"/>
  <c r="U219" i="94"/>
  <c r="U223" i="94" s="1"/>
  <c r="T219" i="94"/>
  <c r="S219" i="94"/>
  <c r="S223" i="94" s="1"/>
  <c r="H289" i="84" s="1"/>
  <c r="V219" i="94"/>
  <c r="V223" i="94" s="1"/>
  <c r="H292" i="84" s="1"/>
  <c r="I292" i="84" s="1"/>
  <c r="U195" i="94"/>
  <c r="U199" i="94" s="1"/>
  <c r="T195" i="94"/>
  <c r="S195" i="94"/>
  <c r="S199" i="94" s="1"/>
  <c r="H257" i="84" s="1"/>
  <c r="V195" i="94"/>
  <c r="V199" i="94" s="1"/>
  <c r="H260" i="84" s="1"/>
  <c r="J260" i="84" s="1"/>
  <c r="U171" i="94"/>
  <c r="T171" i="94"/>
  <c r="S171" i="94"/>
  <c r="V171" i="94"/>
  <c r="U147" i="94"/>
  <c r="T147" i="94"/>
  <c r="S147" i="94"/>
  <c r="V147" i="94"/>
  <c r="U123" i="94"/>
  <c r="T123" i="94"/>
  <c r="S123" i="94"/>
  <c r="V123" i="94"/>
  <c r="U99" i="94"/>
  <c r="T99" i="94"/>
  <c r="S99" i="94"/>
  <c r="V99" i="94"/>
  <c r="U75" i="94"/>
  <c r="T75" i="94"/>
  <c r="S75" i="94"/>
  <c r="V75" i="94"/>
  <c r="U51" i="94"/>
  <c r="T51" i="94"/>
  <c r="S51" i="94"/>
  <c r="V51" i="94"/>
  <c r="AF232" i="94"/>
  <c r="AH232" i="94"/>
  <c r="AH235" i="94" s="1"/>
  <c r="H233" i="110" s="1"/>
  <c r="Z232" i="94"/>
  <c r="AB232" i="94"/>
  <c r="AH208" i="94"/>
  <c r="AH211" i="94" s="1"/>
  <c r="H209" i="110" s="1"/>
  <c r="AF208" i="94"/>
  <c r="Z208" i="94"/>
  <c r="AB208" i="94"/>
  <c r="AF184" i="94"/>
  <c r="AH184" i="94"/>
  <c r="AH187" i="94" s="1"/>
  <c r="H185" i="110" s="1"/>
  <c r="Z184" i="94"/>
  <c r="AB184" i="94"/>
  <c r="AH160" i="94"/>
  <c r="AH163" i="94" s="1"/>
  <c r="H161" i="110" s="1"/>
  <c r="AF160" i="94"/>
  <c r="Z160" i="94"/>
  <c r="AB160" i="94"/>
  <c r="AH136" i="94"/>
  <c r="AH139" i="94" s="1"/>
  <c r="H137" i="110" s="1"/>
  <c r="AF136" i="94"/>
  <c r="Z136" i="94"/>
  <c r="AB136" i="94"/>
  <c r="AF112" i="94"/>
  <c r="AH112" i="94"/>
  <c r="AH115" i="94" s="1"/>
  <c r="H113" i="110" s="1"/>
  <c r="Z112" i="94"/>
  <c r="AB112" i="94"/>
  <c r="AH88" i="94"/>
  <c r="AH91" i="94" s="1"/>
  <c r="H89" i="110" s="1"/>
  <c r="AF88" i="94"/>
  <c r="Z88" i="94"/>
  <c r="AB88" i="94"/>
  <c r="AH64" i="94"/>
  <c r="AH67" i="94" s="1"/>
  <c r="H65" i="110" s="1"/>
  <c r="Z64" i="94"/>
  <c r="AF64" i="94"/>
  <c r="AB64" i="94"/>
  <c r="AB40" i="94"/>
  <c r="Z40" i="94"/>
  <c r="AH40" i="94"/>
  <c r="AH43" i="94" s="1"/>
  <c r="H41" i="110" s="1"/>
  <c r="AF40" i="94"/>
  <c r="AF16" i="94"/>
  <c r="AB16" i="94"/>
  <c r="Z16" i="94"/>
  <c r="AH16" i="94"/>
  <c r="AH19" i="94" s="1"/>
  <c r="H17" i="110" s="1"/>
  <c r="AF227" i="94"/>
  <c r="AE227" i="94"/>
  <c r="AE229" i="94" s="1"/>
  <c r="H224" i="110" s="1"/>
  <c r="AA227" i="94"/>
  <c r="AA229" i="94" s="1"/>
  <c r="H189" i="57" s="1"/>
  <c r="Z227" i="94"/>
  <c r="AF203" i="94"/>
  <c r="AE203" i="94"/>
  <c r="AE205" i="94" s="1"/>
  <c r="H200" i="110" s="1"/>
  <c r="AA203" i="94"/>
  <c r="AA205" i="94" s="1"/>
  <c r="H169" i="57" s="1"/>
  <c r="Z203" i="94"/>
  <c r="AF179" i="94"/>
  <c r="AE179" i="94"/>
  <c r="AE181" i="94" s="1"/>
  <c r="H176" i="110" s="1"/>
  <c r="AA179" i="94"/>
  <c r="AA181" i="94" s="1"/>
  <c r="H149" i="57" s="1"/>
  <c r="Z179" i="94"/>
  <c r="AF155" i="94"/>
  <c r="AE155" i="94"/>
  <c r="AE157" i="94" s="1"/>
  <c r="H152" i="110" s="1"/>
  <c r="AA155" i="94"/>
  <c r="AA157" i="94" s="1"/>
  <c r="H129" i="57" s="1"/>
  <c r="Z155" i="94"/>
  <c r="AF131" i="94"/>
  <c r="AE131" i="94"/>
  <c r="AE133" i="94" s="1"/>
  <c r="H128" i="110" s="1"/>
  <c r="AA131" i="94"/>
  <c r="AA133" i="94" s="1"/>
  <c r="H109" i="57" s="1"/>
  <c r="Z131" i="94"/>
  <c r="AF107" i="94"/>
  <c r="AE107" i="94"/>
  <c r="AE109" i="94" s="1"/>
  <c r="H104" i="110" s="1"/>
  <c r="AA107" i="94"/>
  <c r="AA109" i="94" s="1"/>
  <c r="H89" i="57" s="1"/>
  <c r="Z107" i="94"/>
  <c r="AF83" i="94"/>
  <c r="AE83" i="94"/>
  <c r="AE85" i="94" s="1"/>
  <c r="H80" i="110" s="1"/>
  <c r="AA83" i="94"/>
  <c r="AA85" i="94" s="1"/>
  <c r="H69" i="57" s="1"/>
  <c r="Z83" i="94"/>
  <c r="AA59" i="94"/>
  <c r="AA61" i="94" s="1"/>
  <c r="H49" i="57" s="1"/>
  <c r="Z59" i="94"/>
  <c r="AF59" i="94"/>
  <c r="AE59" i="94"/>
  <c r="AE61" i="94" s="1"/>
  <c r="H56" i="110" s="1"/>
  <c r="AE35" i="94"/>
  <c r="AE37" i="94" s="1"/>
  <c r="H32" i="110" s="1"/>
  <c r="AA35" i="94"/>
  <c r="AA37" i="94" s="1"/>
  <c r="H29" i="57" s="1"/>
  <c r="Z35" i="94"/>
  <c r="AF35" i="94"/>
  <c r="AG243" i="94"/>
  <c r="AG247" i="94" s="1"/>
  <c r="AF243" i="94"/>
  <c r="Z243" i="94"/>
  <c r="Y243" i="94"/>
  <c r="Y247" i="94" s="1"/>
  <c r="H202" i="57" s="1"/>
  <c r="AB243" i="94"/>
  <c r="AG219" i="94"/>
  <c r="AG223" i="94" s="1"/>
  <c r="AF219" i="94"/>
  <c r="AB219" i="94"/>
  <c r="AB223" i="94" s="1"/>
  <c r="H185" i="57" s="1"/>
  <c r="Z219" i="94"/>
  <c r="Y219" i="94"/>
  <c r="Y223" i="94" s="1"/>
  <c r="H182" i="57" s="1"/>
  <c r="AG195" i="94"/>
  <c r="AG199" i="94" s="1"/>
  <c r="AF195" i="94"/>
  <c r="AF199" i="94" s="1"/>
  <c r="H195" i="110" s="1"/>
  <c r="AB195" i="94"/>
  <c r="AB199" i="94" s="1"/>
  <c r="H165" i="57" s="1"/>
  <c r="Z195" i="94"/>
  <c r="Y195" i="94"/>
  <c r="Y199" i="94" s="1"/>
  <c r="H162" i="57" s="1"/>
  <c r="AG171" i="94"/>
  <c r="AG175" i="94" s="1"/>
  <c r="AF171" i="94"/>
  <c r="AB171" i="94"/>
  <c r="AB175" i="94" s="1"/>
  <c r="H145" i="57" s="1"/>
  <c r="Z171" i="94"/>
  <c r="Y171" i="94"/>
  <c r="Y175" i="94" s="1"/>
  <c r="H142" i="57" s="1"/>
  <c r="AF147" i="94"/>
  <c r="AG147" i="94"/>
  <c r="AG151" i="94" s="1"/>
  <c r="AB147" i="94"/>
  <c r="AB151" i="94" s="1"/>
  <c r="H125" i="57" s="1"/>
  <c r="Z147" i="94"/>
  <c r="Z151" i="94" s="1"/>
  <c r="H123" i="57" s="1"/>
  <c r="Y147" i="94"/>
  <c r="Y151" i="94" s="1"/>
  <c r="H122" i="57" s="1"/>
  <c r="AG123" i="94"/>
  <c r="AG127" i="94" s="1"/>
  <c r="AF123" i="94"/>
  <c r="AB123" i="94"/>
  <c r="AB127" i="94" s="1"/>
  <c r="H105" i="57" s="1"/>
  <c r="Z123" i="94"/>
  <c r="Y123" i="94"/>
  <c r="Y127" i="94" s="1"/>
  <c r="H102" i="57" s="1"/>
  <c r="AG99" i="94"/>
  <c r="AG103" i="94" s="1"/>
  <c r="AF99" i="94"/>
  <c r="AF103" i="94" s="1"/>
  <c r="H99" i="110" s="1"/>
  <c r="AB99" i="94"/>
  <c r="AB103" i="94" s="1"/>
  <c r="H85" i="57" s="1"/>
  <c r="Z99" i="94"/>
  <c r="Y99" i="94"/>
  <c r="Y103" i="94" s="1"/>
  <c r="H82" i="57" s="1"/>
  <c r="AG75" i="94"/>
  <c r="AG79" i="94" s="1"/>
  <c r="AF75" i="94"/>
  <c r="AB75" i="94"/>
  <c r="AB79" i="94" s="1"/>
  <c r="H65" i="57" s="1"/>
  <c r="Z75" i="94"/>
  <c r="Y75" i="94"/>
  <c r="Y79" i="94" s="1"/>
  <c r="H62" i="57" s="1"/>
  <c r="AB51" i="94"/>
  <c r="AB55" i="94" s="1"/>
  <c r="H45" i="57" s="1"/>
  <c r="Z51" i="94"/>
  <c r="AG51" i="94"/>
  <c r="AG55" i="94" s="1"/>
  <c r="Y51" i="94"/>
  <c r="Y55" i="94" s="1"/>
  <c r="H42" i="57" s="1"/>
  <c r="AF51" i="94"/>
  <c r="AG27" i="94"/>
  <c r="AG31" i="94" s="1"/>
  <c r="Y27" i="94"/>
  <c r="Y31" i="94" s="1"/>
  <c r="H22" i="57" s="1"/>
  <c r="AF27" i="94"/>
  <c r="AB27" i="94"/>
  <c r="Z27" i="94"/>
  <c r="U207" i="94"/>
  <c r="U211" i="94" s="1"/>
  <c r="T207" i="94"/>
  <c r="S207" i="94"/>
  <c r="S211" i="94" s="1"/>
  <c r="H273" i="84" s="1"/>
  <c r="V207" i="94"/>
  <c r="V211" i="94" s="1"/>
  <c r="H276" i="84" s="1"/>
  <c r="U87" i="94"/>
  <c r="T87" i="94"/>
  <c r="S87" i="94"/>
  <c r="V87" i="94"/>
  <c r="AF196" i="94"/>
  <c r="AH196" i="94"/>
  <c r="AH199" i="94" s="1"/>
  <c r="H197" i="110" s="1"/>
  <c r="Z196" i="94"/>
  <c r="AB196" i="94"/>
  <c r="AF100" i="94"/>
  <c r="AH100" i="94"/>
  <c r="AH103" i="94" s="1"/>
  <c r="H101" i="110" s="1"/>
  <c r="Z100" i="94"/>
  <c r="AB100" i="94"/>
  <c r="AH28" i="94"/>
  <c r="AH31" i="94" s="1"/>
  <c r="H29" i="110" s="1"/>
  <c r="AF28" i="94"/>
  <c r="AB28" i="94"/>
  <c r="Z28" i="94"/>
  <c r="AF167" i="94"/>
  <c r="AE167" i="94"/>
  <c r="AE169" i="94" s="1"/>
  <c r="H164" i="110" s="1"/>
  <c r="H168" i="110" s="1"/>
  <c r="AA167" i="94"/>
  <c r="AA169" i="94" s="1"/>
  <c r="H139" i="57" s="1"/>
  <c r="Z167" i="94"/>
  <c r="AF71" i="94"/>
  <c r="AE71" i="94"/>
  <c r="AE73" i="94" s="1"/>
  <c r="H68" i="110" s="1"/>
  <c r="AA71" i="94"/>
  <c r="AA73" i="94" s="1"/>
  <c r="H59" i="57" s="1"/>
  <c r="Z71" i="94"/>
  <c r="AF231" i="94"/>
  <c r="AG231" i="94"/>
  <c r="AG235" i="94" s="1"/>
  <c r="AB231" i="94"/>
  <c r="Z231" i="94"/>
  <c r="Z235" i="94" s="1"/>
  <c r="H193" i="57" s="1"/>
  <c r="Y231" i="94"/>
  <c r="Y235" i="94" s="1"/>
  <c r="H192" i="57" s="1"/>
  <c r="AG159" i="94"/>
  <c r="AG163" i="94" s="1"/>
  <c r="AF159" i="94"/>
  <c r="AF163" i="94" s="1"/>
  <c r="H159" i="110" s="1"/>
  <c r="AB159" i="94"/>
  <c r="Z159" i="94"/>
  <c r="Z163" i="94" s="1"/>
  <c r="H133" i="57" s="1"/>
  <c r="Y159" i="94"/>
  <c r="Y163" i="94" s="1"/>
  <c r="H132" i="57" s="1"/>
  <c r="AF87" i="94"/>
  <c r="AF91" i="94" s="1"/>
  <c r="H87" i="110" s="1"/>
  <c r="AG87" i="94"/>
  <c r="AG91" i="94" s="1"/>
  <c r="AB87" i="94"/>
  <c r="Z87" i="94"/>
  <c r="Z91" i="94" s="1"/>
  <c r="H73" i="57" s="1"/>
  <c r="Y87" i="94"/>
  <c r="Y91" i="94" s="1"/>
  <c r="H72" i="57" s="1"/>
  <c r="W244" i="94"/>
  <c r="R244" i="94"/>
  <c r="Q244" i="94"/>
  <c r="W232" i="94"/>
  <c r="W235" i="94" s="1"/>
  <c r="R232" i="94"/>
  <c r="Q232" i="94"/>
  <c r="Q235" i="94" s="1"/>
  <c r="W220" i="94"/>
  <c r="W223" i="94" s="1"/>
  <c r="H293" i="84" s="1"/>
  <c r="R220" i="94"/>
  <c r="Q220" i="94"/>
  <c r="Q223" i="94" s="1"/>
  <c r="W208" i="94"/>
  <c r="W211" i="94" s="1"/>
  <c r="R208" i="94"/>
  <c r="Q208" i="94"/>
  <c r="Q211" i="94" s="1"/>
  <c r="W196" i="94"/>
  <c r="W199" i="94" s="1"/>
  <c r="R196" i="94"/>
  <c r="Q196" i="94"/>
  <c r="Q199" i="94" s="1"/>
  <c r="U237" i="94"/>
  <c r="U241" i="94" s="1"/>
  <c r="T237" i="94"/>
  <c r="S237" i="94"/>
  <c r="S241" i="94" s="1"/>
  <c r="H313" i="84" s="1"/>
  <c r="V237" i="94"/>
  <c r="V241" i="94" s="1"/>
  <c r="H316" i="84" s="1"/>
  <c r="I316" i="84" s="1"/>
  <c r="U213" i="94"/>
  <c r="U217" i="94" s="1"/>
  <c r="T213" i="94"/>
  <c r="S213" i="94"/>
  <c r="S217" i="94" s="1"/>
  <c r="H281" i="84" s="1"/>
  <c r="V213" i="94"/>
  <c r="V217" i="94" s="1"/>
  <c r="H284" i="84" s="1"/>
  <c r="J284" i="84" s="1"/>
  <c r="U189" i="94"/>
  <c r="T189" i="94"/>
  <c r="S189" i="94"/>
  <c r="V189" i="94"/>
  <c r="U165" i="94"/>
  <c r="T165" i="94"/>
  <c r="S165" i="94"/>
  <c r="V165" i="94"/>
  <c r="U141" i="94"/>
  <c r="T141" i="94"/>
  <c r="S141" i="94"/>
  <c r="V141" i="94"/>
  <c r="U117" i="94"/>
  <c r="T117" i="94"/>
  <c r="S117" i="94"/>
  <c r="V117" i="94"/>
  <c r="U93" i="94"/>
  <c r="T93" i="94"/>
  <c r="S93" i="94"/>
  <c r="V93" i="94"/>
  <c r="U69" i="94"/>
  <c r="T69" i="94"/>
  <c r="S69" i="94"/>
  <c r="V69" i="94"/>
  <c r="S45" i="94"/>
  <c r="V45" i="94"/>
  <c r="U45" i="94"/>
  <c r="T45" i="94"/>
  <c r="AF226" i="94"/>
  <c r="AH226" i="94"/>
  <c r="AH229" i="94" s="1"/>
  <c r="H227" i="110" s="1"/>
  <c r="Z226" i="94"/>
  <c r="AB226" i="94"/>
  <c r="AH202" i="94"/>
  <c r="AH205" i="94" s="1"/>
  <c r="H203" i="110" s="1"/>
  <c r="AF202" i="94"/>
  <c r="Z202" i="94"/>
  <c r="AB202" i="94"/>
  <c r="AF178" i="94"/>
  <c r="AH178" i="94"/>
  <c r="AH181" i="94" s="1"/>
  <c r="H179" i="110" s="1"/>
  <c r="Z178" i="94"/>
  <c r="AB178" i="94"/>
  <c r="AH154" i="94"/>
  <c r="AH157" i="94" s="1"/>
  <c r="H155" i="110" s="1"/>
  <c r="AF154" i="94"/>
  <c r="Z154" i="94"/>
  <c r="AB154" i="94"/>
  <c r="AF130" i="94"/>
  <c r="AH130" i="94"/>
  <c r="AH133" i="94" s="1"/>
  <c r="H131" i="110" s="1"/>
  <c r="Z130" i="94"/>
  <c r="AB130" i="94"/>
  <c r="AF106" i="94"/>
  <c r="AH106" i="94"/>
  <c r="AH109" i="94" s="1"/>
  <c r="H107" i="110" s="1"/>
  <c r="Z106" i="94"/>
  <c r="AB106" i="94"/>
  <c r="AH82" i="94"/>
  <c r="AH85" i="94" s="1"/>
  <c r="H83" i="110" s="1"/>
  <c r="AF82" i="94"/>
  <c r="Z82" i="94"/>
  <c r="AB82" i="94"/>
  <c r="AH58" i="94"/>
  <c r="AH61" i="94" s="1"/>
  <c r="H59" i="110" s="1"/>
  <c r="AF58" i="94"/>
  <c r="AB58" i="94"/>
  <c r="Z58" i="94"/>
  <c r="AB34" i="94"/>
  <c r="Z34" i="94"/>
  <c r="AH34" i="94"/>
  <c r="AH37" i="94" s="1"/>
  <c r="H35" i="110" s="1"/>
  <c r="AF34" i="94"/>
  <c r="AF245" i="94"/>
  <c r="AA245" i="94"/>
  <c r="Z245" i="94"/>
  <c r="AE245" i="94"/>
  <c r="AE247" i="94" s="1"/>
  <c r="H242" i="110" s="1"/>
  <c r="AF221" i="94"/>
  <c r="AE221" i="94"/>
  <c r="AE223" i="94" s="1"/>
  <c r="H218" i="110" s="1"/>
  <c r="AA221" i="94"/>
  <c r="AA223" i="94" s="1"/>
  <c r="H184" i="57" s="1"/>
  <c r="Z221" i="94"/>
  <c r="AF197" i="94"/>
  <c r="AE197" i="94"/>
  <c r="AE199" i="94" s="1"/>
  <c r="H194" i="110" s="1"/>
  <c r="AA197" i="94"/>
  <c r="AA199" i="94" s="1"/>
  <c r="H164" i="57" s="1"/>
  <c r="Z197" i="94"/>
  <c r="AF173" i="94"/>
  <c r="AE173" i="94"/>
  <c r="AE175" i="94" s="1"/>
  <c r="H170" i="110" s="1"/>
  <c r="AA173" i="94"/>
  <c r="AA175" i="94" s="1"/>
  <c r="H144" i="57" s="1"/>
  <c r="Z173" i="94"/>
  <c r="AF149" i="94"/>
  <c r="AE149" i="94"/>
  <c r="AE151" i="94" s="1"/>
  <c r="H146" i="110" s="1"/>
  <c r="Z149" i="94"/>
  <c r="AA149" i="94"/>
  <c r="AA151" i="94" s="1"/>
  <c r="H124" i="57" s="1"/>
  <c r="AF125" i="94"/>
  <c r="AE125" i="94"/>
  <c r="AE127" i="94" s="1"/>
  <c r="H122" i="110" s="1"/>
  <c r="AA125" i="94"/>
  <c r="Z125" i="94"/>
  <c r="AF101" i="94"/>
  <c r="AE101" i="94"/>
  <c r="AE103" i="94" s="1"/>
  <c r="H98" i="110" s="1"/>
  <c r="AA101" i="94"/>
  <c r="AA103" i="94" s="1"/>
  <c r="H84" i="57" s="1"/>
  <c r="Z101" i="94"/>
  <c r="AF77" i="94"/>
  <c r="AE77" i="94"/>
  <c r="AE79" i="94" s="1"/>
  <c r="H74" i="110" s="1"/>
  <c r="AA77" i="94"/>
  <c r="AA79" i="94" s="1"/>
  <c r="H64" i="57" s="1"/>
  <c r="Z77" i="94"/>
  <c r="AF53" i="94"/>
  <c r="AE53" i="94"/>
  <c r="AE55" i="94" s="1"/>
  <c r="H50" i="110" s="1"/>
  <c r="AA53" i="94"/>
  <c r="AA55" i="94" s="1"/>
  <c r="H44" i="57" s="1"/>
  <c r="Z53" i="94"/>
  <c r="Z29" i="94"/>
  <c r="AF29" i="94"/>
  <c r="AE29" i="94"/>
  <c r="AE31" i="94" s="1"/>
  <c r="H26" i="110" s="1"/>
  <c r="AA29" i="94"/>
  <c r="AA31" i="94" s="1"/>
  <c r="H24" i="57" s="1"/>
  <c r="AG237" i="94"/>
  <c r="AG241" i="94" s="1"/>
  <c r="AF237" i="94"/>
  <c r="AB237" i="94"/>
  <c r="AB241" i="94" s="1"/>
  <c r="H200" i="57" s="1"/>
  <c r="Z237" i="94"/>
  <c r="Z241" i="94" s="1"/>
  <c r="H198" i="57" s="1"/>
  <c r="Y237" i="94"/>
  <c r="Y241" i="94" s="1"/>
  <c r="H197" i="57" s="1"/>
  <c r="AG213" i="94"/>
  <c r="AG217" i="94" s="1"/>
  <c r="AF213" i="94"/>
  <c r="AF217" i="94" s="1"/>
  <c r="H213" i="110" s="1"/>
  <c r="AB213" i="94"/>
  <c r="AB217" i="94" s="1"/>
  <c r="H180" i="57" s="1"/>
  <c r="Z213" i="94"/>
  <c r="Z217" i="94" s="1"/>
  <c r="H178" i="57" s="1"/>
  <c r="Y213" i="94"/>
  <c r="Y217" i="94" s="1"/>
  <c r="H177" i="57" s="1"/>
  <c r="AF189" i="94"/>
  <c r="AG189" i="94"/>
  <c r="AG193" i="94" s="1"/>
  <c r="AB189" i="94"/>
  <c r="AB193" i="94" s="1"/>
  <c r="H160" i="57" s="1"/>
  <c r="Z189" i="94"/>
  <c r="Z193" i="94" s="1"/>
  <c r="H158" i="57" s="1"/>
  <c r="Y189" i="94"/>
  <c r="Y193" i="94" s="1"/>
  <c r="H157" i="57" s="1"/>
  <c r="AG165" i="94"/>
  <c r="AG169" i="94" s="1"/>
  <c r="AF165" i="94"/>
  <c r="AF169" i="94" s="1"/>
  <c r="H165" i="110" s="1"/>
  <c r="AB165" i="94"/>
  <c r="AB169" i="94" s="1"/>
  <c r="H140" i="57" s="1"/>
  <c r="Z165" i="94"/>
  <c r="Z169" i="94" s="1"/>
  <c r="H138" i="57" s="1"/>
  <c r="Y165" i="94"/>
  <c r="Y169" i="94" s="1"/>
  <c r="H137" i="57" s="1"/>
  <c r="AG141" i="94"/>
  <c r="AG145" i="94" s="1"/>
  <c r="AF141" i="94"/>
  <c r="AF145" i="94" s="1"/>
  <c r="H141" i="110" s="1"/>
  <c r="AB141" i="94"/>
  <c r="AB145" i="94" s="1"/>
  <c r="H120" i="57" s="1"/>
  <c r="Z141" i="94"/>
  <c r="Z145" i="94" s="1"/>
  <c r="H118" i="57" s="1"/>
  <c r="Y141" i="94"/>
  <c r="Y145" i="94" s="1"/>
  <c r="H117" i="57" s="1"/>
  <c r="AG117" i="94"/>
  <c r="AG121" i="94" s="1"/>
  <c r="AF117" i="94"/>
  <c r="AB117" i="94"/>
  <c r="AB121" i="94" s="1"/>
  <c r="H100" i="57" s="1"/>
  <c r="Z117" i="94"/>
  <c r="Z121" i="94" s="1"/>
  <c r="H98" i="57" s="1"/>
  <c r="Y117" i="94"/>
  <c r="Y121" i="94" s="1"/>
  <c r="H97" i="57" s="1"/>
  <c r="AG93" i="94"/>
  <c r="AG97" i="94" s="1"/>
  <c r="AF93" i="94"/>
  <c r="AF97" i="94" s="1"/>
  <c r="H93" i="110" s="1"/>
  <c r="AB93" i="94"/>
  <c r="AB97" i="94" s="1"/>
  <c r="H80" i="57" s="1"/>
  <c r="Z93" i="94"/>
  <c r="Z97" i="94" s="1"/>
  <c r="H78" i="57" s="1"/>
  <c r="Y93" i="94"/>
  <c r="Y97" i="94" s="1"/>
  <c r="H77" i="57" s="1"/>
  <c r="AF69" i="94"/>
  <c r="AF73" i="94" s="1"/>
  <c r="H69" i="110" s="1"/>
  <c r="AG69" i="94"/>
  <c r="AG73" i="94" s="1"/>
  <c r="AB69" i="94"/>
  <c r="AB73" i="94" s="1"/>
  <c r="H60" i="57" s="1"/>
  <c r="Z69" i="94"/>
  <c r="Z73" i="94" s="1"/>
  <c r="H58" i="57" s="1"/>
  <c r="Y69" i="94"/>
  <c r="Y73" i="94" s="1"/>
  <c r="H57" i="57" s="1"/>
  <c r="AG45" i="94"/>
  <c r="AG49" i="94" s="1"/>
  <c r="Y45" i="94"/>
  <c r="Y49" i="94" s="1"/>
  <c r="H37" i="57" s="1"/>
  <c r="AF45" i="94"/>
  <c r="AF49" i="94" s="1"/>
  <c r="H45" i="110" s="1"/>
  <c r="AB45" i="94"/>
  <c r="AB49" i="94" s="1"/>
  <c r="H40" i="57" s="1"/>
  <c r="Z45" i="94"/>
  <c r="Z49" i="94" s="1"/>
  <c r="H38" i="57" s="1"/>
  <c r="AG21" i="94"/>
  <c r="AG25" i="94" s="1"/>
  <c r="Y21" i="94"/>
  <c r="Y25" i="94" s="1"/>
  <c r="H17" i="57" s="1"/>
  <c r="AF21" i="94"/>
  <c r="AF25" i="94" s="1"/>
  <c r="H21" i="110" s="1"/>
  <c r="AB21" i="94"/>
  <c r="AB25" i="94" s="1"/>
  <c r="H20" i="57" s="1"/>
  <c r="Z21" i="94"/>
  <c r="Z25" i="94" s="1"/>
  <c r="H18" i="57" s="1"/>
  <c r="J102" i="57"/>
  <c r="I102" i="57"/>
  <c r="J35" i="128"/>
  <c r="R236" i="94"/>
  <c r="R241" i="94" s="1"/>
  <c r="T236" i="94"/>
  <c r="T241" i="94" s="1"/>
  <c r="H314" i="84" s="1"/>
  <c r="R230" i="94"/>
  <c r="R235" i="94" s="1"/>
  <c r="T230" i="94"/>
  <c r="T235" i="94" s="1"/>
  <c r="H306" i="84" s="1"/>
  <c r="R224" i="94"/>
  <c r="R229" i="94" s="1"/>
  <c r="T224" i="94"/>
  <c r="T229" i="94" s="1"/>
  <c r="R218" i="94"/>
  <c r="T218" i="94"/>
  <c r="T223" i="94" s="1"/>
  <c r="H290" i="84" s="1"/>
  <c r="R212" i="94"/>
  <c r="R217" i="94" s="1"/>
  <c r="T212" i="94"/>
  <c r="T217" i="94" s="1"/>
  <c r="R206" i="94"/>
  <c r="T206" i="94"/>
  <c r="R200" i="94"/>
  <c r="R205" i="94" s="1"/>
  <c r="T200" i="94"/>
  <c r="T205" i="94" s="1"/>
  <c r="H266" i="84" s="1"/>
  <c r="R194" i="94"/>
  <c r="R199" i="94" s="1"/>
  <c r="T194" i="94"/>
  <c r="T199" i="94" s="1"/>
  <c r="H258" i="84" s="1"/>
  <c r="I284" i="84"/>
  <c r="I281" i="84"/>
  <c r="J281" i="84"/>
  <c r="J300" i="84"/>
  <c r="I300" i="84"/>
  <c r="J297" i="84"/>
  <c r="I297" i="84"/>
  <c r="J316" i="84"/>
  <c r="J313" i="84"/>
  <c r="I313" i="84"/>
  <c r="I257" i="84"/>
  <c r="J257" i="84"/>
  <c r="J276" i="84"/>
  <c r="I276" i="84"/>
  <c r="J273" i="84"/>
  <c r="I273" i="84"/>
  <c r="I289" i="84"/>
  <c r="J289" i="84"/>
  <c r="I308" i="84"/>
  <c r="J308" i="84"/>
  <c r="I305" i="84"/>
  <c r="J305" i="84"/>
  <c r="J324" i="84"/>
  <c r="I324" i="84"/>
  <c r="J321" i="84"/>
  <c r="I321" i="84"/>
  <c r="H285" i="84"/>
  <c r="H301" i="84"/>
  <c r="H317" i="84"/>
  <c r="H261" i="84"/>
  <c r="H277" i="84"/>
  <c r="H309" i="84"/>
  <c r="W247" i="94"/>
  <c r="H325" i="84" s="1"/>
  <c r="H255" i="84"/>
  <c r="H271" i="84"/>
  <c r="H279" i="84"/>
  <c r="H282" i="84"/>
  <c r="H287" i="84"/>
  <c r="H295" i="84"/>
  <c r="H298" i="84"/>
  <c r="H303" i="84"/>
  <c r="H311" i="84"/>
  <c r="Q247" i="94"/>
  <c r="H319" i="84" s="1"/>
  <c r="J43" i="130"/>
  <c r="AA127" i="94"/>
  <c r="H104" i="57" s="1"/>
  <c r="Y187" i="94"/>
  <c r="H152" i="57" s="1"/>
  <c r="AB187" i="94"/>
  <c r="H155" i="57" s="1"/>
  <c r="AA187" i="94"/>
  <c r="H154" i="57" s="1"/>
  <c r="Z247" i="94"/>
  <c r="H203" i="57" s="1"/>
  <c r="H256" i="84"/>
  <c r="H259" i="84"/>
  <c r="H264" i="84"/>
  <c r="H275" i="84"/>
  <c r="H280" i="84"/>
  <c r="H283" i="84"/>
  <c r="H291" i="84"/>
  <c r="H296" i="84"/>
  <c r="H299" i="84"/>
  <c r="H304" i="84"/>
  <c r="H307" i="84"/>
  <c r="H312" i="84"/>
  <c r="H315" i="84"/>
  <c r="R247" i="94"/>
  <c r="H320" i="84" s="1"/>
  <c r="T247" i="94"/>
  <c r="H322" i="84" s="1"/>
  <c r="AB247" i="94"/>
  <c r="H205" i="57" s="1"/>
  <c r="AA247" i="94"/>
  <c r="H204" i="57" s="1"/>
  <c r="Z187" i="94"/>
  <c r="H153" i="57" s="1"/>
  <c r="Z127" i="94"/>
  <c r="H103" i="57" s="1"/>
  <c r="I20" i="57" l="1"/>
  <c r="J20" i="57"/>
  <c r="I38" i="57"/>
  <c r="J38" i="57"/>
  <c r="J80" i="57"/>
  <c r="I80" i="57"/>
  <c r="J98" i="57"/>
  <c r="I98" i="57"/>
  <c r="I117" i="57"/>
  <c r="H121" i="57"/>
  <c r="J117" i="57"/>
  <c r="J160" i="57"/>
  <c r="I160" i="57"/>
  <c r="I178" i="57"/>
  <c r="J178" i="57"/>
  <c r="H201" i="57"/>
  <c r="I197" i="57"/>
  <c r="J197" i="57"/>
  <c r="I72" i="57"/>
  <c r="J72" i="57"/>
  <c r="AB235" i="94"/>
  <c r="H195" i="57" s="1"/>
  <c r="I59" i="57"/>
  <c r="J59" i="57"/>
  <c r="I139" i="57"/>
  <c r="J139" i="57"/>
  <c r="AB31" i="94"/>
  <c r="H25" i="57" s="1"/>
  <c r="AF55" i="94"/>
  <c r="H51" i="110" s="1"/>
  <c r="I45" i="57"/>
  <c r="J45" i="57"/>
  <c r="AF79" i="94"/>
  <c r="H75" i="110" s="1"/>
  <c r="I85" i="57"/>
  <c r="J85" i="57"/>
  <c r="J122" i="57"/>
  <c r="I122" i="57"/>
  <c r="H126" i="57"/>
  <c r="AF151" i="94"/>
  <c r="H147" i="110" s="1"/>
  <c r="AF175" i="94"/>
  <c r="H171" i="110" s="1"/>
  <c r="I165" i="57"/>
  <c r="J165" i="57"/>
  <c r="Z223" i="94"/>
  <c r="H183" i="57" s="1"/>
  <c r="I49" i="57"/>
  <c r="J49" i="57"/>
  <c r="H192" i="110"/>
  <c r="I236" i="110"/>
  <c r="J236" i="110"/>
  <c r="I27" i="57"/>
  <c r="J27" i="57"/>
  <c r="AF61" i="94"/>
  <c r="H57" i="110" s="1"/>
  <c r="Z85" i="94"/>
  <c r="H68" i="57" s="1"/>
  <c r="I87" i="57"/>
  <c r="J87" i="57"/>
  <c r="AF133" i="94"/>
  <c r="H129" i="110" s="1"/>
  <c r="H132" i="110" s="1"/>
  <c r="AB157" i="94"/>
  <c r="H130" i="57" s="1"/>
  <c r="Z181" i="94"/>
  <c r="H148" i="57" s="1"/>
  <c r="I167" i="57"/>
  <c r="H171" i="57"/>
  <c r="J167" i="57"/>
  <c r="AF205" i="94"/>
  <c r="H201" i="110" s="1"/>
  <c r="AF229" i="94"/>
  <c r="H225" i="110" s="1"/>
  <c r="I14" i="57"/>
  <c r="J14" i="57"/>
  <c r="H90" i="110"/>
  <c r="H114" i="110"/>
  <c r="H186" i="110"/>
  <c r="I230" i="110"/>
  <c r="J230" i="110"/>
  <c r="I32" i="57"/>
  <c r="J32" i="57"/>
  <c r="AF43" i="94"/>
  <c r="H39" i="110" s="1"/>
  <c r="AF67" i="94"/>
  <c r="H63" i="110" s="1"/>
  <c r="AB115" i="94"/>
  <c r="H95" i="57" s="1"/>
  <c r="Z139" i="94"/>
  <c r="H113" i="57" s="1"/>
  <c r="I172" i="57"/>
  <c r="J172" i="57"/>
  <c r="I221" i="110"/>
  <c r="J221" i="110"/>
  <c r="J187" i="57"/>
  <c r="I187" i="57"/>
  <c r="H66" i="110"/>
  <c r="J239" i="110"/>
  <c r="I239" i="110"/>
  <c r="U205" i="94"/>
  <c r="H267" i="84" s="1"/>
  <c r="W205" i="94"/>
  <c r="H269" i="84" s="1"/>
  <c r="I269" i="84" s="1"/>
  <c r="Z19" i="94"/>
  <c r="H13" i="57" s="1"/>
  <c r="Z67" i="94"/>
  <c r="H53" i="57" s="1"/>
  <c r="AB139" i="94"/>
  <c r="H115" i="57" s="1"/>
  <c r="Z211" i="94"/>
  <c r="H173" i="57" s="1"/>
  <c r="H176" i="57" s="1"/>
  <c r="I19" i="57"/>
  <c r="J19" i="57"/>
  <c r="J57" i="57"/>
  <c r="I57" i="57"/>
  <c r="H61" i="57"/>
  <c r="I118" i="57"/>
  <c r="J118" i="57"/>
  <c r="J180" i="57"/>
  <c r="I180" i="57"/>
  <c r="I24" i="57"/>
  <c r="J24" i="57"/>
  <c r="I124" i="57"/>
  <c r="J124" i="57"/>
  <c r="I132" i="57"/>
  <c r="J132" i="57"/>
  <c r="H136" i="57"/>
  <c r="I42" i="57"/>
  <c r="J42" i="57"/>
  <c r="J123" i="57"/>
  <c r="I123" i="57"/>
  <c r="J185" i="57"/>
  <c r="I185" i="57"/>
  <c r="I39" i="57"/>
  <c r="J39" i="57"/>
  <c r="I28" i="57"/>
  <c r="J28" i="57"/>
  <c r="AB85" i="94"/>
  <c r="H70" i="57" s="1"/>
  <c r="H111" i="57"/>
  <c r="J107" i="57"/>
  <c r="I107" i="57"/>
  <c r="Z205" i="94"/>
  <c r="H168" i="57" s="1"/>
  <c r="J292" i="84"/>
  <c r="K292" i="84" s="1"/>
  <c r="I260" i="84"/>
  <c r="T211" i="94"/>
  <c r="H274" i="84" s="1"/>
  <c r="I17" i="57"/>
  <c r="J17" i="57"/>
  <c r="J58" i="57"/>
  <c r="I58" i="57"/>
  <c r="J77" i="57"/>
  <c r="I77" i="57"/>
  <c r="H81" i="57"/>
  <c r="AF121" i="94"/>
  <c r="H117" i="110" s="1"/>
  <c r="J120" i="57"/>
  <c r="I120" i="57"/>
  <c r="I138" i="57"/>
  <c r="J138" i="57"/>
  <c r="I157" i="57"/>
  <c r="J157" i="57"/>
  <c r="H161" i="57"/>
  <c r="AF193" i="94"/>
  <c r="H189" i="110" s="1"/>
  <c r="I200" i="57"/>
  <c r="J200" i="57"/>
  <c r="I44" i="57"/>
  <c r="J44" i="57"/>
  <c r="J64" i="57"/>
  <c r="I64" i="57"/>
  <c r="J84" i="57"/>
  <c r="I84" i="57"/>
  <c r="I144" i="57"/>
  <c r="J144" i="57"/>
  <c r="J164" i="57"/>
  <c r="I164" i="57"/>
  <c r="J184" i="57"/>
  <c r="I184" i="57"/>
  <c r="AB91" i="94"/>
  <c r="H75" i="57" s="1"/>
  <c r="J133" i="57"/>
  <c r="I133" i="57"/>
  <c r="H196" i="57"/>
  <c r="J192" i="57"/>
  <c r="I192" i="57"/>
  <c r="AF235" i="94"/>
  <c r="H231" i="110" s="1"/>
  <c r="H234" i="110" s="1"/>
  <c r="I22" i="57"/>
  <c r="J22" i="57"/>
  <c r="Z79" i="94"/>
  <c r="H63" i="57" s="1"/>
  <c r="J82" i="57"/>
  <c r="I82" i="57"/>
  <c r="AF127" i="94"/>
  <c r="H123" i="110" s="1"/>
  <c r="J125" i="57"/>
  <c r="I125" i="57"/>
  <c r="Z175" i="94"/>
  <c r="H143" i="57" s="1"/>
  <c r="J162" i="57"/>
  <c r="I162" i="57"/>
  <c r="H166" i="57"/>
  <c r="AF223" i="94"/>
  <c r="H219" i="110" s="1"/>
  <c r="J69" i="57"/>
  <c r="I69" i="57"/>
  <c r="J89" i="57"/>
  <c r="I89" i="57"/>
  <c r="I109" i="57"/>
  <c r="J109" i="57"/>
  <c r="J129" i="57"/>
  <c r="I129" i="57"/>
  <c r="J149" i="57"/>
  <c r="I149" i="57"/>
  <c r="I169" i="57"/>
  <c r="J169" i="57"/>
  <c r="I189" i="57"/>
  <c r="J189" i="57"/>
  <c r="H48" i="110"/>
  <c r="AB37" i="94"/>
  <c r="H30" i="57" s="1"/>
  <c r="Z61" i="94"/>
  <c r="H48" i="57" s="1"/>
  <c r="AB109" i="94"/>
  <c r="H90" i="57" s="1"/>
  <c r="Z133" i="94"/>
  <c r="H108" i="57" s="1"/>
  <c r="I127" i="57"/>
  <c r="J127" i="57"/>
  <c r="AB205" i="94"/>
  <c r="H170" i="57" s="1"/>
  <c r="Z229" i="94"/>
  <c r="H188" i="57" s="1"/>
  <c r="I54" i="57"/>
  <c r="J54" i="57"/>
  <c r="V205" i="94"/>
  <c r="H268" i="84" s="1"/>
  <c r="AB19" i="94"/>
  <c r="H15" i="57" s="1"/>
  <c r="Z43" i="94"/>
  <c r="H33" i="57" s="1"/>
  <c r="I52" i="57"/>
  <c r="J52" i="57"/>
  <c r="I92" i="57"/>
  <c r="J92" i="57"/>
  <c r="AF115" i="94"/>
  <c r="H111" i="110" s="1"/>
  <c r="AB211" i="94"/>
  <c r="H175" i="57" s="1"/>
  <c r="J79" i="57"/>
  <c r="I79" i="57"/>
  <c r="J119" i="57"/>
  <c r="I119" i="57"/>
  <c r="J179" i="57"/>
  <c r="I179" i="57"/>
  <c r="I40" i="57"/>
  <c r="J40" i="57"/>
  <c r="J100" i="57"/>
  <c r="I100" i="57"/>
  <c r="J137" i="57"/>
  <c r="I137" i="57"/>
  <c r="H141" i="57"/>
  <c r="J198" i="57"/>
  <c r="I198" i="57"/>
  <c r="J242" i="110"/>
  <c r="I242" i="110"/>
  <c r="H246" i="110"/>
  <c r="J73" i="57"/>
  <c r="I73" i="57"/>
  <c r="H72" i="110"/>
  <c r="AF31" i="94"/>
  <c r="H27" i="110" s="1"/>
  <c r="H66" i="57"/>
  <c r="J62" i="57"/>
  <c r="I62" i="57"/>
  <c r="H146" i="57"/>
  <c r="J142" i="57"/>
  <c r="I142" i="57"/>
  <c r="H60" i="110"/>
  <c r="J245" i="110"/>
  <c r="I245" i="110"/>
  <c r="I47" i="57"/>
  <c r="J47" i="57"/>
  <c r="Z109" i="94"/>
  <c r="H88" i="57" s="1"/>
  <c r="AB181" i="94"/>
  <c r="H150" i="57" s="1"/>
  <c r="R211" i="94"/>
  <c r="H272" i="84" s="1"/>
  <c r="R223" i="94"/>
  <c r="H288" i="84" s="1"/>
  <c r="J288" i="84" s="1"/>
  <c r="I18" i="57"/>
  <c r="J18" i="57"/>
  <c r="I37" i="57"/>
  <c r="J37" i="57"/>
  <c r="J60" i="57"/>
  <c r="I60" i="57"/>
  <c r="I78" i="57"/>
  <c r="J78" i="57"/>
  <c r="J97" i="57"/>
  <c r="I97" i="57"/>
  <c r="H101" i="57"/>
  <c r="J140" i="57"/>
  <c r="I140" i="57"/>
  <c r="I158" i="57"/>
  <c r="J158" i="57"/>
  <c r="J177" i="57"/>
  <c r="I177" i="57"/>
  <c r="H181" i="57"/>
  <c r="AF241" i="94"/>
  <c r="H237" i="110" s="1"/>
  <c r="H54" i="110"/>
  <c r="H78" i="110"/>
  <c r="H102" i="110"/>
  <c r="H126" i="110"/>
  <c r="H150" i="110"/>
  <c r="H174" i="110"/>
  <c r="H198" i="110"/>
  <c r="H222" i="110"/>
  <c r="I218" i="110"/>
  <c r="J218" i="110"/>
  <c r="J227" i="110"/>
  <c r="I227" i="110"/>
  <c r="AB163" i="94"/>
  <c r="H135" i="57" s="1"/>
  <c r="I193" i="57"/>
  <c r="J193" i="57"/>
  <c r="Z31" i="94"/>
  <c r="H23" i="57" s="1"/>
  <c r="Z55" i="94"/>
  <c r="H43" i="57" s="1"/>
  <c r="J65" i="57"/>
  <c r="I65" i="57"/>
  <c r="Z103" i="94"/>
  <c r="H83" i="57" s="1"/>
  <c r="J145" i="57"/>
  <c r="I145" i="57"/>
  <c r="Z199" i="94"/>
  <c r="H163" i="57" s="1"/>
  <c r="H186" i="57"/>
  <c r="J182" i="57"/>
  <c r="I182" i="57"/>
  <c r="AF247" i="94"/>
  <c r="H243" i="110" s="1"/>
  <c r="I29" i="57"/>
  <c r="J29" i="57"/>
  <c r="H84" i="110"/>
  <c r="H156" i="110"/>
  <c r="H228" i="110"/>
  <c r="I224" i="110"/>
  <c r="J224" i="110"/>
  <c r="J233" i="110"/>
  <c r="I233" i="110"/>
  <c r="J99" i="57"/>
  <c r="I99" i="57"/>
  <c r="I159" i="57"/>
  <c r="J159" i="57"/>
  <c r="J199" i="57"/>
  <c r="I199" i="57"/>
  <c r="AF37" i="94"/>
  <c r="H33" i="110" s="1"/>
  <c r="AB61" i="94"/>
  <c r="H50" i="57" s="1"/>
  <c r="I67" i="57"/>
  <c r="J67" i="57"/>
  <c r="H71" i="57"/>
  <c r="AF85" i="94"/>
  <c r="H81" i="110" s="1"/>
  <c r="AF109" i="94"/>
  <c r="H105" i="110" s="1"/>
  <c r="AB133" i="94"/>
  <c r="H110" i="57" s="1"/>
  <c r="Z157" i="94"/>
  <c r="H128" i="57" s="1"/>
  <c r="I147" i="57"/>
  <c r="J147" i="57"/>
  <c r="H151" i="57"/>
  <c r="AF181" i="94"/>
  <c r="H177" i="110" s="1"/>
  <c r="H180" i="110" s="1"/>
  <c r="AB229" i="94"/>
  <c r="H190" i="57" s="1"/>
  <c r="I34" i="57"/>
  <c r="J34" i="57"/>
  <c r="I74" i="57"/>
  <c r="J74" i="57"/>
  <c r="I94" i="57"/>
  <c r="J94" i="57"/>
  <c r="J114" i="57"/>
  <c r="I114" i="57"/>
  <c r="J134" i="57"/>
  <c r="I134" i="57"/>
  <c r="J174" i="57"/>
  <c r="I174" i="57"/>
  <c r="I194" i="57"/>
  <c r="J194" i="57"/>
  <c r="S205" i="94"/>
  <c r="H265" i="84" s="1"/>
  <c r="Q205" i="94"/>
  <c r="H263" i="84" s="1"/>
  <c r="H270" i="84" s="1"/>
  <c r="I12" i="57"/>
  <c r="J12" i="57"/>
  <c r="AF19" i="94"/>
  <c r="H15" i="110" s="1"/>
  <c r="AB43" i="94"/>
  <c r="H35" i="57" s="1"/>
  <c r="AB67" i="94"/>
  <c r="H55" i="57" s="1"/>
  <c r="H56" i="57" s="1"/>
  <c r="Z115" i="94"/>
  <c r="H93" i="57" s="1"/>
  <c r="J112" i="57"/>
  <c r="I112" i="57"/>
  <c r="H116" i="57"/>
  <c r="AF139" i="94"/>
  <c r="H135" i="110" s="1"/>
  <c r="H138" i="110" s="1"/>
  <c r="AF211" i="94"/>
  <c r="H207" i="110" s="1"/>
  <c r="H96" i="110"/>
  <c r="H144" i="110"/>
  <c r="H216" i="110"/>
  <c r="J103" i="57"/>
  <c r="I103" i="57"/>
  <c r="J205" i="57"/>
  <c r="I205" i="57"/>
  <c r="I153" i="57"/>
  <c r="J153" i="57"/>
  <c r="J204" i="57"/>
  <c r="I204" i="57"/>
  <c r="J41" i="130"/>
  <c r="I154" i="57"/>
  <c r="J154" i="57"/>
  <c r="I152" i="57"/>
  <c r="J152" i="57"/>
  <c r="J105" i="57"/>
  <c r="I105" i="57"/>
  <c r="J42" i="130"/>
  <c r="J45" i="130"/>
  <c r="J44" i="130"/>
  <c r="J202" i="57"/>
  <c r="I202" i="57"/>
  <c r="J203" i="57"/>
  <c r="I203" i="57"/>
  <c r="I155" i="57"/>
  <c r="J155" i="57"/>
  <c r="J104" i="57"/>
  <c r="I104" i="57"/>
  <c r="K102" i="57"/>
  <c r="M102" i="57"/>
  <c r="L102" i="57"/>
  <c r="J323" i="84"/>
  <c r="I323" i="84"/>
  <c r="I315" i="84"/>
  <c r="J315" i="84"/>
  <c r="I307" i="84"/>
  <c r="J307" i="84"/>
  <c r="J299" i="84"/>
  <c r="I299" i="84"/>
  <c r="J291" i="84"/>
  <c r="I291" i="84"/>
  <c r="I283" i="84"/>
  <c r="J283" i="84"/>
  <c r="J275" i="84"/>
  <c r="I275" i="84"/>
  <c r="J267" i="84"/>
  <c r="I267" i="84"/>
  <c r="J259" i="84"/>
  <c r="I259" i="84"/>
  <c r="J314" i="84"/>
  <c r="I314" i="84"/>
  <c r="I306" i="84"/>
  <c r="J306" i="84"/>
  <c r="J298" i="84"/>
  <c r="I298" i="84"/>
  <c r="I290" i="84"/>
  <c r="J290" i="84"/>
  <c r="I282" i="84"/>
  <c r="J282" i="84"/>
  <c r="J274" i="84"/>
  <c r="I274" i="84"/>
  <c r="I263" i="84"/>
  <c r="J263" i="84"/>
  <c r="H262" i="84"/>
  <c r="I255" i="84"/>
  <c r="J255" i="84"/>
  <c r="I309" i="84"/>
  <c r="J309" i="84"/>
  <c r="J277" i="84"/>
  <c r="I277" i="84"/>
  <c r="J301" i="84"/>
  <c r="I301" i="84"/>
  <c r="J269" i="84"/>
  <c r="M305" i="84"/>
  <c r="L305" i="84"/>
  <c r="K305" i="84"/>
  <c r="K308" i="84"/>
  <c r="M308" i="84"/>
  <c r="L308" i="84"/>
  <c r="M289" i="84"/>
  <c r="L289" i="84"/>
  <c r="K289" i="84"/>
  <c r="L292" i="84"/>
  <c r="M257" i="84"/>
  <c r="L257" i="84"/>
  <c r="K257" i="84"/>
  <c r="M281" i="84"/>
  <c r="L281" i="84"/>
  <c r="K281" i="84"/>
  <c r="K284" i="84"/>
  <c r="M284" i="84"/>
  <c r="L284" i="84"/>
  <c r="J322" i="84"/>
  <c r="I322" i="84"/>
  <c r="J320" i="84"/>
  <c r="I320" i="84"/>
  <c r="J312" i="84"/>
  <c r="I312" i="84"/>
  <c r="I304" i="84"/>
  <c r="J304" i="84"/>
  <c r="J296" i="84"/>
  <c r="I296" i="84"/>
  <c r="I288" i="84"/>
  <c r="I280" i="84"/>
  <c r="J280" i="84"/>
  <c r="J272" i="84"/>
  <c r="I272" i="84"/>
  <c r="I264" i="84"/>
  <c r="J264" i="84"/>
  <c r="I256" i="84"/>
  <c r="J256" i="84"/>
  <c r="J319" i="84"/>
  <c r="I319" i="84"/>
  <c r="H318" i="84"/>
  <c r="J311" i="84"/>
  <c r="I311" i="84"/>
  <c r="H310" i="84"/>
  <c r="I303" i="84"/>
  <c r="J303" i="84"/>
  <c r="J295" i="84"/>
  <c r="H302" i="84"/>
  <c r="I295" i="84"/>
  <c r="J287" i="84"/>
  <c r="I287" i="84"/>
  <c r="I279" i="84"/>
  <c r="J279" i="84"/>
  <c r="H278" i="84"/>
  <c r="J271" i="84"/>
  <c r="I271" i="84"/>
  <c r="J266" i="84"/>
  <c r="I266" i="84"/>
  <c r="I258" i="84"/>
  <c r="J258" i="84"/>
  <c r="J325" i="84"/>
  <c r="I325" i="84"/>
  <c r="I293" i="84"/>
  <c r="J293" i="84"/>
  <c r="J261" i="84"/>
  <c r="I261" i="84"/>
  <c r="J317" i="84"/>
  <c r="I317" i="84"/>
  <c r="I285" i="84"/>
  <c r="J285" i="84"/>
  <c r="K321" i="84"/>
  <c r="M321" i="84"/>
  <c r="L321" i="84"/>
  <c r="M324" i="84"/>
  <c r="L324" i="84"/>
  <c r="K324" i="84"/>
  <c r="L273" i="84"/>
  <c r="M273" i="84"/>
  <c r="K273" i="84"/>
  <c r="L276" i="84"/>
  <c r="K276" i="84"/>
  <c r="M276" i="84"/>
  <c r="L260" i="84"/>
  <c r="M260" i="84"/>
  <c r="K260" i="84"/>
  <c r="M313" i="84"/>
  <c r="K313" i="84"/>
  <c r="L313" i="84"/>
  <c r="L316" i="84"/>
  <c r="K316" i="84"/>
  <c r="M316" i="84"/>
  <c r="L297" i="84"/>
  <c r="K297" i="84"/>
  <c r="M297" i="84"/>
  <c r="L300" i="84"/>
  <c r="M300" i="84"/>
  <c r="K300" i="84"/>
  <c r="H286" i="84"/>
  <c r="H326" i="84"/>
  <c r="H106" i="57"/>
  <c r="L137" i="57" l="1"/>
  <c r="M137" i="57"/>
  <c r="J141" i="57"/>
  <c r="K137" i="57"/>
  <c r="K119" i="57"/>
  <c r="M119" i="57"/>
  <c r="L119" i="57"/>
  <c r="I48" i="57"/>
  <c r="J48" i="57"/>
  <c r="M129" i="57"/>
  <c r="L129" i="57"/>
  <c r="K129" i="57"/>
  <c r="M187" i="57"/>
  <c r="L187" i="57"/>
  <c r="K187" i="57"/>
  <c r="I68" i="57"/>
  <c r="J68" i="57"/>
  <c r="K160" i="57"/>
  <c r="M160" i="57"/>
  <c r="L160" i="57"/>
  <c r="M292" i="84"/>
  <c r="I35" i="57"/>
  <c r="J35" i="57"/>
  <c r="M194" i="57"/>
  <c r="L194" i="57"/>
  <c r="K194" i="57"/>
  <c r="K94" i="57"/>
  <c r="M94" i="57"/>
  <c r="L94" i="57"/>
  <c r="L34" i="57"/>
  <c r="M34" i="57"/>
  <c r="K34" i="57"/>
  <c r="J110" i="57"/>
  <c r="I110" i="57"/>
  <c r="K67" i="57"/>
  <c r="M67" i="57"/>
  <c r="L67" i="57"/>
  <c r="K159" i="57"/>
  <c r="M159" i="57"/>
  <c r="L159" i="57"/>
  <c r="L29" i="57"/>
  <c r="M29" i="57"/>
  <c r="K29" i="57"/>
  <c r="L182" i="57"/>
  <c r="K182" i="57"/>
  <c r="M182" i="57"/>
  <c r="K145" i="57"/>
  <c r="M145" i="57"/>
  <c r="L145" i="57"/>
  <c r="I43" i="57"/>
  <c r="J43" i="57"/>
  <c r="K227" i="110"/>
  <c r="L227" i="110"/>
  <c r="M227" i="110"/>
  <c r="J237" i="110"/>
  <c r="I237" i="110"/>
  <c r="K158" i="57"/>
  <c r="M158" i="57"/>
  <c r="L158" i="57"/>
  <c r="M47" i="57"/>
  <c r="K47" i="57"/>
  <c r="L47" i="57"/>
  <c r="M245" i="110"/>
  <c r="L245" i="110"/>
  <c r="K245" i="110"/>
  <c r="M73" i="57"/>
  <c r="L73" i="57"/>
  <c r="K73" i="57"/>
  <c r="M198" i="57"/>
  <c r="L198" i="57"/>
  <c r="K198" i="57"/>
  <c r="M52" i="57"/>
  <c r="K52" i="57"/>
  <c r="L52" i="57"/>
  <c r="J268" i="84"/>
  <c r="I268" i="84"/>
  <c r="J188" i="57"/>
  <c r="J191" i="57" s="1"/>
  <c r="I188" i="57"/>
  <c r="J30" i="57"/>
  <c r="I30" i="57"/>
  <c r="M189" i="57"/>
  <c r="K189" i="57"/>
  <c r="L189" i="57"/>
  <c r="L109" i="57"/>
  <c r="K109" i="57"/>
  <c r="M109" i="57"/>
  <c r="L125" i="57"/>
  <c r="K125" i="57"/>
  <c r="M125" i="57"/>
  <c r="L82" i="57"/>
  <c r="K82" i="57"/>
  <c r="M82" i="57"/>
  <c r="M192" i="57"/>
  <c r="L192" i="57"/>
  <c r="K192" i="57"/>
  <c r="J75" i="57"/>
  <c r="I75" i="57"/>
  <c r="M164" i="57"/>
  <c r="L164" i="57"/>
  <c r="K164" i="57"/>
  <c r="M84" i="57"/>
  <c r="L84" i="57"/>
  <c r="K84" i="57"/>
  <c r="V137" i="57"/>
  <c r="W137" i="57" s="1"/>
  <c r="L138" i="57"/>
  <c r="K138" i="57"/>
  <c r="M138" i="57"/>
  <c r="J168" i="57"/>
  <c r="I168" i="57"/>
  <c r="I70" i="57"/>
  <c r="J70" i="57"/>
  <c r="K185" i="57"/>
  <c r="M185" i="57"/>
  <c r="L185" i="57"/>
  <c r="M42" i="57"/>
  <c r="K42" i="57"/>
  <c r="L42" i="57"/>
  <c r="V42" i="57"/>
  <c r="W42" i="57" s="1"/>
  <c r="L132" i="57"/>
  <c r="V132" i="57"/>
  <c r="W132" i="57" s="1"/>
  <c r="K132" i="57"/>
  <c r="M132" i="57"/>
  <c r="J61" i="57"/>
  <c r="K57" i="57"/>
  <c r="V57" i="57"/>
  <c r="W57" i="57" s="1"/>
  <c r="M57" i="57"/>
  <c r="L57" i="57"/>
  <c r="I115" i="57"/>
  <c r="J115" i="57"/>
  <c r="M239" i="110"/>
  <c r="L239" i="110"/>
  <c r="K239" i="110"/>
  <c r="J113" i="57"/>
  <c r="I113" i="57"/>
  <c r="M32" i="57"/>
  <c r="K32" i="57"/>
  <c r="L32" i="57"/>
  <c r="J225" i="110"/>
  <c r="I225" i="110"/>
  <c r="K87" i="57"/>
  <c r="L87" i="57"/>
  <c r="M87" i="57"/>
  <c r="M236" i="110"/>
  <c r="K236" i="110"/>
  <c r="L236" i="110"/>
  <c r="X235" i="110"/>
  <c r="Y235" i="110" s="1"/>
  <c r="J240" i="110"/>
  <c r="I25" i="57"/>
  <c r="J25" i="57"/>
  <c r="L59" i="57"/>
  <c r="K59" i="57"/>
  <c r="M59" i="57"/>
  <c r="L72" i="57"/>
  <c r="V72" i="57"/>
  <c r="W72" i="57" s="1"/>
  <c r="M72" i="57"/>
  <c r="J76" i="57"/>
  <c r="K72" i="57"/>
  <c r="V177" i="57"/>
  <c r="W177" i="57" s="1"/>
  <c r="L178" i="57"/>
  <c r="M178" i="57"/>
  <c r="K178" i="57"/>
  <c r="V117" i="57"/>
  <c r="W117" i="57" s="1"/>
  <c r="M117" i="57"/>
  <c r="L117" i="57"/>
  <c r="J121" i="57"/>
  <c r="K117" i="57"/>
  <c r="M98" i="57"/>
  <c r="L98" i="57"/>
  <c r="K98" i="57"/>
  <c r="K174" i="57"/>
  <c r="M174" i="57"/>
  <c r="L174" i="57"/>
  <c r="M114" i="57"/>
  <c r="K114" i="57"/>
  <c r="L114" i="57"/>
  <c r="K99" i="57"/>
  <c r="M99" i="57"/>
  <c r="L99" i="57"/>
  <c r="K193" i="57"/>
  <c r="M193" i="57"/>
  <c r="L193" i="57"/>
  <c r="J88" i="57"/>
  <c r="I88" i="57"/>
  <c r="K142" i="57"/>
  <c r="M142" i="57"/>
  <c r="V142" i="57"/>
  <c r="W142" i="57" s="1"/>
  <c r="L142" i="57"/>
  <c r="I15" i="57"/>
  <c r="J15" i="57"/>
  <c r="M89" i="57"/>
  <c r="L89" i="57"/>
  <c r="K89" i="57"/>
  <c r="L44" i="57"/>
  <c r="M44" i="57"/>
  <c r="K44" i="57"/>
  <c r="M120" i="57"/>
  <c r="L120" i="57"/>
  <c r="K120" i="57"/>
  <c r="M17" i="57"/>
  <c r="K17" i="57"/>
  <c r="V17" i="57"/>
  <c r="W17" i="57" s="1"/>
  <c r="L17" i="57"/>
  <c r="I173" i="57"/>
  <c r="J173" i="57"/>
  <c r="L49" i="57"/>
  <c r="M49" i="57"/>
  <c r="K49" i="57"/>
  <c r="L165" i="57"/>
  <c r="K165" i="57"/>
  <c r="M165" i="57"/>
  <c r="M38" i="57"/>
  <c r="K38" i="57"/>
  <c r="L38" i="57"/>
  <c r="H16" i="57"/>
  <c r="K112" i="57"/>
  <c r="M112" i="57"/>
  <c r="L112" i="57"/>
  <c r="J265" i="84"/>
  <c r="I265" i="84"/>
  <c r="L134" i="57"/>
  <c r="K134" i="57"/>
  <c r="M134" i="57"/>
  <c r="L147" i="57"/>
  <c r="M147" i="57"/>
  <c r="K147" i="57"/>
  <c r="L233" i="110"/>
  <c r="K233" i="110"/>
  <c r="M233" i="110"/>
  <c r="J83" i="57"/>
  <c r="J86" i="57" s="1"/>
  <c r="I83" i="57"/>
  <c r="I23" i="57"/>
  <c r="J23" i="57"/>
  <c r="I135" i="57"/>
  <c r="J135" i="57"/>
  <c r="J136" i="57" s="1"/>
  <c r="M18" i="57"/>
  <c r="K18" i="57"/>
  <c r="L18" i="57"/>
  <c r="I150" i="57"/>
  <c r="J150" i="57"/>
  <c r="L100" i="57"/>
  <c r="K100" i="57"/>
  <c r="M100" i="57"/>
  <c r="K179" i="57"/>
  <c r="M179" i="57"/>
  <c r="L179" i="57"/>
  <c r="L79" i="57"/>
  <c r="K79" i="57"/>
  <c r="M79" i="57"/>
  <c r="L92" i="57"/>
  <c r="K92" i="57"/>
  <c r="M92" i="57"/>
  <c r="I170" i="57"/>
  <c r="J170" i="57"/>
  <c r="J108" i="57"/>
  <c r="I108" i="57"/>
  <c r="L149" i="57"/>
  <c r="K149" i="57"/>
  <c r="M149" i="57"/>
  <c r="L69" i="57"/>
  <c r="K69" i="57"/>
  <c r="M69" i="57"/>
  <c r="L162" i="57"/>
  <c r="M162" i="57"/>
  <c r="K162" i="57"/>
  <c r="J63" i="57"/>
  <c r="I63" i="57"/>
  <c r="L144" i="57"/>
  <c r="K144" i="57"/>
  <c r="M144" i="57"/>
  <c r="K58" i="57"/>
  <c r="M58" i="57"/>
  <c r="L58" i="57"/>
  <c r="M28" i="57"/>
  <c r="K28" i="57"/>
  <c r="L28" i="57"/>
  <c r="L39" i="57"/>
  <c r="M39" i="57"/>
  <c r="K39" i="57"/>
  <c r="M124" i="57"/>
  <c r="L124" i="57"/>
  <c r="K124" i="57"/>
  <c r="L19" i="57"/>
  <c r="M19" i="57"/>
  <c r="K19" i="57"/>
  <c r="I53" i="57"/>
  <c r="J53" i="57"/>
  <c r="H191" i="57"/>
  <c r="K172" i="57"/>
  <c r="L172" i="57"/>
  <c r="M172" i="57"/>
  <c r="J95" i="57"/>
  <c r="I95" i="57"/>
  <c r="I148" i="57"/>
  <c r="J148" i="57"/>
  <c r="V27" i="57"/>
  <c r="W27" i="57" s="1"/>
  <c r="M27" i="57"/>
  <c r="K27" i="57"/>
  <c r="L27" i="57"/>
  <c r="J126" i="57"/>
  <c r="L122" i="57"/>
  <c r="M122" i="57"/>
  <c r="V122" i="57"/>
  <c r="W122" i="57" s="1"/>
  <c r="K122" i="57"/>
  <c r="K45" i="57"/>
  <c r="L45" i="57"/>
  <c r="M45" i="57"/>
  <c r="H76" i="57"/>
  <c r="L197" i="57"/>
  <c r="V197" i="57"/>
  <c r="W197" i="57" s="1"/>
  <c r="M197" i="57"/>
  <c r="K197" i="57"/>
  <c r="J201" i="57"/>
  <c r="K20" i="57"/>
  <c r="L20" i="57"/>
  <c r="M20" i="57"/>
  <c r="I55" i="57"/>
  <c r="J55" i="57"/>
  <c r="J128" i="57"/>
  <c r="I128" i="57"/>
  <c r="L199" i="57"/>
  <c r="K199" i="57"/>
  <c r="M199" i="57"/>
  <c r="M224" i="110"/>
  <c r="L224" i="110"/>
  <c r="K224" i="110"/>
  <c r="J228" i="110"/>
  <c r="X223" i="110"/>
  <c r="Y223" i="110" s="1"/>
  <c r="L65" i="57"/>
  <c r="K65" i="57"/>
  <c r="M65" i="57"/>
  <c r="J181" i="57"/>
  <c r="M177" i="57"/>
  <c r="L177" i="57"/>
  <c r="K177" i="57"/>
  <c r="L140" i="57"/>
  <c r="K140" i="57"/>
  <c r="M140" i="57"/>
  <c r="L78" i="57"/>
  <c r="M78" i="57"/>
  <c r="K78" i="57"/>
  <c r="M37" i="57"/>
  <c r="K37" i="57"/>
  <c r="V37" i="57"/>
  <c r="W37" i="57" s="1"/>
  <c r="L37" i="57"/>
  <c r="J175" i="57"/>
  <c r="I175" i="57"/>
  <c r="M127" i="57"/>
  <c r="K127" i="57"/>
  <c r="L127" i="57"/>
  <c r="M133" i="57"/>
  <c r="L133" i="57"/>
  <c r="K133" i="57"/>
  <c r="V77" i="57"/>
  <c r="W77" i="57" s="1"/>
  <c r="M77" i="57"/>
  <c r="L77" i="57"/>
  <c r="K77" i="57"/>
  <c r="J81" i="57"/>
  <c r="L24" i="57"/>
  <c r="M24" i="57"/>
  <c r="K24" i="57"/>
  <c r="L118" i="57"/>
  <c r="K118" i="57"/>
  <c r="M118" i="57"/>
  <c r="M230" i="110"/>
  <c r="L230" i="110"/>
  <c r="K230" i="110"/>
  <c r="H294" i="84"/>
  <c r="J93" i="57"/>
  <c r="V92" i="57" s="1"/>
  <c r="W92" i="57" s="1"/>
  <c r="I93" i="57"/>
  <c r="M12" i="57"/>
  <c r="V12" i="57"/>
  <c r="W12" i="57" s="1"/>
  <c r="K12" i="57"/>
  <c r="L12" i="57"/>
  <c r="M74" i="57"/>
  <c r="L74" i="57"/>
  <c r="K74" i="57"/>
  <c r="I190" i="57"/>
  <c r="J190" i="57"/>
  <c r="I50" i="57"/>
  <c r="J50" i="57"/>
  <c r="V47" i="57" s="1"/>
  <c r="W47" i="57" s="1"/>
  <c r="H108" i="110"/>
  <c r="J243" i="110"/>
  <c r="I243" i="110"/>
  <c r="I163" i="57"/>
  <c r="J163" i="57"/>
  <c r="L218" i="110"/>
  <c r="K218" i="110"/>
  <c r="M218" i="110"/>
  <c r="J222" i="110"/>
  <c r="X217" i="110"/>
  <c r="Y217" i="110" s="1"/>
  <c r="V97" i="57"/>
  <c r="W97" i="57" s="1"/>
  <c r="K97" i="57"/>
  <c r="L97" i="57"/>
  <c r="M97" i="57"/>
  <c r="J101" i="57"/>
  <c r="K60" i="57"/>
  <c r="M60" i="57"/>
  <c r="L60" i="57"/>
  <c r="V62" i="57"/>
  <c r="W62" i="57" s="1"/>
  <c r="K62" i="57"/>
  <c r="L62" i="57"/>
  <c r="M62" i="57"/>
  <c r="J66" i="57"/>
  <c r="K242" i="110"/>
  <c r="L242" i="110"/>
  <c r="M242" i="110"/>
  <c r="X241" i="110"/>
  <c r="Y241" i="110" s="1"/>
  <c r="K40" i="57"/>
  <c r="L40" i="57"/>
  <c r="M40" i="57"/>
  <c r="H96" i="57"/>
  <c r="I33" i="57"/>
  <c r="J33" i="57"/>
  <c r="L54" i="57"/>
  <c r="M54" i="57"/>
  <c r="K54" i="57"/>
  <c r="H131" i="57"/>
  <c r="J90" i="57"/>
  <c r="J91" i="57" s="1"/>
  <c r="I90" i="57"/>
  <c r="M169" i="57"/>
  <c r="L169" i="57"/>
  <c r="K169" i="57"/>
  <c r="J219" i="110"/>
  <c r="I219" i="110"/>
  <c r="J143" i="57"/>
  <c r="I143" i="57"/>
  <c r="H86" i="57"/>
  <c r="M22" i="57"/>
  <c r="K22" i="57"/>
  <c r="L22" i="57"/>
  <c r="I231" i="110"/>
  <c r="J231" i="110"/>
  <c r="M184" i="57"/>
  <c r="L184" i="57"/>
  <c r="K184" i="57"/>
  <c r="M64" i="57"/>
  <c r="L64" i="57"/>
  <c r="K64" i="57"/>
  <c r="K200" i="57"/>
  <c r="M200" i="57"/>
  <c r="L200" i="57"/>
  <c r="M157" i="57"/>
  <c r="V157" i="57"/>
  <c r="W157" i="57" s="1"/>
  <c r="L157" i="57"/>
  <c r="J161" i="57"/>
  <c r="K157" i="57"/>
  <c r="K107" i="57"/>
  <c r="V107" i="57"/>
  <c r="W107" i="57" s="1"/>
  <c r="M107" i="57"/>
  <c r="L107" i="57"/>
  <c r="M123" i="57"/>
  <c r="K123" i="57"/>
  <c r="L123" i="57"/>
  <c r="K180" i="57"/>
  <c r="L180" i="57"/>
  <c r="M180" i="57"/>
  <c r="I13" i="57"/>
  <c r="J13" i="57"/>
  <c r="K221" i="110"/>
  <c r="M221" i="110"/>
  <c r="L221" i="110"/>
  <c r="H210" i="110"/>
  <c r="L14" i="57"/>
  <c r="M14" i="57"/>
  <c r="K14" i="57"/>
  <c r="K167" i="57"/>
  <c r="M167" i="57"/>
  <c r="L167" i="57"/>
  <c r="V167" i="57"/>
  <c r="W167" i="57" s="1"/>
  <c r="J171" i="57"/>
  <c r="I130" i="57"/>
  <c r="J130" i="57"/>
  <c r="H91" i="57"/>
  <c r="H240" i="110"/>
  <c r="I183" i="57"/>
  <c r="J183" i="57"/>
  <c r="L85" i="57"/>
  <c r="K85" i="57"/>
  <c r="M85" i="57"/>
  <c r="K139" i="57"/>
  <c r="M139" i="57"/>
  <c r="L139" i="57"/>
  <c r="J195" i="57"/>
  <c r="I195" i="57"/>
  <c r="L80" i="57"/>
  <c r="M80" i="57"/>
  <c r="K80" i="57"/>
  <c r="V152" i="57"/>
  <c r="W152" i="57" s="1"/>
  <c r="V102" i="57"/>
  <c r="W102" i="57" s="1"/>
  <c r="V202" i="57"/>
  <c r="W202" i="57" s="1"/>
  <c r="K155" i="57"/>
  <c r="M155" i="57"/>
  <c r="L155" i="57"/>
  <c r="M152" i="57"/>
  <c r="L152" i="57"/>
  <c r="K152" i="57"/>
  <c r="M154" i="57"/>
  <c r="L154" i="57"/>
  <c r="K154" i="57"/>
  <c r="K153" i="57"/>
  <c r="M153" i="57"/>
  <c r="L153" i="57"/>
  <c r="K104" i="57"/>
  <c r="M104" i="57"/>
  <c r="L104" i="57"/>
  <c r="K203" i="57"/>
  <c r="M203" i="57"/>
  <c r="L203" i="57"/>
  <c r="M202" i="57"/>
  <c r="L202" i="57"/>
  <c r="K202" i="57"/>
  <c r="M105" i="57"/>
  <c r="L105" i="57"/>
  <c r="K105" i="57"/>
  <c r="M204" i="57"/>
  <c r="L204" i="57"/>
  <c r="K204" i="57"/>
  <c r="K205" i="57"/>
  <c r="M205" i="57"/>
  <c r="L205" i="57"/>
  <c r="M103" i="57"/>
  <c r="L103" i="57"/>
  <c r="K103" i="57"/>
  <c r="M285" i="84"/>
  <c r="L285" i="84"/>
  <c r="K285" i="84"/>
  <c r="M293" i="84"/>
  <c r="L293" i="84"/>
  <c r="K293" i="84"/>
  <c r="K258" i="84"/>
  <c r="L258" i="84"/>
  <c r="M258" i="84"/>
  <c r="L295" i="84"/>
  <c r="M295" i="84"/>
  <c r="J302" i="84"/>
  <c r="K295" i="84"/>
  <c r="K319" i="84"/>
  <c r="M319" i="84"/>
  <c r="L319" i="84"/>
  <c r="M272" i="84"/>
  <c r="L272" i="84"/>
  <c r="K272" i="84"/>
  <c r="M296" i="84"/>
  <c r="L296" i="84"/>
  <c r="K296" i="84"/>
  <c r="L312" i="84"/>
  <c r="K312" i="84"/>
  <c r="M312" i="84"/>
  <c r="M320" i="84"/>
  <c r="L320" i="84"/>
  <c r="K320" i="84"/>
  <c r="M322" i="84"/>
  <c r="L322" i="84"/>
  <c r="K322" i="84"/>
  <c r="K269" i="84"/>
  <c r="M269" i="84"/>
  <c r="L269" i="84"/>
  <c r="L301" i="84"/>
  <c r="M301" i="84"/>
  <c r="K301" i="84"/>
  <c r="L277" i="84"/>
  <c r="M277" i="84"/>
  <c r="K277" i="84"/>
  <c r="J262" i="84"/>
  <c r="K255" i="84"/>
  <c r="M255" i="84"/>
  <c r="L255" i="84"/>
  <c r="K282" i="84"/>
  <c r="M282" i="84"/>
  <c r="L282" i="84"/>
  <c r="K290" i="84"/>
  <c r="M290" i="84"/>
  <c r="L290" i="84"/>
  <c r="K306" i="84"/>
  <c r="M306" i="84"/>
  <c r="L306" i="84"/>
  <c r="M283" i="84"/>
  <c r="L283" i="84"/>
  <c r="K283" i="84"/>
  <c r="M307" i="84"/>
  <c r="L307" i="84"/>
  <c r="K307" i="84"/>
  <c r="L315" i="84"/>
  <c r="M315" i="84"/>
  <c r="K315" i="84"/>
  <c r="M317" i="84"/>
  <c r="L317" i="84"/>
  <c r="K317" i="84"/>
  <c r="L261" i="84"/>
  <c r="M261" i="84"/>
  <c r="K261" i="84"/>
  <c r="K325" i="84"/>
  <c r="M325" i="84"/>
  <c r="L325" i="84"/>
  <c r="M266" i="84"/>
  <c r="L266" i="84"/>
  <c r="K266" i="84"/>
  <c r="J278" i="84"/>
  <c r="L271" i="84"/>
  <c r="M271" i="84"/>
  <c r="K271" i="84"/>
  <c r="M279" i="84"/>
  <c r="L279" i="84"/>
  <c r="K279" i="84"/>
  <c r="M287" i="84"/>
  <c r="L287" i="84"/>
  <c r="J294" i="84"/>
  <c r="K287" i="84"/>
  <c r="J310" i="84"/>
  <c r="K303" i="84"/>
  <c r="M303" i="84"/>
  <c r="L303" i="84"/>
  <c r="L311" i="84"/>
  <c r="M311" i="84"/>
  <c r="J318" i="84"/>
  <c r="K311" i="84"/>
  <c r="K256" i="84"/>
  <c r="M256" i="84"/>
  <c r="L256" i="84"/>
  <c r="M264" i="84"/>
  <c r="L264" i="84"/>
  <c r="K264" i="84"/>
  <c r="K280" i="84"/>
  <c r="M280" i="84"/>
  <c r="L280" i="84"/>
  <c r="M288" i="84"/>
  <c r="L288" i="84"/>
  <c r="K288" i="84"/>
  <c r="K304" i="84"/>
  <c r="M304" i="84"/>
  <c r="L304" i="84"/>
  <c r="M309" i="84"/>
  <c r="L309" i="84"/>
  <c r="K309" i="84"/>
  <c r="M263" i="84"/>
  <c r="L263" i="84"/>
  <c r="J270" i="84"/>
  <c r="K263" i="84"/>
  <c r="L274" i="84"/>
  <c r="M274" i="84"/>
  <c r="K274" i="84"/>
  <c r="M298" i="84"/>
  <c r="L298" i="84"/>
  <c r="K298" i="84"/>
  <c r="M314" i="84"/>
  <c r="L314" i="84"/>
  <c r="K314" i="84"/>
  <c r="L259" i="84"/>
  <c r="M259" i="84"/>
  <c r="K259" i="84"/>
  <c r="K267" i="84"/>
  <c r="M267" i="84"/>
  <c r="L267" i="84"/>
  <c r="L275" i="84"/>
  <c r="M275" i="84"/>
  <c r="K275" i="84"/>
  <c r="K291" i="84"/>
  <c r="M291" i="84"/>
  <c r="L291" i="84"/>
  <c r="L299" i="84"/>
  <c r="M299" i="84"/>
  <c r="K299" i="84"/>
  <c r="K323" i="84"/>
  <c r="M323" i="84"/>
  <c r="L323" i="84"/>
  <c r="H206" i="57"/>
  <c r="H21" i="57"/>
  <c r="H156" i="57"/>
  <c r="H51" i="57"/>
  <c r="H41" i="57"/>
  <c r="H31" i="57"/>
  <c r="H36" i="57"/>
  <c r="H26" i="57"/>
  <c r="H46" i="57"/>
  <c r="M91" i="57" l="1"/>
  <c r="L91" i="57"/>
  <c r="K91" i="57"/>
  <c r="L136" i="57"/>
  <c r="K136" i="57"/>
  <c r="M136" i="57"/>
  <c r="L86" i="57"/>
  <c r="K86" i="57"/>
  <c r="M86" i="57"/>
  <c r="L191" i="57"/>
  <c r="K191" i="57"/>
  <c r="M191" i="57"/>
  <c r="V82" i="57"/>
  <c r="W82" i="57" s="1"/>
  <c r="K183" i="57"/>
  <c r="M183" i="57"/>
  <c r="L183" i="57"/>
  <c r="L161" i="57"/>
  <c r="K161" i="57"/>
  <c r="M161" i="57"/>
  <c r="K113" i="57"/>
  <c r="M113" i="57"/>
  <c r="L113" i="57"/>
  <c r="M115" i="57"/>
  <c r="L115" i="57"/>
  <c r="K115" i="57"/>
  <c r="L195" i="57"/>
  <c r="K195" i="57"/>
  <c r="M195" i="57"/>
  <c r="M33" i="57"/>
  <c r="K33" i="57"/>
  <c r="L33" i="57"/>
  <c r="L81" i="57"/>
  <c r="K81" i="57"/>
  <c r="M81" i="57"/>
  <c r="K126" i="57"/>
  <c r="M126" i="57"/>
  <c r="L126" i="57"/>
  <c r="K63" i="57"/>
  <c r="M63" i="57"/>
  <c r="L63" i="57"/>
  <c r="L108" i="57"/>
  <c r="K108" i="57"/>
  <c r="M108" i="57"/>
  <c r="M23" i="57"/>
  <c r="K23" i="57"/>
  <c r="L23" i="57"/>
  <c r="K265" i="84"/>
  <c r="L265" i="84"/>
  <c r="M265" i="84"/>
  <c r="V112" i="57"/>
  <c r="W112" i="57" s="1"/>
  <c r="K15" i="57"/>
  <c r="L15" i="57"/>
  <c r="M15" i="57"/>
  <c r="L88" i="57"/>
  <c r="K88" i="57"/>
  <c r="M88" i="57"/>
  <c r="V192" i="57"/>
  <c r="W192" i="57" s="1"/>
  <c r="M76" i="57"/>
  <c r="L76" i="57"/>
  <c r="K76" i="57"/>
  <c r="V87" i="57"/>
  <c r="W87" i="57" s="1"/>
  <c r="V32" i="57"/>
  <c r="W32" i="57" s="1"/>
  <c r="J196" i="57"/>
  <c r="M188" i="57"/>
  <c r="K188" i="57"/>
  <c r="L188" i="57"/>
  <c r="L110" i="57"/>
  <c r="K110" i="57"/>
  <c r="M110" i="57"/>
  <c r="L68" i="57"/>
  <c r="K68" i="57"/>
  <c r="M68" i="57"/>
  <c r="M141" i="57"/>
  <c r="L141" i="57"/>
  <c r="K141" i="57"/>
  <c r="K130" i="57"/>
  <c r="L130" i="57"/>
  <c r="M130" i="57"/>
  <c r="J131" i="57"/>
  <c r="M201" i="57"/>
  <c r="L201" i="57"/>
  <c r="K201" i="57"/>
  <c r="M53" i="57"/>
  <c r="K53" i="57"/>
  <c r="L53" i="57"/>
  <c r="L121" i="57"/>
  <c r="K121" i="57"/>
  <c r="M121" i="57"/>
  <c r="K25" i="57"/>
  <c r="L25" i="57"/>
  <c r="M25" i="57"/>
  <c r="K231" i="110"/>
  <c r="L231" i="110"/>
  <c r="M231" i="110"/>
  <c r="L143" i="57"/>
  <c r="K143" i="57"/>
  <c r="M143" i="57"/>
  <c r="K243" i="110"/>
  <c r="M243" i="110"/>
  <c r="L243" i="110"/>
  <c r="V127" i="57"/>
  <c r="W127" i="57" s="1"/>
  <c r="L181" i="57"/>
  <c r="K181" i="57"/>
  <c r="M181" i="57"/>
  <c r="L171" i="57"/>
  <c r="K171" i="57"/>
  <c r="M171" i="57"/>
  <c r="K222" i="110"/>
  <c r="L222" i="110"/>
  <c r="M222" i="110"/>
  <c r="V162" i="57"/>
  <c r="W162" i="57" s="1"/>
  <c r="M163" i="57"/>
  <c r="K163" i="57"/>
  <c r="L163" i="57"/>
  <c r="J234" i="110"/>
  <c r="K228" i="110"/>
  <c r="M228" i="110"/>
  <c r="L228" i="110"/>
  <c r="L128" i="57"/>
  <c r="K128" i="57"/>
  <c r="M128" i="57"/>
  <c r="V147" i="57"/>
  <c r="W147" i="57" s="1"/>
  <c r="M148" i="57"/>
  <c r="K148" i="57"/>
  <c r="L148" i="57"/>
  <c r="M95" i="57"/>
  <c r="L95" i="57"/>
  <c r="K95" i="57"/>
  <c r="J166" i="57"/>
  <c r="M170" i="57"/>
  <c r="L170" i="57"/>
  <c r="K170" i="57"/>
  <c r="L150" i="57"/>
  <c r="K150" i="57"/>
  <c r="M150" i="57"/>
  <c r="J151" i="57"/>
  <c r="J116" i="57"/>
  <c r="V172" i="57"/>
  <c r="W172" i="57" s="1"/>
  <c r="K173" i="57"/>
  <c r="M173" i="57"/>
  <c r="L173" i="57"/>
  <c r="L240" i="110"/>
  <c r="K240" i="110"/>
  <c r="M240" i="110"/>
  <c r="L225" i="110"/>
  <c r="K225" i="110"/>
  <c r="M225" i="110"/>
  <c r="M61" i="57"/>
  <c r="L61" i="57"/>
  <c r="K61" i="57"/>
  <c r="M168" i="57"/>
  <c r="L168" i="57"/>
  <c r="K168" i="57"/>
  <c r="V52" i="57"/>
  <c r="W52" i="57" s="1"/>
  <c r="V182" i="57"/>
  <c r="W182" i="57" s="1"/>
  <c r="J71" i="57"/>
  <c r="V187" i="57"/>
  <c r="W187" i="57" s="1"/>
  <c r="M90" i="57"/>
  <c r="L90" i="57"/>
  <c r="K90" i="57"/>
  <c r="M66" i="57"/>
  <c r="L66" i="57"/>
  <c r="K66" i="57"/>
  <c r="L101" i="57"/>
  <c r="K101" i="57"/>
  <c r="M101" i="57"/>
  <c r="M83" i="57"/>
  <c r="L83" i="57"/>
  <c r="K83" i="57"/>
  <c r="L190" i="57"/>
  <c r="K190" i="57"/>
  <c r="M190" i="57"/>
  <c r="M13" i="57"/>
  <c r="K13" i="57"/>
  <c r="L13" i="57"/>
  <c r="J111" i="57"/>
  <c r="V22" i="57"/>
  <c r="W22" i="57" s="1"/>
  <c r="K219" i="110"/>
  <c r="M219" i="110"/>
  <c r="L219" i="110"/>
  <c r="J246" i="110"/>
  <c r="K50" i="57"/>
  <c r="L50" i="57"/>
  <c r="M50" i="57"/>
  <c r="L93" i="57"/>
  <c r="K93" i="57"/>
  <c r="M93" i="57"/>
  <c r="X229" i="110"/>
  <c r="Y229" i="110" s="1"/>
  <c r="M175" i="57"/>
  <c r="L175" i="57"/>
  <c r="K175" i="57"/>
  <c r="K55" i="57"/>
  <c r="L55" i="57"/>
  <c r="M55" i="57"/>
  <c r="J176" i="57"/>
  <c r="J96" i="57"/>
  <c r="K135" i="57"/>
  <c r="M135" i="57"/>
  <c r="L135" i="57"/>
  <c r="J146" i="57"/>
  <c r="L70" i="57"/>
  <c r="K70" i="57"/>
  <c r="M70" i="57"/>
  <c r="L75" i="57"/>
  <c r="K75" i="57"/>
  <c r="M75" i="57"/>
  <c r="K30" i="57"/>
  <c r="L30" i="57"/>
  <c r="M30" i="57"/>
  <c r="L268" i="84"/>
  <c r="M268" i="84"/>
  <c r="K268" i="84"/>
  <c r="M237" i="110"/>
  <c r="L237" i="110"/>
  <c r="K237" i="110"/>
  <c r="M43" i="57"/>
  <c r="K43" i="57"/>
  <c r="L43" i="57"/>
  <c r="J186" i="57"/>
  <c r="V67" i="57"/>
  <c r="W67" i="57" s="1"/>
  <c r="K35" i="57"/>
  <c r="L35" i="57"/>
  <c r="M35" i="57"/>
  <c r="M48" i="57"/>
  <c r="K48" i="57"/>
  <c r="L48" i="57"/>
  <c r="F43" i="128"/>
  <c r="AB303" i="84"/>
  <c r="AC303" i="84" s="1"/>
  <c r="F39" i="128"/>
  <c r="AB271" i="84"/>
  <c r="AC271" i="84" s="1"/>
  <c r="F37" i="128"/>
  <c r="AB255" i="84"/>
  <c r="AC255" i="84" s="1"/>
  <c r="F38" i="128"/>
  <c r="AB263" i="84"/>
  <c r="AC263" i="84" s="1"/>
  <c r="F44" i="128"/>
  <c r="AB311" i="84"/>
  <c r="AC311" i="84" s="1"/>
  <c r="F41" i="128"/>
  <c r="AB287" i="84"/>
  <c r="AC287" i="84" s="1"/>
  <c r="F42" i="128"/>
  <c r="AB295" i="84"/>
  <c r="AC295" i="84" s="1"/>
  <c r="M318" i="84"/>
  <c r="L318" i="84"/>
  <c r="K318" i="84"/>
  <c r="M310" i="84"/>
  <c r="L310" i="84"/>
  <c r="K310" i="84"/>
  <c r="M294" i="84"/>
  <c r="L294" i="84"/>
  <c r="K294" i="84"/>
  <c r="M302" i="84"/>
  <c r="L302" i="84"/>
  <c r="K302" i="84"/>
  <c r="L270" i="84"/>
  <c r="K270" i="84"/>
  <c r="M270" i="84"/>
  <c r="K278" i="84"/>
  <c r="M278" i="84"/>
  <c r="L278" i="84"/>
  <c r="M262" i="84"/>
  <c r="L262" i="84"/>
  <c r="K262" i="84"/>
  <c r="J206" i="57"/>
  <c r="I45" i="128" s="1"/>
  <c r="C7" i="79"/>
  <c r="M146" i="57" l="1"/>
  <c r="L146" i="57"/>
  <c r="K146" i="57"/>
  <c r="K96" i="57"/>
  <c r="M96" i="57"/>
  <c r="L96" i="57"/>
  <c r="K111" i="57"/>
  <c r="M111" i="57"/>
  <c r="L111" i="57"/>
  <c r="L71" i="57"/>
  <c r="K71" i="57"/>
  <c r="M71" i="57"/>
  <c r="M151" i="57"/>
  <c r="L151" i="57"/>
  <c r="K151" i="57"/>
  <c r="K186" i="57"/>
  <c r="M186" i="57"/>
  <c r="L186" i="57"/>
  <c r="M176" i="57"/>
  <c r="L176" i="57"/>
  <c r="K176" i="57"/>
  <c r="K234" i="110"/>
  <c r="M234" i="110"/>
  <c r="L234" i="110"/>
  <c r="K131" i="57"/>
  <c r="M131" i="57"/>
  <c r="L131" i="57"/>
  <c r="L196" i="57"/>
  <c r="K196" i="57"/>
  <c r="M196" i="57"/>
  <c r="J45" i="128"/>
  <c r="L246" i="110"/>
  <c r="K246" i="110"/>
  <c r="M246" i="110"/>
  <c r="M116" i="57"/>
  <c r="L116" i="57"/>
  <c r="K116" i="57"/>
  <c r="M166" i="57"/>
  <c r="L166" i="57"/>
  <c r="K166" i="57"/>
  <c r="M206" i="57"/>
  <c r="L206" i="57"/>
  <c r="K206" i="57"/>
  <c r="B48" i="101"/>
  <c r="L48" i="101"/>
  <c r="P48" i="101" s="1"/>
  <c r="U48" i="101"/>
  <c r="B44" i="101"/>
  <c r="L44" i="101"/>
  <c r="P44" i="101" s="1"/>
  <c r="U44" i="101"/>
  <c r="B45" i="101"/>
  <c r="L45" i="101"/>
  <c r="P45" i="101" s="1"/>
  <c r="U45" i="101"/>
  <c r="B46" i="101"/>
  <c r="L46" i="101"/>
  <c r="P46" i="101" s="1"/>
  <c r="U46" i="101"/>
  <c r="B47" i="101"/>
  <c r="L47" i="101"/>
  <c r="P47" i="101" s="1"/>
  <c r="U47" i="101"/>
  <c r="B44" i="100"/>
  <c r="P44" i="100"/>
  <c r="Q44" i="100"/>
  <c r="R44" i="100"/>
  <c r="S44" i="100"/>
  <c r="B45" i="100"/>
  <c r="Q45" i="100"/>
  <c r="P45" i="100"/>
  <c r="R45" i="100"/>
  <c r="B46" i="100"/>
  <c r="P46" i="100"/>
  <c r="Q46" i="100"/>
  <c r="R46" i="100"/>
  <c r="S46" i="100"/>
  <c r="B47" i="100"/>
  <c r="Q47" i="100"/>
  <c r="P47" i="100"/>
  <c r="R47" i="100"/>
  <c r="B48" i="100"/>
  <c r="P48" i="100"/>
  <c r="Q48" i="100"/>
  <c r="R48" i="100"/>
  <c r="S48" i="100"/>
  <c r="B40" i="99"/>
  <c r="B41" i="99"/>
  <c r="B42" i="99"/>
  <c r="B43" i="99"/>
  <c r="B44" i="99"/>
  <c r="B45" i="99"/>
  <c r="B46" i="99"/>
  <c r="B47" i="99"/>
  <c r="B48" i="99"/>
  <c r="P44" i="99"/>
  <c r="P45" i="99"/>
  <c r="P46" i="99"/>
  <c r="P47" i="99"/>
  <c r="P48" i="99"/>
  <c r="B44" i="80"/>
  <c r="L44" i="80"/>
  <c r="P44" i="80"/>
  <c r="Q44" i="80" s="1"/>
  <c r="S44" i="80"/>
  <c r="B45" i="80"/>
  <c r="L45" i="80"/>
  <c r="S45" i="80" s="1"/>
  <c r="P45" i="80"/>
  <c r="Q45" i="80" s="1"/>
  <c r="B46" i="80"/>
  <c r="L46" i="80"/>
  <c r="S46" i="80" s="1"/>
  <c r="B47" i="80"/>
  <c r="L47" i="80"/>
  <c r="S47" i="80" s="1"/>
  <c r="P47" i="80"/>
  <c r="Q47" i="80" s="1"/>
  <c r="B48" i="80"/>
  <c r="L48" i="80"/>
  <c r="P48" i="80"/>
  <c r="Q48" i="80" s="1"/>
  <c r="S48" i="80"/>
  <c r="K61" i="78"/>
  <c r="L61" i="78"/>
  <c r="K62" i="78"/>
  <c r="L62" i="78"/>
  <c r="K63" i="78"/>
  <c r="L63" i="78"/>
  <c r="K64" i="78"/>
  <c r="L64" i="78"/>
  <c r="K65" i="78"/>
  <c r="L65" i="78"/>
  <c r="K66" i="78"/>
  <c r="L66" i="78"/>
  <c r="K67" i="78"/>
  <c r="L67" i="78"/>
  <c r="K68" i="78"/>
  <c r="L68" i="78"/>
  <c r="K69" i="78"/>
  <c r="L69" i="78"/>
  <c r="K70" i="78"/>
  <c r="L70" i="78"/>
  <c r="K71" i="78"/>
  <c r="L71" i="78"/>
  <c r="K72" i="78"/>
  <c r="L72" i="78"/>
  <c r="K73" i="78"/>
  <c r="L73" i="78"/>
  <c r="K74" i="78"/>
  <c r="L74" i="78"/>
  <c r="K75" i="78"/>
  <c r="L75" i="78"/>
  <c r="K76" i="78"/>
  <c r="L76" i="78"/>
  <c r="K77" i="78"/>
  <c r="L77" i="78"/>
  <c r="K78" i="78"/>
  <c r="L78" i="78"/>
  <c r="K79" i="78"/>
  <c r="L79" i="78"/>
  <c r="K80" i="78"/>
  <c r="L80" i="78"/>
  <c r="K81" i="78"/>
  <c r="L81" i="78"/>
  <c r="K82" i="78"/>
  <c r="L82" i="78"/>
  <c r="K83" i="78"/>
  <c r="L83" i="78"/>
  <c r="K84" i="78"/>
  <c r="L84" i="78"/>
  <c r="K85" i="78"/>
  <c r="L85" i="78"/>
  <c r="K86" i="78"/>
  <c r="L86" i="78"/>
  <c r="K87" i="78"/>
  <c r="L87" i="78"/>
  <c r="K88" i="78"/>
  <c r="L88" i="78"/>
  <c r="K89" i="78"/>
  <c r="L89" i="78"/>
  <c r="K90" i="78"/>
  <c r="L90" i="78"/>
  <c r="J90" i="78"/>
  <c r="J89" i="78"/>
  <c r="M89" i="78" s="1"/>
  <c r="J88" i="78"/>
  <c r="J87" i="78"/>
  <c r="J86" i="78"/>
  <c r="J85" i="78"/>
  <c r="M85" i="78" s="1"/>
  <c r="J84" i="78"/>
  <c r="J83" i="78"/>
  <c r="J82" i="78"/>
  <c r="J81" i="78"/>
  <c r="M81" i="78" s="1"/>
  <c r="J80" i="78"/>
  <c r="J79" i="78"/>
  <c r="J78" i="78"/>
  <c r="J77" i="78"/>
  <c r="M77" i="78" s="1"/>
  <c r="J76" i="78"/>
  <c r="J75" i="78"/>
  <c r="J74" i="78"/>
  <c r="J73" i="78"/>
  <c r="M73" i="78" s="1"/>
  <c r="J72" i="78"/>
  <c r="J71" i="78"/>
  <c r="J69" i="78"/>
  <c r="J70" i="78"/>
  <c r="M70" i="78" s="1"/>
  <c r="J68" i="78"/>
  <c r="J67" i="78"/>
  <c r="J66" i="78"/>
  <c r="J65" i="78"/>
  <c r="M65" i="78" s="1"/>
  <c r="J64" i="78"/>
  <c r="J63" i="78"/>
  <c r="J62" i="78"/>
  <c r="J61" i="78"/>
  <c r="M61" i="78" s="1"/>
  <c r="K53" i="78"/>
  <c r="L53" i="78"/>
  <c r="K54" i="78"/>
  <c r="L54" i="78"/>
  <c r="K55" i="78"/>
  <c r="L55" i="78"/>
  <c r="K56" i="78"/>
  <c r="L56" i="78"/>
  <c r="K57" i="78"/>
  <c r="L57" i="78"/>
  <c r="K58" i="78"/>
  <c r="L58" i="78"/>
  <c r="K59" i="78"/>
  <c r="L59" i="78"/>
  <c r="K60" i="78"/>
  <c r="L60" i="78"/>
  <c r="J60" i="78"/>
  <c r="J59" i="78"/>
  <c r="M59" i="78" s="1"/>
  <c r="J58" i="78"/>
  <c r="J57" i="78"/>
  <c r="M57" i="78" s="1"/>
  <c r="J56" i="78"/>
  <c r="J55" i="78"/>
  <c r="M55" i="78" s="1"/>
  <c r="J54" i="78"/>
  <c r="J53" i="78"/>
  <c r="K52" i="78"/>
  <c r="L52" i="78"/>
  <c r="J52" i="78"/>
  <c r="K51" i="78"/>
  <c r="L51" i="78"/>
  <c r="K24" i="78"/>
  <c r="L24" i="78"/>
  <c r="K25" i="78"/>
  <c r="L25" i="78"/>
  <c r="K26" i="78"/>
  <c r="L26" i="78"/>
  <c r="K27" i="78"/>
  <c r="L27" i="78"/>
  <c r="K28" i="78"/>
  <c r="L28" i="78"/>
  <c r="K29" i="78"/>
  <c r="L29" i="78"/>
  <c r="K30" i="78"/>
  <c r="L30" i="78"/>
  <c r="K31" i="78"/>
  <c r="L31" i="78"/>
  <c r="K32" i="78"/>
  <c r="L32" i="78"/>
  <c r="K33" i="78"/>
  <c r="L33" i="78"/>
  <c r="K34" i="78"/>
  <c r="L34" i="78"/>
  <c r="K35" i="78"/>
  <c r="L35" i="78"/>
  <c r="K36" i="78"/>
  <c r="L36" i="78"/>
  <c r="K37" i="78"/>
  <c r="L37" i="78"/>
  <c r="K38" i="78"/>
  <c r="L38" i="78"/>
  <c r="K39" i="78"/>
  <c r="L39" i="78"/>
  <c r="K40" i="78"/>
  <c r="L40" i="78"/>
  <c r="K41" i="78"/>
  <c r="L41" i="78"/>
  <c r="K42" i="78"/>
  <c r="L42" i="78"/>
  <c r="K43" i="78"/>
  <c r="L43" i="78"/>
  <c r="J43" i="78"/>
  <c r="J42" i="78"/>
  <c r="J41" i="78"/>
  <c r="J40" i="78"/>
  <c r="J39" i="78"/>
  <c r="J38" i="78"/>
  <c r="J37" i="78"/>
  <c r="J36" i="78"/>
  <c r="J35" i="78"/>
  <c r="J34" i="78"/>
  <c r="J33" i="78"/>
  <c r="M33" i="78" s="1"/>
  <c r="J32" i="78"/>
  <c r="J31" i="78"/>
  <c r="J30" i="78"/>
  <c r="J29" i="78"/>
  <c r="M29" i="78" s="1"/>
  <c r="J28" i="78"/>
  <c r="J27" i="78"/>
  <c r="J26" i="78"/>
  <c r="J25" i="78"/>
  <c r="M25" i="78" s="1"/>
  <c r="J24" i="78"/>
  <c r="K14" i="78"/>
  <c r="L14" i="78"/>
  <c r="K15" i="78"/>
  <c r="L15" i="78"/>
  <c r="K16" i="78"/>
  <c r="L16" i="78"/>
  <c r="K17" i="78"/>
  <c r="L17" i="78"/>
  <c r="K18" i="78"/>
  <c r="L18" i="78"/>
  <c r="K19" i="78"/>
  <c r="L19" i="78"/>
  <c r="K20" i="78"/>
  <c r="L20" i="78"/>
  <c r="K21" i="78"/>
  <c r="L21" i="78"/>
  <c r="K22" i="78"/>
  <c r="L22" i="78"/>
  <c r="K23" i="78"/>
  <c r="L23" i="78"/>
  <c r="J23" i="78"/>
  <c r="J22" i="78"/>
  <c r="J21" i="78"/>
  <c r="J20" i="78"/>
  <c r="J19" i="78"/>
  <c r="J18" i="78"/>
  <c r="J17" i="78"/>
  <c r="J16" i="78"/>
  <c r="J15" i="78"/>
  <c r="J14" i="78"/>
  <c r="K4" i="78"/>
  <c r="L4" i="78"/>
  <c r="K5" i="78"/>
  <c r="L5" i="78"/>
  <c r="K6" i="78"/>
  <c r="L6" i="78"/>
  <c r="K7" i="78"/>
  <c r="L7" i="78"/>
  <c r="K8" i="78"/>
  <c r="L8" i="78"/>
  <c r="K9" i="78"/>
  <c r="L9" i="78"/>
  <c r="K10" i="78"/>
  <c r="L10" i="78"/>
  <c r="K11" i="78"/>
  <c r="L11" i="78"/>
  <c r="K12" i="78"/>
  <c r="L12" i="78"/>
  <c r="K13" i="78"/>
  <c r="L13" i="78"/>
  <c r="J13" i="78"/>
  <c r="J12" i="78"/>
  <c r="J11" i="78"/>
  <c r="J10" i="78"/>
  <c r="J9" i="78"/>
  <c r="J8" i="78"/>
  <c r="J7" i="78"/>
  <c r="J6" i="78"/>
  <c r="J5" i="78"/>
  <c r="J4" i="78"/>
  <c r="P43" i="78"/>
  <c r="P42" i="78"/>
  <c r="P40" i="78"/>
  <c r="P38" i="78"/>
  <c r="P36" i="78"/>
  <c r="P34" i="78"/>
  <c r="P32" i="78"/>
  <c r="P30" i="78"/>
  <c r="P28" i="78"/>
  <c r="P26" i="78"/>
  <c r="P24" i="78"/>
  <c r="P22" i="78"/>
  <c r="P7" i="78"/>
  <c r="P5" i="78"/>
  <c r="C164" i="77"/>
  <c r="C160" i="77"/>
  <c r="C156" i="77"/>
  <c r="C152" i="77"/>
  <c r="C148" i="77"/>
  <c r="C144" i="77"/>
  <c r="C140" i="77"/>
  <c r="C136" i="77"/>
  <c r="C132" i="77"/>
  <c r="C128" i="77"/>
  <c r="C124" i="77"/>
  <c r="C120" i="77"/>
  <c r="C116" i="77"/>
  <c r="C112" i="77"/>
  <c r="C108" i="77"/>
  <c r="C104" i="77"/>
  <c r="C100" i="77"/>
  <c r="C96" i="77"/>
  <c r="C92" i="77"/>
  <c r="C88" i="77"/>
  <c r="C84" i="77"/>
  <c r="C80" i="77"/>
  <c r="C76" i="77"/>
  <c r="C72" i="77"/>
  <c r="C68" i="77"/>
  <c r="C64" i="77"/>
  <c r="C60" i="77"/>
  <c r="C56" i="77"/>
  <c r="C52" i="77"/>
  <c r="C48" i="77"/>
  <c r="C44" i="77"/>
  <c r="C40" i="77"/>
  <c r="C36" i="77"/>
  <c r="C28" i="77"/>
  <c r="C24" i="77"/>
  <c r="C20" i="77"/>
  <c r="C16" i="77"/>
  <c r="C12" i="77"/>
  <c r="C8" i="77"/>
  <c r="P46" i="80" l="1"/>
  <c r="Q46" i="80" s="1"/>
  <c r="N224" i="94"/>
  <c r="N229" i="94" s="1"/>
  <c r="H227" i="79" s="1"/>
  <c r="M224" i="94"/>
  <c r="J244" i="94"/>
  <c r="O244" i="94" s="1"/>
  <c r="M244" i="94"/>
  <c r="N242" i="94"/>
  <c r="N247" i="94" s="1"/>
  <c r="H245" i="79" s="1"/>
  <c r="M242" i="94"/>
  <c r="N230" i="94"/>
  <c r="N235" i="94" s="1"/>
  <c r="H233" i="79" s="1"/>
  <c r="M230" i="94"/>
  <c r="M232" i="94"/>
  <c r="J232" i="94"/>
  <c r="S47" i="101"/>
  <c r="T47" i="101"/>
  <c r="Q47" i="101"/>
  <c r="R47" i="101"/>
  <c r="S46" i="101"/>
  <c r="T46" i="101"/>
  <c r="Q46" i="101"/>
  <c r="R46" i="101"/>
  <c r="S45" i="101"/>
  <c r="T45" i="101"/>
  <c r="Q45" i="101"/>
  <c r="R45" i="101"/>
  <c r="S44" i="101"/>
  <c r="T44" i="101"/>
  <c r="Q44" i="101"/>
  <c r="R44" i="101"/>
  <c r="S48" i="101"/>
  <c r="T48" i="101"/>
  <c r="Q48" i="101"/>
  <c r="R48" i="101"/>
  <c r="N236" i="94"/>
  <c r="N241" i="94" s="1"/>
  <c r="H239" i="79" s="1"/>
  <c r="M236" i="94"/>
  <c r="N218" i="94"/>
  <c r="N223" i="94" s="1"/>
  <c r="H221" i="79" s="1"/>
  <c r="M218" i="94"/>
  <c r="M220" i="94"/>
  <c r="J220" i="94"/>
  <c r="K239" i="94"/>
  <c r="J239" i="94"/>
  <c r="M239" i="94"/>
  <c r="L239" i="94"/>
  <c r="K233" i="94"/>
  <c r="J233" i="94"/>
  <c r="M233" i="94"/>
  <c r="L233" i="94"/>
  <c r="K227" i="94"/>
  <c r="J227" i="94"/>
  <c r="M227" i="94"/>
  <c r="L227" i="94"/>
  <c r="K221" i="94"/>
  <c r="J221" i="94"/>
  <c r="M221" i="94"/>
  <c r="L221" i="94"/>
  <c r="J245" i="94"/>
  <c r="O245" i="94" s="1"/>
  <c r="M245" i="94"/>
  <c r="L245" i="94"/>
  <c r="K245" i="94"/>
  <c r="M31" i="78"/>
  <c r="M63" i="78"/>
  <c r="M67" i="78"/>
  <c r="M71" i="78"/>
  <c r="M75" i="78"/>
  <c r="M79" i="78"/>
  <c r="M83" i="78"/>
  <c r="M87" i="78"/>
  <c r="M27" i="78"/>
  <c r="M62" i="78"/>
  <c r="M4" i="78"/>
  <c r="M6" i="78"/>
  <c r="M14" i="78"/>
  <c r="M16" i="78"/>
  <c r="M18" i="78"/>
  <c r="M20" i="78"/>
  <c r="M22" i="78"/>
  <c r="M24" i="78"/>
  <c r="M26" i="78"/>
  <c r="M28" i="78"/>
  <c r="M30" i="78"/>
  <c r="Q30" i="78" s="1"/>
  <c r="M32" i="78"/>
  <c r="M34" i="78"/>
  <c r="M36" i="78"/>
  <c r="M38" i="78"/>
  <c r="Q38" i="78" s="1"/>
  <c r="M40" i="78"/>
  <c r="M42" i="78"/>
  <c r="M52" i="78"/>
  <c r="M54" i="78"/>
  <c r="M56" i="78"/>
  <c r="M58" i="78"/>
  <c r="M60" i="78"/>
  <c r="M64" i="78"/>
  <c r="M66" i="78"/>
  <c r="M68" i="78"/>
  <c r="M69" i="78"/>
  <c r="M72" i="78"/>
  <c r="Q25" i="78" s="1"/>
  <c r="M74" i="78"/>
  <c r="M76" i="78"/>
  <c r="M78" i="78"/>
  <c r="M80" i="78"/>
  <c r="Q33" i="78" s="1"/>
  <c r="M82" i="78"/>
  <c r="M84" i="78"/>
  <c r="M86" i="78"/>
  <c r="M88" i="78"/>
  <c r="M90" i="78"/>
  <c r="M51" i="78"/>
  <c r="M12" i="78"/>
  <c r="M10" i="78"/>
  <c r="M8" i="78"/>
  <c r="Q8" i="78" s="1"/>
  <c r="M53" i="78"/>
  <c r="M35" i="78"/>
  <c r="M37" i="78"/>
  <c r="Q37" i="78" s="1"/>
  <c r="M7" i="78"/>
  <c r="M9" i="78"/>
  <c r="M11" i="78"/>
  <c r="M13" i="78"/>
  <c r="Q13" i="78" s="1"/>
  <c r="M5" i="78"/>
  <c r="M15" i="78"/>
  <c r="M17" i="78"/>
  <c r="M19" i="78"/>
  <c r="M21" i="78"/>
  <c r="M23" i="78"/>
  <c r="M39" i="78"/>
  <c r="M41" i="78"/>
  <c r="M43" i="78"/>
  <c r="R48" i="80"/>
  <c r="R47" i="80"/>
  <c r="R44" i="80"/>
  <c r="R46" i="80"/>
  <c r="R45" i="80"/>
  <c r="Q17" i="78"/>
  <c r="Q14" i="78"/>
  <c r="Q23" i="78"/>
  <c r="Q21" i="78"/>
  <c r="Q29" i="78"/>
  <c r="Q18" i="78"/>
  <c r="Q35" i="78"/>
  <c r="Q43" i="78"/>
  <c r="Q41" i="78"/>
  <c r="Q5" i="78"/>
  <c r="P4" i="78"/>
  <c r="P6" i="78"/>
  <c r="P8" i="78"/>
  <c r="P41" i="78"/>
  <c r="P20" i="78"/>
  <c r="P16" i="78"/>
  <c r="S47" i="100"/>
  <c r="S45" i="100"/>
  <c r="U48" i="99"/>
  <c r="U47" i="99"/>
  <c r="U46" i="99"/>
  <c r="U45" i="99"/>
  <c r="U44" i="99"/>
  <c r="P13" i="78"/>
  <c r="P12" i="78"/>
  <c r="P11" i="78"/>
  <c r="P10" i="78"/>
  <c r="P21" i="78"/>
  <c r="P14" i="78"/>
  <c r="P19" i="78"/>
  <c r="P31" i="78"/>
  <c r="P29" i="78"/>
  <c r="P27" i="78"/>
  <c r="P25" i="78"/>
  <c r="P39" i="78"/>
  <c r="P37" i="78"/>
  <c r="P35" i="78"/>
  <c r="P33" i="78"/>
  <c r="Q26" i="78"/>
  <c r="Q34" i="78"/>
  <c r="Q42" i="78"/>
  <c r="Q12" i="78"/>
  <c r="P23" i="78"/>
  <c r="P18" i="78"/>
  <c r="P17" i="78"/>
  <c r="P15" i="78"/>
  <c r="P9" i="78"/>
  <c r="K243" i="94" l="1"/>
  <c r="K247" i="94" s="1"/>
  <c r="J243" i="94"/>
  <c r="M243" i="94"/>
  <c r="L243" i="94"/>
  <c r="L247" i="94" s="1"/>
  <c r="H243" i="79" s="1"/>
  <c r="J239" i="79"/>
  <c r="I239" i="79"/>
  <c r="J233" i="79"/>
  <c r="I233" i="79"/>
  <c r="L219" i="94"/>
  <c r="L223" i="94" s="1"/>
  <c r="H219" i="79" s="1"/>
  <c r="K219" i="94"/>
  <c r="K223" i="94" s="1"/>
  <c r="J219" i="94"/>
  <c r="M219" i="94"/>
  <c r="M223" i="94" s="1"/>
  <c r="H220" i="79" s="1"/>
  <c r="L225" i="94"/>
  <c r="L229" i="94" s="1"/>
  <c r="H225" i="79" s="1"/>
  <c r="K225" i="94"/>
  <c r="K229" i="94" s="1"/>
  <c r="J225" i="94"/>
  <c r="M225" i="94"/>
  <c r="M226" i="94"/>
  <c r="M229" i="94" s="1"/>
  <c r="H226" i="79" s="1"/>
  <c r="J226" i="94"/>
  <c r="O221" i="94"/>
  <c r="O227" i="94"/>
  <c r="O233" i="94"/>
  <c r="O239" i="94"/>
  <c r="O218" i="94"/>
  <c r="O232" i="94"/>
  <c r="O242" i="94"/>
  <c r="M247" i="94"/>
  <c r="H244" i="79" s="1"/>
  <c r="O224" i="94"/>
  <c r="J221" i="79"/>
  <c r="I221" i="79"/>
  <c r="I245" i="79"/>
  <c r="J245" i="79"/>
  <c r="J227" i="79"/>
  <c r="I227" i="79"/>
  <c r="L231" i="94"/>
  <c r="L235" i="94" s="1"/>
  <c r="H231" i="79" s="1"/>
  <c r="K231" i="94"/>
  <c r="K235" i="94" s="1"/>
  <c r="J231" i="94"/>
  <c r="M231" i="94"/>
  <c r="M238" i="94"/>
  <c r="J238" i="94"/>
  <c r="O238" i="94" s="1"/>
  <c r="L237" i="94"/>
  <c r="L241" i="94" s="1"/>
  <c r="H237" i="79" s="1"/>
  <c r="K237" i="94"/>
  <c r="K241" i="94" s="1"/>
  <c r="J237" i="94"/>
  <c r="M237" i="94"/>
  <c r="M241" i="94" s="1"/>
  <c r="H238" i="79" s="1"/>
  <c r="O220" i="94"/>
  <c r="O236" i="94"/>
  <c r="M235" i="94"/>
  <c r="H232" i="79" s="1"/>
  <c r="O230" i="94"/>
  <c r="Q31" i="78"/>
  <c r="E14" i="128"/>
  <c r="E15" i="128"/>
  <c r="E18" i="128"/>
  <c r="E19" i="128"/>
  <c r="E25" i="128"/>
  <c r="E21" i="128"/>
  <c r="E11" i="128"/>
  <c r="E13" i="128"/>
  <c r="E23" i="128"/>
  <c r="E20" i="128"/>
  <c r="E17" i="128"/>
  <c r="E16" i="128"/>
  <c r="E22" i="128"/>
  <c r="E10" i="128"/>
  <c r="E24" i="128"/>
  <c r="E12" i="128"/>
  <c r="Q10" i="78"/>
  <c r="Q40" i="78"/>
  <c r="Q36" i="78"/>
  <c r="Q32" i="78"/>
  <c r="Q28" i="78"/>
  <c r="Q16" i="78"/>
  <c r="Q6" i="78"/>
  <c r="Q20" i="78"/>
  <c r="Q24" i="78"/>
  <c r="Q39" i="78"/>
  <c r="Q7" i="78"/>
  <c r="Q27" i="78"/>
  <c r="Q22" i="78"/>
  <c r="Q19" i="78"/>
  <c r="Q15" i="78"/>
  <c r="Q11" i="78"/>
  <c r="Q9" i="78"/>
  <c r="I238" i="79" l="1"/>
  <c r="J238" i="79"/>
  <c r="J226" i="79"/>
  <c r="I226" i="79"/>
  <c r="I220" i="79"/>
  <c r="J220" i="79"/>
  <c r="J225" i="79"/>
  <c r="I225" i="79"/>
  <c r="J241" i="94"/>
  <c r="O237" i="94"/>
  <c r="J231" i="79"/>
  <c r="I231" i="79"/>
  <c r="I243" i="79"/>
  <c r="J243" i="79"/>
  <c r="K245" i="79"/>
  <c r="M245" i="79"/>
  <c r="L245" i="79"/>
  <c r="K239" i="79"/>
  <c r="M239" i="79"/>
  <c r="L239" i="79"/>
  <c r="I244" i="79"/>
  <c r="J244" i="79"/>
  <c r="J229" i="94"/>
  <c r="O225" i="94"/>
  <c r="J223" i="94"/>
  <c r="O219" i="94"/>
  <c r="L233" i="79"/>
  <c r="K233" i="79"/>
  <c r="M233" i="79"/>
  <c r="J232" i="79"/>
  <c r="I232" i="79"/>
  <c r="J219" i="79"/>
  <c r="I219" i="79"/>
  <c r="I237" i="79"/>
  <c r="J237" i="79"/>
  <c r="J235" i="94"/>
  <c r="O231" i="94"/>
  <c r="K227" i="79"/>
  <c r="L227" i="79"/>
  <c r="M227" i="79"/>
  <c r="K221" i="79"/>
  <c r="M221" i="79"/>
  <c r="L221" i="79"/>
  <c r="O226" i="94"/>
  <c r="O243" i="94"/>
  <c r="J247" i="94"/>
  <c r="E38" i="128"/>
  <c r="E42" i="128"/>
  <c r="E40" i="128"/>
  <c r="E36" i="128"/>
  <c r="E45" i="128"/>
  <c r="E34" i="128"/>
  <c r="E31" i="128"/>
  <c r="E30" i="128"/>
  <c r="E33" i="128"/>
  <c r="E28" i="128"/>
  <c r="E26" i="128"/>
  <c r="E35" i="128"/>
  <c r="E29" i="128"/>
  <c r="E27" i="128"/>
  <c r="E32" i="128"/>
  <c r="E39" i="128"/>
  <c r="E41" i="128"/>
  <c r="E37" i="128"/>
  <c r="E43" i="128"/>
  <c r="E44" i="128"/>
  <c r="C282" i="109"/>
  <c r="C7" i="76"/>
  <c r="M219" i="79" l="1"/>
  <c r="L219" i="79"/>
  <c r="K219" i="79"/>
  <c r="M237" i="79"/>
  <c r="L237" i="79"/>
  <c r="K237" i="79"/>
  <c r="M231" i="79"/>
  <c r="L231" i="79"/>
  <c r="K231" i="79"/>
  <c r="M225" i="79"/>
  <c r="L225" i="79"/>
  <c r="K225" i="79"/>
  <c r="L226" i="79"/>
  <c r="K226" i="79"/>
  <c r="M226" i="79"/>
  <c r="K232" i="79"/>
  <c r="M232" i="79"/>
  <c r="L232" i="79"/>
  <c r="M244" i="79"/>
  <c r="L244" i="79"/>
  <c r="K244" i="79"/>
  <c r="L243" i="79"/>
  <c r="K243" i="79"/>
  <c r="M243" i="79"/>
  <c r="M220" i="79"/>
  <c r="L220" i="79"/>
  <c r="K220" i="79"/>
  <c r="K238" i="79"/>
  <c r="M238" i="79"/>
  <c r="L238" i="79"/>
  <c r="AD2" i="74"/>
  <c r="AC58" i="74" s="1"/>
  <c r="C242" i="94" l="1"/>
  <c r="C236" i="94"/>
  <c r="C230" i="94"/>
  <c r="C224" i="94"/>
  <c r="C218" i="94"/>
  <c r="C212" i="94"/>
  <c r="C206" i="94"/>
  <c r="C200" i="94"/>
  <c r="C194" i="94"/>
  <c r="C188" i="94"/>
  <c r="C182" i="94"/>
  <c r="C176" i="94"/>
  <c r="C170" i="94"/>
  <c r="C164" i="94"/>
  <c r="C158" i="94"/>
  <c r="C152" i="94"/>
  <c r="C146" i="94"/>
  <c r="C140" i="94"/>
  <c r="C134" i="94"/>
  <c r="C128" i="94"/>
  <c r="C122" i="94"/>
  <c r="C116" i="94"/>
  <c r="C110" i="94"/>
  <c r="C104" i="94"/>
  <c r="C98" i="94"/>
  <c r="C92" i="94"/>
  <c r="C86" i="94"/>
  <c r="C80" i="94"/>
  <c r="C74" i="94"/>
  <c r="C68" i="94"/>
  <c r="C62" i="94"/>
  <c r="C56" i="94"/>
  <c r="C50" i="94"/>
  <c r="C44" i="94"/>
  <c r="C38" i="94"/>
  <c r="C32" i="94"/>
  <c r="C26" i="94"/>
  <c r="C20" i="94"/>
  <c r="B39" i="92"/>
  <c r="P39" i="92"/>
  <c r="E197" i="94" s="1"/>
  <c r="B40" i="92"/>
  <c r="P40" i="92"/>
  <c r="E203" i="94" s="1"/>
  <c r="B41" i="92"/>
  <c r="P41" i="92"/>
  <c r="E209" i="94" s="1"/>
  <c r="B42" i="92"/>
  <c r="P42" i="92"/>
  <c r="E215" i="94" s="1"/>
  <c r="B43" i="92"/>
  <c r="P43" i="92"/>
  <c r="E221" i="94" s="1"/>
  <c r="B44" i="92"/>
  <c r="P44" i="92"/>
  <c r="E227" i="94" s="1"/>
  <c r="B45" i="92"/>
  <c r="P45" i="92"/>
  <c r="E233" i="94" s="1"/>
  <c r="B46" i="92"/>
  <c r="P46" i="92"/>
  <c r="E239" i="94" s="1"/>
  <c r="B47" i="92"/>
  <c r="P47" i="92"/>
  <c r="E245" i="94" s="1"/>
  <c r="B43" i="91"/>
  <c r="M43" i="91"/>
  <c r="Q43" i="91" s="1"/>
  <c r="B44" i="91"/>
  <c r="M44" i="91"/>
  <c r="Q44" i="91"/>
  <c r="B45" i="91"/>
  <c r="M45" i="91"/>
  <c r="Q45" i="91" s="1"/>
  <c r="B46" i="91"/>
  <c r="M46" i="91"/>
  <c r="Q46" i="91"/>
  <c r="B47" i="91"/>
  <c r="M47" i="91"/>
  <c r="Q47" i="91" s="1"/>
  <c r="B39" i="90"/>
  <c r="P39" i="90"/>
  <c r="B40" i="90"/>
  <c r="P40" i="90"/>
  <c r="B41" i="90"/>
  <c r="P41" i="90"/>
  <c r="B42" i="90"/>
  <c r="P42" i="90"/>
  <c r="B43" i="90"/>
  <c r="P43" i="90"/>
  <c r="B44" i="90"/>
  <c r="P44" i="90"/>
  <c r="B45" i="90"/>
  <c r="P45" i="90"/>
  <c r="B46" i="90"/>
  <c r="P46" i="90"/>
  <c r="B47" i="90"/>
  <c r="P47" i="90"/>
  <c r="B45" i="75"/>
  <c r="Q45" i="75"/>
  <c r="B46" i="75"/>
  <c r="Q46" i="75"/>
  <c r="B47" i="75"/>
  <c r="Q47" i="75"/>
  <c r="B48" i="75"/>
  <c r="Q48" i="75"/>
  <c r="B49" i="75"/>
  <c r="Q49" i="75"/>
  <c r="B42" i="98"/>
  <c r="B43" i="98"/>
  <c r="B44" i="98"/>
  <c r="B45" i="98"/>
  <c r="B46" i="98"/>
  <c r="AW44" i="51"/>
  <c r="AX44" i="51"/>
  <c r="BC44" i="51" s="1"/>
  <c r="BD44" i="51" s="1"/>
  <c r="AY44" i="51"/>
  <c r="AZ44" i="51"/>
  <c r="BA44" i="51"/>
  <c r="BB44" i="51"/>
  <c r="AW45" i="51"/>
  <c r="AX45" i="51"/>
  <c r="AY45" i="51"/>
  <c r="AZ45" i="51"/>
  <c r="BA45" i="51"/>
  <c r="BB45" i="51"/>
  <c r="AW46" i="51"/>
  <c r="AX46" i="51"/>
  <c r="AY46" i="51"/>
  <c r="AZ46" i="51"/>
  <c r="BA46" i="51"/>
  <c r="BB46" i="51"/>
  <c r="AW47" i="51"/>
  <c r="AX47" i="51"/>
  <c r="AY47" i="51"/>
  <c r="AZ47" i="51"/>
  <c r="BA47" i="51"/>
  <c r="BB47" i="51"/>
  <c r="AW48" i="51"/>
  <c r="AX48" i="51"/>
  <c r="AY48" i="51"/>
  <c r="AZ48" i="51"/>
  <c r="BA48" i="51"/>
  <c r="BB48" i="51"/>
  <c r="B44" i="51"/>
  <c r="B45" i="51"/>
  <c r="B46" i="51"/>
  <c r="B47" i="51"/>
  <c r="B48" i="51"/>
  <c r="B40" i="51"/>
  <c r="B41" i="51"/>
  <c r="B42" i="51"/>
  <c r="B43" i="51"/>
  <c r="C275" i="109"/>
  <c r="C268" i="109"/>
  <c r="C261" i="109"/>
  <c r="C254" i="109"/>
  <c r="C247" i="109"/>
  <c r="C240" i="109"/>
  <c r="C233" i="109"/>
  <c r="C226" i="109"/>
  <c r="C219" i="109"/>
  <c r="C212" i="109"/>
  <c r="C205" i="109"/>
  <c r="C198" i="109"/>
  <c r="C191" i="109"/>
  <c r="C184" i="109"/>
  <c r="C177" i="109"/>
  <c r="C170" i="109"/>
  <c r="C163" i="109"/>
  <c r="C156" i="109"/>
  <c r="C149" i="109"/>
  <c r="C142" i="109"/>
  <c r="C135" i="109"/>
  <c r="C128" i="109"/>
  <c r="C121" i="109"/>
  <c r="C114" i="109"/>
  <c r="C107" i="109"/>
  <c r="C100" i="109"/>
  <c r="C93" i="109"/>
  <c r="C86" i="109"/>
  <c r="C79" i="109"/>
  <c r="C72" i="109"/>
  <c r="C65" i="109"/>
  <c r="C58" i="109"/>
  <c r="C51" i="109"/>
  <c r="C44" i="109"/>
  <c r="C37" i="109"/>
  <c r="C30" i="109"/>
  <c r="C310" i="59"/>
  <c r="C300" i="59"/>
  <c r="C290" i="59"/>
  <c r="C280" i="59"/>
  <c r="C270" i="59"/>
  <c r="C260" i="59"/>
  <c r="C250" i="59"/>
  <c r="C240" i="59"/>
  <c r="C230" i="59"/>
  <c r="C220" i="59"/>
  <c r="C210" i="59"/>
  <c r="C200" i="59"/>
  <c r="C190" i="59"/>
  <c r="C180" i="59"/>
  <c r="C170" i="59"/>
  <c r="C160" i="59"/>
  <c r="C150" i="59"/>
  <c r="C140" i="59"/>
  <c r="C130" i="59"/>
  <c r="C120" i="59"/>
  <c r="C110" i="59"/>
  <c r="C100" i="59"/>
  <c r="C90" i="59"/>
  <c r="C80" i="59"/>
  <c r="C70" i="59"/>
  <c r="C60" i="59"/>
  <c r="C50" i="59"/>
  <c r="C40" i="59"/>
  <c r="C30" i="59"/>
  <c r="C20" i="59"/>
  <c r="C10" i="59"/>
  <c r="C23" i="109"/>
  <c r="AO40" i="4"/>
  <c r="AV40" i="4"/>
  <c r="AY40" i="4" s="1"/>
  <c r="BD40" i="4"/>
  <c r="AT40" i="4"/>
  <c r="AP40" i="4"/>
  <c r="AR40" i="4"/>
  <c r="AW40" i="4"/>
  <c r="AX40" i="4"/>
  <c r="BA40" i="4"/>
  <c r="BE40" i="4"/>
  <c r="AX41" i="4"/>
  <c r="AW41" i="4"/>
  <c r="BD41" i="4"/>
  <c r="BA41" i="4"/>
  <c r="AX42" i="4"/>
  <c r="AZ42" i="4"/>
  <c r="BA42" i="4"/>
  <c r="AV42" i="4"/>
  <c r="AY42" i="4" s="1"/>
  <c r="AW42" i="4"/>
  <c r="BD42" i="4"/>
  <c r="BE42" i="4"/>
  <c r="AX43" i="4"/>
  <c r="AW43" i="4"/>
  <c r="BD43" i="4"/>
  <c r="BA43" i="4"/>
  <c r="AX44" i="4"/>
  <c r="AZ44" i="4"/>
  <c r="BA44" i="4"/>
  <c r="AV44" i="4"/>
  <c r="AW44" i="4"/>
  <c r="BD44" i="4"/>
  <c r="BE44" i="4"/>
  <c r="BA45" i="4"/>
  <c r="AW45" i="4"/>
  <c r="BD45" i="4"/>
  <c r="AX45" i="4"/>
  <c r="AX46" i="4"/>
  <c r="AZ46" i="4"/>
  <c r="BA46" i="4"/>
  <c r="AV46" i="4"/>
  <c r="AW46" i="4"/>
  <c r="BD46" i="4"/>
  <c r="BF46" i="4" s="1"/>
  <c r="BE46" i="4"/>
  <c r="AX47" i="4"/>
  <c r="BA47" i="4"/>
  <c r="AW47" i="4"/>
  <c r="BD47" i="4"/>
  <c r="AP48" i="4"/>
  <c r="AX48" i="4"/>
  <c r="BA48" i="4"/>
  <c r="AV48" i="4"/>
  <c r="AY48" i="4" s="1"/>
  <c r="AW48" i="4"/>
  <c r="BD48" i="4"/>
  <c r="BE48" i="4"/>
  <c r="AX39" i="4"/>
  <c r="BA39" i="4"/>
  <c r="AV39" i="4"/>
  <c r="AY39" i="4" s="1"/>
  <c r="BD39" i="4"/>
  <c r="BF39" i="4" s="1"/>
  <c r="BE39" i="4"/>
  <c r="AW3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T9" i="4"/>
  <c r="P9" i="4"/>
  <c r="K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43" i="4"/>
  <c r="H44" i="4"/>
  <c r="H45" i="4"/>
  <c r="H46" i="4"/>
  <c r="H47" i="4"/>
  <c r="H48"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H9" i="4"/>
  <c r="C16" i="109"/>
  <c r="C9" i="109"/>
  <c r="B44" i="71"/>
  <c r="B45" i="71"/>
  <c r="B46" i="71"/>
  <c r="B47" i="71"/>
  <c r="B48" i="71"/>
  <c r="B41" i="70"/>
  <c r="B42" i="70"/>
  <c r="B43" i="70"/>
  <c r="B44" i="70"/>
  <c r="B45" i="70"/>
  <c r="B46" i="70"/>
  <c r="B47" i="70"/>
  <c r="B48" i="70"/>
  <c r="BU10" i="69"/>
  <c r="BV10" i="69"/>
  <c r="BX10" i="69"/>
  <c r="BY10" i="69"/>
  <c r="BZ10" i="69"/>
  <c r="CA10" i="69"/>
  <c r="CD10" i="69"/>
  <c r="CE10" i="69"/>
  <c r="CF10" i="69"/>
  <c r="BU11" i="69"/>
  <c r="BV11" i="69"/>
  <c r="BX11" i="69"/>
  <c r="BY11" i="69"/>
  <c r="BZ11" i="69"/>
  <c r="CA11" i="69"/>
  <c r="CD11" i="69"/>
  <c r="CE11" i="69"/>
  <c r="CF11" i="69"/>
  <c r="BU12" i="69"/>
  <c r="BV12" i="69"/>
  <c r="BX12" i="69"/>
  <c r="BY12" i="69"/>
  <c r="BZ12" i="69"/>
  <c r="CA12" i="69"/>
  <c r="CB12" i="69"/>
  <c r="CD12" i="69"/>
  <c r="CE12" i="69"/>
  <c r="CF12" i="69"/>
  <c r="BU13" i="69"/>
  <c r="BV13" i="69"/>
  <c r="BX13" i="69"/>
  <c r="BY13" i="69"/>
  <c r="BZ13" i="69"/>
  <c r="CA13" i="69"/>
  <c r="CD13" i="69"/>
  <c r="CE13" i="69"/>
  <c r="CF13" i="69"/>
  <c r="BU14" i="69"/>
  <c r="BV14" i="69"/>
  <c r="BX14" i="69"/>
  <c r="BY14" i="69"/>
  <c r="BZ14" i="69"/>
  <c r="CA14" i="69"/>
  <c r="CD14" i="69"/>
  <c r="CE14" i="69"/>
  <c r="CF14" i="69"/>
  <c r="BU15" i="69"/>
  <c r="BV15" i="69"/>
  <c r="BX15" i="69"/>
  <c r="BY15" i="69"/>
  <c r="BZ15" i="69"/>
  <c r="CA15" i="69"/>
  <c r="CD15" i="69"/>
  <c r="CE15" i="69"/>
  <c r="CF15" i="69"/>
  <c r="BU16" i="69"/>
  <c r="BV16" i="69"/>
  <c r="BX16" i="69"/>
  <c r="BY16" i="69"/>
  <c r="CB16" i="69" s="1"/>
  <c r="BZ16" i="69"/>
  <c r="CA16" i="69"/>
  <c r="CD16" i="69"/>
  <c r="CE16" i="69"/>
  <c r="CF16" i="69"/>
  <c r="BU17" i="69"/>
  <c r="BV17" i="69"/>
  <c r="BX17" i="69"/>
  <c r="BY17" i="69"/>
  <c r="BZ17" i="69"/>
  <c r="CA17" i="69"/>
  <c r="CD17" i="69"/>
  <c r="CE17" i="69"/>
  <c r="CF17" i="69"/>
  <c r="BU18" i="69"/>
  <c r="BV18" i="69"/>
  <c r="BX18" i="69"/>
  <c r="BY18" i="69"/>
  <c r="BZ18" i="69"/>
  <c r="CA18" i="69"/>
  <c r="CB18" i="69" s="1"/>
  <c r="CD18" i="69"/>
  <c r="CE18" i="69"/>
  <c r="CF18" i="69"/>
  <c r="BU19" i="69"/>
  <c r="BV19" i="69"/>
  <c r="BX19" i="69"/>
  <c r="BY19" i="69"/>
  <c r="BZ19" i="69"/>
  <c r="CA19" i="69"/>
  <c r="CD19" i="69"/>
  <c r="CE19" i="69"/>
  <c r="CF19" i="69"/>
  <c r="BU20" i="69"/>
  <c r="BV20" i="69"/>
  <c r="BX20" i="69"/>
  <c r="BY20" i="69"/>
  <c r="BZ20" i="69"/>
  <c r="CA20" i="69"/>
  <c r="CB20" i="69" s="1"/>
  <c r="CD20" i="69"/>
  <c r="CE20" i="69"/>
  <c r="CF20" i="69"/>
  <c r="BU21" i="69"/>
  <c r="BV21" i="69"/>
  <c r="BX21" i="69"/>
  <c r="BY21" i="69"/>
  <c r="BZ21" i="69"/>
  <c r="CA21" i="69"/>
  <c r="CD21" i="69"/>
  <c r="CE21" i="69"/>
  <c r="CF21" i="69"/>
  <c r="BU22" i="69"/>
  <c r="BV22" i="69"/>
  <c r="BX22" i="69"/>
  <c r="BY22" i="69"/>
  <c r="BZ22" i="69"/>
  <c r="CA22" i="69"/>
  <c r="CD22" i="69"/>
  <c r="CE22" i="69"/>
  <c r="CF22" i="69"/>
  <c r="BU23" i="69"/>
  <c r="BV23" i="69"/>
  <c r="BX23" i="69"/>
  <c r="BY23" i="69"/>
  <c r="BZ23" i="69"/>
  <c r="CA23" i="69"/>
  <c r="CD23" i="69"/>
  <c r="CE23" i="69"/>
  <c r="CF23" i="69"/>
  <c r="BU24" i="69"/>
  <c r="BV24" i="69"/>
  <c r="BX24" i="69"/>
  <c r="BY24" i="69"/>
  <c r="CB24" i="69" s="1"/>
  <c r="BZ24" i="69"/>
  <c r="CA24" i="69"/>
  <c r="CD24" i="69"/>
  <c r="CE24" i="69"/>
  <c r="CF24" i="69"/>
  <c r="BU25" i="69"/>
  <c r="BV25" i="69"/>
  <c r="BX25" i="69"/>
  <c r="BY25" i="69"/>
  <c r="BZ25" i="69"/>
  <c r="CA25" i="69"/>
  <c r="CD25" i="69"/>
  <c r="CE25" i="69"/>
  <c r="CF25" i="69"/>
  <c r="BU26" i="69"/>
  <c r="BV26" i="69"/>
  <c r="BX26" i="69"/>
  <c r="BY26" i="69"/>
  <c r="BZ26" i="69"/>
  <c r="CA26" i="69"/>
  <c r="CB26" i="69"/>
  <c r="CD26" i="69"/>
  <c r="CE26" i="69"/>
  <c r="CF26" i="69"/>
  <c r="BU27" i="69"/>
  <c r="BV27" i="69"/>
  <c r="BX27" i="69"/>
  <c r="BY27" i="69"/>
  <c r="BZ27" i="69"/>
  <c r="CA27" i="69"/>
  <c r="CD27" i="69"/>
  <c r="CE27" i="69"/>
  <c r="CF27" i="69"/>
  <c r="BU28" i="69"/>
  <c r="BV28" i="69"/>
  <c r="BX28" i="69"/>
  <c r="BY28" i="69"/>
  <c r="CB28" i="69" s="1"/>
  <c r="BZ28" i="69"/>
  <c r="CA28" i="69"/>
  <c r="CD28" i="69"/>
  <c r="CE28" i="69"/>
  <c r="CF28" i="69"/>
  <c r="BU29" i="69"/>
  <c r="BV29" i="69"/>
  <c r="BX29" i="69"/>
  <c r="BY29" i="69"/>
  <c r="BZ29" i="69"/>
  <c r="CA29" i="69"/>
  <c r="CD29" i="69"/>
  <c r="CE29" i="69"/>
  <c r="CF29" i="69"/>
  <c r="BU30" i="69"/>
  <c r="BV30" i="69"/>
  <c r="BX30" i="69"/>
  <c r="BY30" i="69"/>
  <c r="BZ30" i="69"/>
  <c r="CA30" i="69"/>
  <c r="CB30" i="69"/>
  <c r="CD30" i="69"/>
  <c r="CE30" i="69"/>
  <c r="CF30" i="69"/>
  <c r="BU31" i="69"/>
  <c r="BV31" i="69"/>
  <c r="BX31" i="69"/>
  <c r="BY31" i="69"/>
  <c r="BZ31" i="69"/>
  <c r="CA31" i="69"/>
  <c r="CD31" i="69"/>
  <c r="CE31" i="69"/>
  <c r="CF31" i="69"/>
  <c r="BU32" i="69"/>
  <c r="BV32" i="69"/>
  <c r="BX32" i="69"/>
  <c r="BY32" i="69"/>
  <c r="CB32" i="69" s="1"/>
  <c r="BZ32" i="69"/>
  <c r="CA32" i="69"/>
  <c r="CD32" i="69"/>
  <c r="CE32" i="69"/>
  <c r="CF32" i="69"/>
  <c r="BU33" i="69"/>
  <c r="BV33" i="69"/>
  <c r="BX33" i="69"/>
  <c r="BY33" i="69"/>
  <c r="BZ33" i="69"/>
  <c r="CA33" i="69"/>
  <c r="CD33" i="69"/>
  <c r="CE33" i="69"/>
  <c r="CF33" i="69"/>
  <c r="BU34" i="69"/>
  <c r="BV34" i="69"/>
  <c r="BX34" i="69"/>
  <c r="BY34" i="69"/>
  <c r="BZ34" i="69"/>
  <c r="CB34" i="69" s="1"/>
  <c r="CA34" i="69"/>
  <c r="CD34" i="69"/>
  <c r="CE34" i="69"/>
  <c r="CF34" i="69"/>
  <c r="BU35" i="69"/>
  <c r="BV35" i="69"/>
  <c r="BX35" i="69"/>
  <c r="BY35" i="69"/>
  <c r="BZ35" i="69"/>
  <c r="CA35" i="69"/>
  <c r="CD35" i="69"/>
  <c r="CE35" i="69"/>
  <c r="CF35" i="69"/>
  <c r="BU36" i="69"/>
  <c r="BV36" i="69"/>
  <c r="BX36" i="69"/>
  <c r="BY36" i="69"/>
  <c r="CB36" i="69" s="1"/>
  <c r="BZ36" i="69"/>
  <c r="CA36" i="69"/>
  <c r="CD36" i="69"/>
  <c r="CE36" i="69"/>
  <c r="CF36" i="69"/>
  <c r="BU37" i="69"/>
  <c r="BV37" i="69"/>
  <c r="BX37" i="69"/>
  <c r="BY37" i="69"/>
  <c r="BZ37" i="69"/>
  <c r="CA37" i="69"/>
  <c r="CD37" i="69"/>
  <c r="CE37" i="69"/>
  <c r="CF37" i="69"/>
  <c r="BU38" i="69"/>
  <c r="BV38" i="69"/>
  <c r="BX38" i="69"/>
  <c r="BY38" i="69"/>
  <c r="BZ38" i="69"/>
  <c r="CA38" i="69"/>
  <c r="CB38" i="69"/>
  <c r="CD38" i="69"/>
  <c r="CE38" i="69"/>
  <c r="CF38" i="69"/>
  <c r="BU39" i="69"/>
  <c r="BV39" i="69"/>
  <c r="BX39" i="69"/>
  <c r="BY39" i="69"/>
  <c r="BZ39" i="69"/>
  <c r="CA39" i="69"/>
  <c r="CD39" i="69"/>
  <c r="CE39" i="69"/>
  <c r="CF39" i="69"/>
  <c r="BU40" i="69"/>
  <c r="BV40" i="69"/>
  <c r="BX40" i="69"/>
  <c r="BY40" i="69"/>
  <c r="CB40" i="69" s="1"/>
  <c r="BZ40" i="69"/>
  <c r="CA40" i="69"/>
  <c r="CD40" i="69"/>
  <c r="CE40" i="69"/>
  <c r="CF40" i="69"/>
  <c r="BU41" i="69"/>
  <c r="BV41" i="69"/>
  <c r="BX41" i="69"/>
  <c r="BY41" i="69"/>
  <c r="BZ41" i="69"/>
  <c r="CA41" i="69"/>
  <c r="CD41" i="69"/>
  <c r="CE41" i="69"/>
  <c r="CF41" i="69"/>
  <c r="BU42" i="69"/>
  <c r="BV42" i="69"/>
  <c r="BX42" i="69"/>
  <c r="BY42" i="69"/>
  <c r="BZ42" i="69"/>
  <c r="CA42" i="69"/>
  <c r="CD42" i="69"/>
  <c r="CE42" i="69"/>
  <c r="CF42" i="69"/>
  <c r="BU43" i="69"/>
  <c r="BV43" i="69"/>
  <c r="BX43" i="69"/>
  <c r="BY43" i="69"/>
  <c r="BZ43" i="69"/>
  <c r="CA43" i="69"/>
  <c r="CD43" i="69"/>
  <c r="CE43" i="69"/>
  <c r="CF43" i="69"/>
  <c r="BU44" i="69"/>
  <c r="BV44" i="69"/>
  <c r="BX44" i="69"/>
  <c r="BY44" i="69"/>
  <c r="BZ44" i="69"/>
  <c r="CA44" i="69"/>
  <c r="CB44" i="69"/>
  <c r="CD44" i="69"/>
  <c r="CE44" i="69"/>
  <c r="CF44" i="69"/>
  <c r="BU45" i="69"/>
  <c r="BV45" i="69"/>
  <c r="BX45" i="69"/>
  <c r="BY45" i="69"/>
  <c r="BZ45" i="69"/>
  <c r="CA45" i="69"/>
  <c r="CD45" i="69"/>
  <c r="CE45" i="69"/>
  <c r="CF45" i="69"/>
  <c r="BU46" i="69"/>
  <c r="BV46" i="69"/>
  <c r="BX46" i="69"/>
  <c r="BY46" i="69"/>
  <c r="CB46" i="69" s="1"/>
  <c r="BZ46" i="69"/>
  <c r="CA46" i="69"/>
  <c r="CD46" i="69"/>
  <c r="CE46" i="69"/>
  <c r="CF46" i="69"/>
  <c r="BU47" i="69"/>
  <c r="BV47" i="69"/>
  <c r="BX47" i="69"/>
  <c r="BY47" i="69"/>
  <c r="BZ47" i="69"/>
  <c r="CA47" i="69"/>
  <c r="CD47" i="69"/>
  <c r="CE47" i="69"/>
  <c r="CF47" i="69"/>
  <c r="BU48" i="69"/>
  <c r="BV48" i="69"/>
  <c r="BX48" i="69"/>
  <c r="BY48" i="69"/>
  <c r="BZ48" i="69"/>
  <c r="CA48" i="69"/>
  <c r="CD48" i="69"/>
  <c r="CE48" i="69"/>
  <c r="CF48" i="69"/>
  <c r="CE9" i="69"/>
  <c r="CF9" i="69"/>
  <c r="BY9" i="69"/>
  <c r="BZ9" i="69"/>
  <c r="CA9" i="69"/>
  <c r="BV9" i="69"/>
  <c r="CD9" i="69"/>
  <c r="BX9" i="69"/>
  <c r="BU9" i="69"/>
  <c r="BQ10" i="69"/>
  <c r="BR10" i="69"/>
  <c r="BS10" i="69"/>
  <c r="BQ11" i="69"/>
  <c r="BR11" i="69"/>
  <c r="BS11" i="69"/>
  <c r="BQ12" i="69"/>
  <c r="BR12" i="69"/>
  <c r="BS12" i="69"/>
  <c r="BQ13" i="69"/>
  <c r="BR13" i="69"/>
  <c r="BS13" i="69"/>
  <c r="BQ14" i="69"/>
  <c r="BR14" i="69"/>
  <c r="BS14" i="69"/>
  <c r="BQ15" i="69"/>
  <c r="BR15" i="69"/>
  <c r="BS15" i="69"/>
  <c r="BQ16" i="69"/>
  <c r="BR16" i="69"/>
  <c r="BS16" i="69"/>
  <c r="BQ17" i="69"/>
  <c r="BR17" i="69"/>
  <c r="BS17" i="69"/>
  <c r="BQ18" i="69"/>
  <c r="BR18" i="69"/>
  <c r="BS18" i="69"/>
  <c r="BQ19" i="69"/>
  <c r="BR19" i="69"/>
  <c r="BS19" i="69"/>
  <c r="BQ20" i="69"/>
  <c r="BR20" i="69"/>
  <c r="BS20" i="69"/>
  <c r="BQ21" i="69"/>
  <c r="BR21" i="69"/>
  <c r="BS21" i="69"/>
  <c r="BQ22" i="69"/>
  <c r="BR22" i="69"/>
  <c r="BS22" i="69"/>
  <c r="BQ23" i="69"/>
  <c r="BR23" i="69"/>
  <c r="BS23" i="69"/>
  <c r="BQ24" i="69"/>
  <c r="BR24" i="69"/>
  <c r="BS24" i="69"/>
  <c r="BQ25" i="69"/>
  <c r="BR25" i="69"/>
  <c r="BS25" i="69"/>
  <c r="BQ26" i="69"/>
  <c r="BR26" i="69"/>
  <c r="BS26" i="69"/>
  <c r="BQ27" i="69"/>
  <c r="BR27" i="69"/>
  <c r="BS27" i="69"/>
  <c r="BQ28" i="69"/>
  <c r="BR28" i="69"/>
  <c r="BS28" i="69"/>
  <c r="BQ29" i="69"/>
  <c r="BR29" i="69"/>
  <c r="BS29" i="69"/>
  <c r="BQ30" i="69"/>
  <c r="BR30" i="69"/>
  <c r="BS30" i="69"/>
  <c r="BQ31" i="69"/>
  <c r="BR31" i="69"/>
  <c r="BS31" i="69"/>
  <c r="BQ32" i="69"/>
  <c r="BR32" i="69"/>
  <c r="BS32" i="69"/>
  <c r="BQ33" i="69"/>
  <c r="BR33" i="69"/>
  <c r="BS33" i="69"/>
  <c r="BQ34" i="69"/>
  <c r="BR34" i="69"/>
  <c r="BS34" i="69"/>
  <c r="BQ35" i="69"/>
  <c r="BR35" i="69"/>
  <c r="BS35" i="69"/>
  <c r="BQ36" i="69"/>
  <c r="BR36" i="69"/>
  <c r="BS36" i="69"/>
  <c r="BQ37" i="69"/>
  <c r="BR37" i="69"/>
  <c r="BS37" i="69"/>
  <c r="BQ38" i="69"/>
  <c r="BR38" i="69"/>
  <c r="BS38" i="69"/>
  <c r="BQ39" i="69"/>
  <c r="BR39" i="69"/>
  <c r="BS39" i="69"/>
  <c r="BQ40" i="69"/>
  <c r="BR40" i="69"/>
  <c r="BS40" i="69"/>
  <c r="BQ41" i="69"/>
  <c r="BR41" i="69"/>
  <c r="BS41" i="69"/>
  <c r="BQ42" i="69"/>
  <c r="BR42" i="69"/>
  <c r="BS42" i="69"/>
  <c r="BQ43" i="69"/>
  <c r="BR43" i="69"/>
  <c r="BS43" i="69"/>
  <c r="BQ44" i="69"/>
  <c r="BR44" i="69"/>
  <c r="BS44" i="69"/>
  <c r="BQ45" i="69"/>
  <c r="BR45" i="69"/>
  <c r="BS45" i="69"/>
  <c r="BQ46" i="69"/>
  <c r="BR46" i="69"/>
  <c r="BS46" i="69"/>
  <c r="BQ47" i="69"/>
  <c r="BR47" i="69"/>
  <c r="BS47" i="69"/>
  <c r="BQ48" i="69"/>
  <c r="BR48" i="69"/>
  <c r="BS48" i="69"/>
  <c r="BR9" i="69"/>
  <c r="BS9" i="69"/>
  <c r="BQ9" i="69"/>
  <c r="BN10" i="69"/>
  <c r="BO10" i="69"/>
  <c r="BN11" i="69"/>
  <c r="BO11" i="69"/>
  <c r="BN12" i="69"/>
  <c r="BO12" i="69"/>
  <c r="BN13" i="69"/>
  <c r="BO13" i="69"/>
  <c r="BN14" i="69"/>
  <c r="BO14" i="69"/>
  <c r="BN15" i="69"/>
  <c r="BO15" i="69"/>
  <c r="BN16" i="69"/>
  <c r="BO16" i="69"/>
  <c r="BN17" i="69"/>
  <c r="BO17" i="69"/>
  <c r="BN18" i="69"/>
  <c r="BO18" i="69"/>
  <c r="BN19" i="69"/>
  <c r="BO19" i="69"/>
  <c r="BN20" i="69"/>
  <c r="BO20" i="69"/>
  <c r="BN21" i="69"/>
  <c r="BO21" i="69"/>
  <c r="BN22" i="69"/>
  <c r="BO22" i="69"/>
  <c r="BN23" i="69"/>
  <c r="BO23" i="69"/>
  <c r="BN24" i="69"/>
  <c r="BO24" i="69"/>
  <c r="BN25" i="69"/>
  <c r="BO25" i="69"/>
  <c r="BN26" i="69"/>
  <c r="BO26" i="69"/>
  <c r="BN27" i="69"/>
  <c r="BO27" i="69"/>
  <c r="BN28" i="69"/>
  <c r="BO28" i="69"/>
  <c r="BN29" i="69"/>
  <c r="BO29" i="69"/>
  <c r="BN30" i="69"/>
  <c r="BO30" i="69"/>
  <c r="BN31" i="69"/>
  <c r="BO31" i="69"/>
  <c r="BN32" i="69"/>
  <c r="BO32" i="69"/>
  <c r="BN33" i="69"/>
  <c r="BO33" i="69"/>
  <c r="BN34" i="69"/>
  <c r="BO34" i="69"/>
  <c r="BN35" i="69"/>
  <c r="BO35" i="69"/>
  <c r="BN36" i="69"/>
  <c r="BO36" i="69"/>
  <c r="BN37" i="69"/>
  <c r="BO37" i="69"/>
  <c r="BN38" i="69"/>
  <c r="BO38" i="69"/>
  <c r="BN39" i="69"/>
  <c r="BO39" i="69"/>
  <c r="BN40" i="69"/>
  <c r="BO40" i="69"/>
  <c r="BN41" i="69"/>
  <c r="BO41" i="69"/>
  <c r="BN42" i="69"/>
  <c r="BO42" i="69"/>
  <c r="BN43" i="69"/>
  <c r="BO43" i="69"/>
  <c r="BN44" i="69"/>
  <c r="BO44" i="69"/>
  <c r="BN45" i="69"/>
  <c r="BO45" i="69"/>
  <c r="BN46" i="69"/>
  <c r="BO46" i="69"/>
  <c r="BN47" i="69"/>
  <c r="BO47" i="69"/>
  <c r="BN48" i="69"/>
  <c r="BO48" i="69"/>
  <c r="BO9" i="69"/>
  <c r="BN9" i="69"/>
  <c r="BH9" i="69"/>
  <c r="BE10" i="69"/>
  <c r="BF10" i="69"/>
  <c r="BE11" i="69"/>
  <c r="BF11" i="69"/>
  <c r="BE12" i="69"/>
  <c r="BF12" i="69"/>
  <c r="BE13" i="69"/>
  <c r="BF13" i="69"/>
  <c r="BE14" i="69"/>
  <c r="BF14" i="69"/>
  <c r="BE15" i="69"/>
  <c r="BF15" i="69"/>
  <c r="BE16" i="69"/>
  <c r="BF16" i="69"/>
  <c r="BE17" i="69"/>
  <c r="BF17" i="69"/>
  <c r="BE18" i="69"/>
  <c r="BF18" i="69"/>
  <c r="BE19" i="69"/>
  <c r="BF19" i="69"/>
  <c r="BE20" i="69"/>
  <c r="BF20" i="69"/>
  <c r="BE21" i="69"/>
  <c r="BF21" i="69"/>
  <c r="BE22" i="69"/>
  <c r="BF22" i="69"/>
  <c r="BE23" i="69"/>
  <c r="BF23" i="69"/>
  <c r="BE24" i="69"/>
  <c r="BF24" i="69"/>
  <c r="BE25" i="69"/>
  <c r="BF25" i="69"/>
  <c r="BE26" i="69"/>
  <c r="BF26" i="69"/>
  <c r="BE27" i="69"/>
  <c r="BF27" i="69"/>
  <c r="BE28" i="69"/>
  <c r="BF28" i="69"/>
  <c r="BE29" i="69"/>
  <c r="BF29" i="69"/>
  <c r="BE30" i="69"/>
  <c r="BF30" i="69"/>
  <c r="BE31" i="69"/>
  <c r="BF31" i="69"/>
  <c r="BE32" i="69"/>
  <c r="BF32" i="69"/>
  <c r="BE33" i="69"/>
  <c r="BF33" i="69"/>
  <c r="BE34" i="69"/>
  <c r="BF34" i="69"/>
  <c r="BE35" i="69"/>
  <c r="BF35" i="69"/>
  <c r="BE36" i="69"/>
  <c r="BF36" i="69"/>
  <c r="BE37" i="69"/>
  <c r="BF37" i="69"/>
  <c r="BE38" i="69"/>
  <c r="BF38" i="69"/>
  <c r="BE39" i="69"/>
  <c r="BF39" i="69"/>
  <c r="BE40" i="69"/>
  <c r="BF40" i="69"/>
  <c r="BE41" i="69"/>
  <c r="BF41" i="69"/>
  <c r="BE42" i="69"/>
  <c r="BF42" i="69"/>
  <c r="BE43" i="69"/>
  <c r="BF43" i="69"/>
  <c r="BE44" i="69"/>
  <c r="BF44" i="69"/>
  <c r="BE45" i="69"/>
  <c r="BF45" i="69"/>
  <c r="BE46" i="69"/>
  <c r="BF46" i="69"/>
  <c r="BE47" i="69"/>
  <c r="BF47" i="69"/>
  <c r="BE48" i="69"/>
  <c r="BF48" i="69"/>
  <c r="BF9" i="69"/>
  <c r="BE9" i="69"/>
  <c r="BP10" i="69"/>
  <c r="BP18" i="69"/>
  <c r="BP26" i="69"/>
  <c r="BP34" i="69"/>
  <c r="BP42" i="69"/>
  <c r="BM10" i="69"/>
  <c r="BM18" i="69"/>
  <c r="BM26" i="69"/>
  <c r="U10" i="69"/>
  <c r="AB10" i="69" s="1"/>
  <c r="U11" i="69"/>
  <c r="AB11" i="69" s="1"/>
  <c r="U12" i="69"/>
  <c r="AB12" i="69" s="1"/>
  <c r="U13" i="69"/>
  <c r="AB13" i="69" s="1"/>
  <c r="U14" i="69"/>
  <c r="AB14" i="69" s="1"/>
  <c r="U15" i="69"/>
  <c r="AB15" i="69" s="1"/>
  <c r="U16" i="69"/>
  <c r="AB16" i="69" s="1"/>
  <c r="U17" i="69"/>
  <c r="AB17" i="69" s="1"/>
  <c r="U18" i="69"/>
  <c r="AB18" i="69" s="1"/>
  <c r="U19" i="69"/>
  <c r="AB19" i="69" s="1"/>
  <c r="U20" i="69"/>
  <c r="AB20" i="69" s="1"/>
  <c r="U21" i="69"/>
  <c r="AB21" i="69" s="1"/>
  <c r="U22" i="69"/>
  <c r="AB22" i="69" s="1"/>
  <c r="U23" i="69"/>
  <c r="AB23" i="69" s="1"/>
  <c r="U24" i="69"/>
  <c r="AB24" i="69" s="1"/>
  <c r="U25" i="69"/>
  <c r="AB25" i="69" s="1"/>
  <c r="U26" i="69"/>
  <c r="AB26" i="69" s="1"/>
  <c r="U27" i="69"/>
  <c r="AB27" i="69" s="1"/>
  <c r="U28" i="69"/>
  <c r="AB28" i="69" s="1"/>
  <c r="U29" i="69"/>
  <c r="AB29" i="69" s="1"/>
  <c r="U30" i="69"/>
  <c r="AB30" i="69" s="1"/>
  <c r="U31" i="69"/>
  <c r="AB31" i="69" s="1"/>
  <c r="U32" i="69"/>
  <c r="AB32" i="69" s="1"/>
  <c r="U33" i="69"/>
  <c r="AB33" i="69" s="1"/>
  <c r="U34" i="69"/>
  <c r="AB34" i="69" s="1"/>
  <c r="U35" i="69"/>
  <c r="AB35" i="69" s="1"/>
  <c r="U36" i="69"/>
  <c r="AB36" i="69" s="1"/>
  <c r="U37" i="69"/>
  <c r="AB37" i="69" s="1"/>
  <c r="U38" i="69"/>
  <c r="AB38" i="69" s="1"/>
  <c r="U39" i="69"/>
  <c r="AB39" i="69" s="1"/>
  <c r="U40" i="69"/>
  <c r="AB40" i="69" s="1"/>
  <c r="U41" i="69"/>
  <c r="AB41" i="69" s="1"/>
  <c r="U42" i="69"/>
  <c r="AB42" i="69" s="1"/>
  <c r="U43" i="69"/>
  <c r="AB43" i="69" s="1"/>
  <c r="U44" i="69"/>
  <c r="AB44" i="69" s="1"/>
  <c r="U45" i="69"/>
  <c r="AB45" i="69" s="1"/>
  <c r="U46" i="69"/>
  <c r="AB46" i="69" s="1"/>
  <c r="U47" i="69"/>
  <c r="AB47" i="69" s="1"/>
  <c r="U48" i="69"/>
  <c r="AB48" i="69" s="1"/>
  <c r="U9" i="69"/>
  <c r="AB9" i="69" s="1"/>
  <c r="R48" i="69"/>
  <c r="R10" i="69"/>
  <c r="R11" i="69"/>
  <c r="R12" i="69"/>
  <c r="R13" i="69"/>
  <c r="R14" i="69"/>
  <c r="R15" i="69"/>
  <c r="R16" i="69"/>
  <c r="R17" i="69"/>
  <c r="R18" i="69"/>
  <c r="R19" i="69"/>
  <c r="R20" i="69"/>
  <c r="R21" i="69"/>
  <c r="R22" i="69"/>
  <c r="R23" i="69"/>
  <c r="R24" i="69"/>
  <c r="R25" i="69"/>
  <c r="R26" i="69"/>
  <c r="R27" i="69"/>
  <c r="R28" i="69"/>
  <c r="R29" i="69"/>
  <c r="R30" i="69"/>
  <c r="R31" i="69"/>
  <c r="R32" i="69"/>
  <c r="R33" i="69"/>
  <c r="R34" i="69"/>
  <c r="R35" i="69"/>
  <c r="R36" i="69"/>
  <c r="R37" i="69"/>
  <c r="R38" i="69"/>
  <c r="R39" i="69"/>
  <c r="R40" i="69"/>
  <c r="R41" i="69"/>
  <c r="R42" i="69"/>
  <c r="R43" i="69"/>
  <c r="R44" i="69"/>
  <c r="R45" i="69"/>
  <c r="R46" i="69"/>
  <c r="R47" i="69"/>
  <c r="R9" i="69"/>
  <c r="H10" i="69"/>
  <c r="H11" i="69"/>
  <c r="H12" i="69"/>
  <c r="H13" i="69"/>
  <c r="H14" i="69"/>
  <c r="H15" i="69"/>
  <c r="H16" i="69"/>
  <c r="H17" i="69"/>
  <c r="H18" i="69"/>
  <c r="H19" i="69"/>
  <c r="H20" i="69"/>
  <c r="H21" i="69"/>
  <c r="H22" i="69"/>
  <c r="H23" i="69"/>
  <c r="H24" i="69"/>
  <c r="H25" i="69"/>
  <c r="H26" i="69"/>
  <c r="H27" i="69"/>
  <c r="H28" i="69"/>
  <c r="H29" i="69"/>
  <c r="H30" i="69"/>
  <c r="H31" i="69"/>
  <c r="H32" i="69"/>
  <c r="H33" i="69"/>
  <c r="H34" i="69"/>
  <c r="H35" i="69"/>
  <c r="H36" i="69"/>
  <c r="H37" i="69"/>
  <c r="H38" i="69"/>
  <c r="H39" i="69"/>
  <c r="H40" i="69"/>
  <c r="H41" i="69"/>
  <c r="H42" i="69"/>
  <c r="H43" i="69"/>
  <c r="H44" i="69"/>
  <c r="H45" i="69"/>
  <c r="H46" i="69"/>
  <c r="H47" i="69"/>
  <c r="H48" i="69"/>
  <c r="B39" i="69"/>
  <c r="B40" i="69"/>
  <c r="B41" i="69"/>
  <c r="B42" i="69"/>
  <c r="B43" i="69"/>
  <c r="B44" i="69"/>
  <c r="B45" i="69"/>
  <c r="B46" i="69"/>
  <c r="B47" i="69"/>
  <c r="B48" i="69"/>
  <c r="H9" i="69"/>
  <c r="B33" i="68"/>
  <c r="B34" i="68"/>
  <c r="B35" i="68"/>
  <c r="B36" i="68"/>
  <c r="B37" i="68"/>
  <c r="B38" i="68"/>
  <c r="B39" i="68"/>
  <c r="B40" i="68"/>
  <c r="B41" i="68"/>
  <c r="B42" i="68"/>
  <c r="B43" i="68"/>
  <c r="B44" i="68"/>
  <c r="B45" i="68"/>
  <c r="B46" i="68"/>
  <c r="B47" i="68"/>
  <c r="B48" i="68"/>
  <c r="B33" i="67"/>
  <c r="B34" i="67"/>
  <c r="B35" i="67"/>
  <c r="B36" i="67"/>
  <c r="B37" i="67"/>
  <c r="B38" i="67"/>
  <c r="B39" i="67"/>
  <c r="B40" i="67"/>
  <c r="B41" i="67"/>
  <c r="B42" i="67"/>
  <c r="B43" i="67"/>
  <c r="B44" i="67"/>
  <c r="B45" i="67"/>
  <c r="B46" i="67"/>
  <c r="B47" i="67"/>
  <c r="B48" i="67"/>
  <c r="G244" i="94" l="1"/>
  <c r="G247" i="94" s="1"/>
  <c r="H165" i="76" s="1"/>
  <c r="F244" i="94"/>
  <c r="G232" i="94"/>
  <c r="G235" i="94" s="1"/>
  <c r="H157" i="76" s="1"/>
  <c r="F232" i="94"/>
  <c r="G220" i="94"/>
  <c r="G223" i="94" s="1"/>
  <c r="H149" i="76" s="1"/>
  <c r="F220" i="94"/>
  <c r="CB22" i="69"/>
  <c r="AY46" i="4"/>
  <c r="BF42" i="4"/>
  <c r="AL242" i="94"/>
  <c r="AL247" i="94" s="1"/>
  <c r="H284" i="109"/>
  <c r="AN238" i="94"/>
  <c r="AN241" i="94" s="1"/>
  <c r="H279" i="109"/>
  <c r="AJ237" i="94"/>
  <c r="AJ241" i="94" s="1"/>
  <c r="H275" i="109"/>
  <c r="AL230" i="94"/>
  <c r="AL235" i="94" s="1"/>
  <c r="H270" i="109"/>
  <c r="AN226" i="94"/>
  <c r="AN229" i="94" s="1"/>
  <c r="H265" i="109"/>
  <c r="AJ225" i="94"/>
  <c r="AJ229" i="94" s="1"/>
  <c r="H261" i="109"/>
  <c r="AM220" i="94"/>
  <c r="AM223" i="94" s="1"/>
  <c r="H257" i="109"/>
  <c r="G238" i="94"/>
  <c r="G241" i="94" s="1"/>
  <c r="H161" i="76" s="1"/>
  <c r="F238" i="94"/>
  <c r="H245" i="94"/>
  <c r="E247" i="94"/>
  <c r="H163" i="76" s="1"/>
  <c r="H233" i="94"/>
  <c r="E235" i="94"/>
  <c r="H155" i="76" s="1"/>
  <c r="H221" i="94"/>
  <c r="E223" i="94"/>
  <c r="H147" i="76" s="1"/>
  <c r="H209" i="94"/>
  <c r="E211" i="94"/>
  <c r="H139" i="76" s="1"/>
  <c r="H197" i="94"/>
  <c r="E199" i="94"/>
  <c r="H131" i="76" s="1"/>
  <c r="BF44" i="4"/>
  <c r="BF40" i="4"/>
  <c r="AO246" i="94"/>
  <c r="AO247" i="94" s="1"/>
  <c r="H287" i="109"/>
  <c r="AK245" i="94"/>
  <c r="AK247" i="94" s="1"/>
  <c r="H283" i="109"/>
  <c r="AM238" i="94"/>
  <c r="AM241" i="94" s="1"/>
  <c r="H278" i="109"/>
  <c r="AO234" i="94"/>
  <c r="AO235" i="94" s="1"/>
  <c r="H273" i="109"/>
  <c r="AK233" i="94"/>
  <c r="AK235" i="94" s="1"/>
  <c r="H269" i="109"/>
  <c r="AM226" i="94"/>
  <c r="AM229" i="94" s="1"/>
  <c r="H264" i="109"/>
  <c r="AL218" i="94"/>
  <c r="AL223" i="94" s="1"/>
  <c r="H256" i="109"/>
  <c r="AN244" i="94"/>
  <c r="AN247" i="94" s="1"/>
  <c r="H286" i="109"/>
  <c r="AJ243" i="94"/>
  <c r="AJ247" i="94" s="1"/>
  <c r="H282" i="109"/>
  <c r="AL236" i="94"/>
  <c r="AL241" i="94" s="1"/>
  <c r="H277" i="109"/>
  <c r="AN232" i="94"/>
  <c r="AN235" i="94" s="1"/>
  <c r="H272" i="109"/>
  <c r="AJ231" i="94"/>
  <c r="AJ235" i="94" s="1"/>
  <c r="H268" i="109"/>
  <c r="AL224" i="94"/>
  <c r="AL229" i="94" s="1"/>
  <c r="H263" i="109"/>
  <c r="AO222" i="94"/>
  <c r="AO223" i="94" s="1"/>
  <c r="H259" i="109"/>
  <c r="AK221" i="94"/>
  <c r="AK223" i="94" s="1"/>
  <c r="H255" i="109"/>
  <c r="G226" i="94"/>
  <c r="G229" i="94" s="1"/>
  <c r="H153" i="76" s="1"/>
  <c r="F226" i="94"/>
  <c r="H239" i="94"/>
  <c r="E241" i="94"/>
  <c r="H159" i="76" s="1"/>
  <c r="H227" i="94"/>
  <c r="E229" i="94"/>
  <c r="H151" i="76" s="1"/>
  <c r="H215" i="94"/>
  <c r="E217" i="94"/>
  <c r="H143" i="76" s="1"/>
  <c r="H203" i="94"/>
  <c r="E205" i="94"/>
  <c r="H135" i="76" s="1"/>
  <c r="BF48" i="4"/>
  <c r="AY44" i="4"/>
  <c r="AM244" i="94"/>
  <c r="AM247" i="94" s="1"/>
  <c r="H285" i="109"/>
  <c r="AO240" i="94"/>
  <c r="AO241" i="94" s="1"/>
  <c r="H280" i="109"/>
  <c r="AK239" i="94"/>
  <c r="AK241" i="94" s="1"/>
  <c r="H276" i="109"/>
  <c r="AM232" i="94"/>
  <c r="AM235" i="94" s="1"/>
  <c r="H271" i="109"/>
  <c r="AO228" i="94"/>
  <c r="AO229" i="94" s="1"/>
  <c r="H266" i="109"/>
  <c r="AK227" i="94"/>
  <c r="AK229" i="94" s="1"/>
  <c r="H262" i="109"/>
  <c r="AN220" i="94"/>
  <c r="AN223" i="94" s="1"/>
  <c r="H258" i="109"/>
  <c r="AJ219" i="94"/>
  <c r="AJ223" i="94" s="1"/>
  <c r="H254" i="109"/>
  <c r="C32" i="136"/>
  <c r="C33" i="115"/>
  <c r="W25" i="86"/>
  <c r="V25" i="86"/>
  <c r="U25" i="86"/>
  <c r="BG10" i="69"/>
  <c r="BC48" i="51"/>
  <c r="BD48" i="51" s="1"/>
  <c r="BC46" i="51"/>
  <c r="BD46" i="51" s="1"/>
  <c r="BC47" i="51"/>
  <c r="BC45" i="51"/>
  <c r="AP43" i="4"/>
  <c r="AR41" i="4"/>
  <c r="AR46" i="4"/>
  <c r="AP46" i="4"/>
  <c r="AQ45" i="4"/>
  <c r="AR45" i="4"/>
  <c r="AP45" i="4"/>
  <c r="AR44" i="4"/>
  <c r="AO39" i="4"/>
  <c r="AR39" i="4"/>
  <c r="Y406" i="59"/>
  <c r="AR42" i="4"/>
  <c r="AD46" i="4"/>
  <c r="E273" i="109" s="1"/>
  <c r="AD42" i="4"/>
  <c r="E245" i="109" s="1"/>
  <c r="AP47" i="4"/>
  <c r="AT46" i="4"/>
  <c r="AP42" i="4"/>
  <c r="BB39" i="4"/>
  <c r="AQ39" i="4"/>
  <c r="AR48" i="4"/>
  <c r="AD48" i="4"/>
  <c r="E287" i="109" s="1"/>
  <c r="AD44" i="4"/>
  <c r="E259" i="109" s="1"/>
  <c r="Z405" i="59"/>
  <c r="AP44" i="4"/>
  <c r="Y365" i="59"/>
  <c r="AT42" i="4"/>
  <c r="AQ41" i="4"/>
  <c r="AP41" i="4"/>
  <c r="X326" i="59"/>
  <c r="AD39" i="4"/>
  <c r="E224" i="109" s="1"/>
  <c r="AS46" i="4"/>
  <c r="AQ46" i="4"/>
  <c r="AO46" i="4"/>
  <c r="AN45" i="4"/>
  <c r="AT45" i="4"/>
  <c r="AS42" i="4"/>
  <c r="AQ42" i="4"/>
  <c r="AO42" i="4"/>
  <c r="AN41" i="4"/>
  <c r="AT41" i="4"/>
  <c r="AD40" i="4"/>
  <c r="E231" i="109" s="1"/>
  <c r="AZ39" i="4"/>
  <c r="AS39" i="4"/>
  <c r="Z313" i="59"/>
  <c r="Y408" i="59"/>
  <c r="AT48" i="4"/>
  <c r="AS48" i="4"/>
  <c r="AQ48" i="4"/>
  <c r="AO48" i="4"/>
  <c r="AR47" i="4"/>
  <c r="AQ47" i="4"/>
  <c r="AN47" i="4"/>
  <c r="AT47" i="4"/>
  <c r="Z386" i="59"/>
  <c r="AT44" i="4"/>
  <c r="AS44" i="4"/>
  <c r="AQ44" i="4"/>
  <c r="AO44" i="4"/>
  <c r="AR43" i="4"/>
  <c r="AQ43" i="4"/>
  <c r="AN43" i="4"/>
  <c r="AT43" i="4"/>
  <c r="X346" i="59"/>
  <c r="Y325" i="59"/>
  <c r="BB40" i="4"/>
  <c r="Y321" i="59" s="1"/>
  <c r="AZ40" i="4"/>
  <c r="BC40" i="4" s="1"/>
  <c r="AS40" i="4"/>
  <c r="AQ40" i="4"/>
  <c r="AN48" i="4"/>
  <c r="AP39" i="4"/>
  <c r="AT39" i="4"/>
  <c r="AN39" i="4"/>
  <c r="BB48" i="4"/>
  <c r="X401" i="59" s="1"/>
  <c r="AZ48" i="4"/>
  <c r="Z398" i="59"/>
  <c r="BB47" i="4"/>
  <c r="AZ47" i="4"/>
  <c r="AV47" i="4"/>
  <c r="AY47" i="4" s="1"/>
  <c r="AS47" i="4"/>
  <c r="AO47" i="4"/>
  <c r="BB46" i="4"/>
  <c r="Y381" i="59" s="1"/>
  <c r="BB45" i="4"/>
  <c r="AZ45" i="4"/>
  <c r="AV45" i="4"/>
  <c r="AY45" i="4" s="1"/>
  <c r="AS45" i="4"/>
  <c r="AO45" i="4"/>
  <c r="BB44" i="4"/>
  <c r="Y361" i="59" s="1"/>
  <c r="Y358" i="59"/>
  <c r="BB43" i="4"/>
  <c r="AZ43" i="4"/>
  <c r="BC43" i="4" s="1"/>
  <c r="AV43" i="4"/>
  <c r="AY43" i="4" s="1"/>
  <c r="AS43" i="4"/>
  <c r="AO43" i="4"/>
  <c r="BB42" i="4"/>
  <c r="Y341" i="59" s="1"/>
  <c r="BB41" i="4"/>
  <c r="AZ41" i="4"/>
  <c r="BC41" i="4" s="1"/>
  <c r="AV41" i="4"/>
  <c r="AY41" i="4" s="1"/>
  <c r="AS41" i="4"/>
  <c r="AO41" i="4"/>
  <c r="AD47" i="4"/>
  <c r="E280" i="109" s="1"/>
  <c r="AN46" i="4"/>
  <c r="AD45" i="4"/>
  <c r="E266" i="109" s="1"/>
  <c r="AN44" i="4"/>
  <c r="AD43" i="4"/>
  <c r="E252" i="109" s="1"/>
  <c r="AN42" i="4"/>
  <c r="AD41" i="4"/>
  <c r="E238" i="109" s="1"/>
  <c r="AN40" i="4"/>
  <c r="H166" i="147"/>
  <c r="CB42" i="69"/>
  <c r="CB14" i="69"/>
  <c r="CB45" i="69"/>
  <c r="CB43" i="69"/>
  <c r="CB41" i="69"/>
  <c r="CB39" i="69"/>
  <c r="CB37" i="69"/>
  <c r="CB35" i="69"/>
  <c r="CB33" i="69"/>
  <c r="CB31" i="69"/>
  <c r="CB29" i="69"/>
  <c r="CB27" i="69"/>
  <c r="CB25" i="69"/>
  <c r="CB23" i="69"/>
  <c r="CB21" i="69"/>
  <c r="CB19" i="69"/>
  <c r="CB17" i="69"/>
  <c r="CB15" i="69"/>
  <c r="CB13" i="69"/>
  <c r="CB11" i="69"/>
  <c r="BG42" i="69"/>
  <c r="BG26" i="69"/>
  <c r="BM34" i="69"/>
  <c r="CB48" i="69"/>
  <c r="CB47" i="69"/>
  <c r="BG46" i="69"/>
  <c r="BG38" i="69"/>
  <c r="BG34" i="69"/>
  <c r="BG30" i="69"/>
  <c r="BG18" i="69"/>
  <c r="BM22" i="69"/>
  <c r="BM14" i="69"/>
  <c r="BP46" i="69"/>
  <c r="BP38" i="69"/>
  <c r="BP30" i="69"/>
  <c r="BP22" i="69"/>
  <c r="BP14" i="69"/>
  <c r="BT22" i="69"/>
  <c r="BM42" i="69"/>
  <c r="BM30" i="69"/>
  <c r="BG22" i="69"/>
  <c r="BG14" i="69"/>
  <c r="BM46" i="69"/>
  <c r="BM38" i="69"/>
  <c r="BG48" i="69"/>
  <c r="BG47" i="69"/>
  <c r="BG45" i="69"/>
  <c r="BG44" i="69"/>
  <c r="BG43" i="69"/>
  <c r="BG41" i="69"/>
  <c r="BG40" i="69"/>
  <c r="BG39" i="69"/>
  <c r="BG37" i="69"/>
  <c r="BG36" i="69"/>
  <c r="BG35" i="69"/>
  <c r="BG33" i="69"/>
  <c r="BG32" i="69"/>
  <c r="BG31" i="69"/>
  <c r="BG29" i="69"/>
  <c r="BG28" i="69"/>
  <c r="BG27" i="69"/>
  <c r="BG25" i="69"/>
  <c r="BG24" i="69"/>
  <c r="BG23" i="69"/>
  <c r="BG21" i="69"/>
  <c r="BG20" i="69"/>
  <c r="BG19" i="69"/>
  <c r="BG17" i="69"/>
  <c r="BG16" i="69"/>
  <c r="BG15" i="69"/>
  <c r="BG13" i="69"/>
  <c r="BG12" i="69"/>
  <c r="BG11" i="69"/>
  <c r="BM9" i="69"/>
  <c r="BM24" i="69"/>
  <c r="BM20" i="69"/>
  <c r="BM16" i="69"/>
  <c r="BM12" i="69"/>
  <c r="BP9" i="69"/>
  <c r="BP48" i="69"/>
  <c r="BP47" i="69"/>
  <c r="BP45" i="69"/>
  <c r="BP44" i="69"/>
  <c r="BP43" i="69"/>
  <c r="BP41" i="69"/>
  <c r="BP40" i="69"/>
  <c r="BP39" i="69"/>
  <c r="BP37" i="69"/>
  <c r="BP36" i="69"/>
  <c r="BP35" i="69"/>
  <c r="BP33" i="69"/>
  <c r="BP32" i="69"/>
  <c r="BP31" i="69"/>
  <c r="BP29" i="69"/>
  <c r="BP28" i="69"/>
  <c r="BP27" i="69"/>
  <c r="BP25" i="69"/>
  <c r="BP24" i="69"/>
  <c r="BP23" i="69"/>
  <c r="BP21" i="69"/>
  <c r="BP20" i="69"/>
  <c r="BP19" i="69"/>
  <c r="BP17" i="69"/>
  <c r="BP16" i="69"/>
  <c r="BP15" i="69"/>
  <c r="BP13" i="69"/>
  <c r="BP12" i="69"/>
  <c r="BP11" i="69"/>
  <c r="BM48" i="69"/>
  <c r="BM44" i="69"/>
  <c r="BM40" i="69"/>
  <c r="BM36" i="69"/>
  <c r="BM32" i="69"/>
  <c r="BM28" i="69"/>
  <c r="BM47" i="69"/>
  <c r="BM45" i="69"/>
  <c r="BM43" i="69"/>
  <c r="BM41" i="69"/>
  <c r="BM39" i="69"/>
  <c r="BM37" i="69"/>
  <c r="BM35" i="69"/>
  <c r="BM33" i="69"/>
  <c r="BM31" i="69"/>
  <c r="BM29" i="69"/>
  <c r="BM27" i="69"/>
  <c r="BM25" i="69"/>
  <c r="BM23" i="69"/>
  <c r="BM21" i="69"/>
  <c r="BM19" i="69"/>
  <c r="BM17" i="69"/>
  <c r="BM15" i="69"/>
  <c r="BM13" i="69"/>
  <c r="BM11" i="69"/>
  <c r="BT40" i="69"/>
  <c r="BT48" i="69"/>
  <c r="BT14" i="69"/>
  <c r="CB9" i="69"/>
  <c r="CG9" i="69"/>
  <c r="BT30" i="69"/>
  <c r="BT34" i="69"/>
  <c r="BT18" i="69"/>
  <c r="BW9" i="69"/>
  <c r="BT44" i="69"/>
  <c r="BT26" i="69"/>
  <c r="BT10" i="69"/>
  <c r="CB10" i="69"/>
  <c r="BT42" i="69"/>
  <c r="BT32" i="69"/>
  <c r="BT24" i="69"/>
  <c r="BT16" i="69"/>
  <c r="CG48" i="69"/>
  <c r="CG47" i="69"/>
  <c r="CG46" i="69"/>
  <c r="CG45" i="69"/>
  <c r="CG44" i="69"/>
  <c r="CG43" i="69"/>
  <c r="CG42" i="69"/>
  <c r="CG41" i="69"/>
  <c r="CG40" i="69"/>
  <c r="CG39" i="69"/>
  <c r="CG38" i="69"/>
  <c r="CG37" i="69"/>
  <c r="CG36" i="69"/>
  <c r="CG35" i="69"/>
  <c r="CG34" i="69"/>
  <c r="CG33" i="69"/>
  <c r="CG32" i="69"/>
  <c r="CG31" i="69"/>
  <c r="CG30" i="69"/>
  <c r="CG29" i="69"/>
  <c r="CG28" i="69"/>
  <c r="CG27" i="69"/>
  <c r="CG26" i="69"/>
  <c r="CG25" i="69"/>
  <c r="CG24" i="69"/>
  <c r="CG23" i="69"/>
  <c r="CG22" i="69"/>
  <c r="CG21" i="69"/>
  <c r="CG20" i="69"/>
  <c r="CG19" i="69"/>
  <c r="CG18" i="69"/>
  <c r="CG17" i="69"/>
  <c r="CG16" i="69"/>
  <c r="CG15" i="69"/>
  <c r="CG14" i="69"/>
  <c r="CG13" i="69"/>
  <c r="CG12" i="69"/>
  <c r="CG11" i="69"/>
  <c r="CG10" i="69"/>
  <c r="BT46" i="69"/>
  <c r="BT38" i="69"/>
  <c r="BT36" i="69"/>
  <c r="BT28" i="69"/>
  <c r="BT20" i="69"/>
  <c r="BT12" i="69"/>
  <c r="BW48" i="69"/>
  <c r="BW47" i="69"/>
  <c r="BW46" i="69"/>
  <c r="BW45" i="69"/>
  <c r="BW44" i="69"/>
  <c r="BW43" i="69"/>
  <c r="BW42" i="69"/>
  <c r="BW41" i="69"/>
  <c r="BW40" i="69"/>
  <c r="BW39" i="69"/>
  <c r="BW38" i="69"/>
  <c r="BW37" i="69"/>
  <c r="BW36" i="69"/>
  <c r="BW35" i="69"/>
  <c r="BW34" i="69"/>
  <c r="BW33" i="69"/>
  <c r="BW32" i="69"/>
  <c r="BW31" i="69"/>
  <c r="BW30" i="69"/>
  <c r="BW29" i="69"/>
  <c r="BW28" i="69"/>
  <c r="BW27" i="69"/>
  <c r="BW26" i="69"/>
  <c r="BW25" i="69"/>
  <c r="BW24" i="69"/>
  <c r="BW23" i="69"/>
  <c r="BW22" i="69"/>
  <c r="BW21" i="69"/>
  <c r="BW20" i="69"/>
  <c r="BW19" i="69"/>
  <c r="BW18" i="69"/>
  <c r="BW17" i="69"/>
  <c r="BW16" i="69"/>
  <c r="BW15" i="69"/>
  <c r="BW14" i="69"/>
  <c r="BW13" i="69"/>
  <c r="BW12" i="69"/>
  <c r="BW11" i="69"/>
  <c r="BW10" i="69"/>
  <c r="U48" i="72"/>
  <c r="U47" i="72"/>
  <c r="U46" i="72"/>
  <c r="U45" i="72"/>
  <c r="U44" i="72"/>
  <c r="H86" i="147"/>
  <c r="X313" i="59"/>
  <c r="Z326" i="59"/>
  <c r="Y326" i="59"/>
  <c r="Z366" i="59"/>
  <c r="X366" i="59"/>
  <c r="Y366" i="59"/>
  <c r="X358" i="59"/>
  <c r="Z361" i="59"/>
  <c r="X398" i="59"/>
  <c r="Z401" i="59"/>
  <c r="Y401" i="59"/>
  <c r="X405" i="59"/>
  <c r="Z406" i="59"/>
  <c r="Z408" i="59"/>
  <c r="AU47" i="4"/>
  <c r="AU45" i="4"/>
  <c r="AU43" i="4"/>
  <c r="AU41" i="4"/>
  <c r="AU48" i="4"/>
  <c r="AU46" i="4"/>
  <c r="AU42" i="4"/>
  <c r="AU40" i="4"/>
  <c r="BE47" i="4"/>
  <c r="BF47" i="4" s="1"/>
  <c r="BE45" i="4"/>
  <c r="BF45" i="4" s="1"/>
  <c r="BE43" i="4"/>
  <c r="BF43" i="4" s="1"/>
  <c r="BE41" i="4"/>
  <c r="BF41" i="4" s="1"/>
  <c r="AU39" i="4"/>
  <c r="BT9" i="69"/>
  <c r="BT47" i="69"/>
  <c r="BT43" i="69"/>
  <c r="BT39" i="69"/>
  <c r="BT35" i="69"/>
  <c r="BT31" i="69"/>
  <c r="BT27" i="69"/>
  <c r="BT23" i="69"/>
  <c r="BT19" i="69"/>
  <c r="BT15" i="69"/>
  <c r="BT11" i="69"/>
  <c r="BT45" i="69"/>
  <c r="BT41" i="69"/>
  <c r="BT37" i="69"/>
  <c r="BT33" i="69"/>
  <c r="BT29" i="69"/>
  <c r="BT25" i="69"/>
  <c r="BT21" i="69"/>
  <c r="BT17" i="69"/>
  <c r="BT13" i="69"/>
  <c r="BG9" i="69"/>
  <c r="AC45" i="67"/>
  <c r="AC43" i="67"/>
  <c r="AC41" i="67"/>
  <c r="AC48" i="67"/>
  <c r="AC47" i="67"/>
  <c r="AC46" i="67"/>
  <c r="AC44" i="67"/>
  <c r="AC42" i="67"/>
  <c r="AC40" i="67"/>
  <c r="AC39" i="67"/>
  <c r="AC38" i="67"/>
  <c r="AC37" i="67"/>
  <c r="AC36" i="67"/>
  <c r="AC35" i="67"/>
  <c r="AC34" i="67"/>
  <c r="AC33" i="67"/>
  <c r="AC32" i="67"/>
  <c r="AC31" i="67"/>
  <c r="AC30" i="67"/>
  <c r="L9" i="119"/>
  <c r="P9" i="119" s="1"/>
  <c r="L10" i="118"/>
  <c r="L11" i="118"/>
  <c r="L12" i="118"/>
  <c r="L13" i="118"/>
  <c r="L14" i="118"/>
  <c r="L15" i="118"/>
  <c r="L16" i="118"/>
  <c r="L17" i="118"/>
  <c r="L18" i="118"/>
  <c r="L19" i="118"/>
  <c r="L20" i="118"/>
  <c r="L21" i="118"/>
  <c r="L22" i="118"/>
  <c r="L23" i="118"/>
  <c r="L24" i="118"/>
  <c r="L25" i="118"/>
  <c r="L26" i="118"/>
  <c r="L27" i="118"/>
  <c r="L28" i="118"/>
  <c r="L29" i="118"/>
  <c r="L30" i="118"/>
  <c r="L31" i="118"/>
  <c r="L32" i="118"/>
  <c r="L33" i="118"/>
  <c r="L34" i="118"/>
  <c r="L35" i="118"/>
  <c r="L36" i="118"/>
  <c r="L37" i="118"/>
  <c r="L38" i="118"/>
  <c r="L39" i="118"/>
  <c r="L40" i="118"/>
  <c r="L41" i="118"/>
  <c r="L42" i="118"/>
  <c r="L43" i="118"/>
  <c r="L9" i="118"/>
  <c r="P9" i="118" s="1"/>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9" i="116"/>
  <c r="O43" i="120"/>
  <c r="N43" i="120"/>
  <c r="M43" i="120"/>
  <c r="L43" i="120"/>
  <c r="P43" i="120" s="1"/>
  <c r="B43" i="120"/>
  <c r="O42" i="120"/>
  <c r="N42" i="120"/>
  <c r="M42" i="120"/>
  <c r="L42" i="120"/>
  <c r="P42" i="120" s="1"/>
  <c r="B42" i="120"/>
  <c r="O41" i="120"/>
  <c r="N41" i="120"/>
  <c r="M41" i="120"/>
  <c r="L41" i="120"/>
  <c r="P41" i="120" s="1"/>
  <c r="B41" i="120"/>
  <c r="O40" i="120"/>
  <c r="N40" i="120"/>
  <c r="M40" i="120"/>
  <c r="L40" i="120"/>
  <c r="P40" i="120" s="1"/>
  <c r="B40" i="120"/>
  <c r="O39" i="120"/>
  <c r="N39" i="120"/>
  <c r="M39" i="120"/>
  <c r="L39" i="120"/>
  <c r="P39" i="120" s="1"/>
  <c r="B39" i="120"/>
  <c r="O38" i="120"/>
  <c r="N38" i="120"/>
  <c r="M38" i="120"/>
  <c r="L38" i="120"/>
  <c r="P38" i="120" s="1"/>
  <c r="B38" i="120"/>
  <c r="O37" i="120"/>
  <c r="N37" i="120"/>
  <c r="M37" i="120"/>
  <c r="L37" i="120"/>
  <c r="P37" i="120" s="1"/>
  <c r="B37" i="120"/>
  <c r="O36" i="120"/>
  <c r="N36" i="120"/>
  <c r="M36" i="120"/>
  <c r="L36" i="120"/>
  <c r="P36" i="120" s="1"/>
  <c r="B36" i="120"/>
  <c r="O35" i="120"/>
  <c r="N35" i="120"/>
  <c r="M35" i="120"/>
  <c r="L35" i="120"/>
  <c r="P35" i="120" s="1"/>
  <c r="B35" i="120"/>
  <c r="O34" i="120"/>
  <c r="N34" i="120"/>
  <c r="M34" i="120"/>
  <c r="L34" i="120"/>
  <c r="P34" i="120" s="1"/>
  <c r="B34" i="120"/>
  <c r="O33" i="120"/>
  <c r="N33" i="120"/>
  <c r="M33" i="120"/>
  <c r="L33" i="120"/>
  <c r="P33" i="120" s="1"/>
  <c r="B33" i="120"/>
  <c r="O32" i="120"/>
  <c r="N32" i="120"/>
  <c r="M32" i="120"/>
  <c r="L32" i="120"/>
  <c r="P32" i="120" s="1"/>
  <c r="B32" i="120"/>
  <c r="O31" i="120"/>
  <c r="N31" i="120"/>
  <c r="M31" i="120"/>
  <c r="L31" i="120"/>
  <c r="P31" i="120" s="1"/>
  <c r="B31" i="120"/>
  <c r="O30" i="120"/>
  <c r="N30" i="120"/>
  <c r="M30" i="120"/>
  <c r="L30" i="120"/>
  <c r="P30" i="120" s="1"/>
  <c r="B30" i="120"/>
  <c r="O29" i="120"/>
  <c r="N29" i="120"/>
  <c r="M29" i="120"/>
  <c r="L29" i="120"/>
  <c r="P29" i="120" s="1"/>
  <c r="B29" i="120"/>
  <c r="O28" i="120"/>
  <c r="N28" i="120"/>
  <c r="M28" i="120"/>
  <c r="L28" i="120"/>
  <c r="P28" i="120" s="1"/>
  <c r="B28" i="120"/>
  <c r="O27" i="120"/>
  <c r="N27" i="120"/>
  <c r="M27" i="120"/>
  <c r="L27" i="120"/>
  <c r="P27" i="120" s="1"/>
  <c r="B27" i="120"/>
  <c r="O26" i="120"/>
  <c r="N26" i="120"/>
  <c r="M26" i="120"/>
  <c r="L26" i="120"/>
  <c r="P26" i="120" s="1"/>
  <c r="B26" i="120"/>
  <c r="O25" i="120"/>
  <c r="N25" i="120"/>
  <c r="M25" i="120"/>
  <c r="L25" i="120"/>
  <c r="P25" i="120" s="1"/>
  <c r="B25" i="120"/>
  <c r="O24" i="120"/>
  <c r="N24" i="120"/>
  <c r="M24" i="120"/>
  <c r="L24" i="120"/>
  <c r="P24" i="120" s="1"/>
  <c r="B24" i="120"/>
  <c r="O23" i="120"/>
  <c r="N23" i="120"/>
  <c r="M23" i="120"/>
  <c r="L23" i="120"/>
  <c r="P23" i="120" s="1"/>
  <c r="B23" i="120"/>
  <c r="O22" i="120"/>
  <c r="N22" i="120"/>
  <c r="M22" i="120"/>
  <c r="L22" i="120"/>
  <c r="P22" i="120" s="1"/>
  <c r="B22" i="120"/>
  <c r="O21" i="120"/>
  <c r="N21" i="120"/>
  <c r="M21" i="120"/>
  <c r="L21" i="120"/>
  <c r="P21" i="120" s="1"/>
  <c r="B21" i="120"/>
  <c r="O20" i="120"/>
  <c r="N20" i="120"/>
  <c r="M20" i="120"/>
  <c r="L20" i="120"/>
  <c r="P20" i="120" s="1"/>
  <c r="B20" i="120"/>
  <c r="O19" i="120"/>
  <c r="N19" i="120"/>
  <c r="M19" i="120"/>
  <c r="L19" i="120"/>
  <c r="P19" i="120" s="1"/>
  <c r="B19" i="120"/>
  <c r="O18" i="120"/>
  <c r="N18" i="120"/>
  <c r="M18" i="120"/>
  <c r="L18" i="120"/>
  <c r="P18" i="120" s="1"/>
  <c r="B18" i="120"/>
  <c r="O17" i="120"/>
  <c r="N17" i="120"/>
  <c r="M17" i="120"/>
  <c r="L17" i="120"/>
  <c r="P17" i="120" s="1"/>
  <c r="B17" i="120"/>
  <c r="O16" i="120"/>
  <c r="N16" i="120"/>
  <c r="M16" i="120"/>
  <c r="L16" i="120"/>
  <c r="P16" i="120" s="1"/>
  <c r="B16" i="120"/>
  <c r="O15" i="120"/>
  <c r="N15" i="120"/>
  <c r="M15" i="120"/>
  <c r="L15" i="120"/>
  <c r="P15" i="120" s="1"/>
  <c r="B15" i="120"/>
  <c r="O14" i="120"/>
  <c r="N14" i="120"/>
  <c r="M14" i="120"/>
  <c r="L14" i="120"/>
  <c r="P14" i="120" s="1"/>
  <c r="B14" i="120"/>
  <c r="O13" i="120"/>
  <c r="N13" i="120"/>
  <c r="M13" i="120"/>
  <c r="L13" i="120"/>
  <c r="P13" i="120" s="1"/>
  <c r="B13" i="120"/>
  <c r="O12" i="120"/>
  <c r="N12" i="120"/>
  <c r="M12" i="120"/>
  <c r="L12" i="120"/>
  <c r="P12" i="120" s="1"/>
  <c r="B12" i="120"/>
  <c r="O11" i="120"/>
  <c r="N11" i="120"/>
  <c r="M11" i="120"/>
  <c r="L11" i="120"/>
  <c r="P11" i="120" s="1"/>
  <c r="B11" i="120"/>
  <c r="O10" i="120"/>
  <c r="N10" i="120"/>
  <c r="M10" i="120"/>
  <c r="L10" i="120"/>
  <c r="P10" i="120" s="1"/>
  <c r="B10" i="120"/>
  <c r="O9" i="120"/>
  <c r="N9" i="120"/>
  <c r="M9" i="120"/>
  <c r="L9" i="120"/>
  <c r="P9" i="120" s="1"/>
  <c r="B9" i="120"/>
  <c r="O43" i="119"/>
  <c r="N43" i="119"/>
  <c r="M43" i="119"/>
  <c r="L43" i="119"/>
  <c r="P43" i="119" s="1"/>
  <c r="B43" i="119"/>
  <c r="O42" i="119"/>
  <c r="N42" i="119"/>
  <c r="M42" i="119"/>
  <c r="L42" i="119"/>
  <c r="P42" i="119" s="1"/>
  <c r="B42" i="119"/>
  <c r="O41" i="119"/>
  <c r="N41" i="119"/>
  <c r="M41" i="119"/>
  <c r="L41" i="119"/>
  <c r="P41" i="119" s="1"/>
  <c r="B41" i="119"/>
  <c r="O40" i="119"/>
  <c r="N40" i="119"/>
  <c r="M40" i="119"/>
  <c r="L40" i="119"/>
  <c r="P40" i="119" s="1"/>
  <c r="B40" i="119"/>
  <c r="O39" i="119"/>
  <c r="N39" i="119"/>
  <c r="M39" i="119"/>
  <c r="L39" i="119"/>
  <c r="P39" i="119" s="1"/>
  <c r="B39" i="119"/>
  <c r="O38" i="119"/>
  <c r="N38" i="119"/>
  <c r="M38" i="119"/>
  <c r="L38" i="119"/>
  <c r="P38" i="119" s="1"/>
  <c r="B38" i="119"/>
  <c r="O37" i="119"/>
  <c r="N37" i="119"/>
  <c r="M37" i="119"/>
  <c r="L37" i="119"/>
  <c r="P37" i="119" s="1"/>
  <c r="B37" i="119"/>
  <c r="O36" i="119"/>
  <c r="N36" i="119"/>
  <c r="M36" i="119"/>
  <c r="L36" i="119"/>
  <c r="P36" i="119" s="1"/>
  <c r="B36" i="119"/>
  <c r="O35" i="119"/>
  <c r="N35" i="119"/>
  <c r="M35" i="119"/>
  <c r="L35" i="119"/>
  <c r="P35" i="119" s="1"/>
  <c r="B35" i="119"/>
  <c r="O34" i="119"/>
  <c r="N34" i="119"/>
  <c r="M34" i="119"/>
  <c r="L34" i="119"/>
  <c r="P34" i="119" s="1"/>
  <c r="B34" i="119"/>
  <c r="O33" i="119"/>
  <c r="N33" i="119"/>
  <c r="M33" i="119"/>
  <c r="L33" i="119"/>
  <c r="P33" i="119" s="1"/>
  <c r="B33" i="119"/>
  <c r="O32" i="119"/>
  <c r="N32" i="119"/>
  <c r="M32" i="119"/>
  <c r="L32" i="119"/>
  <c r="P32" i="119" s="1"/>
  <c r="B32" i="119"/>
  <c r="O31" i="119"/>
  <c r="N31" i="119"/>
  <c r="M31" i="119"/>
  <c r="L31" i="119"/>
  <c r="P31" i="119" s="1"/>
  <c r="B31" i="119"/>
  <c r="O30" i="119"/>
  <c r="N30" i="119"/>
  <c r="M30" i="119"/>
  <c r="L30" i="119"/>
  <c r="P30" i="119" s="1"/>
  <c r="B30" i="119"/>
  <c r="O29" i="119"/>
  <c r="N29" i="119"/>
  <c r="M29" i="119"/>
  <c r="L29" i="119"/>
  <c r="P29" i="119" s="1"/>
  <c r="B29" i="119"/>
  <c r="O28" i="119"/>
  <c r="N28" i="119"/>
  <c r="M28" i="119"/>
  <c r="L28" i="119"/>
  <c r="P28" i="119" s="1"/>
  <c r="B28" i="119"/>
  <c r="O27" i="119"/>
  <c r="N27" i="119"/>
  <c r="M27" i="119"/>
  <c r="L27" i="119"/>
  <c r="P27" i="119" s="1"/>
  <c r="B27" i="119"/>
  <c r="O26" i="119"/>
  <c r="N26" i="119"/>
  <c r="M26" i="119"/>
  <c r="L26" i="119"/>
  <c r="P26" i="119" s="1"/>
  <c r="B26" i="119"/>
  <c r="O25" i="119"/>
  <c r="N25" i="119"/>
  <c r="M25" i="119"/>
  <c r="L25" i="119"/>
  <c r="P25" i="119" s="1"/>
  <c r="B25" i="119"/>
  <c r="O24" i="119"/>
  <c r="N24" i="119"/>
  <c r="M24" i="119"/>
  <c r="L24" i="119"/>
  <c r="P24" i="119" s="1"/>
  <c r="B24" i="119"/>
  <c r="O23" i="119"/>
  <c r="N23" i="119"/>
  <c r="M23" i="119"/>
  <c r="L23" i="119"/>
  <c r="P23" i="119" s="1"/>
  <c r="B23" i="119"/>
  <c r="O22" i="119"/>
  <c r="N22" i="119"/>
  <c r="M22" i="119"/>
  <c r="L22" i="119"/>
  <c r="P22" i="119" s="1"/>
  <c r="B22" i="119"/>
  <c r="O21" i="119"/>
  <c r="N21" i="119"/>
  <c r="M21" i="119"/>
  <c r="L21" i="119"/>
  <c r="P21" i="119" s="1"/>
  <c r="B21" i="119"/>
  <c r="O20" i="119"/>
  <c r="N20" i="119"/>
  <c r="M20" i="119"/>
  <c r="L20" i="119"/>
  <c r="P20" i="119" s="1"/>
  <c r="B20" i="119"/>
  <c r="O19" i="119"/>
  <c r="N19" i="119"/>
  <c r="M19" i="119"/>
  <c r="L19" i="119"/>
  <c r="P19" i="119" s="1"/>
  <c r="B19" i="119"/>
  <c r="O18" i="119"/>
  <c r="N18" i="119"/>
  <c r="M18" i="119"/>
  <c r="L18" i="119"/>
  <c r="P18" i="119" s="1"/>
  <c r="B18" i="119"/>
  <c r="O17" i="119"/>
  <c r="N17" i="119"/>
  <c r="M17" i="119"/>
  <c r="L17" i="119"/>
  <c r="P17" i="119" s="1"/>
  <c r="B17" i="119"/>
  <c r="O16" i="119"/>
  <c r="N16" i="119"/>
  <c r="M16" i="119"/>
  <c r="L16" i="119"/>
  <c r="P16" i="119" s="1"/>
  <c r="B16" i="119"/>
  <c r="O15" i="119"/>
  <c r="N15" i="119"/>
  <c r="M15" i="119"/>
  <c r="L15" i="119"/>
  <c r="P15" i="119" s="1"/>
  <c r="B15" i="119"/>
  <c r="O14" i="119"/>
  <c r="N14" i="119"/>
  <c r="M14" i="119"/>
  <c r="L14" i="119"/>
  <c r="P14" i="119" s="1"/>
  <c r="B14" i="119"/>
  <c r="O13" i="119"/>
  <c r="N13" i="119"/>
  <c r="M13" i="119"/>
  <c r="L13" i="119"/>
  <c r="P13" i="119" s="1"/>
  <c r="B13" i="119"/>
  <c r="O12" i="119"/>
  <c r="N12" i="119"/>
  <c r="M12" i="119"/>
  <c r="L12" i="119"/>
  <c r="P12" i="119" s="1"/>
  <c r="B12" i="119"/>
  <c r="O11" i="119"/>
  <c r="N11" i="119"/>
  <c r="M11" i="119"/>
  <c r="L11" i="119"/>
  <c r="P11" i="119" s="1"/>
  <c r="B11" i="119"/>
  <c r="O10" i="119"/>
  <c r="N10" i="119"/>
  <c r="M10" i="119"/>
  <c r="L10" i="119"/>
  <c r="P10" i="119" s="1"/>
  <c r="B10" i="119"/>
  <c r="O9" i="119"/>
  <c r="N9" i="119"/>
  <c r="M9" i="119"/>
  <c r="B9" i="119"/>
  <c r="O43" i="118"/>
  <c r="N43" i="118"/>
  <c r="M43" i="118"/>
  <c r="P43" i="118"/>
  <c r="B43" i="118"/>
  <c r="O42" i="118"/>
  <c r="N42" i="118"/>
  <c r="M42" i="118"/>
  <c r="P42" i="118"/>
  <c r="B42" i="118"/>
  <c r="O41" i="118"/>
  <c r="N41" i="118"/>
  <c r="M41" i="118"/>
  <c r="P41" i="118"/>
  <c r="B41" i="118"/>
  <c r="O40" i="118"/>
  <c r="N40" i="118"/>
  <c r="M40" i="118"/>
  <c r="P40" i="118"/>
  <c r="B40" i="118"/>
  <c r="O39" i="118"/>
  <c r="N39" i="118"/>
  <c r="M39" i="118"/>
  <c r="P39" i="118"/>
  <c r="B39" i="118"/>
  <c r="O38" i="118"/>
  <c r="N38" i="118"/>
  <c r="M38" i="118"/>
  <c r="P38" i="118"/>
  <c r="B38" i="118"/>
  <c r="O37" i="118"/>
  <c r="N37" i="118"/>
  <c r="M37" i="118"/>
  <c r="P37" i="118"/>
  <c r="B37" i="118"/>
  <c r="O36" i="118"/>
  <c r="N36" i="118"/>
  <c r="M36" i="118"/>
  <c r="P36" i="118"/>
  <c r="B36" i="118"/>
  <c r="O35" i="118"/>
  <c r="N35" i="118"/>
  <c r="M35" i="118"/>
  <c r="P35" i="118"/>
  <c r="B35" i="118"/>
  <c r="O34" i="118"/>
  <c r="N34" i="118"/>
  <c r="M34" i="118"/>
  <c r="P34" i="118"/>
  <c r="B34" i="118"/>
  <c r="O33" i="118"/>
  <c r="N33" i="118"/>
  <c r="M33" i="118"/>
  <c r="P33" i="118"/>
  <c r="B33" i="118"/>
  <c r="O32" i="118"/>
  <c r="N32" i="118"/>
  <c r="M32" i="118"/>
  <c r="P32" i="118"/>
  <c r="B32" i="118"/>
  <c r="O31" i="118"/>
  <c r="N31" i="118"/>
  <c r="M31" i="118"/>
  <c r="P31" i="118"/>
  <c r="B31" i="118"/>
  <c r="O30" i="118"/>
  <c r="N30" i="118"/>
  <c r="M30" i="118"/>
  <c r="P30" i="118"/>
  <c r="B30" i="118"/>
  <c r="O29" i="118"/>
  <c r="N29" i="118"/>
  <c r="M29" i="118"/>
  <c r="P29" i="118"/>
  <c r="B29" i="118"/>
  <c r="O28" i="118"/>
  <c r="N28" i="118"/>
  <c r="M28" i="118"/>
  <c r="P28" i="118"/>
  <c r="B28" i="118"/>
  <c r="O27" i="118"/>
  <c r="N27" i="118"/>
  <c r="M27" i="118"/>
  <c r="P27" i="118"/>
  <c r="B27" i="118"/>
  <c r="O26" i="118"/>
  <c r="N26" i="118"/>
  <c r="M26" i="118"/>
  <c r="P26" i="118"/>
  <c r="B26" i="118"/>
  <c r="O25" i="118"/>
  <c r="N25" i="118"/>
  <c r="M25" i="118"/>
  <c r="P25" i="118"/>
  <c r="B25" i="118"/>
  <c r="O24" i="118"/>
  <c r="N24" i="118"/>
  <c r="M24" i="118"/>
  <c r="P24" i="118"/>
  <c r="B24" i="118"/>
  <c r="O23" i="118"/>
  <c r="N23" i="118"/>
  <c r="M23" i="118"/>
  <c r="P23" i="118"/>
  <c r="B23" i="118"/>
  <c r="O22" i="118"/>
  <c r="N22" i="118"/>
  <c r="M22" i="118"/>
  <c r="P22" i="118"/>
  <c r="B22" i="118"/>
  <c r="O21" i="118"/>
  <c r="N21" i="118"/>
  <c r="M21" i="118"/>
  <c r="P21" i="118"/>
  <c r="B21" i="118"/>
  <c r="O20" i="118"/>
  <c r="N20" i="118"/>
  <c r="M20" i="118"/>
  <c r="P20" i="118"/>
  <c r="B20" i="118"/>
  <c r="O19" i="118"/>
  <c r="N19" i="118"/>
  <c r="M19" i="118"/>
  <c r="P19" i="118"/>
  <c r="B19" i="118"/>
  <c r="O18" i="118"/>
  <c r="N18" i="118"/>
  <c r="M18" i="118"/>
  <c r="P18" i="118"/>
  <c r="B18" i="118"/>
  <c r="O17" i="118"/>
  <c r="N17" i="118"/>
  <c r="M17" i="118"/>
  <c r="P17" i="118"/>
  <c r="B17" i="118"/>
  <c r="O16" i="118"/>
  <c r="N16" i="118"/>
  <c r="M16" i="118"/>
  <c r="P16" i="118"/>
  <c r="B16" i="118"/>
  <c r="O15" i="118"/>
  <c r="N15" i="118"/>
  <c r="M15" i="118"/>
  <c r="P15" i="118"/>
  <c r="B15" i="118"/>
  <c r="O14" i="118"/>
  <c r="N14" i="118"/>
  <c r="M14" i="118"/>
  <c r="P14" i="118"/>
  <c r="B14" i="118"/>
  <c r="O13" i="118"/>
  <c r="N13" i="118"/>
  <c r="M13" i="118"/>
  <c r="P13" i="118"/>
  <c r="B13" i="118"/>
  <c r="O12" i="118"/>
  <c r="N12" i="118"/>
  <c r="M12" i="118"/>
  <c r="P12" i="118"/>
  <c r="B12" i="118"/>
  <c r="O11" i="118"/>
  <c r="N11" i="118"/>
  <c r="M11" i="118"/>
  <c r="P11" i="118"/>
  <c r="B11" i="118"/>
  <c r="O10" i="118"/>
  <c r="N10" i="118"/>
  <c r="M10" i="118"/>
  <c r="P10" i="118"/>
  <c r="B10" i="118"/>
  <c r="O9" i="118"/>
  <c r="N9" i="118"/>
  <c r="M9" i="118"/>
  <c r="B9" i="118"/>
  <c r="BC45" i="4" l="1"/>
  <c r="J258" i="109"/>
  <c r="I258" i="109"/>
  <c r="I276" i="109"/>
  <c r="J276" i="109"/>
  <c r="J285" i="109"/>
  <c r="I285" i="109"/>
  <c r="I256" i="109"/>
  <c r="J256" i="109"/>
  <c r="I269" i="109"/>
  <c r="J269" i="109"/>
  <c r="I278" i="109"/>
  <c r="J278" i="109"/>
  <c r="H232" i="94"/>
  <c r="F235" i="94"/>
  <c r="H156" i="76" s="1"/>
  <c r="F238" i="109"/>
  <c r="E239" i="109"/>
  <c r="F266" i="109"/>
  <c r="E267" i="109"/>
  <c r="X407" i="59"/>
  <c r="BC48" i="4"/>
  <c r="X317" i="59"/>
  <c r="BC39" i="4"/>
  <c r="F224" i="109"/>
  <c r="E225" i="109"/>
  <c r="F259" i="109"/>
  <c r="E260" i="109"/>
  <c r="F245" i="109"/>
  <c r="E246" i="109"/>
  <c r="I135" i="76"/>
  <c r="J135" i="76"/>
  <c r="I151" i="76"/>
  <c r="H154" i="76"/>
  <c r="J151" i="76"/>
  <c r="H226" i="94"/>
  <c r="F229" i="94"/>
  <c r="H152" i="76" s="1"/>
  <c r="H274" i="109"/>
  <c r="J268" i="109"/>
  <c r="I268" i="109"/>
  <c r="C43" i="128" s="1"/>
  <c r="L43" i="128" s="1"/>
  <c r="I277" i="109"/>
  <c r="J277" i="109"/>
  <c r="I286" i="109"/>
  <c r="J286" i="109"/>
  <c r="I139" i="76"/>
  <c r="J139" i="76"/>
  <c r="I155" i="76"/>
  <c r="H158" i="76"/>
  <c r="J155" i="76"/>
  <c r="H238" i="94"/>
  <c r="F241" i="94"/>
  <c r="H160" i="76" s="1"/>
  <c r="H267" i="109"/>
  <c r="I261" i="109"/>
  <c r="C42" i="128" s="1"/>
  <c r="J261" i="109"/>
  <c r="J270" i="109"/>
  <c r="I270" i="109"/>
  <c r="J279" i="109"/>
  <c r="I279" i="109"/>
  <c r="BC42" i="4"/>
  <c r="I157" i="76"/>
  <c r="J157" i="76"/>
  <c r="BC47" i="4"/>
  <c r="F231" i="109"/>
  <c r="E232" i="109"/>
  <c r="F287" i="109"/>
  <c r="E288" i="109"/>
  <c r="F273" i="109"/>
  <c r="E274" i="109"/>
  <c r="H260" i="109"/>
  <c r="I254" i="109"/>
  <c r="C41" i="128" s="1"/>
  <c r="L41" i="128" s="1"/>
  <c r="J254" i="109"/>
  <c r="I262" i="109"/>
  <c r="J262" i="109"/>
  <c r="I271" i="109"/>
  <c r="J271" i="109"/>
  <c r="I153" i="76"/>
  <c r="J153" i="76"/>
  <c r="J264" i="109"/>
  <c r="I264" i="109"/>
  <c r="J283" i="109"/>
  <c r="I283" i="109"/>
  <c r="I161" i="76"/>
  <c r="J161" i="76"/>
  <c r="H220" i="94"/>
  <c r="F223" i="94"/>
  <c r="H148" i="76" s="1"/>
  <c r="H150" i="76" s="1"/>
  <c r="H244" i="94"/>
  <c r="F247" i="94"/>
  <c r="H164" i="76" s="1"/>
  <c r="F252" i="109"/>
  <c r="E253" i="109"/>
  <c r="F280" i="109"/>
  <c r="E281" i="109"/>
  <c r="J143" i="76"/>
  <c r="I143" i="76"/>
  <c r="I159" i="76"/>
  <c r="J159" i="76"/>
  <c r="H162" i="76"/>
  <c r="I255" i="109"/>
  <c r="J255" i="109"/>
  <c r="J263" i="109"/>
  <c r="I263" i="109"/>
  <c r="J272" i="109"/>
  <c r="I272" i="109"/>
  <c r="H288" i="109"/>
  <c r="I282" i="109"/>
  <c r="C45" i="128" s="1"/>
  <c r="J282" i="109"/>
  <c r="BC46" i="4"/>
  <c r="BC44" i="4"/>
  <c r="I131" i="76"/>
  <c r="J131" i="76"/>
  <c r="J147" i="76"/>
  <c r="I147" i="76"/>
  <c r="I163" i="76"/>
  <c r="J163" i="76"/>
  <c r="I257" i="109"/>
  <c r="J257" i="109"/>
  <c r="I265" i="109"/>
  <c r="J265" i="109"/>
  <c r="H281" i="109"/>
  <c r="I275" i="109"/>
  <c r="C44" i="128" s="1"/>
  <c r="L44" i="128" s="1"/>
  <c r="J275" i="109"/>
  <c r="I284" i="109"/>
  <c r="J284" i="109"/>
  <c r="J149" i="76"/>
  <c r="I149" i="76"/>
  <c r="J165" i="76"/>
  <c r="I165" i="76"/>
  <c r="W19" i="86"/>
  <c r="U19" i="86"/>
  <c r="V19" i="86"/>
  <c r="J26" i="147"/>
  <c r="K10" i="128" s="1"/>
  <c r="J38" i="147"/>
  <c r="K13" i="128" s="1"/>
  <c r="J42" i="147"/>
  <c r="K14" i="128" s="1"/>
  <c r="H42" i="147"/>
  <c r="H26" i="147"/>
  <c r="J18" i="147"/>
  <c r="K8" i="128" s="1"/>
  <c r="H38" i="147"/>
  <c r="J34" i="147"/>
  <c r="K12" i="128" s="1"/>
  <c r="J30" i="147"/>
  <c r="K11" i="128" s="1"/>
  <c r="J126" i="147"/>
  <c r="K35" i="128" s="1"/>
  <c r="H34" i="147"/>
  <c r="H18" i="147"/>
  <c r="H126" i="147"/>
  <c r="J86" i="147"/>
  <c r="K25" i="128" s="1"/>
  <c r="H46" i="147"/>
  <c r="H30" i="147"/>
  <c r="BD47" i="51"/>
  <c r="BD45" i="51"/>
  <c r="X386" i="59"/>
  <c r="X325" i="59"/>
  <c r="X381" i="59"/>
  <c r="Y407" i="59"/>
  <c r="Z341" i="59"/>
  <c r="Y317" i="59"/>
  <c r="Z407" i="59"/>
  <c r="Z321" i="59"/>
  <c r="Z317" i="59"/>
  <c r="X406" i="59"/>
  <c r="X365" i="59"/>
  <c r="X361" i="59"/>
  <c r="Y346" i="59"/>
  <c r="Y386" i="59"/>
  <c r="X321" i="59"/>
  <c r="Y313" i="59"/>
  <c r="Y318" i="59"/>
  <c r="X318" i="59"/>
  <c r="AU44" i="4"/>
  <c r="Y315" i="59"/>
  <c r="X368" i="59"/>
  <c r="Z368" i="59"/>
  <c r="Y368" i="59"/>
  <c r="X408" i="59"/>
  <c r="Y405" i="59"/>
  <c r="Y398" i="59"/>
  <c r="Z381" i="59"/>
  <c r="Z365" i="59"/>
  <c r="Z358" i="59"/>
  <c r="Z346" i="59"/>
  <c r="X341" i="59"/>
  <c r="Z325" i="59"/>
  <c r="Z318" i="59"/>
  <c r="Y352" i="59"/>
  <c r="X392" i="59"/>
  <c r="Z355" i="59"/>
  <c r="Y355" i="59"/>
  <c r="X355" i="59"/>
  <c r="Y395" i="59"/>
  <c r="Z395" i="59"/>
  <c r="X395" i="59"/>
  <c r="Y392" i="59"/>
  <c r="Y335" i="59"/>
  <c r="X335" i="59"/>
  <c r="Z335" i="59"/>
  <c r="Z375" i="59"/>
  <c r="Y375" i="59"/>
  <c r="X375" i="59"/>
  <c r="Y333" i="59"/>
  <c r="Z373" i="59"/>
  <c r="Y353" i="59"/>
  <c r="X393" i="59"/>
  <c r="Y393" i="59"/>
  <c r="Y373" i="59"/>
  <c r="H33" i="133"/>
  <c r="H105" i="133"/>
  <c r="H93" i="133"/>
  <c r="H21" i="133"/>
  <c r="H15" i="133"/>
  <c r="H117" i="133"/>
  <c r="H69" i="133"/>
  <c r="H45" i="133"/>
  <c r="V11" i="86"/>
  <c r="U11" i="86"/>
  <c r="W11" i="86"/>
  <c r="O43" i="116"/>
  <c r="N43" i="116"/>
  <c r="M43" i="116"/>
  <c r="P43" i="116"/>
  <c r="B43" i="116"/>
  <c r="O42" i="116"/>
  <c r="N42" i="116"/>
  <c r="M42" i="116"/>
  <c r="P42" i="116"/>
  <c r="B42" i="116"/>
  <c r="O41" i="116"/>
  <c r="N41" i="116"/>
  <c r="M41" i="116"/>
  <c r="P41" i="116"/>
  <c r="B41" i="116"/>
  <c r="O40" i="116"/>
  <c r="N40" i="116"/>
  <c r="M40" i="116"/>
  <c r="P40" i="116"/>
  <c r="B40" i="116"/>
  <c r="O39" i="116"/>
  <c r="N39" i="116"/>
  <c r="M39" i="116"/>
  <c r="P39" i="116"/>
  <c r="B39" i="116"/>
  <c r="O38" i="116"/>
  <c r="N38" i="116"/>
  <c r="M38" i="116"/>
  <c r="P38" i="116"/>
  <c r="B38" i="116"/>
  <c r="O37" i="116"/>
  <c r="N37" i="116"/>
  <c r="M37" i="116"/>
  <c r="P37" i="116"/>
  <c r="B37" i="116"/>
  <c r="O36" i="116"/>
  <c r="N36" i="116"/>
  <c r="M36" i="116"/>
  <c r="P36" i="116"/>
  <c r="B36" i="116"/>
  <c r="O35" i="116"/>
  <c r="N35" i="116"/>
  <c r="M35" i="116"/>
  <c r="P35" i="116"/>
  <c r="B35" i="116"/>
  <c r="O34" i="116"/>
  <c r="N34" i="116"/>
  <c r="M34" i="116"/>
  <c r="P34" i="116"/>
  <c r="B34" i="116"/>
  <c r="O33" i="116"/>
  <c r="N33" i="116"/>
  <c r="M33" i="116"/>
  <c r="P33" i="116"/>
  <c r="B33" i="116"/>
  <c r="O32" i="116"/>
  <c r="N32" i="116"/>
  <c r="M32" i="116"/>
  <c r="P32" i="116"/>
  <c r="B32" i="116"/>
  <c r="O31" i="116"/>
  <c r="N31" i="116"/>
  <c r="M31" i="116"/>
  <c r="P31" i="116"/>
  <c r="B31" i="116"/>
  <c r="O30" i="116"/>
  <c r="N30" i="116"/>
  <c r="M30" i="116"/>
  <c r="P30" i="116"/>
  <c r="B30" i="116"/>
  <c r="O29" i="116"/>
  <c r="N29" i="116"/>
  <c r="M29" i="116"/>
  <c r="P29" i="116"/>
  <c r="B29" i="116"/>
  <c r="O28" i="116"/>
  <c r="N28" i="116"/>
  <c r="M28" i="116"/>
  <c r="P28" i="116"/>
  <c r="B28" i="116"/>
  <c r="O27" i="116"/>
  <c r="N27" i="116"/>
  <c r="M27" i="116"/>
  <c r="P27" i="116"/>
  <c r="B27" i="116"/>
  <c r="O26" i="116"/>
  <c r="N26" i="116"/>
  <c r="M26" i="116"/>
  <c r="P26" i="116"/>
  <c r="B26" i="116"/>
  <c r="O25" i="116"/>
  <c r="N25" i="116"/>
  <c r="M25" i="116"/>
  <c r="P25" i="116"/>
  <c r="B25" i="116"/>
  <c r="O24" i="116"/>
  <c r="N24" i="116"/>
  <c r="M24" i="116"/>
  <c r="P24" i="116"/>
  <c r="B24" i="116"/>
  <c r="O23" i="116"/>
  <c r="N23" i="116"/>
  <c r="M23" i="116"/>
  <c r="P23" i="116"/>
  <c r="B23" i="116"/>
  <c r="O22" i="116"/>
  <c r="N22" i="116"/>
  <c r="M22" i="116"/>
  <c r="P22" i="116"/>
  <c r="B22" i="116"/>
  <c r="O21" i="116"/>
  <c r="N21" i="116"/>
  <c r="M21" i="116"/>
  <c r="P21" i="116"/>
  <c r="B21" i="116"/>
  <c r="O20" i="116"/>
  <c r="N20" i="116"/>
  <c r="M20" i="116"/>
  <c r="P20" i="116"/>
  <c r="B20" i="116"/>
  <c r="O19" i="116"/>
  <c r="N19" i="116"/>
  <c r="M19" i="116"/>
  <c r="P19" i="116"/>
  <c r="B19" i="116"/>
  <c r="O18" i="116"/>
  <c r="N18" i="116"/>
  <c r="M18" i="116"/>
  <c r="P18" i="116"/>
  <c r="B18" i="116"/>
  <c r="O17" i="116"/>
  <c r="N17" i="116"/>
  <c r="M17" i="116"/>
  <c r="P17" i="116"/>
  <c r="B17" i="116"/>
  <c r="O16" i="116"/>
  <c r="N16" i="116"/>
  <c r="M16" i="116"/>
  <c r="P16" i="116"/>
  <c r="B16" i="116"/>
  <c r="O15" i="116"/>
  <c r="N15" i="116"/>
  <c r="M15" i="116"/>
  <c r="P15" i="116"/>
  <c r="B15" i="116"/>
  <c r="O14" i="116"/>
  <c r="N14" i="116"/>
  <c r="M14" i="116"/>
  <c r="P14" i="116"/>
  <c r="B14" i="116"/>
  <c r="O13" i="116"/>
  <c r="N13" i="116"/>
  <c r="M13" i="116"/>
  <c r="P13" i="116"/>
  <c r="B13" i="116"/>
  <c r="O12" i="116"/>
  <c r="N12" i="116"/>
  <c r="M12" i="116"/>
  <c r="P12" i="116"/>
  <c r="B12" i="116"/>
  <c r="O11" i="116"/>
  <c r="N11" i="116"/>
  <c r="M11" i="116"/>
  <c r="P11" i="116"/>
  <c r="B11" i="116"/>
  <c r="O10" i="116"/>
  <c r="N10" i="116"/>
  <c r="M10" i="116"/>
  <c r="P10" i="116"/>
  <c r="B10" i="116"/>
  <c r="O9" i="116"/>
  <c r="N9" i="116"/>
  <c r="M9" i="116"/>
  <c r="P9" i="116"/>
  <c r="B9" i="116"/>
  <c r="I51" i="112"/>
  <c r="S43" i="112"/>
  <c r="S42" i="112"/>
  <c r="S41" i="112"/>
  <c r="S40" i="112"/>
  <c r="S39" i="112"/>
  <c r="S38" i="112"/>
  <c r="S37" i="112"/>
  <c r="S36" i="112"/>
  <c r="S35" i="112"/>
  <c r="S34" i="112"/>
  <c r="S33" i="112"/>
  <c r="S32" i="112"/>
  <c r="S31" i="112"/>
  <c r="S30" i="112"/>
  <c r="S29" i="112"/>
  <c r="S28" i="112"/>
  <c r="S27" i="112"/>
  <c r="S26" i="112"/>
  <c r="S25" i="112"/>
  <c r="S24" i="112"/>
  <c r="S23" i="112"/>
  <c r="S22" i="112"/>
  <c r="S21" i="112"/>
  <c r="S20" i="112"/>
  <c r="S19" i="112"/>
  <c r="S18" i="112"/>
  <c r="S17" i="112"/>
  <c r="S16" i="112"/>
  <c r="S15" i="112"/>
  <c r="S14" i="112"/>
  <c r="S13" i="112"/>
  <c r="S12" i="112"/>
  <c r="S11" i="112"/>
  <c r="S10" i="112"/>
  <c r="S9" i="112"/>
  <c r="S8" i="112"/>
  <c r="S7" i="112"/>
  <c r="S6" i="112"/>
  <c r="S5" i="112"/>
  <c r="U4" i="112"/>
  <c r="V287" i="74" s="1"/>
  <c r="S4" i="112"/>
  <c r="I90" i="111"/>
  <c r="B90" i="111"/>
  <c r="I89" i="111"/>
  <c r="B89" i="111"/>
  <c r="I88" i="111"/>
  <c r="B88" i="111"/>
  <c r="I87" i="111"/>
  <c r="B87" i="111"/>
  <c r="I86" i="111"/>
  <c r="B86" i="111"/>
  <c r="I85" i="111"/>
  <c r="B85" i="111"/>
  <c r="I84" i="111"/>
  <c r="B84" i="111"/>
  <c r="I83" i="111"/>
  <c r="B83" i="111"/>
  <c r="I82" i="111"/>
  <c r="B82" i="111"/>
  <c r="I81" i="111"/>
  <c r="B81" i="111"/>
  <c r="I80" i="111"/>
  <c r="B80" i="111"/>
  <c r="I79" i="111"/>
  <c r="B79" i="111"/>
  <c r="I78" i="111"/>
  <c r="B78" i="111"/>
  <c r="I77" i="111"/>
  <c r="B77" i="111"/>
  <c r="I76" i="111"/>
  <c r="B76" i="111"/>
  <c r="I75" i="111"/>
  <c r="B75" i="111"/>
  <c r="I74" i="111"/>
  <c r="B74" i="111"/>
  <c r="I73" i="111"/>
  <c r="B73" i="111"/>
  <c r="I72" i="111"/>
  <c r="B72" i="111"/>
  <c r="I71" i="111"/>
  <c r="B71" i="111"/>
  <c r="I70" i="111"/>
  <c r="B70" i="111"/>
  <c r="I69" i="111"/>
  <c r="B69" i="111"/>
  <c r="I68" i="111"/>
  <c r="B68" i="111"/>
  <c r="I67" i="111"/>
  <c r="B67" i="111"/>
  <c r="I66" i="111"/>
  <c r="B66" i="111"/>
  <c r="I65" i="111"/>
  <c r="B65" i="111"/>
  <c r="I64" i="111"/>
  <c r="B64" i="111"/>
  <c r="I63" i="111"/>
  <c r="B63" i="111"/>
  <c r="I62" i="111"/>
  <c r="B62" i="111"/>
  <c r="I61" i="111"/>
  <c r="B61" i="111"/>
  <c r="I60" i="111"/>
  <c r="B60" i="111"/>
  <c r="I59" i="111"/>
  <c r="B59" i="111"/>
  <c r="I58" i="111"/>
  <c r="B58" i="111"/>
  <c r="I57" i="111"/>
  <c r="B57" i="111"/>
  <c r="I56" i="111"/>
  <c r="B56" i="111"/>
  <c r="I55" i="111"/>
  <c r="B55" i="111"/>
  <c r="I54" i="111"/>
  <c r="B54" i="111"/>
  <c r="I53" i="111"/>
  <c r="B53" i="111"/>
  <c r="I52" i="111"/>
  <c r="B52" i="111"/>
  <c r="I51" i="111"/>
  <c r="G51" i="111"/>
  <c r="B51" i="111"/>
  <c r="Q43" i="111"/>
  <c r="O43" i="111"/>
  <c r="I43" i="111"/>
  <c r="P43" i="111"/>
  <c r="B43" i="111"/>
  <c r="Q42" i="111"/>
  <c r="O42" i="111"/>
  <c r="I42" i="111"/>
  <c r="B42" i="111"/>
  <c r="Q41" i="111"/>
  <c r="O41" i="111"/>
  <c r="I41" i="111"/>
  <c r="P41" i="111"/>
  <c r="B41" i="111"/>
  <c r="Q40" i="111"/>
  <c r="O40" i="111"/>
  <c r="I40" i="111"/>
  <c r="B40" i="111"/>
  <c r="Q39" i="111"/>
  <c r="O39" i="111"/>
  <c r="I39" i="111"/>
  <c r="P39" i="111"/>
  <c r="B39" i="111"/>
  <c r="Q38" i="111"/>
  <c r="O38" i="111"/>
  <c r="I38" i="111"/>
  <c r="B38" i="111"/>
  <c r="Q37" i="111"/>
  <c r="O37" i="111"/>
  <c r="I37" i="111"/>
  <c r="P37" i="111"/>
  <c r="B37" i="111"/>
  <c r="Q36" i="111"/>
  <c r="O36" i="111"/>
  <c r="I36" i="111"/>
  <c r="B36" i="111"/>
  <c r="Q35" i="111"/>
  <c r="O35" i="111"/>
  <c r="I35" i="111"/>
  <c r="P35" i="111"/>
  <c r="B35" i="111"/>
  <c r="Q34" i="111"/>
  <c r="O34" i="111"/>
  <c r="I34" i="111"/>
  <c r="B34" i="111"/>
  <c r="Q33" i="111"/>
  <c r="O33" i="111"/>
  <c r="I33" i="111"/>
  <c r="P33" i="111"/>
  <c r="B33" i="111"/>
  <c r="Q32" i="111"/>
  <c r="O32" i="111"/>
  <c r="I32" i="111"/>
  <c r="B32" i="111"/>
  <c r="Q31" i="111"/>
  <c r="O31" i="111"/>
  <c r="I31" i="111"/>
  <c r="P31" i="111"/>
  <c r="B31" i="111"/>
  <c r="Q30" i="111"/>
  <c r="O30" i="111"/>
  <c r="I30" i="111"/>
  <c r="B30" i="111"/>
  <c r="Q29" i="111"/>
  <c r="O29" i="111"/>
  <c r="I29" i="111"/>
  <c r="P29" i="111"/>
  <c r="B29" i="111"/>
  <c r="Q28" i="111"/>
  <c r="O28" i="111"/>
  <c r="I28" i="111"/>
  <c r="B28" i="111"/>
  <c r="Q27" i="111"/>
  <c r="O27" i="111"/>
  <c r="I27" i="111"/>
  <c r="P27" i="111"/>
  <c r="B27" i="111"/>
  <c r="Q26" i="111"/>
  <c r="O26" i="111"/>
  <c r="I26" i="111"/>
  <c r="B26" i="111"/>
  <c r="Q25" i="111"/>
  <c r="O25" i="111"/>
  <c r="I25" i="111"/>
  <c r="P25" i="111"/>
  <c r="B25" i="111"/>
  <c r="Q24" i="111"/>
  <c r="O24" i="111"/>
  <c r="I24" i="111"/>
  <c r="B24" i="111"/>
  <c r="Q23" i="111"/>
  <c r="O23" i="111"/>
  <c r="I23" i="111"/>
  <c r="P23" i="111"/>
  <c r="B23" i="111"/>
  <c r="Q22" i="111"/>
  <c r="O22" i="111"/>
  <c r="I22" i="111"/>
  <c r="B22" i="111"/>
  <c r="Q21" i="111"/>
  <c r="O21" i="111"/>
  <c r="I21" i="111"/>
  <c r="P21" i="111"/>
  <c r="B21" i="111"/>
  <c r="Q20" i="111"/>
  <c r="O20" i="111"/>
  <c r="I20" i="111"/>
  <c r="B20" i="111"/>
  <c r="Q19" i="111"/>
  <c r="O19" i="111"/>
  <c r="I19" i="111"/>
  <c r="P19" i="111"/>
  <c r="B19" i="111"/>
  <c r="Q18" i="111"/>
  <c r="O18" i="111"/>
  <c r="I18" i="111"/>
  <c r="B18" i="111"/>
  <c r="Q17" i="111"/>
  <c r="O17" i="111"/>
  <c r="I17" i="111"/>
  <c r="P17" i="111"/>
  <c r="B17" i="111"/>
  <c r="Q16" i="111"/>
  <c r="O16" i="111"/>
  <c r="I16" i="111"/>
  <c r="B16" i="111"/>
  <c r="Q15" i="111"/>
  <c r="O15" i="111"/>
  <c r="I15" i="111"/>
  <c r="P15" i="111"/>
  <c r="B15" i="111"/>
  <c r="Q14" i="111"/>
  <c r="O14" i="111"/>
  <c r="I14" i="111"/>
  <c r="B14" i="111"/>
  <c r="Q13" i="111"/>
  <c r="O13" i="111"/>
  <c r="I13" i="111"/>
  <c r="P13" i="111"/>
  <c r="B13" i="111"/>
  <c r="Q12" i="111"/>
  <c r="O12" i="111"/>
  <c r="I12" i="111"/>
  <c r="B12" i="111"/>
  <c r="Q11" i="111"/>
  <c r="O11" i="111"/>
  <c r="I11" i="111"/>
  <c r="P11" i="111"/>
  <c r="B11" i="111"/>
  <c r="Q10" i="111"/>
  <c r="O10" i="111"/>
  <c r="I10" i="111"/>
  <c r="B10" i="111"/>
  <c r="Q9" i="111"/>
  <c r="O9" i="111"/>
  <c r="I9" i="111"/>
  <c r="P9" i="111"/>
  <c r="B9" i="111"/>
  <c r="Q8" i="111"/>
  <c r="O8" i="111"/>
  <c r="I8" i="111"/>
  <c r="B8" i="111"/>
  <c r="Q7" i="111"/>
  <c r="O7" i="111"/>
  <c r="I7" i="111"/>
  <c r="P7" i="111"/>
  <c r="B7" i="111"/>
  <c r="Q6" i="111"/>
  <c r="O6" i="111"/>
  <c r="I6" i="111"/>
  <c r="B6" i="111"/>
  <c r="Q5" i="111"/>
  <c r="O5" i="111"/>
  <c r="I5" i="111"/>
  <c r="B5" i="111"/>
  <c r="Q4" i="111"/>
  <c r="V339" i="74" s="1"/>
  <c r="O4" i="111"/>
  <c r="I4" i="111"/>
  <c r="B4" i="111"/>
  <c r="M165" i="76" l="1"/>
  <c r="L165" i="76"/>
  <c r="K165" i="76"/>
  <c r="K265" i="109"/>
  <c r="L265" i="109"/>
  <c r="M265" i="109"/>
  <c r="M163" i="76"/>
  <c r="K163" i="76"/>
  <c r="L163" i="76"/>
  <c r="I259" i="109"/>
  <c r="J259" i="109"/>
  <c r="I266" i="109"/>
  <c r="J266" i="109"/>
  <c r="K258" i="109"/>
  <c r="L258" i="109"/>
  <c r="M258" i="109"/>
  <c r="M149" i="76"/>
  <c r="K149" i="76"/>
  <c r="L149" i="76"/>
  <c r="L257" i="109"/>
  <c r="M257" i="109"/>
  <c r="K257" i="109"/>
  <c r="M131" i="76"/>
  <c r="K131" i="76"/>
  <c r="L131" i="76"/>
  <c r="M255" i="109"/>
  <c r="K255" i="109"/>
  <c r="L255" i="109"/>
  <c r="J164" i="76"/>
  <c r="I164" i="76"/>
  <c r="M161" i="76"/>
  <c r="K161" i="76"/>
  <c r="L161" i="76"/>
  <c r="K271" i="109"/>
  <c r="L271" i="109"/>
  <c r="M271" i="109"/>
  <c r="L254" i="109"/>
  <c r="M254" i="109"/>
  <c r="J260" i="109"/>
  <c r="K254" i="109"/>
  <c r="I273" i="109"/>
  <c r="J273" i="109"/>
  <c r="L270" i="109"/>
  <c r="M270" i="109"/>
  <c r="K270" i="109"/>
  <c r="J160" i="76"/>
  <c r="I160" i="76"/>
  <c r="L286" i="109"/>
  <c r="K286" i="109"/>
  <c r="M286" i="109"/>
  <c r="K153" i="76"/>
  <c r="L153" i="76"/>
  <c r="M153" i="76"/>
  <c r="L157" i="76"/>
  <c r="K157" i="76"/>
  <c r="M157" i="76"/>
  <c r="M279" i="109"/>
  <c r="K279" i="109"/>
  <c r="L279" i="109"/>
  <c r="J158" i="76"/>
  <c r="M155" i="76"/>
  <c r="K155" i="76"/>
  <c r="L155" i="76"/>
  <c r="M277" i="109"/>
  <c r="K277" i="109"/>
  <c r="L277" i="109"/>
  <c r="K284" i="109"/>
  <c r="L284" i="109"/>
  <c r="M284" i="109"/>
  <c r="M282" i="109"/>
  <c r="K282" i="109"/>
  <c r="L282" i="109"/>
  <c r="M272" i="109"/>
  <c r="K272" i="109"/>
  <c r="L272" i="109"/>
  <c r="I280" i="109"/>
  <c r="J280" i="109"/>
  <c r="L264" i="109"/>
  <c r="M264" i="109"/>
  <c r="K264" i="109"/>
  <c r="L261" i="109"/>
  <c r="M261" i="109"/>
  <c r="K261" i="109"/>
  <c r="M139" i="76"/>
  <c r="K139" i="76"/>
  <c r="L139" i="76"/>
  <c r="J274" i="109"/>
  <c r="M268" i="109"/>
  <c r="K268" i="109"/>
  <c r="L268" i="109"/>
  <c r="L151" i="76"/>
  <c r="M151" i="76"/>
  <c r="K151" i="76"/>
  <c r="L135" i="76"/>
  <c r="M135" i="76"/>
  <c r="K135" i="76"/>
  <c r="I156" i="76"/>
  <c r="J156" i="76"/>
  <c r="L269" i="109"/>
  <c r="M269" i="109"/>
  <c r="K269" i="109"/>
  <c r="I148" i="76"/>
  <c r="J148" i="76"/>
  <c r="K262" i="109"/>
  <c r="M262" i="109"/>
  <c r="L262" i="109"/>
  <c r="J287" i="109"/>
  <c r="I287" i="109"/>
  <c r="M285" i="109"/>
  <c r="K285" i="109"/>
  <c r="L285" i="109"/>
  <c r="M275" i="109"/>
  <c r="K275" i="109"/>
  <c r="L275" i="109"/>
  <c r="J281" i="109"/>
  <c r="H166" i="76"/>
  <c r="K147" i="76"/>
  <c r="L147" i="76"/>
  <c r="J150" i="76"/>
  <c r="M147" i="76"/>
  <c r="L263" i="109"/>
  <c r="M263" i="109"/>
  <c r="K263" i="109"/>
  <c r="M159" i="76"/>
  <c r="K159" i="76"/>
  <c r="L159" i="76"/>
  <c r="J162" i="76"/>
  <c r="K143" i="76"/>
  <c r="L143" i="76"/>
  <c r="M143" i="76"/>
  <c r="M283" i="109"/>
  <c r="L283" i="109"/>
  <c r="K283" i="109"/>
  <c r="J152" i="76"/>
  <c r="I152" i="76"/>
  <c r="K278" i="109"/>
  <c r="L278" i="109"/>
  <c r="M278" i="109"/>
  <c r="L256" i="109"/>
  <c r="K256" i="109"/>
  <c r="M256" i="109"/>
  <c r="L276" i="109"/>
  <c r="M276" i="109"/>
  <c r="K276" i="109"/>
  <c r="L126" i="147"/>
  <c r="K126" i="147"/>
  <c r="M126" i="147"/>
  <c r="M30" i="147"/>
  <c r="K30" i="147"/>
  <c r="L30" i="147"/>
  <c r="L38" i="147"/>
  <c r="M38" i="147"/>
  <c r="K38" i="147"/>
  <c r="M86" i="147"/>
  <c r="K86" i="147"/>
  <c r="L86" i="147"/>
  <c r="M26" i="147"/>
  <c r="K26" i="147"/>
  <c r="L26" i="147"/>
  <c r="L34" i="147"/>
  <c r="M34" i="147"/>
  <c r="K34" i="147"/>
  <c r="J46" i="147"/>
  <c r="K15" i="128" s="1"/>
  <c r="J166" i="147"/>
  <c r="K45" i="128" s="1"/>
  <c r="L18" i="147"/>
  <c r="M18" i="147"/>
  <c r="K18" i="147"/>
  <c r="M42" i="147"/>
  <c r="K42" i="147"/>
  <c r="L42" i="147"/>
  <c r="X333" i="59"/>
  <c r="Z353" i="59"/>
  <c r="Z392" i="59"/>
  <c r="X353" i="59"/>
  <c r="Z393" i="59"/>
  <c r="X373" i="59"/>
  <c r="Y312" i="59"/>
  <c r="Z312" i="59"/>
  <c r="X312" i="59"/>
  <c r="Z315" i="59"/>
  <c r="X315" i="59"/>
  <c r="Z352" i="59"/>
  <c r="X377" i="59"/>
  <c r="Z377" i="59"/>
  <c r="Y377" i="59"/>
  <c r="Y316" i="59"/>
  <c r="Z316" i="59"/>
  <c r="X316" i="59"/>
  <c r="Y337" i="59"/>
  <c r="X337" i="59"/>
  <c r="Z337" i="59"/>
  <c r="Z333" i="59"/>
  <c r="Z364" i="59"/>
  <c r="Y364" i="59"/>
  <c r="X364" i="59"/>
  <c r="Y378" i="59"/>
  <c r="Z378" i="59"/>
  <c r="X378" i="59"/>
  <c r="Z384" i="59"/>
  <c r="Y384" i="59"/>
  <c r="X384" i="59"/>
  <c r="X352" i="59"/>
  <c r="Y328" i="59"/>
  <c r="X328" i="59"/>
  <c r="Z328" i="59"/>
  <c r="Y344" i="59"/>
  <c r="X344" i="59"/>
  <c r="Z344" i="59"/>
  <c r="Y338" i="59"/>
  <c r="X338" i="59"/>
  <c r="Z338" i="59"/>
  <c r="Y387" i="59"/>
  <c r="X387" i="59"/>
  <c r="Z387" i="59"/>
  <c r="Y367" i="59"/>
  <c r="X367" i="59"/>
  <c r="Z367" i="59"/>
  <c r="Y327" i="59"/>
  <c r="X327" i="59"/>
  <c r="Z327" i="59"/>
  <c r="Y397" i="59"/>
  <c r="X397" i="59"/>
  <c r="Z397" i="59"/>
  <c r="Y331" i="59"/>
  <c r="Z331" i="59"/>
  <c r="X331" i="59"/>
  <c r="Y347" i="59"/>
  <c r="X347" i="59"/>
  <c r="Z347" i="59"/>
  <c r="X371" i="59"/>
  <c r="Z371" i="59"/>
  <c r="Y371" i="59"/>
  <c r="X357" i="59"/>
  <c r="Z357" i="59"/>
  <c r="Y357" i="59"/>
  <c r="Y404" i="59"/>
  <c r="X404" i="59"/>
  <c r="Z404" i="59"/>
  <c r="Y385" i="59"/>
  <c r="Z385" i="59"/>
  <c r="X385" i="59"/>
  <c r="X380" i="59"/>
  <c r="Z380" i="59"/>
  <c r="Y380" i="59"/>
  <c r="Z360" i="59"/>
  <c r="Y360" i="59"/>
  <c r="X360" i="59"/>
  <c r="Y340" i="59"/>
  <c r="X340" i="59"/>
  <c r="Z340" i="59"/>
  <c r="Y345" i="59"/>
  <c r="X345" i="59"/>
  <c r="Z345" i="59"/>
  <c r="Z324" i="59"/>
  <c r="Y324" i="59"/>
  <c r="X324" i="59"/>
  <c r="Y314" i="59"/>
  <c r="Z314" i="59"/>
  <c r="X314" i="59"/>
  <c r="Z320" i="59"/>
  <c r="Y320" i="59"/>
  <c r="X320" i="59"/>
  <c r="Y372" i="59"/>
  <c r="Z372" i="59"/>
  <c r="X372" i="59"/>
  <c r="Y332" i="59"/>
  <c r="Z332" i="59"/>
  <c r="X332" i="59"/>
  <c r="Z390" i="59"/>
  <c r="Y390" i="59"/>
  <c r="X390" i="59"/>
  <c r="Z350" i="59"/>
  <c r="Y350" i="59"/>
  <c r="X350" i="59"/>
  <c r="Y402" i="59"/>
  <c r="X402" i="59"/>
  <c r="Z402" i="59"/>
  <c r="Z370" i="59"/>
  <c r="X370" i="59"/>
  <c r="Y370" i="59"/>
  <c r="Z388" i="59"/>
  <c r="Y388" i="59"/>
  <c r="X388" i="59"/>
  <c r="X348" i="59"/>
  <c r="Z348" i="59"/>
  <c r="Y348" i="59"/>
  <c r="X382" i="59"/>
  <c r="Z382" i="59"/>
  <c r="Y382" i="59"/>
  <c r="X310" i="59"/>
  <c r="Z310" i="59"/>
  <c r="Y310" i="59"/>
  <c r="X400" i="59"/>
  <c r="Z400" i="59"/>
  <c r="Y400" i="59"/>
  <c r="Y342" i="59"/>
  <c r="X342" i="59"/>
  <c r="Z342" i="59"/>
  <c r="Z322" i="59"/>
  <c r="Y322" i="59"/>
  <c r="X322" i="59"/>
  <c r="Z362" i="59"/>
  <c r="Y362" i="59"/>
  <c r="X362" i="59"/>
  <c r="Y330" i="59"/>
  <c r="X330" i="59"/>
  <c r="Z330" i="59"/>
  <c r="C38" i="130" s="1"/>
  <c r="Y394" i="59"/>
  <c r="Z394" i="59"/>
  <c r="X394" i="59"/>
  <c r="Y334" i="59"/>
  <c r="Z334" i="59"/>
  <c r="X334" i="59"/>
  <c r="Y343" i="59"/>
  <c r="X343" i="59"/>
  <c r="C39" i="130"/>
  <c r="Z343" i="59"/>
  <c r="Y354" i="59"/>
  <c r="X354" i="59"/>
  <c r="Z354" i="59"/>
  <c r="Y363" i="59"/>
  <c r="C41" i="130"/>
  <c r="Z363" i="59"/>
  <c r="X363" i="59"/>
  <c r="X391" i="59"/>
  <c r="Z391" i="59"/>
  <c r="Y391" i="59"/>
  <c r="Y396" i="59"/>
  <c r="X396" i="59"/>
  <c r="Z396" i="59"/>
  <c r="Y356" i="59"/>
  <c r="X356" i="59"/>
  <c r="Z356" i="59"/>
  <c r="Y376" i="59"/>
  <c r="Z376" i="59"/>
  <c r="X376" i="59"/>
  <c r="Y336" i="59"/>
  <c r="X336" i="59"/>
  <c r="Z336" i="59"/>
  <c r="Z311" i="59"/>
  <c r="Y311" i="59"/>
  <c r="C36" i="130"/>
  <c r="X311" i="59"/>
  <c r="Y374" i="59"/>
  <c r="Z374" i="59"/>
  <c r="X374" i="59"/>
  <c r="Y383" i="59"/>
  <c r="C43" i="130"/>
  <c r="Z383" i="59"/>
  <c r="X383" i="59"/>
  <c r="AS400" i="59"/>
  <c r="Z403" i="59"/>
  <c r="C45" i="130"/>
  <c r="Y403" i="59"/>
  <c r="X403" i="59"/>
  <c r="Y323" i="59"/>
  <c r="X323" i="59"/>
  <c r="C37" i="130"/>
  <c r="Z323" i="59"/>
  <c r="X351" i="59"/>
  <c r="Z351" i="59"/>
  <c r="Y351" i="59"/>
  <c r="J69" i="133"/>
  <c r="H81" i="133"/>
  <c r="J21" i="133"/>
  <c r="J93" i="133"/>
  <c r="J105" i="133"/>
  <c r="J45" i="133"/>
  <c r="H57" i="133"/>
  <c r="AU427" i="86"/>
  <c r="AV427" i="86" s="1"/>
  <c r="AU463" i="86"/>
  <c r="AV463" i="86" s="1"/>
  <c r="X474" i="86"/>
  <c r="F44" i="130" s="1"/>
  <c r="AU403" i="86"/>
  <c r="AV403" i="86" s="1"/>
  <c r="X414" i="86"/>
  <c r="F39" i="130" s="1"/>
  <c r="AU307" i="86"/>
  <c r="AV307" i="86" s="1"/>
  <c r="X318" i="86"/>
  <c r="F31" i="130" s="1"/>
  <c r="AU211" i="86"/>
  <c r="AV211" i="86" s="1"/>
  <c r="X222" i="86"/>
  <c r="F23" i="130" s="1"/>
  <c r="AU91" i="86"/>
  <c r="AV91" i="86" s="1"/>
  <c r="X102" i="86"/>
  <c r="F13" i="130" s="1"/>
  <c r="T30" i="86"/>
  <c r="AU19" i="86" s="1"/>
  <c r="AV19" i="86" s="1"/>
  <c r="X30" i="86"/>
  <c r="F7" i="130" s="1"/>
  <c r="AU391" i="86"/>
  <c r="AV391" i="86" s="1"/>
  <c r="X402" i="86"/>
  <c r="F38" i="130" s="1"/>
  <c r="AU295" i="86"/>
  <c r="AV295" i="86" s="1"/>
  <c r="X306" i="86"/>
  <c r="F30" i="130" s="1"/>
  <c r="AU199" i="86"/>
  <c r="AV199" i="86" s="1"/>
  <c r="X210" i="86"/>
  <c r="F22" i="130" s="1"/>
  <c r="AU127" i="86"/>
  <c r="AV127" i="86" s="1"/>
  <c r="X138" i="86"/>
  <c r="F16" i="130" s="1"/>
  <c r="AU415" i="86"/>
  <c r="AV415" i="86" s="1"/>
  <c r="X426" i="86"/>
  <c r="F40" i="130" s="1"/>
  <c r="AU367" i="86"/>
  <c r="AV367" i="86" s="1"/>
  <c r="X378" i="86"/>
  <c r="F36" i="130" s="1"/>
  <c r="AU319" i="86"/>
  <c r="AV319" i="86" s="1"/>
  <c r="X330" i="86"/>
  <c r="F32" i="130" s="1"/>
  <c r="AU271" i="86"/>
  <c r="AV271" i="86" s="1"/>
  <c r="X282" i="86"/>
  <c r="F28" i="130" s="1"/>
  <c r="AU223" i="86"/>
  <c r="AV223" i="86" s="1"/>
  <c r="X234" i="86"/>
  <c r="F24" i="130" s="1"/>
  <c r="AU175" i="86"/>
  <c r="AV175" i="86" s="1"/>
  <c r="X186" i="86"/>
  <c r="F20" i="130" s="1"/>
  <c r="AU139" i="86"/>
  <c r="AV139" i="86" s="1"/>
  <c r="X150" i="86"/>
  <c r="F17" i="130" s="1"/>
  <c r="AU103" i="86"/>
  <c r="AV103" i="86" s="1"/>
  <c r="X114" i="86"/>
  <c r="F14" i="130" s="1"/>
  <c r="T66" i="86"/>
  <c r="AU55" i="86" s="1"/>
  <c r="AV55" i="86" s="1"/>
  <c r="X66" i="86"/>
  <c r="F10" i="130" s="1"/>
  <c r="AU451" i="86"/>
  <c r="AV451" i="86" s="1"/>
  <c r="X462" i="86"/>
  <c r="F43" i="130" s="1"/>
  <c r="AU355" i="86"/>
  <c r="AV355" i="86" s="1"/>
  <c r="X366" i="86"/>
  <c r="F35" i="130" s="1"/>
  <c r="AU259" i="86"/>
  <c r="AV259" i="86" s="1"/>
  <c r="X270" i="86"/>
  <c r="F27" i="130" s="1"/>
  <c r="T54" i="86"/>
  <c r="AU43" i="86" s="1"/>
  <c r="AV43" i="86" s="1"/>
  <c r="X54" i="86"/>
  <c r="F9" i="130" s="1"/>
  <c r="AU439" i="86"/>
  <c r="AV439" i="86" s="1"/>
  <c r="X450" i="86"/>
  <c r="F42" i="130" s="1"/>
  <c r="AU343" i="86"/>
  <c r="AV343" i="86" s="1"/>
  <c r="X354" i="86"/>
  <c r="F34" i="130" s="1"/>
  <c r="AU247" i="86"/>
  <c r="AV247" i="86" s="1"/>
  <c r="X258" i="86"/>
  <c r="F26" i="130" s="1"/>
  <c r="AU151" i="86"/>
  <c r="AV151" i="86" s="1"/>
  <c r="X162" i="86"/>
  <c r="F18" i="130" s="1"/>
  <c r="AU79" i="86"/>
  <c r="AV79" i="86" s="1"/>
  <c r="X90" i="86"/>
  <c r="F12" i="130" s="1"/>
  <c r="X438" i="86"/>
  <c r="F41" i="130" s="1"/>
  <c r="X390" i="86"/>
  <c r="F37" i="130" s="1"/>
  <c r="AU379" i="86"/>
  <c r="AV379" i="86" s="1"/>
  <c r="AU331" i="86"/>
  <c r="AV331" i="86" s="1"/>
  <c r="X342" i="86"/>
  <c r="F33" i="130" s="1"/>
  <c r="AU235" i="86"/>
  <c r="AV235" i="86" s="1"/>
  <c r="X246" i="86"/>
  <c r="F25" i="130" s="1"/>
  <c r="X198" i="86"/>
  <c r="F21" i="130" s="1"/>
  <c r="AU115" i="86"/>
  <c r="AV115" i="86" s="1"/>
  <c r="X126" i="86"/>
  <c r="F15" i="130" s="1"/>
  <c r="AU67" i="86"/>
  <c r="AV67" i="86" s="1"/>
  <c r="X78" i="86"/>
  <c r="F11" i="130" s="1"/>
  <c r="J326" i="84"/>
  <c r="AB319" i="84" s="1"/>
  <c r="AC319" i="84" s="1"/>
  <c r="J286" i="84"/>
  <c r="AB279" i="84" s="1"/>
  <c r="AC279" i="84" s="1"/>
  <c r="AU475" i="86"/>
  <c r="AV475" i="86" s="1"/>
  <c r="X486" i="86"/>
  <c r="F45" i="130" s="1"/>
  <c r="T42" i="86"/>
  <c r="AU31" i="86" s="1"/>
  <c r="AV31" i="86" s="1"/>
  <c r="X42" i="86"/>
  <c r="F8" i="130" s="1"/>
  <c r="P4" i="111"/>
  <c r="M339" i="74" s="1"/>
  <c r="T4" i="112"/>
  <c r="M287" i="74" s="1"/>
  <c r="P6" i="111"/>
  <c r="P8" i="111"/>
  <c r="P10" i="111"/>
  <c r="P12" i="111"/>
  <c r="P14" i="111"/>
  <c r="P16" i="111"/>
  <c r="P18" i="111"/>
  <c r="P20" i="111"/>
  <c r="P22" i="111"/>
  <c r="P24" i="111"/>
  <c r="P26" i="111"/>
  <c r="P28" i="111"/>
  <c r="P30" i="111"/>
  <c r="P32" i="111"/>
  <c r="P34" i="111"/>
  <c r="P36" i="111"/>
  <c r="P38" i="111"/>
  <c r="P40" i="111"/>
  <c r="P42" i="111"/>
  <c r="C211" i="110"/>
  <c r="C205" i="110"/>
  <c r="H204" i="110"/>
  <c r="C199" i="110"/>
  <c r="C193" i="110"/>
  <c r="C187" i="110"/>
  <c r="C181" i="110"/>
  <c r="C175" i="110"/>
  <c r="C169" i="110"/>
  <c r="C163" i="110"/>
  <c r="H162" i="110"/>
  <c r="C157" i="110"/>
  <c r="C151" i="110"/>
  <c r="C145" i="110"/>
  <c r="C139" i="110"/>
  <c r="C133" i="110"/>
  <c r="C127" i="110"/>
  <c r="C121" i="110"/>
  <c r="H120" i="110"/>
  <c r="C115" i="110"/>
  <c r="C109" i="110"/>
  <c r="C103" i="110"/>
  <c r="C97" i="110"/>
  <c r="C91" i="110"/>
  <c r="C85" i="110"/>
  <c r="C79" i="110"/>
  <c r="C73" i="110"/>
  <c r="C67" i="110"/>
  <c r="C61" i="110"/>
  <c r="C55" i="110"/>
  <c r="C49" i="110"/>
  <c r="C43" i="110"/>
  <c r="H42" i="110"/>
  <c r="C37" i="110"/>
  <c r="H36" i="110"/>
  <c r="C31" i="110"/>
  <c r="H30" i="110"/>
  <c r="C25" i="110"/>
  <c r="H24" i="110"/>
  <c r="C19" i="110"/>
  <c r="H18" i="110"/>
  <c r="C13" i="110"/>
  <c r="C7" i="110"/>
  <c r="C177" i="57"/>
  <c r="C172" i="57"/>
  <c r="C167" i="57"/>
  <c r="C162" i="57"/>
  <c r="C157" i="57"/>
  <c r="C152" i="57"/>
  <c r="C147" i="57"/>
  <c r="C142" i="57"/>
  <c r="C137" i="57"/>
  <c r="C132" i="57"/>
  <c r="C127" i="57"/>
  <c r="C122" i="57"/>
  <c r="C117" i="57"/>
  <c r="C112" i="57"/>
  <c r="C107" i="57"/>
  <c r="C102" i="57"/>
  <c r="C97" i="57"/>
  <c r="C92" i="57"/>
  <c r="C87" i="57"/>
  <c r="C82" i="57"/>
  <c r="C77" i="57"/>
  <c r="C72" i="57"/>
  <c r="C67" i="57"/>
  <c r="C62" i="57"/>
  <c r="C57" i="57"/>
  <c r="C52" i="57"/>
  <c r="C47" i="57"/>
  <c r="C42" i="57"/>
  <c r="C37" i="57"/>
  <c r="C32" i="57"/>
  <c r="C27" i="57"/>
  <c r="C22" i="57"/>
  <c r="C17" i="57"/>
  <c r="C12" i="57"/>
  <c r="C7" i="57"/>
  <c r="BE10" i="71"/>
  <c r="BF10" i="71"/>
  <c r="BG10" i="71"/>
  <c r="BI10" i="71"/>
  <c r="BJ10" i="71"/>
  <c r="BL10" i="71"/>
  <c r="BM10" i="71"/>
  <c r="BO10" i="71"/>
  <c r="BP10" i="71"/>
  <c r="BE11" i="71"/>
  <c r="BF11" i="71"/>
  <c r="BG11" i="71"/>
  <c r="BH11" i="71"/>
  <c r="BI11" i="71"/>
  <c r="BJ11" i="71"/>
  <c r="BK11" i="71" s="1"/>
  <c r="BL11" i="71"/>
  <c r="BM11" i="71"/>
  <c r="BN11" i="71"/>
  <c r="BO11" i="71"/>
  <c r="BP11" i="71"/>
  <c r="BE12" i="71"/>
  <c r="BF12" i="71"/>
  <c r="BG12" i="71"/>
  <c r="BI12" i="71"/>
  <c r="BJ12" i="71"/>
  <c r="BL12" i="71"/>
  <c r="BM12" i="71"/>
  <c r="BO12" i="71"/>
  <c r="BP12" i="71"/>
  <c r="BQ12" i="71"/>
  <c r="BE13" i="71"/>
  <c r="BF13" i="71"/>
  <c r="BG13" i="71"/>
  <c r="BI13" i="71"/>
  <c r="BJ13" i="71"/>
  <c r="BL13" i="71"/>
  <c r="BM13" i="71"/>
  <c r="BN13" i="71"/>
  <c r="BO13" i="71"/>
  <c r="BP13" i="71"/>
  <c r="BE14" i="71"/>
  <c r="BF14" i="71"/>
  <c r="BG14" i="71"/>
  <c r="BI14" i="71"/>
  <c r="BJ14" i="71"/>
  <c r="BL14" i="71"/>
  <c r="BM14" i="71"/>
  <c r="BO14" i="71"/>
  <c r="BP14" i="71"/>
  <c r="BQ14" i="71"/>
  <c r="BE15" i="71"/>
  <c r="BF15" i="71"/>
  <c r="BG15" i="71"/>
  <c r="BI15" i="71"/>
  <c r="BJ15" i="71"/>
  <c r="BK15" i="71" s="1"/>
  <c r="BL15" i="71"/>
  <c r="BM15" i="71"/>
  <c r="BN15" i="71"/>
  <c r="BO15" i="71"/>
  <c r="BP15" i="71"/>
  <c r="BE16" i="71"/>
  <c r="BF16" i="71"/>
  <c r="BG16" i="71"/>
  <c r="BI16" i="71"/>
  <c r="BJ16" i="71"/>
  <c r="BL16" i="71"/>
  <c r="BM16" i="71"/>
  <c r="BO16" i="71"/>
  <c r="BP16" i="71"/>
  <c r="BQ16" i="71"/>
  <c r="BE17" i="71"/>
  <c r="BF17" i="71"/>
  <c r="BG17" i="71"/>
  <c r="BI17" i="71"/>
  <c r="BJ17" i="71"/>
  <c r="BK17" i="71" s="1"/>
  <c r="BL17" i="71"/>
  <c r="BM17" i="71"/>
  <c r="BN17" i="71"/>
  <c r="BO17" i="71"/>
  <c r="BP17" i="71"/>
  <c r="BE18" i="71"/>
  <c r="BF18" i="71"/>
  <c r="BG18" i="71"/>
  <c r="BI18" i="71"/>
  <c r="BJ18" i="71"/>
  <c r="BL18" i="71"/>
  <c r="BM18" i="71"/>
  <c r="BO18" i="71"/>
  <c r="BP18" i="71"/>
  <c r="BQ18" i="71"/>
  <c r="BE19" i="71"/>
  <c r="BF19" i="71"/>
  <c r="BH19" i="71" s="1"/>
  <c r="BG19" i="71"/>
  <c r="BI19" i="71"/>
  <c r="BJ19" i="71"/>
  <c r="BK19" i="71" s="1"/>
  <c r="BL19" i="71"/>
  <c r="BM19" i="71"/>
  <c r="BN19" i="71"/>
  <c r="BO19" i="71"/>
  <c r="BP19" i="71"/>
  <c r="BE20" i="71"/>
  <c r="BF20" i="71"/>
  <c r="BG20" i="71"/>
  <c r="BI20" i="71"/>
  <c r="BJ20" i="71"/>
  <c r="BL20" i="71"/>
  <c r="BM20" i="71"/>
  <c r="BO20" i="71"/>
  <c r="BP20" i="71"/>
  <c r="BQ20" i="71"/>
  <c r="BE21" i="71"/>
  <c r="BH21" i="71" s="1"/>
  <c r="BF21" i="71"/>
  <c r="BG21" i="71"/>
  <c r="BI21" i="71"/>
  <c r="BJ21" i="71"/>
  <c r="BK21" i="71" s="1"/>
  <c r="BL21" i="71"/>
  <c r="BM21" i="71"/>
  <c r="BN21" i="71"/>
  <c r="BO21" i="71"/>
  <c r="BP21" i="71"/>
  <c r="BE22" i="71"/>
  <c r="BF22" i="71"/>
  <c r="BG22" i="71"/>
  <c r="BI22" i="71"/>
  <c r="BJ22" i="71"/>
  <c r="BL22" i="71"/>
  <c r="BM22" i="71"/>
  <c r="BO22" i="71"/>
  <c r="BP22" i="71"/>
  <c r="BQ22" i="71"/>
  <c r="BE23" i="71"/>
  <c r="BF23" i="71"/>
  <c r="BG23" i="71"/>
  <c r="BI23" i="71"/>
  <c r="BJ23" i="71"/>
  <c r="BL23" i="71"/>
  <c r="BM23" i="71"/>
  <c r="BN23" i="71"/>
  <c r="BO23" i="71"/>
  <c r="BP23" i="71"/>
  <c r="BE24" i="71"/>
  <c r="BF24" i="71"/>
  <c r="BG24" i="71"/>
  <c r="BI24" i="71"/>
  <c r="BJ24" i="71"/>
  <c r="BL24" i="71"/>
  <c r="BM24" i="71"/>
  <c r="BO24" i="71"/>
  <c r="BP24" i="71"/>
  <c r="BQ24" i="71"/>
  <c r="BE25" i="71"/>
  <c r="BH25" i="71" s="1"/>
  <c r="BF25" i="71"/>
  <c r="BG25" i="71"/>
  <c r="BI25" i="71"/>
  <c r="BJ25" i="71"/>
  <c r="BL25" i="71"/>
  <c r="BM25" i="71"/>
  <c r="BN25" i="71"/>
  <c r="BO25" i="71"/>
  <c r="BP25" i="71"/>
  <c r="BE26" i="71"/>
  <c r="BF26" i="71"/>
  <c r="BG26" i="71"/>
  <c r="BI26" i="71"/>
  <c r="BJ26" i="71"/>
  <c r="BL26" i="71"/>
  <c r="BM26" i="71"/>
  <c r="BO26" i="71"/>
  <c r="BP26" i="71"/>
  <c r="BQ26" i="71"/>
  <c r="BE27" i="71"/>
  <c r="BF27" i="71"/>
  <c r="BG27" i="71"/>
  <c r="BI27" i="71"/>
  <c r="BJ27" i="71"/>
  <c r="BL27" i="71"/>
  <c r="BM27" i="71"/>
  <c r="BN27" i="71"/>
  <c r="BO27" i="71"/>
  <c r="BP27" i="71"/>
  <c r="BE28" i="71"/>
  <c r="BF28" i="71"/>
  <c r="BG28" i="71"/>
  <c r="BI28" i="71"/>
  <c r="BJ28" i="71"/>
  <c r="BL28" i="71"/>
  <c r="BM28" i="71"/>
  <c r="BO28" i="71"/>
  <c r="BP28" i="71"/>
  <c r="BQ28" i="71"/>
  <c r="BE29" i="71"/>
  <c r="BF29" i="71"/>
  <c r="BG29" i="71"/>
  <c r="BH29" i="71"/>
  <c r="BI29" i="71"/>
  <c r="BJ29" i="71"/>
  <c r="BK29" i="71" s="1"/>
  <c r="BL29" i="71"/>
  <c r="BM29" i="71"/>
  <c r="BN29" i="71"/>
  <c r="BO29" i="71"/>
  <c r="BP29" i="71"/>
  <c r="BE30" i="71"/>
  <c r="BF30" i="71"/>
  <c r="BG30" i="71"/>
  <c r="BI30" i="71"/>
  <c r="BJ30" i="71"/>
  <c r="BL30" i="71"/>
  <c r="BM30" i="71"/>
  <c r="BO30" i="71"/>
  <c r="BP30" i="71"/>
  <c r="BQ30" i="71"/>
  <c r="BE31" i="71"/>
  <c r="BF31" i="71"/>
  <c r="BG31" i="71"/>
  <c r="BI31" i="71"/>
  <c r="BJ31" i="71"/>
  <c r="BL31" i="71"/>
  <c r="BM31" i="71"/>
  <c r="BN31" i="71"/>
  <c r="BO31" i="71"/>
  <c r="BP31" i="71"/>
  <c r="BE32" i="71"/>
  <c r="BF32" i="71"/>
  <c r="BG32" i="71"/>
  <c r="BI32" i="71"/>
  <c r="BJ32" i="71"/>
  <c r="BL32" i="71"/>
  <c r="BM32" i="71"/>
  <c r="BO32" i="71"/>
  <c r="BP32" i="71"/>
  <c r="BQ32" i="71"/>
  <c r="BE33" i="71"/>
  <c r="BH33" i="71" s="1"/>
  <c r="BF33" i="71"/>
  <c r="BG33" i="71"/>
  <c r="BI33" i="71"/>
  <c r="BJ33" i="71"/>
  <c r="BL33" i="71"/>
  <c r="BM33" i="71"/>
  <c r="BN33" i="71"/>
  <c r="BO33" i="71"/>
  <c r="BP33" i="71"/>
  <c r="BE34" i="71"/>
  <c r="BF34" i="71"/>
  <c r="BG34" i="71"/>
  <c r="BI34" i="71"/>
  <c r="BJ34" i="71"/>
  <c r="BL34" i="71"/>
  <c r="BM34" i="71"/>
  <c r="BO34" i="71"/>
  <c r="BP34" i="71"/>
  <c r="BQ34" i="71"/>
  <c r="BE35" i="71"/>
  <c r="BF35" i="71"/>
  <c r="BH35" i="71" s="1"/>
  <c r="BG35" i="71"/>
  <c r="BI35" i="71"/>
  <c r="BJ35" i="71"/>
  <c r="BK35" i="71" s="1"/>
  <c r="BL35" i="71"/>
  <c r="BM35" i="71"/>
  <c r="BN35" i="71"/>
  <c r="BO35" i="71"/>
  <c r="BP35" i="71"/>
  <c r="BE36" i="71"/>
  <c r="BF36" i="71"/>
  <c r="BG36" i="71"/>
  <c r="BI36" i="71"/>
  <c r="BJ36" i="71"/>
  <c r="BL36" i="71"/>
  <c r="BM36" i="71"/>
  <c r="BO36" i="71"/>
  <c r="BP36" i="71"/>
  <c r="BQ36" i="71"/>
  <c r="BE37" i="71"/>
  <c r="BF37" i="71"/>
  <c r="BG37" i="71"/>
  <c r="BI37" i="71"/>
  <c r="BJ37" i="71"/>
  <c r="BL37" i="71"/>
  <c r="BM37" i="71"/>
  <c r="BN37" i="71"/>
  <c r="BO37" i="71"/>
  <c r="BP37" i="71"/>
  <c r="BE38" i="71"/>
  <c r="BF38" i="71"/>
  <c r="BG38" i="71"/>
  <c r="BI38" i="71"/>
  <c r="BJ38" i="71"/>
  <c r="BL38" i="71"/>
  <c r="BM38" i="71"/>
  <c r="BO38" i="71"/>
  <c r="BP38" i="71"/>
  <c r="BQ38" i="71"/>
  <c r="BE39" i="71"/>
  <c r="BH39" i="71" s="1"/>
  <c r="BF39" i="71"/>
  <c r="BG39" i="71"/>
  <c r="BI39" i="71"/>
  <c r="BJ39" i="71"/>
  <c r="BL39" i="71"/>
  <c r="BM39" i="71"/>
  <c r="BN39" i="71"/>
  <c r="BO39" i="71"/>
  <c r="BP39" i="71"/>
  <c r="BE40" i="71"/>
  <c r="BF40" i="71"/>
  <c r="BG40" i="71"/>
  <c r="BI40" i="71"/>
  <c r="BJ40" i="71"/>
  <c r="BL40" i="71"/>
  <c r="BM40" i="71"/>
  <c r="BO40" i="71"/>
  <c r="BP40" i="71"/>
  <c r="BQ40" i="71"/>
  <c r="BE41" i="71"/>
  <c r="BF41" i="71"/>
  <c r="BG41" i="71"/>
  <c r="BI41" i="71"/>
  <c r="BJ41" i="71"/>
  <c r="BL41" i="71"/>
  <c r="BM41" i="71"/>
  <c r="BN41" i="71"/>
  <c r="BO41" i="71"/>
  <c r="BP41" i="71"/>
  <c r="BE42" i="71"/>
  <c r="BF42" i="71"/>
  <c r="BG42" i="71"/>
  <c r="BI42" i="71"/>
  <c r="BJ42" i="71"/>
  <c r="BL42" i="71"/>
  <c r="BM42" i="71"/>
  <c r="BO42" i="71"/>
  <c r="BP42" i="71"/>
  <c r="BQ42" i="71"/>
  <c r="BE43" i="71"/>
  <c r="BF43" i="71"/>
  <c r="BG43" i="71"/>
  <c r="BH43" i="71"/>
  <c r="BI43" i="71"/>
  <c r="BJ43" i="71"/>
  <c r="BK43" i="71" s="1"/>
  <c r="BL43" i="71"/>
  <c r="BM43" i="71"/>
  <c r="BN43" i="71"/>
  <c r="BO43" i="71"/>
  <c r="BP43" i="71"/>
  <c r="BP9" i="71"/>
  <c r="BM9" i="71"/>
  <c r="BJ9" i="71"/>
  <c r="BF9" i="71"/>
  <c r="BG9" i="71"/>
  <c r="BO9" i="71"/>
  <c r="BL9" i="71"/>
  <c r="BI9" i="71"/>
  <c r="BE9" i="71"/>
  <c r="AY10" i="71"/>
  <c r="AZ10" i="71"/>
  <c r="BB10" i="71"/>
  <c r="BC10" i="71"/>
  <c r="BD10" i="71" s="1"/>
  <c r="AY11" i="71"/>
  <c r="AZ11" i="71"/>
  <c r="BB11" i="71"/>
  <c r="BC11" i="71"/>
  <c r="BD11" i="71" s="1"/>
  <c r="AY12" i="71"/>
  <c r="AZ12" i="71"/>
  <c r="BB12" i="71"/>
  <c r="BC12" i="71"/>
  <c r="BD12" i="71" s="1"/>
  <c r="AY13" i="71"/>
  <c r="AZ13" i="71"/>
  <c r="BB13" i="71"/>
  <c r="BC13" i="71"/>
  <c r="BD13" i="71" s="1"/>
  <c r="AY14" i="71"/>
  <c r="AZ14" i="71"/>
  <c r="BB14" i="71"/>
  <c r="BC14" i="71"/>
  <c r="BD14" i="71" s="1"/>
  <c r="AY15" i="71"/>
  <c r="AZ15" i="71"/>
  <c r="BB15" i="71"/>
  <c r="BC15" i="71"/>
  <c r="BD15" i="71" s="1"/>
  <c r="AY16" i="71"/>
  <c r="AZ16" i="71"/>
  <c r="BB16" i="71"/>
  <c r="BC16" i="71"/>
  <c r="BD16" i="71" s="1"/>
  <c r="AY17" i="71"/>
  <c r="AZ17" i="71"/>
  <c r="BB17" i="71"/>
  <c r="BC17" i="71"/>
  <c r="BD17" i="71" s="1"/>
  <c r="AY18" i="71"/>
  <c r="AZ18" i="71"/>
  <c r="BB18" i="71"/>
  <c r="BC18" i="71"/>
  <c r="BD18" i="71" s="1"/>
  <c r="AY19" i="71"/>
  <c r="AZ19" i="71"/>
  <c r="BB19" i="71"/>
  <c r="BC19" i="71"/>
  <c r="BD19" i="71" s="1"/>
  <c r="AY20" i="71"/>
  <c r="AZ20" i="71"/>
  <c r="BB20" i="71"/>
  <c r="BC20" i="71"/>
  <c r="BD20" i="71" s="1"/>
  <c r="AY21" i="71"/>
  <c r="AZ21" i="71"/>
  <c r="BB21" i="71"/>
  <c r="BC21" i="71"/>
  <c r="BD21" i="71" s="1"/>
  <c r="AY22" i="71"/>
  <c r="AZ22" i="71"/>
  <c r="BB22" i="71"/>
  <c r="BC22" i="71"/>
  <c r="BD22" i="71" s="1"/>
  <c r="AY23" i="71"/>
  <c r="AZ23" i="71"/>
  <c r="BB23" i="71"/>
  <c r="BC23" i="71"/>
  <c r="BD23" i="71" s="1"/>
  <c r="AY24" i="71"/>
  <c r="AZ24" i="71"/>
  <c r="BB24" i="71"/>
  <c r="BC24" i="71"/>
  <c r="BD24" i="71" s="1"/>
  <c r="AY25" i="71"/>
  <c r="AZ25" i="71"/>
  <c r="BB25" i="71"/>
  <c r="BC25" i="71"/>
  <c r="BD25" i="71" s="1"/>
  <c r="AY26" i="71"/>
  <c r="AZ26" i="71"/>
  <c r="BB26" i="71"/>
  <c r="BC26" i="71"/>
  <c r="BD26" i="71" s="1"/>
  <c r="AY27" i="71"/>
  <c r="AZ27" i="71"/>
  <c r="BB27" i="71"/>
  <c r="BC27" i="71"/>
  <c r="BD27" i="71" s="1"/>
  <c r="AY28" i="71"/>
  <c r="AZ28" i="71"/>
  <c r="BB28" i="71"/>
  <c r="BC28" i="71"/>
  <c r="BD28" i="71" s="1"/>
  <c r="AY29" i="71"/>
  <c r="AZ29" i="71"/>
  <c r="BB29" i="71"/>
  <c r="BC29" i="71"/>
  <c r="BD29" i="71" s="1"/>
  <c r="AY30" i="71"/>
  <c r="AZ30" i="71"/>
  <c r="BB30" i="71"/>
  <c r="BC30" i="71"/>
  <c r="BD30" i="71" s="1"/>
  <c r="AY31" i="71"/>
  <c r="AZ31" i="71"/>
  <c r="BB31" i="71"/>
  <c r="BC31" i="71"/>
  <c r="BD31" i="71" s="1"/>
  <c r="AY32" i="71"/>
  <c r="AZ32" i="71"/>
  <c r="BB32" i="71"/>
  <c r="BC32" i="71"/>
  <c r="BD32" i="71" s="1"/>
  <c r="AY33" i="71"/>
  <c r="AZ33" i="71"/>
  <c r="BB33" i="71"/>
  <c r="BC33" i="71"/>
  <c r="BD33" i="71" s="1"/>
  <c r="AY34" i="71"/>
  <c r="AZ34" i="71"/>
  <c r="BB34" i="71"/>
  <c r="BC34" i="71"/>
  <c r="BD34" i="71" s="1"/>
  <c r="AY35" i="71"/>
  <c r="AZ35" i="71"/>
  <c r="BB35" i="71"/>
  <c r="BC35" i="71"/>
  <c r="BD35" i="71" s="1"/>
  <c r="AY36" i="71"/>
  <c r="AZ36" i="71"/>
  <c r="BB36" i="71"/>
  <c r="BC36" i="71"/>
  <c r="BD36" i="71" s="1"/>
  <c r="AY37" i="71"/>
  <c r="AZ37" i="71"/>
  <c r="BB37" i="71"/>
  <c r="BC37" i="71"/>
  <c r="BD37" i="71" s="1"/>
  <c r="AY38" i="71"/>
  <c r="AZ38" i="71"/>
  <c r="BA38" i="71" s="1"/>
  <c r="BB38" i="71"/>
  <c r="BC38" i="71"/>
  <c r="BD38" i="71" s="1"/>
  <c r="AY39" i="71"/>
  <c r="AZ39" i="71"/>
  <c r="BA39" i="71" s="1"/>
  <c r="BB39" i="71"/>
  <c r="BC39" i="71"/>
  <c r="BD39" i="71" s="1"/>
  <c r="AY40" i="71"/>
  <c r="AZ40" i="71"/>
  <c r="BB40" i="71"/>
  <c r="BC40" i="71"/>
  <c r="BD40" i="71" s="1"/>
  <c r="AY41" i="71"/>
  <c r="AZ41" i="71"/>
  <c r="BB41" i="71"/>
  <c r="BC41" i="71"/>
  <c r="BD41" i="71" s="1"/>
  <c r="AY42" i="71"/>
  <c r="AZ42" i="71"/>
  <c r="BB42" i="71"/>
  <c r="BC42" i="71"/>
  <c r="BD42" i="71" s="1"/>
  <c r="AY43" i="71"/>
  <c r="AZ43" i="71"/>
  <c r="BB43" i="71"/>
  <c r="BC43" i="71"/>
  <c r="BD43" i="71" s="1"/>
  <c r="BC9" i="71"/>
  <c r="BD9" i="71" s="1"/>
  <c r="AZ9" i="71"/>
  <c r="BB9" i="71"/>
  <c r="AY9" i="71"/>
  <c r="AV10" i="71"/>
  <c r="AW10" i="71"/>
  <c r="AV11" i="71"/>
  <c r="AW11" i="71"/>
  <c r="AV12" i="71"/>
  <c r="AW12" i="71"/>
  <c r="AV13" i="71"/>
  <c r="AW13" i="71"/>
  <c r="AV14" i="71"/>
  <c r="AW14" i="71"/>
  <c r="AV15" i="71"/>
  <c r="AW15" i="71"/>
  <c r="AV16" i="71"/>
  <c r="AW16" i="71"/>
  <c r="AV17" i="71"/>
  <c r="AW17" i="71"/>
  <c r="AV18" i="71"/>
  <c r="AW18" i="71"/>
  <c r="AV19" i="71"/>
  <c r="AW19" i="71"/>
  <c r="AV20" i="71"/>
  <c r="AW20" i="71"/>
  <c r="AV21" i="71"/>
  <c r="AW21" i="71"/>
  <c r="AV22" i="71"/>
  <c r="AW22" i="71"/>
  <c r="AV23" i="71"/>
  <c r="AW23" i="71"/>
  <c r="AV24" i="71"/>
  <c r="AW24" i="71"/>
  <c r="AV25" i="71"/>
  <c r="AW25" i="71"/>
  <c r="AV26" i="71"/>
  <c r="AW26" i="71"/>
  <c r="AV27" i="71"/>
  <c r="AW27" i="71"/>
  <c r="AV28" i="71"/>
  <c r="AW28" i="71"/>
  <c r="AV29" i="71"/>
  <c r="AW29" i="71"/>
  <c r="AV30" i="71"/>
  <c r="AW30" i="71"/>
  <c r="AV31" i="71"/>
  <c r="AW31" i="71"/>
  <c r="AV32" i="71"/>
  <c r="AW32" i="71"/>
  <c r="AV33" i="71"/>
  <c r="AW33" i="71"/>
  <c r="AV34" i="71"/>
  <c r="AW34" i="71"/>
  <c r="AV35" i="71"/>
  <c r="AW35" i="71"/>
  <c r="AV36" i="71"/>
  <c r="AW36" i="71"/>
  <c r="AV37" i="71"/>
  <c r="AW37" i="71"/>
  <c r="AV38" i="71"/>
  <c r="AW38" i="71"/>
  <c r="AV39" i="71"/>
  <c r="AW39" i="71"/>
  <c r="AV40" i="71"/>
  <c r="AW40" i="71"/>
  <c r="AV41" i="71"/>
  <c r="AW41" i="71"/>
  <c r="AV42" i="71"/>
  <c r="AW42" i="71"/>
  <c r="AV43" i="71"/>
  <c r="AW43" i="71"/>
  <c r="AW9" i="71"/>
  <c r="AV9" i="71"/>
  <c r="AR10" i="71"/>
  <c r="AS10" i="71"/>
  <c r="AT10" i="71"/>
  <c r="AR11" i="71"/>
  <c r="AS11" i="71"/>
  <c r="AT11" i="71"/>
  <c r="AR12" i="71"/>
  <c r="AS12" i="71"/>
  <c r="AT12" i="71"/>
  <c r="AR13" i="71"/>
  <c r="AS13" i="71"/>
  <c r="AT13" i="71"/>
  <c r="AR14" i="71"/>
  <c r="AS14" i="71"/>
  <c r="AT14" i="71"/>
  <c r="AR15" i="71"/>
  <c r="AS15" i="71"/>
  <c r="AT15" i="71"/>
  <c r="AR16" i="71"/>
  <c r="AS16" i="71"/>
  <c r="AT16" i="71"/>
  <c r="AR17" i="71"/>
  <c r="AS17" i="71"/>
  <c r="AT17" i="71"/>
  <c r="AR18" i="71"/>
  <c r="AS18" i="71"/>
  <c r="AT18" i="71"/>
  <c r="AR19" i="71"/>
  <c r="AS19" i="71"/>
  <c r="AT19" i="71"/>
  <c r="AR20" i="71"/>
  <c r="AS20" i="71"/>
  <c r="AT20" i="71"/>
  <c r="AR21" i="71"/>
  <c r="AS21" i="71"/>
  <c r="AT21" i="71"/>
  <c r="AR22" i="71"/>
  <c r="AS22" i="71"/>
  <c r="AT22" i="71"/>
  <c r="AR23" i="71"/>
  <c r="AS23" i="71"/>
  <c r="AT23" i="71"/>
  <c r="AR24" i="71"/>
  <c r="AS24" i="71"/>
  <c r="AT24" i="71"/>
  <c r="AR25" i="71"/>
  <c r="AS25" i="71"/>
  <c r="AT25" i="71"/>
  <c r="AR26" i="71"/>
  <c r="AS26" i="71"/>
  <c r="AT26" i="71"/>
  <c r="AR27" i="71"/>
  <c r="AS27" i="71"/>
  <c r="AT27" i="71"/>
  <c r="AR28" i="71"/>
  <c r="AS28" i="71"/>
  <c r="AT28" i="71"/>
  <c r="AR29" i="71"/>
  <c r="AS29" i="71"/>
  <c r="AT29" i="71"/>
  <c r="AR30" i="71"/>
  <c r="AS30" i="71"/>
  <c r="AT30" i="71"/>
  <c r="AR31" i="71"/>
  <c r="AS31" i="71"/>
  <c r="AT31" i="71"/>
  <c r="AR32" i="71"/>
  <c r="AS32" i="71"/>
  <c r="AT32" i="71"/>
  <c r="AR33" i="71"/>
  <c r="AS33" i="71"/>
  <c r="AT33" i="71"/>
  <c r="AR34" i="71"/>
  <c r="AS34" i="71"/>
  <c r="AT34" i="71"/>
  <c r="AR35" i="71"/>
  <c r="AS35" i="71"/>
  <c r="AT35" i="71"/>
  <c r="AR36" i="71"/>
  <c r="AS36" i="71"/>
  <c r="AT36" i="71"/>
  <c r="AR37" i="71"/>
  <c r="AS37" i="71"/>
  <c r="AT37" i="71"/>
  <c r="AR38" i="71"/>
  <c r="AS38" i="71"/>
  <c r="AT38" i="71"/>
  <c r="AR39" i="71"/>
  <c r="AS39" i="71"/>
  <c r="AT39" i="71"/>
  <c r="AR40" i="71"/>
  <c r="AS40" i="71"/>
  <c r="AT40" i="71"/>
  <c r="AR41" i="71"/>
  <c r="AS41" i="71"/>
  <c r="AT41" i="71"/>
  <c r="AR42" i="71"/>
  <c r="AS42" i="71"/>
  <c r="AT42" i="71"/>
  <c r="AR43" i="71"/>
  <c r="AS43" i="71"/>
  <c r="AT43" i="71"/>
  <c r="AS9" i="71"/>
  <c r="AT9" i="71"/>
  <c r="AR9" i="71"/>
  <c r="AM10" i="71"/>
  <c r="E14" i="110" s="1"/>
  <c r="F14" i="110" s="1"/>
  <c r="AO10" i="71"/>
  <c r="E16" i="110" s="1"/>
  <c r="F16" i="110" s="1"/>
  <c r="AL11" i="71"/>
  <c r="E19" i="110" s="1"/>
  <c r="F19" i="110" s="1"/>
  <c r="AN17" i="71"/>
  <c r="E57" i="110" s="1"/>
  <c r="F57" i="110" s="1"/>
  <c r="AP17" i="71"/>
  <c r="E59" i="110" s="1"/>
  <c r="F59" i="110" s="1"/>
  <c r="AM18" i="71"/>
  <c r="E62" i="110" s="1"/>
  <c r="F62" i="110" s="1"/>
  <c r="AO18" i="71"/>
  <c r="E64" i="110" s="1"/>
  <c r="F64" i="110" s="1"/>
  <c r="AL19" i="71"/>
  <c r="E67" i="110" s="1"/>
  <c r="F67" i="110" s="1"/>
  <c r="AN25" i="71"/>
  <c r="E105" i="110" s="1"/>
  <c r="F105" i="110" s="1"/>
  <c r="AP25" i="71"/>
  <c r="E107" i="110" s="1"/>
  <c r="F107" i="110" s="1"/>
  <c r="AM26" i="71"/>
  <c r="E110" i="110" s="1"/>
  <c r="F110" i="110" s="1"/>
  <c r="AO26" i="71"/>
  <c r="E112" i="110" s="1"/>
  <c r="F112" i="110" s="1"/>
  <c r="AL27" i="71"/>
  <c r="E115" i="110" s="1"/>
  <c r="F115" i="110" s="1"/>
  <c r="AN33" i="71"/>
  <c r="E153" i="110" s="1"/>
  <c r="F153" i="110" s="1"/>
  <c r="AP33" i="71"/>
  <c r="E155" i="110" s="1"/>
  <c r="F155" i="110" s="1"/>
  <c r="AM34" i="71"/>
  <c r="E158" i="110" s="1"/>
  <c r="F158" i="110" s="1"/>
  <c r="AO34" i="71"/>
  <c r="E160" i="110" s="1"/>
  <c r="F160" i="110" s="1"/>
  <c r="AL35" i="71"/>
  <c r="E163" i="110" s="1"/>
  <c r="F163" i="110" s="1"/>
  <c r="AN41" i="71"/>
  <c r="E201" i="110" s="1"/>
  <c r="F201" i="110" s="1"/>
  <c r="AP41" i="71"/>
  <c r="E203" i="110" s="1"/>
  <c r="F203" i="110" s="1"/>
  <c r="AM42" i="71"/>
  <c r="E206" i="110" s="1"/>
  <c r="F206" i="110" s="1"/>
  <c r="AO42" i="71"/>
  <c r="E208" i="110" s="1"/>
  <c r="F208" i="110" s="1"/>
  <c r="AL43" i="71"/>
  <c r="E211" i="110" s="1"/>
  <c r="F211" i="110" s="1"/>
  <c r="AP11" i="71"/>
  <c r="E23" i="110" s="1"/>
  <c r="F23" i="110" s="1"/>
  <c r="AP13" i="71"/>
  <c r="E35" i="110" s="1"/>
  <c r="F35" i="110" s="1"/>
  <c r="AP15" i="71"/>
  <c r="E47" i="110" s="1"/>
  <c r="F47" i="110" s="1"/>
  <c r="AP19" i="71"/>
  <c r="E71" i="110" s="1"/>
  <c r="F71" i="110" s="1"/>
  <c r="AP21" i="71"/>
  <c r="E83" i="110" s="1"/>
  <c r="F83" i="110" s="1"/>
  <c r="AP23" i="71"/>
  <c r="E95" i="110" s="1"/>
  <c r="F95" i="110" s="1"/>
  <c r="AP27" i="71"/>
  <c r="E119" i="110" s="1"/>
  <c r="F119" i="110" s="1"/>
  <c r="AP29" i="71"/>
  <c r="E131" i="110" s="1"/>
  <c r="F131" i="110" s="1"/>
  <c r="AP31" i="71"/>
  <c r="E143" i="110" s="1"/>
  <c r="F143" i="110" s="1"/>
  <c r="AP35" i="71"/>
  <c r="E167" i="110" s="1"/>
  <c r="F167" i="110" s="1"/>
  <c r="AP37" i="71"/>
  <c r="E179" i="110" s="1"/>
  <c r="F179" i="110" s="1"/>
  <c r="AP39" i="71"/>
  <c r="E191" i="110" s="1"/>
  <c r="F191" i="110" s="1"/>
  <c r="AP43" i="71"/>
  <c r="E215" i="110" s="1"/>
  <c r="F215" i="110" s="1"/>
  <c r="AO12" i="71"/>
  <c r="E28" i="110" s="1"/>
  <c r="F28" i="110" s="1"/>
  <c r="AO14" i="71"/>
  <c r="E40" i="110" s="1"/>
  <c r="F40" i="110" s="1"/>
  <c r="AO16" i="71"/>
  <c r="E52" i="110" s="1"/>
  <c r="F52" i="110" s="1"/>
  <c r="AO20" i="71"/>
  <c r="E76" i="110" s="1"/>
  <c r="F76" i="110" s="1"/>
  <c r="AO22" i="71"/>
  <c r="E88" i="110" s="1"/>
  <c r="F88" i="110" s="1"/>
  <c r="AO24" i="71"/>
  <c r="E100" i="110" s="1"/>
  <c r="F100" i="110" s="1"/>
  <c r="AO28" i="71"/>
  <c r="E124" i="110" s="1"/>
  <c r="F124" i="110" s="1"/>
  <c r="AO30" i="71"/>
  <c r="E136" i="110" s="1"/>
  <c r="F136" i="110" s="1"/>
  <c r="AO32" i="71"/>
  <c r="E148" i="110" s="1"/>
  <c r="F148" i="110" s="1"/>
  <c r="AO36" i="71"/>
  <c r="E172" i="110" s="1"/>
  <c r="F172" i="110" s="1"/>
  <c r="AO38" i="71"/>
  <c r="E184" i="110" s="1"/>
  <c r="F184" i="110" s="1"/>
  <c r="AO40" i="71"/>
  <c r="E196" i="110" s="1"/>
  <c r="F196" i="110" s="1"/>
  <c r="AN11" i="71"/>
  <c r="E21" i="110" s="1"/>
  <c r="F21" i="110" s="1"/>
  <c r="AN13" i="71"/>
  <c r="E33" i="110" s="1"/>
  <c r="F33" i="110" s="1"/>
  <c r="AN15" i="71"/>
  <c r="E45" i="110" s="1"/>
  <c r="F45" i="110" s="1"/>
  <c r="AN19" i="71"/>
  <c r="E69" i="110" s="1"/>
  <c r="F69" i="110" s="1"/>
  <c r="AN21" i="71"/>
  <c r="E81" i="110" s="1"/>
  <c r="F81" i="110" s="1"/>
  <c r="AN23" i="71"/>
  <c r="E93" i="110" s="1"/>
  <c r="F93" i="110" s="1"/>
  <c r="AN27" i="71"/>
  <c r="E117" i="110" s="1"/>
  <c r="F117" i="110" s="1"/>
  <c r="AN29" i="71"/>
  <c r="E129" i="110" s="1"/>
  <c r="F129" i="110" s="1"/>
  <c r="AN31" i="71"/>
  <c r="E141" i="110" s="1"/>
  <c r="F141" i="110" s="1"/>
  <c r="AN35" i="71"/>
  <c r="E165" i="110" s="1"/>
  <c r="F165" i="110" s="1"/>
  <c r="AN37" i="71"/>
  <c r="E177" i="110" s="1"/>
  <c r="F177" i="110" s="1"/>
  <c r="AN39" i="71"/>
  <c r="E189" i="110" s="1"/>
  <c r="F189" i="110" s="1"/>
  <c r="AN43" i="71"/>
  <c r="E213" i="110" s="1"/>
  <c r="F213" i="110" s="1"/>
  <c r="AM12" i="71"/>
  <c r="E26" i="110" s="1"/>
  <c r="F26" i="110" s="1"/>
  <c r="AM14" i="71"/>
  <c r="E38" i="110" s="1"/>
  <c r="F38" i="110" s="1"/>
  <c r="AM16" i="71"/>
  <c r="E50" i="110" s="1"/>
  <c r="F50" i="110" s="1"/>
  <c r="AM20" i="71"/>
  <c r="E74" i="110" s="1"/>
  <c r="F74" i="110" s="1"/>
  <c r="AM22" i="71"/>
  <c r="E86" i="110" s="1"/>
  <c r="F86" i="110" s="1"/>
  <c r="AM24" i="71"/>
  <c r="E98" i="110" s="1"/>
  <c r="F98" i="110" s="1"/>
  <c r="AM28" i="71"/>
  <c r="E122" i="110" s="1"/>
  <c r="F122" i="110" s="1"/>
  <c r="AM30" i="71"/>
  <c r="E134" i="110" s="1"/>
  <c r="F134" i="110" s="1"/>
  <c r="AM32" i="71"/>
  <c r="E146" i="110" s="1"/>
  <c r="F146" i="110" s="1"/>
  <c r="AM36" i="71"/>
  <c r="E170" i="110" s="1"/>
  <c r="F170" i="110" s="1"/>
  <c r="AM38" i="71"/>
  <c r="E182" i="110" s="1"/>
  <c r="F182" i="110" s="1"/>
  <c r="AM40" i="71"/>
  <c r="E194" i="110" s="1"/>
  <c r="F194" i="110" s="1"/>
  <c r="AM9" i="71"/>
  <c r="E8" i="110" s="1"/>
  <c r="AL13" i="71"/>
  <c r="E31" i="110" s="1"/>
  <c r="F31" i="110" s="1"/>
  <c r="AL15" i="71"/>
  <c r="E43" i="110" s="1"/>
  <c r="F43" i="110" s="1"/>
  <c r="AL17" i="71"/>
  <c r="E55" i="110" s="1"/>
  <c r="F55" i="110" s="1"/>
  <c r="AL21" i="71"/>
  <c r="E79" i="110" s="1"/>
  <c r="F79" i="110" s="1"/>
  <c r="AL23" i="71"/>
  <c r="E91" i="110" s="1"/>
  <c r="F91" i="110" s="1"/>
  <c r="AL25" i="71"/>
  <c r="E103" i="110" s="1"/>
  <c r="F103" i="110" s="1"/>
  <c r="AL29" i="71"/>
  <c r="E127" i="110" s="1"/>
  <c r="F127" i="110" s="1"/>
  <c r="AL31" i="71"/>
  <c r="E139" i="110" s="1"/>
  <c r="F139" i="110" s="1"/>
  <c r="AL33" i="71"/>
  <c r="E151" i="110" s="1"/>
  <c r="F151" i="110" s="1"/>
  <c r="AL37" i="71"/>
  <c r="E175" i="110" s="1"/>
  <c r="F175" i="110" s="1"/>
  <c r="AL39" i="71"/>
  <c r="E187" i="110" s="1"/>
  <c r="F187" i="110" s="1"/>
  <c r="AL41" i="71"/>
  <c r="E199" i="110" s="1"/>
  <c r="F199" i="110" s="1"/>
  <c r="Y43" i="71"/>
  <c r="Y42" i="71"/>
  <c r="Y41" i="71"/>
  <c r="Y40" i="71"/>
  <c r="Y39" i="71"/>
  <c r="Y38" i="71"/>
  <c r="Y37" i="71"/>
  <c r="Y36" i="71"/>
  <c r="Y35" i="71"/>
  <c r="Y34" i="71"/>
  <c r="Y33" i="71"/>
  <c r="Y32" i="71"/>
  <c r="Y31" i="71"/>
  <c r="Y30" i="71"/>
  <c r="Y29" i="71"/>
  <c r="Y28" i="71"/>
  <c r="Y27" i="71"/>
  <c r="Y26" i="71"/>
  <c r="Y25" i="71"/>
  <c r="Y24" i="71"/>
  <c r="Y23" i="71"/>
  <c r="Y22" i="71"/>
  <c r="Y21" i="71"/>
  <c r="Y20" i="71"/>
  <c r="Y19" i="71"/>
  <c r="Y18" i="71"/>
  <c r="Y17" i="71"/>
  <c r="Y16" i="71"/>
  <c r="Y15" i="71"/>
  <c r="Y14" i="71"/>
  <c r="Y13" i="71"/>
  <c r="Y12" i="71"/>
  <c r="Y11" i="71"/>
  <c r="Y10" i="71"/>
  <c r="Y9" i="71"/>
  <c r="T43" i="71"/>
  <c r="T42" i="71"/>
  <c r="T41" i="71"/>
  <c r="T40" i="71"/>
  <c r="T39" i="71"/>
  <c r="T38" i="71"/>
  <c r="T37" i="71"/>
  <c r="T36" i="71"/>
  <c r="T35" i="71"/>
  <c r="T34" i="71"/>
  <c r="T33" i="71"/>
  <c r="T32" i="71"/>
  <c r="T31" i="71"/>
  <c r="T30" i="71"/>
  <c r="T29" i="71"/>
  <c r="T28" i="71"/>
  <c r="T27" i="71"/>
  <c r="T26" i="71"/>
  <c r="T25" i="71"/>
  <c r="T24" i="71"/>
  <c r="T23" i="71"/>
  <c r="T22" i="71"/>
  <c r="T21" i="71"/>
  <c r="T20" i="71"/>
  <c r="T19" i="71"/>
  <c r="T18" i="71"/>
  <c r="T17" i="71"/>
  <c r="T16" i="71"/>
  <c r="T15" i="71"/>
  <c r="T14" i="71"/>
  <c r="T13" i="71"/>
  <c r="T12" i="71"/>
  <c r="T11" i="71"/>
  <c r="T10" i="71"/>
  <c r="T9" i="71"/>
  <c r="O43" i="71"/>
  <c r="O42" i="71"/>
  <c r="O41" i="71"/>
  <c r="O40" i="71"/>
  <c r="O39" i="71"/>
  <c r="O38" i="71"/>
  <c r="O37" i="71"/>
  <c r="O36" i="71"/>
  <c r="O35" i="71"/>
  <c r="O34" i="71"/>
  <c r="O33" i="71"/>
  <c r="O32" i="71"/>
  <c r="O31" i="71"/>
  <c r="O30" i="71"/>
  <c r="O29" i="71"/>
  <c r="O28" i="71"/>
  <c r="O27" i="71"/>
  <c r="O26" i="71"/>
  <c r="O25" i="71"/>
  <c r="O24" i="71"/>
  <c r="O23" i="71"/>
  <c r="O22" i="71"/>
  <c r="O21" i="71"/>
  <c r="O20" i="71"/>
  <c r="O19" i="71"/>
  <c r="O18" i="71"/>
  <c r="O17" i="71"/>
  <c r="O16" i="71"/>
  <c r="O15" i="71"/>
  <c r="O14" i="71"/>
  <c r="O13" i="71"/>
  <c r="O12" i="71"/>
  <c r="O11" i="71"/>
  <c r="O10" i="71"/>
  <c r="O9" i="71"/>
  <c r="J10" i="71"/>
  <c r="J11" i="71"/>
  <c r="J12" i="71"/>
  <c r="J13" i="71"/>
  <c r="J14" i="71"/>
  <c r="J15" i="71"/>
  <c r="J16" i="71"/>
  <c r="J17" i="71"/>
  <c r="J18" i="71"/>
  <c r="J19" i="71"/>
  <c r="J20" i="71"/>
  <c r="J21" i="71"/>
  <c r="J22" i="71"/>
  <c r="J23" i="71"/>
  <c r="J24" i="71"/>
  <c r="J25" i="71"/>
  <c r="J26" i="71"/>
  <c r="J27" i="71"/>
  <c r="J28" i="71"/>
  <c r="J29" i="71"/>
  <c r="J30" i="71"/>
  <c r="J31" i="71"/>
  <c r="J32" i="71"/>
  <c r="J33" i="71"/>
  <c r="J34" i="71"/>
  <c r="J35" i="71"/>
  <c r="J36" i="71"/>
  <c r="J37" i="71"/>
  <c r="J38" i="71"/>
  <c r="J39" i="71"/>
  <c r="J40" i="71"/>
  <c r="J41" i="71"/>
  <c r="J42" i="71"/>
  <c r="J43" i="71"/>
  <c r="J9" i="71"/>
  <c r="I127" i="110" l="1"/>
  <c r="J127" i="110"/>
  <c r="J55" i="110"/>
  <c r="I55" i="110"/>
  <c r="J74" i="110"/>
  <c r="I74" i="110"/>
  <c r="J81" i="110"/>
  <c r="I81" i="110"/>
  <c r="J88" i="110"/>
  <c r="I88" i="110"/>
  <c r="J95" i="110"/>
  <c r="I95" i="110"/>
  <c r="J160" i="110"/>
  <c r="I160" i="110"/>
  <c r="I105" i="110"/>
  <c r="J105" i="110"/>
  <c r="T147" i="76"/>
  <c r="U147" i="76" s="1"/>
  <c r="L150" i="76"/>
  <c r="M150" i="76"/>
  <c r="K150" i="76"/>
  <c r="L287" i="109"/>
  <c r="M287" i="109"/>
  <c r="K287" i="109"/>
  <c r="K148" i="76"/>
  <c r="L148" i="76"/>
  <c r="M148" i="76"/>
  <c r="M158" i="76"/>
  <c r="K158" i="76"/>
  <c r="T155" i="76"/>
  <c r="U155" i="76" s="1"/>
  <c r="L158" i="76"/>
  <c r="I151" i="110"/>
  <c r="J151" i="110"/>
  <c r="I91" i="110"/>
  <c r="J91" i="110"/>
  <c r="I31" i="110"/>
  <c r="J31" i="110"/>
  <c r="J170" i="110"/>
  <c r="I170" i="110"/>
  <c r="J98" i="110"/>
  <c r="I98" i="110"/>
  <c r="J38" i="110"/>
  <c r="I38" i="110"/>
  <c r="J177" i="110"/>
  <c r="I177" i="110"/>
  <c r="I117" i="110"/>
  <c r="J117" i="110"/>
  <c r="I45" i="110"/>
  <c r="J45" i="110"/>
  <c r="I184" i="110"/>
  <c r="J184" i="110"/>
  <c r="I124" i="110"/>
  <c r="J124" i="110"/>
  <c r="I52" i="110"/>
  <c r="J52" i="110"/>
  <c r="J191" i="110"/>
  <c r="I191" i="110"/>
  <c r="I131" i="110"/>
  <c r="J131" i="110"/>
  <c r="J71" i="110"/>
  <c r="I71" i="110"/>
  <c r="J211" i="110"/>
  <c r="I211" i="110"/>
  <c r="J201" i="110"/>
  <c r="I201" i="110"/>
  <c r="I155" i="110"/>
  <c r="J155" i="110"/>
  <c r="J110" i="110"/>
  <c r="I110" i="110"/>
  <c r="J64" i="110"/>
  <c r="I64" i="110"/>
  <c r="I19" i="110"/>
  <c r="J19" i="110"/>
  <c r="L152" i="76"/>
  <c r="M152" i="76"/>
  <c r="K152" i="76"/>
  <c r="M274" i="109"/>
  <c r="K274" i="109"/>
  <c r="L274" i="109"/>
  <c r="AA268" i="109" s="1"/>
  <c r="Z268" i="109"/>
  <c r="M280" i="109"/>
  <c r="K280" i="109"/>
  <c r="L280" i="109"/>
  <c r="L273" i="109"/>
  <c r="M273" i="109"/>
  <c r="K273" i="109"/>
  <c r="M259" i="109"/>
  <c r="K259" i="109"/>
  <c r="L259" i="109"/>
  <c r="I134" i="110"/>
  <c r="J134" i="110"/>
  <c r="I141" i="110"/>
  <c r="J141" i="110"/>
  <c r="J148" i="110"/>
  <c r="I148" i="110"/>
  <c r="I28" i="110"/>
  <c r="J28" i="110"/>
  <c r="J206" i="110"/>
  <c r="I206" i="110"/>
  <c r="J59" i="110"/>
  <c r="I59" i="110"/>
  <c r="K162" i="76"/>
  <c r="T159" i="76"/>
  <c r="U159" i="76" s="1"/>
  <c r="L162" i="76"/>
  <c r="M162" i="76"/>
  <c r="M281" i="109"/>
  <c r="K281" i="109"/>
  <c r="Z275" i="109"/>
  <c r="L281" i="109"/>
  <c r="AA275" i="109" s="1"/>
  <c r="J199" i="110"/>
  <c r="I199" i="110"/>
  <c r="J139" i="110"/>
  <c r="I139" i="110"/>
  <c r="I79" i="110"/>
  <c r="J79" i="110"/>
  <c r="J146" i="110"/>
  <c r="I146" i="110"/>
  <c r="J86" i="110"/>
  <c r="I86" i="110"/>
  <c r="J26" i="110"/>
  <c r="I26" i="110"/>
  <c r="J165" i="110"/>
  <c r="I165" i="110"/>
  <c r="J93" i="110"/>
  <c r="I93" i="110"/>
  <c r="J33" i="110"/>
  <c r="I33" i="110"/>
  <c r="J172" i="110"/>
  <c r="I172" i="110"/>
  <c r="J100" i="110"/>
  <c r="I100" i="110"/>
  <c r="I40" i="110"/>
  <c r="J40" i="110"/>
  <c r="J179" i="110"/>
  <c r="I179" i="110"/>
  <c r="I119" i="110"/>
  <c r="J119" i="110"/>
  <c r="I47" i="110"/>
  <c r="J47" i="110"/>
  <c r="J208" i="110"/>
  <c r="I208" i="110"/>
  <c r="I163" i="110"/>
  <c r="J163" i="110"/>
  <c r="I153" i="110"/>
  <c r="J153" i="110"/>
  <c r="I107" i="110"/>
  <c r="J107" i="110"/>
  <c r="I62" i="110"/>
  <c r="J62" i="110"/>
  <c r="J16" i="110"/>
  <c r="I16" i="110"/>
  <c r="BK39" i="71"/>
  <c r="BK25" i="71"/>
  <c r="J288" i="109"/>
  <c r="M164" i="76"/>
  <c r="K164" i="76"/>
  <c r="L164" i="76"/>
  <c r="J166" i="76"/>
  <c r="J187" i="110"/>
  <c r="I187" i="110"/>
  <c r="J194" i="110"/>
  <c r="I194" i="110"/>
  <c r="I213" i="110"/>
  <c r="J213" i="110"/>
  <c r="J21" i="110"/>
  <c r="I21" i="110"/>
  <c r="I167" i="110"/>
  <c r="J167" i="110"/>
  <c r="J35" i="110"/>
  <c r="I35" i="110"/>
  <c r="J115" i="110"/>
  <c r="I115" i="110"/>
  <c r="J14" i="110"/>
  <c r="I14" i="110"/>
  <c r="M160" i="76"/>
  <c r="K160" i="76"/>
  <c r="L160" i="76"/>
  <c r="K266" i="109"/>
  <c r="L266" i="109"/>
  <c r="M266" i="109"/>
  <c r="I175" i="110"/>
  <c r="J175" i="110"/>
  <c r="J103" i="110"/>
  <c r="I103" i="110"/>
  <c r="J43" i="110"/>
  <c r="I43" i="110"/>
  <c r="I182" i="110"/>
  <c r="J182" i="110"/>
  <c r="J122" i="110"/>
  <c r="I122" i="110"/>
  <c r="J50" i="110"/>
  <c r="I50" i="110"/>
  <c r="J189" i="110"/>
  <c r="I189" i="110"/>
  <c r="J129" i="110"/>
  <c r="I129" i="110"/>
  <c r="I69" i="110"/>
  <c r="J69" i="110"/>
  <c r="J196" i="110"/>
  <c r="I196" i="110"/>
  <c r="I136" i="110"/>
  <c r="J136" i="110"/>
  <c r="I76" i="110"/>
  <c r="J76" i="110"/>
  <c r="I215" i="110"/>
  <c r="J215" i="110"/>
  <c r="J143" i="110"/>
  <c r="I143" i="110"/>
  <c r="I83" i="110"/>
  <c r="J83" i="110"/>
  <c r="J23" i="110"/>
  <c r="I23" i="110"/>
  <c r="J203" i="110"/>
  <c r="I203" i="110"/>
  <c r="I158" i="110"/>
  <c r="J158" i="110"/>
  <c r="J112" i="110"/>
  <c r="I112" i="110"/>
  <c r="I67" i="110"/>
  <c r="J67" i="110"/>
  <c r="J57" i="110"/>
  <c r="I57" i="110"/>
  <c r="BK33" i="71"/>
  <c r="M156" i="76"/>
  <c r="L156" i="76"/>
  <c r="K156" i="76"/>
  <c r="J154" i="76"/>
  <c r="J267" i="109"/>
  <c r="K260" i="109"/>
  <c r="Z254" i="109"/>
  <c r="L260" i="109"/>
  <c r="AA254" i="109" s="1"/>
  <c r="M260" i="109"/>
  <c r="C44" i="130"/>
  <c r="L44" i="130" s="1"/>
  <c r="C42" i="130"/>
  <c r="L42" i="130" s="1"/>
  <c r="C40" i="130"/>
  <c r="G18" i="128"/>
  <c r="R43" i="133"/>
  <c r="S43" i="133" s="1"/>
  <c r="G34" i="128"/>
  <c r="R91" i="133"/>
  <c r="S91" i="133" s="1"/>
  <c r="G38" i="128"/>
  <c r="R103" i="133"/>
  <c r="S103" i="133" s="1"/>
  <c r="G10" i="128"/>
  <c r="R19" i="133"/>
  <c r="S19" i="133" s="1"/>
  <c r="G26" i="128"/>
  <c r="R67" i="133"/>
  <c r="S67" i="133" s="1"/>
  <c r="F40" i="128"/>
  <c r="L43" i="130"/>
  <c r="L41" i="130"/>
  <c r="F45" i="128"/>
  <c r="L45" i="128" s="1"/>
  <c r="L45" i="130"/>
  <c r="P5" i="111"/>
  <c r="M166" i="147"/>
  <c r="K166" i="147"/>
  <c r="L166" i="147"/>
  <c r="M46" i="147"/>
  <c r="K46" i="147"/>
  <c r="L46" i="147"/>
  <c r="X339" i="59"/>
  <c r="Y339" i="59"/>
  <c r="AT330" i="59" s="1"/>
  <c r="X399" i="59"/>
  <c r="Y399" i="59"/>
  <c r="AT390" i="59" s="1"/>
  <c r="Y379" i="59"/>
  <c r="AT370" i="59" s="1"/>
  <c r="X379" i="59"/>
  <c r="Y329" i="59"/>
  <c r="AT320" i="59" s="1"/>
  <c r="X329" i="59"/>
  <c r="Y409" i="59"/>
  <c r="AT400" i="59" s="1"/>
  <c r="X409" i="59"/>
  <c r="X389" i="59"/>
  <c r="Y389" i="59"/>
  <c r="AT380" i="59" s="1"/>
  <c r="X349" i="59"/>
  <c r="Y349" i="59"/>
  <c r="AT340" i="59" s="1"/>
  <c r="Y359" i="59"/>
  <c r="AT350" i="59" s="1"/>
  <c r="X359" i="59"/>
  <c r="Y319" i="59"/>
  <c r="AT310" i="59" s="1"/>
  <c r="X319" i="59"/>
  <c r="X369" i="59"/>
  <c r="Y369" i="59"/>
  <c r="AT360" i="59" s="1"/>
  <c r="BH41" i="71"/>
  <c r="BH27" i="71"/>
  <c r="BK13" i="71"/>
  <c r="BH37" i="71"/>
  <c r="BH31" i="71"/>
  <c r="BH23" i="71"/>
  <c r="BK31" i="71"/>
  <c r="BK27" i="71"/>
  <c r="BK23" i="71"/>
  <c r="BH17" i="71"/>
  <c r="BH15" i="71"/>
  <c r="BH13" i="71"/>
  <c r="BK9" i="71"/>
  <c r="BK41" i="71"/>
  <c r="BK37" i="71"/>
  <c r="BA43" i="71"/>
  <c r="BA42" i="71"/>
  <c r="BA41" i="71"/>
  <c r="BA40" i="71"/>
  <c r="AL10" i="71"/>
  <c r="E13" i="110" s="1"/>
  <c r="F13" i="110" s="1"/>
  <c r="AL9" i="71"/>
  <c r="E7" i="110" s="1"/>
  <c r="AL42" i="71"/>
  <c r="E205" i="110" s="1"/>
  <c r="F205" i="110" s="1"/>
  <c r="AL40" i="71"/>
  <c r="E193" i="110" s="1"/>
  <c r="F193" i="110" s="1"/>
  <c r="AL38" i="71"/>
  <c r="E181" i="110" s="1"/>
  <c r="F181" i="110" s="1"/>
  <c r="AL36" i="71"/>
  <c r="E169" i="110" s="1"/>
  <c r="F169" i="110" s="1"/>
  <c r="AL34" i="71"/>
  <c r="E157" i="110" s="1"/>
  <c r="F157" i="110" s="1"/>
  <c r="AL32" i="71"/>
  <c r="E145" i="110" s="1"/>
  <c r="F145" i="110" s="1"/>
  <c r="AL30" i="71"/>
  <c r="E133" i="110" s="1"/>
  <c r="F133" i="110" s="1"/>
  <c r="AL28" i="71"/>
  <c r="E121" i="110" s="1"/>
  <c r="F121" i="110" s="1"/>
  <c r="AL26" i="71"/>
  <c r="E109" i="110" s="1"/>
  <c r="F109" i="110" s="1"/>
  <c r="AL24" i="71"/>
  <c r="E97" i="110" s="1"/>
  <c r="F97" i="110" s="1"/>
  <c r="AL22" i="71"/>
  <c r="E85" i="110" s="1"/>
  <c r="F85" i="110" s="1"/>
  <c r="AL20" i="71"/>
  <c r="E73" i="110" s="1"/>
  <c r="F73" i="110" s="1"/>
  <c r="AL18" i="71"/>
  <c r="E61" i="110" s="1"/>
  <c r="F61" i="110" s="1"/>
  <c r="AL16" i="71"/>
  <c r="E49" i="110" s="1"/>
  <c r="F49" i="110" s="1"/>
  <c r="AL14" i="71"/>
  <c r="E37" i="110" s="1"/>
  <c r="F37" i="110" s="1"/>
  <c r="AL12" i="71"/>
  <c r="E25" i="110" s="1"/>
  <c r="F25" i="110" s="1"/>
  <c r="AM43" i="71"/>
  <c r="E212" i="110" s="1"/>
  <c r="F212" i="110" s="1"/>
  <c r="AM41" i="71"/>
  <c r="E200" i="110" s="1"/>
  <c r="F200" i="110" s="1"/>
  <c r="AM39" i="71"/>
  <c r="E188" i="110" s="1"/>
  <c r="F188" i="110" s="1"/>
  <c r="AM37" i="71"/>
  <c r="E176" i="110" s="1"/>
  <c r="F176" i="110" s="1"/>
  <c r="AM35" i="71"/>
  <c r="E164" i="110" s="1"/>
  <c r="F164" i="110" s="1"/>
  <c r="AM33" i="71"/>
  <c r="E152" i="110" s="1"/>
  <c r="F152" i="110" s="1"/>
  <c r="BA37" i="71"/>
  <c r="BA36" i="71"/>
  <c r="BA35" i="71"/>
  <c r="BA34" i="71"/>
  <c r="BA33" i="71"/>
  <c r="BA32" i="71"/>
  <c r="BA31" i="71"/>
  <c r="BA30" i="71"/>
  <c r="BA29" i="71"/>
  <c r="AM31" i="71"/>
  <c r="E140" i="110" s="1"/>
  <c r="F140" i="110" s="1"/>
  <c r="AM29" i="71"/>
  <c r="E128" i="110" s="1"/>
  <c r="F128" i="110" s="1"/>
  <c r="AM27" i="71"/>
  <c r="E116" i="110" s="1"/>
  <c r="F116" i="110" s="1"/>
  <c r="AM25" i="71"/>
  <c r="E104" i="110" s="1"/>
  <c r="F104" i="110" s="1"/>
  <c r="AM23" i="71"/>
  <c r="E92" i="110" s="1"/>
  <c r="F92" i="110" s="1"/>
  <c r="AM21" i="71"/>
  <c r="E80" i="110" s="1"/>
  <c r="F80" i="110" s="1"/>
  <c r="AM19" i="71"/>
  <c r="E68" i="110" s="1"/>
  <c r="F68" i="110" s="1"/>
  <c r="AM17" i="71"/>
  <c r="E56" i="110" s="1"/>
  <c r="F56" i="110" s="1"/>
  <c r="AM15" i="71"/>
  <c r="E44" i="110" s="1"/>
  <c r="F44" i="110" s="1"/>
  <c r="AM13" i="71"/>
  <c r="E32" i="110" s="1"/>
  <c r="F32" i="110" s="1"/>
  <c r="AM11" i="71"/>
  <c r="E20" i="110" s="1"/>
  <c r="F20" i="110" s="1"/>
  <c r="AN42" i="71"/>
  <c r="E207" i="110" s="1"/>
  <c r="F207" i="110" s="1"/>
  <c r="AN40" i="71"/>
  <c r="E195" i="110" s="1"/>
  <c r="F195" i="110" s="1"/>
  <c r="AN38" i="71"/>
  <c r="E183" i="110" s="1"/>
  <c r="F183" i="110" s="1"/>
  <c r="AN36" i="71"/>
  <c r="E171" i="110" s="1"/>
  <c r="F171" i="110" s="1"/>
  <c r="AN34" i="71"/>
  <c r="E159" i="110" s="1"/>
  <c r="F159" i="110" s="1"/>
  <c r="AN32" i="71"/>
  <c r="E147" i="110" s="1"/>
  <c r="F147" i="110" s="1"/>
  <c r="AN30" i="71"/>
  <c r="E135" i="110" s="1"/>
  <c r="F135" i="110" s="1"/>
  <c r="AN28" i="71"/>
  <c r="E123" i="110" s="1"/>
  <c r="F123" i="110" s="1"/>
  <c r="AN26" i="71"/>
  <c r="E111" i="110" s="1"/>
  <c r="F111" i="110" s="1"/>
  <c r="AN24" i="71"/>
  <c r="E99" i="110" s="1"/>
  <c r="F99" i="110" s="1"/>
  <c r="AN22" i="71"/>
  <c r="E87" i="110" s="1"/>
  <c r="F87" i="110" s="1"/>
  <c r="AN20" i="71"/>
  <c r="E75" i="110" s="1"/>
  <c r="F75" i="110" s="1"/>
  <c r="AN18" i="71"/>
  <c r="E63" i="110" s="1"/>
  <c r="F63" i="110" s="1"/>
  <c r="AN16" i="71"/>
  <c r="E51" i="110" s="1"/>
  <c r="F51" i="110" s="1"/>
  <c r="AN14" i="71"/>
  <c r="E39" i="110" s="1"/>
  <c r="F39" i="110" s="1"/>
  <c r="AN12" i="71"/>
  <c r="E27" i="110" s="1"/>
  <c r="F27" i="110" s="1"/>
  <c r="AN10" i="71"/>
  <c r="E15" i="110" s="1"/>
  <c r="F15" i="110" s="1"/>
  <c r="AO43" i="71"/>
  <c r="E214" i="110" s="1"/>
  <c r="F214" i="110" s="1"/>
  <c r="AO41" i="71"/>
  <c r="E202" i="110" s="1"/>
  <c r="F202" i="110" s="1"/>
  <c r="AO39" i="71"/>
  <c r="E190" i="110" s="1"/>
  <c r="F190" i="110" s="1"/>
  <c r="AO37" i="71"/>
  <c r="E178" i="110" s="1"/>
  <c r="F178" i="110" s="1"/>
  <c r="AO35" i="71"/>
  <c r="E166" i="110" s="1"/>
  <c r="F166" i="110" s="1"/>
  <c r="AO33" i="71"/>
  <c r="E154" i="110" s="1"/>
  <c r="F154" i="110" s="1"/>
  <c r="AO31" i="71"/>
  <c r="E142" i="110" s="1"/>
  <c r="F142" i="110" s="1"/>
  <c r="AO29" i="71"/>
  <c r="E130" i="110" s="1"/>
  <c r="F130" i="110" s="1"/>
  <c r="AO27" i="71"/>
  <c r="E118" i="110" s="1"/>
  <c r="F118" i="110" s="1"/>
  <c r="AO25" i="71"/>
  <c r="E106" i="110" s="1"/>
  <c r="F106" i="110" s="1"/>
  <c r="AO23" i="71"/>
  <c r="E94" i="110" s="1"/>
  <c r="F94" i="110" s="1"/>
  <c r="AO21" i="71"/>
  <c r="E82" i="110" s="1"/>
  <c r="F82" i="110" s="1"/>
  <c r="AO19" i="71"/>
  <c r="E70" i="110" s="1"/>
  <c r="F70" i="110" s="1"/>
  <c r="AO17" i="71"/>
  <c r="E58" i="110" s="1"/>
  <c r="F58" i="110" s="1"/>
  <c r="AO15" i="71"/>
  <c r="E46" i="110" s="1"/>
  <c r="F46" i="110" s="1"/>
  <c r="AO13" i="71"/>
  <c r="E34" i="110" s="1"/>
  <c r="F34" i="110" s="1"/>
  <c r="AO11" i="71"/>
  <c r="E22" i="110" s="1"/>
  <c r="F22" i="110" s="1"/>
  <c r="AU43" i="71"/>
  <c r="AU42" i="71"/>
  <c r="AU41" i="71"/>
  <c r="AU40" i="71"/>
  <c r="AU39" i="71"/>
  <c r="AU38" i="71"/>
  <c r="AU37" i="71"/>
  <c r="AU36" i="71"/>
  <c r="AU35" i="71"/>
  <c r="AU34" i="71"/>
  <c r="AU33" i="71"/>
  <c r="AU32" i="71"/>
  <c r="AU31" i="71"/>
  <c r="AU30" i="71"/>
  <c r="AU29" i="71"/>
  <c r="AU28" i="71"/>
  <c r="AU27" i="71"/>
  <c r="AU26" i="71"/>
  <c r="AU25" i="71"/>
  <c r="AU24" i="71"/>
  <c r="AU23" i="71"/>
  <c r="AU22" i="71"/>
  <c r="AU21" i="71"/>
  <c r="AU20" i="71"/>
  <c r="AU19" i="71"/>
  <c r="AU18" i="71"/>
  <c r="AU17" i="71"/>
  <c r="AU16" i="71"/>
  <c r="AU15" i="71"/>
  <c r="AU14" i="71"/>
  <c r="AU13" i="71"/>
  <c r="AU12" i="71"/>
  <c r="AU11" i="71"/>
  <c r="AU10" i="71"/>
  <c r="AX43" i="71"/>
  <c r="AX42" i="71"/>
  <c r="AX41" i="71"/>
  <c r="AX40" i="71"/>
  <c r="AX39" i="71"/>
  <c r="AX38" i="71"/>
  <c r="AX37" i="71"/>
  <c r="AX36" i="71"/>
  <c r="AX35" i="71"/>
  <c r="AX34" i="71"/>
  <c r="AX33" i="71"/>
  <c r="AX32" i="71"/>
  <c r="AX31" i="71"/>
  <c r="AX30" i="71"/>
  <c r="AX29" i="71"/>
  <c r="AX28" i="71"/>
  <c r="AX27" i="71"/>
  <c r="AX26" i="71"/>
  <c r="AX25" i="71"/>
  <c r="AX24" i="71"/>
  <c r="AX23" i="71"/>
  <c r="AX22" i="71"/>
  <c r="AX21" i="71"/>
  <c r="AX20" i="71"/>
  <c r="AX19" i="71"/>
  <c r="AX18" i="71"/>
  <c r="AX17" i="71"/>
  <c r="AX16" i="71"/>
  <c r="AX15" i="71"/>
  <c r="AX14" i="71"/>
  <c r="AX13" i="71"/>
  <c r="AX12" i="71"/>
  <c r="AX11" i="71"/>
  <c r="AU9" i="71"/>
  <c r="AX9" i="71"/>
  <c r="BA9" i="71"/>
  <c r="U212" i="114"/>
  <c r="V200" i="114"/>
  <c r="U188" i="114"/>
  <c r="W176" i="114"/>
  <c r="W152" i="114"/>
  <c r="W128" i="114"/>
  <c r="AX10" i="71"/>
  <c r="BA28" i="71"/>
  <c r="BQ10" i="71"/>
  <c r="BA27" i="71"/>
  <c r="U116" i="114"/>
  <c r="BA26" i="71"/>
  <c r="BA25" i="71"/>
  <c r="V104" i="114"/>
  <c r="BA24" i="71"/>
  <c r="W92" i="114"/>
  <c r="W80" i="114"/>
  <c r="W68" i="114"/>
  <c r="W56" i="114"/>
  <c r="V44" i="114"/>
  <c r="W32" i="114"/>
  <c r="W20" i="114"/>
  <c r="BN9" i="71"/>
  <c r="BQ9" i="71"/>
  <c r="V212" i="114"/>
  <c r="W188" i="114"/>
  <c r="BA23" i="71"/>
  <c r="BA22" i="71"/>
  <c r="BA21" i="71"/>
  <c r="BA20" i="71"/>
  <c r="BA19" i="71"/>
  <c r="BA18" i="71"/>
  <c r="BA17" i="71"/>
  <c r="BA16" i="71"/>
  <c r="BA15" i="71"/>
  <c r="BA14" i="71"/>
  <c r="BA13" i="71"/>
  <c r="BA12" i="71"/>
  <c r="BA11" i="71"/>
  <c r="BA10" i="71"/>
  <c r="BN42" i="71"/>
  <c r="BH42" i="71"/>
  <c r="BN40" i="71"/>
  <c r="BH40" i="71"/>
  <c r="BN38" i="71"/>
  <c r="BH38" i="71"/>
  <c r="BN36" i="71"/>
  <c r="BH36" i="71"/>
  <c r="BN34" i="71"/>
  <c r="BH34" i="71"/>
  <c r="BN32" i="71"/>
  <c r="BH32" i="71"/>
  <c r="BN30" i="71"/>
  <c r="BH30" i="71"/>
  <c r="BN28" i="71"/>
  <c r="BH28" i="71"/>
  <c r="BN26" i="71"/>
  <c r="BH26" i="71"/>
  <c r="BN24" i="71"/>
  <c r="BH24" i="71"/>
  <c r="BN22" i="71"/>
  <c r="BH22" i="71"/>
  <c r="BN20" i="71"/>
  <c r="BH20" i="71"/>
  <c r="BN18" i="71"/>
  <c r="BH18" i="71"/>
  <c r="BN16" i="71"/>
  <c r="BH16" i="71"/>
  <c r="BN14" i="71"/>
  <c r="BH14" i="71"/>
  <c r="BN12" i="71"/>
  <c r="BH12" i="71"/>
  <c r="BN10" i="71"/>
  <c r="BH10" i="71"/>
  <c r="BH9" i="71"/>
  <c r="BQ43" i="71"/>
  <c r="BK42" i="71"/>
  <c r="BQ41" i="71"/>
  <c r="BK40" i="71"/>
  <c r="BQ39" i="71"/>
  <c r="BK38" i="71"/>
  <c r="BQ37" i="71"/>
  <c r="BK36" i="71"/>
  <c r="BQ35" i="71"/>
  <c r="BK34" i="71"/>
  <c r="BQ33" i="71"/>
  <c r="BK32" i="71"/>
  <c r="BQ31" i="71"/>
  <c r="BK30" i="71"/>
  <c r="BQ29" i="71"/>
  <c r="BK28" i="71"/>
  <c r="BQ27" i="71"/>
  <c r="BK26" i="71"/>
  <c r="BQ25" i="71"/>
  <c r="BK24" i="71"/>
  <c r="BQ23" i="71"/>
  <c r="BK22" i="71"/>
  <c r="BQ21" i="71"/>
  <c r="BK20" i="71"/>
  <c r="BQ19" i="71"/>
  <c r="BK18" i="71"/>
  <c r="BQ17" i="71"/>
  <c r="BK16" i="71"/>
  <c r="BQ15" i="71"/>
  <c r="BK14" i="71"/>
  <c r="BQ13" i="71"/>
  <c r="BK12" i="71"/>
  <c r="BQ11" i="71"/>
  <c r="BK10" i="71"/>
  <c r="M21" i="133"/>
  <c r="K21" i="133"/>
  <c r="L21" i="133"/>
  <c r="L45" i="133"/>
  <c r="K45" i="133"/>
  <c r="M45" i="133"/>
  <c r="L105" i="133"/>
  <c r="K105" i="133"/>
  <c r="M105" i="133"/>
  <c r="L93" i="133"/>
  <c r="K93" i="133"/>
  <c r="M93" i="133"/>
  <c r="J57" i="133"/>
  <c r="M69" i="133"/>
  <c r="K69" i="133"/>
  <c r="L69" i="133"/>
  <c r="J33" i="133"/>
  <c r="J81" i="133"/>
  <c r="J15" i="133"/>
  <c r="J117" i="133"/>
  <c r="R115" i="133" s="1"/>
  <c r="S115" i="133" s="1"/>
  <c r="AU187" i="86"/>
  <c r="AV187" i="86" s="1"/>
  <c r="X294" i="86"/>
  <c r="F29" i="130" s="1"/>
  <c r="AU283" i="86"/>
  <c r="AV283" i="86" s="1"/>
  <c r="V78" i="86"/>
  <c r="U78" i="86"/>
  <c r="V126" i="86"/>
  <c r="U126" i="86"/>
  <c r="U246" i="86"/>
  <c r="V246" i="86"/>
  <c r="V342" i="86"/>
  <c r="U342" i="86"/>
  <c r="V162" i="86"/>
  <c r="U162" i="86"/>
  <c r="U354" i="86"/>
  <c r="V354" i="86"/>
  <c r="V54" i="86"/>
  <c r="U54" i="86"/>
  <c r="V366" i="86"/>
  <c r="U366" i="86"/>
  <c r="V462" i="86"/>
  <c r="U462" i="86"/>
  <c r="V114" i="86"/>
  <c r="U114" i="86"/>
  <c r="V186" i="86"/>
  <c r="U186" i="86"/>
  <c r="V282" i="86"/>
  <c r="U282" i="86"/>
  <c r="U378" i="86"/>
  <c r="V378" i="86"/>
  <c r="V138" i="86"/>
  <c r="U138" i="86"/>
  <c r="V306" i="86"/>
  <c r="U306" i="86"/>
  <c r="V30" i="86"/>
  <c r="U30" i="86"/>
  <c r="U222" i="86"/>
  <c r="V222" i="86"/>
  <c r="V318" i="86"/>
  <c r="U318" i="86"/>
  <c r="U414" i="86"/>
  <c r="V414" i="86"/>
  <c r="V474" i="86"/>
  <c r="U474" i="86"/>
  <c r="V42" i="86"/>
  <c r="U42" i="86"/>
  <c r="U486" i="86"/>
  <c r="V486" i="86"/>
  <c r="L286" i="84"/>
  <c r="K286" i="84"/>
  <c r="M286" i="84"/>
  <c r="L326" i="84"/>
  <c r="K326" i="84"/>
  <c r="M326" i="84"/>
  <c r="V198" i="86"/>
  <c r="U198" i="86"/>
  <c r="U294" i="86"/>
  <c r="V294" i="86"/>
  <c r="V390" i="86"/>
  <c r="U390" i="86"/>
  <c r="U438" i="86"/>
  <c r="V438" i="86"/>
  <c r="V90" i="86"/>
  <c r="U90" i="86"/>
  <c r="V258" i="86"/>
  <c r="U258" i="86"/>
  <c r="V450" i="86"/>
  <c r="U450" i="86"/>
  <c r="U270" i="86"/>
  <c r="V270" i="86"/>
  <c r="V66" i="86"/>
  <c r="U66" i="86"/>
  <c r="V150" i="86"/>
  <c r="U150" i="86"/>
  <c r="V234" i="86"/>
  <c r="U234" i="86"/>
  <c r="U330" i="86"/>
  <c r="V330" i="86"/>
  <c r="U426" i="86"/>
  <c r="V426" i="86"/>
  <c r="V210" i="86"/>
  <c r="U210" i="86"/>
  <c r="V402" i="86"/>
  <c r="U402" i="86"/>
  <c r="V102" i="86"/>
  <c r="U102" i="86"/>
  <c r="AP42" i="71"/>
  <c r="E209" i="110" s="1"/>
  <c r="F209" i="110" s="1"/>
  <c r="AP40" i="71"/>
  <c r="E197" i="110" s="1"/>
  <c r="F197" i="110" s="1"/>
  <c r="AP38" i="71"/>
  <c r="E185" i="110" s="1"/>
  <c r="F185" i="110" s="1"/>
  <c r="AP36" i="71"/>
  <c r="E173" i="110" s="1"/>
  <c r="F173" i="110" s="1"/>
  <c r="AP34" i="71"/>
  <c r="E161" i="110" s="1"/>
  <c r="F161" i="110" s="1"/>
  <c r="AP32" i="71"/>
  <c r="E149" i="110" s="1"/>
  <c r="F149" i="110" s="1"/>
  <c r="AP30" i="71"/>
  <c r="E137" i="110" s="1"/>
  <c r="F137" i="110" s="1"/>
  <c r="AP28" i="71"/>
  <c r="E125" i="110" s="1"/>
  <c r="F125" i="110" s="1"/>
  <c r="AP26" i="71"/>
  <c r="E113" i="110" s="1"/>
  <c r="F113" i="110" s="1"/>
  <c r="AP24" i="71"/>
  <c r="E101" i="110" s="1"/>
  <c r="F101" i="110" s="1"/>
  <c r="AP22" i="71"/>
  <c r="E89" i="110" s="1"/>
  <c r="F89" i="110" s="1"/>
  <c r="AP20" i="71"/>
  <c r="E77" i="110" s="1"/>
  <c r="F77" i="110" s="1"/>
  <c r="AP18" i="71"/>
  <c r="E65" i="110" s="1"/>
  <c r="F65" i="110" s="1"/>
  <c r="AP16" i="71"/>
  <c r="E53" i="110" s="1"/>
  <c r="F53" i="110" s="1"/>
  <c r="AP14" i="71"/>
  <c r="E41" i="110" s="1"/>
  <c r="F41" i="110" s="1"/>
  <c r="AP12" i="71"/>
  <c r="E29" i="110" s="1"/>
  <c r="F29" i="110" s="1"/>
  <c r="AP10" i="71"/>
  <c r="E17" i="110" s="1"/>
  <c r="F17" i="110" s="1"/>
  <c r="AP9" i="71"/>
  <c r="E11" i="110" s="1"/>
  <c r="F11" i="110" s="1"/>
  <c r="AN9" i="71"/>
  <c r="E9" i="110" s="1"/>
  <c r="AO9" i="71"/>
  <c r="E10" i="110" s="1"/>
  <c r="J4" i="108"/>
  <c r="J41" i="110" l="1"/>
  <c r="I41" i="110"/>
  <c r="J53" i="110"/>
  <c r="I53" i="110"/>
  <c r="I149" i="110"/>
  <c r="J149" i="110"/>
  <c r="I34" i="110"/>
  <c r="J34" i="110"/>
  <c r="J82" i="110"/>
  <c r="I82" i="110"/>
  <c r="J130" i="110"/>
  <c r="I130" i="110"/>
  <c r="J178" i="110"/>
  <c r="I178" i="110"/>
  <c r="I15" i="110"/>
  <c r="J15" i="110"/>
  <c r="J63" i="110"/>
  <c r="I63" i="110"/>
  <c r="I111" i="110"/>
  <c r="J111" i="110"/>
  <c r="I159" i="110"/>
  <c r="J159" i="110"/>
  <c r="J207" i="110"/>
  <c r="I207" i="110"/>
  <c r="J56" i="110"/>
  <c r="I56" i="110"/>
  <c r="J104" i="110"/>
  <c r="I104" i="110"/>
  <c r="I188" i="110"/>
  <c r="J188" i="110"/>
  <c r="I37" i="110"/>
  <c r="J37" i="110"/>
  <c r="J85" i="110"/>
  <c r="I85" i="110"/>
  <c r="J133" i="110"/>
  <c r="I133" i="110"/>
  <c r="I181" i="110"/>
  <c r="J181" i="110"/>
  <c r="J13" i="110"/>
  <c r="I13" i="110"/>
  <c r="M57" i="110"/>
  <c r="K57" i="110"/>
  <c r="L57" i="110"/>
  <c r="M112" i="110"/>
  <c r="L112" i="110"/>
  <c r="K112" i="110"/>
  <c r="L203" i="110"/>
  <c r="M203" i="110"/>
  <c r="K203" i="110"/>
  <c r="M189" i="110"/>
  <c r="K189" i="110"/>
  <c r="L189" i="110"/>
  <c r="L122" i="110"/>
  <c r="M122" i="110"/>
  <c r="K122" i="110"/>
  <c r="L43" i="110"/>
  <c r="K43" i="110"/>
  <c r="M43" i="110"/>
  <c r="K14" i="110"/>
  <c r="L14" i="110"/>
  <c r="M14" i="110"/>
  <c r="K35" i="110"/>
  <c r="M35" i="110"/>
  <c r="L35" i="110"/>
  <c r="M21" i="110"/>
  <c r="K21" i="110"/>
  <c r="L21" i="110"/>
  <c r="M194" i="110"/>
  <c r="L194" i="110"/>
  <c r="K194" i="110"/>
  <c r="K62" i="110"/>
  <c r="L62" i="110"/>
  <c r="M62" i="110"/>
  <c r="L153" i="110"/>
  <c r="K153" i="110"/>
  <c r="M153" i="110"/>
  <c r="L119" i="110"/>
  <c r="K119" i="110"/>
  <c r="M119" i="110"/>
  <c r="K40" i="110"/>
  <c r="M40" i="110"/>
  <c r="L40" i="110"/>
  <c r="K28" i="110"/>
  <c r="L28" i="110"/>
  <c r="M28" i="110"/>
  <c r="L141" i="110"/>
  <c r="M141" i="110"/>
  <c r="K141" i="110"/>
  <c r="M19" i="110"/>
  <c r="L19" i="110"/>
  <c r="K19" i="110"/>
  <c r="M124" i="110"/>
  <c r="L124" i="110"/>
  <c r="K124" i="110"/>
  <c r="L45" i="110"/>
  <c r="M45" i="110"/>
  <c r="K45" i="110"/>
  <c r="L31" i="110"/>
  <c r="K31" i="110"/>
  <c r="M31" i="110"/>
  <c r="M151" i="110"/>
  <c r="L151" i="110"/>
  <c r="K151" i="110"/>
  <c r="K105" i="110"/>
  <c r="L105" i="110"/>
  <c r="M105" i="110"/>
  <c r="I101" i="110"/>
  <c r="J101" i="110"/>
  <c r="J197" i="110"/>
  <c r="I197" i="110"/>
  <c r="J17" i="110"/>
  <c r="I17" i="110"/>
  <c r="I65" i="110"/>
  <c r="J65" i="110"/>
  <c r="I113" i="110"/>
  <c r="J113" i="110"/>
  <c r="J161" i="110"/>
  <c r="I161" i="110"/>
  <c r="J209" i="110"/>
  <c r="I209" i="110"/>
  <c r="J46" i="110"/>
  <c r="I46" i="110"/>
  <c r="I94" i="110"/>
  <c r="J94" i="110"/>
  <c r="J142" i="110"/>
  <c r="I142" i="110"/>
  <c r="J190" i="110"/>
  <c r="I190" i="110"/>
  <c r="J27" i="110"/>
  <c r="I27" i="110"/>
  <c r="I75" i="110"/>
  <c r="J75" i="110"/>
  <c r="I123" i="110"/>
  <c r="J123" i="110"/>
  <c r="J171" i="110"/>
  <c r="I171" i="110"/>
  <c r="J20" i="110"/>
  <c r="I20" i="110"/>
  <c r="I68" i="110"/>
  <c r="J68" i="110"/>
  <c r="I116" i="110"/>
  <c r="J116" i="110"/>
  <c r="J152" i="110"/>
  <c r="X151" i="110" s="1"/>
  <c r="Y151" i="110" s="1"/>
  <c r="I152" i="110"/>
  <c r="I200" i="110"/>
  <c r="J200" i="110"/>
  <c r="I49" i="110"/>
  <c r="J49" i="110"/>
  <c r="I97" i="110"/>
  <c r="J97" i="110"/>
  <c r="I145" i="110"/>
  <c r="J145" i="110"/>
  <c r="J193" i="110"/>
  <c r="I193" i="110"/>
  <c r="L267" i="109"/>
  <c r="AA261" i="109" s="1"/>
  <c r="Z261" i="109"/>
  <c r="M267" i="109"/>
  <c r="K267" i="109"/>
  <c r="M67" i="110"/>
  <c r="L67" i="110"/>
  <c r="K67" i="110"/>
  <c r="K158" i="110"/>
  <c r="M158" i="110"/>
  <c r="L158" i="110"/>
  <c r="L76" i="110"/>
  <c r="K76" i="110"/>
  <c r="M76" i="110"/>
  <c r="K182" i="110"/>
  <c r="M182" i="110"/>
  <c r="L182" i="110"/>
  <c r="L167" i="110"/>
  <c r="K167" i="110"/>
  <c r="M167" i="110"/>
  <c r="K213" i="110"/>
  <c r="M213" i="110"/>
  <c r="L213" i="110"/>
  <c r="M208" i="110"/>
  <c r="L208" i="110"/>
  <c r="K208" i="110"/>
  <c r="K172" i="110"/>
  <c r="L172" i="110"/>
  <c r="M172" i="110"/>
  <c r="L93" i="110"/>
  <c r="M93" i="110"/>
  <c r="K93" i="110"/>
  <c r="K26" i="110"/>
  <c r="M26" i="110"/>
  <c r="L26" i="110"/>
  <c r="K146" i="110"/>
  <c r="M146" i="110"/>
  <c r="L146" i="110"/>
  <c r="L139" i="110"/>
  <c r="M139" i="110"/>
  <c r="K139" i="110"/>
  <c r="K59" i="110"/>
  <c r="M59" i="110"/>
  <c r="L59" i="110"/>
  <c r="M110" i="110"/>
  <c r="L110" i="110"/>
  <c r="K110" i="110"/>
  <c r="L201" i="110"/>
  <c r="K201" i="110"/>
  <c r="M201" i="110"/>
  <c r="M71" i="110"/>
  <c r="K71" i="110"/>
  <c r="L71" i="110"/>
  <c r="M191" i="110"/>
  <c r="K191" i="110"/>
  <c r="L191" i="110"/>
  <c r="M177" i="110"/>
  <c r="K177" i="110"/>
  <c r="L177" i="110"/>
  <c r="M98" i="110"/>
  <c r="K98" i="110"/>
  <c r="L98" i="110"/>
  <c r="M95" i="110"/>
  <c r="L95" i="110"/>
  <c r="K95" i="110"/>
  <c r="L81" i="110"/>
  <c r="K81" i="110"/>
  <c r="M81" i="110"/>
  <c r="L55" i="110"/>
  <c r="K55" i="110"/>
  <c r="M55" i="110"/>
  <c r="J29" i="110"/>
  <c r="I29" i="110"/>
  <c r="J77" i="110"/>
  <c r="I77" i="110"/>
  <c r="I125" i="110"/>
  <c r="J125" i="110"/>
  <c r="I173" i="110"/>
  <c r="J173" i="110"/>
  <c r="I58" i="110"/>
  <c r="J58" i="110"/>
  <c r="X55" i="110" s="1"/>
  <c r="Y55" i="110" s="1"/>
  <c r="J106" i="110"/>
  <c r="I106" i="110"/>
  <c r="J154" i="110"/>
  <c r="I154" i="110"/>
  <c r="I202" i="110"/>
  <c r="J202" i="110"/>
  <c r="I39" i="110"/>
  <c r="J39" i="110"/>
  <c r="J87" i="110"/>
  <c r="I87" i="110"/>
  <c r="I135" i="110"/>
  <c r="J135" i="110"/>
  <c r="I183" i="110"/>
  <c r="J183" i="110"/>
  <c r="J32" i="110"/>
  <c r="I32" i="110"/>
  <c r="J80" i="110"/>
  <c r="I80" i="110"/>
  <c r="J128" i="110"/>
  <c r="I128" i="110"/>
  <c r="J164" i="110"/>
  <c r="I164" i="110"/>
  <c r="I212" i="110"/>
  <c r="J212" i="110"/>
  <c r="J61" i="110"/>
  <c r="I61" i="110"/>
  <c r="I109" i="110"/>
  <c r="J109" i="110"/>
  <c r="J157" i="110"/>
  <c r="I157" i="110"/>
  <c r="I205" i="110"/>
  <c r="J205" i="110"/>
  <c r="M154" i="76"/>
  <c r="K154" i="76"/>
  <c r="T151" i="76"/>
  <c r="U151" i="76" s="1"/>
  <c r="L154" i="76"/>
  <c r="K23" i="110"/>
  <c r="M23" i="110"/>
  <c r="L23" i="110"/>
  <c r="K143" i="110"/>
  <c r="M143" i="110"/>
  <c r="L143" i="110"/>
  <c r="K196" i="110"/>
  <c r="M196" i="110"/>
  <c r="L196" i="110"/>
  <c r="K129" i="110"/>
  <c r="M129" i="110"/>
  <c r="L129" i="110"/>
  <c r="M50" i="110"/>
  <c r="L50" i="110"/>
  <c r="K50" i="110"/>
  <c r="L103" i="110"/>
  <c r="X103" i="110"/>
  <c r="Y103" i="110" s="1"/>
  <c r="M103" i="110"/>
  <c r="J108" i="110"/>
  <c r="K103" i="110"/>
  <c r="L115" i="110"/>
  <c r="K115" i="110"/>
  <c r="M115" i="110"/>
  <c r="X187" i="110"/>
  <c r="Y187" i="110" s="1"/>
  <c r="J192" i="110"/>
  <c r="L187" i="110"/>
  <c r="K187" i="110"/>
  <c r="M187" i="110"/>
  <c r="M107" i="110"/>
  <c r="K107" i="110"/>
  <c r="L107" i="110"/>
  <c r="M163" i="110"/>
  <c r="L163" i="110"/>
  <c r="K163" i="110"/>
  <c r="M47" i="110"/>
  <c r="K47" i="110"/>
  <c r="L47" i="110"/>
  <c r="K79" i="110"/>
  <c r="X79" i="110"/>
  <c r="Y79" i="110" s="1"/>
  <c r="J84" i="110"/>
  <c r="L79" i="110"/>
  <c r="M79" i="110"/>
  <c r="M134" i="110"/>
  <c r="L134" i="110"/>
  <c r="K134" i="110"/>
  <c r="M155" i="110"/>
  <c r="K155" i="110"/>
  <c r="L155" i="110"/>
  <c r="K131" i="110"/>
  <c r="L131" i="110"/>
  <c r="M131" i="110"/>
  <c r="M52" i="110"/>
  <c r="L52" i="110"/>
  <c r="K52" i="110"/>
  <c r="M184" i="110"/>
  <c r="L184" i="110"/>
  <c r="K184" i="110"/>
  <c r="M117" i="110"/>
  <c r="K117" i="110"/>
  <c r="L117" i="110"/>
  <c r="K91" i="110"/>
  <c r="L91" i="110"/>
  <c r="M91" i="110"/>
  <c r="X127" i="110"/>
  <c r="Y127" i="110" s="1"/>
  <c r="J132" i="110"/>
  <c r="M127" i="110"/>
  <c r="L127" i="110"/>
  <c r="K127" i="110"/>
  <c r="I89" i="110"/>
  <c r="J89" i="110"/>
  <c r="I137" i="110"/>
  <c r="J137" i="110"/>
  <c r="J185" i="110"/>
  <c r="I185" i="110"/>
  <c r="I22" i="110"/>
  <c r="J22" i="110"/>
  <c r="I70" i="110"/>
  <c r="J70" i="110"/>
  <c r="J72" i="110" s="1"/>
  <c r="J118" i="110"/>
  <c r="X115" i="110" s="1"/>
  <c r="Y115" i="110" s="1"/>
  <c r="I118" i="110"/>
  <c r="J166" i="110"/>
  <c r="I166" i="110"/>
  <c r="I214" i="110"/>
  <c r="J214" i="110"/>
  <c r="J51" i="110"/>
  <c r="I51" i="110"/>
  <c r="I99" i="110"/>
  <c r="J99" i="110"/>
  <c r="J147" i="110"/>
  <c r="I147" i="110"/>
  <c r="J195" i="110"/>
  <c r="I195" i="110"/>
  <c r="J44" i="110"/>
  <c r="I44" i="110"/>
  <c r="J92" i="110"/>
  <c r="I92" i="110"/>
  <c r="I140" i="110"/>
  <c r="J140" i="110"/>
  <c r="X139" i="110" s="1"/>
  <c r="Y139" i="110" s="1"/>
  <c r="J176" i="110"/>
  <c r="I176" i="110"/>
  <c r="I25" i="110"/>
  <c r="J25" i="110"/>
  <c r="I73" i="110"/>
  <c r="J73" i="110"/>
  <c r="I121" i="110"/>
  <c r="J121" i="110"/>
  <c r="J169" i="110"/>
  <c r="I169" i="110"/>
  <c r="L83" i="110"/>
  <c r="M83" i="110"/>
  <c r="K83" i="110"/>
  <c r="K215" i="110"/>
  <c r="L215" i="110"/>
  <c r="M215" i="110"/>
  <c r="K136" i="110"/>
  <c r="M136" i="110"/>
  <c r="L136" i="110"/>
  <c r="K69" i="110"/>
  <c r="M69" i="110"/>
  <c r="L69" i="110"/>
  <c r="K175" i="110"/>
  <c r="M175" i="110"/>
  <c r="X175" i="110"/>
  <c r="Y175" i="110" s="1"/>
  <c r="J180" i="110"/>
  <c r="L175" i="110"/>
  <c r="T163" i="76"/>
  <c r="U163" i="76" s="1"/>
  <c r="M166" i="76"/>
  <c r="K166" i="76"/>
  <c r="L166" i="76"/>
  <c r="M288" i="109"/>
  <c r="K288" i="109"/>
  <c r="Z282" i="109"/>
  <c r="L288" i="109"/>
  <c r="AA282" i="109" s="1"/>
  <c r="M16" i="110"/>
  <c r="K16" i="110"/>
  <c r="L16" i="110"/>
  <c r="L179" i="110"/>
  <c r="K179" i="110"/>
  <c r="M179" i="110"/>
  <c r="L100" i="110"/>
  <c r="K100" i="110"/>
  <c r="M100" i="110"/>
  <c r="K33" i="110"/>
  <c r="L33" i="110"/>
  <c r="M33" i="110"/>
  <c r="K165" i="110"/>
  <c r="M165" i="110"/>
  <c r="L165" i="110"/>
  <c r="K86" i="110"/>
  <c r="L86" i="110"/>
  <c r="M86" i="110"/>
  <c r="M199" i="110"/>
  <c r="K199" i="110"/>
  <c r="X199" i="110"/>
  <c r="Y199" i="110" s="1"/>
  <c r="L199" i="110"/>
  <c r="M206" i="110"/>
  <c r="K206" i="110"/>
  <c r="L206" i="110"/>
  <c r="K148" i="110"/>
  <c r="L148" i="110"/>
  <c r="M148" i="110"/>
  <c r="M64" i="110"/>
  <c r="L64" i="110"/>
  <c r="K64" i="110"/>
  <c r="M211" i="110"/>
  <c r="L211" i="110"/>
  <c r="K211" i="110"/>
  <c r="X211" i="110"/>
  <c r="Y211" i="110" s="1"/>
  <c r="J216" i="110"/>
  <c r="K38" i="110"/>
  <c r="M38" i="110"/>
  <c r="L38" i="110"/>
  <c r="K170" i="110"/>
  <c r="M170" i="110"/>
  <c r="L170" i="110"/>
  <c r="L160" i="110"/>
  <c r="K160" i="110"/>
  <c r="M160" i="110"/>
  <c r="L88" i="110"/>
  <c r="K88" i="110"/>
  <c r="M88" i="110"/>
  <c r="K74" i="110"/>
  <c r="L74" i="110"/>
  <c r="M74" i="110"/>
  <c r="G8" i="128"/>
  <c r="R13" i="133"/>
  <c r="S13" i="133" s="1"/>
  <c r="G14" i="128"/>
  <c r="R31" i="133"/>
  <c r="S31" i="133" s="1"/>
  <c r="G22" i="128"/>
  <c r="R55" i="133"/>
  <c r="S55" i="133" s="1"/>
  <c r="G30" i="128"/>
  <c r="R79" i="133"/>
  <c r="S79" i="133" s="1"/>
  <c r="V152" i="114"/>
  <c r="W212" i="114"/>
  <c r="V68" i="114"/>
  <c r="G42" i="128"/>
  <c r="L42" i="128" s="1"/>
  <c r="U92" i="114"/>
  <c r="V188" i="114"/>
  <c r="W116" i="114"/>
  <c r="U104" i="114"/>
  <c r="V116" i="114"/>
  <c r="F9" i="110"/>
  <c r="W44" i="114"/>
  <c r="U80" i="114"/>
  <c r="V32" i="114"/>
  <c r="V56" i="114"/>
  <c r="V80" i="114"/>
  <c r="U32" i="114"/>
  <c r="U44" i="114"/>
  <c r="U56" i="114"/>
  <c r="U68" i="114"/>
  <c r="V92" i="114"/>
  <c r="W104" i="114"/>
  <c r="V128" i="114"/>
  <c r="V176" i="114"/>
  <c r="U200" i="114"/>
  <c r="W196" i="114"/>
  <c r="W208" i="114"/>
  <c r="V20" i="114"/>
  <c r="U20" i="114"/>
  <c r="U128" i="114"/>
  <c r="U152" i="114"/>
  <c r="U176" i="114"/>
  <c r="W200" i="114"/>
  <c r="W28" i="114"/>
  <c r="V34" i="114"/>
  <c r="U21" i="114"/>
  <c r="W27" i="114"/>
  <c r="V39" i="114"/>
  <c r="F8" i="110"/>
  <c r="AH79" i="114"/>
  <c r="AI79" i="114" s="1"/>
  <c r="V28" i="114"/>
  <c r="W34" i="114"/>
  <c r="W39" i="114"/>
  <c r="V21" i="114"/>
  <c r="L81" i="133"/>
  <c r="K81" i="133"/>
  <c r="M81" i="133"/>
  <c r="L57" i="133"/>
  <c r="M57" i="133"/>
  <c r="K57" i="133"/>
  <c r="L117" i="133"/>
  <c r="K117" i="133"/>
  <c r="M117" i="133"/>
  <c r="M15" i="133"/>
  <c r="K15" i="133"/>
  <c r="L15" i="133"/>
  <c r="L33" i="133"/>
  <c r="K33" i="133"/>
  <c r="M33" i="133"/>
  <c r="M72" i="110" l="1"/>
  <c r="L72" i="110"/>
  <c r="K72" i="110"/>
  <c r="L180" i="110"/>
  <c r="K180" i="110"/>
  <c r="M180" i="110"/>
  <c r="L44" i="110"/>
  <c r="K44" i="110"/>
  <c r="M44" i="110"/>
  <c r="K147" i="110"/>
  <c r="M147" i="110"/>
  <c r="L147" i="110"/>
  <c r="L51" i="110"/>
  <c r="M51" i="110"/>
  <c r="K51" i="110"/>
  <c r="L166" i="110"/>
  <c r="K166" i="110"/>
  <c r="M166" i="110"/>
  <c r="L185" i="110"/>
  <c r="K185" i="110"/>
  <c r="M185" i="110"/>
  <c r="K132" i="110"/>
  <c r="M132" i="110"/>
  <c r="L132" i="110"/>
  <c r="M192" i="110"/>
  <c r="K192" i="110"/>
  <c r="L192" i="110"/>
  <c r="K183" i="110"/>
  <c r="M183" i="110"/>
  <c r="L183" i="110"/>
  <c r="M202" i="110"/>
  <c r="K202" i="110"/>
  <c r="L202" i="110"/>
  <c r="K173" i="110"/>
  <c r="M173" i="110"/>
  <c r="L173" i="110"/>
  <c r="J60" i="110"/>
  <c r="X97" i="110"/>
  <c r="Y97" i="110" s="1"/>
  <c r="M97" i="110"/>
  <c r="J102" i="110"/>
  <c r="K97" i="110"/>
  <c r="L97" i="110"/>
  <c r="M200" i="110"/>
  <c r="K200" i="110"/>
  <c r="L200" i="110"/>
  <c r="M116" i="110"/>
  <c r="L116" i="110"/>
  <c r="K116" i="110"/>
  <c r="L123" i="110"/>
  <c r="K123" i="110"/>
  <c r="M123" i="110"/>
  <c r="M65" i="110"/>
  <c r="K65" i="110"/>
  <c r="L65" i="110"/>
  <c r="J156" i="110"/>
  <c r="X43" i="110"/>
  <c r="Y43" i="110" s="1"/>
  <c r="X37" i="110"/>
  <c r="Y37" i="110" s="1"/>
  <c r="L37" i="110"/>
  <c r="K37" i="110"/>
  <c r="M37" i="110"/>
  <c r="L111" i="110"/>
  <c r="M111" i="110"/>
  <c r="K111" i="110"/>
  <c r="L15" i="110"/>
  <c r="K15" i="110"/>
  <c r="M15" i="110"/>
  <c r="K34" i="110"/>
  <c r="M34" i="110"/>
  <c r="L34" i="110"/>
  <c r="X73" i="110"/>
  <c r="Y73" i="110" s="1"/>
  <c r="L73" i="110"/>
  <c r="M73" i="110"/>
  <c r="K73" i="110"/>
  <c r="J78" i="110"/>
  <c r="L99" i="110"/>
  <c r="M99" i="110"/>
  <c r="K99" i="110"/>
  <c r="L214" i="110"/>
  <c r="M214" i="110"/>
  <c r="K214" i="110"/>
  <c r="M22" i="110"/>
  <c r="L22" i="110"/>
  <c r="K22" i="110"/>
  <c r="M137" i="110"/>
  <c r="K137" i="110"/>
  <c r="L137" i="110"/>
  <c r="J168" i="110"/>
  <c r="X157" i="110"/>
  <c r="Y157" i="110" s="1"/>
  <c r="K157" i="110"/>
  <c r="L157" i="110"/>
  <c r="M157" i="110"/>
  <c r="L61" i="110"/>
  <c r="X61" i="110"/>
  <c r="Y61" i="110" s="1"/>
  <c r="M61" i="110"/>
  <c r="J66" i="110"/>
  <c r="K61" i="110"/>
  <c r="L164" i="110"/>
  <c r="K164" i="110"/>
  <c r="M164" i="110"/>
  <c r="M80" i="110"/>
  <c r="L80" i="110"/>
  <c r="K80" i="110"/>
  <c r="K87" i="110"/>
  <c r="M87" i="110"/>
  <c r="L87" i="110"/>
  <c r="K106" i="110"/>
  <c r="M106" i="110"/>
  <c r="L106" i="110"/>
  <c r="L77" i="110"/>
  <c r="M77" i="110"/>
  <c r="K77" i="110"/>
  <c r="X193" i="110"/>
  <c r="Y193" i="110" s="1"/>
  <c r="J198" i="110"/>
  <c r="M193" i="110"/>
  <c r="L193" i="110"/>
  <c r="K193" i="110"/>
  <c r="K20" i="110"/>
  <c r="M20" i="110"/>
  <c r="L20" i="110"/>
  <c r="L27" i="110"/>
  <c r="M27" i="110"/>
  <c r="K27" i="110"/>
  <c r="L142" i="110"/>
  <c r="M142" i="110"/>
  <c r="K142" i="110"/>
  <c r="L46" i="110"/>
  <c r="K46" i="110"/>
  <c r="M46" i="110"/>
  <c r="K161" i="110"/>
  <c r="M161" i="110"/>
  <c r="L161" i="110"/>
  <c r="K197" i="110"/>
  <c r="L197" i="110"/>
  <c r="M197" i="110"/>
  <c r="X19" i="110"/>
  <c r="Y19" i="110" s="1"/>
  <c r="M13" i="110"/>
  <c r="X13" i="110"/>
  <c r="Y13" i="110" s="1"/>
  <c r="K13" i="110"/>
  <c r="L13" i="110"/>
  <c r="J138" i="110"/>
  <c r="X133" i="110"/>
  <c r="Y133" i="110" s="1"/>
  <c r="M133" i="110"/>
  <c r="L133" i="110"/>
  <c r="K133" i="110"/>
  <c r="L104" i="110"/>
  <c r="M104" i="110"/>
  <c r="K104" i="110"/>
  <c r="M207" i="110"/>
  <c r="L207" i="110"/>
  <c r="K207" i="110"/>
  <c r="K130" i="110"/>
  <c r="M130" i="110"/>
  <c r="L130" i="110"/>
  <c r="K53" i="110"/>
  <c r="M53" i="110"/>
  <c r="L53" i="110"/>
  <c r="X169" i="110"/>
  <c r="Y169" i="110" s="1"/>
  <c r="L169" i="110"/>
  <c r="J174" i="110"/>
  <c r="K169" i="110"/>
  <c r="M169" i="110"/>
  <c r="K176" i="110"/>
  <c r="L176" i="110"/>
  <c r="M176" i="110"/>
  <c r="K92" i="110"/>
  <c r="L92" i="110"/>
  <c r="M92" i="110"/>
  <c r="K195" i="110"/>
  <c r="M195" i="110"/>
  <c r="L195" i="110"/>
  <c r="L118" i="110"/>
  <c r="K118" i="110"/>
  <c r="M118" i="110"/>
  <c r="X91" i="110"/>
  <c r="Y91" i="110" s="1"/>
  <c r="K205" i="110"/>
  <c r="J210" i="110"/>
  <c r="M205" i="110"/>
  <c r="X205" i="110"/>
  <c r="Y205" i="110" s="1"/>
  <c r="L205" i="110"/>
  <c r="M109" i="110"/>
  <c r="L109" i="110"/>
  <c r="J114" i="110"/>
  <c r="X109" i="110"/>
  <c r="Y109" i="110" s="1"/>
  <c r="K109" i="110"/>
  <c r="M212" i="110"/>
  <c r="L212" i="110"/>
  <c r="K212" i="110"/>
  <c r="K135" i="110"/>
  <c r="M135" i="110"/>
  <c r="L135" i="110"/>
  <c r="K39" i="110"/>
  <c r="L39" i="110"/>
  <c r="M39" i="110"/>
  <c r="L58" i="110"/>
  <c r="K58" i="110"/>
  <c r="M58" i="110"/>
  <c r="K125" i="110"/>
  <c r="M125" i="110"/>
  <c r="L125" i="110"/>
  <c r="J150" i="110"/>
  <c r="K145" i="110"/>
  <c r="X145" i="110"/>
  <c r="Y145" i="110" s="1"/>
  <c r="M145" i="110"/>
  <c r="L145" i="110"/>
  <c r="X49" i="110"/>
  <c r="Y49" i="110" s="1"/>
  <c r="M49" i="110"/>
  <c r="L49" i="110"/>
  <c r="J54" i="110"/>
  <c r="K49" i="110"/>
  <c r="M68" i="110"/>
  <c r="K68" i="110"/>
  <c r="L68" i="110"/>
  <c r="L75" i="110"/>
  <c r="K75" i="110"/>
  <c r="M75" i="110"/>
  <c r="K94" i="110"/>
  <c r="M94" i="110"/>
  <c r="L94" i="110"/>
  <c r="M113" i="110"/>
  <c r="K113" i="110"/>
  <c r="L113" i="110"/>
  <c r="L101" i="110"/>
  <c r="K101" i="110"/>
  <c r="M101" i="110"/>
  <c r="J48" i="110"/>
  <c r="X181" i="110"/>
  <c r="Y181" i="110" s="1"/>
  <c r="M181" i="110"/>
  <c r="L181" i="110"/>
  <c r="J186" i="110"/>
  <c r="K181" i="110"/>
  <c r="K188" i="110"/>
  <c r="M188" i="110"/>
  <c r="L188" i="110"/>
  <c r="M159" i="110"/>
  <c r="K159" i="110"/>
  <c r="L159" i="110"/>
  <c r="K149" i="110"/>
  <c r="L149" i="110"/>
  <c r="M149" i="110"/>
  <c r="K216" i="110"/>
  <c r="M216" i="110"/>
  <c r="L216" i="110"/>
  <c r="X121" i="110"/>
  <c r="Y121" i="110" s="1"/>
  <c r="L121" i="110"/>
  <c r="K121" i="110"/>
  <c r="J126" i="110"/>
  <c r="M121" i="110"/>
  <c r="M25" i="110"/>
  <c r="X25" i="110"/>
  <c r="Y25" i="110" s="1"/>
  <c r="L25" i="110"/>
  <c r="K25" i="110"/>
  <c r="L140" i="110"/>
  <c r="K140" i="110"/>
  <c r="M140" i="110"/>
  <c r="M70" i="110"/>
  <c r="L70" i="110"/>
  <c r="K70" i="110"/>
  <c r="M89" i="110"/>
  <c r="L89" i="110"/>
  <c r="K89" i="110"/>
  <c r="J96" i="110"/>
  <c r="L84" i="110"/>
  <c r="K84" i="110"/>
  <c r="M84" i="110"/>
  <c r="X163" i="110"/>
  <c r="Y163" i="110" s="1"/>
  <c r="K108" i="110"/>
  <c r="M108" i="110"/>
  <c r="L108" i="110"/>
  <c r="L128" i="110"/>
  <c r="K128" i="110"/>
  <c r="M128" i="110"/>
  <c r="K32" i="110"/>
  <c r="M32" i="110"/>
  <c r="L32" i="110"/>
  <c r="M154" i="110"/>
  <c r="L154" i="110"/>
  <c r="K154" i="110"/>
  <c r="K29" i="110"/>
  <c r="L29" i="110"/>
  <c r="M29" i="110"/>
  <c r="J144" i="110"/>
  <c r="X67" i="110"/>
  <c r="Y67" i="110" s="1"/>
  <c r="L152" i="110"/>
  <c r="K152" i="110"/>
  <c r="M152" i="110"/>
  <c r="K171" i="110"/>
  <c r="M171" i="110"/>
  <c r="L171" i="110"/>
  <c r="K190" i="110"/>
  <c r="M190" i="110"/>
  <c r="L190" i="110"/>
  <c r="M209" i="110"/>
  <c r="L209" i="110"/>
  <c r="K209" i="110"/>
  <c r="K17" i="110"/>
  <c r="M17" i="110"/>
  <c r="L17" i="110"/>
  <c r="X31" i="110"/>
  <c r="Y31" i="110" s="1"/>
  <c r="X85" i="110"/>
  <c r="Y85" i="110" s="1"/>
  <c r="L85" i="110"/>
  <c r="M85" i="110"/>
  <c r="J90" i="110"/>
  <c r="K85" i="110"/>
  <c r="K56" i="110"/>
  <c r="M56" i="110"/>
  <c r="L56" i="110"/>
  <c r="L63" i="110"/>
  <c r="K63" i="110"/>
  <c r="M63" i="110"/>
  <c r="M178" i="110"/>
  <c r="L178" i="110"/>
  <c r="K178" i="110"/>
  <c r="L82" i="110"/>
  <c r="M82" i="110"/>
  <c r="K82" i="110"/>
  <c r="M41" i="110"/>
  <c r="K41" i="110"/>
  <c r="L41" i="110"/>
  <c r="AH103" i="114"/>
  <c r="AI103" i="114" s="1"/>
  <c r="AH55" i="114"/>
  <c r="AI55" i="114" s="1"/>
  <c r="AH193" i="114"/>
  <c r="AI193" i="114" s="1"/>
  <c r="AH145" i="114"/>
  <c r="AI145" i="114" s="1"/>
  <c r="AH211" i="114"/>
  <c r="AI211" i="114" s="1"/>
  <c r="AH187" i="114"/>
  <c r="AI187" i="114" s="1"/>
  <c r="AH163" i="114"/>
  <c r="AI163" i="114" s="1"/>
  <c r="AH139" i="114"/>
  <c r="AI139" i="114" s="1"/>
  <c r="AH115" i="114"/>
  <c r="AI115" i="114" s="1"/>
  <c r="AH91" i="114"/>
  <c r="AI91" i="114" s="1"/>
  <c r="AH199" i="114"/>
  <c r="AI199" i="114" s="1"/>
  <c r="AH175" i="114"/>
  <c r="AI175" i="114" s="1"/>
  <c r="AH151" i="114"/>
  <c r="AI151" i="114" s="1"/>
  <c r="AH127" i="114"/>
  <c r="AI127" i="114" s="1"/>
  <c r="AH109" i="114"/>
  <c r="AI109" i="114" s="1"/>
  <c r="AH19" i="114"/>
  <c r="AI19" i="114" s="1"/>
  <c r="AH67" i="114"/>
  <c r="AI67" i="114" s="1"/>
  <c r="V208" i="114"/>
  <c r="U208" i="114"/>
  <c r="U196" i="114"/>
  <c r="AH169" i="114"/>
  <c r="AI169" i="114" s="1"/>
  <c r="W21" i="114"/>
  <c r="V22" i="114"/>
  <c r="U22" i="114"/>
  <c r="U34" i="114"/>
  <c r="W22" i="114"/>
  <c r="V45" i="114"/>
  <c r="T36" i="114"/>
  <c r="V196" i="114"/>
  <c r="V10" i="114"/>
  <c r="V88" i="114"/>
  <c r="V64" i="114"/>
  <c r="AH37" i="114"/>
  <c r="AI37" i="114" s="1"/>
  <c r="W190" i="114"/>
  <c r="V190" i="114"/>
  <c r="U190" i="114"/>
  <c r="V202" i="114"/>
  <c r="W202" i="114"/>
  <c r="U202" i="114"/>
  <c r="U16" i="114"/>
  <c r="W16" i="114"/>
  <c r="U39" i="114"/>
  <c r="V27" i="114"/>
  <c r="U214" i="114"/>
  <c r="V214" i="114"/>
  <c r="W214" i="114"/>
  <c r="W125" i="114"/>
  <c r="V101" i="114"/>
  <c r="U77" i="114"/>
  <c r="W53" i="114"/>
  <c r="AH25" i="114"/>
  <c r="AI25" i="114" s="1"/>
  <c r="V209" i="114"/>
  <c r="V185" i="114"/>
  <c r="U161" i="114"/>
  <c r="U137" i="114"/>
  <c r="W140" i="114"/>
  <c r="U140" i="114"/>
  <c r="V140" i="114"/>
  <c r="T24" i="114"/>
  <c r="U24" i="114" s="1"/>
  <c r="U27" i="114"/>
  <c r="U28" i="114"/>
  <c r="V16" i="114"/>
  <c r="AH13" i="114"/>
  <c r="AI13" i="114" s="1"/>
  <c r="U164" i="114"/>
  <c r="V164" i="114"/>
  <c r="W164" i="114"/>
  <c r="W106" i="114"/>
  <c r="U106" i="114"/>
  <c r="V106" i="114"/>
  <c r="W124" i="114"/>
  <c r="U124" i="114"/>
  <c r="V124" i="114"/>
  <c r="U118" i="114"/>
  <c r="V118" i="114"/>
  <c r="W118" i="114"/>
  <c r="W94" i="114"/>
  <c r="U94" i="114"/>
  <c r="V94" i="114"/>
  <c r="V184" i="114"/>
  <c r="W184" i="114"/>
  <c r="U184" i="114"/>
  <c r="W172" i="114"/>
  <c r="V172" i="114"/>
  <c r="U172" i="114"/>
  <c r="V160" i="114"/>
  <c r="W160" i="114"/>
  <c r="U160" i="114"/>
  <c r="W148" i="114"/>
  <c r="U148" i="114"/>
  <c r="V148" i="114"/>
  <c r="V136" i="114"/>
  <c r="W136" i="114"/>
  <c r="U136" i="114"/>
  <c r="V122" i="114"/>
  <c r="W122" i="114"/>
  <c r="U122" i="114"/>
  <c r="W74" i="114"/>
  <c r="U74" i="114"/>
  <c r="V74" i="114"/>
  <c r="W50" i="114"/>
  <c r="U50" i="114"/>
  <c r="V50" i="114"/>
  <c r="U26" i="114"/>
  <c r="V26" i="114"/>
  <c r="W26" i="114"/>
  <c r="V98" i="114"/>
  <c r="W98" i="114"/>
  <c r="U98" i="114"/>
  <c r="V206" i="114"/>
  <c r="W206" i="114"/>
  <c r="U206" i="114"/>
  <c r="V194" i="114"/>
  <c r="W194" i="114"/>
  <c r="U194" i="114"/>
  <c r="U182" i="114"/>
  <c r="V182" i="114"/>
  <c r="W182" i="114"/>
  <c r="V170" i="114"/>
  <c r="W170" i="114"/>
  <c r="U170" i="114"/>
  <c r="W158" i="114"/>
  <c r="U158" i="114"/>
  <c r="V158" i="114"/>
  <c r="W146" i="114"/>
  <c r="U146" i="114"/>
  <c r="V146" i="114"/>
  <c r="U134" i="114"/>
  <c r="V134" i="114"/>
  <c r="W134" i="114"/>
  <c r="W178" i="114"/>
  <c r="U178" i="114"/>
  <c r="V178" i="114"/>
  <c r="V166" i="114"/>
  <c r="W166" i="114"/>
  <c r="U166" i="114"/>
  <c r="W154" i="114"/>
  <c r="U154" i="114"/>
  <c r="V154" i="114"/>
  <c r="U142" i="114"/>
  <c r="V142" i="114"/>
  <c r="W142" i="114"/>
  <c r="V130" i="114"/>
  <c r="W130" i="114"/>
  <c r="U130" i="114"/>
  <c r="V86" i="114"/>
  <c r="W86" i="114"/>
  <c r="U86" i="114"/>
  <c r="W62" i="114"/>
  <c r="U62" i="114"/>
  <c r="V62" i="114"/>
  <c r="W38" i="114"/>
  <c r="U38" i="114"/>
  <c r="V38" i="114"/>
  <c r="U14" i="114"/>
  <c r="V14" i="114"/>
  <c r="W14" i="114"/>
  <c r="U110" i="114"/>
  <c r="V110" i="114"/>
  <c r="W110" i="114"/>
  <c r="W75" i="114"/>
  <c r="U75" i="114"/>
  <c r="V75" i="114"/>
  <c r="W93" i="114"/>
  <c r="V93" i="114"/>
  <c r="U93" i="114"/>
  <c r="V57" i="114"/>
  <c r="W57" i="114"/>
  <c r="U57" i="114"/>
  <c r="W51" i="114"/>
  <c r="U51" i="114"/>
  <c r="V51" i="114"/>
  <c r="V82" i="114"/>
  <c r="W82" i="114"/>
  <c r="U82" i="114"/>
  <c r="V81" i="114"/>
  <c r="W81" i="114"/>
  <c r="U81" i="114"/>
  <c r="U69" i="114"/>
  <c r="V69" i="114"/>
  <c r="W69" i="114"/>
  <c r="W45" i="114"/>
  <c r="W7" i="114"/>
  <c r="U7" i="114"/>
  <c r="V7" i="114"/>
  <c r="U8" i="114"/>
  <c r="W8" i="114"/>
  <c r="V8" i="114"/>
  <c r="U76" i="114"/>
  <c r="V76" i="114"/>
  <c r="W76" i="114"/>
  <c r="U52" i="114"/>
  <c r="W52" i="114"/>
  <c r="V52" i="114"/>
  <c r="W100" i="114"/>
  <c r="V100" i="114"/>
  <c r="U100" i="114"/>
  <c r="V70" i="114"/>
  <c r="W70" i="114"/>
  <c r="U70" i="114"/>
  <c r="W46" i="114"/>
  <c r="U46" i="114"/>
  <c r="V46" i="114"/>
  <c r="W87" i="114"/>
  <c r="U87" i="114"/>
  <c r="V87" i="114"/>
  <c r="W63" i="114"/>
  <c r="U63" i="114"/>
  <c r="V63" i="114"/>
  <c r="U88" i="114"/>
  <c r="W88" i="114"/>
  <c r="W64" i="114"/>
  <c r="U40" i="114"/>
  <c r="W40" i="114"/>
  <c r="W112" i="114"/>
  <c r="U112" i="114"/>
  <c r="V112" i="114"/>
  <c r="W58" i="114"/>
  <c r="U58" i="114"/>
  <c r="V58" i="114"/>
  <c r="U9" i="114"/>
  <c r="W9" i="114"/>
  <c r="V9" i="114"/>
  <c r="V197" i="114"/>
  <c r="W197" i="114"/>
  <c r="U197" i="114"/>
  <c r="U185" i="114"/>
  <c r="V173" i="114"/>
  <c r="U173" i="114"/>
  <c r="W173" i="114"/>
  <c r="V149" i="114"/>
  <c r="W149" i="114"/>
  <c r="U149" i="114"/>
  <c r="V137" i="114"/>
  <c r="V125" i="114"/>
  <c r="W113" i="114"/>
  <c r="U113" i="114"/>
  <c r="V113" i="114"/>
  <c r="V89" i="114"/>
  <c r="U89" i="114"/>
  <c r="W89" i="114"/>
  <c r="V77" i="114"/>
  <c r="V65" i="114"/>
  <c r="W65" i="114"/>
  <c r="U65" i="114"/>
  <c r="V41" i="114"/>
  <c r="W41" i="114"/>
  <c r="U41" i="114"/>
  <c r="W205" i="114"/>
  <c r="V205" i="114"/>
  <c r="U205" i="114"/>
  <c r="I39" i="130"/>
  <c r="W181" i="114"/>
  <c r="V181" i="114"/>
  <c r="U181" i="114"/>
  <c r="V157" i="114"/>
  <c r="W157" i="114"/>
  <c r="U157" i="114"/>
  <c r="W133" i="114"/>
  <c r="V133" i="114"/>
  <c r="U133" i="114"/>
  <c r="W109" i="114"/>
  <c r="U109" i="114"/>
  <c r="V109" i="114"/>
  <c r="V85" i="114"/>
  <c r="W85" i="114"/>
  <c r="U85" i="114"/>
  <c r="W61" i="114"/>
  <c r="V61" i="114"/>
  <c r="I15" i="130" s="1"/>
  <c r="U61" i="114"/>
  <c r="U37" i="114"/>
  <c r="V37" i="114"/>
  <c r="W37" i="114"/>
  <c r="W13" i="114"/>
  <c r="U13" i="114"/>
  <c r="V13" i="114"/>
  <c r="W211" i="114"/>
  <c r="U211" i="114"/>
  <c r="V211" i="114"/>
  <c r="I40" i="130"/>
  <c r="V187" i="114"/>
  <c r="W187" i="114"/>
  <c r="U187" i="114"/>
  <c r="U163" i="114"/>
  <c r="V163" i="114"/>
  <c r="W163" i="114"/>
  <c r="U139" i="114"/>
  <c r="W139" i="114"/>
  <c r="V139" i="114"/>
  <c r="U115" i="114"/>
  <c r="W115" i="114"/>
  <c r="V115" i="114"/>
  <c r="W91" i="114"/>
  <c r="U91" i="114"/>
  <c r="V91" i="114"/>
  <c r="I20" i="130" s="1"/>
  <c r="V67" i="114"/>
  <c r="W67" i="114"/>
  <c r="U67" i="114"/>
  <c r="V43" i="114"/>
  <c r="W43" i="114"/>
  <c r="T48" i="114"/>
  <c r="U43" i="114"/>
  <c r="W19" i="114"/>
  <c r="V19" i="114"/>
  <c r="U19" i="114"/>
  <c r="V213" i="114"/>
  <c r="U213" i="114"/>
  <c r="W213" i="114"/>
  <c r="V201" i="114"/>
  <c r="W201" i="114"/>
  <c r="U201" i="114"/>
  <c r="U189" i="114"/>
  <c r="V189" i="114"/>
  <c r="W189" i="114"/>
  <c r="W177" i="114"/>
  <c r="U177" i="114"/>
  <c r="V177" i="114"/>
  <c r="V165" i="114"/>
  <c r="W165" i="114"/>
  <c r="U165" i="114"/>
  <c r="U153" i="114"/>
  <c r="V153" i="114"/>
  <c r="W153" i="114"/>
  <c r="U141" i="114"/>
  <c r="V141" i="114"/>
  <c r="W141" i="114"/>
  <c r="W129" i="114"/>
  <c r="U129" i="114"/>
  <c r="V129" i="114"/>
  <c r="V117" i="114"/>
  <c r="W117" i="114"/>
  <c r="U117" i="114"/>
  <c r="W105" i="114"/>
  <c r="U105" i="114"/>
  <c r="V105" i="114"/>
  <c r="V215" i="114"/>
  <c r="W215" i="114"/>
  <c r="U215" i="114"/>
  <c r="W203" i="114"/>
  <c r="U203" i="114"/>
  <c r="V203" i="114"/>
  <c r="W191" i="114"/>
  <c r="V191" i="114"/>
  <c r="U191" i="114"/>
  <c r="U179" i="114"/>
  <c r="V179" i="114"/>
  <c r="W179" i="114"/>
  <c r="W167" i="114"/>
  <c r="U167" i="114"/>
  <c r="V167" i="114"/>
  <c r="V155" i="114"/>
  <c r="U155" i="114"/>
  <c r="W155" i="114"/>
  <c r="U143" i="114"/>
  <c r="W143" i="114"/>
  <c r="V143" i="114"/>
  <c r="W131" i="114"/>
  <c r="U131" i="114"/>
  <c r="V131" i="114"/>
  <c r="W119" i="114"/>
  <c r="U119" i="114"/>
  <c r="V119" i="114"/>
  <c r="W107" i="114"/>
  <c r="U107" i="114"/>
  <c r="V107" i="114"/>
  <c r="W95" i="114"/>
  <c r="U95" i="114"/>
  <c r="V95" i="114"/>
  <c r="W83" i="114"/>
  <c r="U83" i="114"/>
  <c r="V83" i="114"/>
  <c r="V71" i="114"/>
  <c r="W71" i="114"/>
  <c r="U71" i="114"/>
  <c r="V59" i="114"/>
  <c r="W59" i="114"/>
  <c r="U59" i="114"/>
  <c r="W47" i="114"/>
  <c r="U47" i="114"/>
  <c r="V47" i="114"/>
  <c r="W35" i="114"/>
  <c r="U35" i="114"/>
  <c r="V35" i="114"/>
  <c r="V23" i="114"/>
  <c r="W23" i="114"/>
  <c r="U23" i="114"/>
  <c r="W193" i="114"/>
  <c r="V193" i="114"/>
  <c r="U193" i="114"/>
  <c r="I37" i="130" s="1"/>
  <c r="W169" i="114"/>
  <c r="U169" i="114"/>
  <c r="V169" i="114"/>
  <c r="V145" i="114"/>
  <c r="W145" i="114"/>
  <c r="U145" i="114"/>
  <c r="U121" i="114"/>
  <c r="W121" i="114"/>
  <c r="V121" i="114"/>
  <c r="V97" i="114"/>
  <c r="W97" i="114"/>
  <c r="U97" i="114"/>
  <c r="W73" i="114"/>
  <c r="V73" i="114"/>
  <c r="U73" i="114"/>
  <c r="U49" i="114"/>
  <c r="V49" i="114"/>
  <c r="W49" i="114"/>
  <c r="V25" i="114"/>
  <c r="W25" i="114"/>
  <c r="U25" i="114"/>
  <c r="U17" i="114"/>
  <c r="V17" i="114"/>
  <c r="W17" i="114"/>
  <c r="U199" i="114"/>
  <c r="V199" i="114"/>
  <c r="W199" i="114"/>
  <c r="U175" i="114"/>
  <c r="W175" i="114"/>
  <c r="V175" i="114"/>
  <c r="V151" i="114"/>
  <c r="U151" i="114"/>
  <c r="I30" i="130" s="1"/>
  <c r="W151" i="114"/>
  <c r="W127" i="114"/>
  <c r="U127" i="114"/>
  <c r="V127" i="114"/>
  <c r="W103" i="114"/>
  <c r="V103" i="114"/>
  <c r="U103" i="114"/>
  <c r="V79" i="114"/>
  <c r="W79" i="114"/>
  <c r="U79" i="114"/>
  <c r="I18" i="130" s="1"/>
  <c r="V55" i="114"/>
  <c r="U55" i="114"/>
  <c r="W55" i="114"/>
  <c r="T60" i="114"/>
  <c r="V31" i="114"/>
  <c r="W31" i="114"/>
  <c r="U31" i="114"/>
  <c r="V11" i="114"/>
  <c r="U11" i="114"/>
  <c r="W11" i="114"/>
  <c r="U207" i="114"/>
  <c r="V207" i="114"/>
  <c r="W207" i="114"/>
  <c r="U195" i="114"/>
  <c r="W195" i="114"/>
  <c r="V195" i="114"/>
  <c r="U183" i="114"/>
  <c r="V183" i="114"/>
  <c r="W183" i="114"/>
  <c r="U171" i="114"/>
  <c r="V171" i="114"/>
  <c r="W171" i="114"/>
  <c r="U159" i="114"/>
  <c r="W159" i="114"/>
  <c r="V159" i="114"/>
  <c r="U147" i="114"/>
  <c r="W147" i="114"/>
  <c r="V147" i="114"/>
  <c r="U135" i="114"/>
  <c r="V135" i="114"/>
  <c r="W135" i="114"/>
  <c r="U123" i="114"/>
  <c r="V123" i="114"/>
  <c r="W123" i="114"/>
  <c r="U111" i="114"/>
  <c r="V111" i="114"/>
  <c r="W111" i="114"/>
  <c r="U99" i="114"/>
  <c r="V99" i="114"/>
  <c r="W99" i="114"/>
  <c r="T38" i="108"/>
  <c r="T32" i="108"/>
  <c r="T30" i="108"/>
  <c r="T29" i="108"/>
  <c r="T25" i="108"/>
  <c r="T24" i="108"/>
  <c r="T22" i="108"/>
  <c r="T21" i="108"/>
  <c r="T37" i="108"/>
  <c r="T33" i="108"/>
  <c r="T17" i="108"/>
  <c r="T13" i="108"/>
  <c r="T9" i="108"/>
  <c r="T43" i="108"/>
  <c r="T39" i="108"/>
  <c r="B90" i="108"/>
  <c r="B89" i="108"/>
  <c r="B88" i="108"/>
  <c r="B87" i="108"/>
  <c r="B86" i="108"/>
  <c r="B85" i="108"/>
  <c r="B84" i="108"/>
  <c r="B83" i="108"/>
  <c r="B82" i="108"/>
  <c r="B81" i="108"/>
  <c r="B80" i="108"/>
  <c r="B79" i="108"/>
  <c r="B78" i="108"/>
  <c r="B77" i="108"/>
  <c r="B76" i="108"/>
  <c r="B75" i="108"/>
  <c r="B74" i="108"/>
  <c r="B73" i="108"/>
  <c r="B72" i="108"/>
  <c r="B71" i="108"/>
  <c r="B70" i="108"/>
  <c r="B69" i="108"/>
  <c r="B68" i="108"/>
  <c r="B67" i="108"/>
  <c r="B66" i="108"/>
  <c r="B65" i="108"/>
  <c r="B64" i="108"/>
  <c r="B63" i="108"/>
  <c r="B62" i="108"/>
  <c r="B61" i="108"/>
  <c r="B60" i="108"/>
  <c r="B59" i="108"/>
  <c r="B58" i="108"/>
  <c r="B57" i="108"/>
  <c r="B56" i="108"/>
  <c r="B55" i="108"/>
  <c r="B54" i="108"/>
  <c r="B53" i="108"/>
  <c r="B52" i="108"/>
  <c r="H51" i="108"/>
  <c r="B51" i="108"/>
  <c r="S43" i="108"/>
  <c r="U43" i="108"/>
  <c r="J43" i="108"/>
  <c r="B43" i="108"/>
  <c r="S42" i="108"/>
  <c r="U42" i="108"/>
  <c r="J42" i="108"/>
  <c r="T42" i="108"/>
  <c r="B42" i="108"/>
  <c r="S41" i="108"/>
  <c r="U41" i="108"/>
  <c r="J41" i="108"/>
  <c r="T41" i="108"/>
  <c r="B41" i="108"/>
  <c r="S40" i="108"/>
  <c r="U40" i="108"/>
  <c r="J40" i="108"/>
  <c r="T40" i="108"/>
  <c r="B40" i="108"/>
  <c r="S39" i="108"/>
  <c r="U39" i="108"/>
  <c r="J39" i="108"/>
  <c r="B39" i="108"/>
  <c r="S38" i="108"/>
  <c r="U38" i="108"/>
  <c r="J38" i="108"/>
  <c r="B38" i="108"/>
  <c r="S37" i="108"/>
  <c r="U37" i="108"/>
  <c r="J37" i="108"/>
  <c r="B37" i="108"/>
  <c r="S36" i="108"/>
  <c r="U36" i="108"/>
  <c r="J36" i="108"/>
  <c r="T36" i="108"/>
  <c r="B36" i="108"/>
  <c r="S35" i="108"/>
  <c r="U35" i="108"/>
  <c r="J35" i="108"/>
  <c r="T35" i="108"/>
  <c r="B35" i="108"/>
  <c r="S34" i="108"/>
  <c r="U34" i="108"/>
  <c r="J34" i="108"/>
  <c r="T34" i="108"/>
  <c r="B34" i="108"/>
  <c r="S33" i="108"/>
  <c r="U33" i="108"/>
  <c r="J33" i="108"/>
  <c r="B33" i="108"/>
  <c r="S32" i="108"/>
  <c r="U32" i="108"/>
  <c r="J32" i="108"/>
  <c r="B32" i="108"/>
  <c r="S31" i="108"/>
  <c r="U31" i="108"/>
  <c r="J31" i="108"/>
  <c r="T31" i="108"/>
  <c r="B31" i="108"/>
  <c r="S30" i="108"/>
  <c r="U30" i="108"/>
  <c r="J30" i="108"/>
  <c r="B30" i="108"/>
  <c r="S29" i="108"/>
  <c r="U29" i="108"/>
  <c r="J29" i="108"/>
  <c r="B29" i="108"/>
  <c r="S28" i="108"/>
  <c r="U28" i="108"/>
  <c r="J28" i="108"/>
  <c r="T28" i="108"/>
  <c r="B28" i="108"/>
  <c r="S27" i="108"/>
  <c r="U27" i="108"/>
  <c r="J27" i="108"/>
  <c r="T27" i="108"/>
  <c r="B27" i="108"/>
  <c r="S26" i="108"/>
  <c r="U26" i="108"/>
  <c r="J26" i="108"/>
  <c r="T26" i="108"/>
  <c r="B26" i="108"/>
  <c r="S25" i="108"/>
  <c r="U25" i="108"/>
  <c r="J25" i="108"/>
  <c r="B25" i="108"/>
  <c r="S24" i="108"/>
  <c r="U24" i="108"/>
  <c r="J24" i="108"/>
  <c r="B24" i="108"/>
  <c r="S23" i="108"/>
  <c r="U23" i="108"/>
  <c r="J23" i="108"/>
  <c r="T23" i="108"/>
  <c r="B23" i="108"/>
  <c r="S22" i="108"/>
  <c r="U22" i="108"/>
  <c r="J22" i="108"/>
  <c r="B22" i="108"/>
  <c r="S21" i="108"/>
  <c r="U21" i="108"/>
  <c r="J21" i="108"/>
  <c r="B21" i="108"/>
  <c r="S20" i="108"/>
  <c r="U20" i="108"/>
  <c r="J20" i="108"/>
  <c r="T20" i="108"/>
  <c r="B20" i="108"/>
  <c r="S19" i="108"/>
  <c r="U19" i="108"/>
  <c r="J19" i="108"/>
  <c r="T19" i="108"/>
  <c r="B19" i="108"/>
  <c r="S18" i="108"/>
  <c r="U18" i="108"/>
  <c r="J18" i="108"/>
  <c r="T18" i="108"/>
  <c r="B18" i="108"/>
  <c r="S17" i="108"/>
  <c r="U17" i="108"/>
  <c r="J17" i="108"/>
  <c r="B17" i="108"/>
  <c r="S16" i="108"/>
  <c r="U16" i="108"/>
  <c r="J16" i="108"/>
  <c r="T16" i="108"/>
  <c r="B16" i="108"/>
  <c r="S15" i="108"/>
  <c r="U15" i="108"/>
  <c r="J15" i="108"/>
  <c r="T15" i="108"/>
  <c r="B15" i="108"/>
  <c r="S14" i="108"/>
  <c r="U14" i="108"/>
  <c r="J14" i="108"/>
  <c r="T14" i="108"/>
  <c r="B14" i="108"/>
  <c r="S13" i="108"/>
  <c r="U13" i="108"/>
  <c r="J13" i="108"/>
  <c r="B13" i="108"/>
  <c r="S12" i="108"/>
  <c r="U12" i="108"/>
  <c r="J12" i="108"/>
  <c r="T12" i="108"/>
  <c r="B12" i="108"/>
  <c r="S11" i="108"/>
  <c r="U11" i="108"/>
  <c r="J11" i="108"/>
  <c r="T11" i="108"/>
  <c r="B11" i="108"/>
  <c r="S10" i="108"/>
  <c r="U10" i="108"/>
  <c r="J10" i="108"/>
  <c r="T10" i="108"/>
  <c r="B10" i="108"/>
  <c r="S9" i="108"/>
  <c r="U9" i="108"/>
  <c r="J9" i="108"/>
  <c r="B9" i="108"/>
  <c r="S8" i="108"/>
  <c r="U8" i="108"/>
  <c r="J8" i="108"/>
  <c r="T8" i="108"/>
  <c r="B8" i="108"/>
  <c r="S7" i="108"/>
  <c r="U7" i="108"/>
  <c r="J7" i="108"/>
  <c r="T7" i="108"/>
  <c r="B7" i="108"/>
  <c r="S6" i="108"/>
  <c r="U6" i="108"/>
  <c r="J6" i="108"/>
  <c r="T6" i="108"/>
  <c r="B6" i="108"/>
  <c r="S5" i="108"/>
  <c r="U5" i="108"/>
  <c r="J5" i="108"/>
  <c r="B5" i="108"/>
  <c r="S4" i="108"/>
  <c r="U4" i="108"/>
  <c r="V322" i="74" s="1"/>
  <c r="B4" i="108"/>
  <c r="P9" i="104"/>
  <c r="P9" i="106"/>
  <c r="P9" i="107"/>
  <c r="P9" i="105"/>
  <c r="K174" i="110" l="1"/>
  <c r="M174" i="110"/>
  <c r="L174" i="110"/>
  <c r="K138" i="110"/>
  <c r="L138" i="110"/>
  <c r="M138" i="110"/>
  <c r="K102" i="110"/>
  <c r="M102" i="110"/>
  <c r="L102" i="110"/>
  <c r="M90" i="110"/>
  <c r="L90" i="110"/>
  <c r="K90" i="110"/>
  <c r="J25" i="128"/>
  <c r="K126" i="110"/>
  <c r="M126" i="110"/>
  <c r="L126" i="110"/>
  <c r="K114" i="110"/>
  <c r="M114" i="110"/>
  <c r="L114" i="110"/>
  <c r="M66" i="110"/>
  <c r="L66" i="110"/>
  <c r="K66" i="110"/>
  <c r="K168" i="110"/>
  <c r="M168" i="110"/>
  <c r="L168" i="110"/>
  <c r="K156" i="110"/>
  <c r="M156" i="110"/>
  <c r="L156" i="110"/>
  <c r="AF11" i="94"/>
  <c r="AF13" i="94" s="1"/>
  <c r="H9" i="110" s="1"/>
  <c r="AE11" i="94"/>
  <c r="AA11" i="94"/>
  <c r="AA13" i="94" s="1"/>
  <c r="H9" i="57" s="1"/>
  <c r="Z11" i="94"/>
  <c r="Z10" i="94"/>
  <c r="Z13" i="94" s="1"/>
  <c r="H8" i="57" s="1"/>
  <c r="AB10" i="94"/>
  <c r="AH10" i="94"/>
  <c r="AF10" i="94"/>
  <c r="AG9" i="94"/>
  <c r="AG13" i="94" s="1"/>
  <c r="AF9" i="94"/>
  <c r="AB9" i="94"/>
  <c r="Z9" i="94"/>
  <c r="Y9" i="94"/>
  <c r="Y13" i="94" s="1"/>
  <c r="H7" i="57" s="1"/>
  <c r="K144" i="110"/>
  <c r="M144" i="110"/>
  <c r="L144" i="110"/>
  <c r="M96" i="110"/>
  <c r="L96" i="110"/>
  <c r="K96" i="110"/>
  <c r="M186" i="110"/>
  <c r="K186" i="110"/>
  <c r="L186" i="110"/>
  <c r="K48" i="110"/>
  <c r="M48" i="110"/>
  <c r="L48" i="110"/>
  <c r="K78" i="110"/>
  <c r="M78" i="110"/>
  <c r="L78" i="110"/>
  <c r="M54" i="110"/>
  <c r="L54" i="110"/>
  <c r="K54" i="110"/>
  <c r="K150" i="110"/>
  <c r="M150" i="110"/>
  <c r="L150" i="110"/>
  <c r="M210" i="110"/>
  <c r="K210" i="110"/>
  <c r="L210" i="110"/>
  <c r="M198" i="110"/>
  <c r="L198" i="110"/>
  <c r="K198" i="110"/>
  <c r="M60" i="110"/>
  <c r="L60" i="110"/>
  <c r="K60" i="110"/>
  <c r="I22" i="130"/>
  <c r="I33" i="130"/>
  <c r="I36" i="130"/>
  <c r="AH157" i="114"/>
  <c r="AI157" i="114" s="1"/>
  <c r="AH43" i="114"/>
  <c r="AI43" i="114" s="1"/>
  <c r="AH85" i="114"/>
  <c r="AI85" i="114" s="1"/>
  <c r="AH49" i="114"/>
  <c r="AI49" i="114" s="1"/>
  <c r="AH133" i="114"/>
  <c r="AI133" i="114" s="1"/>
  <c r="AH181" i="114"/>
  <c r="AI181" i="114" s="1"/>
  <c r="AH31" i="114"/>
  <c r="AI31" i="114" s="1"/>
  <c r="AH121" i="114"/>
  <c r="AI121" i="114" s="1"/>
  <c r="AH97" i="114"/>
  <c r="AI97" i="114" s="1"/>
  <c r="AH205" i="114"/>
  <c r="AI205" i="114" s="1"/>
  <c r="AH61" i="114"/>
  <c r="AI61" i="114" s="1"/>
  <c r="AH7" i="114"/>
  <c r="R287" i="74" s="1"/>
  <c r="AH73" i="114"/>
  <c r="AI73" i="114" s="1"/>
  <c r="I26" i="130"/>
  <c r="I38" i="130"/>
  <c r="I29" i="130"/>
  <c r="I24" i="130"/>
  <c r="I27" i="130"/>
  <c r="I31" i="130"/>
  <c r="I35" i="130"/>
  <c r="I14" i="130"/>
  <c r="I34" i="130"/>
  <c r="I21" i="130"/>
  <c r="I25" i="130"/>
  <c r="I12" i="130"/>
  <c r="I16" i="130"/>
  <c r="I28" i="130"/>
  <c r="I32" i="130"/>
  <c r="I19" i="130"/>
  <c r="I23" i="130"/>
  <c r="I9" i="130"/>
  <c r="I8" i="130"/>
  <c r="I11" i="130"/>
  <c r="T42" i="114"/>
  <c r="V42" i="114" s="1"/>
  <c r="P52" i="104"/>
  <c r="P51" i="104"/>
  <c r="P50" i="104"/>
  <c r="AE8" i="94"/>
  <c r="AE13" i="94" s="1"/>
  <c r="H8" i="110" s="1"/>
  <c r="AB8" i="94"/>
  <c r="AB13" i="94" s="1"/>
  <c r="H10" i="57" s="1"/>
  <c r="AH8" i="94"/>
  <c r="AH13" i="94" s="1"/>
  <c r="H11" i="110" s="1"/>
  <c r="AD8" i="94"/>
  <c r="AD13" i="94" s="1"/>
  <c r="W10" i="114"/>
  <c r="V161" i="114"/>
  <c r="W209" i="114"/>
  <c r="I17" i="130"/>
  <c r="U29" i="114"/>
  <c r="W77" i="114"/>
  <c r="W137" i="114"/>
  <c r="W185" i="114"/>
  <c r="U64" i="114"/>
  <c r="I10" i="130"/>
  <c r="V36" i="114"/>
  <c r="U36" i="114"/>
  <c r="U78" i="114"/>
  <c r="V126" i="114"/>
  <c r="T66" i="114"/>
  <c r="U66" i="114" s="1"/>
  <c r="V138" i="114"/>
  <c r="V29" i="114"/>
  <c r="W29" i="114"/>
  <c r="U125" i="114"/>
  <c r="T12" i="114"/>
  <c r="V12" i="114" s="1"/>
  <c r="U10" i="114"/>
  <c r="V90" i="114"/>
  <c r="U53" i="114"/>
  <c r="U101" i="114"/>
  <c r="W161" i="114"/>
  <c r="U209" i="114"/>
  <c r="V40" i="114"/>
  <c r="U45" i="114"/>
  <c r="W33" i="114"/>
  <c r="U33" i="114"/>
  <c r="V33" i="114"/>
  <c r="T30" i="114"/>
  <c r="I13" i="130"/>
  <c r="T54" i="114"/>
  <c r="U54" i="114" s="1"/>
  <c r="V53" i="114"/>
  <c r="W101" i="114"/>
  <c r="W15" i="114"/>
  <c r="U15" i="114"/>
  <c r="V15" i="114"/>
  <c r="T18" i="114"/>
  <c r="I7" i="130"/>
  <c r="V24" i="114"/>
  <c r="U84" i="114"/>
  <c r="V84" i="114"/>
  <c r="V132" i="114"/>
  <c r="U132" i="114"/>
  <c r="V156" i="114"/>
  <c r="U156" i="114"/>
  <c r="V180" i="114"/>
  <c r="U180" i="114"/>
  <c r="V78" i="114"/>
  <c r="U102" i="114"/>
  <c r="V102" i="114"/>
  <c r="U126" i="114"/>
  <c r="U150" i="114"/>
  <c r="V150" i="114"/>
  <c r="U174" i="114"/>
  <c r="V174" i="114"/>
  <c r="U198" i="114"/>
  <c r="V198" i="114"/>
  <c r="U48" i="114"/>
  <c r="V48" i="114"/>
  <c r="U96" i="114"/>
  <c r="V96" i="114"/>
  <c r="U144" i="114"/>
  <c r="V144" i="114"/>
  <c r="V192" i="114"/>
  <c r="U192" i="114"/>
  <c r="U216" i="114"/>
  <c r="V216" i="114"/>
  <c r="V66" i="114"/>
  <c r="U162" i="114"/>
  <c r="V162" i="114"/>
  <c r="V186" i="114"/>
  <c r="U186" i="114"/>
  <c r="U210" i="114"/>
  <c r="V210" i="114"/>
  <c r="U60" i="114"/>
  <c r="V60" i="114"/>
  <c r="V108" i="114"/>
  <c r="U108" i="114"/>
  <c r="U204" i="114"/>
  <c r="V204" i="114"/>
  <c r="V72" i="114"/>
  <c r="U72" i="114"/>
  <c r="U120" i="114"/>
  <c r="V120" i="114"/>
  <c r="U168" i="114"/>
  <c r="V168" i="114"/>
  <c r="U114" i="114"/>
  <c r="V114" i="114"/>
  <c r="J9" i="110" l="1"/>
  <c r="I9" i="110"/>
  <c r="U138" i="114"/>
  <c r="V54" i="114"/>
  <c r="U42" i="114"/>
  <c r="V14" i="103"/>
  <c r="W14" i="103"/>
  <c r="U14" i="103"/>
  <c r="AI7" i="114"/>
  <c r="T287" i="74" s="1"/>
  <c r="I6" i="130"/>
  <c r="J11" i="110"/>
  <c r="I11" i="110"/>
  <c r="J8" i="110"/>
  <c r="I8" i="110"/>
  <c r="H7" i="110"/>
  <c r="H10" i="110"/>
  <c r="U12" i="114"/>
  <c r="U90" i="114"/>
  <c r="V30" i="114"/>
  <c r="U30" i="114"/>
  <c r="U18" i="114"/>
  <c r="V18" i="114"/>
  <c r="U11" i="103"/>
  <c r="W11" i="103"/>
  <c r="V11" i="103"/>
  <c r="U13" i="103"/>
  <c r="U12" i="103"/>
  <c r="V10" i="103"/>
  <c r="H10" i="70"/>
  <c r="H11" i="70"/>
  <c r="H12" i="70"/>
  <c r="H13" i="70"/>
  <c r="H14" i="70"/>
  <c r="H15" i="70"/>
  <c r="H16" i="70"/>
  <c r="H17" i="70"/>
  <c r="H18" i="70"/>
  <c r="H19" i="70"/>
  <c r="H20" i="70"/>
  <c r="H21" i="70"/>
  <c r="H22" i="70"/>
  <c r="H23" i="70"/>
  <c r="H24" i="70"/>
  <c r="H25" i="70"/>
  <c r="H26" i="70"/>
  <c r="H27" i="70"/>
  <c r="H28" i="70"/>
  <c r="H29" i="70"/>
  <c r="H30" i="70"/>
  <c r="H31" i="70"/>
  <c r="H32" i="70"/>
  <c r="H33" i="70"/>
  <c r="H34" i="70"/>
  <c r="H35" i="70"/>
  <c r="H36" i="70"/>
  <c r="H37" i="70"/>
  <c r="H38" i="70"/>
  <c r="H39" i="70"/>
  <c r="H40" i="70"/>
  <c r="H41" i="70"/>
  <c r="H42" i="70"/>
  <c r="H43" i="70"/>
  <c r="O43" i="70"/>
  <c r="O10" i="70"/>
  <c r="O11" i="70"/>
  <c r="O12" i="70"/>
  <c r="O13" i="70"/>
  <c r="O14" i="70"/>
  <c r="O15" i="70"/>
  <c r="O16" i="70"/>
  <c r="O17" i="70"/>
  <c r="O18" i="70"/>
  <c r="O19" i="70"/>
  <c r="O20" i="70"/>
  <c r="O21" i="70"/>
  <c r="O22" i="70"/>
  <c r="O23" i="70"/>
  <c r="O24" i="70"/>
  <c r="O25" i="70"/>
  <c r="O26" i="70"/>
  <c r="O27" i="70"/>
  <c r="O28" i="70"/>
  <c r="O29" i="70"/>
  <c r="O30" i="70"/>
  <c r="O31" i="70"/>
  <c r="O32" i="70"/>
  <c r="O33" i="70"/>
  <c r="O34" i="70"/>
  <c r="O35" i="70"/>
  <c r="O36" i="70"/>
  <c r="O37" i="70"/>
  <c r="O38" i="70"/>
  <c r="O39" i="70"/>
  <c r="O40" i="70"/>
  <c r="O41" i="70"/>
  <c r="O42" i="70"/>
  <c r="U10" i="70"/>
  <c r="U11" i="70"/>
  <c r="U12" i="70"/>
  <c r="U13" i="70"/>
  <c r="U14" i="70"/>
  <c r="U15" i="70"/>
  <c r="U16" i="70"/>
  <c r="U17" i="70"/>
  <c r="U18" i="70"/>
  <c r="U19" i="70"/>
  <c r="U20" i="70"/>
  <c r="U21" i="70"/>
  <c r="U22" i="70"/>
  <c r="U23" i="70"/>
  <c r="U24" i="70"/>
  <c r="U25" i="70"/>
  <c r="U26" i="70"/>
  <c r="U27" i="70"/>
  <c r="U28" i="70"/>
  <c r="U29" i="70"/>
  <c r="U30" i="70"/>
  <c r="U31" i="70"/>
  <c r="U32" i="70"/>
  <c r="U33" i="70"/>
  <c r="U34" i="70"/>
  <c r="U35" i="70"/>
  <c r="U36" i="70"/>
  <c r="U37" i="70"/>
  <c r="U38" i="70"/>
  <c r="U39" i="70"/>
  <c r="U40" i="70"/>
  <c r="U41" i="70"/>
  <c r="U42" i="70"/>
  <c r="U43" i="70"/>
  <c r="AB10" i="70"/>
  <c r="AB11" i="70"/>
  <c r="AB12" i="70"/>
  <c r="AB13" i="70"/>
  <c r="AB14" i="70"/>
  <c r="AB15" i="70"/>
  <c r="AB16" i="70"/>
  <c r="AB17" i="70"/>
  <c r="AB18" i="70"/>
  <c r="AB19" i="70"/>
  <c r="AB20" i="70"/>
  <c r="AB21" i="70"/>
  <c r="AB22" i="70"/>
  <c r="AB23" i="70"/>
  <c r="AB24" i="70"/>
  <c r="AB25" i="70"/>
  <c r="AB26" i="70"/>
  <c r="AB27" i="70"/>
  <c r="AB28" i="70"/>
  <c r="AB29" i="70"/>
  <c r="AB30" i="70"/>
  <c r="AB31" i="70"/>
  <c r="AB32" i="70"/>
  <c r="AB33" i="70"/>
  <c r="AB34" i="70"/>
  <c r="AB35" i="70"/>
  <c r="AB36" i="70"/>
  <c r="AB37" i="70"/>
  <c r="AB38" i="70"/>
  <c r="AB39" i="70"/>
  <c r="AB40" i="70"/>
  <c r="AB41" i="70"/>
  <c r="AB42" i="70"/>
  <c r="AB43" i="70"/>
  <c r="AB9" i="70"/>
  <c r="O9" i="70"/>
  <c r="AT10" i="70"/>
  <c r="AU10" i="70"/>
  <c r="AV10" i="70"/>
  <c r="AX10" i="70"/>
  <c r="AY10" i="70"/>
  <c r="AZ10" i="70"/>
  <c r="BB10" i="70"/>
  <c r="BC10" i="70"/>
  <c r="BD10" i="70"/>
  <c r="BF10" i="70"/>
  <c r="BG10" i="70"/>
  <c r="BH10" i="70"/>
  <c r="AT11" i="70"/>
  <c r="AU11" i="70"/>
  <c r="AV11" i="70"/>
  <c r="AX11" i="70"/>
  <c r="AY11" i="70"/>
  <c r="AZ11" i="70"/>
  <c r="BB11" i="70"/>
  <c r="BC11" i="70"/>
  <c r="BD11" i="70"/>
  <c r="BF11" i="70"/>
  <c r="BG11" i="70"/>
  <c r="BH11" i="70"/>
  <c r="AT12" i="70"/>
  <c r="AU12" i="70"/>
  <c r="AV12" i="70"/>
  <c r="AX12" i="70"/>
  <c r="AY12" i="70"/>
  <c r="AZ12" i="70"/>
  <c r="BB12" i="70"/>
  <c r="BC12" i="70"/>
  <c r="BD12" i="70"/>
  <c r="BF12" i="70"/>
  <c r="BG12" i="70"/>
  <c r="BH12" i="70"/>
  <c r="AT13" i="70"/>
  <c r="AU13" i="70"/>
  <c r="AV13" i="70"/>
  <c r="AX13" i="70"/>
  <c r="AY13" i="70"/>
  <c r="AZ13" i="70"/>
  <c r="BB13" i="70"/>
  <c r="BC13" i="70"/>
  <c r="BD13" i="70"/>
  <c r="BF13" i="70"/>
  <c r="BG13" i="70"/>
  <c r="BH13" i="70"/>
  <c r="AT14" i="70"/>
  <c r="AU14" i="70"/>
  <c r="AV14" i="70"/>
  <c r="AX14" i="70"/>
  <c r="AY14" i="70"/>
  <c r="AZ14" i="70"/>
  <c r="BB14" i="70"/>
  <c r="BC14" i="70"/>
  <c r="BD14" i="70"/>
  <c r="BF14" i="70"/>
  <c r="BG14" i="70"/>
  <c r="BH14" i="70"/>
  <c r="AT15" i="70"/>
  <c r="AU15" i="70"/>
  <c r="AV15" i="70"/>
  <c r="AX15" i="70"/>
  <c r="AY15" i="70"/>
  <c r="AZ15" i="70"/>
  <c r="BB15" i="70"/>
  <c r="BC15" i="70"/>
  <c r="BD15" i="70"/>
  <c r="BF15" i="70"/>
  <c r="BG15" i="70"/>
  <c r="BH15" i="70"/>
  <c r="AT16" i="70"/>
  <c r="AU16" i="70"/>
  <c r="AV16" i="70"/>
  <c r="AX16" i="70"/>
  <c r="AY16" i="70"/>
  <c r="AZ16" i="70"/>
  <c r="BB16" i="70"/>
  <c r="BC16" i="70"/>
  <c r="BD16" i="70"/>
  <c r="BF16" i="70"/>
  <c r="BG16" i="70"/>
  <c r="BH16" i="70"/>
  <c r="AT17" i="70"/>
  <c r="AU17" i="70"/>
  <c r="AV17" i="70"/>
  <c r="AX17" i="70"/>
  <c r="AY17" i="70"/>
  <c r="AZ17" i="70"/>
  <c r="BB17" i="70"/>
  <c r="BC17" i="70"/>
  <c r="BD17" i="70"/>
  <c r="BF17" i="70"/>
  <c r="BG17" i="70"/>
  <c r="BH17" i="70"/>
  <c r="AT18" i="70"/>
  <c r="AU18" i="70"/>
  <c r="AV18" i="70"/>
  <c r="AX18" i="70"/>
  <c r="AY18" i="70"/>
  <c r="AZ18" i="70"/>
  <c r="BB18" i="70"/>
  <c r="BC18" i="70"/>
  <c r="BD18" i="70"/>
  <c r="BF18" i="70"/>
  <c r="BG18" i="70"/>
  <c r="BH18" i="70"/>
  <c r="AT19" i="70"/>
  <c r="AU19" i="70"/>
  <c r="AV19" i="70"/>
  <c r="AX19" i="70"/>
  <c r="AY19" i="70"/>
  <c r="AZ19" i="70"/>
  <c r="BB19" i="70"/>
  <c r="BC19" i="70"/>
  <c r="BD19" i="70"/>
  <c r="BF19" i="70"/>
  <c r="BG19" i="70"/>
  <c r="BH19" i="70"/>
  <c r="AT20" i="70"/>
  <c r="AU20" i="70"/>
  <c r="AV20" i="70"/>
  <c r="AX20" i="70"/>
  <c r="AY20" i="70"/>
  <c r="AZ20" i="70"/>
  <c r="BB20" i="70"/>
  <c r="BC20" i="70"/>
  <c r="BD20" i="70"/>
  <c r="BF20" i="70"/>
  <c r="BG20" i="70"/>
  <c r="BH20" i="70"/>
  <c r="AT21" i="70"/>
  <c r="AU21" i="70"/>
  <c r="AV21" i="70"/>
  <c r="AX21" i="70"/>
  <c r="AY21" i="70"/>
  <c r="AZ21" i="70"/>
  <c r="BB21" i="70"/>
  <c r="BC21" i="70"/>
  <c r="BD21" i="70"/>
  <c r="BF21" i="70"/>
  <c r="BG21" i="70"/>
  <c r="BH21" i="70"/>
  <c r="AT22" i="70"/>
  <c r="AU22" i="70"/>
  <c r="AV22" i="70"/>
  <c r="AX22" i="70"/>
  <c r="AY22" i="70"/>
  <c r="AZ22" i="70"/>
  <c r="BB22" i="70"/>
  <c r="BC22" i="70"/>
  <c r="BD22" i="70"/>
  <c r="BF22" i="70"/>
  <c r="BG22" i="70"/>
  <c r="BH22" i="70"/>
  <c r="AT23" i="70"/>
  <c r="AU23" i="70"/>
  <c r="AV23" i="70"/>
  <c r="AX23" i="70"/>
  <c r="AY23" i="70"/>
  <c r="AZ23" i="70"/>
  <c r="BB23" i="70"/>
  <c r="BC23" i="70"/>
  <c r="BD23" i="70"/>
  <c r="BF23" i="70"/>
  <c r="BG23" i="70"/>
  <c r="BH23" i="70"/>
  <c r="AT24" i="70"/>
  <c r="AU24" i="70"/>
  <c r="AV24" i="70"/>
  <c r="AX24" i="70"/>
  <c r="AY24" i="70"/>
  <c r="AZ24" i="70"/>
  <c r="BB24" i="70"/>
  <c r="BC24" i="70"/>
  <c r="BD24" i="70"/>
  <c r="BF24" i="70"/>
  <c r="BG24" i="70"/>
  <c r="BH24" i="70"/>
  <c r="AT25" i="70"/>
  <c r="AU25" i="70"/>
  <c r="AV25" i="70"/>
  <c r="AX25" i="70"/>
  <c r="AY25" i="70"/>
  <c r="AZ25" i="70"/>
  <c r="BB25" i="70"/>
  <c r="BC25" i="70"/>
  <c r="BD25" i="70"/>
  <c r="BF25" i="70"/>
  <c r="BG25" i="70"/>
  <c r="BH25" i="70"/>
  <c r="AT26" i="70"/>
  <c r="AU26" i="70"/>
  <c r="AV26" i="70"/>
  <c r="AX26" i="70"/>
  <c r="AY26" i="70"/>
  <c r="AZ26" i="70"/>
  <c r="BB26" i="70"/>
  <c r="BC26" i="70"/>
  <c r="BD26" i="70"/>
  <c r="BF26" i="70"/>
  <c r="BG26" i="70"/>
  <c r="BH26" i="70"/>
  <c r="AT27" i="70"/>
  <c r="AU27" i="70"/>
  <c r="AV27" i="70"/>
  <c r="AX27" i="70"/>
  <c r="AY27" i="70"/>
  <c r="AZ27" i="70"/>
  <c r="BB27" i="70"/>
  <c r="BC27" i="70"/>
  <c r="BD27" i="70"/>
  <c r="BF27" i="70"/>
  <c r="BG27" i="70"/>
  <c r="BH27" i="70"/>
  <c r="AT28" i="70"/>
  <c r="AU28" i="70"/>
  <c r="AV28" i="70"/>
  <c r="AX28" i="70"/>
  <c r="AY28" i="70"/>
  <c r="AZ28" i="70"/>
  <c r="BB28" i="70"/>
  <c r="BC28" i="70"/>
  <c r="BD28" i="70"/>
  <c r="BF28" i="70"/>
  <c r="BG28" i="70"/>
  <c r="BH28" i="70"/>
  <c r="AT29" i="70"/>
  <c r="AU29" i="70"/>
  <c r="AV29" i="70"/>
  <c r="AX29" i="70"/>
  <c r="AY29" i="70"/>
  <c r="AZ29" i="70"/>
  <c r="BB29" i="70"/>
  <c r="BC29" i="70"/>
  <c r="BD29" i="70"/>
  <c r="BF29" i="70"/>
  <c r="BG29" i="70"/>
  <c r="BH29" i="70"/>
  <c r="AT30" i="70"/>
  <c r="AU30" i="70"/>
  <c r="AV30" i="70"/>
  <c r="AX30" i="70"/>
  <c r="AY30" i="70"/>
  <c r="AZ30" i="70"/>
  <c r="BB30" i="70"/>
  <c r="BC30" i="70"/>
  <c r="BD30" i="70"/>
  <c r="BF30" i="70"/>
  <c r="BG30" i="70"/>
  <c r="BH30" i="70"/>
  <c r="AT31" i="70"/>
  <c r="AU31" i="70"/>
  <c r="AV31" i="70"/>
  <c r="AX31" i="70"/>
  <c r="AY31" i="70"/>
  <c r="AZ31" i="70"/>
  <c r="BB31" i="70"/>
  <c r="BC31" i="70"/>
  <c r="BD31" i="70"/>
  <c r="BF31" i="70"/>
  <c r="BG31" i="70"/>
  <c r="BH31" i="70"/>
  <c r="AT32" i="70"/>
  <c r="AU32" i="70"/>
  <c r="AV32" i="70"/>
  <c r="AX32" i="70"/>
  <c r="AY32" i="70"/>
  <c r="AZ32" i="70"/>
  <c r="BB32" i="70"/>
  <c r="BC32" i="70"/>
  <c r="BD32" i="70"/>
  <c r="BF32" i="70"/>
  <c r="BG32" i="70"/>
  <c r="BH32" i="70"/>
  <c r="AT33" i="70"/>
  <c r="AU33" i="70"/>
  <c r="AV33" i="70"/>
  <c r="AX33" i="70"/>
  <c r="AY33" i="70"/>
  <c r="AZ33" i="70"/>
  <c r="BB33" i="70"/>
  <c r="BC33" i="70"/>
  <c r="BD33" i="70"/>
  <c r="BF33" i="70"/>
  <c r="BG33" i="70"/>
  <c r="BH33" i="70"/>
  <c r="AT34" i="70"/>
  <c r="AU34" i="70"/>
  <c r="AV34" i="70"/>
  <c r="AX34" i="70"/>
  <c r="AY34" i="70"/>
  <c r="AZ34" i="70"/>
  <c r="BB34" i="70"/>
  <c r="BC34" i="70"/>
  <c r="BD34" i="70"/>
  <c r="BF34" i="70"/>
  <c r="BG34" i="70"/>
  <c r="BH34" i="70"/>
  <c r="AT35" i="70"/>
  <c r="AU35" i="70"/>
  <c r="AV35" i="70"/>
  <c r="AX35" i="70"/>
  <c r="AY35" i="70"/>
  <c r="AZ35" i="70"/>
  <c r="BB35" i="70"/>
  <c r="BC35" i="70"/>
  <c r="BD35" i="70"/>
  <c r="BF35" i="70"/>
  <c r="BG35" i="70"/>
  <c r="BH35" i="70"/>
  <c r="AT36" i="70"/>
  <c r="AU36" i="70"/>
  <c r="AV36" i="70"/>
  <c r="AX36" i="70"/>
  <c r="AY36" i="70"/>
  <c r="AZ36" i="70"/>
  <c r="BB36" i="70"/>
  <c r="BC36" i="70"/>
  <c r="BD36" i="70"/>
  <c r="BF36" i="70"/>
  <c r="BG36" i="70"/>
  <c r="BH36" i="70"/>
  <c r="AT37" i="70"/>
  <c r="AU37" i="70"/>
  <c r="AV37" i="70"/>
  <c r="AX37" i="70"/>
  <c r="AY37" i="70"/>
  <c r="AZ37" i="70"/>
  <c r="BB37" i="70"/>
  <c r="BC37" i="70"/>
  <c r="BD37" i="70"/>
  <c r="BF37" i="70"/>
  <c r="BG37" i="70"/>
  <c r="BH37" i="70"/>
  <c r="AT38" i="70"/>
  <c r="AU38" i="70"/>
  <c r="AV38" i="70"/>
  <c r="AX38" i="70"/>
  <c r="AY38" i="70"/>
  <c r="AZ38" i="70"/>
  <c r="BB38" i="70"/>
  <c r="BC38" i="70"/>
  <c r="BD38" i="70"/>
  <c r="BF38" i="70"/>
  <c r="BG38" i="70"/>
  <c r="BH38" i="70"/>
  <c r="AT39" i="70"/>
  <c r="AU39" i="70"/>
  <c r="AV39" i="70"/>
  <c r="AX39" i="70"/>
  <c r="AY39" i="70"/>
  <c r="AZ39" i="70"/>
  <c r="BB39" i="70"/>
  <c r="BC39" i="70"/>
  <c r="BD39" i="70"/>
  <c r="BF39" i="70"/>
  <c r="BG39" i="70"/>
  <c r="BH39" i="70"/>
  <c r="AT40" i="70"/>
  <c r="AU40" i="70"/>
  <c r="AV40" i="70"/>
  <c r="AX40" i="70"/>
  <c r="AY40" i="70"/>
  <c r="AZ40" i="70"/>
  <c r="BB40" i="70"/>
  <c r="BC40" i="70"/>
  <c r="BD40" i="70"/>
  <c r="BF40" i="70"/>
  <c r="BG40" i="70"/>
  <c r="BH40" i="70"/>
  <c r="AT41" i="70"/>
  <c r="AU41" i="70"/>
  <c r="AV41" i="70"/>
  <c r="AX41" i="70"/>
  <c r="AY41" i="70"/>
  <c r="AZ41" i="70"/>
  <c r="BB41" i="70"/>
  <c r="BC41" i="70"/>
  <c r="BD41" i="70"/>
  <c r="BF41" i="70"/>
  <c r="BG41" i="70"/>
  <c r="BH41" i="70"/>
  <c r="AT42" i="70"/>
  <c r="AU42" i="70"/>
  <c r="AV42" i="70"/>
  <c r="AX42" i="70"/>
  <c r="AY42" i="70"/>
  <c r="AZ42" i="70"/>
  <c r="BB42" i="70"/>
  <c r="BC42" i="70"/>
  <c r="BD42" i="70"/>
  <c r="BF42" i="70"/>
  <c r="BG42" i="70"/>
  <c r="BH42" i="70"/>
  <c r="AT43" i="70"/>
  <c r="AU43" i="70"/>
  <c r="AV43" i="70"/>
  <c r="AX43" i="70"/>
  <c r="AY43" i="70"/>
  <c r="AZ43" i="70"/>
  <c r="BB43" i="70"/>
  <c r="BC43" i="70"/>
  <c r="BD43" i="70"/>
  <c r="BF43" i="70"/>
  <c r="BG43" i="70"/>
  <c r="BH43" i="70"/>
  <c r="BK10" i="70"/>
  <c r="BM10" i="70"/>
  <c r="BO10" i="70"/>
  <c r="BP10" i="70"/>
  <c r="BR10" i="70"/>
  <c r="BS10" i="70"/>
  <c r="BT10" i="70"/>
  <c r="BK11" i="70"/>
  <c r="BM11" i="70"/>
  <c r="BO11" i="70"/>
  <c r="BP11" i="70"/>
  <c r="BR11" i="70"/>
  <c r="BS11" i="70"/>
  <c r="BT11" i="70"/>
  <c r="BK12" i="70"/>
  <c r="BM12" i="70"/>
  <c r="BO12" i="70"/>
  <c r="BP12" i="70"/>
  <c r="BR12" i="70"/>
  <c r="BS12" i="70"/>
  <c r="BT12" i="70"/>
  <c r="BK13" i="70"/>
  <c r="BM13" i="70"/>
  <c r="BO13" i="70"/>
  <c r="BP13" i="70"/>
  <c r="BR13" i="70"/>
  <c r="BS13" i="70"/>
  <c r="BT13" i="70"/>
  <c r="BK14" i="70"/>
  <c r="BM14" i="70"/>
  <c r="BO14" i="70"/>
  <c r="BP14" i="70"/>
  <c r="BR14" i="70"/>
  <c r="BS14" i="70"/>
  <c r="BT14" i="70"/>
  <c r="BK15" i="70"/>
  <c r="BM15" i="70"/>
  <c r="BO15" i="70"/>
  <c r="BP15" i="70"/>
  <c r="BR15" i="70"/>
  <c r="BS15" i="70"/>
  <c r="BT15" i="70"/>
  <c r="BK16" i="70"/>
  <c r="BM16" i="70"/>
  <c r="BO16" i="70"/>
  <c r="BP16" i="70"/>
  <c r="BR16" i="70"/>
  <c r="BS16" i="70"/>
  <c r="BT16" i="70"/>
  <c r="BK17" i="70"/>
  <c r="BM17" i="70"/>
  <c r="BO17" i="70"/>
  <c r="BP17" i="70"/>
  <c r="BR17" i="70"/>
  <c r="BS17" i="70"/>
  <c r="BT17" i="70"/>
  <c r="BK18" i="70"/>
  <c r="BM18" i="70"/>
  <c r="BO18" i="70"/>
  <c r="BP18" i="70"/>
  <c r="BR18" i="70"/>
  <c r="BS18" i="70"/>
  <c r="BT18" i="70"/>
  <c r="BK19" i="70"/>
  <c r="BM19" i="70"/>
  <c r="BO19" i="70"/>
  <c r="BP19" i="70"/>
  <c r="BR19" i="70"/>
  <c r="BS19" i="70"/>
  <c r="BT19" i="70"/>
  <c r="BK20" i="70"/>
  <c r="BM20" i="70"/>
  <c r="BO20" i="70"/>
  <c r="BP20" i="70"/>
  <c r="BR20" i="70"/>
  <c r="BS20" i="70"/>
  <c r="BT20" i="70"/>
  <c r="BK21" i="70"/>
  <c r="BM21" i="70"/>
  <c r="BO21" i="70"/>
  <c r="BP21" i="70"/>
  <c r="BR21" i="70"/>
  <c r="BS21" i="70"/>
  <c r="BT21" i="70"/>
  <c r="BK22" i="70"/>
  <c r="BM22" i="70"/>
  <c r="BO22" i="70"/>
  <c r="BP22" i="70"/>
  <c r="BR22" i="70"/>
  <c r="BS22" i="70"/>
  <c r="BT22" i="70"/>
  <c r="BK23" i="70"/>
  <c r="BM23" i="70"/>
  <c r="BO23" i="70"/>
  <c r="BP23" i="70"/>
  <c r="BR23" i="70"/>
  <c r="BS23" i="70"/>
  <c r="BT23" i="70"/>
  <c r="BK24" i="70"/>
  <c r="BM24" i="70"/>
  <c r="BO24" i="70"/>
  <c r="BP24" i="70"/>
  <c r="BR24" i="70"/>
  <c r="BS24" i="70"/>
  <c r="BT24" i="70"/>
  <c r="BK25" i="70"/>
  <c r="BM25" i="70"/>
  <c r="BO25" i="70"/>
  <c r="BP25" i="70"/>
  <c r="BR25" i="70"/>
  <c r="BS25" i="70"/>
  <c r="BT25" i="70"/>
  <c r="BK26" i="70"/>
  <c r="BM26" i="70"/>
  <c r="BO26" i="70"/>
  <c r="BP26" i="70"/>
  <c r="BR26" i="70"/>
  <c r="BS26" i="70"/>
  <c r="BT26" i="70"/>
  <c r="BK27" i="70"/>
  <c r="BM27" i="70"/>
  <c r="BO27" i="70"/>
  <c r="BP27" i="70"/>
  <c r="BR27" i="70"/>
  <c r="BS27" i="70"/>
  <c r="BT27" i="70"/>
  <c r="BK28" i="70"/>
  <c r="BM28" i="70"/>
  <c r="BO28" i="70"/>
  <c r="BP28" i="70"/>
  <c r="BR28" i="70"/>
  <c r="BS28" i="70"/>
  <c r="BT28" i="70"/>
  <c r="BK29" i="70"/>
  <c r="BM29" i="70"/>
  <c r="BO29" i="70"/>
  <c r="BP29" i="70"/>
  <c r="BR29" i="70"/>
  <c r="BS29" i="70"/>
  <c r="BT29" i="70"/>
  <c r="BK30" i="70"/>
  <c r="BM30" i="70"/>
  <c r="BO30" i="70"/>
  <c r="BP30" i="70"/>
  <c r="BR30" i="70"/>
  <c r="BS30" i="70"/>
  <c r="BT30" i="70"/>
  <c r="BK31" i="70"/>
  <c r="BM31" i="70"/>
  <c r="BO31" i="70"/>
  <c r="BP31" i="70"/>
  <c r="BR31" i="70"/>
  <c r="BS31" i="70"/>
  <c r="BT31" i="70"/>
  <c r="BK32" i="70"/>
  <c r="BM32" i="70"/>
  <c r="BO32" i="70"/>
  <c r="BP32" i="70"/>
  <c r="BR32" i="70"/>
  <c r="BS32" i="70"/>
  <c r="BT32" i="70"/>
  <c r="BK33" i="70"/>
  <c r="BM33" i="70"/>
  <c r="BO33" i="70"/>
  <c r="BP33" i="70"/>
  <c r="BR33" i="70"/>
  <c r="BS33" i="70"/>
  <c r="BT33" i="70"/>
  <c r="BK34" i="70"/>
  <c r="BM34" i="70"/>
  <c r="BO34" i="70"/>
  <c r="BP34" i="70"/>
  <c r="BR34" i="70"/>
  <c r="BS34" i="70"/>
  <c r="BT34" i="70"/>
  <c r="BK35" i="70"/>
  <c r="BM35" i="70"/>
  <c r="BO35" i="70"/>
  <c r="BP35" i="70"/>
  <c r="BR35" i="70"/>
  <c r="BS35" i="70"/>
  <c r="BT35" i="70"/>
  <c r="BK36" i="70"/>
  <c r="BM36" i="70"/>
  <c r="BO36" i="70"/>
  <c r="BP36" i="70"/>
  <c r="BR36" i="70"/>
  <c r="BS36" i="70"/>
  <c r="BT36" i="70"/>
  <c r="BK37" i="70"/>
  <c r="BM37" i="70"/>
  <c r="BO37" i="70"/>
  <c r="BP37" i="70"/>
  <c r="BR37" i="70"/>
  <c r="BS37" i="70"/>
  <c r="BT37" i="70"/>
  <c r="BK38" i="70"/>
  <c r="BM38" i="70"/>
  <c r="BO38" i="70"/>
  <c r="BP38" i="70"/>
  <c r="BR38" i="70"/>
  <c r="BS38" i="70"/>
  <c r="BT38" i="70"/>
  <c r="BK39" i="70"/>
  <c r="BM39" i="70"/>
  <c r="BO39" i="70"/>
  <c r="BP39" i="70"/>
  <c r="BR39" i="70"/>
  <c r="BS39" i="70"/>
  <c r="BT39" i="70"/>
  <c r="BK40" i="70"/>
  <c r="BM40" i="70"/>
  <c r="BO40" i="70"/>
  <c r="BP40" i="70"/>
  <c r="BR40" i="70"/>
  <c r="BS40" i="70"/>
  <c r="BT40" i="70"/>
  <c r="BK41" i="70"/>
  <c r="BM41" i="70"/>
  <c r="BO41" i="70"/>
  <c r="BP41" i="70"/>
  <c r="BR41" i="70"/>
  <c r="BS41" i="70"/>
  <c r="BT41" i="70"/>
  <c r="BK42" i="70"/>
  <c r="BM42" i="70"/>
  <c r="BO42" i="70"/>
  <c r="BP42" i="70"/>
  <c r="BR42" i="70"/>
  <c r="BS42" i="70"/>
  <c r="BT42" i="70"/>
  <c r="BK43" i="70"/>
  <c r="BM43" i="70"/>
  <c r="BO43" i="70"/>
  <c r="BP43" i="70"/>
  <c r="BR43" i="70"/>
  <c r="BS43" i="70"/>
  <c r="BT43" i="70"/>
  <c r="BS9" i="70"/>
  <c r="BT9" i="70"/>
  <c r="BP9" i="70"/>
  <c r="BM9" i="70"/>
  <c r="BR9" i="70"/>
  <c r="BO9" i="70"/>
  <c r="BK9" i="70"/>
  <c r="BJ10" i="70"/>
  <c r="BJ11" i="70"/>
  <c r="BJ12" i="70"/>
  <c r="BJ13" i="70"/>
  <c r="BJ14" i="70"/>
  <c r="BJ15" i="70"/>
  <c r="BJ16" i="70"/>
  <c r="BJ17" i="70"/>
  <c r="BJ18" i="70"/>
  <c r="BJ19" i="70"/>
  <c r="BJ20" i="70"/>
  <c r="BJ21" i="70"/>
  <c r="BJ22" i="70"/>
  <c r="BJ23" i="70"/>
  <c r="BJ24" i="70"/>
  <c r="BJ25" i="70"/>
  <c r="BJ26" i="70"/>
  <c r="BJ27" i="70"/>
  <c r="BJ28" i="70"/>
  <c r="BJ29" i="70"/>
  <c r="BJ30" i="70"/>
  <c r="BJ31" i="70"/>
  <c r="BJ32" i="70"/>
  <c r="BJ33" i="70"/>
  <c r="BJ34" i="70"/>
  <c r="BJ35" i="70"/>
  <c r="BJ36" i="70"/>
  <c r="BJ37" i="70"/>
  <c r="BJ38" i="70"/>
  <c r="BJ39" i="70"/>
  <c r="BJ40" i="70"/>
  <c r="BJ41" i="70"/>
  <c r="BJ42" i="70"/>
  <c r="BJ43" i="70"/>
  <c r="BJ9" i="70"/>
  <c r="BG9" i="70"/>
  <c r="BH9" i="70"/>
  <c r="BF9" i="70"/>
  <c r="BC9" i="70"/>
  <c r="BD9" i="70"/>
  <c r="BB9" i="70"/>
  <c r="AY9" i="70"/>
  <c r="AZ9" i="70"/>
  <c r="AX9" i="70"/>
  <c r="AU9" i="70"/>
  <c r="AV9" i="70"/>
  <c r="AT9" i="70"/>
  <c r="U9" i="70"/>
  <c r="H9" i="70"/>
  <c r="B33" i="70"/>
  <c r="B34" i="70"/>
  <c r="B35" i="70"/>
  <c r="B36" i="70"/>
  <c r="B37" i="70"/>
  <c r="B38" i="70"/>
  <c r="B39" i="70"/>
  <c r="B40" i="70"/>
  <c r="M9" i="110" l="1"/>
  <c r="K9" i="110"/>
  <c r="L9" i="110"/>
  <c r="T15" i="103"/>
  <c r="AJ9" i="103" s="1"/>
  <c r="R322" i="74"/>
  <c r="I47" i="130"/>
  <c r="I48" i="130"/>
  <c r="E17" i="131" s="1"/>
  <c r="I49" i="130"/>
  <c r="C17" i="131"/>
  <c r="D17" i="131" s="1"/>
  <c r="H12" i="110"/>
  <c r="K8" i="110"/>
  <c r="M8" i="110"/>
  <c r="L8" i="110"/>
  <c r="K11" i="110"/>
  <c r="M11" i="110"/>
  <c r="L11" i="110"/>
  <c r="BA42" i="70"/>
  <c r="BA40" i="70"/>
  <c r="BA38" i="70"/>
  <c r="BA36" i="70"/>
  <c r="BA34" i="70"/>
  <c r="BA32" i="70"/>
  <c r="AW42" i="70"/>
  <c r="AW40" i="70"/>
  <c r="AW38" i="70"/>
  <c r="AW36" i="70"/>
  <c r="AW34" i="70"/>
  <c r="AW32" i="70"/>
  <c r="BQ32" i="70"/>
  <c r="H10" i="134"/>
  <c r="BQ24" i="70"/>
  <c r="AW30" i="70"/>
  <c r="AW28" i="70"/>
  <c r="AW26" i="70"/>
  <c r="AW24" i="70"/>
  <c r="AW22" i="70"/>
  <c r="AW20" i="70"/>
  <c r="AW18" i="70"/>
  <c r="AW16" i="70"/>
  <c r="AW14" i="70"/>
  <c r="BQ40" i="70"/>
  <c r="BQ16" i="70"/>
  <c r="BA30" i="70"/>
  <c r="BA28" i="70"/>
  <c r="BA26" i="70"/>
  <c r="BA24" i="70"/>
  <c r="BA22" i="70"/>
  <c r="BA20" i="70"/>
  <c r="BA18" i="70"/>
  <c r="BA16" i="70"/>
  <c r="BA14" i="70"/>
  <c r="BN9" i="70"/>
  <c r="BU9" i="70"/>
  <c r="BQ28" i="70"/>
  <c r="BQ12" i="70"/>
  <c r="BE42" i="70"/>
  <c r="BE40" i="70"/>
  <c r="BE38" i="70"/>
  <c r="BE36" i="70"/>
  <c r="BE34" i="70"/>
  <c r="BE32" i="70"/>
  <c r="BE30" i="70"/>
  <c r="BE28" i="70"/>
  <c r="BE26" i="70"/>
  <c r="BE24" i="70"/>
  <c r="BE22" i="70"/>
  <c r="BE20" i="70"/>
  <c r="BE18" i="70"/>
  <c r="BE16" i="70"/>
  <c r="BE14" i="70"/>
  <c r="BE12" i="70"/>
  <c r="BQ36" i="70"/>
  <c r="BQ20" i="70"/>
  <c r="BI42" i="70"/>
  <c r="BI40" i="70"/>
  <c r="BI38" i="70"/>
  <c r="BI36" i="70"/>
  <c r="BI34" i="70"/>
  <c r="BI32" i="70"/>
  <c r="BI30" i="70"/>
  <c r="BI28" i="70"/>
  <c r="BI26" i="70"/>
  <c r="BI24" i="70"/>
  <c r="BI22" i="70"/>
  <c r="BI20" i="70"/>
  <c r="BI18" i="70"/>
  <c r="BI16" i="70"/>
  <c r="BI14" i="70"/>
  <c r="BI12" i="70"/>
  <c r="BI10" i="70"/>
  <c r="BE9" i="70"/>
  <c r="BQ43" i="70"/>
  <c r="BQ38" i="70"/>
  <c r="BQ35" i="70"/>
  <c r="BQ30" i="70"/>
  <c r="BQ22" i="70"/>
  <c r="BQ14" i="70"/>
  <c r="BN42" i="70"/>
  <c r="BN32" i="70"/>
  <c r="BN24" i="70"/>
  <c r="BN16" i="70"/>
  <c r="BQ42" i="70"/>
  <c r="BQ34" i="70"/>
  <c r="BQ31" i="70"/>
  <c r="BQ26" i="70"/>
  <c r="BQ18" i="70"/>
  <c r="BQ10" i="70"/>
  <c r="AW9" i="70"/>
  <c r="BN43" i="70"/>
  <c r="BN39" i="70"/>
  <c r="BN37" i="70"/>
  <c r="BN35" i="70"/>
  <c r="BN33" i="70"/>
  <c r="BN29" i="70"/>
  <c r="BN27" i="70"/>
  <c r="BN25" i="70"/>
  <c r="BN21" i="70"/>
  <c r="BN19" i="70"/>
  <c r="BN17" i="70"/>
  <c r="BN13" i="70"/>
  <c r="BN11" i="70"/>
  <c r="BQ9" i="70"/>
  <c r="BQ37" i="70"/>
  <c r="BQ33" i="70"/>
  <c r="BQ29" i="70"/>
  <c r="BQ25" i="70"/>
  <c r="BQ21" i="70"/>
  <c r="BQ17" i="70"/>
  <c r="BQ13" i="70"/>
  <c r="AW12" i="70"/>
  <c r="BA10" i="70"/>
  <c r="BN40" i="70"/>
  <c r="BN38" i="70"/>
  <c r="BQ27" i="70"/>
  <c r="BQ23" i="70"/>
  <c r="BQ19" i="70"/>
  <c r="BQ15" i="70"/>
  <c r="BQ11" i="70"/>
  <c r="BA12" i="70"/>
  <c r="BE10" i="70"/>
  <c r="AW10" i="70"/>
  <c r="BA9" i="70"/>
  <c r="BI9" i="70"/>
  <c r="BQ41" i="70"/>
  <c r="BQ39" i="70"/>
  <c r="BN41" i="70"/>
  <c r="BN36" i="70"/>
  <c r="BN34" i="70"/>
  <c r="BN31" i="70"/>
  <c r="BN30" i="70"/>
  <c r="BN28" i="70"/>
  <c r="BN26" i="70"/>
  <c r="BN23" i="70"/>
  <c r="BN22" i="70"/>
  <c r="BN20" i="70"/>
  <c r="BN18" i="70"/>
  <c r="BN15" i="70"/>
  <c r="BN14" i="70"/>
  <c r="BN12" i="70"/>
  <c r="BN10" i="70"/>
  <c r="BU43" i="70"/>
  <c r="BU42" i="70"/>
  <c r="BU40" i="70"/>
  <c r="BU38" i="70"/>
  <c r="BU36" i="70"/>
  <c r="BU34" i="70"/>
  <c r="BU32" i="70"/>
  <c r="BU30" i="70"/>
  <c r="BU28" i="70"/>
  <c r="BU26" i="70"/>
  <c r="BU24" i="70"/>
  <c r="BU22" i="70"/>
  <c r="BU20" i="70"/>
  <c r="BU18" i="70"/>
  <c r="BU16" i="70"/>
  <c r="BU14" i="70"/>
  <c r="BU12" i="70"/>
  <c r="BU10" i="70"/>
  <c r="BE43" i="70"/>
  <c r="AW43" i="70"/>
  <c r="BE41" i="70"/>
  <c r="AW41" i="70"/>
  <c r="BE39" i="70"/>
  <c r="AW39" i="70"/>
  <c r="BE37" i="70"/>
  <c r="AW37" i="70"/>
  <c r="BE35" i="70"/>
  <c r="AW35" i="70"/>
  <c r="BE33" i="70"/>
  <c r="AW33" i="70"/>
  <c r="BE31" i="70"/>
  <c r="AW31" i="70"/>
  <c r="BE29" i="70"/>
  <c r="AW29" i="70"/>
  <c r="BE27" i="70"/>
  <c r="AW27" i="70"/>
  <c r="BE25" i="70"/>
  <c r="AW25" i="70"/>
  <c r="BE23" i="70"/>
  <c r="AW23" i="70"/>
  <c r="BE21" i="70"/>
  <c r="AW21" i="70"/>
  <c r="BE19" i="70"/>
  <c r="AW19" i="70"/>
  <c r="BE17" i="70"/>
  <c r="AW17" i="70"/>
  <c r="BE15" i="70"/>
  <c r="AW15" i="70"/>
  <c r="BE13" i="70"/>
  <c r="AW13" i="70"/>
  <c r="BE11" i="70"/>
  <c r="AW11" i="70"/>
  <c r="BU41" i="70"/>
  <c r="BU39" i="70"/>
  <c r="BU37" i="70"/>
  <c r="BU35" i="70"/>
  <c r="BU33" i="70"/>
  <c r="BU31" i="70"/>
  <c r="BU29" i="70"/>
  <c r="BU27" i="70"/>
  <c r="BU25" i="70"/>
  <c r="BU23" i="70"/>
  <c r="BU21" i="70"/>
  <c r="BU19" i="70"/>
  <c r="BU17" i="70"/>
  <c r="BU15" i="70"/>
  <c r="BU13" i="70"/>
  <c r="BU11" i="70"/>
  <c r="BI43" i="70"/>
  <c r="BA43" i="70"/>
  <c r="BI41" i="70"/>
  <c r="BA41" i="70"/>
  <c r="BI39" i="70"/>
  <c r="BA39" i="70"/>
  <c r="BI37" i="70"/>
  <c r="BA37" i="70"/>
  <c r="BI35" i="70"/>
  <c r="BA35" i="70"/>
  <c r="BI33" i="70"/>
  <c r="BA33" i="70"/>
  <c r="BI31" i="70"/>
  <c r="BA31" i="70"/>
  <c r="BI29" i="70"/>
  <c r="BA29" i="70"/>
  <c r="BI27" i="70"/>
  <c r="BA27" i="70"/>
  <c r="BI25" i="70"/>
  <c r="BA25" i="70"/>
  <c r="BI23" i="70"/>
  <c r="BA23" i="70"/>
  <c r="BI21" i="70"/>
  <c r="BA21" i="70"/>
  <c r="BI19" i="70"/>
  <c r="BA19" i="70"/>
  <c r="BI17" i="70"/>
  <c r="BA17" i="70"/>
  <c r="BI15" i="70"/>
  <c r="BA15" i="70"/>
  <c r="BI13" i="70"/>
  <c r="BA13" i="70"/>
  <c r="BI11" i="70"/>
  <c r="BA11" i="70"/>
  <c r="V13" i="103"/>
  <c r="V12" i="103"/>
  <c r="W10" i="103"/>
  <c r="U10" i="103"/>
  <c r="W13" i="103"/>
  <c r="W12" i="103"/>
  <c r="V9" i="103"/>
  <c r="W9" i="103"/>
  <c r="U9" i="103"/>
  <c r="AN9" i="70"/>
  <c r="B37" i="72"/>
  <c r="B38" i="72"/>
  <c r="B39" i="72"/>
  <c r="B40" i="72"/>
  <c r="B41" i="72"/>
  <c r="B42" i="72"/>
  <c r="B43" i="72"/>
  <c r="B30" i="72"/>
  <c r="B31" i="72"/>
  <c r="B32" i="72"/>
  <c r="B33" i="72"/>
  <c r="B34" i="72"/>
  <c r="B35" i="72"/>
  <c r="B36" i="72"/>
  <c r="B40" i="71"/>
  <c r="B41" i="71"/>
  <c r="B42" i="71"/>
  <c r="B43" i="71"/>
  <c r="B33" i="71"/>
  <c r="B34" i="71"/>
  <c r="B35" i="71"/>
  <c r="B36" i="71"/>
  <c r="B37" i="71"/>
  <c r="B38" i="71"/>
  <c r="B39" i="71"/>
  <c r="P9" i="92"/>
  <c r="E17" i="94" s="1"/>
  <c r="P10" i="92"/>
  <c r="E23" i="94" s="1"/>
  <c r="P11" i="92"/>
  <c r="E29" i="94" s="1"/>
  <c r="P12" i="92"/>
  <c r="E35" i="94" s="1"/>
  <c r="P13" i="92"/>
  <c r="E41" i="94" s="1"/>
  <c r="P14" i="92"/>
  <c r="E47" i="94" s="1"/>
  <c r="P15" i="92"/>
  <c r="E53" i="94" s="1"/>
  <c r="P16" i="92"/>
  <c r="E59" i="94" s="1"/>
  <c r="P17" i="92"/>
  <c r="E65" i="94" s="1"/>
  <c r="P18" i="92"/>
  <c r="E71" i="94" s="1"/>
  <c r="P19" i="92"/>
  <c r="E77" i="94" s="1"/>
  <c r="P20" i="92"/>
  <c r="E83" i="94" s="1"/>
  <c r="P21" i="92"/>
  <c r="E89" i="94" s="1"/>
  <c r="P22" i="92"/>
  <c r="E95" i="94" s="1"/>
  <c r="P23" i="92"/>
  <c r="E101" i="94" s="1"/>
  <c r="P24" i="92"/>
  <c r="E107" i="94" s="1"/>
  <c r="P25" i="92"/>
  <c r="E113" i="94" s="1"/>
  <c r="P26" i="92"/>
  <c r="E119" i="94" s="1"/>
  <c r="P27" i="92"/>
  <c r="E125" i="94" s="1"/>
  <c r="P28" i="92"/>
  <c r="E131" i="94" s="1"/>
  <c r="P29" i="92"/>
  <c r="E137" i="94" s="1"/>
  <c r="P30" i="92"/>
  <c r="E143" i="94" s="1"/>
  <c r="P31" i="92"/>
  <c r="E149" i="94" s="1"/>
  <c r="P32" i="92"/>
  <c r="E155" i="94" s="1"/>
  <c r="P33" i="92"/>
  <c r="E161" i="94" s="1"/>
  <c r="P34" i="92"/>
  <c r="E167" i="94" s="1"/>
  <c r="P35" i="92"/>
  <c r="E173" i="94" s="1"/>
  <c r="P36" i="92"/>
  <c r="E179" i="94" s="1"/>
  <c r="P37" i="92"/>
  <c r="E185" i="94" s="1"/>
  <c r="P38" i="92"/>
  <c r="E191" i="94" s="1"/>
  <c r="B41" i="91"/>
  <c r="M41" i="91"/>
  <c r="Q41" i="91" s="1"/>
  <c r="B42" i="91"/>
  <c r="M42" i="91"/>
  <c r="Q42" i="91"/>
  <c r="Q44" i="75"/>
  <c r="B41" i="75"/>
  <c r="B42" i="75"/>
  <c r="B43" i="75"/>
  <c r="B44" i="75"/>
  <c r="E50" i="101"/>
  <c r="F50" i="101"/>
  <c r="G50" i="101"/>
  <c r="H50" i="101"/>
  <c r="K50" i="101"/>
  <c r="L10" i="101"/>
  <c r="P10" i="101"/>
  <c r="L11" i="101"/>
  <c r="P11" i="101" s="1"/>
  <c r="L12" i="101"/>
  <c r="P12" i="101" s="1"/>
  <c r="U12" i="101"/>
  <c r="L13" i="101"/>
  <c r="P13" i="101"/>
  <c r="L14" i="101"/>
  <c r="P14" i="101" s="1"/>
  <c r="L15" i="101"/>
  <c r="P15" i="101" s="1"/>
  <c r="U15" i="101"/>
  <c r="L16" i="101"/>
  <c r="P16" i="101"/>
  <c r="L17" i="101"/>
  <c r="P17" i="101" s="1"/>
  <c r="L18" i="101"/>
  <c r="P18" i="101"/>
  <c r="L19" i="101"/>
  <c r="P19" i="101"/>
  <c r="L20" i="101"/>
  <c r="P20" i="101" s="1"/>
  <c r="L21" i="101"/>
  <c r="P21" i="101"/>
  <c r="U21" i="101"/>
  <c r="L22" i="101"/>
  <c r="P22" i="101" s="1"/>
  <c r="L23" i="101"/>
  <c r="P23" i="101" s="1"/>
  <c r="L24" i="101"/>
  <c r="P24" i="101"/>
  <c r="U24" i="101"/>
  <c r="L25" i="101"/>
  <c r="P25" i="101" s="1"/>
  <c r="U25" i="101"/>
  <c r="L26" i="101"/>
  <c r="L27" i="101"/>
  <c r="P27" i="101"/>
  <c r="U27" i="101"/>
  <c r="L28" i="101"/>
  <c r="P28" i="101" s="1"/>
  <c r="U28" i="101"/>
  <c r="L29" i="101"/>
  <c r="L30" i="101"/>
  <c r="P30" i="101" s="1"/>
  <c r="L31" i="101"/>
  <c r="P31" i="101"/>
  <c r="U31" i="101"/>
  <c r="L32" i="101"/>
  <c r="P32" i="101" s="1"/>
  <c r="U32" i="101"/>
  <c r="L33" i="101"/>
  <c r="L34" i="101"/>
  <c r="P34" i="101" s="1"/>
  <c r="L35" i="101"/>
  <c r="P35" i="101"/>
  <c r="U35" i="101"/>
  <c r="L36" i="101"/>
  <c r="P36" i="101" s="1"/>
  <c r="U36" i="101"/>
  <c r="L37" i="101"/>
  <c r="L38" i="101"/>
  <c r="P38" i="101" s="1"/>
  <c r="L39" i="101"/>
  <c r="P39" i="101"/>
  <c r="U39" i="101"/>
  <c r="L40" i="101"/>
  <c r="P40" i="101" s="1"/>
  <c r="U40" i="101"/>
  <c r="L41" i="101"/>
  <c r="L42" i="101"/>
  <c r="P42" i="101" s="1"/>
  <c r="L43" i="101"/>
  <c r="P43" i="101"/>
  <c r="U43" i="101"/>
  <c r="P10" i="100"/>
  <c r="Q10" i="100"/>
  <c r="R10" i="100"/>
  <c r="S10" i="100"/>
  <c r="P11" i="100"/>
  <c r="Q11" i="100"/>
  <c r="R11" i="100"/>
  <c r="S11" i="100"/>
  <c r="P12" i="100"/>
  <c r="Q12" i="100"/>
  <c r="R12" i="100"/>
  <c r="S12" i="100"/>
  <c r="P13" i="100"/>
  <c r="Q13" i="100"/>
  <c r="R13" i="100"/>
  <c r="S13" i="100"/>
  <c r="P14" i="100"/>
  <c r="Q14" i="100"/>
  <c r="R14" i="100"/>
  <c r="S14" i="100"/>
  <c r="P15" i="100"/>
  <c r="Q15" i="100"/>
  <c r="R15" i="100"/>
  <c r="S15" i="100"/>
  <c r="P16" i="100"/>
  <c r="Q16" i="100"/>
  <c r="R16" i="100"/>
  <c r="S16" i="100"/>
  <c r="P17" i="100"/>
  <c r="Q17" i="100"/>
  <c r="R17" i="100"/>
  <c r="S17" i="100"/>
  <c r="P18" i="100"/>
  <c r="Q18" i="100"/>
  <c r="R18" i="100"/>
  <c r="S18" i="100"/>
  <c r="P19" i="100"/>
  <c r="Q19" i="100"/>
  <c r="R19" i="100"/>
  <c r="S19" i="100"/>
  <c r="P20" i="100"/>
  <c r="Q20" i="100"/>
  <c r="R20" i="100"/>
  <c r="S20" i="100"/>
  <c r="P21" i="100"/>
  <c r="Q21" i="100"/>
  <c r="R21" i="100"/>
  <c r="S21" i="100"/>
  <c r="P22" i="100"/>
  <c r="Q22" i="100"/>
  <c r="R22" i="100"/>
  <c r="S22" i="100"/>
  <c r="P23" i="100"/>
  <c r="Q23" i="100"/>
  <c r="R23" i="100"/>
  <c r="S23" i="100"/>
  <c r="P24" i="100"/>
  <c r="Q24" i="100"/>
  <c r="R24" i="100"/>
  <c r="S24" i="100"/>
  <c r="P25" i="100"/>
  <c r="Q25" i="100"/>
  <c r="R25" i="100"/>
  <c r="S25" i="100"/>
  <c r="P26" i="100"/>
  <c r="Q26" i="100"/>
  <c r="R26" i="100"/>
  <c r="S26" i="100"/>
  <c r="P27" i="100"/>
  <c r="Q27" i="100"/>
  <c r="R27" i="100"/>
  <c r="S27" i="100"/>
  <c r="P28" i="100"/>
  <c r="Q28" i="100"/>
  <c r="R28" i="100"/>
  <c r="S28" i="100"/>
  <c r="P29" i="100"/>
  <c r="Q29" i="100"/>
  <c r="R29" i="100"/>
  <c r="S29" i="100"/>
  <c r="P30" i="100"/>
  <c r="Q30" i="100"/>
  <c r="R30" i="100"/>
  <c r="S30" i="100"/>
  <c r="P31" i="100"/>
  <c r="Q31" i="100"/>
  <c r="R31" i="100"/>
  <c r="S31" i="100"/>
  <c r="P32" i="100"/>
  <c r="Q32" i="100"/>
  <c r="R32" i="100"/>
  <c r="S32" i="100"/>
  <c r="P33" i="100"/>
  <c r="Q33" i="100"/>
  <c r="R33" i="100"/>
  <c r="S33" i="100"/>
  <c r="P34" i="100"/>
  <c r="Q34" i="100"/>
  <c r="R34" i="100"/>
  <c r="S34" i="100"/>
  <c r="P35" i="100"/>
  <c r="Q35" i="100"/>
  <c r="R35" i="100"/>
  <c r="S35" i="100"/>
  <c r="P36" i="100"/>
  <c r="Q36" i="100"/>
  <c r="R36" i="100"/>
  <c r="S36" i="100"/>
  <c r="P37" i="100"/>
  <c r="Q37" i="100"/>
  <c r="R37" i="100"/>
  <c r="S37" i="100"/>
  <c r="P38" i="100"/>
  <c r="Q38" i="100"/>
  <c r="R38" i="100"/>
  <c r="S38" i="100"/>
  <c r="P39" i="100"/>
  <c r="Q39" i="100"/>
  <c r="R39" i="100"/>
  <c r="S39" i="100"/>
  <c r="P40" i="100"/>
  <c r="Q40" i="100"/>
  <c r="R40" i="100"/>
  <c r="S40" i="100"/>
  <c r="P41" i="100"/>
  <c r="Q41" i="100"/>
  <c r="R41" i="100"/>
  <c r="S41" i="100"/>
  <c r="P42" i="100"/>
  <c r="Q42" i="100"/>
  <c r="R42" i="100"/>
  <c r="S42" i="100"/>
  <c r="P43" i="100"/>
  <c r="Q43" i="100"/>
  <c r="R43" i="100"/>
  <c r="S43" i="100"/>
  <c r="P10" i="97"/>
  <c r="P11" i="97"/>
  <c r="P12" i="97"/>
  <c r="P13" i="97"/>
  <c r="P14" i="97"/>
  <c r="P15" i="97"/>
  <c r="P16" i="97"/>
  <c r="P17" i="97"/>
  <c r="P18" i="97"/>
  <c r="P19" i="97"/>
  <c r="P20" i="97"/>
  <c r="P21" i="97"/>
  <c r="P22" i="97"/>
  <c r="P23" i="97"/>
  <c r="P24" i="97"/>
  <c r="P25" i="97"/>
  <c r="P26" i="97"/>
  <c r="P27" i="97"/>
  <c r="P28" i="97"/>
  <c r="P29" i="97"/>
  <c r="P30" i="97"/>
  <c r="P31" i="97"/>
  <c r="P32" i="97"/>
  <c r="P33" i="97"/>
  <c r="P34" i="97"/>
  <c r="P35" i="97"/>
  <c r="P36" i="97"/>
  <c r="P37" i="97"/>
  <c r="N8" i="85"/>
  <c r="O8" i="85"/>
  <c r="N9" i="85"/>
  <c r="O9" i="85"/>
  <c r="N10" i="85"/>
  <c r="O10" i="85"/>
  <c r="N11" i="85"/>
  <c r="O11" i="85"/>
  <c r="N12" i="85"/>
  <c r="O12" i="85"/>
  <c r="N13" i="85"/>
  <c r="O13" i="85"/>
  <c r="N14" i="85"/>
  <c r="O14" i="85"/>
  <c r="N15" i="85"/>
  <c r="O15" i="85"/>
  <c r="N16" i="85"/>
  <c r="O16" i="85"/>
  <c r="N17" i="85"/>
  <c r="O17" i="85"/>
  <c r="N18" i="85"/>
  <c r="O18" i="85"/>
  <c r="N19" i="85"/>
  <c r="O19" i="85"/>
  <c r="N20" i="85"/>
  <c r="O20" i="85"/>
  <c r="N21" i="85"/>
  <c r="O21" i="85"/>
  <c r="N22" i="85"/>
  <c r="O22" i="85"/>
  <c r="N23" i="85"/>
  <c r="O23" i="85"/>
  <c r="N24" i="85"/>
  <c r="O24" i="85"/>
  <c r="N25" i="85"/>
  <c r="O25" i="85"/>
  <c r="N26" i="85"/>
  <c r="O26" i="85"/>
  <c r="N27" i="85"/>
  <c r="O27" i="85"/>
  <c r="N28" i="85"/>
  <c r="O28" i="85"/>
  <c r="N29" i="85"/>
  <c r="O29" i="85"/>
  <c r="N30" i="85"/>
  <c r="O30" i="85"/>
  <c r="N31" i="85"/>
  <c r="O31" i="85"/>
  <c r="N32" i="85"/>
  <c r="O32" i="85"/>
  <c r="N33" i="85"/>
  <c r="O33" i="85"/>
  <c r="N34" i="85"/>
  <c r="O34" i="85"/>
  <c r="N35" i="85"/>
  <c r="O35" i="85"/>
  <c r="N36" i="85"/>
  <c r="O36" i="85"/>
  <c r="N37" i="85"/>
  <c r="O37" i="85"/>
  <c r="P8" i="96"/>
  <c r="P9" i="96"/>
  <c r="P10" i="96"/>
  <c r="P11" i="96"/>
  <c r="P12" i="96"/>
  <c r="P13" i="96"/>
  <c r="P14" i="96"/>
  <c r="P15" i="96"/>
  <c r="P16" i="96"/>
  <c r="P17" i="96"/>
  <c r="P18" i="96"/>
  <c r="P19" i="96"/>
  <c r="P20" i="96"/>
  <c r="P21" i="96"/>
  <c r="P22" i="96"/>
  <c r="P23" i="96"/>
  <c r="P24" i="96"/>
  <c r="P25" i="96"/>
  <c r="P26" i="96"/>
  <c r="P27" i="96"/>
  <c r="P28" i="96"/>
  <c r="P29" i="96"/>
  <c r="P30" i="96"/>
  <c r="P31" i="96"/>
  <c r="P32" i="96"/>
  <c r="P33" i="96"/>
  <c r="P34" i="96"/>
  <c r="P35" i="96"/>
  <c r="P36" i="96"/>
  <c r="P37" i="96"/>
  <c r="P8" i="97"/>
  <c r="P9" i="97"/>
  <c r="B40" i="80"/>
  <c r="L40" i="80"/>
  <c r="S40" i="80" s="1"/>
  <c r="P40" i="80"/>
  <c r="Q40" i="80" s="1"/>
  <c r="B41" i="80"/>
  <c r="L41" i="80"/>
  <c r="S41" i="80" s="1"/>
  <c r="P41" i="80"/>
  <c r="Q41" i="80" s="1"/>
  <c r="B42" i="80"/>
  <c r="L42" i="80"/>
  <c r="S42" i="80" s="1"/>
  <c r="P42" i="80"/>
  <c r="Q42" i="80" s="1"/>
  <c r="B43" i="80"/>
  <c r="L43" i="80"/>
  <c r="S43" i="80" s="1"/>
  <c r="P40" i="99"/>
  <c r="P41" i="99"/>
  <c r="P42" i="99"/>
  <c r="P43" i="99"/>
  <c r="B40" i="100"/>
  <c r="B41" i="100"/>
  <c r="B42" i="100"/>
  <c r="B43" i="100"/>
  <c r="B40" i="101"/>
  <c r="B41" i="101"/>
  <c r="B42" i="101"/>
  <c r="B43" i="101"/>
  <c r="B34" i="92"/>
  <c r="B35" i="92"/>
  <c r="B36" i="92"/>
  <c r="B37" i="92"/>
  <c r="B38" i="92"/>
  <c r="B34" i="91"/>
  <c r="M34" i="91"/>
  <c r="Q34" i="91" s="1"/>
  <c r="B35" i="91"/>
  <c r="M35" i="91"/>
  <c r="Q35" i="91" s="1"/>
  <c r="B36" i="91"/>
  <c r="M36" i="91"/>
  <c r="Q36" i="91" s="1"/>
  <c r="B37" i="91"/>
  <c r="M37" i="91"/>
  <c r="Q37" i="91"/>
  <c r="B38" i="91"/>
  <c r="M38" i="91"/>
  <c r="Q38" i="91" s="1"/>
  <c r="B39" i="91"/>
  <c r="M39" i="91"/>
  <c r="Q39" i="91" s="1"/>
  <c r="B40" i="91"/>
  <c r="M40" i="91"/>
  <c r="Q40" i="91" s="1"/>
  <c r="B34" i="90"/>
  <c r="P34" i="90"/>
  <c r="B35" i="90"/>
  <c r="P35" i="90"/>
  <c r="B36" i="90"/>
  <c r="P36" i="90"/>
  <c r="B37" i="90"/>
  <c r="P37" i="90"/>
  <c r="B38" i="90"/>
  <c r="P38" i="90"/>
  <c r="B36" i="75"/>
  <c r="Q36" i="75"/>
  <c r="B37" i="75"/>
  <c r="Q37" i="75"/>
  <c r="B38" i="75"/>
  <c r="Q38" i="75"/>
  <c r="B39" i="75"/>
  <c r="Q39" i="75"/>
  <c r="B40" i="75"/>
  <c r="Q40" i="75"/>
  <c r="Q41" i="75"/>
  <c r="Q42" i="75"/>
  <c r="Q43" i="75"/>
  <c r="B35" i="80"/>
  <c r="B36" i="80"/>
  <c r="B37" i="80"/>
  <c r="B38" i="80"/>
  <c r="B39" i="80"/>
  <c r="P35" i="99"/>
  <c r="P36" i="99"/>
  <c r="P37" i="99"/>
  <c r="P38" i="99"/>
  <c r="P39" i="99"/>
  <c r="B35" i="101"/>
  <c r="B36" i="101"/>
  <c r="B37" i="101"/>
  <c r="B38" i="101"/>
  <c r="B39" i="101"/>
  <c r="O9" i="101"/>
  <c r="L9" i="101"/>
  <c r="M9" i="101"/>
  <c r="B35" i="100"/>
  <c r="B36" i="100"/>
  <c r="B37" i="100"/>
  <c r="B38" i="100"/>
  <c r="B39" i="100"/>
  <c r="R9" i="100"/>
  <c r="B35" i="99"/>
  <c r="B36" i="99"/>
  <c r="B37" i="99"/>
  <c r="B38" i="99"/>
  <c r="B39" i="99"/>
  <c r="B49" i="99"/>
  <c r="B51" i="99"/>
  <c r="B52" i="99"/>
  <c r="B53" i="99"/>
  <c r="P10" i="99"/>
  <c r="P11" i="99"/>
  <c r="P12" i="99"/>
  <c r="P13" i="99"/>
  <c r="P14" i="99"/>
  <c r="P15" i="99"/>
  <c r="P16" i="99"/>
  <c r="P17" i="99"/>
  <c r="P18" i="99"/>
  <c r="P19" i="99"/>
  <c r="P20" i="99"/>
  <c r="P21" i="99"/>
  <c r="P22" i="99"/>
  <c r="P23" i="99"/>
  <c r="P24" i="99"/>
  <c r="P25" i="99"/>
  <c r="P26" i="99"/>
  <c r="P27" i="99"/>
  <c r="P28" i="99"/>
  <c r="P29" i="99"/>
  <c r="P30" i="99"/>
  <c r="P31" i="99"/>
  <c r="P32" i="99"/>
  <c r="P33" i="99"/>
  <c r="P34" i="99"/>
  <c r="L9" i="80"/>
  <c r="P9" i="80" s="1"/>
  <c r="Q9" i="80" s="1"/>
  <c r="R9" i="80" s="1"/>
  <c r="L35" i="80"/>
  <c r="S35" i="80" s="1"/>
  <c r="L36" i="80"/>
  <c r="P36" i="80" s="1"/>
  <c r="Q36" i="80" s="1"/>
  <c r="L37" i="80"/>
  <c r="S37" i="80" s="1"/>
  <c r="L38" i="80"/>
  <c r="P38" i="80" s="1"/>
  <c r="Q38" i="80" s="1"/>
  <c r="L39" i="80"/>
  <c r="S39" i="80" s="1"/>
  <c r="L10" i="80"/>
  <c r="L11" i="80"/>
  <c r="L12" i="80"/>
  <c r="P12" i="80" s="1"/>
  <c r="Q12" i="80" s="1"/>
  <c r="L13" i="80"/>
  <c r="S13" i="80" s="1"/>
  <c r="L14" i="80"/>
  <c r="P14" i="80" s="1"/>
  <c r="Q14" i="80" s="1"/>
  <c r="L15" i="80"/>
  <c r="S15" i="80" s="1"/>
  <c r="L16" i="80"/>
  <c r="P16" i="80" s="1"/>
  <c r="Q16" i="80" s="1"/>
  <c r="L17" i="80"/>
  <c r="S17" i="80" s="1"/>
  <c r="L18" i="80"/>
  <c r="P18" i="80" s="1"/>
  <c r="Q18" i="80" s="1"/>
  <c r="L19" i="80"/>
  <c r="S19" i="80" s="1"/>
  <c r="L20" i="80"/>
  <c r="P20" i="80" s="1"/>
  <c r="Q20" i="80" s="1"/>
  <c r="L21" i="80"/>
  <c r="S21" i="80" s="1"/>
  <c r="L22" i="80"/>
  <c r="P22" i="80" s="1"/>
  <c r="Q22" i="80" s="1"/>
  <c r="L23" i="80"/>
  <c r="S23" i="80" s="1"/>
  <c r="L24" i="80"/>
  <c r="P24" i="80" s="1"/>
  <c r="Q24" i="80" s="1"/>
  <c r="L25" i="80"/>
  <c r="S25" i="80" s="1"/>
  <c r="L26" i="80"/>
  <c r="P26" i="80" s="1"/>
  <c r="Q26" i="80" s="1"/>
  <c r="L27" i="80"/>
  <c r="S27" i="80" s="1"/>
  <c r="L28" i="80"/>
  <c r="P28" i="80" s="1"/>
  <c r="Q28" i="80" s="1"/>
  <c r="L29" i="80"/>
  <c r="S29" i="80" s="1"/>
  <c r="L30" i="80"/>
  <c r="P30" i="80" s="1"/>
  <c r="Q30" i="80" s="1"/>
  <c r="L31" i="80"/>
  <c r="S31" i="80" s="1"/>
  <c r="L32" i="80"/>
  <c r="P32" i="80" s="1"/>
  <c r="Q32" i="80" s="1"/>
  <c r="L33" i="80"/>
  <c r="S33" i="80" s="1"/>
  <c r="L34" i="80"/>
  <c r="P34" i="80" s="1"/>
  <c r="Q34" i="80" s="1"/>
  <c r="D50" i="101"/>
  <c r="B34" i="101"/>
  <c r="B33" i="101"/>
  <c r="B32" i="101"/>
  <c r="B31" i="101"/>
  <c r="B30" i="101"/>
  <c r="B29" i="101"/>
  <c r="B28" i="101"/>
  <c r="B27" i="101"/>
  <c r="B26" i="101"/>
  <c r="B25" i="101"/>
  <c r="B24" i="101"/>
  <c r="B23" i="101"/>
  <c r="B22" i="101"/>
  <c r="B21" i="101"/>
  <c r="B20" i="101"/>
  <c r="B19" i="101"/>
  <c r="B18" i="101"/>
  <c r="B17" i="101"/>
  <c r="B16" i="101"/>
  <c r="B15" i="101"/>
  <c r="B14" i="101"/>
  <c r="B13" i="101"/>
  <c r="B12" i="101"/>
  <c r="B11" i="101"/>
  <c r="B10" i="101"/>
  <c r="B9" i="101"/>
  <c r="J51" i="100"/>
  <c r="I51" i="100"/>
  <c r="H51" i="100"/>
  <c r="G51" i="100"/>
  <c r="F51" i="100"/>
  <c r="E51" i="100"/>
  <c r="D51" i="100"/>
  <c r="B34" i="100"/>
  <c r="B33" i="100"/>
  <c r="B32" i="100"/>
  <c r="B31" i="100"/>
  <c r="B30" i="100"/>
  <c r="B29" i="100"/>
  <c r="B28" i="100"/>
  <c r="B27" i="100"/>
  <c r="B26" i="100"/>
  <c r="B25" i="100"/>
  <c r="B24" i="100"/>
  <c r="B23" i="100"/>
  <c r="B22" i="100"/>
  <c r="B21" i="100"/>
  <c r="B20" i="100"/>
  <c r="B19" i="100"/>
  <c r="B18" i="100"/>
  <c r="B17" i="100"/>
  <c r="B16" i="100"/>
  <c r="B15" i="100"/>
  <c r="B14" i="100"/>
  <c r="B13" i="100"/>
  <c r="B12" i="100"/>
  <c r="B11" i="100"/>
  <c r="B10" i="100"/>
  <c r="L51" i="100"/>
  <c r="B9" i="100"/>
  <c r="J50" i="99"/>
  <c r="H50" i="99"/>
  <c r="G50" i="99"/>
  <c r="F50" i="99"/>
  <c r="E50" i="99"/>
  <c r="D50" i="99"/>
  <c r="B34" i="99"/>
  <c r="B33" i="99"/>
  <c r="B32" i="99"/>
  <c r="B31" i="99"/>
  <c r="B30" i="99"/>
  <c r="B29" i="99"/>
  <c r="B28" i="99"/>
  <c r="B27" i="99"/>
  <c r="B26" i="99"/>
  <c r="B25" i="99"/>
  <c r="B24" i="99"/>
  <c r="B23" i="99"/>
  <c r="B22" i="99"/>
  <c r="B21" i="99"/>
  <c r="B20" i="99"/>
  <c r="B19" i="99"/>
  <c r="B18" i="99"/>
  <c r="B17" i="99"/>
  <c r="B16" i="99"/>
  <c r="B15" i="99"/>
  <c r="B14" i="99"/>
  <c r="B13" i="99"/>
  <c r="B12" i="99"/>
  <c r="B11" i="99"/>
  <c r="B10" i="99"/>
  <c r="B9" i="99"/>
  <c r="B8" i="98"/>
  <c r="B9" i="98"/>
  <c r="B10" i="98"/>
  <c r="B11" i="98"/>
  <c r="B12" i="98"/>
  <c r="B13" i="98"/>
  <c r="B14" i="98"/>
  <c r="B15" i="98"/>
  <c r="B16" i="98"/>
  <c r="B17" i="98"/>
  <c r="B18" i="98"/>
  <c r="B19" i="98"/>
  <c r="B20" i="98"/>
  <c r="B21" i="98"/>
  <c r="B22" i="98"/>
  <c r="B23" i="98"/>
  <c r="B24" i="98"/>
  <c r="B25" i="98"/>
  <c r="B26" i="98"/>
  <c r="B27" i="98"/>
  <c r="B28" i="98"/>
  <c r="B29" i="98"/>
  <c r="B30" i="98"/>
  <c r="B31" i="98"/>
  <c r="B32" i="98"/>
  <c r="B33" i="98"/>
  <c r="B34" i="98"/>
  <c r="B35" i="98"/>
  <c r="B36" i="98"/>
  <c r="B37" i="98"/>
  <c r="B38" i="98"/>
  <c r="B39" i="98"/>
  <c r="B40" i="98"/>
  <c r="B41" i="98"/>
  <c r="B7" i="98"/>
  <c r="AW41" i="51"/>
  <c r="AX41" i="51"/>
  <c r="AY41" i="51"/>
  <c r="AZ41" i="51"/>
  <c r="BA41" i="51"/>
  <c r="BB41" i="51"/>
  <c r="AW42" i="51"/>
  <c r="AX42" i="51"/>
  <c r="AY42" i="51"/>
  <c r="AZ42" i="51"/>
  <c r="BA42" i="51"/>
  <c r="BB42" i="51"/>
  <c r="AW43" i="51"/>
  <c r="AX43" i="51"/>
  <c r="AY43" i="51"/>
  <c r="AZ43" i="51"/>
  <c r="BA43" i="51"/>
  <c r="BB43" i="51"/>
  <c r="BB30" i="51"/>
  <c r="BB31" i="51"/>
  <c r="BB32" i="51"/>
  <c r="BB33" i="51"/>
  <c r="BB34" i="51"/>
  <c r="BB35" i="51"/>
  <c r="BB36" i="51"/>
  <c r="BB37" i="51"/>
  <c r="BB38" i="51"/>
  <c r="BB39" i="51"/>
  <c r="BB40" i="51"/>
  <c r="BA30" i="51"/>
  <c r="BA31" i="51"/>
  <c r="BA32" i="51"/>
  <c r="BA33" i="51"/>
  <c r="BA34" i="51"/>
  <c r="BA35" i="51"/>
  <c r="BA36" i="51"/>
  <c r="BA37" i="51"/>
  <c r="BA38" i="51"/>
  <c r="BA39" i="51"/>
  <c r="BA40" i="51"/>
  <c r="AZ30" i="51"/>
  <c r="AZ31" i="51"/>
  <c r="AZ32" i="51"/>
  <c r="AZ33" i="51"/>
  <c r="AZ34" i="51"/>
  <c r="AZ35" i="51"/>
  <c r="AZ36" i="51"/>
  <c r="AZ37" i="51"/>
  <c r="AZ38" i="51"/>
  <c r="AZ39" i="51"/>
  <c r="AZ40" i="51"/>
  <c r="AY30" i="51"/>
  <c r="AY31" i="51"/>
  <c r="AY32" i="51"/>
  <c r="AY33" i="51"/>
  <c r="AY34" i="51"/>
  <c r="AY35" i="51"/>
  <c r="AY36" i="51"/>
  <c r="AY37" i="51"/>
  <c r="AY38" i="51"/>
  <c r="AY39" i="51"/>
  <c r="AY40" i="51"/>
  <c r="AX30" i="51"/>
  <c r="AX31" i="51"/>
  <c r="AX32" i="51"/>
  <c r="AX33" i="51"/>
  <c r="AX34" i="51"/>
  <c r="AX35" i="51"/>
  <c r="AX36" i="51"/>
  <c r="AX37" i="51"/>
  <c r="AX38" i="51"/>
  <c r="AX39" i="51"/>
  <c r="AX40" i="51"/>
  <c r="AW35" i="51"/>
  <c r="AW36" i="51"/>
  <c r="AW37" i="51"/>
  <c r="AW38" i="51"/>
  <c r="AW39" i="51"/>
  <c r="AW40" i="51"/>
  <c r="B35" i="51"/>
  <c r="B36" i="51"/>
  <c r="B37" i="51"/>
  <c r="B38" i="51"/>
  <c r="B39" i="51"/>
  <c r="AW30" i="51"/>
  <c r="AW31" i="51"/>
  <c r="AW32" i="51"/>
  <c r="AW33" i="51"/>
  <c r="AW34" i="51"/>
  <c r="AX30" i="4"/>
  <c r="AZ30" i="4"/>
  <c r="AV30" i="4"/>
  <c r="AW30" i="4"/>
  <c r="BD30" i="4"/>
  <c r="BF30" i="4" s="1"/>
  <c r="BE30" i="4"/>
  <c r="AP30" i="4"/>
  <c r="BA30" i="4"/>
  <c r="AX31" i="4"/>
  <c r="AW31" i="4"/>
  <c r="BD31" i="4"/>
  <c r="BA31" i="4"/>
  <c r="AZ32" i="4"/>
  <c r="BA32" i="4"/>
  <c r="AV32" i="4"/>
  <c r="AW32" i="4"/>
  <c r="BD32" i="4"/>
  <c r="BF32" i="4" s="1"/>
  <c r="BE32" i="4"/>
  <c r="AX32" i="4"/>
  <c r="AX33" i="4"/>
  <c r="BA33" i="4"/>
  <c r="AW33" i="4"/>
  <c r="BD33" i="4"/>
  <c r="AD34" i="4"/>
  <c r="E189" i="109" s="1"/>
  <c r="AZ34" i="4"/>
  <c r="AV34" i="4"/>
  <c r="BD34" i="4"/>
  <c r="BF34" i="4" s="1"/>
  <c r="AT34" i="4"/>
  <c r="AP34" i="4"/>
  <c r="AR34" i="4"/>
  <c r="AW34" i="4"/>
  <c r="AX34" i="4"/>
  <c r="BA34" i="4"/>
  <c r="BE34" i="4"/>
  <c r="AX35" i="4"/>
  <c r="AP35" i="4"/>
  <c r="AW35" i="4"/>
  <c r="BD35" i="4"/>
  <c r="BA35" i="4"/>
  <c r="AX36" i="4"/>
  <c r="AZ36" i="4"/>
  <c r="BA36" i="4"/>
  <c r="AV36" i="4"/>
  <c r="BD36" i="4"/>
  <c r="BF36" i="4" s="1"/>
  <c r="BE36" i="4"/>
  <c r="AT36" i="4"/>
  <c r="AW36" i="4"/>
  <c r="AX37" i="4"/>
  <c r="BA37" i="4"/>
  <c r="AW37" i="4"/>
  <c r="BD37" i="4"/>
  <c r="AX38" i="4"/>
  <c r="AZ38" i="4"/>
  <c r="BA38" i="4"/>
  <c r="AV38" i="4"/>
  <c r="AW38" i="4"/>
  <c r="BD38" i="4"/>
  <c r="BF38" i="4" s="1"/>
  <c r="BE38" i="4"/>
  <c r="G178" i="94" l="1"/>
  <c r="G181" i="94" s="1"/>
  <c r="H121" i="76" s="1"/>
  <c r="F178" i="94"/>
  <c r="G166" i="94"/>
  <c r="G169" i="94" s="1"/>
  <c r="H113" i="76" s="1"/>
  <c r="F166" i="94"/>
  <c r="N194" i="94"/>
  <c r="N199" i="94" s="1"/>
  <c r="H197" i="79" s="1"/>
  <c r="M194" i="94"/>
  <c r="G196" i="94"/>
  <c r="G199" i="94" s="1"/>
  <c r="H133" i="76" s="1"/>
  <c r="F196" i="94"/>
  <c r="G172" i="94"/>
  <c r="G175" i="94" s="1"/>
  <c r="H117" i="76" s="1"/>
  <c r="F172" i="94"/>
  <c r="G202" i="94"/>
  <c r="G205" i="94" s="1"/>
  <c r="H137" i="76" s="1"/>
  <c r="F202" i="94"/>
  <c r="G190" i="94"/>
  <c r="G193" i="94" s="1"/>
  <c r="H129" i="76" s="1"/>
  <c r="F190" i="94"/>
  <c r="G208" i="94"/>
  <c r="G211" i="94" s="1"/>
  <c r="H141" i="76" s="1"/>
  <c r="F208" i="94"/>
  <c r="F189" i="109"/>
  <c r="E190" i="109"/>
  <c r="BC34" i="51"/>
  <c r="BD34" i="51" s="1"/>
  <c r="AJ159" i="94"/>
  <c r="AJ163" i="94" s="1"/>
  <c r="H184" i="109"/>
  <c r="BC30" i="51"/>
  <c r="BD30" i="51" s="1"/>
  <c r="AJ135" i="94"/>
  <c r="AJ139" i="94" s="1"/>
  <c r="H156" i="109"/>
  <c r="BC38" i="51"/>
  <c r="BD38" i="51" s="1"/>
  <c r="AJ183" i="94"/>
  <c r="AJ187" i="94" s="1"/>
  <c r="H212" i="109"/>
  <c r="AK197" i="94"/>
  <c r="AK199" i="94" s="1"/>
  <c r="H227" i="109"/>
  <c r="AK173" i="94"/>
  <c r="AK175" i="94" s="1"/>
  <c r="H199" i="109"/>
  <c r="AK149" i="94"/>
  <c r="AK151" i="94" s="1"/>
  <c r="H171" i="109"/>
  <c r="AL188" i="94"/>
  <c r="AL193" i="94" s="1"/>
  <c r="H221" i="109"/>
  <c r="AL164" i="94"/>
  <c r="AL169" i="94" s="1"/>
  <c r="H193" i="109"/>
  <c r="AL140" i="94"/>
  <c r="AL145" i="94" s="1"/>
  <c r="H165" i="109"/>
  <c r="AM184" i="94"/>
  <c r="AM187" i="94" s="1"/>
  <c r="H215" i="109"/>
  <c r="AM160" i="94"/>
  <c r="AM163" i="94" s="1"/>
  <c r="H187" i="109"/>
  <c r="AM136" i="94"/>
  <c r="AM139" i="94" s="1"/>
  <c r="H159" i="109"/>
  <c r="AN178" i="94"/>
  <c r="AN181" i="94" s="1"/>
  <c r="H209" i="109"/>
  <c r="AN154" i="94"/>
  <c r="AN157" i="94" s="1"/>
  <c r="H181" i="109"/>
  <c r="AO198" i="94"/>
  <c r="AO199" i="94" s="1"/>
  <c r="H231" i="109"/>
  <c r="AO174" i="94"/>
  <c r="AO175" i="94" s="1"/>
  <c r="H203" i="109"/>
  <c r="AO150" i="94"/>
  <c r="AO151" i="94" s="1"/>
  <c r="H175" i="109"/>
  <c r="AN214" i="94"/>
  <c r="AN217" i="94" s="1"/>
  <c r="H251" i="109"/>
  <c r="AJ213" i="94"/>
  <c r="AJ217" i="94" s="1"/>
  <c r="H247" i="109"/>
  <c r="AL206" i="94"/>
  <c r="AL211" i="94" s="1"/>
  <c r="H242" i="109"/>
  <c r="AN202" i="94"/>
  <c r="AN205" i="94" s="1"/>
  <c r="H237" i="109"/>
  <c r="AJ201" i="94"/>
  <c r="AJ205" i="94" s="1"/>
  <c r="H233" i="109"/>
  <c r="N140" i="94"/>
  <c r="N145" i="94" s="1"/>
  <c r="H143" i="79" s="1"/>
  <c r="M140" i="94"/>
  <c r="N116" i="94"/>
  <c r="N121" i="94" s="1"/>
  <c r="H119" i="79" s="1"/>
  <c r="M116" i="94"/>
  <c r="N92" i="94"/>
  <c r="N97" i="94" s="1"/>
  <c r="H95" i="79" s="1"/>
  <c r="M92" i="94"/>
  <c r="N68" i="94"/>
  <c r="N73" i="94" s="1"/>
  <c r="H71" i="79" s="1"/>
  <c r="M68" i="94"/>
  <c r="M44" i="94"/>
  <c r="N44" i="94"/>
  <c r="N49" i="94" s="1"/>
  <c r="H47" i="79" s="1"/>
  <c r="N176" i="94"/>
  <c r="N181" i="94" s="1"/>
  <c r="H179" i="79" s="1"/>
  <c r="M176" i="94"/>
  <c r="N212" i="94"/>
  <c r="N217" i="94" s="1"/>
  <c r="H215" i="79" s="1"/>
  <c r="M212" i="94"/>
  <c r="T23" i="94"/>
  <c r="W23" i="94"/>
  <c r="S23" i="94"/>
  <c r="V23" i="94"/>
  <c r="R23" i="94"/>
  <c r="U23" i="94"/>
  <c r="Q23" i="94"/>
  <c r="W178" i="94"/>
  <c r="R178" i="94"/>
  <c r="Q178" i="94"/>
  <c r="W154" i="94"/>
  <c r="Q154" i="94"/>
  <c r="R154" i="94"/>
  <c r="W130" i="94"/>
  <c r="R130" i="94"/>
  <c r="Q130" i="94"/>
  <c r="W106" i="94"/>
  <c r="R106" i="94"/>
  <c r="Q106" i="94"/>
  <c r="W82" i="94"/>
  <c r="R82" i="94"/>
  <c r="Q82" i="94"/>
  <c r="W58" i="94"/>
  <c r="R58" i="94"/>
  <c r="Q58" i="94"/>
  <c r="V191" i="94"/>
  <c r="V193" i="94" s="1"/>
  <c r="H252" i="84" s="1"/>
  <c r="R191" i="94"/>
  <c r="U191" i="94"/>
  <c r="U193" i="94" s="1"/>
  <c r="H251" i="84" s="1"/>
  <c r="Q191" i="94"/>
  <c r="T191" i="94"/>
  <c r="W191" i="94"/>
  <c r="S191" i="94"/>
  <c r="S193" i="94" s="1"/>
  <c r="H249" i="84" s="1"/>
  <c r="V167" i="94"/>
  <c r="V169" i="94" s="1"/>
  <c r="H220" i="84" s="1"/>
  <c r="R167" i="94"/>
  <c r="U167" i="94"/>
  <c r="U169" i="94" s="1"/>
  <c r="H219" i="84" s="1"/>
  <c r="Q167" i="94"/>
  <c r="T167" i="94"/>
  <c r="W167" i="94"/>
  <c r="S167" i="94"/>
  <c r="S169" i="94" s="1"/>
  <c r="H217" i="84" s="1"/>
  <c r="V143" i="94"/>
  <c r="V145" i="94" s="1"/>
  <c r="H188" i="84" s="1"/>
  <c r="R143" i="94"/>
  <c r="U143" i="94"/>
  <c r="U145" i="94" s="1"/>
  <c r="H187" i="84" s="1"/>
  <c r="Q143" i="94"/>
  <c r="T143" i="94"/>
  <c r="W143" i="94"/>
  <c r="S143" i="94"/>
  <c r="S145" i="94" s="1"/>
  <c r="H185" i="84" s="1"/>
  <c r="V119" i="94"/>
  <c r="V121" i="94" s="1"/>
  <c r="H156" i="84" s="1"/>
  <c r="R119" i="94"/>
  <c r="U119" i="94"/>
  <c r="U121" i="94" s="1"/>
  <c r="H155" i="84" s="1"/>
  <c r="Q119" i="94"/>
  <c r="T119" i="94"/>
  <c r="W119" i="94"/>
  <c r="S119" i="94"/>
  <c r="S121" i="94" s="1"/>
  <c r="H153" i="84" s="1"/>
  <c r="V95" i="94"/>
  <c r="V97" i="94" s="1"/>
  <c r="H124" i="84" s="1"/>
  <c r="R95" i="94"/>
  <c r="U95" i="94"/>
  <c r="U97" i="94" s="1"/>
  <c r="H123" i="84" s="1"/>
  <c r="Q95" i="94"/>
  <c r="T95" i="94"/>
  <c r="W95" i="94"/>
  <c r="S95" i="94"/>
  <c r="S97" i="94" s="1"/>
  <c r="H121" i="84" s="1"/>
  <c r="V71" i="94"/>
  <c r="V73" i="94" s="1"/>
  <c r="H92" i="84" s="1"/>
  <c r="R71" i="94"/>
  <c r="U71" i="94"/>
  <c r="U73" i="94" s="1"/>
  <c r="H91" i="84" s="1"/>
  <c r="Q71" i="94"/>
  <c r="T71" i="94"/>
  <c r="W71" i="94"/>
  <c r="S71" i="94"/>
  <c r="S73" i="94" s="1"/>
  <c r="H89" i="84" s="1"/>
  <c r="U47" i="94"/>
  <c r="U49" i="94" s="1"/>
  <c r="H59" i="84" s="1"/>
  <c r="Q47" i="94"/>
  <c r="T47" i="94"/>
  <c r="W47" i="94"/>
  <c r="S47" i="94"/>
  <c r="S49" i="94" s="1"/>
  <c r="H57" i="84" s="1"/>
  <c r="V47" i="94"/>
  <c r="V49" i="94" s="1"/>
  <c r="H60" i="84" s="1"/>
  <c r="R47" i="94"/>
  <c r="M214" i="94"/>
  <c r="J214" i="94"/>
  <c r="O214" i="94" s="1"/>
  <c r="M208" i="94"/>
  <c r="J208" i="94"/>
  <c r="O208" i="94" s="1"/>
  <c r="M202" i="94"/>
  <c r="J202" i="94"/>
  <c r="O202" i="94" s="1"/>
  <c r="M196" i="94"/>
  <c r="J196" i="94"/>
  <c r="O196" i="94" s="1"/>
  <c r="M190" i="94"/>
  <c r="J190" i="94"/>
  <c r="O190" i="94" s="1"/>
  <c r="M184" i="94"/>
  <c r="J184" i="94"/>
  <c r="O184" i="94" s="1"/>
  <c r="M178" i="94"/>
  <c r="J178" i="94"/>
  <c r="O178" i="94" s="1"/>
  <c r="M172" i="94"/>
  <c r="J172" i="94"/>
  <c r="O172" i="94" s="1"/>
  <c r="M166" i="94"/>
  <c r="J166" i="94"/>
  <c r="O166" i="94" s="1"/>
  <c r="M160" i="94"/>
  <c r="J160" i="94"/>
  <c r="O160" i="94" s="1"/>
  <c r="M154" i="94"/>
  <c r="J154" i="94"/>
  <c r="O154" i="94" s="1"/>
  <c r="M148" i="94"/>
  <c r="J148" i="94"/>
  <c r="O148" i="94" s="1"/>
  <c r="M142" i="94"/>
  <c r="J142" i="94"/>
  <c r="O142" i="94" s="1"/>
  <c r="M136" i="94"/>
  <c r="J136" i="94"/>
  <c r="O136" i="94" s="1"/>
  <c r="M130" i="94"/>
  <c r="J130" i="94"/>
  <c r="O130" i="94" s="1"/>
  <c r="M124" i="94"/>
  <c r="J124" i="94"/>
  <c r="O124" i="94" s="1"/>
  <c r="M118" i="94"/>
  <c r="J118" i="94"/>
  <c r="O118" i="94" s="1"/>
  <c r="M112" i="94"/>
  <c r="J112" i="94"/>
  <c r="O112" i="94" s="1"/>
  <c r="M106" i="94"/>
  <c r="J106" i="94"/>
  <c r="O106" i="94" s="1"/>
  <c r="M100" i="94"/>
  <c r="J100" i="94"/>
  <c r="O100" i="94" s="1"/>
  <c r="M94" i="94"/>
  <c r="J94" i="94"/>
  <c r="O94" i="94" s="1"/>
  <c r="M88" i="94"/>
  <c r="J88" i="94"/>
  <c r="O88" i="94" s="1"/>
  <c r="M82" i="94"/>
  <c r="J82" i="94"/>
  <c r="O82" i="94" s="1"/>
  <c r="M76" i="94"/>
  <c r="J76" i="94"/>
  <c r="O76" i="94" s="1"/>
  <c r="M70" i="94"/>
  <c r="J70" i="94"/>
  <c r="O70" i="94" s="1"/>
  <c r="J64" i="94"/>
  <c r="M64" i="94"/>
  <c r="J58" i="94"/>
  <c r="M58" i="94"/>
  <c r="M52" i="94"/>
  <c r="J52" i="94"/>
  <c r="O52" i="94" s="1"/>
  <c r="J46" i="94"/>
  <c r="M46" i="94"/>
  <c r="M40" i="94"/>
  <c r="J40" i="94"/>
  <c r="O40" i="94" s="1"/>
  <c r="M34" i="94"/>
  <c r="J34" i="94"/>
  <c r="O34" i="94" s="1"/>
  <c r="K215" i="94"/>
  <c r="J215" i="94"/>
  <c r="M215" i="94"/>
  <c r="L215" i="94"/>
  <c r="S41" i="101"/>
  <c r="T41" i="101"/>
  <c r="Q41" i="101"/>
  <c r="R41" i="101"/>
  <c r="K191" i="94"/>
  <c r="J191" i="94"/>
  <c r="M191" i="94"/>
  <c r="L191" i="94"/>
  <c r="S37" i="101"/>
  <c r="T37" i="101"/>
  <c r="Q37" i="101"/>
  <c r="R37" i="101"/>
  <c r="K167" i="94"/>
  <c r="J167" i="94"/>
  <c r="M167" i="94"/>
  <c r="L167" i="94"/>
  <c r="S33" i="101"/>
  <c r="T33" i="101"/>
  <c r="Q33" i="101"/>
  <c r="R33" i="101"/>
  <c r="K143" i="94"/>
  <c r="J143" i="94"/>
  <c r="M143" i="94"/>
  <c r="L143" i="94"/>
  <c r="S29" i="101"/>
  <c r="T29" i="101"/>
  <c r="Q29" i="101"/>
  <c r="R29" i="101"/>
  <c r="K119" i="94"/>
  <c r="J119" i="94"/>
  <c r="M119" i="94"/>
  <c r="L119" i="94"/>
  <c r="U26" i="101"/>
  <c r="S26" i="101"/>
  <c r="T26" i="101"/>
  <c r="Q26" i="101"/>
  <c r="R26" i="101"/>
  <c r="K101" i="94"/>
  <c r="J101" i="94"/>
  <c r="M101" i="94"/>
  <c r="L101" i="94"/>
  <c r="K83" i="94"/>
  <c r="J83" i="94"/>
  <c r="M83" i="94"/>
  <c r="L83" i="94"/>
  <c r="S19" i="101"/>
  <c r="T19" i="101"/>
  <c r="Q19" i="101"/>
  <c r="R19" i="101"/>
  <c r="S16" i="101"/>
  <c r="T16" i="101"/>
  <c r="Q16" i="101"/>
  <c r="R16" i="101"/>
  <c r="S13" i="101"/>
  <c r="T13" i="101"/>
  <c r="Q13" i="101"/>
  <c r="R13" i="101"/>
  <c r="S10" i="101"/>
  <c r="T10" i="101"/>
  <c r="Q10" i="101"/>
  <c r="R10" i="101"/>
  <c r="H173" i="94"/>
  <c r="E175" i="94"/>
  <c r="H115" i="76" s="1"/>
  <c r="H149" i="94"/>
  <c r="E151" i="94"/>
  <c r="H99" i="76" s="1"/>
  <c r="H125" i="94"/>
  <c r="E127" i="94"/>
  <c r="H83" i="76" s="1"/>
  <c r="H101" i="94"/>
  <c r="E103" i="94"/>
  <c r="H67" i="76" s="1"/>
  <c r="H77" i="94"/>
  <c r="E79" i="94"/>
  <c r="H51" i="76" s="1"/>
  <c r="H53" i="94"/>
  <c r="E55" i="94"/>
  <c r="H35" i="76" s="1"/>
  <c r="H29" i="94"/>
  <c r="E31" i="94"/>
  <c r="AY38" i="4"/>
  <c r="AY36" i="4"/>
  <c r="AY32" i="4"/>
  <c r="AY30" i="4"/>
  <c r="AJ153" i="94"/>
  <c r="AJ157" i="94" s="1"/>
  <c r="H177" i="109"/>
  <c r="AJ177" i="94"/>
  <c r="AJ181" i="94" s="1"/>
  <c r="H205" i="109"/>
  <c r="AK191" i="94"/>
  <c r="AK193" i="94" s="1"/>
  <c r="H220" i="109"/>
  <c r="AK167" i="94"/>
  <c r="AK169" i="94" s="1"/>
  <c r="H192" i="109"/>
  <c r="AK143" i="94"/>
  <c r="AK145" i="94" s="1"/>
  <c r="H164" i="109"/>
  <c r="AL182" i="94"/>
  <c r="AL187" i="94" s="1"/>
  <c r="H214" i="109"/>
  <c r="AL158" i="94"/>
  <c r="AL163" i="94" s="1"/>
  <c r="H186" i="109"/>
  <c r="AL134" i="94"/>
  <c r="AL139" i="94" s="1"/>
  <c r="H158" i="109"/>
  <c r="AM178" i="94"/>
  <c r="AM181" i="94" s="1"/>
  <c r="H208" i="109"/>
  <c r="AM154" i="94"/>
  <c r="AM157" i="94" s="1"/>
  <c r="H180" i="109"/>
  <c r="AN196" i="94"/>
  <c r="AN199" i="94" s="1"/>
  <c r="H230" i="109"/>
  <c r="AN172" i="94"/>
  <c r="AN175" i="94" s="1"/>
  <c r="H202" i="109"/>
  <c r="AN148" i="94"/>
  <c r="AN151" i="94" s="1"/>
  <c r="H174" i="109"/>
  <c r="AO192" i="94"/>
  <c r="AO193" i="94" s="1"/>
  <c r="H224" i="109"/>
  <c r="AO168" i="94"/>
  <c r="AO169" i="94" s="1"/>
  <c r="H196" i="109"/>
  <c r="AO144" i="94"/>
  <c r="AO145" i="94" s="1"/>
  <c r="H168" i="109"/>
  <c r="AM214" i="94"/>
  <c r="AM217" i="94" s="1"/>
  <c r="H250" i="109"/>
  <c r="AO210" i="94"/>
  <c r="AO211" i="94" s="1"/>
  <c r="H245" i="109"/>
  <c r="AK209" i="94"/>
  <c r="AK211" i="94" s="1"/>
  <c r="H241" i="109"/>
  <c r="AM202" i="94"/>
  <c r="AM205" i="94" s="1"/>
  <c r="H236" i="109"/>
  <c r="W172" i="94"/>
  <c r="R172" i="94"/>
  <c r="Q172" i="94"/>
  <c r="Q148" i="94"/>
  <c r="R148" i="94"/>
  <c r="W148" i="94"/>
  <c r="W124" i="94"/>
  <c r="R124" i="94"/>
  <c r="Q124" i="94"/>
  <c r="W100" i="94"/>
  <c r="R100" i="94"/>
  <c r="Q100" i="94"/>
  <c r="W76" i="94"/>
  <c r="R76" i="94"/>
  <c r="Q76" i="94"/>
  <c r="Q52" i="94"/>
  <c r="W52" i="94"/>
  <c r="R52" i="94"/>
  <c r="V185" i="94"/>
  <c r="V187" i="94" s="1"/>
  <c r="H244" i="84" s="1"/>
  <c r="R185" i="94"/>
  <c r="U185" i="94"/>
  <c r="U187" i="94" s="1"/>
  <c r="H243" i="84" s="1"/>
  <c r="Q185" i="94"/>
  <c r="T185" i="94"/>
  <c r="W185" i="94"/>
  <c r="S185" i="94"/>
  <c r="S187" i="94" s="1"/>
  <c r="H241" i="84" s="1"/>
  <c r="V161" i="94"/>
  <c r="V163" i="94" s="1"/>
  <c r="H212" i="84" s="1"/>
  <c r="R161" i="94"/>
  <c r="U161" i="94"/>
  <c r="U163" i="94" s="1"/>
  <c r="H211" i="84" s="1"/>
  <c r="Q161" i="94"/>
  <c r="T161" i="94"/>
  <c r="W161" i="94"/>
  <c r="S161" i="94"/>
  <c r="S163" i="94" s="1"/>
  <c r="H209" i="84" s="1"/>
  <c r="V137" i="94"/>
  <c r="V139" i="94" s="1"/>
  <c r="H180" i="84" s="1"/>
  <c r="R137" i="94"/>
  <c r="U137" i="94"/>
  <c r="U139" i="94" s="1"/>
  <c r="H179" i="84" s="1"/>
  <c r="Q137" i="94"/>
  <c r="T137" i="94"/>
  <c r="W137" i="94"/>
  <c r="S137" i="94"/>
  <c r="S139" i="94" s="1"/>
  <c r="H177" i="84" s="1"/>
  <c r="V113" i="94"/>
  <c r="V115" i="94" s="1"/>
  <c r="H148" i="84" s="1"/>
  <c r="R113" i="94"/>
  <c r="U113" i="94"/>
  <c r="U115" i="94" s="1"/>
  <c r="H147" i="84" s="1"/>
  <c r="Q113" i="94"/>
  <c r="T113" i="94"/>
  <c r="W113" i="94"/>
  <c r="S113" i="94"/>
  <c r="S115" i="94" s="1"/>
  <c r="H145" i="84" s="1"/>
  <c r="V89" i="94"/>
  <c r="V91" i="94" s="1"/>
  <c r="H116" i="84" s="1"/>
  <c r="R89" i="94"/>
  <c r="U89" i="94"/>
  <c r="U91" i="94" s="1"/>
  <c r="H115" i="84" s="1"/>
  <c r="Q89" i="94"/>
  <c r="T89" i="94"/>
  <c r="W89" i="94"/>
  <c r="S89" i="94"/>
  <c r="S91" i="94" s="1"/>
  <c r="H113" i="84" s="1"/>
  <c r="V65" i="94"/>
  <c r="V67" i="94" s="1"/>
  <c r="H84" i="84" s="1"/>
  <c r="R65" i="94"/>
  <c r="W65" i="94"/>
  <c r="Q65" i="94"/>
  <c r="U65" i="94"/>
  <c r="U67" i="94" s="1"/>
  <c r="H83" i="84" s="1"/>
  <c r="T65" i="94"/>
  <c r="S65" i="94"/>
  <c r="S67" i="94" s="1"/>
  <c r="H81" i="84" s="1"/>
  <c r="W41" i="94"/>
  <c r="S41" i="94"/>
  <c r="S43" i="94" s="1"/>
  <c r="H49" i="84" s="1"/>
  <c r="V41" i="94"/>
  <c r="V43" i="94" s="1"/>
  <c r="H52" i="84" s="1"/>
  <c r="R41" i="94"/>
  <c r="U41" i="94"/>
  <c r="U43" i="94" s="1"/>
  <c r="H51" i="84" s="1"/>
  <c r="Q41" i="94"/>
  <c r="T41" i="94"/>
  <c r="S42" i="101"/>
  <c r="T42" i="101"/>
  <c r="Q42" i="101"/>
  <c r="R42" i="101"/>
  <c r="K197" i="94"/>
  <c r="J197" i="94"/>
  <c r="M197" i="94"/>
  <c r="L197" i="94"/>
  <c r="S38" i="101"/>
  <c r="T38" i="101"/>
  <c r="Q38" i="101"/>
  <c r="R38" i="101"/>
  <c r="K173" i="94"/>
  <c r="J173" i="94"/>
  <c r="M173" i="94"/>
  <c r="L173" i="94"/>
  <c r="S34" i="101"/>
  <c r="T34" i="101"/>
  <c r="Q34" i="101"/>
  <c r="R34" i="101"/>
  <c r="K149" i="94"/>
  <c r="L149" i="94"/>
  <c r="M149" i="94"/>
  <c r="J149" i="94"/>
  <c r="O149" i="94" s="1"/>
  <c r="S30" i="101"/>
  <c r="T30" i="101"/>
  <c r="Q30" i="101"/>
  <c r="R30" i="101"/>
  <c r="K125" i="94"/>
  <c r="J125" i="94"/>
  <c r="M125" i="94"/>
  <c r="L125" i="94"/>
  <c r="K107" i="94"/>
  <c r="J107" i="94"/>
  <c r="M107" i="94"/>
  <c r="L107" i="94"/>
  <c r="S23" i="101"/>
  <c r="T23" i="101"/>
  <c r="Q23" i="101"/>
  <c r="R23" i="101"/>
  <c r="S20" i="101"/>
  <c r="T20" i="101"/>
  <c r="Q20" i="101"/>
  <c r="R20" i="101"/>
  <c r="S17" i="101"/>
  <c r="T17" i="101"/>
  <c r="Q17" i="101"/>
  <c r="R17" i="101"/>
  <c r="J47" i="94"/>
  <c r="M47" i="94"/>
  <c r="L47" i="94"/>
  <c r="K47" i="94"/>
  <c r="U14" i="101"/>
  <c r="S14" i="101"/>
  <c r="T14" i="101"/>
  <c r="Q14" i="101"/>
  <c r="R14" i="101"/>
  <c r="M29" i="94"/>
  <c r="L29" i="94"/>
  <c r="K29" i="94"/>
  <c r="J29" i="94"/>
  <c r="S11" i="101"/>
  <c r="T11" i="101"/>
  <c r="Q11" i="101"/>
  <c r="R11" i="101"/>
  <c r="H191" i="94"/>
  <c r="E193" i="94"/>
  <c r="H127" i="76" s="1"/>
  <c r="H167" i="94"/>
  <c r="E169" i="94"/>
  <c r="H111" i="76" s="1"/>
  <c r="H143" i="94"/>
  <c r="E145" i="94"/>
  <c r="H95" i="76" s="1"/>
  <c r="H119" i="94"/>
  <c r="E121" i="94"/>
  <c r="H79" i="76" s="1"/>
  <c r="H95" i="94"/>
  <c r="E97" i="94"/>
  <c r="H63" i="76" s="1"/>
  <c r="H71" i="94"/>
  <c r="E73" i="94"/>
  <c r="H47" i="76" s="1"/>
  <c r="H47" i="94"/>
  <c r="E49" i="94"/>
  <c r="H31" i="76" s="1"/>
  <c r="H23" i="94"/>
  <c r="E25" i="94"/>
  <c r="H15" i="76" s="1"/>
  <c r="AY34" i="4"/>
  <c r="BC32" i="51"/>
  <c r="BD32" i="51" s="1"/>
  <c r="AJ147" i="94"/>
  <c r="AJ151" i="94" s="1"/>
  <c r="H170" i="109"/>
  <c r="BC40" i="51"/>
  <c r="BD40" i="51" s="1"/>
  <c r="AJ195" i="94"/>
  <c r="AJ199" i="94" s="1"/>
  <c r="H226" i="109"/>
  <c r="BC36" i="51"/>
  <c r="BD36" i="51" s="1"/>
  <c r="AJ171" i="94"/>
  <c r="AJ175" i="94" s="1"/>
  <c r="H198" i="109"/>
  <c r="AK185" i="94"/>
  <c r="AK187" i="94" s="1"/>
  <c r="H213" i="109"/>
  <c r="AK161" i="94"/>
  <c r="AK163" i="94" s="1"/>
  <c r="H185" i="109"/>
  <c r="AK137" i="94"/>
  <c r="AK139" i="94" s="1"/>
  <c r="H157" i="109"/>
  <c r="AL176" i="94"/>
  <c r="AL181" i="94" s="1"/>
  <c r="H207" i="109"/>
  <c r="AL152" i="94"/>
  <c r="AL157" i="94" s="1"/>
  <c r="H179" i="109"/>
  <c r="AM196" i="94"/>
  <c r="AM199" i="94" s="1"/>
  <c r="H229" i="109"/>
  <c r="AM172" i="94"/>
  <c r="AM175" i="94" s="1"/>
  <c r="H201" i="109"/>
  <c r="AM148" i="94"/>
  <c r="AM151" i="94" s="1"/>
  <c r="H173" i="109"/>
  <c r="AN190" i="94"/>
  <c r="AN193" i="94" s="1"/>
  <c r="H223" i="109"/>
  <c r="AN166" i="94"/>
  <c r="AN169" i="94" s="1"/>
  <c r="H195" i="109"/>
  <c r="AN142" i="94"/>
  <c r="AN145" i="94" s="1"/>
  <c r="H167" i="109"/>
  <c r="AO186" i="94"/>
  <c r="AO187" i="94" s="1"/>
  <c r="H217" i="109"/>
  <c r="AO162" i="94"/>
  <c r="AO163" i="94" s="1"/>
  <c r="H189" i="109"/>
  <c r="AO138" i="94"/>
  <c r="AO139" i="94" s="1"/>
  <c r="H161" i="109"/>
  <c r="AL212" i="94"/>
  <c r="AL217" i="94" s="1"/>
  <c r="H249" i="109"/>
  <c r="AN208" i="94"/>
  <c r="AN211" i="94" s="1"/>
  <c r="H244" i="109"/>
  <c r="AJ207" i="94"/>
  <c r="AJ211" i="94" s="1"/>
  <c r="H240" i="109"/>
  <c r="AL200" i="94"/>
  <c r="AL205" i="94" s="1"/>
  <c r="H235" i="109"/>
  <c r="N152" i="94"/>
  <c r="N157" i="94" s="1"/>
  <c r="H155" i="79" s="1"/>
  <c r="M152" i="94"/>
  <c r="N128" i="94"/>
  <c r="N133" i="94" s="1"/>
  <c r="H131" i="79" s="1"/>
  <c r="M128" i="94"/>
  <c r="N104" i="94"/>
  <c r="N109" i="94" s="1"/>
  <c r="H107" i="79" s="1"/>
  <c r="M104" i="94"/>
  <c r="N80" i="94"/>
  <c r="N85" i="94" s="1"/>
  <c r="H83" i="79" s="1"/>
  <c r="M80" i="94"/>
  <c r="M56" i="94"/>
  <c r="N56" i="94"/>
  <c r="N61" i="94" s="1"/>
  <c r="H59" i="79" s="1"/>
  <c r="N32" i="94"/>
  <c r="N37" i="94" s="1"/>
  <c r="H35" i="79" s="1"/>
  <c r="M32" i="94"/>
  <c r="N188" i="94"/>
  <c r="N193" i="94" s="1"/>
  <c r="H191" i="79" s="1"/>
  <c r="M188" i="94"/>
  <c r="N164" i="94"/>
  <c r="N169" i="94" s="1"/>
  <c r="H167" i="79" s="1"/>
  <c r="M164" i="94"/>
  <c r="G184" i="94"/>
  <c r="G187" i="94" s="1"/>
  <c r="H125" i="76" s="1"/>
  <c r="F184" i="94"/>
  <c r="N200" i="94"/>
  <c r="N205" i="94" s="1"/>
  <c r="H203" i="79" s="1"/>
  <c r="M200" i="94"/>
  <c r="W190" i="94"/>
  <c r="W193" i="94" s="1"/>
  <c r="H253" i="84" s="1"/>
  <c r="R190" i="94"/>
  <c r="Q190" i="94"/>
  <c r="Q193" i="94" s="1"/>
  <c r="H247" i="84" s="1"/>
  <c r="W166" i="94"/>
  <c r="W169" i="94" s="1"/>
  <c r="H221" i="84" s="1"/>
  <c r="R166" i="94"/>
  <c r="Q166" i="94"/>
  <c r="Q169" i="94" s="1"/>
  <c r="H215" i="84" s="1"/>
  <c r="W142" i="94"/>
  <c r="W145" i="94" s="1"/>
  <c r="H189" i="84" s="1"/>
  <c r="R142" i="94"/>
  <c r="Q142" i="94"/>
  <c r="Q145" i="94" s="1"/>
  <c r="H183" i="84" s="1"/>
  <c r="W118" i="94"/>
  <c r="W121" i="94" s="1"/>
  <c r="H157" i="84" s="1"/>
  <c r="R118" i="94"/>
  <c r="Q118" i="94"/>
  <c r="Q121" i="94" s="1"/>
  <c r="H151" i="84" s="1"/>
  <c r="W94" i="94"/>
  <c r="W97" i="94" s="1"/>
  <c r="H125" i="84" s="1"/>
  <c r="R94" i="94"/>
  <c r="Q94" i="94"/>
  <c r="Q97" i="94" s="1"/>
  <c r="H119" i="84" s="1"/>
  <c r="W70" i="94"/>
  <c r="W73" i="94" s="1"/>
  <c r="H93" i="84" s="1"/>
  <c r="R70" i="94"/>
  <c r="Q70" i="94"/>
  <c r="Q73" i="94" s="1"/>
  <c r="H87" i="84" s="1"/>
  <c r="W46" i="94"/>
  <c r="W49" i="94" s="1"/>
  <c r="H61" i="84" s="1"/>
  <c r="R46" i="94"/>
  <c r="Q46" i="94"/>
  <c r="Q49" i="94" s="1"/>
  <c r="H55" i="84" s="1"/>
  <c r="V179" i="94"/>
  <c r="V181" i="94" s="1"/>
  <c r="H236" i="84" s="1"/>
  <c r="R179" i="94"/>
  <c r="U179" i="94"/>
  <c r="U181" i="94" s="1"/>
  <c r="H235" i="84" s="1"/>
  <c r="Q179" i="94"/>
  <c r="T179" i="94"/>
  <c r="W179" i="94"/>
  <c r="S179" i="94"/>
  <c r="S181" i="94" s="1"/>
  <c r="H233" i="84" s="1"/>
  <c r="V155" i="94"/>
  <c r="V157" i="94" s="1"/>
  <c r="H204" i="84" s="1"/>
  <c r="R155" i="94"/>
  <c r="U155" i="94"/>
  <c r="U157" i="94" s="1"/>
  <c r="H203" i="84" s="1"/>
  <c r="Q155" i="94"/>
  <c r="W155" i="94"/>
  <c r="S155" i="94"/>
  <c r="S157" i="94" s="1"/>
  <c r="H201" i="84" s="1"/>
  <c r="T155" i="94"/>
  <c r="V131" i="94"/>
  <c r="V133" i="94" s="1"/>
  <c r="H172" i="84" s="1"/>
  <c r="R131" i="94"/>
  <c r="U131" i="94"/>
  <c r="U133" i="94" s="1"/>
  <c r="H171" i="84" s="1"/>
  <c r="Q131" i="94"/>
  <c r="T131" i="94"/>
  <c r="W131" i="94"/>
  <c r="S131" i="94"/>
  <c r="S133" i="94" s="1"/>
  <c r="H169" i="84" s="1"/>
  <c r="V107" i="94"/>
  <c r="V109" i="94" s="1"/>
  <c r="H140" i="84" s="1"/>
  <c r="R107" i="94"/>
  <c r="U107" i="94"/>
  <c r="U109" i="94" s="1"/>
  <c r="H139" i="84" s="1"/>
  <c r="Q107" i="94"/>
  <c r="T107" i="94"/>
  <c r="W107" i="94"/>
  <c r="S107" i="94"/>
  <c r="S109" i="94" s="1"/>
  <c r="H137" i="84" s="1"/>
  <c r="V83" i="94"/>
  <c r="V85" i="94" s="1"/>
  <c r="H108" i="84" s="1"/>
  <c r="R83" i="94"/>
  <c r="U83" i="94"/>
  <c r="U85" i="94" s="1"/>
  <c r="H107" i="84" s="1"/>
  <c r="Q83" i="94"/>
  <c r="T83" i="94"/>
  <c r="W83" i="94"/>
  <c r="S83" i="94"/>
  <c r="S85" i="94" s="1"/>
  <c r="H105" i="84" s="1"/>
  <c r="U59" i="94"/>
  <c r="U61" i="94" s="1"/>
  <c r="H75" i="84" s="1"/>
  <c r="Q59" i="94"/>
  <c r="T59" i="94"/>
  <c r="W59" i="94"/>
  <c r="S59" i="94"/>
  <c r="S61" i="94" s="1"/>
  <c r="H73" i="84" s="1"/>
  <c r="V59" i="94"/>
  <c r="V61" i="94" s="1"/>
  <c r="H76" i="84" s="1"/>
  <c r="R59" i="94"/>
  <c r="V35" i="94"/>
  <c r="R35" i="94"/>
  <c r="U35" i="94"/>
  <c r="Q35" i="94"/>
  <c r="T35" i="94"/>
  <c r="W35" i="94"/>
  <c r="S35" i="94"/>
  <c r="S43" i="101"/>
  <c r="T43" i="101"/>
  <c r="Q43" i="101"/>
  <c r="R43" i="101"/>
  <c r="U41" i="101"/>
  <c r="S39" i="101"/>
  <c r="T39" i="101"/>
  <c r="Q39" i="101"/>
  <c r="R39" i="101"/>
  <c r="U37" i="101"/>
  <c r="S35" i="101"/>
  <c r="T35" i="101"/>
  <c r="Q35" i="101"/>
  <c r="R35" i="101"/>
  <c r="U33" i="101"/>
  <c r="S31" i="101"/>
  <c r="T31" i="101"/>
  <c r="Q31" i="101"/>
  <c r="R31" i="101"/>
  <c r="U29" i="101"/>
  <c r="S27" i="101"/>
  <c r="T27" i="101"/>
  <c r="Q27" i="101"/>
  <c r="R27" i="101"/>
  <c r="S24" i="101"/>
  <c r="T24" i="101"/>
  <c r="Q24" i="101"/>
  <c r="R24" i="101"/>
  <c r="S21" i="101"/>
  <c r="T21" i="101"/>
  <c r="Q21" i="101"/>
  <c r="R21" i="101"/>
  <c r="U19" i="101"/>
  <c r="U18" i="101"/>
  <c r="S18" i="101"/>
  <c r="T18" i="101"/>
  <c r="Q18" i="101"/>
  <c r="R18" i="101"/>
  <c r="U16" i="101"/>
  <c r="U13" i="101"/>
  <c r="U10" i="101"/>
  <c r="H185" i="94"/>
  <c r="E187" i="94"/>
  <c r="H123" i="76" s="1"/>
  <c r="H161" i="94"/>
  <c r="E163" i="94"/>
  <c r="H107" i="76" s="1"/>
  <c r="H137" i="94"/>
  <c r="E139" i="94"/>
  <c r="H91" i="76" s="1"/>
  <c r="H113" i="94"/>
  <c r="E115" i="94"/>
  <c r="H75" i="76" s="1"/>
  <c r="H89" i="94"/>
  <c r="E91" i="94"/>
  <c r="H59" i="76" s="1"/>
  <c r="H65" i="94"/>
  <c r="E67" i="94"/>
  <c r="H43" i="76" s="1"/>
  <c r="H41" i="94"/>
  <c r="E43" i="94"/>
  <c r="H27" i="76" s="1"/>
  <c r="H17" i="94"/>
  <c r="E19" i="94"/>
  <c r="AJ141" i="94"/>
  <c r="AJ145" i="94" s="1"/>
  <c r="H163" i="109"/>
  <c r="AJ189" i="94"/>
  <c r="AJ193" i="94" s="1"/>
  <c r="H219" i="109"/>
  <c r="AJ165" i="94"/>
  <c r="AJ169" i="94" s="1"/>
  <c r="H191" i="109"/>
  <c r="AK179" i="94"/>
  <c r="AK181" i="94" s="1"/>
  <c r="H206" i="109"/>
  <c r="AK155" i="94"/>
  <c r="AK157" i="94" s="1"/>
  <c r="H178" i="109"/>
  <c r="AL194" i="94"/>
  <c r="AL199" i="94" s="1"/>
  <c r="H228" i="109"/>
  <c r="AL170" i="94"/>
  <c r="AL175" i="94" s="1"/>
  <c r="H200" i="109"/>
  <c r="AL146" i="94"/>
  <c r="AL151" i="94" s="1"/>
  <c r="H172" i="109"/>
  <c r="AM190" i="94"/>
  <c r="AM193" i="94" s="1"/>
  <c r="H222" i="109"/>
  <c r="AM166" i="94"/>
  <c r="AM169" i="94" s="1"/>
  <c r="H194" i="109"/>
  <c r="AM142" i="94"/>
  <c r="AM145" i="94" s="1"/>
  <c r="H166" i="109"/>
  <c r="AN184" i="94"/>
  <c r="AN187" i="94" s="1"/>
  <c r="H216" i="109"/>
  <c r="AN160" i="94"/>
  <c r="AN163" i="94" s="1"/>
  <c r="H188" i="109"/>
  <c r="AN136" i="94"/>
  <c r="AN139" i="94" s="1"/>
  <c r="H160" i="109"/>
  <c r="AO180" i="94"/>
  <c r="AO181" i="94" s="1"/>
  <c r="H210" i="109"/>
  <c r="AO156" i="94"/>
  <c r="AO157" i="94" s="1"/>
  <c r="H182" i="109"/>
  <c r="AO216" i="94"/>
  <c r="AO217" i="94" s="1"/>
  <c r="H252" i="109"/>
  <c r="AK215" i="94"/>
  <c r="AK217" i="94" s="1"/>
  <c r="H248" i="109"/>
  <c r="AM208" i="94"/>
  <c r="AM211" i="94" s="1"/>
  <c r="H243" i="109"/>
  <c r="AO204" i="94"/>
  <c r="AO205" i="94" s="1"/>
  <c r="H238" i="109"/>
  <c r="AK203" i="94"/>
  <c r="AK205" i="94" s="1"/>
  <c r="H234" i="109"/>
  <c r="P43" i="80"/>
  <c r="Q43" i="80" s="1"/>
  <c r="N206" i="94"/>
  <c r="N211" i="94" s="1"/>
  <c r="H209" i="79" s="1"/>
  <c r="M206" i="94"/>
  <c r="W184" i="94"/>
  <c r="W187" i="94" s="1"/>
  <c r="H245" i="84" s="1"/>
  <c r="R184" i="94"/>
  <c r="Q184" i="94"/>
  <c r="Q187" i="94" s="1"/>
  <c r="H239" i="84" s="1"/>
  <c r="W160" i="94"/>
  <c r="W163" i="94" s="1"/>
  <c r="H213" i="84" s="1"/>
  <c r="R160" i="94"/>
  <c r="Q160" i="94"/>
  <c r="Q163" i="94" s="1"/>
  <c r="H207" i="84" s="1"/>
  <c r="W136" i="94"/>
  <c r="W139" i="94" s="1"/>
  <c r="H181" i="84" s="1"/>
  <c r="R136" i="94"/>
  <c r="Q136" i="94"/>
  <c r="Q139" i="94" s="1"/>
  <c r="H175" i="84" s="1"/>
  <c r="W112" i="94"/>
  <c r="W115" i="94" s="1"/>
  <c r="H149" i="84" s="1"/>
  <c r="R112" i="94"/>
  <c r="Q112" i="94"/>
  <c r="Q115" i="94" s="1"/>
  <c r="H143" i="84" s="1"/>
  <c r="W88" i="94"/>
  <c r="W91" i="94" s="1"/>
  <c r="H117" i="84" s="1"/>
  <c r="R88" i="94"/>
  <c r="Q88" i="94"/>
  <c r="Q91" i="94" s="1"/>
  <c r="H111" i="84" s="1"/>
  <c r="W64" i="94"/>
  <c r="W67" i="94" s="1"/>
  <c r="H85" i="84" s="1"/>
  <c r="R64" i="94"/>
  <c r="Q64" i="94"/>
  <c r="Q67" i="94" s="1"/>
  <c r="H79" i="84" s="1"/>
  <c r="V173" i="94"/>
  <c r="V175" i="94" s="1"/>
  <c r="H228" i="84" s="1"/>
  <c r="R173" i="94"/>
  <c r="U173" i="94"/>
  <c r="U175" i="94" s="1"/>
  <c r="H227" i="84" s="1"/>
  <c r="Q173" i="94"/>
  <c r="T173" i="94"/>
  <c r="W173" i="94"/>
  <c r="S173" i="94"/>
  <c r="S175" i="94" s="1"/>
  <c r="H225" i="84" s="1"/>
  <c r="V149" i="94"/>
  <c r="V151" i="94" s="1"/>
  <c r="H196" i="84" s="1"/>
  <c r="R149" i="94"/>
  <c r="W149" i="94"/>
  <c r="S149" i="94"/>
  <c r="S151" i="94" s="1"/>
  <c r="H193" i="84" s="1"/>
  <c r="U149" i="94"/>
  <c r="U151" i="94" s="1"/>
  <c r="H195" i="84" s="1"/>
  <c r="T149" i="94"/>
  <c r="Q149" i="94"/>
  <c r="V125" i="94"/>
  <c r="V127" i="94" s="1"/>
  <c r="H164" i="84" s="1"/>
  <c r="R125" i="94"/>
  <c r="U125" i="94"/>
  <c r="U127" i="94" s="1"/>
  <c r="H163" i="84" s="1"/>
  <c r="Q125" i="94"/>
  <c r="T125" i="94"/>
  <c r="W125" i="94"/>
  <c r="S125" i="94"/>
  <c r="S127" i="94" s="1"/>
  <c r="H161" i="84" s="1"/>
  <c r="V101" i="94"/>
  <c r="V103" i="94" s="1"/>
  <c r="H132" i="84" s="1"/>
  <c r="R101" i="94"/>
  <c r="U101" i="94"/>
  <c r="U103" i="94" s="1"/>
  <c r="H131" i="84" s="1"/>
  <c r="Q101" i="94"/>
  <c r="T101" i="94"/>
  <c r="W101" i="94"/>
  <c r="S101" i="94"/>
  <c r="S103" i="94" s="1"/>
  <c r="H129" i="84" s="1"/>
  <c r="V77" i="94"/>
  <c r="V79" i="94" s="1"/>
  <c r="H100" i="84" s="1"/>
  <c r="R77" i="94"/>
  <c r="U77" i="94"/>
  <c r="U79" i="94" s="1"/>
  <c r="H99" i="84" s="1"/>
  <c r="Q77" i="94"/>
  <c r="T77" i="94"/>
  <c r="W77" i="94"/>
  <c r="S77" i="94"/>
  <c r="S79" i="94" s="1"/>
  <c r="H97" i="84" s="1"/>
  <c r="W53" i="94"/>
  <c r="S53" i="94"/>
  <c r="S55" i="94" s="1"/>
  <c r="H65" i="84" s="1"/>
  <c r="V53" i="94"/>
  <c r="V55" i="94" s="1"/>
  <c r="H68" i="84" s="1"/>
  <c r="R53" i="94"/>
  <c r="U53" i="94"/>
  <c r="U55" i="94" s="1"/>
  <c r="H67" i="84" s="1"/>
  <c r="Q53" i="94"/>
  <c r="T53" i="94"/>
  <c r="T29" i="94"/>
  <c r="W29" i="94"/>
  <c r="S29" i="94"/>
  <c r="V29" i="94"/>
  <c r="R29" i="94"/>
  <c r="U29" i="94"/>
  <c r="Q29" i="94"/>
  <c r="U42" i="101"/>
  <c r="P41" i="101"/>
  <c r="S40" i="101"/>
  <c r="T40" i="101"/>
  <c r="Q40" i="101"/>
  <c r="R40" i="101"/>
  <c r="U38" i="101"/>
  <c r="P37" i="101"/>
  <c r="S36" i="101"/>
  <c r="T36" i="101"/>
  <c r="Q36" i="101"/>
  <c r="R36" i="101"/>
  <c r="U34" i="101"/>
  <c r="P33" i="101"/>
  <c r="S32" i="101"/>
  <c r="T32" i="101"/>
  <c r="Q32" i="101"/>
  <c r="R32" i="101"/>
  <c r="U30" i="101"/>
  <c r="P29" i="101"/>
  <c r="S28" i="101"/>
  <c r="T28" i="101"/>
  <c r="Q28" i="101"/>
  <c r="R28" i="101"/>
  <c r="P26" i="101"/>
  <c r="S25" i="101"/>
  <c r="T25" i="101"/>
  <c r="Q25" i="101"/>
  <c r="R25" i="101"/>
  <c r="U23" i="101"/>
  <c r="U22" i="101"/>
  <c r="S22" i="101"/>
  <c r="T22" i="101"/>
  <c r="Q22" i="101"/>
  <c r="R22" i="101"/>
  <c r="U20" i="101"/>
  <c r="U17" i="101"/>
  <c r="S15" i="101"/>
  <c r="T15" i="101"/>
  <c r="Q15" i="101"/>
  <c r="R15" i="101"/>
  <c r="S12" i="101"/>
  <c r="T12" i="101"/>
  <c r="Q12" i="101"/>
  <c r="R12" i="101"/>
  <c r="G214" i="94"/>
  <c r="G217" i="94" s="1"/>
  <c r="H145" i="76" s="1"/>
  <c r="F214" i="94"/>
  <c r="H179" i="94"/>
  <c r="E181" i="94"/>
  <c r="H119" i="76" s="1"/>
  <c r="H155" i="94"/>
  <c r="E157" i="94"/>
  <c r="H103" i="76" s="1"/>
  <c r="H131" i="94"/>
  <c r="E133" i="94"/>
  <c r="H87" i="76" s="1"/>
  <c r="H107" i="94"/>
  <c r="E109" i="94"/>
  <c r="H71" i="76" s="1"/>
  <c r="H83" i="94"/>
  <c r="E85" i="94"/>
  <c r="H55" i="76" s="1"/>
  <c r="H59" i="94"/>
  <c r="E61" i="94"/>
  <c r="H39" i="76" s="1"/>
  <c r="H35" i="94"/>
  <c r="E37" i="94"/>
  <c r="H23" i="76" s="1"/>
  <c r="J6" i="130"/>
  <c r="C18" i="131" s="1"/>
  <c r="D18" i="131" s="1"/>
  <c r="V15" i="103"/>
  <c r="AK9" i="103" s="1"/>
  <c r="U15" i="103"/>
  <c r="F17" i="131"/>
  <c r="R188" i="94"/>
  <c r="R193" i="94" s="1"/>
  <c r="H248" i="84" s="1"/>
  <c r="T188" i="94"/>
  <c r="T193" i="94" s="1"/>
  <c r="H250" i="84" s="1"/>
  <c r="R170" i="94"/>
  <c r="R175" i="94" s="1"/>
  <c r="H224" i="84" s="1"/>
  <c r="T170" i="94"/>
  <c r="T175" i="94" s="1"/>
  <c r="H226" i="84" s="1"/>
  <c r="R158" i="94"/>
  <c r="R163" i="94" s="1"/>
  <c r="H208" i="84" s="1"/>
  <c r="T158" i="94"/>
  <c r="T163" i="94" s="1"/>
  <c r="H210" i="84" s="1"/>
  <c r="R146" i="94"/>
  <c r="R151" i="94" s="1"/>
  <c r="H192" i="84" s="1"/>
  <c r="T146" i="94"/>
  <c r="T151" i="94" s="1"/>
  <c r="H194" i="84" s="1"/>
  <c r="R134" i="94"/>
  <c r="R139" i="94" s="1"/>
  <c r="H176" i="84" s="1"/>
  <c r="T134" i="94"/>
  <c r="T139" i="94" s="1"/>
  <c r="H178" i="84" s="1"/>
  <c r="R122" i="94"/>
  <c r="T122" i="94"/>
  <c r="T127" i="94" s="1"/>
  <c r="H162" i="84" s="1"/>
  <c r="R110" i="94"/>
  <c r="R115" i="94" s="1"/>
  <c r="H144" i="84" s="1"/>
  <c r="T110" i="94"/>
  <c r="T115" i="94" s="1"/>
  <c r="H146" i="84" s="1"/>
  <c r="R98" i="94"/>
  <c r="R103" i="94" s="1"/>
  <c r="H128" i="84" s="1"/>
  <c r="T98" i="94"/>
  <c r="T103" i="94" s="1"/>
  <c r="H130" i="84" s="1"/>
  <c r="R86" i="94"/>
  <c r="R91" i="94" s="1"/>
  <c r="H112" i="84" s="1"/>
  <c r="T86" i="94"/>
  <c r="T91" i="94" s="1"/>
  <c r="H114" i="84" s="1"/>
  <c r="R74" i="94"/>
  <c r="R79" i="94" s="1"/>
  <c r="H96" i="84" s="1"/>
  <c r="T74" i="94"/>
  <c r="T79" i="94" s="1"/>
  <c r="H98" i="84" s="1"/>
  <c r="T62" i="94"/>
  <c r="T67" i="94" s="1"/>
  <c r="H82" i="84" s="1"/>
  <c r="R62" i="94"/>
  <c r="R67" i="94" s="1"/>
  <c r="H80" i="84" s="1"/>
  <c r="T50" i="94"/>
  <c r="T55" i="94" s="1"/>
  <c r="H66" i="84" s="1"/>
  <c r="R50" i="94"/>
  <c r="R55" i="94" s="1"/>
  <c r="H64" i="84" s="1"/>
  <c r="R38" i="94"/>
  <c r="T38" i="94"/>
  <c r="T43" i="94" s="1"/>
  <c r="H50" i="84" s="1"/>
  <c r="R26" i="94"/>
  <c r="T26" i="94"/>
  <c r="T14" i="94"/>
  <c r="R14" i="94"/>
  <c r="R176" i="94"/>
  <c r="R181" i="94" s="1"/>
  <c r="H232" i="84" s="1"/>
  <c r="T176" i="94"/>
  <c r="T181" i="94" s="1"/>
  <c r="H234" i="84" s="1"/>
  <c r="R164" i="94"/>
  <c r="R169" i="94" s="1"/>
  <c r="H216" i="84" s="1"/>
  <c r="T164" i="94"/>
  <c r="T169" i="94" s="1"/>
  <c r="H218" i="84" s="1"/>
  <c r="R152" i="94"/>
  <c r="R157" i="94" s="1"/>
  <c r="H200" i="84" s="1"/>
  <c r="T152" i="94"/>
  <c r="T157" i="94" s="1"/>
  <c r="H202" i="84" s="1"/>
  <c r="R140" i="94"/>
  <c r="R145" i="94" s="1"/>
  <c r="H184" i="84" s="1"/>
  <c r="T140" i="94"/>
  <c r="T145" i="94" s="1"/>
  <c r="H186" i="84" s="1"/>
  <c r="R128" i="94"/>
  <c r="R133" i="94" s="1"/>
  <c r="H168" i="84" s="1"/>
  <c r="T128" i="94"/>
  <c r="T133" i="94" s="1"/>
  <c r="H170" i="84" s="1"/>
  <c r="R116" i="94"/>
  <c r="R121" i="94" s="1"/>
  <c r="H152" i="84" s="1"/>
  <c r="T116" i="94"/>
  <c r="T121" i="94" s="1"/>
  <c r="H154" i="84" s="1"/>
  <c r="R104" i="94"/>
  <c r="R109" i="94" s="1"/>
  <c r="H136" i="84" s="1"/>
  <c r="T104" i="94"/>
  <c r="T109" i="94" s="1"/>
  <c r="H138" i="84" s="1"/>
  <c r="R92" i="94"/>
  <c r="R97" i="94" s="1"/>
  <c r="H120" i="84" s="1"/>
  <c r="T92" i="94"/>
  <c r="T97" i="94" s="1"/>
  <c r="H122" i="84" s="1"/>
  <c r="R80" i="94"/>
  <c r="R85" i="94" s="1"/>
  <c r="H104" i="84" s="1"/>
  <c r="T80" i="94"/>
  <c r="T85" i="94" s="1"/>
  <c r="H106" i="84" s="1"/>
  <c r="R68" i="94"/>
  <c r="R73" i="94" s="1"/>
  <c r="H88" i="84" s="1"/>
  <c r="T68" i="94"/>
  <c r="T73" i="94" s="1"/>
  <c r="H90" i="84" s="1"/>
  <c r="R56" i="94"/>
  <c r="R61" i="94" s="1"/>
  <c r="H72" i="84" s="1"/>
  <c r="T56" i="94"/>
  <c r="T61" i="94" s="1"/>
  <c r="H74" i="84" s="1"/>
  <c r="R44" i="94"/>
  <c r="R49" i="94" s="1"/>
  <c r="H56" i="84" s="1"/>
  <c r="T44" i="94"/>
  <c r="T49" i="94" s="1"/>
  <c r="H58" i="84" s="1"/>
  <c r="R32" i="94"/>
  <c r="T32" i="94"/>
  <c r="T20" i="94"/>
  <c r="R20" i="94"/>
  <c r="W17" i="94"/>
  <c r="U17" i="94"/>
  <c r="S17" i="94"/>
  <c r="Q17" i="94"/>
  <c r="V17" i="94"/>
  <c r="T17" i="94"/>
  <c r="R17" i="94"/>
  <c r="W34" i="94"/>
  <c r="W37" i="94" s="1"/>
  <c r="H45" i="84" s="1"/>
  <c r="Q34" i="94"/>
  <c r="Q37" i="94" s="1"/>
  <c r="R34" i="94"/>
  <c r="R37" i="94" s="1"/>
  <c r="H40" i="84" s="1"/>
  <c r="W22" i="94"/>
  <c r="W25" i="94" s="1"/>
  <c r="H29" i="84" s="1"/>
  <c r="Q22" i="94"/>
  <c r="Q25" i="94" s="1"/>
  <c r="H23" i="84" s="1"/>
  <c r="R22" i="94"/>
  <c r="R40" i="94"/>
  <c r="R43" i="94" s="1"/>
  <c r="H48" i="84" s="1"/>
  <c r="W40" i="94"/>
  <c r="W43" i="94" s="1"/>
  <c r="H53" i="84" s="1"/>
  <c r="Q40" i="94"/>
  <c r="Q43" i="94" s="1"/>
  <c r="H47" i="84" s="1"/>
  <c r="R28" i="94"/>
  <c r="R31" i="94" s="1"/>
  <c r="W28" i="94"/>
  <c r="W31" i="94" s="1"/>
  <c r="H37" i="84" s="1"/>
  <c r="Q28" i="94"/>
  <c r="Q31" i="94" s="1"/>
  <c r="H31" i="84" s="1"/>
  <c r="R16" i="94"/>
  <c r="R19" i="94" s="1"/>
  <c r="H16" i="84" s="1"/>
  <c r="W16" i="94"/>
  <c r="W19" i="94" s="1"/>
  <c r="Q16" i="94"/>
  <c r="M28" i="94"/>
  <c r="J28" i="94"/>
  <c r="J22" i="94"/>
  <c r="M22" i="94"/>
  <c r="M16" i="94"/>
  <c r="J16" i="94"/>
  <c r="BC33" i="51"/>
  <c r="BD33" i="51" s="1"/>
  <c r="BC37" i="51"/>
  <c r="BD37" i="51" s="1"/>
  <c r="U11" i="101"/>
  <c r="S9" i="101"/>
  <c r="Q9" i="101"/>
  <c r="R9" i="101"/>
  <c r="R42" i="80"/>
  <c r="R41" i="80"/>
  <c r="R34" i="80"/>
  <c r="R32" i="80"/>
  <c r="R30" i="80"/>
  <c r="R28" i="80"/>
  <c r="R26" i="80"/>
  <c r="R24" i="80"/>
  <c r="R22" i="80"/>
  <c r="R20" i="80"/>
  <c r="R18" i="80"/>
  <c r="R16" i="80"/>
  <c r="R14" i="80"/>
  <c r="R12" i="80"/>
  <c r="R38" i="80"/>
  <c r="R36" i="80"/>
  <c r="R43" i="80"/>
  <c r="R40" i="80"/>
  <c r="S9" i="80"/>
  <c r="P39" i="80"/>
  <c r="Q39" i="80" s="1"/>
  <c r="S38" i="80"/>
  <c r="P37" i="80"/>
  <c r="Q37" i="80" s="1"/>
  <c r="S36" i="80"/>
  <c r="P35" i="80"/>
  <c r="Q35" i="80" s="1"/>
  <c r="S34" i="80"/>
  <c r="P33" i="80"/>
  <c r="Q33" i="80" s="1"/>
  <c r="S32" i="80"/>
  <c r="P31" i="80"/>
  <c r="Q31" i="80" s="1"/>
  <c r="S30" i="80"/>
  <c r="P29" i="80"/>
  <c r="Q29" i="80" s="1"/>
  <c r="S28" i="80"/>
  <c r="P27" i="80"/>
  <c r="Q27" i="80" s="1"/>
  <c r="S26" i="80"/>
  <c r="P25" i="80"/>
  <c r="Q25" i="80" s="1"/>
  <c r="S24" i="80"/>
  <c r="P23" i="80"/>
  <c r="Q23" i="80" s="1"/>
  <c r="S22" i="80"/>
  <c r="P21" i="80"/>
  <c r="Q21" i="80" s="1"/>
  <c r="S20" i="80"/>
  <c r="P19" i="80"/>
  <c r="Q19" i="80" s="1"/>
  <c r="S18" i="80"/>
  <c r="P17" i="80"/>
  <c r="Q17" i="80" s="1"/>
  <c r="S16" i="80"/>
  <c r="P15" i="80"/>
  <c r="Q15" i="80" s="1"/>
  <c r="S14" i="80"/>
  <c r="P13" i="80"/>
  <c r="Q13" i="80" s="1"/>
  <c r="S12" i="80"/>
  <c r="BC42" i="51"/>
  <c r="BC43" i="51"/>
  <c r="BC41" i="51"/>
  <c r="BC39" i="51"/>
  <c r="BC35" i="51"/>
  <c r="BC31" i="51"/>
  <c r="AR30" i="4"/>
  <c r="AP37" i="4"/>
  <c r="AD30" i="4"/>
  <c r="E161" i="109" s="1"/>
  <c r="AR38" i="4"/>
  <c r="AP38" i="4"/>
  <c r="X246" i="59"/>
  <c r="AP32" i="4"/>
  <c r="AR36" i="4"/>
  <c r="AP31" i="4"/>
  <c r="AT30" i="4"/>
  <c r="Y306" i="59"/>
  <c r="AQ33" i="4"/>
  <c r="AR33" i="4"/>
  <c r="AP33" i="4"/>
  <c r="Y305" i="59"/>
  <c r="AP36" i="4"/>
  <c r="AR32" i="4"/>
  <c r="AD32" i="4"/>
  <c r="E175" i="109" s="1"/>
  <c r="AD38" i="4"/>
  <c r="E217" i="109" s="1"/>
  <c r="Y245" i="59"/>
  <c r="Z308" i="59"/>
  <c r="AT38" i="4"/>
  <c r="AS38" i="4"/>
  <c r="AQ38" i="4"/>
  <c r="AO38" i="4"/>
  <c r="AR37" i="4"/>
  <c r="AQ37" i="4"/>
  <c r="AN37" i="4"/>
  <c r="AT37" i="4"/>
  <c r="X286" i="59"/>
  <c r="AD36" i="4"/>
  <c r="E203" i="109" s="1"/>
  <c r="AS36" i="4"/>
  <c r="AQ36" i="4"/>
  <c r="AO36" i="4"/>
  <c r="AR35" i="4"/>
  <c r="AQ35" i="4"/>
  <c r="AN35" i="4"/>
  <c r="AT35" i="4"/>
  <c r="Z266" i="59"/>
  <c r="Z248" i="59"/>
  <c r="AT32" i="4"/>
  <c r="AS32" i="4"/>
  <c r="AQ32" i="4"/>
  <c r="AO32" i="4"/>
  <c r="AU32" i="4" s="1"/>
  <c r="AR31" i="4"/>
  <c r="AQ31" i="4"/>
  <c r="AN31" i="4"/>
  <c r="AT31" i="4"/>
  <c r="AS34" i="4"/>
  <c r="AQ34" i="4"/>
  <c r="AO34" i="4"/>
  <c r="AN33" i="4"/>
  <c r="AT33" i="4"/>
  <c r="AS30" i="4"/>
  <c r="AQ30" i="4"/>
  <c r="AO30" i="4"/>
  <c r="AD35" i="4"/>
  <c r="E196" i="109" s="1"/>
  <c r="BB38" i="4"/>
  <c r="BC38" i="4" s="1"/>
  <c r="BB37" i="4"/>
  <c r="AZ37" i="4"/>
  <c r="AV37" i="4"/>
  <c r="AY37" i="4" s="1"/>
  <c r="AS37" i="4"/>
  <c r="AO37" i="4"/>
  <c r="BB36" i="4"/>
  <c r="BC36" i="4" s="1"/>
  <c r="BB35" i="4"/>
  <c r="AZ35" i="4"/>
  <c r="AV35" i="4"/>
  <c r="AY35" i="4" s="1"/>
  <c r="AS35" i="4"/>
  <c r="AO35" i="4"/>
  <c r="BB34" i="4"/>
  <c r="BC34" i="4" s="1"/>
  <c r="BB33" i="4"/>
  <c r="AZ33" i="4"/>
  <c r="AV33" i="4"/>
  <c r="AY33" i="4" s="1"/>
  <c r="AS33" i="4"/>
  <c r="AO33" i="4"/>
  <c r="AU33" i="4" s="1"/>
  <c r="Z245" i="59"/>
  <c r="BB32" i="4"/>
  <c r="BC32" i="4" s="1"/>
  <c r="BB31" i="4"/>
  <c r="AZ31" i="4"/>
  <c r="BC31" i="4" s="1"/>
  <c r="AV31" i="4"/>
  <c r="AY31" i="4" s="1"/>
  <c r="AS31" i="4"/>
  <c r="AU31" i="4" s="1"/>
  <c r="AO31" i="4"/>
  <c r="BB30" i="4"/>
  <c r="BC30" i="4" s="1"/>
  <c r="X306" i="59"/>
  <c r="AN38" i="4"/>
  <c r="AD37" i="4"/>
  <c r="E210" i="109" s="1"/>
  <c r="Z286" i="59"/>
  <c r="AN36" i="4"/>
  <c r="X266" i="59"/>
  <c r="AN34" i="4"/>
  <c r="AD33" i="4"/>
  <c r="E182" i="109" s="1"/>
  <c r="Y246" i="59"/>
  <c r="AN32" i="4"/>
  <c r="AD31" i="4"/>
  <c r="E168" i="109" s="1"/>
  <c r="AN30" i="4"/>
  <c r="H32" i="84"/>
  <c r="H39" i="84"/>
  <c r="AQ14" i="71"/>
  <c r="AQ12" i="71"/>
  <c r="AQ25" i="71"/>
  <c r="AQ10" i="71"/>
  <c r="U42" i="72"/>
  <c r="U41" i="72"/>
  <c r="U38" i="72"/>
  <c r="U43" i="72"/>
  <c r="U40" i="72"/>
  <c r="U39" i="72"/>
  <c r="U35" i="72"/>
  <c r="U34" i="72"/>
  <c r="U31" i="72"/>
  <c r="U30" i="72"/>
  <c r="U36" i="72"/>
  <c r="U33" i="72"/>
  <c r="U32" i="72"/>
  <c r="AQ43" i="71"/>
  <c r="AQ42" i="71"/>
  <c r="AQ41" i="71"/>
  <c r="AQ40" i="71"/>
  <c r="AQ39" i="71"/>
  <c r="AQ38" i="71"/>
  <c r="AQ37" i="71"/>
  <c r="AQ36" i="71"/>
  <c r="AQ35" i="71"/>
  <c r="AQ34" i="71"/>
  <c r="AQ33" i="71"/>
  <c r="AQ32" i="71"/>
  <c r="AQ31" i="71"/>
  <c r="AQ30" i="71"/>
  <c r="AQ29" i="71"/>
  <c r="AQ28" i="71"/>
  <c r="AQ27" i="71"/>
  <c r="AQ23" i="71"/>
  <c r="AQ22" i="71"/>
  <c r="AQ21" i="71"/>
  <c r="AQ20" i="71"/>
  <c r="AQ19" i="71"/>
  <c r="AQ18" i="71"/>
  <c r="AQ17" i="71"/>
  <c r="AQ16" i="71"/>
  <c r="AQ15" i="71"/>
  <c r="AQ13" i="71"/>
  <c r="AQ11" i="71"/>
  <c r="S11" i="80"/>
  <c r="P11" i="80"/>
  <c r="Q11" i="80" s="1"/>
  <c r="P10" i="80"/>
  <c r="Q10" i="80" s="1"/>
  <c r="S10" i="80"/>
  <c r="T9" i="101"/>
  <c r="P9" i="101"/>
  <c r="U9" i="101"/>
  <c r="U43" i="99"/>
  <c r="U42" i="99"/>
  <c r="U41" i="99"/>
  <c r="U40" i="99"/>
  <c r="U39" i="99"/>
  <c r="U38" i="99"/>
  <c r="U37" i="99"/>
  <c r="U36" i="99"/>
  <c r="U35" i="99"/>
  <c r="Q9" i="100"/>
  <c r="S9" i="100"/>
  <c r="P9" i="100"/>
  <c r="U9" i="99"/>
  <c r="P9" i="99"/>
  <c r="U34" i="99"/>
  <c r="U33" i="99"/>
  <c r="U32" i="99"/>
  <c r="U31" i="99"/>
  <c r="U30" i="99"/>
  <c r="U29" i="99"/>
  <c r="U28" i="99"/>
  <c r="U27" i="99"/>
  <c r="U26" i="99"/>
  <c r="U25" i="99"/>
  <c r="U24" i="99"/>
  <c r="U23" i="99"/>
  <c r="U22" i="99"/>
  <c r="U21" i="99"/>
  <c r="U20" i="99"/>
  <c r="U19" i="99"/>
  <c r="U18" i="99"/>
  <c r="U17" i="99"/>
  <c r="U16" i="99"/>
  <c r="U15" i="99"/>
  <c r="U14" i="99"/>
  <c r="U13" i="99"/>
  <c r="U12" i="99"/>
  <c r="U11" i="99"/>
  <c r="U10" i="99"/>
  <c r="AU38" i="4"/>
  <c r="AU36" i="4"/>
  <c r="AU34" i="4"/>
  <c r="AU30" i="4"/>
  <c r="AU37" i="4"/>
  <c r="AU35" i="4"/>
  <c r="BE37" i="4"/>
  <c r="BF37" i="4" s="1"/>
  <c r="BE35" i="4"/>
  <c r="BF35" i="4" s="1"/>
  <c r="BE33" i="4"/>
  <c r="BF33" i="4" s="1"/>
  <c r="BE31" i="4"/>
  <c r="BF31" i="4" s="1"/>
  <c r="O7" i="85"/>
  <c r="N7" i="85"/>
  <c r="O51" i="97"/>
  <c r="N51" i="97"/>
  <c r="M51" i="97"/>
  <c r="O50" i="97"/>
  <c r="N50" i="97"/>
  <c r="M50" i="97"/>
  <c r="O49" i="97"/>
  <c r="N49" i="97"/>
  <c r="M49" i="97"/>
  <c r="D4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P7" i="97"/>
  <c r="B7" i="97"/>
  <c r="O51" i="96"/>
  <c r="N51" i="96"/>
  <c r="M51" i="96"/>
  <c r="O50" i="96"/>
  <c r="N50" i="96"/>
  <c r="M50" i="96"/>
  <c r="O49" i="96"/>
  <c r="N49" i="96"/>
  <c r="M49" i="96"/>
  <c r="K48" i="96"/>
  <c r="J48" i="96"/>
  <c r="I48" i="96"/>
  <c r="H48" i="96"/>
  <c r="G48" i="96"/>
  <c r="E48" i="96"/>
  <c r="D48" i="96"/>
  <c r="B37" i="96"/>
  <c r="B36" i="96"/>
  <c r="B35" i="96"/>
  <c r="B34" i="96"/>
  <c r="B33" i="96"/>
  <c r="B32" i="96"/>
  <c r="B31" i="96"/>
  <c r="B30" i="96"/>
  <c r="B29" i="96"/>
  <c r="B28" i="96"/>
  <c r="B27" i="96"/>
  <c r="B26" i="96"/>
  <c r="B25" i="96"/>
  <c r="B24" i="96"/>
  <c r="B23" i="96"/>
  <c r="B22" i="96"/>
  <c r="B21" i="96"/>
  <c r="B20" i="96"/>
  <c r="B19" i="96"/>
  <c r="B18" i="96"/>
  <c r="B17" i="96"/>
  <c r="B16" i="96"/>
  <c r="B15" i="96"/>
  <c r="B14" i="96"/>
  <c r="B13" i="96"/>
  <c r="B12" i="96"/>
  <c r="B11" i="96"/>
  <c r="B10" i="96"/>
  <c r="B9" i="96"/>
  <c r="B8" i="96"/>
  <c r="P7" i="96"/>
  <c r="B7" i="96"/>
  <c r="O51" i="95"/>
  <c r="N51" i="95"/>
  <c r="M51" i="95"/>
  <c r="O50" i="95"/>
  <c r="N50" i="95"/>
  <c r="M50" i="95"/>
  <c r="O49" i="95"/>
  <c r="N49" i="95"/>
  <c r="M49" i="95"/>
  <c r="K48" i="95"/>
  <c r="J48" i="95"/>
  <c r="I48" i="95"/>
  <c r="H48" i="95"/>
  <c r="G48" i="95"/>
  <c r="E48" i="95"/>
  <c r="D48" i="95"/>
  <c r="B32" i="95"/>
  <c r="B31" i="95"/>
  <c r="B30" i="95"/>
  <c r="B29" i="95"/>
  <c r="B28" i="95"/>
  <c r="B27" i="95"/>
  <c r="B26" i="95"/>
  <c r="B25" i="95"/>
  <c r="B24" i="95"/>
  <c r="B23" i="95"/>
  <c r="B22" i="95"/>
  <c r="B21" i="95"/>
  <c r="B20" i="95"/>
  <c r="B19" i="95"/>
  <c r="B18" i="95"/>
  <c r="B17" i="95"/>
  <c r="B16" i="95"/>
  <c r="B15" i="95"/>
  <c r="B14" i="95"/>
  <c r="B13" i="95"/>
  <c r="B12" i="95"/>
  <c r="P11" i="95"/>
  <c r="B11" i="95"/>
  <c r="P10" i="95"/>
  <c r="B10" i="95"/>
  <c r="P9" i="95"/>
  <c r="B9" i="95"/>
  <c r="P8" i="95"/>
  <c r="B8" i="95"/>
  <c r="P7" i="95"/>
  <c r="B7" i="95"/>
  <c r="B33" i="85"/>
  <c r="B34" i="85"/>
  <c r="B35" i="85"/>
  <c r="B36" i="85"/>
  <c r="B37" i="85"/>
  <c r="AB5" i="88"/>
  <c r="W10" i="94" l="1"/>
  <c r="R10" i="94"/>
  <c r="Q10" i="94"/>
  <c r="V9" i="94"/>
  <c r="U9" i="94"/>
  <c r="T9" i="94"/>
  <c r="S9" i="94"/>
  <c r="S21" i="94"/>
  <c r="S25" i="94" s="1"/>
  <c r="H25" i="84" s="1"/>
  <c r="V21" i="94"/>
  <c r="V25" i="94" s="1"/>
  <c r="H28" i="84" s="1"/>
  <c r="U21" i="94"/>
  <c r="U25" i="94" s="1"/>
  <c r="H27" i="84" s="1"/>
  <c r="T21" i="94"/>
  <c r="S33" i="94"/>
  <c r="S37" i="94" s="1"/>
  <c r="H41" i="84" s="1"/>
  <c r="V33" i="94"/>
  <c r="V37" i="94" s="1"/>
  <c r="H44" i="84" s="1"/>
  <c r="U33" i="94"/>
  <c r="U37" i="94" s="1"/>
  <c r="H43" i="84" s="1"/>
  <c r="T33" i="94"/>
  <c r="P49" i="96"/>
  <c r="P51" i="97"/>
  <c r="U11" i="94"/>
  <c r="Q11" i="94"/>
  <c r="T11" i="94"/>
  <c r="W11" i="94"/>
  <c r="S11" i="94"/>
  <c r="V11" i="94"/>
  <c r="R11" i="94"/>
  <c r="M39" i="94"/>
  <c r="L39" i="94"/>
  <c r="K39" i="94"/>
  <c r="J39" i="94"/>
  <c r="K63" i="94"/>
  <c r="J63" i="94"/>
  <c r="M63" i="94"/>
  <c r="L63" i="94"/>
  <c r="L87" i="94"/>
  <c r="K87" i="94"/>
  <c r="J87" i="94"/>
  <c r="M87" i="94"/>
  <c r="L111" i="94"/>
  <c r="K111" i="94"/>
  <c r="J111" i="94"/>
  <c r="M111" i="94"/>
  <c r="L135" i="94"/>
  <c r="K135" i="94"/>
  <c r="J135" i="94"/>
  <c r="M135" i="94"/>
  <c r="L159" i="94"/>
  <c r="K159" i="94"/>
  <c r="J159" i="94"/>
  <c r="M159" i="94"/>
  <c r="M10" i="94"/>
  <c r="J10" i="94"/>
  <c r="O10" i="94" s="1"/>
  <c r="L177" i="94"/>
  <c r="K177" i="94"/>
  <c r="J177" i="94"/>
  <c r="M177" i="94"/>
  <c r="L201" i="94"/>
  <c r="K201" i="94"/>
  <c r="J201" i="94"/>
  <c r="M201" i="94"/>
  <c r="F168" i="109"/>
  <c r="E169" i="109"/>
  <c r="F210" i="109"/>
  <c r="E211" i="109"/>
  <c r="BC35" i="4"/>
  <c r="F175" i="109"/>
  <c r="E176" i="109"/>
  <c r="N26" i="94"/>
  <c r="N31" i="94" s="1"/>
  <c r="H29" i="79" s="1"/>
  <c r="M26" i="94"/>
  <c r="N50" i="94"/>
  <c r="N55" i="94" s="1"/>
  <c r="H53" i="79" s="1"/>
  <c r="M50" i="94"/>
  <c r="N74" i="94"/>
  <c r="N79" i="94" s="1"/>
  <c r="H77" i="79" s="1"/>
  <c r="M74" i="94"/>
  <c r="N98" i="94"/>
  <c r="N103" i="94" s="1"/>
  <c r="H101" i="79" s="1"/>
  <c r="M98" i="94"/>
  <c r="N122" i="94"/>
  <c r="N127" i="94" s="1"/>
  <c r="H125" i="79" s="1"/>
  <c r="M122" i="94"/>
  <c r="N146" i="94"/>
  <c r="N151" i="94" s="1"/>
  <c r="H149" i="79" s="1"/>
  <c r="M146" i="94"/>
  <c r="N170" i="94"/>
  <c r="N175" i="94" s="1"/>
  <c r="H173" i="79" s="1"/>
  <c r="M170" i="94"/>
  <c r="N8" i="94"/>
  <c r="N13" i="94" s="1"/>
  <c r="H11" i="79" s="1"/>
  <c r="M8" i="94"/>
  <c r="R127" i="94"/>
  <c r="H160" i="84" s="1"/>
  <c r="K77" i="94"/>
  <c r="J77" i="94"/>
  <c r="M77" i="94"/>
  <c r="L77" i="94"/>
  <c r="I65" i="84"/>
  <c r="J65" i="84"/>
  <c r="J100" i="84"/>
  <c r="I100" i="84"/>
  <c r="I161" i="84"/>
  <c r="J161" i="84"/>
  <c r="J163" i="84"/>
  <c r="I163" i="84"/>
  <c r="I228" i="84"/>
  <c r="J228" i="84"/>
  <c r="I111" i="84"/>
  <c r="J111" i="84"/>
  <c r="J181" i="84"/>
  <c r="I181" i="84"/>
  <c r="I239" i="84"/>
  <c r="J239" i="84"/>
  <c r="J209" i="79"/>
  <c r="I209" i="79"/>
  <c r="I238" i="109"/>
  <c r="J238" i="109"/>
  <c r="I248" i="109"/>
  <c r="J248" i="109"/>
  <c r="J160" i="109"/>
  <c r="I160" i="109"/>
  <c r="I216" i="109"/>
  <c r="J216" i="109"/>
  <c r="J194" i="109"/>
  <c r="I194" i="109"/>
  <c r="J172" i="109"/>
  <c r="I172" i="109"/>
  <c r="J228" i="109"/>
  <c r="I228" i="109"/>
  <c r="I206" i="109"/>
  <c r="J206" i="109"/>
  <c r="H225" i="109"/>
  <c r="I219" i="109"/>
  <c r="C36" i="128" s="1"/>
  <c r="J219" i="109"/>
  <c r="K65" i="94"/>
  <c r="M65" i="94"/>
  <c r="L65" i="94"/>
  <c r="J65" i="94"/>
  <c r="K179" i="94"/>
  <c r="J179" i="94"/>
  <c r="O179" i="94" s="1"/>
  <c r="M179" i="94"/>
  <c r="L179" i="94"/>
  <c r="I105" i="84"/>
  <c r="J105" i="84"/>
  <c r="I107" i="84"/>
  <c r="J107" i="84"/>
  <c r="J172" i="84"/>
  <c r="I172" i="84"/>
  <c r="J233" i="84"/>
  <c r="I233" i="84"/>
  <c r="J235" i="84"/>
  <c r="I235" i="84"/>
  <c r="I93" i="84"/>
  <c r="J93" i="84"/>
  <c r="J151" i="84"/>
  <c r="I151" i="84"/>
  <c r="J221" i="84"/>
  <c r="I221" i="84"/>
  <c r="O200" i="94"/>
  <c r="O164" i="94"/>
  <c r="O32" i="94"/>
  <c r="O80" i="94"/>
  <c r="O128" i="94"/>
  <c r="I235" i="109"/>
  <c r="J235" i="109"/>
  <c r="I244" i="109"/>
  <c r="J244" i="109"/>
  <c r="J195" i="109"/>
  <c r="I195" i="109"/>
  <c r="J173" i="109"/>
  <c r="I173" i="109"/>
  <c r="I229" i="109"/>
  <c r="J229" i="109"/>
  <c r="I207" i="109"/>
  <c r="J207" i="109"/>
  <c r="J185" i="109"/>
  <c r="I185" i="109"/>
  <c r="H204" i="109"/>
  <c r="I198" i="109"/>
  <c r="C33" i="128" s="1"/>
  <c r="J198" i="109"/>
  <c r="J15" i="76"/>
  <c r="I15" i="76"/>
  <c r="I47" i="76"/>
  <c r="J47" i="76"/>
  <c r="J79" i="76"/>
  <c r="I79" i="76"/>
  <c r="J111" i="76"/>
  <c r="I111" i="76"/>
  <c r="O29" i="94"/>
  <c r="L41" i="94"/>
  <c r="K41" i="94"/>
  <c r="J41" i="94"/>
  <c r="O41" i="94" s="1"/>
  <c r="M41" i="94"/>
  <c r="O47" i="94"/>
  <c r="J81" i="84"/>
  <c r="I81" i="84"/>
  <c r="J148" i="84"/>
  <c r="I148" i="84"/>
  <c r="J209" i="84"/>
  <c r="I209" i="84"/>
  <c r="I211" i="84"/>
  <c r="J211" i="84"/>
  <c r="Q55" i="94"/>
  <c r="H63" i="84" s="1"/>
  <c r="Q103" i="94"/>
  <c r="H127" i="84" s="1"/>
  <c r="Q151" i="94"/>
  <c r="H191" i="84" s="1"/>
  <c r="I236" i="109"/>
  <c r="J236" i="109"/>
  <c r="I245" i="109"/>
  <c r="J245" i="109"/>
  <c r="I224" i="109"/>
  <c r="J224" i="109"/>
  <c r="J202" i="109"/>
  <c r="I202" i="109"/>
  <c r="I180" i="109"/>
  <c r="J180" i="109"/>
  <c r="J158" i="109"/>
  <c r="I158" i="109"/>
  <c r="I214" i="109"/>
  <c r="J214" i="109"/>
  <c r="J192" i="109"/>
  <c r="I192" i="109"/>
  <c r="H211" i="109"/>
  <c r="J205" i="109"/>
  <c r="I205" i="109"/>
  <c r="C34" i="128" s="1"/>
  <c r="I35" i="76"/>
  <c r="J35" i="76"/>
  <c r="J67" i="76"/>
  <c r="I67" i="76"/>
  <c r="J99" i="76"/>
  <c r="I99" i="76"/>
  <c r="K113" i="94"/>
  <c r="J113" i="94"/>
  <c r="M113" i="94"/>
  <c r="L113" i="94"/>
  <c r="O64" i="94"/>
  <c r="J60" i="84"/>
  <c r="I60" i="84"/>
  <c r="I92" i="84"/>
  <c r="J92" i="84"/>
  <c r="J153" i="84"/>
  <c r="I153" i="84"/>
  <c r="J155" i="84"/>
  <c r="I155" i="84"/>
  <c r="J220" i="84"/>
  <c r="I220" i="84"/>
  <c r="Q61" i="94"/>
  <c r="H71" i="84" s="1"/>
  <c r="W109" i="94"/>
  <c r="H141" i="84" s="1"/>
  <c r="I179" i="79"/>
  <c r="J179" i="79"/>
  <c r="I71" i="79"/>
  <c r="J71" i="79"/>
  <c r="J119" i="79"/>
  <c r="I119" i="79"/>
  <c r="H162" i="109"/>
  <c r="J156" i="109"/>
  <c r="I156" i="109"/>
  <c r="C27" i="128" s="1"/>
  <c r="H208" i="94"/>
  <c r="F211" i="94"/>
  <c r="H140" i="76" s="1"/>
  <c r="H202" i="94"/>
  <c r="F205" i="94"/>
  <c r="H136" i="76" s="1"/>
  <c r="H196" i="94"/>
  <c r="F199" i="94"/>
  <c r="H132" i="76" s="1"/>
  <c r="H166" i="94"/>
  <c r="F169" i="94"/>
  <c r="H112" i="76" s="1"/>
  <c r="H114" i="76" s="1"/>
  <c r="J45" i="94"/>
  <c r="M45" i="94"/>
  <c r="L45" i="94"/>
  <c r="L49" i="94" s="1"/>
  <c r="H45" i="79" s="1"/>
  <c r="K45" i="94"/>
  <c r="K49" i="94" s="1"/>
  <c r="H44" i="79" s="1"/>
  <c r="L69" i="94"/>
  <c r="K69" i="94"/>
  <c r="J69" i="94"/>
  <c r="M69" i="94"/>
  <c r="L93" i="94"/>
  <c r="K93" i="94"/>
  <c r="J93" i="94"/>
  <c r="M93" i="94"/>
  <c r="L117" i="94"/>
  <c r="L121" i="94" s="1"/>
  <c r="H117" i="79" s="1"/>
  <c r="K117" i="94"/>
  <c r="K121" i="94" s="1"/>
  <c r="H116" i="79" s="1"/>
  <c r="J117" i="94"/>
  <c r="M117" i="94"/>
  <c r="L141" i="94"/>
  <c r="L145" i="94" s="1"/>
  <c r="H141" i="79" s="1"/>
  <c r="K141" i="94"/>
  <c r="K145" i="94" s="1"/>
  <c r="J141" i="94"/>
  <c r="M141" i="94"/>
  <c r="L183" i="94"/>
  <c r="K183" i="94"/>
  <c r="J183" i="94"/>
  <c r="M183" i="94"/>
  <c r="L207" i="94"/>
  <c r="K207" i="94"/>
  <c r="J207" i="94"/>
  <c r="M207" i="94"/>
  <c r="F196" i="109"/>
  <c r="E197" i="109"/>
  <c r="J39" i="76"/>
  <c r="I39" i="76"/>
  <c r="J71" i="76"/>
  <c r="I71" i="76"/>
  <c r="J103" i="76"/>
  <c r="I103" i="76"/>
  <c r="H214" i="94"/>
  <c r="F217" i="94"/>
  <c r="H144" i="76" s="1"/>
  <c r="K89" i="94"/>
  <c r="J89" i="94"/>
  <c r="M89" i="94"/>
  <c r="L89" i="94"/>
  <c r="K137" i="94"/>
  <c r="J137" i="94"/>
  <c r="M137" i="94"/>
  <c r="L137" i="94"/>
  <c r="K185" i="94"/>
  <c r="J185" i="94"/>
  <c r="M185" i="94"/>
  <c r="L185" i="94"/>
  <c r="I67" i="84"/>
  <c r="J67" i="84"/>
  <c r="I129" i="84"/>
  <c r="J129" i="84"/>
  <c r="J131" i="84"/>
  <c r="I131" i="84"/>
  <c r="I195" i="84"/>
  <c r="J195" i="84"/>
  <c r="J196" i="84"/>
  <c r="I196" i="84"/>
  <c r="I79" i="84"/>
  <c r="J79" i="84"/>
  <c r="I149" i="84"/>
  <c r="J149" i="84"/>
  <c r="I207" i="84"/>
  <c r="J207" i="84"/>
  <c r="J43" i="76"/>
  <c r="I43" i="76"/>
  <c r="I75" i="76"/>
  <c r="J75" i="76"/>
  <c r="I107" i="76"/>
  <c r="J107" i="76"/>
  <c r="L17" i="94"/>
  <c r="K17" i="94"/>
  <c r="J17" i="94"/>
  <c r="O17" i="94" s="1"/>
  <c r="M17" i="94"/>
  <c r="K71" i="94"/>
  <c r="J71" i="94"/>
  <c r="M71" i="94"/>
  <c r="L71" i="94"/>
  <c r="K203" i="94"/>
  <c r="J203" i="94"/>
  <c r="M203" i="94"/>
  <c r="M205" i="94" s="1"/>
  <c r="H202" i="79" s="1"/>
  <c r="L203" i="94"/>
  <c r="J140" i="84"/>
  <c r="I140" i="84"/>
  <c r="I203" i="84"/>
  <c r="J203" i="84"/>
  <c r="I61" i="84"/>
  <c r="J61" i="84"/>
  <c r="J119" i="84"/>
  <c r="I119" i="84"/>
  <c r="I189" i="84"/>
  <c r="J189" i="84"/>
  <c r="I247" i="84"/>
  <c r="J247" i="84"/>
  <c r="I203" i="79"/>
  <c r="J203" i="79"/>
  <c r="I167" i="79"/>
  <c r="J167" i="79"/>
  <c r="J35" i="79"/>
  <c r="I35" i="79"/>
  <c r="J83" i="79"/>
  <c r="I83" i="79"/>
  <c r="J131" i="79"/>
  <c r="I131" i="79"/>
  <c r="J52" i="84"/>
  <c r="I52" i="84"/>
  <c r="J116" i="84"/>
  <c r="I116" i="84"/>
  <c r="J177" i="84"/>
  <c r="I177" i="84"/>
  <c r="I179" i="84"/>
  <c r="J179" i="84"/>
  <c r="J244" i="84"/>
  <c r="I244" i="84"/>
  <c r="Q79" i="94"/>
  <c r="H95" i="84" s="1"/>
  <c r="W127" i="94"/>
  <c r="H165" i="84" s="1"/>
  <c r="Q175" i="94"/>
  <c r="H223" i="84" s="1"/>
  <c r="I57" i="84"/>
  <c r="J57" i="84"/>
  <c r="J59" i="84"/>
  <c r="I59" i="84"/>
  <c r="J121" i="84"/>
  <c r="I121" i="84"/>
  <c r="J123" i="84"/>
  <c r="I123" i="84"/>
  <c r="J188" i="84"/>
  <c r="I188" i="84"/>
  <c r="I249" i="84"/>
  <c r="J249" i="84"/>
  <c r="J251" i="84"/>
  <c r="I251" i="84"/>
  <c r="W85" i="94"/>
  <c r="H109" i="84" s="1"/>
  <c r="Q133" i="94"/>
  <c r="H167" i="84" s="1"/>
  <c r="Q157" i="94"/>
  <c r="H199" i="84" s="1"/>
  <c r="W181" i="94"/>
  <c r="H237" i="84" s="1"/>
  <c r="O212" i="94"/>
  <c r="I47" i="79"/>
  <c r="J47" i="79"/>
  <c r="O92" i="94"/>
  <c r="M145" i="94"/>
  <c r="H142" i="79" s="1"/>
  <c r="O140" i="94"/>
  <c r="I237" i="109"/>
  <c r="J237" i="109"/>
  <c r="H253" i="109"/>
  <c r="I247" i="109"/>
  <c r="C40" i="128" s="1"/>
  <c r="L40" i="128" s="1"/>
  <c r="J247" i="109"/>
  <c r="I231" i="109"/>
  <c r="J231" i="109"/>
  <c r="I209" i="109"/>
  <c r="J209" i="109"/>
  <c r="J187" i="109"/>
  <c r="I187" i="109"/>
  <c r="I165" i="109"/>
  <c r="J165" i="109"/>
  <c r="I221" i="109"/>
  <c r="J221" i="109"/>
  <c r="I199" i="109"/>
  <c r="J199" i="109"/>
  <c r="H218" i="109"/>
  <c r="I212" i="109"/>
  <c r="C35" i="128" s="1"/>
  <c r="J212" i="109"/>
  <c r="I141" i="76"/>
  <c r="J141" i="76"/>
  <c r="I137" i="76"/>
  <c r="J137" i="76"/>
  <c r="I133" i="76"/>
  <c r="J133" i="76"/>
  <c r="J113" i="76"/>
  <c r="I113" i="76"/>
  <c r="V15" i="94"/>
  <c r="V19" i="94" s="1"/>
  <c r="H20" i="84" s="1"/>
  <c r="U15" i="94"/>
  <c r="T15" i="94"/>
  <c r="S15" i="94"/>
  <c r="S27" i="94"/>
  <c r="S31" i="94" s="1"/>
  <c r="H33" i="84" s="1"/>
  <c r="V27" i="94"/>
  <c r="V31" i="94" s="1"/>
  <c r="H36" i="84" s="1"/>
  <c r="U27" i="94"/>
  <c r="U31" i="94" s="1"/>
  <c r="H35" i="84" s="1"/>
  <c r="T27" i="94"/>
  <c r="J27" i="94"/>
  <c r="M27" i="94"/>
  <c r="L27" i="94"/>
  <c r="L31" i="94" s="1"/>
  <c r="H27" i="79" s="1"/>
  <c r="K27" i="94"/>
  <c r="K31" i="94" s="1"/>
  <c r="H26" i="79" s="1"/>
  <c r="L51" i="94"/>
  <c r="K51" i="94"/>
  <c r="J51" i="94"/>
  <c r="M51" i="94"/>
  <c r="L75" i="94"/>
  <c r="L79" i="94" s="1"/>
  <c r="H75" i="79" s="1"/>
  <c r="K75" i="94"/>
  <c r="K79" i="94" s="1"/>
  <c r="H74" i="79" s="1"/>
  <c r="J75" i="94"/>
  <c r="M75" i="94"/>
  <c r="L99" i="94"/>
  <c r="L103" i="94" s="1"/>
  <c r="H99" i="79" s="1"/>
  <c r="K99" i="94"/>
  <c r="K103" i="94" s="1"/>
  <c r="H98" i="79" s="1"/>
  <c r="J99" i="94"/>
  <c r="M99" i="94"/>
  <c r="L123" i="94"/>
  <c r="L127" i="94" s="1"/>
  <c r="H123" i="79" s="1"/>
  <c r="K123" i="94"/>
  <c r="K127" i="94" s="1"/>
  <c r="H122" i="79" s="1"/>
  <c r="J123" i="94"/>
  <c r="M123" i="94"/>
  <c r="L147" i="94"/>
  <c r="L151" i="94" s="1"/>
  <c r="H147" i="79" s="1"/>
  <c r="K147" i="94"/>
  <c r="K151" i="94" s="1"/>
  <c r="J147" i="94"/>
  <c r="M147" i="94"/>
  <c r="K9" i="94"/>
  <c r="J9" i="94"/>
  <c r="M9" i="94"/>
  <c r="L9" i="94"/>
  <c r="L165" i="94"/>
  <c r="L169" i="94" s="1"/>
  <c r="H165" i="79" s="1"/>
  <c r="K165" i="94"/>
  <c r="K169" i="94" s="1"/>
  <c r="J165" i="94"/>
  <c r="M165" i="94"/>
  <c r="M169" i="94" s="1"/>
  <c r="H166" i="79" s="1"/>
  <c r="L189" i="94"/>
  <c r="L193" i="94" s="1"/>
  <c r="H189" i="79" s="1"/>
  <c r="K189" i="94"/>
  <c r="K193" i="94" s="1"/>
  <c r="J189" i="94"/>
  <c r="M189" i="94"/>
  <c r="L213" i="94"/>
  <c r="L217" i="94" s="1"/>
  <c r="H213" i="79" s="1"/>
  <c r="K213" i="94"/>
  <c r="K217" i="94" s="1"/>
  <c r="J213" i="94"/>
  <c r="M213" i="94"/>
  <c r="M217" i="94" s="1"/>
  <c r="H214" i="79" s="1"/>
  <c r="BC33" i="4"/>
  <c r="BC37" i="4"/>
  <c r="N38" i="94"/>
  <c r="N43" i="94" s="1"/>
  <c r="H41" i="79" s="1"/>
  <c r="M38" i="94"/>
  <c r="N62" i="94"/>
  <c r="N67" i="94" s="1"/>
  <c r="H65" i="79" s="1"/>
  <c r="M62" i="94"/>
  <c r="N86" i="94"/>
  <c r="N91" i="94" s="1"/>
  <c r="H89" i="79" s="1"/>
  <c r="M86" i="94"/>
  <c r="N110" i="94"/>
  <c r="N115" i="94" s="1"/>
  <c r="H113" i="79" s="1"/>
  <c r="M110" i="94"/>
  <c r="N134" i="94"/>
  <c r="N139" i="94" s="1"/>
  <c r="H137" i="79" s="1"/>
  <c r="M134" i="94"/>
  <c r="N158" i="94"/>
  <c r="N163" i="94" s="1"/>
  <c r="H161" i="79" s="1"/>
  <c r="M158" i="94"/>
  <c r="N182" i="94"/>
  <c r="N187" i="94" s="1"/>
  <c r="H185" i="79" s="1"/>
  <c r="M182" i="94"/>
  <c r="M23" i="94"/>
  <c r="L23" i="94"/>
  <c r="K23" i="94"/>
  <c r="J23" i="94"/>
  <c r="M31" i="94"/>
  <c r="H28" i="79" s="1"/>
  <c r="S19" i="94"/>
  <c r="H17" i="84" s="1"/>
  <c r="T25" i="94"/>
  <c r="H26" i="84" s="1"/>
  <c r="I145" i="76"/>
  <c r="J145" i="76"/>
  <c r="K95" i="94"/>
  <c r="J95" i="94"/>
  <c r="M95" i="94"/>
  <c r="M97" i="94" s="1"/>
  <c r="H94" i="79" s="1"/>
  <c r="L95" i="94"/>
  <c r="J97" i="84"/>
  <c r="I97" i="84"/>
  <c r="I99" i="84"/>
  <c r="J99" i="84"/>
  <c r="I164" i="84"/>
  <c r="J164" i="84"/>
  <c r="J193" i="84"/>
  <c r="I193" i="84"/>
  <c r="I225" i="84"/>
  <c r="J225" i="84"/>
  <c r="J227" i="84"/>
  <c r="I227" i="84"/>
  <c r="J117" i="84"/>
  <c r="I117" i="84"/>
  <c r="I175" i="84"/>
  <c r="J175" i="84"/>
  <c r="I245" i="84"/>
  <c r="J245" i="84"/>
  <c r="I234" i="109"/>
  <c r="J234" i="109"/>
  <c r="I243" i="109"/>
  <c r="J243" i="109"/>
  <c r="I252" i="109"/>
  <c r="J252" i="109"/>
  <c r="J188" i="109"/>
  <c r="I188" i="109"/>
  <c r="I166" i="109"/>
  <c r="J166" i="109"/>
  <c r="I222" i="109"/>
  <c r="J222" i="109"/>
  <c r="J200" i="109"/>
  <c r="I200" i="109"/>
  <c r="I178" i="109"/>
  <c r="J178" i="109"/>
  <c r="H197" i="109"/>
  <c r="I191" i="109"/>
  <c r="C32" i="128" s="1"/>
  <c r="J191" i="109"/>
  <c r="H169" i="109"/>
  <c r="I163" i="109"/>
  <c r="C28" i="128" s="1"/>
  <c r="J163" i="109"/>
  <c r="K35" i="94"/>
  <c r="J35" i="94"/>
  <c r="M35" i="94"/>
  <c r="L35" i="94"/>
  <c r="K131" i="94"/>
  <c r="J131" i="94"/>
  <c r="M131" i="94"/>
  <c r="L131" i="94"/>
  <c r="J76" i="84"/>
  <c r="I76" i="84"/>
  <c r="I108" i="84"/>
  <c r="J108" i="84"/>
  <c r="J169" i="84"/>
  <c r="I169" i="84"/>
  <c r="I171" i="84"/>
  <c r="J171" i="84"/>
  <c r="I201" i="84"/>
  <c r="J201" i="84"/>
  <c r="J236" i="84"/>
  <c r="I236" i="84"/>
  <c r="I87" i="84"/>
  <c r="J87" i="84"/>
  <c r="I157" i="84"/>
  <c r="J157" i="84"/>
  <c r="I215" i="84"/>
  <c r="J215" i="84"/>
  <c r="H184" i="94"/>
  <c r="F187" i="94"/>
  <c r="H124" i="76" s="1"/>
  <c r="O188" i="94"/>
  <c r="M193" i="94"/>
  <c r="H190" i="79" s="1"/>
  <c r="I59" i="79"/>
  <c r="J59" i="79"/>
  <c r="O104" i="94"/>
  <c r="O152" i="94"/>
  <c r="H246" i="109"/>
  <c r="J240" i="109"/>
  <c r="I240" i="109"/>
  <c r="C39" i="128" s="1"/>
  <c r="L39" i="128" s="1"/>
  <c r="I249" i="109"/>
  <c r="J249" i="109"/>
  <c r="I167" i="109"/>
  <c r="J167" i="109"/>
  <c r="I223" i="109"/>
  <c r="J223" i="109"/>
  <c r="I201" i="109"/>
  <c r="J201" i="109"/>
  <c r="I179" i="109"/>
  <c r="J179" i="109"/>
  <c r="J157" i="109"/>
  <c r="I157" i="109"/>
  <c r="I213" i="109"/>
  <c r="J213" i="109"/>
  <c r="H176" i="109"/>
  <c r="I170" i="109"/>
  <c r="C29" i="128" s="1"/>
  <c r="J170" i="109"/>
  <c r="J31" i="76"/>
  <c r="I31" i="76"/>
  <c r="J63" i="76"/>
  <c r="I63" i="76"/>
  <c r="J95" i="76"/>
  <c r="I95" i="76"/>
  <c r="J127" i="76"/>
  <c r="I127" i="76"/>
  <c r="I49" i="84"/>
  <c r="J49" i="84"/>
  <c r="I83" i="84"/>
  <c r="J83" i="84"/>
  <c r="J84" i="84"/>
  <c r="I84" i="84"/>
  <c r="J145" i="84"/>
  <c r="I145" i="84"/>
  <c r="I147" i="84"/>
  <c r="J147" i="84"/>
  <c r="J212" i="84"/>
  <c r="I212" i="84"/>
  <c r="W103" i="94"/>
  <c r="H133" i="84" s="1"/>
  <c r="W151" i="94"/>
  <c r="H197" i="84" s="1"/>
  <c r="I241" i="109"/>
  <c r="J241" i="109"/>
  <c r="I250" i="109"/>
  <c r="J250" i="109"/>
  <c r="J174" i="109"/>
  <c r="I174" i="109"/>
  <c r="I230" i="109"/>
  <c r="J230" i="109"/>
  <c r="I208" i="109"/>
  <c r="J208" i="109"/>
  <c r="J186" i="109"/>
  <c r="I186" i="109"/>
  <c r="I164" i="109"/>
  <c r="J164" i="109"/>
  <c r="I220" i="109"/>
  <c r="J220" i="109"/>
  <c r="I177" i="109"/>
  <c r="C30" i="128" s="1"/>
  <c r="H183" i="109"/>
  <c r="J177" i="109"/>
  <c r="I51" i="76"/>
  <c r="J51" i="76"/>
  <c r="J83" i="76"/>
  <c r="I83" i="76"/>
  <c r="I115" i="76"/>
  <c r="H118" i="76"/>
  <c r="J115" i="76"/>
  <c r="O83" i="94"/>
  <c r="O101" i="94"/>
  <c r="O46" i="94"/>
  <c r="O58" i="94"/>
  <c r="I89" i="84"/>
  <c r="J89" i="84"/>
  <c r="I91" i="84"/>
  <c r="J91" i="84"/>
  <c r="J156" i="84"/>
  <c r="I156" i="84"/>
  <c r="J217" i="84"/>
  <c r="I217" i="84"/>
  <c r="J219" i="84"/>
  <c r="I219" i="84"/>
  <c r="W61" i="94"/>
  <c r="H77" i="84" s="1"/>
  <c r="Q109" i="94"/>
  <c r="H135" i="84" s="1"/>
  <c r="W157" i="94"/>
  <c r="H205" i="84" s="1"/>
  <c r="I215" i="79"/>
  <c r="J215" i="79"/>
  <c r="O44" i="94"/>
  <c r="M49" i="94"/>
  <c r="H46" i="79" s="1"/>
  <c r="I95" i="79"/>
  <c r="J95" i="79"/>
  <c r="I143" i="79"/>
  <c r="J143" i="79"/>
  <c r="H190" i="94"/>
  <c r="F193" i="94"/>
  <c r="H128" i="76" s="1"/>
  <c r="H130" i="76" s="1"/>
  <c r="H172" i="94"/>
  <c r="F175" i="94"/>
  <c r="H116" i="76" s="1"/>
  <c r="O194" i="94"/>
  <c r="M199" i="94"/>
  <c r="H196" i="79" s="1"/>
  <c r="H178" i="94"/>
  <c r="F181" i="94"/>
  <c r="H120" i="76" s="1"/>
  <c r="J33" i="94"/>
  <c r="M33" i="94"/>
  <c r="M37" i="94" s="1"/>
  <c r="H34" i="79" s="1"/>
  <c r="L33" i="94"/>
  <c r="L37" i="94" s="1"/>
  <c r="H33" i="79" s="1"/>
  <c r="K33" i="94"/>
  <c r="K37" i="94" s="1"/>
  <c r="H32" i="79" s="1"/>
  <c r="J57" i="94"/>
  <c r="M57" i="94"/>
  <c r="L57" i="94"/>
  <c r="K57" i="94"/>
  <c r="L81" i="94"/>
  <c r="L85" i="94" s="1"/>
  <c r="H81" i="79" s="1"/>
  <c r="K81" i="94"/>
  <c r="K85" i="94" s="1"/>
  <c r="H80" i="79" s="1"/>
  <c r="J81" i="94"/>
  <c r="M81" i="94"/>
  <c r="M85" i="94" s="1"/>
  <c r="H82" i="79" s="1"/>
  <c r="L105" i="94"/>
  <c r="L109" i="94" s="1"/>
  <c r="H105" i="79" s="1"/>
  <c r="K105" i="94"/>
  <c r="K109" i="94" s="1"/>
  <c r="H104" i="79" s="1"/>
  <c r="J105" i="94"/>
  <c r="M105" i="94"/>
  <c r="M109" i="94" s="1"/>
  <c r="H106" i="79" s="1"/>
  <c r="L129" i="94"/>
  <c r="L133" i="94" s="1"/>
  <c r="H129" i="79" s="1"/>
  <c r="K129" i="94"/>
  <c r="K133" i="94" s="1"/>
  <c r="J129" i="94"/>
  <c r="M129" i="94"/>
  <c r="M133" i="94" s="1"/>
  <c r="H130" i="79" s="1"/>
  <c r="L153" i="94"/>
  <c r="K153" i="94"/>
  <c r="M153" i="94"/>
  <c r="M157" i="94" s="1"/>
  <c r="H154" i="79" s="1"/>
  <c r="J153" i="94"/>
  <c r="L171" i="94"/>
  <c r="L175" i="94" s="1"/>
  <c r="H171" i="79" s="1"/>
  <c r="K171" i="94"/>
  <c r="K175" i="94" s="1"/>
  <c r="J171" i="94"/>
  <c r="M171" i="94"/>
  <c r="L195" i="94"/>
  <c r="L199" i="94" s="1"/>
  <c r="H195" i="79" s="1"/>
  <c r="K195" i="94"/>
  <c r="K199" i="94" s="1"/>
  <c r="J195" i="94"/>
  <c r="M195" i="94"/>
  <c r="M11" i="94"/>
  <c r="L11" i="94"/>
  <c r="K11" i="94"/>
  <c r="J11" i="94"/>
  <c r="F182" i="109"/>
  <c r="E183" i="109"/>
  <c r="F203" i="109"/>
  <c r="E204" i="109"/>
  <c r="F217" i="109"/>
  <c r="E218" i="109"/>
  <c r="F161" i="109"/>
  <c r="E162" i="109"/>
  <c r="Q19" i="94"/>
  <c r="H15" i="84" s="1"/>
  <c r="T19" i="94"/>
  <c r="H18" i="84" s="1"/>
  <c r="U19" i="94"/>
  <c r="H19" i="84" s="1"/>
  <c r="T37" i="94"/>
  <c r="H42" i="84" s="1"/>
  <c r="T31" i="94"/>
  <c r="H34" i="84" s="1"/>
  <c r="I23" i="76"/>
  <c r="J23" i="76"/>
  <c r="J55" i="76"/>
  <c r="I55" i="76"/>
  <c r="I87" i="76"/>
  <c r="J87" i="76"/>
  <c r="I119" i="76"/>
  <c r="H122" i="76"/>
  <c r="J119" i="76"/>
  <c r="J59" i="94"/>
  <c r="O59" i="94" s="1"/>
  <c r="M59" i="94"/>
  <c r="M61" i="94" s="1"/>
  <c r="H58" i="79" s="1"/>
  <c r="L59" i="94"/>
  <c r="K59" i="94"/>
  <c r="K161" i="94"/>
  <c r="J161" i="94"/>
  <c r="M161" i="94"/>
  <c r="L161" i="94"/>
  <c r="K209" i="94"/>
  <c r="J209" i="94"/>
  <c r="M209" i="94"/>
  <c r="L209" i="94"/>
  <c r="J68" i="84"/>
  <c r="I68" i="84"/>
  <c r="I132" i="84"/>
  <c r="J132" i="84"/>
  <c r="J85" i="84"/>
  <c r="I85" i="84"/>
  <c r="I143" i="84"/>
  <c r="J143" i="84"/>
  <c r="J213" i="84"/>
  <c r="I213" i="84"/>
  <c r="M211" i="94"/>
  <c r="H208" i="79" s="1"/>
  <c r="O206" i="94"/>
  <c r="J27" i="76"/>
  <c r="I27" i="76"/>
  <c r="J59" i="76"/>
  <c r="I59" i="76"/>
  <c r="J91" i="76"/>
  <c r="I91" i="76"/>
  <c r="I123" i="76"/>
  <c r="J123" i="76"/>
  <c r="H126" i="76"/>
  <c r="L53" i="94"/>
  <c r="K53" i="94"/>
  <c r="J53" i="94"/>
  <c r="M53" i="94"/>
  <c r="K155" i="94"/>
  <c r="J155" i="94"/>
  <c r="L155" i="94"/>
  <c r="M155" i="94"/>
  <c r="J73" i="84"/>
  <c r="I73" i="84"/>
  <c r="J75" i="84"/>
  <c r="I75" i="84"/>
  <c r="I137" i="84"/>
  <c r="J137" i="84"/>
  <c r="J139" i="84"/>
  <c r="I139" i="84"/>
  <c r="I204" i="84"/>
  <c r="J204" i="84"/>
  <c r="J55" i="84"/>
  <c r="I55" i="84"/>
  <c r="I125" i="84"/>
  <c r="J125" i="84"/>
  <c r="J183" i="84"/>
  <c r="I183" i="84"/>
  <c r="I253" i="84"/>
  <c r="J253" i="84"/>
  <c r="I125" i="76"/>
  <c r="J125" i="76"/>
  <c r="J191" i="79"/>
  <c r="I191" i="79"/>
  <c r="O56" i="94"/>
  <c r="I107" i="79"/>
  <c r="J107" i="79"/>
  <c r="I155" i="79"/>
  <c r="J155" i="79"/>
  <c r="H232" i="109"/>
  <c r="J226" i="109"/>
  <c r="I226" i="109"/>
  <c r="C37" i="128" s="1"/>
  <c r="L37" i="128" s="1"/>
  <c r="O107" i="94"/>
  <c r="O125" i="94"/>
  <c r="O173" i="94"/>
  <c r="O197" i="94"/>
  <c r="I51" i="84"/>
  <c r="J51" i="84"/>
  <c r="J113" i="84"/>
  <c r="I113" i="84"/>
  <c r="I115" i="84"/>
  <c r="J115" i="84"/>
  <c r="J180" i="84"/>
  <c r="I180" i="84"/>
  <c r="J241" i="84"/>
  <c r="I241" i="84"/>
  <c r="I243" i="84"/>
  <c r="J243" i="84"/>
  <c r="W55" i="94"/>
  <c r="H69" i="84" s="1"/>
  <c r="W79" i="94"/>
  <c r="H101" i="84" s="1"/>
  <c r="Q127" i="94"/>
  <c r="H159" i="84" s="1"/>
  <c r="W175" i="94"/>
  <c r="H229" i="84" s="1"/>
  <c r="O119" i="94"/>
  <c r="O143" i="94"/>
  <c r="O167" i="94"/>
  <c r="O191" i="94"/>
  <c r="O215" i="94"/>
  <c r="J124" i="84"/>
  <c r="I124" i="84"/>
  <c r="J185" i="84"/>
  <c r="I185" i="84"/>
  <c r="J187" i="84"/>
  <c r="I187" i="84"/>
  <c r="J252" i="84"/>
  <c r="I252" i="84"/>
  <c r="Q85" i="94"/>
  <c r="H103" i="84" s="1"/>
  <c r="H110" i="84" s="1"/>
  <c r="W133" i="94"/>
  <c r="H173" i="84" s="1"/>
  <c r="Q181" i="94"/>
  <c r="H231" i="84" s="1"/>
  <c r="M181" i="94"/>
  <c r="H178" i="79" s="1"/>
  <c r="O176" i="94"/>
  <c r="O68" i="94"/>
  <c r="M73" i="94"/>
  <c r="H70" i="79" s="1"/>
  <c r="O116" i="94"/>
  <c r="M121" i="94"/>
  <c r="H118" i="79" s="1"/>
  <c r="H239" i="109"/>
  <c r="I233" i="109"/>
  <c r="C38" i="128" s="1"/>
  <c r="J233" i="109"/>
  <c r="I242" i="109"/>
  <c r="J242" i="109"/>
  <c r="I251" i="109"/>
  <c r="J251" i="109"/>
  <c r="I181" i="109"/>
  <c r="J181" i="109"/>
  <c r="J159" i="109"/>
  <c r="I159" i="109"/>
  <c r="J215" i="109"/>
  <c r="I215" i="109"/>
  <c r="J193" i="109"/>
  <c r="I193" i="109"/>
  <c r="J171" i="109"/>
  <c r="I171" i="109"/>
  <c r="I227" i="109"/>
  <c r="J227" i="109"/>
  <c r="H190" i="109"/>
  <c r="J184" i="109"/>
  <c r="I184" i="109"/>
  <c r="C31" i="128" s="1"/>
  <c r="J189" i="109"/>
  <c r="I189" i="109"/>
  <c r="I129" i="76"/>
  <c r="J129" i="76"/>
  <c r="I117" i="76"/>
  <c r="J117" i="76"/>
  <c r="J197" i="79"/>
  <c r="I197" i="79"/>
  <c r="I121" i="76"/>
  <c r="J121" i="76"/>
  <c r="O22" i="94"/>
  <c r="R25" i="94"/>
  <c r="H24" i="84" s="1"/>
  <c r="R182" i="94"/>
  <c r="R187" i="94" s="1"/>
  <c r="H240" i="84" s="1"/>
  <c r="T182" i="94"/>
  <c r="T187" i="94" s="1"/>
  <c r="H242" i="84" s="1"/>
  <c r="I58" i="84"/>
  <c r="J58" i="84"/>
  <c r="J74" i="84"/>
  <c r="I74" i="84"/>
  <c r="I90" i="84"/>
  <c r="J90" i="84"/>
  <c r="I106" i="84"/>
  <c r="J106" i="84"/>
  <c r="I122" i="84"/>
  <c r="J122" i="84"/>
  <c r="J138" i="84"/>
  <c r="I138" i="84"/>
  <c r="I154" i="84"/>
  <c r="J154" i="84"/>
  <c r="I170" i="84"/>
  <c r="J170" i="84"/>
  <c r="I186" i="84"/>
  <c r="J186" i="84"/>
  <c r="J202" i="84"/>
  <c r="I202" i="84"/>
  <c r="I218" i="84"/>
  <c r="J218" i="84"/>
  <c r="I234" i="84"/>
  <c r="J234" i="84"/>
  <c r="I50" i="84"/>
  <c r="J50" i="84"/>
  <c r="J64" i="84"/>
  <c r="H70" i="84"/>
  <c r="I64" i="84"/>
  <c r="I80" i="84"/>
  <c r="J80" i="84"/>
  <c r="H86" i="84"/>
  <c r="J98" i="84"/>
  <c r="I98" i="84"/>
  <c r="J114" i="84"/>
  <c r="I114" i="84"/>
  <c r="J130" i="84"/>
  <c r="I130" i="84"/>
  <c r="I146" i="84"/>
  <c r="J146" i="84"/>
  <c r="J162" i="84"/>
  <c r="I162" i="84"/>
  <c r="I178" i="84"/>
  <c r="J178" i="84"/>
  <c r="I194" i="84"/>
  <c r="J194" i="84"/>
  <c r="I210" i="84"/>
  <c r="J210" i="84"/>
  <c r="J226" i="84"/>
  <c r="I226" i="84"/>
  <c r="I250" i="84"/>
  <c r="J250" i="84"/>
  <c r="J56" i="84"/>
  <c r="I56" i="84"/>
  <c r="H62" i="84"/>
  <c r="I72" i="84"/>
  <c r="J72" i="84"/>
  <c r="H78" i="84"/>
  <c r="J88" i="84"/>
  <c r="I88" i="84"/>
  <c r="H94" i="84"/>
  <c r="J104" i="84"/>
  <c r="I104" i="84"/>
  <c r="I120" i="84"/>
  <c r="H126" i="84"/>
  <c r="J120" i="84"/>
  <c r="J136" i="84"/>
  <c r="H142" i="84"/>
  <c r="I136" i="84"/>
  <c r="I152" i="84"/>
  <c r="H158" i="84"/>
  <c r="J152" i="84"/>
  <c r="H174" i="84"/>
  <c r="J168" i="84"/>
  <c r="I168" i="84"/>
  <c r="H190" i="84"/>
  <c r="J184" i="84"/>
  <c r="I184" i="84"/>
  <c r="J200" i="84"/>
  <c r="I200" i="84"/>
  <c r="H206" i="84"/>
  <c r="I216" i="84"/>
  <c r="H222" i="84"/>
  <c r="J216" i="84"/>
  <c r="I232" i="84"/>
  <c r="H238" i="84"/>
  <c r="J232" i="84"/>
  <c r="I66" i="84"/>
  <c r="J66" i="84"/>
  <c r="J82" i="84"/>
  <c r="I82" i="84"/>
  <c r="I96" i="84"/>
  <c r="J96" i="84"/>
  <c r="H102" i="84"/>
  <c r="I112" i="84"/>
  <c r="J112" i="84"/>
  <c r="H118" i="84"/>
  <c r="J128" i="84"/>
  <c r="H134" i="84"/>
  <c r="I128" i="84"/>
  <c r="H150" i="84"/>
  <c r="I144" i="84"/>
  <c r="J144" i="84"/>
  <c r="J160" i="84"/>
  <c r="H166" i="84"/>
  <c r="I160" i="84"/>
  <c r="I176" i="84"/>
  <c r="H182" i="84"/>
  <c r="J176" i="84"/>
  <c r="H198" i="84"/>
  <c r="I192" i="84"/>
  <c r="J192" i="84"/>
  <c r="H214" i="84"/>
  <c r="I208" i="84"/>
  <c r="J208" i="84"/>
  <c r="H230" i="84"/>
  <c r="I224" i="84"/>
  <c r="J224" i="84"/>
  <c r="H254" i="84"/>
  <c r="I248" i="84"/>
  <c r="J248" i="84"/>
  <c r="J17" i="84"/>
  <c r="I17" i="84"/>
  <c r="J53" i="84"/>
  <c r="I53" i="84"/>
  <c r="I29" i="84"/>
  <c r="J29" i="84"/>
  <c r="I37" i="84"/>
  <c r="J37" i="84"/>
  <c r="H54" i="84"/>
  <c r="J47" i="84"/>
  <c r="I47" i="84"/>
  <c r="J48" i="84"/>
  <c r="I48" i="84"/>
  <c r="J45" i="84"/>
  <c r="I45" i="84"/>
  <c r="O16" i="94"/>
  <c r="O28" i="94"/>
  <c r="J31" i="94"/>
  <c r="H25" i="79" s="1"/>
  <c r="I28" i="79"/>
  <c r="J28" i="79"/>
  <c r="M15" i="94"/>
  <c r="K15" i="94"/>
  <c r="K19" i="94" s="1"/>
  <c r="H14" i="79" s="1"/>
  <c r="L15" i="94"/>
  <c r="L19" i="94" s="1"/>
  <c r="H15" i="79" s="1"/>
  <c r="J15" i="94"/>
  <c r="L21" i="94"/>
  <c r="L25" i="94" s="1"/>
  <c r="H21" i="79" s="1"/>
  <c r="J21" i="94"/>
  <c r="M21" i="94"/>
  <c r="K21" i="94"/>
  <c r="K25" i="94" s="1"/>
  <c r="H20" i="79" s="1"/>
  <c r="N20" i="94"/>
  <c r="N25" i="94" s="1"/>
  <c r="H23" i="79" s="1"/>
  <c r="M20" i="94"/>
  <c r="M14" i="94"/>
  <c r="N14" i="94"/>
  <c r="N19" i="94" s="1"/>
  <c r="H17" i="79" s="1"/>
  <c r="J31" i="130"/>
  <c r="J24" i="84"/>
  <c r="I24" i="84"/>
  <c r="J23" i="84"/>
  <c r="I23" i="84"/>
  <c r="J42" i="84"/>
  <c r="I42" i="84"/>
  <c r="J43" i="84"/>
  <c r="I43" i="84"/>
  <c r="J16" i="84"/>
  <c r="I16" i="84"/>
  <c r="J15" i="84"/>
  <c r="I15" i="84"/>
  <c r="J32" i="84"/>
  <c r="I32" i="84"/>
  <c r="J34" i="84"/>
  <c r="I34" i="84"/>
  <c r="J26" i="84"/>
  <c r="I26" i="84"/>
  <c r="J27" i="84"/>
  <c r="I27" i="84"/>
  <c r="J39" i="84"/>
  <c r="I39" i="84"/>
  <c r="J40" i="84"/>
  <c r="I40" i="84"/>
  <c r="J18" i="84"/>
  <c r="I18" i="84"/>
  <c r="J19" i="84"/>
  <c r="I19" i="84"/>
  <c r="J31" i="84"/>
  <c r="I31" i="84"/>
  <c r="J35" i="84"/>
  <c r="I35" i="84"/>
  <c r="H21" i="84"/>
  <c r="R10" i="80"/>
  <c r="R13" i="80"/>
  <c r="R15" i="80"/>
  <c r="R17" i="80"/>
  <c r="R19" i="80"/>
  <c r="R21" i="80"/>
  <c r="R23" i="80"/>
  <c r="R25" i="80"/>
  <c r="R27" i="80"/>
  <c r="R29" i="80"/>
  <c r="R31" i="80"/>
  <c r="R33" i="80"/>
  <c r="R35" i="80"/>
  <c r="R37" i="80"/>
  <c r="R39" i="80"/>
  <c r="R11" i="80"/>
  <c r="BD31" i="51"/>
  <c r="BD35" i="51"/>
  <c r="BD43" i="51"/>
  <c r="BD39" i="51"/>
  <c r="BD41" i="51"/>
  <c r="BD42" i="51"/>
  <c r="Z246" i="59"/>
  <c r="Y286" i="59"/>
  <c r="Z306" i="59"/>
  <c r="X245" i="59"/>
  <c r="Y266" i="59"/>
  <c r="Y248" i="59"/>
  <c r="X305" i="59"/>
  <c r="X308" i="59"/>
  <c r="X248" i="59"/>
  <c r="Y308" i="59"/>
  <c r="Z297" i="59"/>
  <c r="Z305" i="59"/>
  <c r="Y238" i="59"/>
  <c r="Z232" i="59"/>
  <c r="Y252" i="59"/>
  <c r="Y272" i="59"/>
  <c r="X292" i="59"/>
  <c r="Z272" i="59"/>
  <c r="Z231" i="59"/>
  <c r="Y251" i="59"/>
  <c r="Y271" i="59"/>
  <c r="X291" i="59"/>
  <c r="Y273" i="59"/>
  <c r="Z273" i="59"/>
  <c r="X273" i="59"/>
  <c r="Z221" i="59"/>
  <c r="X221" i="59"/>
  <c r="Y221" i="59"/>
  <c r="Y237" i="59"/>
  <c r="X237" i="59"/>
  <c r="Z237" i="59"/>
  <c r="Z241" i="59"/>
  <c r="Y241" i="59"/>
  <c r="X241" i="59"/>
  <c r="Y257" i="59"/>
  <c r="X257" i="59"/>
  <c r="Z257" i="59"/>
  <c r="X261" i="59"/>
  <c r="Y261" i="59"/>
  <c r="Z261" i="59"/>
  <c r="Y277" i="59"/>
  <c r="Z277" i="59"/>
  <c r="X277" i="59"/>
  <c r="Y281" i="59"/>
  <c r="Z281" i="59"/>
  <c r="X281" i="59"/>
  <c r="Y297" i="59"/>
  <c r="Y301" i="59"/>
  <c r="X301" i="59"/>
  <c r="Z301" i="59"/>
  <c r="Z233" i="59"/>
  <c r="Y233" i="59"/>
  <c r="X233" i="59"/>
  <c r="Z253" i="59"/>
  <c r="Y253" i="59"/>
  <c r="X253" i="59"/>
  <c r="X293" i="59"/>
  <c r="Z293" i="59"/>
  <c r="Y293" i="59"/>
  <c r="Y231" i="59"/>
  <c r="Z238" i="59"/>
  <c r="X238" i="59"/>
  <c r="X251" i="59"/>
  <c r="Z258" i="59"/>
  <c r="Y258" i="59"/>
  <c r="X258" i="59"/>
  <c r="X278" i="59"/>
  <c r="Z278" i="59"/>
  <c r="Y278" i="59"/>
  <c r="Z291" i="59"/>
  <c r="Y298" i="59"/>
  <c r="X298" i="59"/>
  <c r="Z298" i="59"/>
  <c r="J29" i="130"/>
  <c r="J33" i="130"/>
  <c r="J30" i="130"/>
  <c r="J22" i="130"/>
  <c r="J40" i="130"/>
  <c r="L40" i="130" s="1"/>
  <c r="J36" i="130"/>
  <c r="L36" i="130" s="1"/>
  <c r="J32" i="130"/>
  <c r="J16" i="130"/>
  <c r="J14" i="130"/>
  <c r="H30" i="84"/>
  <c r="H46" i="84"/>
  <c r="H38" i="84"/>
  <c r="P51" i="96"/>
  <c r="P50" i="96"/>
  <c r="P51" i="95"/>
  <c r="P49" i="95"/>
  <c r="P50" i="95"/>
  <c r="U37" i="72"/>
  <c r="AQ24" i="71"/>
  <c r="AQ26" i="71"/>
  <c r="P49" i="97"/>
  <c r="P50" i="97"/>
  <c r="AC5" i="88"/>
  <c r="AB6" i="88"/>
  <c r="AB7" i="88"/>
  <c r="AB8" i="88"/>
  <c r="AB9" i="88"/>
  <c r="AB10" i="88"/>
  <c r="AB11" i="88"/>
  <c r="AB12" i="88"/>
  <c r="AB13" i="88"/>
  <c r="AB14" i="88"/>
  <c r="AB15" i="88"/>
  <c r="AB16" i="88"/>
  <c r="AB17" i="88"/>
  <c r="AB18" i="88"/>
  <c r="AB19" i="88"/>
  <c r="AB20" i="88"/>
  <c r="AB21" i="88"/>
  <c r="AB22" i="88"/>
  <c r="AB23" i="88"/>
  <c r="AB24" i="88"/>
  <c r="AB25" i="88"/>
  <c r="AB26" i="88"/>
  <c r="AB27" i="88"/>
  <c r="AB28" i="88"/>
  <c r="AB29" i="88"/>
  <c r="AB30" i="88"/>
  <c r="AB31" i="88"/>
  <c r="AB32" i="88"/>
  <c r="AB33" i="88"/>
  <c r="AB34" i="88"/>
  <c r="AB35" i="88"/>
  <c r="AB36" i="88"/>
  <c r="AB37" i="88"/>
  <c r="AB38" i="88"/>
  <c r="AB39" i="88"/>
  <c r="AB40" i="88"/>
  <c r="AB41" i="88"/>
  <c r="AB42" i="88"/>
  <c r="AB43" i="88"/>
  <c r="I82" i="79" l="1"/>
  <c r="J82" i="79"/>
  <c r="I94" i="79"/>
  <c r="J94" i="79"/>
  <c r="I214" i="79"/>
  <c r="J214" i="79"/>
  <c r="I166" i="79"/>
  <c r="J166" i="79"/>
  <c r="J202" i="79"/>
  <c r="I202" i="79"/>
  <c r="I58" i="79"/>
  <c r="J58" i="79"/>
  <c r="I154" i="79"/>
  <c r="J154" i="79"/>
  <c r="I130" i="79"/>
  <c r="J130" i="79"/>
  <c r="I34" i="79"/>
  <c r="J34" i="79"/>
  <c r="J106" i="79"/>
  <c r="I106" i="79"/>
  <c r="M189" i="109"/>
  <c r="L189" i="109"/>
  <c r="K189" i="109"/>
  <c r="M227" i="109"/>
  <c r="K227" i="109"/>
  <c r="L227" i="109"/>
  <c r="K251" i="109"/>
  <c r="M251" i="109"/>
  <c r="L251" i="109"/>
  <c r="M233" i="109"/>
  <c r="J239" i="109"/>
  <c r="K233" i="109"/>
  <c r="L233" i="109"/>
  <c r="I178" i="79"/>
  <c r="J178" i="79"/>
  <c r="I69" i="84"/>
  <c r="J69" i="84"/>
  <c r="K241" i="84"/>
  <c r="M241" i="84"/>
  <c r="L241" i="84"/>
  <c r="M155" i="79"/>
  <c r="L155" i="79"/>
  <c r="K155" i="79"/>
  <c r="K125" i="76"/>
  <c r="L125" i="76"/>
  <c r="M125" i="76"/>
  <c r="L91" i="76"/>
  <c r="M91" i="76"/>
  <c r="K91" i="76"/>
  <c r="K59" i="76"/>
  <c r="L59" i="76"/>
  <c r="M59" i="76"/>
  <c r="M143" i="84"/>
  <c r="L143" i="84"/>
  <c r="K143" i="84"/>
  <c r="M132" i="84"/>
  <c r="K132" i="84"/>
  <c r="L132" i="84"/>
  <c r="M119" i="76"/>
  <c r="K119" i="76"/>
  <c r="L119" i="76"/>
  <c r="M55" i="76"/>
  <c r="K55" i="76"/>
  <c r="L55" i="76"/>
  <c r="O11" i="94"/>
  <c r="O153" i="94"/>
  <c r="J157" i="94"/>
  <c r="K61" i="94"/>
  <c r="H56" i="79" s="1"/>
  <c r="I32" i="79"/>
  <c r="J32" i="79"/>
  <c r="J120" i="76"/>
  <c r="I120" i="76"/>
  <c r="I116" i="76"/>
  <c r="J116" i="76"/>
  <c r="L143" i="79"/>
  <c r="K143" i="79"/>
  <c r="M143" i="79"/>
  <c r="I46" i="79"/>
  <c r="J46" i="79"/>
  <c r="J205" i="84"/>
  <c r="I205" i="84"/>
  <c r="L219" i="84"/>
  <c r="M219" i="84"/>
  <c r="K219" i="84"/>
  <c r="M156" i="84"/>
  <c r="K156" i="84"/>
  <c r="L156" i="84"/>
  <c r="M174" i="109"/>
  <c r="K174" i="109"/>
  <c r="L174" i="109"/>
  <c r="K212" i="84"/>
  <c r="L212" i="84"/>
  <c r="M212" i="84"/>
  <c r="K145" i="84"/>
  <c r="M145" i="84"/>
  <c r="L145" i="84"/>
  <c r="M95" i="76"/>
  <c r="K95" i="76"/>
  <c r="L95" i="76"/>
  <c r="L201" i="109"/>
  <c r="M201" i="109"/>
  <c r="K201" i="109"/>
  <c r="M167" i="109"/>
  <c r="K167" i="109"/>
  <c r="L167" i="109"/>
  <c r="M236" i="84"/>
  <c r="K236" i="84"/>
  <c r="L236" i="84"/>
  <c r="L200" i="109"/>
  <c r="K200" i="109"/>
  <c r="M200" i="109"/>
  <c r="K227" i="84"/>
  <c r="M227" i="84"/>
  <c r="L227" i="84"/>
  <c r="M193" i="84"/>
  <c r="L193" i="84"/>
  <c r="K193" i="84"/>
  <c r="O23" i="94"/>
  <c r="O182" i="94"/>
  <c r="M187" i="94"/>
  <c r="H184" i="79" s="1"/>
  <c r="O134" i="94"/>
  <c r="M139" i="94"/>
  <c r="H136" i="79" s="1"/>
  <c r="M91" i="94"/>
  <c r="H88" i="79" s="1"/>
  <c r="O86" i="94"/>
  <c r="O38" i="94"/>
  <c r="M43" i="94"/>
  <c r="H40" i="79" s="1"/>
  <c r="L13" i="94"/>
  <c r="H9" i="79" s="1"/>
  <c r="I26" i="79"/>
  <c r="J26" i="79"/>
  <c r="L137" i="76"/>
  <c r="M137" i="76"/>
  <c r="K137" i="76"/>
  <c r="M212" i="109"/>
  <c r="K212" i="109"/>
  <c r="L212" i="109"/>
  <c r="M47" i="79"/>
  <c r="L47" i="79"/>
  <c r="K47" i="79"/>
  <c r="J237" i="84"/>
  <c r="I237" i="84"/>
  <c r="K57" i="84"/>
  <c r="L57" i="84"/>
  <c r="M57" i="84"/>
  <c r="I95" i="84"/>
  <c r="J95" i="84"/>
  <c r="M116" i="84"/>
  <c r="L116" i="84"/>
  <c r="K116" i="84"/>
  <c r="K131" i="79"/>
  <c r="M131" i="79"/>
  <c r="L131" i="79"/>
  <c r="M35" i="79"/>
  <c r="L35" i="79"/>
  <c r="K35" i="79"/>
  <c r="M140" i="84"/>
  <c r="K140" i="84"/>
  <c r="L140" i="84"/>
  <c r="K43" i="76"/>
  <c r="L43" i="76"/>
  <c r="M43" i="76"/>
  <c r="L149" i="84"/>
  <c r="K149" i="84"/>
  <c r="M149" i="84"/>
  <c r="L67" i="84"/>
  <c r="K67" i="84"/>
  <c r="M67" i="84"/>
  <c r="O185" i="94"/>
  <c r="O137" i="94"/>
  <c r="O89" i="94"/>
  <c r="O207" i="94"/>
  <c r="J211" i="94"/>
  <c r="O183" i="94"/>
  <c r="J187" i="94"/>
  <c r="J145" i="94"/>
  <c r="O141" i="94"/>
  <c r="O117" i="94"/>
  <c r="J121" i="94"/>
  <c r="H115" i="79" s="1"/>
  <c r="O93" i="94"/>
  <c r="J97" i="94"/>
  <c r="H91" i="79" s="1"/>
  <c r="O69" i="94"/>
  <c r="J73" i="94"/>
  <c r="H67" i="79" s="1"/>
  <c r="I45" i="79"/>
  <c r="J45" i="79"/>
  <c r="L156" i="109"/>
  <c r="M156" i="109"/>
  <c r="K156" i="109"/>
  <c r="K71" i="79"/>
  <c r="M71" i="79"/>
  <c r="L71" i="79"/>
  <c r="J141" i="84"/>
  <c r="I141" i="84"/>
  <c r="M92" i="84"/>
  <c r="L92" i="84"/>
  <c r="K92" i="84"/>
  <c r="M211" i="84"/>
  <c r="L211" i="84"/>
  <c r="K211" i="84"/>
  <c r="M47" i="76"/>
  <c r="K47" i="76"/>
  <c r="L47" i="76"/>
  <c r="K15" i="76"/>
  <c r="L15" i="76"/>
  <c r="M15" i="76"/>
  <c r="L229" i="109"/>
  <c r="M229" i="109"/>
  <c r="K229" i="109"/>
  <c r="L235" i="109"/>
  <c r="M235" i="109"/>
  <c r="K235" i="109"/>
  <c r="L93" i="84"/>
  <c r="K93" i="84"/>
  <c r="M93" i="84"/>
  <c r="L107" i="84"/>
  <c r="M107" i="84"/>
  <c r="K107" i="84"/>
  <c r="O65" i="94"/>
  <c r="L219" i="109"/>
  <c r="J225" i="109"/>
  <c r="M219" i="109"/>
  <c r="K219" i="109"/>
  <c r="L172" i="109"/>
  <c r="K172" i="109"/>
  <c r="M172" i="109"/>
  <c r="L209" i="79"/>
  <c r="K209" i="79"/>
  <c r="M209" i="79"/>
  <c r="M181" i="84"/>
  <c r="K181" i="84"/>
  <c r="L181" i="84"/>
  <c r="I149" i="79"/>
  <c r="J149" i="79"/>
  <c r="I101" i="79"/>
  <c r="J101" i="79"/>
  <c r="I53" i="79"/>
  <c r="J53" i="79"/>
  <c r="J175" i="109"/>
  <c r="I175" i="109"/>
  <c r="K205" i="94"/>
  <c r="K181" i="94"/>
  <c r="L67" i="94"/>
  <c r="H63" i="79" s="1"/>
  <c r="J43" i="94"/>
  <c r="H37" i="79" s="1"/>
  <c r="O39" i="94"/>
  <c r="J41" i="84"/>
  <c r="I41" i="84"/>
  <c r="J25" i="84"/>
  <c r="I25" i="84"/>
  <c r="V13" i="94"/>
  <c r="H12" i="84" s="1"/>
  <c r="K129" i="76"/>
  <c r="M129" i="76"/>
  <c r="L129" i="76"/>
  <c r="M193" i="109"/>
  <c r="K193" i="109"/>
  <c r="L193" i="109"/>
  <c r="L159" i="109"/>
  <c r="M159" i="109"/>
  <c r="K159" i="109"/>
  <c r="I70" i="79"/>
  <c r="J70" i="79"/>
  <c r="I231" i="84"/>
  <c r="J231" i="84"/>
  <c r="K252" i="84"/>
  <c r="M252" i="84"/>
  <c r="L252" i="84"/>
  <c r="K185" i="84"/>
  <c r="M185" i="84"/>
  <c r="L185" i="84"/>
  <c r="J229" i="84"/>
  <c r="I229" i="84"/>
  <c r="L243" i="84"/>
  <c r="K243" i="84"/>
  <c r="M243" i="84"/>
  <c r="M183" i="84"/>
  <c r="L183" i="84"/>
  <c r="K183" i="84"/>
  <c r="K55" i="84"/>
  <c r="M55" i="84"/>
  <c r="L55" i="84"/>
  <c r="L139" i="84"/>
  <c r="K139" i="84"/>
  <c r="M139" i="84"/>
  <c r="M75" i="84"/>
  <c r="K75" i="84"/>
  <c r="L75" i="84"/>
  <c r="O53" i="94"/>
  <c r="L123" i="76"/>
  <c r="M123" i="76"/>
  <c r="K123" i="76"/>
  <c r="J208" i="79"/>
  <c r="I208" i="79"/>
  <c r="K23" i="76"/>
  <c r="L23" i="76"/>
  <c r="M23" i="76"/>
  <c r="J161" i="109"/>
  <c r="I161" i="109"/>
  <c r="I203" i="109"/>
  <c r="J203" i="109"/>
  <c r="J199" i="94"/>
  <c r="O195" i="94"/>
  <c r="O171" i="94"/>
  <c r="J175" i="94"/>
  <c r="O129" i="94"/>
  <c r="J133" i="94"/>
  <c r="O105" i="94"/>
  <c r="J109" i="94"/>
  <c r="H103" i="79" s="1"/>
  <c r="J85" i="94"/>
  <c r="H79" i="79" s="1"/>
  <c r="O81" i="94"/>
  <c r="L61" i="94"/>
  <c r="H57" i="79" s="1"/>
  <c r="I33" i="79"/>
  <c r="J33" i="79"/>
  <c r="J135" i="84"/>
  <c r="I135" i="84"/>
  <c r="L91" i="84"/>
  <c r="M91" i="84"/>
  <c r="K91" i="84"/>
  <c r="J118" i="76"/>
  <c r="M115" i="76"/>
  <c r="K115" i="76"/>
  <c r="L115" i="76"/>
  <c r="M220" i="109"/>
  <c r="K220" i="109"/>
  <c r="L220" i="109"/>
  <c r="K230" i="109"/>
  <c r="L230" i="109"/>
  <c r="M230" i="109"/>
  <c r="K250" i="109"/>
  <c r="L250" i="109"/>
  <c r="M250" i="109"/>
  <c r="I197" i="84"/>
  <c r="J197" i="84"/>
  <c r="J198" i="84" s="1"/>
  <c r="AB191" i="84" s="1"/>
  <c r="AC191" i="84" s="1"/>
  <c r="M147" i="84"/>
  <c r="L147" i="84"/>
  <c r="K147" i="84"/>
  <c r="K49" i="84"/>
  <c r="M49" i="84"/>
  <c r="L49" i="84"/>
  <c r="M127" i="76"/>
  <c r="K127" i="76"/>
  <c r="L127" i="76"/>
  <c r="L157" i="109"/>
  <c r="M157" i="109"/>
  <c r="K157" i="109"/>
  <c r="K240" i="109"/>
  <c r="L240" i="109"/>
  <c r="J246" i="109"/>
  <c r="M240" i="109"/>
  <c r="I190" i="79"/>
  <c r="J190" i="79"/>
  <c r="L215" i="84"/>
  <c r="K215" i="84"/>
  <c r="M215" i="84"/>
  <c r="M87" i="84"/>
  <c r="L87" i="84"/>
  <c r="K87" i="84"/>
  <c r="K201" i="84"/>
  <c r="M201" i="84"/>
  <c r="L201" i="84"/>
  <c r="O131" i="94"/>
  <c r="O35" i="94"/>
  <c r="K178" i="109"/>
  <c r="M178" i="109"/>
  <c r="L178" i="109"/>
  <c r="K222" i="109"/>
  <c r="M222" i="109"/>
  <c r="L222" i="109"/>
  <c r="L243" i="109"/>
  <c r="K243" i="109"/>
  <c r="M243" i="109"/>
  <c r="L245" i="84"/>
  <c r="K245" i="84"/>
  <c r="M245" i="84"/>
  <c r="M225" i="84"/>
  <c r="L225" i="84"/>
  <c r="K225" i="84"/>
  <c r="L164" i="84"/>
  <c r="K164" i="84"/>
  <c r="M164" i="84"/>
  <c r="O95" i="94"/>
  <c r="J185" i="79"/>
  <c r="I185" i="79"/>
  <c r="I137" i="79"/>
  <c r="J137" i="79"/>
  <c r="J89" i="79"/>
  <c r="I89" i="79"/>
  <c r="J41" i="79"/>
  <c r="I41" i="79"/>
  <c r="O213" i="94"/>
  <c r="J217" i="94"/>
  <c r="O189" i="94"/>
  <c r="J193" i="94"/>
  <c r="J169" i="94"/>
  <c r="O165" i="94"/>
  <c r="J151" i="94"/>
  <c r="O147" i="94"/>
  <c r="O123" i="94"/>
  <c r="J127" i="94"/>
  <c r="H121" i="79" s="1"/>
  <c r="J103" i="94"/>
  <c r="H97" i="79" s="1"/>
  <c r="O99" i="94"/>
  <c r="J79" i="94"/>
  <c r="H73" i="79" s="1"/>
  <c r="O75" i="94"/>
  <c r="J55" i="94"/>
  <c r="H49" i="79" s="1"/>
  <c r="O51" i="94"/>
  <c r="I27" i="79"/>
  <c r="J27" i="79"/>
  <c r="M113" i="76"/>
  <c r="K113" i="76"/>
  <c r="L113" i="76"/>
  <c r="L221" i="109"/>
  <c r="M221" i="109"/>
  <c r="K221" i="109"/>
  <c r="M231" i="109"/>
  <c r="K231" i="109"/>
  <c r="L231" i="109"/>
  <c r="I142" i="79"/>
  <c r="J142" i="79"/>
  <c r="J199" i="84"/>
  <c r="I199" i="84"/>
  <c r="L251" i="84"/>
  <c r="M251" i="84"/>
  <c r="K251" i="84"/>
  <c r="M188" i="84"/>
  <c r="K188" i="84"/>
  <c r="L188" i="84"/>
  <c r="K121" i="84"/>
  <c r="M121" i="84"/>
  <c r="L121" i="84"/>
  <c r="L167" i="79"/>
  <c r="K167" i="79"/>
  <c r="M167" i="79"/>
  <c r="L247" i="84"/>
  <c r="M247" i="84"/>
  <c r="K247" i="84"/>
  <c r="M203" i="84"/>
  <c r="L203" i="84"/>
  <c r="K203" i="84"/>
  <c r="M107" i="76"/>
  <c r="K107" i="76"/>
  <c r="L107" i="76"/>
  <c r="L75" i="76"/>
  <c r="M75" i="76"/>
  <c r="K75" i="76"/>
  <c r="L196" i="84"/>
  <c r="M196" i="84"/>
  <c r="K196" i="84"/>
  <c r="M131" i="84"/>
  <c r="L131" i="84"/>
  <c r="K131" i="84"/>
  <c r="L71" i="76"/>
  <c r="M71" i="76"/>
  <c r="K71" i="76"/>
  <c r="K211" i="94"/>
  <c r="K187" i="94"/>
  <c r="H200" i="79"/>
  <c r="H140" i="79"/>
  <c r="I116" i="79"/>
  <c r="J116" i="79"/>
  <c r="K97" i="94"/>
  <c r="H92" i="79" s="1"/>
  <c r="K73" i="94"/>
  <c r="H68" i="79" s="1"/>
  <c r="J132" i="76"/>
  <c r="I132" i="76"/>
  <c r="H134" i="76"/>
  <c r="J140" i="76"/>
  <c r="I140" i="76"/>
  <c r="H142" i="76"/>
  <c r="J71" i="84"/>
  <c r="I71" i="84"/>
  <c r="M155" i="84"/>
  <c r="K155" i="84"/>
  <c r="L155" i="84"/>
  <c r="M67" i="76"/>
  <c r="K67" i="76"/>
  <c r="L67" i="76"/>
  <c r="K245" i="109"/>
  <c r="L245" i="109"/>
  <c r="M245" i="109"/>
  <c r="J191" i="84"/>
  <c r="I191" i="84"/>
  <c r="M148" i="84"/>
  <c r="L148" i="84"/>
  <c r="K148" i="84"/>
  <c r="M198" i="109"/>
  <c r="K198" i="109"/>
  <c r="L198" i="109"/>
  <c r="J204" i="109"/>
  <c r="L185" i="109"/>
  <c r="M185" i="109"/>
  <c r="K185" i="109"/>
  <c r="M195" i="109"/>
  <c r="L195" i="109"/>
  <c r="K195" i="109"/>
  <c r="M221" i="84"/>
  <c r="K221" i="84"/>
  <c r="L221" i="84"/>
  <c r="K233" i="84"/>
  <c r="L233" i="84"/>
  <c r="M233" i="84"/>
  <c r="K238" i="109"/>
  <c r="L238" i="109"/>
  <c r="M238" i="109"/>
  <c r="K239" i="84"/>
  <c r="M239" i="84"/>
  <c r="L239" i="84"/>
  <c r="K111" i="84"/>
  <c r="L111" i="84"/>
  <c r="M111" i="84"/>
  <c r="M175" i="94"/>
  <c r="H172" i="79" s="1"/>
  <c r="O170" i="94"/>
  <c r="O122" i="94"/>
  <c r="M127" i="94"/>
  <c r="H124" i="79" s="1"/>
  <c r="M79" i="94"/>
  <c r="H76" i="79" s="1"/>
  <c r="O74" i="94"/>
  <c r="O26" i="94"/>
  <c r="J168" i="109"/>
  <c r="I168" i="109"/>
  <c r="L205" i="94"/>
  <c r="H201" i="79" s="1"/>
  <c r="L181" i="94"/>
  <c r="H177" i="79" s="1"/>
  <c r="J163" i="94"/>
  <c r="O159" i="94"/>
  <c r="J139" i="94"/>
  <c r="O135" i="94"/>
  <c r="J115" i="94"/>
  <c r="H109" i="79" s="1"/>
  <c r="O111" i="94"/>
  <c r="O87" i="94"/>
  <c r="J91" i="94"/>
  <c r="H85" i="79" s="1"/>
  <c r="K43" i="94"/>
  <c r="H38" i="79" s="1"/>
  <c r="S13" i="94"/>
  <c r="H9" i="84" s="1"/>
  <c r="Q13" i="94"/>
  <c r="H7" i="84" s="1"/>
  <c r="L197" i="79"/>
  <c r="M197" i="79"/>
  <c r="K197" i="79"/>
  <c r="L184" i="109"/>
  <c r="K184" i="109"/>
  <c r="J190" i="109"/>
  <c r="M184" i="109"/>
  <c r="M181" i="109"/>
  <c r="K181" i="109"/>
  <c r="L181" i="109"/>
  <c r="M242" i="109"/>
  <c r="K242" i="109"/>
  <c r="L242" i="109"/>
  <c r="J173" i="84"/>
  <c r="I173" i="84"/>
  <c r="I159" i="84"/>
  <c r="J159" i="84"/>
  <c r="K180" i="84"/>
  <c r="L180" i="84"/>
  <c r="M180" i="84"/>
  <c r="M113" i="84"/>
  <c r="K113" i="84"/>
  <c r="L113" i="84"/>
  <c r="M226" i="109"/>
  <c r="L226" i="109"/>
  <c r="K226" i="109"/>
  <c r="J232" i="109"/>
  <c r="M107" i="79"/>
  <c r="L107" i="79"/>
  <c r="K107" i="79"/>
  <c r="L253" i="84"/>
  <c r="K253" i="84"/>
  <c r="M253" i="84"/>
  <c r="L125" i="84"/>
  <c r="K125" i="84"/>
  <c r="M125" i="84"/>
  <c r="M204" i="84"/>
  <c r="L204" i="84"/>
  <c r="K204" i="84"/>
  <c r="L137" i="84"/>
  <c r="M137" i="84"/>
  <c r="K137" i="84"/>
  <c r="O155" i="94"/>
  <c r="M27" i="76"/>
  <c r="K27" i="76"/>
  <c r="L27" i="76"/>
  <c r="O209" i="94"/>
  <c r="O161" i="94"/>
  <c r="H170" i="79"/>
  <c r="H230" i="79"/>
  <c r="K157" i="94"/>
  <c r="H128" i="79"/>
  <c r="H188" i="79"/>
  <c r="J104" i="79"/>
  <c r="I104" i="79"/>
  <c r="I80" i="79"/>
  <c r="J80" i="79"/>
  <c r="J196" i="79"/>
  <c r="I196" i="79"/>
  <c r="J128" i="76"/>
  <c r="I128" i="76"/>
  <c r="K95" i="79"/>
  <c r="M95" i="79"/>
  <c r="L95" i="79"/>
  <c r="K215" i="79"/>
  <c r="M215" i="79"/>
  <c r="L215" i="79"/>
  <c r="J77" i="84"/>
  <c r="I77" i="84"/>
  <c r="M217" i="84"/>
  <c r="K217" i="84"/>
  <c r="L217" i="84"/>
  <c r="K83" i="76"/>
  <c r="L83" i="76"/>
  <c r="M83" i="76"/>
  <c r="K177" i="109"/>
  <c r="L177" i="109"/>
  <c r="M177" i="109"/>
  <c r="L186" i="109"/>
  <c r="M186" i="109"/>
  <c r="K186" i="109"/>
  <c r="I133" i="84"/>
  <c r="J133" i="84"/>
  <c r="J134" i="84" s="1"/>
  <c r="AB127" i="84" s="1"/>
  <c r="AC127" i="84" s="1"/>
  <c r="L84" i="84"/>
  <c r="K84" i="84"/>
  <c r="M84" i="84"/>
  <c r="M31" i="76"/>
  <c r="K31" i="76"/>
  <c r="L31" i="76"/>
  <c r="K213" i="109"/>
  <c r="L213" i="109"/>
  <c r="M213" i="109"/>
  <c r="K179" i="109"/>
  <c r="L179" i="109"/>
  <c r="M179" i="109"/>
  <c r="K223" i="109"/>
  <c r="L223" i="109"/>
  <c r="M223" i="109"/>
  <c r="M249" i="109"/>
  <c r="K249" i="109"/>
  <c r="L249" i="109"/>
  <c r="K169" i="84"/>
  <c r="L169" i="84"/>
  <c r="M169" i="84"/>
  <c r="L76" i="84"/>
  <c r="M76" i="84"/>
  <c r="K76" i="84"/>
  <c r="L191" i="109"/>
  <c r="M191" i="109"/>
  <c r="J197" i="109"/>
  <c r="K191" i="109"/>
  <c r="L188" i="109"/>
  <c r="M188" i="109"/>
  <c r="K188" i="109"/>
  <c r="L117" i="84"/>
  <c r="M117" i="84"/>
  <c r="K117" i="84"/>
  <c r="M97" i="84"/>
  <c r="L97" i="84"/>
  <c r="K97" i="84"/>
  <c r="M163" i="94"/>
  <c r="H160" i="79" s="1"/>
  <c r="O158" i="94"/>
  <c r="O110" i="94"/>
  <c r="M115" i="94"/>
  <c r="H112" i="79" s="1"/>
  <c r="O62" i="94"/>
  <c r="M67" i="94"/>
  <c r="H64" i="79" s="1"/>
  <c r="H224" i="79"/>
  <c r="H164" i="79"/>
  <c r="J13" i="94"/>
  <c r="H7" i="79" s="1"/>
  <c r="O9" i="94"/>
  <c r="H206" i="79"/>
  <c r="H146" i="79"/>
  <c r="J122" i="79"/>
  <c r="I122" i="79"/>
  <c r="J98" i="79"/>
  <c r="I98" i="79"/>
  <c r="I74" i="79"/>
  <c r="J74" i="79"/>
  <c r="K55" i="94"/>
  <c r="H50" i="79" s="1"/>
  <c r="J36" i="84"/>
  <c r="I36" i="84"/>
  <c r="L133" i="76"/>
  <c r="M133" i="76"/>
  <c r="K133" i="76"/>
  <c r="L141" i="76"/>
  <c r="M141" i="76"/>
  <c r="K141" i="76"/>
  <c r="L187" i="109"/>
  <c r="M187" i="109"/>
  <c r="K187" i="109"/>
  <c r="K237" i="109"/>
  <c r="L237" i="109"/>
  <c r="M237" i="109"/>
  <c r="J167" i="84"/>
  <c r="I167" i="84"/>
  <c r="K249" i="84"/>
  <c r="L249" i="84"/>
  <c r="M249" i="84"/>
  <c r="J223" i="84"/>
  <c r="I223" i="84"/>
  <c r="M244" i="84"/>
  <c r="L244" i="84"/>
  <c r="K244" i="84"/>
  <c r="M177" i="84"/>
  <c r="L177" i="84"/>
  <c r="K177" i="84"/>
  <c r="L52" i="84"/>
  <c r="K52" i="84"/>
  <c r="M52" i="84"/>
  <c r="L83" i="79"/>
  <c r="K83" i="79"/>
  <c r="M83" i="79"/>
  <c r="M119" i="84"/>
  <c r="L119" i="84"/>
  <c r="K119" i="84"/>
  <c r="M207" i="84"/>
  <c r="K207" i="84"/>
  <c r="L207" i="84"/>
  <c r="L79" i="84"/>
  <c r="K79" i="84"/>
  <c r="M79" i="84"/>
  <c r="M195" i="84"/>
  <c r="L195" i="84"/>
  <c r="K195" i="84"/>
  <c r="K129" i="84"/>
  <c r="L129" i="84"/>
  <c r="M129" i="84"/>
  <c r="I144" i="76"/>
  <c r="J144" i="76"/>
  <c r="H146" i="76"/>
  <c r="K103" i="76"/>
  <c r="L103" i="76"/>
  <c r="M103" i="76"/>
  <c r="I196" i="109"/>
  <c r="J196" i="109"/>
  <c r="L211" i="94"/>
  <c r="H207" i="79" s="1"/>
  <c r="L187" i="94"/>
  <c r="H183" i="79" s="1"/>
  <c r="I141" i="79"/>
  <c r="J141" i="79"/>
  <c r="J117" i="79"/>
  <c r="I117" i="79"/>
  <c r="L97" i="94"/>
  <c r="H93" i="79" s="1"/>
  <c r="L73" i="94"/>
  <c r="H69" i="79" s="1"/>
  <c r="J49" i="94"/>
  <c r="H43" i="79" s="1"/>
  <c r="O45" i="94"/>
  <c r="M179" i="79"/>
  <c r="L179" i="79"/>
  <c r="K179" i="79"/>
  <c r="M99" i="76"/>
  <c r="K99" i="76"/>
  <c r="L99" i="76"/>
  <c r="M192" i="109"/>
  <c r="L192" i="109"/>
  <c r="K192" i="109"/>
  <c r="L158" i="109"/>
  <c r="M158" i="109"/>
  <c r="K158" i="109"/>
  <c r="K202" i="109"/>
  <c r="L202" i="109"/>
  <c r="M202" i="109"/>
  <c r="I127" i="84"/>
  <c r="J127" i="84"/>
  <c r="M79" i="76"/>
  <c r="K79" i="76"/>
  <c r="L79" i="76"/>
  <c r="M207" i="109"/>
  <c r="L207" i="109"/>
  <c r="K207" i="109"/>
  <c r="L244" i="109"/>
  <c r="M244" i="109"/>
  <c r="K244" i="109"/>
  <c r="L105" i="84"/>
  <c r="K105" i="84"/>
  <c r="M105" i="84"/>
  <c r="L228" i="109"/>
  <c r="K228" i="109"/>
  <c r="M228" i="109"/>
  <c r="L194" i="109"/>
  <c r="M194" i="109"/>
  <c r="K194" i="109"/>
  <c r="L160" i="109"/>
  <c r="K160" i="109"/>
  <c r="M160" i="109"/>
  <c r="M163" i="84"/>
  <c r="L163" i="84"/>
  <c r="K163" i="84"/>
  <c r="L100" i="84"/>
  <c r="M100" i="84"/>
  <c r="K100" i="84"/>
  <c r="I173" i="79"/>
  <c r="J173" i="79"/>
  <c r="J125" i="79"/>
  <c r="I125" i="79"/>
  <c r="I77" i="79"/>
  <c r="J77" i="79"/>
  <c r="I29" i="79"/>
  <c r="J29" i="79"/>
  <c r="K163" i="94"/>
  <c r="K139" i="94"/>
  <c r="K115" i="94"/>
  <c r="H110" i="79" s="1"/>
  <c r="K91" i="94"/>
  <c r="H86" i="79" s="1"/>
  <c r="J67" i="94"/>
  <c r="H61" i="79" s="1"/>
  <c r="O63" i="94"/>
  <c r="L43" i="94"/>
  <c r="H39" i="79" s="1"/>
  <c r="L121" i="76"/>
  <c r="M121" i="76"/>
  <c r="K121" i="76"/>
  <c r="M117" i="76"/>
  <c r="K117" i="76"/>
  <c r="L117" i="76"/>
  <c r="L171" i="109"/>
  <c r="M171" i="109"/>
  <c r="K171" i="109"/>
  <c r="L215" i="109"/>
  <c r="M215" i="109"/>
  <c r="K215" i="109"/>
  <c r="J118" i="79"/>
  <c r="I118" i="79"/>
  <c r="J103" i="84"/>
  <c r="J110" i="84" s="1"/>
  <c r="AB103" i="84" s="1"/>
  <c r="AC103" i="84" s="1"/>
  <c r="I103" i="84"/>
  <c r="M187" i="84"/>
  <c r="L187" i="84"/>
  <c r="K187" i="84"/>
  <c r="M124" i="84"/>
  <c r="L124" i="84"/>
  <c r="K124" i="84"/>
  <c r="J101" i="84"/>
  <c r="I101" i="84"/>
  <c r="K115" i="84"/>
  <c r="M115" i="84"/>
  <c r="L115" i="84"/>
  <c r="L51" i="84"/>
  <c r="K51" i="84"/>
  <c r="M51" i="84"/>
  <c r="L191" i="79"/>
  <c r="M191" i="79"/>
  <c r="K191" i="79"/>
  <c r="M73" i="84"/>
  <c r="K73" i="84"/>
  <c r="L73" i="84"/>
  <c r="M213" i="84"/>
  <c r="L213" i="84"/>
  <c r="K213" i="84"/>
  <c r="M85" i="84"/>
  <c r="L85" i="84"/>
  <c r="K85" i="84"/>
  <c r="M68" i="84"/>
  <c r="L68" i="84"/>
  <c r="K68" i="84"/>
  <c r="K87" i="76"/>
  <c r="L87" i="76"/>
  <c r="M87" i="76"/>
  <c r="J217" i="109"/>
  <c r="I217" i="109"/>
  <c r="I182" i="109"/>
  <c r="J182" i="109"/>
  <c r="J195" i="79"/>
  <c r="I195" i="79"/>
  <c r="I171" i="79"/>
  <c r="J171" i="79"/>
  <c r="L157" i="94"/>
  <c r="H153" i="79" s="1"/>
  <c r="I129" i="79"/>
  <c r="J129" i="79"/>
  <c r="I105" i="79"/>
  <c r="J105" i="79"/>
  <c r="I81" i="79"/>
  <c r="J81" i="79"/>
  <c r="J61" i="94"/>
  <c r="H55" i="79" s="1"/>
  <c r="O57" i="94"/>
  <c r="J37" i="94"/>
  <c r="H31" i="79" s="1"/>
  <c r="O33" i="94"/>
  <c r="K89" i="84"/>
  <c r="M89" i="84"/>
  <c r="L89" i="84"/>
  <c r="M51" i="76"/>
  <c r="K51" i="76"/>
  <c r="L51" i="76"/>
  <c r="M164" i="109"/>
  <c r="K164" i="109"/>
  <c r="L164" i="109"/>
  <c r="M208" i="109"/>
  <c r="K208" i="109"/>
  <c r="L208" i="109"/>
  <c r="K241" i="109"/>
  <c r="L241" i="109"/>
  <c r="M241" i="109"/>
  <c r="M83" i="84"/>
  <c r="K83" i="84"/>
  <c r="L83" i="84"/>
  <c r="M63" i="76"/>
  <c r="K63" i="76"/>
  <c r="L63" i="76"/>
  <c r="M170" i="109"/>
  <c r="K170" i="109"/>
  <c r="L170" i="109"/>
  <c r="J176" i="109"/>
  <c r="L59" i="79"/>
  <c r="K59" i="79"/>
  <c r="M59" i="79"/>
  <c r="J124" i="76"/>
  <c r="J126" i="76" s="1"/>
  <c r="I124" i="76"/>
  <c r="K157" i="84"/>
  <c r="L157" i="84"/>
  <c r="M157" i="84"/>
  <c r="M171" i="84"/>
  <c r="L171" i="84"/>
  <c r="K171" i="84"/>
  <c r="K108" i="84"/>
  <c r="M108" i="84"/>
  <c r="L108" i="84"/>
  <c r="L163" i="109"/>
  <c r="J169" i="109"/>
  <c r="M163" i="109"/>
  <c r="K163" i="109"/>
  <c r="L166" i="109"/>
  <c r="M166" i="109"/>
  <c r="K166" i="109"/>
  <c r="M252" i="109"/>
  <c r="L252" i="109"/>
  <c r="K252" i="109"/>
  <c r="M234" i="109"/>
  <c r="K234" i="109"/>
  <c r="L234" i="109"/>
  <c r="K175" i="84"/>
  <c r="L175" i="84"/>
  <c r="M175" i="84"/>
  <c r="K99" i="84"/>
  <c r="M99" i="84"/>
  <c r="L99" i="84"/>
  <c r="K145" i="76"/>
  <c r="L145" i="76"/>
  <c r="M145" i="76"/>
  <c r="I161" i="79"/>
  <c r="J161" i="79"/>
  <c r="I113" i="79"/>
  <c r="J113" i="79"/>
  <c r="I65" i="79"/>
  <c r="J65" i="79"/>
  <c r="I213" i="79"/>
  <c r="J213" i="79"/>
  <c r="J189" i="79"/>
  <c r="I189" i="79"/>
  <c r="J165" i="79"/>
  <c r="I165" i="79"/>
  <c r="K13" i="94"/>
  <c r="H8" i="79" s="1"/>
  <c r="J147" i="79"/>
  <c r="I147" i="79"/>
  <c r="J123" i="79"/>
  <c r="I123" i="79"/>
  <c r="I99" i="79"/>
  <c r="J99" i="79"/>
  <c r="I75" i="79"/>
  <c r="J75" i="79"/>
  <c r="L55" i="94"/>
  <c r="H51" i="79" s="1"/>
  <c r="O27" i="94"/>
  <c r="J33" i="84"/>
  <c r="I33" i="84"/>
  <c r="M199" i="109"/>
  <c r="K199" i="109"/>
  <c r="L199" i="109"/>
  <c r="K165" i="109"/>
  <c r="L165" i="109"/>
  <c r="M165" i="109"/>
  <c r="M209" i="109"/>
  <c r="K209" i="109"/>
  <c r="L209" i="109"/>
  <c r="M247" i="109"/>
  <c r="K247" i="109"/>
  <c r="L247" i="109"/>
  <c r="J253" i="109"/>
  <c r="I109" i="84"/>
  <c r="J109" i="84"/>
  <c r="M123" i="84"/>
  <c r="L123" i="84"/>
  <c r="K123" i="84"/>
  <c r="L59" i="84"/>
  <c r="K59" i="84"/>
  <c r="M59" i="84"/>
  <c r="J165" i="84"/>
  <c r="I165" i="84"/>
  <c r="L179" i="84"/>
  <c r="K179" i="84"/>
  <c r="M179" i="84"/>
  <c r="L203" i="79"/>
  <c r="K203" i="79"/>
  <c r="M203" i="79"/>
  <c r="K189" i="84"/>
  <c r="M189" i="84"/>
  <c r="L189" i="84"/>
  <c r="M61" i="84"/>
  <c r="K61" i="84"/>
  <c r="L61" i="84"/>
  <c r="O203" i="94"/>
  <c r="O71" i="94"/>
  <c r="K39" i="76"/>
  <c r="L39" i="76"/>
  <c r="M39" i="76"/>
  <c r="J44" i="79"/>
  <c r="I44" i="79"/>
  <c r="I112" i="76"/>
  <c r="J112" i="76"/>
  <c r="J114" i="76" s="1"/>
  <c r="I136" i="76"/>
  <c r="J136" i="76"/>
  <c r="H138" i="76"/>
  <c r="M119" i="79"/>
  <c r="L119" i="79"/>
  <c r="K119" i="79"/>
  <c r="M220" i="84"/>
  <c r="L220" i="84"/>
  <c r="K220" i="84"/>
  <c r="K153" i="84"/>
  <c r="L153" i="84"/>
  <c r="M153" i="84"/>
  <c r="L60" i="84"/>
  <c r="M60" i="84"/>
  <c r="K60" i="84"/>
  <c r="O113" i="94"/>
  <c r="L35" i="76"/>
  <c r="M35" i="76"/>
  <c r="K35" i="76"/>
  <c r="M205" i="109"/>
  <c r="K205" i="109"/>
  <c r="L205" i="109"/>
  <c r="J211" i="109"/>
  <c r="M214" i="109"/>
  <c r="K214" i="109"/>
  <c r="L214" i="109"/>
  <c r="L180" i="109"/>
  <c r="M180" i="109"/>
  <c r="K180" i="109"/>
  <c r="L224" i="109"/>
  <c r="M224" i="109"/>
  <c r="K224" i="109"/>
  <c r="L236" i="109"/>
  <c r="M236" i="109"/>
  <c r="K236" i="109"/>
  <c r="J63" i="84"/>
  <c r="I63" i="84"/>
  <c r="K209" i="84"/>
  <c r="M209" i="84"/>
  <c r="L209" i="84"/>
  <c r="L81" i="84"/>
  <c r="M81" i="84"/>
  <c r="K81" i="84"/>
  <c r="K111" i="76"/>
  <c r="L111" i="76"/>
  <c r="M111" i="76"/>
  <c r="M173" i="109"/>
  <c r="K173" i="109"/>
  <c r="L173" i="109"/>
  <c r="K151" i="84"/>
  <c r="L151" i="84"/>
  <c r="M151" i="84"/>
  <c r="L235" i="84"/>
  <c r="M235" i="84"/>
  <c r="K235" i="84"/>
  <c r="L172" i="84"/>
  <c r="M172" i="84"/>
  <c r="K172" i="84"/>
  <c r="K206" i="109"/>
  <c r="L206" i="109"/>
  <c r="M206" i="109"/>
  <c r="M216" i="109"/>
  <c r="L216" i="109"/>
  <c r="K216" i="109"/>
  <c r="L248" i="109"/>
  <c r="M248" i="109"/>
  <c r="K248" i="109"/>
  <c r="M228" i="84"/>
  <c r="K228" i="84"/>
  <c r="L228" i="84"/>
  <c r="K161" i="84"/>
  <c r="M161" i="84"/>
  <c r="L161" i="84"/>
  <c r="L65" i="84"/>
  <c r="K65" i="84"/>
  <c r="M65" i="84"/>
  <c r="O77" i="94"/>
  <c r="M13" i="94"/>
  <c r="H10" i="79" s="1"/>
  <c r="O8" i="94"/>
  <c r="M151" i="94"/>
  <c r="H148" i="79" s="1"/>
  <c r="O146" i="94"/>
  <c r="O98" i="94"/>
  <c r="M103" i="94"/>
  <c r="H100" i="79" s="1"/>
  <c r="O50" i="94"/>
  <c r="M55" i="94"/>
  <c r="H52" i="79" s="1"/>
  <c r="I210" i="109"/>
  <c r="J210" i="109"/>
  <c r="O201" i="94"/>
  <c r="J205" i="94"/>
  <c r="O177" i="94"/>
  <c r="J181" i="94"/>
  <c r="L163" i="94"/>
  <c r="H159" i="79" s="1"/>
  <c r="L139" i="94"/>
  <c r="H135" i="79" s="1"/>
  <c r="L115" i="94"/>
  <c r="H111" i="79" s="1"/>
  <c r="L91" i="94"/>
  <c r="H87" i="79" s="1"/>
  <c r="K67" i="94"/>
  <c r="H62" i="79" s="1"/>
  <c r="J44" i="84"/>
  <c r="I44" i="84"/>
  <c r="J28" i="84"/>
  <c r="I28" i="84"/>
  <c r="U13" i="94"/>
  <c r="H11" i="84" s="1"/>
  <c r="W13" i="94"/>
  <c r="H13" i="84" s="1"/>
  <c r="J25" i="130"/>
  <c r="J15" i="130"/>
  <c r="J11" i="130"/>
  <c r="J7" i="130"/>
  <c r="J13" i="130"/>
  <c r="J8" i="130"/>
  <c r="J23" i="130"/>
  <c r="J19" i="130"/>
  <c r="J21" i="130"/>
  <c r="J37" i="130"/>
  <c r="L37" i="130" s="1"/>
  <c r="J10" i="130"/>
  <c r="J12" i="130"/>
  <c r="J20" i="130"/>
  <c r="J24" i="130"/>
  <c r="J28" i="130"/>
  <c r="J9" i="130"/>
  <c r="J18" i="130"/>
  <c r="J34" i="130"/>
  <c r="J38" i="130"/>
  <c r="L38" i="130" s="1"/>
  <c r="J27" i="130"/>
  <c r="J39" i="130"/>
  <c r="L39" i="130" s="1"/>
  <c r="L248" i="84"/>
  <c r="M248" i="84"/>
  <c r="J254" i="84"/>
  <c r="AB247" i="84" s="1"/>
  <c r="AC247" i="84" s="1"/>
  <c r="K248" i="84"/>
  <c r="K208" i="84"/>
  <c r="M208" i="84"/>
  <c r="L208" i="84"/>
  <c r="J214" i="84"/>
  <c r="L176" i="84"/>
  <c r="M176" i="84"/>
  <c r="K176" i="84"/>
  <c r="J182" i="84"/>
  <c r="AB175" i="84" s="1"/>
  <c r="AC175" i="84" s="1"/>
  <c r="L144" i="84"/>
  <c r="M144" i="84"/>
  <c r="K144" i="84"/>
  <c r="J150" i="84"/>
  <c r="AB143" i="84" s="1"/>
  <c r="AC143" i="84" s="1"/>
  <c r="L96" i="84"/>
  <c r="M96" i="84"/>
  <c r="K96" i="84"/>
  <c r="L66" i="84"/>
  <c r="M66" i="84"/>
  <c r="K66" i="84"/>
  <c r="M232" i="84"/>
  <c r="K232" i="84"/>
  <c r="L232" i="84"/>
  <c r="J238" i="84"/>
  <c r="AB231" i="84" s="1"/>
  <c r="AC231" i="84" s="1"/>
  <c r="M200" i="84"/>
  <c r="K200" i="84"/>
  <c r="L200" i="84"/>
  <c r="J206" i="84"/>
  <c r="AB199" i="84" s="1"/>
  <c r="AC199" i="84" s="1"/>
  <c r="L184" i="84"/>
  <c r="M184" i="84"/>
  <c r="K184" i="84"/>
  <c r="J190" i="84"/>
  <c r="AB183" i="84" s="1"/>
  <c r="AC183" i="84" s="1"/>
  <c r="L136" i="84"/>
  <c r="M136" i="84"/>
  <c r="J142" i="84"/>
  <c r="AB135" i="84" s="1"/>
  <c r="AC135" i="84" s="1"/>
  <c r="K136" i="84"/>
  <c r="M104" i="84"/>
  <c r="K104" i="84"/>
  <c r="L104" i="84"/>
  <c r="L250" i="84"/>
  <c r="M250" i="84"/>
  <c r="K250" i="84"/>
  <c r="L210" i="84"/>
  <c r="K210" i="84"/>
  <c r="M210" i="84"/>
  <c r="K194" i="84"/>
  <c r="L194" i="84"/>
  <c r="M194" i="84"/>
  <c r="M178" i="84"/>
  <c r="L178" i="84"/>
  <c r="K178" i="84"/>
  <c r="M146" i="84"/>
  <c r="K146" i="84"/>
  <c r="L146" i="84"/>
  <c r="K50" i="84"/>
  <c r="L50" i="84"/>
  <c r="M50" i="84"/>
  <c r="L234" i="84"/>
  <c r="K234" i="84"/>
  <c r="M234" i="84"/>
  <c r="M218" i="84"/>
  <c r="L218" i="84"/>
  <c r="K218" i="84"/>
  <c r="M186" i="84"/>
  <c r="K186" i="84"/>
  <c r="L186" i="84"/>
  <c r="M170" i="84"/>
  <c r="L170" i="84"/>
  <c r="K170" i="84"/>
  <c r="K154" i="84"/>
  <c r="L154" i="84"/>
  <c r="M154" i="84"/>
  <c r="K122" i="84"/>
  <c r="L122" i="84"/>
  <c r="M122" i="84"/>
  <c r="L106" i="84"/>
  <c r="M106" i="84"/>
  <c r="K106" i="84"/>
  <c r="M90" i="84"/>
  <c r="K90" i="84"/>
  <c r="L90" i="84"/>
  <c r="K58" i="84"/>
  <c r="M58" i="84"/>
  <c r="L58" i="84"/>
  <c r="I242" i="84"/>
  <c r="J242" i="84"/>
  <c r="L224" i="84"/>
  <c r="M224" i="84"/>
  <c r="K224" i="84"/>
  <c r="J230" i="84"/>
  <c r="AB223" i="84" s="1"/>
  <c r="AC223" i="84" s="1"/>
  <c r="L192" i="84"/>
  <c r="K192" i="84"/>
  <c r="M192" i="84"/>
  <c r="M160" i="84"/>
  <c r="K160" i="84"/>
  <c r="L160" i="84"/>
  <c r="J166" i="84"/>
  <c r="M128" i="84"/>
  <c r="K128" i="84"/>
  <c r="L128" i="84"/>
  <c r="K112" i="84"/>
  <c r="L112" i="84"/>
  <c r="M112" i="84"/>
  <c r="J118" i="84"/>
  <c r="AB111" i="84" s="1"/>
  <c r="AC111" i="84" s="1"/>
  <c r="M82" i="84"/>
  <c r="K82" i="84"/>
  <c r="L82" i="84"/>
  <c r="M216" i="84"/>
  <c r="K216" i="84"/>
  <c r="L216" i="84"/>
  <c r="J222" i="84"/>
  <c r="AB215" i="84" s="1"/>
  <c r="AC215" i="84" s="1"/>
  <c r="L168" i="84"/>
  <c r="M168" i="84"/>
  <c r="K168" i="84"/>
  <c r="J174" i="84"/>
  <c r="AB167" i="84" s="1"/>
  <c r="AC167" i="84" s="1"/>
  <c r="M152" i="84"/>
  <c r="K152" i="84"/>
  <c r="L152" i="84"/>
  <c r="J158" i="84"/>
  <c r="K120" i="84"/>
  <c r="L120" i="84"/>
  <c r="M120" i="84"/>
  <c r="J126" i="84"/>
  <c r="AB119" i="84" s="1"/>
  <c r="AC119" i="84" s="1"/>
  <c r="M88" i="84"/>
  <c r="J94" i="84"/>
  <c r="AB87" i="84" s="1"/>
  <c r="AC87" i="84" s="1"/>
  <c r="K88" i="84"/>
  <c r="L88" i="84"/>
  <c r="M72" i="84"/>
  <c r="K72" i="84"/>
  <c r="L72" i="84"/>
  <c r="J78" i="84"/>
  <c r="J62" i="84"/>
  <c r="M56" i="84"/>
  <c r="K56" i="84"/>
  <c r="L56" i="84"/>
  <c r="M226" i="84"/>
  <c r="K226" i="84"/>
  <c r="L226" i="84"/>
  <c r="M162" i="84"/>
  <c r="K162" i="84"/>
  <c r="L162" i="84"/>
  <c r="L130" i="84"/>
  <c r="M130" i="84"/>
  <c r="K130" i="84"/>
  <c r="M114" i="84"/>
  <c r="K114" i="84"/>
  <c r="L114" i="84"/>
  <c r="L98" i="84"/>
  <c r="M98" i="84"/>
  <c r="K98" i="84"/>
  <c r="M80" i="84"/>
  <c r="K80" i="84"/>
  <c r="L80" i="84"/>
  <c r="J86" i="84"/>
  <c r="K64" i="84"/>
  <c r="L64" i="84"/>
  <c r="J70" i="84"/>
  <c r="M64" i="84"/>
  <c r="M202" i="84"/>
  <c r="K202" i="84"/>
  <c r="L202" i="84"/>
  <c r="L138" i="84"/>
  <c r="M138" i="84"/>
  <c r="K138" i="84"/>
  <c r="L74" i="84"/>
  <c r="M74" i="84"/>
  <c r="K74" i="84"/>
  <c r="I240" i="84"/>
  <c r="H246" i="84"/>
  <c r="J240" i="84"/>
  <c r="L17" i="84"/>
  <c r="M17" i="84"/>
  <c r="K17" i="84"/>
  <c r="M45" i="84"/>
  <c r="K45" i="84"/>
  <c r="L45" i="84"/>
  <c r="K48" i="84"/>
  <c r="L48" i="84"/>
  <c r="M48" i="84"/>
  <c r="K47" i="84"/>
  <c r="M47" i="84"/>
  <c r="J54" i="84"/>
  <c r="L47" i="84"/>
  <c r="L37" i="84"/>
  <c r="M37" i="84"/>
  <c r="K37" i="84"/>
  <c r="K29" i="84"/>
  <c r="L29" i="84"/>
  <c r="M29" i="84"/>
  <c r="M53" i="84"/>
  <c r="L53" i="84"/>
  <c r="K53" i="84"/>
  <c r="K28" i="79"/>
  <c r="L28" i="79"/>
  <c r="M28" i="79"/>
  <c r="H30" i="79"/>
  <c r="J25" i="79"/>
  <c r="I25" i="79"/>
  <c r="I20" i="79"/>
  <c r="J20" i="79"/>
  <c r="J25" i="94"/>
  <c r="H19" i="79" s="1"/>
  <c r="O21" i="94"/>
  <c r="J19" i="94"/>
  <c r="H13" i="79" s="1"/>
  <c r="O15" i="94"/>
  <c r="I14" i="79"/>
  <c r="J14" i="79"/>
  <c r="I21" i="79"/>
  <c r="J21" i="79"/>
  <c r="I15" i="79"/>
  <c r="J15" i="79"/>
  <c r="I17" i="79"/>
  <c r="J17" i="79"/>
  <c r="O20" i="94"/>
  <c r="M25" i="94"/>
  <c r="H22" i="79" s="1"/>
  <c r="O14" i="94"/>
  <c r="M19" i="94"/>
  <c r="H16" i="79" s="1"/>
  <c r="I23" i="79"/>
  <c r="J23" i="79"/>
  <c r="J26" i="130"/>
  <c r="J21" i="84"/>
  <c r="I21" i="84"/>
  <c r="J20" i="84"/>
  <c r="I20" i="84"/>
  <c r="M35" i="84"/>
  <c r="L35" i="84"/>
  <c r="K35" i="84"/>
  <c r="M31" i="84"/>
  <c r="L31" i="84"/>
  <c r="K31" i="84"/>
  <c r="M19" i="84"/>
  <c r="L19" i="84"/>
  <c r="K19" i="84"/>
  <c r="K18" i="84"/>
  <c r="M18" i="84"/>
  <c r="L18" i="84"/>
  <c r="M40" i="84"/>
  <c r="L40" i="84"/>
  <c r="K40" i="84"/>
  <c r="K39" i="84"/>
  <c r="M39" i="84"/>
  <c r="L39" i="84"/>
  <c r="K27" i="84"/>
  <c r="M27" i="84"/>
  <c r="L27" i="84"/>
  <c r="M26" i="84"/>
  <c r="L26" i="84"/>
  <c r="K26" i="84"/>
  <c r="K34" i="84"/>
  <c r="M34" i="84"/>
  <c r="L34" i="84"/>
  <c r="K32" i="84"/>
  <c r="M32" i="84"/>
  <c r="L32" i="84"/>
  <c r="M15" i="84"/>
  <c r="L15" i="84"/>
  <c r="K15" i="84"/>
  <c r="K16" i="84"/>
  <c r="M16" i="84"/>
  <c r="L16" i="84"/>
  <c r="K43" i="84"/>
  <c r="M43" i="84"/>
  <c r="L43" i="84"/>
  <c r="M42" i="84"/>
  <c r="L42" i="84"/>
  <c r="K42" i="84"/>
  <c r="K23" i="84"/>
  <c r="M23" i="84"/>
  <c r="L23" i="84"/>
  <c r="M24" i="84"/>
  <c r="L24" i="84"/>
  <c r="K24" i="84"/>
  <c r="X271" i="59"/>
  <c r="Y232" i="59"/>
  <c r="Z271" i="59"/>
  <c r="X231" i="59"/>
  <c r="X297" i="59"/>
  <c r="X232" i="59"/>
  <c r="Y226" i="59"/>
  <c r="Z226" i="59"/>
  <c r="X226" i="59"/>
  <c r="Y291" i="59"/>
  <c r="Z251" i="59"/>
  <c r="Y304" i="59"/>
  <c r="Z304" i="59"/>
  <c r="X304" i="59"/>
  <c r="Y264" i="59"/>
  <c r="X264" i="59"/>
  <c r="Z264" i="59"/>
  <c r="X244" i="59"/>
  <c r="Y244" i="59"/>
  <c r="Z244" i="59"/>
  <c r="X284" i="59"/>
  <c r="Y284" i="59"/>
  <c r="Z284" i="59"/>
  <c r="Y224" i="59"/>
  <c r="Z224" i="59"/>
  <c r="X224" i="59"/>
  <c r="X272" i="59"/>
  <c r="Y307" i="59"/>
  <c r="Z307" i="59"/>
  <c r="X307" i="59"/>
  <c r="X287" i="59"/>
  <c r="Y287" i="59"/>
  <c r="Z287" i="59"/>
  <c r="Z247" i="59"/>
  <c r="Y247" i="59"/>
  <c r="X247" i="59"/>
  <c r="Y227" i="59"/>
  <c r="Z227" i="59"/>
  <c r="X227" i="59"/>
  <c r="Z267" i="59"/>
  <c r="X267" i="59"/>
  <c r="Y267" i="59"/>
  <c r="Y292" i="59"/>
  <c r="Z252" i="59"/>
  <c r="Z292" i="59"/>
  <c r="X252" i="59"/>
  <c r="Z240" i="59"/>
  <c r="X240" i="59"/>
  <c r="Y240" i="59"/>
  <c r="X300" i="59"/>
  <c r="Z300" i="59"/>
  <c r="C35" i="130" s="1"/>
  <c r="Y300" i="59"/>
  <c r="Y220" i="59"/>
  <c r="Z220" i="59"/>
  <c r="X220" i="59"/>
  <c r="X285" i="59"/>
  <c r="Y285" i="59"/>
  <c r="Z285" i="59"/>
  <c r="Y260" i="59"/>
  <c r="Z260" i="59"/>
  <c r="X260" i="59"/>
  <c r="X280" i="59"/>
  <c r="Z280" i="59"/>
  <c r="Y280" i="59"/>
  <c r="Y265" i="59"/>
  <c r="X265" i="59"/>
  <c r="Z265" i="59"/>
  <c r="Z225" i="59"/>
  <c r="Y225" i="59"/>
  <c r="X225" i="59"/>
  <c r="Z288" i="59"/>
  <c r="X288" i="59"/>
  <c r="Y288" i="59"/>
  <c r="Y290" i="59"/>
  <c r="X290" i="59"/>
  <c r="Z290" i="59"/>
  <c r="Z295" i="59"/>
  <c r="X295" i="59"/>
  <c r="Y295" i="59"/>
  <c r="Y268" i="59"/>
  <c r="X268" i="59"/>
  <c r="Z268" i="59"/>
  <c r="X250" i="59"/>
  <c r="Z250" i="59"/>
  <c r="Y250" i="59"/>
  <c r="X270" i="59"/>
  <c r="Y270" i="59"/>
  <c r="Z270" i="59"/>
  <c r="C32" i="130" s="1"/>
  <c r="L32" i="130" s="1"/>
  <c r="Y228" i="59"/>
  <c r="Z228" i="59"/>
  <c r="X228" i="59"/>
  <c r="X302" i="59"/>
  <c r="Y302" i="59"/>
  <c r="Z302" i="59"/>
  <c r="Z255" i="59"/>
  <c r="X255" i="59"/>
  <c r="Y255" i="59"/>
  <c r="Y222" i="59"/>
  <c r="Z222" i="59"/>
  <c r="X222" i="59"/>
  <c r="Y275" i="59"/>
  <c r="Z275" i="59"/>
  <c r="X275" i="59"/>
  <c r="Y235" i="59"/>
  <c r="Z235" i="59"/>
  <c r="X235" i="59"/>
  <c r="X282" i="59"/>
  <c r="Y282" i="59"/>
  <c r="Z282" i="59"/>
  <c r="Z242" i="59"/>
  <c r="X242" i="59"/>
  <c r="Y242" i="59"/>
  <c r="Z262" i="59"/>
  <c r="Y262" i="59"/>
  <c r="X262" i="59"/>
  <c r="Y230" i="59"/>
  <c r="X230" i="59"/>
  <c r="Z230" i="59"/>
  <c r="C28" i="130" s="1"/>
  <c r="X274" i="59"/>
  <c r="Y274" i="59"/>
  <c r="Z274" i="59"/>
  <c r="X283" i="59"/>
  <c r="C33" i="130"/>
  <c r="L33" i="130" s="1"/>
  <c r="Y283" i="59"/>
  <c r="Z283" i="59"/>
  <c r="X276" i="59"/>
  <c r="Z276" i="59"/>
  <c r="Y276" i="59"/>
  <c r="Z223" i="59"/>
  <c r="X223" i="59"/>
  <c r="Y223" i="59"/>
  <c r="Y254" i="59"/>
  <c r="Z254" i="59"/>
  <c r="X254" i="59"/>
  <c r="Y296" i="59"/>
  <c r="Z296" i="59"/>
  <c r="X296" i="59"/>
  <c r="Z243" i="59"/>
  <c r="Y243" i="59"/>
  <c r="C29" i="130"/>
  <c r="L29" i="130" s="1"/>
  <c r="X243" i="59"/>
  <c r="Y294" i="59"/>
  <c r="Z294" i="59"/>
  <c r="X294" i="59"/>
  <c r="Z236" i="59"/>
  <c r="X236" i="59"/>
  <c r="Y236" i="59"/>
  <c r="X303" i="59"/>
  <c r="Y303" i="59"/>
  <c r="Z303" i="59"/>
  <c r="Y234" i="59"/>
  <c r="Z234" i="59"/>
  <c r="X234" i="59"/>
  <c r="Y263" i="59"/>
  <c r="Z263" i="59"/>
  <c r="X263" i="59"/>
  <c r="C31" i="130"/>
  <c r="L31" i="130" s="1"/>
  <c r="Z256" i="59"/>
  <c r="X256" i="59"/>
  <c r="Y256" i="59"/>
  <c r="C34" i="130"/>
  <c r="Y309" i="59"/>
  <c r="AT300" i="59" s="1"/>
  <c r="Y299" i="59"/>
  <c r="AT290" i="59" s="1"/>
  <c r="X299" i="59"/>
  <c r="J17" i="130"/>
  <c r="J35" i="130"/>
  <c r="J31" i="57"/>
  <c r="I10" i="128" s="1"/>
  <c r="J16" i="57"/>
  <c r="I7" i="128" s="1"/>
  <c r="J46" i="57"/>
  <c r="I13" i="128" s="1"/>
  <c r="J56" i="57"/>
  <c r="I15" i="128" s="1"/>
  <c r="J156" i="57"/>
  <c r="I35" i="128" s="1"/>
  <c r="J21" i="57"/>
  <c r="I8" i="128" s="1"/>
  <c r="J36" i="57"/>
  <c r="I11" i="128" s="1"/>
  <c r="J41" i="57"/>
  <c r="I12" i="128" s="1"/>
  <c r="J51" i="57"/>
  <c r="I14" i="128" s="1"/>
  <c r="J26" i="57"/>
  <c r="I9" i="128" s="1"/>
  <c r="J106" i="57"/>
  <c r="I25" i="128" s="1"/>
  <c r="J46" i="84"/>
  <c r="J30" i="84"/>
  <c r="H104" i="74"/>
  <c r="H103" i="74"/>
  <c r="K102" i="74"/>
  <c r="H102" i="74"/>
  <c r="H101" i="74"/>
  <c r="N92" i="74"/>
  <c r="N84" i="74"/>
  <c r="N83" i="74"/>
  <c r="N82" i="74"/>
  <c r="N80" i="74"/>
  <c r="N79" i="74"/>
  <c r="N78" i="74"/>
  <c r="N77" i="74"/>
  <c r="N76" i="74"/>
  <c r="N74" i="74"/>
  <c r="N73" i="74"/>
  <c r="N71" i="74"/>
  <c r="N70" i="74"/>
  <c r="N68" i="74"/>
  <c r="N67" i="74"/>
  <c r="N66" i="74"/>
  <c r="N65" i="74"/>
  <c r="R64" i="74"/>
  <c r="N64" i="74"/>
  <c r="O35" i="74"/>
  <c r="E35" i="74"/>
  <c r="B39" i="64"/>
  <c r="B38" i="64"/>
  <c r="B37" i="64"/>
  <c r="B36" i="64"/>
  <c r="B35" i="64"/>
  <c r="B34" i="64"/>
  <c r="B33" i="64"/>
  <c r="B32" i="64"/>
  <c r="B31" i="64"/>
  <c r="B30" i="64"/>
  <c r="B29" i="64"/>
  <c r="B28" i="64"/>
  <c r="B27" i="64"/>
  <c r="B26" i="64"/>
  <c r="B25" i="64"/>
  <c r="B24" i="64"/>
  <c r="B23" i="64"/>
  <c r="B22" i="64"/>
  <c r="B21" i="64"/>
  <c r="B20" i="64"/>
  <c r="B19" i="64"/>
  <c r="B18" i="64"/>
  <c r="B17" i="64"/>
  <c r="B16" i="64"/>
  <c r="B15" i="64"/>
  <c r="B14" i="64"/>
  <c r="B13" i="64"/>
  <c r="B12" i="64"/>
  <c r="B11" i="64"/>
  <c r="B10" i="64"/>
  <c r="B9" i="64"/>
  <c r="T111" i="76" l="1"/>
  <c r="U111" i="76" s="1"/>
  <c r="L114" i="76"/>
  <c r="M114" i="76"/>
  <c r="K114" i="76"/>
  <c r="L126" i="76"/>
  <c r="K126" i="76"/>
  <c r="T123" i="76"/>
  <c r="U123" i="76" s="1"/>
  <c r="M126" i="76"/>
  <c r="J111" i="79"/>
  <c r="I111" i="79"/>
  <c r="L253" i="109"/>
  <c r="AA247" i="109" s="1"/>
  <c r="M253" i="109"/>
  <c r="Z247" i="109"/>
  <c r="K253" i="109"/>
  <c r="L44" i="84"/>
  <c r="M44" i="84"/>
  <c r="K44" i="84"/>
  <c r="I135" i="79"/>
  <c r="J135" i="79"/>
  <c r="J52" i="79"/>
  <c r="I52" i="79"/>
  <c r="K75" i="79"/>
  <c r="M75" i="79"/>
  <c r="L75" i="79"/>
  <c r="M189" i="79"/>
  <c r="L189" i="79"/>
  <c r="K189" i="79"/>
  <c r="K81" i="79"/>
  <c r="M81" i="79"/>
  <c r="L81" i="79"/>
  <c r="K129" i="79"/>
  <c r="M129" i="79"/>
  <c r="L129" i="79"/>
  <c r="I39" i="79"/>
  <c r="J39" i="79"/>
  <c r="I110" i="79"/>
  <c r="J110" i="79"/>
  <c r="L125" i="79"/>
  <c r="K125" i="79"/>
  <c r="M125" i="79"/>
  <c r="I93" i="79"/>
  <c r="J93" i="79"/>
  <c r="M223" i="84"/>
  <c r="K223" i="84"/>
  <c r="L223" i="84"/>
  <c r="J50" i="79"/>
  <c r="I50" i="79"/>
  <c r="K98" i="79"/>
  <c r="M98" i="79"/>
  <c r="L98" i="79"/>
  <c r="I206" i="79"/>
  <c r="J206" i="79"/>
  <c r="J224" i="79"/>
  <c r="I224" i="79"/>
  <c r="M196" i="79"/>
  <c r="L196" i="79"/>
  <c r="K196" i="79"/>
  <c r="K104" i="79"/>
  <c r="M104" i="79"/>
  <c r="L104" i="79"/>
  <c r="J230" i="79"/>
  <c r="I230" i="79"/>
  <c r="M232" i="109"/>
  <c r="K232" i="109"/>
  <c r="Z226" i="109"/>
  <c r="L232" i="109"/>
  <c r="AA226" i="109" s="1"/>
  <c r="J76" i="79"/>
  <c r="I76" i="79"/>
  <c r="I172" i="79"/>
  <c r="J172" i="79"/>
  <c r="L132" i="76"/>
  <c r="M132" i="76"/>
  <c r="K132" i="76"/>
  <c r="J134" i="76"/>
  <c r="M137" i="79"/>
  <c r="L137" i="79"/>
  <c r="K137" i="79"/>
  <c r="M135" i="84"/>
  <c r="K135" i="84"/>
  <c r="L135" i="84"/>
  <c r="H127" i="79"/>
  <c r="H187" i="79"/>
  <c r="L229" i="84"/>
  <c r="K229" i="84"/>
  <c r="M229" i="84"/>
  <c r="K41" i="84"/>
  <c r="M41" i="84"/>
  <c r="L41" i="84"/>
  <c r="H176" i="79"/>
  <c r="H236" i="79"/>
  <c r="K53" i="79"/>
  <c r="L53" i="79"/>
  <c r="M53" i="79"/>
  <c r="K149" i="79"/>
  <c r="M149" i="79"/>
  <c r="L149" i="79"/>
  <c r="H72" i="79"/>
  <c r="I67" i="79"/>
  <c r="J67" i="79"/>
  <c r="H120" i="79"/>
  <c r="J115" i="79"/>
  <c r="I115" i="79"/>
  <c r="H241" i="79"/>
  <c r="H181" i="79"/>
  <c r="I88" i="79"/>
  <c r="J88" i="79"/>
  <c r="K205" i="84"/>
  <c r="M205" i="84"/>
  <c r="L205" i="84"/>
  <c r="I56" i="79"/>
  <c r="J56" i="79"/>
  <c r="K130" i="79"/>
  <c r="M130" i="79"/>
  <c r="L130" i="79"/>
  <c r="L58" i="79"/>
  <c r="K58" i="79"/>
  <c r="M58" i="79"/>
  <c r="L166" i="79"/>
  <c r="M166" i="79"/>
  <c r="K166" i="79"/>
  <c r="K94" i="79"/>
  <c r="M94" i="79"/>
  <c r="L94" i="79"/>
  <c r="I159" i="79"/>
  <c r="J159" i="79"/>
  <c r="L33" i="84"/>
  <c r="M33" i="84"/>
  <c r="K33" i="84"/>
  <c r="L213" i="79"/>
  <c r="K213" i="79"/>
  <c r="M213" i="79"/>
  <c r="M77" i="79"/>
  <c r="L77" i="79"/>
  <c r="K77" i="79"/>
  <c r="L173" i="79"/>
  <c r="K173" i="79"/>
  <c r="M173" i="79"/>
  <c r="L167" i="84"/>
  <c r="M167" i="84"/>
  <c r="K167" i="84"/>
  <c r="M74" i="79"/>
  <c r="L74" i="79"/>
  <c r="K74" i="79"/>
  <c r="K133" i="84"/>
  <c r="M133" i="84"/>
  <c r="L133" i="84"/>
  <c r="I170" i="79"/>
  <c r="J170" i="79"/>
  <c r="J38" i="79"/>
  <c r="I38" i="79"/>
  <c r="K168" i="109"/>
  <c r="M168" i="109"/>
  <c r="L168" i="109"/>
  <c r="M95" i="84"/>
  <c r="K95" i="84"/>
  <c r="L95" i="84"/>
  <c r="I40" i="79"/>
  <c r="J40" i="79"/>
  <c r="I136" i="79"/>
  <c r="J136" i="79"/>
  <c r="L46" i="79"/>
  <c r="K46" i="79"/>
  <c r="M46" i="79"/>
  <c r="L120" i="76"/>
  <c r="M120" i="76"/>
  <c r="K120" i="76"/>
  <c r="H151" i="79"/>
  <c r="H211" i="79"/>
  <c r="K178" i="79"/>
  <c r="M178" i="79"/>
  <c r="L178" i="79"/>
  <c r="K239" i="109"/>
  <c r="L239" i="109"/>
  <c r="AA233" i="109" s="1"/>
  <c r="Z233" i="109"/>
  <c r="M239" i="109"/>
  <c r="L106" i="79"/>
  <c r="K106" i="79"/>
  <c r="M106" i="79"/>
  <c r="I62" i="79"/>
  <c r="J62" i="79"/>
  <c r="L136" i="76"/>
  <c r="M136" i="76"/>
  <c r="K136" i="76"/>
  <c r="J138" i="76"/>
  <c r="L123" i="79"/>
  <c r="K123" i="79"/>
  <c r="M123" i="79"/>
  <c r="M113" i="79"/>
  <c r="L113" i="79"/>
  <c r="K113" i="79"/>
  <c r="H36" i="79"/>
  <c r="I31" i="79"/>
  <c r="J31" i="79"/>
  <c r="K101" i="84"/>
  <c r="L101" i="84"/>
  <c r="M101" i="84"/>
  <c r="M103" i="84"/>
  <c r="K103" i="84"/>
  <c r="L103" i="84"/>
  <c r="H194" i="79"/>
  <c r="H134" i="79"/>
  <c r="J183" i="79"/>
  <c r="I183" i="79"/>
  <c r="J64" i="79"/>
  <c r="I64" i="79"/>
  <c r="L197" i="109"/>
  <c r="AA191" i="109" s="1"/>
  <c r="M197" i="109"/>
  <c r="Z191" i="109"/>
  <c r="K197" i="109"/>
  <c r="K80" i="79"/>
  <c r="M80" i="79"/>
  <c r="L80" i="79"/>
  <c r="J188" i="79"/>
  <c r="I188" i="79"/>
  <c r="L173" i="84"/>
  <c r="K173" i="84"/>
  <c r="M173" i="84"/>
  <c r="M190" i="109"/>
  <c r="Z184" i="109"/>
  <c r="L190" i="109"/>
  <c r="AA184" i="109" s="1"/>
  <c r="K190" i="109"/>
  <c r="J109" i="79"/>
  <c r="H114" i="79"/>
  <c r="I109" i="79"/>
  <c r="H217" i="79"/>
  <c r="H157" i="79"/>
  <c r="J124" i="79"/>
  <c r="I124" i="79"/>
  <c r="L140" i="76"/>
  <c r="M140" i="76"/>
  <c r="K140" i="76"/>
  <c r="J142" i="76"/>
  <c r="J68" i="79"/>
  <c r="I68" i="79"/>
  <c r="I140" i="79"/>
  <c r="J140" i="79"/>
  <c r="J49" i="79"/>
  <c r="I49" i="79"/>
  <c r="H54" i="79"/>
  <c r="I97" i="79"/>
  <c r="J97" i="79"/>
  <c r="H102" i="79"/>
  <c r="H205" i="79"/>
  <c r="H145" i="79"/>
  <c r="M41" i="79"/>
  <c r="L41" i="79"/>
  <c r="K41" i="79"/>
  <c r="L246" i="109"/>
  <c r="AA240" i="109" s="1"/>
  <c r="M246" i="109"/>
  <c r="Z240" i="109"/>
  <c r="K246" i="109"/>
  <c r="M197" i="84"/>
  <c r="L197" i="84"/>
  <c r="K197" i="84"/>
  <c r="M33" i="79"/>
  <c r="L33" i="79"/>
  <c r="K33" i="79"/>
  <c r="H84" i="79"/>
  <c r="I79" i="79"/>
  <c r="J79" i="79"/>
  <c r="L161" i="109"/>
  <c r="K161" i="109"/>
  <c r="M161" i="109"/>
  <c r="M70" i="79"/>
  <c r="L70" i="79"/>
  <c r="K70" i="79"/>
  <c r="M225" i="109"/>
  <c r="Z219" i="109"/>
  <c r="K225" i="109"/>
  <c r="L225" i="109"/>
  <c r="AA219" i="109" s="1"/>
  <c r="J102" i="84"/>
  <c r="AB95" i="84" s="1"/>
  <c r="AC95" i="84" s="1"/>
  <c r="L28" i="84"/>
  <c r="M28" i="84"/>
  <c r="K28" i="84"/>
  <c r="J87" i="79"/>
  <c r="I87" i="79"/>
  <c r="H235" i="79"/>
  <c r="H175" i="79"/>
  <c r="K210" i="109"/>
  <c r="M210" i="109"/>
  <c r="L210" i="109"/>
  <c r="I100" i="79"/>
  <c r="J100" i="79"/>
  <c r="K63" i="84"/>
  <c r="M63" i="84"/>
  <c r="L63" i="84"/>
  <c r="M44" i="79"/>
  <c r="L44" i="79"/>
  <c r="K44" i="79"/>
  <c r="M165" i="84"/>
  <c r="L165" i="84"/>
  <c r="K165" i="84"/>
  <c r="K99" i="79"/>
  <c r="M99" i="79"/>
  <c r="L99" i="79"/>
  <c r="L165" i="79"/>
  <c r="K165" i="79"/>
  <c r="M165" i="79"/>
  <c r="L105" i="79"/>
  <c r="M105" i="79"/>
  <c r="K105" i="79"/>
  <c r="I153" i="79"/>
  <c r="J153" i="79"/>
  <c r="K195" i="79"/>
  <c r="M195" i="79"/>
  <c r="L195" i="79"/>
  <c r="K217" i="109"/>
  <c r="L217" i="109"/>
  <c r="M217" i="109"/>
  <c r="J61" i="79"/>
  <c r="H66" i="79"/>
  <c r="I61" i="79"/>
  <c r="H218" i="79"/>
  <c r="H158" i="79"/>
  <c r="I43" i="79"/>
  <c r="J43" i="79"/>
  <c r="H48" i="79"/>
  <c r="M117" i="79"/>
  <c r="L117" i="79"/>
  <c r="K117" i="79"/>
  <c r="J207" i="79"/>
  <c r="I207" i="79"/>
  <c r="K144" i="76"/>
  <c r="L144" i="76"/>
  <c r="M144" i="76"/>
  <c r="J146" i="76"/>
  <c r="L122" i="79"/>
  <c r="K122" i="79"/>
  <c r="M122" i="79"/>
  <c r="I160" i="79"/>
  <c r="J160" i="79"/>
  <c r="K77" i="84"/>
  <c r="L77" i="84"/>
  <c r="M77" i="84"/>
  <c r="L128" i="76"/>
  <c r="K128" i="76"/>
  <c r="M128" i="76"/>
  <c r="J128" i="79"/>
  <c r="I128" i="79"/>
  <c r="M159" i="84"/>
  <c r="L159" i="84"/>
  <c r="K159" i="84"/>
  <c r="H90" i="79"/>
  <c r="I85" i="79"/>
  <c r="J85" i="79"/>
  <c r="J177" i="79"/>
  <c r="I177" i="79"/>
  <c r="K204" i="109"/>
  <c r="Z198" i="109"/>
  <c r="L204" i="109"/>
  <c r="AA198" i="109" s="1"/>
  <c r="M204" i="109"/>
  <c r="L191" i="84"/>
  <c r="M191" i="84"/>
  <c r="K191" i="84"/>
  <c r="L71" i="84"/>
  <c r="M71" i="84"/>
  <c r="K71" i="84"/>
  <c r="J92" i="79"/>
  <c r="I92" i="79"/>
  <c r="J200" i="79"/>
  <c r="I200" i="79"/>
  <c r="K199" i="84"/>
  <c r="M199" i="84"/>
  <c r="L199" i="84"/>
  <c r="M27" i="79"/>
  <c r="L27" i="79"/>
  <c r="K27" i="79"/>
  <c r="H126" i="79"/>
  <c r="J121" i="79"/>
  <c r="I121" i="79"/>
  <c r="L190" i="79"/>
  <c r="K190" i="79"/>
  <c r="M190" i="79"/>
  <c r="I103" i="79"/>
  <c r="H108" i="79"/>
  <c r="J103" i="79"/>
  <c r="H169" i="79"/>
  <c r="H229" i="79"/>
  <c r="M203" i="109"/>
  <c r="K203" i="109"/>
  <c r="L203" i="109"/>
  <c r="L208" i="79"/>
  <c r="K208" i="79"/>
  <c r="M208" i="79"/>
  <c r="L25" i="84"/>
  <c r="K25" i="84"/>
  <c r="M25" i="84"/>
  <c r="H42" i="79"/>
  <c r="I37" i="79"/>
  <c r="J37" i="79"/>
  <c r="M101" i="79"/>
  <c r="L101" i="79"/>
  <c r="K101" i="79"/>
  <c r="L141" i="84"/>
  <c r="K141" i="84"/>
  <c r="M141" i="84"/>
  <c r="L45" i="79"/>
  <c r="K45" i="79"/>
  <c r="M45" i="79"/>
  <c r="I91" i="79"/>
  <c r="J91" i="79"/>
  <c r="H96" i="79"/>
  <c r="J218" i="109"/>
  <c r="K26" i="79"/>
  <c r="M26" i="79"/>
  <c r="L26" i="79"/>
  <c r="M116" i="76"/>
  <c r="K116" i="76"/>
  <c r="L116" i="76"/>
  <c r="L32" i="79"/>
  <c r="K32" i="79"/>
  <c r="M32" i="79"/>
  <c r="K34" i="79"/>
  <c r="M34" i="79"/>
  <c r="L34" i="79"/>
  <c r="M154" i="79"/>
  <c r="L154" i="79"/>
  <c r="K154" i="79"/>
  <c r="L214" i="79"/>
  <c r="K214" i="79"/>
  <c r="M214" i="79"/>
  <c r="M82" i="79"/>
  <c r="L82" i="79"/>
  <c r="K82" i="79"/>
  <c r="I148" i="79"/>
  <c r="J148" i="79"/>
  <c r="M109" i="84"/>
  <c r="L109" i="84"/>
  <c r="K109" i="84"/>
  <c r="Z163" i="109"/>
  <c r="L169" i="109"/>
  <c r="AA163" i="109" s="1"/>
  <c r="M169" i="109"/>
  <c r="K169" i="109"/>
  <c r="L124" i="76"/>
  <c r="M124" i="76"/>
  <c r="K124" i="76"/>
  <c r="L176" i="109"/>
  <c r="AA170" i="109" s="1"/>
  <c r="M176" i="109"/>
  <c r="K176" i="109"/>
  <c r="Z170" i="109"/>
  <c r="J38" i="84"/>
  <c r="L211" i="109"/>
  <c r="AA205" i="109" s="1"/>
  <c r="Z205" i="109"/>
  <c r="M211" i="109"/>
  <c r="K211" i="109"/>
  <c r="K112" i="76"/>
  <c r="L112" i="76"/>
  <c r="M112" i="76"/>
  <c r="J51" i="79"/>
  <c r="I51" i="79"/>
  <c r="M147" i="79"/>
  <c r="L147" i="79"/>
  <c r="K147" i="79"/>
  <c r="L65" i="79"/>
  <c r="K65" i="79"/>
  <c r="M65" i="79"/>
  <c r="L161" i="79"/>
  <c r="K161" i="79"/>
  <c r="M161" i="79"/>
  <c r="J55" i="79"/>
  <c r="H60" i="79"/>
  <c r="I55" i="79"/>
  <c r="M171" i="79"/>
  <c r="L171" i="79"/>
  <c r="K171" i="79"/>
  <c r="K182" i="109"/>
  <c r="L182" i="109"/>
  <c r="M182" i="109"/>
  <c r="M118" i="79"/>
  <c r="L118" i="79"/>
  <c r="K118" i="79"/>
  <c r="J86" i="79"/>
  <c r="I86" i="79"/>
  <c r="K29" i="79"/>
  <c r="M29" i="79"/>
  <c r="L29" i="79"/>
  <c r="L127" i="84"/>
  <c r="K127" i="84"/>
  <c r="M127" i="84"/>
  <c r="J69" i="79"/>
  <c r="I69" i="79"/>
  <c r="L141" i="79"/>
  <c r="K141" i="79"/>
  <c r="M141" i="79"/>
  <c r="K196" i="109"/>
  <c r="L196" i="109"/>
  <c r="M196" i="109"/>
  <c r="L36" i="84"/>
  <c r="K36" i="84"/>
  <c r="M36" i="84"/>
  <c r="I146" i="79"/>
  <c r="J146" i="79"/>
  <c r="J164" i="79"/>
  <c r="I164" i="79"/>
  <c r="J112" i="79"/>
  <c r="I112" i="79"/>
  <c r="J183" i="109"/>
  <c r="H152" i="79"/>
  <c r="H212" i="79"/>
  <c r="H193" i="79"/>
  <c r="H133" i="79"/>
  <c r="J201" i="79"/>
  <c r="I201" i="79"/>
  <c r="L116" i="79"/>
  <c r="K116" i="79"/>
  <c r="M116" i="79"/>
  <c r="H242" i="79"/>
  <c r="H182" i="79"/>
  <c r="L142" i="79"/>
  <c r="K142" i="79"/>
  <c r="M142" i="79"/>
  <c r="I73" i="79"/>
  <c r="H78" i="79"/>
  <c r="J73" i="79"/>
  <c r="H163" i="79"/>
  <c r="H223" i="79"/>
  <c r="K89" i="79"/>
  <c r="M89" i="79"/>
  <c r="L89" i="79"/>
  <c r="M185" i="79"/>
  <c r="L185" i="79"/>
  <c r="K185" i="79"/>
  <c r="J130" i="76"/>
  <c r="T115" i="76"/>
  <c r="U115" i="76" s="1"/>
  <c r="L118" i="76"/>
  <c r="M118" i="76"/>
  <c r="K118" i="76"/>
  <c r="I57" i="79"/>
  <c r="J57" i="79"/>
  <c r="K231" i="84"/>
  <c r="L231" i="84"/>
  <c r="M231" i="84"/>
  <c r="J63" i="79"/>
  <c r="I63" i="79"/>
  <c r="L175" i="109"/>
  <c r="M175" i="109"/>
  <c r="K175" i="109"/>
  <c r="J162" i="109"/>
  <c r="H199" i="79"/>
  <c r="H139" i="79"/>
  <c r="L237" i="84"/>
  <c r="K237" i="84"/>
  <c r="M237" i="84"/>
  <c r="J184" i="79"/>
  <c r="I184" i="79"/>
  <c r="J122" i="76"/>
  <c r="L69" i="84"/>
  <c r="K69" i="84"/>
  <c r="M69" i="84"/>
  <c r="M202" i="79"/>
  <c r="L202" i="79"/>
  <c r="K202" i="79"/>
  <c r="F11" i="128"/>
  <c r="AB47" i="84"/>
  <c r="AC47" i="84" s="1"/>
  <c r="F15" i="128"/>
  <c r="AB79" i="84"/>
  <c r="AC79" i="84" s="1"/>
  <c r="F31" i="128"/>
  <c r="AB207" i="84"/>
  <c r="AC207" i="84" s="1"/>
  <c r="F14" i="128"/>
  <c r="AB71" i="84"/>
  <c r="AC71" i="84" s="1"/>
  <c r="F24" i="128"/>
  <c r="AB151" i="84"/>
  <c r="AC151" i="84" s="1"/>
  <c r="F12" i="128"/>
  <c r="AB55" i="84"/>
  <c r="AC55" i="84" s="1"/>
  <c r="F25" i="128"/>
  <c r="AB159" i="84"/>
  <c r="AC159" i="84" s="1"/>
  <c r="F10" i="128"/>
  <c r="AB39" i="84"/>
  <c r="AC39" i="84" s="1"/>
  <c r="F8" i="128"/>
  <c r="AB23" i="84"/>
  <c r="AC23" i="84" s="1"/>
  <c r="F9" i="128"/>
  <c r="AB31" i="84"/>
  <c r="AC31" i="84" s="1"/>
  <c r="F13" i="128"/>
  <c r="AB63" i="84"/>
  <c r="AC63" i="84" s="1"/>
  <c r="C30" i="130"/>
  <c r="L30" i="130" s="1"/>
  <c r="L28" i="130"/>
  <c r="L34" i="130"/>
  <c r="X309" i="59"/>
  <c r="AS300" i="59"/>
  <c r="J47" i="130"/>
  <c r="J49" i="130"/>
  <c r="J48" i="130"/>
  <c r="E18" i="131" s="1"/>
  <c r="F18" i="131" s="1"/>
  <c r="F19" i="128"/>
  <c r="F21" i="128"/>
  <c r="F29" i="128"/>
  <c r="L29" i="128" s="1"/>
  <c r="F33" i="128"/>
  <c r="L33" i="128" s="1"/>
  <c r="F18" i="128"/>
  <c r="F22" i="128"/>
  <c r="F17" i="128"/>
  <c r="F23" i="128"/>
  <c r="F27" i="128"/>
  <c r="L27" i="128" s="1"/>
  <c r="L35" i="130"/>
  <c r="F16" i="128"/>
  <c r="F20" i="128"/>
  <c r="F26" i="128"/>
  <c r="F32" i="128"/>
  <c r="L32" i="128" s="1"/>
  <c r="F28" i="128"/>
  <c r="L28" i="128" s="1"/>
  <c r="F30" i="128"/>
  <c r="L30" i="128" s="1"/>
  <c r="F34" i="128"/>
  <c r="L34" i="128" s="1"/>
  <c r="F36" i="128"/>
  <c r="L36" i="128" s="1"/>
  <c r="L240" i="84"/>
  <c r="M240" i="84"/>
  <c r="K240" i="84"/>
  <c r="J246" i="84"/>
  <c r="AB239" i="84" s="1"/>
  <c r="AC239" i="84" s="1"/>
  <c r="L86" i="84"/>
  <c r="M86" i="84"/>
  <c r="K86" i="84"/>
  <c r="M62" i="84"/>
  <c r="K62" i="84"/>
  <c r="L62" i="84"/>
  <c r="M118" i="84"/>
  <c r="K118" i="84"/>
  <c r="L118" i="84"/>
  <c r="L134" i="84"/>
  <c r="M134" i="84"/>
  <c r="K134" i="84"/>
  <c r="K166" i="84"/>
  <c r="L166" i="84"/>
  <c r="M166" i="84"/>
  <c r="K198" i="84"/>
  <c r="L198" i="84"/>
  <c r="M198" i="84"/>
  <c r="L230" i="84"/>
  <c r="M230" i="84"/>
  <c r="K230" i="84"/>
  <c r="L242" i="84"/>
  <c r="M242" i="84"/>
  <c r="K242" i="84"/>
  <c r="L110" i="84"/>
  <c r="M110" i="84"/>
  <c r="K110" i="84"/>
  <c r="M142" i="84"/>
  <c r="K142" i="84"/>
  <c r="L142" i="84"/>
  <c r="M102" i="84"/>
  <c r="K102" i="84"/>
  <c r="L102" i="84"/>
  <c r="L150" i="84"/>
  <c r="M150" i="84"/>
  <c r="K150" i="84"/>
  <c r="M182" i="84"/>
  <c r="K182" i="84"/>
  <c r="L182" i="84"/>
  <c r="M214" i="84"/>
  <c r="K214" i="84"/>
  <c r="L214" i="84"/>
  <c r="M70" i="84"/>
  <c r="K70" i="84"/>
  <c r="L70" i="84"/>
  <c r="L78" i="84"/>
  <c r="M78" i="84"/>
  <c r="K78" i="84"/>
  <c r="L94" i="84"/>
  <c r="M94" i="84"/>
  <c r="K94" i="84"/>
  <c r="L126" i="84"/>
  <c r="M126" i="84"/>
  <c r="K126" i="84"/>
  <c r="M158" i="84"/>
  <c r="K158" i="84"/>
  <c r="L158" i="84"/>
  <c r="M174" i="84"/>
  <c r="K174" i="84"/>
  <c r="L174" i="84"/>
  <c r="M222" i="84"/>
  <c r="K222" i="84"/>
  <c r="L222" i="84"/>
  <c r="L190" i="84"/>
  <c r="M190" i="84"/>
  <c r="K190" i="84"/>
  <c r="M206" i="84"/>
  <c r="K206" i="84"/>
  <c r="L206" i="84"/>
  <c r="K238" i="84"/>
  <c r="L238" i="84"/>
  <c r="M238" i="84"/>
  <c r="M254" i="84"/>
  <c r="K254" i="84"/>
  <c r="L254" i="84"/>
  <c r="M54" i="84"/>
  <c r="K54" i="84"/>
  <c r="L54" i="84"/>
  <c r="L25" i="79"/>
  <c r="K25" i="79"/>
  <c r="M25" i="79"/>
  <c r="J30" i="79"/>
  <c r="M15" i="79"/>
  <c r="K15" i="79"/>
  <c r="L15" i="79"/>
  <c r="M21" i="79"/>
  <c r="K21" i="79"/>
  <c r="L21" i="79"/>
  <c r="L14" i="79"/>
  <c r="M14" i="79"/>
  <c r="K14" i="79"/>
  <c r="K20" i="79"/>
  <c r="L20" i="79"/>
  <c r="M20" i="79"/>
  <c r="I13" i="79"/>
  <c r="J13" i="79"/>
  <c r="I19" i="79"/>
  <c r="J19" i="79"/>
  <c r="L23" i="79"/>
  <c r="M23" i="79"/>
  <c r="K23" i="79"/>
  <c r="H18" i="79"/>
  <c r="J16" i="79"/>
  <c r="I16" i="79"/>
  <c r="I22" i="79"/>
  <c r="H24" i="79"/>
  <c r="J22" i="79"/>
  <c r="L17" i="79"/>
  <c r="M17" i="79"/>
  <c r="K17" i="79"/>
  <c r="K20" i="84"/>
  <c r="M20" i="84"/>
  <c r="L20" i="84"/>
  <c r="M21" i="84"/>
  <c r="L21" i="84"/>
  <c r="K21" i="84"/>
  <c r="Y259" i="59"/>
  <c r="AT250" i="59" s="1"/>
  <c r="X259" i="59"/>
  <c r="X239" i="59"/>
  <c r="Y239" i="59"/>
  <c r="AT230" i="59" s="1"/>
  <c r="Y249" i="59"/>
  <c r="AT240" i="59" s="1"/>
  <c r="X249" i="59"/>
  <c r="Y269" i="59"/>
  <c r="AT260" i="59" s="1"/>
  <c r="X269" i="59"/>
  <c r="X279" i="59"/>
  <c r="Y279" i="59"/>
  <c r="AT270" i="59" s="1"/>
  <c r="Y289" i="59"/>
  <c r="AT280" i="59" s="1"/>
  <c r="X289" i="59"/>
  <c r="J162" i="110"/>
  <c r="J36" i="110"/>
  <c r="J10" i="128" s="1"/>
  <c r="J120" i="110"/>
  <c r="J18" i="110"/>
  <c r="J7" i="128" s="1"/>
  <c r="J24" i="110"/>
  <c r="J8" i="128" s="1"/>
  <c r="J30" i="110"/>
  <c r="J9" i="128" s="1"/>
  <c r="J204" i="110"/>
  <c r="J42" i="110"/>
  <c r="K41" i="57"/>
  <c r="L41" i="57"/>
  <c r="M41" i="57"/>
  <c r="M106" i="57"/>
  <c r="L106" i="57"/>
  <c r="K106" i="57"/>
  <c r="K26" i="57"/>
  <c r="M26" i="57"/>
  <c r="L26" i="57"/>
  <c r="M46" i="57"/>
  <c r="K46" i="57"/>
  <c r="L46" i="57"/>
  <c r="K51" i="57"/>
  <c r="L51" i="57"/>
  <c r="M51" i="57"/>
  <c r="M21" i="57"/>
  <c r="K21" i="57"/>
  <c r="L21" i="57"/>
  <c r="K156" i="57"/>
  <c r="L156" i="57"/>
  <c r="M156" i="57"/>
  <c r="M56" i="57"/>
  <c r="K56" i="57"/>
  <c r="L56" i="57"/>
  <c r="M16" i="57"/>
  <c r="K16" i="57"/>
  <c r="L16" i="57"/>
  <c r="L36" i="57"/>
  <c r="M36" i="57"/>
  <c r="K36" i="57"/>
  <c r="L31" i="57"/>
  <c r="M31" i="57"/>
  <c r="K31" i="57"/>
  <c r="L30" i="84"/>
  <c r="M30" i="84"/>
  <c r="K30" i="84"/>
  <c r="L38" i="84"/>
  <c r="K38" i="84"/>
  <c r="M38" i="84"/>
  <c r="M46" i="84"/>
  <c r="K46" i="84"/>
  <c r="L46" i="84"/>
  <c r="AC55" i="74"/>
  <c r="N62" i="74"/>
  <c r="E28" i="74"/>
  <c r="M184" i="79" l="1"/>
  <c r="L184" i="79"/>
  <c r="K184" i="79"/>
  <c r="J139" i="79"/>
  <c r="H144" i="79"/>
  <c r="I139" i="79"/>
  <c r="J223" i="79"/>
  <c r="H228" i="79"/>
  <c r="I223" i="79"/>
  <c r="J182" i="79"/>
  <c r="I182" i="79"/>
  <c r="I193" i="79"/>
  <c r="J193" i="79"/>
  <c r="H198" i="79"/>
  <c r="M146" i="79"/>
  <c r="L146" i="79"/>
  <c r="K146" i="79"/>
  <c r="M69" i="79"/>
  <c r="L69" i="79"/>
  <c r="K69" i="79"/>
  <c r="M86" i="79"/>
  <c r="L86" i="79"/>
  <c r="K86" i="79"/>
  <c r="M55" i="79"/>
  <c r="J60" i="79"/>
  <c r="K55" i="79"/>
  <c r="L55" i="79"/>
  <c r="K103" i="79"/>
  <c r="L103" i="79"/>
  <c r="M103" i="79"/>
  <c r="J108" i="79"/>
  <c r="M200" i="79"/>
  <c r="L200" i="79"/>
  <c r="K200" i="79"/>
  <c r="J48" i="79"/>
  <c r="K43" i="79"/>
  <c r="L43" i="79"/>
  <c r="M43" i="79"/>
  <c r="L79" i="79"/>
  <c r="M79" i="79"/>
  <c r="J84" i="79"/>
  <c r="K79" i="79"/>
  <c r="H150" i="79"/>
  <c r="I145" i="79"/>
  <c r="J145" i="79"/>
  <c r="M140" i="79"/>
  <c r="K140" i="79"/>
  <c r="L140" i="79"/>
  <c r="T139" i="76"/>
  <c r="U139" i="76" s="1"/>
  <c r="M142" i="76"/>
  <c r="K142" i="76"/>
  <c r="L142" i="76"/>
  <c r="M64" i="79"/>
  <c r="L64" i="79"/>
  <c r="K64" i="79"/>
  <c r="I194" i="79"/>
  <c r="J194" i="79"/>
  <c r="L138" i="76"/>
  <c r="T135" i="76"/>
  <c r="U135" i="76" s="1"/>
  <c r="M138" i="76"/>
  <c r="K138" i="76"/>
  <c r="K62" i="79"/>
  <c r="M62" i="79"/>
  <c r="L62" i="79"/>
  <c r="H216" i="79"/>
  <c r="J211" i="79"/>
  <c r="I211" i="79"/>
  <c r="L136" i="79"/>
  <c r="K136" i="79"/>
  <c r="M136" i="79"/>
  <c r="K170" i="79"/>
  <c r="L170" i="79"/>
  <c r="M170" i="79"/>
  <c r="H186" i="79"/>
  <c r="J181" i="79"/>
  <c r="I181" i="79"/>
  <c r="L206" i="79"/>
  <c r="K206" i="79"/>
  <c r="M206" i="79"/>
  <c r="L52" i="79"/>
  <c r="K52" i="79"/>
  <c r="M52" i="79"/>
  <c r="H204" i="79"/>
  <c r="J199" i="79"/>
  <c r="I199" i="79"/>
  <c r="T127" i="76"/>
  <c r="U127" i="76" s="1"/>
  <c r="M130" i="76"/>
  <c r="L130" i="76"/>
  <c r="K130" i="76"/>
  <c r="J163" i="79"/>
  <c r="H168" i="79"/>
  <c r="I163" i="79"/>
  <c r="I242" i="79"/>
  <c r="J242" i="79"/>
  <c r="I212" i="79"/>
  <c r="J212" i="79"/>
  <c r="M112" i="79"/>
  <c r="L112" i="79"/>
  <c r="K112" i="79"/>
  <c r="M218" i="109"/>
  <c r="Z212" i="109"/>
  <c r="K218" i="109"/>
  <c r="L218" i="109"/>
  <c r="AA212" i="109" s="1"/>
  <c r="M160" i="79"/>
  <c r="L160" i="79"/>
  <c r="K160" i="79"/>
  <c r="M153" i="79"/>
  <c r="L153" i="79"/>
  <c r="K153" i="79"/>
  <c r="L100" i="79"/>
  <c r="K100" i="79"/>
  <c r="M100" i="79"/>
  <c r="K87" i="79"/>
  <c r="M87" i="79"/>
  <c r="L87" i="79"/>
  <c r="I205" i="79"/>
  <c r="H210" i="79"/>
  <c r="J205" i="79"/>
  <c r="K124" i="79"/>
  <c r="M124" i="79"/>
  <c r="L124" i="79"/>
  <c r="H156" i="79"/>
  <c r="I151" i="79"/>
  <c r="J151" i="79"/>
  <c r="M56" i="79"/>
  <c r="L56" i="79"/>
  <c r="K56" i="79"/>
  <c r="H246" i="79"/>
  <c r="I241" i="79"/>
  <c r="J241" i="79"/>
  <c r="K67" i="79"/>
  <c r="M67" i="79"/>
  <c r="L67" i="79"/>
  <c r="J72" i="79"/>
  <c r="M76" i="79"/>
  <c r="L76" i="79"/>
  <c r="K76" i="79"/>
  <c r="M39" i="79"/>
  <c r="L39" i="79"/>
  <c r="K39" i="79"/>
  <c r="M135" i="79"/>
  <c r="L135" i="79"/>
  <c r="K135" i="79"/>
  <c r="K122" i="76"/>
  <c r="L122" i="76"/>
  <c r="T119" i="76"/>
  <c r="U119" i="76" s="1"/>
  <c r="M122" i="76"/>
  <c r="L162" i="109"/>
  <c r="AA156" i="109" s="1"/>
  <c r="M162" i="109"/>
  <c r="Z156" i="109"/>
  <c r="K162" i="109"/>
  <c r="K73" i="79"/>
  <c r="M73" i="79"/>
  <c r="L73" i="79"/>
  <c r="J78" i="79"/>
  <c r="L201" i="79"/>
  <c r="K201" i="79"/>
  <c r="M201" i="79"/>
  <c r="I152" i="79"/>
  <c r="J152" i="79"/>
  <c r="K148" i="79"/>
  <c r="M148" i="79"/>
  <c r="L148" i="79"/>
  <c r="K37" i="79"/>
  <c r="L37" i="79"/>
  <c r="M37" i="79"/>
  <c r="J42" i="79"/>
  <c r="J229" i="79"/>
  <c r="I229" i="79"/>
  <c r="H234" i="79"/>
  <c r="L92" i="79"/>
  <c r="K92" i="79"/>
  <c r="M92" i="79"/>
  <c r="K177" i="79"/>
  <c r="M177" i="79"/>
  <c r="L177" i="79"/>
  <c r="L128" i="79"/>
  <c r="M128" i="79"/>
  <c r="K128" i="79"/>
  <c r="L146" i="76"/>
  <c r="T143" i="76"/>
  <c r="U143" i="76" s="1"/>
  <c r="M146" i="76"/>
  <c r="K146" i="76"/>
  <c r="J158" i="79"/>
  <c r="I158" i="79"/>
  <c r="M61" i="79"/>
  <c r="J66" i="79"/>
  <c r="K61" i="79"/>
  <c r="L61" i="79"/>
  <c r="I175" i="79"/>
  <c r="J175" i="79"/>
  <c r="H180" i="79"/>
  <c r="I157" i="79"/>
  <c r="H162" i="79"/>
  <c r="J157" i="79"/>
  <c r="K109" i="79"/>
  <c r="L109" i="79"/>
  <c r="M109" i="79"/>
  <c r="J114" i="79"/>
  <c r="K183" i="79"/>
  <c r="M183" i="79"/>
  <c r="L183" i="79"/>
  <c r="M40" i="79"/>
  <c r="L40" i="79"/>
  <c r="K40" i="79"/>
  <c r="K88" i="79"/>
  <c r="M88" i="79"/>
  <c r="L88" i="79"/>
  <c r="J236" i="79"/>
  <c r="I236" i="79"/>
  <c r="J187" i="79"/>
  <c r="H192" i="79"/>
  <c r="I187" i="79"/>
  <c r="K134" i="76"/>
  <c r="L134" i="76"/>
  <c r="T131" i="76"/>
  <c r="U131" i="76" s="1"/>
  <c r="M134" i="76"/>
  <c r="L172" i="79"/>
  <c r="K172" i="79"/>
  <c r="M172" i="79"/>
  <c r="M50" i="79"/>
  <c r="L50" i="79"/>
  <c r="K50" i="79"/>
  <c r="M93" i="79"/>
  <c r="L93" i="79"/>
  <c r="K93" i="79"/>
  <c r="K63" i="79"/>
  <c r="M63" i="79"/>
  <c r="L63" i="79"/>
  <c r="L57" i="79"/>
  <c r="K57" i="79"/>
  <c r="M57" i="79"/>
  <c r="J133" i="79"/>
  <c r="H138" i="79"/>
  <c r="I133" i="79"/>
  <c r="Z177" i="109"/>
  <c r="M183" i="109"/>
  <c r="L183" i="109"/>
  <c r="AA177" i="109" s="1"/>
  <c r="K183" i="109"/>
  <c r="K164" i="79"/>
  <c r="M164" i="79"/>
  <c r="L164" i="79"/>
  <c r="L51" i="79"/>
  <c r="K51" i="79"/>
  <c r="M51" i="79"/>
  <c r="M91" i="79"/>
  <c r="J96" i="79"/>
  <c r="K91" i="79"/>
  <c r="L91" i="79"/>
  <c r="H174" i="79"/>
  <c r="I169" i="79"/>
  <c r="J169" i="79"/>
  <c r="M121" i="79"/>
  <c r="J126" i="79"/>
  <c r="K121" i="79"/>
  <c r="L121" i="79"/>
  <c r="L85" i="79"/>
  <c r="J90" i="79"/>
  <c r="K85" i="79"/>
  <c r="M85" i="79"/>
  <c r="M207" i="79"/>
  <c r="K207" i="79"/>
  <c r="L207" i="79"/>
  <c r="J218" i="79"/>
  <c r="I218" i="79"/>
  <c r="J235" i="79"/>
  <c r="I235" i="79"/>
  <c r="H240" i="79"/>
  <c r="K97" i="79"/>
  <c r="M97" i="79"/>
  <c r="L97" i="79"/>
  <c r="J102" i="79"/>
  <c r="K49" i="79"/>
  <c r="L49" i="79"/>
  <c r="M49" i="79"/>
  <c r="J54" i="79"/>
  <c r="M68" i="79"/>
  <c r="L68" i="79"/>
  <c r="K68" i="79"/>
  <c r="H222" i="79"/>
  <c r="I217" i="79"/>
  <c r="J217" i="79"/>
  <c r="M188" i="79"/>
  <c r="L188" i="79"/>
  <c r="K188" i="79"/>
  <c r="I134" i="79"/>
  <c r="J134" i="79"/>
  <c r="J36" i="79"/>
  <c r="K31" i="79"/>
  <c r="L31" i="79"/>
  <c r="M31" i="79"/>
  <c r="K38" i="79"/>
  <c r="M38" i="79"/>
  <c r="L38" i="79"/>
  <c r="K159" i="79"/>
  <c r="M159" i="79"/>
  <c r="L159" i="79"/>
  <c r="J120" i="79"/>
  <c r="K115" i="79"/>
  <c r="M115" i="79"/>
  <c r="L115" i="79"/>
  <c r="J176" i="79"/>
  <c r="I176" i="79"/>
  <c r="J127" i="79"/>
  <c r="H132" i="79"/>
  <c r="I127" i="79"/>
  <c r="K230" i="79"/>
  <c r="M230" i="79"/>
  <c r="L230" i="79"/>
  <c r="K224" i="79"/>
  <c r="L224" i="79"/>
  <c r="M224" i="79"/>
  <c r="K110" i="79"/>
  <c r="M110" i="79"/>
  <c r="L110" i="79"/>
  <c r="M111" i="79"/>
  <c r="L111" i="79"/>
  <c r="K111" i="79"/>
  <c r="E9" i="128"/>
  <c r="X25" i="79"/>
  <c r="Y25" i="79" s="1"/>
  <c r="J31" i="128"/>
  <c r="L31" i="128" s="1"/>
  <c r="J38" i="128"/>
  <c r="L38" i="128" s="1"/>
  <c r="J24" i="128"/>
  <c r="J11" i="128"/>
  <c r="F35" i="128"/>
  <c r="L35" i="128" s="1"/>
  <c r="M246" i="84"/>
  <c r="K246" i="84"/>
  <c r="L246" i="84"/>
  <c r="K30" i="79"/>
  <c r="L30" i="79"/>
  <c r="M30" i="79"/>
  <c r="L19" i="79"/>
  <c r="K19" i="79"/>
  <c r="M19" i="79"/>
  <c r="L13" i="79"/>
  <c r="K13" i="79"/>
  <c r="M13" i="79"/>
  <c r="L22" i="79"/>
  <c r="M22" i="79"/>
  <c r="J24" i="79"/>
  <c r="K22" i="79"/>
  <c r="K16" i="79"/>
  <c r="J18" i="79"/>
  <c r="L16" i="79"/>
  <c r="M16" i="79"/>
  <c r="M204" i="110"/>
  <c r="L204" i="110"/>
  <c r="K204" i="110"/>
  <c r="M24" i="110"/>
  <c r="L24" i="110"/>
  <c r="K24" i="110"/>
  <c r="M120" i="110"/>
  <c r="L120" i="110"/>
  <c r="K120" i="110"/>
  <c r="M36" i="110"/>
  <c r="L36" i="110"/>
  <c r="K36" i="110"/>
  <c r="L42" i="110"/>
  <c r="M42" i="110"/>
  <c r="K42" i="110"/>
  <c r="L30" i="110"/>
  <c r="M30" i="110"/>
  <c r="K30" i="110"/>
  <c r="L18" i="110"/>
  <c r="M18" i="110"/>
  <c r="K18" i="110"/>
  <c r="M162" i="110"/>
  <c r="L162" i="110"/>
  <c r="K162" i="110"/>
  <c r="N63" i="74"/>
  <c r="AC99" i="74"/>
  <c r="AB148" i="74" s="1"/>
  <c r="AB206" i="74" s="1"/>
  <c r="AB263" i="74" s="1"/>
  <c r="AD99" i="74"/>
  <c r="AC148" i="74" s="1"/>
  <c r="AC206" i="74" s="1"/>
  <c r="AC263" i="74" s="1"/>
  <c r="L133" i="79" l="1"/>
  <c r="J138" i="79"/>
  <c r="M133" i="79"/>
  <c r="K133" i="79"/>
  <c r="L229" i="79"/>
  <c r="M229" i="79"/>
  <c r="K229" i="79"/>
  <c r="J234" i="79"/>
  <c r="K152" i="79"/>
  <c r="M152" i="79"/>
  <c r="L152" i="79"/>
  <c r="L241" i="79"/>
  <c r="M241" i="79"/>
  <c r="J246" i="79"/>
  <c r="K241" i="79"/>
  <c r="M205" i="79"/>
  <c r="L205" i="79"/>
  <c r="J210" i="79"/>
  <c r="K205" i="79"/>
  <c r="K163" i="79"/>
  <c r="J168" i="79"/>
  <c r="M163" i="79"/>
  <c r="L163" i="79"/>
  <c r="L145" i="79"/>
  <c r="M145" i="79"/>
  <c r="J150" i="79"/>
  <c r="K145" i="79"/>
  <c r="M84" i="79"/>
  <c r="L84" i="79"/>
  <c r="X79" i="79"/>
  <c r="Y79" i="79" s="1"/>
  <c r="K84" i="79"/>
  <c r="M176" i="79"/>
  <c r="L176" i="79"/>
  <c r="K176" i="79"/>
  <c r="M120" i="79"/>
  <c r="X115" i="79"/>
  <c r="Y115" i="79" s="1"/>
  <c r="K120" i="79"/>
  <c r="L120" i="79"/>
  <c r="L217" i="79"/>
  <c r="M217" i="79"/>
  <c r="K217" i="79"/>
  <c r="J222" i="79"/>
  <c r="M235" i="79"/>
  <c r="L235" i="79"/>
  <c r="J240" i="79"/>
  <c r="K235" i="79"/>
  <c r="L90" i="79"/>
  <c r="X85" i="79"/>
  <c r="Y85" i="79" s="1"/>
  <c r="K90" i="79"/>
  <c r="M90" i="79"/>
  <c r="M126" i="79"/>
  <c r="L126" i="79"/>
  <c r="X121" i="79"/>
  <c r="Y121" i="79" s="1"/>
  <c r="K126" i="79"/>
  <c r="K236" i="79"/>
  <c r="M236" i="79"/>
  <c r="L236" i="79"/>
  <c r="K211" i="79"/>
  <c r="J216" i="79"/>
  <c r="M211" i="79"/>
  <c r="L211" i="79"/>
  <c r="L182" i="79"/>
  <c r="K182" i="79"/>
  <c r="M182" i="79"/>
  <c r="M158" i="79"/>
  <c r="L158" i="79"/>
  <c r="K158" i="79"/>
  <c r="L242" i="79"/>
  <c r="K242" i="79"/>
  <c r="M242" i="79"/>
  <c r="M60" i="79"/>
  <c r="X55" i="79"/>
  <c r="Y55" i="79" s="1"/>
  <c r="K60" i="79"/>
  <c r="L60" i="79"/>
  <c r="J132" i="79"/>
  <c r="K127" i="79"/>
  <c r="M127" i="79"/>
  <c r="L127" i="79"/>
  <c r="K36" i="79"/>
  <c r="X31" i="79"/>
  <c r="Y31" i="79" s="1"/>
  <c r="M36" i="79"/>
  <c r="L36" i="79"/>
  <c r="X49" i="79"/>
  <c r="Y49" i="79" s="1"/>
  <c r="K54" i="79"/>
  <c r="L54" i="79"/>
  <c r="M54" i="79"/>
  <c r="L102" i="79"/>
  <c r="X97" i="79"/>
  <c r="Y97" i="79" s="1"/>
  <c r="K102" i="79"/>
  <c r="M102" i="79"/>
  <c r="L218" i="79"/>
  <c r="M218" i="79"/>
  <c r="K218" i="79"/>
  <c r="J174" i="79"/>
  <c r="K169" i="79"/>
  <c r="L169" i="79"/>
  <c r="M169" i="79"/>
  <c r="K187" i="79"/>
  <c r="M187" i="79"/>
  <c r="J192" i="79"/>
  <c r="L187" i="79"/>
  <c r="K114" i="79"/>
  <c r="L114" i="79"/>
  <c r="M114" i="79"/>
  <c r="X109" i="79"/>
  <c r="Y109" i="79" s="1"/>
  <c r="M157" i="79"/>
  <c r="L157" i="79"/>
  <c r="K157" i="79"/>
  <c r="J162" i="79"/>
  <c r="M175" i="79"/>
  <c r="L175" i="79"/>
  <c r="J180" i="79"/>
  <c r="K175" i="79"/>
  <c r="K66" i="79"/>
  <c r="X61" i="79"/>
  <c r="Y61" i="79" s="1"/>
  <c r="M66" i="79"/>
  <c r="L66" i="79"/>
  <c r="L42" i="79"/>
  <c r="M42" i="79"/>
  <c r="X37" i="79"/>
  <c r="Y37" i="79" s="1"/>
  <c r="K42" i="79"/>
  <c r="L78" i="79"/>
  <c r="K78" i="79"/>
  <c r="X73" i="79"/>
  <c r="Y73" i="79" s="1"/>
  <c r="M78" i="79"/>
  <c r="J144" i="79"/>
  <c r="K139" i="79"/>
  <c r="M139" i="79"/>
  <c r="L139" i="79"/>
  <c r="M72" i="79"/>
  <c r="X67" i="79"/>
  <c r="Y67" i="79" s="1"/>
  <c r="L72" i="79"/>
  <c r="K72" i="79"/>
  <c r="L194" i="79"/>
  <c r="K194" i="79"/>
  <c r="M194" i="79"/>
  <c r="J198" i="79"/>
  <c r="K193" i="79"/>
  <c r="L193" i="79"/>
  <c r="M193" i="79"/>
  <c r="M134" i="79"/>
  <c r="L134" i="79"/>
  <c r="K134" i="79"/>
  <c r="M96" i="79"/>
  <c r="X91" i="79"/>
  <c r="Y91" i="79" s="1"/>
  <c r="L96" i="79"/>
  <c r="K96" i="79"/>
  <c r="L151" i="79"/>
  <c r="M151" i="79"/>
  <c r="J156" i="79"/>
  <c r="K151" i="79"/>
  <c r="K212" i="79"/>
  <c r="M212" i="79"/>
  <c r="L212" i="79"/>
  <c r="K199" i="79"/>
  <c r="J204" i="79"/>
  <c r="M199" i="79"/>
  <c r="L199" i="79"/>
  <c r="L181" i="79"/>
  <c r="M181" i="79"/>
  <c r="J186" i="79"/>
  <c r="K181" i="79"/>
  <c r="K48" i="79"/>
  <c r="X43" i="79"/>
  <c r="Y43" i="79" s="1"/>
  <c r="M48" i="79"/>
  <c r="L48" i="79"/>
  <c r="K108" i="79"/>
  <c r="M108" i="79"/>
  <c r="X103" i="79"/>
  <c r="Y103" i="79" s="1"/>
  <c r="L108" i="79"/>
  <c r="L223" i="79"/>
  <c r="M223" i="79"/>
  <c r="K223" i="79"/>
  <c r="J228" i="79"/>
  <c r="E7" i="128"/>
  <c r="X13" i="79"/>
  <c r="Y13" i="79" s="1"/>
  <c r="E8" i="128"/>
  <c r="X19" i="79"/>
  <c r="Y19" i="79" s="1"/>
  <c r="AB376" i="74"/>
  <c r="AB428" i="74" s="1"/>
  <c r="AB489" i="74" s="1"/>
  <c r="AB547" i="74" s="1"/>
  <c r="AC320" i="74"/>
  <c r="AC376" i="74"/>
  <c r="AC428" i="74" s="1"/>
  <c r="AC489" i="74" s="1"/>
  <c r="AC547" i="74" s="1"/>
  <c r="AD320" i="74"/>
  <c r="K18" i="79"/>
  <c r="L18" i="79"/>
  <c r="M18" i="79"/>
  <c r="L24" i="79"/>
  <c r="M24" i="79"/>
  <c r="K24" i="79"/>
  <c r="Q11" i="75"/>
  <c r="Q12" i="75"/>
  <c r="Q13" i="75"/>
  <c r="Q14" i="75"/>
  <c r="Q15" i="75"/>
  <c r="Q16" i="75"/>
  <c r="Q17" i="75"/>
  <c r="Q18" i="75"/>
  <c r="Q19" i="75"/>
  <c r="Q20" i="75"/>
  <c r="Q21" i="75"/>
  <c r="Q22" i="75"/>
  <c r="Q23" i="75"/>
  <c r="Q24" i="75"/>
  <c r="Q25" i="75"/>
  <c r="Q26" i="75"/>
  <c r="Q27" i="75"/>
  <c r="Q28" i="75"/>
  <c r="Q29" i="75"/>
  <c r="Q30" i="75"/>
  <c r="Q31" i="75"/>
  <c r="Q32" i="75"/>
  <c r="Q33" i="75"/>
  <c r="Q34" i="75"/>
  <c r="Q35" i="75"/>
  <c r="H9" i="94"/>
  <c r="M228" i="79" l="1"/>
  <c r="K228" i="79"/>
  <c r="X223" i="79"/>
  <c r="Y223" i="79" s="1"/>
  <c r="L228" i="79"/>
  <c r="X151" i="79"/>
  <c r="Y151" i="79" s="1"/>
  <c r="M156" i="79"/>
  <c r="K156" i="79"/>
  <c r="L156" i="79"/>
  <c r="K132" i="79"/>
  <c r="L132" i="79"/>
  <c r="X127" i="79"/>
  <c r="Y127" i="79" s="1"/>
  <c r="M132" i="79"/>
  <c r="X229" i="79"/>
  <c r="Y229" i="79" s="1"/>
  <c r="M234" i="79"/>
  <c r="L234" i="79"/>
  <c r="K234" i="79"/>
  <c r="X181" i="79"/>
  <c r="Y181" i="79" s="1"/>
  <c r="K186" i="79"/>
  <c r="M186" i="79"/>
  <c r="L186" i="79"/>
  <c r="X139" i="79"/>
  <c r="Y139" i="79" s="1"/>
  <c r="K144" i="79"/>
  <c r="L144" i="79"/>
  <c r="M144" i="79"/>
  <c r="M174" i="79"/>
  <c r="L174" i="79"/>
  <c r="X169" i="79"/>
  <c r="Y169" i="79" s="1"/>
  <c r="K174" i="79"/>
  <c r="M216" i="79"/>
  <c r="X211" i="79"/>
  <c r="Y211" i="79" s="1"/>
  <c r="L216" i="79"/>
  <c r="K216" i="79"/>
  <c r="L204" i="79"/>
  <c r="X199" i="79"/>
  <c r="Y199" i="79" s="1"/>
  <c r="M204" i="79"/>
  <c r="K204" i="79"/>
  <c r="X193" i="79"/>
  <c r="Y193" i="79" s="1"/>
  <c r="M198" i="79"/>
  <c r="L198" i="79"/>
  <c r="K198" i="79"/>
  <c r="K162" i="79"/>
  <c r="M162" i="79"/>
  <c r="X157" i="79"/>
  <c r="Y157" i="79" s="1"/>
  <c r="L162" i="79"/>
  <c r="X217" i="79"/>
  <c r="Y217" i="79" s="1"/>
  <c r="M222" i="79"/>
  <c r="K222" i="79"/>
  <c r="L222" i="79"/>
  <c r="L150" i="79"/>
  <c r="M150" i="79"/>
  <c r="K150" i="79"/>
  <c r="X145" i="79"/>
  <c r="Y145" i="79" s="1"/>
  <c r="X205" i="79"/>
  <c r="Y205" i="79" s="1"/>
  <c r="M210" i="79"/>
  <c r="L210" i="79"/>
  <c r="K210" i="79"/>
  <c r="K246" i="79"/>
  <c r="M246" i="79"/>
  <c r="X241" i="79"/>
  <c r="Y241" i="79" s="1"/>
  <c r="L246" i="79"/>
  <c r="X133" i="79"/>
  <c r="Y133" i="79" s="1"/>
  <c r="K138" i="79"/>
  <c r="M138" i="79"/>
  <c r="L138" i="79"/>
  <c r="M180" i="79"/>
  <c r="K180" i="79"/>
  <c r="X175" i="79"/>
  <c r="Y175" i="79" s="1"/>
  <c r="L180" i="79"/>
  <c r="K192" i="79"/>
  <c r="X187" i="79"/>
  <c r="Y187" i="79" s="1"/>
  <c r="M192" i="79"/>
  <c r="L192" i="79"/>
  <c r="X235" i="79"/>
  <c r="Y235" i="79" s="1"/>
  <c r="L240" i="79"/>
  <c r="M240" i="79"/>
  <c r="K240" i="79"/>
  <c r="M168" i="79"/>
  <c r="X163" i="79"/>
  <c r="Y163" i="79" s="1"/>
  <c r="L168" i="79"/>
  <c r="K168" i="79"/>
  <c r="C14" i="94"/>
  <c r="H19" i="76" l="1"/>
  <c r="H22" i="147"/>
  <c r="H14" i="147"/>
  <c r="C8" i="94"/>
  <c r="J12" i="76" l="1"/>
  <c r="I12" i="76"/>
  <c r="J13" i="76"/>
  <c r="I13" i="76"/>
  <c r="J11" i="76"/>
  <c r="H14" i="76"/>
  <c r="I11" i="76"/>
  <c r="I19" i="76"/>
  <c r="J19" i="76"/>
  <c r="J14" i="147"/>
  <c r="K7" i="128" s="1"/>
  <c r="J22" i="147"/>
  <c r="K9" i="128" s="1"/>
  <c r="H18" i="133"/>
  <c r="H12" i="133"/>
  <c r="P8" i="91"/>
  <c r="M9" i="91"/>
  <c r="Q9" i="91" s="1"/>
  <c r="M10" i="91"/>
  <c r="Q10" i="91" s="1"/>
  <c r="M11" i="91"/>
  <c r="Q11" i="91" s="1"/>
  <c r="M12" i="91"/>
  <c r="Q12" i="91" s="1"/>
  <c r="M13" i="91"/>
  <c r="Q13" i="91" s="1"/>
  <c r="M14" i="91"/>
  <c r="Q14" i="91" s="1"/>
  <c r="M15" i="91"/>
  <c r="Q15" i="91" s="1"/>
  <c r="M16" i="91"/>
  <c r="Q16" i="91" s="1"/>
  <c r="M17" i="91"/>
  <c r="Q17" i="91" s="1"/>
  <c r="M18" i="91"/>
  <c r="Q18" i="91" s="1"/>
  <c r="M19" i="91"/>
  <c r="Q19" i="91" s="1"/>
  <c r="M20" i="91"/>
  <c r="Q20" i="91" s="1"/>
  <c r="M21" i="91"/>
  <c r="Q21" i="91" s="1"/>
  <c r="M22" i="91"/>
  <c r="Q22" i="91" s="1"/>
  <c r="M23" i="91"/>
  <c r="Q23" i="91" s="1"/>
  <c r="M24" i="91"/>
  <c r="Q24" i="91" s="1"/>
  <c r="M25" i="91"/>
  <c r="Q25" i="91" s="1"/>
  <c r="M26" i="91"/>
  <c r="Q26" i="91" s="1"/>
  <c r="M27" i="91"/>
  <c r="Q27" i="91" s="1"/>
  <c r="M28" i="91"/>
  <c r="Q28" i="91" s="1"/>
  <c r="M29" i="91"/>
  <c r="Q29" i="91" s="1"/>
  <c r="M30" i="91"/>
  <c r="Q30" i="91" s="1"/>
  <c r="M31" i="91"/>
  <c r="Q31" i="91" s="1"/>
  <c r="M32" i="91"/>
  <c r="Q32" i="91" s="1"/>
  <c r="M33" i="91"/>
  <c r="Q33" i="91" s="1"/>
  <c r="P9" i="90"/>
  <c r="P10" i="90"/>
  <c r="P11" i="90"/>
  <c r="P12" i="90"/>
  <c r="P13" i="90"/>
  <c r="P14" i="90"/>
  <c r="P15" i="90"/>
  <c r="P16" i="90"/>
  <c r="P17" i="90"/>
  <c r="P18" i="90"/>
  <c r="P19" i="90"/>
  <c r="P20" i="90"/>
  <c r="P21" i="90"/>
  <c r="P22" i="90"/>
  <c r="P23" i="90"/>
  <c r="P24" i="90"/>
  <c r="P25" i="90"/>
  <c r="P26" i="90"/>
  <c r="P27" i="90"/>
  <c r="P28" i="90"/>
  <c r="P29" i="90"/>
  <c r="P30" i="90"/>
  <c r="P31" i="90"/>
  <c r="P32" i="90"/>
  <c r="P33" i="90"/>
  <c r="P8" i="92"/>
  <c r="E11" i="94" s="1"/>
  <c r="B33" i="92"/>
  <c r="B32" i="92"/>
  <c r="B31" i="92"/>
  <c r="B30" i="92"/>
  <c r="B29" i="92"/>
  <c r="B28" i="92"/>
  <c r="B27" i="92"/>
  <c r="B26" i="92"/>
  <c r="B25" i="92"/>
  <c r="B24" i="92"/>
  <c r="B23" i="92"/>
  <c r="B22" i="92"/>
  <c r="B21" i="92"/>
  <c r="B20" i="92"/>
  <c r="B19" i="92"/>
  <c r="B18" i="92"/>
  <c r="B17" i="92"/>
  <c r="B16" i="92"/>
  <c r="B15" i="92"/>
  <c r="B14" i="92"/>
  <c r="B13" i="92"/>
  <c r="B12" i="92"/>
  <c r="B11" i="92"/>
  <c r="B10" i="92"/>
  <c r="B9" i="92"/>
  <c r="B8" i="92"/>
  <c r="B33" i="91"/>
  <c r="B32" i="91"/>
  <c r="B31" i="91"/>
  <c r="B30" i="91"/>
  <c r="B29" i="91"/>
  <c r="B28" i="91"/>
  <c r="B27" i="91"/>
  <c r="B26" i="91"/>
  <c r="B25" i="91"/>
  <c r="B24" i="91"/>
  <c r="B23" i="91"/>
  <c r="B22" i="91"/>
  <c r="B21" i="91"/>
  <c r="B20" i="91"/>
  <c r="B19" i="91"/>
  <c r="B18" i="91"/>
  <c r="B17" i="91"/>
  <c r="B16" i="91"/>
  <c r="B15" i="91"/>
  <c r="B14" i="91"/>
  <c r="B13" i="91"/>
  <c r="B12" i="91"/>
  <c r="B11" i="91"/>
  <c r="B10" i="91"/>
  <c r="B9" i="91"/>
  <c r="B8" i="91"/>
  <c r="B33" i="90"/>
  <c r="B32" i="90"/>
  <c r="B31" i="90"/>
  <c r="B30" i="90"/>
  <c r="B29" i="90"/>
  <c r="B28" i="90"/>
  <c r="B27" i="90"/>
  <c r="B26" i="90"/>
  <c r="B25" i="90"/>
  <c r="B24" i="90"/>
  <c r="B23" i="90"/>
  <c r="B22" i="90"/>
  <c r="B21" i="90"/>
  <c r="B20" i="90"/>
  <c r="B19" i="90"/>
  <c r="B18" i="90"/>
  <c r="B17" i="90"/>
  <c r="B16" i="90"/>
  <c r="B15" i="90"/>
  <c r="B14" i="90"/>
  <c r="B13" i="90"/>
  <c r="B12" i="90"/>
  <c r="B11" i="90"/>
  <c r="B10" i="90"/>
  <c r="B9" i="90"/>
  <c r="B8" i="90"/>
  <c r="G148" i="94" l="1"/>
  <c r="G151" i="94" s="1"/>
  <c r="H101" i="76" s="1"/>
  <c r="F148" i="94"/>
  <c r="G124" i="94"/>
  <c r="G127" i="94" s="1"/>
  <c r="H85" i="76" s="1"/>
  <c r="F124" i="94"/>
  <c r="G100" i="94"/>
  <c r="G103" i="94" s="1"/>
  <c r="H69" i="76" s="1"/>
  <c r="F100" i="94"/>
  <c r="G76" i="94"/>
  <c r="G79" i="94" s="1"/>
  <c r="H53" i="76" s="1"/>
  <c r="F76" i="94"/>
  <c r="F52" i="94"/>
  <c r="G52" i="94"/>
  <c r="G55" i="94" s="1"/>
  <c r="H37" i="76" s="1"/>
  <c r="G28" i="94"/>
  <c r="G31" i="94" s="1"/>
  <c r="H21" i="76" s="1"/>
  <c r="F28" i="94"/>
  <c r="G142" i="94"/>
  <c r="G145" i="94" s="1"/>
  <c r="H97" i="76" s="1"/>
  <c r="F142" i="94"/>
  <c r="G118" i="94"/>
  <c r="G121" i="94" s="1"/>
  <c r="H81" i="76" s="1"/>
  <c r="F118" i="94"/>
  <c r="G94" i="94"/>
  <c r="G97" i="94" s="1"/>
  <c r="H65" i="76" s="1"/>
  <c r="F94" i="94"/>
  <c r="G70" i="94"/>
  <c r="G73" i="94" s="1"/>
  <c r="H49" i="76" s="1"/>
  <c r="F70" i="94"/>
  <c r="G46" i="94"/>
  <c r="G49" i="94" s="1"/>
  <c r="H33" i="76" s="1"/>
  <c r="F46" i="94"/>
  <c r="G22" i="94"/>
  <c r="G25" i="94" s="1"/>
  <c r="H17" i="76" s="1"/>
  <c r="F22" i="94"/>
  <c r="G160" i="94"/>
  <c r="G163" i="94" s="1"/>
  <c r="H109" i="76" s="1"/>
  <c r="F160" i="94"/>
  <c r="G136" i="94"/>
  <c r="G139" i="94" s="1"/>
  <c r="H93" i="76" s="1"/>
  <c r="F136" i="94"/>
  <c r="G112" i="94"/>
  <c r="G115" i="94" s="1"/>
  <c r="H77" i="76" s="1"/>
  <c r="F112" i="94"/>
  <c r="G88" i="94"/>
  <c r="G91" i="94" s="1"/>
  <c r="H61" i="76" s="1"/>
  <c r="F88" i="94"/>
  <c r="G64" i="94"/>
  <c r="G67" i="94" s="1"/>
  <c r="H45" i="76" s="1"/>
  <c r="F64" i="94"/>
  <c r="G40" i="94"/>
  <c r="G43" i="94" s="1"/>
  <c r="H29" i="76" s="1"/>
  <c r="F40" i="94"/>
  <c r="F16" i="94"/>
  <c r="G16" i="94"/>
  <c r="G19" i="94" s="1"/>
  <c r="F154" i="94"/>
  <c r="G154" i="94"/>
  <c r="G157" i="94" s="1"/>
  <c r="H105" i="76" s="1"/>
  <c r="G130" i="94"/>
  <c r="G133" i="94" s="1"/>
  <c r="H89" i="76" s="1"/>
  <c r="F130" i="94"/>
  <c r="G106" i="94"/>
  <c r="G109" i="94" s="1"/>
  <c r="H73" i="76" s="1"/>
  <c r="F106" i="94"/>
  <c r="G82" i="94"/>
  <c r="G85" i="94" s="1"/>
  <c r="H57" i="76" s="1"/>
  <c r="F82" i="94"/>
  <c r="G58" i="94"/>
  <c r="G61" i="94" s="1"/>
  <c r="H41" i="76" s="1"/>
  <c r="F58" i="94"/>
  <c r="G34" i="94"/>
  <c r="G37" i="94" s="1"/>
  <c r="H25" i="76" s="1"/>
  <c r="F34" i="94"/>
  <c r="D10" i="128"/>
  <c r="D8" i="128"/>
  <c r="L11" i="76"/>
  <c r="M11" i="76"/>
  <c r="J14" i="76"/>
  <c r="K11" i="76"/>
  <c r="L19" i="76"/>
  <c r="M19" i="76"/>
  <c r="K19" i="76"/>
  <c r="L13" i="76"/>
  <c r="K13" i="76"/>
  <c r="M13" i="76"/>
  <c r="M12" i="76"/>
  <c r="K12" i="76"/>
  <c r="L12" i="76"/>
  <c r="L22" i="147"/>
  <c r="M22" i="147"/>
  <c r="K22" i="147"/>
  <c r="L14" i="147"/>
  <c r="M14" i="147"/>
  <c r="K14" i="147"/>
  <c r="J12" i="133"/>
  <c r="J18" i="133"/>
  <c r="Q8" i="91"/>
  <c r="P8" i="90"/>
  <c r="P7" i="85"/>
  <c r="Q10" i="75"/>
  <c r="H8" i="94" s="1"/>
  <c r="M90" i="88"/>
  <c r="B90" i="88"/>
  <c r="M89" i="88"/>
  <c r="B89" i="88"/>
  <c r="M88" i="88"/>
  <c r="B88" i="88"/>
  <c r="M87" i="88"/>
  <c r="B87" i="88"/>
  <c r="M86" i="88"/>
  <c r="B86" i="88"/>
  <c r="M85" i="88"/>
  <c r="B85" i="88"/>
  <c r="M84" i="88"/>
  <c r="B84" i="88"/>
  <c r="M83" i="88"/>
  <c r="B83" i="88"/>
  <c r="M82" i="88"/>
  <c r="B82" i="88"/>
  <c r="M81" i="88"/>
  <c r="B81" i="88"/>
  <c r="M80" i="88"/>
  <c r="B80" i="88"/>
  <c r="M79" i="88"/>
  <c r="B79" i="88"/>
  <c r="M78" i="88"/>
  <c r="B78" i="88"/>
  <c r="M77" i="88"/>
  <c r="B77" i="88"/>
  <c r="M76" i="88"/>
  <c r="B76" i="88"/>
  <c r="M75" i="88"/>
  <c r="B75" i="88"/>
  <c r="M74" i="88"/>
  <c r="B74" i="88"/>
  <c r="M73" i="88"/>
  <c r="B73" i="88"/>
  <c r="M72" i="88"/>
  <c r="B72" i="88"/>
  <c r="M71" i="88"/>
  <c r="B71" i="88"/>
  <c r="M70" i="88"/>
  <c r="B70" i="88"/>
  <c r="M69" i="88"/>
  <c r="B69" i="88"/>
  <c r="M68" i="88"/>
  <c r="B68" i="88"/>
  <c r="M67" i="88"/>
  <c r="B67" i="88"/>
  <c r="M66" i="88"/>
  <c r="B66" i="88"/>
  <c r="M65" i="88"/>
  <c r="B65" i="88"/>
  <c r="M64" i="88"/>
  <c r="B64" i="88"/>
  <c r="M63" i="88"/>
  <c r="B63" i="88"/>
  <c r="M62" i="88"/>
  <c r="B62" i="88"/>
  <c r="M61" i="88"/>
  <c r="B61" i="88"/>
  <c r="M60" i="88"/>
  <c r="B60" i="88"/>
  <c r="M59" i="88"/>
  <c r="B59" i="88"/>
  <c r="M58" i="88"/>
  <c r="B58" i="88"/>
  <c r="M57" i="88"/>
  <c r="B57" i="88"/>
  <c r="M56" i="88"/>
  <c r="B56" i="88"/>
  <c r="M55" i="88"/>
  <c r="B55" i="88"/>
  <c r="M54" i="88"/>
  <c r="B54" i="88"/>
  <c r="M53" i="88"/>
  <c r="B53" i="88"/>
  <c r="M52" i="88"/>
  <c r="B52" i="88"/>
  <c r="M51" i="88"/>
  <c r="K51" i="88"/>
  <c r="B51" i="88"/>
  <c r="AA43" i="88"/>
  <c r="AC43" i="88"/>
  <c r="M43" i="88"/>
  <c r="B43" i="88"/>
  <c r="AA42" i="88"/>
  <c r="AC42" i="88"/>
  <c r="M42" i="88"/>
  <c r="B42" i="88"/>
  <c r="AA41" i="88"/>
  <c r="AC41" i="88"/>
  <c r="M41" i="88"/>
  <c r="B41" i="88"/>
  <c r="AA40" i="88"/>
  <c r="AC40" i="88"/>
  <c r="M40" i="88"/>
  <c r="B40" i="88"/>
  <c r="AA39" i="88"/>
  <c r="AC39" i="88"/>
  <c r="M39" i="88"/>
  <c r="B39" i="88"/>
  <c r="AA38" i="88"/>
  <c r="AC38" i="88"/>
  <c r="M38" i="88"/>
  <c r="B38" i="88"/>
  <c r="AA37" i="88"/>
  <c r="AC37" i="88"/>
  <c r="M37" i="88"/>
  <c r="B37" i="88"/>
  <c r="AA36" i="88"/>
  <c r="AC36" i="88"/>
  <c r="M36" i="88"/>
  <c r="B36" i="88"/>
  <c r="AA35" i="88"/>
  <c r="AC35" i="88"/>
  <c r="M35" i="88"/>
  <c r="B35" i="88"/>
  <c r="AA34" i="88"/>
  <c r="AC34" i="88"/>
  <c r="M34" i="88"/>
  <c r="B34" i="88"/>
  <c r="AA33" i="88"/>
  <c r="AC33" i="88"/>
  <c r="M33" i="88"/>
  <c r="B33" i="88"/>
  <c r="AA32" i="88"/>
  <c r="AC32" i="88"/>
  <c r="M32" i="88"/>
  <c r="B32" i="88"/>
  <c r="AA31" i="88"/>
  <c r="AC31" i="88"/>
  <c r="M31" i="88"/>
  <c r="B31" i="88"/>
  <c r="AA30" i="88"/>
  <c r="AC30" i="88"/>
  <c r="M30" i="88"/>
  <c r="B30" i="88"/>
  <c r="AA29" i="88"/>
  <c r="AC29" i="88"/>
  <c r="M29" i="88"/>
  <c r="B29" i="88"/>
  <c r="AA28" i="88"/>
  <c r="AC28" i="88"/>
  <c r="M28" i="88"/>
  <c r="B28" i="88"/>
  <c r="AA27" i="88"/>
  <c r="AC27" i="88"/>
  <c r="M27" i="88"/>
  <c r="B27" i="88"/>
  <c r="AA26" i="88"/>
  <c r="AC26" i="88"/>
  <c r="M26" i="88"/>
  <c r="B26" i="88"/>
  <c r="AA25" i="88"/>
  <c r="AC25" i="88"/>
  <c r="M25" i="88"/>
  <c r="B25" i="88"/>
  <c r="AA24" i="88"/>
  <c r="AC24" i="88"/>
  <c r="M24" i="88"/>
  <c r="B24" i="88"/>
  <c r="AA23" i="88"/>
  <c r="AC23" i="88"/>
  <c r="M23" i="88"/>
  <c r="B23" i="88"/>
  <c r="AA22" i="88"/>
  <c r="AC22" i="88"/>
  <c r="M22" i="88"/>
  <c r="B22" i="88"/>
  <c r="AA21" i="88"/>
  <c r="AC21" i="88"/>
  <c r="M21" i="88"/>
  <c r="B21" i="88"/>
  <c r="AA20" i="88"/>
  <c r="AC20" i="88"/>
  <c r="M20" i="88"/>
  <c r="B20" i="88"/>
  <c r="AA19" i="88"/>
  <c r="AC19" i="88"/>
  <c r="M19" i="88"/>
  <c r="B19" i="88"/>
  <c r="AA18" i="88"/>
  <c r="AC18" i="88"/>
  <c r="M18" i="88"/>
  <c r="B18" i="88"/>
  <c r="AA17" i="88"/>
  <c r="AC17" i="88"/>
  <c r="M17" i="88"/>
  <c r="B17" i="88"/>
  <c r="AA16" i="88"/>
  <c r="AC16" i="88"/>
  <c r="M16" i="88"/>
  <c r="B16" i="88"/>
  <c r="AA15" i="88"/>
  <c r="AC15" i="88"/>
  <c r="M15" i="88"/>
  <c r="B15" i="88"/>
  <c r="AA14" i="88"/>
  <c r="AC14" i="88"/>
  <c r="M14" i="88"/>
  <c r="B14" i="88"/>
  <c r="AA13" i="88"/>
  <c r="AC13" i="88"/>
  <c r="M13" i="88"/>
  <c r="B13" i="88"/>
  <c r="AA12" i="88"/>
  <c r="AC12" i="88"/>
  <c r="M12" i="88"/>
  <c r="B12" i="88"/>
  <c r="AA11" i="88"/>
  <c r="AC11" i="88"/>
  <c r="M11" i="88"/>
  <c r="B11" i="88"/>
  <c r="AA10" i="88"/>
  <c r="AC10" i="88"/>
  <c r="M10" i="88"/>
  <c r="B10" i="88"/>
  <c r="AA9" i="88"/>
  <c r="AC9" i="88"/>
  <c r="M9" i="88"/>
  <c r="B9" i="88"/>
  <c r="AA8" i="88"/>
  <c r="AC8" i="88"/>
  <c r="M8" i="88"/>
  <c r="B8" i="88"/>
  <c r="AA7" i="88"/>
  <c r="AC7" i="88"/>
  <c r="M7" i="88"/>
  <c r="B7" i="88"/>
  <c r="AA6" i="88"/>
  <c r="AC6" i="88"/>
  <c r="M6" i="88"/>
  <c r="B6" i="88"/>
  <c r="AA5" i="88"/>
  <c r="M5" i="88"/>
  <c r="B5" i="88"/>
  <c r="AA4" i="88"/>
  <c r="AC4" i="88"/>
  <c r="M4" i="88"/>
  <c r="AB4" i="88"/>
  <c r="M208" i="74" s="1"/>
  <c r="B4" i="88"/>
  <c r="H58" i="94" l="1"/>
  <c r="F61" i="94"/>
  <c r="H40" i="76" s="1"/>
  <c r="H106" i="94"/>
  <c r="F109" i="94"/>
  <c r="H72" i="76" s="1"/>
  <c r="J105" i="76"/>
  <c r="I105" i="76"/>
  <c r="H40" i="94"/>
  <c r="F43" i="94"/>
  <c r="H28" i="76" s="1"/>
  <c r="H88" i="94"/>
  <c r="F91" i="94"/>
  <c r="H60" i="76" s="1"/>
  <c r="H136" i="94"/>
  <c r="F139" i="94"/>
  <c r="H92" i="76" s="1"/>
  <c r="H22" i="94"/>
  <c r="F25" i="94"/>
  <c r="H16" i="76" s="1"/>
  <c r="H70" i="94"/>
  <c r="F73" i="94"/>
  <c r="H48" i="76" s="1"/>
  <c r="H118" i="94"/>
  <c r="F121" i="94"/>
  <c r="H80" i="76" s="1"/>
  <c r="H28" i="94"/>
  <c r="F31" i="94"/>
  <c r="H20" i="76" s="1"/>
  <c r="H76" i="94"/>
  <c r="F79" i="94"/>
  <c r="H52" i="76" s="1"/>
  <c r="H124" i="94"/>
  <c r="F127" i="94"/>
  <c r="H84" i="76" s="1"/>
  <c r="J41" i="76"/>
  <c r="I41" i="76"/>
  <c r="I73" i="76"/>
  <c r="J73" i="76"/>
  <c r="H154" i="94"/>
  <c r="F157" i="94"/>
  <c r="H104" i="76" s="1"/>
  <c r="J29" i="76"/>
  <c r="I29" i="76"/>
  <c r="J61" i="76"/>
  <c r="I61" i="76"/>
  <c r="J93" i="76"/>
  <c r="I93" i="76"/>
  <c r="J17" i="76"/>
  <c r="I17" i="76"/>
  <c r="J49" i="76"/>
  <c r="I49" i="76"/>
  <c r="J81" i="76"/>
  <c r="I81" i="76"/>
  <c r="I21" i="76"/>
  <c r="J21" i="76"/>
  <c r="I53" i="76"/>
  <c r="J53" i="76"/>
  <c r="J85" i="76"/>
  <c r="I85" i="76"/>
  <c r="G10" i="94"/>
  <c r="G13" i="94" s="1"/>
  <c r="H9" i="76" s="1"/>
  <c r="F10" i="94"/>
  <c r="H34" i="94"/>
  <c r="F37" i="94"/>
  <c r="H24" i="76" s="1"/>
  <c r="H82" i="94"/>
  <c r="F85" i="94"/>
  <c r="H56" i="76" s="1"/>
  <c r="H130" i="94"/>
  <c r="F133" i="94"/>
  <c r="H88" i="76" s="1"/>
  <c r="H64" i="94"/>
  <c r="F67" i="94"/>
  <c r="H44" i="76" s="1"/>
  <c r="H112" i="94"/>
  <c r="F115" i="94"/>
  <c r="H76" i="76" s="1"/>
  <c r="H160" i="94"/>
  <c r="F163" i="94"/>
  <c r="H108" i="76" s="1"/>
  <c r="H46" i="94"/>
  <c r="F49" i="94"/>
  <c r="H32" i="76" s="1"/>
  <c r="H94" i="94"/>
  <c r="F97" i="94"/>
  <c r="H64" i="76" s="1"/>
  <c r="H142" i="94"/>
  <c r="F145" i="94"/>
  <c r="H96" i="76" s="1"/>
  <c r="J37" i="76"/>
  <c r="I37" i="76"/>
  <c r="H100" i="94"/>
  <c r="F103" i="94"/>
  <c r="H68" i="76" s="1"/>
  <c r="H148" i="94"/>
  <c r="F151" i="94"/>
  <c r="H100" i="76" s="1"/>
  <c r="I25" i="76"/>
  <c r="J25" i="76"/>
  <c r="J57" i="76"/>
  <c r="I57" i="76"/>
  <c r="I89" i="76"/>
  <c r="J89" i="76"/>
  <c r="H16" i="94"/>
  <c r="F19" i="94"/>
  <c r="J45" i="76"/>
  <c r="I45" i="76"/>
  <c r="I77" i="76"/>
  <c r="J77" i="76"/>
  <c r="I109" i="76"/>
  <c r="J109" i="76"/>
  <c r="J33" i="76"/>
  <c r="I33" i="76"/>
  <c r="I65" i="76"/>
  <c r="J65" i="76"/>
  <c r="I97" i="76"/>
  <c r="J97" i="76"/>
  <c r="H52" i="94"/>
  <c r="F55" i="94"/>
  <c r="H36" i="76" s="1"/>
  <c r="J69" i="76"/>
  <c r="I69" i="76"/>
  <c r="J101" i="76"/>
  <c r="I101" i="76"/>
  <c r="V208" i="74"/>
  <c r="D9" i="128"/>
  <c r="G9" i="128"/>
  <c r="R16" i="133"/>
  <c r="S16" i="133" s="1"/>
  <c r="G7" i="128"/>
  <c r="R10" i="133"/>
  <c r="S10" i="133" s="1"/>
  <c r="D7" i="128"/>
  <c r="T11" i="76"/>
  <c r="U11" i="76" s="1"/>
  <c r="R8" i="94"/>
  <c r="R13" i="94" s="1"/>
  <c r="H8" i="84" s="1"/>
  <c r="T8" i="94"/>
  <c r="T13" i="94" s="1"/>
  <c r="H10" i="84" s="1"/>
  <c r="M14" i="76"/>
  <c r="L14" i="76"/>
  <c r="K14" i="76"/>
  <c r="J9" i="147"/>
  <c r="I9" i="147"/>
  <c r="M18" i="133"/>
  <c r="K18" i="133"/>
  <c r="L18" i="133"/>
  <c r="M12" i="133"/>
  <c r="K12" i="133"/>
  <c r="L12" i="133"/>
  <c r="H11" i="94"/>
  <c r="E13" i="94"/>
  <c r="H7" i="76" s="1"/>
  <c r="F13" i="94"/>
  <c r="H8" i="76" s="1"/>
  <c r="H22" i="84"/>
  <c r="V8" i="86"/>
  <c r="M97" i="76" l="1"/>
  <c r="K97" i="76"/>
  <c r="L97" i="76"/>
  <c r="K77" i="76"/>
  <c r="L77" i="76"/>
  <c r="M77" i="76"/>
  <c r="J100" i="76"/>
  <c r="I100" i="76"/>
  <c r="H102" i="76"/>
  <c r="I64" i="76"/>
  <c r="J64" i="76"/>
  <c r="H66" i="76"/>
  <c r="J108" i="76"/>
  <c r="I108" i="76"/>
  <c r="H110" i="76"/>
  <c r="I44" i="76"/>
  <c r="J44" i="76"/>
  <c r="H46" i="76"/>
  <c r="I56" i="76"/>
  <c r="J56" i="76"/>
  <c r="H58" i="76"/>
  <c r="L53" i="76"/>
  <c r="M53" i="76"/>
  <c r="K53" i="76"/>
  <c r="I104" i="76"/>
  <c r="J104" i="76"/>
  <c r="H106" i="76"/>
  <c r="L69" i="76"/>
  <c r="M69" i="76"/>
  <c r="K69" i="76"/>
  <c r="L33" i="76"/>
  <c r="M33" i="76"/>
  <c r="K33" i="76"/>
  <c r="M57" i="76"/>
  <c r="K57" i="76"/>
  <c r="L57" i="76"/>
  <c r="L37" i="76"/>
  <c r="M37" i="76"/>
  <c r="K37" i="76"/>
  <c r="K81" i="76"/>
  <c r="L81" i="76"/>
  <c r="M81" i="76"/>
  <c r="K17" i="76"/>
  <c r="M17" i="76"/>
  <c r="L17" i="76"/>
  <c r="M61" i="76"/>
  <c r="K61" i="76"/>
  <c r="L61" i="76"/>
  <c r="M41" i="76"/>
  <c r="K41" i="76"/>
  <c r="L41" i="76"/>
  <c r="J52" i="76"/>
  <c r="I52" i="76"/>
  <c r="H54" i="76"/>
  <c r="I80" i="76"/>
  <c r="J80" i="76"/>
  <c r="H82" i="76"/>
  <c r="I16" i="76"/>
  <c r="H18" i="76"/>
  <c r="J16" i="76"/>
  <c r="I60" i="76"/>
  <c r="J60" i="76"/>
  <c r="H62" i="76"/>
  <c r="J40" i="76"/>
  <c r="I40" i="76"/>
  <c r="H42" i="76"/>
  <c r="I36" i="76"/>
  <c r="J36" i="76"/>
  <c r="H38" i="76"/>
  <c r="M65" i="76"/>
  <c r="K65" i="76"/>
  <c r="L65" i="76"/>
  <c r="M109" i="76"/>
  <c r="K109" i="76"/>
  <c r="L109" i="76"/>
  <c r="K89" i="76"/>
  <c r="L89" i="76"/>
  <c r="M89" i="76"/>
  <c r="M25" i="76"/>
  <c r="K25" i="76"/>
  <c r="L25" i="76"/>
  <c r="I68" i="76"/>
  <c r="J68" i="76"/>
  <c r="H70" i="76"/>
  <c r="J96" i="76"/>
  <c r="I96" i="76"/>
  <c r="H98" i="76"/>
  <c r="J32" i="76"/>
  <c r="I32" i="76"/>
  <c r="H34" i="76"/>
  <c r="I76" i="76"/>
  <c r="J76" i="76"/>
  <c r="H78" i="76"/>
  <c r="I88" i="76"/>
  <c r="J88" i="76"/>
  <c r="H90" i="76"/>
  <c r="J24" i="76"/>
  <c r="I24" i="76"/>
  <c r="H26" i="76"/>
  <c r="L21" i="76"/>
  <c r="K21" i="76"/>
  <c r="M21" i="76"/>
  <c r="L73" i="76"/>
  <c r="M73" i="76"/>
  <c r="K73" i="76"/>
  <c r="M105" i="76"/>
  <c r="K105" i="76"/>
  <c r="L105" i="76"/>
  <c r="L101" i="76"/>
  <c r="M101" i="76"/>
  <c r="K101" i="76"/>
  <c r="M45" i="76"/>
  <c r="K45" i="76"/>
  <c r="L45" i="76"/>
  <c r="M85" i="76"/>
  <c r="K85" i="76"/>
  <c r="L85" i="76"/>
  <c r="M49" i="76"/>
  <c r="K49" i="76"/>
  <c r="L49" i="76"/>
  <c r="K93" i="76"/>
  <c r="L93" i="76"/>
  <c r="M93" i="76"/>
  <c r="L29" i="76"/>
  <c r="M29" i="76"/>
  <c r="K29" i="76"/>
  <c r="J84" i="76"/>
  <c r="I84" i="76"/>
  <c r="H86" i="76"/>
  <c r="I20" i="76"/>
  <c r="J20" i="76"/>
  <c r="H22" i="76"/>
  <c r="J48" i="76"/>
  <c r="I48" i="76"/>
  <c r="H50" i="76"/>
  <c r="J92" i="76"/>
  <c r="I92" i="76"/>
  <c r="H94" i="76"/>
  <c r="I28" i="76"/>
  <c r="J28" i="76"/>
  <c r="H30" i="76"/>
  <c r="I72" i="76"/>
  <c r="J72" i="76"/>
  <c r="H74" i="76"/>
  <c r="H10" i="94"/>
  <c r="J8" i="147"/>
  <c r="I8" i="147"/>
  <c r="H10" i="147"/>
  <c r="I7" i="147"/>
  <c r="J7" i="147"/>
  <c r="T7" i="147" s="1"/>
  <c r="M9" i="147"/>
  <c r="K9" i="147"/>
  <c r="L9" i="147"/>
  <c r="H14" i="84"/>
  <c r="V13" i="86"/>
  <c r="J22" i="84"/>
  <c r="AB15" i="84" s="1"/>
  <c r="AC15" i="84" s="1"/>
  <c r="V10" i="86"/>
  <c r="U9" i="86"/>
  <c r="V15" i="86"/>
  <c r="U14" i="86"/>
  <c r="W8" i="86"/>
  <c r="U8" i="86"/>
  <c r="P50" i="85"/>
  <c r="O50" i="85"/>
  <c r="N50" i="85"/>
  <c r="M50" i="85"/>
  <c r="P49" i="85"/>
  <c r="O49" i="85"/>
  <c r="N49" i="85"/>
  <c r="M49" i="85"/>
  <c r="P48" i="85"/>
  <c r="O48" i="85"/>
  <c r="N48" i="85"/>
  <c r="M48" i="85"/>
  <c r="D47" i="85"/>
  <c r="B32" i="85"/>
  <c r="B31" i="85"/>
  <c r="B30" i="85"/>
  <c r="B29" i="85"/>
  <c r="B28" i="85"/>
  <c r="B27" i="85"/>
  <c r="B26" i="85"/>
  <c r="B25" i="85"/>
  <c r="B24" i="85"/>
  <c r="B23" i="85"/>
  <c r="B22" i="85"/>
  <c r="B21" i="85"/>
  <c r="B20" i="85"/>
  <c r="B19" i="85"/>
  <c r="B18" i="85"/>
  <c r="B17" i="85"/>
  <c r="B16" i="85"/>
  <c r="B15" i="85"/>
  <c r="B14" i="85"/>
  <c r="B13" i="85"/>
  <c r="B12" i="85"/>
  <c r="B11" i="85"/>
  <c r="B10" i="85"/>
  <c r="B9" i="85"/>
  <c r="B8" i="85"/>
  <c r="B7" i="85"/>
  <c r="F8" i="84"/>
  <c r="F9" i="84"/>
  <c r="F10" i="84"/>
  <c r="F11" i="84"/>
  <c r="F12" i="84"/>
  <c r="F13" i="84"/>
  <c r="F7" i="84"/>
  <c r="B32" i="69"/>
  <c r="B33" i="69"/>
  <c r="B34" i="69"/>
  <c r="B35" i="69"/>
  <c r="B36" i="69"/>
  <c r="B37" i="69"/>
  <c r="B38" i="69"/>
  <c r="L28" i="76" l="1"/>
  <c r="M28" i="76"/>
  <c r="K28" i="76"/>
  <c r="J30" i="76"/>
  <c r="L92" i="76"/>
  <c r="M92" i="76"/>
  <c r="K92" i="76"/>
  <c r="J94" i="76"/>
  <c r="M76" i="76"/>
  <c r="L76" i="76"/>
  <c r="K76" i="76"/>
  <c r="J78" i="76"/>
  <c r="L32" i="76"/>
  <c r="M32" i="76"/>
  <c r="K32" i="76"/>
  <c r="J34" i="76"/>
  <c r="K36" i="76"/>
  <c r="L36" i="76"/>
  <c r="M36" i="76"/>
  <c r="J38" i="76"/>
  <c r="K40" i="76"/>
  <c r="L40" i="76"/>
  <c r="M40" i="76"/>
  <c r="J42" i="76"/>
  <c r="L16" i="76"/>
  <c r="K16" i="76"/>
  <c r="J18" i="76"/>
  <c r="M16" i="76"/>
  <c r="K80" i="76"/>
  <c r="M80" i="76"/>
  <c r="L80" i="76"/>
  <c r="J82" i="76"/>
  <c r="L52" i="76"/>
  <c r="M52" i="76"/>
  <c r="K52" i="76"/>
  <c r="J54" i="76"/>
  <c r="L56" i="76"/>
  <c r="M56" i="76"/>
  <c r="K56" i="76"/>
  <c r="J58" i="76"/>
  <c r="M72" i="76"/>
  <c r="K72" i="76"/>
  <c r="L72" i="76"/>
  <c r="J74" i="76"/>
  <c r="M20" i="76"/>
  <c r="L20" i="76"/>
  <c r="K20" i="76"/>
  <c r="J22" i="76"/>
  <c r="K84" i="76"/>
  <c r="L84" i="76"/>
  <c r="M84" i="76"/>
  <c r="J86" i="76"/>
  <c r="M88" i="76"/>
  <c r="K88" i="76"/>
  <c r="L88" i="76"/>
  <c r="J90" i="76"/>
  <c r="L68" i="76"/>
  <c r="M68" i="76"/>
  <c r="K68" i="76"/>
  <c r="J70" i="76"/>
  <c r="K64" i="76"/>
  <c r="L64" i="76"/>
  <c r="M64" i="76"/>
  <c r="J66" i="76"/>
  <c r="L100" i="76"/>
  <c r="M100" i="76"/>
  <c r="K100" i="76"/>
  <c r="J102" i="76"/>
  <c r="K60" i="76"/>
  <c r="L60" i="76"/>
  <c r="M60" i="76"/>
  <c r="J62" i="76"/>
  <c r="K104" i="76"/>
  <c r="L104" i="76"/>
  <c r="M104" i="76"/>
  <c r="J106" i="76"/>
  <c r="M48" i="76"/>
  <c r="K48" i="76"/>
  <c r="L48" i="76"/>
  <c r="J50" i="76"/>
  <c r="M24" i="76"/>
  <c r="L24" i="76"/>
  <c r="K24" i="76"/>
  <c r="J26" i="76"/>
  <c r="M96" i="76"/>
  <c r="K96" i="76"/>
  <c r="L96" i="76"/>
  <c r="J98" i="76"/>
  <c r="K44" i="76"/>
  <c r="L44" i="76"/>
  <c r="M44" i="76"/>
  <c r="J46" i="76"/>
  <c r="M108" i="76"/>
  <c r="K108" i="76"/>
  <c r="L108" i="76"/>
  <c r="J110" i="76"/>
  <c r="F7" i="128"/>
  <c r="J10" i="147"/>
  <c r="M7" i="147"/>
  <c r="K7" i="147"/>
  <c r="L7" i="147"/>
  <c r="M8" i="147"/>
  <c r="K8" i="147"/>
  <c r="L8" i="147"/>
  <c r="J8" i="133"/>
  <c r="I8" i="133"/>
  <c r="H9" i="133"/>
  <c r="I7" i="133"/>
  <c r="J7" i="133"/>
  <c r="U13" i="86"/>
  <c r="W13" i="86"/>
  <c r="W14" i="86"/>
  <c r="M22" i="84"/>
  <c r="K22" i="84"/>
  <c r="L22" i="84"/>
  <c r="U10" i="86"/>
  <c r="W10" i="86"/>
  <c r="V9" i="86"/>
  <c r="W9" i="86"/>
  <c r="U15" i="86"/>
  <c r="W15" i="86"/>
  <c r="V14" i="86"/>
  <c r="J7" i="84"/>
  <c r="J8" i="84"/>
  <c r="L8" i="84" s="1"/>
  <c r="J10" i="84"/>
  <c r="M10" i="84" s="1"/>
  <c r="J11" i="84"/>
  <c r="K11" i="84" s="1"/>
  <c r="J12" i="84"/>
  <c r="L12" i="84" s="1"/>
  <c r="J9" i="84"/>
  <c r="K9" i="84" s="1"/>
  <c r="J13" i="84"/>
  <c r="L13" i="84" s="1"/>
  <c r="I9" i="84"/>
  <c r="I11" i="84"/>
  <c r="I12" i="84"/>
  <c r="I13" i="84"/>
  <c r="I7" i="84"/>
  <c r="I8" i="84"/>
  <c r="I10" i="84"/>
  <c r="K110" i="76" l="1"/>
  <c r="L110" i="76"/>
  <c r="T107" i="76"/>
  <c r="U107" i="76" s="1"/>
  <c r="M110" i="76"/>
  <c r="T43" i="76"/>
  <c r="U43" i="76" s="1"/>
  <c r="L46" i="76"/>
  <c r="M46" i="76"/>
  <c r="K46" i="76"/>
  <c r="T95" i="76"/>
  <c r="U95" i="76" s="1"/>
  <c r="M98" i="76"/>
  <c r="K98" i="76"/>
  <c r="L98" i="76"/>
  <c r="T23" i="76"/>
  <c r="U23" i="76" s="1"/>
  <c r="L26" i="76"/>
  <c r="K26" i="76"/>
  <c r="M26" i="76"/>
  <c r="T47" i="76"/>
  <c r="U47" i="76" s="1"/>
  <c r="L50" i="76"/>
  <c r="M50" i="76"/>
  <c r="K50" i="76"/>
  <c r="M106" i="76"/>
  <c r="K106" i="76"/>
  <c r="T103" i="76"/>
  <c r="U103" i="76" s="1"/>
  <c r="L106" i="76"/>
  <c r="K62" i="76"/>
  <c r="L62" i="76"/>
  <c r="T59" i="76"/>
  <c r="U59" i="76" s="1"/>
  <c r="M62" i="76"/>
  <c r="L102" i="76"/>
  <c r="T99" i="76"/>
  <c r="U99" i="76" s="1"/>
  <c r="M102" i="76"/>
  <c r="K102" i="76"/>
  <c r="T63" i="76"/>
  <c r="U63" i="76" s="1"/>
  <c r="L66" i="76"/>
  <c r="K66" i="76"/>
  <c r="M66" i="76"/>
  <c r="T67" i="76"/>
  <c r="U67" i="76" s="1"/>
  <c r="M70" i="76"/>
  <c r="L70" i="76"/>
  <c r="K70" i="76"/>
  <c r="T87" i="76"/>
  <c r="U87" i="76" s="1"/>
  <c r="K90" i="76"/>
  <c r="L90" i="76"/>
  <c r="M90" i="76"/>
  <c r="K86" i="76"/>
  <c r="L86" i="76"/>
  <c r="T83" i="76"/>
  <c r="U83" i="76" s="1"/>
  <c r="M86" i="76"/>
  <c r="T19" i="76"/>
  <c r="U19" i="76" s="1"/>
  <c r="K22" i="76"/>
  <c r="M22" i="76"/>
  <c r="L22" i="76"/>
  <c r="T71" i="76"/>
  <c r="U71" i="76" s="1"/>
  <c r="K74" i="76"/>
  <c r="L74" i="76"/>
  <c r="M74" i="76"/>
  <c r="L58" i="76"/>
  <c r="T55" i="76"/>
  <c r="U55" i="76" s="1"/>
  <c r="M58" i="76"/>
  <c r="K58" i="76"/>
  <c r="T51" i="76"/>
  <c r="U51" i="76" s="1"/>
  <c r="K54" i="76"/>
  <c r="L54" i="76"/>
  <c r="M54" i="76"/>
  <c r="T79" i="76"/>
  <c r="U79" i="76" s="1"/>
  <c r="L82" i="76"/>
  <c r="M82" i="76"/>
  <c r="K82" i="76"/>
  <c r="M42" i="76"/>
  <c r="T39" i="76"/>
  <c r="U39" i="76" s="1"/>
  <c r="K42" i="76"/>
  <c r="L42" i="76"/>
  <c r="K38" i="76"/>
  <c r="L38" i="76"/>
  <c r="T35" i="76"/>
  <c r="U35" i="76" s="1"/>
  <c r="M38" i="76"/>
  <c r="K34" i="76"/>
  <c r="L34" i="76"/>
  <c r="T31" i="76"/>
  <c r="U31" i="76" s="1"/>
  <c r="M34" i="76"/>
  <c r="T75" i="76"/>
  <c r="U75" i="76" s="1"/>
  <c r="K78" i="76"/>
  <c r="M78" i="76"/>
  <c r="L78" i="76"/>
  <c r="M94" i="76"/>
  <c r="T91" i="76"/>
  <c r="U91" i="76" s="1"/>
  <c r="K94" i="76"/>
  <c r="L94" i="76"/>
  <c r="T27" i="76"/>
  <c r="U27" i="76" s="1"/>
  <c r="M30" i="76"/>
  <c r="K30" i="76"/>
  <c r="L30" i="76"/>
  <c r="T15" i="76"/>
  <c r="U15" i="76" s="1"/>
  <c r="M18" i="76"/>
  <c r="L18" i="76"/>
  <c r="K18" i="76"/>
  <c r="U7" i="147"/>
  <c r="K339" i="74" s="1"/>
  <c r="I339" i="74"/>
  <c r="M7" i="84"/>
  <c r="K6" i="128"/>
  <c r="K48" i="128" s="1"/>
  <c r="E19" i="129" s="1"/>
  <c r="L10" i="147"/>
  <c r="M10" i="147"/>
  <c r="K10" i="147"/>
  <c r="L7" i="133"/>
  <c r="J9" i="133"/>
  <c r="R7" i="133" s="1"/>
  <c r="I240" i="74" s="1"/>
  <c r="M7" i="133"/>
  <c r="K7" i="133"/>
  <c r="M8" i="133"/>
  <c r="K8" i="133"/>
  <c r="L8" i="133"/>
  <c r="L10" i="84"/>
  <c r="L7" i="84"/>
  <c r="J14" i="84"/>
  <c r="AB7" i="84" s="1"/>
  <c r="K7" i="84"/>
  <c r="K12" i="84"/>
  <c r="K10" i="84"/>
  <c r="M12" i="84"/>
  <c r="M11" i="84"/>
  <c r="L11" i="84"/>
  <c r="M13" i="84"/>
  <c r="K8" i="84"/>
  <c r="K13" i="84"/>
  <c r="M8" i="84"/>
  <c r="M9" i="84"/>
  <c r="L9" i="84"/>
  <c r="K49" i="128" l="1"/>
  <c r="K47" i="128"/>
  <c r="S7" i="133"/>
  <c r="K240" i="74" s="1"/>
  <c r="AC7" i="84"/>
  <c r="K208" i="74" s="1"/>
  <c r="I208" i="74"/>
  <c r="C19" i="129"/>
  <c r="F6" i="128"/>
  <c r="G6" i="128"/>
  <c r="K9" i="133"/>
  <c r="L9" i="133"/>
  <c r="M9" i="133"/>
  <c r="M14" i="84"/>
  <c r="K14" i="84"/>
  <c r="L14" i="84"/>
  <c r="T4" i="82"/>
  <c r="V169" i="74" s="1"/>
  <c r="K91" i="82"/>
  <c r="B91" i="82"/>
  <c r="K90" i="82"/>
  <c r="B90" i="82"/>
  <c r="K89" i="82"/>
  <c r="B89" i="82"/>
  <c r="K88" i="82"/>
  <c r="B88" i="82"/>
  <c r="K87" i="82"/>
  <c r="B87" i="82"/>
  <c r="K86" i="82"/>
  <c r="B86" i="82"/>
  <c r="K85" i="82"/>
  <c r="B85" i="82"/>
  <c r="K84" i="82"/>
  <c r="B84" i="82"/>
  <c r="K83" i="82"/>
  <c r="B83" i="82"/>
  <c r="K82" i="82"/>
  <c r="B82" i="82"/>
  <c r="K81" i="82"/>
  <c r="B81" i="82"/>
  <c r="K80" i="82"/>
  <c r="B80" i="82"/>
  <c r="K79" i="82"/>
  <c r="B79" i="82"/>
  <c r="K78" i="82"/>
  <c r="B78" i="82"/>
  <c r="K77" i="82"/>
  <c r="B77" i="82"/>
  <c r="K76" i="82"/>
  <c r="B76" i="82"/>
  <c r="K75" i="82"/>
  <c r="B75" i="82"/>
  <c r="K74" i="82"/>
  <c r="B74" i="82"/>
  <c r="K73" i="82"/>
  <c r="B73" i="82"/>
  <c r="K72" i="82"/>
  <c r="B72" i="82"/>
  <c r="K71" i="82"/>
  <c r="B71" i="82"/>
  <c r="K70" i="82"/>
  <c r="B70" i="82"/>
  <c r="K69" i="82"/>
  <c r="B69" i="82"/>
  <c r="K68" i="82"/>
  <c r="B68" i="82"/>
  <c r="K67" i="82"/>
  <c r="B67" i="82"/>
  <c r="K66" i="82"/>
  <c r="B66" i="82"/>
  <c r="K65" i="82"/>
  <c r="B65" i="82"/>
  <c r="K64" i="82"/>
  <c r="B64" i="82"/>
  <c r="K63" i="82"/>
  <c r="B63" i="82"/>
  <c r="K62" i="82"/>
  <c r="B62" i="82"/>
  <c r="K61" i="82"/>
  <c r="B61" i="82"/>
  <c r="K60" i="82"/>
  <c r="B60" i="82"/>
  <c r="K59" i="82"/>
  <c r="B59" i="82"/>
  <c r="K58" i="82"/>
  <c r="B58" i="82"/>
  <c r="K57" i="82"/>
  <c r="B57" i="82"/>
  <c r="K56" i="82"/>
  <c r="B56" i="82"/>
  <c r="K55" i="82"/>
  <c r="B55" i="82"/>
  <c r="K54" i="82"/>
  <c r="B54" i="82"/>
  <c r="K53" i="82"/>
  <c r="B53" i="82"/>
  <c r="K52" i="82"/>
  <c r="I52" i="82"/>
  <c r="B52" i="82"/>
  <c r="R43" i="82"/>
  <c r="K43" i="82"/>
  <c r="B43" i="82"/>
  <c r="R42" i="82"/>
  <c r="K42" i="82"/>
  <c r="B42" i="82"/>
  <c r="R41" i="82"/>
  <c r="K41" i="82"/>
  <c r="B41" i="82"/>
  <c r="R40" i="82"/>
  <c r="K40" i="82"/>
  <c r="B40" i="82"/>
  <c r="R39" i="82"/>
  <c r="K39" i="82"/>
  <c r="B39" i="82"/>
  <c r="R38" i="82"/>
  <c r="K38" i="82"/>
  <c r="B38" i="82"/>
  <c r="R37" i="82"/>
  <c r="K37" i="82"/>
  <c r="B37" i="82"/>
  <c r="R36" i="82"/>
  <c r="K36" i="82"/>
  <c r="B36" i="82"/>
  <c r="R35" i="82"/>
  <c r="K35" i="82"/>
  <c r="B35" i="82"/>
  <c r="R34" i="82"/>
  <c r="K34" i="82"/>
  <c r="B34" i="82"/>
  <c r="R33" i="82"/>
  <c r="K33" i="82"/>
  <c r="B33" i="82"/>
  <c r="R32" i="82"/>
  <c r="K32" i="82"/>
  <c r="B32" i="82"/>
  <c r="R31" i="82"/>
  <c r="K31" i="82"/>
  <c r="B31" i="82"/>
  <c r="R30" i="82"/>
  <c r="K30" i="82"/>
  <c r="B30" i="82"/>
  <c r="R29" i="82"/>
  <c r="K29" i="82"/>
  <c r="B29" i="82"/>
  <c r="R28" i="82"/>
  <c r="K28" i="82"/>
  <c r="B28" i="82"/>
  <c r="R27" i="82"/>
  <c r="K27" i="82"/>
  <c r="B27" i="82"/>
  <c r="R26" i="82"/>
  <c r="K26" i="82"/>
  <c r="B26" i="82"/>
  <c r="R25" i="82"/>
  <c r="K25" i="82"/>
  <c r="B25" i="82"/>
  <c r="R24" i="82"/>
  <c r="K24" i="82"/>
  <c r="B24" i="82"/>
  <c r="R23" i="82"/>
  <c r="K23" i="82"/>
  <c r="B23" i="82"/>
  <c r="R22" i="82"/>
  <c r="K22" i="82"/>
  <c r="B22" i="82"/>
  <c r="R21" i="82"/>
  <c r="K21" i="82"/>
  <c r="B21" i="82"/>
  <c r="R20" i="82"/>
  <c r="K20" i="82"/>
  <c r="B20" i="82"/>
  <c r="R19" i="82"/>
  <c r="K19" i="82"/>
  <c r="B19" i="82"/>
  <c r="R18" i="82"/>
  <c r="K18" i="82"/>
  <c r="B18" i="82"/>
  <c r="R17" i="82"/>
  <c r="K17" i="82"/>
  <c r="B17" i="82"/>
  <c r="R16" i="82"/>
  <c r="K16" i="82"/>
  <c r="B16" i="82"/>
  <c r="R15" i="82"/>
  <c r="K15" i="82"/>
  <c r="B15" i="82"/>
  <c r="R14" i="82"/>
  <c r="K14" i="82"/>
  <c r="B14" i="82"/>
  <c r="R13" i="82"/>
  <c r="K13" i="82"/>
  <c r="B13" i="82"/>
  <c r="R12" i="82"/>
  <c r="K12" i="82"/>
  <c r="B12" i="82"/>
  <c r="R11" i="82"/>
  <c r="K11" i="82"/>
  <c r="B11" i="82"/>
  <c r="R10" i="82"/>
  <c r="K10" i="82"/>
  <c r="B10" i="82"/>
  <c r="R9" i="82"/>
  <c r="K9" i="82"/>
  <c r="B9" i="82"/>
  <c r="R8" i="82"/>
  <c r="K8" i="82"/>
  <c r="B8" i="82"/>
  <c r="R7" i="82"/>
  <c r="K7" i="82"/>
  <c r="B7" i="82"/>
  <c r="R6" i="82"/>
  <c r="K6" i="82"/>
  <c r="B6" i="82"/>
  <c r="R5" i="82"/>
  <c r="K5" i="82"/>
  <c r="B5" i="82"/>
  <c r="R4" i="82"/>
  <c r="K4" i="82"/>
  <c r="B4" i="82"/>
  <c r="G49" i="128" l="1"/>
  <c r="G48" i="128"/>
  <c r="E15" i="129" s="1"/>
  <c r="G47" i="128"/>
  <c r="F47" i="128"/>
  <c r="C14" i="129"/>
  <c r="D14" i="129" s="1"/>
  <c r="F49" i="128"/>
  <c r="F48" i="128"/>
  <c r="E14" i="129" s="1"/>
  <c r="C15" i="129"/>
  <c r="S4" i="82"/>
  <c r="M169" i="74" s="1"/>
  <c r="K51" i="80"/>
  <c r="I51" i="80"/>
  <c r="H51" i="80"/>
  <c r="G51" i="80"/>
  <c r="F51" i="80"/>
  <c r="E51" i="80"/>
  <c r="D51" i="80"/>
  <c r="B34" i="80"/>
  <c r="B33" i="80"/>
  <c r="B32" i="80"/>
  <c r="B31" i="80"/>
  <c r="B30" i="80"/>
  <c r="B29" i="80"/>
  <c r="B28" i="80"/>
  <c r="B27" i="80"/>
  <c r="B26" i="80"/>
  <c r="B25" i="80"/>
  <c r="B24" i="80"/>
  <c r="B23" i="80"/>
  <c r="B22" i="80"/>
  <c r="B21" i="80"/>
  <c r="B20" i="80"/>
  <c r="B19" i="80"/>
  <c r="B18" i="80"/>
  <c r="B17" i="80"/>
  <c r="B16" i="80"/>
  <c r="B15" i="80"/>
  <c r="B14" i="80"/>
  <c r="B13" i="80"/>
  <c r="B12" i="80"/>
  <c r="B11" i="80"/>
  <c r="B10" i="80"/>
  <c r="B9" i="80"/>
  <c r="L52" i="60"/>
  <c r="L53" i="60"/>
  <c r="L54" i="60"/>
  <c r="L55" i="60"/>
  <c r="L56" i="60"/>
  <c r="L57" i="60"/>
  <c r="L58" i="60"/>
  <c r="L59" i="60"/>
  <c r="L60" i="60"/>
  <c r="L61" i="60"/>
  <c r="L62" i="60"/>
  <c r="L63" i="60"/>
  <c r="L64" i="60"/>
  <c r="L65" i="60"/>
  <c r="L66" i="60"/>
  <c r="L67" i="60"/>
  <c r="L68" i="60"/>
  <c r="L69" i="60"/>
  <c r="L70" i="60"/>
  <c r="L71" i="60"/>
  <c r="L72" i="60"/>
  <c r="L73" i="60"/>
  <c r="L74" i="60"/>
  <c r="L75" i="60"/>
  <c r="L76" i="60"/>
  <c r="L77" i="60"/>
  <c r="L78" i="60"/>
  <c r="L79" i="60"/>
  <c r="L80" i="60"/>
  <c r="L81" i="60"/>
  <c r="L82" i="60"/>
  <c r="L83" i="60"/>
  <c r="L84" i="60"/>
  <c r="L85" i="60"/>
  <c r="L86" i="60"/>
  <c r="L88" i="60"/>
  <c r="L89" i="60"/>
  <c r="L90" i="60"/>
  <c r="J51" i="60"/>
  <c r="D15" i="129" l="1"/>
  <c r="F15" i="129"/>
  <c r="D19" i="129"/>
  <c r="F19" i="129"/>
  <c r="L51" i="80"/>
  <c r="AW10" i="51"/>
  <c r="AX10" i="51"/>
  <c r="AY10" i="51"/>
  <c r="AZ10" i="51"/>
  <c r="BA10" i="51"/>
  <c r="BB10" i="51"/>
  <c r="AW11" i="51"/>
  <c r="AX11" i="51"/>
  <c r="AY11" i="51"/>
  <c r="AZ11" i="51"/>
  <c r="BA11" i="51"/>
  <c r="BB11" i="51"/>
  <c r="AW12" i="51"/>
  <c r="AX12" i="51"/>
  <c r="AY12" i="51"/>
  <c r="AZ12" i="51"/>
  <c r="BA12" i="51"/>
  <c r="BB12" i="51"/>
  <c r="AW13" i="51"/>
  <c r="AX13" i="51"/>
  <c r="AY13" i="51"/>
  <c r="AZ13" i="51"/>
  <c r="BA13" i="51"/>
  <c r="BB13" i="51"/>
  <c r="AW14" i="51"/>
  <c r="AX14" i="51"/>
  <c r="AY14" i="51"/>
  <c r="AZ14" i="51"/>
  <c r="BA14" i="51"/>
  <c r="BB14" i="51"/>
  <c r="AW15" i="51"/>
  <c r="AX15" i="51"/>
  <c r="AY15" i="51"/>
  <c r="AZ15" i="51"/>
  <c r="BA15" i="51"/>
  <c r="BB15" i="51"/>
  <c r="AW16" i="51"/>
  <c r="AX16" i="51"/>
  <c r="AY16" i="51"/>
  <c r="AZ16" i="51"/>
  <c r="BA16" i="51"/>
  <c r="BB16" i="51"/>
  <c r="AW17" i="51"/>
  <c r="AX17" i="51"/>
  <c r="AY17" i="51"/>
  <c r="AZ17" i="51"/>
  <c r="BA17" i="51"/>
  <c r="BB17" i="51"/>
  <c r="AW18" i="51"/>
  <c r="AX18" i="51"/>
  <c r="AY18" i="51"/>
  <c r="AZ18" i="51"/>
  <c r="BA18" i="51"/>
  <c r="BB18" i="51"/>
  <c r="AW19" i="51"/>
  <c r="AX19" i="51"/>
  <c r="AY19" i="51"/>
  <c r="AZ19" i="51"/>
  <c r="BA19" i="51"/>
  <c r="BB19" i="51"/>
  <c r="AW20" i="51"/>
  <c r="AX20" i="51"/>
  <c r="AY20" i="51"/>
  <c r="AZ20" i="51"/>
  <c r="BA20" i="51"/>
  <c r="BB20" i="51"/>
  <c r="AW21" i="51"/>
  <c r="AX21" i="51"/>
  <c r="AY21" i="51"/>
  <c r="AZ21" i="51"/>
  <c r="BA21" i="51"/>
  <c r="BB21" i="51"/>
  <c r="AW22" i="51"/>
  <c r="AX22" i="51"/>
  <c r="AY22" i="51"/>
  <c r="AZ22" i="51"/>
  <c r="BA22" i="51"/>
  <c r="BB22" i="51"/>
  <c r="AW23" i="51"/>
  <c r="AX23" i="51"/>
  <c r="AY23" i="51"/>
  <c r="AZ23" i="51"/>
  <c r="BA23" i="51"/>
  <c r="BB23" i="51"/>
  <c r="AW24" i="51"/>
  <c r="AX24" i="51"/>
  <c r="AY24" i="51"/>
  <c r="AZ24" i="51"/>
  <c r="BA24" i="51"/>
  <c r="BB24" i="51"/>
  <c r="AW25" i="51"/>
  <c r="AX25" i="51"/>
  <c r="AY25" i="51"/>
  <c r="AZ25" i="51"/>
  <c r="BA25" i="51"/>
  <c r="BB25" i="51"/>
  <c r="AW26" i="51"/>
  <c r="AX26" i="51"/>
  <c r="AY26" i="51"/>
  <c r="AZ26" i="51"/>
  <c r="BA26" i="51"/>
  <c r="BB26" i="51"/>
  <c r="AW27" i="51"/>
  <c r="AX27" i="51"/>
  <c r="AY27" i="51"/>
  <c r="AZ27" i="51"/>
  <c r="BA27" i="51"/>
  <c r="BB27" i="51"/>
  <c r="AW28" i="51"/>
  <c r="AX28" i="51"/>
  <c r="AY28" i="51"/>
  <c r="AZ28" i="51"/>
  <c r="BA28" i="51"/>
  <c r="BB28" i="51"/>
  <c r="AW29" i="51"/>
  <c r="AX29" i="51"/>
  <c r="AY29" i="51"/>
  <c r="AZ29" i="51"/>
  <c r="BA29" i="51"/>
  <c r="BB29" i="51"/>
  <c r="AK50" i="51"/>
  <c r="AZ9" i="51"/>
  <c r="AX9" i="51"/>
  <c r="AW9" i="51"/>
  <c r="H9" i="109" l="1"/>
  <c r="AJ9" i="94"/>
  <c r="AJ13" i="94" s="1"/>
  <c r="AK131" i="94"/>
  <c r="AK133" i="94" s="1"/>
  <c r="H150" i="109"/>
  <c r="H10" i="109"/>
  <c r="AK11" i="94"/>
  <c r="AK13" i="94" s="1"/>
  <c r="AN130" i="94"/>
  <c r="AN133" i="94" s="1"/>
  <c r="H153" i="109"/>
  <c r="AJ129" i="94"/>
  <c r="AJ133" i="94" s="1"/>
  <c r="H149" i="109"/>
  <c r="AL122" i="94"/>
  <c r="AL127" i="94" s="1"/>
  <c r="H144" i="109"/>
  <c r="AN118" i="94"/>
  <c r="AN121" i="94" s="1"/>
  <c r="H139" i="109"/>
  <c r="AJ117" i="94"/>
  <c r="AJ121" i="94" s="1"/>
  <c r="H135" i="109"/>
  <c r="AL110" i="94"/>
  <c r="AL115" i="94" s="1"/>
  <c r="H130" i="109"/>
  <c r="AN106" i="94"/>
  <c r="AN109" i="94" s="1"/>
  <c r="H125" i="109"/>
  <c r="AJ105" i="94"/>
  <c r="AJ109" i="94" s="1"/>
  <c r="H121" i="109"/>
  <c r="AL98" i="94"/>
  <c r="AL103" i="94" s="1"/>
  <c r="H116" i="109"/>
  <c r="AN94" i="94"/>
  <c r="AN97" i="94" s="1"/>
  <c r="H111" i="109"/>
  <c r="AJ93" i="94"/>
  <c r="AJ97" i="94" s="1"/>
  <c r="H107" i="109"/>
  <c r="AL86" i="94"/>
  <c r="AL91" i="94" s="1"/>
  <c r="H102" i="109"/>
  <c r="AN82" i="94"/>
  <c r="AN85" i="94" s="1"/>
  <c r="H97" i="109"/>
  <c r="AJ81" i="94"/>
  <c r="AJ85" i="94" s="1"/>
  <c r="H93" i="109"/>
  <c r="AL74" i="94"/>
  <c r="AL79" i="94" s="1"/>
  <c r="H88" i="109"/>
  <c r="AN70" i="94"/>
  <c r="AN73" i="94" s="1"/>
  <c r="H83" i="109"/>
  <c r="AJ69" i="94"/>
  <c r="AJ73" i="94" s="1"/>
  <c r="H79" i="109"/>
  <c r="AL62" i="94"/>
  <c r="AL67" i="94" s="1"/>
  <c r="H74" i="109"/>
  <c r="AN58" i="94"/>
  <c r="AN61" i="94" s="1"/>
  <c r="H69" i="109"/>
  <c r="AJ57" i="94"/>
  <c r="AJ61" i="94" s="1"/>
  <c r="H65" i="109"/>
  <c r="AL50" i="94"/>
  <c r="AL55" i="94" s="1"/>
  <c r="H60" i="109"/>
  <c r="AN46" i="94"/>
  <c r="AN49" i="94" s="1"/>
  <c r="H55" i="109"/>
  <c r="AJ45" i="94"/>
  <c r="AJ49" i="94" s="1"/>
  <c r="H51" i="109"/>
  <c r="AL38" i="94"/>
  <c r="AL43" i="94" s="1"/>
  <c r="H46" i="109"/>
  <c r="AN34" i="94"/>
  <c r="AN37" i="94" s="1"/>
  <c r="H41" i="109"/>
  <c r="AJ33" i="94"/>
  <c r="AJ37" i="94" s="1"/>
  <c r="H37" i="109"/>
  <c r="AL26" i="94"/>
  <c r="AL31" i="94" s="1"/>
  <c r="H32" i="109"/>
  <c r="AN22" i="94"/>
  <c r="AN25" i="94" s="1"/>
  <c r="H27" i="109"/>
  <c r="AJ21" i="94"/>
  <c r="AJ25" i="94" s="1"/>
  <c r="H23" i="109"/>
  <c r="AL14" i="94"/>
  <c r="AL19" i="94" s="1"/>
  <c r="H18" i="109"/>
  <c r="H12" i="109"/>
  <c r="AM10" i="94"/>
  <c r="AM13" i="94" s="1"/>
  <c r="AM130" i="94"/>
  <c r="AM133" i="94" s="1"/>
  <c r="H152" i="109"/>
  <c r="AO126" i="94"/>
  <c r="AO127" i="94" s="1"/>
  <c r="H147" i="109"/>
  <c r="AK125" i="94"/>
  <c r="AK127" i="94" s="1"/>
  <c r="H143" i="109"/>
  <c r="AM118" i="94"/>
  <c r="AM121" i="94" s="1"/>
  <c r="H138" i="109"/>
  <c r="AO114" i="94"/>
  <c r="AO115" i="94" s="1"/>
  <c r="H133" i="109"/>
  <c r="AK113" i="94"/>
  <c r="AK115" i="94" s="1"/>
  <c r="H129" i="109"/>
  <c r="AM106" i="94"/>
  <c r="AM109" i="94" s="1"/>
  <c r="H124" i="109"/>
  <c r="AO102" i="94"/>
  <c r="AO103" i="94" s="1"/>
  <c r="H119" i="109"/>
  <c r="AK101" i="94"/>
  <c r="AK103" i="94" s="1"/>
  <c r="H115" i="109"/>
  <c r="AM94" i="94"/>
  <c r="AM97" i="94" s="1"/>
  <c r="H110" i="109"/>
  <c r="AO90" i="94"/>
  <c r="AO91" i="94" s="1"/>
  <c r="H105" i="109"/>
  <c r="AK89" i="94"/>
  <c r="AK91" i="94" s="1"/>
  <c r="H101" i="109"/>
  <c r="AM82" i="94"/>
  <c r="AM85" i="94" s="1"/>
  <c r="H96" i="109"/>
  <c r="AO78" i="94"/>
  <c r="AO79" i="94" s="1"/>
  <c r="H91" i="109"/>
  <c r="AK77" i="94"/>
  <c r="AK79" i="94" s="1"/>
  <c r="H87" i="109"/>
  <c r="AM70" i="94"/>
  <c r="AM73" i="94" s="1"/>
  <c r="H82" i="109"/>
  <c r="AO66" i="94"/>
  <c r="AO67" i="94" s="1"/>
  <c r="H77" i="109"/>
  <c r="AK65" i="94"/>
  <c r="AK67" i="94" s="1"/>
  <c r="H73" i="109"/>
  <c r="AM58" i="94"/>
  <c r="AM61" i="94" s="1"/>
  <c r="H68" i="109"/>
  <c r="AO54" i="94"/>
  <c r="AO55" i="94" s="1"/>
  <c r="H63" i="109"/>
  <c r="AK53" i="94"/>
  <c r="AK55" i="94" s="1"/>
  <c r="H59" i="109"/>
  <c r="AM46" i="94"/>
  <c r="AM49" i="94" s="1"/>
  <c r="H54" i="109"/>
  <c r="AO42" i="94"/>
  <c r="AO43" i="94" s="1"/>
  <c r="H49" i="109"/>
  <c r="AK41" i="94"/>
  <c r="AK43" i="94" s="1"/>
  <c r="H45" i="109"/>
  <c r="AM34" i="94"/>
  <c r="AM37" i="94" s="1"/>
  <c r="H40" i="109"/>
  <c r="AO30" i="94"/>
  <c r="AO31" i="94" s="1"/>
  <c r="H35" i="109"/>
  <c r="AK29" i="94"/>
  <c r="AK31" i="94" s="1"/>
  <c r="H31" i="109"/>
  <c r="AM22" i="94"/>
  <c r="AM25" i="94" s="1"/>
  <c r="H26" i="109"/>
  <c r="AO18" i="94"/>
  <c r="AO19" i="94" s="1"/>
  <c r="H21" i="109"/>
  <c r="AK17" i="94"/>
  <c r="AK19" i="94" s="1"/>
  <c r="H17" i="109"/>
  <c r="AL128" i="94"/>
  <c r="AL133" i="94" s="1"/>
  <c r="H151" i="109"/>
  <c r="AN124" i="94"/>
  <c r="AN127" i="94" s="1"/>
  <c r="H146" i="109"/>
  <c r="AJ123" i="94"/>
  <c r="AJ127" i="94" s="1"/>
  <c r="H142" i="109"/>
  <c r="AL116" i="94"/>
  <c r="AL121" i="94" s="1"/>
  <c r="H137" i="109"/>
  <c r="AN112" i="94"/>
  <c r="AN115" i="94" s="1"/>
  <c r="H132" i="109"/>
  <c r="AJ111" i="94"/>
  <c r="AJ115" i="94" s="1"/>
  <c r="H128" i="109"/>
  <c r="AL104" i="94"/>
  <c r="AL109" i="94" s="1"/>
  <c r="H123" i="109"/>
  <c r="AN100" i="94"/>
  <c r="AN103" i="94" s="1"/>
  <c r="H118" i="109"/>
  <c r="AJ99" i="94"/>
  <c r="AJ103" i="94" s="1"/>
  <c r="H114" i="109"/>
  <c r="AL92" i="94"/>
  <c r="AL97" i="94" s="1"/>
  <c r="H109" i="109"/>
  <c r="AN88" i="94"/>
  <c r="AN91" i="94" s="1"/>
  <c r="H104" i="109"/>
  <c r="AJ87" i="94"/>
  <c r="AJ91" i="94" s="1"/>
  <c r="H100" i="109"/>
  <c r="AL80" i="94"/>
  <c r="AL85" i="94" s="1"/>
  <c r="H95" i="109"/>
  <c r="AN76" i="94"/>
  <c r="AN79" i="94" s="1"/>
  <c r="H90" i="109"/>
  <c r="AJ75" i="94"/>
  <c r="AJ79" i="94" s="1"/>
  <c r="H86" i="109"/>
  <c r="AL68" i="94"/>
  <c r="AL73" i="94" s="1"/>
  <c r="H81" i="109"/>
  <c r="AN64" i="94"/>
  <c r="AN67" i="94" s="1"/>
  <c r="H76" i="109"/>
  <c r="AJ63" i="94"/>
  <c r="AJ67" i="94" s="1"/>
  <c r="H72" i="109"/>
  <c r="AL56" i="94"/>
  <c r="AL61" i="94" s="1"/>
  <c r="H67" i="109"/>
  <c r="AN52" i="94"/>
  <c r="AN55" i="94" s="1"/>
  <c r="H62" i="109"/>
  <c r="AJ51" i="94"/>
  <c r="AJ55" i="94" s="1"/>
  <c r="H58" i="109"/>
  <c r="AL44" i="94"/>
  <c r="AL49" i="94" s="1"/>
  <c r="H53" i="109"/>
  <c r="AN40" i="94"/>
  <c r="AN43" i="94" s="1"/>
  <c r="H48" i="109"/>
  <c r="AJ39" i="94"/>
  <c r="AJ43" i="94" s="1"/>
  <c r="H44" i="109"/>
  <c r="AL32" i="94"/>
  <c r="AL37" i="94" s="1"/>
  <c r="H39" i="109"/>
  <c r="AN28" i="94"/>
  <c r="AN31" i="94" s="1"/>
  <c r="H34" i="109"/>
  <c r="AJ27" i="94"/>
  <c r="AJ31" i="94" s="1"/>
  <c r="H30" i="109"/>
  <c r="AL20" i="94"/>
  <c r="AL25" i="94" s="1"/>
  <c r="H25" i="109"/>
  <c r="AN16" i="94"/>
  <c r="AN19" i="94" s="1"/>
  <c r="H20" i="109"/>
  <c r="AJ15" i="94"/>
  <c r="AJ19" i="94" s="1"/>
  <c r="H16" i="109"/>
  <c r="AO132" i="94"/>
  <c r="AO133" i="94" s="1"/>
  <c r="H154" i="109"/>
  <c r="AM124" i="94"/>
  <c r="AM127" i="94" s="1"/>
  <c r="H145" i="109"/>
  <c r="AO120" i="94"/>
  <c r="AO121" i="94" s="1"/>
  <c r="H140" i="109"/>
  <c r="AK119" i="94"/>
  <c r="AK121" i="94" s="1"/>
  <c r="H136" i="109"/>
  <c r="AM112" i="94"/>
  <c r="AM115" i="94" s="1"/>
  <c r="H131" i="109"/>
  <c r="AO108" i="94"/>
  <c r="AO109" i="94" s="1"/>
  <c r="H126" i="109"/>
  <c r="AK107" i="94"/>
  <c r="AK109" i="94" s="1"/>
  <c r="H122" i="109"/>
  <c r="AM100" i="94"/>
  <c r="AM103" i="94" s="1"/>
  <c r="H117" i="109"/>
  <c r="AO96" i="94"/>
  <c r="AO97" i="94" s="1"/>
  <c r="H112" i="109"/>
  <c r="AK95" i="94"/>
  <c r="AK97" i="94" s="1"/>
  <c r="H108" i="109"/>
  <c r="AM88" i="94"/>
  <c r="AM91" i="94" s="1"/>
  <c r="H103" i="109"/>
  <c r="AO84" i="94"/>
  <c r="AO85" i="94" s="1"/>
  <c r="H98" i="109"/>
  <c r="AK83" i="94"/>
  <c r="AK85" i="94" s="1"/>
  <c r="H94" i="109"/>
  <c r="AM76" i="94"/>
  <c r="AM79" i="94" s="1"/>
  <c r="H89" i="109"/>
  <c r="AO72" i="94"/>
  <c r="AO73" i="94" s="1"/>
  <c r="H84" i="109"/>
  <c r="AK71" i="94"/>
  <c r="AK73" i="94" s="1"/>
  <c r="H80" i="109"/>
  <c r="AM64" i="94"/>
  <c r="AM67" i="94" s="1"/>
  <c r="H75" i="109"/>
  <c r="AO60" i="94"/>
  <c r="AO61" i="94" s="1"/>
  <c r="H70" i="109"/>
  <c r="AK59" i="94"/>
  <c r="AK61" i="94" s="1"/>
  <c r="H66" i="109"/>
  <c r="AM52" i="94"/>
  <c r="AM55" i="94" s="1"/>
  <c r="H61" i="109"/>
  <c r="AO48" i="94"/>
  <c r="AO49" i="94" s="1"/>
  <c r="H56" i="109"/>
  <c r="AK47" i="94"/>
  <c r="AK49" i="94" s="1"/>
  <c r="H52" i="109"/>
  <c r="AM40" i="94"/>
  <c r="AM43" i="94" s="1"/>
  <c r="H47" i="109"/>
  <c r="AO36" i="94"/>
  <c r="AO37" i="94" s="1"/>
  <c r="H42" i="109"/>
  <c r="AK35" i="94"/>
  <c r="AK37" i="94" s="1"/>
  <c r="H38" i="109"/>
  <c r="AM28" i="94"/>
  <c r="AM31" i="94" s="1"/>
  <c r="H33" i="109"/>
  <c r="AO24" i="94"/>
  <c r="AO25" i="94" s="1"/>
  <c r="H28" i="109"/>
  <c r="AK23" i="94"/>
  <c r="AK25" i="94" s="1"/>
  <c r="H24" i="109"/>
  <c r="AM16" i="94"/>
  <c r="AM19" i="94" s="1"/>
  <c r="H19" i="109"/>
  <c r="BA9" i="51"/>
  <c r="BB9" i="51"/>
  <c r="AR50" i="51"/>
  <c r="U11" i="81"/>
  <c r="V12" i="81"/>
  <c r="BC10" i="51"/>
  <c r="BC28" i="51"/>
  <c r="BC26" i="51"/>
  <c r="BC24" i="51"/>
  <c r="BC22" i="51"/>
  <c r="BC20" i="51"/>
  <c r="BC18" i="51"/>
  <c r="BC16" i="51"/>
  <c r="BC14" i="51"/>
  <c r="BC12" i="51"/>
  <c r="BC29" i="51"/>
  <c r="BC27" i="51"/>
  <c r="BC25" i="51"/>
  <c r="BC23" i="51"/>
  <c r="BC21" i="51"/>
  <c r="BC19" i="51"/>
  <c r="BC17" i="51"/>
  <c r="BC15" i="51"/>
  <c r="BC13" i="51"/>
  <c r="BC11" i="51"/>
  <c r="H12" i="79"/>
  <c r="AO12" i="94" l="1"/>
  <c r="AO13" i="94" s="1"/>
  <c r="H14" i="109"/>
  <c r="I24" i="109"/>
  <c r="J24" i="109"/>
  <c r="I33" i="109"/>
  <c r="J33" i="109"/>
  <c r="I52" i="109"/>
  <c r="J52" i="109"/>
  <c r="I61" i="109"/>
  <c r="J61" i="109"/>
  <c r="I80" i="109"/>
  <c r="J80" i="109"/>
  <c r="I89" i="109"/>
  <c r="J89" i="109"/>
  <c r="J108" i="109"/>
  <c r="I108" i="109"/>
  <c r="J117" i="109"/>
  <c r="I117" i="109"/>
  <c r="J136" i="109"/>
  <c r="I136" i="109"/>
  <c r="I145" i="109"/>
  <c r="J145" i="109"/>
  <c r="H22" i="109"/>
  <c r="J16" i="109"/>
  <c r="I16" i="109"/>
  <c r="C7" i="128" s="1"/>
  <c r="L7" i="128" s="1"/>
  <c r="J25" i="109"/>
  <c r="I25" i="109"/>
  <c r="I34" i="109"/>
  <c r="J34" i="109"/>
  <c r="H50" i="109"/>
  <c r="I44" i="109"/>
  <c r="C11" i="128" s="1"/>
  <c r="L11" i="128" s="1"/>
  <c r="J44" i="109"/>
  <c r="I53" i="109"/>
  <c r="J53" i="109"/>
  <c r="I62" i="109"/>
  <c r="J62" i="109"/>
  <c r="H78" i="109"/>
  <c r="I72" i="109"/>
  <c r="C15" i="128" s="1"/>
  <c r="L15" i="128" s="1"/>
  <c r="J72" i="109"/>
  <c r="I81" i="109"/>
  <c r="J81" i="109"/>
  <c r="J90" i="109"/>
  <c r="I90" i="109"/>
  <c r="H106" i="109"/>
  <c r="I100" i="109"/>
  <c r="C19" i="128" s="1"/>
  <c r="L19" i="128" s="1"/>
  <c r="J100" i="109"/>
  <c r="J109" i="109"/>
  <c r="I109" i="109"/>
  <c r="I118" i="109"/>
  <c r="J118" i="109"/>
  <c r="H134" i="109"/>
  <c r="J128" i="109"/>
  <c r="I128" i="109"/>
  <c r="C23" i="128" s="1"/>
  <c r="L23" i="128" s="1"/>
  <c r="J137" i="109"/>
  <c r="I137" i="109"/>
  <c r="I146" i="109"/>
  <c r="J146" i="109"/>
  <c r="I17" i="109"/>
  <c r="J17" i="109"/>
  <c r="I26" i="109"/>
  <c r="J26" i="109"/>
  <c r="I45" i="109"/>
  <c r="J45" i="109"/>
  <c r="I54" i="109"/>
  <c r="J54" i="109"/>
  <c r="J73" i="109"/>
  <c r="I73" i="109"/>
  <c r="I82" i="109"/>
  <c r="J82" i="109"/>
  <c r="I101" i="109"/>
  <c r="J101" i="109"/>
  <c r="J110" i="109"/>
  <c r="I110" i="109"/>
  <c r="I129" i="109"/>
  <c r="J129" i="109"/>
  <c r="J138" i="109"/>
  <c r="I138" i="109"/>
  <c r="J23" i="109"/>
  <c r="H29" i="109"/>
  <c r="I23" i="109"/>
  <c r="C8" i="128" s="1"/>
  <c r="L8" i="128" s="1"/>
  <c r="I32" i="109"/>
  <c r="J32" i="109"/>
  <c r="J41" i="109"/>
  <c r="I41" i="109"/>
  <c r="H57" i="109"/>
  <c r="J51" i="109"/>
  <c r="I51" i="109"/>
  <c r="C12" i="128" s="1"/>
  <c r="L12" i="128" s="1"/>
  <c r="I60" i="109"/>
  <c r="J60" i="109"/>
  <c r="I69" i="109"/>
  <c r="J69" i="109"/>
  <c r="I79" i="109"/>
  <c r="C16" i="128" s="1"/>
  <c r="L16" i="128" s="1"/>
  <c r="H85" i="109"/>
  <c r="J79" i="109"/>
  <c r="J88" i="109"/>
  <c r="I88" i="109"/>
  <c r="J97" i="109"/>
  <c r="I97" i="109"/>
  <c r="H113" i="109"/>
  <c r="I107" i="109"/>
  <c r="C20" i="128" s="1"/>
  <c r="L20" i="128" s="1"/>
  <c r="J107" i="109"/>
  <c r="I116" i="109"/>
  <c r="J116" i="109"/>
  <c r="I125" i="109"/>
  <c r="J125" i="109"/>
  <c r="H141" i="109"/>
  <c r="J135" i="109"/>
  <c r="I135" i="109"/>
  <c r="C24" i="128" s="1"/>
  <c r="L24" i="128" s="1"/>
  <c r="I144" i="109"/>
  <c r="J144" i="109"/>
  <c r="J153" i="109"/>
  <c r="I153" i="109"/>
  <c r="J150" i="109"/>
  <c r="I150" i="109"/>
  <c r="AN10" i="94"/>
  <c r="AN13" i="94" s="1"/>
  <c r="H13" i="109"/>
  <c r="I19" i="109"/>
  <c r="J19" i="109"/>
  <c r="J38" i="109"/>
  <c r="I38" i="109"/>
  <c r="I47" i="109"/>
  <c r="J47" i="109"/>
  <c r="J66" i="109"/>
  <c r="I66" i="109"/>
  <c r="J75" i="109"/>
  <c r="I75" i="109"/>
  <c r="J94" i="109"/>
  <c r="I94" i="109"/>
  <c r="I103" i="109"/>
  <c r="J103" i="109"/>
  <c r="I122" i="109"/>
  <c r="J122" i="109"/>
  <c r="I131" i="109"/>
  <c r="J131" i="109"/>
  <c r="J20" i="109"/>
  <c r="I20" i="109"/>
  <c r="I30" i="109"/>
  <c r="C9" i="128" s="1"/>
  <c r="L9" i="128" s="1"/>
  <c r="H36" i="109"/>
  <c r="J30" i="109"/>
  <c r="J39" i="109"/>
  <c r="I39" i="109"/>
  <c r="J48" i="109"/>
  <c r="I48" i="109"/>
  <c r="H64" i="109"/>
  <c r="I58" i="109"/>
  <c r="C13" i="128" s="1"/>
  <c r="L13" i="128" s="1"/>
  <c r="J58" i="109"/>
  <c r="I67" i="109"/>
  <c r="J67" i="109"/>
  <c r="J76" i="109"/>
  <c r="I76" i="109"/>
  <c r="H92" i="109"/>
  <c r="J86" i="109"/>
  <c r="I86" i="109"/>
  <c r="C17" i="128" s="1"/>
  <c r="L17" i="128" s="1"/>
  <c r="J95" i="109"/>
  <c r="I95" i="109"/>
  <c r="I104" i="109"/>
  <c r="J104" i="109"/>
  <c r="H120" i="109"/>
  <c r="I114" i="109"/>
  <c r="C21" i="128" s="1"/>
  <c r="L21" i="128" s="1"/>
  <c r="J114" i="109"/>
  <c r="I123" i="109"/>
  <c r="J123" i="109"/>
  <c r="J132" i="109"/>
  <c r="I132" i="109"/>
  <c r="H148" i="109"/>
  <c r="I142" i="109"/>
  <c r="C25" i="128" s="1"/>
  <c r="L25" i="128" s="1"/>
  <c r="J142" i="109"/>
  <c r="J151" i="109"/>
  <c r="I151" i="109"/>
  <c r="I31" i="109"/>
  <c r="J31" i="109"/>
  <c r="J40" i="109"/>
  <c r="I40" i="109"/>
  <c r="I59" i="109"/>
  <c r="J59" i="109"/>
  <c r="J68" i="109"/>
  <c r="I68" i="109"/>
  <c r="J87" i="109"/>
  <c r="I87" i="109"/>
  <c r="J96" i="109"/>
  <c r="I96" i="109"/>
  <c r="J115" i="109"/>
  <c r="I115" i="109"/>
  <c r="I124" i="109"/>
  <c r="J124" i="109"/>
  <c r="I143" i="109"/>
  <c r="J143" i="109"/>
  <c r="J152" i="109"/>
  <c r="I152" i="109"/>
  <c r="J18" i="109"/>
  <c r="I18" i="109"/>
  <c r="I27" i="109"/>
  <c r="J27" i="109"/>
  <c r="H43" i="109"/>
  <c r="I37" i="109"/>
  <c r="C10" i="128" s="1"/>
  <c r="L10" i="128" s="1"/>
  <c r="J37" i="109"/>
  <c r="I46" i="109"/>
  <c r="J46" i="109"/>
  <c r="J55" i="109"/>
  <c r="I55" i="109"/>
  <c r="H71" i="109"/>
  <c r="I65" i="109"/>
  <c r="C14" i="128" s="1"/>
  <c r="L14" i="128" s="1"/>
  <c r="J65" i="109"/>
  <c r="J74" i="109"/>
  <c r="I74" i="109"/>
  <c r="I83" i="109"/>
  <c r="J83" i="109"/>
  <c r="J93" i="109"/>
  <c r="H99" i="109"/>
  <c r="I93" i="109"/>
  <c r="C18" i="128" s="1"/>
  <c r="L18" i="128" s="1"/>
  <c r="I102" i="109"/>
  <c r="J102" i="109"/>
  <c r="J111" i="109"/>
  <c r="I111" i="109"/>
  <c r="H127" i="109"/>
  <c r="J121" i="109"/>
  <c r="I121" i="109"/>
  <c r="C22" i="128" s="1"/>
  <c r="L22" i="128" s="1"/>
  <c r="I130" i="109"/>
  <c r="J130" i="109"/>
  <c r="J139" i="109"/>
  <c r="I139" i="109"/>
  <c r="H155" i="109"/>
  <c r="J149" i="109"/>
  <c r="I149" i="109"/>
  <c r="C26" i="128" s="1"/>
  <c r="L26" i="128" s="1"/>
  <c r="V10" i="81"/>
  <c r="W12" i="81"/>
  <c r="U12" i="81"/>
  <c r="W11" i="81"/>
  <c r="U10" i="81"/>
  <c r="W10" i="81"/>
  <c r="V11" i="81"/>
  <c r="W13" i="81"/>
  <c r="Q4" i="78"/>
  <c r="V150" i="74" s="1"/>
  <c r="K139" i="109" l="1"/>
  <c r="L139" i="109"/>
  <c r="M139" i="109"/>
  <c r="K121" i="109"/>
  <c r="L121" i="109"/>
  <c r="M121" i="109"/>
  <c r="M102" i="109"/>
  <c r="K102" i="109"/>
  <c r="L102" i="109"/>
  <c r="L93" i="109"/>
  <c r="K93" i="109"/>
  <c r="M93" i="109"/>
  <c r="L74" i="109"/>
  <c r="M74" i="109"/>
  <c r="K74" i="109"/>
  <c r="M37" i="109"/>
  <c r="K37" i="109"/>
  <c r="L37" i="109"/>
  <c r="K152" i="109"/>
  <c r="L152" i="109"/>
  <c r="M152" i="109"/>
  <c r="L96" i="109"/>
  <c r="M96" i="109"/>
  <c r="K96" i="109"/>
  <c r="L68" i="109"/>
  <c r="K68" i="109"/>
  <c r="M68" i="109"/>
  <c r="L40" i="109"/>
  <c r="M40" i="109"/>
  <c r="K40" i="109"/>
  <c r="M151" i="109"/>
  <c r="L151" i="109"/>
  <c r="K151" i="109"/>
  <c r="L114" i="109"/>
  <c r="M114" i="109"/>
  <c r="K114" i="109"/>
  <c r="M86" i="109"/>
  <c r="K86" i="109"/>
  <c r="L86" i="109"/>
  <c r="M67" i="109"/>
  <c r="K67" i="109"/>
  <c r="L67" i="109"/>
  <c r="L39" i="109"/>
  <c r="M39" i="109"/>
  <c r="K39" i="109"/>
  <c r="M122" i="109"/>
  <c r="L122" i="109"/>
  <c r="K122" i="109"/>
  <c r="M138" i="109"/>
  <c r="L138" i="109"/>
  <c r="K138" i="109"/>
  <c r="M110" i="109"/>
  <c r="L110" i="109"/>
  <c r="K110" i="109"/>
  <c r="M128" i="109"/>
  <c r="K128" i="109"/>
  <c r="L128" i="109"/>
  <c r="M62" i="109"/>
  <c r="K62" i="109"/>
  <c r="L62" i="109"/>
  <c r="M44" i="109"/>
  <c r="K44" i="109"/>
  <c r="L44" i="109"/>
  <c r="M16" i="109"/>
  <c r="K16" i="109"/>
  <c r="L16" i="109"/>
  <c r="M80" i="109"/>
  <c r="L80" i="109"/>
  <c r="K80" i="109"/>
  <c r="M52" i="109"/>
  <c r="L52" i="109"/>
  <c r="K52" i="109"/>
  <c r="L24" i="109"/>
  <c r="K24" i="109"/>
  <c r="M24" i="109"/>
  <c r="L149" i="109"/>
  <c r="M149" i="109"/>
  <c r="K149" i="109"/>
  <c r="K130" i="109"/>
  <c r="L130" i="109"/>
  <c r="M130" i="109"/>
  <c r="M83" i="109"/>
  <c r="K83" i="109"/>
  <c r="L83" i="109"/>
  <c r="K65" i="109"/>
  <c r="L65" i="109"/>
  <c r="M65" i="109"/>
  <c r="L55" i="109"/>
  <c r="M55" i="109"/>
  <c r="K55" i="109"/>
  <c r="K143" i="109"/>
  <c r="L143" i="109"/>
  <c r="M143" i="109"/>
  <c r="K59" i="109"/>
  <c r="M59" i="109"/>
  <c r="L59" i="109"/>
  <c r="L31" i="109"/>
  <c r="M31" i="109"/>
  <c r="K31" i="109"/>
  <c r="L142" i="109"/>
  <c r="M142" i="109"/>
  <c r="K142" i="109"/>
  <c r="L132" i="109"/>
  <c r="M132" i="109"/>
  <c r="K132" i="109"/>
  <c r="M30" i="109"/>
  <c r="L30" i="109"/>
  <c r="K30" i="109"/>
  <c r="L20" i="109"/>
  <c r="M20" i="109"/>
  <c r="K20" i="109"/>
  <c r="L94" i="109"/>
  <c r="M94" i="109"/>
  <c r="K94" i="109"/>
  <c r="K66" i="109"/>
  <c r="L66" i="109"/>
  <c r="M66" i="109"/>
  <c r="L38" i="109"/>
  <c r="K38" i="109"/>
  <c r="M38" i="109"/>
  <c r="M153" i="109"/>
  <c r="K153" i="109"/>
  <c r="L153" i="109"/>
  <c r="K135" i="109"/>
  <c r="L135" i="109"/>
  <c r="M135" i="109"/>
  <c r="L116" i="109"/>
  <c r="M116" i="109"/>
  <c r="K116" i="109"/>
  <c r="K88" i="109"/>
  <c r="L88" i="109"/>
  <c r="M88" i="109"/>
  <c r="L69" i="109"/>
  <c r="M69" i="109"/>
  <c r="K69" i="109"/>
  <c r="L41" i="109"/>
  <c r="K41" i="109"/>
  <c r="M41" i="109"/>
  <c r="L129" i="109"/>
  <c r="M129" i="109"/>
  <c r="K129" i="109"/>
  <c r="L101" i="109"/>
  <c r="M101" i="109"/>
  <c r="K101" i="109"/>
  <c r="M45" i="109"/>
  <c r="L45" i="109"/>
  <c r="K45" i="109"/>
  <c r="K17" i="109"/>
  <c r="L17" i="109"/>
  <c r="M17" i="109"/>
  <c r="M109" i="109"/>
  <c r="L109" i="109"/>
  <c r="K109" i="109"/>
  <c r="M72" i="109"/>
  <c r="K72" i="109"/>
  <c r="L72" i="109"/>
  <c r="M136" i="109"/>
  <c r="K136" i="109"/>
  <c r="L136" i="109"/>
  <c r="L108" i="109"/>
  <c r="M108" i="109"/>
  <c r="K108" i="109"/>
  <c r="L46" i="109"/>
  <c r="M46" i="109"/>
  <c r="K46" i="109"/>
  <c r="M18" i="109"/>
  <c r="L18" i="109"/>
  <c r="K18" i="109"/>
  <c r="L115" i="109"/>
  <c r="K115" i="109"/>
  <c r="M115" i="109"/>
  <c r="L87" i="109"/>
  <c r="M87" i="109"/>
  <c r="K87" i="109"/>
  <c r="K123" i="109"/>
  <c r="L123" i="109"/>
  <c r="M123" i="109"/>
  <c r="L95" i="109"/>
  <c r="K95" i="109"/>
  <c r="M95" i="109"/>
  <c r="M58" i="109"/>
  <c r="L58" i="109"/>
  <c r="K58" i="109"/>
  <c r="K48" i="109"/>
  <c r="L48" i="109"/>
  <c r="M48" i="109"/>
  <c r="M131" i="109"/>
  <c r="K131" i="109"/>
  <c r="L131" i="109"/>
  <c r="K103" i="109"/>
  <c r="L103" i="109"/>
  <c r="M103" i="109"/>
  <c r="L47" i="109"/>
  <c r="M47" i="109"/>
  <c r="K47" i="109"/>
  <c r="L19" i="109"/>
  <c r="K19" i="109"/>
  <c r="M19" i="109"/>
  <c r="L144" i="109"/>
  <c r="M144" i="109"/>
  <c r="K144" i="109"/>
  <c r="K79" i="109"/>
  <c r="L79" i="109"/>
  <c r="M79" i="109"/>
  <c r="M51" i="109"/>
  <c r="L51" i="109"/>
  <c r="K51" i="109"/>
  <c r="M32" i="109"/>
  <c r="K32" i="109"/>
  <c r="L32" i="109"/>
  <c r="K23" i="109"/>
  <c r="L23" i="109"/>
  <c r="M23" i="109"/>
  <c r="L73" i="109"/>
  <c r="K73" i="109"/>
  <c r="M73" i="109"/>
  <c r="L137" i="109"/>
  <c r="M137" i="109"/>
  <c r="K137" i="109"/>
  <c r="M118" i="109"/>
  <c r="K118" i="109"/>
  <c r="L118" i="109"/>
  <c r="M100" i="109"/>
  <c r="L100" i="109"/>
  <c r="K100" i="109"/>
  <c r="L90" i="109"/>
  <c r="M90" i="109"/>
  <c r="K90" i="109"/>
  <c r="K53" i="109"/>
  <c r="L53" i="109"/>
  <c r="M53" i="109"/>
  <c r="K25" i="109"/>
  <c r="M25" i="109"/>
  <c r="L25" i="109"/>
  <c r="M145" i="109"/>
  <c r="K145" i="109"/>
  <c r="L145" i="109"/>
  <c r="M89" i="109"/>
  <c r="K89" i="109"/>
  <c r="L89" i="109"/>
  <c r="L61" i="109"/>
  <c r="M61" i="109"/>
  <c r="K61" i="109"/>
  <c r="K33" i="109"/>
  <c r="M33" i="109"/>
  <c r="L33" i="109"/>
  <c r="M111" i="109"/>
  <c r="L111" i="109"/>
  <c r="K111" i="109"/>
  <c r="L27" i="109"/>
  <c r="K27" i="109"/>
  <c r="M27" i="109"/>
  <c r="M124" i="109"/>
  <c r="K124" i="109"/>
  <c r="L124" i="109"/>
  <c r="K104" i="109"/>
  <c r="M104" i="109"/>
  <c r="L104" i="109"/>
  <c r="M76" i="109"/>
  <c r="K76" i="109"/>
  <c r="L76" i="109"/>
  <c r="K75" i="109"/>
  <c r="L75" i="109"/>
  <c r="M75" i="109"/>
  <c r="L150" i="109"/>
  <c r="M150" i="109"/>
  <c r="K150" i="109"/>
  <c r="M125" i="109"/>
  <c r="L125" i="109"/>
  <c r="K125" i="109"/>
  <c r="M107" i="109"/>
  <c r="L107" i="109"/>
  <c r="K107" i="109"/>
  <c r="L97" i="109"/>
  <c r="K97" i="109"/>
  <c r="M97" i="109"/>
  <c r="M60" i="109"/>
  <c r="K60" i="109"/>
  <c r="L60" i="109"/>
  <c r="M82" i="109"/>
  <c r="K82" i="109"/>
  <c r="L82" i="109"/>
  <c r="M54" i="109"/>
  <c r="L54" i="109"/>
  <c r="K54" i="109"/>
  <c r="M26" i="109"/>
  <c r="K26" i="109"/>
  <c r="L26" i="109"/>
  <c r="K146" i="109"/>
  <c r="L146" i="109"/>
  <c r="M146" i="109"/>
  <c r="K81" i="109"/>
  <c r="L81" i="109"/>
  <c r="M81" i="109"/>
  <c r="L34" i="109"/>
  <c r="M34" i="109"/>
  <c r="K34" i="109"/>
  <c r="K117" i="109"/>
  <c r="L117" i="109"/>
  <c r="M117" i="109"/>
  <c r="U13" i="81"/>
  <c r="T14" i="81"/>
  <c r="V13" i="81"/>
  <c r="M150" i="74"/>
  <c r="B90" i="78"/>
  <c r="I90" i="78"/>
  <c r="B89" i="78"/>
  <c r="I89" i="78"/>
  <c r="B88" i="78"/>
  <c r="I88" i="78"/>
  <c r="B87" i="78"/>
  <c r="I87" i="78"/>
  <c r="B86" i="78"/>
  <c r="I86" i="78"/>
  <c r="B85" i="78"/>
  <c r="I85" i="78"/>
  <c r="B84" i="78"/>
  <c r="I84" i="78"/>
  <c r="B83" i="78"/>
  <c r="I83" i="78"/>
  <c r="B82" i="78"/>
  <c r="I82" i="78"/>
  <c r="B81" i="78"/>
  <c r="I81" i="78"/>
  <c r="B80" i="78"/>
  <c r="I80" i="78"/>
  <c r="B79" i="78"/>
  <c r="I79" i="78"/>
  <c r="B78" i="78"/>
  <c r="I78" i="78"/>
  <c r="B77" i="78"/>
  <c r="I77" i="78"/>
  <c r="B76" i="78"/>
  <c r="I76" i="78"/>
  <c r="B75" i="78"/>
  <c r="I75" i="78"/>
  <c r="B74" i="78"/>
  <c r="I74" i="78"/>
  <c r="B73" i="78"/>
  <c r="I73" i="78"/>
  <c r="B72" i="78"/>
  <c r="I72" i="78"/>
  <c r="B71" i="78"/>
  <c r="I71" i="78"/>
  <c r="B70" i="78"/>
  <c r="I70" i="78"/>
  <c r="B69" i="78"/>
  <c r="I69" i="78"/>
  <c r="B68" i="78"/>
  <c r="I68" i="78"/>
  <c r="B67" i="78"/>
  <c r="I67" i="78"/>
  <c r="B66" i="78"/>
  <c r="I66" i="78"/>
  <c r="B65" i="78"/>
  <c r="I65" i="78"/>
  <c r="B64" i="78"/>
  <c r="I64" i="78"/>
  <c r="B63" i="78"/>
  <c r="I63" i="78"/>
  <c r="B62" i="78"/>
  <c r="I62" i="78"/>
  <c r="B61" i="78"/>
  <c r="I61" i="78"/>
  <c r="B60" i="78"/>
  <c r="I60" i="78"/>
  <c r="B59" i="78"/>
  <c r="I59" i="78"/>
  <c r="B58" i="78"/>
  <c r="I58" i="78"/>
  <c r="B57" i="78"/>
  <c r="I57" i="78"/>
  <c r="B56" i="78"/>
  <c r="I56" i="78"/>
  <c r="B55" i="78"/>
  <c r="I55" i="78"/>
  <c r="B54" i="78"/>
  <c r="I54" i="78"/>
  <c r="B53" i="78"/>
  <c r="I53" i="78"/>
  <c r="B52" i="78"/>
  <c r="I52" i="78"/>
  <c r="B51" i="78"/>
  <c r="I51" i="78"/>
  <c r="O43" i="78"/>
  <c r="I43" i="78"/>
  <c r="B43" i="78"/>
  <c r="O42" i="78"/>
  <c r="I42" i="78"/>
  <c r="B42" i="78"/>
  <c r="O41" i="78"/>
  <c r="I41" i="78"/>
  <c r="B41" i="78"/>
  <c r="O40" i="78"/>
  <c r="I40" i="78"/>
  <c r="B40" i="78"/>
  <c r="O39" i="78"/>
  <c r="I39" i="78"/>
  <c r="B39" i="78"/>
  <c r="O38" i="78"/>
  <c r="I38" i="78"/>
  <c r="B38" i="78"/>
  <c r="O37" i="78"/>
  <c r="I37" i="78"/>
  <c r="B37" i="78"/>
  <c r="O36" i="78"/>
  <c r="I36" i="78"/>
  <c r="B36" i="78"/>
  <c r="O35" i="78"/>
  <c r="I35" i="78"/>
  <c r="B35" i="78"/>
  <c r="O34" i="78"/>
  <c r="I34" i="78"/>
  <c r="B34" i="78"/>
  <c r="O33" i="78"/>
  <c r="I33" i="78"/>
  <c r="B33" i="78"/>
  <c r="O32" i="78"/>
  <c r="I32" i="78"/>
  <c r="B32" i="78"/>
  <c r="O31" i="78"/>
  <c r="I31" i="78"/>
  <c r="B31" i="78"/>
  <c r="O30" i="78"/>
  <c r="I30" i="78"/>
  <c r="B30" i="78"/>
  <c r="O29" i="78"/>
  <c r="I29" i="78"/>
  <c r="B29" i="78"/>
  <c r="O28" i="78"/>
  <c r="I28" i="78"/>
  <c r="B28" i="78"/>
  <c r="O27" i="78"/>
  <c r="I27" i="78"/>
  <c r="B27" i="78"/>
  <c r="O26" i="78"/>
  <c r="I26" i="78"/>
  <c r="B26" i="78"/>
  <c r="O25" i="78"/>
  <c r="I25" i="78"/>
  <c r="B25" i="78"/>
  <c r="O24" i="78"/>
  <c r="I24" i="78"/>
  <c r="B24" i="78"/>
  <c r="O23" i="78"/>
  <c r="I23" i="78"/>
  <c r="B23" i="78"/>
  <c r="O22" i="78"/>
  <c r="I22" i="78"/>
  <c r="B22" i="78"/>
  <c r="O21" i="78"/>
  <c r="I21" i="78"/>
  <c r="B21" i="78"/>
  <c r="O20" i="78"/>
  <c r="I20" i="78"/>
  <c r="B20" i="78"/>
  <c r="O19" i="78"/>
  <c r="I19" i="78"/>
  <c r="B19" i="78"/>
  <c r="O18" i="78"/>
  <c r="I18" i="78"/>
  <c r="B18" i="78"/>
  <c r="O17" i="78"/>
  <c r="I17" i="78"/>
  <c r="B17" i="78"/>
  <c r="O16" i="78"/>
  <c r="I16" i="78"/>
  <c r="B16" i="78"/>
  <c r="O15" i="78"/>
  <c r="I15" i="78"/>
  <c r="B15" i="78"/>
  <c r="O14" i="78"/>
  <c r="I14" i="78"/>
  <c r="B14" i="78"/>
  <c r="O13" i="78"/>
  <c r="I13" i="78"/>
  <c r="B13" i="78"/>
  <c r="O12" i="78"/>
  <c r="I12" i="78"/>
  <c r="B12" i="78"/>
  <c r="O11" i="78"/>
  <c r="I11" i="78"/>
  <c r="B11" i="78"/>
  <c r="O10" i="78"/>
  <c r="I10" i="78"/>
  <c r="B10" i="78"/>
  <c r="O9" i="78"/>
  <c r="I9" i="78"/>
  <c r="B9" i="78"/>
  <c r="O8" i="78"/>
  <c r="I8" i="78"/>
  <c r="B8" i="78"/>
  <c r="O7" i="78"/>
  <c r="I7" i="78"/>
  <c r="B7" i="78"/>
  <c r="O6" i="78"/>
  <c r="I6" i="78"/>
  <c r="B6" i="78"/>
  <c r="O5" i="78"/>
  <c r="I5" i="78"/>
  <c r="B5" i="78"/>
  <c r="O4" i="78"/>
  <c r="I4" i="78"/>
  <c r="B4" i="78"/>
  <c r="AF10" i="81" l="1"/>
  <c r="R169" i="74" s="1"/>
  <c r="V209" i="81"/>
  <c r="V204" i="81"/>
  <c r="V199" i="81"/>
  <c r="V194" i="81"/>
  <c r="V189" i="81"/>
  <c r="V184" i="81"/>
  <c r="V179" i="81"/>
  <c r="V174" i="81"/>
  <c r="V169" i="81"/>
  <c r="V164" i="81"/>
  <c r="V159" i="81"/>
  <c r="V154" i="81"/>
  <c r="V149" i="81"/>
  <c r="V144" i="81"/>
  <c r="V139" i="81"/>
  <c r="V134" i="81"/>
  <c r="V129" i="81"/>
  <c r="V124" i="81"/>
  <c r="V119" i="81"/>
  <c r="V114" i="81"/>
  <c r="V109" i="81"/>
  <c r="V104" i="81"/>
  <c r="V99" i="81"/>
  <c r="V94" i="81"/>
  <c r="V89" i="81"/>
  <c r="V84" i="81"/>
  <c r="V79" i="81"/>
  <c r="V74" i="81"/>
  <c r="V69" i="81"/>
  <c r="V64" i="81"/>
  <c r="V59" i="81"/>
  <c r="V54" i="81"/>
  <c r="V49" i="81"/>
  <c r="V44" i="81"/>
  <c r="V39" i="81"/>
  <c r="V34" i="81"/>
  <c r="V29" i="81"/>
  <c r="V24" i="81"/>
  <c r="V19" i="81"/>
  <c r="V14" i="81"/>
  <c r="U209" i="81"/>
  <c r="U204" i="81"/>
  <c r="U199" i="81"/>
  <c r="U194" i="81"/>
  <c r="U189" i="81"/>
  <c r="U184" i="81"/>
  <c r="U179" i="81"/>
  <c r="U174" i="81"/>
  <c r="U169" i="81"/>
  <c r="U164" i="81"/>
  <c r="U159" i="81"/>
  <c r="U154" i="81"/>
  <c r="U149" i="81"/>
  <c r="U144" i="81"/>
  <c r="U139" i="81"/>
  <c r="U134" i="81"/>
  <c r="U129" i="81"/>
  <c r="U124" i="81"/>
  <c r="U119" i="81"/>
  <c r="U114" i="81"/>
  <c r="U109" i="81"/>
  <c r="U104" i="81"/>
  <c r="U99" i="81"/>
  <c r="U94" i="81"/>
  <c r="U89" i="81"/>
  <c r="U84" i="81"/>
  <c r="U79" i="81"/>
  <c r="U74" i="81"/>
  <c r="U69" i="81"/>
  <c r="U64" i="81"/>
  <c r="U59" i="81"/>
  <c r="U54" i="81"/>
  <c r="U49" i="81"/>
  <c r="U44" i="81"/>
  <c r="U39" i="81"/>
  <c r="U34" i="81"/>
  <c r="U29" i="81"/>
  <c r="U24" i="81"/>
  <c r="U19" i="81"/>
  <c r="U14" i="81"/>
  <c r="E6" i="130"/>
  <c r="B35" i="75"/>
  <c r="B34" i="75"/>
  <c r="B33" i="75"/>
  <c r="B32" i="75"/>
  <c r="B31" i="75"/>
  <c r="B30" i="75"/>
  <c r="B29" i="75"/>
  <c r="B28" i="75"/>
  <c r="B27" i="75"/>
  <c r="B26" i="75"/>
  <c r="B25" i="75"/>
  <c r="B24" i="75"/>
  <c r="B23" i="75"/>
  <c r="B22" i="75"/>
  <c r="B21" i="75"/>
  <c r="B20" i="75"/>
  <c r="B19" i="75"/>
  <c r="B18" i="75"/>
  <c r="B17" i="75"/>
  <c r="B16" i="75"/>
  <c r="B15" i="75"/>
  <c r="B14" i="75"/>
  <c r="B13" i="75"/>
  <c r="B12" i="75"/>
  <c r="B11" i="75"/>
  <c r="B10" i="75"/>
  <c r="BA51" i="51"/>
  <c r="BB51" i="51"/>
  <c r="BA52" i="51"/>
  <c r="BB52" i="51"/>
  <c r="BA53" i="51"/>
  <c r="BB53" i="51"/>
  <c r="AG10" i="81" l="1"/>
  <c r="T169" i="74" s="1"/>
  <c r="E47" i="130"/>
  <c r="E48" i="130"/>
  <c r="E13" i="131" s="1"/>
  <c r="E49" i="130"/>
  <c r="F7" i="76"/>
  <c r="B29" i="72"/>
  <c r="B28" i="72"/>
  <c r="B27" i="72"/>
  <c r="B26" i="72"/>
  <c r="B25" i="72"/>
  <c r="B24" i="72"/>
  <c r="B23" i="72"/>
  <c r="B22" i="72"/>
  <c r="B21" i="72"/>
  <c r="B20" i="72"/>
  <c r="B19" i="72"/>
  <c r="B18" i="72"/>
  <c r="B17" i="72"/>
  <c r="B16" i="72"/>
  <c r="B15" i="72"/>
  <c r="B14" i="72"/>
  <c r="B13" i="72"/>
  <c r="B12" i="72"/>
  <c r="B11" i="72"/>
  <c r="B10" i="72"/>
  <c r="B9" i="72"/>
  <c r="B32" i="71"/>
  <c r="B31" i="71"/>
  <c r="B30" i="71"/>
  <c r="B29" i="71"/>
  <c r="B28" i="71"/>
  <c r="B27" i="71"/>
  <c r="B26" i="71"/>
  <c r="B25" i="71"/>
  <c r="B24" i="71"/>
  <c r="B23" i="71"/>
  <c r="B22" i="71"/>
  <c r="B21" i="71"/>
  <c r="B20" i="71"/>
  <c r="B19" i="71"/>
  <c r="B18" i="71"/>
  <c r="B17" i="71"/>
  <c r="B16" i="71"/>
  <c r="B15" i="71"/>
  <c r="B14" i="71"/>
  <c r="B13" i="71"/>
  <c r="B12" i="71"/>
  <c r="B11" i="71"/>
  <c r="B10" i="71"/>
  <c r="B9" i="71"/>
  <c r="B32" i="70"/>
  <c r="B31" i="70"/>
  <c r="B30" i="70"/>
  <c r="B29" i="70"/>
  <c r="B28" i="70"/>
  <c r="B27" i="70"/>
  <c r="B26" i="70"/>
  <c r="B25" i="70"/>
  <c r="B24" i="70"/>
  <c r="B23" i="70"/>
  <c r="B22" i="70"/>
  <c r="B21" i="70"/>
  <c r="B20" i="70"/>
  <c r="B19" i="70"/>
  <c r="B18" i="70"/>
  <c r="B17" i="70"/>
  <c r="B16" i="70"/>
  <c r="B15" i="70"/>
  <c r="B14" i="70"/>
  <c r="B13" i="70"/>
  <c r="B12" i="70"/>
  <c r="B11" i="70"/>
  <c r="B10" i="70"/>
  <c r="B9" i="70"/>
  <c r="B31" i="69"/>
  <c r="B30" i="69"/>
  <c r="B29" i="69"/>
  <c r="B28" i="69"/>
  <c r="B27" i="69"/>
  <c r="B26" i="69"/>
  <c r="B25" i="69"/>
  <c r="B24" i="69"/>
  <c r="B23" i="69"/>
  <c r="B22" i="69"/>
  <c r="B21" i="69"/>
  <c r="B20" i="69"/>
  <c r="B19" i="69"/>
  <c r="B18" i="69"/>
  <c r="B17" i="69"/>
  <c r="B16" i="69"/>
  <c r="B15" i="69"/>
  <c r="B14" i="69"/>
  <c r="B13" i="69"/>
  <c r="B12" i="69"/>
  <c r="B11" i="69"/>
  <c r="B10" i="69"/>
  <c r="B9" i="69"/>
  <c r="B32" i="68"/>
  <c r="B31" i="68"/>
  <c r="B30" i="68"/>
  <c r="B29" i="68"/>
  <c r="B28" i="68"/>
  <c r="B27" i="68"/>
  <c r="B26" i="68"/>
  <c r="B25" i="68"/>
  <c r="B24" i="68"/>
  <c r="B23" i="68"/>
  <c r="B22" i="68"/>
  <c r="B21" i="68"/>
  <c r="B20" i="68"/>
  <c r="B19" i="68"/>
  <c r="B18" i="68"/>
  <c r="B17" i="68"/>
  <c r="B16" i="68"/>
  <c r="B15" i="68"/>
  <c r="B14" i="68"/>
  <c r="B13" i="68"/>
  <c r="B12" i="68"/>
  <c r="B11" i="68"/>
  <c r="B10" i="68"/>
  <c r="B9" i="68"/>
  <c r="B32" i="67"/>
  <c r="B31" i="67"/>
  <c r="B30" i="67"/>
  <c r="B29" i="67"/>
  <c r="B28" i="67"/>
  <c r="B27" i="67"/>
  <c r="B26" i="67"/>
  <c r="B25" i="67"/>
  <c r="B24" i="67"/>
  <c r="B23" i="67"/>
  <c r="B22" i="67"/>
  <c r="B21" i="67"/>
  <c r="B20" i="67"/>
  <c r="B19" i="67"/>
  <c r="B18" i="67"/>
  <c r="B17" i="67"/>
  <c r="B16" i="67"/>
  <c r="B15" i="67"/>
  <c r="B14" i="67"/>
  <c r="B13" i="67"/>
  <c r="B12" i="67"/>
  <c r="B11" i="67"/>
  <c r="B10" i="67"/>
  <c r="B9" i="67"/>
  <c r="B10" i="51"/>
  <c r="B11" i="51"/>
  <c r="B12" i="51"/>
  <c r="B13" i="51"/>
  <c r="B14" i="51"/>
  <c r="B15" i="51"/>
  <c r="B16" i="51"/>
  <c r="B17" i="51"/>
  <c r="B18" i="51"/>
  <c r="B19" i="51"/>
  <c r="B20" i="51"/>
  <c r="B21" i="51"/>
  <c r="B22" i="51"/>
  <c r="B23" i="51"/>
  <c r="B24" i="51"/>
  <c r="B25" i="51"/>
  <c r="B26" i="51"/>
  <c r="B27" i="51"/>
  <c r="B28" i="51"/>
  <c r="B29" i="51"/>
  <c r="B30" i="51"/>
  <c r="B31" i="51"/>
  <c r="B32" i="51"/>
  <c r="B33" i="51"/>
  <c r="B34" i="51"/>
  <c r="B9" i="51"/>
  <c r="B9" i="4"/>
  <c r="Z5" i="60"/>
  <c r="Z6" i="60"/>
  <c r="Z7" i="60"/>
  <c r="Z8" i="60"/>
  <c r="Z9" i="60"/>
  <c r="Z10" i="60"/>
  <c r="Z11" i="60"/>
  <c r="Z12" i="60"/>
  <c r="Z13" i="60"/>
  <c r="Z14" i="60"/>
  <c r="Z15" i="60"/>
  <c r="Z16" i="60"/>
  <c r="Z17" i="60"/>
  <c r="Z18" i="60"/>
  <c r="Z19" i="60"/>
  <c r="Z20" i="60"/>
  <c r="Z21" i="60"/>
  <c r="Z22" i="60"/>
  <c r="Z23" i="60"/>
  <c r="Z24" i="60"/>
  <c r="Z25" i="60"/>
  <c r="Z26" i="60"/>
  <c r="Z27" i="60"/>
  <c r="Z28" i="60"/>
  <c r="Z29" i="60"/>
  <c r="Z30" i="60"/>
  <c r="Z31" i="60"/>
  <c r="Z32" i="60"/>
  <c r="Z33" i="60"/>
  <c r="Z34" i="60"/>
  <c r="Z35" i="60"/>
  <c r="Z36" i="60"/>
  <c r="Z37" i="60"/>
  <c r="Z38" i="60"/>
  <c r="Z39" i="60"/>
  <c r="Z40" i="60"/>
  <c r="Z41" i="60"/>
  <c r="Z42" i="60"/>
  <c r="X4" i="60"/>
  <c r="Z4" i="60"/>
  <c r="V126" i="74" l="1"/>
  <c r="F8" i="134"/>
  <c r="J7" i="76"/>
  <c r="I7" i="76"/>
  <c r="U11" i="72"/>
  <c r="U12" i="72"/>
  <c r="U20" i="72"/>
  <c r="U23" i="72"/>
  <c r="U25" i="72"/>
  <c r="U27" i="72"/>
  <c r="U29" i="72"/>
  <c r="AQ9" i="71"/>
  <c r="C32" i="77"/>
  <c r="AC9" i="67"/>
  <c r="AC20" i="67"/>
  <c r="AC21" i="67"/>
  <c r="U9" i="72"/>
  <c r="M9" i="72"/>
  <c r="U10" i="72"/>
  <c r="Q9" i="72"/>
  <c r="U22" i="72"/>
  <c r="U24" i="72"/>
  <c r="U26" i="72"/>
  <c r="U28" i="72"/>
  <c r="AE9" i="71"/>
  <c r="AK9" i="71"/>
  <c r="AS9" i="70"/>
  <c r="F7" i="134" s="1"/>
  <c r="AG9" i="70"/>
  <c r="AJ9" i="69"/>
  <c r="Z9" i="68"/>
  <c r="AE9" i="68"/>
  <c r="AJ9" i="68" s="1"/>
  <c r="AC10" i="67"/>
  <c r="AC11" i="67"/>
  <c r="AC15" i="67"/>
  <c r="AC22" i="67"/>
  <c r="AC23" i="67"/>
  <c r="AC24" i="67"/>
  <c r="AC25" i="67"/>
  <c r="AC26" i="67"/>
  <c r="AC27" i="67"/>
  <c r="AC28" i="67"/>
  <c r="AC29" i="67"/>
  <c r="L7" i="76" l="1"/>
  <c r="M7" i="76"/>
  <c r="K7" i="76"/>
  <c r="F10" i="110"/>
  <c r="I10" i="110" s="1"/>
  <c r="F7" i="110"/>
  <c r="J7" i="134"/>
  <c r="I7" i="134"/>
  <c r="F9" i="134"/>
  <c r="I8" i="134"/>
  <c r="J8" i="134"/>
  <c r="V10" i="77"/>
  <c r="V9" i="77"/>
  <c r="F8" i="76"/>
  <c r="I8" i="76" s="1"/>
  <c r="F9" i="76"/>
  <c r="U21" i="72"/>
  <c r="U19" i="72"/>
  <c r="U18" i="72"/>
  <c r="U17" i="72"/>
  <c r="U15" i="72"/>
  <c r="U14" i="72"/>
  <c r="U13" i="72"/>
  <c r="U16" i="72"/>
  <c r="H10" i="76"/>
  <c r="AK9" i="68"/>
  <c r="AC14" i="67"/>
  <c r="AC13" i="67"/>
  <c r="AC19" i="67"/>
  <c r="AC18" i="67"/>
  <c r="AC17" i="67"/>
  <c r="AC12" i="67"/>
  <c r="AC16" i="67"/>
  <c r="T11" i="77" l="1"/>
  <c r="AD8" i="77" s="1"/>
  <c r="W8" i="77"/>
  <c r="U9" i="77"/>
  <c r="W9" i="77"/>
  <c r="J10" i="110"/>
  <c r="K10" i="110" s="1"/>
  <c r="J7" i="110"/>
  <c r="I7" i="110"/>
  <c r="I9" i="134"/>
  <c r="J9" i="134"/>
  <c r="J10" i="134" s="1"/>
  <c r="K7" i="134"/>
  <c r="M7" i="134"/>
  <c r="L7" i="134"/>
  <c r="K8" i="134"/>
  <c r="M8" i="134"/>
  <c r="L8" i="134"/>
  <c r="U10" i="77"/>
  <c r="W10" i="77"/>
  <c r="U8" i="77"/>
  <c r="V8" i="77"/>
  <c r="J8" i="76"/>
  <c r="M8" i="76" s="1"/>
  <c r="I9" i="76"/>
  <c r="J9" i="76"/>
  <c r="Y42" i="60"/>
  <c r="Y41" i="60"/>
  <c r="Y40" i="60"/>
  <c r="Y4" i="60"/>
  <c r="T7" i="134" l="1"/>
  <c r="X7" i="110"/>
  <c r="J10" i="76"/>
  <c r="T7" i="76" s="1"/>
  <c r="AE8" i="77"/>
  <c r="H6" i="128"/>
  <c r="C16" i="129"/>
  <c r="V11" i="77"/>
  <c r="D6" i="130"/>
  <c r="K8" i="76"/>
  <c r="L8" i="76"/>
  <c r="L10" i="110"/>
  <c r="M10" i="110"/>
  <c r="M7" i="110"/>
  <c r="K7" i="110"/>
  <c r="L7" i="110"/>
  <c r="J12" i="110"/>
  <c r="L10" i="134"/>
  <c r="M10" i="134"/>
  <c r="K10" i="134"/>
  <c r="K9" i="134"/>
  <c r="M9" i="134"/>
  <c r="L9" i="134"/>
  <c r="U11" i="77"/>
  <c r="K9" i="76"/>
  <c r="L9" i="76"/>
  <c r="M9" i="76"/>
  <c r="U7" i="134" l="1"/>
  <c r="K265" i="74" s="1"/>
  <c r="I265" i="74"/>
  <c r="Y7" i="110"/>
  <c r="K287" i="74" s="1"/>
  <c r="I287" i="74"/>
  <c r="I150" i="74"/>
  <c r="U7" i="76"/>
  <c r="K150" i="74" s="1"/>
  <c r="J6" i="128"/>
  <c r="C18" i="129" s="1"/>
  <c r="D49" i="130"/>
  <c r="D47" i="130"/>
  <c r="D48" i="130"/>
  <c r="E12" i="131" s="1"/>
  <c r="C12" i="131"/>
  <c r="D12" i="131" s="1"/>
  <c r="C13" i="131"/>
  <c r="D16" i="129"/>
  <c r="H47" i="128"/>
  <c r="H49" i="128"/>
  <c r="H48" i="128"/>
  <c r="E16" i="129" s="1"/>
  <c r="F16" i="129" s="1"/>
  <c r="M12" i="110"/>
  <c r="L12" i="110"/>
  <c r="K12" i="110"/>
  <c r="Y36" i="60"/>
  <c r="Y35" i="60"/>
  <c r="Y31" i="60"/>
  <c r="Y30" i="60"/>
  <c r="Y29" i="60"/>
  <c r="Y28" i="60"/>
  <c r="Y27" i="60"/>
  <c r="Y26" i="60"/>
  <c r="Y16" i="60"/>
  <c r="Y15" i="60"/>
  <c r="Y13" i="60"/>
  <c r="Y11" i="60"/>
  <c r="Y10" i="60"/>
  <c r="Y12" i="60"/>
  <c r="Y14" i="60"/>
  <c r="Y17" i="60"/>
  <c r="Y18" i="60"/>
  <c r="Y19" i="60"/>
  <c r="Y20" i="60"/>
  <c r="Y21" i="60"/>
  <c r="Y22" i="60"/>
  <c r="Y23" i="60"/>
  <c r="Y24" i="60"/>
  <c r="Y25" i="60"/>
  <c r="Y32" i="60"/>
  <c r="Y33" i="60"/>
  <c r="Y34" i="60"/>
  <c r="Y37" i="60"/>
  <c r="Y38" i="60"/>
  <c r="Y39" i="60"/>
  <c r="J49" i="128" l="1"/>
  <c r="J47" i="128"/>
  <c r="J48" i="128"/>
  <c r="E17" i="129" s="1"/>
  <c r="F12" i="131"/>
  <c r="D13" i="131"/>
  <c r="F13" i="131"/>
  <c r="D18" i="129"/>
  <c r="Y9" i="60"/>
  <c r="Y8" i="60"/>
  <c r="Y7" i="60"/>
  <c r="Y6" i="60"/>
  <c r="Y5" i="60"/>
  <c r="M126" i="74" s="1"/>
  <c r="X5" i="60" l="1"/>
  <c r="X6" i="60"/>
  <c r="X7" i="60"/>
  <c r="X8" i="60"/>
  <c r="X9" i="60"/>
  <c r="X10" i="60"/>
  <c r="X11" i="60"/>
  <c r="X12" i="60"/>
  <c r="X13" i="60"/>
  <c r="X14" i="60"/>
  <c r="X15" i="60"/>
  <c r="X16" i="60"/>
  <c r="X17" i="60"/>
  <c r="X18" i="60"/>
  <c r="X19" i="60"/>
  <c r="X20" i="60"/>
  <c r="X21" i="60"/>
  <c r="X22" i="60"/>
  <c r="X23" i="60"/>
  <c r="X24" i="60"/>
  <c r="X25" i="60"/>
  <c r="X26" i="60"/>
  <c r="X27" i="60"/>
  <c r="X28" i="60"/>
  <c r="X29" i="60"/>
  <c r="X30" i="60"/>
  <c r="X31" i="60"/>
  <c r="X32" i="60"/>
  <c r="X33" i="60"/>
  <c r="X34" i="60"/>
  <c r="X35" i="60"/>
  <c r="X36" i="60"/>
  <c r="X37" i="60"/>
  <c r="X38" i="60"/>
  <c r="X39" i="60"/>
  <c r="X41" i="60"/>
  <c r="X42" i="60"/>
  <c r="X43" i="60"/>
  <c r="L51" i="60"/>
  <c r="B52" i="60"/>
  <c r="B53" i="60"/>
  <c r="B54" i="60"/>
  <c r="B55" i="60"/>
  <c r="B56" i="60"/>
  <c r="B57" i="60"/>
  <c r="B58" i="60"/>
  <c r="B59" i="60"/>
  <c r="B60" i="60"/>
  <c r="B61" i="60"/>
  <c r="B62" i="60"/>
  <c r="B63" i="60"/>
  <c r="B64" i="60"/>
  <c r="B65" i="60"/>
  <c r="B66" i="60"/>
  <c r="B67" i="60"/>
  <c r="B68" i="60"/>
  <c r="B69" i="60"/>
  <c r="B70" i="60"/>
  <c r="B71" i="60"/>
  <c r="B72" i="60"/>
  <c r="B73" i="60"/>
  <c r="B74" i="60"/>
  <c r="B75" i="60"/>
  <c r="B76" i="60"/>
  <c r="B77" i="60"/>
  <c r="B78" i="60"/>
  <c r="B79" i="60"/>
  <c r="B80" i="60"/>
  <c r="B81" i="60"/>
  <c r="B82" i="60"/>
  <c r="B83" i="60"/>
  <c r="B84" i="60"/>
  <c r="B85" i="60"/>
  <c r="B86" i="60"/>
  <c r="B88" i="60"/>
  <c r="B89" i="60"/>
  <c r="B90" i="60"/>
  <c r="B51" i="60"/>
  <c r="L5" i="60" l="1"/>
  <c r="L6" i="60"/>
  <c r="L7" i="60"/>
  <c r="L8" i="60"/>
  <c r="L9" i="60"/>
  <c r="L10" i="60"/>
  <c r="L11" i="60"/>
  <c r="L12" i="60"/>
  <c r="L13" i="60"/>
  <c r="L14" i="60"/>
  <c r="L15" i="60"/>
  <c r="L16" i="60"/>
  <c r="L17" i="60"/>
  <c r="L18" i="60"/>
  <c r="L19" i="60"/>
  <c r="L20" i="60"/>
  <c r="L21" i="60"/>
  <c r="L22" i="60"/>
  <c r="L23" i="60"/>
  <c r="L24" i="60"/>
  <c r="L25" i="60"/>
  <c r="L26" i="60"/>
  <c r="L27" i="60"/>
  <c r="L28" i="60"/>
  <c r="L29" i="60"/>
  <c r="L30" i="60"/>
  <c r="L31" i="60"/>
  <c r="L32" i="60"/>
  <c r="L33" i="60"/>
  <c r="L34" i="60"/>
  <c r="L35" i="60"/>
  <c r="L36" i="60"/>
  <c r="L37" i="60"/>
  <c r="L38" i="60"/>
  <c r="L39" i="60"/>
  <c r="L41" i="60"/>
  <c r="L42" i="60"/>
  <c r="L43" i="60"/>
  <c r="L4" i="60"/>
  <c r="B5" i="60"/>
  <c r="B6" i="60"/>
  <c r="B7" i="60"/>
  <c r="B8" i="60"/>
  <c r="B9" i="60"/>
  <c r="B10" i="60"/>
  <c r="B11" i="60"/>
  <c r="B12" i="60"/>
  <c r="B13" i="60"/>
  <c r="B14" i="60"/>
  <c r="B15" i="60"/>
  <c r="B16" i="60"/>
  <c r="B17" i="60"/>
  <c r="B18" i="60"/>
  <c r="B19" i="60"/>
  <c r="B20" i="60"/>
  <c r="B21" i="60"/>
  <c r="B22" i="60"/>
  <c r="B23" i="60"/>
  <c r="B24" i="60"/>
  <c r="B25" i="60"/>
  <c r="B26" i="60"/>
  <c r="B27" i="60"/>
  <c r="B28" i="60"/>
  <c r="B29" i="60"/>
  <c r="B30" i="60"/>
  <c r="B31" i="60"/>
  <c r="B32" i="60"/>
  <c r="B33" i="60"/>
  <c r="B34" i="60"/>
  <c r="B35" i="60"/>
  <c r="B36" i="60"/>
  <c r="B37" i="60"/>
  <c r="B38" i="60"/>
  <c r="B39" i="60"/>
  <c r="B41" i="60"/>
  <c r="B42" i="60"/>
  <c r="B43" i="60"/>
  <c r="B4" i="60"/>
  <c r="AX10" i="4" l="1"/>
  <c r="AZ10" i="4"/>
  <c r="BA10" i="4"/>
  <c r="BB10" i="4"/>
  <c r="AW10" i="4"/>
  <c r="BD10" i="4"/>
  <c r="BF10" i="4" s="1"/>
  <c r="BE10" i="4"/>
  <c r="AX11" i="4"/>
  <c r="AZ11" i="4"/>
  <c r="BA11" i="4"/>
  <c r="AV11" i="4"/>
  <c r="AY11" i="4" s="1"/>
  <c r="AW11" i="4"/>
  <c r="BD11" i="4"/>
  <c r="BE11" i="4"/>
  <c r="AZ12" i="4"/>
  <c r="BA12" i="4"/>
  <c r="AW12" i="4"/>
  <c r="BD12" i="4"/>
  <c r="BE12" i="4"/>
  <c r="AZ13" i="4"/>
  <c r="BA13" i="4"/>
  <c r="AW13" i="4"/>
  <c r="BD13" i="4"/>
  <c r="BF13" i="4" s="1"/>
  <c r="BE13" i="4"/>
  <c r="AZ14" i="4"/>
  <c r="BA14" i="4"/>
  <c r="AW14" i="4"/>
  <c r="BD14" i="4"/>
  <c r="BF14" i="4" s="1"/>
  <c r="BE14" i="4"/>
  <c r="AZ15" i="4"/>
  <c r="BA15" i="4"/>
  <c r="AW15" i="4"/>
  <c r="BD15" i="4"/>
  <c r="BE15" i="4"/>
  <c r="AZ16" i="4"/>
  <c r="BA16" i="4"/>
  <c r="AW16" i="4"/>
  <c r="BD16" i="4"/>
  <c r="BF16" i="4" s="1"/>
  <c r="BE16" i="4"/>
  <c r="AZ17" i="4"/>
  <c r="BA17" i="4"/>
  <c r="AW17" i="4"/>
  <c r="BD17" i="4"/>
  <c r="BF17" i="4" s="1"/>
  <c r="BE17" i="4"/>
  <c r="AZ18" i="4"/>
  <c r="BA18" i="4"/>
  <c r="AW18" i="4"/>
  <c r="BD18" i="4"/>
  <c r="BF18" i="4" s="1"/>
  <c r="BE18" i="4"/>
  <c r="AZ19" i="4"/>
  <c r="BA19" i="4"/>
  <c r="AW19" i="4"/>
  <c r="BD19" i="4"/>
  <c r="BE19" i="4"/>
  <c r="AZ20" i="4"/>
  <c r="BA20" i="4"/>
  <c r="AW20" i="4"/>
  <c r="BD20" i="4"/>
  <c r="BF20" i="4" s="1"/>
  <c r="BE20" i="4"/>
  <c r="AZ21" i="4"/>
  <c r="BA21" i="4"/>
  <c r="AW21" i="4"/>
  <c r="BD21" i="4"/>
  <c r="BE21" i="4"/>
  <c r="AZ22" i="4"/>
  <c r="BA22" i="4"/>
  <c r="AW22" i="4"/>
  <c r="BD22" i="4"/>
  <c r="BF22" i="4" s="1"/>
  <c r="BE22" i="4"/>
  <c r="AZ23" i="4"/>
  <c r="BA23" i="4"/>
  <c r="AW23" i="4"/>
  <c r="BD23" i="4"/>
  <c r="BE23" i="4"/>
  <c r="AZ24" i="4"/>
  <c r="BA24" i="4"/>
  <c r="AW24" i="4"/>
  <c r="BD24" i="4"/>
  <c r="BF24" i="4" s="1"/>
  <c r="BE24" i="4"/>
  <c r="AZ25" i="4"/>
  <c r="BA25" i="4"/>
  <c r="AW25" i="4"/>
  <c r="BD25" i="4"/>
  <c r="BE25" i="4"/>
  <c r="AZ26" i="4"/>
  <c r="BA26" i="4"/>
  <c r="AW26" i="4"/>
  <c r="BD26" i="4"/>
  <c r="BF26" i="4" s="1"/>
  <c r="BE26" i="4"/>
  <c r="AZ27" i="4"/>
  <c r="BA27" i="4"/>
  <c r="AV27" i="4"/>
  <c r="AW27" i="4"/>
  <c r="BD27" i="4"/>
  <c r="BF27" i="4" s="1"/>
  <c r="BE27" i="4"/>
  <c r="AZ28" i="4"/>
  <c r="BA28" i="4"/>
  <c r="AV28" i="4"/>
  <c r="AW28" i="4"/>
  <c r="BD28" i="4"/>
  <c r="BF28" i="4" s="1"/>
  <c r="BE28" i="4"/>
  <c r="AZ29" i="4"/>
  <c r="BA29" i="4"/>
  <c r="AV29" i="4"/>
  <c r="AW29" i="4"/>
  <c r="BD29" i="4"/>
  <c r="BF29" i="4" s="1"/>
  <c r="BE29" i="4"/>
  <c r="BE9" i="4"/>
  <c r="BD9" i="4"/>
  <c r="BB9" i="4"/>
  <c r="BA9" i="4"/>
  <c r="AZ9" i="4"/>
  <c r="BC9" i="4" s="1"/>
  <c r="AP10" i="4"/>
  <c r="AT10" i="4"/>
  <c r="AT11" i="4"/>
  <c r="AT12" i="4"/>
  <c r="AR13" i="4"/>
  <c r="AT13" i="4"/>
  <c r="AR14" i="4"/>
  <c r="AT14" i="4"/>
  <c r="AT15" i="4"/>
  <c r="AT16" i="4"/>
  <c r="AR17" i="4"/>
  <c r="AT17" i="4"/>
  <c r="AR18" i="4"/>
  <c r="AT18" i="4"/>
  <c r="AT19" i="4"/>
  <c r="AT20" i="4"/>
  <c r="AP21" i="4"/>
  <c r="AT21" i="4"/>
  <c r="AP22" i="4"/>
  <c r="AT22" i="4"/>
  <c r="AT23" i="4"/>
  <c r="AT24" i="4"/>
  <c r="AP25" i="4"/>
  <c r="AT25" i="4"/>
  <c r="AP26" i="4"/>
  <c r="AT26" i="4"/>
  <c r="AP29" i="4"/>
  <c r="AT29" i="4"/>
  <c r="AQ11" i="4"/>
  <c r="AQ12" i="4"/>
  <c r="AQ15" i="4"/>
  <c r="AS16" i="4"/>
  <c r="AQ19" i="4"/>
  <c r="BF25" i="4" l="1"/>
  <c r="BF21" i="4"/>
  <c r="BF12" i="4"/>
  <c r="BC10" i="4"/>
  <c r="BF9" i="4"/>
  <c r="BF23" i="4"/>
  <c r="BF19" i="4"/>
  <c r="BF15" i="4"/>
  <c r="BF11" i="4"/>
  <c r="AQ23" i="4"/>
  <c r="AO16" i="4"/>
  <c r="AS15" i="4"/>
  <c r="AO15" i="4"/>
  <c r="AS12" i="4"/>
  <c r="AO12" i="4"/>
  <c r="AS11" i="4"/>
  <c r="AO11" i="4"/>
  <c r="AS29" i="4"/>
  <c r="AQ29" i="4"/>
  <c r="AO29" i="4"/>
  <c r="AS28" i="4"/>
  <c r="AQ28" i="4"/>
  <c r="AO28" i="4"/>
  <c r="AS27" i="4"/>
  <c r="AQ27" i="4"/>
  <c r="AO27" i="4"/>
  <c r="AS26" i="4"/>
  <c r="AQ26" i="4"/>
  <c r="AO26" i="4"/>
  <c r="AS25" i="4"/>
  <c r="AQ25" i="4"/>
  <c r="AO25" i="4"/>
  <c r="AS24" i="4"/>
  <c r="AQ24" i="4"/>
  <c r="AO24" i="4"/>
  <c r="AS23" i="4"/>
  <c r="AO23" i="4"/>
  <c r="AS22" i="4"/>
  <c r="AQ22" i="4"/>
  <c r="AO22" i="4"/>
  <c r="AS21" i="4"/>
  <c r="AQ21" i="4"/>
  <c r="AO21" i="4"/>
  <c r="AS20" i="4"/>
  <c r="AQ20" i="4"/>
  <c r="AO20" i="4"/>
  <c r="AS19" i="4"/>
  <c r="AO19" i="4"/>
  <c r="AS18" i="4"/>
  <c r="AQ18" i="4"/>
  <c r="AO18" i="4"/>
  <c r="AS17" i="4"/>
  <c r="AQ17" i="4"/>
  <c r="AO17" i="4"/>
  <c r="AQ16" i="4"/>
  <c r="AS14" i="4"/>
  <c r="AQ14" i="4"/>
  <c r="AO14" i="4"/>
  <c r="AS13" i="4"/>
  <c r="AQ13" i="4"/>
  <c r="AO13" i="4"/>
  <c r="AS10" i="4"/>
  <c r="AQ10" i="4"/>
  <c r="AO10" i="4"/>
  <c r="Z48" i="59"/>
  <c r="Y186" i="59"/>
  <c r="Y146" i="59"/>
  <c r="Y106" i="59"/>
  <c r="Y56" i="59"/>
  <c r="AR16" i="4"/>
  <c r="AP16" i="4"/>
  <c r="AR15" i="4"/>
  <c r="AP15" i="4"/>
  <c r="AR12" i="4"/>
  <c r="AP12" i="4"/>
  <c r="AR11" i="4"/>
  <c r="AP11" i="4"/>
  <c r="AR28" i="4"/>
  <c r="AP28" i="4"/>
  <c r="AR27" i="4"/>
  <c r="AP27" i="4"/>
  <c r="AR26" i="4"/>
  <c r="AR25" i="4"/>
  <c r="AR24" i="4"/>
  <c r="AP24" i="4"/>
  <c r="AR23" i="4"/>
  <c r="AP23" i="4"/>
  <c r="AR22" i="4"/>
  <c r="AR21" i="4"/>
  <c r="AR20" i="4"/>
  <c r="AP20" i="4"/>
  <c r="AR19" i="4"/>
  <c r="AP19" i="4"/>
  <c r="AP17" i="4"/>
  <c r="AP14" i="4"/>
  <c r="AP13" i="4"/>
  <c r="AR10" i="4"/>
  <c r="AR29" i="4"/>
  <c r="AD18" i="4"/>
  <c r="E77" i="109" s="1"/>
  <c r="AP18" i="4"/>
  <c r="AU18" i="4" s="1"/>
  <c r="AT28" i="4"/>
  <c r="AT27" i="4"/>
  <c r="AU27" i="4" s="1"/>
  <c r="AD26" i="4"/>
  <c r="E133" i="109" s="1"/>
  <c r="AU23" i="4"/>
  <c r="AU19" i="4"/>
  <c r="AU15" i="4"/>
  <c r="AU26" i="4"/>
  <c r="AU22" i="4"/>
  <c r="AV26" i="4"/>
  <c r="BB26" i="4"/>
  <c r="BC26" i="4" s="1"/>
  <c r="AV25" i="4"/>
  <c r="AY25" i="4" s="1"/>
  <c r="BB25" i="4"/>
  <c r="BC25" i="4" s="1"/>
  <c r="AV24" i="4"/>
  <c r="BB24" i="4"/>
  <c r="BC24" i="4" s="1"/>
  <c r="AV23" i="4"/>
  <c r="AY23" i="4" s="1"/>
  <c r="BB23" i="4"/>
  <c r="BC23" i="4" s="1"/>
  <c r="AV22" i="4"/>
  <c r="BB22" i="4"/>
  <c r="BC22" i="4" s="1"/>
  <c r="AV21" i="4"/>
  <c r="AY21" i="4" s="1"/>
  <c r="BB21" i="4"/>
  <c r="BC21" i="4" s="1"/>
  <c r="AV20" i="4"/>
  <c r="BB20" i="4"/>
  <c r="BC20" i="4" s="1"/>
  <c r="AV19" i="4"/>
  <c r="AY19" i="4" s="1"/>
  <c r="BB19" i="4"/>
  <c r="BC19" i="4" s="1"/>
  <c r="AV18" i="4"/>
  <c r="BB18" i="4"/>
  <c r="BC18" i="4" s="1"/>
  <c r="AV17" i="4"/>
  <c r="AY17" i="4" s="1"/>
  <c r="BB17" i="4"/>
  <c r="BC17" i="4" s="1"/>
  <c r="AV16" i="4"/>
  <c r="BB16" i="4"/>
  <c r="BC16" i="4" s="1"/>
  <c r="AV15" i="4"/>
  <c r="AY15" i="4" s="1"/>
  <c r="BB15" i="4"/>
  <c r="BC15" i="4" s="1"/>
  <c r="AV14" i="4"/>
  <c r="BB14" i="4"/>
  <c r="BC14" i="4" s="1"/>
  <c r="AV13" i="4"/>
  <c r="AY13" i="4" s="1"/>
  <c r="BB13" i="4"/>
  <c r="BC13" i="4" s="1"/>
  <c r="AV12" i="4"/>
  <c r="BB12" i="4"/>
  <c r="BC12" i="4" s="1"/>
  <c r="BB29" i="4"/>
  <c r="BC29" i="4" s="1"/>
  <c r="BB28" i="4"/>
  <c r="BC28" i="4" s="1"/>
  <c r="BB27" i="4"/>
  <c r="BC27" i="4" s="1"/>
  <c r="AU29" i="4"/>
  <c r="AU17" i="4"/>
  <c r="AU14" i="4"/>
  <c r="AU13" i="4"/>
  <c r="AN29" i="4"/>
  <c r="AN28" i="4"/>
  <c r="AN27" i="4"/>
  <c r="AN26" i="4"/>
  <c r="AX26" i="4"/>
  <c r="AN25" i="4"/>
  <c r="AX25" i="4"/>
  <c r="AN24" i="4"/>
  <c r="AX24" i="4"/>
  <c r="AN23" i="4"/>
  <c r="AX23" i="4"/>
  <c r="AN22" i="4"/>
  <c r="AX22" i="4"/>
  <c r="AN21" i="4"/>
  <c r="AX21" i="4"/>
  <c r="AN20" i="4"/>
  <c r="AX20" i="4"/>
  <c r="AN19" i="4"/>
  <c r="AX19" i="4"/>
  <c r="AN18" i="4"/>
  <c r="AX18" i="4"/>
  <c r="AN17" i="4"/>
  <c r="AX17" i="4"/>
  <c r="AN16" i="4"/>
  <c r="AX16" i="4"/>
  <c r="AN15" i="4"/>
  <c r="AX15" i="4"/>
  <c r="AN14" i="4"/>
  <c r="AX14" i="4"/>
  <c r="AN13" i="4"/>
  <c r="AX13" i="4"/>
  <c r="AN12" i="4"/>
  <c r="AX12" i="4"/>
  <c r="AX29" i="4"/>
  <c r="AY29" i="4" s="1"/>
  <c r="AX28" i="4"/>
  <c r="AY28" i="4" s="1"/>
  <c r="AX27" i="4"/>
  <c r="AY27" i="4" s="1"/>
  <c r="AD10" i="4"/>
  <c r="E21" i="109" s="1"/>
  <c r="BB11" i="4"/>
  <c r="BC11" i="4" s="1"/>
  <c r="AU11" i="4"/>
  <c r="AN11" i="4"/>
  <c r="AV10" i="4"/>
  <c r="AY10" i="4" s="1"/>
  <c r="AN10" i="4"/>
  <c r="AV9" i="4"/>
  <c r="AY9" i="4" s="1"/>
  <c r="AN9" i="4"/>
  <c r="AD14" i="4"/>
  <c r="E49" i="109" s="1"/>
  <c r="AD22" i="4"/>
  <c r="E105" i="109" s="1"/>
  <c r="AD24" i="4"/>
  <c r="E119" i="109" s="1"/>
  <c r="AD16" i="4"/>
  <c r="E63" i="109" s="1"/>
  <c r="AD28" i="4"/>
  <c r="E147" i="109" s="1"/>
  <c r="AD20" i="4"/>
  <c r="E91" i="109" s="1"/>
  <c r="AD12" i="4"/>
  <c r="E35" i="109" s="1"/>
  <c r="AD9" i="4"/>
  <c r="E14" i="109" s="1"/>
  <c r="AD27" i="4"/>
  <c r="E140" i="109" s="1"/>
  <c r="AD23" i="4"/>
  <c r="E112" i="109" s="1"/>
  <c r="AD19" i="4"/>
  <c r="E84" i="109" s="1"/>
  <c r="AD15" i="4"/>
  <c r="E56" i="109" s="1"/>
  <c r="AD11" i="4"/>
  <c r="E28" i="109" s="1"/>
  <c r="AD29" i="4"/>
  <c r="E154" i="109" s="1"/>
  <c r="AD25" i="4"/>
  <c r="E126" i="109" s="1"/>
  <c r="AD21" i="4"/>
  <c r="E98" i="109" s="1"/>
  <c r="AD17" i="4"/>
  <c r="E70" i="109" s="1"/>
  <c r="AD13" i="4"/>
  <c r="E42" i="109" s="1"/>
  <c r="F42" i="109" l="1"/>
  <c r="E43" i="109"/>
  <c r="F70" i="109"/>
  <c r="E71" i="109"/>
  <c r="F28" i="109"/>
  <c r="E29" i="109"/>
  <c r="F140" i="109"/>
  <c r="E141" i="109"/>
  <c r="F147" i="109"/>
  <c r="E148" i="109"/>
  <c r="F49" i="109"/>
  <c r="E50" i="109"/>
  <c r="F21" i="109"/>
  <c r="E22" i="109"/>
  <c r="F112" i="109"/>
  <c r="E113" i="109"/>
  <c r="F56" i="109"/>
  <c r="E57" i="109"/>
  <c r="F63" i="109"/>
  <c r="E64" i="109"/>
  <c r="AY12" i="4"/>
  <c r="AY14" i="4"/>
  <c r="AY16" i="4"/>
  <c r="AY18" i="4"/>
  <c r="AY20" i="4"/>
  <c r="AY22" i="4"/>
  <c r="AY24" i="4"/>
  <c r="AY26" i="4"/>
  <c r="F98" i="109"/>
  <c r="E99" i="109"/>
  <c r="F126" i="109"/>
  <c r="E127" i="109"/>
  <c r="F84" i="109"/>
  <c r="E85" i="109"/>
  <c r="F35" i="109"/>
  <c r="E36" i="109"/>
  <c r="F119" i="109"/>
  <c r="E120" i="109"/>
  <c r="F154" i="109"/>
  <c r="E155" i="109"/>
  <c r="F91" i="109"/>
  <c r="E92" i="109"/>
  <c r="F105" i="109"/>
  <c r="E106" i="109"/>
  <c r="F133" i="109"/>
  <c r="E134" i="109"/>
  <c r="F77" i="109"/>
  <c r="E78" i="109"/>
  <c r="Z146" i="59"/>
  <c r="Z106" i="59"/>
  <c r="X186" i="59"/>
  <c r="Z76" i="59"/>
  <c r="Y76" i="59"/>
  <c r="Y126" i="59"/>
  <c r="Z126" i="59"/>
  <c r="Y206" i="59"/>
  <c r="X206" i="59"/>
  <c r="Y166" i="59"/>
  <c r="Z166" i="59"/>
  <c r="Y78" i="59"/>
  <c r="Z78" i="59"/>
  <c r="Z108" i="59"/>
  <c r="Y108" i="59"/>
  <c r="Z128" i="59"/>
  <c r="X128" i="59"/>
  <c r="Y128" i="59"/>
  <c r="Z148" i="59"/>
  <c r="Y148" i="59"/>
  <c r="X148" i="59"/>
  <c r="Z168" i="59"/>
  <c r="X168" i="59"/>
  <c r="Y168" i="59"/>
  <c r="X188" i="59"/>
  <c r="Y188" i="59"/>
  <c r="Z188" i="59"/>
  <c r="X208" i="59"/>
  <c r="Z208" i="59"/>
  <c r="Y208" i="59"/>
  <c r="Z58" i="59"/>
  <c r="Y58" i="59"/>
  <c r="Z46" i="59"/>
  <c r="Y46" i="59"/>
  <c r="Y96" i="59"/>
  <c r="Z96" i="59"/>
  <c r="Y136" i="59"/>
  <c r="X136" i="59"/>
  <c r="Z136" i="59"/>
  <c r="Y156" i="59"/>
  <c r="X156" i="59"/>
  <c r="Z156" i="59"/>
  <c r="Y196" i="59"/>
  <c r="X196" i="59"/>
  <c r="Z196" i="59"/>
  <c r="Y216" i="59"/>
  <c r="Z216" i="59"/>
  <c r="X216" i="59"/>
  <c r="Z68" i="59"/>
  <c r="Y68" i="59"/>
  <c r="Z98" i="59"/>
  <c r="Y98" i="59"/>
  <c r="Z118" i="59"/>
  <c r="X118" i="59"/>
  <c r="Y118" i="59"/>
  <c r="Z138" i="59"/>
  <c r="Y138" i="59"/>
  <c r="X138" i="59"/>
  <c r="Z158" i="59"/>
  <c r="X158" i="59"/>
  <c r="Y158" i="59"/>
  <c r="Z178" i="59"/>
  <c r="X178" i="59"/>
  <c r="Y178" i="59"/>
  <c r="Z198" i="59"/>
  <c r="Y198" i="59"/>
  <c r="X198" i="59"/>
  <c r="X218" i="59"/>
  <c r="Y218" i="59"/>
  <c r="Z218" i="59"/>
  <c r="Y66" i="59"/>
  <c r="Y116" i="59"/>
  <c r="X116" i="59"/>
  <c r="Z116" i="59"/>
  <c r="Y176" i="59"/>
  <c r="X176" i="59"/>
  <c r="Z176" i="59"/>
  <c r="Y48" i="59"/>
  <c r="Z66" i="59"/>
  <c r="Z56" i="59"/>
  <c r="X126" i="59"/>
  <c r="X146" i="59"/>
  <c r="X166" i="59"/>
  <c r="Z186" i="59"/>
  <c r="Z206" i="59"/>
  <c r="Y34" i="59"/>
  <c r="X200" i="59"/>
  <c r="Z87" i="59"/>
  <c r="Z110" i="59"/>
  <c r="Y120" i="59"/>
  <c r="Z130" i="59"/>
  <c r="Y140" i="59"/>
  <c r="Z150" i="59"/>
  <c r="Y160" i="59"/>
  <c r="Z170" i="59"/>
  <c r="X180" i="59"/>
  <c r="Z193" i="59"/>
  <c r="Y213" i="59"/>
  <c r="Z32" i="59"/>
  <c r="Y210" i="59"/>
  <c r="Y203" i="59"/>
  <c r="Y82" i="59"/>
  <c r="Y93" i="59"/>
  <c r="Z113" i="59"/>
  <c r="X123" i="59"/>
  <c r="Y133" i="59"/>
  <c r="Z143" i="59"/>
  <c r="X153" i="59"/>
  <c r="Z163" i="59"/>
  <c r="Z173" i="59"/>
  <c r="Y183" i="59"/>
  <c r="C27" i="130"/>
  <c r="L27" i="130" s="1"/>
  <c r="F9" i="109"/>
  <c r="Z55" i="59"/>
  <c r="Y55" i="59"/>
  <c r="Y75" i="59"/>
  <c r="Z75" i="59"/>
  <c r="Z105" i="59"/>
  <c r="Y105" i="59"/>
  <c r="Z125" i="59"/>
  <c r="X125" i="59"/>
  <c r="Y125" i="59"/>
  <c r="X145" i="59"/>
  <c r="Y145" i="59"/>
  <c r="Z145" i="59"/>
  <c r="X165" i="59"/>
  <c r="Y165" i="59"/>
  <c r="Z165" i="59"/>
  <c r="Z185" i="59"/>
  <c r="X185" i="59"/>
  <c r="Y185" i="59"/>
  <c r="Z205" i="59"/>
  <c r="X205" i="59"/>
  <c r="Y205" i="59"/>
  <c r="Z45" i="59"/>
  <c r="Y45" i="59"/>
  <c r="Y65" i="59"/>
  <c r="Z65" i="59"/>
  <c r="Z95" i="59"/>
  <c r="Y95" i="59"/>
  <c r="Z115" i="59"/>
  <c r="X115" i="59"/>
  <c r="Y115" i="59"/>
  <c r="Z135" i="59"/>
  <c r="X135" i="59"/>
  <c r="Y135" i="59"/>
  <c r="Z155" i="59"/>
  <c r="X155" i="59"/>
  <c r="Y155" i="59"/>
  <c r="Z175" i="59"/>
  <c r="X175" i="59"/>
  <c r="Y175" i="59"/>
  <c r="X195" i="59"/>
  <c r="Y195" i="59"/>
  <c r="Z195" i="59"/>
  <c r="X215" i="59"/>
  <c r="Y215" i="59"/>
  <c r="Z215" i="59"/>
  <c r="AU10" i="4"/>
  <c r="AU21" i="4"/>
  <c r="AU25" i="4"/>
  <c r="AU12" i="4"/>
  <c r="AU16" i="4"/>
  <c r="AU20" i="4"/>
  <c r="AU24" i="4"/>
  <c r="AU28" i="4"/>
  <c r="Y81" i="59"/>
  <c r="Y85" i="59"/>
  <c r="Z85" i="59"/>
  <c r="Z35" i="59"/>
  <c r="Y35" i="59"/>
  <c r="Y23" i="59"/>
  <c r="Z23" i="59"/>
  <c r="X17" i="59"/>
  <c r="Z17" i="59"/>
  <c r="Y17" i="59"/>
  <c r="Y21" i="59"/>
  <c r="Z21" i="59"/>
  <c r="Y25" i="59"/>
  <c r="Z25" i="59"/>
  <c r="Y31" i="59"/>
  <c r="Y20" i="59"/>
  <c r="Z20" i="59"/>
  <c r="Y28" i="59"/>
  <c r="Z28" i="59"/>
  <c r="Y36" i="59"/>
  <c r="Z36" i="59"/>
  <c r="Z22" i="59"/>
  <c r="Y22" i="59"/>
  <c r="Z26" i="59"/>
  <c r="Y26" i="59"/>
  <c r="Y30" i="59"/>
  <c r="Z30" i="59"/>
  <c r="Y38" i="59"/>
  <c r="Z38" i="59"/>
  <c r="Y88" i="59"/>
  <c r="Z88" i="59"/>
  <c r="Y27" i="59"/>
  <c r="Z27" i="59"/>
  <c r="Z86" i="59"/>
  <c r="Y86" i="59"/>
  <c r="F7" i="57"/>
  <c r="F7" i="79"/>
  <c r="X210" i="59"/>
  <c r="Z90" i="59"/>
  <c r="F8" i="57"/>
  <c r="F8" i="79"/>
  <c r="F11" i="79"/>
  <c r="F9" i="57"/>
  <c r="F9" i="79"/>
  <c r="Y200" i="59"/>
  <c r="Z73" i="59"/>
  <c r="X113" i="59"/>
  <c r="Y113" i="59"/>
  <c r="Z123" i="59"/>
  <c r="Z133" i="59"/>
  <c r="X143" i="59"/>
  <c r="Y143" i="59"/>
  <c r="Z153" i="59"/>
  <c r="Y163" i="59"/>
  <c r="Z183" i="59"/>
  <c r="F10" i="57"/>
  <c r="F10" i="79"/>
  <c r="Y190" i="59"/>
  <c r="Y50" i="59"/>
  <c r="Z100" i="59"/>
  <c r="Y110" i="59"/>
  <c r="Z120" i="59"/>
  <c r="Z140" i="59"/>
  <c r="Y150" i="59"/>
  <c r="X160" i="59"/>
  <c r="Y180" i="59"/>
  <c r="Y193" i="59"/>
  <c r="X213" i="59"/>
  <c r="Z13" i="59"/>
  <c r="X13" i="59"/>
  <c r="Y13" i="59"/>
  <c r="X18" i="59"/>
  <c r="Y18" i="59"/>
  <c r="Z18" i="59"/>
  <c r="Z12" i="59"/>
  <c r="Y12" i="59"/>
  <c r="X12" i="59"/>
  <c r="Z15" i="59"/>
  <c r="X15" i="59"/>
  <c r="Y15" i="59"/>
  <c r="Z11" i="59"/>
  <c r="Y11" i="59"/>
  <c r="X11" i="59"/>
  <c r="Y16" i="59"/>
  <c r="X16" i="59"/>
  <c r="Z16" i="59"/>
  <c r="Z10" i="59"/>
  <c r="Y10" i="59"/>
  <c r="X10" i="59"/>
  <c r="AU9" i="4"/>
  <c r="F12" i="109" s="1"/>
  <c r="J77" i="109" l="1"/>
  <c r="I77" i="109"/>
  <c r="I105" i="109"/>
  <c r="J105" i="109"/>
  <c r="J154" i="109"/>
  <c r="I154" i="109"/>
  <c r="I35" i="109"/>
  <c r="J35" i="109"/>
  <c r="I126" i="109"/>
  <c r="J126" i="109"/>
  <c r="I63" i="109"/>
  <c r="J63" i="109"/>
  <c r="J112" i="109"/>
  <c r="I112" i="109"/>
  <c r="I49" i="109"/>
  <c r="J49" i="109"/>
  <c r="I140" i="109"/>
  <c r="J140" i="109"/>
  <c r="I70" i="109"/>
  <c r="J70" i="109"/>
  <c r="I133" i="109"/>
  <c r="J133" i="109"/>
  <c r="J91" i="109"/>
  <c r="I91" i="109"/>
  <c r="J119" i="109"/>
  <c r="I119" i="109"/>
  <c r="I84" i="109"/>
  <c r="J84" i="109"/>
  <c r="J98" i="109"/>
  <c r="I98" i="109"/>
  <c r="I56" i="109"/>
  <c r="J56" i="109"/>
  <c r="I21" i="109"/>
  <c r="J21" i="109"/>
  <c r="I147" i="109"/>
  <c r="J147" i="109"/>
  <c r="I28" i="109"/>
  <c r="J28" i="109"/>
  <c r="J42" i="109"/>
  <c r="I42" i="109"/>
  <c r="Y100" i="59"/>
  <c r="AS90" i="59"/>
  <c r="Y70" i="59"/>
  <c r="Z40" i="59"/>
  <c r="Z103" i="59"/>
  <c r="AS80" i="59"/>
  <c r="AS20" i="59"/>
  <c r="W19" i="59"/>
  <c r="AS10" i="59" s="1"/>
  <c r="R126" i="74" s="1"/>
  <c r="Z82" i="59"/>
  <c r="Y87" i="59"/>
  <c r="X183" i="59"/>
  <c r="Y173" i="59"/>
  <c r="X163" i="59"/>
  <c r="F10" i="109"/>
  <c r="Y32" i="59"/>
  <c r="F11" i="109"/>
  <c r="Z213" i="59"/>
  <c r="Z180" i="59"/>
  <c r="Y170" i="59"/>
  <c r="Z160" i="59"/>
  <c r="X140" i="59"/>
  <c r="Y130" i="59"/>
  <c r="X120" i="59"/>
  <c r="Z70" i="59"/>
  <c r="X173" i="59"/>
  <c r="Y153" i="59"/>
  <c r="X133" i="59"/>
  <c r="Y123" i="59"/>
  <c r="Y103" i="59"/>
  <c r="Z63" i="59"/>
  <c r="Z210" i="59"/>
  <c r="Z31" i="59"/>
  <c r="Z34" i="59"/>
  <c r="Z37" i="59"/>
  <c r="Y37" i="59"/>
  <c r="Z93" i="59"/>
  <c r="Z81" i="59"/>
  <c r="Y73" i="59"/>
  <c r="Z53" i="59"/>
  <c r="Y53" i="59"/>
  <c r="Y43" i="59"/>
  <c r="Z43" i="59"/>
  <c r="Z203" i="59"/>
  <c r="X203" i="59"/>
  <c r="Y90" i="59"/>
  <c r="Z60" i="59"/>
  <c r="Y60" i="59"/>
  <c r="Y40" i="59"/>
  <c r="I12" i="109"/>
  <c r="J12" i="109"/>
  <c r="M12" i="109" s="1"/>
  <c r="C26" i="130"/>
  <c r="L26" i="130" s="1"/>
  <c r="AS200" i="59"/>
  <c r="F13" i="109"/>
  <c r="C8" i="130"/>
  <c r="L8" i="130" s="1"/>
  <c r="X193" i="59"/>
  <c r="X170" i="59"/>
  <c r="X150" i="59"/>
  <c r="X130" i="59"/>
  <c r="X110" i="59"/>
  <c r="Z50" i="59"/>
  <c r="X190" i="59"/>
  <c r="Z190" i="59"/>
  <c r="C24" i="130" s="1"/>
  <c r="L24" i="130" s="1"/>
  <c r="Y63" i="59"/>
  <c r="C25" i="130"/>
  <c r="L25" i="130" s="1"/>
  <c r="Z200" i="59"/>
  <c r="F14" i="109"/>
  <c r="X182" i="59"/>
  <c r="Y182" i="59"/>
  <c r="Z182" i="59"/>
  <c r="Z172" i="59"/>
  <c r="X172" i="59"/>
  <c r="Y172" i="59"/>
  <c r="Z162" i="59"/>
  <c r="Y162" i="59"/>
  <c r="X162" i="59"/>
  <c r="Z152" i="59"/>
  <c r="Y152" i="59"/>
  <c r="X152" i="59"/>
  <c r="Z142" i="59"/>
  <c r="Y142" i="59"/>
  <c r="X142" i="59"/>
  <c r="Z132" i="59"/>
  <c r="Y132" i="59"/>
  <c r="X132" i="59"/>
  <c r="X122" i="59"/>
  <c r="Y122" i="59"/>
  <c r="Z122" i="59"/>
  <c r="Z112" i="59"/>
  <c r="Y112" i="59"/>
  <c r="X112" i="59"/>
  <c r="Z102" i="59"/>
  <c r="Y102" i="59"/>
  <c r="Z92" i="59"/>
  <c r="Y92" i="59"/>
  <c r="Y72" i="59"/>
  <c r="Z72" i="59"/>
  <c r="Z62" i="59"/>
  <c r="Y62" i="59"/>
  <c r="Y52" i="59"/>
  <c r="Z52" i="59"/>
  <c r="Z42" i="59"/>
  <c r="Y42" i="59"/>
  <c r="X202" i="59"/>
  <c r="Y202" i="59"/>
  <c r="Z202" i="59"/>
  <c r="X217" i="59"/>
  <c r="Y217" i="59"/>
  <c r="Z217" i="59"/>
  <c r="X197" i="59"/>
  <c r="Y197" i="59"/>
  <c r="Z197" i="59"/>
  <c r="Z212" i="59"/>
  <c r="Y212" i="59"/>
  <c r="X212" i="59"/>
  <c r="Z192" i="59"/>
  <c r="X192" i="59"/>
  <c r="Y192" i="59"/>
  <c r="X187" i="59"/>
  <c r="Y187" i="59"/>
  <c r="Z187" i="59"/>
  <c r="X177" i="59"/>
  <c r="Y177" i="59"/>
  <c r="Z177" i="59"/>
  <c r="Z167" i="59"/>
  <c r="X167" i="59"/>
  <c r="Y167" i="59"/>
  <c r="Z157" i="59"/>
  <c r="X157" i="59"/>
  <c r="Y157" i="59"/>
  <c r="Z147" i="59"/>
  <c r="X147" i="59"/>
  <c r="Y147" i="59"/>
  <c r="X137" i="59"/>
  <c r="Y137" i="59"/>
  <c r="Z137" i="59"/>
  <c r="Z127" i="59"/>
  <c r="X127" i="59"/>
  <c r="Y127" i="59"/>
  <c r="Z117" i="59"/>
  <c r="Y117" i="59"/>
  <c r="X117" i="59"/>
  <c r="Z107" i="59"/>
  <c r="Y107" i="59"/>
  <c r="Z97" i="59"/>
  <c r="Y97" i="59"/>
  <c r="Z77" i="59"/>
  <c r="Y77" i="59"/>
  <c r="Z67" i="59"/>
  <c r="Y67" i="59"/>
  <c r="Z57" i="59"/>
  <c r="Y57" i="59"/>
  <c r="Z47" i="59"/>
  <c r="Y47" i="59"/>
  <c r="Z207" i="59"/>
  <c r="X207" i="59"/>
  <c r="Y207" i="59"/>
  <c r="X164" i="59"/>
  <c r="Z164" i="59"/>
  <c r="C21" i="130"/>
  <c r="L21" i="130" s="1"/>
  <c r="Y164" i="59"/>
  <c r="C20" i="130"/>
  <c r="L20" i="130" s="1"/>
  <c r="Y154" i="59"/>
  <c r="X154" i="59"/>
  <c r="Z154" i="59"/>
  <c r="C19" i="130"/>
  <c r="L19" i="130" s="1"/>
  <c r="X144" i="59"/>
  <c r="Z144" i="59"/>
  <c r="Y144" i="59"/>
  <c r="Z134" i="59"/>
  <c r="Y134" i="59"/>
  <c r="X134" i="59"/>
  <c r="C18" i="130"/>
  <c r="L18" i="130" s="1"/>
  <c r="Y124" i="59"/>
  <c r="C17" i="130"/>
  <c r="L17" i="130" s="1"/>
  <c r="Z124" i="59"/>
  <c r="X124" i="59"/>
  <c r="C16" i="130"/>
  <c r="L16" i="130" s="1"/>
  <c r="Y114" i="59"/>
  <c r="X114" i="59"/>
  <c r="Z114" i="59"/>
  <c r="AS100" i="59"/>
  <c r="C15" i="130"/>
  <c r="L15" i="130" s="1"/>
  <c r="Z104" i="59"/>
  <c r="Y104" i="59"/>
  <c r="Z94" i="59"/>
  <c r="C14" i="130"/>
  <c r="L14" i="130" s="1"/>
  <c r="Y94" i="59"/>
  <c r="AS60" i="59"/>
  <c r="C11" i="130"/>
  <c r="L11" i="130" s="1"/>
  <c r="Z64" i="59"/>
  <c r="Y64" i="59"/>
  <c r="AS50" i="59"/>
  <c r="C10" i="130"/>
  <c r="L10" i="130" s="1"/>
  <c r="Y54" i="59"/>
  <c r="Z54" i="59"/>
  <c r="AS40" i="59"/>
  <c r="C9" i="130"/>
  <c r="L9" i="130" s="1"/>
  <c r="Y44" i="59"/>
  <c r="Z44" i="59"/>
  <c r="AS70" i="59"/>
  <c r="C12" i="130"/>
  <c r="L12" i="130" s="1"/>
  <c r="Z74" i="59"/>
  <c r="Y74" i="59"/>
  <c r="X229" i="59"/>
  <c r="Y229" i="59"/>
  <c r="AT220" i="59" s="1"/>
  <c r="Y184" i="59"/>
  <c r="Z184" i="59"/>
  <c r="C23" i="130"/>
  <c r="L23" i="130" s="1"/>
  <c r="X184" i="59"/>
  <c r="Z174" i="59"/>
  <c r="C22" i="130"/>
  <c r="L22" i="130" s="1"/>
  <c r="Y174" i="59"/>
  <c r="X174" i="59"/>
  <c r="Z211" i="59"/>
  <c r="X211" i="59"/>
  <c r="Y211" i="59"/>
  <c r="Z191" i="59"/>
  <c r="X191" i="59"/>
  <c r="Y191" i="59"/>
  <c r="X204" i="59"/>
  <c r="Y204" i="59"/>
  <c r="Z204" i="59"/>
  <c r="Z131" i="59"/>
  <c r="X131" i="59"/>
  <c r="Y131" i="59"/>
  <c r="Y91" i="59"/>
  <c r="Z91" i="59"/>
  <c r="Z71" i="59"/>
  <c r="Y71" i="59"/>
  <c r="Z61" i="59"/>
  <c r="Y61" i="59"/>
  <c r="Y51" i="59"/>
  <c r="Z51" i="59"/>
  <c r="Y41" i="59"/>
  <c r="Z41" i="59"/>
  <c r="X201" i="59"/>
  <c r="Y201" i="59"/>
  <c r="Z201" i="59"/>
  <c r="Z194" i="59"/>
  <c r="Y194" i="59"/>
  <c r="X194" i="59"/>
  <c r="I9" i="109"/>
  <c r="J9" i="109"/>
  <c r="Z181" i="59"/>
  <c r="X181" i="59"/>
  <c r="Y181" i="59"/>
  <c r="Z171" i="59"/>
  <c r="X171" i="59"/>
  <c r="Y171" i="59"/>
  <c r="Z161" i="59"/>
  <c r="X161" i="59"/>
  <c r="Y161" i="59"/>
  <c r="X151" i="59"/>
  <c r="Y151" i="59"/>
  <c r="Z151" i="59"/>
  <c r="Z141" i="59"/>
  <c r="X141" i="59"/>
  <c r="Y141" i="59"/>
  <c r="Z121" i="59"/>
  <c r="X121" i="59"/>
  <c r="Y121" i="59"/>
  <c r="Z111" i="59"/>
  <c r="X111" i="59"/>
  <c r="Y111" i="59"/>
  <c r="Z101" i="59"/>
  <c r="Y101" i="59"/>
  <c r="X214" i="59"/>
  <c r="Y214" i="59"/>
  <c r="Z214" i="59"/>
  <c r="AS30" i="59"/>
  <c r="Z24" i="59"/>
  <c r="Y33" i="59"/>
  <c r="Z33" i="59"/>
  <c r="C7" i="130"/>
  <c r="L7" i="130" s="1"/>
  <c r="Y24" i="59"/>
  <c r="Z84" i="59"/>
  <c r="Y84" i="59"/>
  <c r="Z83" i="59"/>
  <c r="Y83" i="59"/>
  <c r="Y14" i="59"/>
  <c r="Z14" i="59"/>
  <c r="X14" i="59"/>
  <c r="Y80" i="59"/>
  <c r="Z80" i="59"/>
  <c r="C13" i="130"/>
  <c r="L13" i="130" s="1"/>
  <c r="Y189" i="59"/>
  <c r="AT180" i="59" s="1"/>
  <c r="X169" i="59"/>
  <c r="X199" i="59"/>
  <c r="I10" i="79"/>
  <c r="J10" i="79"/>
  <c r="Y209" i="59"/>
  <c r="AT200" i="59" s="1"/>
  <c r="I9" i="79"/>
  <c r="J9" i="79"/>
  <c r="I11" i="79"/>
  <c r="J11" i="79"/>
  <c r="I8" i="79"/>
  <c r="J8" i="79"/>
  <c r="Y49" i="59"/>
  <c r="AT40" i="59" s="1"/>
  <c r="Y219" i="59"/>
  <c r="AT210" i="59" s="1"/>
  <c r="J7" i="79"/>
  <c r="I7" i="79"/>
  <c r="X159" i="59"/>
  <c r="Y69" i="59"/>
  <c r="AT60" i="59" s="1"/>
  <c r="Y29" i="59"/>
  <c r="AT20" i="59" s="1"/>
  <c r="J10" i="57"/>
  <c r="M147" i="109" l="1"/>
  <c r="K147" i="109"/>
  <c r="L147" i="109"/>
  <c r="J148" i="109"/>
  <c r="M56" i="109"/>
  <c r="L56" i="109"/>
  <c r="K56" i="109"/>
  <c r="J57" i="109"/>
  <c r="L84" i="109"/>
  <c r="M84" i="109"/>
  <c r="K84" i="109"/>
  <c r="J85" i="109"/>
  <c r="K70" i="109"/>
  <c r="L70" i="109"/>
  <c r="M70" i="109"/>
  <c r="J71" i="109"/>
  <c r="M49" i="109"/>
  <c r="K49" i="109"/>
  <c r="L49" i="109"/>
  <c r="J50" i="109"/>
  <c r="K63" i="109"/>
  <c r="L63" i="109"/>
  <c r="M63" i="109"/>
  <c r="J64" i="109"/>
  <c r="M35" i="109"/>
  <c r="L35" i="109"/>
  <c r="K35" i="109"/>
  <c r="J36" i="109"/>
  <c r="L105" i="109"/>
  <c r="M105" i="109"/>
  <c r="K105" i="109"/>
  <c r="J106" i="109"/>
  <c r="L42" i="109"/>
  <c r="K42" i="109"/>
  <c r="M42" i="109"/>
  <c r="J43" i="109"/>
  <c r="L91" i="109"/>
  <c r="M91" i="109"/>
  <c r="K91" i="109"/>
  <c r="J92" i="109"/>
  <c r="K28" i="109"/>
  <c r="L28" i="109"/>
  <c r="M28" i="109"/>
  <c r="J29" i="109"/>
  <c r="K21" i="109"/>
  <c r="L21" i="109"/>
  <c r="M21" i="109"/>
  <c r="J22" i="109"/>
  <c r="L133" i="109"/>
  <c r="M133" i="109"/>
  <c r="K133" i="109"/>
  <c r="J134" i="109"/>
  <c r="M140" i="109"/>
  <c r="K140" i="109"/>
  <c r="L140" i="109"/>
  <c r="J141" i="109"/>
  <c r="L126" i="109"/>
  <c r="M126" i="109"/>
  <c r="K126" i="109"/>
  <c r="J127" i="109"/>
  <c r="L98" i="109"/>
  <c r="M98" i="109"/>
  <c r="K98" i="109"/>
  <c r="J99" i="109"/>
  <c r="L119" i="109"/>
  <c r="K119" i="109"/>
  <c r="M119" i="109"/>
  <c r="J120" i="109"/>
  <c r="M112" i="109"/>
  <c r="L112" i="109"/>
  <c r="K112" i="109"/>
  <c r="J113" i="109"/>
  <c r="L154" i="109"/>
  <c r="M154" i="109"/>
  <c r="K154" i="109"/>
  <c r="J155" i="109"/>
  <c r="L77" i="109"/>
  <c r="M77" i="109"/>
  <c r="K77" i="109"/>
  <c r="J78" i="109"/>
  <c r="X19" i="59"/>
  <c r="Y19" i="59"/>
  <c r="AT10" i="59" s="1"/>
  <c r="T126" i="74" s="1"/>
  <c r="C6" i="130"/>
  <c r="C49" i="130" s="1"/>
  <c r="Y129" i="59"/>
  <c r="AT120" i="59" s="1"/>
  <c r="Y109" i="59"/>
  <c r="AT100" i="59" s="1"/>
  <c r="Y119" i="59"/>
  <c r="AT110" i="59" s="1"/>
  <c r="X139" i="59"/>
  <c r="Y99" i="59"/>
  <c r="AT90" i="59" s="1"/>
  <c r="X149" i="59"/>
  <c r="X219" i="59"/>
  <c r="X209" i="59"/>
  <c r="Y179" i="59"/>
  <c r="AT170" i="59" s="1"/>
  <c r="E15" i="109"/>
  <c r="J10" i="109"/>
  <c r="I10" i="109"/>
  <c r="Y59" i="59"/>
  <c r="AT50" i="59" s="1"/>
  <c r="X179" i="59"/>
  <c r="X189" i="59"/>
  <c r="L12" i="109"/>
  <c r="Y79" i="59"/>
  <c r="AT70" i="59" s="1"/>
  <c r="Y199" i="59"/>
  <c r="AT190" i="59" s="1"/>
  <c r="K12" i="109"/>
  <c r="X119" i="59"/>
  <c r="X129" i="59"/>
  <c r="Y139" i="59"/>
  <c r="AT130" i="59" s="1"/>
  <c r="Y159" i="59"/>
  <c r="AT150" i="59" s="1"/>
  <c r="Y149" i="59"/>
  <c r="AT140" i="59" s="1"/>
  <c r="Y169" i="59"/>
  <c r="AT160" i="59" s="1"/>
  <c r="K9" i="109"/>
  <c r="M9" i="109"/>
  <c r="L9" i="109"/>
  <c r="K8" i="79"/>
  <c r="M8" i="79"/>
  <c r="L8" i="79"/>
  <c r="K11" i="79"/>
  <c r="M11" i="79"/>
  <c r="L11" i="79"/>
  <c r="M9" i="79"/>
  <c r="L9" i="79"/>
  <c r="K9" i="79"/>
  <c r="Y89" i="59"/>
  <c r="AT80" i="59" s="1"/>
  <c r="L7" i="79"/>
  <c r="K7" i="79"/>
  <c r="M7" i="79"/>
  <c r="J12" i="79"/>
  <c r="X7" i="79" s="1"/>
  <c r="M10" i="79"/>
  <c r="L10" i="79"/>
  <c r="K10" i="79"/>
  <c r="Y39" i="59"/>
  <c r="AT30" i="59" s="1"/>
  <c r="I10" i="57"/>
  <c r="J9" i="57"/>
  <c r="J8" i="57"/>
  <c r="K78" i="109" l="1"/>
  <c r="Z72" i="109"/>
  <c r="L78" i="109"/>
  <c r="AA72" i="109" s="1"/>
  <c r="M78" i="109"/>
  <c r="K155" i="109"/>
  <c r="L155" i="109"/>
  <c r="AA149" i="109" s="1"/>
  <c r="Z149" i="109"/>
  <c r="M155" i="109"/>
  <c r="K113" i="109"/>
  <c r="L113" i="109"/>
  <c r="AA107" i="109" s="1"/>
  <c r="Z107" i="109"/>
  <c r="M113" i="109"/>
  <c r="L120" i="109"/>
  <c r="AA114" i="109" s="1"/>
  <c r="Z114" i="109"/>
  <c r="M120" i="109"/>
  <c r="K120" i="109"/>
  <c r="K99" i="109"/>
  <c r="Z93" i="109"/>
  <c r="L99" i="109"/>
  <c r="AA93" i="109" s="1"/>
  <c r="M99" i="109"/>
  <c r="L127" i="109"/>
  <c r="AA121" i="109" s="1"/>
  <c r="K127" i="109"/>
  <c r="M127" i="109"/>
  <c r="Z121" i="109"/>
  <c r="M141" i="109"/>
  <c r="Z135" i="109"/>
  <c r="K141" i="109"/>
  <c r="L141" i="109"/>
  <c r="AA135" i="109" s="1"/>
  <c r="M134" i="109"/>
  <c r="K134" i="109"/>
  <c r="Z128" i="109"/>
  <c r="L134" i="109"/>
  <c r="AA128" i="109" s="1"/>
  <c r="K22" i="109"/>
  <c r="L22" i="109"/>
  <c r="AA16" i="109" s="1"/>
  <c r="Z16" i="109"/>
  <c r="M22" i="109"/>
  <c r="K29" i="109"/>
  <c r="L29" i="109"/>
  <c r="AA23" i="109" s="1"/>
  <c r="M29" i="109"/>
  <c r="Z23" i="109"/>
  <c r="L92" i="109"/>
  <c r="AA86" i="109" s="1"/>
  <c r="M92" i="109"/>
  <c r="Z86" i="109"/>
  <c r="K92" i="109"/>
  <c r="L43" i="109"/>
  <c r="AA37" i="109" s="1"/>
  <c r="Z37" i="109"/>
  <c r="K43" i="109"/>
  <c r="M43" i="109"/>
  <c r="L106" i="109"/>
  <c r="AA100" i="109" s="1"/>
  <c r="Z100" i="109"/>
  <c r="M106" i="109"/>
  <c r="K106" i="109"/>
  <c r="Z30" i="109"/>
  <c r="K36" i="109"/>
  <c r="L36" i="109"/>
  <c r="AA30" i="109" s="1"/>
  <c r="M36" i="109"/>
  <c r="K64" i="109"/>
  <c r="Z58" i="109"/>
  <c r="L64" i="109"/>
  <c r="AA58" i="109" s="1"/>
  <c r="M64" i="109"/>
  <c r="Z44" i="109"/>
  <c r="L50" i="109"/>
  <c r="AA44" i="109" s="1"/>
  <c r="M50" i="109"/>
  <c r="K50" i="109"/>
  <c r="M71" i="109"/>
  <c r="K71" i="109"/>
  <c r="L71" i="109"/>
  <c r="AA65" i="109" s="1"/>
  <c r="Z65" i="109"/>
  <c r="M85" i="109"/>
  <c r="Z79" i="109"/>
  <c r="K85" i="109"/>
  <c r="L85" i="109"/>
  <c r="AA79" i="109" s="1"/>
  <c r="Z51" i="109"/>
  <c r="M57" i="109"/>
  <c r="K57" i="109"/>
  <c r="L57" i="109"/>
  <c r="AA51" i="109" s="1"/>
  <c r="Z142" i="109"/>
  <c r="M148" i="109"/>
  <c r="L148" i="109"/>
  <c r="AA142" i="109" s="1"/>
  <c r="K148" i="109"/>
  <c r="Y7" i="79"/>
  <c r="K169" i="74" s="1"/>
  <c r="I169" i="74"/>
  <c r="C48" i="130"/>
  <c r="E11" i="131" s="1"/>
  <c r="C11" i="131"/>
  <c r="D11" i="131" s="1"/>
  <c r="C47" i="130"/>
  <c r="E6" i="128"/>
  <c r="L10" i="109"/>
  <c r="M10" i="109"/>
  <c r="K10" i="109"/>
  <c r="L12" i="79"/>
  <c r="M12" i="79"/>
  <c r="K12" i="79"/>
  <c r="BD11" i="51"/>
  <c r="J7" i="57"/>
  <c r="V7" i="57" s="1"/>
  <c r="H11" i="57"/>
  <c r="I8" i="57"/>
  <c r="I7" i="57"/>
  <c r="I9" i="57"/>
  <c r="K10" i="57"/>
  <c r="L10" i="57"/>
  <c r="M10" i="57"/>
  <c r="D50" i="51"/>
  <c r="BD28" i="51"/>
  <c r="J11" i="57" l="1"/>
  <c r="K11" i="57" s="1"/>
  <c r="I6" i="128"/>
  <c r="I49" i="128" s="1"/>
  <c r="C13" i="129"/>
  <c r="D13" i="129" s="1"/>
  <c r="E49" i="128"/>
  <c r="E48" i="128"/>
  <c r="E13" i="129" s="1"/>
  <c r="E47" i="128"/>
  <c r="F14" i="129"/>
  <c r="K9" i="57"/>
  <c r="L9" i="57"/>
  <c r="M9" i="57"/>
  <c r="M7" i="57"/>
  <c r="K7" i="57"/>
  <c r="L7" i="57"/>
  <c r="L8" i="57"/>
  <c r="K8" i="57"/>
  <c r="M8" i="57"/>
  <c r="BD17" i="51"/>
  <c r="BD19" i="51"/>
  <c r="BD13" i="51"/>
  <c r="BD27" i="51"/>
  <c r="BD29" i="51"/>
  <c r="BD25" i="51"/>
  <c r="BD21" i="51"/>
  <c r="BD23" i="51"/>
  <c r="AT52" i="51"/>
  <c r="AW53" i="51"/>
  <c r="BD15" i="51"/>
  <c r="AS53" i="51"/>
  <c r="AU53" i="51"/>
  <c r="AX52" i="51"/>
  <c r="AZ52" i="51"/>
  <c r="BD10" i="51"/>
  <c r="BD12" i="51"/>
  <c r="BD14" i="51"/>
  <c r="BD16" i="51"/>
  <c r="BD18" i="51"/>
  <c r="BD20" i="51"/>
  <c r="BD22" i="51"/>
  <c r="BD24" i="51"/>
  <c r="BD26" i="51"/>
  <c r="AT51" i="51"/>
  <c r="AX51" i="51"/>
  <c r="AZ51" i="51"/>
  <c r="AS52" i="51"/>
  <c r="AU52" i="51"/>
  <c r="AW52" i="51"/>
  <c r="AT53" i="51"/>
  <c r="AX53" i="51"/>
  <c r="AZ53" i="51"/>
  <c r="AS51" i="51"/>
  <c r="AU51" i="51"/>
  <c r="AW51" i="51"/>
  <c r="M11" i="57" l="1"/>
  <c r="L11" i="57"/>
  <c r="I322" i="74"/>
  <c r="W7" i="57"/>
  <c r="K322" i="74" s="1"/>
  <c r="C17" i="129"/>
  <c r="D17" i="129" s="1"/>
  <c r="I47" i="128"/>
  <c r="I48" i="128"/>
  <c r="E18" i="129" s="1"/>
  <c r="F18" i="129" s="1"/>
  <c r="F13" i="129"/>
  <c r="AV52" i="51"/>
  <c r="AV53" i="51"/>
  <c r="AV51" i="51"/>
  <c r="AV9" i="69"/>
  <c r="BD9" i="69"/>
  <c r="T5" i="108"/>
  <c r="F17" i="129" l="1"/>
  <c r="J13" i="109"/>
  <c r="I13" i="109"/>
  <c r="I14" i="109"/>
  <c r="J14" i="109"/>
  <c r="T4" i="108"/>
  <c r="M322" i="74" s="1"/>
  <c r="W7" i="86" l="1"/>
  <c r="M14" i="109"/>
  <c r="K14" i="109"/>
  <c r="L14" i="109"/>
  <c r="K13" i="109"/>
  <c r="L13" i="109"/>
  <c r="M13" i="109"/>
  <c r="T18" i="86"/>
  <c r="AU7" i="86" s="1"/>
  <c r="R208" i="74" s="1"/>
  <c r="U7" i="86"/>
  <c r="V7" i="86"/>
  <c r="X18" i="86"/>
  <c r="W12" i="86"/>
  <c r="U12" i="86"/>
  <c r="V12" i="86"/>
  <c r="AV7" i="86" l="1"/>
  <c r="T208" i="74" s="1"/>
  <c r="V18" i="86"/>
  <c r="F6" i="130"/>
  <c r="L6" i="130" s="1"/>
  <c r="U18" i="86"/>
  <c r="L49" i="130" l="1"/>
  <c r="L47" i="130"/>
  <c r="L48" i="130"/>
  <c r="F49" i="130"/>
  <c r="F47" i="130"/>
  <c r="F48" i="130"/>
  <c r="E14" i="131" s="1"/>
  <c r="C14" i="131"/>
  <c r="D14" i="131" s="1"/>
  <c r="M6" i="130"/>
  <c r="M44" i="130"/>
  <c r="M43" i="130"/>
  <c r="M45" i="130"/>
  <c r="M41" i="130"/>
  <c r="M42" i="130"/>
  <c r="M36" i="130"/>
  <c r="M40" i="130"/>
  <c r="M29" i="130"/>
  <c r="M39" i="130"/>
  <c r="M37" i="130"/>
  <c r="M31" i="130"/>
  <c r="M38" i="130"/>
  <c r="M28" i="130"/>
  <c r="M34" i="130"/>
  <c r="M33" i="130"/>
  <c r="M32" i="130"/>
  <c r="M30" i="130"/>
  <c r="M35" i="130"/>
  <c r="M27" i="130"/>
  <c r="M13" i="130"/>
  <c r="M22" i="130"/>
  <c r="M9" i="130"/>
  <c r="M14" i="130"/>
  <c r="M17" i="130"/>
  <c r="M8" i="130"/>
  <c r="M23" i="130"/>
  <c r="M16" i="130"/>
  <c r="M20" i="130"/>
  <c r="M25" i="130"/>
  <c r="M7" i="130"/>
  <c r="M12" i="130"/>
  <c r="M11" i="130"/>
  <c r="M15" i="130"/>
  <c r="M18" i="130"/>
  <c r="M24" i="130"/>
  <c r="M10" i="130"/>
  <c r="M19" i="130"/>
  <c r="M21" i="130"/>
  <c r="M26" i="130"/>
  <c r="AY9" i="51"/>
  <c r="AY53" i="51" l="1"/>
  <c r="AL8" i="94"/>
  <c r="AL13" i="94" s="1"/>
  <c r="F14" i="131"/>
  <c r="C21" i="131"/>
  <c r="C22" i="131"/>
  <c r="H11" i="109"/>
  <c r="AY52" i="51"/>
  <c r="BC9" i="51"/>
  <c r="BD9" i="51" s="1"/>
  <c r="AY51" i="51"/>
  <c r="H15" i="109" l="1"/>
  <c r="J11" i="109"/>
  <c r="I15" i="109" s="1"/>
  <c r="I11" i="109"/>
  <c r="L11" i="109" l="1"/>
  <c r="J15" i="109"/>
  <c r="Z9" i="109" s="1"/>
  <c r="I126" i="74" s="1"/>
  <c r="K11" i="109"/>
  <c r="M11" i="109"/>
  <c r="C6" i="128" l="1"/>
  <c r="K15" i="109"/>
  <c r="M15" i="109"/>
  <c r="L15" i="109"/>
  <c r="AA9" i="109" s="1"/>
  <c r="K126" i="74" s="1"/>
  <c r="C11" i="129" l="1"/>
  <c r="D11" i="129" s="1"/>
  <c r="C47" i="128"/>
  <c r="C48" i="128"/>
  <c r="E11" i="129" s="1"/>
  <c r="C49" i="128"/>
  <c r="F11" i="131" l="1"/>
  <c r="F11" i="129"/>
  <c r="K10" i="76" l="1"/>
  <c r="M10" i="76"/>
  <c r="L10" i="76"/>
  <c r="D6" i="128"/>
  <c r="D49" i="128" s="1"/>
  <c r="C12" i="129" l="1"/>
  <c r="D12" i="129" s="1"/>
  <c r="D47" i="128"/>
  <c r="D48" i="128"/>
  <c r="E12" i="129" s="1"/>
  <c r="L6" i="128"/>
  <c r="F12" i="129" l="1"/>
  <c r="M23" i="128"/>
  <c r="M8" i="128"/>
  <c r="M37" i="128"/>
  <c r="M20" i="128"/>
  <c r="M16" i="128"/>
  <c r="M24" i="128"/>
  <c r="L47" i="128"/>
  <c r="L48" i="128"/>
  <c r="M21" i="128"/>
  <c r="M15" i="128"/>
  <c r="M26" i="128"/>
  <c r="M18" i="128"/>
  <c r="M11" i="128"/>
  <c r="M17" i="128"/>
  <c r="M43" i="128"/>
  <c r="M32" i="128"/>
  <c r="M39" i="128"/>
  <c r="M38" i="128"/>
  <c r="M42" i="128"/>
  <c r="M40" i="128"/>
  <c r="M27" i="128"/>
  <c r="M22" i="128"/>
  <c r="M44" i="128"/>
  <c r="M31" i="128"/>
  <c r="M28" i="128"/>
  <c r="M12" i="128"/>
  <c r="M9" i="128"/>
  <c r="C21" i="129"/>
  <c r="M7" i="128"/>
  <c r="L49" i="128"/>
  <c r="M13" i="128"/>
  <c r="M14" i="128"/>
  <c r="M19" i="128"/>
  <c r="M30" i="128"/>
  <c r="M10" i="128"/>
  <c r="M29" i="128"/>
  <c r="M34" i="128"/>
  <c r="M33" i="128"/>
  <c r="M41" i="128"/>
  <c r="M25" i="128"/>
  <c r="M45" i="128"/>
  <c r="M35" i="128"/>
  <c r="M36" i="128"/>
  <c r="M6" i="128"/>
  <c r="C22" i="129" s="1"/>
  <c r="T322" i="74"/>
</calcChain>
</file>

<file path=xl/sharedStrings.xml><?xml version="1.0" encoding="utf-8"?>
<sst xmlns="http://schemas.openxmlformats.org/spreadsheetml/2006/main" count="11714" uniqueCount="1026">
  <si>
    <t>NO</t>
  </si>
  <si>
    <t>NAMA</t>
  </si>
  <si>
    <t>R.TUGAS</t>
  </si>
  <si>
    <t>L/P</t>
  </si>
  <si>
    <t>L</t>
  </si>
  <si>
    <t>P</t>
  </si>
  <si>
    <t>RERATA ( KI-4 )</t>
  </si>
  <si>
    <t>3.2</t>
  </si>
  <si>
    <t>3.4</t>
  </si>
  <si>
    <t>4.3</t>
  </si>
  <si>
    <t>3.3</t>
  </si>
  <si>
    <t>4.4</t>
  </si>
  <si>
    <t>3.1</t>
  </si>
  <si>
    <t>UTS</t>
  </si>
  <si>
    <t>UAS</t>
  </si>
  <si>
    <t>RERATA ( KI-3 )</t>
  </si>
  <si>
    <t>4.5</t>
  </si>
  <si>
    <t>4.9</t>
  </si>
  <si>
    <t>3.5</t>
  </si>
  <si>
    <t>3.9</t>
  </si>
  <si>
    <t>3.7</t>
  </si>
  <si>
    <t>3.14</t>
  </si>
  <si>
    <t>4.14</t>
  </si>
  <si>
    <t>3.13</t>
  </si>
  <si>
    <t>RTH</t>
  </si>
  <si>
    <t>ASPEK KETRAMPILAN ( KI-4 )</t>
  </si>
  <si>
    <t>tema 6</t>
  </si>
  <si>
    <t>PENDIDIKAN AGAMA ISLAM DAN BUDI PEKERTI _ SD KARTIKA IV-7 MALANG</t>
  </si>
  <si>
    <t xml:space="preserve">NAMA </t>
  </si>
  <si>
    <t>PG</t>
  </si>
  <si>
    <t>I</t>
  </si>
  <si>
    <t>U</t>
  </si>
  <si>
    <t>NILAI</t>
  </si>
  <si>
    <t>r.NH</t>
  </si>
  <si>
    <t>KETERANGAN</t>
  </si>
  <si>
    <t>-</t>
  </si>
  <si>
    <t>JAWABAN SALAH</t>
  </si>
  <si>
    <t>NILAI TERTINGGI</t>
  </si>
  <si>
    <t>NILAI TERENDAH</t>
  </si>
  <si>
    <t>RATA - RATA</t>
  </si>
  <si>
    <t>r.tugas</t>
  </si>
  <si>
    <t>DATA NILAI SEMESTER 2</t>
  </si>
  <si>
    <t>tugas</t>
  </si>
  <si>
    <t>ulhar</t>
  </si>
  <si>
    <t>Tema 6</t>
  </si>
  <si>
    <t>Tema 7</t>
  </si>
  <si>
    <t>Tema 8</t>
  </si>
  <si>
    <t>Tema 9</t>
  </si>
  <si>
    <t>Tema 10</t>
  </si>
  <si>
    <t>Ulhar</t>
  </si>
  <si>
    <t>tema 7</t>
  </si>
  <si>
    <t>tema 8</t>
  </si>
  <si>
    <t>tema 9</t>
  </si>
  <si>
    <t>ANALISA HASIL UJIAN AKHIR SEMESTER 2</t>
  </si>
  <si>
    <t>Tahun Pelajaran 2015/2016</t>
  </si>
  <si>
    <t>NIS</t>
  </si>
  <si>
    <t>KD</t>
  </si>
  <si>
    <t>Rt.NH</t>
  </si>
  <si>
    <t>2x NH</t>
  </si>
  <si>
    <t>JML</t>
  </si>
  <si>
    <t>NA</t>
  </si>
  <si>
    <t>NILAI KONVERSI</t>
  </si>
  <si>
    <t>PREDIKAT</t>
  </si>
  <si>
    <t>KLASIFIKASI</t>
  </si>
  <si>
    <t>RT</t>
  </si>
  <si>
    <t>NILAI OPTIMAL ( Raport )</t>
  </si>
  <si>
    <t>DATA SISWA</t>
  </si>
  <si>
    <t>NISN</t>
  </si>
  <si>
    <t>NAMA PESERTA DIDIK</t>
  </si>
  <si>
    <t>TEMPAT LAHIR</t>
  </si>
  <si>
    <t>TANGGAL LAHIR</t>
  </si>
  <si>
    <t>JENIS KELAMIN</t>
  </si>
  <si>
    <t>AGAMA</t>
  </si>
  <si>
    <t>PENDIDIKAN SEBELUMNYA</t>
  </si>
  <si>
    <t>ALAMAT PESERTA DIDIK</t>
  </si>
  <si>
    <t>ORANG TUA</t>
  </si>
  <si>
    <t>WALI PESERTA DIDIK</t>
  </si>
  <si>
    <t>NAMA AYAH</t>
  </si>
  <si>
    <t>NAMA IBU</t>
  </si>
  <si>
    <t>PEKERJAAN AYAH</t>
  </si>
  <si>
    <t>PEKERJAAN IBU</t>
  </si>
  <si>
    <t>ALAMAT ORANG TUA</t>
  </si>
  <si>
    <t>JALAN</t>
  </si>
  <si>
    <t>KECAMATAN</t>
  </si>
  <si>
    <t>KAB./KOTA</t>
  </si>
  <si>
    <t>PROPINSI</t>
  </si>
  <si>
    <t>NAMA WALI</t>
  </si>
  <si>
    <t>PEKERJAAN</t>
  </si>
  <si>
    <t>ALAMAT WALI</t>
  </si>
  <si>
    <t>NOMOR TELEPHON</t>
  </si>
  <si>
    <t>Kota Malang</t>
  </si>
  <si>
    <t>KELURAHAN/  DESA</t>
  </si>
  <si>
    <t>DATA SEKOLAH</t>
  </si>
  <si>
    <t>Nama Sekolah</t>
  </si>
  <si>
    <t>NISN/ NIS/ NDSN</t>
  </si>
  <si>
    <t>Alamat Sekolah</t>
  </si>
  <si>
    <t>Kode Pos</t>
  </si>
  <si>
    <t>Telepon</t>
  </si>
  <si>
    <t>Kelurahan/ Desa</t>
  </si>
  <si>
    <t>Kecamatan</t>
  </si>
  <si>
    <t>Kabupaten/ Kota</t>
  </si>
  <si>
    <t>Provinsi</t>
  </si>
  <si>
    <t>Website</t>
  </si>
  <si>
    <t>Email</t>
  </si>
  <si>
    <t>Nama Kepala Sekolah</t>
  </si>
  <si>
    <t>NIP Kepala Sekolah</t>
  </si>
  <si>
    <t>Nama Wali Kelas</t>
  </si>
  <si>
    <t>NIP Wali Kelas</t>
  </si>
  <si>
    <t>Kelas</t>
  </si>
  <si>
    <t>Semester</t>
  </si>
  <si>
    <t>Tahun Ajaran</t>
  </si>
  <si>
    <t>DATA KEPALA SEKOLAH &amp; GURU KELAS</t>
  </si>
  <si>
    <t>Blimbing</t>
  </si>
  <si>
    <t>Malang</t>
  </si>
  <si>
    <t>Jawa Timur</t>
  </si>
  <si>
    <t>kartika_47@yahoo.com</t>
  </si>
  <si>
    <t>2 ( Dua )</t>
  </si>
  <si>
    <t>2015/ 2016</t>
  </si>
  <si>
    <t xml:space="preserve">No. </t>
  </si>
  <si>
    <t xml:space="preserve">Nama </t>
  </si>
  <si>
    <t>Tinggi</t>
  </si>
  <si>
    <t>Berat Badan</t>
  </si>
  <si>
    <t>Kondisi Kesehatan</t>
  </si>
  <si>
    <t>KEHADIRAN</t>
  </si>
  <si>
    <t>KEGIATAN EKTRAKURIKULER</t>
  </si>
  <si>
    <t>Semester 1</t>
  </si>
  <si>
    <t>Semester 2</t>
  </si>
  <si>
    <t>Pendengaran</t>
  </si>
  <si>
    <t>Penglihatan</t>
  </si>
  <si>
    <t>Gigi</t>
  </si>
  <si>
    <t>Lainnya</t>
  </si>
  <si>
    <t>S</t>
  </si>
  <si>
    <t>A</t>
  </si>
  <si>
    <t>Diniyah</t>
  </si>
  <si>
    <t>Pramuka</t>
  </si>
  <si>
    <t>Tari</t>
  </si>
  <si>
    <t>Komputer</t>
  </si>
  <si>
    <t>Karate</t>
  </si>
  <si>
    <t>DESKRIPSI</t>
  </si>
  <si>
    <t>ASPEK PENGETAHUAN ( KI_3 )</t>
  </si>
  <si>
    <t>rata - rata ulhar per-KD</t>
  </si>
  <si>
    <t>rata-rata tugas per KD</t>
  </si>
  <si>
    <t>nilai ulhar + tugas per KD</t>
  </si>
  <si>
    <t>Pendidikan Agama Islam</t>
  </si>
  <si>
    <t>ASPEK KETRAMPILAN ( negatif )</t>
  </si>
  <si>
    <t>DESKRIPSI KI-3</t>
  </si>
  <si>
    <t>DESKRIPSI KI-4</t>
  </si>
  <si>
    <t>ASPEK PENGETAHUAN ( KI 3_ POSITIF )</t>
  </si>
  <si>
    <t>ASPEK PENGETAHUAN ( KI_3 NEGATIF )</t>
  </si>
  <si>
    <t>capaian raport</t>
  </si>
  <si>
    <t>KOMPKOMPETENSI ASPEK PENGETAHUAN ( KI_3 )</t>
  </si>
  <si>
    <t>KOMPKOMPETENSI ASPEK KETRAMPILAN ( KI_4 )</t>
  </si>
  <si>
    <t>KI-3 DAN KI-4 KELAS : 1 / SBDP</t>
  </si>
  <si>
    <t>Tema 5</t>
  </si>
  <si>
    <t>4.1</t>
  </si>
  <si>
    <t>4.2</t>
  </si>
  <si>
    <t>tema 5</t>
  </si>
  <si>
    <t>T.6</t>
  </si>
  <si>
    <t>NILAI PER-KD UAS</t>
  </si>
  <si>
    <t>rt</t>
  </si>
  <si>
    <t>Rt</t>
  </si>
  <si>
    <t>R.Ulhar</t>
  </si>
  <si>
    <t>( ulhar + tugas ) / 2</t>
  </si>
  <si>
    <t>NH per KD</t>
  </si>
  <si>
    <t>Aspek Pengetahuan</t>
  </si>
  <si>
    <t>Nilai Rapot Pelajaran Pkn</t>
  </si>
  <si>
    <t>Nilai Rapot Pelajaran PKN</t>
  </si>
  <si>
    <t>capaian rapot</t>
  </si>
  <si>
    <t>Pkn</t>
  </si>
  <si>
    <t>DESKRIPSI PKN</t>
  </si>
  <si>
    <t>PELAJARAN PKN</t>
  </si>
  <si>
    <t>PELAJARAN BAHASA INDONESIA</t>
  </si>
  <si>
    <t>Nilai Rapot Pelajaran Bahasa Indonesia</t>
  </si>
  <si>
    <t>DESKRIPSI POSITIF  3/4</t>
  </si>
  <si>
    <t>Deskripsi Positif  KI-3 ( 3/4 )</t>
  </si>
  <si>
    <t>ASPEK KETRAMPILAN ( KI_4 negatif )</t>
  </si>
  <si>
    <t>DESKRIPSI BAHASA INDONESIA</t>
  </si>
  <si>
    <t>DESKRIPSI BAHASA AGAMA</t>
  </si>
  <si>
    <t>Sangat  baik dalam mengenal teks petunjuk/arahan tentang perawatan tubuh serta pemeliharaan kesehatan dan kebugaran tubuh dengan bantuan guru atau teman dalam.  bahasa Indonesia lisan dan tulis yang dapat diisi dengan kosakata bahasa daerah untuk membantu pemahaman.</t>
  </si>
  <si>
    <t>3.6</t>
  </si>
  <si>
    <t>3.8</t>
  </si>
  <si>
    <t>3.10</t>
  </si>
  <si>
    <t>3.11</t>
  </si>
  <si>
    <t>3.12</t>
  </si>
  <si>
    <t>Nilai Rapot Pelajaran Matematika</t>
  </si>
  <si>
    <t>ASPEK PENGETAHUAN ( KI-3 )</t>
  </si>
  <si>
    <t>4.7</t>
  </si>
  <si>
    <t>4.8</t>
  </si>
  <si>
    <t>4.10</t>
  </si>
  <si>
    <t>4.6</t>
  </si>
  <si>
    <t>ANALISA HASIL UAS SEMESTER 2</t>
  </si>
  <si>
    <t>PKN</t>
  </si>
  <si>
    <t>DESKRIPSI BAHASA MATEMATIKA</t>
  </si>
  <si>
    <t>DESKRIPSI MATEMATIKA</t>
  </si>
  <si>
    <t xml:space="preserve">BHS.INDONESIA </t>
  </si>
  <si>
    <t>NILAI TEMA 5</t>
  </si>
  <si>
    <t>PELAJARAN MATEMATIKA</t>
  </si>
  <si>
    <t>MATEMATIKA</t>
  </si>
  <si>
    <t>SBDP</t>
  </si>
  <si>
    <t>Tema 6 PKN</t>
  </si>
  <si>
    <t>u</t>
  </si>
  <si>
    <t>BHS. INDONESIA</t>
  </si>
  <si>
    <t>P J O K</t>
  </si>
  <si>
    <t>ASPEK PENGETAHUAN ( KI-3)</t>
  </si>
  <si>
    <t>Tema 7 PKN</t>
  </si>
  <si>
    <t>Tema 8 PKN</t>
  </si>
  <si>
    <t>PELAJARAN SBDP</t>
  </si>
  <si>
    <t>PELAJARAN PJOK</t>
  </si>
  <si>
    <t>4.11</t>
  </si>
  <si>
    <t>4.15</t>
  </si>
  <si>
    <t>4.17</t>
  </si>
  <si>
    <t>S B D P</t>
  </si>
  <si>
    <t>i</t>
  </si>
  <si>
    <t>tema</t>
  </si>
  <si>
    <t>rata-rata</t>
  </si>
  <si>
    <t>PJOK</t>
  </si>
  <si>
    <t>BASA JAWA</t>
  </si>
  <si>
    <t xml:space="preserve">LAPORAN </t>
  </si>
  <si>
    <t>HASIL CAPAIAN KOMPETENSI PESERTA DIDIK</t>
  </si>
  <si>
    <t>SEKOLAH DASAR</t>
  </si>
  <si>
    <t>Nama Peserta Didik</t>
  </si>
  <si>
    <t>No. Induk / NISN</t>
  </si>
  <si>
    <t>/</t>
  </si>
  <si>
    <t>KEMENTRIAN PENDIDIKAN DAN KEBUDAYAAN</t>
  </si>
  <si>
    <t>REPUBLIK INDONESIA</t>
  </si>
  <si>
    <t>IDENTITAS PESERTA DIDIK</t>
  </si>
  <si>
    <t>1.</t>
  </si>
  <si>
    <t>2.</t>
  </si>
  <si>
    <t>Nomor Induk</t>
  </si>
  <si>
    <t>Tempat, Tanggal lahir</t>
  </si>
  <si>
    <t>Jenis Kelamin</t>
  </si>
  <si>
    <t>Agama</t>
  </si>
  <si>
    <t>Pendidikan Sebelumnya</t>
  </si>
  <si>
    <t xml:space="preserve">Alamat Peserta Didik </t>
  </si>
  <si>
    <t>Nama Orang Tua</t>
  </si>
  <si>
    <t>a. Ayah</t>
  </si>
  <si>
    <t>b. Ibu</t>
  </si>
  <si>
    <t xml:space="preserve">Pekerjaan Orang Tua </t>
  </si>
  <si>
    <t xml:space="preserve">Alamat Orang Tua </t>
  </si>
  <si>
    <t>Jalan</t>
  </si>
  <si>
    <t>Kabupaten/Kota</t>
  </si>
  <si>
    <t>Propinsi</t>
  </si>
  <si>
    <t xml:space="preserve">Wali Peserta Didik </t>
  </si>
  <si>
    <t xml:space="preserve">a. Nama </t>
  </si>
  <si>
    <t>b. Pekerjaan</t>
  </si>
  <si>
    <t>3.</t>
  </si>
  <si>
    <t>4.</t>
  </si>
  <si>
    <t>5.</t>
  </si>
  <si>
    <t>6.</t>
  </si>
  <si>
    <t>7.</t>
  </si>
  <si>
    <t>8.</t>
  </si>
  <si>
    <t>9.</t>
  </si>
  <si>
    <t>10.</t>
  </si>
  <si>
    <t>11.</t>
  </si>
  <si>
    <t>c. Alamat</t>
  </si>
  <si>
    <t>:</t>
  </si>
  <si>
    <t>Batas Halaman   &gt;&gt;&gt;&gt;&gt;&gt;&gt;&gt;&gt;  Batas Halaman   &gt;&gt;&gt;&gt;&gt;&gt;&gt;&gt;&gt;  Batas Halaman   &gt;&gt;&gt;&gt;&gt;&gt;&gt;&gt;&gt;</t>
  </si>
  <si>
    <t>Batas Halaman   &gt;&gt;&gt;&gt;&gt;&gt;&gt;&gt;&gt;  Batas Halaman   &gt;&gt;&gt;&gt;&gt;&gt;&gt;&gt;&gt;  Batas Halaman   &gt;&gt;&gt;&gt;&gt;</t>
  </si>
  <si>
    <t>2522</t>
  </si>
  <si>
    <t>0050973519</t>
  </si>
  <si>
    <t>Laki</t>
  </si>
  <si>
    <t xml:space="preserve">Islam </t>
  </si>
  <si>
    <t>TK</t>
  </si>
  <si>
    <t>Kluweh II/04</t>
  </si>
  <si>
    <t>Mahmud Eri</t>
  </si>
  <si>
    <t>Ika Rahmananing Rahayu</t>
  </si>
  <si>
    <t>Karyawan Swasta</t>
  </si>
  <si>
    <t xml:space="preserve">Karyawan Swasta </t>
  </si>
  <si>
    <t>Bumiayu</t>
  </si>
  <si>
    <t>Kedungkandang</t>
  </si>
  <si>
    <t>0050973518</t>
  </si>
  <si>
    <t xml:space="preserve">Perempuan </t>
  </si>
  <si>
    <t>Kunta Bhaswara VI/1</t>
  </si>
  <si>
    <t>Rudiyanto</t>
  </si>
  <si>
    <t>Kiki Iriyanti</t>
  </si>
  <si>
    <t>Swasta</t>
  </si>
  <si>
    <t>Ibu Rumah Tangga</t>
  </si>
  <si>
    <t>Polehan</t>
  </si>
  <si>
    <t>0050973528</t>
  </si>
  <si>
    <t>LA Sucipto VII B/7</t>
  </si>
  <si>
    <t>Susilo Priyo Utomo</t>
  </si>
  <si>
    <t>Maria Ismawati</t>
  </si>
  <si>
    <t>0044914651</t>
  </si>
  <si>
    <t>4 November 2004</t>
  </si>
  <si>
    <t>Kesatrian E4</t>
  </si>
  <si>
    <t>Jatnomojo</t>
  </si>
  <si>
    <t>Nunuk Siti Asiah</t>
  </si>
  <si>
    <t>Pensiunan</t>
  </si>
  <si>
    <t xml:space="preserve">Kesatrian </t>
  </si>
  <si>
    <t>0050973529</t>
  </si>
  <si>
    <t>Kesatrian E38</t>
  </si>
  <si>
    <t xml:space="preserve">Cahyo Crysdian </t>
  </si>
  <si>
    <t>Rr Ariana Listuhayu Wahyuni</t>
  </si>
  <si>
    <t xml:space="preserve">Swasta </t>
  </si>
  <si>
    <t>0050973524</t>
  </si>
  <si>
    <t>Narotama H-52</t>
  </si>
  <si>
    <t>Sudarmaji</t>
  </si>
  <si>
    <t>Widyanti</t>
  </si>
  <si>
    <t>00580973533</t>
  </si>
  <si>
    <t>Locari 5A</t>
  </si>
  <si>
    <t>Wahyu Edy Laksono</t>
  </si>
  <si>
    <t>Elok Khayumah</t>
  </si>
  <si>
    <t>Sekarpuro</t>
  </si>
  <si>
    <t>Pakis</t>
  </si>
  <si>
    <t>Kabupaten Malang</t>
  </si>
  <si>
    <t>0050973530</t>
  </si>
  <si>
    <t xml:space="preserve">Denpasar </t>
  </si>
  <si>
    <t>Narotama K 96</t>
  </si>
  <si>
    <t>Irman Buchari</t>
  </si>
  <si>
    <t>Farida Yuli Astuti</t>
  </si>
  <si>
    <t>TNI</t>
  </si>
  <si>
    <t>0050973532</t>
  </si>
  <si>
    <t>Hamid Rusdi G-100</t>
  </si>
  <si>
    <t>Djoko Basuki</t>
  </si>
  <si>
    <t>Ida Hernaningsih</t>
  </si>
  <si>
    <t>Wiraswasta</t>
  </si>
  <si>
    <t>Bunulrejo</t>
  </si>
  <si>
    <t>0044914646</t>
  </si>
  <si>
    <t>Narotama Barat 5A</t>
  </si>
  <si>
    <t>Hengky Wijaya</t>
  </si>
  <si>
    <t>Rini Rahayuningtyas</t>
  </si>
  <si>
    <t>0044914650</t>
  </si>
  <si>
    <t xml:space="preserve">Kalimosodo II/14B </t>
  </si>
  <si>
    <t>Lucky Handoyo</t>
  </si>
  <si>
    <t>Sri Handayani</t>
  </si>
  <si>
    <t>0044914645</t>
  </si>
  <si>
    <t xml:space="preserve">Kalimosodo I/16 </t>
  </si>
  <si>
    <t>Rizal Jatnika</t>
  </si>
  <si>
    <t>Lely Oktaviani</t>
  </si>
  <si>
    <t>0050973534</t>
  </si>
  <si>
    <t>Danau Bratan IV Blok G5C/6</t>
  </si>
  <si>
    <t>Mundiarto</t>
  </si>
  <si>
    <t>Yuyun Perbawati</t>
  </si>
  <si>
    <t>Sawojajar</t>
  </si>
  <si>
    <t>0050973517</t>
  </si>
  <si>
    <t>Kesatrian Dalam H 11</t>
  </si>
  <si>
    <t>Oto Wijanarko</t>
  </si>
  <si>
    <t>Wulandari</t>
  </si>
  <si>
    <t>0050973523</t>
  </si>
  <si>
    <t>Ir H Juanda I/23</t>
  </si>
  <si>
    <t>Soleh Gatot</t>
  </si>
  <si>
    <t>Mujiati</t>
  </si>
  <si>
    <t>Jodipan</t>
  </si>
  <si>
    <t>0044914642</t>
  </si>
  <si>
    <t>Sawojajar V/55</t>
  </si>
  <si>
    <t>Dody Wicaksono</t>
  </si>
  <si>
    <t>Sulistyowati</t>
  </si>
  <si>
    <t>0044914644</t>
  </si>
  <si>
    <t>Lesanpuro 2</t>
  </si>
  <si>
    <t>Mastur Kambali</t>
  </si>
  <si>
    <t>Devi Norma Yunita</t>
  </si>
  <si>
    <t>Lesanpuro</t>
  </si>
  <si>
    <t>0047071513</t>
  </si>
  <si>
    <t>Mayjen Sungkono VI</t>
  </si>
  <si>
    <t>Supriyanto</t>
  </si>
  <si>
    <t>Tatik Rahayu</t>
  </si>
  <si>
    <t>Buring</t>
  </si>
  <si>
    <t>0050973531</t>
  </si>
  <si>
    <t>Tangerang</t>
  </si>
  <si>
    <t>Danau Laut Tawar G4/H17</t>
  </si>
  <si>
    <t>Abdurachman Dirgantara Wiwing</t>
  </si>
  <si>
    <t>Herlina Anita Lutters</t>
  </si>
  <si>
    <t>Seniman</t>
  </si>
  <si>
    <t>0050973527</t>
  </si>
  <si>
    <t>Hamid Rusdi Timur V/350</t>
  </si>
  <si>
    <t>Sujatni</t>
  </si>
  <si>
    <t>Lilien Soeprijandari</t>
  </si>
  <si>
    <t>0044914647</t>
  </si>
  <si>
    <t>Medan</t>
  </si>
  <si>
    <t>Perum Griya Telaga Permai H 12</t>
  </si>
  <si>
    <t>Djoko Sungkowo Tri Husodo</t>
  </si>
  <si>
    <t>Ratni Timur Kurniasih</t>
  </si>
  <si>
    <t>Wonokoyo</t>
  </si>
  <si>
    <t>0050973521</t>
  </si>
  <si>
    <t>Hindhu</t>
  </si>
  <si>
    <t>Kesatrian Terusan 1</t>
  </si>
  <si>
    <t xml:space="preserve">Komang Adipta </t>
  </si>
  <si>
    <t>Kadek Budianing</t>
  </si>
  <si>
    <t>0057615812</t>
  </si>
  <si>
    <t>Ki Ageng Gribig</t>
  </si>
  <si>
    <t>Rio Iskandar</t>
  </si>
  <si>
    <t xml:space="preserve">Hafida Nuril Fitria </t>
  </si>
  <si>
    <t>Madyopuro</t>
  </si>
  <si>
    <t>0053157760</t>
  </si>
  <si>
    <t>Hamid Rusdi Timur VI/12</t>
  </si>
  <si>
    <t>Agung Hari Prijadi</t>
  </si>
  <si>
    <t>Rina Wulandari</t>
  </si>
  <si>
    <t>0048561899</t>
  </si>
  <si>
    <t>Jaya Srani 7F/20</t>
  </si>
  <si>
    <t>Tiyok Pristiwantyo</t>
  </si>
  <si>
    <t>Sri Kusdari</t>
  </si>
  <si>
    <t>0042870264</t>
  </si>
  <si>
    <t>S Supriyadi No 37</t>
  </si>
  <si>
    <t>Wahyu Afiludin</t>
  </si>
  <si>
    <t>Sri Susilowati</t>
  </si>
  <si>
    <t>Bandungrejosari</t>
  </si>
  <si>
    <t>Sukun</t>
  </si>
  <si>
    <t>0050973520</t>
  </si>
  <si>
    <t>Raya Ampeldento</t>
  </si>
  <si>
    <t xml:space="preserve">Abdul Rasyid Ridho </t>
  </si>
  <si>
    <t xml:space="preserve">Hana Indriana </t>
  </si>
  <si>
    <t>Ampeldento</t>
  </si>
  <si>
    <t>,</t>
  </si>
  <si>
    <t>Malang, 17 Juli 2015</t>
  </si>
  <si>
    <t>KEPALA SEKOLAH</t>
  </si>
  <si>
    <t>RAPOR DAN PROFIL PESERTA DIDIK</t>
  </si>
  <si>
    <t>NISN/ NIS</t>
  </si>
  <si>
    <t>Semeter</t>
  </si>
  <si>
    <t>Tahun Pelajaran</t>
  </si>
  <si>
    <t>2015/2016</t>
  </si>
  <si>
    <t>A. Kompetensi Sikap</t>
  </si>
  <si>
    <t>Kompetensi Inti</t>
  </si>
  <si>
    <t>Deskripsi</t>
  </si>
  <si>
    <t xml:space="preserve">1. </t>
  </si>
  <si>
    <t>Sikap Spiritual</t>
  </si>
  <si>
    <t>( di isi dengan Kompetensi inti</t>
  </si>
  <si>
    <t>yang sesuai dengan kelasnya )</t>
  </si>
  <si>
    <t>Sikap Sosial</t>
  </si>
  <si>
    <t>B. Kompetensi Pengetahuan dan Ketrampilan</t>
  </si>
  <si>
    <t>No.</t>
  </si>
  <si>
    <t>Muatan Pelajaran</t>
  </si>
  <si>
    <t>Pengetahuan</t>
  </si>
  <si>
    <t>Nilai</t>
  </si>
  <si>
    <t>Predikat</t>
  </si>
  <si>
    <t>Ketrampilan</t>
  </si>
  <si>
    <t>Pendidikan Agama dan Budi Pekerti</t>
  </si>
  <si>
    <t>Halaman</t>
  </si>
  <si>
    <t>Pendidikan Kewarganegaraan</t>
  </si>
  <si>
    <t>Bahasa Indonesia</t>
  </si>
  <si>
    <t>DESKRIPSI GABUNGAN bahasa indonesia</t>
  </si>
  <si>
    <t>Deskripsi Bahasa Indonesia</t>
  </si>
  <si>
    <t>DESKRIPSI GABUNGAN PKN</t>
  </si>
  <si>
    <t>DESKRIPSI GABUNGAN AGAMA</t>
  </si>
  <si>
    <t>ANALISA HASIL UAS MATEMATIKA SEMESTER 2</t>
  </si>
  <si>
    <t>MATEMATIKA  -   TEMA 6</t>
  </si>
  <si>
    <t>nilai</t>
  </si>
  <si>
    <t>LEDGER HASIL UJIAN AKHIR SEMESTER 2</t>
  </si>
  <si>
    <t>KELAS 1</t>
  </si>
  <si>
    <t>AGAMA ISLAMA</t>
  </si>
  <si>
    <t>BAHASA INDONESIA</t>
  </si>
  <si>
    <t>Jawan Salah</t>
  </si>
  <si>
    <t>TEMA 8</t>
  </si>
  <si>
    <t>TEMA 7</t>
  </si>
  <si>
    <t>TEMA 6</t>
  </si>
  <si>
    <t>NILAI TEMA 8</t>
  </si>
  <si>
    <t>ANALISA UAS SEMESTER 2</t>
  </si>
  <si>
    <t>R</t>
  </si>
  <si>
    <t>Tema 7_ SBDP</t>
  </si>
  <si>
    <t>Tema 8_ SBDP</t>
  </si>
  <si>
    <t>DESKRIPSI SBDP</t>
  </si>
  <si>
    <t>DESKRIPSI GABUNGAN SBDP</t>
  </si>
  <si>
    <t>DESKRIPSI BAHASA SBDP</t>
  </si>
  <si>
    <t>DESKRIPSI GABUNGAN MATEMATIKA</t>
  </si>
  <si>
    <t>Halaman.5</t>
  </si>
  <si>
    <t>Matematika</t>
  </si>
  <si>
    <t>Seni Budaya dan Prakarya</t>
  </si>
  <si>
    <t>Halaman 6</t>
  </si>
  <si>
    <t>Bahasa Jawa</t>
  </si>
  <si>
    <t>a.</t>
  </si>
  <si>
    <t>Halaman 4</t>
  </si>
  <si>
    <t>TEMA 6_PJOK</t>
  </si>
  <si>
    <t>Nilai Rapot Pelajaran PAI ( KI-3 )</t>
  </si>
  <si>
    <t>PETUNJUK PENGGUNAAN</t>
  </si>
  <si>
    <t>MEMASUKKAN NILAI</t>
  </si>
  <si>
    <t>Capaian rapot</t>
  </si>
  <si>
    <t>Klas.</t>
  </si>
  <si>
    <t>T.7</t>
  </si>
  <si>
    <t>T.8</t>
  </si>
  <si>
    <t>NO.</t>
  </si>
  <si>
    <t>Kegiatan Ekstrakurikuler</t>
  </si>
  <si>
    <t>Keterangan</t>
  </si>
  <si>
    <t>C. Ekstra Kurikuler</t>
  </si>
  <si>
    <t>D. Saran - saran</t>
  </si>
  <si>
    <t>SARAN - SARAN</t>
  </si>
  <si>
    <t>SARAN 1</t>
  </si>
  <si>
    <t>E. Tinggi dan Berat Badan</t>
  </si>
  <si>
    <t>No</t>
  </si>
  <si>
    <t>Aspek Yang Dinilai</t>
  </si>
  <si>
    <t>F. Kondisi Kesehatan</t>
  </si>
  <si>
    <t>Baik</t>
  </si>
  <si>
    <t>Berlubang</t>
  </si>
  <si>
    <t>G. Prestasi</t>
  </si>
  <si>
    <t>Jenis Prestas</t>
  </si>
  <si>
    <t>PRESTASI SEKOLAH</t>
  </si>
  <si>
    <t>JENIS PERESTASI</t>
  </si>
  <si>
    <t xml:space="preserve">Renang </t>
  </si>
  <si>
    <t>Atletik</t>
  </si>
  <si>
    <t>Catur</t>
  </si>
  <si>
    <t>Juara 2 Porda Renang Tingkat Jatim</t>
  </si>
  <si>
    <t>Juara 3 Catur O2SN Kota Malang</t>
  </si>
  <si>
    <t>Juara Marathon O2SN Kota</t>
  </si>
  <si>
    <t>Juara 2 Kata Kota Malang</t>
  </si>
  <si>
    <t>Sakit</t>
  </si>
  <si>
    <t>Ijin</t>
  </si>
  <si>
    <t>Tanpa Keterangan</t>
  </si>
  <si>
    <t>Mengetahui</t>
  </si>
  <si>
    <t>Orang Tua/ Wali Murid</t>
  </si>
  <si>
    <t>................................................</t>
  </si>
  <si>
    <t>Malang, ...........................</t>
  </si>
  <si>
    <t>NIP.</t>
  </si>
  <si>
    <t>Mengetahui,</t>
  </si>
  <si>
    <t>Kepala Sekolah</t>
  </si>
  <si>
    <t>Wali Kelas,</t>
  </si>
  <si>
    <t>Halaman 7</t>
  </si>
  <si>
    <t>Halaman 8</t>
  </si>
  <si>
    <t>Halaman 9</t>
  </si>
  <si>
    <t>Halaman 10</t>
  </si>
  <si>
    <t>T.9</t>
  </si>
  <si>
    <t>Nilai Rapot Pelajaran PJOK ( KI-4 )</t>
  </si>
  <si>
    <t>Pr.</t>
  </si>
  <si>
    <t>KETERANGAN PINDAH SEKOLAH</t>
  </si>
  <si>
    <t xml:space="preserve">Nama Peserta Didik : </t>
  </si>
  <si>
    <t>KELUAR</t>
  </si>
  <si>
    <t>Tanggal</t>
  </si>
  <si>
    <t>Kelas yang ditinggalkan</t>
  </si>
  <si>
    <t>Tanda Tangan Kepala Sekolah, Stempel Sekolah dan Tanda Tangan Orang Tua/ Wali</t>
  </si>
  <si>
    <t>Malang, __________</t>
  </si>
  <si>
    <t>Orang Tua/ Wali</t>
  </si>
  <si>
    <t>___________________</t>
  </si>
  <si>
    <t>Sebab - sebab keluar atau atas permintaan  ( Tertulis )</t>
  </si>
  <si>
    <t>MASUK</t>
  </si>
  <si>
    <t>Masuk di Sekolah ini:</t>
  </si>
  <si>
    <t>a. Tanggal</t>
  </si>
  <si>
    <t>b. Di Kelas</t>
  </si>
  <si>
    <t>Malang, ............</t>
  </si>
  <si>
    <t>DESKRIPSI PJOK</t>
  </si>
  <si>
    <t>DESKRIPSI GABUNGAN PJOK</t>
  </si>
  <si>
    <t>REKAP NILAI UAS ( KI_3 )</t>
  </si>
  <si>
    <t>Aspek Pengamatan</t>
  </si>
  <si>
    <t>Sikap Spiritual yang diamati:</t>
  </si>
  <si>
    <t>Aspek 1</t>
  </si>
  <si>
    <t>Aspek 2</t>
  </si>
  <si>
    <t>Aspek 3</t>
  </si>
  <si>
    <t>Aspek 4</t>
  </si>
  <si>
    <t>Aspek 6</t>
  </si>
  <si>
    <t>Nama</t>
  </si>
  <si>
    <t>MUATAN PELAJARAN</t>
  </si>
  <si>
    <t>BHS.IND</t>
  </si>
  <si>
    <t>MAT</t>
  </si>
  <si>
    <t>B.JAWA</t>
  </si>
  <si>
    <t>MAX</t>
  </si>
  <si>
    <t>MIN</t>
  </si>
  <si>
    <t>REKAP ASPEK PENGETAHUAN ( KI-3 )</t>
  </si>
  <si>
    <t>SD KARTIKA IV-7</t>
  </si>
  <si>
    <t>Jl. Kesatrian No. 1A Malang</t>
  </si>
  <si>
    <t>No.absen</t>
  </si>
  <si>
    <t>Semester : 2</t>
  </si>
  <si>
    <t>Nama Siswa</t>
  </si>
  <si>
    <t xml:space="preserve">MAPEL </t>
  </si>
  <si>
    <t>SELISIH</t>
  </si>
  <si>
    <t xml:space="preserve">AGAMA </t>
  </si>
  <si>
    <t>BI</t>
  </si>
  <si>
    <t>RANKING</t>
  </si>
  <si>
    <t xml:space="preserve">Grafik Siswa </t>
  </si>
  <si>
    <t>Malang, 13 Juni 2015</t>
  </si>
  <si>
    <t>Wali Kelas</t>
  </si>
  <si>
    <t>Tanda Tangan</t>
  </si>
  <si>
    <t>Saran :</t>
  </si>
  <si>
    <t>REKAPITULASI NILAI SISWA UNTUK ASPEK PENGETAHUAN (KI-3)</t>
  </si>
  <si>
    <t>Kesehatan Gigi</t>
  </si>
  <si>
    <t>REKAP ASPEK KETRAMPILAN ( KI-4 )</t>
  </si>
  <si>
    <t>REKAPITULASI NILAI SISWA UNTUK ASPEK KETRAMPILAN ( KI-4 )</t>
  </si>
  <si>
    <t>kelas : 4</t>
  </si>
  <si>
    <t>KI-3 DAN KI-4 KELAS : 4 ---- PKN</t>
  </si>
  <si>
    <t>PKN_tema 6</t>
  </si>
  <si>
    <r>
      <t xml:space="preserve">KI-3 DAN KI-4 KELAS : 4 / </t>
    </r>
    <r>
      <rPr>
        <b/>
        <sz val="12"/>
        <color theme="1"/>
        <rFont val="Tahoma"/>
        <family val="2"/>
      </rPr>
      <t>BAHASA INDONESIA</t>
    </r>
  </si>
  <si>
    <t>3.15</t>
  </si>
  <si>
    <t>3.16</t>
  </si>
  <si>
    <t>kelas : 3</t>
  </si>
  <si>
    <t>4.12</t>
  </si>
  <si>
    <t>t.9</t>
  </si>
  <si>
    <t>KI-3 DAN KI-4 KELAS : 4 / MATEMATIKA</t>
  </si>
  <si>
    <t>3.7  ;  3.10</t>
  </si>
  <si>
    <t>KI-3 DAN KI-4 KELAS : 1 / IPA</t>
  </si>
  <si>
    <t>KI-3 DAN KI-4 KELAS : 1 / IPS</t>
  </si>
  <si>
    <t>3.5  ;  3.7</t>
  </si>
  <si>
    <t>Tema 7_ IPA</t>
  </si>
  <si>
    <t>Tema 6_IPS</t>
  </si>
  <si>
    <t>Tema 7 _ IPS</t>
  </si>
  <si>
    <t>Tema 8 - IPS</t>
  </si>
  <si>
    <t>Tema 9 - IPS</t>
  </si>
  <si>
    <t>3.3 , 3.4 , 3.5</t>
  </si>
  <si>
    <t>3.3 ; 3.5</t>
  </si>
  <si>
    <t>3.1, 3.2, 3.4</t>
  </si>
  <si>
    <t>3.2 , 3.4</t>
  </si>
  <si>
    <t>3.2  , 3.3  , 3.4</t>
  </si>
  <si>
    <t>3.2 , 3.3,  3.6</t>
  </si>
  <si>
    <t>3.4 , 3.5</t>
  </si>
  <si>
    <t>3.4 , 3.6</t>
  </si>
  <si>
    <t>3.3 , 3.4</t>
  </si>
  <si>
    <t>Tema 6 _ SBDP</t>
  </si>
  <si>
    <t>Tema 9_ SBDP</t>
  </si>
  <si>
    <t>KI-3 DAN KI-4 KELAS : 4 / PJOK</t>
  </si>
  <si>
    <t>Nilai Rapot Pelajaran PJOK ( KI-3 )</t>
  </si>
  <si>
    <t>IPA</t>
  </si>
  <si>
    <t>IPS</t>
  </si>
  <si>
    <t>Kelas : 4</t>
  </si>
  <si>
    <t>4 ( empat )</t>
  </si>
  <si>
    <t>P.6</t>
  </si>
  <si>
    <t>P.7</t>
  </si>
  <si>
    <t>P.8</t>
  </si>
  <si>
    <t>P.9</t>
  </si>
  <si>
    <t>P.10</t>
  </si>
  <si>
    <t>4.6.1</t>
  </si>
  <si>
    <t>4.6.2</t>
  </si>
  <si>
    <t>4.6.3</t>
  </si>
  <si>
    <t>4.5.1</t>
  </si>
  <si>
    <t>4.5.2</t>
  </si>
  <si>
    <t>KI-3 DAN KI-4 KELAS :41 / AGAMA</t>
  </si>
  <si>
    <t>TA. 2015/2016 + KELAS : 4</t>
  </si>
  <si>
    <t>KI-3 DAN KI-4 KELAS : 2 / BAHASA JAWA</t>
  </si>
  <si>
    <t>Nilai Rapot Pelajaran Bahasa Jawa ( KI-4 )</t>
  </si>
  <si>
    <t>AGM</t>
  </si>
  <si>
    <t>BD</t>
  </si>
  <si>
    <t>RG</t>
  </si>
  <si>
    <t>Kelas 4</t>
  </si>
  <si>
    <t>ipa</t>
  </si>
  <si>
    <t>ips</t>
  </si>
  <si>
    <t>Mempraktikkan kombinasi pola gerak dasar lokomotor untuk untuk membentuk gerakan dasar atletik jalan cepat atau lari yang dilandasi konsep gerak melalui permainan dan atau olahraga tradisional.</t>
  </si>
  <si>
    <t>DESKRIPSI AGAMA</t>
  </si>
  <si>
    <t>DESKRIPSI IPA</t>
  </si>
  <si>
    <t>DESKRIPSI IPS</t>
  </si>
  <si>
    <t xml:space="preserve">Sangat Baik dalam Memahami hak dan kewajiban sebagai warga dalam kehidupan sehari-hari di rumah, sekolah dan masyarakat. </t>
  </si>
  <si>
    <t xml:space="preserve">Sangat Baik dalam Memahami manfaat keberagaman karakteristik individu di rumah, sekolah dan masyarakat. </t>
  </si>
  <si>
    <t xml:space="preserve">Sangat  baik dalam Menggali informasi dari teks wawancara tentang jenis-jenis usaha dan pekerjaan serta kegiatan ekonomi dan koperasi dengan bantuan guru dan teman dalam bahasa Indonesia lisan dan tulis dengan memilih dan memilah kosakata baku. </t>
  </si>
  <si>
    <t xml:space="preserve">Sangat  baik dalam Menggali informasi dari teks cerita petualangan tentang lingkungan dan sumber daya alam dengan bantuan guru dan teman dalam bahasa Indonesia lisan dan tulis dengan memilih dan memilah kosakata baku. </t>
  </si>
  <si>
    <t xml:space="preserve">Sangat  baik dalam Menggali informasi dari teks ulasan buku tentang nilai peninggalan sejarah dan perkembangan Hindu-Budha di Indonesia dengan bantuan guru dan teman dalam bahasa Indonesia lisan dan tulis dengan memilih dan memilah kosakata baku. </t>
  </si>
  <si>
    <t xml:space="preserve">Sangat baik dalam Memahami aturan pembulatan dalam membaca hasil pengukuran dengan alat ukur. </t>
  </si>
  <si>
    <t xml:space="preserve">Sangat baik dalam Menentukan kelipatan persekutuan dua buah bilangan dan menentukan kelipatan persekutuan terkecil (KPK). </t>
  </si>
  <si>
    <t xml:space="preserve">Sangat baik dalam Memahami luas segitiga, persegi panjang, dan persegi. </t>
  </si>
  <si>
    <t xml:space="preserve">Sangat baik dalam Menentukan hubungan antara satuan dan atribut pengukuran termasuk luas dan keliling persegi panjang. </t>
  </si>
  <si>
    <t xml:space="preserve">Sangat baik dalam menunjukkan pemahaman persamaan antara sepasang, ekspresi menggunakan penam bahan, pengurangan, dan perkalian. </t>
  </si>
  <si>
    <t xml:space="preserve">Sangat baik dalam Menentukan nilai terkecil dan terbesar dari hasil pengukuran panjang atau berat berdasarkan pembulatan yang disajikan dalam bentuk tabel sederhana. </t>
  </si>
  <si>
    <t>Sangat baik dalam Memahami konsep variasi dan kombinasi pola gerak dasar lokomotor, non-lokomotor,dan manipulatif dalam permainan dan atau olahraga tradisional bola kecil.</t>
  </si>
  <si>
    <t>Sangat baik dalam Memahami konsep variasi dan kombinasi pola gerak dasar lokomotor, non-lokomotor untuk membentuk gerakan dasar atletik jalan cepat atau lari dan atau olahraga tradisional.</t>
  </si>
  <si>
    <t>Sangat baik dalam Memahami konsep berbagai aktivitas kebugaran jasmani untuk mencapai tinggi dan berat badan ideal.</t>
  </si>
  <si>
    <t>Sangat baik dalam Mengetahui konsep kombinasi gerak dasar langkah dan ayunan lengan bertema budaya daerah mengikuti irama (ketukan) tanpa / dengan musik dalam aktivitas gerak ritmik.</t>
  </si>
  <si>
    <t>PELAJARAN ipa</t>
  </si>
  <si>
    <t>PELAJARAN ips</t>
  </si>
  <si>
    <t>DESKRIPSI BAHASA bhs jawa</t>
  </si>
  <si>
    <t xml:space="preserve">Sangat baik dalam Mengerti makna iman kepada malaikat-malaikat Allah berdasarkan pengamatan terhadap dirinya dan alam sekitar. </t>
  </si>
  <si>
    <t>Sangat baik dalam Memahami makna ibadah salat</t>
  </si>
  <si>
    <t xml:space="preserve">Sangat baik dalam Mengetahui Q.S. al-Falaq, al-Ma‘µn dan al-Fiil dengan baik dan benar. </t>
  </si>
  <si>
    <t xml:space="preserve">Sangat baik dalam Memahami sikap rendah hati sebagai implementasidari pemahaman Q.S. al-Isra’/17:37. </t>
  </si>
  <si>
    <t>Sangat baik dalam Memahami perilaku hemat sebagai implementasi dari pemahaman Q.S. al-Isra’/17:27</t>
  </si>
  <si>
    <t xml:space="preserve">Sangat baik Mengetahui kisah keteladan Nabi Ayyūb a.s. </t>
  </si>
  <si>
    <t xml:space="preserve">Sangat baik dalam Melakukan pengamatan diri dan alam sekitar sebagai implementasi makna iman kepada malaikat-malaikat Allah. </t>
  </si>
  <si>
    <t xml:space="preserve">Sangat baik dalam Memberikan contoh-contoh makna ibadah salat. </t>
  </si>
  <si>
    <t xml:space="preserve">Sangat baik dalam Menceritakan pengalaman melaksanakan £alat di rumah dan masjid lingkungan sekitar rumah. </t>
  </si>
  <si>
    <t xml:space="preserve">Sangat baik dalam Membaca Q.S. al-Falaq, al-Ma’µn dan al-Fiil dengan tartil. </t>
  </si>
  <si>
    <t xml:space="preserve">Sangat baik dalam Menulis kalimat-kalimat dalam Q.S. al-Falaq, al-Ma‘un dan al-Fiil dengan benar. </t>
  </si>
  <si>
    <t xml:space="preserve">Sangat baik dalam Menunjukkan hafalan Q.S. al-Falaq, al-Ma‘µn dan al-Fiil dengan lancar. </t>
  </si>
  <si>
    <t xml:space="preserve">Sangat baik dalam Mencontohkan sikap rendah hati sebagai implementasi dari pemahaman al-Isra’/17:37. </t>
  </si>
  <si>
    <t xml:space="preserve">Sangat baik dalam Mencontohkan perilaku hemat sebagai implementasi dari pemahaman al-Isra’/17:27. </t>
  </si>
  <si>
    <t xml:space="preserve">Sangat baik dalam Menceritakan kisah keteladanan Wali Songo. </t>
  </si>
  <si>
    <t xml:space="preserve">Sangat baik dalam Mengamati dan menceritakan perilaku di sekitar rumah dan sekolah dari sudut pandang kelima simbol Pancasila sebagai satu kesatuan yang utuh. </t>
  </si>
  <si>
    <t xml:space="preserve">Sangat baik dalam Bekerjasama dengan teman dalam keberagaman di lingkungan rumah, sekolah, dan masyarakat. </t>
  </si>
  <si>
    <t xml:space="preserve">Sangat baik dalam Mengemukakan kembali dengan kalimat sendiri menyatakan kalimat matematika dan memecahkan masalah dengan efektif permasalahan yang berkaitan dengan KPK dan FPB, satuan kuantitas, desimal dan persen terkait dengan aktivitas sehari-hari di rumah, sekolah, atau tempat bermain serta memeriksa kebenarannya. </t>
  </si>
  <si>
    <t xml:space="preserve">Sangat baik dalam Melakukan pengubinan menggunakan segi banyak beraturan tertentu. </t>
  </si>
  <si>
    <t xml:space="preserve">Sangat baik dalam Membentuk jaring-jaring bangun ruang yang berbeda dengan jaring bangun ruang yang sudah ada. </t>
  </si>
  <si>
    <t xml:space="preserve">Sangat baik dalam  Membuat benda-benda berdasarkan jaring-jaring bangun ruang yang ditemukan dengan memanfaatkan barang-barang bekas yang ada di sekitar rumah, sekolah atau tempat bermain. </t>
  </si>
  <si>
    <t xml:space="preserve">Sangat baik dalam Menyatakan kesimpulan berdasarkan data tabel atau grafik. </t>
  </si>
  <si>
    <t xml:space="preserve">Sangat baik dalam  Membuat peta posisi suatu tempat/benda tanpa menggunakan skala dengan memperhatikan arah mata angin. </t>
  </si>
  <si>
    <t xml:space="preserve">Sangat baik dalam Mengumpulkan dan menata data diskrit dan menampilkan data menggunakan bagan dan grafik termasuk grafik batang ganda, diagram garis, dan diagram lingkaran. </t>
  </si>
  <si>
    <t xml:space="preserve">Sangat baik dalam Mengembangkan, dan membuat berbagai pola numerik dan geometric. </t>
  </si>
  <si>
    <t xml:space="preserve">Sangat baik dalam  Mengurai dan menyusun kembali jaring-jaring bangun ruang sederhana. </t>
  </si>
  <si>
    <t xml:space="preserve">Sangat baik dalam Mengidentifikasi dan mendeskripsikan lokasi objek menggunakan peta grid dan melalui percerminan. </t>
  </si>
  <si>
    <t xml:space="preserve">Sangat baik dalam Menyajikan laporan tentang sumberdaya alam dan pemanfaatannya oleh masyarakat. </t>
  </si>
  <si>
    <t xml:space="preserve">Ssngat baik dalam Menyajikan laporan tentang sumberdaya alam dan pemanfaatannya oleh masyarakat. </t>
  </si>
  <si>
    <t xml:space="preserve">Sangat baik dalam Menyajikan laporan hasil pengamatan tentang teknologi yang digunakan di kehidupan sehari-hari serta kemudahan yang diperoleh oleh masyarakat dengan memanfaatkan teknologi tersebut. </t>
  </si>
  <si>
    <t xml:space="preserve">Sangat baik dalam Menceritakankan tentang hasil bacaan mengenai pengertian ruang, konektivitas antar ruang, perubahan, dan keberlanjutan dalam waktu, sosial, ekonomi, dan pendidikan dalam lingkup masyarakat di sekitarnya. </t>
  </si>
  <si>
    <t xml:space="preserve">Sangat baik dalam Mendeskripsikan kehidupan manusia dalam kelembagaan sosial, pendidikan, ekonomi, dan budaya. di masyarakat sekitar. </t>
  </si>
  <si>
    <t xml:space="preserve">Sangat baik dalam Menceritakan manusia dalam dinamika interaksi dengan lingkungan alam, sosial, budaya, dan ekonomi. </t>
  </si>
  <si>
    <t xml:space="preserve">Sangat baik dalam Membuat karya seni kolase dengan berbagai bahan di lingkungan sekitar. </t>
  </si>
  <si>
    <t xml:space="preserve">Sangat baik dalam Membentuk karya seni tiga dimensi dari bahan alam. </t>
  </si>
  <si>
    <t xml:space="preserve">Sangat baik dalam Menyanyikan lagu dengan gerak tangan dan badan sesuai dengan tinggi rendah nada. </t>
  </si>
  <si>
    <t xml:space="preserve">Sangat baik dalam Menyanyikan solmisasi lagu wajib dan lagu daerah yang harus dikenal. </t>
  </si>
  <si>
    <t xml:space="preserve">Sangat baik dalam Membuat karya kerajinan asesoris dengan berbagai bahan dan teknik. </t>
  </si>
  <si>
    <t xml:space="preserve">Sangat baik dalam Mempraktikkan kombinasi pola gerak dasar lokomotor untuk untuk membentuk gerakan dasar atletik jalan cepat atau lari yang dilandasi konsep gerak melalui permainan dan atau olahraga tradisional. </t>
  </si>
  <si>
    <t xml:space="preserve">Sangat baik dalam Mempraktikkan berbagai aktivitas kebugaran jasmaniuntuk mencapai tinggi dan berat badan ideal. </t>
  </si>
  <si>
    <t xml:space="preserve">Sangat baik dalam  Mempraktikkan  kombinasi pola gerak dasar dominan statis dan dinamis untuk membentuk keterampilan/teknik dasar senam (seperti handstand, kayang,meroda,dsb). </t>
  </si>
  <si>
    <t xml:space="preserve">Sangat baik dalam Mempraktikkan gerak dasar langkah dan ayunan lengan bertema budaya daerah mengikuti irama (ketukan) tanpa / dengan musik dalam aktivitas gerak ritmik. </t>
  </si>
  <si>
    <t>Tema 9 PKN</t>
  </si>
  <si>
    <t>3.2  ; 3.3</t>
  </si>
  <si>
    <t>NILAI TEMA 6</t>
  </si>
  <si>
    <t>TEMA 9</t>
  </si>
  <si>
    <t>3.4 ; 3.5</t>
  </si>
  <si>
    <t>3.1 ; 3.2 ; 3.3 ; 3.4</t>
  </si>
  <si>
    <t>MATEMATIKA  -   TEMA 7</t>
  </si>
  <si>
    <t>Tema : 8</t>
  </si>
  <si>
    <t>MATEMATIKA  -   TEMA 9</t>
  </si>
  <si>
    <t>Tema 8_ IPA</t>
  </si>
  <si>
    <t>Tema 9_IPA</t>
  </si>
  <si>
    <t>3.1, 3.2 , 3.3,3.4</t>
  </si>
  <si>
    <t>3.9 ; 3.10 , 3.11, 3.15</t>
  </si>
  <si>
    <t>Bbahasa jawa _ SD KARTIKA IV-7 MALANG</t>
  </si>
  <si>
    <t>DESKRIPSI ipa</t>
  </si>
  <si>
    <t>ASPEK KETRAMPILAN ( KI-4 positif )</t>
  </si>
  <si>
    <t>DESKRIPSI GABUNGAN IPS</t>
  </si>
  <si>
    <t xml:space="preserve">Sangat baik dalam Menggambar berdasarkan tema. </t>
  </si>
  <si>
    <t>DESKRIPSI  PJOK</t>
  </si>
  <si>
    <t>PELAJARAN BHS JAWA</t>
  </si>
  <si>
    <t xml:space="preserve">Sangat baik dalam Mengenal dan memahami teks tembang dolanan. </t>
  </si>
  <si>
    <t xml:space="preserve">Sangat baik dalam Mengenal dan memahami sandhangan aksara Jawa. </t>
  </si>
  <si>
    <t xml:space="preserve">Sangat baik dalam Mengenal, memahami, dan mengidentifikasi kata berimbuhandalam teks sesuai kaidah. </t>
  </si>
  <si>
    <t>DESKRIPSI MULOK ( + )</t>
  </si>
  <si>
    <t>DESKRIPSI  MULOK</t>
  </si>
  <si>
    <t>DESKRIPSI GABUNGAN MULOK</t>
  </si>
  <si>
    <t xml:space="preserve">Sangat baik dalam Melagukan dan mengapresiasi tembang dolanan.  </t>
  </si>
  <si>
    <t xml:space="preserve">Sangat baik dalam Menulis kalimat dengan huruf  Latin dan huruf  Jawa menggunakan sandhangan aksara Jawa. </t>
  </si>
  <si>
    <t>DESKRIPSI GABUNGAN IPA</t>
  </si>
  <si>
    <t xml:space="preserve">Sangat baik dalam Melaksanakan kewajiban sebagai warga di lingkungan rumah, sekolah dan masyarakat. </t>
  </si>
  <si>
    <t xml:space="preserve">Sangat baik dalam Mengelompokkan kesamaan identitas suku bangsa (pakaian tradisional, bahasa, rumah adat, makanan khas, dan upacara adat), sosial ekonomi (jenis pekerjaan orang tua) di lingkungan rumah, sekolah dan masyarakat sekitar. </t>
  </si>
  <si>
    <t>Ilmu Pengetahuan Alam</t>
  </si>
  <si>
    <t xml:space="preserve">Sangat baik dalam Menceritakan manusia dalam hubungannya dengan lingkungan geografis tempat tinggalnya. </t>
  </si>
  <si>
    <t>Ilmu Pengetahuan Sosial</t>
  </si>
  <si>
    <t>Pendidikan Jasmani dan Olah Raga</t>
  </si>
  <si>
    <t>H. KETIDAKHADIRAN</t>
  </si>
  <si>
    <t>PENILAIAN SIKAP SOSIAL SISWA</t>
  </si>
  <si>
    <t>KELAS : 4</t>
  </si>
  <si>
    <t>PENILAIAN SIKAP SPIRITUAL</t>
  </si>
  <si>
    <t>Sangat baik dalam Mengenal karya dua dan tiga dimensi berdasarkan pengamatan.</t>
  </si>
  <si>
    <t>9. Muatan Lokal</t>
  </si>
  <si>
    <t>Halaman 11</t>
  </si>
  <si>
    <t>Sangat baik dalam melaksanakan kewajiban sebagai warga di lingkungan rumah, sekolah dan masyarakat</t>
  </si>
  <si>
    <t>Keputusan :</t>
  </si>
  <si>
    <t>Naik ke kelas .............   ( ........................... )</t>
  </si>
  <si>
    <t>tinggal di kelas ..................  ( ................... )</t>
  </si>
  <si>
    <t>Malang,  13 Juni 2015</t>
  </si>
  <si>
    <t>Kepala SD Kartika IV-7 Malang</t>
  </si>
  <si>
    <t>Deskripsi Negatif ( 2/3 )</t>
  </si>
  <si>
    <t>Deskripsi Positif ( 3/4 )</t>
  </si>
  <si>
    <t>Deskripsi Negatif  KI-4 (2/3 )</t>
  </si>
  <si>
    <t>Deskripsi Positif  KI-4 ( 3/4 )</t>
  </si>
  <si>
    <t>Deskripsi Negatif ( 2/3)</t>
  </si>
  <si>
    <t>Deskripsi Positif (3/4)</t>
  </si>
  <si>
    <t>deskripsi negatif (2/3)</t>
  </si>
  <si>
    <t>Nilai Rapot Pelajaran Bahasa Indonesia ( ki-4)</t>
  </si>
  <si>
    <t>Deskripsi Positif  ( 3/4 )</t>
  </si>
  <si>
    <t>ASPEK KETRAMPILAN ( KI-4)</t>
  </si>
  <si>
    <t>ASPEK KETRAMPILAN/ KI-4</t>
  </si>
  <si>
    <t>ASPEK KETRAMPILAN ( negatif )/ KI-4</t>
  </si>
  <si>
    <t>Achmad Zacky</t>
  </si>
  <si>
    <t>Angelia Vabel R</t>
  </si>
  <si>
    <t>Anggun Dwi P.I</t>
  </si>
  <si>
    <t>Antonio Permata A</t>
  </si>
  <si>
    <t>Arya Pratama G</t>
  </si>
  <si>
    <t>Asyam Hanif Ihsan H</t>
  </si>
  <si>
    <t>Athaya Salsabilla Z</t>
  </si>
  <si>
    <t>Aulia Dea Rosalinda</t>
  </si>
  <si>
    <t>Claudia Gabriella L</t>
  </si>
  <si>
    <t xml:space="preserve">Deco Badarus Zaman </t>
  </si>
  <si>
    <t>Fania Mutiara Felichia</t>
  </si>
  <si>
    <t>Intan Dyah Nowari</t>
  </si>
  <si>
    <t>Misyanita Nurfitri S</t>
  </si>
  <si>
    <t>Moch Zidane Hita L. U</t>
  </si>
  <si>
    <t>Muhammad Ibra Maulana</t>
  </si>
  <si>
    <t>Nabilla Shiva Putri</t>
  </si>
  <si>
    <t>Naufal Falih F</t>
  </si>
  <si>
    <t>Nayla Annora Nobel W</t>
  </si>
  <si>
    <t>Raihan Danang P</t>
  </si>
  <si>
    <t>Roby Ardiyansyah</t>
  </si>
  <si>
    <t>Rojalingga Prana A</t>
  </si>
  <si>
    <t>Sally Savista A</t>
  </si>
  <si>
    <t xml:space="preserve">Tania Kaori Angelita </t>
  </si>
  <si>
    <t>Romzy Oka Ramadhani P</t>
  </si>
  <si>
    <t>Larasati Jagadhita P</t>
  </si>
  <si>
    <t>Meliana Citra A</t>
  </si>
  <si>
    <t>Mohammad Rizky</t>
  </si>
  <si>
    <t xml:space="preserve">Sangat baik dalam Mendeskripsikan siklus air dan dampaknya pada peristiwa di bumi serta kelangsungan mahluk hidup. </t>
  </si>
  <si>
    <t xml:space="preserve">Sangat baik dalam Mengenal sistem pernafasan hewan dan manusia serta penyakit yang berkaitan dengan pernafasan. </t>
  </si>
  <si>
    <t xml:space="preserve">Sangat baik dalam Memahami Memahami manusia dalam hubungannya dengan kondisi geografis di sekitarnya. </t>
  </si>
  <si>
    <t xml:space="preserve">Sangat baik dalam Memahami Memahami kehidupan manusia dalam kelembagaan sosial, ekonomi, pendidikan, dan budaya di masyarakat sekitar. </t>
  </si>
  <si>
    <t xml:space="preserve">Sangat baik dalam Memahami manusia dalam dinamika interaksi dengan lingkungan alam, sosial, budaya dan ekonomi. </t>
  </si>
  <si>
    <t xml:space="preserve">Sangat baik dalam Memahami konsep kombinasi pola gerak dasar dominan statis dan dinamis untuk membentuk keterampilan/teknik dasar senam (seperti handstand, kayang,meroda,dsb). </t>
  </si>
  <si>
    <t xml:space="preserve">Sangat baik dalam Membedakan panjang-pendek bunyi, dan tinggi-rendah nada dengan gerak tangan. </t>
  </si>
  <si>
    <t xml:space="preserve">Sangat baik dalam Mengenal tari-tari daerah dan keunikan geraknya. </t>
  </si>
  <si>
    <t xml:space="preserve">Sangat baik dalam mengetahui berbagai alur cara dan pengolahan media karya kreatif. </t>
  </si>
  <si>
    <t xml:space="preserve">Sangat baik dalam Mengenal, memahami, dan mengidentifikasi kata berimbuhan dalam teks sesuai kaidah. </t>
  </si>
  <si>
    <t>Rajin belajar agar dapat berprestasi dengan baik, dan perlu diperhatikan tulisannya lebih rapi dan rajin.</t>
  </si>
  <si>
    <t>Nilai Rapot Pelajaran Matematika ( KI-4 )</t>
  </si>
  <si>
    <t>Nilai Rapot Pelajaran IPA (KI-3)</t>
  </si>
  <si>
    <t>Deskripsi Positif(3/4)</t>
  </si>
  <si>
    <t>Deskripsi Negatif (2/3)</t>
  </si>
  <si>
    <t>Nilai Rapot Pelajaran IPA ( KI-4)</t>
  </si>
  <si>
    <t>DESKRIPSI NEGATIF  ( 2/3 )</t>
  </si>
  <si>
    <t>DESKRIPSI NEGATIF (2/3 )</t>
  </si>
  <si>
    <t>Nilai Rapot Pelajaran IPS ( KI-3)</t>
  </si>
  <si>
    <t>Nilai Rapot Pelajaran IPS (KI-4)</t>
  </si>
  <si>
    <t>Deskripsi Positif  KI-3 ( 2/3 )</t>
  </si>
  <si>
    <t>Nilai Rapot Pelajaran SBDP ( KI-3)</t>
  </si>
  <si>
    <t>Nilai Rapot Pelajaran SBDP ( KI-4)</t>
  </si>
  <si>
    <t>DESKRIPSI NEGATIF 2/3</t>
  </si>
  <si>
    <t>Nilai Rapot Pelajaran Agama Islam-KI-4</t>
  </si>
  <si>
    <t>Nilai Rapot Pelajaran Bahasa Jawa ( KI-3)</t>
  </si>
  <si>
    <t>Des.Negatif 2/3</t>
  </si>
  <si>
    <t>Des.Positif 3/4</t>
  </si>
  <si>
    <t>Des. Positif  ( 3/4 )</t>
  </si>
  <si>
    <t>Des. Negatif 2/3</t>
  </si>
  <si>
    <t>DESKRIPSI NEGATIF  ( 2/3)</t>
  </si>
  <si>
    <t>Positif 3/4</t>
  </si>
  <si>
    <t>Negatif 2/3</t>
  </si>
  <si>
    <t>Deskripsi Positif 3/4</t>
  </si>
  <si>
    <t>Deskripsi Negatif 2/3</t>
  </si>
  <si>
    <t>p</t>
  </si>
  <si>
    <t xml:space="preserve">Cukup baik dalam dalam Menunjukkan pemahaman persamaan antara sepasang, ekspresi menggunakan penam bahan, pengurangan, dan perkalian. </t>
  </si>
  <si>
    <t xml:space="preserve">Cukup baik dalam dalam Menentukan nilai terkecil dan terbesar dari hasil pengukuran panjang atau berat berdasarkan pembulatan yang disajikan dalam bentuk tabel sederhana. </t>
  </si>
  <si>
    <t xml:space="preserve">Cukup baik dalam dalam Memahami pola penjumlahan dan pengurangan bilangan bulat dengan menggunakan hal-hal yang konkrit dan garis bilangan. </t>
  </si>
  <si>
    <t xml:space="preserve">Cukup baik dalam dalam mengetahui berbagai alur cara dan pengolahan media karya kreatif. </t>
  </si>
  <si>
    <t xml:space="preserve">Cukup baik dalam  Mengerti makna iman kepada malaikat-malaikat Allah berdasarkan pengamatan terhadap dirinya dan alam sekitar. </t>
  </si>
  <si>
    <t>Cukup baik dalam memahami makna ibadah salat</t>
  </si>
  <si>
    <t xml:space="preserve">Cukup baik dalam  Mengetahui Q.S. al-Falaq, al-Ma‘µn dan al-Fiil dengan baik dan benar. </t>
  </si>
  <si>
    <t xml:space="preserve">Cukup baik dalam memahami sikap rendah hati sebagai implementasidari pemahaman Q.S. al-Isra’/17:37. </t>
  </si>
  <si>
    <t>Cukup baik dalam Memahami perilaku hemat sebagai implementasi dari pemahaman Q.S. al-Isra’/17:27</t>
  </si>
  <si>
    <t>Cukup baik dalam Mengetahui kisah keteladan Nabi Ayyūb a.s</t>
  </si>
  <si>
    <t xml:space="preserve">Cukup baik dalam  Memahami makna dan keterkaiatan simbol-simbol sila Pancasila dalam memahami Pancasila secara utuh. </t>
  </si>
  <si>
    <t xml:space="preserve">Cukup baik dalam   Memahami hak dan kewajiban sebagai warga dalam kehidupan sehari-hari di rumah, sekolah dan masyarakat. </t>
  </si>
  <si>
    <t xml:space="preserve">Cukup baik  dalam Memahami manfaat keberagaman karakteristik individu di rumah, sekolah dan masyarakat. </t>
  </si>
  <si>
    <t xml:space="preserve">Sangat baik dalam Memahami makna dan keterkaiatan simbol-simbol sila Pancasila dalam memahami Pancasila secara utuh. </t>
  </si>
  <si>
    <t xml:space="preserve">Cukup baik dalam Menggali informasi dari teks laporan hasil pengamatan tentang gaya, gerak, energi panas, bunyi, dan cahaya dengan bantuan guru dan teman dalam bahasa Indonesia lisan dan tulis dengan memilih dan memilah kosakata baku. </t>
  </si>
  <si>
    <t xml:space="preserve">Cukup baik dalam Menguraikan teks instruksi tentang pemeliharaan pancaindera serta penggunaan alat teknologi modern dan tradisional dengan bantuan guru dan teman dalam bahasa Indonesia  lisan dan tulis dengan memilih dan memilah kosakata baku. </t>
  </si>
  <si>
    <t xml:space="preserve">Cukup baik dalam Menggali informasi dari teks wawancara tentang jenis-jenis usaha dan pekerjaan serta kegiatan ekonomi dan koperasi dengan bantuan guru dan teman dalam bahasa Indonesia lisan dan tulis dengan memilih dan memilah kosakata baku. </t>
  </si>
  <si>
    <t xml:space="preserve">Cukup baik dalam Menggali informasi dari teks cerita petualangan tentang lingkungan dan sumber daya alam dengan bantuan guru dan teman dalam bahasa Indonesia lisan dan tulis dengan memilih dan memilah kosakata baku. </t>
  </si>
  <si>
    <t xml:space="preserve">Cukup baik dalam Menggali informasi dari teks ulasan buku tentang nilai peninggalan sejarah dan perkembangan Hindu-Budha di Indonesia dengan bantuan guru dan teman dalam bahasa Indonesia lisan dan tulis dengan memilih dan memilah kosakata baku. </t>
  </si>
  <si>
    <t xml:space="preserve">Sudah baik dalam Menggali informasi dari teks laporan hasil pengamatan tentang gaya, gerak, energi panas, bunyi, dan cahaya dengan bantuan guru dan teman dalam bahasa Indonesia lisan dan tulis dengan memilih dan memilah kosakata baku. </t>
  </si>
  <si>
    <t xml:space="preserve">Cukup baik dalam  Memahami aturan pembulatan dalam membaca hasil pengukuran dengan alat ukur. </t>
  </si>
  <si>
    <t xml:space="preserve">Cukup baik dalam Menentukan kelipatan persekutuan dua buah bilangan dan menentukan kelipatan persekutuan terkecil (KPK). </t>
  </si>
  <si>
    <t xml:space="preserve">Cukup baik dalam  Memahami luas segitiga, persegi panjang, dan persegi. </t>
  </si>
  <si>
    <t xml:space="preserve">Cukup baik dalam Menentukan hubungan antara satuan dan atribut pengukuran termasuk luas dan keliling persegi panjang. </t>
  </si>
  <si>
    <t xml:space="preserve">Sangat baik  dalam memahami pola penjumlahan dan pengurangan bilangan bulat dengan menggunakan hal-hal yang konkrit dan garis bilangan. </t>
  </si>
  <si>
    <t xml:space="preserve">Cukup baik dalam Mengenal karya dua dan tiga dimensi berdasarkan pengamatan. </t>
  </si>
  <si>
    <t xml:space="preserve">Cukup baik dalam  Membedakan panjang-pendek bunyi, dan tinggi-rendah nada dengan gerak tangan. </t>
  </si>
  <si>
    <t xml:space="preserve">Cukup baik dalam Mengenal tari-tari daerah dan keunikan geraknya. </t>
  </si>
  <si>
    <t>Cukup baik dalam Memahami konsep variasi dan kombinasi pola gerak dasar lokomotor, non-lokomotor,dan manipulatif dalam permainan dan atau olahraga tradisional bola kecil.</t>
  </si>
  <si>
    <t>Cukup baik dalam Memahami konsep variasi dan kombinasi pola gerak dasar lokomotor, non-lokomotor untuk membentuk gerakan dasar atletik jalan cepat atau lari dan atau olahraga tradisional.</t>
  </si>
  <si>
    <t>Cukup baik dalam Memahami konsep berbagai aktivitas kebugaran jasmani untuk mencapai tinggi dan berat badan ideal.</t>
  </si>
  <si>
    <t xml:space="preserve">Cukup baik dalam Memahami konsep kombinasi pola gerak dasar dominan statis dan dinamis untuk membentuk keterampilan/teknik dasar senam (seperti handstand, kayang,meroda,dsb). </t>
  </si>
  <si>
    <t>Cukup baik dalam Mengetahui konsep kombinasi gerak dasar langkah dan ayunan lengan bertema budaya daerah mengikuti irama (ketukan) tanpa / dengan musik dalam aktivitas gerak ritmik.</t>
  </si>
  <si>
    <t xml:space="preserve">Cukup baik dalam Mendeskripsikan siklus air dan dampaknya pada peristiwa di bumi serta kelangsungan mahluk hidup. </t>
  </si>
  <si>
    <t xml:space="preserve">Cukup baik dalam Mengenal sistem pernafasan hewan dan manusia serta penyakit yang berkaitan dengan pernafasan. </t>
  </si>
  <si>
    <t xml:space="preserve">Cukup baik dalam Memahami manusia dalam hubungannya dengan kondisi geografis di sekitarnya. </t>
  </si>
  <si>
    <t xml:space="preserve">Cukup baik dalam Memahami Memahami kehidupan manusia dalam kelembagaan sosial, ekonomi, pendidikan, dan budaya di masyarakat sekitar. </t>
  </si>
  <si>
    <t xml:space="preserve">Cukup baik dalam Memahami manusia dalam dinamika interaksi dengan lingkungan alam, sosial, budaya dan ekonomi. </t>
  </si>
  <si>
    <t xml:space="preserve">Cukup baik dalam Mengenal dan memahami teks tembang dolanan. </t>
  </si>
  <si>
    <t xml:space="preserve">Cukup baik dalam Mengenal dan memahami sandhangan aksara Jawa. </t>
  </si>
  <si>
    <t xml:space="preserve">Cukup baik dalam Mengenal, memahami, dan mengidentifikasi kata berimbuhan dalam teks sesuai kaidah. </t>
  </si>
  <si>
    <t xml:space="preserve">Cukup baik dalam Melakukan pengamatan diri dan alam sekitar sebagai implementasi makna iman kepada malaikat-malaikat Allah. </t>
  </si>
  <si>
    <t xml:space="preserve">Cukup baik dalam Memberikan contoh-contoh makna ibadah salat. </t>
  </si>
  <si>
    <t xml:space="preserve">Cukup baik dalam Menceritakan pengalaman melaksanakan £alat di rumah dan masjid lingkungan sekitar rumah. </t>
  </si>
  <si>
    <t xml:space="preserve">Cukup baik dalam Membaca Q.S. al-Falaq, al-Ma’µn dan al-Fiil dengan tartil. </t>
  </si>
  <si>
    <t xml:space="preserve">Cukup baik dalam Menulis kalimat-kalimat dalam Q.S. al-Falaq, al-Ma‘un dan al-Fiil dengan benar. </t>
  </si>
  <si>
    <t xml:space="preserve">Cukup baik dalam Menunjukkan hafalan Q.S. al-Falaq, al-Ma‘µn dan al-Fiil dengan lancar. </t>
  </si>
  <si>
    <t xml:space="preserve">Cukup baik dalam Mencontohkan sikap rendah hati sebagai implementasi dari pemahaman al-Isra’/17:37. </t>
  </si>
  <si>
    <t xml:space="preserve">Cukup baik dalam Mencontohkan perilaku hemat sebagai implementasi dari pemahaman al-Isra’/17:27. </t>
  </si>
  <si>
    <t xml:space="preserve">Cukup baik dalam Menceritakan kisah keteladanan Wali Songo. </t>
  </si>
  <si>
    <t xml:space="preserve">Cukup baik dalam Mengamati dan menceritakan perilaku di sekitar rumah dan sekolah dari sudut pandang kelima simbol Pancasila sebagai satu kesatuan yang utuh. </t>
  </si>
  <si>
    <t xml:space="preserve">Cukup baik dalam Melaksanakan kewajiban sebagai warga di lingkungan rumah, sekolah dan masyarakat. </t>
  </si>
  <si>
    <t xml:space="preserve">Cukup baik dalam Bekerjasama dengan teman dalam keberagaman di lingkungan rumah, sekolah, dan masyarakat. </t>
  </si>
  <si>
    <t xml:space="preserve">Cukup baik dalam Mengelompokkan kesamaan identitas suku bangsa (pakaian tradisional, bahasa, rumah adat, makanan khas, dan upacara adat), sosial ekonomi (jenis pekerjaan orang tua) di lingkungan rumah, sekolah dan masyarakat sekitar. </t>
  </si>
  <si>
    <t xml:space="preserve">Cukup baik dalam Mengemukakan kembali dengan kalimat sendiri menyatakan kalimat matematika dan memecahkan masalah dengan efektif permasalahan yang berkaitan dengan KPK dan FPB, satuan kuantitas, desimal dan persen terkait dengan aktivitas sehari-hari di rumah, sekolah, atau tempat bermain serta memeriksa kebenarannya. </t>
  </si>
  <si>
    <t xml:space="preserve">Cukup baik dalam Melakukan pengubinan menggunakan segi banyak beraturan tertentu. </t>
  </si>
  <si>
    <t xml:space="preserve">Cukup baik dalam Membentuk jaring-jaring bangun ruang yang berbeda dengan jaring bangun ruang yang sudah ada. </t>
  </si>
  <si>
    <t xml:space="preserve">Cukup baik dalam Membuat benda-benda berdasarkan jaring-jaring bangun ruang yang ditemukan dengan memanfaatkan barang-barang bekas yang ada di sekitar rumah, sekolah atau tempat bermain. </t>
  </si>
  <si>
    <t xml:space="preserve">Cukup baik dalam Menyatakan kesimpulan berdasarkan data tabel atau grafik. </t>
  </si>
  <si>
    <t xml:space="preserve">Cukup baik dalam Membuat peta posisi suatu tempat/benda tanpa menggunakan skala dengan memperhatikan arah mata angin. </t>
  </si>
  <si>
    <t xml:space="preserve">Cukup baik dalam Mengumpulkan dan menata data diskrit dan menampilkan data menggunakan bagan dan grafik termasuk grafik batang ganda, diagram garis, dan diagram lingkaran. </t>
  </si>
  <si>
    <t xml:space="preserve">Cukup baik dalam Mengembangkan, dan membuat berbagai pola numerik dan geometric. </t>
  </si>
  <si>
    <t xml:space="preserve">Cukup baik dalam Mengurai dan menyusun kembali jaring-jaring bangun ruang sederhana. </t>
  </si>
  <si>
    <t xml:space="preserve">Cukup baik dalam Mengidentifikasi dan mendeskripsikan lokasi objek menggunakan peta grid dan melalui percerminan. </t>
  </si>
  <si>
    <t xml:space="preserve">Cukup baik dalam Menggabung sudut bagian dalam segitiga dan segi empat untuk menarik kesimpulan. </t>
  </si>
  <si>
    <t xml:space="preserve">Cukup baik dalam Menggambar berdasarkan tema. </t>
  </si>
  <si>
    <t xml:space="preserve">Cukup baik dalam Membuat karya seni kolase dengan berbagai bahan di lingkungan sekitar. </t>
  </si>
  <si>
    <t xml:space="preserve">Cukup baik dalam Membentuk karya seni tiga dimensi dari bahan alam. </t>
  </si>
  <si>
    <t xml:space="preserve">Cukup baik dalam Menyanyikan lagu dengan gerak tangan dan badan sesuai dengan tinggi rendah nada. </t>
  </si>
  <si>
    <t xml:space="preserve">Cukup baik dalam Menyanyikan solmisasi lagu wajib dan lagu daerah yang harus dikenal. </t>
  </si>
  <si>
    <t xml:space="preserve">Cukup baik dalam Membuat karya kerajinan asesoris dengan berbagai bahan dan teknik. </t>
  </si>
  <si>
    <t>Cukup baik dalam Mempraktikan variasi dan kombinasi pola gerak dasar lokomotor, non-lokomotor dan manipulatif yang dilandasi konsep gerak dalam berbagai permainan atau olahraga tradisional bola kecil</t>
  </si>
  <si>
    <t>Cukup baik dalam Mempraktikkan berbagai aktivitas kebugaran jasmaniuntuk mencapai tinggi dan berat badan ideal.</t>
  </si>
  <si>
    <t>Cukup baik dalam Mempraktikkan  kombinasi pola gerak dasar dominan statis dan dinamis untuk membentuk keterampilan/teknik dasar senam (seperti handstand, kayang,meroda,dsb).</t>
  </si>
  <si>
    <t xml:space="preserve">Cukup baik dalam Mempraktikkan gerak dasar langkah dan ayunan lengan bertema budaya daerah mengikuti irama (ketukan) tanpa / dengan musik dalam aktivitas gerak ritmik. </t>
  </si>
  <si>
    <t xml:space="preserve">Cukup baik dalam Menyajikan hasil percobaan atau observasi tentang bunyi. </t>
  </si>
  <si>
    <t xml:space="preserve">Cukup baik dalam Menyajikan laporan tentang sumberdaya alam dan pemanfaatannya oleh masyarakat. </t>
  </si>
  <si>
    <t xml:space="preserve">Cukup baik dalam Menyajikan laporan hasil pengamatan tentang teknologi yang digunakan di kehidupan sehari-hari serta kemudahan yang diperoleh oleh masyarakat dengan memanfaatkan teknologi tersebut. </t>
  </si>
  <si>
    <t>Cukup baik dalam Menceritakankan tentang hasil bacaan mengenai pengertian ruang, konektivitas antar ruang, perubahan, dan keberlanjutan dalam waktu, sosial, ekonomi, dan pendidikan dalam lingkup masyarakat di sekitarnya</t>
  </si>
  <si>
    <t xml:space="preserve">Cukup baik dalam Menceritakan manusia dalam hubungannya dengan lingkungan geografis tempat tinggalnya. </t>
  </si>
  <si>
    <t>Cukup baik dalam Mendeskripsikan kehidupan manusia dalam kelembagaan sosial, pendidikan, ekonomi, dan budaya. di masyarakat sekitar</t>
  </si>
  <si>
    <t xml:space="preserve">Cukup baik dalam Menceritakan manusia dalam dinamika interaksi dengan lingkungan alam, sosial, budaya, dan ekonomi. </t>
  </si>
  <si>
    <t xml:space="preserve">Cukup baik dalam Melagukan dan mengapresiasi tembang dolanan. </t>
  </si>
  <si>
    <t xml:space="preserve">Cukup baik dalam Menulis kalimat dengan huruf  Latin dan huruf  Jawa menggunakan sandhangan aksara Jawa. </t>
  </si>
  <si>
    <t xml:space="preserve">Cukup baik dalam Mengenal, memahami, dan mengidentifikasi kata berimbuhandalam teks sesuai kaidah. </t>
  </si>
  <si>
    <t xml:space="preserve">Baik dalam Melakukan pengamatan diri dan alam sekitar sebagai implementasi makna iman kepada malaikat-malaikat Allah. </t>
  </si>
  <si>
    <t xml:space="preserve">Baik dalam Memberikan contoh-contoh makna ibadah salat. </t>
  </si>
  <si>
    <t xml:space="preserve">Baik dalam Menceritakan pengalaman melaksanakan £alat di rumah dan masjid lingkungan sekitar rumah. </t>
  </si>
  <si>
    <t xml:space="preserve">Baik dalam Membaca Q.S. al-Falaq, al-Ma’µn dan al-Fiil dengan tartil. </t>
  </si>
  <si>
    <t xml:space="preserve">Baik dalam Menulis kalimat-kalimat dalam Q.S. al-Falaq, al-Ma‘un dan al-Fiil dengan benar. </t>
  </si>
  <si>
    <t xml:space="preserve">Baik dalam Menunjukkan hafalan Q.S. al-Falaq, al-Ma‘µn dan al-Fiil dengan lancar. </t>
  </si>
  <si>
    <t xml:space="preserve">Baik dalam Mencontohkan sikap rendah hati sebagai implementasi dari pemahaman al-Isra’/17:37. </t>
  </si>
  <si>
    <t xml:space="preserve">Baik dalam Mencontohkan perilaku hemat sebagai implementasi dari pemahaman al-Isra’/17:27. </t>
  </si>
  <si>
    <t xml:space="preserve">Baik dalam Menceritakan kisah keteladanan Wali Songo. </t>
  </si>
  <si>
    <t xml:space="preserve">Baik dalam Mengamati dan menceritakan perilaku di sekitar rumah dan sekolah dari sudut pandang kelima simbol Pancasila sebagai satu kesatuan yang utuh. </t>
  </si>
  <si>
    <t xml:space="preserve">Baik dalam melaksanakan kewajiban sebagai warga di lingkungan rumah, sekolah dan masyarakat. </t>
  </si>
  <si>
    <t xml:space="preserve">Baik dalam Bekerjasama dengan teman dalam keberagaman di lingkungan rumah, sekolah, dan masyarakat. </t>
  </si>
  <si>
    <t xml:space="preserve">Baik dalam Melaksanakan kewajiban sebagai warga di lingkungan rumah, sekolah dan masyarakat. </t>
  </si>
  <si>
    <t xml:space="preserve">Baik dalam Mengelompokkan kesamaan identitas suku bangsa (pakaian tradisional, bahasa, rumah adat, makanan khas, dan upacara adat), sosial ekonomi (jenis pekerjaan orang tua) di lingkungan rumah, sekolah dan masyarakat sekitar. </t>
  </si>
  <si>
    <t xml:space="preserve">Baik dalam Mengembangkan, dan membuat berbagai pola numerik dan geometric. </t>
  </si>
  <si>
    <t xml:space="preserve">Baik dalam Menggambar berdasarkan tema. </t>
  </si>
  <si>
    <t xml:space="preserve">Baik dalam Membuat karya seni kolase dengan berbagai bahan di lingkungan sekitar. </t>
  </si>
  <si>
    <t xml:space="preserve">Baik dalam Membentuk karya seni tiga dimensi dari bahan alam. </t>
  </si>
  <si>
    <t xml:space="preserve">Baik dalam Menyanyikan lagu dengan gerak tangan dan badan sesuai dengan tinggi rendah nada. </t>
  </si>
  <si>
    <t xml:space="preserve">Baik dalam Menyanyikan solmisasi lagu wajib dan lagu daerah yang harus dikenal. </t>
  </si>
  <si>
    <t xml:space="preserve">Baik dalam Membuat karya kerajinan asesoris dengan berbagai bahan dan teknik. </t>
  </si>
  <si>
    <t xml:space="preserve">Baik dalam Mempraktikkan kombinasi pola gerak dasar lokomotor untuk untuk membentuk gerakan dasar atletik jalan cepat atau lari yang dilandasi konsep gerak melalui permainan dan atau olahraga tradisional. </t>
  </si>
  <si>
    <t xml:space="preserve">Baik dalam Mempraktikkan berbagai aktivitas kebugaran jasmaniuntuk mencapai tinggi dan berat badan ideal. </t>
  </si>
  <si>
    <t xml:space="preserve">Baik dalam  Mempraktikkan  kombinasi pola gerak dasar dominan statis dan dinamis untuk membentuk keterampilan/teknik dasar senam (seperti handstand, kayang,meroda,dsb). </t>
  </si>
  <si>
    <t xml:space="preserve">Baik dalam Mempraktikkan gerak dasar langkah dan ayunan lengan bertema budaya daerah mengikuti irama (ketukan) tanpa / dengan musik dalam aktivitas gerak ritmik. </t>
  </si>
  <si>
    <t xml:space="preserve">Baik dalam Menyajikan laporan tentang sumberdaya alam dan pemanfaatannya oleh masyarakat. </t>
  </si>
  <si>
    <t xml:space="preserve">Baik dalam Menyajikan laporan hasil pengamatan tentang teknologi yang digunakan di kehidupan sehari-hari serta kemudahan yang diperoleh oleh masyarakat dengan memanfaatkan teknologi tersebut. </t>
  </si>
  <si>
    <t xml:space="preserve">Baik dalam Menceritakankan tentang hasil bacaan mengenai pengertian ruang, konektivitas antar ruang, perubahan, dan keberlanjutan dalam waktu, sosial, ekonomi, dan pendidikan dalam lingkup masyarakat di sekitarnya. </t>
  </si>
  <si>
    <t xml:space="preserve">Baik dalam Menceritakan manusia dalam hubungannya dengan lingkungan geografis tempat tinggalnya. </t>
  </si>
  <si>
    <t xml:space="preserve">Baik dalam Mendeskripsikan kehidupan manusia dalam kelembagaan sosial, pendidikan, ekonomi, dan budaya. di masyarakat sekitar. </t>
  </si>
  <si>
    <t xml:space="preserve">Baik dalam Menceritakan manusia dalam dinamika interaksi dengan lingkungan alam, sosial, budaya, dan ekonomi. </t>
  </si>
  <si>
    <t xml:space="preserve">Baik dalam Melagukan dan mengapresiasi tembang dolanan. </t>
  </si>
  <si>
    <t xml:space="preserve">Baik dalam Menulis kalimat dengan huruf  Latin dan huruf  Jawa menggunakan sandhangan aksara Jawa. </t>
  </si>
  <si>
    <t xml:space="preserve">Baik dalam Mengenal, memahami, dan mengidentifikasi kata berimbuhandalam teks sesuai kaidah. </t>
  </si>
  <si>
    <t xml:space="preserve">Baik dalam Mengemukakan kembali dengan kalimat sendiri menyatakan kalimat matematika dan memecahkan masalah dengan efektif permasalahan yang berkaitan dengan KPK dan FPB, satuan kuantitas, desimal dan persen terkait dengan aktivitas sehari-hari di rumah, sekolah, atau tempat bermain serta memeriksa kebenarannya. </t>
  </si>
  <si>
    <t xml:space="preserve">Baik dalam Melakukan pengubinan menggunakan segi banyak beraturan tertentu. </t>
  </si>
  <si>
    <t xml:space="preserve">Baik dalam Membentuk jaring-jaring bangun ruang yang berbeda dengan jaring bangun ruang yang sudah ada. </t>
  </si>
  <si>
    <t xml:space="preserve">Baik dalam  Membuat benda-benda berdasarkan jaring-jaring bangun ruang yang ditemukan dengan memanfaatkan barang-barang bekas yang ada di sekitar rumah, sekolah atau tempat bermain. </t>
  </si>
  <si>
    <t xml:space="preserve">Baik dalam Menyatakan kesimpulan berdasarkan data tabel atau grafik. </t>
  </si>
  <si>
    <t xml:space="preserve">Baik dalam Membuat peta posisi suatu tempat/benda tanpa menggunakan skala dengan memperhatikan arah mata angin. </t>
  </si>
  <si>
    <t xml:space="preserve">Baik dalam Mengumpulkan dan menata data diskrit dan menampilkan data menggunakan bagan dan grafik termasuk grafik batang ganda, diagram garis, dan diagram lingkaran. </t>
  </si>
  <si>
    <t xml:space="preserve">Baik dalam Mengurai dan menyusun kembali jaring-jaring bangun ruang sederhana. </t>
  </si>
  <si>
    <t xml:space="preserve">Baik dalam Mengidentifikasi dan mendeskripsikan lokasi objek menggunakan peta grid dan melalui percerminan. </t>
  </si>
  <si>
    <t xml:space="preserve">Baik dalam Mempraktikan variasi dan kombinasi pola gerak dasar lokomotor, non-lokomotor dan manipulatif yang dilandasi konsep gerak dalam berbagai permainan atau olahraga tradisional bola kecil. </t>
  </si>
  <si>
    <t xml:space="preserve">Sangat baik dalam Mempraktikan variasi dan kombinasi pola gerak dasar lokomotor, non-lokomotor dan manipulatif yang dilandasi konsep gerak dalam berbagai permainan atau olahraga tradisional bola kecil. </t>
  </si>
  <si>
    <t xml:space="preserve">Baik dalam Mengerti makna iman kepada malaikat-malaikat Allah berdasarkan pengamatan terhadap dirinya dan alam sekitar. </t>
  </si>
  <si>
    <t>Baik dalam Memahami makna ibadah salat</t>
  </si>
  <si>
    <t xml:space="preserve">Baik dalam Mengetahui Q.S. al-Falaq, al-Ma‘µn dan al-Fiil dengan baik dan benar. </t>
  </si>
  <si>
    <t xml:space="preserve">Baik dalam Memahami sikap rendah hati sebagai implementasidari pemahaman Q.S. al-Isra’/17:37. </t>
  </si>
  <si>
    <t>Baik dalam Memahami perilaku hemat sebagai implementasi dari pemahaman Q.S. al-Isra’/17:27</t>
  </si>
  <si>
    <t>Baik Mengetahui kisah keteladan Nabi Ayyūb a.s</t>
  </si>
  <si>
    <t xml:space="preserve">Baik dalam Memahami makna dan keterkaiatan simbol-simbol sila Pancasila dalam memahami Pancasila secara utuh. </t>
  </si>
  <si>
    <t xml:space="preserve">Baik dalam Memahami hak dan kewajiban sebagai warga dalam kehidupan sehari-hari di rumah, sekolah dan masyarakat. </t>
  </si>
  <si>
    <t xml:space="preserve">Baik dalam Memahami manfaat keberagaman karakteristik individu di rumah, sekolah dan masyarakat. </t>
  </si>
  <si>
    <t xml:space="preserve">Baik  dalam Menggali informasi dari teks laporan hasil pengamatan tentang gaya, gerak, energi panas, bunyi, dan cahaya dengan bantuan guru dan teman dalam bahasa Indonesia lisan dan tulis dengan memilih dan memilah kosakata baku. </t>
  </si>
  <si>
    <t xml:space="preserve">Baik dalam dalam Menguraikan teks instruksi tentang pemeliharaan pancaindera serta penggunaan alat teknologi modern dan tradisional dengan bantuan guru dan teman bahasa Indonesia  lisan dan tulis dengan memilih dan memilah kosakata baku. </t>
  </si>
  <si>
    <t xml:space="preserve">Baik dalam Menggali informasi dari teks wawancara tentang jenis-jenis usaha dan pekerjaan serta kegiatan ekonomi dan koperasi dengan bantuan guru dan teman dalam bahasa Indonesia lisan dan tulis dengan memilih dan memilah kosakata baku. </t>
  </si>
  <si>
    <t xml:space="preserve">Baik dalam Menggali informasi dari teks cerita petualangan tentang lingkungan dan sumber daya alam dengan bantuan guru dan teman dalam bahasa Indonesia lisan dan tulis dengan memilih dan memilah kosakata baku. </t>
  </si>
  <si>
    <t xml:space="preserve">Baik dalam Menggali informasi dari teks ulasan buku tentang nilai peninggalan sejarah dan perkembangan Hindu-Budha di Indonesia dengan bantuan guru dan teman dalam bahasa Indonesia lisan dan tulis dengan memilih dan memilah kosakata baku. </t>
  </si>
  <si>
    <t xml:space="preserve">Baik dalam Memahami aturan pembulatan dalam membaca hasil pengukuran dengan alat ukur. </t>
  </si>
  <si>
    <t xml:space="preserve">Baik dalam Menentukan kelipatan persekutuan dua buah bilangan dan menentukan kelipatan persekutuan terkecil (KPK). </t>
  </si>
  <si>
    <t xml:space="preserve">Baik dalam Memahami luas segitiga, persegi panjang, dan persegi. </t>
  </si>
  <si>
    <t xml:space="preserve">Baik dalam Menentukan hubungan antara satuan dan atribut pengukuran termasuk luas dan keliling persegi panjang. </t>
  </si>
  <si>
    <t xml:space="preserve">Baik dalam menunjukkan pemahaman persamaan antara sepasang, ekspresi menggunakan penam bahan, pengurangan, dan perkalian. </t>
  </si>
  <si>
    <t xml:space="preserve">Baik dalam Menentukan nilai terkecil dan terbesar dari hasil pengukuran panjang atau berat berdasarkan pembulatan yang disajikan dalam bentuk tabel sederhana. </t>
  </si>
  <si>
    <t xml:space="preserve">Baik dalam Memahami pola penjumlahan dan pengurangan bilangan bulat dengan menggunakan hal-hal yang konkrit dan garis bilangan. </t>
  </si>
  <si>
    <t xml:space="preserve">Baik dalam Mengenal karya dua dan tiga dimensi berdasarkan pengamatan. </t>
  </si>
  <si>
    <t xml:space="preserve">Baik dalam  Membedakan panjang-pendek bunyi, dan tinggi-rendah nada dengan gerak tangan. </t>
  </si>
  <si>
    <t xml:space="preserve">Baik dalam Mengenal tari-tari daerah dan keunikan geraknya. </t>
  </si>
  <si>
    <t xml:space="preserve">Baik dalam  dalam mengetahui berbagai alur cara dan pengolahan media karya kreatif. </t>
  </si>
  <si>
    <t>Baik dalam Memahami konsep variasi dan kombinasi pola gerak dasar lokomotor, non-lokomotor,dan manipulatif dalam permainan dan atau olahraga tradisional bola kecil.</t>
  </si>
  <si>
    <t>Baik dalam Memahami konsep variasi dan kombinasi pola gerak dasar lokomotor, non-lokomotor untuk membentuk gerakan dasar atletik jalan cepat atau lari dan atau olahraga tradisional.</t>
  </si>
  <si>
    <t>Baik dalam Memahami konsep berbagai aktivitas kebugaran jasmani untuk mencapai tinggi dan berat badan ideal.</t>
  </si>
  <si>
    <t xml:space="preserve">Baik dalam Memahami konsep kombinasi pola gerak dasar dominan statis dan dinamis untuk membentuk keterampilan/teknik dasar senam (seperti handstand, kayang,meroda,dsb). </t>
  </si>
  <si>
    <t>Baik dalam Mengetahui konsep kombinasi gerak dasar langkah dan ayunan lengan bertema budaya daerah mengikuti irama (ketukan) tanpa / dengan musik dalam aktivitas gerak ritmik.</t>
  </si>
  <si>
    <t xml:space="preserve">Baik dalam Mendeskripsikan siklus air dan dampaknya pada peristiwa di bumi serta kelangsungan mahluk hidup. </t>
  </si>
  <si>
    <t xml:space="preserve">Baik dalam Mengenal sistem pernafasan hewan dan manusia serta penyakit yang berkaitan dengan pernafasan. </t>
  </si>
  <si>
    <t xml:space="preserve">Baik dalam Memahami Memahami manusia dalam hubungannya dengan kondisi geografis di sekitarnya. </t>
  </si>
  <si>
    <t xml:space="preserve">Baik dalam Memahami Memahami kehidupan manusia dalam kelembagaan sosial, ekonomi, pendidikan, dan budaya di masyarakat sekitar. </t>
  </si>
  <si>
    <t xml:space="preserve">Baik dalam Memahami manusia dalam dinamika interaksi dengan lingkungan alam, sosial, budaya dan ekonomi. </t>
  </si>
  <si>
    <t xml:space="preserve">Baik dalam mengenal dan memahami teks tembang dolanan. </t>
  </si>
  <si>
    <t xml:space="preserve">Baik dalam mengenal dan memahami sandhangan aksara Jawa. </t>
  </si>
  <si>
    <t xml:space="preserve">Baik dalam mengenal, memahami, dan mengidentifikasi kata berimbuhan dalam teks sesuai kaidah. </t>
  </si>
  <si>
    <t>N.A</t>
  </si>
  <si>
    <t>Berdasarkan pencapaian kompetensi pada semester 1 dan 2</t>
  </si>
  <si>
    <t xml:space="preserve">Peserta didik*)   </t>
  </si>
  <si>
    <t>Product by nur prijantono : noerprijantono@gmail.com PIN BB : 7C36D9BC  WA : 081 333 651 685_Pengajar SD KARTIKA IV-7 MALANG</t>
  </si>
  <si>
    <t>MENCETAK RAPOT</t>
  </si>
  <si>
    <t>Sangat taat dalam beribadah, berperllaku syukur, selalu berdo'a sebelum melakukan kegiatan, serta bersikap toleransi dalam beragama</t>
  </si>
  <si>
    <t>Sangat taat dalam beribadah, berdo'a sebelum melakukan kegiatan, bersikap toleransi. Dengan bimbingan dan pendampingan yang lebih akan mampu meningkatkan sikap berperilaku bersyukur.</t>
  </si>
  <si>
    <t>IF(C16=4;$K$4;IF(C16=2;$K$5))</t>
  </si>
  <si>
    <t>Sangat taat dalam beribadah, bersikap toleransi, serta berperilaku bersyukur. Dengan bimbingan dan pendampingan yang lebih akan mampu meningkatkan sikap berdo'a sebelum melakukan kegiatan.</t>
  </si>
  <si>
    <t>ASP.1</t>
  </si>
  <si>
    <t>ASP.2</t>
  </si>
  <si>
    <t>ASP.3</t>
  </si>
  <si>
    <t>ASP.4</t>
  </si>
  <si>
    <t>Sangat rajin berdo'a sebelum melakukan kegiatan, bersikap toleransi, berperilaku bersyukur. Dengan bimbingan dan pendampingan yang lebih akan mampu meningkatkan sikap ta'at dalam beribadah.</t>
  </si>
  <si>
    <t xml:space="preserve">JIKA BAIK SEMUA </t>
  </si>
  <si>
    <t>ASPEK 1 YANG 2</t>
  </si>
  <si>
    <t>ASPEK 2 YANG 2</t>
  </si>
  <si>
    <t>ASPEK 3 YANG 2</t>
  </si>
  <si>
    <t>ASPEK 4 YANG 2</t>
  </si>
  <si>
    <t xml:space="preserve">Sangat ta'at dalam beribadah, selalu berdo'a sebelum melakukan kegiatan, serta berperilaku bersyukur. Dengan bimbingan dan pendampingan yang lebih akan mampu meningkatkan sikap toleransi dalam beragama. </t>
  </si>
  <si>
    <t>Jujur,</t>
  </si>
  <si>
    <t>ketaatan beribadah,</t>
  </si>
  <si>
    <t>berperilaku syukur,</t>
  </si>
  <si>
    <t>berdo'a sebelum melakukan kegiatan,</t>
  </si>
  <si>
    <t>toleransi beragama,</t>
  </si>
  <si>
    <t xml:space="preserve">disiplin, </t>
  </si>
  <si>
    <t xml:space="preserve">percaya diri, </t>
  </si>
  <si>
    <t xml:space="preserve">santun, </t>
  </si>
  <si>
    <t>Praktek</t>
  </si>
  <si>
    <t>Produk</t>
  </si>
  <si>
    <t>Proyek</t>
  </si>
  <si>
    <t xml:space="preserve">NILAI OPTIMAL </t>
  </si>
  <si>
    <t>KLAS.</t>
  </si>
  <si>
    <t>Pred.</t>
  </si>
  <si>
    <t>TEMA 5</t>
  </si>
  <si>
    <t>TEMA 10</t>
  </si>
  <si>
    <t>www.info-guruku.com</t>
  </si>
  <si>
    <t>www.berkasdownload.info</t>
  </si>
  <si>
    <t>http://wikieducation.info-gurku.com</t>
  </si>
  <si>
    <t>http://gurugalery.blogspot.com</t>
  </si>
  <si>
    <t>http://exitcloudfile.blogspot.com/</t>
  </si>
  <si>
    <t>SDN SIRNABAKTI 01</t>
  </si>
  <si>
    <t>Jl.Miramare</t>
  </si>
  <si>
    <t>0262 521 183</t>
  </si>
  <si>
    <t>Paas</t>
  </si>
  <si>
    <t>Pameungpeuk</t>
  </si>
  <si>
    <t>Garut</t>
  </si>
  <si>
    <t>Jawa Barat</t>
  </si>
  <si>
    <t>www.atirta13.com</t>
  </si>
  <si>
    <t>Yusuf Nur Ikhsan , S.Pd</t>
  </si>
  <si>
    <t>NIP.   196004051979121009</t>
  </si>
  <si>
    <t>Ahmad, S.Pd</t>
  </si>
  <si>
    <t>19671892127181021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</si>
</sst>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dd\ mmm\ yyyy"/>
    <numFmt numFmtId="166" formatCode="d\ mmmm\ yyyy"/>
    <numFmt numFmtId="167" formatCode="[$-421]dd\ mmmm\ yyyy;@"/>
  </numFmts>
  <fonts count="162" x14ac:knownFonts="1">
    <font>
      <sz val="11"/>
      <color theme="1"/>
      <name val="Calibri"/>
      <family val="2"/>
      <charset val="1"/>
      <scheme val="minor"/>
    </font>
    <font>
      <sz val="11"/>
      <color theme="1"/>
      <name val="Tahoma"/>
      <family val="2"/>
    </font>
    <font>
      <sz val="10"/>
      <color theme="1"/>
      <name val="Tahoma"/>
      <family val="2"/>
    </font>
    <font>
      <sz val="9"/>
      <color theme="1"/>
      <name val="Tahoma"/>
      <family val="2"/>
    </font>
    <font>
      <sz val="11"/>
      <name val="Tahoma"/>
      <family val="2"/>
    </font>
    <font>
      <sz val="12"/>
      <color theme="1"/>
      <name val="Tahoma"/>
      <family val="2"/>
    </font>
    <font>
      <sz val="14"/>
      <color theme="1"/>
      <name val="Tahoma"/>
      <family val="2"/>
    </font>
    <font>
      <sz val="11"/>
      <name val="Arial"/>
      <family val="2"/>
    </font>
    <font>
      <b/>
      <sz val="11"/>
      <name val="Arial"/>
      <family val="2"/>
    </font>
    <font>
      <sz val="10"/>
      <name val="Tahoma"/>
      <family val="2"/>
    </font>
    <font>
      <b/>
      <sz val="12"/>
      <color theme="1"/>
      <name val="Calibri"/>
      <family val="2"/>
      <scheme val="minor"/>
    </font>
    <font>
      <sz val="10"/>
      <name val="Arial"/>
      <family val="2"/>
    </font>
    <font>
      <b/>
      <sz val="10"/>
      <color theme="1"/>
      <name val="Calibri"/>
      <family val="2"/>
      <scheme val="minor"/>
    </font>
    <font>
      <sz val="12"/>
      <color theme="1"/>
      <name val="Calibri"/>
      <family val="2"/>
      <charset val="1"/>
      <scheme val="minor"/>
    </font>
    <font>
      <sz val="12"/>
      <name val="Arial"/>
      <family val="2"/>
    </font>
    <font>
      <b/>
      <sz val="12"/>
      <color theme="1"/>
      <name val="Tahoma"/>
      <family val="2"/>
    </font>
    <font>
      <b/>
      <sz val="11"/>
      <color theme="1"/>
      <name val="Calibri"/>
      <family val="2"/>
      <scheme val="minor"/>
    </font>
    <font>
      <sz val="11"/>
      <color theme="1"/>
      <name val="Calibri"/>
      <family val="2"/>
      <scheme val="minor"/>
    </font>
    <font>
      <sz val="12"/>
      <name val="Tahoma"/>
      <family val="2"/>
    </font>
    <font>
      <b/>
      <sz val="18"/>
      <color theme="1"/>
      <name val="Calibri"/>
      <family val="2"/>
      <scheme val="minor"/>
    </font>
    <font>
      <sz val="14"/>
      <color theme="1"/>
      <name val="Calibri"/>
      <family val="2"/>
      <scheme val="minor"/>
    </font>
    <font>
      <sz val="12"/>
      <color theme="1"/>
      <name val="Calibri"/>
      <family val="2"/>
      <scheme val="minor"/>
    </font>
    <font>
      <b/>
      <sz val="8"/>
      <color theme="1"/>
      <name val="Calibri"/>
      <family val="2"/>
      <scheme val="minor"/>
    </font>
    <font>
      <b/>
      <sz val="14"/>
      <color theme="1"/>
      <name val="Calibri"/>
      <family val="2"/>
      <scheme val="minor"/>
    </font>
    <font>
      <sz val="11"/>
      <name val="Calibri"/>
      <family val="2"/>
      <scheme val="minor"/>
    </font>
    <font>
      <sz val="10"/>
      <color theme="1"/>
      <name val="Calibri"/>
      <family val="2"/>
      <charset val="1"/>
      <scheme val="minor"/>
    </font>
    <font>
      <sz val="14"/>
      <color theme="1"/>
      <name val="Calibri"/>
      <family val="2"/>
      <charset val="1"/>
      <scheme val="minor"/>
    </font>
    <font>
      <b/>
      <sz val="12"/>
      <color theme="0"/>
      <name val="Calibri"/>
      <family val="2"/>
      <scheme val="minor"/>
    </font>
    <font>
      <sz val="10"/>
      <color theme="1"/>
      <name val="Calibri"/>
      <family val="2"/>
      <scheme val="minor"/>
    </font>
    <font>
      <sz val="11"/>
      <name val="Calibri"/>
      <family val="2"/>
      <charset val="1"/>
      <scheme val="minor"/>
    </font>
    <font>
      <sz val="11"/>
      <color theme="1"/>
      <name val="Calibri"/>
      <family val="2"/>
      <charset val="1"/>
      <scheme val="minor"/>
    </font>
    <font>
      <b/>
      <sz val="9"/>
      <color theme="1"/>
      <name val="Tahoma"/>
      <family val="2"/>
    </font>
    <font>
      <b/>
      <sz val="16"/>
      <color theme="1"/>
      <name val="Calibri"/>
      <family val="2"/>
      <scheme val="minor"/>
    </font>
    <font>
      <b/>
      <sz val="11"/>
      <color theme="0"/>
      <name val="Calibri"/>
      <family val="2"/>
      <scheme val="minor"/>
    </font>
    <font>
      <sz val="11"/>
      <color theme="0"/>
      <name val="Calibri"/>
      <family val="2"/>
      <scheme val="minor"/>
    </font>
    <font>
      <b/>
      <sz val="10"/>
      <color theme="0"/>
      <name val="Calibri"/>
      <family val="2"/>
      <scheme val="minor"/>
    </font>
    <font>
      <sz val="11"/>
      <color theme="1"/>
      <name val="Arial Narrow"/>
      <family val="2"/>
    </font>
    <font>
      <b/>
      <sz val="22"/>
      <color theme="1"/>
      <name val="Arial Narrow"/>
      <family val="2"/>
    </font>
    <font>
      <sz val="11"/>
      <name val="Arial Narrow"/>
      <family val="2"/>
    </font>
    <font>
      <sz val="8"/>
      <name val="Arial Narrow"/>
      <family val="2"/>
    </font>
    <font>
      <sz val="11"/>
      <name val="Cambria"/>
      <family val="1"/>
      <scheme val="major"/>
    </font>
    <font>
      <sz val="9"/>
      <name val="Calibri"/>
      <family val="2"/>
      <scheme val="minor"/>
    </font>
    <font>
      <sz val="8"/>
      <color theme="1"/>
      <name val="Arial Narrow"/>
      <family val="2"/>
    </font>
    <font>
      <sz val="9"/>
      <color rgb="FFFF0000"/>
      <name val="Calibri"/>
      <family val="2"/>
      <scheme val="minor"/>
    </font>
    <font>
      <sz val="9"/>
      <color rgb="FF000000"/>
      <name val="Calibri"/>
      <family val="2"/>
    </font>
    <font>
      <b/>
      <sz val="11"/>
      <name val="Arial Narrow"/>
      <family val="2"/>
    </font>
    <font>
      <b/>
      <sz val="12"/>
      <color theme="0"/>
      <name val="Arial Narrow"/>
      <family val="2"/>
    </font>
    <font>
      <b/>
      <sz val="14"/>
      <color theme="0"/>
      <name val="Arial Narrow"/>
      <family val="2"/>
    </font>
    <font>
      <sz val="14"/>
      <color theme="1"/>
      <name val="Arial Narrow"/>
      <family val="2"/>
    </font>
    <font>
      <b/>
      <sz val="11"/>
      <color theme="0"/>
      <name val="Arial Narrow"/>
      <family val="2"/>
    </font>
    <font>
      <b/>
      <sz val="16"/>
      <color theme="0"/>
      <name val="Arial Narrow"/>
      <family val="2"/>
    </font>
    <font>
      <b/>
      <sz val="14"/>
      <color theme="1"/>
      <name val="Arial Narrow"/>
      <family val="2"/>
    </font>
    <font>
      <b/>
      <sz val="18"/>
      <color theme="1"/>
      <name val="Arial Narrow"/>
      <family val="2"/>
    </font>
    <font>
      <sz val="16"/>
      <color theme="1"/>
      <name val="Tahoma"/>
      <family val="2"/>
    </font>
    <font>
      <u/>
      <sz val="11"/>
      <color theme="10"/>
      <name val="Calibri"/>
      <family val="2"/>
      <charset val="1"/>
      <scheme val="minor"/>
    </font>
    <font>
      <u/>
      <sz val="16"/>
      <color theme="10"/>
      <name val="Calibri"/>
      <family val="2"/>
      <charset val="1"/>
      <scheme val="minor"/>
    </font>
    <font>
      <b/>
      <i/>
      <sz val="12"/>
      <color theme="1"/>
      <name val="Arial Narrow"/>
      <family val="2"/>
    </font>
    <font>
      <sz val="11"/>
      <color rgb="FFFF0000"/>
      <name val="Calibri"/>
      <family val="2"/>
      <charset val="1"/>
      <scheme val="minor"/>
    </font>
    <font>
      <b/>
      <sz val="12"/>
      <color rgb="FFFF0000"/>
      <name val="Calibri"/>
      <family val="2"/>
      <scheme val="minor"/>
    </font>
    <font>
      <b/>
      <sz val="11"/>
      <color rgb="FFFF0000"/>
      <name val="Calibri"/>
      <family val="2"/>
      <scheme val="minor"/>
    </font>
    <font>
      <sz val="18"/>
      <color theme="1"/>
      <name val="Calibri"/>
      <family val="2"/>
      <charset val="1"/>
      <scheme val="minor"/>
    </font>
    <font>
      <b/>
      <sz val="11"/>
      <name val="Calibri"/>
      <family val="2"/>
      <scheme val="minor"/>
    </font>
    <font>
      <b/>
      <sz val="12"/>
      <name val="Calibri"/>
      <family val="2"/>
      <scheme val="minor"/>
    </font>
    <font>
      <b/>
      <sz val="16"/>
      <name val="Calibri"/>
      <family val="2"/>
      <scheme val="minor"/>
    </font>
    <font>
      <b/>
      <sz val="14"/>
      <color theme="0"/>
      <name val="Calibri"/>
      <family val="2"/>
      <scheme val="minor"/>
    </font>
    <font>
      <b/>
      <sz val="20"/>
      <color theme="1"/>
      <name val="Calibri"/>
      <family val="2"/>
      <scheme val="minor"/>
    </font>
    <font>
      <b/>
      <sz val="11"/>
      <color theme="1"/>
      <name val="Tahoma"/>
      <family val="2"/>
    </font>
    <font>
      <sz val="14"/>
      <color theme="0"/>
      <name val="Calibri"/>
      <family val="2"/>
      <charset val="1"/>
      <scheme val="minor"/>
    </font>
    <font>
      <sz val="8"/>
      <color theme="1"/>
      <name val="Calibri"/>
      <family val="2"/>
      <charset val="1"/>
      <scheme val="minor"/>
    </font>
    <font>
      <sz val="9"/>
      <color theme="1"/>
      <name val="Calibri"/>
      <family val="2"/>
      <charset val="1"/>
      <scheme val="minor"/>
    </font>
    <font>
      <sz val="10"/>
      <color theme="0"/>
      <name val="Tahoma"/>
      <family val="2"/>
    </font>
    <font>
      <sz val="11"/>
      <color theme="0"/>
      <name val="Tahoma"/>
      <family val="2"/>
    </font>
    <font>
      <sz val="8"/>
      <color theme="1"/>
      <name val="Tahoma"/>
      <family val="2"/>
    </font>
    <font>
      <sz val="12"/>
      <color rgb="FFFF0000"/>
      <name val="Calibri"/>
      <family val="2"/>
      <scheme val="minor"/>
    </font>
    <font>
      <sz val="12"/>
      <color theme="0"/>
      <name val="Calibri"/>
      <family val="2"/>
      <scheme val="minor"/>
    </font>
    <font>
      <b/>
      <sz val="11"/>
      <color theme="1"/>
      <name val="Calibri"/>
      <family val="2"/>
      <charset val="1"/>
      <scheme val="minor"/>
    </font>
    <font>
      <b/>
      <sz val="14"/>
      <color rgb="FFC00000"/>
      <name val="Calibri"/>
      <family val="2"/>
      <scheme val="minor"/>
    </font>
    <font>
      <sz val="14"/>
      <color rgb="FFC00000"/>
      <name val="Calibri"/>
      <family val="2"/>
      <scheme val="minor"/>
    </font>
    <font>
      <sz val="12"/>
      <name val="Calibri"/>
      <family val="2"/>
      <scheme val="minor"/>
    </font>
    <font>
      <sz val="11"/>
      <color theme="0"/>
      <name val="Calibri"/>
      <family val="2"/>
      <charset val="1"/>
      <scheme val="minor"/>
    </font>
    <font>
      <b/>
      <sz val="14"/>
      <name val="Calibri"/>
      <family val="2"/>
      <scheme val="minor"/>
    </font>
    <font>
      <b/>
      <sz val="10"/>
      <name val="Calibri"/>
      <family val="2"/>
      <scheme val="minor"/>
    </font>
    <font>
      <sz val="16"/>
      <color theme="1"/>
      <name val="Calibri"/>
      <family val="2"/>
      <scheme val="minor"/>
    </font>
    <font>
      <sz val="12"/>
      <color rgb="FFC00000"/>
      <name val="Calibri"/>
      <family val="2"/>
      <scheme val="minor"/>
    </font>
    <font>
      <b/>
      <sz val="12"/>
      <color rgb="FFC00000"/>
      <name val="Calibri"/>
      <family val="2"/>
      <scheme val="minor"/>
    </font>
    <font>
      <sz val="16"/>
      <color theme="1"/>
      <name val="Calibri"/>
      <family val="2"/>
      <charset val="1"/>
      <scheme val="minor"/>
    </font>
    <font>
      <sz val="12"/>
      <color theme="0"/>
      <name val="Calibri"/>
      <family val="2"/>
      <charset val="1"/>
      <scheme val="minor"/>
    </font>
    <font>
      <sz val="14"/>
      <color rgb="FFFF0000"/>
      <name val="Calibri"/>
      <family val="2"/>
      <charset val="1"/>
      <scheme val="minor"/>
    </font>
    <font>
      <b/>
      <sz val="10"/>
      <color theme="1"/>
      <name val="Tahoma"/>
      <family val="2"/>
    </font>
    <font>
      <sz val="20"/>
      <name val="Calibri"/>
      <family val="2"/>
      <scheme val="minor"/>
    </font>
    <font>
      <sz val="11"/>
      <color rgb="FF000000"/>
      <name val="Calibri"/>
      <family val="2"/>
      <scheme val="minor"/>
    </font>
    <font>
      <sz val="14"/>
      <name val="Calibri"/>
      <family val="2"/>
      <scheme val="minor"/>
    </font>
    <font>
      <sz val="9"/>
      <color theme="1"/>
      <name val="Arial"/>
      <family val="2"/>
    </font>
    <font>
      <b/>
      <sz val="16"/>
      <color theme="1"/>
      <name val="Tahoma"/>
      <family val="2"/>
    </font>
    <font>
      <b/>
      <sz val="14"/>
      <color theme="1"/>
      <name val="Tahoma"/>
      <family val="2"/>
    </font>
    <font>
      <sz val="12"/>
      <color theme="0"/>
      <name val="Tahoma"/>
      <family val="2"/>
    </font>
    <font>
      <sz val="18"/>
      <color theme="1"/>
      <name val="Tahoma"/>
      <family val="2"/>
    </font>
    <font>
      <b/>
      <sz val="16"/>
      <color theme="0"/>
      <name val="Tahoma"/>
      <family val="2"/>
    </font>
    <font>
      <sz val="9"/>
      <name val="Arial"/>
      <family val="2"/>
    </font>
    <font>
      <sz val="11"/>
      <color rgb="FF0F243E"/>
      <name val="Arial"/>
      <family val="2"/>
    </font>
    <font>
      <sz val="12"/>
      <color indexed="8"/>
      <name val="Calibri"/>
      <family val="2"/>
    </font>
    <font>
      <sz val="20"/>
      <color theme="1"/>
      <name val="Brush Script MT"/>
      <family val="4"/>
    </font>
    <font>
      <sz val="14"/>
      <name val="Arial"/>
      <family val="2"/>
    </font>
    <font>
      <sz val="18"/>
      <color theme="1"/>
      <name val="Calibri"/>
      <family val="2"/>
      <scheme val="minor"/>
    </font>
    <font>
      <sz val="14"/>
      <name val="Calibri"/>
      <family val="2"/>
      <charset val="1"/>
      <scheme val="minor"/>
    </font>
    <font>
      <sz val="10"/>
      <name val="Calibri"/>
      <family val="2"/>
      <charset val="1"/>
      <scheme val="minor"/>
    </font>
    <font>
      <b/>
      <sz val="11"/>
      <name val="Tahoma"/>
      <family val="2"/>
    </font>
    <font>
      <b/>
      <sz val="14"/>
      <color theme="1"/>
      <name val="Calibri"/>
      <family val="2"/>
      <charset val="1"/>
      <scheme val="minor"/>
    </font>
    <font>
      <b/>
      <sz val="14"/>
      <color rgb="FFFF0000"/>
      <name val="Calibri"/>
      <family val="2"/>
      <charset val="1"/>
      <scheme val="minor"/>
    </font>
    <font>
      <b/>
      <sz val="16"/>
      <color theme="1"/>
      <name val="Calibri"/>
      <family val="2"/>
      <charset val="1"/>
      <scheme val="minor"/>
    </font>
    <font>
      <b/>
      <sz val="12"/>
      <color rgb="FFFF0000"/>
      <name val="Calibri"/>
      <family val="2"/>
      <charset val="1"/>
      <scheme val="minor"/>
    </font>
    <font>
      <sz val="12"/>
      <color rgb="FFC00000"/>
      <name val="Calibri"/>
      <family val="2"/>
      <charset val="1"/>
      <scheme val="minor"/>
    </font>
    <font>
      <sz val="16"/>
      <name val="Calibri"/>
      <family val="2"/>
      <charset val="1"/>
      <scheme val="minor"/>
    </font>
    <font>
      <b/>
      <sz val="20"/>
      <color rgb="FFFF0000"/>
      <name val="Calibri"/>
      <family val="2"/>
      <scheme val="minor"/>
    </font>
    <font>
      <sz val="10"/>
      <color rgb="FFC00000"/>
      <name val="Calibri"/>
      <family val="2"/>
      <scheme val="minor"/>
    </font>
    <font>
      <sz val="11"/>
      <color rgb="FFC00000"/>
      <name val="Tahoma"/>
      <family val="2"/>
    </font>
    <font>
      <sz val="11"/>
      <color rgb="FFFFFF00"/>
      <name val="Calibri"/>
      <family val="2"/>
      <charset val="1"/>
      <scheme val="minor"/>
    </font>
    <font>
      <sz val="12"/>
      <color rgb="FFFFFF00"/>
      <name val="Calibri"/>
      <family val="2"/>
      <charset val="1"/>
      <scheme val="minor"/>
    </font>
    <font>
      <b/>
      <sz val="12"/>
      <color rgb="FFFFFF00"/>
      <name val="Calibri"/>
      <family val="2"/>
      <charset val="1"/>
      <scheme val="minor"/>
    </font>
    <font>
      <b/>
      <i/>
      <sz val="12"/>
      <color rgb="FF66FF33"/>
      <name val="Arial Narrow"/>
      <family val="2"/>
    </font>
    <font>
      <b/>
      <u/>
      <sz val="11"/>
      <color theme="1"/>
      <name val="Tahoma"/>
      <family val="2"/>
    </font>
    <font>
      <sz val="13"/>
      <color theme="1"/>
      <name val="Calibri"/>
      <family val="2"/>
      <scheme val="minor"/>
    </font>
    <font>
      <b/>
      <sz val="13"/>
      <color theme="1"/>
      <name val="Calibri"/>
      <family val="2"/>
      <scheme val="minor"/>
    </font>
    <font>
      <u/>
      <sz val="11"/>
      <color theme="1"/>
      <name val="Tahoma"/>
      <family val="2"/>
    </font>
    <font>
      <sz val="14"/>
      <color theme="0"/>
      <name val="Tahoma"/>
      <family val="2"/>
    </font>
    <font>
      <b/>
      <sz val="22"/>
      <color theme="1"/>
      <name val="Cambria"/>
      <family val="1"/>
      <scheme val="major"/>
    </font>
    <font>
      <b/>
      <sz val="11"/>
      <color theme="1"/>
      <name val="Arial Narrow"/>
      <family val="2"/>
    </font>
    <font>
      <b/>
      <sz val="12"/>
      <name val="Berlin Sans FB Demi"/>
      <family val="2"/>
    </font>
    <font>
      <i/>
      <sz val="11"/>
      <color theme="1"/>
      <name val="Calibri"/>
      <family val="2"/>
      <scheme val="minor"/>
    </font>
    <font>
      <i/>
      <sz val="10"/>
      <color theme="1"/>
      <name val="Calibri"/>
      <family val="2"/>
      <scheme val="minor"/>
    </font>
    <font>
      <sz val="18"/>
      <color theme="0"/>
      <name val="Tahoma"/>
      <family val="2"/>
    </font>
    <font>
      <i/>
      <sz val="10"/>
      <color theme="0"/>
      <name val="Calibri"/>
      <family val="2"/>
      <scheme val="minor"/>
    </font>
    <font>
      <b/>
      <sz val="18"/>
      <color theme="1"/>
      <name val="Tahoma"/>
      <family val="2"/>
    </font>
    <font>
      <sz val="16"/>
      <name val="Calibri"/>
      <family val="2"/>
      <scheme val="minor"/>
    </font>
    <font>
      <sz val="12"/>
      <name val="Calibri"/>
      <family val="2"/>
      <charset val="1"/>
      <scheme val="minor"/>
    </font>
    <font>
      <sz val="22"/>
      <color theme="1"/>
      <name val="Calibri"/>
      <family val="2"/>
      <charset val="1"/>
      <scheme val="minor"/>
    </font>
    <font>
      <sz val="10"/>
      <color rgb="FF000000"/>
      <name val="Tahoma"/>
      <family val="2"/>
    </font>
    <font>
      <sz val="14"/>
      <color theme="0"/>
      <name val="Calibri"/>
      <family val="2"/>
      <scheme val="minor"/>
    </font>
    <font>
      <sz val="16"/>
      <color theme="0"/>
      <name val="Calibri"/>
      <family val="2"/>
      <scheme val="minor"/>
    </font>
    <font>
      <b/>
      <sz val="16"/>
      <color theme="0"/>
      <name val="Calibri"/>
      <family val="2"/>
      <scheme val="minor"/>
    </font>
    <font>
      <sz val="8"/>
      <color theme="0"/>
      <name val="Calibri"/>
      <family val="2"/>
      <charset val="1"/>
      <scheme val="minor"/>
    </font>
    <font>
      <b/>
      <sz val="11"/>
      <color theme="0"/>
      <name val="Calibri"/>
      <family val="2"/>
      <charset val="1"/>
      <scheme val="minor"/>
    </font>
    <font>
      <sz val="13"/>
      <color theme="1"/>
      <name val="Calibri"/>
      <family val="2"/>
      <charset val="1"/>
      <scheme val="minor"/>
    </font>
    <font>
      <b/>
      <sz val="13"/>
      <color theme="1"/>
      <name val="Calibri"/>
      <family val="2"/>
      <charset val="1"/>
      <scheme val="minor"/>
    </font>
    <font>
      <sz val="11"/>
      <color rgb="FFC00000"/>
      <name val="Calibri"/>
      <family val="2"/>
      <charset val="1"/>
      <scheme val="minor"/>
    </font>
    <font>
      <u/>
      <sz val="12"/>
      <color theme="1"/>
      <name val="Tahoma"/>
      <family val="2"/>
    </font>
    <font>
      <sz val="10"/>
      <color rgb="FFC00000"/>
      <name val="Tahoma"/>
      <family val="2"/>
    </font>
    <font>
      <b/>
      <sz val="10"/>
      <color theme="1"/>
      <name val="Calibri"/>
      <family val="2"/>
      <charset val="1"/>
      <scheme val="minor"/>
    </font>
    <font>
      <b/>
      <sz val="10"/>
      <color rgb="FFFF0000"/>
      <name val="Calibri"/>
      <family val="2"/>
      <scheme val="minor"/>
    </font>
    <font>
      <sz val="11"/>
      <color rgb="FFC00000"/>
      <name val="Calibri"/>
      <family val="2"/>
      <scheme val="minor"/>
    </font>
    <font>
      <sz val="11"/>
      <color rgb="FFFF0000"/>
      <name val="Calibri"/>
      <family val="2"/>
      <scheme val="minor"/>
    </font>
    <font>
      <b/>
      <sz val="16"/>
      <name val="Tahoma"/>
      <family val="2"/>
    </font>
    <font>
      <sz val="18"/>
      <name val="Tahoma"/>
      <family val="2"/>
    </font>
    <font>
      <sz val="10"/>
      <color rgb="FFFF0000"/>
      <name val="Calibri"/>
      <family val="2"/>
      <scheme val="minor"/>
    </font>
    <font>
      <b/>
      <sz val="12"/>
      <color theme="1"/>
      <name val="Calibri"/>
      <family val="2"/>
      <charset val="1"/>
      <scheme val="minor"/>
    </font>
    <font>
      <b/>
      <sz val="12"/>
      <name val="Tahoma"/>
      <family val="2"/>
    </font>
    <font>
      <sz val="12"/>
      <color rgb="FFFF0000"/>
      <name val="Tahoma"/>
      <family val="2"/>
    </font>
    <font>
      <u/>
      <sz val="28"/>
      <color rgb="FFC00000"/>
      <name val="Calibri"/>
      <family val="2"/>
      <charset val="1"/>
      <scheme val="minor"/>
    </font>
    <font>
      <sz val="28"/>
      <color rgb="FFC00000"/>
      <name val="Calibri"/>
      <family val="2"/>
      <charset val="1"/>
      <scheme val="minor"/>
    </font>
    <font>
      <u/>
      <sz val="11"/>
      <color theme="0"/>
      <name val="Calibri"/>
      <family val="2"/>
      <charset val="1"/>
      <scheme val="minor"/>
    </font>
    <font>
      <u/>
      <sz val="11"/>
      <name val="Calibri"/>
      <family val="2"/>
      <charset val="1"/>
      <scheme val="minor"/>
    </font>
    <font>
      <b/>
      <sz val="11"/>
      <name val="Calibri"/>
      <family val="2"/>
      <charset val="1"/>
      <scheme val="minor"/>
    </font>
  </fonts>
  <fills count="47">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rgb="FF00B050"/>
        <bgColor indexed="64"/>
      </patternFill>
    </fill>
    <fill>
      <patternFill patternType="solid">
        <fgColor rgb="FF92D050"/>
        <bgColor indexed="64"/>
      </patternFill>
    </fill>
    <fill>
      <patternFill patternType="solid">
        <fgColor rgb="FF00B0F0"/>
        <bgColor indexed="64"/>
      </patternFill>
    </fill>
    <fill>
      <patternFill patternType="solid">
        <fgColor rgb="FFFFFF66"/>
        <bgColor indexed="64"/>
      </patternFill>
    </fill>
    <fill>
      <patternFill patternType="solid">
        <fgColor rgb="FFCCECFF"/>
        <bgColor indexed="64"/>
      </patternFill>
    </fill>
    <fill>
      <patternFill patternType="solid">
        <fgColor rgb="FF66FFFF"/>
        <bgColor indexed="64"/>
      </patternFill>
    </fill>
    <fill>
      <patternFill patternType="solid">
        <fgColor theme="0"/>
        <bgColor indexed="64"/>
      </patternFill>
    </fill>
    <fill>
      <patternFill patternType="solid">
        <fgColor rgb="FFFF0000"/>
        <bgColor indexed="64"/>
      </patternFill>
    </fill>
    <fill>
      <patternFill patternType="solid">
        <fgColor rgb="FFFF99FF"/>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00206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99FF33"/>
        <bgColor indexed="64"/>
      </patternFill>
    </fill>
    <fill>
      <patternFill patternType="solid">
        <fgColor rgb="FF00FFFF"/>
        <bgColor indexed="64"/>
      </patternFill>
    </fill>
    <fill>
      <patternFill patternType="solid">
        <fgColor theme="7"/>
        <bgColor indexed="64"/>
      </patternFill>
    </fill>
    <fill>
      <patternFill patternType="solid">
        <fgColor theme="1"/>
        <bgColor indexed="64"/>
      </patternFill>
    </fill>
    <fill>
      <patternFill patternType="solid">
        <fgColor rgb="FFC0000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9" tint="0.79998168889431442"/>
        <bgColor indexed="64"/>
      </patternFill>
    </fill>
    <fill>
      <patternFill patternType="solid">
        <fgColor rgb="FFFFCCFF"/>
        <bgColor indexed="64"/>
      </patternFill>
    </fill>
    <fill>
      <patternFill patternType="solid">
        <fgColor theme="9"/>
        <bgColor indexed="64"/>
      </patternFill>
    </fill>
    <fill>
      <patternFill patternType="solid">
        <fgColor rgb="FF7030A0"/>
        <bgColor indexed="64"/>
      </patternFill>
    </fill>
    <fill>
      <patternFill patternType="solid">
        <fgColor rgb="FF0070C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rgb="FF66FF33"/>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rgb="FFCCFFFF"/>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theme="5"/>
        <bgColor indexed="64"/>
      </patternFill>
    </fill>
  </fills>
  <borders count="8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indexed="64"/>
      </left>
      <right style="thin">
        <color rgb="FF000000"/>
      </right>
      <top style="thin">
        <color indexed="64"/>
      </top>
      <bottom style="medium">
        <color indexed="64"/>
      </bottom>
      <diagonal/>
    </border>
    <border>
      <left style="thin">
        <color rgb="FF000000"/>
      </left>
      <right style="thin">
        <color rgb="FF000000"/>
      </right>
      <top/>
      <bottom style="thin">
        <color rgb="FF000000"/>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style="medium">
        <color indexed="64"/>
      </right>
      <top/>
      <bottom/>
      <diagonal/>
    </border>
    <border>
      <left style="thin">
        <color indexed="64"/>
      </left>
      <right/>
      <top/>
      <bottom style="medium">
        <color indexed="64"/>
      </bottom>
      <diagonal/>
    </border>
    <border>
      <left style="thin">
        <color indexed="64"/>
      </left>
      <right style="thin">
        <color rgb="FF000000"/>
      </right>
      <top/>
      <bottom style="thin">
        <color indexed="64"/>
      </bottom>
      <diagonal/>
    </border>
  </borders>
  <cellStyleXfs count="8">
    <xf numFmtId="0" fontId="0" fillId="0" borderId="0"/>
    <xf numFmtId="0" fontId="11" fillId="0" borderId="0"/>
    <xf numFmtId="0" fontId="30" fillId="0" borderId="0"/>
    <xf numFmtId="0" fontId="11" fillId="0" borderId="0"/>
    <xf numFmtId="0" fontId="17" fillId="0" borderId="0"/>
    <xf numFmtId="0" fontId="17" fillId="0" borderId="0"/>
    <xf numFmtId="0" fontId="17" fillId="0" borderId="0"/>
    <xf numFmtId="0" fontId="54" fillId="0" borderId="0" applyNumberFormat="0" applyFill="0" applyBorder="0" applyAlignment="0" applyProtection="0"/>
  </cellStyleXfs>
  <cellXfs count="3451">
    <xf numFmtId="0" fontId="0" fillId="0" borderId="0" xfId="0"/>
    <xf numFmtId="0" fontId="1" fillId="0" borderId="0" xfId="0" applyFont="1"/>
    <xf numFmtId="0" fontId="4" fillId="9" borderId="3" xfId="0" applyFont="1" applyFill="1" applyBorder="1" applyAlignment="1">
      <alignment horizontal="center" vertical="center"/>
    </xf>
    <xf numFmtId="0" fontId="8" fillId="0" borderId="1" xfId="0" applyFont="1" applyBorder="1" applyAlignment="1">
      <alignment horizontal="center"/>
    </xf>
    <xf numFmtId="0" fontId="1" fillId="0" borderId="0" xfId="0" applyFont="1" applyAlignment="1">
      <alignment vertical="center"/>
    </xf>
    <xf numFmtId="0" fontId="5" fillId="0" borderId="0" xfId="0" applyFont="1" applyAlignment="1">
      <alignment vertical="center"/>
    </xf>
    <xf numFmtId="0" fontId="1" fillId="0" borderId="0" xfId="0" applyFont="1" applyBorder="1"/>
    <xf numFmtId="0" fontId="0" fillId="5" borderId="0" xfId="0" applyFill="1" applyBorder="1"/>
    <xf numFmtId="0" fontId="1" fillId="0" borderId="1" xfId="0" applyFont="1" applyBorder="1"/>
    <xf numFmtId="0" fontId="1" fillId="0" borderId="0" xfId="0" applyFont="1" applyFill="1" applyBorder="1"/>
    <xf numFmtId="0" fontId="10" fillId="0" borderId="0" xfId="0" applyFont="1" applyFill="1" applyBorder="1" applyAlignment="1" applyProtection="1">
      <alignment horizontal="center" vertical="center"/>
      <protection locked="0"/>
    </xf>
    <xf numFmtId="0" fontId="13" fillId="0" borderId="6" xfId="0" applyFont="1" applyBorder="1" applyAlignment="1">
      <alignment horizontal="center" vertical="center"/>
    </xf>
    <xf numFmtId="0" fontId="13" fillId="0" borderId="6" xfId="0" applyFont="1" applyFill="1" applyBorder="1" applyAlignment="1">
      <alignment horizontal="center" vertical="center"/>
    </xf>
    <xf numFmtId="0" fontId="13" fillId="0" borderId="29" xfId="0" applyFont="1" applyBorder="1" applyAlignment="1">
      <alignment horizontal="center" vertical="center"/>
    </xf>
    <xf numFmtId="0" fontId="5" fillId="0" borderId="1" xfId="0" applyFont="1" applyFill="1" applyBorder="1" applyAlignment="1" applyProtection="1">
      <alignment horizontal="center" vertical="center"/>
      <protection locked="0"/>
    </xf>
    <xf numFmtId="0" fontId="5" fillId="0" borderId="3" xfId="0" applyFont="1" applyFill="1" applyBorder="1" applyAlignment="1">
      <alignment horizontal="center" vertical="center"/>
    </xf>
    <xf numFmtId="1" fontId="5" fillId="0" borderId="1" xfId="0" applyNumberFormat="1" applyFont="1" applyFill="1" applyBorder="1" applyAlignment="1" applyProtection="1">
      <alignment horizontal="center" vertical="center"/>
      <protection locked="0"/>
    </xf>
    <xf numFmtId="0" fontId="5" fillId="0" borderId="1" xfId="0" applyFont="1" applyFill="1" applyBorder="1" applyAlignment="1">
      <alignment horizontal="center" vertical="center"/>
    </xf>
    <xf numFmtId="1" fontId="4" fillId="9" borderId="3" xfId="0" applyNumberFormat="1" applyFont="1" applyFill="1" applyBorder="1" applyAlignment="1">
      <alignment horizontal="center" vertical="center"/>
    </xf>
    <xf numFmtId="1" fontId="1" fillId="9" borderId="3" xfId="0" applyNumberFormat="1" applyFont="1" applyFill="1" applyBorder="1" applyAlignment="1">
      <alignment horizontal="center" vertical="center"/>
    </xf>
    <xf numFmtId="164" fontId="1" fillId="3" borderId="3" xfId="0" applyNumberFormat="1" applyFont="1" applyFill="1" applyBorder="1" applyAlignment="1">
      <alignment horizontal="center" vertical="center"/>
    </xf>
    <xf numFmtId="164" fontId="1" fillId="3" borderId="1" xfId="0" applyNumberFormat="1" applyFont="1" applyFill="1" applyBorder="1" applyAlignment="1">
      <alignment horizontal="center" vertical="center"/>
    </xf>
    <xf numFmtId="0" fontId="1" fillId="0" borderId="1" xfId="0" applyFont="1" applyFill="1" applyBorder="1" applyAlignment="1" applyProtection="1">
      <alignment horizontal="center" vertical="center"/>
      <protection locked="0"/>
    </xf>
    <xf numFmtId="1" fontId="1" fillId="0" borderId="1" xfId="0" applyNumberFormat="1" applyFont="1" applyFill="1" applyBorder="1" applyAlignment="1" applyProtection="1">
      <alignment horizontal="center" vertical="center"/>
      <protection locked="0"/>
    </xf>
    <xf numFmtId="0" fontId="1" fillId="0" borderId="1" xfId="0" applyFont="1" applyFill="1" applyBorder="1" applyAlignment="1">
      <alignment horizontal="center" vertical="center"/>
    </xf>
    <xf numFmtId="0" fontId="1" fillId="0" borderId="3" xfId="0"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3" xfId="0" applyFont="1" applyFill="1" applyBorder="1" applyAlignment="1" applyProtection="1">
      <alignment horizontal="center" vertical="center"/>
      <protection locked="0"/>
    </xf>
    <xf numFmtId="0" fontId="1" fillId="0" borderId="3" xfId="0" applyFont="1" applyBorder="1" applyAlignment="1">
      <alignment horizontal="center" vertical="center"/>
    </xf>
    <xf numFmtId="0" fontId="19" fillId="0" borderId="0" xfId="0" applyFont="1"/>
    <xf numFmtId="0" fontId="23" fillId="0" borderId="0" xfId="0" applyFont="1" applyAlignment="1">
      <alignment horizontal="center" vertical="center"/>
    </xf>
    <xf numFmtId="0" fontId="12" fillId="4" borderId="1" xfId="0" applyFont="1" applyFill="1" applyBorder="1" applyAlignment="1">
      <alignment horizontal="center" vertical="center"/>
    </xf>
    <xf numFmtId="0" fontId="12" fillId="7" borderId="1" xfId="0" applyFont="1" applyFill="1" applyBorder="1" applyAlignment="1">
      <alignment horizontal="center" vertical="center"/>
    </xf>
    <xf numFmtId="0" fontId="12" fillId="8" borderId="1" xfId="0" applyFont="1" applyFill="1" applyBorder="1" applyAlignment="1">
      <alignment horizontal="center" vertical="center"/>
    </xf>
    <xf numFmtId="0" fontId="0" fillId="0" borderId="3" xfId="0" applyBorder="1" applyAlignment="1">
      <alignment horizontal="center" vertical="center"/>
    </xf>
    <xf numFmtId="0" fontId="11" fillId="0" borderId="1" xfId="0" applyFont="1" applyBorder="1" applyAlignment="1">
      <alignment horizontal="left" vertical="center" indent="1"/>
    </xf>
    <xf numFmtId="0" fontId="25" fillId="0" borderId="6" xfId="0" applyFont="1" applyBorder="1" applyAlignment="1">
      <alignment horizontal="center" vertical="center"/>
    </xf>
    <xf numFmtId="0" fontId="10" fillId="0" borderId="3" xfId="0" applyFont="1" applyBorder="1" applyAlignment="1">
      <alignment horizontal="center" vertical="center"/>
    </xf>
    <xf numFmtId="164" fontId="10" fillId="0" borderId="3" xfId="0" applyNumberFormat="1" applyFont="1" applyBorder="1" applyAlignment="1">
      <alignment horizontal="center" vertical="center"/>
    </xf>
    <xf numFmtId="1" fontId="1" fillId="0" borderId="3" xfId="0" applyNumberFormat="1" applyFont="1" applyBorder="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10" fillId="0" borderId="1" xfId="0" applyNumberFormat="1" applyFont="1" applyBorder="1" applyAlignment="1">
      <alignment horizontal="center" vertical="center"/>
    </xf>
    <xf numFmtId="0" fontId="25" fillId="0" borderId="6" xfId="0" applyFont="1" applyFill="1" applyBorder="1" applyAlignment="1">
      <alignment horizontal="center" vertical="center"/>
    </xf>
    <xf numFmtId="0" fontId="25" fillId="0" borderId="29" xfId="0" applyFont="1" applyBorder="1" applyAlignment="1">
      <alignment horizontal="center" vertical="center"/>
    </xf>
    <xf numFmtId="0" fontId="9" fillId="0" borderId="1" xfId="0" applyFont="1" applyBorder="1" applyAlignment="1">
      <alignment horizontal="center" vertical="center"/>
    </xf>
    <xf numFmtId="0" fontId="0" fillId="0" borderId="1" xfId="0" applyBorder="1"/>
    <xf numFmtId="1" fontId="14" fillId="7" borderId="1" xfId="1" applyNumberFormat="1" applyFont="1" applyFill="1" applyBorder="1" applyAlignment="1">
      <alignment horizontal="left" vertical="center"/>
    </xf>
    <xf numFmtId="0" fontId="25" fillId="0" borderId="1" xfId="0" applyFont="1" applyBorder="1" applyAlignment="1">
      <alignment horizontal="center" vertical="center"/>
    </xf>
    <xf numFmtId="0" fontId="9" fillId="16" borderId="1" xfId="0" applyFont="1" applyFill="1" applyBorder="1" applyAlignment="1">
      <alignment horizontal="center" vertical="center"/>
    </xf>
    <xf numFmtId="0" fontId="0" fillId="0" borderId="1" xfId="0" applyFill="1" applyBorder="1" applyAlignment="1">
      <alignment horizontal="center" vertical="center"/>
    </xf>
    <xf numFmtId="0" fontId="0" fillId="3" borderId="1" xfId="0" applyFill="1" applyBorder="1"/>
    <xf numFmtId="0" fontId="9" fillId="3" borderId="1" xfId="0" applyFont="1" applyFill="1" applyBorder="1" applyAlignment="1">
      <alignment horizontal="center" vertical="center"/>
    </xf>
    <xf numFmtId="0" fontId="10" fillId="3" borderId="1" xfId="0" applyFont="1" applyFill="1" applyBorder="1" applyAlignment="1">
      <alignment horizontal="center" vertical="center"/>
    </xf>
    <xf numFmtId="0" fontId="0" fillId="0" borderId="1" xfId="0" applyFill="1" applyBorder="1"/>
    <xf numFmtId="1" fontId="10" fillId="3" borderId="1" xfId="0" applyNumberFormat="1" applyFont="1" applyFill="1" applyBorder="1" applyAlignment="1">
      <alignment horizontal="center" vertical="center"/>
    </xf>
    <xf numFmtId="0" fontId="10" fillId="0" borderId="0" xfId="0" applyFont="1"/>
    <xf numFmtId="0" fontId="0" fillId="0" borderId="0" xfId="0" applyAlignment="1">
      <alignment horizontal="center"/>
    </xf>
    <xf numFmtId="0" fontId="2" fillId="0" borderId="3" xfId="0" applyFont="1" applyBorder="1" applyAlignment="1">
      <alignment horizontal="center" vertical="center"/>
    </xf>
    <xf numFmtId="0" fontId="29" fillId="0" borderId="1" xfId="0" applyFont="1" applyBorder="1" applyAlignment="1">
      <alignment horizontal="center" vertical="center"/>
    </xf>
    <xf numFmtId="0" fontId="31" fillId="0" borderId="0" xfId="0" applyFont="1" applyBorder="1" applyAlignment="1">
      <alignment vertical="center"/>
    </xf>
    <xf numFmtId="0" fontId="23" fillId="0" borderId="0" xfId="0" applyFont="1" applyFill="1" applyBorder="1" applyAlignment="1" applyProtection="1">
      <alignment horizontal="center" vertical="center"/>
      <protection locked="0"/>
    </xf>
    <xf numFmtId="0" fontId="27" fillId="0" borderId="0" xfId="0" applyFont="1" applyFill="1" applyBorder="1" applyAlignment="1" applyProtection="1">
      <alignment horizontal="center" vertical="center"/>
      <protection locked="0"/>
    </xf>
    <xf numFmtId="0" fontId="7" fillId="0" borderId="3" xfId="0" applyFont="1" applyBorder="1" applyAlignment="1">
      <alignment horizontal="left" vertical="center" indent="1"/>
    </xf>
    <xf numFmtId="0" fontId="13" fillId="0" borderId="25" xfId="0" applyFont="1" applyBorder="1" applyAlignment="1">
      <alignment horizontal="center" vertical="center"/>
    </xf>
    <xf numFmtId="1" fontId="4" fillId="10" borderId="3" xfId="0" applyNumberFormat="1" applyFont="1" applyFill="1" applyBorder="1" applyAlignment="1">
      <alignment horizontal="center" vertical="center"/>
    </xf>
    <xf numFmtId="0" fontId="28" fillId="5" borderId="20" xfId="0" applyFont="1" applyFill="1" applyBorder="1" applyAlignment="1" applyProtection="1">
      <alignment horizontal="center" vertical="center"/>
      <protection locked="0"/>
    </xf>
    <xf numFmtId="0" fontId="34" fillId="13" borderId="20" xfId="0" applyFont="1" applyFill="1" applyBorder="1" applyAlignment="1" applyProtection="1">
      <alignment horizontal="center" vertical="center"/>
      <protection locked="0"/>
    </xf>
    <xf numFmtId="0" fontId="33" fillId="13" borderId="20" xfId="0" applyFont="1" applyFill="1" applyBorder="1" applyAlignment="1" applyProtection="1">
      <alignment horizontal="center" vertical="center"/>
      <protection locked="0"/>
    </xf>
    <xf numFmtId="0" fontId="34" fillId="0" borderId="0" xfId="0" applyFont="1" applyFill="1" applyBorder="1" applyAlignment="1" applyProtection="1">
      <alignment horizontal="center" vertical="center"/>
      <protection locked="0"/>
    </xf>
    <xf numFmtId="0" fontId="32" fillId="0" borderId="0" xfId="0" applyFont="1"/>
    <xf numFmtId="0" fontId="0" fillId="0" borderId="29" xfId="0" applyBorder="1"/>
    <xf numFmtId="0" fontId="0" fillId="0" borderId="25" xfId="0" applyBorder="1"/>
    <xf numFmtId="0" fontId="1" fillId="15" borderId="1" xfId="0" applyFont="1" applyFill="1" applyBorder="1" applyAlignment="1">
      <alignment horizontal="center" vertical="center"/>
    </xf>
    <xf numFmtId="0" fontId="33" fillId="0" borderId="0" xfId="0" applyFont="1" applyFill="1" applyBorder="1" applyAlignment="1" applyProtection="1">
      <alignment horizontal="center" vertical="center"/>
      <protection locked="0"/>
    </xf>
    <xf numFmtId="0" fontId="0" fillId="0" borderId="0" xfId="0" applyFill="1"/>
    <xf numFmtId="0" fontId="37" fillId="17" borderId="0" xfId="0" applyFont="1" applyFill="1" applyAlignment="1" applyProtection="1">
      <protection hidden="1"/>
    </xf>
    <xf numFmtId="0" fontId="36" fillId="17" borderId="0" xfId="0" applyFont="1" applyFill="1"/>
    <xf numFmtId="0" fontId="36" fillId="0" borderId="0" xfId="0" applyFont="1"/>
    <xf numFmtId="0" fontId="38" fillId="17" borderId="0" xfId="0" applyFont="1" applyFill="1"/>
    <xf numFmtId="0" fontId="38" fillId="5" borderId="0" xfId="0" applyFont="1" applyFill="1"/>
    <xf numFmtId="0" fontId="41" fillId="0" borderId="1" xfId="0" applyFont="1" applyFill="1" applyBorder="1" applyAlignment="1" applyProtection="1">
      <alignment horizontal="center" vertical="center"/>
    </xf>
    <xf numFmtId="0" fontId="40" fillId="0" borderId="1" xfId="3" applyFont="1" applyFill="1" applyBorder="1" applyAlignment="1" applyProtection="1">
      <alignment horizontal="center" vertical="center"/>
      <protection locked="0" hidden="1"/>
    </xf>
    <xf numFmtId="14" fontId="40" fillId="0" borderId="7" xfId="3" applyNumberFormat="1" applyFont="1" applyFill="1" applyBorder="1" applyAlignment="1" applyProtection="1">
      <alignment horizontal="center"/>
      <protection locked="0"/>
    </xf>
    <xf numFmtId="0" fontId="42" fillId="17" borderId="0" xfId="0" applyFont="1" applyFill="1"/>
    <xf numFmtId="0" fontId="42" fillId="0" borderId="0" xfId="0" applyFont="1"/>
    <xf numFmtId="0" fontId="42" fillId="5" borderId="1" xfId="2" applyFont="1" applyFill="1" applyBorder="1" applyAlignment="1" applyProtection="1">
      <alignment horizontal="center" vertical="center"/>
      <protection locked="0"/>
    </xf>
    <xf numFmtId="0" fontId="40" fillId="0" borderId="1" xfId="3" applyFont="1" applyFill="1" applyBorder="1" applyAlignment="1" applyProtection="1">
      <alignment horizontal="center"/>
      <protection locked="0"/>
    </xf>
    <xf numFmtId="0" fontId="41" fillId="0" borderId="1" xfId="0" quotePrefix="1" applyFont="1" applyFill="1" applyBorder="1" applyAlignment="1" applyProtection="1">
      <alignment horizontal="center" vertical="center"/>
    </xf>
    <xf numFmtId="0" fontId="42" fillId="7" borderId="6" xfId="0" applyFont="1" applyFill="1" applyBorder="1" applyAlignment="1" applyProtection="1">
      <alignment wrapText="1"/>
      <protection locked="0"/>
    </xf>
    <xf numFmtId="0" fontId="42" fillId="7" borderId="1" xfId="0" applyFont="1" applyFill="1" applyBorder="1" applyAlignment="1" applyProtection="1">
      <alignment wrapText="1"/>
      <protection locked="0"/>
    </xf>
    <xf numFmtId="0" fontId="42" fillId="7" borderId="43" xfId="0" applyFont="1" applyFill="1" applyBorder="1" applyAlignment="1" applyProtection="1">
      <alignment wrapText="1"/>
      <protection locked="0"/>
    </xf>
    <xf numFmtId="0" fontId="39" fillId="5" borderId="1" xfId="2" applyFont="1" applyFill="1" applyBorder="1" applyAlignment="1" applyProtection="1">
      <alignment horizontal="center" vertical="center"/>
      <protection locked="0"/>
    </xf>
    <xf numFmtId="0" fontId="43" fillId="0" borderId="1" xfId="0" quotePrefix="1" applyFont="1" applyFill="1" applyBorder="1" applyAlignment="1" applyProtection="1">
      <alignment horizontal="center" vertical="center"/>
    </xf>
    <xf numFmtId="0" fontId="40" fillId="0" borderId="1" xfId="3" applyFont="1" applyFill="1" applyBorder="1" applyProtection="1">
      <protection locked="0"/>
    </xf>
    <xf numFmtId="0" fontId="43" fillId="0" borderId="1" xfId="0" quotePrefix="1" applyFont="1" applyFill="1" applyBorder="1" applyAlignment="1">
      <alignment horizontal="center" vertical="center" wrapText="1"/>
    </xf>
    <xf numFmtId="0" fontId="41" fillId="0" borderId="1" xfId="0" quotePrefix="1" applyFont="1" applyFill="1" applyBorder="1" applyAlignment="1">
      <alignment horizontal="center" vertical="center" wrapText="1"/>
    </xf>
    <xf numFmtId="1" fontId="7" fillId="0" borderId="1" xfId="4" applyNumberFormat="1" applyFont="1" applyFill="1" applyBorder="1" applyAlignment="1" applyProtection="1">
      <alignment horizontal="center"/>
      <protection locked="0"/>
    </xf>
    <xf numFmtId="0" fontId="40" fillId="0" borderId="1" xfId="5" applyFont="1" applyFill="1" applyBorder="1" applyProtection="1">
      <protection locked="0"/>
    </xf>
    <xf numFmtId="0" fontId="40" fillId="0" borderId="1" xfId="0" applyFont="1" applyFill="1" applyBorder="1" applyAlignment="1" applyProtection="1">
      <alignment horizontal="center" vertical="center"/>
      <protection locked="0"/>
    </xf>
    <xf numFmtId="14" fontId="7" fillId="0" borderId="7" xfId="6" applyNumberFormat="1" applyFont="1" applyFill="1" applyBorder="1" applyAlignment="1" applyProtection="1">
      <alignment horizontal="center"/>
      <protection locked="0"/>
    </xf>
    <xf numFmtId="0" fontId="42" fillId="7" borderId="44" xfId="0" applyFont="1" applyFill="1" applyBorder="1" applyAlignment="1" applyProtection="1">
      <alignment wrapText="1"/>
      <protection locked="0"/>
    </xf>
    <xf numFmtId="0" fontId="42" fillId="7" borderId="45" xfId="0" applyFont="1" applyFill="1" applyBorder="1" applyAlignment="1" applyProtection="1">
      <alignment wrapText="1"/>
      <protection locked="0"/>
    </xf>
    <xf numFmtId="0" fontId="42" fillId="7" borderId="20" xfId="0" applyFont="1" applyFill="1" applyBorder="1" applyAlignment="1" applyProtection="1">
      <alignment wrapText="1"/>
      <protection locked="0"/>
    </xf>
    <xf numFmtId="0" fontId="42" fillId="7" borderId="47" xfId="0" applyFont="1" applyFill="1" applyBorder="1" applyAlignment="1" applyProtection="1">
      <alignment wrapText="1"/>
      <protection locked="0"/>
    </xf>
    <xf numFmtId="0" fontId="42" fillId="7" borderId="48" xfId="0" applyFont="1" applyFill="1" applyBorder="1" applyAlignment="1" applyProtection="1">
      <alignment wrapText="1"/>
      <protection locked="0"/>
    </xf>
    <xf numFmtId="0" fontId="41" fillId="0" borderId="1" xfId="0" applyFont="1" applyFill="1" applyBorder="1" applyAlignment="1">
      <alignment horizontal="center" vertical="center" wrapText="1"/>
    </xf>
    <xf numFmtId="165" fontId="41" fillId="0" borderId="7" xfId="0" applyNumberFormat="1" applyFont="1" applyFill="1" applyBorder="1" applyAlignment="1" applyProtection="1">
      <alignment horizontal="center" vertical="center"/>
    </xf>
    <xf numFmtId="166" fontId="41" fillId="0" borderId="7" xfId="0" applyNumberFormat="1" applyFont="1" applyFill="1" applyBorder="1" applyAlignment="1" applyProtection="1">
      <alignment horizontal="center" vertical="center"/>
    </xf>
    <xf numFmtId="0" fontId="44" fillId="0" borderId="1" xfId="0" quotePrefix="1" applyFont="1" applyFill="1" applyBorder="1" applyAlignment="1">
      <alignment wrapText="1"/>
    </xf>
    <xf numFmtId="0" fontId="39" fillId="0" borderId="3" xfId="2" applyFont="1" applyFill="1" applyBorder="1" applyAlignment="1" applyProtection="1">
      <alignment horizontal="center" vertical="center"/>
      <protection locked="0"/>
    </xf>
    <xf numFmtId="14" fontId="42" fillId="0" borderId="46" xfId="0" applyNumberFormat="1" applyFont="1" applyFill="1" applyBorder="1" applyAlignment="1" applyProtection="1">
      <alignment horizontal="center" wrapText="1"/>
      <protection locked="0"/>
    </xf>
    <xf numFmtId="0" fontId="36" fillId="0" borderId="0" xfId="0" applyFont="1" applyFill="1"/>
    <xf numFmtId="0" fontId="48" fillId="0" borderId="0" xfId="0" applyFont="1" applyFill="1"/>
    <xf numFmtId="0" fontId="36" fillId="0" borderId="0" xfId="0" applyFont="1" applyFill="1" applyAlignment="1">
      <alignment horizontal="center"/>
    </xf>
    <xf numFmtId="0" fontId="48" fillId="0" borderId="0" xfId="0" applyFont="1" applyFill="1" applyAlignment="1">
      <alignment horizontal="center" vertical="center"/>
    </xf>
    <xf numFmtId="0" fontId="51" fillId="0" borderId="12" xfId="0" applyFont="1" applyFill="1" applyBorder="1" applyAlignment="1">
      <alignment horizontal="center" vertical="center"/>
    </xf>
    <xf numFmtId="0" fontId="51" fillId="0" borderId="0" xfId="0" applyFont="1" applyFill="1" applyBorder="1" applyAlignment="1">
      <alignment vertical="center"/>
    </xf>
    <xf numFmtId="0" fontId="51" fillId="0" borderId="41" xfId="0" applyFont="1" applyFill="1" applyBorder="1" applyAlignment="1">
      <alignment horizontal="center" vertical="center"/>
    </xf>
    <xf numFmtId="0" fontId="51" fillId="0" borderId="42" xfId="0" applyFont="1" applyFill="1" applyBorder="1" applyAlignment="1">
      <alignment vertical="center"/>
    </xf>
    <xf numFmtId="0" fontId="51" fillId="0" borderId="9" xfId="0" applyFont="1" applyFill="1" applyBorder="1" applyAlignment="1">
      <alignment horizontal="center" vertical="center"/>
    </xf>
    <xf numFmtId="0" fontId="51" fillId="0" borderId="10" xfId="0" applyFont="1" applyFill="1" applyBorder="1" applyAlignment="1">
      <alignment horizontal="left" vertical="center"/>
    </xf>
    <xf numFmtId="0" fontId="51" fillId="0" borderId="0" xfId="0" applyFont="1" applyFill="1" applyBorder="1" applyAlignment="1">
      <alignment horizontal="left" vertical="center"/>
    </xf>
    <xf numFmtId="0" fontId="51" fillId="0" borderId="42" xfId="0" applyFont="1" applyFill="1" applyBorder="1" applyAlignment="1">
      <alignment horizontal="left" vertical="center"/>
    </xf>
    <xf numFmtId="0" fontId="53" fillId="11" borderId="19" xfId="0" applyFont="1" applyFill="1" applyBorder="1" applyAlignment="1">
      <alignment horizontal="left" vertical="center" indent="1"/>
    </xf>
    <xf numFmtId="0" fontId="53" fillId="5" borderId="19" xfId="0" applyFont="1" applyFill="1" applyBorder="1" applyAlignment="1">
      <alignment horizontal="left" vertical="center" indent="1"/>
    </xf>
    <xf numFmtId="0" fontId="55" fillId="11" borderId="21" xfId="7" applyFont="1" applyFill="1" applyBorder="1" applyAlignment="1">
      <alignment horizontal="left" vertical="center" indent="1"/>
    </xf>
    <xf numFmtId="0" fontId="48" fillId="13" borderId="12" xfId="0" applyFont="1" applyFill="1" applyBorder="1" applyAlignment="1">
      <alignment horizontal="center" vertical="center"/>
    </xf>
    <xf numFmtId="0" fontId="36" fillId="13" borderId="0" xfId="0" applyFont="1" applyFill="1" applyBorder="1"/>
    <xf numFmtId="0" fontId="36" fillId="13" borderId="13" xfId="0" applyFont="1" applyFill="1" applyBorder="1"/>
    <xf numFmtId="0" fontId="53" fillId="4" borderId="19" xfId="0" applyFont="1" applyFill="1" applyBorder="1" applyAlignment="1">
      <alignment horizontal="left" indent="2"/>
    </xf>
    <xf numFmtId="0" fontId="53" fillId="10" borderId="19" xfId="0" applyFont="1" applyFill="1" applyBorder="1" applyAlignment="1">
      <alignment horizontal="left" indent="2"/>
    </xf>
    <xf numFmtId="0" fontId="53" fillId="4" borderId="21" xfId="0" applyFont="1" applyFill="1" applyBorder="1" applyAlignment="1">
      <alignment horizontal="left" indent="2"/>
    </xf>
    <xf numFmtId="0" fontId="23" fillId="21" borderId="1" xfId="0" applyFont="1" applyFill="1" applyBorder="1" applyAlignment="1" applyProtection="1">
      <alignment horizontal="center" vertical="center" wrapText="1"/>
      <protection locked="0" hidden="1"/>
    </xf>
    <xf numFmtId="0" fontId="0" fillId="0" borderId="1" xfId="0" applyBorder="1" applyAlignment="1" applyProtection="1">
      <alignment horizontal="center" vertical="center"/>
      <protection locked="0"/>
    </xf>
    <xf numFmtId="0" fontId="0" fillId="0" borderId="1" xfId="0" applyBorder="1" applyAlignment="1" applyProtection="1">
      <alignment horizontal="center" vertical="center" wrapText="1"/>
      <protection locked="0"/>
    </xf>
    <xf numFmtId="0" fontId="0" fillId="0" borderId="0" xfId="0" applyAlignment="1">
      <alignment vertical="center"/>
    </xf>
    <xf numFmtId="0" fontId="16" fillId="21" borderId="1" xfId="0" applyFont="1" applyFill="1" applyBorder="1" applyAlignment="1" applyProtection="1">
      <alignment horizontal="center" vertical="center" wrapText="1"/>
      <protection locked="0" hidden="1"/>
    </xf>
    <xf numFmtId="0" fontId="10" fillId="12" borderId="1" xfId="0" applyFont="1" applyFill="1" applyBorder="1" applyAlignment="1">
      <alignment horizontal="center" vertical="center"/>
    </xf>
    <xf numFmtId="0" fontId="13" fillId="0" borderId="0" xfId="0" applyFont="1" applyAlignment="1">
      <alignment vertical="center"/>
    </xf>
    <xf numFmtId="0" fontId="26" fillId="0" borderId="0" xfId="0" applyFont="1" applyAlignment="1">
      <alignment vertical="center"/>
    </xf>
    <xf numFmtId="0" fontId="16" fillId="20" borderId="1" xfId="0" applyFont="1" applyFill="1" applyBorder="1" applyAlignment="1">
      <alignment horizontal="center" vertical="center"/>
    </xf>
    <xf numFmtId="0" fontId="16" fillId="22" borderId="1" xfId="0" applyFont="1" applyFill="1" applyBorder="1" applyAlignment="1">
      <alignment horizontal="center" vertical="center"/>
    </xf>
    <xf numFmtId="0" fontId="17" fillId="5" borderId="20" xfId="0" applyFont="1" applyFill="1" applyBorder="1" applyAlignment="1" applyProtection="1">
      <alignment horizontal="center" vertical="center"/>
      <protection locked="0"/>
    </xf>
    <xf numFmtId="0" fontId="17" fillId="10" borderId="20" xfId="0" applyFont="1" applyFill="1" applyBorder="1" applyAlignment="1" applyProtection="1">
      <alignment horizontal="center" vertical="center"/>
      <protection locked="0"/>
    </xf>
    <xf numFmtId="0" fontId="17" fillId="9" borderId="20" xfId="0" applyFont="1" applyFill="1" applyBorder="1" applyAlignment="1" applyProtection="1">
      <alignment horizontal="center" vertical="center"/>
      <protection locked="0"/>
    </xf>
    <xf numFmtId="0" fontId="17" fillId="5" borderId="20" xfId="0" applyFont="1" applyFill="1" applyBorder="1" applyAlignment="1">
      <alignment horizontal="center" vertical="center"/>
    </xf>
    <xf numFmtId="0" fontId="17" fillId="10" borderId="20" xfId="0" applyFont="1" applyFill="1" applyBorder="1" applyAlignment="1">
      <alignment horizontal="center" vertical="center"/>
    </xf>
    <xf numFmtId="0" fontId="60" fillId="0" borderId="0" xfId="0" applyFont="1"/>
    <xf numFmtId="0" fontId="0" fillId="0" borderId="0" xfId="0" applyAlignment="1">
      <alignment horizontal="center" vertical="center"/>
    </xf>
    <xf numFmtId="0" fontId="61" fillId="9" borderId="2" xfId="0" applyFont="1" applyFill="1" applyBorder="1" applyAlignment="1" applyProtection="1">
      <alignment horizontal="center" vertical="center"/>
      <protection locked="0"/>
    </xf>
    <xf numFmtId="0" fontId="23" fillId="8" borderId="2" xfId="0" applyFont="1" applyFill="1" applyBorder="1" applyAlignment="1">
      <alignment horizontal="center" vertical="center"/>
    </xf>
    <xf numFmtId="0" fontId="63" fillId="11" borderId="2" xfId="0" applyFont="1" applyFill="1" applyBorder="1" applyAlignment="1" applyProtection="1">
      <alignment horizontal="center" vertical="center"/>
      <protection locked="0"/>
    </xf>
    <xf numFmtId="0" fontId="0" fillId="0" borderId="1" xfId="0" applyFont="1" applyBorder="1" applyAlignment="1">
      <alignment horizontal="center" vertical="center"/>
    </xf>
    <xf numFmtId="0" fontId="0" fillId="0" borderId="1" xfId="0" applyBorder="1" applyAlignment="1">
      <alignment horizontal="left" vertical="center" indent="1"/>
    </xf>
    <xf numFmtId="0" fontId="13" fillId="0" borderId="1" xfId="0" applyFont="1" applyBorder="1" applyAlignment="1">
      <alignment horizontal="left" vertical="center" indent="1"/>
    </xf>
    <xf numFmtId="0" fontId="64" fillId="13" borderId="2" xfId="0" applyFont="1" applyFill="1" applyBorder="1" applyAlignment="1">
      <alignment horizontal="center" vertical="center"/>
    </xf>
    <xf numFmtId="0" fontId="0" fillId="26" borderId="0" xfId="0" applyFill="1"/>
    <xf numFmtId="0" fontId="1" fillId="0" borderId="18" xfId="0" applyFont="1" applyBorder="1"/>
    <xf numFmtId="0" fontId="17" fillId="10" borderId="35" xfId="0" applyFont="1" applyFill="1" applyBorder="1" applyAlignment="1" applyProtection="1">
      <alignment horizontal="center" vertical="center"/>
      <protection locked="0"/>
    </xf>
    <xf numFmtId="164" fontId="66" fillId="0" borderId="3" xfId="0" applyNumberFormat="1" applyFont="1" applyBorder="1" applyAlignment="1">
      <alignment horizontal="center" vertical="center"/>
    </xf>
    <xf numFmtId="0" fontId="0" fillId="5" borderId="0" xfId="0" applyFill="1"/>
    <xf numFmtId="0" fontId="35" fillId="5" borderId="0" xfId="0" applyFont="1" applyFill="1" applyBorder="1" applyAlignment="1" applyProtection="1">
      <alignment horizontal="center" vertical="center"/>
      <protection locked="0"/>
    </xf>
    <xf numFmtId="0" fontId="65" fillId="5" borderId="0" xfId="0" applyFont="1" applyFill="1"/>
    <xf numFmtId="0" fontId="19" fillId="5" borderId="0" xfId="0" applyFont="1" applyFill="1"/>
    <xf numFmtId="0" fontId="60"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applyAlignment="1">
      <alignment horizontal="left" vertical="center" wrapText="1"/>
    </xf>
    <xf numFmtId="0" fontId="0" fillId="0" borderId="0" xfId="0" applyBorder="1"/>
    <xf numFmtId="0" fontId="32" fillId="5" borderId="0" xfId="0" applyFont="1" applyFill="1" applyAlignment="1"/>
    <xf numFmtId="0" fontId="25" fillId="14" borderId="1" xfId="0" applyFont="1" applyFill="1" applyBorder="1" applyAlignment="1">
      <alignment horizontal="left" vertical="top" wrapText="1" indent="1"/>
    </xf>
    <xf numFmtId="0" fontId="25" fillId="9" borderId="1" xfId="0" applyFont="1" applyFill="1" applyBorder="1" applyAlignment="1">
      <alignment horizontal="left" vertical="top" wrapText="1" indent="1"/>
    </xf>
    <xf numFmtId="0" fontId="19" fillId="7" borderId="57" xfId="0" applyFont="1" applyFill="1" applyBorder="1" applyAlignment="1">
      <alignment horizontal="center" vertical="center"/>
    </xf>
    <xf numFmtId="0" fontId="19" fillId="4" borderId="57" xfId="0" applyFont="1" applyFill="1" applyBorder="1" applyAlignment="1">
      <alignment horizontal="center" vertical="center"/>
    </xf>
    <xf numFmtId="0" fontId="19" fillId="5" borderId="36" xfId="0" applyFont="1" applyFill="1" applyBorder="1" applyAlignment="1">
      <alignment horizontal="center" vertical="center"/>
    </xf>
    <xf numFmtId="0" fontId="19" fillId="27" borderId="56" xfId="0" applyFont="1" applyFill="1" applyBorder="1" applyAlignment="1">
      <alignment horizontal="center" vertical="center"/>
    </xf>
    <xf numFmtId="0" fontId="25" fillId="0" borderId="1" xfId="0" applyFont="1" applyBorder="1" applyAlignment="1">
      <alignment horizontal="left" vertical="center" wrapText="1" indent="1"/>
    </xf>
    <xf numFmtId="0" fontId="19" fillId="5" borderId="0" xfId="0" applyFont="1" applyFill="1" applyAlignment="1">
      <alignment horizontal="left" vertical="center"/>
    </xf>
    <xf numFmtId="0" fontId="13" fillId="0" borderId="1" xfId="0" applyFont="1" applyBorder="1" applyAlignment="1">
      <alignment horizontal="left" vertical="center" wrapText="1" indent="1"/>
    </xf>
    <xf numFmtId="0" fontId="12" fillId="0" borderId="0"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0" fontId="32" fillId="0" borderId="0" xfId="0" applyFont="1" applyFill="1" applyBorder="1" applyAlignment="1" applyProtection="1">
      <alignment horizontal="center" vertical="center"/>
      <protection locked="0"/>
    </xf>
    <xf numFmtId="0" fontId="69" fillId="0" borderId="0" xfId="0" applyFont="1"/>
    <xf numFmtId="0" fontId="69" fillId="5" borderId="1" xfId="0" applyFont="1" applyFill="1" applyBorder="1" applyAlignment="1">
      <alignment vertical="top" wrapText="1"/>
    </xf>
    <xf numFmtId="0" fontId="69" fillId="10" borderId="1" xfId="0" applyFont="1" applyFill="1" applyBorder="1" applyAlignment="1">
      <alignment vertical="top" wrapText="1"/>
    </xf>
    <xf numFmtId="0" fontId="13" fillId="0" borderId="1" xfId="0" applyFont="1" applyBorder="1" applyAlignment="1">
      <alignment horizontal="center" vertical="center"/>
    </xf>
    <xf numFmtId="0" fontId="0" fillId="10" borderId="1" xfId="0" applyFill="1" applyBorder="1" applyAlignment="1">
      <alignment horizontal="left" vertical="top" wrapText="1" indent="1"/>
    </xf>
    <xf numFmtId="0" fontId="68" fillId="9" borderId="1" xfId="0" applyFont="1" applyFill="1" applyBorder="1" applyAlignment="1">
      <alignment horizontal="left" vertical="top" wrapText="1" indent="1"/>
    </xf>
    <xf numFmtId="0" fontId="26" fillId="5" borderId="5" xfId="0" applyFont="1" applyFill="1" applyBorder="1" applyAlignment="1">
      <alignment horizontal="center" vertical="center"/>
    </xf>
    <xf numFmtId="0" fontId="26" fillId="5" borderId="0" xfId="0" applyFont="1" applyFill="1" applyAlignment="1">
      <alignment horizontal="center"/>
    </xf>
    <xf numFmtId="0" fontId="23" fillId="11" borderId="5" xfId="0" applyFont="1" applyFill="1" applyBorder="1" applyAlignment="1">
      <alignment horizontal="center" vertical="center"/>
    </xf>
    <xf numFmtId="0" fontId="32" fillId="11" borderId="0" xfId="0" applyFont="1" applyFill="1" applyAlignment="1">
      <alignment horizontal="center"/>
    </xf>
    <xf numFmtId="0" fontId="32" fillId="11" borderId="5" xfId="0" applyFont="1" applyFill="1" applyBorder="1" applyAlignment="1">
      <alignment horizontal="center" vertical="center"/>
    </xf>
    <xf numFmtId="0" fontId="5" fillId="0" borderId="0" xfId="0" applyFont="1" applyBorder="1" applyAlignment="1">
      <alignment vertical="center"/>
    </xf>
    <xf numFmtId="0" fontId="71" fillId="0" borderId="0" xfId="0" applyFont="1" applyBorder="1"/>
    <xf numFmtId="0" fontId="15" fillId="0" borderId="0" xfId="0" applyFont="1" applyBorder="1" applyAlignment="1">
      <alignment vertical="center"/>
    </xf>
    <xf numFmtId="0" fontId="66" fillId="0" borderId="0" xfId="0" applyFont="1" applyBorder="1" applyAlignment="1">
      <alignment vertical="center"/>
    </xf>
    <xf numFmtId="0" fontId="0" fillId="6" borderId="0" xfId="0" applyFill="1" applyBorder="1"/>
    <xf numFmtId="0" fontId="11" fillId="0" borderId="3" xfId="0" applyFont="1" applyBorder="1" applyAlignment="1">
      <alignment horizontal="left" vertical="center" indent="1"/>
    </xf>
    <xf numFmtId="0" fontId="17" fillId="5" borderId="35" xfId="0" applyFont="1" applyFill="1" applyBorder="1" applyAlignment="1" applyProtection="1">
      <alignment horizontal="center" vertical="center"/>
      <protection locked="0"/>
    </xf>
    <xf numFmtId="0" fontId="29" fillId="0" borderId="3" xfId="0" applyFont="1" applyBorder="1" applyAlignment="1">
      <alignment horizontal="center" vertical="center"/>
    </xf>
    <xf numFmtId="0" fontId="21" fillId="0" borderId="0" xfId="0" applyFont="1"/>
    <xf numFmtId="0" fontId="74" fillId="0" borderId="0" xfId="0" applyFont="1" applyFill="1" applyBorder="1" applyAlignment="1" applyProtection="1">
      <alignment horizontal="center" vertical="center"/>
      <protection locked="0"/>
    </xf>
    <xf numFmtId="0" fontId="10" fillId="5" borderId="1" xfId="0" applyFont="1" applyFill="1" applyBorder="1" applyAlignment="1">
      <alignment horizontal="center" vertical="center"/>
    </xf>
    <xf numFmtId="0" fontId="21" fillId="0" borderId="0" xfId="0" applyFont="1" applyAlignment="1">
      <alignment horizontal="center" vertical="center"/>
    </xf>
    <xf numFmtId="0" fontId="19" fillId="5" borderId="0" xfId="0" applyFont="1" applyFill="1" applyBorder="1"/>
    <xf numFmtId="0" fontId="60" fillId="0" borderId="0" xfId="0" applyFont="1" applyAlignment="1">
      <alignment horizontal="center" vertical="center"/>
    </xf>
    <xf numFmtId="0" fontId="18" fillId="0" borderId="0" xfId="0" applyFont="1" applyBorder="1" applyAlignment="1">
      <alignment horizontal="left" vertical="center" wrapText="1" indent="1"/>
    </xf>
    <xf numFmtId="0" fontId="0" fillId="0" borderId="1" xfId="0" applyBorder="1" applyAlignment="1">
      <alignment vertical="top" wrapText="1"/>
    </xf>
    <xf numFmtId="0" fontId="32" fillId="4" borderId="0" xfId="0" applyFont="1" applyFill="1"/>
    <xf numFmtId="0" fontId="0" fillId="4" borderId="0" xfId="0" applyFill="1"/>
    <xf numFmtId="0" fontId="32" fillId="0" borderId="0" xfId="0" applyFont="1" applyFill="1" applyBorder="1" applyAlignment="1" applyProtection="1">
      <alignment horizontal="center" vertical="center"/>
      <protection locked="0"/>
    </xf>
    <xf numFmtId="0" fontId="32" fillId="5" borderId="0" xfId="0" applyFont="1" applyFill="1"/>
    <xf numFmtId="0" fontId="0" fillId="5" borderId="1" xfId="0" applyFill="1" applyBorder="1" applyAlignment="1">
      <alignment horizontal="center" vertical="center"/>
    </xf>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2" fillId="3" borderId="1" xfId="0" applyFont="1" applyFill="1" applyBorder="1" applyAlignment="1">
      <alignment horizontal="center" vertical="center"/>
    </xf>
    <xf numFmtId="0" fontId="21" fillId="5" borderId="1" xfId="0" applyFont="1" applyFill="1" applyBorder="1" applyAlignment="1" applyProtection="1">
      <alignment horizontal="center" vertical="center"/>
      <protection locked="0"/>
    </xf>
    <xf numFmtId="0" fontId="17" fillId="5" borderId="1" xfId="0" applyFont="1" applyFill="1" applyBorder="1" applyAlignment="1" applyProtection="1">
      <alignment horizontal="center" vertical="center"/>
      <protection locked="0"/>
    </xf>
    <xf numFmtId="0" fontId="17" fillId="9" borderId="1" xfId="0" applyFont="1" applyFill="1" applyBorder="1" applyAlignment="1" applyProtection="1">
      <alignment horizontal="center" vertical="center"/>
      <protection locked="0"/>
    </xf>
    <xf numFmtId="0" fontId="17" fillId="10" borderId="1" xfId="0" applyFont="1" applyFill="1" applyBorder="1" applyAlignment="1" applyProtection="1">
      <alignment horizontal="center" vertical="center"/>
      <protection locked="0"/>
    </xf>
    <xf numFmtId="0" fontId="17" fillId="10" borderId="1" xfId="0" applyFont="1" applyFill="1" applyBorder="1" applyAlignment="1">
      <alignment horizontal="center" vertical="center"/>
    </xf>
    <xf numFmtId="0" fontId="78" fillId="4" borderId="1" xfId="0" applyFont="1" applyFill="1" applyBorder="1" applyAlignment="1" applyProtection="1">
      <alignment horizontal="center" vertical="center"/>
      <protection locked="0"/>
    </xf>
    <xf numFmtId="0" fontId="21" fillId="31" borderId="1" xfId="0" applyFont="1" applyFill="1" applyBorder="1" applyAlignment="1" applyProtection="1">
      <alignment horizontal="center" vertical="center"/>
      <protection locked="0"/>
    </xf>
    <xf numFmtId="0" fontId="9" fillId="0" borderId="0" xfId="0" applyFont="1" applyBorder="1" applyAlignment="1">
      <alignment horizontal="center" vertical="center"/>
    </xf>
    <xf numFmtId="0" fontId="0" fillId="0" borderId="0" xfId="0" applyFill="1" applyBorder="1"/>
    <xf numFmtId="0" fontId="29" fillId="10" borderId="3" xfId="0" applyFont="1" applyFill="1" applyBorder="1" applyAlignment="1">
      <alignment horizontal="center" vertical="center"/>
    </xf>
    <xf numFmtId="0" fontId="10" fillId="9" borderId="3" xfId="0" applyFont="1" applyFill="1" applyBorder="1" applyAlignment="1">
      <alignment horizontal="center" vertical="center"/>
    </xf>
    <xf numFmtId="164" fontId="10" fillId="9" borderId="3" xfId="0" applyNumberFormat="1" applyFont="1" applyFill="1" applyBorder="1" applyAlignment="1">
      <alignment horizontal="center" vertical="center"/>
    </xf>
    <xf numFmtId="1" fontId="1" fillId="10" borderId="3" xfId="0" applyNumberFormat="1" applyFont="1" applyFill="1" applyBorder="1" applyAlignment="1">
      <alignment horizontal="center" vertical="center"/>
    </xf>
    <xf numFmtId="0" fontId="21" fillId="0" borderId="0" xfId="0" applyFont="1" applyAlignment="1">
      <alignment horizontal="center"/>
    </xf>
    <xf numFmtId="0" fontId="0" fillId="0" borderId="6" xfId="0" applyBorder="1"/>
    <xf numFmtId="0" fontId="0" fillId="5" borderId="7" xfId="0" applyFill="1" applyBorder="1"/>
    <xf numFmtId="0" fontId="0" fillId="5" borderId="8" xfId="0" applyFill="1" applyBorder="1"/>
    <xf numFmtId="0" fontId="0" fillId="5" borderId="6" xfId="0" applyFill="1" applyBorder="1"/>
    <xf numFmtId="0" fontId="16" fillId="8" borderId="2" xfId="0" applyFont="1" applyFill="1" applyBorder="1" applyAlignment="1">
      <alignment horizontal="center" vertical="center"/>
    </xf>
    <xf numFmtId="0" fontId="80" fillId="11" borderId="2" xfId="0" applyFont="1" applyFill="1" applyBorder="1" applyAlignment="1" applyProtection="1">
      <alignment horizontal="center" vertical="center"/>
      <protection locked="0"/>
    </xf>
    <xf numFmtId="0" fontId="4" fillId="0" borderId="0" xfId="0" applyFont="1" applyFill="1" applyBorder="1"/>
    <xf numFmtId="0" fontId="81" fillId="0" borderId="0" xfId="0" applyFont="1" applyFill="1" applyBorder="1" applyAlignment="1" applyProtection="1">
      <alignment horizontal="center" vertical="center"/>
      <protection locked="0"/>
    </xf>
    <xf numFmtId="164" fontId="10" fillId="5" borderId="1" xfId="0" applyNumberFormat="1" applyFont="1" applyFill="1" applyBorder="1" applyAlignment="1">
      <alignment horizontal="center" vertical="center"/>
    </xf>
    <xf numFmtId="0" fontId="63" fillId="11" borderId="53" xfId="0" applyFont="1" applyFill="1" applyBorder="1" applyAlignment="1" applyProtection="1">
      <alignment horizontal="center" vertical="center"/>
      <protection locked="0"/>
    </xf>
    <xf numFmtId="0" fontId="0" fillId="0" borderId="15" xfId="0" applyBorder="1" applyAlignment="1">
      <alignment horizontal="center" vertical="center"/>
    </xf>
    <xf numFmtId="0" fontId="0" fillId="0" borderId="18" xfId="0" applyBorder="1" applyAlignment="1">
      <alignment horizontal="center" vertical="center"/>
    </xf>
    <xf numFmtId="0" fontId="0" fillId="0" borderId="1" xfId="0" applyBorder="1" applyAlignment="1">
      <alignment vertical="center" wrapText="1"/>
    </xf>
    <xf numFmtId="0" fontId="85" fillId="5" borderId="7" xfId="0" applyFont="1" applyFill="1" applyBorder="1" applyAlignment="1">
      <alignment horizontal="center" vertical="center"/>
    </xf>
    <xf numFmtId="0" fontId="85" fillId="7" borderId="7" xfId="0" applyFont="1" applyFill="1" applyBorder="1" applyAlignment="1">
      <alignment horizontal="center" vertical="center"/>
    </xf>
    <xf numFmtId="0" fontId="85" fillId="8" borderId="0" xfId="0" applyFont="1" applyFill="1" applyAlignment="1">
      <alignment horizontal="center" vertical="center"/>
    </xf>
    <xf numFmtId="0" fontId="1" fillId="0" borderId="1" xfId="0" applyFont="1" applyBorder="1" applyAlignment="1">
      <alignment horizontal="center" vertical="center"/>
    </xf>
    <xf numFmtId="0" fontId="2" fillId="0" borderId="1" xfId="0" applyFont="1" applyBorder="1" applyAlignment="1">
      <alignment horizontal="center" vertical="center"/>
    </xf>
    <xf numFmtId="0" fontId="32" fillId="0" borderId="0"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5" fillId="0" borderId="1" xfId="0" applyFont="1" applyFill="1" applyBorder="1" applyAlignment="1">
      <alignment horizontal="center" vertical="center"/>
    </xf>
    <xf numFmtId="0" fontId="12" fillId="0" borderId="0" xfId="0" applyFont="1" applyFill="1" applyBorder="1" applyAlignment="1" applyProtection="1">
      <alignment horizontal="center" vertical="center"/>
      <protection locked="0"/>
    </xf>
    <xf numFmtId="0" fontId="17" fillId="10" borderId="21" xfId="0" applyFont="1" applyFill="1" applyBorder="1" applyAlignment="1" applyProtection="1">
      <alignment horizontal="center" vertical="center"/>
      <protection locked="0"/>
    </xf>
    <xf numFmtId="0" fontId="17" fillId="9" borderId="35" xfId="0" applyFont="1" applyFill="1" applyBorder="1" applyAlignment="1" applyProtection="1">
      <alignment horizontal="center" vertical="center"/>
      <protection locked="0"/>
    </xf>
    <xf numFmtId="0" fontId="21" fillId="5" borderId="40" xfId="0" applyFont="1" applyFill="1" applyBorder="1" applyAlignment="1">
      <alignment horizontal="center" vertical="center"/>
    </xf>
    <xf numFmtId="0" fontId="21" fillId="10" borderId="20" xfId="0" applyFont="1" applyFill="1" applyBorder="1" applyAlignment="1">
      <alignment horizontal="center" vertical="center"/>
    </xf>
    <xf numFmtId="0" fontId="21" fillId="5" borderId="35" xfId="0" applyFont="1" applyFill="1" applyBorder="1" applyAlignment="1">
      <alignment horizontal="center" vertical="center"/>
    </xf>
    <xf numFmtId="0" fontId="2" fillId="0" borderId="2" xfId="0" applyFont="1" applyBorder="1" applyAlignment="1">
      <alignment horizontal="center" vertical="center"/>
    </xf>
    <xf numFmtId="0" fontId="8" fillId="0" borderId="2" xfId="0" applyFont="1" applyBorder="1" applyAlignment="1">
      <alignment horizontal="center"/>
    </xf>
    <xf numFmtId="0" fontId="5" fillId="0" borderId="2" xfId="0" applyFont="1" applyFill="1" applyBorder="1" applyAlignment="1" applyProtection="1">
      <alignment horizontal="center" vertical="center"/>
      <protection locked="0"/>
    </xf>
    <xf numFmtId="0" fontId="5" fillId="0" borderId="2" xfId="0" applyFont="1" applyFill="1" applyBorder="1" applyAlignment="1">
      <alignment horizontal="center" vertical="center"/>
    </xf>
    <xf numFmtId="1" fontId="5" fillId="0" borderId="2" xfId="0" applyNumberFormat="1" applyFont="1" applyFill="1" applyBorder="1" applyAlignment="1" applyProtection="1">
      <alignment horizontal="center" vertical="center"/>
      <protection locked="0"/>
    </xf>
    <xf numFmtId="0" fontId="5" fillId="0" borderId="5" xfId="0" applyFont="1" applyFill="1" applyBorder="1" applyAlignment="1">
      <alignment horizontal="center" vertical="center"/>
    </xf>
    <xf numFmtId="0" fontId="24" fillId="4" borderId="40" xfId="0" applyFont="1" applyFill="1" applyBorder="1" applyAlignment="1" applyProtection="1">
      <alignment horizontal="center" vertical="center"/>
      <protection locked="0"/>
    </xf>
    <xf numFmtId="0" fontId="24" fillId="0" borderId="0" xfId="0" applyFont="1" applyBorder="1" applyAlignment="1">
      <alignment horizontal="center" vertical="center"/>
    </xf>
    <xf numFmtId="0" fontId="24" fillId="0" borderId="0" xfId="0" applyFont="1" applyBorder="1" applyAlignment="1">
      <alignment horizontal="center"/>
    </xf>
    <xf numFmtId="0" fontId="34" fillId="0" borderId="0" xfId="0" applyFont="1" applyBorder="1"/>
    <xf numFmtId="1" fontId="1" fillId="15" borderId="1" xfId="0" applyNumberFormat="1" applyFont="1" applyFill="1" applyBorder="1" applyAlignment="1">
      <alignment horizontal="center" vertical="center"/>
    </xf>
    <xf numFmtId="0" fontId="14" fillId="0" borderId="1" xfId="0" applyFont="1" applyBorder="1" applyAlignment="1">
      <alignment horizontal="left" vertical="center" indent="1"/>
    </xf>
    <xf numFmtId="0" fontId="24" fillId="9" borderId="35" xfId="0" applyFont="1" applyFill="1" applyBorder="1" applyAlignment="1">
      <alignment horizontal="center" vertical="center"/>
    </xf>
    <xf numFmtId="0" fontId="24" fillId="9" borderId="20" xfId="0" applyFont="1" applyFill="1" applyBorder="1" applyAlignment="1">
      <alignment horizontal="center" vertical="center"/>
    </xf>
    <xf numFmtId="0" fontId="59" fillId="0" borderId="0" xfId="0" applyFont="1" applyFill="1"/>
    <xf numFmtId="0" fontId="89" fillId="4" borderId="40" xfId="0" applyFont="1" applyFill="1" applyBorder="1" applyAlignment="1" applyProtection="1">
      <alignment horizontal="center" vertical="center"/>
      <protection locked="0"/>
    </xf>
    <xf numFmtId="0" fontId="24" fillId="0" borderId="0" xfId="0" applyFont="1" applyFill="1" applyBorder="1" applyAlignment="1" applyProtection="1">
      <alignment horizontal="center" vertical="center"/>
      <protection locked="0"/>
    </xf>
    <xf numFmtId="0" fontId="78" fillId="3" borderId="71" xfId="0" applyFont="1" applyFill="1" applyBorder="1" applyAlignment="1" applyProtection="1">
      <alignment horizontal="center" vertical="center"/>
      <protection locked="0"/>
    </xf>
    <xf numFmtId="0" fontId="80" fillId="2" borderId="20" xfId="0" applyFont="1" applyFill="1" applyBorder="1" applyAlignment="1" applyProtection="1">
      <alignment horizontal="center" vertical="center"/>
      <protection locked="0"/>
    </xf>
    <xf numFmtId="0" fontId="25" fillId="0" borderId="1" xfId="0" applyFont="1" applyBorder="1" applyAlignment="1">
      <alignment wrapText="1"/>
    </xf>
    <xf numFmtId="0" fontId="17" fillId="0" borderId="1" xfId="0" applyFont="1" applyBorder="1" applyAlignment="1">
      <alignment horizontal="left" vertical="center" wrapText="1" indent="1"/>
    </xf>
    <xf numFmtId="0" fontId="90" fillId="0" borderId="1" xfId="0" applyFont="1" applyBorder="1" applyAlignment="1">
      <alignment horizontal="left" vertical="center" wrapText="1" indent="1"/>
    </xf>
    <xf numFmtId="0" fontId="12" fillId="0" borderId="0" xfId="0" applyFont="1" applyFill="1" applyBorder="1" applyAlignment="1" applyProtection="1">
      <alignment horizontal="center" vertical="center"/>
      <protection locked="0"/>
    </xf>
    <xf numFmtId="0" fontId="32" fillId="0" borderId="0"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1" fillId="0" borderId="1" xfId="0" applyFont="1" applyFill="1" applyBorder="1" applyAlignment="1">
      <alignment horizontal="center" vertical="center"/>
    </xf>
    <xf numFmtId="0" fontId="24" fillId="5" borderId="1" xfId="0" applyFont="1" applyFill="1" applyBorder="1" applyAlignment="1">
      <alignment horizontal="center" vertical="center"/>
    </xf>
    <xf numFmtId="0" fontId="24" fillId="5" borderId="7" xfId="0" applyFont="1" applyFill="1" applyBorder="1" applyAlignment="1">
      <alignment horizontal="center" vertical="center"/>
    </xf>
    <xf numFmtId="164" fontId="10" fillId="0" borderId="3" xfId="0" quotePrefix="1" applyNumberFormat="1" applyFont="1" applyBorder="1" applyAlignment="1">
      <alignment horizontal="center" vertical="center"/>
    </xf>
    <xf numFmtId="0" fontId="20" fillId="8" borderId="7" xfId="0" applyFont="1" applyFill="1" applyBorder="1" applyAlignment="1">
      <alignment horizontal="center" vertical="center"/>
    </xf>
    <xf numFmtId="0" fontId="17" fillId="4" borderId="1" xfId="0" applyFont="1" applyFill="1" applyBorder="1" applyAlignment="1">
      <alignment horizontal="center" vertical="center"/>
    </xf>
    <xf numFmtId="0" fontId="17" fillId="4" borderId="1" xfId="0" applyFont="1" applyFill="1" applyBorder="1" applyAlignment="1" applyProtection="1">
      <alignment horizontal="center" vertical="center"/>
      <protection locked="0"/>
    </xf>
    <xf numFmtId="0" fontId="32" fillId="0" borderId="68" xfId="0" applyFont="1" applyBorder="1"/>
    <xf numFmtId="0" fontId="25" fillId="0" borderId="25" xfId="0" applyFont="1" applyBorder="1" applyAlignment="1">
      <alignment horizontal="center" vertical="center"/>
    </xf>
    <xf numFmtId="0" fontId="7" fillId="0" borderId="33" xfId="0" applyFont="1" applyBorder="1" applyAlignment="1">
      <alignment horizontal="left" vertical="center" indent="1"/>
    </xf>
    <xf numFmtId="0" fontId="0" fillId="4" borderId="1" xfId="0" applyFill="1" applyBorder="1"/>
    <xf numFmtId="0" fontId="79" fillId="13" borderId="1" xfId="0" applyFont="1" applyFill="1" applyBorder="1"/>
    <xf numFmtId="0" fontId="67" fillId="0" borderId="0" xfId="0" applyFont="1" applyFill="1" applyBorder="1" applyAlignment="1" applyProtection="1">
      <alignment horizontal="center" vertical="center"/>
      <protection locked="0"/>
    </xf>
    <xf numFmtId="0" fontId="90" fillId="0" borderId="0" xfId="0" applyFont="1" applyFill="1" applyBorder="1" applyAlignment="1">
      <alignment horizontal="left" vertical="center" wrapText="1" indent="1"/>
    </xf>
    <xf numFmtId="0" fontId="85" fillId="5" borderId="1" xfId="0" applyFont="1" applyFill="1" applyBorder="1" applyAlignment="1">
      <alignment horizontal="center" vertical="center"/>
    </xf>
    <xf numFmtId="0" fontId="85" fillId="7" borderId="1" xfId="0" applyFont="1" applyFill="1" applyBorder="1" applyAlignment="1">
      <alignment horizontal="center" vertical="center"/>
    </xf>
    <xf numFmtId="0" fontId="85" fillId="8" borderId="1" xfId="0" applyFont="1" applyFill="1" applyBorder="1" applyAlignment="1">
      <alignment horizontal="center" vertical="center"/>
    </xf>
    <xf numFmtId="0" fontId="19" fillId="4" borderId="0" xfId="0" applyFont="1" applyFill="1"/>
    <xf numFmtId="0" fontId="26" fillId="0" borderId="0" xfId="0" applyFont="1" applyFill="1" applyBorder="1" applyAlignment="1">
      <alignment horizontal="center" vertical="center"/>
    </xf>
    <xf numFmtId="0" fontId="23" fillId="11" borderId="7" xfId="0" applyFont="1" applyFill="1" applyBorder="1" applyAlignment="1">
      <alignment horizontal="center" vertical="center"/>
    </xf>
    <xf numFmtId="0" fontId="23" fillId="4" borderId="7" xfId="0" applyFont="1" applyFill="1" applyBorder="1" applyAlignment="1">
      <alignment horizontal="center" vertical="center"/>
    </xf>
    <xf numFmtId="0" fontId="23" fillId="28" borderId="7" xfId="0" applyFont="1" applyFill="1" applyBorder="1" applyAlignment="1">
      <alignment horizontal="center" vertical="center"/>
    </xf>
    <xf numFmtId="0" fontId="64" fillId="13" borderId="2" xfId="0" applyFont="1" applyFill="1" applyBorder="1" applyAlignment="1" applyProtection="1">
      <alignment horizontal="center" vertical="center"/>
      <protection locked="0"/>
    </xf>
    <xf numFmtId="0" fontId="19" fillId="4" borderId="0" xfId="0" applyFont="1" applyFill="1" applyAlignment="1">
      <alignment vertical="center"/>
    </xf>
    <xf numFmtId="0" fontId="26" fillId="0" borderId="0" xfId="0" applyFont="1" applyAlignment="1">
      <alignment horizontal="center" vertical="center"/>
    </xf>
    <xf numFmtId="0" fontId="69" fillId="0" borderId="0" xfId="0" applyFont="1" applyFill="1" applyBorder="1" applyAlignment="1">
      <alignment vertical="center" wrapText="1"/>
    </xf>
    <xf numFmtId="0" fontId="64"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64" fillId="13" borderId="1" xfId="0" applyFont="1" applyFill="1" applyBorder="1" applyAlignment="1" applyProtection="1">
      <alignment horizontal="center" vertical="center"/>
      <protection locked="0"/>
    </xf>
    <xf numFmtId="0" fontId="0" fillId="6" borderId="0" xfId="0" applyFill="1"/>
    <xf numFmtId="0" fontId="19" fillId="6" borderId="0" xfId="0" applyFont="1" applyFill="1" applyAlignment="1">
      <alignment vertical="center"/>
    </xf>
    <xf numFmtId="0" fontId="3" fillId="0" borderId="1" xfId="0" applyFont="1" applyBorder="1" applyAlignment="1">
      <alignment horizontal="left" vertical="top" wrapText="1" indent="1"/>
    </xf>
    <xf numFmtId="0" fontId="11" fillId="0" borderId="6" xfId="0" applyFont="1" applyBorder="1" applyAlignment="1">
      <alignment horizontal="center" vertical="center"/>
    </xf>
    <xf numFmtId="0" fontId="11" fillId="3" borderId="6" xfId="0" applyFont="1" applyFill="1" applyBorder="1" applyAlignment="1">
      <alignment horizontal="center" vertical="center"/>
    </xf>
    <xf numFmtId="0" fontId="11" fillId="4" borderId="6" xfId="0" applyFont="1" applyFill="1" applyBorder="1" applyAlignment="1">
      <alignment horizontal="center" vertical="center"/>
    </xf>
    <xf numFmtId="164" fontId="0" fillId="7" borderId="1" xfId="0" applyNumberFormat="1" applyFill="1" applyBorder="1" applyAlignment="1">
      <alignment horizontal="center" vertical="center"/>
    </xf>
    <xf numFmtId="0" fontId="0" fillId="0" borderId="6" xfId="0" applyBorder="1" applyAlignment="1">
      <alignment horizontal="center" vertical="center"/>
    </xf>
    <xf numFmtId="0" fontId="12" fillId="34" borderId="1"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164" fontId="0" fillId="7" borderId="6" xfId="0" applyNumberFormat="1" applyFill="1" applyBorder="1" applyAlignment="1">
      <alignment horizontal="center" vertical="center"/>
    </xf>
    <xf numFmtId="164" fontId="0" fillId="21" borderId="6" xfId="0" applyNumberFormat="1" applyFill="1" applyBorder="1" applyAlignment="1">
      <alignment horizontal="center" vertical="center"/>
    </xf>
    <xf numFmtId="164" fontId="0" fillId="0" borderId="1" xfId="0" applyNumberFormat="1" applyBorder="1" applyAlignment="1">
      <alignment horizontal="center" vertical="center"/>
    </xf>
    <xf numFmtId="0" fontId="1" fillId="0" borderId="0" xfId="0" applyFont="1" applyAlignment="1" applyProtection="1">
      <alignment vertical="center"/>
      <protection hidden="1"/>
    </xf>
    <xf numFmtId="49" fontId="7" fillId="0" borderId="1" xfId="0" quotePrefix="1" applyNumberFormat="1" applyFont="1" applyBorder="1" applyAlignment="1">
      <alignment horizontal="center" vertical="center"/>
    </xf>
    <xf numFmtId="0" fontId="7" fillId="0" borderId="1" xfId="0" applyFont="1" applyBorder="1" applyAlignment="1">
      <alignment horizontal="left" vertical="center" wrapText="1"/>
    </xf>
    <xf numFmtId="0" fontId="0" fillId="0" borderId="1" xfId="0" applyBorder="1" applyAlignment="1">
      <alignment horizontal="left" vertical="center" wrapText="1"/>
    </xf>
    <xf numFmtId="167" fontId="0" fillId="0" borderId="1" xfId="0" applyNumberFormat="1" applyBorder="1" applyAlignment="1">
      <alignment horizontal="left" vertical="center" wrapText="1"/>
    </xf>
    <xf numFmtId="0" fontId="7" fillId="0" borderId="1" xfId="0" applyFont="1" applyBorder="1" applyAlignment="1">
      <alignment horizontal="center" vertical="center" wrapText="1"/>
    </xf>
    <xf numFmtId="0" fontId="14" fillId="0" borderId="1" xfId="0" applyFont="1" applyFill="1" applyBorder="1" applyAlignment="1">
      <alignment horizontal="center" vertical="center" wrapText="1"/>
    </xf>
    <xf numFmtId="0" fontId="98" fillId="0" borderId="1" xfId="0" applyFont="1" applyFill="1" applyBorder="1" applyAlignment="1">
      <alignment horizontal="left" vertical="center"/>
    </xf>
    <xf numFmtId="0" fontId="7" fillId="0" borderId="1" xfId="0" applyFont="1" applyFill="1" applyBorder="1" applyAlignment="1">
      <alignment vertical="center" wrapText="1"/>
    </xf>
    <xf numFmtId="0" fontId="98" fillId="0" borderId="1" xfId="0" applyFont="1" applyFill="1" applyBorder="1" applyAlignment="1">
      <alignment horizontal="left" vertical="center" wrapText="1"/>
    </xf>
    <xf numFmtId="0" fontId="98" fillId="0" borderId="1" xfId="0" applyNumberFormat="1" applyFont="1" applyFill="1" applyBorder="1" applyAlignment="1">
      <alignment horizontal="left" vertical="center" wrapText="1"/>
    </xf>
    <xf numFmtId="0" fontId="78" fillId="0" borderId="1" xfId="0" applyNumberFormat="1" applyFont="1" applyFill="1" applyBorder="1" applyAlignment="1">
      <alignment horizontal="center" vertical="center" wrapText="1"/>
    </xf>
    <xf numFmtId="0" fontId="99" fillId="0" borderId="1" xfId="0" applyFont="1" applyBorder="1" applyAlignment="1">
      <alignment vertical="center"/>
    </xf>
    <xf numFmtId="0" fontId="0" fillId="0" borderId="1" xfId="0" applyBorder="1" applyAlignment="1">
      <alignment horizontal="center" vertical="center" wrapText="1"/>
    </xf>
    <xf numFmtId="0" fontId="0" fillId="0" borderId="1" xfId="0" applyFont="1" applyBorder="1" applyAlignment="1">
      <alignment vertical="center"/>
    </xf>
    <xf numFmtId="3" fontId="7" fillId="0" borderId="1" xfId="0" applyNumberFormat="1" applyFont="1" applyFill="1" applyBorder="1" applyAlignment="1">
      <alignment vertical="center" wrapText="1"/>
    </xf>
    <xf numFmtId="0" fontId="92" fillId="0" borderId="1" xfId="0" applyFont="1" applyBorder="1" applyAlignment="1">
      <alignment vertical="center"/>
    </xf>
    <xf numFmtId="0" fontId="100" fillId="0" borderId="1" xfId="0" applyNumberFormat="1" applyFont="1" applyFill="1" applyBorder="1" applyAlignment="1">
      <alignment horizontal="center" vertical="center" wrapText="1"/>
    </xf>
    <xf numFmtId="49" fontId="7" fillId="0" borderId="1" xfId="0" applyNumberFormat="1" applyFont="1" applyBorder="1" applyAlignment="1">
      <alignment horizontal="center" vertical="center"/>
    </xf>
    <xf numFmtId="0" fontId="0" fillId="0" borderId="1" xfId="0" applyBorder="1" applyAlignment="1">
      <alignment vertical="center"/>
    </xf>
    <xf numFmtId="0" fontId="53" fillId="10" borderId="19" xfId="0" quotePrefix="1" applyFont="1" applyFill="1" applyBorder="1" applyAlignment="1">
      <alignment horizontal="left" indent="2"/>
    </xf>
    <xf numFmtId="0" fontId="65" fillId="0" borderId="0" xfId="0" applyFont="1" applyAlignment="1">
      <alignment horizontal="left"/>
    </xf>
    <xf numFmtId="0" fontId="25" fillId="0" borderId="1" xfId="0" applyFont="1" applyBorder="1" applyAlignment="1">
      <alignment horizontal="left" vertical="center" wrapText="1"/>
    </xf>
    <xf numFmtId="0" fontId="0" fillId="0" borderId="1" xfId="0" applyBorder="1" applyAlignment="1">
      <alignment horizontal="center" vertical="center"/>
    </xf>
    <xf numFmtId="164" fontId="59" fillId="5" borderId="1" xfId="0" applyNumberFormat="1" applyFont="1" applyFill="1" applyBorder="1" applyAlignment="1" applyProtection="1">
      <alignment horizontal="center" vertical="center"/>
      <protection hidden="1"/>
    </xf>
    <xf numFmtId="0" fontId="32" fillId="0" borderId="0" xfId="0" applyFont="1" applyProtection="1">
      <protection locked="0"/>
    </xf>
    <xf numFmtId="0" fontId="0" fillId="0" borderId="0" xfId="0" applyProtection="1">
      <protection locked="0"/>
    </xf>
    <xf numFmtId="0" fontId="0" fillId="0" borderId="0" xfId="0" applyFill="1" applyProtection="1">
      <protection locked="0"/>
    </xf>
    <xf numFmtId="0" fontId="23" fillId="0" borderId="0" xfId="0" applyFont="1" applyAlignment="1" applyProtection="1">
      <alignment horizontal="left"/>
      <protection locked="0"/>
    </xf>
    <xf numFmtId="0" fontId="13" fillId="28" borderId="35" xfId="0" applyFont="1" applyFill="1" applyBorder="1" applyAlignment="1" applyProtection="1">
      <alignment horizontal="center" vertical="center"/>
      <protection locked="0"/>
    </xf>
    <xf numFmtId="0" fontId="13" fillId="28" borderId="20" xfId="0" applyFont="1" applyFill="1" applyBorder="1" applyAlignment="1" applyProtection="1">
      <alignment horizontal="center" vertical="center"/>
      <protection locked="0"/>
    </xf>
    <xf numFmtId="0" fontId="13" fillId="28" borderId="21" xfId="0" applyFont="1" applyFill="1" applyBorder="1" applyAlignment="1" applyProtection="1">
      <alignment horizontal="center" vertical="center"/>
      <protection locked="0"/>
    </xf>
    <xf numFmtId="0" fontId="13" fillId="10" borderId="35" xfId="0" applyFont="1" applyFill="1" applyBorder="1" applyAlignment="1" applyProtection="1">
      <alignment horizontal="center" vertical="center"/>
      <protection locked="0"/>
    </xf>
    <xf numFmtId="0" fontId="13" fillId="10" borderId="20" xfId="0" applyFont="1" applyFill="1" applyBorder="1" applyAlignment="1" applyProtection="1">
      <alignment horizontal="center" vertical="center"/>
      <protection locked="0"/>
    </xf>
    <xf numFmtId="0" fontId="0" fillId="0" borderId="5" xfId="0" applyBorder="1" applyAlignment="1" applyProtection="1">
      <alignment horizontal="center" vertical="center"/>
      <protection locked="0"/>
    </xf>
    <xf numFmtId="1" fontId="0" fillId="0" borderId="3" xfId="0" applyNumberFormat="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26" borderId="0" xfId="0" applyFill="1" applyProtection="1">
      <protection locked="0"/>
    </xf>
    <xf numFmtId="0" fontId="2" fillId="0" borderId="1" xfId="0" applyFont="1" applyBorder="1" applyAlignment="1">
      <alignment horizontal="center" vertical="center"/>
    </xf>
    <xf numFmtId="0" fontId="32" fillId="0" borderId="0"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0" fillId="0" borderId="1" xfId="0" applyBorder="1" applyAlignment="1">
      <alignment horizontal="center" vertical="center"/>
    </xf>
    <xf numFmtId="0" fontId="24" fillId="5" borderId="0" xfId="0" applyFont="1" applyFill="1" applyBorder="1" applyAlignment="1" applyProtection="1">
      <alignment horizontal="center" vertical="center"/>
      <protection locked="0"/>
    </xf>
    <xf numFmtId="0" fontId="25" fillId="0" borderId="1" xfId="0" applyFont="1" applyBorder="1" applyAlignment="1" applyProtection="1">
      <alignment horizontal="left" vertical="center" wrapText="1"/>
      <protection locked="0" hidden="1"/>
    </xf>
    <xf numFmtId="0" fontId="0" fillId="5" borderId="0" xfId="0" applyFill="1" applyProtection="1">
      <protection locked="0"/>
    </xf>
    <xf numFmtId="0" fontId="65" fillId="0" borderId="0" xfId="0" applyFont="1" applyProtection="1">
      <protection locked="0"/>
    </xf>
    <xf numFmtId="0" fontId="19" fillId="5" borderId="0" xfId="0" applyFont="1" applyFill="1" applyProtection="1">
      <protection locked="0"/>
    </xf>
    <xf numFmtId="0" fontId="65" fillId="5" borderId="0" xfId="0" applyFont="1" applyFill="1" applyProtection="1">
      <protection locked="0"/>
    </xf>
    <xf numFmtId="0" fontId="23" fillId="8" borderId="2" xfId="0" applyFont="1" applyFill="1" applyBorder="1" applyAlignment="1" applyProtection="1">
      <alignment horizontal="center" vertical="center"/>
      <protection locked="0"/>
    </xf>
    <xf numFmtId="0" fontId="19" fillId="27" borderId="56" xfId="0" applyFont="1" applyFill="1" applyBorder="1" applyAlignment="1" applyProtection="1">
      <alignment horizontal="center" vertical="center"/>
      <protection locked="0"/>
    </xf>
    <xf numFmtId="0" fontId="19" fillId="5" borderId="36" xfId="0" applyFont="1" applyFill="1" applyBorder="1" applyAlignment="1" applyProtection="1">
      <alignment horizontal="center" vertical="center"/>
      <protection locked="0"/>
    </xf>
    <xf numFmtId="0" fontId="19" fillId="7" borderId="57" xfId="0" applyFont="1" applyFill="1" applyBorder="1" applyAlignment="1" applyProtection="1">
      <alignment horizontal="center" vertical="center"/>
      <protection locked="0"/>
    </xf>
    <xf numFmtId="0" fontId="19" fillId="4" borderId="57" xfId="0" applyFont="1" applyFill="1" applyBorder="1" applyAlignment="1" applyProtection="1">
      <alignment horizontal="center" vertical="center"/>
      <protection locked="0"/>
    </xf>
    <xf numFmtId="0" fontId="13" fillId="0" borderId="1" xfId="0" applyFont="1" applyBorder="1" applyAlignment="1" applyProtection="1">
      <alignment horizontal="left" vertical="center" indent="1"/>
      <protection locked="0"/>
    </xf>
    <xf numFmtId="0" fontId="13" fillId="0" borderId="1" xfId="0" applyFont="1" applyBorder="1" applyAlignment="1" applyProtection="1">
      <alignment horizontal="center" vertical="center"/>
      <protection locked="0"/>
    </xf>
    <xf numFmtId="0" fontId="0" fillId="0" borderId="1" xfId="0" applyBorder="1" applyAlignment="1" applyProtection="1">
      <alignment horizontal="left" vertical="center" indent="1"/>
      <protection locked="0"/>
    </xf>
    <xf numFmtId="0" fontId="68" fillId="9" borderId="1" xfId="0" applyFont="1" applyFill="1" applyBorder="1" applyAlignment="1" applyProtection="1">
      <alignment horizontal="left" vertical="top" wrapText="1" indent="1"/>
      <protection locked="0"/>
    </xf>
    <xf numFmtId="0" fontId="0" fillId="10" borderId="1" xfId="0" applyFill="1" applyBorder="1" applyAlignment="1" applyProtection="1">
      <alignment horizontal="left" vertical="top" wrapText="1" indent="1"/>
      <protection locked="0"/>
    </xf>
    <xf numFmtId="0" fontId="0" fillId="0" borderId="1" xfId="0" applyFont="1" applyBorder="1" applyAlignment="1" applyProtection="1">
      <alignment horizontal="center" vertical="center"/>
      <protection locked="0"/>
    </xf>
    <xf numFmtId="0" fontId="26" fillId="5" borderId="5" xfId="0" applyFont="1" applyFill="1" applyBorder="1" applyAlignment="1" applyProtection="1">
      <alignment horizontal="center" vertical="center"/>
      <protection locked="0"/>
    </xf>
    <xf numFmtId="0" fontId="26" fillId="5" borderId="0" xfId="0" applyFont="1" applyFill="1" applyAlignment="1" applyProtection="1">
      <alignment horizontal="center"/>
      <protection locked="0"/>
    </xf>
    <xf numFmtId="0" fontId="26" fillId="5" borderId="0" xfId="0" applyFont="1" applyFill="1" applyBorder="1" applyAlignment="1" applyProtection="1">
      <alignment horizontal="center" vertical="center"/>
      <protection locked="0"/>
    </xf>
    <xf numFmtId="0" fontId="23" fillId="11" borderId="5" xfId="0" applyFont="1" applyFill="1" applyBorder="1" applyAlignment="1" applyProtection="1">
      <alignment horizontal="center" vertical="center"/>
      <protection locked="0"/>
    </xf>
    <xf numFmtId="0" fontId="32" fillId="11" borderId="0" xfId="0" applyFont="1" applyFill="1" applyAlignment="1" applyProtection="1">
      <alignment horizontal="center"/>
      <protection locked="0"/>
    </xf>
    <xf numFmtId="0" fontId="32" fillId="11" borderId="5" xfId="0" applyFont="1" applyFill="1" applyBorder="1" applyAlignment="1" applyProtection="1">
      <alignment horizontal="center" vertical="center"/>
      <protection locked="0"/>
    </xf>
    <xf numFmtId="0" fontId="0" fillId="0" borderId="0" xfId="0" applyFill="1" applyBorder="1" applyProtection="1">
      <protection locked="0"/>
    </xf>
    <xf numFmtId="0" fontId="0" fillId="5" borderId="0" xfId="0" applyFill="1" applyBorder="1" applyProtection="1">
      <protection locked="0"/>
    </xf>
    <xf numFmtId="0" fontId="19" fillId="5" borderId="0" xfId="0" applyFont="1" applyFill="1" applyAlignment="1" applyProtection="1">
      <alignment horizontal="left" vertical="center"/>
      <protection locked="0"/>
    </xf>
    <xf numFmtId="0" fontId="16" fillId="8" borderId="2" xfId="0" applyFont="1" applyFill="1" applyBorder="1" applyAlignment="1" applyProtection="1">
      <alignment horizontal="center" vertical="center"/>
      <protection locked="0"/>
    </xf>
    <xf numFmtId="0" fontId="25" fillId="0" borderId="1" xfId="0" applyFont="1" applyBorder="1" applyAlignment="1" applyProtection="1">
      <alignment horizontal="left" vertical="center" indent="1"/>
      <protection locked="0"/>
    </xf>
    <xf numFmtId="0" fontId="0" fillId="0" borderId="16" xfId="0" applyFont="1" applyBorder="1" applyAlignment="1" applyProtection="1">
      <alignment horizontal="center" vertical="center"/>
      <protection locked="0"/>
    </xf>
    <xf numFmtId="0" fontId="25" fillId="0" borderId="1" xfId="0" applyFont="1" applyBorder="1" applyAlignment="1" applyProtection="1">
      <alignment horizontal="left" vertical="center" wrapText="1" indent="1"/>
      <protection locked="0" hidden="1"/>
    </xf>
    <xf numFmtId="164" fontId="4" fillId="0" borderId="3" xfId="0" applyNumberFormat="1" applyFont="1" applyBorder="1" applyAlignment="1">
      <alignment horizontal="center" vertical="center"/>
    </xf>
    <xf numFmtId="0" fontId="2" fillId="0" borderId="1" xfId="0" applyFont="1" applyBorder="1" applyAlignment="1">
      <alignment horizontal="center" vertical="center"/>
    </xf>
    <xf numFmtId="0" fontId="23" fillId="0" borderId="0" xfId="0" applyFont="1" applyFill="1" applyBorder="1" applyAlignment="1" applyProtection="1">
      <alignment horizontal="center" vertical="center"/>
      <protection locked="0"/>
    </xf>
    <xf numFmtId="0" fontId="1" fillId="0" borderId="0" xfId="0" applyFont="1" applyProtection="1">
      <protection locked="0"/>
    </xf>
    <xf numFmtId="0" fontId="1" fillId="0" borderId="0" xfId="0" applyFont="1" applyFill="1" applyBorder="1" applyProtection="1">
      <protection locked="0"/>
    </xf>
    <xf numFmtId="0" fontId="1" fillId="0" borderId="0" xfId="0" applyFont="1" applyBorder="1" applyAlignment="1" applyProtection="1">
      <alignment vertical="center"/>
      <protection locked="0"/>
    </xf>
    <xf numFmtId="0" fontId="1" fillId="0" borderId="0" xfId="0" applyFont="1" applyBorder="1" applyProtection="1">
      <protection locked="0"/>
    </xf>
    <xf numFmtId="0" fontId="66" fillId="0" borderId="0" xfId="0" applyFont="1" applyBorder="1" applyAlignment="1" applyProtection="1">
      <alignment vertical="center"/>
      <protection locked="0"/>
    </xf>
    <xf numFmtId="0" fontId="5" fillId="0" borderId="0" xfId="0" applyFont="1" applyAlignment="1" applyProtection="1">
      <alignment vertical="center"/>
      <protection locked="0"/>
    </xf>
    <xf numFmtId="0" fontId="1" fillId="0" borderId="1" xfId="0" applyFont="1" applyBorder="1" applyAlignment="1" applyProtection="1">
      <alignment horizontal="center" vertical="center"/>
      <protection locked="0"/>
    </xf>
    <xf numFmtId="0" fontId="1" fillId="0" borderId="0" xfId="0" applyFont="1" applyAlignment="1" applyProtection="1">
      <alignment vertical="center"/>
      <protection locked="0"/>
    </xf>
    <xf numFmtId="0" fontId="2" fillId="0" borderId="3" xfId="0" applyFont="1" applyBorder="1" applyAlignment="1" applyProtection="1">
      <alignment horizontal="center" vertical="center"/>
      <protection locked="0"/>
    </xf>
    <xf numFmtId="0" fontId="7" fillId="0" borderId="3" xfId="0" applyFont="1" applyBorder="1" applyAlignment="1" applyProtection="1">
      <alignment horizontal="left" vertical="center" indent="1"/>
      <protection locked="0"/>
    </xf>
    <xf numFmtId="0" fontId="13" fillId="0" borderId="25" xfId="0" applyFont="1" applyBorder="1" applyAlignment="1" applyProtection="1">
      <alignment horizontal="center" vertical="center"/>
      <protection locked="0"/>
    </xf>
    <xf numFmtId="1" fontId="1" fillId="0" borderId="1"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6" xfId="0" applyFont="1" applyFill="1" applyBorder="1" applyAlignment="1" applyProtection="1">
      <alignment horizontal="center" vertical="center"/>
      <protection locked="0"/>
    </xf>
    <xf numFmtId="0" fontId="13" fillId="0" borderId="29" xfId="0" applyFont="1" applyBorder="1" applyAlignment="1" applyProtection="1">
      <alignment horizontal="center" vertical="center"/>
      <protection locked="0"/>
    </xf>
    <xf numFmtId="0" fontId="8" fillId="0" borderId="1" xfId="0" applyFont="1" applyBorder="1" applyAlignment="1" applyProtection="1">
      <alignment horizontal="center"/>
      <protection locked="0"/>
    </xf>
    <xf numFmtId="0" fontId="5" fillId="0" borderId="3" xfId="0" applyFont="1" applyFill="1" applyBorder="1" applyAlignment="1" applyProtection="1">
      <alignment horizontal="center" vertical="center"/>
      <protection locked="0"/>
    </xf>
    <xf numFmtId="1" fontId="1" fillId="9" borderId="3" xfId="0" applyNumberFormat="1" applyFont="1" applyFill="1" applyBorder="1" applyAlignment="1" applyProtection="1">
      <alignment horizontal="center" vertical="center"/>
      <protection hidden="1"/>
    </xf>
    <xf numFmtId="164" fontId="1" fillId="3" borderId="3" xfId="0" applyNumberFormat="1" applyFont="1" applyFill="1" applyBorder="1" applyAlignment="1" applyProtection="1">
      <alignment horizontal="center" vertical="center"/>
      <protection hidden="1"/>
    </xf>
    <xf numFmtId="1" fontId="4" fillId="9" borderId="3" xfId="0" applyNumberFormat="1" applyFont="1" applyFill="1" applyBorder="1" applyAlignment="1" applyProtection="1">
      <alignment horizontal="center" vertical="center"/>
      <protection hidden="1"/>
    </xf>
    <xf numFmtId="0" fontId="4" fillId="9" borderId="3" xfId="0" applyFont="1" applyFill="1" applyBorder="1" applyAlignment="1" applyProtection="1">
      <alignment horizontal="center" vertical="center"/>
      <protection hidden="1"/>
    </xf>
    <xf numFmtId="1" fontId="4" fillId="10" borderId="3" xfId="0" applyNumberFormat="1" applyFont="1" applyFill="1" applyBorder="1" applyAlignment="1" applyProtection="1">
      <alignment horizontal="center" vertical="center"/>
      <protection hidden="1"/>
    </xf>
    <xf numFmtId="1" fontId="1" fillId="0" borderId="1" xfId="0" applyNumberFormat="1" applyFont="1"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1" fontId="4" fillId="10" borderId="1" xfId="0" applyNumberFormat="1" applyFont="1" applyFill="1" applyBorder="1" applyAlignment="1" applyProtection="1">
      <alignment horizontal="center" vertical="center"/>
      <protection hidden="1"/>
    </xf>
    <xf numFmtId="0" fontId="7" fillId="0" borderId="1" xfId="0" applyFont="1" applyBorder="1" applyAlignment="1" applyProtection="1">
      <alignment horizontal="left" vertical="center" indent="1"/>
      <protection locked="0"/>
    </xf>
    <xf numFmtId="0" fontId="1" fillId="0" borderId="1" xfId="0" applyFont="1" applyBorder="1" applyProtection="1">
      <protection locked="0"/>
    </xf>
    <xf numFmtId="1" fontId="0" fillId="0" borderId="0" xfId="0" applyNumberFormat="1" applyProtection="1">
      <protection locked="0"/>
    </xf>
    <xf numFmtId="1" fontId="0" fillId="0" borderId="0" xfId="0" applyNumberFormat="1" applyFill="1" applyBorder="1" applyProtection="1">
      <protection locked="0"/>
    </xf>
    <xf numFmtId="1" fontId="19" fillId="0" borderId="0" xfId="0" applyNumberFormat="1" applyFont="1" applyProtection="1">
      <protection locked="0"/>
    </xf>
    <xf numFmtId="1" fontId="34" fillId="0" borderId="0" xfId="0" applyNumberFormat="1" applyFont="1" applyFill="1" applyBorder="1" applyAlignment="1" applyProtection="1">
      <alignment horizontal="center" vertical="center"/>
      <protection locked="0"/>
    </xf>
    <xf numFmtId="1" fontId="20" fillId="0" borderId="0" xfId="0" applyNumberFormat="1" applyFont="1" applyProtection="1">
      <protection locked="0"/>
    </xf>
    <xf numFmtId="1" fontId="21" fillId="0" borderId="0" xfId="0" applyNumberFormat="1" applyFont="1" applyAlignment="1" applyProtection="1">
      <alignment horizontal="center"/>
      <protection locked="0"/>
    </xf>
    <xf numFmtId="1" fontId="21" fillId="0" borderId="0" xfId="0" applyNumberFormat="1" applyFont="1" applyProtection="1">
      <protection locked="0"/>
    </xf>
    <xf numFmtId="1" fontId="23" fillId="0" borderId="0" xfId="0" applyNumberFormat="1" applyFont="1" applyAlignment="1" applyProtection="1">
      <alignment horizontal="center" vertical="center"/>
      <protection locked="0"/>
    </xf>
    <xf numFmtId="1" fontId="12" fillId="4" borderId="1" xfId="0" applyNumberFormat="1" applyFont="1" applyFill="1" applyBorder="1" applyAlignment="1" applyProtection="1">
      <alignment horizontal="center" vertical="center"/>
      <protection locked="0"/>
    </xf>
    <xf numFmtId="1" fontId="12" fillId="7" borderId="1" xfId="0" applyNumberFormat="1" applyFont="1" applyFill="1" applyBorder="1" applyAlignment="1" applyProtection="1">
      <alignment horizontal="center" vertical="center"/>
      <protection locked="0"/>
    </xf>
    <xf numFmtId="1" fontId="12" fillId="8" borderId="1" xfId="0" applyNumberFormat="1" applyFont="1" applyFill="1" applyBorder="1" applyAlignment="1" applyProtection="1">
      <alignment horizontal="center" vertical="center"/>
      <protection locked="0"/>
    </xf>
    <xf numFmtId="1" fontId="11" fillId="0" borderId="1" xfId="0" applyNumberFormat="1" applyFont="1" applyBorder="1" applyAlignment="1" applyProtection="1">
      <alignment horizontal="left" vertical="center" indent="1"/>
      <protection locked="0"/>
    </xf>
    <xf numFmtId="1" fontId="25" fillId="0" borderId="6" xfId="0" applyNumberFormat="1" applyFont="1" applyBorder="1" applyAlignment="1" applyProtection="1">
      <alignment horizontal="center" vertical="center"/>
      <protection locked="0"/>
    </xf>
    <xf numFmtId="1" fontId="29" fillId="0" borderId="3" xfId="0" applyNumberFormat="1" applyFont="1" applyBorder="1" applyAlignment="1" applyProtection="1">
      <alignment horizontal="center" vertical="center"/>
      <protection locked="0"/>
    </xf>
    <xf numFmtId="1" fontId="29" fillId="10" borderId="3" xfId="0" applyNumberFormat="1" applyFont="1" applyFill="1" applyBorder="1" applyAlignment="1" applyProtection="1">
      <alignment horizontal="center" vertical="center"/>
      <protection locked="0"/>
    </xf>
    <xf numFmtId="1" fontId="29" fillId="0" borderId="1" xfId="0" applyNumberFormat="1" applyFont="1" applyBorder="1" applyAlignment="1" applyProtection="1">
      <alignment horizontal="center" vertical="center"/>
      <protection locked="0"/>
    </xf>
    <xf numFmtId="1" fontId="25" fillId="0" borderId="6" xfId="0" applyNumberFormat="1" applyFont="1" applyFill="1" applyBorder="1" applyAlignment="1" applyProtection="1">
      <alignment horizontal="center" vertical="center"/>
      <protection locked="0"/>
    </xf>
    <xf numFmtId="1" fontId="25" fillId="0" borderId="29" xfId="0" applyNumberFormat="1" applyFont="1" applyBorder="1" applyAlignment="1" applyProtection="1">
      <alignment horizontal="center" vertical="center"/>
      <protection locked="0"/>
    </xf>
    <xf numFmtId="1" fontId="9" fillId="0" borderId="1" xfId="0" applyNumberFormat="1" applyFont="1" applyBorder="1" applyAlignment="1" applyProtection="1">
      <alignment horizontal="center" vertical="center"/>
      <protection locked="0"/>
    </xf>
    <xf numFmtId="1" fontId="0" fillId="0" borderId="1" xfId="0" applyNumberFormat="1" applyBorder="1" applyProtection="1">
      <protection locked="0"/>
    </xf>
    <xf numFmtId="1" fontId="10" fillId="0" borderId="1" xfId="0" applyNumberFormat="1" applyFont="1" applyBorder="1" applyAlignment="1" applyProtection="1">
      <alignment horizontal="center" vertical="center"/>
      <protection locked="0"/>
    </xf>
    <xf numFmtId="1" fontId="2" fillId="0" borderId="1" xfId="0" applyNumberFormat="1" applyFont="1" applyBorder="1" applyAlignment="1" applyProtection="1">
      <alignment horizontal="center" vertical="center"/>
      <protection locked="0"/>
    </xf>
    <xf numFmtId="1" fontId="25" fillId="0" borderId="1" xfId="0" applyNumberFormat="1" applyFont="1" applyBorder="1" applyAlignment="1" applyProtection="1">
      <alignment horizontal="center" vertical="center"/>
      <protection locked="0"/>
    </xf>
    <xf numFmtId="1" fontId="14" fillId="7" borderId="1" xfId="1" applyNumberFormat="1" applyFont="1" applyFill="1" applyBorder="1" applyAlignment="1" applyProtection="1">
      <alignment horizontal="left" vertical="center"/>
      <protection locked="0"/>
    </xf>
    <xf numFmtId="1" fontId="9" fillId="16" borderId="1" xfId="0" applyNumberFormat="1" applyFon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protection locked="0"/>
    </xf>
    <xf numFmtId="1" fontId="0" fillId="3" borderId="1" xfId="0" applyNumberFormat="1" applyFill="1" applyBorder="1" applyProtection="1">
      <protection locked="0"/>
    </xf>
    <xf numFmtId="1" fontId="9" fillId="3" borderId="1" xfId="0" applyNumberFormat="1" applyFont="1" applyFill="1" applyBorder="1" applyAlignment="1" applyProtection="1">
      <alignment horizontal="center" vertical="center"/>
      <protection locked="0"/>
    </xf>
    <xf numFmtId="1" fontId="2" fillId="3" borderId="1" xfId="0" applyNumberFormat="1" applyFont="1" applyFill="1" applyBorder="1" applyAlignment="1" applyProtection="1">
      <alignment horizontal="center" vertical="center"/>
      <protection locked="0"/>
    </xf>
    <xf numFmtId="1" fontId="10" fillId="3" borderId="1" xfId="0" applyNumberFormat="1" applyFont="1" applyFill="1" applyBorder="1" applyAlignment="1" applyProtection="1">
      <alignment horizontal="center" vertical="center"/>
      <protection locked="0"/>
    </xf>
    <xf numFmtId="1" fontId="0" fillId="0" borderId="1" xfId="0" applyNumberFormat="1" applyFill="1" applyBorder="1" applyProtection="1">
      <protection locked="0"/>
    </xf>
    <xf numFmtId="1" fontId="10" fillId="9" borderId="3" xfId="0" applyNumberFormat="1" applyFont="1" applyFill="1" applyBorder="1" applyAlignment="1" applyProtection="1">
      <alignment horizontal="center" vertical="center"/>
      <protection hidden="1"/>
    </xf>
    <xf numFmtId="1" fontId="1" fillId="10" borderId="3" xfId="0" applyNumberFormat="1" applyFont="1" applyFill="1" applyBorder="1" applyAlignment="1" applyProtection="1">
      <alignment horizontal="center" vertical="center"/>
      <protection hidden="1"/>
    </xf>
    <xf numFmtId="1" fontId="10" fillId="0" borderId="3" xfId="0" applyNumberFormat="1"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0" fontId="13" fillId="0" borderId="1" xfId="0" applyFont="1" applyBorder="1" applyAlignment="1" applyProtection="1">
      <alignment horizontal="left" vertical="center" wrapText="1" indent="1"/>
      <protection hidden="1"/>
    </xf>
    <xf numFmtId="1" fontId="24" fillId="2" borderId="1" xfId="0" applyNumberFormat="1" applyFont="1" applyFill="1" applyBorder="1" applyAlignment="1" applyProtection="1">
      <alignment horizontal="center" vertical="center"/>
      <protection locked="0"/>
    </xf>
    <xf numFmtId="1" fontId="24" fillId="11" borderId="1" xfId="0" applyNumberFormat="1" applyFont="1" applyFill="1" applyBorder="1" applyAlignment="1" applyProtection="1">
      <alignment horizontal="center" vertical="center"/>
      <protection locked="0"/>
    </xf>
    <xf numFmtId="0" fontId="17" fillId="0" borderId="35" xfId="0" applyFont="1" applyFill="1" applyBorder="1" applyAlignment="1">
      <alignment horizontal="center" vertical="center"/>
    </xf>
    <xf numFmtId="0" fontId="17" fillId="0" borderId="20" xfId="0" applyFont="1" applyFill="1" applyBorder="1" applyAlignment="1">
      <alignment horizontal="center" vertical="center"/>
    </xf>
    <xf numFmtId="0" fontId="17" fillId="0" borderId="21" xfId="0" applyFont="1" applyFill="1" applyBorder="1" applyAlignment="1">
      <alignment horizontal="center" vertical="center"/>
    </xf>
    <xf numFmtId="1" fontId="24" fillId="2" borderId="18" xfId="0" applyNumberFormat="1" applyFont="1" applyFill="1" applyBorder="1" applyAlignment="1" applyProtection="1">
      <alignment horizontal="center" vertical="center"/>
      <protection locked="0"/>
    </xf>
    <xf numFmtId="1" fontId="24" fillId="2" borderId="19" xfId="0" applyNumberFormat="1" applyFont="1" applyFill="1" applyBorder="1" applyAlignment="1" applyProtection="1">
      <alignment horizontal="center" vertical="center"/>
      <protection locked="0"/>
    </xf>
    <xf numFmtId="0" fontId="80" fillId="2" borderId="1" xfId="0" applyFont="1" applyFill="1" applyBorder="1" applyAlignment="1" applyProtection="1">
      <alignment horizontal="center" vertical="center"/>
      <protection locked="0"/>
    </xf>
    <xf numFmtId="164" fontId="29" fillId="10" borderId="3" xfId="0" applyNumberFormat="1" applyFont="1" applyFill="1" applyBorder="1" applyAlignment="1">
      <alignment horizontal="center" vertical="center"/>
    </xf>
    <xf numFmtId="164" fontId="1" fillId="10" borderId="3" xfId="0" applyNumberFormat="1" applyFont="1" applyFill="1" applyBorder="1" applyAlignment="1">
      <alignment horizontal="center" vertical="center"/>
    </xf>
    <xf numFmtId="0" fontId="102" fillId="11" borderId="1" xfId="0" applyFont="1" applyFill="1" applyBorder="1" applyAlignment="1">
      <alignment horizontal="center" vertical="center"/>
    </xf>
    <xf numFmtId="0" fontId="17" fillId="0" borderId="26" xfId="0" applyFont="1" applyFill="1" applyBorder="1" applyAlignment="1">
      <alignment horizontal="center" vertical="center"/>
    </xf>
    <xf numFmtId="164" fontId="0" fillId="0" borderId="3" xfId="0" applyNumberFormat="1" applyBorder="1" applyAlignment="1">
      <alignment horizontal="center" vertical="center"/>
    </xf>
    <xf numFmtId="0" fontId="17" fillId="0" borderId="40" xfId="0" applyFont="1" applyFill="1" applyBorder="1" applyAlignment="1">
      <alignment horizontal="center" vertical="center"/>
    </xf>
    <xf numFmtId="0" fontId="24" fillId="7" borderId="20" xfId="0" applyFont="1" applyFill="1" applyBorder="1" applyAlignment="1">
      <alignment horizontal="center" vertical="center"/>
    </xf>
    <xf numFmtId="0" fontId="24" fillId="8" borderId="20" xfId="0" applyFont="1" applyFill="1" applyBorder="1" applyAlignment="1">
      <alignment horizontal="center" vertical="center"/>
    </xf>
    <xf numFmtId="0" fontId="0" fillId="8" borderId="0" xfId="0" applyFill="1"/>
    <xf numFmtId="0" fontId="0" fillId="8" borderId="0" xfId="0" applyFill="1" applyBorder="1"/>
    <xf numFmtId="0" fontId="14" fillId="0" borderId="3" xfId="0" applyFont="1" applyBorder="1" applyAlignment="1">
      <alignment horizontal="left" vertical="center" indent="1"/>
    </xf>
    <xf numFmtId="0" fontId="24" fillId="9" borderId="1" xfId="0" applyFont="1" applyFill="1" applyBorder="1" applyAlignment="1">
      <alignment horizontal="center" vertical="center"/>
    </xf>
    <xf numFmtId="0" fontId="24" fillId="7" borderId="1" xfId="0" applyFont="1" applyFill="1" applyBorder="1" applyAlignment="1">
      <alignment horizontal="center" vertical="center"/>
    </xf>
    <xf numFmtId="0" fontId="17" fillId="0" borderId="0" xfId="0" applyFont="1" applyFill="1" applyBorder="1" applyAlignment="1">
      <alignment horizontal="center" vertical="center"/>
    </xf>
    <xf numFmtId="164" fontId="0" fillId="0" borderId="14" xfId="0" applyNumberFormat="1" applyBorder="1" applyAlignment="1">
      <alignment horizontal="center" vertical="center"/>
    </xf>
    <xf numFmtId="164" fontId="0" fillId="0" borderId="25" xfId="0" applyNumberFormat="1" applyBorder="1" applyAlignment="1">
      <alignment horizontal="center" vertical="center"/>
    </xf>
    <xf numFmtId="164" fontId="0" fillId="0" borderId="15" xfId="0" applyNumberFormat="1" applyBorder="1" applyAlignment="1">
      <alignment horizontal="center" vertical="center"/>
    </xf>
    <xf numFmtId="164" fontId="0" fillId="0" borderId="16" xfId="0" applyNumberFormat="1" applyBorder="1" applyAlignment="1">
      <alignment horizontal="center" vertical="center"/>
    </xf>
    <xf numFmtId="164" fontId="0" fillId="0" borderId="17" xfId="0" applyNumberFormat="1" applyBorder="1" applyAlignment="1">
      <alignment horizontal="center" vertical="center"/>
    </xf>
    <xf numFmtId="164" fontId="0" fillId="0" borderId="55" xfId="0" applyNumberFormat="1" applyBorder="1" applyAlignment="1">
      <alignment horizontal="center" vertical="center"/>
    </xf>
    <xf numFmtId="164" fontId="0" fillId="0" borderId="74" xfId="0" applyNumberFormat="1" applyBorder="1" applyAlignment="1">
      <alignment horizontal="center" vertical="center"/>
    </xf>
    <xf numFmtId="164" fontId="0" fillId="0" borderId="54" xfId="0" applyNumberFormat="1" applyBorder="1" applyAlignment="1">
      <alignment horizontal="center" vertical="center"/>
    </xf>
    <xf numFmtId="0" fontId="17" fillId="0" borderId="56" xfId="0" applyFont="1" applyFill="1" applyBorder="1" applyAlignment="1">
      <alignment horizontal="center" vertical="center"/>
    </xf>
    <xf numFmtId="0" fontId="17" fillId="0" borderId="36" xfId="0" applyFont="1" applyFill="1" applyBorder="1" applyAlignment="1">
      <alignment horizontal="center" vertical="center"/>
    </xf>
    <xf numFmtId="0" fontId="17" fillId="0" borderId="57" xfId="0" applyFont="1" applyFill="1" applyBorder="1" applyAlignment="1">
      <alignment horizontal="center" vertical="center"/>
    </xf>
    <xf numFmtId="164" fontId="0" fillId="0" borderId="18" xfId="0" applyNumberFormat="1" applyBorder="1" applyAlignment="1">
      <alignment horizontal="center" vertical="center"/>
    </xf>
    <xf numFmtId="164" fontId="0" fillId="0" borderId="24" xfId="0" applyNumberFormat="1" applyBorder="1" applyAlignment="1">
      <alignment horizontal="center" vertical="center"/>
    </xf>
    <xf numFmtId="0" fontId="32" fillId="0" borderId="0" xfId="0" applyFont="1" applyBorder="1"/>
    <xf numFmtId="0" fontId="29" fillId="9" borderId="3" xfId="0" applyFont="1" applyFill="1" applyBorder="1" applyAlignment="1">
      <alignment horizontal="center" vertical="center"/>
    </xf>
    <xf numFmtId="0" fontId="10" fillId="10" borderId="3" xfId="0" applyFont="1" applyFill="1" applyBorder="1" applyAlignment="1">
      <alignment horizontal="center" vertical="center"/>
    </xf>
    <xf numFmtId="164" fontId="0" fillId="0" borderId="7" xfId="0" applyNumberFormat="1" applyBorder="1" applyAlignment="1">
      <alignment horizontal="center" vertical="center"/>
    </xf>
    <xf numFmtId="0" fontId="0" fillId="0" borderId="16" xfId="0" applyBorder="1"/>
    <xf numFmtId="0" fontId="0" fillId="0" borderId="17" xfId="0" applyBorder="1"/>
    <xf numFmtId="0" fontId="0" fillId="0" borderId="19" xfId="0" applyBorder="1"/>
    <xf numFmtId="0" fontId="0" fillId="0" borderId="24" xfId="0" applyBorder="1"/>
    <xf numFmtId="0" fontId="23" fillId="0" borderId="0" xfId="0" applyFont="1" applyAlignment="1">
      <alignment horizontal="left" vertical="center"/>
    </xf>
    <xf numFmtId="0" fontId="0" fillId="0" borderId="1" xfId="0" applyBorder="1" applyAlignment="1">
      <alignment horizontal="center" vertical="center"/>
    </xf>
    <xf numFmtId="0" fontId="17" fillId="5" borderId="2" xfId="0" applyFont="1" applyFill="1" applyBorder="1" applyAlignment="1" applyProtection="1">
      <alignment horizontal="center" vertical="center"/>
      <protection locked="0"/>
    </xf>
    <xf numFmtId="0" fontId="17" fillId="10" borderId="2" xfId="0" applyFont="1" applyFill="1" applyBorder="1" applyAlignment="1" applyProtection="1">
      <alignment horizontal="center" vertical="center"/>
      <protection locked="0"/>
    </xf>
    <xf numFmtId="0" fontId="17" fillId="9" borderId="2" xfId="0" applyFont="1" applyFill="1" applyBorder="1" applyAlignment="1" applyProtection="1">
      <alignment horizontal="center" vertical="center"/>
      <protection locked="0"/>
    </xf>
    <xf numFmtId="0" fontId="17" fillId="5" borderId="2" xfId="0" applyFont="1" applyFill="1" applyBorder="1" applyAlignment="1">
      <alignment horizontal="center" vertical="center"/>
    </xf>
    <xf numFmtId="0" fontId="17" fillId="10" borderId="2" xfId="0" applyFont="1" applyFill="1" applyBorder="1" applyAlignment="1">
      <alignment horizontal="center" vertical="center"/>
    </xf>
    <xf numFmtId="0" fontId="7" fillId="0" borderId="1" xfId="0" applyFont="1" applyBorder="1" applyAlignment="1">
      <alignment horizontal="left" vertical="center" indent="1"/>
    </xf>
    <xf numFmtId="1" fontId="1" fillId="9" borderId="1" xfId="0" applyNumberFormat="1" applyFont="1" applyFill="1" applyBorder="1" applyAlignment="1">
      <alignment horizontal="center" vertical="center"/>
    </xf>
    <xf numFmtId="0" fontId="1" fillId="2" borderId="1" xfId="0" applyFont="1" applyFill="1" applyBorder="1" applyAlignment="1">
      <alignment horizontal="center" vertical="center"/>
    </xf>
    <xf numFmtId="0" fontId="17" fillId="10" borderId="67" xfId="0" applyFont="1" applyFill="1" applyBorder="1" applyAlignment="1" applyProtection="1">
      <alignment horizontal="center" vertical="center"/>
      <protection locked="0"/>
    </xf>
    <xf numFmtId="0" fontId="1" fillId="2" borderId="3" xfId="0" applyFont="1" applyFill="1" applyBorder="1" applyAlignment="1">
      <alignment horizontal="center" vertical="center"/>
    </xf>
    <xf numFmtId="1" fontId="4" fillId="5" borderId="3" xfId="0" applyNumberFormat="1" applyFont="1" applyFill="1" applyBorder="1" applyAlignment="1">
      <alignment horizontal="center" vertical="center"/>
    </xf>
    <xf numFmtId="0" fontId="34" fillId="13" borderId="35" xfId="0" applyFont="1" applyFill="1" applyBorder="1" applyAlignment="1" applyProtection="1">
      <alignment horizontal="center" vertical="center"/>
      <protection locked="0"/>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0" fontId="17" fillId="5" borderId="69" xfId="0" applyFont="1" applyFill="1" applyBorder="1" applyAlignment="1" applyProtection="1">
      <alignment horizontal="center" vertical="center"/>
      <protection locked="0"/>
    </xf>
    <xf numFmtId="164" fontId="1" fillId="3" borderId="14" xfId="0" applyNumberFormat="1" applyFont="1" applyFill="1" applyBorder="1" applyAlignment="1">
      <alignment horizontal="center" vertical="center"/>
    </xf>
    <xf numFmtId="164" fontId="1" fillId="3" borderId="7"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6" xfId="0" applyNumberFormat="1" applyFont="1" applyBorder="1" applyAlignment="1">
      <alignment horizontal="center" vertical="center"/>
    </xf>
    <xf numFmtId="1" fontId="1" fillId="0" borderId="18" xfId="0" applyNumberFormat="1" applyFont="1" applyBorder="1" applyAlignment="1">
      <alignment horizontal="center" vertical="center"/>
    </xf>
    <xf numFmtId="0" fontId="1" fillId="2" borderId="19" xfId="0" applyFont="1" applyFill="1" applyBorder="1" applyAlignment="1">
      <alignment horizontal="center" vertical="center"/>
    </xf>
    <xf numFmtId="0" fontId="13" fillId="0" borderId="7" xfId="0" applyFont="1" applyBorder="1" applyAlignment="1">
      <alignment horizontal="center" vertical="center"/>
    </xf>
    <xf numFmtId="0" fontId="13" fillId="0" borderId="7" xfId="0" applyFont="1" applyFill="1" applyBorder="1" applyAlignment="1">
      <alignment horizontal="center" vertical="center"/>
    </xf>
    <xf numFmtId="0" fontId="8" fillId="0" borderId="7" xfId="0" applyFont="1" applyBorder="1" applyAlignment="1">
      <alignment horizontal="center"/>
    </xf>
    <xf numFmtId="0" fontId="1" fillId="0" borderId="7" xfId="0" applyFont="1" applyBorder="1"/>
    <xf numFmtId="0" fontId="1" fillId="2" borderId="25" xfId="0" applyFont="1" applyFill="1" applyBorder="1" applyAlignment="1">
      <alignment horizontal="center" vertical="center"/>
    </xf>
    <xf numFmtId="0" fontId="1" fillId="0" borderId="15" xfId="0" applyFont="1" applyFill="1" applyBorder="1" applyAlignment="1" applyProtection="1">
      <alignment horizontal="center" vertical="center"/>
      <protection locked="0"/>
    </xf>
    <xf numFmtId="0" fontId="1" fillId="0" borderId="16" xfId="0" applyFont="1" applyFill="1" applyBorder="1" applyAlignment="1" applyProtection="1">
      <alignment horizontal="center" vertical="center"/>
      <protection locked="0"/>
    </xf>
    <xf numFmtId="0" fontId="1" fillId="0" borderId="16" xfId="0" applyFont="1" applyFill="1" applyBorder="1" applyAlignment="1">
      <alignment horizontal="center" vertical="center"/>
    </xf>
    <xf numFmtId="0" fontId="1" fillId="0" borderId="18"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32" fillId="0" borderId="0" xfId="0" applyFont="1" applyAlignment="1">
      <alignment horizontal="left"/>
    </xf>
    <xf numFmtId="0" fontId="0" fillId="5" borderId="6" xfId="0" applyFill="1" applyBorder="1" applyAlignment="1">
      <alignment horizontal="center" vertical="center"/>
    </xf>
    <xf numFmtId="0" fontId="12" fillId="6" borderId="1" xfId="0" applyFont="1" applyFill="1" applyBorder="1" applyAlignment="1">
      <alignment horizontal="center" vertical="center"/>
    </xf>
    <xf numFmtId="0" fontId="0" fillId="0" borderId="16" xfId="0" applyBorder="1" applyAlignment="1">
      <alignment horizontal="center" vertical="center"/>
    </xf>
    <xf numFmtId="0" fontId="17" fillId="0" borderId="69" xfId="0" applyFont="1" applyFill="1" applyBorder="1" applyAlignment="1">
      <alignment horizontal="center" vertical="center"/>
    </xf>
    <xf numFmtId="0" fontId="17" fillId="0" borderId="33" xfId="0" applyFont="1" applyFill="1" applyBorder="1" applyAlignment="1">
      <alignment horizontal="center" vertical="center"/>
    </xf>
    <xf numFmtId="0" fontId="17" fillId="0" borderId="2" xfId="0" applyFont="1" applyFill="1" applyBorder="1" applyAlignment="1">
      <alignment horizontal="center" vertical="center"/>
    </xf>
    <xf numFmtId="0" fontId="17" fillId="0" borderId="72" xfId="0" applyFont="1" applyFill="1" applyBorder="1" applyAlignment="1">
      <alignment horizontal="center" vertical="center"/>
    </xf>
    <xf numFmtId="164" fontId="0" fillId="0" borderId="19" xfId="0" applyNumberFormat="1" applyBorder="1" applyAlignment="1">
      <alignment horizontal="center" vertical="center"/>
    </xf>
    <xf numFmtId="0" fontId="10" fillId="0" borderId="0" xfId="0" applyFont="1" applyAlignment="1">
      <alignment horizontal="left" vertical="center"/>
    </xf>
    <xf numFmtId="0" fontId="0" fillId="0" borderId="7" xfId="0" applyBorder="1" applyAlignment="1">
      <alignment horizontal="left" vertical="center"/>
    </xf>
    <xf numFmtId="0" fontId="0" fillId="0" borderId="17" xfId="0" applyBorder="1" applyAlignment="1">
      <alignment horizontal="center" vertical="center"/>
    </xf>
    <xf numFmtId="0" fontId="0" fillId="0" borderId="19" xfId="0" applyBorder="1" applyAlignment="1">
      <alignment horizontal="center" vertical="center"/>
    </xf>
    <xf numFmtId="0" fontId="105" fillId="0" borderId="1" xfId="0" applyFont="1" applyBorder="1" applyAlignment="1" applyProtection="1">
      <alignment horizontal="left" vertical="center" indent="1"/>
      <protection locked="0"/>
    </xf>
    <xf numFmtId="0" fontId="32" fillId="0" borderId="0"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1" fillId="0" borderId="0" xfId="0" applyFont="1" applyAlignment="1">
      <alignment horizontal="center" vertical="center"/>
    </xf>
    <xf numFmtId="0" fontId="29" fillId="0" borderId="0" xfId="0" applyFont="1"/>
    <xf numFmtId="0" fontId="0" fillId="0" borderId="1" xfId="0" applyBorder="1" applyAlignment="1">
      <alignment horizontal="center" vertical="center"/>
    </xf>
    <xf numFmtId="0" fontId="34" fillId="13" borderId="2" xfId="0" applyFont="1" applyFill="1" applyBorder="1" applyAlignment="1" applyProtection="1">
      <alignment horizontal="center" vertical="center"/>
      <protection locked="0"/>
    </xf>
    <xf numFmtId="0" fontId="4" fillId="0" borderId="0" xfId="0" applyFont="1" applyBorder="1" applyAlignment="1">
      <alignment horizontal="center"/>
    </xf>
    <xf numFmtId="1" fontId="78" fillId="10" borderId="1"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1" fillId="0" borderId="0" xfId="0" applyFont="1" applyBorder="1" applyAlignment="1">
      <alignment horizontal="center" vertical="center"/>
    </xf>
    <xf numFmtId="0" fontId="7" fillId="0" borderId="1" xfId="0" applyFont="1" applyBorder="1" applyAlignment="1">
      <alignment horizontal="center" vertical="center"/>
    </xf>
    <xf numFmtId="0" fontId="32" fillId="0" borderId="0" xfId="0" applyFont="1" applyFill="1" applyBorder="1" applyAlignment="1" applyProtection="1">
      <alignment horizontal="center" vertical="center"/>
      <protection locked="0"/>
    </xf>
    <xf numFmtId="0" fontId="0" fillId="0" borderId="1" xfId="0" applyBorder="1" applyAlignment="1">
      <alignment horizontal="center" vertical="center"/>
    </xf>
    <xf numFmtId="0" fontId="2" fillId="0" borderId="1" xfId="0" applyFont="1" applyBorder="1" applyAlignment="1" applyProtection="1">
      <alignment horizontal="center" vertical="center"/>
      <protection locked="0"/>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2" fillId="0" borderId="1" xfId="0" applyFont="1" applyBorder="1" applyAlignment="1">
      <alignment horizontal="center" vertical="center"/>
    </xf>
    <xf numFmtId="0" fontId="5" fillId="0" borderId="1" xfId="0" applyFont="1" applyFill="1" applyBorder="1" applyAlignment="1">
      <alignment horizontal="center" vertical="center"/>
    </xf>
    <xf numFmtId="0" fontId="23" fillId="0" borderId="0" xfId="0" applyFont="1" applyFill="1" applyBorder="1" applyAlignment="1" applyProtection="1">
      <alignment horizontal="center" vertical="center"/>
      <protection locked="0"/>
    </xf>
    <xf numFmtId="0" fontId="0" fillId="0" borderId="1" xfId="0" applyBorder="1" applyAlignment="1">
      <alignment horizontal="center" vertical="center"/>
    </xf>
    <xf numFmtId="0" fontId="13" fillId="0" borderId="1" xfId="0" applyFont="1" applyBorder="1" applyAlignment="1">
      <alignment horizontal="center" vertical="center"/>
    </xf>
    <xf numFmtId="1" fontId="1" fillId="3" borderId="3" xfId="0" applyNumberFormat="1" applyFont="1" applyFill="1" applyBorder="1" applyAlignment="1">
      <alignment horizontal="center" vertical="center"/>
    </xf>
    <xf numFmtId="0" fontId="1" fillId="4" borderId="3" xfId="0" applyFont="1" applyFill="1" applyBorder="1" applyAlignment="1">
      <alignment horizontal="center" vertical="center"/>
    </xf>
    <xf numFmtId="1" fontId="1" fillId="4" borderId="1" xfId="0" applyNumberFormat="1" applyFont="1" applyFill="1" applyBorder="1" applyAlignment="1">
      <alignment horizontal="center" vertical="center"/>
    </xf>
    <xf numFmtId="0" fontId="17" fillId="4" borderId="2" xfId="0" applyFont="1" applyFill="1" applyBorder="1" applyAlignment="1" applyProtection="1">
      <alignment horizontal="center" vertical="center"/>
      <protection locked="0"/>
    </xf>
    <xf numFmtId="0" fontId="33" fillId="13" borderId="2" xfId="0" applyFont="1" applyFill="1" applyBorder="1" applyAlignment="1" applyProtection="1">
      <alignment horizontal="center" vertical="center"/>
      <protection locked="0"/>
    </xf>
    <xf numFmtId="0" fontId="5" fillId="3" borderId="1" xfId="0" applyFont="1" applyFill="1" applyBorder="1" applyAlignment="1">
      <alignment horizontal="center" vertical="center"/>
    </xf>
    <xf numFmtId="1" fontId="4" fillId="9" borderId="1"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3" fillId="0" borderId="1" xfId="0" applyFont="1" applyFill="1" applyBorder="1" applyAlignment="1">
      <alignment horizontal="center" vertical="center"/>
    </xf>
    <xf numFmtId="1" fontId="1" fillId="0" borderId="0" xfId="0" applyNumberFormat="1" applyFont="1" applyFill="1" applyBorder="1" applyProtection="1">
      <protection locked="0"/>
    </xf>
    <xf numFmtId="1" fontId="27" fillId="0" borderId="0" xfId="0" applyNumberFormat="1" applyFont="1" applyFill="1" applyBorder="1" applyAlignment="1" applyProtection="1">
      <alignment horizontal="center" vertical="center"/>
      <protection locked="0"/>
    </xf>
    <xf numFmtId="1" fontId="10" fillId="0" borderId="0" xfId="0" applyNumberFormat="1" applyFont="1" applyFill="1" applyBorder="1" applyAlignment="1" applyProtection="1">
      <alignment horizontal="center" vertical="center"/>
      <protection locked="0"/>
    </xf>
    <xf numFmtId="1" fontId="1" fillId="35" borderId="3" xfId="0" applyNumberFormat="1" applyFont="1" applyFill="1" applyBorder="1" applyAlignment="1" applyProtection="1">
      <alignment horizontal="center" vertical="center"/>
      <protection locked="0"/>
    </xf>
    <xf numFmtId="1" fontId="1" fillId="0" borderId="0" xfId="0" applyNumberFormat="1" applyFont="1" applyProtection="1">
      <protection locked="0"/>
    </xf>
    <xf numFmtId="1" fontId="23" fillId="0" borderId="0" xfId="0" applyNumberFormat="1" applyFont="1" applyFill="1" applyBorder="1" applyAlignment="1" applyProtection="1">
      <alignment horizontal="center" vertical="center"/>
      <protection locked="0"/>
    </xf>
    <xf numFmtId="0" fontId="23" fillId="0" borderId="0" xfId="0" applyFont="1"/>
    <xf numFmtId="0" fontId="0" fillId="0" borderId="1" xfId="0" applyBorder="1" applyAlignment="1">
      <alignment horizontal="left" vertical="center"/>
    </xf>
    <xf numFmtId="0" fontId="25" fillId="0" borderId="1" xfId="0" applyFont="1" applyFill="1" applyBorder="1" applyAlignment="1">
      <alignment horizontal="center" vertical="center"/>
    </xf>
    <xf numFmtId="0" fontId="0" fillId="6" borderId="6" xfId="0" applyFill="1" applyBorder="1" applyAlignment="1">
      <alignment horizontal="center" vertical="center"/>
    </xf>
    <xf numFmtId="0" fontId="29" fillId="0" borderId="0" xfId="0" applyFont="1" applyAlignment="1">
      <alignment horizontal="center" vertical="center"/>
    </xf>
    <xf numFmtId="0" fontId="9" fillId="0" borderId="2" xfId="0" applyFont="1" applyBorder="1" applyAlignment="1">
      <alignment horizontal="center" vertical="center"/>
    </xf>
    <xf numFmtId="0" fontId="9" fillId="6" borderId="2" xfId="0" applyFont="1" applyFill="1" applyBorder="1" applyAlignment="1">
      <alignment horizontal="center" vertical="center"/>
    </xf>
    <xf numFmtId="0" fontId="29" fillId="6" borderId="0" xfId="0" applyFont="1" applyFill="1"/>
    <xf numFmtId="0" fontId="0" fillId="0" borderId="1" xfId="0" applyBorder="1" applyAlignment="1">
      <alignment horizontal="center" vertical="center"/>
    </xf>
    <xf numFmtId="0" fontId="9" fillId="5" borderId="2" xfId="0" applyFont="1" applyFill="1" applyBorder="1" applyAlignment="1">
      <alignment horizontal="center" vertical="center"/>
    </xf>
    <xf numFmtId="0" fontId="9" fillId="5" borderId="1" xfId="0" applyFont="1" applyFill="1" applyBorder="1" applyAlignment="1">
      <alignment horizontal="center" vertical="center"/>
    </xf>
    <xf numFmtId="0" fontId="4" fillId="3" borderId="1" xfId="0" applyFont="1" applyFill="1" applyBorder="1" applyAlignment="1">
      <alignment horizontal="center" vertical="center"/>
    </xf>
    <xf numFmtId="0" fontId="0" fillId="0" borderId="1" xfId="0" applyBorder="1" applyAlignment="1">
      <alignment horizontal="center" vertical="center"/>
    </xf>
    <xf numFmtId="164" fontId="62" fillId="0" borderId="3" xfId="0" applyNumberFormat="1" applyFont="1" applyBorder="1" applyAlignment="1">
      <alignment horizontal="center" vertical="center"/>
    </xf>
    <xf numFmtId="0" fontId="9" fillId="0" borderId="33" xfId="0" applyFont="1" applyBorder="1" applyAlignment="1">
      <alignment horizontal="center" vertical="center"/>
    </xf>
    <xf numFmtId="0" fontId="9" fillId="0" borderId="29" xfId="0" applyFont="1" applyBorder="1" applyAlignment="1">
      <alignment horizontal="center" vertical="center"/>
    </xf>
    <xf numFmtId="0" fontId="9" fillId="5" borderId="29" xfId="0" applyFont="1" applyFill="1" applyBorder="1" applyAlignment="1">
      <alignment horizontal="center" vertical="center"/>
    </xf>
    <xf numFmtId="0" fontId="9" fillId="5" borderId="25" xfId="0" applyFont="1" applyFill="1" applyBorder="1" applyAlignment="1">
      <alignment horizontal="center" vertical="center"/>
    </xf>
    <xf numFmtId="0" fontId="9" fillId="6" borderId="33" xfId="0" applyFont="1" applyFill="1" applyBorder="1" applyAlignment="1">
      <alignment horizontal="center" vertical="center"/>
    </xf>
    <xf numFmtId="0" fontId="13" fillId="9" borderId="0" xfId="0" applyFont="1" applyFill="1" applyBorder="1" applyAlignment="1" applyProtection="1">
      <alignment horizontal="center" vertical="center"/>
      <protection locked="0"/>
    </xf>
    <xf numFmtId="0" fontId="13" fillId="9" borderId="0" xfId="0" applyFont="1" applyFill="1" applyBorder="1" applyAlignment="1" applyProtection="1">
      <alignment vertical="center"/>
      <protection locked="0"/>
    </xf>
    <xf numFmtId="0" fontId="13" fillId="6" borderId="0" xfId="0" applyFont="1" applyFill="1" applyBorder="1" applyAlignment="1" applyProtection="1">
      <alignment horizontal="center" vertical="center"/>
      <protection locked="0"/>
    </xf>
    <xf numFmtId="0" fontId="13" fillId="6" borderId="0" xfId="0" applyFont="1" applyFill="1" applyBorder="1" applyAlignment="1" applyProtection="1">
      <alignment vertical="center"/>
      <protection locked="0"/>
    </xf>
    <xf numFmtId="0" fontId="13" fillId="0" borderId="5"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protection locked="0"/>
    </xf>
    <xf numFmtId="0" fontId="13" fillId="9" borderId="5" xfId="0" applyFont="1" applyFill="1" applyBorder="1" applyAlignment="1" applyProtection="1">
      <alignment horizontal="center" vertical="center"/>
      <protection locked="0"/>
    </xf>
    <xf numFmtId="0" fontId="13" fillId="9" borderId="67" xfId="0" applyFont="1" applyFill="1" applyBorder="1" applyAlignment="1" applyProtection="1">
      <alignment horizontal="center" vertical="center"/>
      <protection locked="0"/>
    </xf>
    <xf numFmtId="0" fontId="13" fillId="9" borderId="4" xfId="0" applyFont="1" applyFill="1" applyBorder="1" applyAlignment="1" applyProtection="1">
      <alignment horizontal="center" vertical="center"/>
      <protection locked="0"/>
    </xf>
    <xf numFmtId="0" fontId="13" fillId="6" borderId="4" xfId="0" applyFont="1" applyFill="1" applyBorder="1" applyAlignment="1" applyProtection="1">
      <alignment horizontal="center" vertical="center"/>
      <protection locked="0"/>
    </xf>
    <xf numFmtId="0" fontId="13" fillId="9" borderId="68" xfId="0" applyFont="1" applyFill="1" applyBorder="1" applyAlignment="1" applyProtection="1">
      <alignment horizontal="center" vertical="center"/>
      <protection locked="0"/>
    </xf>
    <xf numFmtId="0" fontId="13" fillId="9" borderId="68" xfId="0" applyFont="1" applyFill="1" applyBorder="1" applyAlignment="1" applyProtection="1">
      <alignment vertical="center"/>
      <protection locked="0"/>
    </xf>
    <xf numFmtId="0" fontId="32" fillId="0" borderId="0" xfId="0" applyFont="1" applyFill="1" applyBorder="1" applyAlignment="1">
      <alignment horizontal="center" vertical="center"/>
    </xf>
    <xf numFmtId="0" fontId="21" fillId="0" borderId="0" xfId="0" applyFont="1" applyFill="1" applyBorder="1" applyAlignment="1">
      <alignment horizontal="center" vertical="center"/>
    </xf>
    <xf numFmtId="164" fontId="0" fillId="0" borderId="3" xfId="0" applyNumberFormat="1" applyBorder="1" applyAlignment="1" applyProtection="1">
      <alignment horizontal="center" vertical="center"/>
      <protection locked="0"/>
    </xf>
    <xf numFmtId="0" fontId="0" fillId="0" borderId="1" xfId="0" applyBorder="1" applyAlignment="1">
      <alignment horizontal="center" vertical="center"/>
    </xf>
    <xf numFmtId="0" fontId="0" fillId="8" borderId="1" xfId="0" applyFill="1" applyBorder="1" applyAlignment="1" applyProtection="1">
      <alignment horizontal="center" vertical="center"/>
      <protection locked="0"/>
    </xf>
    <xf numFmtId="0" fontId="13" fillId="5" borderId="7" xfId="0" applyFont="1" applyFill="1" applyBorder="1" applyAlignment="1" applyProtection="1">
      <alignment vertical="center"/>
      <protection locked="0"/>
    </xf>
    <xf numFmtId="0" fontId="13" fillId="5" borderId="8" xfId="0" applyFont="1" applyFill="1" applyBorder="1" applyAlignment="1" applyProtection="1">
      <alignment vertical="center"/>
      <protection locked="0"/>
    </xf>
    <xf numFmtId="0" fontId="0" fillId="0" borderId="0" xfId="0" applyAlignment="1" applyProtection="1">
      <alignment horizontal="left" indent="1"/>
      <protection locked="0"/>
    </xf>
    <xf numFmtId="0" fontId="16" fillId="0" borderId="5" xfId="0" applyFont="1" applyBorder="1" applyAlignment="1" applyProtection="1">
      <alignment horizontal="left" vertical="center" indent="1"/>
      <protection locked="0"/>
    </xf>
    <xf numFmtId="0" fontId="0" fillId="0" borderId="5" xfId="0" applyBorder="1" applyAlignment="1" applyProtection="1">
      <alignment horizontal="left" vertical="center" indent="1"/>
      <protection locked="0"/>
    </xf>
    <xf numFmtId="0" fontId="57" fillId="5" borderId="1" xfId="0" applyFont="1" applyFill="1" applyBorder="1" applyAlignment="1" applyProtection="1">
      <alignment horizontal="left" vertical="center" indent="1"/>
      <protection locked="0"/>
    </xf>
    <xf numFmtId="0" fontId="24" fillId="7" borderId="21" xfId="0" applyFont="1" applyFill="1" applyBorder="1" applyAlignment="1">
      <alignment horizontal="center" vertical="center"/>
    </xf>
    <xf numFmtId="0" fontId="24" fillId="4" borderId="20" xfId="0" applyFont="1" applyFill="1" applyBorder="1" applyAlignment="1">
      <alignment horizontal="center" vertical="center"/>
    </xf>
    <xf numFmtId="0" fontId="91" fillId="8" borderId="20" xfId="0" applyFont="1" applyFill="1" applyBorder="1" applyAlignment="1">
      <alignment horizontal="center" vertical="center"/>
    </xf>
    <xf numFmtId="0" fontId="13" fillId="32" borderId="1" xfId="0" applyFont="1" applyFill="1" applyBorder="1" applyAlignment="1">
      <alignment horizontal="center" vertical="center"/>
    </xf>
    <xf numFmtId="164" fontId="29" fillId="9" borderId="3" xfId="0" applyNumberFormat="1" applyFont="1" applyFill="1" applyBorder="1" applyAlignment="1">
      <alignment horizontal="center" vertical="center"/>
    </xf>
    <xf numFmtId="164" fontId="10" fillId="10" borderId="3" xfId="0" applyNumberFormat="1" applyFont="1" applyFill="1" applyBorder="1" applyAlignment="1">
      <alignment horizontal="center" vertical="center"/>
    </xf>
    <xf numFmtId="164" fontId="0" fillId="0" borderId="0" xfId="0" applyNumberFormat="1"/>
    <xf numFmtId="164" fontId="21" fillId="0" borderId="0" xfId="0" applyNumberFormat="1" applyFont="1" applyAlignment="1">
      <alignment horizontal="center" vertical="center"/>
    </xf>
    <xf numFmtId="0" fontId="1" fillId="0" borderId="1" xfId="0" applyFont="1" applyBorder="1" applyAlignment="1">
      <alignment horizontal="center" vertical="center"/>
    </xf>
    <xf numFmtId="0" fontId="13" fillId="11"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25" fillId="0" borderId="0" xfId="0" applyFont="1" applyFill="1" applyBorder="1" applyAlignment="1" applyProtection="1">
      <alignment horizontal="center" vertical="center"/>
      <protection locked="0"/>
    </xf>
    <xf numFmtId="164" fontId="1" fillId="5" borderId="1" xfId="0" applyNumberFormat="1" applyFont="1" applyFill="1" applyBorder="1" applyAlignment="1">
      <alignment horizontal="center" vertical="center"/>
    </xf>
    <xf numFmtId="0" fontId="1" fillId="5" borderId="1" xfId="0" applyFont="1" applyFill="1" applyBorder="1" applyAlignment="1">
      <alignment horizontal="center" vertical="center"/>
    </xf>
    <xf numFmtId="0" fontId="56" fillId="23" borderId="3" xfId="0" applyFont="1" applyFill="1" applyBorder="1" applyAlignment="1" applyProtection="1">
      <alignment vertical="center"/>
    </xf>
    <xf numFmtId="0" fontId="56" fillId="23" borderId="2" xfId="0" applyFont="1" applyFill="1" applyBorder="1" applyAlignment="1" applyProtection="1">
      <alignment horizontal="center" vertical="center"/>
    </xf>
    <xf numFmtId="0" fontId="119" fillId="23" borderId="3" xfId="0" applyFont="1" applyFill="1" applyBorder="1" applyAlignment="1" applyProtection="1">
      <alignment horizontal="center" vertical="center"/>
    </xf>
    <xf numFmtId="0" fontId="1" fillId="11" borderId="1" xfId="0" applyFont="1" applyFill="1" applyBorder="1" applyAlignment="1">
      <alignment horizontal="center" vertical="center"/>
    </xf>
    <xf numFmtId="0" fontId="2" fillId="0" borderId="1" xfId="0" applyFont="1" applyBorder="1" applyAlignment="1">
      <alignment horizontal="left" indent="1"/>
    </xf>
    <xf numFmtId="0" fontId="1" fillId="0" borderId="3" xfId="0" applyFont="1" applyBorder="1" applyAlignment="1">
      <alignment vertical="center"/>
    </xf>
    <xf numFmtId="0" fontId="1" fillId="8" borderId="1" xfId="0" applyFont="1" applyFill="1" applyBorder="1" applyAlignment="1">
      <alignment horizontal="center" vertical="center"/>
    </xf>
    <xf numFmtId="0" fontId="1" fillId="14" borderId="1" xfId="0" applyFont="1" applyFill="1" applyBorder="1" applyAlignment="1">
      <alignment horizontal="center" vertical="center"/>
    </xf>
    <xf numFmtId="0" fontId="0" fillId="0" borderId="1" xfId="0" applyBorder="1" applyAlignment="1">
      <alignment horizontal="center" vertical="center"/>
    </xf>
    <xf numFmtId="164" fontId="34" fillId="0" borderId="0" xfId="0" applyNumberFormat="1" applyFont="1" applyFill="1" applyBorder="1" applyAlignment="1" applyProtection="1">
      <alignment horizontal="center" vertical="center"/>
      <protection locked="0"/>
    </xf>
    <xf numFmtId="0" fontId="11" fillId="40" borderId="6" xfId="0" applyFont="1" applyFill="1" applyBorder="1" applyAlignment="1">
      <alignment horizontal="center" vertical="center"/>
    </xf>
    <xf numFmtId="0" fontId="1" fillId="0" borderId="1" xfId="0" applyFont="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79" fillId="0" borderId="0" xfId="0" applyFont="1" applyAlignment="1">
      <alignment horizontal="center"/>
    </xf>
    <xf numFmtId="0" fontId="13" fillId="0" borderId="1" xfId="0" applyFont="1" applyBorder="1" applyAlignment="1">
      <alignment horizontal="center" vertical="center"/>
    </xf>
    <xf numFmtId="0" fontId="13" fillId="0" borderId="1" xfId="0" applyFont="1" applyBorder="1" applyAlignment="1" applyProtection="1">
      <alignment horizontal="left" vertical="center" wrapText="1" indent="1"/>
      <protection locked="0"/>
    </xf>
    <xf numFmtId="0" fontId="25" fillId="0" borderId="1" xfId="0" applyFont="1" applyBorder="1" applyAlignment="1" applyProtection="1">
      <alignment horizontal="left" vertical="center" wrapText="1" indent="1"/>
      <protection locked="0"/>
    </xf>
    <xf numFmtId="0" fontId="64" fillId="13" borderId="51" xfId="0" applyFont="1" applyFill="1" applyBorder="1" applyAlignment="1" applyProtection="1">
      <alignment horizontal="center" vertical="center"/>
      <protection locked="0"/>
    </xf>
    <xf numFmtId="0" fontId="64" fillId="13" borderId="52" xfId="0" applyFont="1" applyFill="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13" fillId="0" borderId="16" xfId="0" applyFont="1" applyBorder="1" applyAlignment="1" applyProtection="1">
      <alignment horizontal="left" vertical="center" indent="1"/>
      <protection locked="0"/>
    </xf>
    <xf numFmtId="0" fontId="25" fillId="0" borderId="17" xfId="0" applyFont="1" applyBorder="1" applyAlignment="1" applyProtection="1">
      <alignment horizontal="left" vertical="center" wrapText="1" indent="1"/>
      <protection locked="0"/>
    </xf>
    <xf numFmtId="0" fontId="0" fillId="0" borderId="18"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13" fillId="0" borderId="20" xfId="0" applyFont="1" applyBorder="1" applyAlignment="1" applyProtection="1">
      <alignment horizontal="left" vertical="center" indent="1"/>
      <protection locked="0"/>
    </xf>
    <xf numFmtId="0" fontId="79" fillId="0" borderId="0" xfId="0" applyFont="1" applyAlignment="1" applyProtection="1">
      <alignment horizontal="center" vertical="center"/>
      <protection locked="0"/>
    </xf>
    <xf numFmtId="0" fontId="0" fillId="0" borderId="0" xfId="0" applyAlignment="1" applyProtection="1">
      <alignment horizontal="left" vertical="center"/>
      <protection locked="0"/>
    </xf>
    <xf numFmtId="0" fontId="16" fillId="0" borderId="0" xfId="0" applyFont="1" applyBorder="1" applyAlignment="1" applyProtection="1">
      <protection locked="0"/>
    </xf>
    <xf numFmtId="0" fontId="0" fillId="28" borderId="20" xfId="0" applyFill="1" applyBorder="1" applyAlignment="1" applyProtection="1">
      <alignment horizontal="center" vertical="center"/>
      <protection locked="0"/>
    </xf>
    <xf numFmtId="0" fontId="0" fillId="10" borderId="35" xfId="0" applyFill="1" applyBorder="1" applyAlignment="1" applyProtection="1">
      <alignment horizontal="center" vertical="center"/>
      <protection locked="0"/>
    </xf>
    <xf numFmtId="0" fontId="79" fillId="0" borderId="5" xfId="0" applyFont="1" applyBorder="1" applyAlignment="1" applyProtection="1">
      <alignment horizontal="center" vertical="center"/>
      <protection locked="0"/>
    </xf>
    <xf numFmtId="0" fontId="16" fillId="0" borderId="5" xfId="0" applyFont="1" applyBorder="1" applyAlignment="1" applyProtection="1">
      <alignment horizontal="left" vertical="center"/>
      <protection locked="0"/>
    </xf>
    <xf numFmtId="0" fontId="0" fillId="0" borderId="5" xfId="0" applyFill="1" applyBorder="1" applyAlignment="1" applyProtection="1">
      <alignment horizontal="center" vertical="center"/>
      <protection locked="0"/>
    </xf>
    <xf numFmtId="0" fontId="0" fillId="9" borderId="5" xfId="0" applyFill="1" applyBorder="1" applyAlignment="1" applyProtection="1">
      <alignment horizontal="center" vertical="center"/>
      <protection locked="0"/>
    </xf>
    <xf numFmtId="0" fontId="29" fillId="0" borderId="5" xfId="0" applyFont="1"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0" fillId="38" borderId="67" xfId="0" applyFill="1" applyBorder="1" applyAlignment="1" applyProtection="1">
      <alignment horizontal="center" vertical="center"/>
      <protection locked="0"/>
    </xf>
    <xf numFmtId="0" fontId="0" fillId="38" borderId="4" xfId="0" applyFill="1" applyBorder="1" applyAlignment="1" applyProtection="1">
      <alignment horizontal="center" vertical="center"/>
      <protection locked="0"/>
    </xf>
    <xf numFmtId="0" fontId="0" fillId="37" borderId="4" xfId="0" applyFill="1" applyBorder="1" applyAlignment="1" applyProtection="1">
      <alignment horizontal="center" vertical="center"/>
      <protection locked="0"/>
    </xf>
    <xf numFmtId="0" fontId="0" fillId="37" borderId="33" xfId="0" applyFill="1" applyBorder="1" applyAlignment="1" applyProtection="1">
      <alignment horizontal="center" vertical="center"/>
      <protection locked="0"/>
    </xf>
    <xf numFmtId="0" fontId="0" fillId="38" borderId="68" xfId="0" applyFill="1" applyBorder="1" applyAlignment="1" applyProtection="1">
      <alignment horizontal="center" vertical="center"/>
      <protection locked="0"/>
    </xf>
    <xf numFmtId="0" fontId="0" fillId="38" borderId="0" xfId="0" applyFill="1" applyBorder="1" applyAlignment="1" applyProtection="1">
      <alignment horizontal="center" vertical="center"/>
      <protection locked="0"/>
    </xf>
    <xf numFmtId="0" fontId="0" fillId="37" borderId="0" xfId="0" applyFill="1" applyBorder="1" applyAlignment="1" applyProtection="1">
      <alignment horizontal="center" vertical="center"/>
      <protection locked="0"/>
    </xf>
    <xf numFmtId="0" fontId="0" fillId="37" borderId="29" xfId="0" applyFill="1" applyBorder="1" applyAlignment="1" applyProtection="1">
      <alignment horizontal="center" vertical="center"/>
      <protection locked="0"/>
    </xf>
    <xf numFmtId="0" fontId="0" fillId="5" borderId="1" xfId="0" applyFill="1" applyBorder="1" applyProtection="1">
      <protection locked="0"/>
    </xf>
    <xf numFmtId="0" fontId="79" fillId="5" borderId="1" xfId="0" applyFont="1" applyFill="1" applyBorder="1" applyAlignment="1" applyProtection="1">
      <alignment horizontal="center" vertical="center"/>
      <protection locked="0"/>
    </xf>
    <xf numFmtId="0" fontId="57" fillId="5" borderId="1" xfId="0" applyFon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5" borderId="14" xfId="0" applyFill="1" applyBorder="1" applyProtection="1">
      <protection locked="0"/>
    </xf>
    <xf numFmtId="0" fontId="0" fillId="5" borderId="60" xfId="0" applyFill="1" applyBorder="1" applyProtection="1">
      <protection locked="0"/>
    </xf>
    <xf numFmtId="0" fontId="0" fillId="5" borderId="25" xfId="0" applyFill="1" applyBorder="1" applyProtection="1">
      <protection locked="0"/>
    </xf>
    <xf numFmtId="164" fontId="0" fillId="0" borderId="3" xfId="0" applyNumberFormat="1" applyBorder="1" applyAlignment="1" applyProtection="1">
      <alignment horizontal="center" vertical="center"/>
      <protection hidden="1"/>
    </xf>
    <xf numFmtId="0" fontId="0" fillId="5" borderId="1" xfId="0" applyFill="1" applyBorder="1" applyProtection="1">
      <protection hidden="1"/>
    </xf>
    <xf numFmtId="1" fontId="0" fillId="15" borderId="3" xfId="0" applyNumberFormat="1" applyFill="1" applyBorder="1" applyAlignment="1" applyProtection="1">
      <alignment horizontal="center" vertical="center"/>
      <protection hidden="1"/>
    </xf>
    <xf numFmtId="164" fontId="16" fillId="15" borderId="3" xfId="0" applyNumberFormat="1" applyFont="1" applyFill="1" applyBorder="1" applyAlignment="1" applyProtection="1">
      <alignment horizontal="center" vertical="center"/>
      <protection hidden="1"/>
    </xf>
    <xf numFmtId="0" fontId="0" fillId="15" borderId="3" xfId="0" applyFill="1" applyBorder="1" applyAlignment="1" applyProtection="1">
      <alignment horizontal="center" vertical="center"/>
      <protection hidden="1"/>
    </xf>
    <xf numFmtId="1" fontId="0" fillId="15" borderId="1" xfId="0" applyNumberFormat="1" applyFill="1" applyBorder="1" applyAlignment="1" applyProtection="1">
      <alignment horizontal="center" vertical="center"/>
      <protection hidden="1"/>
    </xf>
    <xf numFmtId="164" fontId="16" fillId="15" borderId="1" xfId="0" applyNumberFormat="1" applyFont="1" applyFill="1" applyBorder="1" applyAlignment="1" applyProtection="1">
      <alignment horizontal="center" vertical="center"/>
      <protection hidden="1"/>
    </xf>
    <xf numFmtId="0" fontId="0" fillId="15" borderId="1" xfId="0" applyFill="1" applyBorder="1" applyAlignment="1" applyProtection="1">
      <alignment horizontal="center" vertical="center"/>
      <protection hidden="1"/>
    </xf>
    <xf numFmtId="0" fontId="0" fillId="15" borderId="7" xfId="0" applyFill="1" applyBorder="1" applyAlignment="1" applyProtection="1">
      <alignment horizontal="center" vertical="center"/>
      <protection hidden="1"/>
    </xf>
    <xf numFmtId="164" fontId="58" fillId="5" borderId="1" xfId="0" applyNumberFormat="1" applyFont="1" applyFill="1" applyBorder="1" applyAlignment="1" applyProtection="1">
      <alignment horizontal="center" vertical="center"/>
      <protection hidden="1"/>
    </xf>
    <xf numFmtId="0" fontId="58" fillId="5" borderId="1" xfId="0" applyFont="1" applyFill="1" applyBorder="1" applyAlignment="1" applyProtection="1">
      <alignment horizontal="center" vertical="center"/>
      <protection hidden="1"/>
    </xf>
    <xf numFmtId="0" fontId="19" fillId="0" borderId="0" xfId="0" applyFont="1" applyProtection="1">
      <protection locked="0"/>
    </xf>
    <xf numFmtId="0" fontId="57" fillId="0" borderId="0" xfId="0" applyFont="1" applyAlignment="1" applyProtection="1">
      <alignment horizontal="center" vertical="center"/>
      <protection locked="0"/>
    </xf>
    <xf numFmtId="0" fontId="13" fillId="0" borderId="0" xfId="0" applyFont="1" applyProtection="1">
      <protection locked="0"/>
    </xf>
    <xf numFmtId="0" fontId="0" fillId="0" borderId="1" xfId="0" applyFill="1" applyBorder="1" applyAlignment="1" applyProtection="1">
      <alignment horizontal="center" vertical="center"/>
      <protection locked="0"/>
    </xf>
    <xf numFmtId="0" fontId="57" fillId="0" borderId="29" xfId="0" applyFont="1" applyBorder="1" applyAlignment="1" applyProtection="1">
      <alignment horizontal="center" vertical="center"/>
      <protection locked="0"/>
    </xf>
    <xf numFmtId="0" fontId="13" fillId="10" borderId="5" xfId="0" applyFont="1" applyFill="1" applyBorder="1" applyAlignment="1" applyProtection="1">
      <alignment horizontal="center" vertical="center"/>
      <protection locked="0"/>
    </xf>
    <xf numFmtId="0" fontId="76" fillId="5" borderId="1" xfId="0" applyFont="1" applyFill="1" applyBorder="1" applyAlignment="1" applyProtection="1">
      <alignment vertical="center"/>
      <protection locked="0"/>
    </xf>
    <xf numFmtId="0" fontId="108" fillId="5" borderId="1" xfId="0" applyFont="1" applyFill="1" applyBorder="1" applyAlignment="1" applyProtection="1">
      <alignment horizontal="center" vertical="center"/>
      <protection locked="0"/>
    </xf>
    <xf numFmtId="0" fontId="77" fillId="0" borderId="0" xfId="0" applyFont="1" applyAlignment="1" applyProtection="1">
      <alignment vertical="center"/>
      <protection locked="0"/>
    </xf>
    <xf numFmtId="0" fontId="0" fillId="0" borderId="2" xfId="0" applyBorder="1" applyAlignment="1" applyProtection="1">
      <alignment horizontal="center" vertical="center"/>
      <protection locked="0"/>
    </xf>
    <xf numFmtId="0" fontId="57" fillId="0" borderId="33" xfId="0" applyFont="1" applyBorder="1" applyAlignment="1" applyProtection="1">
      <alignment horizontal="center" vertical="center"/>
      <protection locked="0"/>
    </xf>
    <xf numFmtId="0" fontId="13" fillId="10" borderId="1" xfId="0" applyFont="1" applyFill="1" applyBorder="1" applyAlignment="1" applyProtection="1">
      <alignment horizontal="center" vertical="center"/>
      <protection locked="0"/>
    </xf>
    <xf numFmtId="0" fontId="10" fillId="5" borderId="1" xfId="0" applyFont="1" applyFill="1" applyBorder="1" applyProtection="1">
      <protection locked="0"/>
    </xf>
    <xf numFmtId="0" fontId="111" fillId="5" borderId="7" xfId="0" applyFont="1" applyFill="1" applyBorder="1" applyAlignment="1" applyProtection="1">
      <alignment horizontal="center" vertical="center"/>
      <protection locked="0"/>
    </xf>
    <xf numFmtId="0" fontId="111" fillId="5" borderId="8" xfId="0" applyFont="1" applyFill="1" applyBorder="1" applyAlignment="1" applyProtection="1">
      <alignment horizontal="center" vertical="center"/>
      <protection locked="0"/>
    </xf>
    <xf numFmtId="0" fontId="111" fillId="5" borderId="6" xfId="0" applyFont="1" applyFill="1" applyBorder="1" applyAlignment="1" applyProtection="1">
      <alignment horizontal="center" vertical="center"/>
      <protection locked="0"/>
    </xf>
    <xf numFmtId="0" fontId="110" fillId="5" borderId="1" xfId="0" applyFont="1" applyFill="1" applyBorder="1" applyAlignment="1" applyProtection="1">
      <alignment horizontal="center" vertical="center"/>
      <protection locked="0"/>
    </xf>
    <xf numFmtId="164" fontId="84" fillId="5" borderId="1" xfId="0" applyNumberFormat="1" applyFont="1" applyFill="1" applyBorder="1" applyAlignment="1" applyProtection="1">
      <alignment horizontal="center" vertical="center"/>
      <protection hidden="1"/>
    </xf>
    <xf numFmtId="0" fontId="15" fillId="0" borderId="0" xfId="0" applyFont="1" applyBorder="1" applyAlignment="1" applyProtection="1">
      <alignment vertical="center"/>
      <protection locked="0"/>
    </xf>
    <xf numFmtId="0" fontId="4" fillId="0" borderId="0" xfId="0" applyFont="1" applyFill="1" applyBorder="1" applyAlignment="1" applyProtection="1">
      <alignment horizontal="center"/>
      <protection locked="0"/>
    </xf>
    <xf numFmtId="0" fontId="4" fillId="0" borderId="0" xfId="0" applyFont="1" applyFill="1" applyBorder="1" applyAlignment="1" applyProtection="1">
      <protection locked="0"/>
    </xf>
    <xf numFmtId="0" fontId="17" fillId="7" borderId="20" xfId="0" applyFont="1" applyFill="1" applyBorder="1" applyAlignment="1" applyProtection="1">
      <alignment horizontal="center" vertical="center"/>
      <protection locked="0"/>
    </xf>
    <xf numFmtId="0" fontId="11" fillId="0" borderId="3" xfId="0" applyFont="1" applyBorder="1" applyAlignment="1" applyProtection="1">
      <alignment horizontal="left" vertical="center" indent="1"/>
      <protection locked="0"/>
    </xf>
    <xf numFmtId="1" fontId="1" fillId="30" borderId="3" xfId="0" applyNumberFormat="1" applyFont="1" applyFill="1" applyBorder="1" applyAlignment="1" applyProtection="1">
      <alignment horizontal="center" vertical="center"/>
      <protection hidden="1"/>
    </xf>
    <xf numFmtId="0" fontId="1" fillId="0" borderId="3" xfId="0" applyFont="1" applyBorder="1" applyAlignment="1" applyProtection="1">
      <alignment horizontal="center" vertical="center"/>
      <protection hidden="1"/>
    </xf>
    <xf numFmtId="164" fontId="10" fillId="10" borderId="1" xfId="0" applyNumberFormat="1" applyFont="1" applyFill="1" applyBorder="1" applyAlignment="1">
      <alignment horizontal="center" vertical="center"/>
    </xf>
    <xf numFmtId="0" fontId="74" fillId="0" borderId="0" xfId="0" applyFont="1" applyAlignment="1">
      <alignment horizontal="center" vertical="center"/>
    </xf>
    <xf numFmtId="0" fontId="16" fillId="3" borderId="1" xfId="0" applyFont="1" applyFill="1" applyBorder="1" applyAlignment="1" applyProtection="1">
      <alignment horizontal="center" vertical="center"/>
      <protection locked="0"/>
    </xf>
    <xf numFmtId="0" fontId="25" fillId="0" borderId="1" xfId="0" applyFont="1" applyBorder="1" applyAlignment="1" applyProtection="1">
      <alignment horizontal="left" vertical="center"/>
      <protection locked="0"/>
    </xf>
    <xf numFmtId="0" fontId="25" fillId="0" borderId="1" xfId="0" applyFont="1" applyBorder="1" applyAlignment="1" applyProtection="1">
      <alignment horizontal="left" vertical="center" wrapText="1" indent="1"/>
      <protection hidden="1"/>
    </xf>
    <xf numFmtId="0" fontId="79" fillId="0" borderId="0" xfId="0" applyFont="1" applyProtection="1">
      <protection locked="0"/>
    </xf>
    <xf numFmtId="0" fontId="0" fillId="11" borderId="0" xfId="0" applyFill="1"/>
    <xf numFmtId="0" fontId="0" fillId="0" borderId="1" xfId="0" applyFont="1" applyBorder="1" applyAlignment="1" applyProtection="1">
      <alignment horizontal="center" vertical="center"/>
      <protection locked="0"/>
    </xf>
    <xf numFmtId="0" fontId="13" fillId="0" borderId="2" xfId="0" applyFont="1" applyBorder="1" applyAlignment="1" applyProtection="1">
      <alignment horizontal="left" vertical="center" indent="1"/>
      <protection locked="0"/>
    </xf>
    <xf numFmtId="0" fontId="0" fillId="0" borderId="2" xfId="0" applyFont="1" applyBorder="1" applyAlignment="1" applyProtection="1">
      <alignment horizontal="center" vertical="center"/>
      <protection locked="0"/>
    </xf>
    <xf numFmtId="0" fontId="0" fillId="0" borderId="2" xfId="0" applyBorder="1" applyAlignment="1" applyProtection="1">
      <alignment horizontal="left" vertical="center" indent="1"/>
      <protection locked="0"/>
    </xf>
    <xf numFmtId="0" fontId="68" fillId="9" borderId="2" xfId="0" applyFont="1" applyFill="1" applyBorder="1" applyAlignment="1" applyProtection="1">
      <alignment horizontal="left" vertical="top" wrapText="1" indent="1"/>
      <protection locked="0"/>
    </xf>
    <xf numFmtId="0" fontId="0" fillId="10" borderId="2" xfId="0" applyFill="1" applyBorder="1" applyAlignment="1" applyProtection="1">
      <alignment horizontal="left" vertical="top" wrapText="1" indent="1"/>
      <protection locked="0"/>
    </xf>
    <xf numFmtId="0" fontId="26" fillId="5" borderId="0" xfId="0" applyFont="1" applyFill="1" applyBorder="1" applyAlignment="1" applyProtection="1">
      <alignment horizontal="center"/>
      <protection locked="0"/>
    </xf>
    <xf numFmtId="0" fontId="0" fillId="0" borderId="1" xfId="0" applyBorder="1" applyProtection="1">
      <protection locked="0"/>
    </xf>
    <xf numFmtId="0" fontId="23" fillId="5" borderId="0" xfId="0" applyFont="1" applyFill="1" applyBorder="1" applyAlignment="1" applyProtection="1">
      <alignment horizontal="center" vertical="center"/>
      <protection locked="0"/>
    </xf>
    <xf numFmtId="0" fontId="32" fillId="5" borderId="0" xfId="0" applyFont="1" applyFill="1" applyBorder="1" applyAlignment="1" applyProtection="1">
      <alignment horizontal="center"/>
      <protection locked="0"/>
    </xf>
    <xf numFmtId="0" fontId="32" fillId="5" borderId="0"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33" fillId="5" borderId="0" xfId="0" applyFont="1" applyFill="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0" fontId="81" fillId="39" borderId="1" xfId="0" applyFont="1" applyFill="1" applyBorder="1" applyAlignment="1" applyProtection="1">
      <alignment horizontal="center" vertical="center"/>
      <protection locked="0"/>
    </xf>
    <xf numFmtId="0" fontId="17" fillId="0" borderId="1" xfId="0" applyFont="1" applyBorder="1" applyAlignment="1" applyProtection="1">
      <alignment horizontal="left" vertical="center" wrapText="1" indent="1"/>
      <protection locked="0"/>
    </xf>
    <xf numFmtId="0" fontId="13" fillId="0" borderId="2" xfId="0" applyFont="1" applyBorder="1" applyAlignment="1" applyProtection="1">
      <alignment horizontal="left" vertical="center" wrapText="1" indent="1"/>
      <protection locked="0"/>
    </xf>
    <xf numFmtId="0" fontId="0" fillId="0" borderId="1" xfId="0" applyFont="1" applyBorder="1" applyAlignment="1" applyProtection="1">
      <alignment horizontal="center" vertical="center"/>
      <protection locked="0"/>
    </xf>
    <xf numFmtId="0" fontId="19" fillId="5" borderId="0" xfId="0" applyFont="1" applyFill="1" applyBorder="1" applyAlignment="1" applyProtection="1">
      <alignment horizontal="left"/>
      <protection locked="0"/>
    </xf>
    <xf numFmtId="0" fontId="0" fillId="0" borderId="1" xfId="0" applyFont="1" applyBorder="1" applyAlignment="1" applyProtection="1">
      <alignment horizontal="center" vertical="center"/>
      <protection locked="0"/>
    </xf>
    <xf numFmtId="1" fontId="13" fillId="0" borderId="1" xfId="0" applyNumberFormat="1" applyFont="1" applyBorder="1" applyAlignment="1" applyProtection="1">
      <alignment horizontal="center" vertical="center"/>
      <protection locked="0"/>
    </xf>
    <xf numFmtId="0" fontId="0" fillId="0" borderId="1" xfId="0" applyBorder="1" applyAlignment="1">
      <alignment horizontal="center" vertical="center"/>
    </xf>
    <xf numFmtId="0" fontId="86" fillId="6" borderId="6" xfId="0" applyFont="1" applyFill="1" applyBorder="1" applyAlignment="1" applyProtection="1">
      <alignment horizontal="center" vertical="center"/>
      <protection locked="0"/>
    </xf>
    <xf numFmtId="0" fontId="63" fillId="11" borderId="2" xfId="0" applyFont="1" applyFill="1" applyBorder="1" applyAlignment="1" applyProtection="1">
      <alignment horizontal="center" vertical="center" wrapText="1"/>
      <protection locked="0"/>
    </xf>
    <xf numFmtId="0" fontId="29" fillId="5" borderId="0" xfId="0" applyFont="1" applyFill="1" applyProtection="1">
      <protection locked="0"/>
    </xf>
    <xf numFmtId="0" fontId="0" fillId="0" borderId="1" xfId="0" applyBorder="1" applyAlignment="1">
      <alignment horizontal="center" vertical="center"/>
    </xf>
    <xf numFmtId="0" fontId="0" fillId="0" borderId="0" xfId="0" applyFill="1" applyAlignment="1" applyProtection="1">
      <alignment horizontal="center"/>
      <protection locked="0"/>
    </xf>
    <xf numFmtId="0" fontId="16" fillId="0" borderId="0" xfId="0" applyFont="1" applyFill="1" applyAlignment="1" applyProtection="1">
      <alignment horizontal="right"/>
      <protection locked="0"/>
    </xf>
    <xf numFmtId="0" fontId="16" fillId="0" borderId="0" xfId="0" applyFont="1" applyFill="1" applyAlignment="1" applyProtection="1">
      <alignment horizontal="left"/>
      <protection locked="0"/>
    </xf>
    <xf numFmtId="0" fontId="0" fillId="24" borderId="1" xfId="0" applyFill="1" applyBorder="1" applyAlignment="1" applyProtection="1">
      <alignment horizontal="center"/>
      <protection locked="0"/>
    </xf>
    <xf numFmtId="0" fontId="126" fillId="23" borderId="7" xfId="0" applyFont="1" applyFill="1" applyBorder="1" applyAlignment="1" applyProtection="1">
      <alignment horizontal="center"/>
      <protection locked="0"/>
    </xf>
    <xf numFmtId="0" fontId="126" fillId="0" borderId="68" xfId="0" applyFont="1" applyFill="1" applyBorder="1" applyAlignment="1" applyProtection="1">
      <alignment horizontal="center"/>
      <protection locked="0"/>
    </xf>
    <xf numFmtId="0" fontId="126" fillId="0" borderId="0" xfId="0" applyFont="1" applyFill="1" applyBorder="1" applyAlignment="1" applyProtection="1">
      <alignment horizontal="center"/>
      <protection locked="0"/>
    </xf>
    <xf numFmtId="0" fontId="30" fillId="5" borderId="0" xfId="2" applyFont="1" applyFill="1" applyAlignment="1" applyProtection="1">
      <alignment vertical="center"/>
      <protection locked="0"/>
    </xf>
    <xf numFmtId="0" fontId="0" fillId="0" borderId="68" xfId="0"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68" xfId="0" applyFill="1" applyBorder="1" applyAlignment="1" applyProtection="1">
      <alignment horizontal="left" vertical="center"/>
      <protection locked="0"/>
    </xf>
    <xf numFmtId="0" fontId="0" fillId="0" borderId="0" xfId="0" applyFill="1" applyBorder="1" applyAlignment="1" applyProtection="1">
      <alignment horizontal="left" vertical="center"/>
      <protection locked="0"/>
    </xf>
    <xf numFmtId="0" fontId="0" fillId="5" borderId="7" xfId="0" applyFill="1" applyBorder="1" applyAlignment="1" applyProtection="1">
      <alignment horizontal="left" vertical="center"/>
      <protection locked="0"/>
    </xf>
    <xf numFmtId="0" fontId="125" fillId="0" borderId="0" xfId="0" applyFont="1" applyFill="1" applyAlignment="1" applyProtection="1">
      <protection locked="0"/>
    </xf>
    <xf numFmtId="0" fontId="98" fillId="0" borderId="3" xfId="0" applyFont="1" applyBorder="1" applyAlignment="1">
      <alignment horizontal="left" vertical="center" indent="1"/>
    </xf>
    <xf numFmtId="164" fontId="1" fillId="0" borderId="1" xfId="0" applyNumberFormat="1" applyFont="1" applyBorder="1" applyAlignment="1">
      <alignment horizontal="center" vertical="center"/>
    </xf>
    <xf numFmtId="164" fontId="13" fillId="10" borderId="1" xfId="0" applyNumberFormat="1" applyFont="1" applyFill="1" applyBorder="1" applyAlignment="1">
      <alignment horizontal="center" vertical="center"/>
    </xf>
    <xf numFmtId="164" fontId="13" fillId="39" borderId="1" xfId="0" applyNumberFormat="1" applyFont="1" applyFill="1" applyBorder="1" applyAlignment="1">
      <alignment horizontal="center" vertical="center"/>
    </xf>
    <xf numFmtId="164" fontId="13" fillId="9" borderId="1" xfId="0" applyNumberFormat="1" applyFont="1" applyFill="1" applyBorder="1" applyAlignment="1">
      <alignment horizontal="center" vertical="center"/>
    </xf>
    <xf numFmtId="0" fontId="0" fillId="10" borderId="1" xfId="0" applyFill="1" applyBorder="1" applyAlignment="1">
      <alignment horizontal="right" indent="1"/>
    </xf>
    <xf numFmtId="0" fontId="0" fillId="39" borderId="1" xfId="0" applyFill="1" applyBorder="1" applyAlignment="1">
      <alignment horizontal="right" indent="1"/>
    </xf>
    <xf numFmtId="0" fontId="0" fillId="9" borderId="1" xfId="0" applyFill="1" applyBorder="1" applyAlignment="1">
      <alignment horizontal="right" indent="1"/>
    </xf>
    <xf numFmtId="0" fontId="96" fillId="0" borderId="0" xfId="0" applyFont="1" applyBorder="1" applyAlignment="1"/>
    <xf numFmtId="0" fontId="5" fillId="0" borderId="0" xfId="0" applyFont="1" applyBorder="1" applyAlignment="1"/>
    <xf numFmtId="0" fontId="1" fillId="0" borderId="0" xfId="0" applyFont="1" applyBorder="1" applyAlignment="1">
      <alignment horizontal="left" indent="10"/>
    </xf>
    <xf numFmtId="0" fontId="45" fillId="0" borderId="0" xfId="0" applyFont="1" applyBorder="1" applyAlignment="1">
      <alignment vertical="center"/>
    </xf>
    <xf numFmtId="0" fontId="127" fillId="0" borderId="0" xfId="0" applyFont="1" applyBorder="1" applyAlignment="1">
      <alignment horizontal="left" vertical="center"/>
    </xf>
    <xf numFmtId="0" fontId="21" fillId="0" borderId="0" xfId="0" applyFont="1" applyAlignment="1">
      <alignment vertical="center"/>
    </xf>
    <xf numFmtId="0" fontId="0" fillId="0" borderId="0" xfId="0" applyFont="1" applyAlignment="1">
      <alignment vertical="center"/>
    </xf>
    <xf numFmtId="0" fontId="16" fillId="0" borderId="0" xfId="0" applyFont="1" applyAlignment="1">
      <alignment horizontal="left" vertical="center"/>
    </xf>
    <xf numFmtId="0" fontId="10" fillId="14" borderId="1" xfId="0" applyFont="1" applyFill="1" applyBorder="1" applyAlignment="1">
      <alignment horizontal="center" vertical="center"/>
    </xf>
    <xf numFmtId="0" fontId="10" fillId="14" borderId="1" xfId="0" applyFont="1" applyFill="1" applyBorder="1" applyAlignment="1">
      <alignment horizontal="center" vertical="center" wrapText="1"/>
    </xf>
    <xf numFmtId="0" fontId="23" fillId="0" borderId="0" xfId="0" applyFont="1" applyFill="1" applyBorder="1" applyAlignment="1">
      <alignment horizontal="center" vertical="center"/>
    </xf>
    <xf numFmtId="0" fontId="23" fillId="0" borderId="0" xfId="0" applyFont="1" applyFill="1"/>
    <xf numFmtId="0" fontId="23" fillId="0" borderId="29" xfId="0" applyFont="1" applyFill="1" applyBorder="1" applyAlignment="1">
      <alignment horizontal="center" vertical="center"/>
    </xf>
    <xf numFmtId="0" fontId="23" fillId="0" borderId="5" xfId="0" applyFont="1" applyFill="1" applyBorder="1" applyAlignment="1">
      <alignment horizontal="center" vertical="center"/>
    </xf>
    <xf numFmtId="0" fontId="23" fillId="0" borderId="5" xfId="0" applyFont="1" applyFill="1" applyBorder="1" applyAlignment="1">
      <alignment horizontal="center" vertical="center" wrapText="1"/>
    </xf>
    <xf numFmtId="0" fontId="23" fillId="0" borderId="68" xfId="0" applyFont="1" applyFill="1" applyBorder="1" applyAlignment="1">
      <alignment horizontal="center" vertical="center"/>
    </xf>
    <xf numFmtId="0" fontId="16" fillId="0" borderId="1" xfId="0" applyFont="1" applyBorder="1" applyAlignment="1">
      <alignment horizontal="left" vertical="center" indent="1"/>
    </xf>
    <xf numFmtId="0" fontId="17" fillId="0" borderId="0" xfId="0" applyFont="1"/>
    <xf numFmtId="1" fontId="16" fillId="0" borderId="1" xfId="0" applyNumberFormat="1" applyFont="1" applyBorder="1" applyAlignment="1">
      <alignment horizontal="left" indent="1"/>
    </xf>
    <xf numFmtId="1" fontId="16" fillId="0" borderId="1" xfId="0" applyNumberFormat="1" applyFont="1" applyFill="1" applyBorder="1" applyAlignment="1">
      <alignment horizontal="left" indent="1"/>
    </xf>
    <xf numFmtId="0" fontId="16" fillId="42" borderId="1" xfId="0" applyFont="1" applyFill="1" applyBorder="1" applyAlignment="1">
      <alignment horizontal="center" vertical="center"/>
    </xf>
    <xf numFmtId="0" fontId="17" fillId="0" borderId="0" xfId="0" applyFont="1" applyBorder="1" applyAlignment="1">
      <alignment vertical="center"/>
    </xf>
    <xf numFmtId="0" fontId="10" fillId="0" borderId="0" xfId="0" applyFont="1" applyFill="1" applyBorder="1" applyAlignment="1">
      <alignment horizontal="center" vertical="center"/>
    </xf>
    <xf numFmtId="0" fontId="21" fillId="0" borderId="0" xfId="0" applyFont="1" applyFill="1" applyBorder="1" applyAlignment="1">
      <alignment vertical="center"/>
    </xf>
    <xf numFmtId="0" fontId="58" fillId="0" borderId="0" xfId="0" applyNumberFormat="1" applyFont="1" applyFill="1" applyBorder="1" applyAlignment="1">
      <alignment horizontal="center" vertical="center"/>
    </xf>
    <xf numFmtId="0" fontId="16" fillId="0" borderId="0" xfId="0" applyFont="1" applyAlignment="1">
      <alignment vertical="center"/>
    </xf>
    <xf numFmtId="0" fontId="128" fillId="0" borderId="0" xfId="0" applyFont="1" applyAlignment="1">
      <alignment horizontal="left" indent="1"/>
    </xf>
    <xf numFmtId="0" fontId="0" fillId="0" borderId="0" xfId="0" applyAlignment="1">
      <alignment horizontal="left" vertical="center" indent="5"/>
    </xf>
    <xf numFmtId="0" fontId="16" fillId="0" borderId="1" xfId="0" applyFont="1" applyBorder="1" applyAlignment="1">
      <alignment horizontal="center" vertical="center" wrapText="1"/>
    </xf>
    <xf numFmtId="0" fontId="10" fillId="0" borderId="5" xfId="0" applyFont="1" applyFill="1" applyBorder="1" applyAlignment="1">
      <alignment horizontal="center" vertical="center"/>
    </xf>
    <xf numFmtId="0" fontId="10" fillId="0" borderId="0" xfId="0" applyFont="1" applyAlignment="1">
      <alignment horizontal="center"/>
    </xf>
    <xf numFmtId="164" fontId="1" fillId="0" borderId="3" xfId="0" applyNumberFormat="1" applyFont="1" applyBorder="1" applyAlignment="1">
      <alignment horizontal="center" vertical="center"/>
    </xf>
    <xf numFmtId="164" fontId="1" fillId="5" borderId="3" xfId="0" applyNumberFormat="1" applyFont="1" applyFill="1" applyBorder="1" applyAlignment="1">
      <alignment horizontal="center" vertical="center"/>
    </xf>
    <xf numFmtId="0" fontId="0" fillId="14" borderId="3" xfId="0" applyFill="1" applyBorder="1" applyAlignment="1">
      <alignment horizontal="center" vertical="center"/>
    </xf>
    <xf numFmtId="0" fontId="23" fillId="5" borderId="1" xfId="0" applyFont="1" applyFill="1" applyBorder="1" applyAlignment="1">
      <alignment horizontal="center" vertical="center"/>
    </xf>
    <xf numFmtId="0" fontId="106" fillId="0" borderId="0" xfId="0" applyFont="1" applyBorder="1" applyAlignment="1">
      <alignment horizontal="left" vertical="center"/>
    </xf>
    <xf numFmtId="0" fontId="0" fillId="0" borderId="33" xfId="0" applyBorder="1" applyAlignment="1">
      <alignment vertical="top"/>
    </xf>
    <xf numFmtId="0" fontId="1" fillId="0" borderId="0" xfId="0" applyFont="1" applyAlignment="1">
      <alignment horizontal="left" vertical="center" indent="1"/>
    </xf>
    <xf numFmtId="0" fontId="79" fillId="8" borderId="20" xfId="0" applyFont="1" applyFill="1" applyBorder="1" applyAlignment="1">
      <alignment horizontal="center" vertical="center"/>
    </xf>
    <xf numFmtId="0" fontId="79" fillId="8" borderId="21" xfId="0" applyFont="1" applyFill="1" applyBorder="1" applyAlignment="1">
      <alignment horizontal="center" vertical="center"/>
    </xf>
    <xf numFmtId="0" fontId="10" fillId="0" borderId="0" xfId="0" applyFont="1" applyAlignment="1">
      <alignment vertical="center"/>
    </xf>
    <xf numFmtId="0" fontId="16" fillId="0" borderId="67" xfId="0" applyFont="1" applyBorder="1" applyAlignment="1">
      <alignment vertical="top"/>
    </xf>
    <xf numFmtId="0" fontId="10" fillId="0" borderId="0" xfId="0" applyFont="1" applyAlignment="1">
      <alignment horizontal="left" vertical="center" indent="2"/>
    </xf>
    <xf numFmtId="0" fontId="64" fillId="0" borderId="0" xfId="0" applyFont="1" applyFill="1" applyBorder="1" applyAlignment="1">
      <alignment horizontal="center" vertical="center"/>
    </xf>
    <xf numFmtId="0" fontId="27" fillId="0" borderId="0" xfId="0" applyNumberFormat="1" applyFont="1" applyFill="1" applyBorder="1" applyAlignment="1">
      <alignment horizontal="center" vertical="center"/>
    </xf>
    <xf numFmtId="0" fontId="130" fillId="0" borderId="0" xfId="0" applyFont="1" applyFill="1" applyBorder="1" applyAlignment="1"/>
    <xf numFmtId="0" fontId="79" fillId="0" borderId="0" xfId="0" applyFont="1" applyFill="1"/>
    <xf numFmtId="0" fontId="33" fillId="0" borderId="0" xfId="0" applyFont="1" applyFill="1" applyAlignment="1">
      <alignment horizontal="left" vertical="center"/>
    </xf>
    <xf numFmtId="0" fontId="27" fillId="0" borderId="0" xfId="0" applyFont="1" applyFill="1" applyBorder="1" applyAlignment="1">
      <alignment horizontal="center" vertical="center"/>
    </xf>
    <xf numFmtId="164" fontId="71" fillId="0" borderId="0" xfId="0" applyNumberFormat="1" applyFont="1" applyFill="1" applyBorder="1" applyAlignment="1">
      <alignment horizontal="center" vertical="center"/>
    </xf>
    <xf numFmtId="164" fontId="74" fillId="0" borderId="0" xfId="0" applyNumberFormat="1" applyFont="1" applyFill="1" applyBorder="1" applyAlignment="1">
      <alignment horizontal="center" vertical="center"/>
    </xf>
    <xf numFmtId="0" fontId="74" fillId="0" borderId="0" xfId="0" applyNumberFormat="1" applyFont="1" applyFill="1" applyBorder="1" applyAlignment="1">
      <alignment horizontal="center" vertical="center"/>
    </xf>
    <xf numFmtId="0" fontId="79" fillId="0" borderId="0" xfId="0" applyFont="1" applyFill="1" applyBorder="1" applyAlignment="1">
      <alignment vertical="top"/>
    </xf>
    <xf numFmtId="0" fontId="131" fillId="0" borderId="0" xfId="0" applyFont="1" applyFill="1" applyBorder="1" applyAlignment="1">
      <alignment horizontal="left" vertical="top" wrapText="1" indent="1"/>
    </xf>
    <xf numFmtId="0" fontId="10" fillId="5" borderId="0" xfId="0" applyFont="1" applyFill="1" applyAlignment="1">
      <alignment horizontal="center" vertical="center"/>
    </xf>
    <xf numFmtId="0" fontId="12" fillId="0" borderId="0" xfId="0" applyFont="1" applyFill="1" applyBorder="1" applyAlignment="1" applyProtection="1">
      <alignment horizontal="center" vertical="center"/>
      <protection locked="0"/>
    </xf>
    <xf numFmtId="0" fontId="0" fillId="0" borderId="1" xfId="0" applyBorder="1" applyAlignment="1">
      <alignment horizontal="center" vertical="center"/>
    </xf>
    <xf numFmtId="164" fontId="2" fillId="0" borderId="3" xfId="0" applyNumberFormat="1" applyFont="1" applyBorder="1" applyAlignment="1">
      <alignment horizontal="center" vertical="center"/>
    </xf>
    <xf numFmtId="164" fontId="1" fillId="15" borderId="3" xfId="0" applyNumberFormat="1" applyFont="1" applyFill="1" applyBorder="1" applyAlignment="1" applyProtection="1">
      <alignment horizontal="center" vertical="center"/>
      <protection hidden="1"/>
    </xf>
    <xf numFmtId="0" fontId="93" fillId="0" borderId="0" xfId="0" applyFont="1" applyBorder="1" applyAlignment="1">
      <alignment horizontal="left" indent="10"/>
    </xf>
    <xf numFmtId="0" fontId="132" fillId="0" borderId="0" xfId="0" applyFont="1" applyBorder="1" applyAlignment="1">
      <alignment horizontal="left" indent="10"/>
    </xf>
    <xf numFmtId="0" fontId="64" fillId="13" borderId="1" xfId="0" applyFont="1" applyFill="1" applyBorder="1" applyAlignment="1">
      <alignment horizontal="center" vertical="center"/>
    </xf>
    <xf numFmtId="164" fontId="9"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0" fontId="32" fillId="0" borderId="0" xfId="0"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 fillId="5" borderId="1" xfId="0" applyFont="1" applyFill="1" applyBorder="1" applyAlignment="1" applyProtection="1">
      <alignment horizontal="center" vertical="center"/>
      <protection locked="0"/>
    </xf>
    <xf numFmtId="0" fontId="1" fillId="0" borderId="18" xfId="0" applyFont="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0" fontId="5" fillId="0" borderId="1" xfId="0" applyFont="1" applyFill="1" applyBorder="1" applyAlignment="1">
      <alignment horizontal="center" vertical="center"/>
    </xf>
    <xf numFmtId="0" fontId="2" fillId="5" borderId="1" xfId="0" applyFont="1" applyFill="1" applyBorder="1" applyAlignment="1">
      <alignment horizontal="center" vertical="center"/>
    </xf>
    <xf numFmtId="0" fontId="2" fillId="0" borderId="1" xfId="0" applyFont="1" applyFill="1" applyBorder="1" applyAlignment="1">
      <alignment horizontal="center" vertical="center"/>
    </xf>
    <xf numFmtId="0" fontId="1" fillId="0" borderId="1" xfId="0" applyFont="1" applyBorder="1" applyAlignment="1">
      <alignment horizontal="center" vertical="center"/>
    </xf>
    <xf numFmtId="0" fontId="10" fillId="3" borderId="1" xfId="0" applyFont="1" applyFill="1" applyBorder="1" applyAlignment="1">
      <alignment horizontal="center" vertical="center"/>
    </xf>
    <xf numFmtId="0" fontId="12" fillId="0" borderId="0" xfId="0" applyFont="1" applyFill="1" applyBorder="1" applyAlignment="1" applyProtection="1">
      <alignment horizontal="center" vertical="center"/>
      <protection locked="0"/>
    </xf>
    <xf numFmtId="0" fontId="32" fillId="0" borderId="0" xfId="0" applyFont="1" applyFill="1" applyBorder="1" applyAlignment="1" applyProtection="1">
      <alignment horizontal="center" vertical="center"/>
      <protection locked="0"/>
    </xf>
    <xf numFmtId="0" fontId="1" fillId="0" borderId="1" xfId="0" applyFont="1" applyBorder="1" applyAlignment="1">
      <alignment horizontal="center" vertical="center"/>
    </xf>
    <xf numFmtId="0" fontId="2" fillId="0" borderId="1" xfId="0" applyFont="1" applyFill="1" applyBorder="1" applyAlignment="1">
      <alignment horizontal="center" vertical="center"/>
    </xf>
    <xf numFmtId="0" fontId="2" fillId="0" borderId="1" xfId="0" applyFont="1" applyBorder="1" applyAlignment="1">
      <alignment horizontal="center" vertical="center"/>
    </xf>
    <xf numFmtId="0" fontId="23" fillId="0" borderId="0" xfId="0" applyFont="1" applyFill="1" applyBorder="1" applyAlignment="1" applyProtection="1">
      <alignment horizontal="center" vertical="center"/>
      <protection locked="0"/>
    </xf>
    <xf numFmtId="0" fontId="1" fillId="0" borderId="18" xfId="0" applyFont="1" applyBorder="1" applyAlignment="1">
      <alignment horizontal="center" vertical="center"/>
    </xf>
    <xf numFmtId="0" fontId="1" fillId="0" borderId="7" xfId="0" applyFont="1" applyBorder="1" applyAlignment="1">
      <alignment horizontal="center" vertical="center"/>
    </xf>
    <xf numFmtId="0" fontId="74" fillId="13" borderId="20" xfId="0" applyFont="1" applyFill="1" applyBorder="1" applyAlignment="1" applyProtection="1">
      <alignment horizontal="center" vertical="center"/>
      <protection locked="0"/>
    </xf>
    <xf numFmtId="0" fontId="0" fillId="0" borderId="1" xfId="0" applyBorder="1" applyAlignment="1">
      <alignment horizontal="center" vertical="center"/>
    </xf>
    <xf numFmtId="0" fontId="23" fillId="0" borderId="0" xfId="0" applyFont="1" applyAlignment="1">
      <alignment horizontal="center" vertical="center"/>
    </xf>
    <xf numFmtId="0" fontId="2" fillId="0" borderId="7" xfId="0" applyFont="1" applyFill="1" applyBorder="1" applyAlignment="1" applyProtection="1">
      <alignment horizontal="center" vertical="center"/>
      <protection locked="0"/>
    </xf>
    <xf numFmtId="0" fontId="2" fillId="5" borderId="7" xfId="0" applyFont="1" applyFill="1" applyBorder="1" applyAlignment="1" applyProtection="1">
      <alignment horizontal="center" vertical="center"/>
      <protection locked="0"/>
    </xf>
    <xf numFmtId="0" fontId="1" fillId="0" borderId="3" xfId="0" applyFont="1" applyFill="1" applyBorder="1" applyAlignment="1" applyProtection="1">
      <alignment horizontal="center" vertical="center"/>
      <protection hidden="1"/>
    </xf>
    <xf numFmtId="0" fontId="0" fillId="0" borderId="0" xfId="0" applyAlignment="1" applyProtection="1">
      <alignment vertical="center"/>
      <protection locked="0"/>
    </xf>
    <xf numFmtId="0" fontId="0" fillId="15" borderId="14" xfId="0" applyFill="1" applyBorder="1" applyAlignment="1" applyProtection="1">
      <alignment horizontal="center" vertical="center"/>
      <protection hidden="1"/>
    </xf>
    <xf numFmtId="0" fontId="58" fillId="5" borderId="7" xfId="0" applyFont="1" applyFill="1" applyBorder="1" applyAlignment="1" applyProtection="1">
      <alignment horizontal="center" vertical="center"/>
      <protection hidden="1"/>
    </xf>
    <xf numFmtId="0" fontId="24" fillId="0" borderId="0" xfId="0" applyFont="1" applyProtection="1">
      <protection locked="0"/>
    </xf>
    <xf numFmtId="0" fontId="2" fillId="0" borderId="7" xfId="0" applyFont="1" applyFill="1" applyBorder="1" applyAlignment="1">
      <alignment horizontal="center" vertical="center"/>
    </xf>
    <xf numFmtId="0" fontId="21" fillId="7" borderId="1" xfId="0" applyFont="1" applyFill="1" applyBorder="1" applyAlignment="1" applyProtection="1">
      <alignment horizontal="center" vertical="center"/>
      <protection locked="0"/>
    </xf>
    <xf numFmtId="0" fontId="21" fillId="7" borderId="7" xfId="0" applyFont="1" applyFill="1" applyBorder="1" applyAlignment="1" applyProtection="1">
      <alignment horizontal="center" vertical="center"/>
      <protection locked="0"/>
    </xf>
    <xf numFmtId="0" fontId="4" fillId="0" borderId="0" xfId="0" applyFont="1" applyBorder="1" applyAlignment="1">
      <alignment horizontal="center" vertical="center"/>
    </xf>
    <xf numFmtId="0" fontId="34" fillId="13" borderId="40" xfId="0" applyFont="1" applyFill="1" applyBorder="1" applyAlignment="1" applyProtection="1">
      <alignment horizontal="center" vertical="center"/>
      <protection locked="0"/>
    </xf>
    <xf numFmtId="0" fontId="78" fillId="4" borderId="20" xfId="0" applyFont="1" applyFill="1" applyBorder="1" applyAlignment="1">
      <alignment horizontal="center" vertical="center"/>
    </xf>
    <xf numFmtId="0" fontId="32" fillId="0" borderId="0"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0" fontId="5"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24" xfId="0" applyFont="1" applyBorder="1" applyAlignment="1">
      <alignment horizontal="center" vertical="center"/>
    </xf>
    <xf numFmtId="0" fontId="1" fillId="0" borderId="16" xfId="0" applyFont="1" applyBorder="1" applyAlignment="1">
      <alignment horizontal="center" vertical="center"/>
    </xf>
    <xf numFmtId="0" fontId="1" fillId="0" borderId="18" xfId="0" applyFont="1" applyBorder="1" applyAlignment="1">
      <alignment horizontal="center" vertical="center"/>
    </xf>
    <xf numFmtId="0" fontId="1" fillId="0" borderId="6" xfId="0" applyFont="1" applyBorder="1" applyAlignment="1">
      <alignment horizontal="center" vertical="center"/>
    </xf>
    <xf numFmtId="0" fontId="0" fillId="0" borderId="1" xfId="0" applyBorder="1" applyAlignment="1">
      <alignment horizontal="center" vertical="center"/>
    </xf>
    <xf numFmtId="0" fontId="23" fillId="0" borderId="0" xfId="0" applyFont="1" applyAlignment="1">
      <alignment horizontal="center" vertical="center"/>
    </xf>
    <xf numFmtId="0" fontId="1" fillId="0" borderId="3" xfId="0" applyFont="1" applyBorder="1"/>
    <xf numFmtId="0" fontId="9" fillId="39" borderId="0" xfId="0" applyFont="1" applyFill="1" applyBorder="1" applyAlignment="1">
      <alignment horizontal="center" vertical="center"/>
    </xf>
    <xf numFmtId="0" fontId="4" fillId="39" borderId="0" xfId="0" applyFont="1" applyFill="1" applyBorder="1" applyAlignment="1">
      <alignment horizontal="center"/>
    </xf>
    <xf numFmtId="0" fontId="9" fillId="9" borderId="0" xfId="0" applyFont="1" applyFill="1" applyBorder="1" applyAlignment="1">
      <alignment horizontal="center" vertical="center"/>
    </xf>
    <xf numFmtId="0" fontId="4" fillId="9" borderId="0" xfId="0" applyFont="1" applyFill="1" applyBorder="1" applyAlignment="1">
      <alignment horizontal="center"/>
    </xf>
    <xf numFmtId="0" fontId="2" fillId="5" borderId="1" xfId="0"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32" fillId="0" borderId="0" xfId="0" applyFont="1"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17" fillId="39" borderId="20" xfId="0" applyFont="1" applyFill="1" applyBorder="1" applyAlignment="1" applyProtection="1">
      <alignment horizontal="center" vertical="center"/>
      <protection locked="0"/>
    </xf>
    <xf numFmtId="0" fontId="17" fillId="10" borderId="26" xfId="0" applyFont="1" applyFill="1" applyBorder="1" applyAlignment="1" applyProtection="1">
      <alignment horizontal="center" vertical="center"/>
      <protection locked="0"/>
    </xf>
    <xf numFmtId="0" fontId="1" fillId="0" borderId="55" xfId="0" applyFont="1" applyBorder="1" applyAlignment="1">
      <alignment horizontal="center" vertical="center"/>
    </xf>
    <xf numFmtId="0" fontId="17" fillId="39" borderId="35" xfId="0" applyFont="1" applyFill="1" applyBorder="1" applyAlignment="1" applyProtection="1">
      <alignment horizontal="center" vertical="center"/>
      <protection locked="0"/>
    </xf>
    <xf numFmtId="0" fontId="9" fillId="11" borderId="0" xfId="0" applyFont="1" applyFill="1" applyBorder="1" applyAlignment="1">
      <alignment horizontal="center" vertical="center"/>
    </xf>
    <xf numFmtId="0" fontId="4" fillId="11" borderId="0" xfId="0" applyFont="1" applyFill="1" applyBorder="1" applyAlignment="1">
      <alignment horizontal="center"/>
    </xf>
    <xf numFmtId="0" fontId="63" fillId="5" borderId="20" xfId="0" applyFont="1" applyFill="1" applyBorder="1" applyAlignment="1" applyProtection="1">
      <alignment horizontal="center" vertical="center"/>
      <protection locked="0"/>
    </xf>
    <xf numFmtId="0" fontId="1" fillId="2" borderId="78" xfId="0" applyFont="1" applyFill="1" applyBorder="1" applyAlignment="1">
      <alignment horizontal="center" vertical="center"/>
    </xf>
    <xf numFmtId="0" fontId="1" fillId="2" borderId="13" xfId="0" applyFont="1" applyFill="1" applyBorder="1" applyAlignment="1">
      <alignment horizontal="center" vertical="center"/>
    </xf>
    <xf numFmtId="0" fontId="1" fillId="0" borderId="35" xfId="0" applyFont="1" applyBorder="1"/>
    <xf numFmtId="0" fontId="1" fillId="0" borderId="20" xfId="0" applyFont="1" applyBorder="1"/>
    <xf numFmtId="0" fontId="1" fillId="2" borderId="20" xfId="0" applyFont="1" applyFill="1" applyBorder="1" applyAlignment="1">
      <alignment horizontal="center" vertical="center"/>
    </xf>
    <xf numFmtId="1" fontId="1" fillId="0" borderId="20" xfId="0" applyNumberFormat="1" applyFont="1" applyBorder="1" applyAlignment="1">
      <alignment horizontal="center" vertical="center"/>
    </xf>
    <xf numFmtId="0" fontId="1" fillId="0" borderId="20" xfId="0" applyFont="1" applyBorder="1" applyAlignment="1">
      <alignment horizontal="center" vertical="center"/>
    </xf>
    <xf numFmtId="0" fontId="17" fillId="10" borderId="67" xfId="0" applyFont="1" applyFill="1" applyBorder="1" applyAlignment="1">
      <alignment horizontal="center" vertical="center"/>
    </xf>
    <xf numFmtId="0" fontId="9" fillId="0" borderId="0" xfId="0" applyFont="1" applyFill="1" applyBorder="1" applyAlignment="1">
      <alignment horizontal="center" vertical="center"/>
    </xf>
    <xf numFmtId="0" fontId="9" fillId="10" borderId="0" xfId="0" applyFont="1" applyFill="1" applyBorder="1" applyAlignment="1">
      <alignment horizontal="center" vertical="center"/>
    </xf>
    <xf numFmtId="0" fontId="9" fillId="5" borderId="0" xfId="0" applyFont="1" applyFill="1" applyBorder="1" applyAlignment="1">
      <alignment horizontal="center" vertical="center"/>
    </xf>
    <xf numFmtId="0" fontId="70" fillId="0" borderId="0" xfId="0" applyFont="1" applyBorder="1" applyAlignment="1">
      <alignment vertical="center"/>
    </xf>
    <xf numFmtId="0" fontId="12" fillId="14" borderId="1" xfId="0" applyFont="1" applyFill="1" applyBorder="1" applyAlignment="1">
      <alignment horizontal="center" vertical="center"/>
    </xf>
    <xf numFmtId="0" fontId="12" fillId="11" borderId="1" xfId="0" applyFont="1" applyFill="1" applyBorder="1" applyAlignment="1">
      <alignment horizontal="center" vertical="center"/>
    </xf>
    <xf numFmtId="0" fontId="1" fillId="0" borderId="0" xfId="0" applyFont="1" applyFill="1"/>
    <xf numFmtId="0" fontId="124" fillId="0" borderId="0" xfId="0" applyFont="1" applyFill="1"/>
    <xf numFmtId="0" fontId="124" fillId="0" borderId="0" xfId="0" applyFont="1" applyFill="1" applyBorder="1"/>
    <xf numFmtId="1" fontId="1" fillId="0" borderId="6" xfId="0" applyNumberFormat="1" applyFont="1" applyBorder="1" applyAlignment="1">
      <alignment horizontal="center" vertical="center"/>
    </xf>
    <xf numFmtId="1" fontId="1" fillId="2" borderId="19" xfId="0" applyNumberFormat="1" applyFont="1" applyFill="1" applyBorder="1" applyAlignment="1">
      <alignment horizontal="center" vertical="center"/>
    </xf>
    <xf numFmtId="1" fontId="1" fillId="0" borderId="35" xfId="0" applyNumberFormat="1" applyFont="1" applyBorder="1" applyAlignment="1">
      <alignment horizontal="center" vertical="center"/>
    </xf>
    <xf numFmtId="1" fontId="1" fillId="2" borderId="20"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0" borderId="55" xfId="0" applyNumberFormat="1" applyFont="1" applyBorder="1" applyAlignment="1">
      <alignment horizontal="center" vertical="center"/>
    </xf>
    <xf numFmtId="1" fontId="1" fillId="2" borderId="3" xfId="0" applyNumberFormat="1" applyFont="1" applyFill="1" applyBorder="1" applyAlignment="1">
      <alignment horizontal="center" vertical="center"/>
    </xf>
    <xf numFmtId="1" fontId="1" fillId="2" borderId="74" xfId="0" applyNumberFormat="1" applyFont="1" applyFill="1" applyBorder="1" applyAlignment="1">
      <alignment horizontal="center" vertical="center"/>
    </xf>
    <xf numFmtId="1" fontId="1" fillId="0" borderId="25" xfId="0" applyNumberFormat="1" applyFont="1" applyBorder="1" applyAlignment="1">
      <alignment horizontal="center" vertical="center"/>
    </xf>
    <xf numFmtId="0" fontId="18" fillId="0" borderId="0" xfId="0" applyFont="1" applyBorder="1" applyAlignment="1">
      <alignment horizontal="center" vertical="center"/>
    </xf>
    <xf numFmtId="0" fontId="18" fillId="5" borderId="0" xfId="0" applyFont="1" applyFill="1" applyBorder="1" applyAlignment="1">
      <alignment horizontal="center" vertical="center"/>
    </xf>
    <xf numFmtId="0" fontId="18" fillId="39" borderId="0" xfId="0" applyFont="1" applyFill="1" applyBorder="1" applyAlignment="1">
      <alignment horizontal="center" vertical="center"/>
    </xf>
    <xf numFmtId="0" fontId="53" fillId="4" borderId="19" xfId="0" applyFont="1" applyFill="1" applyBorder="1" applyAlignment="1">
      <alignment horizontal="left" vertical="center" indent="2"/>
    </xf>
    <xf numFmtId="0" fontId="32" fillId="0" borderId="0"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0" fontId="1" fillId="0" borderId="1" xfId="0" applyFont="1" applyBorder="1" applyAlignment="1">
      <alignment horizontal="center" vertical="center"/>
    </xf>
    <xf numFmtId="0" fontId="2" fillId="5" borderId="1" xfId="0" applyFont="1" applyFill="1" applyBorder="1" applyAlignment="1">
      <alignment horizontal="center" vertical="center"/>
    </xf>
    <xf numFmtId="0" fontId="2" fillId="0" borderId="1" xfId="0" applyFont="1" applyFill="1" applyBorder="1" applyAlignment="1">
      <alignment horizontal="center" vertical="center"/>
    </xf>
    <xf numFmtId="0" fontId="74" fillId="13" borderId="20" xfId="0" applyFont="1" applyFill="1" applyBorder="1" applyAlignment="1" applyProtection="1">
      <alignment horizontal="center" vertical="center"/>
      <protection locked="0"/>
    </xf>
    <xf numFmtId="1" fontId="24" fillId="5" borderId="1" xfId="0" applyNumberFormat="1" applyFont="1" applyFill="1" applyBorder="1" applyAlignment="1" applyProtection="1">
      <alignment horizontal="center" vertical="center"/>
      <protection locked="0"/>
    </xf>
    <xf numFmtId="0" fontId="23" fillId="0" borderId="0" xfId="0" applyFont="1" applyFill="1" applyBorder="1" applyAlignment="1" applyProtection="1">
      <alignment vertical="center"/>
      <protection locked="0"/>
    </xf>
    <xf numFmtId="0" fontId="32" fillId="0" borderId="0" xfId="0" applyFont="1" applyFill="1" applyBorder="1" applyAlignment="1" applyProtection="1">
      <alignment vertical="center"/>
      <protection locked="0"/>
    </xf>
    <xf numFmtId="0" fontId="16" fillId="0" borderId="0" xfId="0" applyFont="1" applyFill="1" applyBorder="1" applyAlignment="1" applyProtection="1">
      <alignment horizontal="center" vertical="center"/>
      <protection locked="0"/>
    </xf>
    <xf numFmtId="0" fontId="16" fillId="0" borderId="0" xfId="0" applyFont="1" applyFill="1" applyBorder="1" applyAlignment="1" applyProtection="1">
      <alignment vertical="center"/>
      <protection locked="0"/>
    </xf>
    <xf numFmtId="0" fontId="21" fillId="10" borderId="20" xfId="0" applyFont="1" applyFill="1" applyBorder="1" applyAlignment="1" applyProtection="1">
      <alignment horizontal="center" vertical="center"/>
      <protection locked="0"/>
    </xf>
    <xf numFmtId="0" fontId="17" fillId="5" borderId="26" xfId="0" applyFont="1" applyFill="1" applyBorder="1" applyAlignment="1" applyProtection="1">
      <alignment horizontal="center" vertical="center"/>
      <protection locked="0"/>
    </xf>
    <xf numFmtId="0" fontId="21" fillId="7" borderId="18" xfId="0" applyFont="1" applyFill="1" applyBorder="1" applyAlignment="1" applyProtection="1">
      <alignment horizontal="center" vertical="center"/>
      <protection locked="0"/>
    </xf>
    <xf numFmtId="0" fontId="17" fillId="7" borderId="33" xfId="0" applyFont="1" applyFill="1" applyBorder="1" applyAlignment="1" applyProtection="1">
      <alignment horizontal="center" vertical="center"/>
      <protection locked="0"/>
    </xf>
    <xf numFmtId="0" fontId="17" fillId="7" borderId="2" xfId="0" applyFont="1" applyFill="1" applyBorder="1" applyAlignment="1" applyProtection="1">
      <alignment horizontal="center" vertical="center"/>
      <protection locked="0"/>
    </xf>
    <xf numFmtId="0" fontId="16" fillId="28" borderId="1" xfId="0" applyFont="1" applyFill="1" applyBorder="1" applyAlignment="1" applyProtection="1">
      <alignment horizontal="center" vertical="center"/>
      <protection locked="0"/>
    </xf>
    <xf numFmtId="0" fontId="1" fillId="0" borderId="1" xfId="0" applyFont="1" applyFill="1" applyBorder="1" applyAlignment="1" applyProtection="1">
      <alignment horizontal="center" vertical="center"/>
      <protection hidden="1"/>
    </xf>
    <xf numFmtId="0" fontId="16" fillId="43" borderId="1" xfId="0" applyFont="1" applyFill="1" applyBorder="1" applyAlignment="1" applyProtection="1">
      <alignment horizontal="center" vertical="center"/>
      <protection locked="0"/>
    </xf>
    <xf numFmtId="0" fontId="1" fillId="0" borderId="0" xfId="0" applyFont="1" applyBorder="1" applyAlignment="1" applyProtection="1">
      <alignment horizontal="center" vertical="center"/>
      <protection locked="0"/>
    </xf>
    <xf numFmtId="0" fontId="1" fillId="9" borderId="0" xfId="0" applyFont="1" applyFill="1" applyBorder="1" applyAlignment="1" applyProtection="1">
      <alignment horizontal="center" vertical="center"/>
      <protection locked="0"/>
    </xf>
    <xf numFmtId="0" fontId="1" fillId="39" borderId="0" xfId="0" applyFont="1" applyFill="1" applyBorder="1" applyAlignment="1" applyProtection="1">
      <alignment horizontal="center" vertical="center"/>
      <protection locked="0"/>
    </xf>
    <xf numFmtId="0" fontId="21" fillId="0" borderId="0" xfId="0" applyFont="1" applyFill="1" applyBorder="1" applyAlignment="1" applyProtection="1">
      <alignment horizontal="center" vertical="center"/>
      <protection locked="0"/>
    </xf>
    <xf numFmtId="0" fontId="29" fillId="5" borderId="0" xfId="0" applyFont="1" applyFill="1" applyAlignment="1">
      <alignment horizontal="center" vertical="center"/>
    </xf>
    <xf numFmtId="0" fontId="17" fillId="0" borderId="0" xfId="0" applyFont="1" applyFill="1" applyBorder="1" applyAlignment="1" applyProtection="1">
      <alignment horizontal="center" vertical="center"/>
      <protection locked="0"/>
    </xf>
    <xf numFmtId="0" fontId="26" fillId="0" borderId="0" xfId="0" applyFont="1" applyFill="1" applyBorder="1" applyAlignment="1" applyProtection="1">
      <alignment horizontal="center" vertical="center"/>
      <protection locked="0"/>
    </xf>
    <xf numFmtId="1" fontId="11" fillId="0" borderId="3" xfId="0" applyNumberFormat="1" applyFont="1" applyBorder="1" applyAlignment="1" applyProtection="1">
      <alignment horizontal="left" vertical="center" indent="1"/>
      <protection locked="0"/>
    </xf>
    <xf numFmtId="1" fontId="25" fillId="0" borderId="25" xfId="0" applyNumberFormat="1" applyFont="1" applyBorder="1" applyAlignment="1" applyProtection="1">
      <alignment horizontal="center" vertical="center"/>
      <protection locked="0"/>
    </xf>
    <xf numFmtId="0" fontId="91" fillId="10" borderId="20" xfId="0" applyFont="1" applyFill="1" applyBorder="1" applyAlignment="1" applyProtection="1">
      <alignment horizontal="center" vertical="center"/>
      <protection locked="0"/>
    </xf>
    <xf numFmtId="0" fontId="62" fillId="39" borderId="20" xfId="0" applyFont="1" applyFill="1" applyBorder="1" applyAlignment="1" applyProtection="1">
      <alignment horizontal="center" vertical="center"/>
      <protection locked="0"/>
    </xf>
    <xf numFmtId="0" fontId="1" fillId="0" borderId="19" xfId="0" applyFont="1" applyBorder="1" applyAlignment="1">
      <alignment horizontal="center" vertical="center"/>
    </xf>
    <xf numFmtId="0" fontId="91" fillId="10" borderId="21" xfId="0" applyFont="1" applyFill="1" applyBorder="1" applyAlignment="1" applyProtection="1">
      <alignment horizontal="center" vertical="center"/>
      <protection locked="0"/>
    </xf>
    <xf numFmtId="0" fontId="4" fillId="0" borderId="0" xfId="0" applyFont="1" applyBorder="1"/>
    <xf numFmtId="0" fontId="4" fillId="5" borderId="0" xfId="0" applyFont="1" applyFill="1" applyBorder="1" applyAlignment="1">
      <alignment horizontal="center"/>
    </xf>
    <xf numFmtId="0" fontId="0" fillId="10" borderId="3" xfId="0" applyFill="1" applyBorder="1" applyAlignment="1" applyProtection="1">
      <alignment horizontal="center" vertical="center"/>
      <protection locked="0"/>
    </xf>
    <xf numFmtId="0" fontId="0" fillId="0" borderId="68"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9" borderId="0"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29" fillId="8" borderId="20" xfId="0" applyFont="1" applyFill="1" applyBorder="1" applyAlignment="1">
      <alignment horizontal="center" vertical="center"/>
    </xf>
    <xf numFmtId="0" fontId="29" fillId="8" borderId="21" xfId="0" applyFont="1" applyFill="1" applyBorder="1" applyAlignment="1">
      <alignment horizontal="center" vertical="center"/>
    </xf>
    <xf numFmtId="0" fontId="74" fillId="13" borderId="20"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9" fillId="5" borderId="0" xfId="0" applyFont="1" applyFill="1" applyBorder="1" applyAlignment="1" applyProtection="1">
      <alignment horizontal="left"/>
      <protection locked="0"/>
    </xf>
    <xf numFmtId="0" fontId="136" fillId="0" borderId="0" xfId="0" applyFont="1" applyBorder="1" applyAlignment="1">
      <alignment horizontal="left" vertical="center" wrapText="1" indent="1"/>
    </xf>
    <xf numFmtId="0" fontId="80" fillId="5" borderId="20" xfId="0" applyFont="1" applyFill="1" applyBorder="1" applyAlignment="1" applyProtection="1">
      <alignment horizontal="center" vertical="center"/>
      <protection locked="0"/>
    </xf>
    <xf numFmtId="0" fontId="0" fillId="0" borderId="1" xfId="0" applyBorder="1" applyAlignment="1">
      <alignment horizontal="center" vertical="center"/>
    </xf>
    <xf numFmtId="0" fontId="10" fillId="5" borderId="1" xfId="0" applyFont="1" applyFill="1" applyBorder="1" applyAlignment="1" applyProtection="1">
      <alignment horizontal="center" vertical="center"/>
      <protection locked="0"/>
    </xf>
    <xf numFmtId="0" fontId="24" fillId="5" borderId="40" xfId="0" applyFont="1" applyFill="1" applyBorder="1" applyAlignment="1" applyProtection="1">
      <alignment horizontal="center" vertical="center"/>
      <protection locked="0"/>
    </xf>
    <xf numFmtId="0" fontId="78" fillId="39" borderId="20" xfId="0" applyFont="1" applyFill="1" applyBorder="1" applyAlignment="1" applyProtection="1">
      <alignment horizontal="center" vertical="center"/>
      <protection locked="0"/>
    </xf>
    <xf numFmtId="0" fontId="78" fillId="14" borderId="20" xfId="0" applyFont="1" applyFill="1" applyBorder="1" applyAlignment="1" applyProtection="1">
      <alignment horizontal="center" vertical="center"/>
      <protection locked="0"/>
    </xf>
    <xf numFmtId="0" fontId="0" fillId="0" borderId="0" xfId="0" applyFill="1" applyBorder="1" applyAlignment="1">
      <alignment vertical="center" wrapText="1"/>
    </xf>
    <xf numFmtId="0" fontId="67" fillId="0" borderId="0" xfId="0" applyFont="1" applyFill="1" applyBorder="1" applyAlignment="1">
      <alignment horizontal="center" vertical="center"/>
    </xf>
    <xf numFmtId="0" fontId="0" fillId="0" borderId="0" xfId="0" applyFill="1" applyBorder="1" applyAlignment="1">
      <alignment horizontal="center" vertical="center"/>
    </xf>
    <xf numFmtId="0" fontId="25" fillId="0" borderId="0" xfId="0" applyFont="1" applyFill="1" applyBorder="1" applyAlignment="1">
      <alignment horizontal="left" vertical="top" wrapText="1" indent="1"/>
    </xf>
    <xf numFmtId="0" fontId="0" fillId="0" borderId="0" xfId="0" applyFill="1" applyBorder="1" applyAlignment="1">
      <alignment vertical="center"/>
    </xf>
    <xf numFmtId="0" fontId="60" fillId="0" borderId="7" xfId="0" applyFont="1" applyBorder="1" applyAlignment="1">
      <alignment horizontal="center" vertical="center"/>
    </xf>
    <xf numFmtId="0" fontId="82" fillId="7" borderId="1" xfId="0" applyFont="1" applyFill="1" applyBorder="1" applyAlignment="1" applyProtection="1">
      <alignment horizontal="center" vertical="center"/>
      <protection locked="0"/>
    </xf>
    <xf numFmtId="0" fontId="80" fillId="9" borderId="2" xfId="0" applyFont="1" applyFill="1" applyBorder="1" applyAlignment="1" applyProtection="1">
      <alignment horizontal="center" vertical="center"/>
      <protection locked="0"/>
    </xf>
    <xf numFmtId="0" fontId="0" fillId="0" borderId="0" xfId="0" applyFill="1" applyBorder="1" applyAlignment="1">
      <alignment vertical="top" wrapText="1"/>
    </xf>
    <xf numFmtId="0" fontId="80" fillId="9" borderId="1" xfId="0" applyFont="1" applyFill="1" applyBorder="1" applyAlignment="1" applyProtection="1">
      <alignment horizontal="center" vertical="center"/>
      <protection locked="0"/>
    </xf>
    <xf numFmtId="0" fontId="91" fillId="4" borderId="1" xfId="0" applyFont="1" applyFill="1" applyBorder="1" applyAlignment="1" applyProtection="1">
      <alignment horizontal="center" vertical="center"/>
      <protection locked="0"/>
    </xf>
    <xf numFmtId="0" fontId="133" fillId="4" borderId="1" xfId="0" applyFont="1" applyFill="1" applyBorder="1" applyAlignment="1" applyProtection="1">
      <alignment horizontal="center" vertical="center"/>
      <protection locked="0"/>
    </xf>
    <xf numFmtId="0" fontId="91" fillId="0" borderId="0" xfId="0" applyFont="1" applyFill="1" applyBorder="1" applyAlignment="1" applyProtection="1">
      <alignment horizontal="center" vertical="center"/>
      <protection locked="0"/>
    </xf>
    <xf numFmtId="0" fontId="137" fillId="13" borderId="1" xfId="0" applyFont="1" applyFill="1" applyBorder="1" applyAlignment="1" applyProtection="1">
      <alignment horizontal="center" vertical="center"/>
      <protection locked="0"/>
    </xf>
    <xf numFmtId="0" fontId="25" fillId="39" borderId="1" xfId="0" applyFont="1" applyFill="1" applyBorder="1" applyAlignment="1">
      <alignment horizontal="left" vertical="top" wrapText="1" indent="1"/>
    </xf>
    <xf numFmtId="0" fontId="133" fillId="0" borderId="0" xfId="0" applyFont="1" applyFill="1" applyBorder="1" applyAlignment="1" applyProtection="1">
      <alignment horizontal="center" vertical="center"/>
      <protection locked="0"/>
    </xf>
    <xf numFmtId="0" fontId="138" fillId="13" borderId="1" xfId="0" applyFont="1" applyFill="1" applyBorder="1" applyAlignment="1" applyProtection="1">
      <alignment horizontal="center" vertical="center"/>
      <protection locked="0"/>
    </xf>
    <xf numFmtId="0" fontId="17" fillId="0" borderId="0" xfId="0" applyFont="1" applyFill="1" applyBorder="1" applyAlignment="1">
      <alignment horizontal="left" vertical="center" wrapText="1" indent="1"/>
    </xf>
    <xf numFmtId="0" fontId="17" fillId="0" borderId="0" xfId="0" quotePrefix="1" applyFont="1" applyFill="1" applyBorder="1" applyAlignment="1">
      <alignment horizontal="left" vertical="center" wrapText="1" indent="1"/>
    </xf>
    <xf numFmtId="0" fontId="25" fillId="0" borderId="1" xfId="0" applyFont="1" applyBorder="1" applyAlignment="1">
      <alignment vertical="top" wrapText="1"/>
    </xf>
    <xf numFmtId="0" fontId="17" fillId="0" borderId="1" xfId="0" applyFont="1" applyBorder="1" applyAlignment="1">
      <alignment horizontal="left" vertical="top" wrapText="1" indent="1"/>
    </xf>
    <xf numFmtId="0" fontId="17" fillId="0" borderId="1" xfId="0" applyFont="1" applyBorder="1" applyAlignment="1">
      <alignment horizontal="left" vertical="top" wrapText="1"/>
    </xf>
    <xf numFmtId="0" fontId="69" fillId="0" borderId="0" xfId="0" applyFont="1" applyFill="1" applyBorder="1" applyAlignment="1">
      <alignment vertical="top" wrapText="1"/>
    </xf>
    <xf numFmtId="0" fontId="69" fillId="0" borderId="1" xfId="0" applyFont="1" applyBorder="1" applyAlignment="1">
      <alignment vertical="top" wrapText="1"/>
    </xf>
    <xf numFmtId="0" fontId="3" fillId="0" borderId="0" xfId="0" applyFont="1" applyFill="1" applyBorder="1" applyAlignment="1" applyProtection="1">
      <alignment horizontal="left" vertical="top" wrapText="1"/>
      <protection locked="0"/>
    </xf>
    <xf numFmtId="0" fontId="64" fillId="13" borderId="20" xfId="0" applyFont="1" applyFill="1" applyBorder="1" applyAlignment="1" applyProtection="1">
      <alignment horizontal="center" vertical="center"/>
      <protection locked="0"/>
    </xf>
    <xf numFmtId="0" fontId="69" fillId="0" borderId="0" xfId="0" applyFont="1" applyFill="1" applyBorder="1" applyAlignment="1">
      <alignment wrapText="1"/>
    </xf>
    <xf numFmtId="0" fontId="3" fillId="0" borderId="0" xfId="0" applyFont="1" applyFill="1" applyBorder="1" applyAlignment="1" applyProtection="1">
      <alignment horizontal="left" wrapText="1"/>
      <protection locked="0"/>
    </xf>
    <xf numFmtId="0" fontId="80" fillId="10" borderId="1" xfId="0" applyFont="1" applyFill="1" applyBorder="1" applyAlignment="1" applyProtection="1">
      <alignment horizontal="center" vertical="center"/>
      <protection locked="0"/>
    </xf>
    <xf numFmtId="0" fontId="3" fillId="0" borderId="0" xfId="0" applyFont="1" applyFill="1" applyBorder="1" applyAlignment="1">
      <alignment horizontal="left" vertical="top" wrapText="1" indent="1"/>
    </xf>
    <xf numFmtId="0" fontId="60" fillId="4" borderId="0" xfId="0" applyFont="1" applyFill="1" applyAlignment="1">
      <alignment horizontal="center" vertical="center"/>
    </xf>
    <xf numFmtId="0" fontId="139" fillId="13" borderId="2" xfId="0" applyFont="1" applyFill="1" applyBorder="1" applyAlignment="1" applyProtection="1">
      <alignment horizontal="center" vertical="center"/>
      <protection locked="0"/>
    </xf>
    <xf numFmtId="0" fontId="138" fillId="13" borderId="2" xfId="0" applyFont="1" applyFill="1" applyBorder="1" applyAlignment="1" applyProtection="1">
      <alignment horizontal="center" vertical="center"/>
      <protection locked="0"/>
    </xf>
    <xf numFmtId="0" fontId="3" fillId="0" borderId="1" xfId="0" applyFont="1" applyBorder="1" applyAlignment="1">
      <alignment horizontal="left" vertical="top" wrapText="1"/>
    </xf>
    <xf numFmtId="0" fontId="138" fillId="0" borderId="0" xfId="0" applyFont="1" applyFill="1" applyBorder="1" applyAlignment="1" applyProtection="1">
      <alignment horizontal="center" vertical="center"/>
      <protection locked="0"/>
    </xf>
    <xf numFmtId="0" fontId="17" fillId="0" borderId="0" xfId="0" applyFont="1" applyFill="1" applyBorder="1" applyAlignment="1">
      <alignment horizontal="left" vertical="top" wrapText="1"/>
    </xf>
    <xf numFmtId="0" fontId="63" fillId="9" borderId="2" xfId="0" applyFont="1" applyFill="1" applyBorder="1" applyAlignment="1" applyProtection="1">
      <alignment horizontal="center" vertical="center"/>
      <protection locked="0"/>
    </xf>
    <xf numFmtId="0" fontId="61" fillId="0" borderId="20" xfId="0" applyFont="1" applyFill="1" applyBorder="1" applyAlignment="1" applyProtection="1">
      <alignment horizontal="center" vertical="center"/>
      <protection locked="0"/>
    </xf>
    <xf numFmtId="0" fontId="13" fillId="14" borderId="6" xfId="0" applyFont="1" applyFill="1" applyBorder="1" applyAlignment="1" applyProtection="1">
      <alignment horizontal="center" vertical="center"/>
      <protection locked="0"/>
    </xf>
    <xf numFmtId="0" fontId="80" fillId="8"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0" fillId="0" borderId="1" xfId="0" applyBorder="1" applyAlignment="1">
      <alignment horizontal="center" vertical="center"/>
    </xf>
    <xf numFmtId="0" fontId="10" fillId="3" borderId="1" xfId="0" applyFont="1" applyFill="1" applyBorder="1" applyAlignment="1">
      <alignment horizontal="center" vertical="center"/>
    </xf>
    <xf numFmtId="0" fontId="1" fillId="0" borderId="1" xfId="0" applyFont="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1" fillId="0" borderId="1" xfId="0" applyFont="1" applyBorder="1" applyAlignment="1">
      <alignment horizontal="center" vertical="center"/>
    </xf>
    <xf numFmtId="0" fontId="5" fillId="0" borderId="1" xfId="0" applyFont="1" applyFill="1" applyBorder="1" applyAlignment="1">
      <alignment horizontal="center" vertical="center"/>
    </xf>
    <xf numFmtId="0" fontId="32" fillId="0" borderId="0" xfId="0" applyFont="1" applyFill="1" applyBorder="1" applyAlignment="1" applyProtection="1">
      <alignment horizontal="center" vertical="center"/>
      <protection locked="0"/>
    </xf>
    <xf numFmtId="0" fontId="0" fillId="0" borderId="1" xfId="0" applyBorder="1" applyAlignment="1">
      <alignment horizontal="center" vertical="center"/>
    </xf>
    <xf numFmtId="164" fontId="0" fillId="0" borderId="1" xfId="0" applyNumberFormat="1" applyBorder="1" applyAlignment="1" applyProtection="1">
      <alignment horizontal="center" vertical="center"/>
      <protection hidden="1"/>
    </xf>
    <xf numFmtId="0" fontId="13" fillId="7" borderId="35" xfId="0" applyFont="1" applyFill="1" applyBorder="1" applyAlignment="1" applyProtection="1">
      <alignment horizontal="center" vertical="center"/>
      <protection locked="0"/>
    </xf>
    <xf numFmtId="0" fontId="13" fillId="7" borderId="20" xfId="0" applyFont="1" applyFill="1" applyBorder="1" applyAlignment="1" applyProtection="1">
      <alignment horizontal="center" vertical="center"/>
      <protection locked="0"/>
    </xf>
    <xf numFmtId="0" fontId="13" fillId="9" borderId="35" xfId="0" applyFont="1" applyFill="1" applyBorder="1" applyAlignment="1" applyProtection="1">
      <alignment horizontal="center" vertical="center"/>
      <protection locked="0"/>
    </xf>
    <xf numFmtId="0" fontId="13" fillId="9" borderId="20" xfId="0" applyFont="1" applyFill="1" applyBorder="1" applyAlignment="1" applyProtection="1">
      <alignment horizontal="center" vertical="center"/>
      <protection locked="0"/>
    </xf>
    <xf numFmtId="0" fontId="19" fillId="5" borderId="0" xfId="0" applyFont="1" applyFill="1" applyBorder="1" applyAlignment="1" applyProtection="1">
      <protection locked="0"/>
    </xf>
    <xf numFmtId="0" fontId="26" fillId="7" borderId="1" xfId="0" applyFont="1" applyFill="1" applyBorder="1" applyAlignment="1">
      <alignment horizontal="center" vertical="center"/>
    </xf>
    <xf numFmtId="0" fontId="17" fillId="0" borderId="0" xfId="0" applyFont="1" applyAlignment="1">
      <alignment vertical="top" wrapText="1"/>
    </xf>
    <xf numFmtId="0" fontId="17" fillId="0" borderId="0" xfId="0" applyFont="1" applyAlignment="1">
      <alignment horizontal="left" vertical="top" wrapText="1"/>
    </xf>
    <xf numFmtId="0" fontId="53" fillId="5" borderId="0" xfId="0" applyFont="1" applyFill="1" applyBorder="1" applyAlignment="1">
      <alignment horizontal="left" vertical="top" wrapText="1" indent="1"/>
    </xf>
    <xf numFmtId="0" fontId="73" fillId="0" borderId="0" xfId="0" applyFont="1" applyBorder="1" applyAlignment="1">
      <alignment horizontal="center" vertical="center"/>
    </xf>
    <xf numFmtId="1" fontId="17" fillId="9" borderId="3" xfId="0" applyNumberFormat="1" applyFont="1" applyFill="1" applyBorder="1" applyAlignment="1">
      <alignment horizontal="center" vertical="center"/>
    </xf>
    <xf numFmtId="0" fontId="32" fillId="0" borderId="0" xfId="0" applyFont="1" applyAlignment="1"/>
    <xf numFmtId="0" fontId="140" fillId="8" borderId="20" xfId="0" applyFont="1" applyFill="1" applyBorder="1" applyAlignment="1">
      <alignment horizontal="center" vertical="center"/>
    </xf>
    <xf numFmtId="164" fontId="1" fillId="0" borderId="25" xfId="0" applyNumberFormat="1" applyFont="1" applyBorder="1" applyAlignment="1">
      <alignment horizontal="center" vertical="center"/>
    </xf>
    <xf numFmtId="164" fontId="2" fillId="0" borderId="25" xfId="0" applyNumberFormat="1" applyFon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1" fontId="1" fillId="15" borderId="1" xfId="0" applyNumberFormat="1" applyFont="1" applyFill="1" applyBorder="1" applyAlignment="1" applyProtection="1">
      <alignment horizontal="center" vertical="center"/>
      <protection hidden="1"/>
    </xf>
    <xf numFmtId="1" fontId="21" fillId="39" borderId="0" xfId="0" applyNumberFormat="1" applyFont="1" applyFill="1" applyAlignment="1" applyProtection="1">
      <alignment horizontal="center"/>
      <protection locked="0"/>
    </xf>
    <xf numFmtId="164" fontId="1" fillId="39" borderId="3" xfId="0" applyNumberFormat="1" applyFont="1" applyFill="1" applyBorder="1" applyAlignment="1" applyProtection="1">
      <alignment horizontal="center" vertical="center"/>
      <protection hidden="1"/>
    </xf>
    <xf numFmtId="0" fontId="4" fillId="39" borderId="0" xfId="0" applyFont="1" applyFill="1" applyBorder="1" applyAlignment="1" applyProtection="1">
      <alignment horizontal="center"/>
      <protection locked="0"/>
    </xf>
    <xf numFmtId="0" fontId="35" fillId="34" borderId="1" xfId="0" applyFont="1" applyFill="1" applyBorder="1" applyAlignment="1">
      <alignment horizontal="center" vertical="center"/>
    </xf>
    <xf numFmtId="0" fontId="81" fillId="7" borderId="1" xfId="0" applyFont="1" applyFill="1" applyBorder="1" applyAlignment="1">
      <alignment horizontal="center" vertical="center"/>
    </xf>
    <xf numFmtId="0" fontId="16" fillId="0" borderId="1" xfId="0" applyFont="1" applyFill="1" applyBorder="1" applyAlignment="1" applyProtection="1">
      <alignment horizontal="center" vertical="center"/>
      <protection locked="0"/>
    </xf>
    <xf numFmtId="0" fontId="21" fillId="10" borderId="26" xfId="0" applyFont="1" applyFill="1" applyBorder="1" applyAlignment="1">
      <alignment horizontal="center" vertical="center"/>
    </xf>
    <xf numFmtId="0" fontId="24" fillId="5" borderId="0" xfId="0" applyFont="1" applyFill="1" applyBorder="1" applyAlignment="1">
      <alignment horizontal="center" vertical="center"/>
    </xf>
    <xf numFmtId="0" fontId="24" fillId="5" borderId="0" xfId="0" applyFont="1" applyFill="1" applyBorder="1" applyAlignment="1">
      <alignment horizontal="center"/>
    </xf>
    <xf numFmtId="0" fontId="4" fillId="5" borderId="0" xfId="0" applyFont="1" applyFill="1" applyBorder="1" applyAlignment="1">
      <alignment horizontal="center" vertical="center"/>
    </xf>
    <xf numFmtId="0" fontId="0" fillId="7" borderId="0" xfId="0" applyFill="1"/>
    <xf numFmtId="0" fontId="0" fillId="7" borderId="0" xfId="0" applyFill="1" applyBorder="1"/>
    <xf numFmtId="0" fontId="2" fillId="0" borderId="6" xfId="0" applyFont="1" applyFill="1" applyBorder="1" applyAlignment="1">
      <alignment vertical="center"/>
    </xf>
    <xf numFmtId="164" fontId="2" fillId="0" borderId="55" xfId="0" applyNumberFormat="1" applyFont="1" applyBorder="1" applyAlignment="1">
      <alignment horizontal="center" vertical="center"/>
    </xf>
    <xf numFmtId="164" fontId="1" fillId="0" borderId="55" xfId="0" applyNumberFormat="1" applyFont="1" applyBorder="1" applyAlignment="1">
      <alignment horizontal="center" vertical="center"/>
    </xf>
    <xf numFmtId="1" fontId="10" fillId="10" borderId="3" xfId="0" applyNumberFormat="1" applyFont="1" applyFill="1" applyBorder="1" applyAlignment="1">
      <alignment horizontal="center" vertical="center"/>
    </xf>
    <xf numFmtId="0" fontId="21" fillId="5" borderId="0" xfId="0" applyFont="1" applyFill="1" applyBorder="1" applyAlignment="1">
      <alignment horizontal="center" vertical="center"/>
    </xf>
    <xf numFmtId="1" fontId="21" fillId="5" borderId="0" xfId="0" applyNumberFormat="1" applyFont="1" applyFill="1" applyAlignment="1" applyProtection="1">
      <alignment horizontal="center"/>
      <protection locked="0"/>
    </xf>
    <xf numFmtId="1" fontId="1" fillId="0" borderId="3" xfId="0" applyNumberFormat="1" applyFont="1" applyBorder="1" applyAlignment="1" applyProtection="1">
      <alignment horizontal="center" vertical="center"/>
      <protection hidden="1"/>
    </xf>
    <xf numFmtId="1" fontId="1" fillId="15" borderId="3" xfId="0" applyNumberFormat="1" applyFont="1" applyFill="1" applyBorder="1" applyAlignment="1" applyProtection="1">
      <alignment horizontal="center" vertical="center"/>
      <protection hidden="1"/>
    </xf>
    <xf numFmtId="0" fontId="16" fillId="0" borderId="19" xfId="0" applyFont="1" applyFill="1" applyBorder="1" applyAlignment="1" applyProtection="1">
      <alignment horizontal="center" vertical="center"/>
      <protection locked="0"/>
    </xf>
    <xf numFmtId="0" fontId="16" fillId="42" borderId="35" xfId="0" applyFont="1" applyFill="1" applyBorder="1" applyAlignment="1" applyProtection="1">
      <alignment horizontal="center" vertical="center"/>
      <protection locked="0"/>
    </xf>
    <xf numFmtId="0" fontId="16" fillId="42" borderId="20" xfId="0" applyFont="1" applyFill="1" applyBorder="1" applyAlignment="1" applyProtection="1">
      <alignment horizontal="center" vertical="center"/>
      <protection locked="0"/>
    </xf>
    <xf numFmtId="0" fontId="16" fillId="7" borderId="20" xfId="0" applyFont="1" applyFill="1" applyBorder="1" applyAlignment="1" applyProtection="1">
      <alignment horizontal="center" vertical="center"/>
      <protection locked="0"/>
    </xf>
    <xf numFmtId="0" fontId="16" fillId="42" borderId="21" xfId="0" applyFont="1" applyFill="1" applyBorder="1" applyAlignment="1" applyProtection="1">
      <alignment horizontal="center" vertical="center"/>
      <protection locked="0"/>
    </xf>
    <xf numFmtId="0" fontId="1" fillId="0" borderId="3" xfId="0" applyFont="1" applyBorder="1" applyAlignment="1" applyProtection="1">
      <alignment horizontal="center" vertical="center"/>
      <protection locked="0"/>
    </xf>
    <xf numFmtId="0" fontId="16" fillId="28" borderId="18" xfId="0" applyFont="1" applyFill="1" applyBorder="1" applyAlignment="1" applyProtection="1">
      <alignment horizontal="center" vertical="center"/>
      <protection locked="0"/>
    </xf>
    <xf numFmtId="0" fontId="16" fillId="43" borderId="19" xfId="0" applyFont="1" applyFill="1" applyBorder="1" applyAlignment="1" applyProtection="1">
      <alignment horizontal="center" vertical="center"/>
      <protection locked="0"/>
    </xf>
    <xf numFmtId="0" fontId="16" fillId="12" borderId="62" xfId="0" applyFont="1" applyFill="1" applyBorder="1" applyAlignment="1" applyProtection="1">
      <alignment horizontal="center" vertical="center"/>
      <protection locked="0"/>
    </xf>
    <xf numFmtId="0" fontId="16" fillId="12" borderId="28" xfId="0" applyFont="1" applyFill="1" applyBorder="1" applyAlignment="1" applyProtection="1">
      <alignment horizontal="center" vertical="center"/>
      <protection locked="0"/>
    </xf>
    <xf numFmtId="0" fontId="1" fillId="7" borderId="20" xfId="0" applyFont="1" applyFill="1" applyBorder="1" applyProtection="1">
      <protection locked="0"/>
    </xf>
    <xf numFmtId="0" fontId="16" fillId="12" borderId="6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protection locked="0"/>
    </xf>
    <xf numFmtId="0" fontId="1" fillId="0" borderId="0" xfId="0" applyFont="1" applyFill="1" applyBorder="1" applyAlignment="1" applyProtection="1">
      <alignment vertical="center"/>
      <protection locked="0"/>
    </xf>
    <xf numFmtId="0" fontId="0" fillId="0" borderId="1" xfId="0"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1" xfId="0" applyBorder="1" applyAlignment="1">
      <alignment horizontal="center" vertical="center"/>
    </xf>
    <xf numFmtId="0" fontId="10" fillId="3" borderId="1" xfId="0" applyFont="1" applyFill="1" applyBorder="1" applyAlignment="1">
      <alignment horizontal="center" vertical="center"/>
    </xf>
    <xf numFmtId="0" fontId="34" fillId="5" borderId="0"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164" fontId="0" fillId="6" borderId="1" xfId="0" applyNumberFormat="1" applyFill="1" applyBorder="1" applyAlignment="1">
      <alignment horizontal="center" vertical="center"/>
    </xf>
    <xf numFmtId="0" fontId="23" fillId="11" borderId="0" xfId="0" applyFont="1" applyFill="1" applyBorder="1" applyAlignment="1" applyProtection="1">
      <alignment horizontal="center" vertical="center"/>
      <protection locked="0"/>
    </xf>
    <xf numFmtId="0" fontId="32" fillId="11" borderId="0" xfId="0" applyFont="1" applyFill="1" applyBorder="1" applyAlignment="1" applyProtection="1">
      <alignment horizontal="center"/>
      <protection locked="0"/>
    </xf>
    <xf numFmtId="0" fontId="32" fillId="11" borderId="0" xfId="0" applyFont="1" applyFill="1" applyBorder="1" applyAlignment="1" applyProtection="1">
      <alignment horizontal="center" vertical="center"/>
      <protection locked="0"/>
    </xf>
    <xf numFmtId="0" fontId="0" fillId="0" borderId="0" xfId="0" applyBorder="1" applyProtection="1">
      <protection locked="0"/>
    </xf>
    <xf numFmtId="164" fontId="10" fillId="3" borderId="1" xfId="0" applyNumberFormat="1" applyFont="1" applyFill="1" applyBorder="1" applyAlignment="1">
      <alignment horizontal="center" vertical="center"/>
    </xf>
    <xf numFmtId="0" fontId="11" fillId="0" borderId="6" xfId="0" applyFont="1" applyFill="1" applyBorder="1" applyAlignment="1">
      <alignment horizontal="center" vertical="center"/>
    </xf>
    <xf numFmtId="0" fontId="63" fillId="8" borderId="1"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25" fillId="0" borderId="1" xfId="0" applyFont="1" applyBorder="1" applyAlignment="1" applyProtection="1">
      <alignment horizontal="left" vertical="center" wrapText="1"/>
      <protection locked="0"/>
    </xf>
    <xf numFmtId="0" fontId="13" fillId="5" borderId="1" xfId="0" applyFont="1" applyFill="1" applyBorder="1" applyAlignment="1" applyProtection="1">
      <alignment horizontal="left" vertical="center" wrapText="1" indent="1"/>
      <protection locked="0"/>
    </xf>
    <xf numFmtId="0" fontId="23" fillId="32" borderId="1" xfId="0" applyFont="1" applyFill="1" applyBorder="1" applyAlignment="1">
      <alignment horizontal="center" vertical="center"/>
    </xf>
    <xf numFmtId="0" fontId="63" fillId="4" borderId="40" xfId="0" applyFont="1" applyFill="1" applyBorder="1" applyAlignment="1" applyProtection="1">
      <alignment horizontal="center" vertical="center"/>
      <protection locked="0"/>
    </xf>
    <xf numFmtId="0" fontId="32" fillId="14" borderId="6" xfId="0" applyFont="1" applyFill="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3" fillId="0" borderId="1"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Fill="1" applyBorder="1" applyAlignment="1">
      <alignment horizontal="left" vertical="center"/>
    </xf>
    <xf numFmtId="164"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0" fillId="0" borderId="1" xfId="0" applyBorder="1" applyAlignment="1">
      <alignment horizontal="center" vertical="center"/>
    </xf>
    <xf numFmtId="0" fontId="79" fillId="0" borderId="0" xfId="0" applyFont="1" applyFill="1" applyAlignment="1" applyProtection="1">
      <alignment horizontal="center" vertical="center"/>
      <protection locked="0"/>
    </xf>
    <xf numFmtId="164" fontId="2" fillId="5" borderId="3" xfId="0" applyNumberFormat="1" applyFont="1" applyFill="1" applyBorder="1" applyAlignment="1">
      <alignment horizontal="center" vertical="center"/>
    </xf>
    <xf numFmtId="0" fontId="16" fillId="0" borderId="0" xfId="0" applyFont="1" applyAlignment="1">
      <alignment horizontal="center"/>
    </xf>
    <xf numFmtId="0" fontId="17" fillId="0" borderId="0" xfId="0" applyFont="1" applyAlignment="1">
      <alignment horizontal="center"/>
    </xf>
    <xf numFmtId="164" fontId="2" fillId="0" borderId="1" xfId="0" applyNumberFormat="1" applyFont="1" applyBorder="1" applyAlignment="1">
      <alignment horizontal="center" vertical="center"/>
    </xf>
    <xf numFmtId="0" fontId="79" fillId="0" borderId="0" xfId="0" applyFont="1" applyFill="1" applyProtection="1">
      <protection locked="0"/>
    </xf>
    <xf numFmtId="0" fontId="16" fillId="0" borderId="0" xfId="0" applyFont="1" applyBorder="1" applyAlignment="1" applyProtection="1">
      <alignment horizontal="left"/>
      <protection locked="0"/>
    </xf>
    <xf numFmtId="164"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79" fillId="0" borderId="0" xfId="0" applyFont="1" applyFill="1" applyAlignment="1" applyProtection="1">
      <alignment horizontal="center"/>
      <protection locked="0"/>
    </xf>
    <xf numFmtId="0" fontId="32" fillId="0" borderId="0" xfId="0" applyFont="1" applyFill="1" applyAlignment="1" applyProtection="1">
      <alignment horizontal="left"/>
      <protection locked="0"/>
    </xf>
    <xf numFmtId="0" fontId="0" fillId="5" borderId="1" xfId="2" applyFont="1" applyFill="1" applyBorder="1" applyAlignment="1" applyProtection="1">
      <alignment vertical="center"/>
      <protection locked="0"/>
    </xf>
    <xf numFmtId="0" fontId="0" fillId="5" borderId="1" xfId="0" applyFill="1" applyBorder="1" applyAlignment="1" applyProtection="1">
      <alignment horizontal="left" vertical="center"/>
      <protection locked="0"/>
    </xf>
    <xf numFmtId="0" fontId="0" fillId="37" borderId="60" xfId="0" applyFill="1" applyBorder="1" applyAlignment="1" applyProtection="1">
      <alignment horizontal="center" vertical="center"/>
      <protection locked="0"/>
    </xf>
    <xf numFmtId="0" fontId="0" fillId="37" borderId="25" xfId="0"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0" fontId="0" fillId="5" borderId="8" xfId="0" applyFill="1" applyBorder="1" applyAlignment="1" applyProtection="1">
      <protection locked="0"/>
    </xf>
    <xf numFmtId="0" fontId="0" fillId="5" borderId="7" xfId="0" applyFill="1" applyBorder="1" applyProtection="1">
      <protection locked="0"/>
    </xf>
    <xf numFmtId="0" fontId="0" fillId="5" borderId="8" xfId="0" applyFill="1" applyBorder="1" applyProtection="1">
      <protection locked="0"/>
    </xf>
    <xf numFmtId="0" fontId="0" fillId="6" borderId="0" xfId="0" applyFill="1" applyBorder="1" applyProtection="1">
      <protection locked="0"/>
    </xf>
    <xf numFmtId="0" fontId="74" fillId="0" borderId="0" xfId="0" applyFont="1" applyAlignment="1" applyProtection="1">
      <alignment horizontal="center" vertical="center"/>
      <protection locked="0"/>
    </xf>
    <xf numFmtId="0" fontId="13" fillId="6" borderId="67" xfId="0" applyFont="1" applyFill="1" applyBorder="1" applyAlignment="1" applyProtection="1">
      <alignment horizontal="center" vertical="center"/>
      <protection locked="0"/>
    </xf>
    <xf numFmtId="0" fontId="13" fillId="6" borderId="68" xfId="0" applyFont="1" applyFill="1" applyBorder="1" applyAlignment="1" applyProtection="1">
      <alignment horizontal="center" vertical="center"/>
      <protection locked="0"/>
    </xf>
    <xf numFmtId="0" fontId="13" fillId="6" borderId="14" xfId="0" applyFont="1" applyFill="1" applyBorder="1" applyAlignment="1" applyProtection="1">
      <alignment vertical="center"/>
      <protection locked="0"/>
    </xf>
    <xf numFmtId="0" fontId="13" fillId="6" borderId="60" xfId="0" applyFont="1" applyFill="1" applyBorder="1" applyAlignment="1" applyProtection="1">
      <alignment vertical="center"/>
      <protection locked="0"/>
    </xf>
    <xf numFmtId="0" fontId="0" fillId="5" borderId="6" xfId="0" applyFill="1" applyBorder="1" applyProtection="1">
      <protection locked="0"/>
    </xf>
    <xf numFmtId="0" fontId="0" fillId="0" borderId="1" xfId="0" applyFont="1" applyBorder="1" applyAlignment="1" applyProtection="1">
      <alignment horizontal="center" vertical="center"/>
      <protection locked="0"/>
    </xf>
    <xf numFmtId="0" fontId="13" fillId="0" borderId="1" xfId="0" applyFont="1" applyBorder="1" applyAlignment="1">
      <alignment horizontal="center" vertical="center"/>
    </xf>
    <xf numFmtId="0" fontId="65" fillId="39" borderId="7"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Border="1" applyAlignment="1">
      <alignment horizontal="center" vertical="center"/>
    </xf>
    <xf numFmtId="0" fontId="13" fillId="0" borderId="1" xfId="0" applyFont="1" applyBorder="1" applyAlignment="1">
      <alignment horizontal="center" vertical="center"/>
    </xf>
    <xf numFmtId="0" fontId="0" fillId="38" borderId="14" xfId="0" applyFill="1" applyBorder="1" applyAlignment="1" applyProtection="1">
      <alignment horizontal="center" vertical="center"/>
      <protection locked="0"/>
    </xf>
    <xf numFmtId="0" fontId="0" fillId="38" borderId="60" xfId="0" applyFill="1" applyBorder="1" applyAlignment="1" applyProtection="1">
      <alignment horizontal="center" vertical="center"/>
      <protection locked="0"/>
    </xf>
    <xf numFmtId="0" fontId="24" fillId="11" borderId="20" xfId="0" applyFont="1" applyFill="1" applyBorder="1" applyAlignment="1" applyProtection="1">
      <alignment horizontal="center" vertical="center"/>
      <protection locked="0"/>
    </xf>
    <xf numFmtId="0" fontId="24" fillId="4" borderId="20" xfId="0" applyFont="1" applyFill="1" applyBorder="1" applyAlignment="1" applyProtection="1">
      <alignment horizontal="center" vertical="center"/>
      <protection locked="0"/>
    </xf>
    <xf numFmtId="0" fontId="65" fillId="5" borderId="0" xfId="0" applyFont="1" applyFill="1" applyAlignment="1" applyProtection="1">
      <alignment horizontal="left"/>
      <protection locked="0"/>
    </xf>
    <xf numFmtId="0" fontId="0" fillId="11" borderId="0" xfId="0" applyFill="1" applyProtection="1">
      <protection locked="0"/>
    </xf>
    <xf numFmtId="0" fontId="19" fillId="11" borderId="0" xfId="0" applyFont="1" applyFill="1" applyBorder="1" applyAlignment="1" applyProtection="1">
      <alignment horizontal="left"/>
      <protection locked="0"/>
    </xf>
    <xf numFmtId="0" fontId="65" fillId="11" borderId="0" xfId="0" applyFont="1" applyFill="1" applyProtection="1">
      <protection locked="0"/>
    </xf>
    <xf numFmtId="0" fontId="63" fillId="39" borderId="53" xfId="0" applyFont="1" applyFill="1" applyBorder="1" applyAlignment="1" applyProtection="1">
      <alignment horizontal="center" vertical="center"/>
      <protection locked="0"/>
    </xf>
    <xf numFmtId="0" fontId="0" fillId="39" borderId="0" xfId="0" applyFill="1" applyProtection="1">
      <protection locked="0"/>
    </xf>
    <xf numFmtId="0" fontId="0" fillId="39" borderId="0" xfId="0" applyFill="1"/>
    <xf numFmtId="0" fontId="7" fillId="0" borderId="1" xfId="0" applyFont="1" applyBorder="1" applyAlignment="1">
      <alignment horizontal="left" vertical="center"/>
    </xf>
    <xf numFmtId="0" fontId="7" fillId="0" borderId="1" xfId="0" applyFont="1" applyBorder="1" applyAlignment="1">
      <alignment vertical="center"/>
    </xf>
    <xf numFmtId="0" fontId="0" fillId="0" borderId="1" xfId="0" applyFont="1" applyBorder="1" applyAlignment="1">
      <alignment horizontal="left" vertical="center" wrapText="1"/>
    </xf>
    <xf numFmtId="0" fontId="36" fillId="0" borderId="45" xfId="0" applyFont="1" applyFill="1" applyBorder="1" applyAlignment="1" applyProtection="1">
      <alignment wrapText="1"/>
      <protection locked="0"/>
    </xf>
    <xf numFmtId="0" fontId="24" fillId="0" borderId="1" xfId="0" applyFont="1" applyFill="1" applyBorder="1" applyAlignment="1" applyProtection="1">
      <alignment vertical="center" wrapText="1" shrinkToFit="1"/>
    </xf>
    <xf numFmtId="0" fontId="24" fillId="0" borderId="1" xfId="0" applyFont="1" applyFill="1" applyBorder="1" applyAlignment="1">
      <alignment vertical="center" wrapText="1" shrinkToFit="1"/>
    </xf>
    <xf numFmtId="0" fontId="0" fillId="0" borderId="0" xfId="0" applyAlignment="1" applyProtection="1">
      <alignment horizontal="center"/>
      <protection locked="0"/>
    </xf>
    <xf numFmtId="0" fontId="0" fillId="0" borderId="1" xfId="0" applyBorder="1" applyAlignment="1">
      <alignment wrapText="1"/>
    </xf>
    <xf numFmtId="164" fontId="0" fillId="0" borderId="1" xfId="0" applyNumberFormat="1" applyFill="1" applyBorder="1" applyAlignment="1" applyProtection="1">
      <alignment horizontal="center" vertical="center"/>
      <protection locked="0"/>
    </xf>
    <xf numFmtId="164" fontId="59" fillId="5" borderId="1" xfId="0" applyNumberFormat="1" applyFont="1" applyFill="1" applyBorder="1" applyAlignment="1" applyProtection="1">
      <alignment horizontal="center" vertical="center"/>
      <protection locked="0"/>
    </xf>
    <xf numFmtId="1" fontId="0" fillId="2" borderId="3" xfId="0" applyNumberFormat="1" applyFill="1" applyBorder="1" applyAlignment="1" applyProtection="1">
      <alignment horizontal="center" vertical="center"/>
      <protection hidden="1"/>
    </xf>
    <xf numFmtId="1" fontId="0" fillId="2" borderId="1" xfId="0" applyNumberFormat="1" applyFill="1" applyBorder="1" applyAlignment="1" applyProtection="1">
      <alignment horizontal="center" vertical="center"/>
      <protection hidden="1"/>
    </xf>
    <xf numFmtId="0" fontId="0" fillId="2" borderId="1" xfId="0" applyFill="1" applyBorder="1" applyProtection="1">
      <protection hidden="1"/>
    </xf>
    <xf numFmtId="164" fontId="0" fillId="0" borderId="2" xfId="0" applyNumberForma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6" xfId="0" applyFill="1" applyBorder="1" applyProtection="1">
      <protection hidden="1"/>
    </xf>
    <xf numFmtId="164" fontId="0" fillId="0" borderId="5" xfId="0" applyNumberFormat="1" applyBorder="1" applyAlignment="1" applyProtection="1">
      <alignment horizontal="center" vertical="center"/>
      <protection hidden="1"/>
    </xf>
    <xf numFmtId="1" fontId="57" fillId="0" borderId="0" xfId="0" applyNumberFormat="1" applyFont="1" applyAlignment="1" applyProtection="1">
      <alignment horizontal="center" vertical="center"/>
      <protection locked="0"/>
    </xf>
    <xf numFmtId="1" fontId="1" fillId="0" borderId="0" xfId="0" applyNumberFormat="1" applyFont="1" applyFill="1" applyBorder="1" applyAlignment="1" applyProtection="1">
      <alignment horizontal="center" vertical="center"/>
      <protection locked="0"/>
    </xf>
    <xf numFmtId="1" fontId="1" fillId="0" borderId="0" xfId="0" applyNumberFormat="1" applyFont="1" applyFill="1" applyBorder="1" applyAlignment="1" applyProtection="1">
      <alignment vertical="center"/>
      <protection locked="0"/>
    </xf>
    <xf numFmtId="1" fontId="32" fillId="0" borderId="0" xfId="0" applyNumberFormat="1" applyFont="1" applyProtection="1">
      <protection locked="0"/>
    </xf>
    <xf numFmtId="1" fontId="17" fillId="0" borderId="0" xfId="0" applyNumberFormat="1" applyFont="1" applyFill="1" applyBorder="1" applyAlignment="1" applyProtection="1">
      <alignment horizontal="center" vertical="center"/>
      <protection locked="0"/>
    </xf>
    <xf numFmtId="1" fontId="23" fillId="0" borderId="0" xfId="0" applyNumberFormat="1" applyFont="1" applyAlignment="1" applyProtection="1">
      <alignment horizontal="left"/>
      <protection locked="0"/>
    </xf>
    <xf numFmtId="1" fontId="75" fillId="0" borderId="0" xfId="0" applyNumberFormat="1" applyFont="1" applyProtection="1">
      <protection locked="0"/>
    </xf>
    <xf numFmtId="1" fontId="13" fillId="0" borderId="0" xfId="0" applyNumberFormat="1" applyFont="1" applyProtection="1">
      <protection locked="0"/>
    </xf>
    <xf numFmtId="1" fontId="74" fillId="0" borderId="0" xfId="0" applyNumberFormat="1" applyFont="1" applyAlignment="1" applyProtection="1">
      <alignment horizontal="center" vertical="center"/>
      <protection locked="0"/>
    </xf>
    <xf numFmtId="1" fontId="34" fillId="0" borderId="0" xfId="0" applyNumberFormat="1" applyFont="1" applyProtection="1">
      <protection locked="0"/>
    </xf>
    <xf numFmtId="1" fontId="0" fillId="0" borderId="5" xfId="0" applyNumberFormat="1" applyBorder="1" applyAlignment="1" applyProtection="1">
      <alignment horizontal="center" vertical="center"/>
      <protection locked="0"/>
    </xf>
    <xf numFmtId="1" fontId="57" fillId="0" borderId="29" xfId="0" applyNumberFormat="1" applyFont="1" applyBorder="1" applyAlignment="1" applyProtection="1">
      <alignment horizontal="center" vertical="center"/>
      <protection locked="0"/>
    </xf>
    <xf numFmtId="1" fontId="10" fillId="0" borderId="29" xfId="0" applyNumberFormat="1" applyFont="1" applyBorder="1" applyAlignment="1" applyProtection="1">
      <alignment horizontal="left" vertical="center"/>
      <protection locked="0"/>
    </xf>
    <xf numFmtId="1" fontId="0" fillId="0" borderId="25" xfId="0" applyNumberFormat="1" applyBorder="1" applyAlignment="1" applyProtection="1">
      <alignment horizontal="center" vertical="center"/>
      <protection locked="0"/>
    </xf>
    <xf numFmtId="1" fontId="1" fillId="0" borderId="3" xfId="0" applyNumberFormat="1" applyFont="1" applyFill="1" applyBorder="1" applyAlignment="1" applyProtection="1">
      <alignment horizontal="center" vertical="center"/>
      <protection locked="0"/>
    </xf>
    <xf numFmtId="1" fontId="0" fillId="0" borderId="29" xfId="0" applyNumberFormat="1" applyBorder="1" applyAlignment="1" applyProtection="1">
      <alignment vertical="center"/>
      <protection locked="0"/>
    </xf>
    <xf numFmtId="1" fontId="0" fillId="0" borderId="6" xfId="0" applyNumberFormat="1" applyBorder="1" applyAlignment="1" applyProtection="1">
      <alignment horizontal="center" vertical="center"/>
      <protection locked="0"/>
    </xf>
    <xf numFmtId="1" fontId="13" fillId="19" borderId="67" xfId="0" applyNumberFormat="1" applyFont="1" applyFill="1" applyBorder="1" applyAlignment="1" applyProtection="1">
      <alignment horizontal="center" vertical="center"/>
      <protection locked="0"/>
    </xf>
    <xf numFmtId="1" fontId="13" fillId="19" borderId="4" xfId="0" applyNumberFormat="1" applyFont="1" applyFill="1" applyBorder="1" applyAlignment="1" applyProtection="1">
      <alignment horizontal="center" vertical="center"/>
      <protection locked="0"/>
    </xf>
    <xf numFmtId="1" fontId="13" fillId="19" borderId="68" xfId="0" applyNumberFormat="1" applyFont="1" applyFill="1" applyBorder="1" applyAlignment="1" applyProtection="1">
      <alignment horizontal="center" vertical="center"/>
      <protection locked="0"/>
    </xf>
    <xf numFmtId="1" fontId="13" fillId="19" borderId="0" xfId="0" applyNumberFormat="1" applyFont="1" applyFill="1" applyBorder="1" applyAlignment="1" applyProtection="1">
      <alignment horizontal="center" vertical="center"/>
      <protection locked="0"/>
    </xf>
    <xf numFmtId="1" fontId="76" fillId="5" borderId="1" xfId="0" applyNumberFormat="1" applyFont="1" applyFill="1" applyBorder="1" applyAlignment="1" applyProtection="1">
      <alignment vertical="center"/>
      <protection locked="0"/>
    </xf>
    <xf numFmtId="1" fontId="108" fillId="5" borderId="1" xfId="0" applyNumberFormat="1" applyFont="1" applyFill="1" applyBorder="1" applyAlignment="1" applyProtection="1">
      <alignment horizontal="center" vertical="center"/>
      <protection locked="0"/>
    </xf>
    <xf numFmtId="1" fontId="76" fillId="5" borderId="1" xfId="0" applyNumberFormat="1" applyFont="1" applyFill="1" applyBorder="1" applyAlignment="1" applyProtection="1">
      <alignment horizontal="center" vertical="center"/>
      <protection locked="0"/>
    </xf>
    <xf numFmtId="1" fontId="111" fillId="5" borderId="7" xfId="0" applyNumberFormat="1" applyFont="1" applyFill="1" applyBorder="1" applyAlignment="1" applyProtection="1">
      <alignment horizontal="center" vertical="center"/>
      <protection locked="0"/>
    </xf>
    <xf numFmtId="1" fontId="111" fillId="5" borderId="8" xfId="0" applyNumberFormat="1" applyFont="1" applyFill="1" applyBorder="1" applyAlignment="1" applyProtection="1">
      <alignment horizontal="center" vertical="center"/>
      <protection locked="0"/>
    </xf>
    <xf numFmtId="1" fontId="77" fillId="0" borderId="0" xfId="0" applyNumberFormat="1" applyFont="1" applyAlignment="1" applyProtection="1">
      <alignment vertical="center"/>
      <protection locked="0"/>
    </xf>
    <xf numFmtId="1" fontId="0" fillId="0" borderId="2" xfId="0" applyNumberFormat="1" applyBorder="1" applyAlignment="1" applyProtection="1">
      <alignment horizontal="center" vertical="center"/>
      <protection locked="0"/>
    </xf>
    <xf numFmtId="1" fontId="57" fillId="0" borderId="33" xfId="0" applyNumberFormat="1" applyFont="1" applyBorder="1" applyAlignment="1" applyProtection="1">
      <alignment horizontal="center" vertical="center"/>
      <protection locked="0"/>
    </xf>
    <xf numFmtId="1" fontId="13" fillId="0" borderId="5" xfId="0" applyNumberFormat="1" applyFont="1" applyBorder="1" applyAlignment="1" applyProtection="1">
      <alignment horizontal="center" vertical="center"/>
      <protection locked="0"/>
    </xf>
    <xf numFmtId="1" fontId="13" fillId="10" borderId="5" xfId="0" applyNumberFormat="1" applyFont="1" applyFill="1" applyBorder="1" applyAlignment="1" applyProtection="1">
      <alignment horizontal="center" vertical="center"/>
      <protection locked="0"/>
    </xf>
    <xf numFmtId="1" fontId="13" fillId="10" borderId="67" xfId="0" applyNumberFormat="1" applyFont="1" applyFill="1" applyBorder="1" applyAlignment="1" applyProtection="1">
      <alignment horizontal="center" vertical="center"/>
      <protection locked="0"/>
    </xf>
    <xf numFmtId="1" fontId="13" fillId="10" borderId="4" xfId="0" applyNumberFormat="1" applyFont="1" applyFill="1" applyBorder="1" applyAlignment="1" applyProtection="1">
      <alignment horizontal="center" vertical="center"/>
      <protection locked="0"/>
    </xf>
    <xf numFmtId="1" fontId="13" fillId="35" borderId="4" xfId="0" applyNumberFormat="1" applyFont="1" applyFill="1" applyBorder="1" applyAlignment="1" applyProtection="1">
      <alignment horizontal="center" vertical="center"/>
      <protection locked="0"/>
    </xf>
    <xf numFmtId="1" fontId="13" fillId="35" borderId="33" xfId="0" applyNumberFormat="1" applyFont="1" applyFill="1" applyBorder="1" applyAlignment="1" applyProtection="1">
      <alignment horizontal="center" vertical="center"/>
      <protection locked="0"/>
    </xf>
    <xf numFmtId="1" fontId="13" fillId="10" borderId="68" xfId="0" applyNumberFormat="1" applyFont="1" applyFill="1" applyBorder="1" applyAlignment="1" applyProtection="1">
      <alignment horizontal="center" vertical="center"/>
      <protection locked="0"/>
    </xf>
    <xf numFmtId="1" fontId="13" fillId="10" borderId="0" xfId="0" applyNumberFormat="1" applyFont="1" applyFill="1" applyBorder="1" applyAlignment="1" applyProtection="1">
      <alignment horizontal="center" vertical="center"/>
      <protection locked="0"/>
    </xf>
    <xf numFmtId="1" fontId="13" fillId="35" borderId="0" xfId="0" applyNumberFormat="1" applyFont="1" applyFill="1" applyBorder="1" applyAlignment="1" applyProtection="1">
      <alignment horizontal="center" vertical="center"/>
      <protection locked="0"/>
    </xf>
    <xf numFmtId="1" fontId="13" fillId="35" borderId="29" xfId="0" applyNumberFormat="1" applyFont="1" applyFill="1" applyBorder="1" applyAlignment="1" applyProtection="1">
      <alignment horizontal="center" vertical="center"/>
      <protection locked="0"/>
    </xf>
    <xf numFmtId="1" fontId="10" fillId="5" borderId="1" xfId="0" applyNumberFormat="1" applyFont="1" applyFill="1" applyBorder="1" applyProtection="1">
      <protection locked="0"/>
    </xf>
    <xf numFmtId="1" fontId="10" fillId="5" borderId="1" xfId="0" applyNumberFormat="1" applyFont="1" applyFill="1" applyBorder="1" applyAlignment="1" applyProtection="1">
      <alignment horizontal="center" vertical="center"/>
      <protection locked="0"/>
    </xf>
    <xf numFmtId="1" fontId="111" fillId="5" borderId="14" xfId="0" applyNumberFormat="1" applyFont="1" applyFill="1" applyBorder="1" applyAlignment="1" applyProtection="1">
      <alignment horizontal="center" vertical="center"/>
      <protection locked="0"/>
    </xf>
    <xf numFmtId="1" fontId="111" fillId="5" borderId="60" xfId="0" applyNumberFormat="1" applyFont="1" applyFill="1" applyBorder="1" applyAlignment="1" applyProtection="1">
      <alignment horizontal="center" vertical="center"/>
      <protection locked="0"/>
    </xf>
    <xf numFmtId="1" fontId="111" fillId="5" borderId="25" xfId="0" applyNumberFormat="1" applyFont="1" applyFill="1" applyBorder="1" applyAlignment="1" applyProtection="1">
      <alignment horizontal="center" vertical="center"/>
      <protection locked="0"/>
    </xf>
    <xf numFmtId="1" fontId="110" fillId="5" borderId="1" xfId="0" applyNumberFormat="1" applyFont="1" applyFill="1" applyBorder="1" applyAlignment="1" applyProtection="1">
      <alignment horizontal="center" vertical="center"/>
      <protection locked="0"/>
    </xf>
    <xf numFmtId="1" fontId="16" fillId="0" borderId="33" xfId="0" applyNumberFormat="1" applyFont="1" applyBorder="1" applyAlignment="1" applyProtection="1">
      <alignment vertical="center"/>
      <protection locked="0"/>
    </xf>
    <xf numFmtId="1" fontId="10" fillId="5" borderId="1" xfId="0" applyNumberFormat="1" applyFont="1" applyFill="1" applyBorder="1" applyAlignment="1" applyProtection="1">
      <alignment vertical="center"/>
      <protection locked="0"/>
    </xf>
    <xf numFmtId="1" fontId="84" fillId="5" borderId="1" xfId="0" applyNumberFormat="1" applyFont="1" applyFill="1" applyBorder="1" applyAlignment="1" applyProtection="1">
      <alignment horizontal="center" vertical="center"/>
      <protection hidden="1"/>
    </xf>
    <xf numFmtId="1" fontId="10" fillId="0" borderId="2" xfId="0" applyNumberFormat="1" applyFont="1" applyBorder="1" applyAlignment="1" applyProtection="1">
      <alignment horizontal="center" vertical="center"/>
      <protection hidden="1"/>
    </xf>
    <xf numFmtId="1" fontId="0" fillId="19" borderId="33" xfId="0" applyNumberFormat="1" applyFill="1" applyBorder="1" applyProtection="1">
      <protection hidden="1"/>
    </xf>
    <xf numFmtId="1" fontId="0" fillId="19" borderId="29" xfId="0" applyNumberFormat="1" applyFill="1" applyBorder="1" applyProtection="1">
      <protection hidden="1"/>
    </xf>
    <xf numFmtId="1" fontId="77" fillId="5" borderId="8" xfId="0" applyNumberFormat="1" applyFont="1" applyFill="1" applyBorder="1" applyAlignment="1" applyProtection="1">
      <alignment vertical="center"/>
      <protection hidden="1"/>
    </xf>
    <xf numFmtId="1" fontId="77" fillId="5" borderId="6" xfId="0" applyNumberFormat="1" applyFont="1" applyFill="1" applyBorder="1" applyAlignment="1" applyProtection="1">
      <alignment vertical="center"/>
      <protection hidden="1"/>
    </xf>
    <xf numFmtId="0" fontId="0" fillId="5" borderId="1" xfId="0" applyFill="1" applyBorder="1" applyAlignment="1" applyProtection="1">
      <alignment horizontal="center" vertical="center"/>
      <protection hidden="1"/>
    </xf>
    <xf numFmtId="0" fontId="0" fillId="6" borderId="67" xfId="0" applyFill="1" applyBorder="1" applyProtection="1">
      <protection hidden="1"/>
    </xf>
    <xf numFmtId="0" fontId="0" fillId="6" borderId="33" xfId="0" applyFill="1" applyBorder="1" applyProtection="1">
      <protection hidden="1"/>
    </xf>
    <xf numFmtId="0" fontId="0" fillId="6" borderId="68" xfId="0" applyFill="1" applyBorder="1" applyProtection="1">
      <protection hidden="1"/>
    </xf>
    <xf numFmtId="0" fontId="0" fillId="6" borderId="29" xfId="0" applyFill="1" applyBorder="1" applyProtection="1">
      <protection hidden="1"/>
    </xf>
    <xf numFmtId="0" fontId="0" fillId="6" borderId="14" xfId="0" applyFill="1" applyBorder="1" applyProtection="1">
      <protection hidden="1"/>
    </xf>
    <xf numFmtId="0" fontId="0" fillId="6" borderId="25" xfId="0" applyFill="1" applyBorder="1" applyProtection="1">
      <protection hidden="1"/>
    </xf>
    <xf numFmtId="0" fontId="0" fillId="5" borderId="7" xfId="0" applyFill="1" applyBorder="1" applyProtection="1">
      <protection hidden="1"/>
    </xf>
    <xf numFmtId="0" fontId="0" fillId="5" borderId="6" xfId="0" applyFill="1" applyBorder="1" applyProtection="1">
      <protection hidden="1"/>
    </xf>
    <xf numFmtId="1" fontId="116" fillId="0" borderId="0" xfId="0" applyNumberFormat="1" applyFont="1" applyProtection="1">
      <protection locked="0"/>
    </xf>
    <xf numFmtId="1" fontId="0" fillId="0" borderId="0" xfId="0" applyNumberFormat="1" applyAlignment="1" applyProtection="1">
      <alignment horizontal="left" indent="1"/>
      <protection locked="0"/>
    </xf>
    <xf numFmtId="1" fontId="74" fillId="0" borderId="0" xfId="0" applyNumberFormat="1" applyFont="1" applyFill="1" applyBorder="1" applyAlignment="1" applyProtection="1">
      <alignment vertical="center"/>
      <protection locked="0"/>
    </xf>
    <xf numFmtId="1" fontId="71" fillId="0" borderId="0" xfId="0" applyNumberFormat="1" applyFont="1" applyFill="1" applyBorder="1" applyAlignment="1" applyProtection="1">
      <alignment vertical="center"/>
      <protection locked="0"/>
    </xf>
    <xf numFmtId="1" fontId="21" fillId="0" borderId="0" xfId="0" applyNumberFormat="1" applyFont="1" applyFill="1" applyBorder="1" applyAlignment="1" applyProtection="1">
      <alignment horizontal="center" vertical="center"/>
      <protection locked="0"/>
    </xf>
    <xf numFmtId="1" fontId="16" fillId="0" borderId="0" xfId="0" applyNumberFormat="1" applyFont="1" applyAlignment="1" applyProtection="1">
      <alignment horizontal="left"/>
      <protection locked="0"/>
    </xf>
    <xf numFmtId="1" fontId="74" fillId="12" borderId="0" xfId="0" applyNumberFormat="1" applyFont="1" applyFill="1" applyAlignment="1" applyProtection="1">
      <alignment horizontal="center" vertical="center"/>
      <protection locked="0"/>
    </xf>
    <xf numFmtId="1" fontId="34" fillId="12" borderId="0" xfId="0" applyNumberFormat="1" applyFont="1" applyFill="1" applyProtection="1">
      <protection locked="0"/>
    </xf>
    <xf numFmtId="1" fontId="13" fillId="0" borderId="2" xfId="0" applyNumberFormat="1" applyFont="1" applyBorder="1" applyAlignment="1" applyProtection="1">
      <alignment horizontal="center" vertical="center"/>
      <protection locked="0"/>
    </xf>
    <xf numFmtId="1" fontId="13" fillId="10" borderId="2" xfId="0" applyNumberFormat="1" applyFont="1" applyFill="1" applyBorder="1" applyAlignment="1" applyProtection="1">
      <alignment horizontal="center" vertical="center"/>
      <protection locked="0"/>
    </xf>
    <xf numFmtId="1" fontId="116" fillId="0" borderId="5" xfId="0" applyNumberFormat="1" applyFont="1" applyBorder="1" applyAlignment="1" applyProtection="1">
      <alignment horizontal="center" vertical="center"/>
      <protection locked="0"/>
    </xf>
    <xf numFmtId="1" fontId="0" fillId="0" borderId="29" xfId="0" applyNumberFormat="1" applyBorder="1" applyAlignment="1" applyProtection="1">
      <alignment horizontal="left" vertical="center" indent="1"/>
      <protection locked="0"/>
    </xf>
    <xf numFmtId="1" fontId="0" fillId="5" borderId="4" xfId="0" applyNumberFormat="1" applyFont="1" applyFill="1" applyBorder="1" applyAlignment="1" applyProtection="1">
      <alignment horizontal="center" vertical="center"/>
      <protection locked="0"/>
    </xf>
    <xf numFmtId="1" fontId="0" fillId="4" borderId="67" xfId="0" applyNumberFormat="1" applyFont="1" applyFill="1" applyBorder="1" applyAlignment="1" applyProtection="1">
      <alignment horizontal="center" vertical="center"/>
      <protection locked="0"/>
    </xf>
    <xf numFmtId="1" fontId="0" fillId="4" borderId="4" xfId="0" applyNumberFormat="1" applyFont="1" applyFill="1" applyBorder="1" applyAlignment="1" applyProtection="1">
      <alignment horizontal="center" vertical="center"/>
      <protection locked="0"/>
    </xf>
    <xf numFmtId="1" fontId="0" fillId="5" borderId="0" xfId="0" applyNumberFormat="1" applyFont="1" applyFill="1" applyBorder="1" applyAlignment="1" applyProtection="1">
      <alignment horizontal="center" vertical="center"/>
      <protection locked="0"/>
    </xf>
    <xf numFmtId="1" fontId="0" fillId="4" borderId="68" xfId="0" applyNumberFormat="1" applyFont="1" applyFill="1" applyBorder="1" applyAlignment="1" applyProtection="1">
      <alignment horizontal="center" vertical="center"/>
      <protection locked="0"/>
    </xf>
    <xf numFmtId="1" fontId="0" fillId="4" borderId="0" xfId="0" applyNumberFormat="1" applyFont="1" applyFill="1" applyBorder="1" applyAlignment="1" applyProtection="1">
      <alignment horizontal="center" vertical="center"/>
      <protection locked="0"/>
    </xf>
    <xf numFmtId="1" fontId="0" fillId="4" borderId="14" xfId="0" applyNumberFormat="1" applyFont="1" applyFill="1" applyBorder="1" applyAlignment="1" applyProtection="1">
      <alignment horizontal="center" vertical="center"/>
      <protection locked="0"/>
    </xf>
    <xf numFmtId="1" fontId="0" fillId="4" borderId="60" xfId="0" applyNumberFormat="1" applyFont="1" applyFill="1" applyBorder="1" applyAlignment="1" applyProtection="1">
      <alignment horizontal="center" vertical="center"/>
      <protection locked="0"/>
    </xf>
    <xf numFmtId="1" fontId="83" fillId="5" borderId="1" xfId="0" applyNumberFormat="1" applyFont="1" applyFill="1" applyBorder="1" applyAlignment="1" applyProtection="1">
      <alignment vertical="center"/>
      <protection locked="0"/>
    </xf>
    <xf numFmtId="1" fontId="117" fillId="5" borderId="1" xfId="0" applyNumberFormat="1" applyFont="1" applyFill="1" applyBorder="1" applyAlignment="1" applyProtection="1">
      <alignment horizontal="center" vertical="center"/>
      <protection locked="0"/>
    </xf>
    <xf numFmtId="1" fontId="83" fillId="5" borderId="1" xfId="0" applyNumberFormat="1" applyFont="1" applyFill="1" applyBorder="1" applyAlignment="1" applyProtection="1">
      <alignment horizontal="left" vertical="center" indent="1"/>
      <protection locked="0"/>
    </xf>
    <xf numFmtId="1" fontId="144" fillId="5" borderId="7" xfId="0" applyNumberFormat="1" applyFont="1" applyFill="1" applyBorder="1" applyAlignment="1" applyProtection="1">
      <alignment horizontal="center" vertical="center"/>
      <protection locked="0"/>
    </xf>
    <xf numFmtId="1" fontId="144" fillId="5" borderId="8" xfId="0" applyNumberFormat="1" applyFont="1" applyFill="1" applyBorder="1" applyAlignment="1" applyProtection="1">
      <alignment horizontal="center" vertical="center"/>
      <protection locked="0"/>
    </xf>
    <xf numFmtId="1" fontId="83" fillId="0" borderId="0" xfId="0" applyNumberFormat="1" applyFont="1" applyAlignment="1" applyProtection="1">
      <alignment vertical="center"/>
      <protection locked="0"/>
    </xf>
    <xf numFmtId="1" fontId="116" fillId="0" borderId="2" xfId="0" applyNumberFormat="1" applyFont="1" applyBorder="1" applyAlignment="1" applyProtection="1">
      <protection locked="0"/>
    </xf>
    <xf numFmtId="1" fontId="16" fillId="0" borderId="29" xfId="0" applyNumberFormat="1" applyFont="1" applyBorder="1" applyAlignment="1" applyProtection="1">
      <alignment horizontal="left" vertical="center" indent="1"/>
      <protection locked="0"/>
    </xf>
    <xf numFmtId="1" fontId="0" fillId="0" borderId="2" xfId="0" applyNumberFormat="1" applyFont="1" applyBorder="1" applyAlignment="1" applyProtection="1">
      <alignment horizontal="center" vertical="center"/>
      <protection locked="0"/>
    </xf>
    <xf numFmtId="1" fontId="0" fillId="0" borderId="5" xfId="0" applyNumberFormat="1" applyFont="1" applyBorder="1" applyAlignment="1" applyProtection="1">
      <alignment horizontal="center" vertical="center"/>
      <protection locked="0"/>
    </xf>
    <xf numFmtId="1" fontId="0" fillId="10" borderId="5" xfId="0" applyNumberFormat="1" applyFont="1" applyFill="1" applyBorder="1" applyAlignment="1" applyProtection="1">
      <alignment horizontal="center" vertical="center"/>
      <protection locked="0"/>
    </xf>
    <xf numFmtId="1" fontId="116" fillId="0" borderId="5" xfId="0" applyNumberFormat="1" applyFont="1" applyBorder="1" applyAlignment="1" applyProtection="1">
      <protection locked="0"/>
    </xf>
    <xf numFmtId="1" fontId="0" fillId="0" borderId="29" xfId="0" applyNumberFormat="1" applyBorder="1" applyAlignment="1" applyProtection="1">
      <alignment horizontal="left" indent="1"/>
      <protection locked="0"/>
    </xf>
    <xf numFmtId="1" fontId="10" fillId="5" borderId="1" xfId="0" applyNumberFormat="1" applyFont="1" applyFill="1" applyBorder="1" applyAlignment="1" applyProtection="1">
      <alignment horizontal="left" indent="1"/>
      <protection locked="0"/>
    </xf>
    <xf numFmtId="1" fontId="0" fillId="10" borderId="2" xfId="0" applyNumberFormat="1" applyFont="1" applyFill="1" applyBorder="1" applyAlignment="1" applyProtection="1">
      <alignment horizontal="center" vertical="center"/>
      <protection locked="0"/>
    </xf>
    <xf numFmtId="1" fontId="10" fillId="5" borderId="2" xfId="0" applyNumberFormat="1" applyFont="1" applyFill="1" applyBorder="1" applyProtection="1">
      <protection locked="0"/>
    </xf>
    <xf numFmtId="1" fontId="2" fillId="15" borderId="1" xfId="0" applyNumberFormat="1" applyFont="1" applyFill="1" applyBorder="1" applyAlignment="1" applyProtection="1">
      <alignment horizontal="center" vertical="center"/>
      <protection hidden="1"/>
    </xf>
    <xf numFmtId="1" fontId="2" fillId="15" borderId="3" xfId="0" applyNumberFormat="1" applyFont="1" applyFill="1" applyBorder="1" applyAlignment="1" applyProtection="1">
      <alignment horizontal="center" vertical="center"/>
      <protection hidden="1"/>
    </xf>
    <xf numFmtId="1" fontId="115" fillId="5" borderId="1" xfId="0" applyNumberFormat="1" applyFont="1" applyFill="1" applyBorder="1" applyAlignment="1" applyProtection="1">
      <alignment horizontal="center" vertical="center"/>
      <protection hidden="1"/>
    </xf>
    <xf numFmtId="1" fontId="83" fillId="5" borderId="1" xfId="0" applyNumberFormat="1" applyFont="1" applyFill="1" applyBorder="1" applyAlignment="1" applyProtection="1">
      <alignment horizontal="center" vertical="center"/>
      <protection hidden="1"/>
    </xf>
    <xf numFmtId="1" fontId="83" fillId="5" borderId="1" xfId="0" applyNumberFormat="1" applyFont="1" applyFill="1" applyBorder="1" applyAlignment="1" applyProtection="1">
      <alignment vertical="center"/>
      <protection hidden="1"/>
    </xf>
    <xf numFmtId="0" fontId="113" fillId="0" borderId="0" xfId="0" applyFont="1" applyProtection="1">
      <protection locked="0"/>
    </xf>
    <xf numFmtId="0" fontId="65" fillId="0" borderId="0" xfId="0" applyFont="1" applyAlignment="1" applyProtection="1">
      <alignment horizontal="left"/>
      <protection locked="0"/>
    </xf>
    <xf numFmtId="0" fontId="16" fillId="0" borderId="0" xfId="0" applyFont="1" applyProtection="1">
      <protection locked="0"/>
    </xf>
    <xf numFmtId="0" fontId="34" fillId="0" borderId="0" xfId="0" applyFont="1" applyFill="1" applyAlignment="1" applyProtection="1">
      <alignment horizontal="center" vertical="center"/>
      <protection locked="0"/>
    </xf>
    <xf numFmtId="0" fontId="138" fillId="0" borderId="0" xfId="0" applyFont="1" applyFill="1" applyProtection="1">
      <protection locked="0"/>
    </xf>
    <xf numFmtId="0" fontId="87" fillId="0" borderId="25" xfId="0" applyFont="1" applyBorder="1" applyAlignment="1" applyProtection="1">
      <alignment horizontal="center" vertical="center"/>
      <protection locked="0"/>
    </xf>
    <xf numFmtId="0" fontId="20" fillId="0" borderId="68" xfId="0" applyFont="1" applyBorder="1" applyAlignment="1" applyProtection="1">
      <alignment horizontal="center" vertical="center"/>
      <protection locked="0"/>
    </xf>
    <xf numFmtId="0" fontId="23" fillId="0" borderId="29" xfId="0" applyFont="1" applyBorder="1" applyAlignment="1" applyProtection="1">
      <alignment horizontal="left" vertical="center" indent="1"/>
      <protection locked="0"/>
    </xf>
    <xf numFmtId="1" fontId="26" fillId="0" borderId="3" xfId="0" applyNumberFormat="1" applyFont="1" applyBorder="1" applyAlignment="1" applyProtection="1">
      <alignment horizontal="center" vertical="center"/>
      <protection locked="0"/>
    </xf>
    <xf numFmtId="164" fontId="26" fillId="0" borderId="3" xfId="0" applyNumberFormat="1" applyFont="1" applyBorder="1" applyAlignment="1" applyProtection="1">
      <alignment horizontal="center" vertical="center"/>
      <protection locked="0"/>
    </xf>
    <xf numFmtId="0" fontId="0" fillId="0" borderId="29" xfId="0" applyBorder="1" applyAlignment="1" applyProtection="1">
      <alignment horizontal="left" indent="1"/>
      <protection locked="0"/>
    </xf>
    <xf numFmtId="0" fontId="85" fillId="9" borderId="68" xfId="0" applyFont="1" applyFill="1" applyBorder="1" applyAlignment="1" applyProtection="1">
      <alignment horizontal="center" vertical="center"/>
      <protection locked="0"/>
    </xf>
    <xf numFmtId="0" fontId="85" fillId="9" borderId="0" xfId="0" applyFont="1" applyFill="1" applyBorder="1" applyAlignment="1" applyProtection="1">
      <alignment horizontal="center" vertical="center"/>
      <protection locked="0"/>
    </xf>
    <xf numFmtId="0" fontId="85" fillId="10" borderId="68" xfId="0" applyFont="1" applyFill="1" applyBorder="1" applyAlignment="1" applyProtection="1">
      <alignment horizontal="center" vertical="center"/>
      <protection locked="0"/>
    </xf>
    <xf numFmtId="0" fontId="85" fillId="10" borderId="0" xfId="0" applyFont="1" applyFill="1" applyBorder="1" applyAlignment="1" applyProtection="1">
      <alignment horizontal="center" vertical="center"/>
      <protection locked="0"/>
    </xf>
    <xf numFmtId="0" fontId="85" fillId="10" borderId="29" xfId="0" applyFont="1" applyFill="1" applyBorder="1" applyAlignment="1" applyProtection="1">
      <alignment horizontal="center" vertical="center"/>
      <protection locked="0"/>
    </xf>
    <xf numFmtId="0" fontId="20" fillId="5" borderId="3" xfId="0" applyFont="1" applyFill="1" applyBorder="1" applyProtection="1">
      <protection locked="0"/>
    </xf>
    <xf numFmtId="0" fontId="79" fillId="5" borderId="5" xfId="0" applyFont="1" applyFill="1" applyBorder="1" applyProtection="1">
      <protection locked="0"/>
    </xf>
    <xf numFmtId="0" fontId="87" fillId="5" borderId="3" xfId="0" applyFont="1" applyFill="1" applyBorder="1" applyAlignment="1" applyProtection="1">
      <alignment horizontal="left" vertical="center" indent="1"/>
      <protection locked="0"/>
    </xf>
    <xf numFmtId="0" fontId="67" fillId="13" borderId="1" xfId="0" applyFont="1" applyFill="1" applyBorder="1" applyAlignment="1" applyProtection="1">
      <alignment horizontal="center" vertical="center"/>
      <protection locked="0"/>
    </xf>
    <xf numFmtId="0" fontId="26" fillId="5" borderId="1" xfId="0" applyFont="1" applyFill="1" applyBorder="1" applyProtection="1">
      <protection locked="0"/>
    </xf>
    <xf numFmtId="164" fontId="108" fillId="5" borderId="1" xfId="0" applyNumberFormat="1" applyFont="1" applyFill="1" applyBorder="1" applyAlignment="1" applyProtection="1">
      <alignment horizontal="center" vertical="center"/>
      <protection locked="0"/>
    </xf>
    <xf numFmtId="0" fontId="112" fillId="5" borderId="7" xfId="0" applyFont="1" applyFill="1" applyBorder="1" applyAlignment="1" applyProtection="1">
      <alignment horizontal="center" vertical="center"/>
      <protection locked="0"/>
    </xf>
    <xf numFmtId="0" fontId="112" fillId="5" borderId="8" xfId="0" applyFont="1" applyFill="1" applyBorder="1" applyAlignment="1" applyProtection="1">
      <alignment horizontal="center" vertical="center"/>
      <protection locked="0"/>
    </xf>
    <xf numFmtId="0" fontId="112" fillId="5" borderId="6" xfId="0" applyFont="1" applyFill="1" applyBorder="1" applyAlignment="1" applyProtection="1">
      <alignment horizontal="center" vertical="center"/>
      <protection locked="0"/>
    </xf>
    <xf numFmtId="0" fontId="20" fillId="0" borderId="67" xfId="0" applyFont="1" applyBorder="1" applyAlignment="1" applyProtection="1">
      <alignment horizontal="center" vertical="center"/>
      <protection locked="0"/>
    </xf>
    <xf numFmtId="0" fontId="79" fillId="0" borderId="2" xfId="0" applyFont="1" applyBorder="1" applyAlignment="1" applyProtection="1">
      <alignment horizontal="center" vertical="center"/>
      <protection locked="0"/>
    </xf>
    <xf numFmtId="0" fontId="23" fillId="0" borderId="33" xfId="0" applyFont="1" applyBorder="1" applyAlignment="1" applyProtection="1">
      <alignment horizontal="left" vertical="center" indent="1"/>
      <protection locked="0"/>
    </xf>
    <xf numFmtId="0" fontId="85" fillId="12" borderId="73" xfId="0" applyFont="1" applyFill="1" applyBorder="1" applyAlignment="1" applyProtection="1">
      <alignment horizontal="center" vertical="center"/>
      <protection locked="0"/>
    </xf>
    <xf numFmtId="0" fontId="85" fillId="12" borderId="5" xfId="0" applyFont="1" applyFill="1" applyBorder="1" applyAlignment="1" applyProtection="1">
      <alignment horizontal="center" vertical="center"/>
      <protection locked="0"/>
    </xf>
    <xf numFmtId="0" fontId="85" fillId="12" borderId="68" xfId="0" applyFont="1" applyFill="1" applyBorder="1" applyAlignment="1" applyProtection="1">
      <alignment horizontal="center" vertical="center"/>
      <protection locked="0"/>
    </xf>
    <xf numFmtId="0" fontId="85" fillId="9" borderId="5" xfId="0" applyFont="1" applyFill="1" applyBorder="1" applyAlignment="1" applyProtection="1">
      <alignment horizontal="center" vertical="center"/>
      <protection locked="0"/>
    </xf>
    <xf numFmtId="0" fontId="85" fillId="9" borderId="67" xfId="0" applyFont="1" applyFill="1" applyBorder="1" applyAlignment="1" applyProtection="1">
      <alignment horizontal="center" vertical="center"/>
      <protection locked="0"/>
    </xf>
    <xf numFmtId="0" fontId="85" fillId="9" borderId="4" xfId="0" applyFont="1" applyFill="1" applyBorder="1" applyAlignment="1" applyProtection="1">
      <alignment horizontal="center" vertical="center"/>
      <protection locked="0"/>
    </xf>
    <xf numFmtId="0" fontId="85" fillId="10" borderId="67" xfId="0" applyFont="1" applyFill="1" applyBorder="1" applyAlignment="1" applyProtection="1">
      <alignment horizontal="center" vertical="center"/>
      <protection locked="0"/>
    </xf>
    <xf numFmtId="0" fontId="85" fillId="10" borderId="4" xfId="0" applyFont="1" applyFill="1" applyBorder="1" applyAlignment="1" applyProtection="1">
      <alignment horizontal="center" vertical="center"/>
      <protection locked="0"/>
    </xf>
    <xf numFmtId="0" fontId="85" fillId="10" borderId="33" xfId="0" applyFont="1" applyFill="1" applyBorder="1" applyAlignment="1" applyProtection="1">
      <alignment horizontal="center" vertical="center"/>
      <protection locked="0"/>
    </xf>
    <xf numFmtId="0" fontId="20" fillId="5" borderId="1" xfId="0" applyFont="1" applyFill="1" applyBorder="1" applyProtection="1">
      <protection locked="0"/>
    </xf>
    <xf numFmtId="0" fontId="79" fillId="5" borderId="1" xfId="0" applyFont="1" applyFill="1" applyBorder="1" applyProtection="1">
      <protection locked="0"/>
    </xf>
    <xf numFmtId="0" fontId="87" fillId="5" borderId="1" xfId="0" applyFont="1" applyFill="1" applyBorder="1" applyAlignment="1" applyProtection="1">
      <alignment horizontal="left" vertical="center" indent="1"/>
      <protection locked="0"/>
    </xf>
    <xf numFmtId="0" fontId="85" fillId="5" borderId="14" xfId="0" applyFont="1" applyFill="1" applyBorder="1" applyAlignment="1" applyProtection="1">
      <alignment horizontal="center" vertical="center"/>
      <protection locked="0"/>
    </xf>
    <xf numFmtId="0" fontId="85" fillId="5" borderId="60" xfId="0" applyFont="1" applyFill="1" applyBorder="1" applyAlignment="1" applyProtection="1">
      <alignment horizontal="center" vertical="center"/>
      <protection locked="0"/>
    </xf>
    <xf numFmtId="0" fontId="85" fillId="5" borderId="25" xfId="0" applyFont="1" applyFill="1" applyBorder="1" applyAlignment="1" applyProtection="1">
      <alignment horizontal="center" vertical="center"/>
      <protection locked="0"/>
    </xf>
    <xf numFmtId="0" fontId="85" fillId="12" borderId="35" xfId="0" applyFont="1" applyFill="1" applyBorder="1" applyAlignment="1" applyProtection="1">
      <alignment horizontal="center" vertical="center"/>
      <protection locked="0"/>
    </xf>
    <xf numFmtId="0" fontId="85" fillId="12" borderId="20" xfId="0" applyFont="1" applyFill="1" applyBorder="1" applyAlignment="1" applyProtection="1">
      <alignment horizontal="center" vertical="center"/>
      <protection locked="0"/>
    </xf>
    <xf numFmtId="0" fontId="85" fillId="12" borderId="26" xfId="0" applyFont="1" applyFill="1" applyBorder="1" applyAlignment="1" applyProtection="1">
      <alignment horizontal="center" vertical="center"/>
      <protection locked="0"/>
    </xf>
    <xf numFmtId="0" fontId="85" fillId="9" borderId="20" xfId="0" applyFont="1" applyFill="1" applyBorder="1" applyAlignment="1" applyProtection="1">
      <alignment horizontal="center" vertical="center"/>
      <protection locked="0"/>
    </xf>
    <xf numFmtId="0" fontId="85" fillId="5" borderId="7" xfId="0" applyFont="1" applyFill="1" applyBorder="1" applyAlignment="1" applyProtection="1">
      <alignment horizontal="center" vertical="center"/>
      <protection locked="0"/>
    </xf>
    <xf numFmtId="0" fontId="85" fillId="5" borderId="8" xfId="0" applyFont="1" applyFill="1" applyBorder="1" applyAlignment="1" applyProtection="1">
      <alignment horizontal="center" vertical="center"/>
      <protection locked="0"/>
    </xf>
    <xf numFmtId="0" fontId="85" fillId="5" borderId="6" xfId="0" applyFont="1" applyFill="1" applyBorder="1" applyAlignment="1" applyProtection="1">
      <alignment horizontal="center" vertical="center"/>
      <protection locked="0"/>
    </xf>
    <xf numFmtId="0" fontId="20" fillId="0" borderId="2" xfId="0" applyFont="1" applyBorder="1" applyAlignment="1" applyProtection="1">
      <alignment horizontal="center" vertical="center"/>
      <protection locked="0"/>
    </xf>
    <xf numFmtId="0" fontId="20" fillId="0" borderId="5" xfId="0" applyFont="1" applyBorder="1" applyAlignment="1" applyProtection="1">
      <alignment horizontal="center" vertical="center"/>
      <protection locked="0"/>
    </xf>
    <xf numFmtId="0" fontId="79" fillId="0" borderId="5" xfId="0" applyFont="1" applyBorder="1" applyAlignment="1" applyProtection="1">
      <alignment horizontal="center"/>
      <protection locked="0"/>
    </xf>
    <xf numFmtId="0" fontId="20" fillId="6" borderId="67" xfId="0" applyFont="1" applyFill="1" applyBorder="1" applyAlignment="1" applyProtection="1">
      <alignment horizontal="center" vertical="center"/>
      <protection locked="0"/>
    </xf>
    <xf numFmtId="0" fontId="85" fillId="12" borderId="69" xfId="0" applyFont="1" applyFill="1" applyBorder="1" applyAlignment="1" applyProtection="1">
      <alignment horizontal="center" vertical="center"/>
      <protection locked="0"/>
    </xf>
    <xf numFmtId="0" fontId="85" fillId="12" borderId="2" xfId="0" applyFont="1" applyFill="1" applyBorder="1" applyAlignment="1" applyProtection="1">
      <alignment horizontal="center" vertical="center"/>
      <protection locked="0"/>
    </xf>
    <xf numFmtId="0" fontId="85" fillId="12" borderId="67" xfId="0" applyFont="1" applyFill="1" applyBorder="1" applyAlignment="1" applyProtection="1">
      <alignment horizontal="center" vertical="center"/>
      <protection locked="0"/>
    </xf>
    <xf numFmtId="0" fontId="85" fillId="9" borderId="2" xfId="0" applyFont="1" applyFill="1" applyBorder="1" applyAlignment="1" applyProtection="1">
      <alignment horizontal="center" vertical="center"/>
      <protection locked="0"/>
    </xf>
    <xf numFmtId="0" fontId="87" fillId="0" borderId="29" xfId="0" applyFont="1" applyBorder="1" applyAlignment="1" applyProtection="1">
      <alignment horizontal="center" vertical="center"/>
      <protection locked="0"/>
    </xf>
    <xf numFmtId="0" fontId="20" fillId="5" borderId="14" xfId="0" applyFont="1" applyFill="1" applyBorder="1" applyProtection="1">
      <protection locked="0"/>
    </xf>
    <xf numFmtId="0" fontId="79" fillId="5" borderId="2" xfId="0" applyFont="1" applyFill="1" applyBorder="1" applyAlignment="1" applyProtection="1">
      <alignment horizontal="center" vertical="center"/>
      <protection locked="0"/>
    </xf>
    <xf numFmtId="0" fontId="87" fillId="5" borderId="25" xfId="0" applyFont="1" applyFill="1" applyBorder="1" applyAlignment="1" applyProtection="1">
      <alignment horizontal="left" vertical="center" indent="1"/>
      <protection locked="0"/>
    </xf>
    <xf numFmtId="0" fontId="20" fillId="6" borderId="0" xfId="0" applyFont="1" applyFill="1" applyProtection="1">
      <protection locked="0"/>
    </xf>
    <xf numFmtId="0" fontId="79" fillId="6" borderId="0" xfId="0" applyFont="1" applyFill="1" applyProtection="1">
      <protection locked="0"/>
    </xf>
    <xf numFmtId="0" fontId="0" fillId="6" borderId="0" xfId="0" applyFill="1" applyAlignment="1" applyProtection="1">
      <alignment horizontal="left" indent="1"/>
      <protection locked="0"/>
    </xf>
    <xf numFmtId="0" fontId="0" fillId="6" borderId="0" xfId="0" applyFill="1" applyProtection="1">
      <protection locked="0"/>
    </xf>
    <xf numFmtId="0" fontId="20" fillId="0" borderId="0" xfId="0" applyFont="1" applyProtection="1">
      <protection locked="0"/>
    </xf>
    <xf numFmtId="1" fontId="26" fillId="15" borderId="3" xfId="0" applyNumberFormat="1" applyFont="1" applyFill="1" applyBorder="1" applyAlignment="1" applyProtection="1">
      <alignment horizontal="center" vertical="center"/>
      <protection hidden="1"/>
    </xf>
    <xf numFmtId="164" fontId="107" fillId="15" borderId="3" xfId="0" applyNumberFormat="1" applyFont="1" applyFill="1" applyBorder="1" applyAlignment="1" applyProtection="1">
      <alignment horizontal="center" vertical="center"/>
      <protection hidden="1"/>
    </xf>
    <xf numFmtId="0" fontId="26" fillId="15" borderId="3" xfId="0" applyFont="1" applyFill="1" applyBorder="1" applyAlignment="1" applyProtection="1">
      <alignment horizontal="center" vertical="center"/>
      <protection hidden="1"/>
    </xf>
    <xf numFmtId="0" fontId="26" fillId="15" borderId="14" xfId="0" applyFont="1" applyFill="1" applyBorder="1" applyAlignment="1" applyProtection="1">
      <alignment horizontal="center" vertical="center"/>
      <protection hidden="1"/>
    </xf>
    <xf numFmtId="1" fontId="26" fillId="15" borderId="1" xfId="0" applyNumberFormat="1" applyFont="1" applyFill="1" applyBorder="1" applyAlignment="1" applyProtection="1">
      <alignment horizontal="center" vertical="center"/>
      <protection hidden="1"/>
    </xf>
    <xf numFmtId="164" fontId="107" fillId="15" borderId="1" xfId="0" applyNumberFormat="1" applyFont="1" applyFill="1" applyBorder="1" applyAlignment="1" applyProtection="1">
      <alignment horizontal="center" vertical="center"/>
      <protection hidden="1"/>
    </xf>
    <xf numFmtId="0" fontId="26" fillId="15" borderId="1" xfId="0" applyFont="1" applyFill="1" applyBorder="1" applyAlignment="1" applyProtection="1">
      <alignment horizontal="center" vertical="center"/>
      <protection hidden="1"/>
    </xf>
    <xf numFmtId="0" fontId="26" fillId="15" borderId="7" xfId="0" applyFont="1" applyFill="1" applyBorder="1" applyAlignment="1" applyProtection="1">
      <alignment horizontal="center" vertical="center"/>
      <protection hidden="1"/>
    </xf>
    <xf numFmtId="0" fontId="26" fillId="5" borderId="1" xfId="0" applyFont="1" applyFill="1" applyBorder="1" applyProtection="1">
      <protection hidden="1"/>
    </xf>
    <xf numFmtId="164" fontId="108" fillId="5" borderId="1" xfId="0" applyNumberFormat="1" applyFont="1" applyFill="1" applyBorder="1" applyAlignment="1" applyProtection="1">
      <alignment horizontal="center" vertical="center"/>
      <protection hidden="1"/>
    </xf>
    <xf numFmtId="0" fontId="108" fillId="5" borderId="1" xfId="0" applyFont="1" applyFill="1" applyBorder="1" applyAlignment="1" applyProtection="1">
      <alignment horizontal="center" vertical="center"/>
      <protection hidden="1"/>
    </xf>
    <xf numFmtId="0" fontId="108" fillId="5" borderId="7" xfId="0" applyFont="1" applyFill="1" applyBorder="1" applyAlignment="1" applyProtection="1">
      <alignment horizontal="center" vertical="center"/>
      <protection hidden="1"/>
    </xf>
    <xf numFmtId="0" fontId="116" fillId="0" borderId="0" xfId="0" applyFont="1" applyAlignment="1" applyProtection="1">
      <alignment horizontal="center" vertical="center"/>
      <protection locked="0"/>
    </xf>
    <xf numFmtId="0" fontId="0" fillId="0" borderId="0" xfId="0" applyAlignment="1" applyProtection="1">
      <alignment horizontal="left"/>
      <protection locked="0"/>
    </xf>
    <xf numFmtId="0" fontId="19" fillId="0" borderId="0" xfId="0" applyFont="1" applyAlignment="1" applyProtection="1">
      <alignment horizontal="left"/>
      <protection locked="0"/>
    </xf>
    <xf numFmtId="0" fontId="29" fillId="0" borderId="0" xfId="0" applyFont="1" applyProtection="1">
      <protection locked="0"/>
    </xf>
    <xf numFmtId="0" fontId="116" fillId="0" borderId="33" xfId="0" applyFont="1" applyBorder="1" applyAlignment="1" applyProtection="1">
      <alignment horizontal="center" vertical="center"/>
      <protection locked="0"/>
    </xf>
    <xf numFmtId="0" fontId="16" fillId="0" borderId="29" xfId="0" applyFont="1" applyBorder="1" applyAlignment="1" applyProtection="1">
      <alignment horizontal="left" vertical="center" indent="1"/>
      <protection locked="0"/>
    </xf>
    <xf numFmtId="164" fontId="1" fillId="0" borderId="1" xfId="0" applyNumberFormat="1" applyFont="1" applyFill="1" applyBorder="1" applyAlignment="1" applyProtection="1">
      <alignment horizontal="center" vertical="center"/>
      <protection locked="0"/>
    </xf>
    <xf numFmtId="0" fontId="0" fillId="10" borderId="2" xfId="0" applyFont="1" applyFill="1" applyBorder="1" applyAlignment="1" applyProtection="1">
      <alignment horizontal="center" vertical="center"/>
      <protection locked="0"/>
    </xf>
    <xf numFmtId="0" fontId="116" fillId="0" borderId="29" xfId="0" applyFont="1" applyBorder="1" applyAlignment="1" applyProtection="1">
      <alignment horizontal="center" vertical="center"/>
      <protection locked="0"/>
    </xf>
    <xf numFmtId="0" fontId="0" fillId="0" borderId="29" xfId="0" applyBorder="1" applyAlignment="1" applyProtection="1">
      <alignment horizontal="left"/>
      <protection locked="0"/>
    </xf>
    <xf numFmtId="0" fontId="0" fillId="5" borderId="67" xfId="0" applyFont="1" applyFill="1" applyBorder="1" applyAlignment="1" applyProtection="1">
      <alignment horizontal="center" vertical="center"/>
      <protection locked="0"/>
    </xf>
    <xf numFmtId="0" fontId="0" fillId="5" borderId="4"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4" borderId="33" xfId="0" applyFont="1" applyFill="1" applyBorder="1" applyAlignment="1" applyProtection="1">
      <alignment horizontal="center" vertical="center"/>
      <protection locked="0"/>
    </xf>
    <xf numFmtId="0" fontId="0" fillId="5" borderId="68" xfId="0" applyFont="1" applyFill="1" applyBorder="1" applyAlignment="1" applyProtection="1">
      <alignment horizontal="center" vertical="center"/>
      <protection locked="0"/>
    </xf>
    <xf numFmtId="0" fontId="0" fillId="5" borderId="0"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protection locked="0"/>
    </xf>
    <xf numFmtId="0" fontId="0" fillId="4" borderId="29" xfId="0" applyFont="1" applyFill="1" applyBorder="1" applyAlignment="1" applyProtection="1">
      <alignment horizontal="center" vertical="center"/>
      <protection locked="0"/>
    </xf>
    <xf numFmtId="0" fontId="0" fillId="5" borderId="14" xfId="0" applyFont="1" applyFill="1" applyBorder="1" applyAlignment="1" applyProtection="1">
      <alignment horizontal="center" vertical="center"/>
      <protection locked="0"/>
    </xf>
    <xf numFmtId="0" fontId="0" fillId="5" borderId="60" xfId="0" applyFont="1" applyFill="1" applyBorder="1" applyAlignment="1" applyProtection="1">
      <alignment horizontal="center" vertical="center"/>
      <protection locked="0"/>
    </xf>
    <xf numFmtId="0" fontId="0" fillId="4" borderId="60" xfId="0" applyFont="1" applyFill="1" applyBorder="1" applyAlignment="1" applyProtection="1">
      <alignment horizontal="center" vertical="center"/>
      <protection locked="0"/>
    </xf>
    <xf numFmtId="0" fontId="0" fillId="4" borderId="25" xfId="0" applyFont="1" applyFill="1" applyBorder="1" applyAlignment="1" applyProtection="1">
      <alignment horizontal="center" vertical="center"/>
      <protection locked="0"/>
    </xf>
    <xf numFmtId="0" fontId="117" fillId="5" borderId="1" xfId="0" applyFont="1" applyFill="1" applyBorder="1" applyAlignment="1" applyProtection="1">
      <alignment horizontal="center" vertical="center"/>
      <protection locked="0"/>
    </xf>
    <xf numFmtId="0" fontId="73" fillId="5" borderId="1" xfId="0" applyFont="1" applyFill="1" applyBorder="1" applyAlignment="1" applyProtection="1">
      <alignment horizontal="center" vertical="center"/>
      <protection locked="0"/>
    </xf>
    <xf numFmtId="0" fontId="0" fillId="5" borderId="14" xfId="0" applyFill="1" applyBorder="1" applyAlignment="1" applyProtection="1">
      <alignment horizontal="center" vertical="center"/>
      <protection locked="0"/>
    </xf>
    <xf numFmtId="0" fontId="0" fillId="5" borderId="60" xfId="0" applyFill="1" applyBorder="1" applyAlignment="1" applyProtection="1">
      <alignment horizontal="center" vertical="center"/>
      <protection locked="0"/>
    </xf>
    <xf numFmtId="0" fontId="0" fillId="5" borderId="25" xfId="0" applyFill="1" applyBorder="1" applyAlignment="1" applyProtection="1">
      <alignment horizontal="center" vertical="center"/>
      <protection locked="0"/>
    </xf>
    <xf numFmtId="0" fontId="118"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left"/>
      <protection locked="0"/>
    </xf>
    <xf numFmtId="0" fontId="1" fillId="3" borderId="1" xfId="0" applyFont="1" applyFill="1" applyBorder="1" applyAlignment="1" applyProtection="1">
      <alignment horizontal="center" vertical="center"/>
      <protection hidden="1"/>
    </xf>
    <xf numFmtId="0" fontId="1" fillId="3" borderId="7" xfId="0" applyFont="1" applyFill="1" applyBorder="1" applyAlignment="1" applyProtection="1">
      <alignment horizontal="center" vertical="center"/>
      <protection hidden="1"/>
    </xf>
    <xf numFmtId="0" fontId="1" fillId="5" borderId="1" xfId="0" applyFont="1" applyFill="1" applyBorder="1" applyAlignment="1" applyProtection="1">
      <alignment horizontal="center" vertical="center"/>
      <protection hidden="1"/>
    </xf>
    <xf numFmtId="0" fontId="0" fillId="11" borderId="67" xfId="0" applyFill="1" applyBorder="1" applyProtection="1">
      <protection hidden="1"/>
    </xf>
    <xf numFmtId="0" fontId="0" fillId="11" borderId="33" xfId="0" applyFill="1" applyBorder="1" applyProtection="1">
      <protection hidden="1"/>
    </xf>
    <xf numFmtId="0" fontId="0" fillId="11" borderId="68" xfId="0" applyFill="1" applyBorder="1" applyProtection="1">
      <protection hidden="1"/>
    </xf>
    <xf numFmtId="0" fontId="0" fillId="11" borderId="29" xfId="0" applyFill="1" applyBorder="1" applyProtection="1">
      <protection hidden="1"/>
    </xf>
    <xf numFmtId="0" fontId="0" fillId="11" borderId="14" xfId="0" applyFill="1" applyBorder="1" applyProtection="1">
      <protection hidden="1"/>
    </xf>
    <xf numFmtId="0" fontId="0" fillId="11" borderId="25" xfId="0" applyFill="1" applyBorder="1" applyProtection="1">
      <protection hidden="1"/>
    </xf>
    <xf numFmtId="1" fontId="79" fillId="0" borderId="0" xfId="0" applyNumberFormat="1" applyFont="1" applyAlignment="1" applyProtection="1">
      <alignment horizontal="center" vertical="center"/>
      <protection locked="0"/>
    </xf>
    <xf numFmtId="1" fontId="0" fillId="0" borderId="0" xfId="0" applyNumberFormat="1" applyAlignment="1" applyProtection="1">
      <alignment horizontal="left" vertical="center"/>
      <protection locked="0"/>
    </xf>
    <xf numFmtId="1" fontId="0" fillId="0" borderId="0" xfId="0" applyNumberFormat="1" applyFill="1" applyProtection="1">
      <protection locked="0"/>
    </xf>
    <xf numFmtId="1" fontId="0" fillId="0" borderId="0" xfId="0" applyNumberFormat="1" applyAlignment="1" applyProtection="1">
      <alignment vertical="center"/>
      <protection locked="0"/>
    </xf>
    <xf numFmtId="1" fontId="79" fillId="0" borderId="0" xfId="0" applyNumberFormat="1" applyFont="1" applyFill="1" applyAlignment="1" applyProtection="1">
      <alignment horizontal="center" vertical="center"/>
      <protection locked="0"/>
    </xf>
    <xf numFmtId="1" fontId="79" fillId="0" borderId="0" xfId="0" applyNumberFormat="1" applyFont="1" applyFill="1" applyProtection="1">
      <protection locked="0"/>
    </xf>
    <xf numFmtId="1" fontId="0" fillId="28" borderId="20" xfId="0" applyNumberFormat="1" applyFill="1" applyBorder="1" applyAlignment="1" applyProtection="1">
      <alignment horizontal="center" vertical="center"/>
      <protection locked="0"/>
    </xf>
    <xf numFmtId="1" fontId="0" fillId="10" borderId="35" xfId="0" applyNumberFormat="1" applyFill="1" applyBorder="1" applyAlignment="1" applyProtection="1">
      <alignment horizontal="center" vertical="center"/>
      <protection locked="0"/>
    </xf>
    <xf numFmtId="1" fontId="0" fillId="10" borderId="20" xfId="0" applyNumberFormat="1" applyFill="1" applyBorder="1" applyAlignment="1" applyProtection="1">
      <alignment horizontal="center" vertical="center"/>
      <protection locked="0"/>
    </xf>
    <xf numFmtId="1" fontId="79" fillId="0" borderId="5" xfId="0" applyNumberFormat="1" applyFont="1" applyBorder="1" applyAlignment="1" applyProtection="1">
      <alignment horizontal="center" vertical="center"/>
      <protection locked="0"/>
    </xf>
    <xf numFmtId="1" fontId="16" fillId="0" borderId="5" xfId="0" applyNumberFormat="1" applyFont="1" applyBorder="1" applyAlignment="1" applyProtection="1">
      <alignment horizontal="left" vertical="center"/>
      <protection locked="0"/>
    </xf>
    <xf numFmtId="1" fontId="0" fillId="0" borderId="3" xfId="0" applyNumberFormat="1" applyFill="1" applyBorder="1" applyAlignment="1" applyProtection="1">
      <alignment horizontal="center" vertical="center"/>
      <protection locked="0"/>
    </xf>
    <xf numFmtId="1" fontId="0" fillId="0" borderId="5" xfId="0" applyNumberFormat="1" applyFill="1" applyBorder="1" applyAlignment="1" applyProtection="1">
      <alignment horizontal="center" vertical="center"/>
      <protection locked="0"/>
    </xf>
    <xf numFmtId="1" fontId="0" fillId="9" borderId="5" xfId="0" applyNumberFormat="1" applyFill="1" applyBorder="1" applyAlignment="1" applyProtection="1">
      <alignment horizontal="center" vertical="center"/>
      <protection locked="0"/>
    </xf>
    <xf numFmtId="1" fontId="29" fillId="0" borderId="5" xfId="0" applyNumberFormat="1" applyFont="1" applyBorder="1" applyAlignment="1" applyProtection="1">
      <alignment horizontal="center" vertical="center"/>
      <protection locked="0"/>
    </xf>
    <xf numFmtId="1" fontId="0" fillId="0" borderId="5" xfId="0" applyNumberFormat="1" applyBorder="1" applyAlignment="1" applyProtection="1">
      <alignment horizontal="left" vertical="center"/>
      <protection locked="0"/>
    </xf>
    <xf numFmtId="1" fontId="0" fillId="4" borderId="7"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1" fontId="0" fillId="4" borderId="6" xfId="0" applyNumberFormat="1" applyFill="1" applyBorder="1" applyAlignment="1" applyProtection="1">
      <alignment horizontal="center" vertical="center"/>
      <protection locked="0"/>
    </xf>
    <xf numFmtId="1" fontId="0" fillId="5" borderId="1" xfId="0" applyNumberFormat="1" applyFill="1" applyBorder="1" applyProtection="1">
      <protection locked="0"/>
    </xf>
    <xf numFmtId="1" fontId="79" fillId="5" borderId="1" xfId="0" applyNumberFormat="1" applyFont="1" applyFill="1" applyBorder="1" applyAlignment="1" applyProtection="1">
      <alignment horizontal="center" vertical="center"/>
      <protection locked="0"/>
    </xf>
    <xf numFmtId="1" fontId="57" fillId="5" borderId="1" xfId="0" applyNumberFormat="1" applyFont="1"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1" fontId="59" fillId="5" borderId="1" xfId="0" applyNumberFormat="1" applyFont="1" applyFill="1" applyBorder="1" applyAlignment="1" applyProtection="1">
      <alignment horizontal="center" vertical="center"/>
      <protection locked="0"/>
    </xf>
    <xf numFmtId="1" fontId="0" fillId="5" borderId="14" xfId="0" applyNumberFormat="1" applyFill="1" applyBorder="1" applyProtection="1">
      <protection locked="0"/>
    </xf>
    <xf numFmtId="1" fontId="0" fillId="5" borderId="60" xfId="0" applyNumberFormat="1" applyFill="1" applyBorder="1" applyProtection="1">
      <protection locked="0"/>
    </xf>
    <xf numFmtId="1" fontId="0" fillId="5" borderId="25" xfId="0" applyNumberFormat="1" applyFill="1" applyBorder="1" applyProtection="1">
      <protection locked="0"/>
    </xf>
    <xf numFmtId="1" fontId="0" fillId="38" borderId="67" xfId="0" applyNumberFormat="1" applyFill="1" applyBorder="1" applyAlignment="1" applyProtection="1">
      <alignment horizontal="center" vertical="center"/>
      <protection locked="0"/>
    </xf>
    <xf numFmtId="1" fontId="0" fillId="38" borderId="4" xfId="0" applyNumberFormat="1" applyFill="1" applyBorder="1" applyAlignment="1" applyProtection="1">
      <alignment horizontal="center" vertical="center"/>
      <protection locked="0"/>
    </xf>
    <xf numFmtId="1" fontId="0" fillId="37" borderId="4" xfId="0" applyNumberFormat="1" applyFill="1" applyBorder="1" applyAlignment="1" applyProtection="1">
      <alignment horizontal="center" vertical="center"/>
      <protection locked="0"/>
    </xf>
    <xf numFmtId="1" fontId="0" fillId="37" borderId="33" xfId="0" applyNumberFormat="1" applyFill="1" applyBorder="1" applyAlignment="1" applyProtection="1">
      <alignment horizontal="center" vertical="center"/>
      <protection locked="0"/>
    </xf>
    <xf numFmtId="1" fontId="0" fillId="2" borderId="1" xfId="0" applyNumberFormat="1" applyFill="1" applyBorder="1" applyProtection="1">
      <protection hidden="1"/>
    </xf>
    <xf numFmtId="1" fontId="16" fillId="15" borderId="3" xfId="0" applyNumberFormat="1" applyFont="1" applyFill="1" applyBorder="1" applyAlignment="1" applyProtection="1">
      <alignment horizontal="center" vertical="center"/>
      <protection hidden="1"/>
    </xf>
    <xf numFmtId="1" fontId="0" fillId="15" borderId="14" xfId="0" applyNumberFormat="1" applyFill="1" applyBorder="1" applyAlignment="1" applyProtection="1">
      <alignment horizontal="center" vertical="center"/>
      <protection hidden="1"/>
    </xf>
    <xf numFmtId="1" fontId="16" fillId="15" borderId="1" xfId="0" applyNumberFormat="1" applyFont="1" applyFill="1" applyBorder="1" applyAlignment="1" applyProtection="1">
      <alignment horizontal="center" vertical="center"/>
      <protection hidden="1"/>
    </xf>
    <xf numFmtId="1" fontId="0" fillId="15" borderId="7" xfId="0" applyNumberFormat="1" applyFill="1" applyBorder="1" applyAlignment="1" applyProtection="1">
      <alignment horizontal="center" vertical="center"/>
      <protection hidden="1"/>
    </xf>
    <xf numFmtId="1" fontId="0" fillId="5" borderId="1" xfId="0" applyNumberFormat="1" applyFill="1" applyBorder="1" applyProtection="1">
      <protection hidden="1"/>
    </xf>
    <xf numFmtId="1" fontId="58" fillId="5" borderId="1" xfId="0" applyNumberFormat="1" applyFont="1" applyFill="1" applyBorder="1" applyAlignment="1" applyProtection="1">
      <alignment horizontal="center" vertical="center"/>
      <protection hidden="1"/>
    </xf>
    <xf numFmtId="1" fontId="58" fillId="5" borderId="7" xfId="0" applyNumberFormat="1" applyFont="1" applyFill="1" applyBorder="1" applyAlignment="1" applyProtection="1">
      <alignment horizontal="center" vertical="center"/>
      <protection hidden="1"/>
    </xf>
    <xf numFmtId="1" fontId="0" fillId="4" borderId="6" xfId="0" applyNumberFormat="1" applyFill="1" applyBorder="1" applyProtection="1">
      <protection hidden="1"/>
    </xf>
    <xf numFmtId="1" fontId="0" fillId="5" borderId="25" xfId="0" applyNumberFormat="1" applyFill="1" applyBorder="1" applyProtection="1">
      <protection hidden="1"/>
    </xf>
    <xf numFmtId="1" fontId="33" fillId="0" borderId="0" xfId="0" applyNumberFormat="1" applyFont="1" applyFill="1" applyBorder="1" applyAlignment="1" applyProtection="1">
      <alignment horizontal="center" vertical="center"/>
      <protection locked="0"/>
    </xf>
    <xf numFmtId="1" fontId="13" fillId="0" borderId="6" xfId="0" applyNumberFormat="1" applyFont="1" applyBorder="1" applyAlignment="1" applyProtection="1">
      <alignment horizontal="center" vertical="center"/>
      <protection locked="0"/>
    </xf>
    <xf numFmtId="0" fontId="74" fillId="0" borderId="0" xfId="0" applyFont="1" applyFill="1" applyAlignment="1" applyProtection="1">
      <alignment horizontal="center" vertical="center"/>
      <protection locked="0"/>
    </xf>
    <xf numFmtId="0" fontId="34" fillId="0" borderId="0" xfId="0" applyFont="1" applyFill="1" applyProtection="1">
      <protection locked="0"/>
    </xf>
    <xf numFmtId="0" fontId="13" fillId="32" borderId="1" xfId="0" applyFont="1" applyFill="1" applyBorder="1" applyAlignment="1" applyProtection="1">
      <alignment horizontal="center" vertical="center"/>
      <protection locked="0"/>
    </xf>
    <xf numFmtId="0" fontId="0" fillId="4" borderId="67" xfId="0" applyFill="1" applyBorder="1" applyAlignment="1" applyProtection="1">
      <alignment horizontal="center" vertical="center"/>
      <protection locked="0"/>
    </xf>
    <xf numFmtId="0" fontId="0" fillId="4" borderId="4" xfId="0" applyFill="1" applyBorder="1" applyAlignment="1" applyProtection="1">
      <alignment horizontal="center" vertical="center"/>
      <protection locked="0"/>
    </xf>
    <xf numFmtId="0" fontId="0" fillId="10" borderId="4" xfId="0" applyFill="1" applyBorder="1" applyAlignment="1" applyProtection="1">
      <alignment horizontal="center" vertical="center"/>
      <protection locked="0"/>
    </xf>
    <xf numFmtId="0" fontId="0" fillId="10" borderId="33" xfId="0" applyFill="1" applyBorder="1" applyAlignment="1" applyProtection="1">
      <alignment horizontal="center" vertical="center"/>
      <protection locked="0"/>
    </xf>
    <xf numFmtId="0" fontId="0" fillId="4" borderId="68"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10" borderId="0" xfId="0" applyFill="1" applyBorder="1" applyAlignment="1" applyProtection="1">
      <alignment horizontal="center" vertical="center"/>
      <protection locked="0"/>
    </xf>
    <xf numFmtId="0" fontId="0" fillId="10" borderId="29" xfId="0" applyFill="1" applyBorder="1" applyAlignment="1" applyProtection="1">
      <alignment horizontal="center" vertical="center"/>
      <protection locked="0"/>
    </xf>
    <xf numFmtId="0" fontId="0" fillId="12" borderId="28" xfId="0" applyFill="1" applyBorder="1" applyAlignment="1" applyProtection="1">
      <alignment horizontal="center" vertical="center"/>
      <protection locked="0"/>
    </xf>
    <xf numFmtId="0" fontId="0" fillId="9" borderId="62"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12" borderId="20" xfId="0" applyFill="1" applyBorder="1" applyAlignment="1" applyProtection="1">
      <alignment horizontal="center" vertical="center"/>
      <protection locked="0"/>
    </xf>
    <xf numFmtId="0" fontId="0" fillId="9" borderId="35" xfId="0" applyFill="1" applyBorder="1" applyAlignment="1" applyProtection="1">
      <alignment horizontal="center" vertical="center"/>
      <protection locked="0"/>
    </xf>
    <xf numFmtId="0" fontId="0" fillId="9" borderId="20" xfId="0" applyFill="1"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0" fillId="0" borderId="68" xfId="0" applyBorder="1" applyAlignment="1" applyProtection="1">
      <alignment horizontal="center" vertical="center"/>
      <protection locked="0"/>
    </xf>
    <xf numFmtId="0" fontId="79" fillId="5" borderId="3" xfId="0" applyFont="1" applyFill="1" applyBorder="1" applyAlignment="1" applyProtection="1">
      <alignment horizontal="center" vertical="center"/>
      <protection locked="0"/>
    </xf>
    <xf numFmtId="0" fontId="79" fillId="5" borderId="5" xfId="0" applyFont="1" applyFill="1" applyBorder="1" applyAlignment="1" applyProtection="1">
      <alignment horizontal="center" vertical="center"/>
      <protection locked="0"/>
    </xf>
    <xf numFmtId="0" fontId="0" fillId="0" borderId="3" xfId="0" applyBorder="1" applyAlignment="1" applyProtection="1">
      <alignment horizontal="center" vertical="center"/>
      <protection hidden="1"/>
    </xf>
    <xf numFmtId="0" fontId="0" fillId="14" borderId="67" xfId="0" applyFill="1" applyBorder="1" applyProtection="1">
      <protection hidden="1"/>
    </xf>
    <xf numFmtId="0" fontId="0" fillId="14" borderId="33" xfId="0" applyFill="1" applyBorder="1" applyProtection="1">
      <protection hidden="1"/>
    </xf>
    <xf numFmtId="0" fontId="0" fillId="14" borderId="14" xfId="0" applyFill="1" applyBorder="1" applyProtection="1">
      <protection hidden="1"/>
    </xf>
    <xf numFmtId="0" fontId="0" fillId="14" borderId="25" xfId="0" applyFill="1" applyBorder="1" applyProtection="1">
      <protection hidden="1"/>
    </xf>
    <xf numFmtId="0" fontId="0" fillId="9" borderId="7" xfId="0" applyFill="1" applyBorder="1" applyProtection="1">
      <protection hidden="1"/>
    </xf>
    <xf numFmtId="0" fontId="0" fillId="9" borderId="6" xfId="0" applyFill="1" applyBorder="1" applyProtection="1">
      <protection hidden="1"/>
    </xf>
    <xf numFmtId="0" fontId="116" fillId="0" borderId="0" xfId="0" applyFont="1" applyProtection="1">
      <protection locked="0"/>
    </xf>
    <xf numFmtId="164" fontId="0" fillId="0" borderId="0" xfId="0" applyNumberFormat="1" applyProtection="1">
      <protection locked="0"/>
    </xf>
    <xf numFmtId="0" fontId="16" fillId="0" borderId="0" xfId="0" applyFont="1" applyAlignment="1" applyProtection="1">
      <alignment horizontal="left"/>
      <protection locked="0"/>
    </xf>
    <xf numFmtId="0" fontId="34" fillId="12" borderId="0" xfId="0" applyFont="1" applyFill="1" applyProtection="1">
      <protection locked="0"/>
    </xf>
    <xf numFmtId="0" fontId="0" fillId="0" borderId="6" xfId="0" applyBorder="1" applyAlignment="1" applyProtection="1">
      <alignment horizontal="center" vertical="center"/>
      <protection locked="0"/>
    </xf>
    <xf numFmtId="164" fontId="2" fillId="0" borderId="1" xfId="0" applyNumberFormat="1" applyFont="1" applyFill="1" applyBorder="1" applyAlignment="1" applyProtection="1">
      <alignment horizontal="center" vertical="center"/>
      <protection locked="0"/>
    </xf>
    <xf numFmtId="164" fontId="5" fillId="0" borderId="1" xfId="0" applyNumberFormat="1" applyFont="1" applyFill="1" applyBorder="1" applyAlignment="1" applyProtection="1">
      <alignment horizontal="center" vertical="center"/>
      <protection locked="0"/>
    </xf>
    <xf numFmtId="0" fontId="116" fillId="0" borderId="5" xfId="0" applyFont="1" applyBorder="1" applyAlignment="1" applyProtection="1">
      <alignment horizontal="center" vertical="center"/>
      <protection locked="0"/>
    </xf>
    <xf numFmtId="0" fontId="0" fillId="0" borderId="29" xfId="0" applyBorder="1" applyAlignment="1" applyProtection="1">
      <alignment horizontal="left" vertical="center" indent="1"/>
      <protection locked="0"/>
    </xf>
    <xf numFmtId="164" fontId="2" fillId="0" borderId="3" xfId="0" applyNumberFormat="1" applyFont="1" applyFill="1" applyBorder="1" applyAlignment="1" applyProtection="1">
      <alignment horizontal="center" vertical="center"/>
      <protection locked="0"/>
    </xf>
    <xf numFmtId="0" fontId="13" fillId="5" borderId="67" xfId="0" applyFont="1" applyFill="1" applyBorder="1" applyAlignment="1" applyProtection="1">
      <alignment horizontal="center" vertical="center"/>
      <protection locked="0"/>
    </xf>
    <xf numFmtId="0" fontId="13" fillId="5" borderId="4" xfId="0" applyFont="1" applyFill="1" applyBorder="1" applyAlignment="1" applyProtection="1">
      <alignment horizontal="center" vertical="center"/>
      <protection locked="0"/>
    </xf>
    <xf numFmtId="0" fontId="13" fillId="4" borderId="4" xfId="0" applyFont="1" applyFill="1" applyBorder="1" applyAlignment="1" applyProtection="1">
      <alignment horizontal="center" vertical="center"/>
      <protection locked="0"/>
    </xf>
    <xf numFmtId="0" fontId="13" fillId="4" borderId="33" xfId="0" applyFont="1" applyFill="1" applyBorder="1" applyAlignment="1" applyProtection="1">
      <alignment horizontal="center" vertical="center"/>
      <protection locked="0"/>
    </xf>
    <xf numFmtId="0" fontId="13" fillId="5" borderId="68" xfId="0" applyFont="1" applyFill="1" applyBorder="1" applyAlignment="1" applyProtection="1">
      <alignment horizontal="center" vertical="center"/>
      <protection locked="0"/>
    </xf>
    <xf numFmtId="0" fontId="13" fillId="5" borderId="0" xfId="0" applyFont="1" applyFill="1" applyBorder="1" applyAlignment="1" applyProtection="1">
      <alignment horizontal="center" vertical="center"/>
      <protection locked="0"/>
    </xf>
    <xf numFmtId="0" fontId="13" fillId="4" borderId="0" xfId="0" applyFont="1" applyFill="1" applyBorder="1" applyAlignment="1" applyProtection="1">
      <alignment horizontal="center" vertical="center"/>
      <protection locked="0"/>
    </xf>
    <xf numFmtId="0" fontId="13" fillId="4" borderId="29" xfId="0" applyFont="1" applyFill="1" applyBorder="1" applyAlignment="1" applyProtection="1">
      <alignment horizontal="center" vertical="center"/>
      <protection locked="0"/>
    </xf>
    <xf numFmtId="0" fontId="83" fillId="5" borderId="1" xfId="0" applyFont="1" applyFill="1" applyBorder="1" applyAlignment="1" applyProtection="1">
      <alignment vertical="center"/>
      <protection locked="0"/>
    </xf>
    <xf numFmtId="0" fontId="83" fillId="5" borderId="1" xfId="0" applyFont="1" applyFill="1" applyBorder="1" applyAlignment="1" applyProtection="1">
      <alignment horizontal="left" vertical="center" indent="1"/>
      <protection locked="0"/>
    </xf>
    <xf numFmtId="0" fontId="83" fillId="0" borderId="0" xfId="0" applyFont="1" applyAlignment="1" applyProtection="1">
      <alignment vertical="center"/>
      <protection locked="0"/>
    </xf>
    <xf numFmtId="0" fontId="116" fillId="0" borderId="2" xfId="0" applyFont="1" applyBorder="1" applyAlignment="1" applyProtection="1">
      <protection locked="0"/>
    </xf>
    <xf numFmtId="0" fontId="0" fillId="0" borderId="25" xfId="0" applyBorder="1" applyAlignment="1" applyProtection="1">
      <alignment horizontal="center" vertical="center"/>
      <protection locked="0"/>
    </xf>
    <xf numFmtId="0" fontId="116" fillId="0" borderId="5" xfId="0" applyFont="1" applyBorder="1" applyAlignment="1" applyProtection="1">
      <protection locked="0"/>
    </xf>
    <xf numFmtId="0" fontId="10" fillId="5" borderId="1" xfId="0" applyFont="1" applyFill="1" applyBorder="1" applyAlignment="1" applyProtection="1">
      <alignment horizontal="left" indent="1"/>
      <protection locked="0"/>
    </xf>
    <xf numFmtId="0" fontId="10" fillId="5" borderId="2" xfId="0" applyFont="1" applyFill="1" applyBorder="1" applyProtection="1">
      <protection locked="0"/>
    </xf>
    <xf numFmtId="0" fontId="116" fillId="6" borderId="0" xfId="0" applyFont="1" applyFill="1" applyBorder="1" applyProtection="1">
      <protection locked="0"/>
    </xf>
    <xf numFmtId="0" fontId="0" fillId="6" borderId="0" xfId="0" applyFill="1" applyBorder="1" applyAlignment="1" applyProtection="1">
      <alignment horizontal="left" indent="1"/>
      <protection locked="0"/>
    </xf>
    <xf numFmtId="0" fontId="26" fillId="6" borderId="0" xfId="0" applyFont="1" applyFill="1" applyBorder="1" applyAlignment="1" applyProtection="1">
      <alignment horizontal="center" vertical="center"/>
      <protection locked="0"/>
    </xf>
    <xf numFmtId="0" fontId="26" fillId="6" borderId="0" xfId="0" applyFont="1" applyFill="1" applyBorder="1" applyAlignment="1" applyProtection="1">
      <alignment horizontal="center"/>
      <protection locked="0"/>
    </xf>
    <xf numFmtId="0" fontId="2" fillId="15" borderId="1" xfId="0" applyFont="1" applyFill="1" applyBorder="1" applyAlignment="1" applyProtection="1">
      <alignment horizontal="center" vertical="center"/>
      <protection hidden="1"/>
    </xf>
    <xf numFmtId="0" fontId="2" fillId="15" borderId="3" xfId="0" applyFont="1" applyFill="1" applyBorder="1" applyAlignment="1" applyProtection="1">
      <alignment horizontal="center" vertical="center"/>
      <protection hidden="1"/>
    </xf>
    <xf numFmtId="164" fontId="115" fillId="5" borderId="1" xfId="0" applyNumberFormat="1" applyFont="1" applyFill="1" applyBorder="1" applyAlignment="1" applyProtection="1">
      <alignment horizontal="center" vertical="center"/>
      <protection hidden="1"/>
    </xf>
    <xf numFmtId="0" fontId="0" fillId="7" borderId="67" xfId="0" applyFill="1" applyBorder="1" applyProtection="1">
      <protection hidden="1"/>
    </xf>
    <xf numFmtId="0" fontId="0" fillId="7" borderId="33" xfId="0" applyFill="1" applyBorder="1" applyProtection="1">
      <protection hidden="1"/>
    </xf>
    <xf numFmtId="0" fontId="0" fillId="7" borderId="68" xfId="0" applyFill="1" applyBorder="1" applyProtection="1">
      <protection hidden="1"/>
    </xf>
    <xf numFmtId="0" fontId="0" fillId="7" borderId="29" xfId="0" applyFill="1" applyBorder="1" applyProtection="1">
      <protection hidden="1"/>
    </xf>
    <xf numFmtId="0" fontId="0" fillId="7" borderId="14" xfId="0" applyFill="1" applyBorder="1" applyProtection="1">
      <protection hidden="1"/>
    </xf>
    <xf numFmtId="0" fontId="0" fillId="7" borderId="25" xfId="0" applyFill="1" applyBorder="1" applyProtection="1">
      <protection hidden="1"/>
    </xf>
    <xf numFmtId="0" fontId="83" fillId="5" borderId="7" xfId="0" applyFont="1" applyFill="1" applyBorder="1" applyAlignment="1" applyProtection="1">
      <alignment vertical="center"/>
      <protection hidden="1"/>
    </xf>
    <xf numFmtId="0" fontId="83" fillId="5" borderId="6" xfId="0" applyFont="1" applyFill="1" applyBorder="1" applyAlignment="1" applyProtection="1">
      <alignment vertical="center"/>
      <protection hidden="1"/>
    </xf>
    <xf numFmtId="0" fontId="0" fillId="10" borderId="67" xfId="0" applyFill="1" applyBorder="1" applyProtection="1">
      <protection hidden="1"/>
    </xf>
    <xf numFmtId="0" fontId="0" fillId="10" borderId="33" xfId="0" applyFill="1" applyBorder="1" applyProtection="1">
      <protection hidden="1"/>
    </xf>
    <xf numFmtId="0" fontId="0" fillId="10" borderId="68" xfId="0" applyFill="1" applyBorder="1" applyProtection="1">
      <protection hidden="1"/>
    </xf>
    <xf numFmtId="0" fontId="0" fillId="10" borderId="29" xfId="0" applyFill="1" applyBorder="1" applyProtection="1">
      <protection hidden="1"/>
    </xf>
    <xf numFmtId="0" fontId="0" fillId="10" borderId="14" xfId="0" applyFill="1" applyBorder="1" applyProtection="1">
      <protection hidden="1"/>
    </xf>
    <xf numFmtId="0" fontId="0" fillId="10" borderId="25" xfId="0" applyFill="1" applyBorder="1" applyProtection="1">
      <protection hidden="1"/>
    </xf>
    <xf numFmtId="1" fontId="1" fillId="3" borderId="1" xfId="0" applyNumberFormat="1" applyFont="1" applyFill="1" applyBorder="1" applyAlignment="1" applyProtection="1">
      <alignment horizontal="center" vertical="center"/>
      <protection hidden="1"/>
    </xf>
    <xf numFmtId="0" fontId="79" fillId="0" borderId="0" xfId="0" applyFont="1" applyAlignment="1" applyProtection="1">
      <alignment horizontal="center"/>
      <protection locked="0"/>
    </xf>
    <xf numFmtId="0" fontId="0" fillId="0" borderId="0" xfId="0" applyFont="1" applyAlignment="1" applyProtection="1">
      <alignment horizontal="left" indent="1"/>
      <protection locked="0"/>
    </xf>
    <xf numFmtId="0" fontId="21" fillId="0" borderId="0" xfId="0" applyFont="1" applyAlignment="1" applyProtection="1">
      <alignment horizontal="center" vertical="center"/>
      <protection locked="0"/>
    </xf>
    <xf numFmtId="0" fontId="78" fillId="0" borderId="0" xfId="0" applyFont="1" applyAlignment="1" applyProtection="1">
      <alignment horizontal="center" vertical="center"/>
      <protection locked="0"/>
    </xf>
    <xf numFmtId="164" fontId="0" fillId="11" borderId="1" xfId="0" applyNumberFormat="1" applyFill="1" applyBorder="1" applyAlignment="1" applyProtection="1">
      <alignment horizontal="center" vertical="center"/>
      <protection locked="0"/>
    </xf>
    <xf numFmtId="0" fontId="75" fillId="0" borderId="29" xfId="0" applyFont="1" applyBorder="1" applyAlignment="1" applyProtection="1">
      <alignment horizontal="left" vertical="center" indent="1"/>
      <protection locked="0"/>
    </xf>
    <xf numFmtId="0" fontId="21" fillId="10" borderId="3" xfId="0" applyFont="1" applyFill="1" applyBorder="1" applyAlignment="1" applyProtection="1">
      <alignment horizontal="center" vertical="center"/>
      <protection locked="0"/>
    </xf>
    <xf numFmtId="0" fontId="26" fillId="12" borderId="2" xfId="0" applyFont="1" applyFill="1" applyBorder="1" applyAlignment="1" applyProtection="1">
      <alignment horizontal="center" vertical="center"/>
      <protection locked="0"/>
    </xf>
    <xf numFmtId="0" fontId="26" fillId="9" borderId="2" xfId="0" applyFont="1" applyFill="1" applyBorder="1" applyAlignment="1" applyProtection="1">
      <alignment horizontal="center" vertical="center"/>
      <protection locked="0"/>
    </xf>
    <xf numFmtId="0" fontId="0" fillId="0" borderId="29" xfId="0" applyFont="1" applyBorder="1" applyAlignment="1" applyProtection="1">
      <alignment horizontal="left" indent="1"/>
      <protection locked="0"/>
    </xf>
    <xf numFmtId="0" fontId="0" fillId="5" borderId="67"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10" borderId="67" xfId="0" applyFill="1" applyBorder="1" applyAlignment="1" applyProtection="1">
      <alignment horizontal="center" vertical="center"/>
      <protection locked="0"/>
    </xf>
    <xf numFmtId="0" fontId="0" fillId="5" borderId="68" xfId="0"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0" fillId="10" borderId="68" xfId="0" applyFill="1" applyBorder="1" applyAlignment="1" applyProtection="1">
      <alignment horizontal="center" vertical="center"/>
      <protection locked="0"/>
    </xf>
    <xf numFmtId="0" fontId="79" fillId="5" borderId="1" xfId="0" applyFont="1" applyFill="1" applyBorder="1" applyAlignment="1" applyProtection="1">
      <alignment horizontal="center"/>
      <protection locked="0"/>
    </xf>
    <xf numFmtId="0" fontId="57" fillId="5" borderId="6" xfId="0" applyFont="1" applyFill="1" applyBorder="1" applyAlignment="1" applyProtection="1">
      <alignment horizontal="left" vertical="center" indent="1"/>
      <protection locked="0"/>
    </xf>
    <xf numFmtId="0" fontId="21" fillId="14" borderId="7" xfId="0" applyFont="1" applyFill="1" applyBorder="1" applyAlignment="1" applyProtection="1">
      <alignment horizontal="center" vertical="center"/>
      <protection locked="0"/>
    </xf>
    <xf numFmtId="164" fontId="59" fillId="5" borderId="6" xfId="0" applyNumberFormat="1" applyFont="1" applyFill="1" applyBorder="1" applyAlignment="1" applyProtection="1">
      <alignment horizontal="center" vertical="center"/>
      <protection locked="0"/>
    </xf>
    <xf numFmtId="0" fontId="0" fillId="5" borderId="7" xfId="0" applyFill="1" applyBorder="1" applyAlignment="1" applyProtection="1">
      <alignment vertical="center"/>
      <protection locked="0"/>
    </xf>
    <xf numFmtId="0" fontId="0" fillId="5" borderId="8" xfId="0" applyFill="1" applyBorder="1" applyAlignment="1" applyProtection="1">
      <alignment vertical="center"/>
      <protection locked="0"/>
    </xf>
    <xf numFmtId="0" fontId="0" fillId="5" borderId="6" xfId="0" applyFill="1" applyBorder="1" applyAlignment="1" applyProtection="1">
      <alignment vertical="center"/>
      <protection locked="0"/>
    </xf>
    <xf numFmtId="0" fontId="26" fillId="12" borderId="28" xfId="0" applyFont="1" applyFill="1" applyBorder="1" applyAlignment="1" applyProtection="1">
      <alignment horizontal="center" vertical="center"/>
      <protection locked="0"/>
    </xf>
    <xf numFmtId="0" fontId="26" fillId="9" borderId="62" xfId="0" applyFont="1" applyFill="1" applyBorder="1" applyAlignment="1" applyProtection="1">
      <alignment horizontal="center" vertical="center"/>
      <protection locked="0"/>
    </xf>
    <xf numFmtId="0" fontId="26" fillId="9" borderId="28" xfId="0" applyFont="1" applyFill="1" applyBorder="1" applyAlignment="1" applyProtection="1">
      <alignment horizontal="center" vertical="center"/>
      <protection locked="0"/>
    </xf>
    <xf numFmtId="0" fontId="21" fillId="14" borderId="1" xfId="0" applyFont="1" applyFill="1" applyBorder="1" applyAlignment="1" applyProtection="1">
      <alignment horizontal="center" vertical="center"/>
      <protection locked="0"/>
    </xf>
    <xf numFmtId="0" fontId="75" fillId="0" borderId="33" xfId="0" applyFont="1" applyBorder="1" applyAlignment="1" applyProtection="1">
      <alignment horizontal="left" vertical="center" indent="1"/>
      <protection locked="0"/>
    </xf>
    <xf numFmtId="0" fontId="79" fillId="5" borderId="2" xfId="0" applyFont="1" applyFill="1" applyBorder="1" applyAlignment="1" applyProtection="1">
      <alignment horizontal="center"/>
      <protection locked="0"/>
    </xf>
    <xf numFmtId="0" fontId="79" fillId="5" borderId="3" xfId="0" applyFont="1" applyFill="1" applyBorder="1" applyAlignment="1" applyProtection="1">
      <alignment horizontal="center"/>
      <protection locked="0"/>
    </xf>
    <xf numFmtId="0" fontId="79" fillId="6" borderId="0" xfId="0" applyFont="1" applyFill="1" applyAlignment="1" applyProtection="1">
      <alignment horizontal="center"/>
      <protection locked="0"/>
    </xf>
    <xf numFmtId="0" fontId="0" fillId="6" borderId="0" xfId="0" applyFont="1" applyFill="1" applyAlignment="1" applyProtection="1">
      <alignment horizontal="left" indent="1"/>
      <protection locked="0"/>
    </xf>
    <xf numFmtId="0" fontId="21" fillId="6" borderId="0" xfId="0" applyFont="1" applyFill="1" applyAlignment="1" applyProtection="1">
      <alignment horizontal="center" vertical="center"/>
      <protection locked="0"/>
    </xf>
    <xf numFmtId="164" fontId="0" fillId="6" borderId="0" xfId="0" applyNumberFormat="1" applyFill="1" applyProtection="1">
      <protection locked="0"/>
    </xf>
    <xf numFmtId="0" fontId="13" fillId="0" borderId="0" xfId="0" applyFont="1" applyAlignment="1" applyProtection="1">
      <alignment horizontal="left" vertical="center"/>
      <protection locked="0"/>
    </xf>
    <xf numFmtId="0" fontId="121" fillId="0" borderId="0" xfId="0" applyFont="1" applyProtection="1">
      <protection locked="0"/>
    </xf>
    <xf numFmtId="164" fontId="5" fillId="0" borderId="0" xfId="0" applyNumberFormat="1" applyFont="1" applyFill="1" applyBorder="1" applyAlignment="1" applyProtection="1">
      <alignment horizontal="center" vertical="center"/>
      <protection locked="0"/>
    </xf>
    <xf numFmtId="0" fontId="121" fillId="0" borderId="0" xfId="0" applyFont="1" applyFill="1" applyBorder="1" applyAlignment="1" applyProtection="1">
      <alignment horizontal="center" vertical="center"/>
      <protection locked="0"/>
    </xf>
    <xf numFmtId="0" fontId="19" fillId="0" borderId="0" xfId="0" applyFont="1" applyBorder="1" applyAlignment="1" applyProtection="1">
      <alignment horizontal="left"/>
      <protection locked="0"/>
    </xf>
    <xf numFmtId="0" fontId="121" fillId="0" borderId="0" xfId="0" applyFont="1" applyBorder="1" applyProtection="1">
      <protection locked="0"/>
    </xf>
    <xf numFmtId="1" fontId="0" fillId="0" borderId="0" xfId="0" applyNumberFormat="1" applyAlignment="1" applyProtection="1">
      <alignment horizontal="center" vertical="center"/>
      <protection locked="0"/>
    </xf>
    <xf numFmtId="0" fontId="0" fillId="0" borderId="2" xfId="0" applyBorder="1" applyAlignment="1" applyProtection="1">
      <protection locked="0"/>
    </xf>
    <xf numFmtId="0" fontId="10" fillId="0" borderId="33" xfId="0" applyFont="1" applyBorder="1" applyAlignment="1" applyProtection="1">
      <alignment horizontal="left" vertical="center"/>
      <protection locked="0"/>
    </xf>
    <xf numFmtId="0" fontId="121" fillId="10" borderId="1" xfId="0" applyFont="1" applyFill="1" applyBorder="1" applyAlignment="1" applyProtection="1">
      <alignment horizontal="center" vertical="center"/>
      <protection locked="0"/>
    </xf>
    <xf numFmtId="0" fontId="0" fillId="0" borderId="5" xfId="0" applyBorder="1" applyAlignment="1" applyProtection="1">
      <protection locked="0"/>
    </xf>
    <xf numFmtId="0" fontId="13" fillId="0" borderId="29" xfId="0" applyFont="1" applyBorder="1" applyAlignment="1" applyProtection="1">
      <alignment horizontal="left" vertical="center"/>
      <protection locked="0"/>
    </xf>
    <xf numFmtId="0" fontId="26" fillId="14" borderId="67" xfId="0" applyFont="1" applyFill="1" applyBorder="1" applyAlignment="1" applyProtection="1">
      <alignment horizontal="center" vertical="center"/>
      <protection locked="0"/>
    </xf>
    <xf numFmtId="0" fontId="26" fillId="14" borderId="4" xfId="0" applyFont="1" applyFill="1" applyBorder="1" applyAlignment="1" applyProtection="1">
      <alignment horizontal="center" vertical="center"/>
      <protection locked="0"/>
    </xf>
    <xf numFmtId="0" fontId="26" fillId="10" borderId="49" xfId="0" applyFont="1" applyFill="1" applyBorder="1" applyAlignment="1" applyProtection="1">
      <alignment horizontal="center" vertical="center"/>
      <protection locked="0"/>
    </xf>
    <xf numFmtId="0" fontId="26" fillId="10" borderId="4" xfId="0" applyFont="1" applyFill="1" applyBorder="1" applyAlignment="1" applyProtection="1">
      <alignment horizontal="center" vertical="center"/>
      <protection locked="0"/>
    </xf>
    <xf numFmtId="0" fontId="26" fillId="10" borderId="33" xfId="0" applyFont="1" applyFill="1" applyBorder="1" applyAlignment="1" applyProtection="1">
      <alignment horizontal="center" vertical="center"/>
      <protection locked="0"/>
    </xf>
    <xf numFmtId="0" fontId="26" fillId="14" borderId="68" xfId="0" applyFont="1" applyFill="1" applyBorder="1" applyAlignment="1" applyProtection="1">
      <alignment horizontal="center" vertical="center"/>
      <protection locked="0"/>
    </xf>
    <xf numFmtId="0" fontId="26" fillId="14" borderId="0" xfId="0" applyFont="1" applyFill="1" applyBorder="1" applyAlignment="1" applyProtection="1">
      <alignment horizontal="center" vertical="center"/>
      <protection locked="0"/>
    </xf>
    <xf numFmtId="0" fontId="26" fillId="10" borderId="12" xfId="0" applyFont="1" applyFill="1" applyBorder="1" applyAlignment="1" applyProtection="1">
      <alignment horizontal="center" vertical="center"/>
      <protection locked="0"/>
    </xf>
    <xf numFmtId="0" fontId="26" fillId="10" borderId="0" xfId="0" applyFont="1" applyFill="1" applyBorder="1" applyAlignment="1" applyProtection="1">
      <alignment horizontal="center" vertical="center"/>
      <protection locked="0"/>
    </xf>
    <xf numFmtId="0" fontId="26" fillId="10" borderId="29" xfId="0" applyFont="1" applyFill="1" applyBorder="1" applyAlignment="1" applyProtection="1">
      <alignment horizontal="center" vertical="center"/>
      <protection locked="0"/>
    </xf>
    <xf numFmtId="0" fontId="10" fillId="39" borderId="1" xfId="0" applyFont="1" applyFill="1" applyBorder="1" applyAlignment="1" applyProtection="1">
      <alignment horizontal="center" vertical="center"/>
      <protection locked="0"/>
    </xf>
    <xf numFmtId="0" fontId="10" fillId="39" borderId="1" xfId="0" applyFont="1" applyFill="1" applyBorder="1" applyAlignment="1" applyProtection="1">
      <alignment horizontal="left" vertical="center"/>
      <protection locked="0"/>
    </xf>
    <xf numFmtId="0" fontId="122" fillId="39" borderId="1" xfId="0" applyFont="1" applyFill="1" applyBorder="1" applyAlignment="1" applyProtection="1">
      <alignment horizontal="center" vertical="center"/>
      <protection locked="0"/>
    </xf>
    <xf numFmtId="0" fontId="26" fillId="39" borderId="7" xfId="0" applyFont="1" applyFill="1" applyBorder="1" applyAlignment="1" applyProtection="1">
      <alignment horizontal="center" vertical="center"/>
      <protection locked="0"/>
    </xf>
    <xf numFmtId="0" fontId="26" fillId="39" borderId="8" xfId="0" applyFont="1" applyFill="1" applyBorder="1" applyAlignment="1" applyProtection="1">
      <alignment horizontal="center" vertical="center"/>
      <protection locked="0"/>
    </xf>
    <xf numFmtId="0" fontId="26" fillId="39" borderId="34" xfId="0" applyFont="1" applyFill="1" applyBorder="1" applyAlignment="1" applyProtection="1">
      <alignment horizontal="center" vertical="center"/>
      <protection locked="0"/>
    </xf>
    <xf numFmtId="0" fontId="26" fillId="39" borderId="6" xfId="0" applyFont="1" applyFill="1" applyBorder="1" applyAlignment="1" applyProtection="1">
      <alignment horizontal="center" vertical="center"/>
      <protection locked="0"/>
    </xf>
    <xf numFmtId="0" fontId="0" fillId="39" borderId="8" xfId="0" applyFill="1" applyBorder="1" applyAlignment="1" applyProtection="1">
      <alignment horizontal="center" vertical="center"/>
      <protection locked="0"/>
    </xf>
    <xf numFmtId="0" fontId="0" fillId="39" borderId="6"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26" fillId="0" borderId="5" xfId="0" applyFont="1" applyBorder="1" applyAlignment="1" applyProtection="1">
      <alignment horizontal="center" vertical="center"/>
      <protection locked="0"/>
    </xf>
    <xf numFmtId="0" fontId="26" fillId="41" borderId="73" xfId="0" applyFont="1" applyFill="1" applyBorder="1" applyAlignment="1" applyProtection="1">
      <alignment horizontal="center" vertical="center"/>
      <protection locked="0"/>
    </xf>
    <xf numFmtId="0" fontId="26" fillId="41" borderId="5" xfId="0" applyFont="1" applyFill="1" applyBorder="1" applyAlignment="1" applyProtection="1">
      <alignment horizontal="center" vertical="center"/>
      <protection locked="0"/>
    </xf>
    <xf numFmtId="0" fontId="26" fillId="39" borderId="14" xfId="0" applyFont="1" applyFill="1" applyBorder="1" applyAlignment="1" applyProtection="1">
      <alignment horizontal="center" vertical="center"/>
      <protection locked="0"/>
    </xf>
    <xf numFmtId="0" fontId="26" fillId="39" borderId="60" xfId="0" applyFont="1" applyFill="1" applyBorder="1" applyAlignment="1" applyProtection="1">
      <alignment horizontal="center" vertical="center"/>
      <protection locked="0"/>
    </xf>
    <xf numFmtId="0" fontId="26" fillId="39" borderId="77" xfId="0" applyFont="1" applyFill="1" applyBorder="1" applyAlignment="1" applyProtection="1">
      <alignment horizontal="center" vertical="center"/>
      <protection locked="0"/>
    </xf>
    <xf numFmtId="0" fontId="26" fillId="39" borderId="25" xfId="0" applyFont="1" applyFill="1" applyBorder="1" applyAlignment="1" applyProtection="1">
      <alignment horizontal="center" vertical="center"/>
      <protection locked="0"/>
    </xf>
    <xf numFmtId="0" fontId="26" fillId="0" borderId="2" xfId="0" applyFont="1" applyBorder="1" applyAlignment="1" applyProtection="1">
      <alignment horizontal="center" vertical="center"/>
      <protection locked="0"/>
    </xf>
    <xf numFmtId="0" fontId="26" fillId="41" borderId="69" xfId="0" applyFont="1" applyFill="1" applyBorder="1" applyAlignment="1" applyProtection="1">
      <alignment horizontal="center" vertical="center"/>
      <protection locked="0"/>
    </xf>
    <xf numFmtId="0" fontId="26" fillId="41" borderId="2" xfId="0" applyFont="1" applyFill="1" applyBorder="1" applyAlignment="1" applyProtection="1">
      <alignment horizontal="center" vertical="center"/>
      <protection locked="0"/>
    </xf>
    <xf numFmtId="0" fontId="0" fillId="39" borderId="7" xfId="0" applyFill="1" applyBorder="1" applyAlignment="1" applyProtection="1">
      <alignment horizontal="center" vertical="center"/>
      <protection locked="0"/>
    </xf>
    <xf numFmtId="0" fontId="0" fillId="39" borderId="34" xfId="0" applyFill="1" applyBorder="1" applyAlignment="1" applyProtection="1">
      <alignment horizontal="center" vertical="center"/>
      <protection locked="0"/>
    </xf>
    <xf numFmtId="0" fontId="0" fillId="39" borderId="14" xfId="0" applyFill="1" applyBorder="1" applyAlignment="1" applyProtection="1">
      <alignment horizontal="center" vertical="center"/>
      <protection locked="0"/>
    </xf>
    <xf numFmtId="0" fontId="0" fillId="39" borderId="60" xfId="0" applyFill="1" applyBorder="1" applyAlignment="1" applyProtection="1">
      <alignment horizontal="center" vertical="center"/>
      <protection locked="0"/>
    </xf>
    <xf numFmtId="0" fontId="0" fillId="39" borderId="25" xfId="0" applyFill="1" applyBorder="1" applyAlignment="1" applyProtection="1">
      <alignment horizontal="center" vertical="center"/>
      <protection locked="0"/>
    </xf>
    <xf numFmtId="0" fontId="13" fillId="6" borderId="0" xfId="0" applyFont="1" applyFill="1" applyAlignment="1" applyProtection="1">
      <alignment horizontal="left" vertical="center"/>
      <protection locked="0"/>
    </xf>
    <xf numFmtId="0" fontId="121" fillId="6" borderId="0" xfId="0" applyFont="1" applyFill="1" applyProtection="1">
      <protection locked="0"/>
    </xf>
    <xf numFmtId="0" fontId="58" fillId="39" borderId="1" xfId="0" applyFont="1" applyFill="1" applyBorder="1" applyAlignment="1" applyProtection="1">
      <alignment horizontal="center" vertical="center"/>
      <protection hidden="1"/>
    </xf>
    <xf numFmtId="0" fontId="0" fillId="39" borderId="6" xfId="0" applyFill="1" applyBorder="1" applyAlignment="1" applyProtection="1">
      <alignment horizontal="center" vertical="center"/>
      <protection hidden="1"/>
    </xf>
    <xf numFmtId="0" fontId="26" fillId="0" borderId="0" xfId="0" applyFont="1" applyAlignment="1" applyProtection="1">
      <alignment horizontal="left"/>
      <protection locked="0"/>
    </xf>
    <xf numFmtId="0" fontId="23" fillId="0" borderId="0" xfId="0" applyFont="1" applyProtection="1">
      <protection locked="0"/>
    </xf>
    <xf numFmtId="0" fontId="26" fillId="0" borderId="0" xfId="0" applyFont="1" applyAlignment="1" applyProtection="1">
      <alignment horizontal="center"/>
      <protection locked="0"/>
    </xf>
    <xf numFmtId="0" fontId="57" fillId="0" borderId="5" xfId="0" applyFont="1" applyBorder="1" applyAlignment="1" applyProtection="1">
      <alignment horizontal="center" vertical="center"/>
      <protection locked="0"/>
    </xf>
    <xf numFmtId="0" fontId="107" fillId="0" borderId="5" xfId="0" applyFont="1" applyBorder="1" applyAlignment="1" applyProtection="1">
      <alignment horizontal="left"/>
      <protection locked="0"/>
    </xf>
    <xf numFmtId="0" fontId="0" fillId="10" borderId="3" xfId="0" applyFill="1" applyBorder="1" applyAlignment="1" applyProtection="1">
      <alignment horizontal="center"/>
      <protection locked="0"/>
    </xf>
    <xf numFmtId="164" fontId="0" fillId="0" borderId="3" xfId="0" applyNumberFormat="1" applyFill="1" applyBorder="1" applyAlignment="1" applyProtection="1">
      <alignment horizontal="center" vertical="center"/>
      <protection locked="0"/>
    </xf>
    <xf numFmtId="0" fontId="26" fillId="0" borderId="5" xfId="0" applyFont="1" applyFill="1" applyBorder="1" applyAlignment="1" applyProtection="1">
      <alignment horizontal="center" vertical="center"/>
      <protection locked="0"/>
    </xf>
    <xf numFmtId="0" fontId="26" fillId="9" borderId="5" xfId="0" applyFont="1" applyFill="1" applyBorder="1" applyAlignment="1" applyProtection="1">
      <alignment horizontal="center" vertical="center"/>
      <protection locked="0"/>
    </xf>
    <xf numFmtId="0" fontId="26" fillId="0" borderId="5" xfId="0" applyFont="1" applyBorder="1" applyAlignment="1" applyProtection="1">
      <alignment horizontal="left"/>
      <protection locked="0"/>
    </xf>
    <xf numFmtId="0" fontId="26" fillId="2" borderId="67" xfId="0" applyFont="1" applyFill="1" applyBorder="1" applyAlignment="1" applyProtection="1">
      <alignment horizontal="center" vertical="center"/>
      <protection locked="0"/>
    </xf>
    <xf numFmtId="0" fontId="26" fillId="2" borderId="4" xfId="0" applyFont="1" applyFill="1" applyBorder="1" applyAlignment="1" applyProtection="1">
      <alignment horizontal="center" vertical="center"/>
      <protection locked="0"/>
    </xf>
    <xf numFmtId="0" fontId="26" fillId="7" borderId="4" xfId="0" applyFont="1" applyFill="1" applyBorder="1" applyAlignment="1" applyProtection="1">
      <alignment horizontal="center" vertical="center"/>
      <protection locked="0"/>
    </xf>
    <xf numFmtId="0" fontId="26" fillId="2" borderId="68" xfId="0" applyFont="1" applyFill="1" applyBorder="1" applyAlignment="1" applyProtection="1">
      <alignment horizontal="center" vertical="center"/>
      <protection locked="0"/>
    </xf>
    <xf numFmtId="0" fontId="26" fillId="2" borderId="0" xfId="0" applyFont="1" applyFill="1" applyBorder="1" applyAlignment="1" applyProtection="1">
      <alignment horizontal="center" vertical="center"/>
      <protection locked="0"/>
    </xf>
    <xf numFmtId="0" fontId="26" fillId="7" borderId="0" xfId="0" applyFont="1" applyFill="1" applyBorder="1" applyAlignment="1" applyProtection="1">
      <alignment horizontal="center" vertical="center"/>
      <protection locked="0"/>
    </xf>
    <xf numFmtId="0" fontId="0" fillId="0" borderId="5" xfId="0" applyBorder="1" applyProtection="1">
      <protection locked="0"/>
    </xf>
    <xf numFmtId="0" fontId="26" fillId="2" borderId="68" xfId="0" applyFont="1" applyFill="1" applyBorder="1" applyAlignment="1" applyProtection="1">
      <alignment vertical="center"/>
      <protection locked="0"/>
    </xf>
    <xf numFmtId="0" fontId="26" fillId="2" borderId="0" xfId="0" applyFont="1" applyFill="1" applyBorder="1" applyAlignment="1" applyProtection="1">
      <alignment vertical="center"/>
      <protection locked="0"/>
    </xf>
    <xf numFmtId="0" fontId="26" fillId="7" borderId="0" xfId="0" applyFont="1" applyFill="1" applyBorder="1" applyAlignment="1" applyProtection="1">
      <alignment vertical="center"/>
      <protection locked="0"/>
    </xf>
    <xf numFmtId="0" fontId="59" fillId="5" borderId="1" xfId="0" applyFont="1" applyFill="1" applyBorder="1" applyAlignment="1" applyProtection="1">
      <alignment vertical="center"/>
      <protection locked="0"/>
    </xf>
    <xf numFmtId="0" fontId="59" fillId="5" borderId="1" xfId="0" applyFont="1" applyFill="1" applyBorder="1" applyAlignment="1" applyProtection="1">
      <alignment horizontal="center" vertical="center"/>
      <protection locked="0"/>
    </xf>
    <xf numFmtId="0" fontId="108" fillId="5" borderId="1" xfId="0" applyFont="1" applyFill="1" applyBorder="1" applyAlignment="1" applyProtection="1">
      <alignment horizontal="left" vertical="center"/>
      <protection locked="0"/>
    </xf>
    <xf numFmtId="0" fontId="59" fillId="5" borderId="1" xfId="0" applyFont="1" applyFill="1" applyBorder="1" applyAlignment="1" applyProtection="1">
      <alignment vertical="center"/>
      <protection hidden="1"/>
    </xf>
    <xf numFmtId="0" fontId="59" fillId="5" borderId="1" xfId="0" applyFont="1" applyFill="1" applyBorder="1" applyAlignment="1" applyProtection="1">
      <alignment horizontal="center" vertical="center"/>
      <protection hidden="1"/>
    </xf>
    <xf numFmtId="0" fontId="59" fillId="5" borderId="7" xfId="0" applyFont="1" applyFill="1" applyBorder="1" applyAlignment="1" applyProtection="1">
      <alignment horizontal="center" vertical="center"/>
      <protection hidden="1"/>
    </xf>
    <xf numFmtId="1" fontId="26" fillId="0" borderId="0" xfId="0" applyNumberFormat="1" applyFont="1" applyAlignment="1" applyProtection="1">
      <alignment horizontal="left"/>
      <protection locked="0"/>
    </xf>
    <xf numFmtId="1" fontId="17" fillId="0" borderId="0" xfId="0" applyNumberFormat="1" applyFont="1" applyFill="1" applyBorder="1" applyAlignment="1" applyProtection="1">
      <alignment vertical="center"/>
      <protection locked="0"/>
    </xf>
    <xf numFmtId="1" fontId="5" fillId="0" borderId="0" xfId="0" applyNumberFormat="1" applyFont="1" applyFill="1" applyBorder="1" applyAlignment="1" applyProtection="1">
      <alignment vertical="center"/>
      <protection locked="0"/>
    </xf>
    <xf numFmtId="1" fontId="16" fillId="0" borderId="0" xfId="0" applyNumberFormat="1" applyFont="1" applyFill="1" applyBorder="1" applyAlignment="1" applyProtection="1">
      <alignment vertical="center"/>
      <protection locked="0"/>
    </xf>
    <xf numFmtId="1" fontId="16" fillId="0" borderId="0" xfId="0" applyNumberFormat="1" applyFont="1" applyFill="1" applyBorder="1" applyAlignment="1" applyProtection="1">
      <alignment horizontal="center" vertical="center"/>
      <protection locked="0"/>
    </xf>
    <xf numFmtId="1" fontId="19" fillId="0" borderId="0" xfId="0" applyNumberFormat="1" applyFont="1" applyAlignment="1" applyProtection="1">
      <alignment horizontal="left"/>
      <protection locked="0"/>
    </xf>
    <xf numFmtId="1" fontId="107" fillId="0" borderId="33" xfId="0" applyNumberFormat="1" applyFont="1" applyBorder="1" applyAlignment="1" applyProtection="1">
      <alignment horizontal="left"/>
      <protection locked="0"/>
    </xf>
    <xf numFmtId="1" fontId="13" fillId="10" borderId="6" xfId="0" applyNumberFormat="1" applyFont="1" applyFill="1" applyBorder="1" applyAlignment="1" applyProtection="1">
      <alignment horizontal="center"/>
      <protection locked="0"/>
    </xf>
    <xf numFmtId="1" fontId="26" fillId="0" borderId="29" xfId="0" applyNumberFormat="1" applyFont="1" applyBorder="1" applyAlignment="1" applyProtection="1">
      <alignment horizontal="left"/>
      <protection locked="0"/>
    </xf>
    <xf numFmtId="1" fontId="0" fillId="0" borderId="5" xfId="0" applyNumberFormat="1" applyBorder="1" applyProtection="1">
      <protection locked="0"/>
    </xf>
    <xf numFmtId="1" fontId="108" fillId="5" borderId="1" xfId="0" applyNumberFormat="1" applyFont="1" applyFill="1" applyBorder="1" applyAlignment="1" applyProtection="1">
      <alignment horizontal="left" vertical="center"/>
      <protection locked="0"/>
    </xf>
    <xf numFmtId="1" fontId="107" fillId="5" borderId="1" xfId="0" applyNumberFormat="1" applyFont="1" applyFill="1" applyBorder="1" applyAlignment="1" applyProtection="1">
      <alignment horizontal="left"/>
      <protection locked="0"/>
    </xf>
    <xf numFmtId="1" fontId="10" fillId="13" borderId="1" xfId="0" applyNumberFormat="1" applyFont="1" applyFill="1" applyBorder="1" applyProtection="1">
      <protection locked="0"/>
    </xf>
    <xf numFmtId="1" fontId="107" fillId="0" borderId="29" xfId="0" applyNumberFormat="1" applyFont="1" applyBorder="1" applyAlignment="1" applyProtection="1">
      <alignment horizontal="left"/>
      <protection locked="0"/>
    </xf>
    <xf numFmtId="1" fontId="13" fillId="10" borderId="25" xfId="0" applyNumberFormat="1" applyFont="1" applyFill="1" applyBorder="1" applyAlignment="1" applyProtection="1">
      <alignment horizontal="center"/>
      <protection locked="0"/>
    </xf>
    <xf numFmtId="1" fontId="17" fillId="5" borderId="20" xfId="0" applyNumberFormat="1" applyFont="1" applyFill="1" applyBorder="1" applyAlignment="1" applyProtection="1">
      <alignment horizontal="center" vertical="center"/>
      <protection locked="0"/>
    </xf>
    <xf numFmtId="1" fontId="17" fillId="10" borderId="20" xfId="0" applyNumberFormat="1" applyFont="1" applyFill="1" applyBorder="1" applyAlignment="1" applyProtection="1">
      <alignment horizontal="center" vertical="center"/>
      <protection locked="0"/>
    </xf>
    <xf numFmtId="1" fontId="17" fillId="10" borderId="21" xfId="0" applyNumberFormat="1" applyFont="1" applyFill="1" applyBorder="1" applyAlignment="1" applyProtection="1">
      <alignment horizontal="center" vertical="center"/>
      <protection locked="0"/>
    </xf>
    <xf numFmtId="1" fontId="1" fillId="3" borderId="3" xfId="0" applyNumberFormat="1" applyFont="1" applyFill="1" applyBorder="1" applyAlignment="1" applyProtection="1">
      <alignment horizontal="center" vertical="center"/>
      <protection hidden="1"/>
    </xf>
    <xf numFmtId="1" fontId="58" fillId="5" borderId="1" xfId="0" applyNumberFormat="1" applyFont="1" applyFill="1" applyBorder="1" applyAlignment="1" applyProtection="1">
      <alignment vertical="center"/>
      <protection hidden="1"/>
    </xf>
    <xf numFmtId="0" fontId="0" fillId="37" borderId="67" xfId="0" applyFill="1" applyBorder="1" applyProtection="1">
      <protection hidden="1"/>
    </xf>
    <xf numFmtId="0" fontId="0" fillId="37" borderId="33" xfId="0" applyFill="1" applyBorder="1" applyProtection="1">
      <protection hidden="1"/>
    </xf>
    <xf numFmtId="0" fontId="0" fillId="37" borderId="14" xfId="0" applyFill="1" applyBorder="1" applyProtection="1">
      <protection hidden="1"/>
    </xf>
    <xf numFmtId="0" fontId="0" fillId="37" borderId="25" xfId="0" applyFill="1" applyBorder="1" applyProtection="1">
      <protection hidden="1"/>
    </xf>
    <xf numFmtId="0" fontId="10" fillId="0" borderId="29" xfId="0" applyFont="1" applyBorder="1" applyAlignment="1" applyProtection="1">
      <alignment horizontal="left" vertical="center"/>
      <protection locked="0"/>
    </xf>
    <xf numFmtId="164" fontId="1" fillId="0" borderId="3" xfId="0" applyNumberFormat="1" applyFont="1" applyFill="1" applyBorder="1" applyAlignment="1" applyProtection="1">
      <alignment horizontal="center" vertical="center"/>
      <protection locked="0"/>
    </xf>
    <xf numFmtId="0" fontId="0" fillId="0" borderId="29" xfId="0" applyBorder="1" applyAlignment="1" applyProtection="1">
      <alignment vertical="center"/>
      <protection locked="0"/>
    </xf>
    <xf numFmtId="0" fontId="76" fillId="5" borderId="1" xfId="0" applyFont="1" applyFill="1" applyBorder="1" applyAlignment="1" applyProtection="1">
      <alignment horizontal="center" vertical="center"/>
      <protection locked="0"/>
    </xf>
    <xf numFmtId="0" fontId="16" fillId="0" borderId="33" xfId="0" applyFont="1" applyBorder="1" applyAlignment="1" applyProtection="1">
      <alignment vertical="center"/>
      <protection locked="0"/>
    </xf>
    <xf numFmtId="0" fontId="10" fillId="5" borderId="1" xfId="0" applyFont="1" applyFill="1" applyBorder="1" applyAlignment="1" applyProtection="1">
      <alignment vertical="center"/>
      <protection locked="0"/>
    </xf>
    <xf numFmtId="1" fontId="82" fillId="0" borderId="0" xfId="0" applyNumberFormat="1" applyFont="1" applyAlignment="1" applyProtection="1">
      <alignment horizontal="center" vertical="center"/>
      <protection locked="0"/>
    </xf>
    <xf numFmtId="1" fontId="0" fillId="0" borderId="0" xfId="0" applyNumberFormat="1" applyAlignment="1" applyProtection="1">
      <alignment horizontal="left" vertical="center" indent="1"/>
      <protection locked="0"/>
    </xf>
    <xf numFmtId="1" fontId="65" fillId="0" borderId="0" xfId="0" applyNumberFormat="1" applyFont="1" applyAlignment="1" applyProtection="1">
      <alignment horizontal="left" vertical="center"/>
      <protection locked="0"/>
    </xf>
    <xf numFmtId="1" fontId="20" fillId="0" borderId="0" xfId="0" applyNumberFormat="1" applyFont="1" applyFill="1" applyBorder="1" applyAlignment="1" applyProtection="1">
      <alignment horizontal="center" vertical="center"/>
      <protection locked="0"/>
    </xf>
    <xf numFmtId="1" fontId="27" fillId="0" borderId="0" xfId="0" applyNumberFormat="1" applyFont="1" applyFill="1" applyAlignment="1" applyProtection="1">
      <alignment horizontal="center" vertical="center"/>
      <protection locked="0"/>
    </xf>
    <xf numFmtId="1" fontId="34" fillId="0" borderId="0" xfId="0" applyNumberFormat="1" applyFont="1" applyFill="1" applyProtection="1">
      <protection locked="0"/>
    </xf>
    <xf numFmtId="1" fontId="82" fillId="0" borderId="67" xfId="0" applyNumberFormat="1" applyFont="1" applyBorder="1" applyAlignment="1" applyProtection="1">
      <alignment horizontal="center" vertical="center"/>
      <protection locked="0"/>
    </xf>
    <xf numFmtId="1" fontId="0" fillId="0" borderId="2" xfId="0" applyNumberFormat="1" applyBorder="1" applyAlignment="1" applyProtection="1">
      <protection locked="0"/>
    </xf>
    <xf numFmtId="1" fontId="23" fillId="0" borderId="33" xfId="0" applyNumberFormat="1" applyFont="1" applyBorder="1" applyAlignment="1" applyProtection="1">
      <alignment horizontal="left" vertical="center" indent="1"/>
      <protection locked="0"/>
    </xf>
    <xf numFmtId="1" fontId="32" fillId="9" borderId="1" xfId="0" applyNumberFormat="1" applyFont="1" applyFill="1" applyBorder="1" applyAlignment="1" applyProtection="1">
      <alignment horizontal="center" vertical="center"/>
      <protection locked="0"/>
    </xf>
    <xf numFmtId="1" fontId="82" fillId="0" borderId="68" xfId="0" applyNumberFormat="1" applyFont="1" applyBorder="1" applyAlignment="1" applyProtection="1">
      <alignment horizontal="center" vertical="center"/>
      <protection locked="0"/>
    </xf>
    <xf numFmtId="1" fontId="0" fillId="0" borderId="5" xfId="0" applyNumberFormat="1" applyBorder="1" applyAlignment="1" applyProtection="1">
      <protection locked="0"/>
    </xf>
    <xf numFmtId="1" fontId="32" fillId="9" borderId="2" xfId="0" applyNumberFormat="1" applyFont="1" applyFill="1" applyBorder="1" applyAlignment="1" applyProtection="1">
      <alignment horizontal="center" vertical="center"/>
      <protection locked="0"/>
    </xf>
    <xf numFmtId="1" fontId="82" fillId="5" borderId="7" xfId="0" applyNumberFormat="1" applyFon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protection locked="0"/>
    </xf>
    <xf numFmtId="1" fontId="0" fillId="5" borderId="6" xfId="0" applyNumberFormat="1" applyFill="1" applyBorder="1" applyAlignment="1" applyProtection="1">
      <alignment horizontal="left" vertical="center" indent="1"/>
      <protection locked="0"/>
    </xf>
    <xf numFmtId="1" fontId="32" fillId="5" borderId="1" xfId="0" applyNumberFormat="1" applyFont="1" applyFill="1" applyBorder="1" applyAlignment="1" applyProtection="1">
      <alignment horizontal="center" vertical="center"/>
      <protection locked="0"/>
    </xf>
    <xf numFmtId="1" fontId="5" fillId="5" borderId="1" xfId="0" applyNumberFormat="1" applyFont="1" applyFill="1" applyBorder="1" applyAlignment="1" applyProtection="1">
      <alignment horizontal="center" vertical="center"/>
      <protection locked="0"/>
    </xf>
    <xf numFmtId="1" fontId="23" fillId="5" borderId="1" xfId="0" applyNumberFormat="1" applyFont="1" applyFill="1" applyBorder="1" applyAlignment="1" applyProtection="1">
      <alignment horizontal="left" vertical="center" indent="1"/>
      <protection locked="0"/>
    </xf>
    <xf numFmtId="1" fontId="23" fillId="5" borderId="1" xfId="0" applyNumberFormat="1" applyFont="1" applyFill="1" applyBorder="1" applyAlignment="1" applyProtection="1">
      <alignment horizontal="center" vertical="center"/>
      <protection locked="0"/>
    </xf>
    <xf numFmtId="1" fontId="82" fillId="0" borderId="2" xfId="0" applyNumberFormat="1" applyFont="1" applyBorder="1" applyAlignment="1" applyProtection="1">
      <alignment horizontal="center" vertical="center"/>
      <protection locked="0"/>
    </xf>
    <xf numFmtId="1" fontId="82" fillId="0" borderId="5" xfId="0" applyNumberFormat="1" applyFont="1" applyBorder="1" applyAlignment="1" applyProtection="1">
      <alignment horizontal="center" vertical="center"/>
      <protection locked="0"/>
    </xf>
    <xf numFmtId="1" fontId="82" fillId="0" borderId="3" xfId="0" applyNumberFormat="1" applyFont="1" applyBorder="1" applyAlignment="1" applyProtection="1">
      <alignment horizontal="center" vertical="center"/>
      <protection locked="0"/>
    </xf>
    <xf numFmtId="1" fontId="82" fillId="6" borderId="0" xfId="0" applyNumberFormat="1" applyFont="1" applyFill="1" applyAlignment="1" applyProtection="1">
      <alignment horizontal="center" vertical="center"/>
      <protection locked="0"/>
    </xf>
    <xf numFmtId="1" fontId="0" fillId="6" borderId="0" xfId="0" applyNumberFormat="1" applyFill="1" applyProtection="1">
      <protection locked="0"/>
    </xf>
    <xf numFmtId="1" fontId="0" fillId="6" borderId="0" xfId="0" applyNumberFormat="1" applyFill="1" applyAlignment="1" applyProtection="1">
      <alignment horizontal="left" vertical="center" indent="1"/>
      <protection locked="0"/>
    </xf>
    <xf numFmtId="1" fontId="20" fillId="6" borderId="0" xfId="0" applyNumberFormat="1" applyFont="1" applyFill="1" applyProtection="1">
      <protection locked="0"/>
    </xf>
    <xf numFmtId="1" fontId="5" fillId="3" borderId="1" xfId="0" applyNumberFormat="1" applyFont="1" applyFill="1" applyBorder="1" applyAlignment="1" applyProtection="1">
      <alignment horizontal="center" vertical="center"/>
      <protection hidden="1"/>
    </xf>
    <xf numFmtId="1" fontId="5" fillId="3" borderId="2" xfId="0" applyNumberFormat="1" applyFont="1" applyFill="1" applyBorder="1" applyAlignment="1" applyProtection="1">
      <alignment horizontal="center" vertical="center"/>
      <protection hidden="1"/>
    </xf>
    <xf numFmtId="0" fontId="1" fillId="7" borderId="0" xfId="0" applyFont="1" applyFill="1" applyProtection="1">
      <protection locked="0"/>
    </xf>
    <xf numFmtId="0" fontId="1" fillId="7" borderId="0" xfId="0" applyFont="1" applyFill="1" applyBorder="1" applyAlignment="1" applyProtection="1">
      <protection locked="0"/>
    </xf>
    <xf numFmtId="0" fontId="1" fillId="7" borderId="0" xfId="0" applyFont="1" applyFill="1" applyAlignment="1" applyProtection="1">
      <alignment horizontal="center"/>
      <protection locked="0"/>
    </xf>
    <xf numFmtId="0" fontId="4" fillId="7" borderId="0" xfId="0" applyFont="1" applyFill="1" applyAlignment="1" applyProtection="1">
      <alignment horizontal="center" vertical="center"/>
      <protection locked="0"/>
    </xf>
    <xf numFmtId="0" fontId="95" fillId="7" borderId="0" xfId="0" applyFont="1" applyFill="1" applyAlignment="1" applyProtection="1">
      <alignment vertical="center"/>
      <protection locked="0"/>
    </xf>
    <xf numFmtId="0" fontId="1" fillId="7" borderId="0" xfId="0" applyFont="1" applyFill="1" applyBorder="1" applyProtection="1">
      <protection locked="0"/>
    </xf>
    <xf numFmtId="0" fontId="6" fillId="7" borderId="0" xfId="0" applyFont="1" applyFill="1" applyBorder="1" applyAlignment="1" applyProtection="1">
      <alignment vertical="center"/>
      <protection locked="0"/>
    </xf>
    <xf numFmtId="0" fontId="95" fillId="7" borderId="0" xfId="0" applyFont="1" applyFill="1" applyAlignment="1" applyProtection="1">
      <alignment horizontal="left" vertical="center"/>
      <protection locked="0"/>
    </xf>
    <xf numFmtId="0" fontId="95" fillId="7" borderId="0" xfId="0" applyFont="1" applyFill="1" applyAlignment="1" applyProtection="1">
      <alignment horizontal="center" vertical="center" wrapText="1"/>
      <protection locked="0"/>
    </xf>
    <xf numFmtId="0" fontId="23" fillId="7" borderId="0" xfId="0" applyFont="1" applyFill="1" applyProtection="1">
      <protection locked="0"/>
    </xf>
    <xf numFmtId="0" fontId="0" fillId="7" borderId="0" xfId="0" applyFill="1" applyProtection="1">
      <protection locked="0"/>
    </xf>
    <xf numFmtId="0" fontId="142" fillId="7" borderId="0" xfId="0" applyFont="1" applyFill="1" applyProtection="1">
      <protection locked="0"/>
    </xf>
    <xf numFmtId="0" fontId="143" fillId="7" borderId="0" xfId="0" applyFont="1" applyFill="1" applyProtection="1">
      <protection locked="0"/>
    </xf>
    <xf numFmtId="0" fontId="95" fillId="13" borderId="0" xfId="0" applyFont="1" applyFill="1" applyAlignment="1" applyProtection="1">
      <alignment horizontal="left" vertical="center"/>
      <protection locked="0"/>
    </xf>
    <xf numFmtId="0" fontId="1" fillId="0" borderId="0" xfId="0" applyFont="1" applyProtection="1">
      <protection hidden="1"/>
    </xf>
    <xf numFmtId="0" fontId="1" fillId="7" borderId="0" xfId="0" applyFont="1" applyFill="1" applyProtection="1">
      <protection hidden="1"/>
    </xf>
    <xf numFmtId="0" fontId="1" fillId="0" borderId="0" xfId="0" applyFont="1" applyAlignment="1" applyProtection="1">
      <protection hidden="1"/>
    </xf>
    <xf numFmtId="0" fontId="1" fillId="0" borderId="8" xfId="0" quotePrefix="1" applyFont="1" applyBorder="1" applyAlignment="1" applyProtection="1">
      <alignment horizontal="center" vertical="center"/>
      <protection hidden="1"/>
    </xf>
    <xf numFmtId="0" fontId="1" fillId="7" borderId="0" xfId="0" applyFont="1" applyFill="1" applyAlignment="1" applyProtection="1">
      <protection hidden="1"/>
    </xf>
    <xf numFmtId="0" fontId="1" fillId="0" borderId="0" xfId="0" quotePrefix="1" applyFont="1" applyProtection="1">
      <protection hidden="1"/>
    </xf>
    <xf numFmtId="0" fontId="1" fillId="0" borderId="0" xfId="0" applyFont="1" applyAlignment="1" applyProtection="1">
      <alignment horizontal="right" vertical="center"/>
      <protection hidden="1"/>
    </xf>
    <xf numFmtId="0" fontId="5" fillId="0" borderId="0" xfId="0" applyFont="1" applyAlignment="1" applyProtection="1">
      <alignment vertical="center"/>
      <protection hidden="1"/>
    </xf>
    <xf numFmtId="0" fontId="66" fillId="0" borderId="0" xfId="0" applyFont="1" applyAlignment="1" applyProtection="1">
      <alignment horizontal="left" vertical="center"/>
      <protection hidden="1"/>
    </xf>
    <xf numFmtId="0" fontId="5" fillId="0" borderId="0" xfId="0" applyFont="1" applyAlignment="1" applyProtection="1">
      <alignment horizontal="left" vertical="center"/>
      <protection hidden="1"/>
    </xf>
    <xf numFmtId="0" fontId="95" fillId="0" borderId="0" xfId="0" applyFont="1" applyAlignment="1" applyProtection="1">
      <alignment horizontal="left" vertical="center"/>
      <protection hidden="1"/>
    </xf>
    <xf numFmtId="0" fontId="5" fillId="0" borderId="0" xfId="0" applyFont="1" applyProtection="1">
      <protection hidden="1"/>
    </xf>
    <xf numFmtId="0" fontId="95" fillId="0" borderId="0" xfId="0" applyFont="1" applyAlignment="1" applyProtection="1">
      <alignment horizontal="left"/>
      <protection hidden="1"/>
    </xf>
    <xf numFmtId="0" fontId="1" fillId="0" borderId="0" xfId="0" applyFont="1" applyAlignment="1" applyProtection="1">
      <alignment horizontal="left"/>
      <protection hidden="1"/>
    </xf>
    <xf numFmtId="0" fontId="71" fillId="0" borderId="0" xfId="0" applyFont="1" applyAlignment="1" applyProtection="1">
      <alignment horizontal="center" vertical="center"/>
      <protection hidden="1"/>
    </xf>
    <xf numFmtId="0" fontId="71" fillId="0" borderId="0" xfId="0" applyFont="1" applyProtection="1">
      <protection hidden="1"/>
    </xf>
    <xf numFmtId="0" fontId="2" fillId="0" borderId="0" xfId="0" applyFont="1" applyAlignment="1" applyProtection="1">
      <alignment vertical="center"/>
      <protection hidden="1"/>
    </xf>
    <xf numFmtId="0" fontId="2" fillId="0" borderId="0" xfId="0" applyFont="1" applyProtection="1">
      <protection hidden="1"/>
    </xf>
    <xf numFmtId="0" fontId="88" fillId="0" borderId="0" xfId="0" applyFont="1" applyAlignment="1" applyProtection="1">
      <alignment vertical="center"/>
      <protection hidden="1"/>
    </xf>
    <xf numFmtId="0" fontId="70" fillId="0" borderId="0" xfId="0" applyFont="1" applyAlignment="1" applyProtection="1">
      <alignment horizontal="center" vertical="center"/>
      <protection hidden="1"/>
    </xf>
    <xf numFmtId="0" fontId="2" fillId="0" borderId="0" xfId="0" applyFont="1" applyAlignment="1" applyProtection="1">
      <alignment horizontal="left" vertical="center"/>
      <protection hidden="1"/>
    </xf>
    <xf numFmtId="0" fontId="66" fillId="0" borderId="0" xfId="0" applyFont="1" applyProtection="1">
      <protection hidden="1"/>
    </xf>
    <xf numFmtId="0" fontId="1" fillId="0" borderId="67" xfId="0" applyFont="1" applyBorder="1" applyAlignment="1" applyProtection="1">
      <alignment horizontal="center"/>
      <protection hidden="1"/>
    </xf>
    <xf numFmtId="0" fontId="66" fillId="0" borderId="4" xfId="0" applyFont="1" applyBorder="1" applyProtection="1">
      <protection hidden="1"/>
    </xf>
    <xf numFmtId="0" fontId="2" fillId="0" borderId="4" xfId="0" applyFont="1" applyBorder="1" applyProtection="1">
      <protection hidden="1"/>
    </xf>
    <xf numFmtId="0" fontId="1" fillId="0" borderId="4" xfId="0" applyFont="1" applyBorder="1" applyProtection="1">
      <protection hidden="1"/>
    </xf>
    <xf numFmtId="0" fontId="1" fillId="0" borderId="33" xfId="0" applyFont="1" applyBorder="1" applyProtection="1">
      <protection hidden="1"/>
    </xf>
    <xf numFmtId="0" fontId="1" fillId="0" borderId="68" xfId="0" applyFont="1" applyBorder="1" applyProtection="1">
      <protection hidden="1"/>
    </xf>
    <xf numFmtId="0" fontId="2" fillId="0" borderId="0" xfId="0" applyFont="1" applyBorder="1" applyProtection="1">
      <protection hidden="1"/>
    </xf>
    <xf numFmtId="0" fontId="1" fillId="0" borderId="0" xfId="0" applyFont="1" applyBorder="1" applyProtection="1">
      <protection hidden="1"/>
    </xf>
    <xf numFmtId="0" fontId="1" fillId="0" borderId="29" xfId="0" applyFont="1" applyBorder="1" applyProtection="1">
      <protection hidden="1"/>
    </xf>
    <xf numFmtId="0" fontId="1" fillId="0" borderId="14" xfId="0" applyFont="1" applyBorder="1" applyProtection="1">
      <protection hidden="1"/>
    </xf>
    <xf numFmtId="0" fontId="1" fillId="0" borderId="60" xfId="0" applyFont="1" applyBorder="1" applyProtection="1">
      <protection hidden="1"/>
    </xf>
    <xf numFmtId="0" fontId="1" fillId="0" borderId="25" xfId="0" applyFont="1" applyBorder="1" applyProtection="1">
      <protection hidden="1"/>
    </xf>
    <xf numFmtId="0" fontId="66" fillId="0" borderId="4" xfId="0" applyFont="1" applyBorder="1" applyAlignment="1" applyProtection="1">
      <protection hidden="1"/>
    </xf>
    <xf numFmtId="0" fontId="2" fillId="0" borderId="33" xfId="0" applyFont="1" applyBorder="1" applyProtection="1">
      <protection hidden="1"/>
    </xf>
    <xf numFmtId="0" fontId="2" fillId="0" borderId="68" xfId="0" applyFont="1" applyBorder="1" applyProtection="1">
      <protection hidden="1"/>
    </xf>
    <xf numFmtId="0" fontId="2" fillId="0" borderId="29" xfId="0" applyFont="1" applyBorder="1" applyProtection="1">
      <protection hidden="1"/>
    </xf>
    <xf numFmtId="0" fontId="1" fillId="0" borderId="0" xfId="0" applyFont="1" applyBorder="1" applyAlignment="1" applyProtection="1">
      <alignment vertical="top"/>
      <protection hidden="1"/>
    </xf>
    <xf numFmtId="0" fontId="1" fillId="0" borderId="0" xfId="0" applyFont="1" applyBorder="1" applyAlignment="1" applyProtection="1">
      <alignment vertical="top" wrapText="1"/>
      <protection hidden="1"/>
    </xf>
    <xf numFmtId="0" fontId="2" fillId="0" borderId="0" xfId="0" applyFont="1" applyBorder="1" applyAlignment="1" applyProtection="1">
      <alignment vertical="center"/>
      <protection hidden="1"/>
    </xf>
    <xf numFmtId="0" fontId="2" fillId="0" borderId="0" xfId="0" applyFont="1" applyBorder="1" applyAlignment="1" applyProtection="1">
      <alignment vertical="center" wrapText="1"/>
      <protection hidden="1"/>
    </xf>
    <xf numFmtId="0" fontId="1" fillId="7" borderId="0" xfId="0" applyFont="1" applyFill="1" applyBorder="1" applyProtection="1">
      <protection hidden="1"/>
    </xf>
    <xf numFmtId="0" fontId="1" fillId="0" borderId="0" xfId="0" applyFont="1" applyBorder="1" applyAlignment="1" applyProtection="1">
      <alignment horizontal="center" vertical="top"/>
      <protection hidden="1"/>
    </xf>
    <xf numFmtId="0" fontId="1" fillId="0" borderId="0" xfId="0" applyFont="1" applyBorder="1" applyAlignment="1" applyProtection="1">
      <alignment horizontal="left" vertical="top" wrapText="1"/>
      <protection hidden="1"/>
    </xf>
    <xf numFmtId="164" fontId="2" fillId="0" borderId="0" xfId="0" applyNumberFormat="1" applyFont="1" applyBorder="1" applyAlignment="1" applyProtection="1">
      <alignment horizontal="center" vertical="center"/>
      <protection hidden="1"/>
    </xf>
    <xf numFmtId="0" fontId="2" fillId="0" borderId="0" xfId="0" applyFont="1" applyBorder="1" applyAlignment="1" applyProtection="1">
      <alignment horizontal="center" vertical="center"/>
      <protection hidden="1"/>
    </xf>
    <xf numFmtId="0" fontId="2" fillId="0" borderId="0" xfId="0" applyFont="1" applyBorder="1" applyAlignment="1" applyProtection="1">
      <alignment horizontal="left" vertical="center" wrapText="1"/>
      <protection hidden="1"/>
    </xf>
    <xf numFmtId="0" fontId="66" fillId="0" borderId="0" xfId="0" applyFont="1" applyAlignment="1" applyProtection="1">
      <alignment vertical="center"/>
      <protection hidden="1"/>
    </xf>
    <xf numFmtId="0" fontId="1" fillId="0" borderId="67" xfId="0" applyFont="1" applyBorder="1" applyProtection="1">
      <protection hidden="1"/>
    </xf>
    <xf numFmtId="0" fontId="94" fillId="0" borderId="0" xfId="0" applyFont="1" applyBorder="1" applyProtection="1">
      <protection hidden="1"/>
    </xf>
    <xf numFmtId="0" fontId="1" fillId="0" borderId="0" xfId="0" applyFont="1" applyBorder="1" applyAlignment="1" applyProtection="1">
      <protection hidden="1"/>
    </xf>
    <xf numFmtId="0" fontId="66" fillId="0" borderId="0" xfId="0" applyFont="1" applyBorder="1" applyProtection="1">
      <protection hidden="1"/>
    </xf>
    <xf numFmtId="0" fontId="120" fillId="0" borderId="0" xfId="0" applyFont="1" applyAlignment="1" applyProtection="1">
      <alignment horizontal="left"/>
      <protection hidden="1"/>
    </xf>
    <xf numFmtId="0" fontId="71" fillId="0" borderId="0" xfId="0" applyFont="1" applyAlignment="1" applyProtection="1">
      <alignment horizontal="center"/>
      <protection hidden="1"/>
    </xf>
    <xf numFmtId="0" fontId="1" fillId="0" borderId="0" xfId="0" applyFont="1" applyAlignment="1" applyProtection="1">
      <alignment horizontal="center"/>
      <protection hidden="1"/>
    </xf>
    <xf numFmtId="0" fontId="5" fillId="0" borderId="67" xfId="0" applyFont="1" applyBorder="1" applyAlignment="1" applyProtection="1">
      <alignment horizontal="left" vertical="center"/>
      <protection hidden="1"/>
    </xf>
    <xf numFmtId="0" fontId="1" fillId="0" borderId="4" xfId="0" applyFont="1" applyBorder="1" applyAlignment="1" applyProtection="1">
      <protection hidden="1"/>
    </xf>
    <xf numFmtId="0" fontId="1" fillId="0" borderId="33" xfId="0" applyFont="1" applyBorder="1" applyAlignment="1" applyProtection="1">
      <protection hidden="1"/>
    </xf>
    <xf numFmtId="0" fontId="1" fillId="0" borderId="68" xfId="0" applyFont="1" applyBorder="1" applyAlignment="1" applyProtection="1">
      <alignment horizontal="left" vertical="center"/>
      <protection hidden="1"/>
    </xf>
    <xf numFmtId="0" fontId="1" fillId="0" borderId="29" xfId="0" applyFont="1" applyBorder="1" applyAlignment="1" applyProtection="1">
      <protection hidden="1"/>
    </xf>
    <xf numFmtId="0" fontId="1" fillId="0" borderId="14" xfId="0" applyFont="1" applyBorder="1" applyAlignment="1" applyProtection="1">
      <alignment horizontal="left" vertical="center"/>
      <protection hidden="1"/>
    </xf>
    <xf numFmtId="0" fontId="1" fillId="0" borderId="60" xfId="0" applyFont="1" applyBorder="1" applyAlignment="1" applyProtection="1">
      <protection hidden="1"/>
    </xf>
    <xf numFmtId="0" fontId="1" fillId="0" borderId="25" xfId="0" applyFont="1" applyBorder="1" applyAlignment="1" applyProtection="1">
      <protection hidden="1"/>
    </xf>
    <xf numFmtId="0" fontId="1" fillId="0" borderId="67" xfId="0" applyFont="1" applyBorder="1" applyAlignment="1" applyProtection="1">
      <alignment horizontal="left"/>
      <protection hidden="1"/>
    </xf>
    <xf numFmtId="0" fontId="1" fillId="0" borderId="68" xfId="0" applyFont="1" applyBorder="1" applyAlignment="1" applyProtection="1">
      <protection hidden="1"/>
    </xf>
    <xf numFmtId="0" fontId="1" fillId="0" borderId="29" xfId="0" applyFont="1" applyBorder="1" applyAlignment="1" applyProtection="1">
      <alignment horizontal="left" vertical="center"/>
      <protection hidden="1"/>
    </xf>
    <xf numFmtId="0" fontId="1" fillId="0" borderId="68" xfId="0" applyFont="1" applyBorder="1" applyAlignment="1" applyProtection="1">
      <alignment horizontal="center" vertical="center"/>
      <protection hidden="1"/>
    </xf>
    <xf numFmtId="0" fontId="1" fillId="0" borderId="67" xfId="0" applyFont="1" applyBorder="1" applyAlignment="1" applyProtection="1">
      <alignment horizontal="left" vertical="center" indent="1"/>
      <protection hidden="1"/>
    </xf>
    <xf numFmtId="0" fontId="1" fillId="0" borderId="4" xfId="0" applyFont="1" applyBorder="1" applyAlignment="1" applyProtection="1">
      <alignment vertical="center"/>
      <protection hidden="1"/>
    </xf>
    <xf numFmtId="0" fontId="1" fillId="0" borderId="68" xfId="0" applyFont="1" applyBorder="1" applyAlignment="1" applyProtection="1">
      <alignment horizontal="left" vertical="center" indent="1"/>
      <protection hidden="1"/>
    </xf>
    <xf numFmtId="0" fontId="1" fillId="0" borderId="0" xfId="0" applyFont="1" applyBorder="1" applyAlignment="1" applyProtection="1">
      <alignment vertical="center"/>
      <protection hidden="1"/>
    </xf>
    <xf numFmtId="0" fontId="1" fillId="0" borderId="68" xfId="0" applyFont="1" applyBorder="1" applyAlignment="1" applyProtection="1">
      <alignment horizontal="left" indent="1"/>
      <protection hidden="1"/>
    </xf>
    <xf numFmtId="0" fontId="1" fillId="0" borderId="25" xfId="0" applyFont="1" applyBorder="1" applyAlignment="1" applyProtection="1">
      <alignment horizontal="left" vertical="center"/>
      <protection hidden="1"/>
    </xf>
    <xf numFmtId="0" fontId="1" fillId="0" borderId="14" xfId="0" applyFont="1" applyBorder="1" applyAlignment="1" applyProtection="1">
      <alignment horizontal="center" vertical="center"/>
      <protection hidden="1"/>
    </xf>
    <xf numFmtId="0" fontId="1" fillId="0" borderId="14" xfId="0" applyFont="1" applyBorder="1" applyAlignment="1" applyProtection="1">
      <alignment horizontal="left" vertical="center" indent="1"/>
      <protection hidden="1"/>
    </xf>
    <xf numFmtId="0" fontId="2" fillId="0" borderId="1" xfId="0" applyFont="1" applyBorder="1" applyAlignment="1" applyProtection="1">
      <alignment horizontal="center" vertical="center"/>
      <protection locked="0"/>
    </xf>
    <xf numFmtId="0" fontId="2" fillId="5" borderId="1" xfId="0" applyFont="1" applyFill="1" applyBorder="1" applyAlignment="1" applyProtection="1">
      <alignment horizontal="center" vertical="center"/>
      <protection locked="0"/>
    </xf>
    <xf numFmtId="0" fontId="0" fillId="11" borderId="20" xfId="0"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1" fontId="0" fillId="0" borderId="1" xfId="0" applyNumberFormat="1" applyFont="1" applyBorder="1" applyAlignment="1" applyProtection="1">
      <alignment horizontal="center" vertical="center"/>
      <protection locked="0"/>
    </xf>
    <xf numFmtId="0" fontId="29" fillId="0" borderId="0" xfId="0" applyFont="1" applyFill="1" applyProtection="1">
      <protection locked="0"/>
    </xf>
    <xf numFmtId="0" fontId="0" fillId="9" borderId="68" xfId="0"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37" borderId="67" xfId="0" applyFill="1" applyBorder="1" applyAlignment="1" applyProtection="1">
      <alignment horizontal="center" vertical="center"/>
      <protection hidden="1"/>
    </xf>
    <xf numFmtId="0" fontId="0" fillId="8" borderId="2" xfId="0" applyFill="1" applyBorder="1" applyProtection="1">
      <protection hidden="1"/>
    </xf>
    <xf numFmtId="0" fontId="0" fillId="37" borderId="68" xfId="0" applyFill="1" applyBorder="1" applyAlignment="1" applyProtection="1">
      <alignment horizontal="center" vertical="center"/>
      <protection hidden="1"/>
    </xf>
    <xf numFmtId="0" fontId="0" fillId="8" borderId="5" xfId="0" applyFill="1" applyBorder="1" applyProtection="1">
      <protection hidden="1"/>
    </xf>
    <xf numFmtId="0" fontId="0" fillId="5" borderId="7" xfId="0" applyFill="1" applyBorder="1" applyAlignment="1" applyProtection="1">
      <protection hidden="1"/>
    </xf>
    <xf numFmtId="0" fontId="0" fillId="37" borderId="14" xfId="0" applyFill="1" applyBorder="1" applyAlignment="1" applyProtection="1">
      <alignment horizontal="center" vertical="center"/>
      <protection hidden="1"/>
    </xf>
    <xf numFmtId="0" fontId="0" fillId="8" borderId="3" xfId="0" applyFill="1" applyBorder="1" applyProtection="1">
      <protection hidden="1"/>
    </xf>
    <xf numFmtId="0" fontId="13" fillId="9" borderId="26" xfId="0" applyFont="1" applyFill="1" applyBorder="1" applyAlignment="1" applyProtection="1">
      <alignment horizontal="center" vertical="center"/>
      <protection locked="0"/>
    </xf>
    <xf numFmtId="0" fontId="26" fillId="2" borderId="14" xfId="0" applyFont="1" applyFill="1" applyBorder="1" applyAlignment="1" applyProtection="1">
      <alignment vertical="center"/>
      <protection locked="0"/>
    </xf>
    <xf numFmtId="0" fontId="26" fillId="2" borderId="60" xfId="0" applyFont="1" applyFill="1" applyBorder="1" applyAlignment="1" applyProtection="1">
      <alignment vertical="center"/>
      <protection locked="0"/>
    </xf>
    <xf numFmtId="0" fontId="26" fillId="7" borderId="60" xfId="0" applyFont="1" applyFill="1" applyBorder="1" applyAlignment="1" applyProtection="1">
      <alignment vertical="center"/>
      <protection locked="0"/>
    </xf>
    <xf numFmtId="0" fontId="0" fillId="10" borderId="20" xfId="0" applyFill="1" applyBorder="1" applyAlignment="1" applyProtection="1">
      <alignment horizontal="center" vertical="center"/>
      <protection locked="0"/>
    </xf>
    <xf numFmtId="1" fontId="23" fillId="0" borderId="2" xfId="0" applyNumberFormat="1" applyFont="1" applyBorder="1" applyAlignment="1" applyProtection="1">
      <alignment horizontal="center" vertical="center"/>
      <protection locked="0"/>
    </xf>
    <xf numFmtId="1" fontId="23" fillId="10" borderId="2" xfId="0" applyNumberFormat="1" applyFont="1" applyFill="1" applyBorder="1" applyAlignment="1" applyProtection="1">
      <alignment horizontal="center" vertical="center"/>
      <protection locked="0"/>
    </xf>
    <xf numFmtId="164" fontId="10" fillId="0" borderId="2" xfId="0" applyNumberFormat="1" applyFont="1" applyBorder="1" applyAlignment="1" applyProtection="1">
      <alignment horizontal="center" vertical="center"/>
      <protection hidden="1"/>
    </xf>
    <xf numFmtId="164" fontId="0" fillId="19" borderId="4" xfId="0" applyNumberFormat="1" applyFill="1" applyBorder="1" applyProtection="1">
      <protection hidden="1"/>
    </xf>
    <xf numFmtId="164" fontId="0" fillId="19" borderId="0" xfId="0" applyNumberFormat="1" applyFill="1" applyBorder="1" applyProtection="1">
      <protection hidden="1"/>
    </xf>
    <xf numFmtId="164" fontId="77" fillId="5" borderId="8" xfId="0" applyNumberFormat="1" applyFont="1" applyFill="1" applyBorder="1" applyAlignment="1" applyProtection="1">
      <alignment vertical="center"/>
      <protection hidden="1"/>
    </xf>
    <xf numFmtId="0" fontId="13" fillId="10" borderId="26" xfId="0" applyFont="1" applyFill="1" applyBorder="1" applyAlignment="1" applyProtection="1">
      <alignment horizontal="center" vertical="center"/>
      <protection locked="0"/>
    </xf>
    <xf numFmtId="0" fontId="85" fillId="12" borderId="3" xfId="0" applyFont="1" applyFill="1" applyBorder="1" applyAlignment="1" applyProtection="1">
      <alignment horizontal="center" vertical="center"/>
      <protection locked="0"/>
    </xf>
    <xf numFmtId="0" fontId="85" fillId="12" borderId="14" xfId="0" applyFont="1" applyFill="1" applyBorder="1" applyAlignment="1" applyProtection="1">
      <alignment horizontal="center" vertical="center"/>
      <protection locked="0"/>
    </xf>
    <xf numFmtId="0" fontId="85" fillId="9" borderId="3" xfId="0" applyFont="1" applyFill="1" applyBorder="1" applyAlignment="1" applyProtection="1">
      <alignment horizontal="center" vertical="center"/>
      <protection locked="0"/>
    </xf>
    <xf numFmtId="0" fontId="87" fillId="0" borderId="79" xfId="0" applyFont="1" applyBorder="1" applyAlignment="1" applyProtection="1">
      <alignment horizontal="center" vertical="center"/>
      <protection locked="0"/>
    </xf>
    <xf numFmtId="0" fontId="87" fillId="0" borderId="42" xfId="0" applyFont="1" applyBorder="1" applyAlignment="1" applyProtection="1">
      <alignment horizontal="center" vertical="center"/>
      <protection locked="0"/>
    </xf>
    <xf numFmtId="0" fontId="104" fillId="4" borderId="28" xfId="0" applyFont="1" applyFill="1" applyBorder="1" applyAlignment="1" applyProtection="1">
      <alignment horizontal="center" vertical="center"/>
      <protection locked="0"/>
    </xf>
    <xf numFmtId="0" fontId="104" fillId="4" borderId="79" xfId="0" applyFont="1" applyFill="1" applyBorder="1" applyAlignment="1" applyProtection="1">
      <alignment horizontal="center" vertical="center"/>
      <protection locked="0"/>
    </xf>
    <xf numFmtId="164" fontId="0" fillId="4" borderId="7" xfId="0" applyNumberFormat="1" applyFill="1" applyBorder="1" applyProtection="1">
      <protection hidden="1"/>
    </xf>
    <xf numFmtId="164" fontId="0" fillId="5" borderId="14" xfId="0" applyNumberFormat="1" applyFill="1" applyBorder="1" applyProtection="1">
      <protection hidden="1"/>
    </xf>
    <xf numFmtId="1" fontId="13" fillId="14" borderId="20" xfId="0" applyNumberFormat="1" applyFont="1" applyFill="1" applyBorder="1" applyAlignment="1" applyProtection="1">
      <alignment horizontal="center" vertical="center"/>
      <protection locked="0"/>
    </xf>
    <xf numFmtId="0" fontId="0" fillId="12" borderId="5" xfId="0" applyFill="1" applyBorder="1" applyAlignment="1" applyProtection="1">
      <alignment horizontal="center" vertical="center"/>
      <protection locked="0"/>
    </xf>
    <xf numFmtId="0" fontId="0" fillId="9" borderId="73" xfId="0" applyFill="1" applyBorder="1" applyAlignment="1" applyProtection="1">
      <alignment horizontal="center" vertical="center"/>
      <protection locked="0"/>
    </xf>
    <xf numFmtId="0" fontId="13" fillId="32" borderId="20" xfId="0" applyFont="1" applyFill="1" applyBorder="1" applyAlignment="1" applyProtection="1">
      <alignment horizontal="center" vertical="center"/>
      <protection locked="0"/>
    </xf>
    <xf numFmtId="0" fontId="0" fillId="11" borderId="20" xfId="0" applyFont="1" applyFill="1" applyBorder="1" applyAlignment="1" applyProtection="1">
      <alignment horizontal="center" vertical="center"/>
      <protection locked="0"/>
    </xf>
    <xf numFmtId="0" fontId="0" fillId="14" borderId="20" xfId="0" applyFont="1" applyFill="1" applyBorder="1" applyAlignment="1" applyProtection="1">
      <alignment horizontal="center" vertical="center"/>
      <protection locked="0"/>
    </xf>
    <xf numFmtId="0" fontId="75" fillId="0" borderId="5" xfId="0" applyFont="1" applyBorder="1" applyAlignment="1" applyProtection="1">
      <alignment horizontal="left" vertical="center" indent="1"/>
      <protection locked="0"/>
    </xf>
    <xf numFmtId="0" fontId="0" fillId="0" borderId="5" xfId="0" applyFont="1" applyBorder="1" applyAlignment="1" applyProtection="1">
      <alignment horizontal="left" indent="1"/>
      <protection locked="0"/>
    </xf>
    <xf numFmtId="0" fontId="75" fillId="0" borderId="2" xfId="0" applyFont="1" applyBorder="1" applyAlignment="1" applyProtection="1">
      <alignment horizontal="left" vertical="center" indent="1"/>
      <protection locked="0"/>
    </xf>
    <xf numFmtId="0" fontId="0" fillId="39" borderId="7" xfId="0" applyFill="1" applyBorder="1" applyAlignment="1" applyProtection="1">
      <alignment horizontal="center" vertical="center"/>
      <protection hidden="1"/>
    </xf>
    <xf numFmtId="1" fontId="73" fillId="5" borderId="1" xfId="0" applyNumberFormat="1" applyFont="1" applyFill="1" applyBorder="1" applyAlignment="1" applyProtection="1">
      <alignment horizontal="center" vertical="center"/>
      <protection hidden="1"/>
    </xf>
    <xf numFmtId="1" fontId="13" fillId="9" borderId="67" xfId="0" applyNumberFormat="1" applyFont="1" applyFill="1" applyBorder="1" applyAlignment="1" applyProtection="1">
      <alignment horizontal="center" vertical="center"/>
      <protection locked="0"/>
    </xf>
    <xf numFmtId="1" fontId="13" fillId="9" borderId="4" xfId="0" applyNumberFormat="1" applyFont="1" applyFill="1" applyBorder="1" applyAlignment="1" applyProtection="1">
      <alignment horizontal="center" vertical="center"/>
      <protection locked="0"/>
    </xf>
    <xf numFmtId="1" fontId="13" fillId="14" borderId="4" xfId="0" applyNumberFormat="1" applyFont="1" applyFill="1" applyBorder="1" applyAlignment="1" applyProtection="1">
      <alignment horizontal="center" vertical="center"/>
      <protection locked="0"/>
    </xf>
    <xf numFmtId="1" fontId="13" fillId="14" borderId="33" xfId="0" applyNumberFormat="1" applyFont="1" applyFill="1" applyBorder="1" applyAlignment="1" applyProtection="1">
      <alignment horizontal="center" vertical="center"/>
      <protection locked="0"/>
    </xf>
    <xf numFmtId="1" fontId="13" fillId="10" borderId="67" xfId="0" applyNumberFormat="1" applyFont="1" applyFill="1" applyBorder="1" applyProtection="1">
      <protection hidden="1"/>
    </xf>
    <xf numFmtId="1" fontId="13" fillId="10" borderId="33" xfId="0" applyNumberFormat="1" applyFont="1" applyFill="1" applyBorder="1" applyProtection="1">
      <protection hidden="1"/>
    </xf>
    <xf numFmtId="1" fontId="13" fillId="9" borderId="68" xfId="0" applyNumberFormat="1" applyFont="1" applyFill="1" applyBorder="1" applyAlignment="1" applyProtection="1">
      <alignment horizontal="center" vertical="center"/>
      <protection locked="0"/>
    </xf>
    <xf numFmtId="1" fontId="13" fillId="9" borderId="0" xfId="0" applyNumberFormat="1" applyFont="1" applyFill="1" applyBorder="1" applyAlignment="1" applyProtection="1">
      <alignment horizontal="center" vertical="center"/>
      <protection locked="0"/>
    </xf>
    <xf numFmtId="1" fontId="13" fillId="14" borderId="0" xfId="0" applyNumberFormat="1" applyFont="1" applyFill="1" applyBorder="1" applyAlignment="1" applyProtection="1">
      <alignment horizontal="center" vertical="center"/>
      <protection locked="0"/>
    </xf>
    <xf numFmtId="1" fontId="13" fillId="14" borderId="29" xfId="0" applyNumberFormat="1" applyFont="1" applyFill="1" applyBorder="1" applyAlignment="1" applyProtection="1">
      <alignment horizontal="center" vertical="center"/>
      <protection locked="0"/>
    </xf>
    <xf numFmtId="1" fontId="13" fillId="10" borderId="68" xfId="0" applyNumberFormat="1" applyFont="1" applyFill="1" applyBorder="1" applyProtection="1">
      <protection hidden="1"/>
    </xf>
    <xf numFmtId="1" fontId="13" fillId="10" borderId="29" xfId="0" applyNumberFormat="1" applyFont="1" applyFill="1" applyBorder="1" applyProtection="1">
      <protection hidden="1"/>
    </xf>
    <xf numFmtId="1" fontId="13" fillId="10" borderId="14" xfId="0" applyNumberFormat="1" applyFont="1" applyFill="1" applyBorder="1" applyProtection="1">
      <protection hidden="1"/>
    </xf>
    <xf numFmtId="1" fontId="13" fillId="10" borderId="25" xfId="0" applyNumberFormat="1" applyFont="1" applyFill="1" applyBorder="1" applyProtection="1">
      <protection hidden="1"/>
    </xf>
    <xf numFmtId="1" fontId="13" fillId="5" borderId="7" xfId="0" applyNumberFormat="1" applyFont="1" applyFill="1" applyBorder="1" applyProtection="1">
      <protection hidden="1"/>
    </xf>
    <xf numFmtId="1" fontId="13" fillId="5" borderId="6" xfId="0" applyNumberFormat="1" applyFont="1" applyFill="1" applyBorder="1" applyProtection="1">
      <protection hidden="1"/>
    </xf>
    <xf numFmtId="0" fontId="2" fillId="10" borderId="1" xfId="0" applyFont="1" applyFill="1" applyBorder="1" applyAlignment="1" applyProtection="1">
      <alignment horizontal="center" vertical="center"/>
      <protection locked="0"/>
    </xf>
    <xf numFmtId="164" fontId="2" fillId="0" borderId="1" xfId="0" applyNumberFormat="1"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2" fillId="10" borderId="3" xfId="0" applyFont="1" applyFill="1" applyBorder="1" applyAlignment="1" applyProtection="1">
      <alignment horizontal="center" vertical="center"/>
      <protection locked="0"/>
    </xf>
    <xf numFmtId="0" fontId="2" fillId="10" borderId="67" xfId="0" applyFont="1" applyFill="1" applyBorder="1" applyAlignment="1" applyProtection="1">
      <alignment horizontal="center" vertical="center"/>
      <protection locked="0"/>
    </xf>
    <xf numFmtId="0" fontId="2" fillId="10" borderId="4" xfId="0" applyFont="1" applyFill="1" applyBorder="1" applyAlignment="1" applyProtection="1">
      <alignment horizontal="center" vertical="center"/>
      <protection locked="0"/>
    </xf>
    <xf numFmtId="0" fontId="2" fillId="35" borderId="4" xfId="0" applyFont="1" applyFill="1" applyBorder="1" applyAlignment="1" applyProtection="1">
      <alignment horizontal="center" vertical="center"/>
      <protection locked="0"/>
    </xf>
    <xf numFmtId="0" fontId="2" fillId="35" borderId="33" xfId="0" applyFont="1" applyFill="1" applyBorder="1" applyAlignment="1" applyProtection="1">
      <alignment horizontal="center" vertical="center"/>
      <protection locked="0"/>
    </xf>
    <xf numFmtId="0" fontId="2" fillId="4" borderId="67" xfId="0" applyFont="1" applyFill="1" applyBorder="1" applyProtection="1">
      <protection hidden="1"/>
    </xf>
    <xf numFmtId="0" fontId="2" fillId="4" borderId="33" xfId="0" applyFont="1" applyFill="1" applyBorder="1" applyProtection="1">
      <protection hidden="1"/>
    </xf>
    <xf numFmtId="0" fontId="2" fillId="10" borderId="68" xfId="0" applyFont="1" applyFill="1" applyBorder="1" applyAlignment="1" applyProtection="1">
      <alignment horizontal="center" vertical="center"/>
      <protection locked="0"/>
    </xf>
    <xf numFmtId="0" fontId="2" fillId="10" borderId="0" xfId="0" applyFont="1" applyFill="1" applyBorder="1" applyAlignment="1" applyProtection="1">
      <alignment horizontal="center" vertical="center"/>
      <protection locked="0"/>
    </xf>
    <xf numFmtId="0" fontId="2" fillId="35" borderId="0" xfId="0" applyFont="1" applyFill="1" applyBorder="1" applyAlignment="1" applyProtection="1">
      <alignment horizontal="center" vertical="center"/>
      <protection locked="0"/>
    </xf>
    <xf numFmtId="0" fontId="2" fillId="35" borderId="29" xfId="0" applyFont="1" applyFill="1" applyBorder="1" applyAlignment="1" applyProtection="1">
      <alignment horizontal="center" vertical="center"/>
      <protection locked="0"/>
    </xf>
    <xf numFmtId="0" fontId="2" fillId="4" borderId="14" xfId="0" applyFont="1" applyFill="1" applyBorder="1" applyProtection="1">
      <protection hidden="1"/>
    </xf>
    <xf numFmtId="0" fontId="2" fillId="4" borderId="25" xfId="0" applyFont="1" applyFill="1" applyBorder="1" applyProtection="1">
      <protection hidden="1"/>
    </xf>
    <xf numFmtId="0" fontId="146" fillId="5" borderId="1" xfId="0" applyFont="1" applyFill="1" applyBorder="1" applyAlignment="1" applyProtection="1">
      <alignment horizontal="center" vertical="center"/>
      <protection locked="0"/>
    </xf>
    <xf numFmtId="164" fontId="146" fillId="5" borderId="1" xfId="0" applyNumberFormat="1" applyFont="1" applyFill="1" applyBorder="1" applyAlignment="1" applyProtection="1">
      <alignment horizontal="center" vertical="center"/>
      <protection hidden="1"/>
    </xf>
    <xf numFmtId="0" fontId="146" fillId="5" borderId="7" xfId="0" applyFont="1" applyFill="1" applyBorder="1" applyAlignment="1" applyProtection="1">
      <alignment horizontal="center" vertical="center"/>
      <protection locked="0"/>
    </xf>
    <xf numFmtId="0" fontId="146" fillId="5" borderId="8" xfId="0" applyFont="1" applyFill="1" applyBorder="1" applyAlignment="1" applyProtection="1">
      <alignment horizontal="center" vertical="center"/>
      <protection locked="0"/>
    </xf>
    <xf numFmtId="0" fontId="146" fillId="5" borderId="6" xfId="0" applyFont="1" applyFill="1" applyBorder="1" applyAlignment="1" applyProtection="1">
      <alignment horizontal="center" vertical="center"/>
      <protection locked="0"/>
    </xf>
    <xf numFmtId="0" fontId="146" fillId="5" borderId="14" xfId="0" applyFont="1" applyFill="1" applyBorder="1" applyAlignment="1" applyProtection="1">
      <alignment vertical="center"/>
      <protection hidden="1"/>
    </xf>
    <xf numFmtId="0" fontId="146" fillId="5" borderId="25" xfId="0" applyFont="1" applyFill="1" applyBorder="1" applyAlignment="1" applyProtection="1">
      <alignment vertical="center"/>
      <protection hidden="1"/>
    </xf>
    <xf numFmtId="0" fontId="2" fillId="10" borderId="5" xfId="0" applyFont="1" applyFill="1" applyBorder="1" applyAlignment="1" applyProtection="1">
      <alignment horizontal="center" vertical="center"/>
      <protection locked="0"/>
    </xf>
    <xf numFmtId="0" fontId="146" fillId="5" borderId="60" xfId="0" applyFont="1" applyFill="1" applyBorder="1" applyAlignment="1" applyProtection="1">
      <alignment horizontal="center" vertical="center"/>
      <protection locked="0"/>
    </xf>
    <xf numFmtId="0" fontId="146" fillId="5" borderId="25"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3" fillId="11" borderId="20" xfId="0" applyFont="1" applyFill="1" applyBorder="1" applyAlignment="1" applyProtection="1">
      <alignment horizontal="center" vertical="center"/>
      <protection locked="0"/>
    </xf>
    <xf numFmtId="0" fontId="0" fillId="11" borderId="20" xfId="0" applyFill="1" applyBorder="1" applyAlignment="1" applyProtection="1">
      <alignment horizontal="center" vertical="center"/>
      <protection locked="0"/>
    </xf>
    <xf numFmtId="1" fontId="0" fillId="11" borderId="20" xfId="0" applyNumberFormat="1" applyFill="1" applyBorder="1" applyAlignment="1" applyProtection="1">
      <alignment horizontal="center" vertical="center"/>
      <protection locked="0"/>
    </xf>
    <xf numFmtId="0" fontId="13" fillId="0" borderId="5" xfId="0" applyFont="1" applyBorder="1" applyAlignment="1" applyProtection="1">
      <alignment horizontal="center" vertical="center"/>
      <protection locked="0"/>
    </xf>
    <xf numFmtId="0" fontId="0" fillId="11" borderId="1" xfId="0" applyFill="1" applyBorder="1" applyAlignment="1" applyProtection="1">
      <alignment horizontal="center" vertical="center"/>
      <protection locked="0"/>
    </xf>
    <xf numFmtId="1" fontId="0" fillId="0" borderId="3"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5" borderId="0" xfId="2" applyFont="1" applyFill="1" applyAlignment="1" applyProtection="1">
      <alignment vertical="center"/>
      <protection locked="0"/>
    </xf>
    <xf numFmtId="0" fontId="1" fillId="0" borderId="1" xfId="0" applyFont="1" applyBorder="1" applyAlignment="1" applyProtection="1">
      <alignment horizontal="left" vertical="center"/>
      <protection locked="0"/>
    </xf>
    <xf numFmtId="0" fontId="0" fillId="0" borderId="1" xfId="0" applyBorder="1" applyAlignment="1" applyProtection="1">
      <alignment vertical="center" wrapText="1"/>
      <protection hidden="1"/>
    </xf>
    <xf numFmtId="0" fontId="57" fillId="0" borderId="0" xfId="0" applyFont="1" applyFill="1" applyAlignment="1" applyProtection="1">
      <alignment horizontal="center"/>
      <protection locked="0"/>
    </xf>
    <xf numFmtId="0" fontId="141" fillId="0" borderId="0" xfId="0" applyFont="1" applyFill="1" applyAlignment="1" applyProtection="1">
      <alignment horizontal="center" vertical="center"/>
      <protection locked="0"/>
    </xf>
    <xf numFmtId="0" fontId="57" fillId="24" borderId="1" xfId="0" applyFont="1" applyFill="1" applyBorder="1" applyAlignment="1" applyProtection="1">
      <alignment horizontal="center"/>
      <protection locked="0"/>
    </xf>
    <xf numFmtId="0" fontId="57" fillId="5" borderId="7" xfId="0" applyFont="1" applyFill="1" applyBorder="1" applyAlignment="1" applyProtection="1">
      <alignment horizontal="left" vertical="center"/>
      <protection locked="0"/>
    </xf>
    <xf numFmtId="0" fontId="57" fillId="0" borderId="68" xfId="0" applyFont="1" applyFill="1" applyBorder="1" applyAlignment="1" applyProtection="1">
      <alignment horizontal="left" vertical="center"/>
      <protection locked="0"/>
    </xf>
    <xf numFmtId="0" fontId="57" fillId="0" borderId="0" xfId="0" applyFont="1" applyFill="1" applyBorder="1" applyAlignment="1" applyProtection="1">
      <alignment horizontal="left" vertical="center"/>
      <protection locked="0"/>
    </xf>
    <xf numFmtId="0" fontId="25" fillId="0" borderId="1" xfId="0" applyFont="1" applyBorder="1" applyAlignment="1" applyProtection="1">
      <alignment horizontal="center" vertical="center"/>
      <protection locked="0"/>
    </xf>
    <xf numFmtId="1" fontId="0" fillId="2" borderId="3" xfId="0" applyNumberFormat="1" applyFill="1" applyBorder="1" applyAlignment="1" applyProtection="1">
      <alignment horizontal="center" vertical="center"/>
      <protection locked="0"/>
    </xf>
    <xf numFmtId="1" fontId="0" fillId="2" borderId="1" xfId="0" applyNumberFormat="1" applyFill="1" applyBorder="1" applyAlignment="1" applyProtection="1">
      <alignment horizontal="center" vertical="center"/>
      <protection locked="0"/>
    </xf>
    <xf numFmtId="0" fontId="0" fillId="2" borderId="1" xfId="0" applyFill="1" applyBorder="1" applyProtection="1">
      <protection locked="0"/>
    </xf>
    <xf numFmtId="0" fontId="0" fillId="2" borderId="1" xfId="0"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26" fillId="2" borderId="1" xfId="0" applyFont="1" applyFill="1" applyBorder="1" applyProtection="1">
      <protection locked="0"/>
    </xf>
    <xf numFmtId="1" fontId="0" fillId="0" borderId="3" xfId="0" applyNumberFormat="1" applyBorder="1" applyAlignment="1" applyProtection="1">
      <alignment horizontal="center" vertical="center"/>
      <protection hidden="1"/>
    </xf>
    <xf numFmtId="0" fontId="34" fillId="0" borderId="0" xfId="0" applyFont="1" applyProtection="1">
      <protection locked="0"/>
    </xf>
    <xf numFmtId="0" fontId="13" fillId="7" borderId="1" xfId="0" applyFont="1"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0" fillId="9" borderId="69" xfId="0"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86" fillId="0" borderId="0" xfId="0" applyFont="1" applyFill="1" applyAlignment="1" applyProtection="1">
      <alignment horizontal="center" vertical="center"/>
      <protection locked="0"/>
    </xf>
    <xf numFmtId="0" fontId="108" fillId="5" borderId="7" xfId="0" applyFont="1" applyFill="1" applyBorder="1" applyAlignment="1" applyProtection="1">
      <alignment vertical="center"/>
      <protection locked="0"/>
    </xf>
    <xf numFmtId="0" fontId="108" fillId="5" borderId="8" xfId="0" applyFont="1" applyFill="1" applyBorder="1" applyAlignment="1" applyProtection="1">
      <alignment vertical="center"/>
      <protection locked="0"/>
    </xf>
    <xf numFmtId="0" fontId="0" fillId="0" borderId="2" xfId="0" applyBorder="1" applyAlignment="1" applyProtection="1">
      <alignment horizontal="center" vertical="center"/>
      <protection hidden="1"/>
    </xf>
    <xf numFmtId="0" fontId="0" fillId="7" borderId="4" xfId="0" applyFill="1" applyBorder="1" applyProtection="1">
      <protection hidden="1"/>
    </xf>
    <xf numFmtId="0" fontId="0" fillId="7" borderId="0" xfId="0" applyFill="1" applyBorder="1" applyProtection="1">
      <protection hidden="1"/>
    </xf>
    <xf numFmtId="0" fontId="0" fillId="7" borderId="60" xfId="0" applyFill="1" applyBorder="1" applyProtection="1">
      <protection hidden="1"/>
    </xf>
    <xf numFmtId="0" fontId="108" fillId="5" borderId="8" xfId="0" applyFont="1" applyFill="1" applyBorder="1" applyAlignment="1" applyProtection="1">
      <alignment vertical="center"/>
      <protection hidden="1"/>
    </xf>
    <xf numFmtId="0" fontId="108" fillId="5" borderId="6" xfId="0" applyFont="1" applyFill="1" applyBorder="1" applyAlignment="1" applyProtection="1">
      <alignment vertical="center"/>
      <protection hidden="1"/>
    </xf>
    <xf numFmtId="0" fontId="88" fillId="0" borderId="0" xfId="0" applyFont="1" applyFill="1" applyBorder="1" applyAlignment="1" applyProtection="1">
      <alignment vertical="center"/>
      <protection locked="0"/>
    </xf>
    <xf numFmtId="0" fontId="147" fillId="0" borderId="0" xfId="0" applyFont="1" applyProtection="1">
      <protection locked="0"/>
    </xf>
    <xf numFmtId="0" fontId="28" fillId="0" borderId="0" xfId="0" applyFont="1" applyFill="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hidden="1"/>
    </xf>
    <xf numFmtId="164" fontId="13" fillId="0" borderId="1" xfId="0" applyNumberFormat="1" applyFont="1" applyBorder="1" applyAlignment="1" applyProtection="1">
      <alignment horizontal="center" vertical="center"/>
      <protection hidden="1"/>
    </xf>
    <xf numFmtId="164" fontId="70" fillId="0" borderId="0" xfId="0" applyNumberFormat="1" applyFont="1" applyFill="1" applyBorder="1" applyAlignment="1" applyProtection="1">
      <alignment horizontal="center" vertical="center"/>
      <protection locked="0"/>
    </xf>
    <xf numFmtId="164" fontId="2" fillId="0" borderId="0" xfId="0" applyNumberFormat="1" applyFont="1" applyFill="1" applyBorder="1" applyProtection="1">
      <protection locked="0"/>
    </xf>
    <xf numFmtId="164" fontId="2" fillId="0" borderId="0" xfId="0" applyNumberFormat="1" applyFont="1" applyProtection="1">
      <protection locked="0"/>
    </xf>
    <xf numFmtId="164" fontId="2" fillId="6" borderId="0" xfId="0" applyNumberFormat="1" applyFont="1" applyFill="1" applyBorder="1" applyProtection="1">
      <protection locked="0"/>
    </xf>
    <xf numFmtId="0" fontId="1" fillId="15" borderId="3" xfId="0" applyFont="1" applyFill="1" applyBorder="1" applyAlignment="1" applyProtection="1">
      <alignment horizontal="center" vertical="center"/>
      <protection hidden="1"/>
    </xf>
    <xf numFmtId="0" fontId="149" fillId="5" borderId="1" xfId="0" applyFont="1" applyFill="1" applyBorder="1" applyAlignment="1" applyProtection="1">
      <alignment horizontal="center" vertical="center"/>
      <protection hidden="1"/>
    </xf>
    <xf numFmtId="0" fontId="149" fillId="5" borderId="1" xfId="0" applyFont="1" applyFill="1" applyBorder="1" applyAlignment="1" applyProtection="1">
      <alignment vertical="center"/>
      <protection hidden="1"/>
    </xf>
    <xf numFmtId="1" fontId="0" fillId="0" borderId="0" xfId="0" applyNumberFormat="1" applyFont="1" applyProtection="1">
      <protection locked="0"/>
    </xf>
    <xf numFmtId="164" fontId="1" fillId="5" borderId="1" xfId="0" applyNumberFormat="1" applyFont="1" applyFill="1" applyBorder="1" applyAlignment="1" applyProtection="1">
      <alignment horizontal="center" vertical="center"/>
      <protection hidden="1"/>
    </xf>
    <xf numFmtId="1" fontId="0" fillId="6" borderId="0" xfId="0" applyNumberFormat="1" applyFont="1" applyFill="1" applyProtection="1">
      <protection locked="0"/>
    </xf>
    <xf numFmtId="164" fontId="12" fillId="0" borderId="0" xfId="0" applyNumberFormat="1" applyFont="1" applyFill="1" applyBorder="1" applyAlignment="1" applyProtection="1">
      <alignment horizontal="center" vertical="center"/>
      <protection locked="0"/>
    </xf>
    <xf numFmtId="164" fontId="147" fillId="0" borderId="0" xfId="0" applyNumberFormat="1" applyFont="1" applyBorder="1" applyProtection="1">
      <protection locked="0"/>
    </xf>
    <xf numFmtId="164" fontId="148" fillId="39" borderId="1" xfId="0" applyNumberFormat="1" applyFont="1" applyFill="1" applyBorder="1" applyAlignment="1" applyProtection="1">
      <alignment horizontal="center" vertical="center"/>
      <protection hidden="1"/>
    </xf>
    <xf numFmtId="164" fontId="147" fillId="6" borderId="0" xfId="0" applyNumberFormat="1" applyFont="1" applyFill="1" applyProtection="1">
      <protection locked="0"/>
    </xf>
    <xf numFmtId="164" fontId="147" fillId="0" borderId="0" xfId="0" applyNumberFormat="1" applyFont="1" applyProtection="1">
      <protection locked="0"/>
    </xf>
    <xf numFmtId="0" fontId="13" fillId="0" borderId="1" xfId="0" applyFont="1" applyBorder="1" applyAlignment="1" applyProtection="1">
      <alignment horizontal="center" vertical="center"/>
      <protection hidden="1"/>
    </xf>
    <xf numFmtId="1" fontId="0" fillId="7" borderId="67" xfId="0" applyNumberFormat="1" applyFill="1" applyBorder="1" applyProtection="1">
      <protection hidden="1"/>
    </xf>
    <xf numFmtId="1" fontId="0" fillId="7" borderId="33" xfId="0" applyNumberFormat="1" applyFill="1" applyBorder="1" applyProtection="1">
      <protection hidden="1"/>
    </xf>
    <xf numFmtId="1" fontId="0" fillId="7" borderId="68" xfId="0" applyNumberFormat="1" applyFill="1" applyBorder="1" applyProtection="1">
      <protection hidden="1"/>
    </xf>
    <xf numFmtId="1" fontId="0" fillId="7" borderId="29" xfId="0" applyNumberFormat="1" applyFill="1" applyBorder="1" applyProtection="1">
      <protection hidden="1"/>
    </xf>
    <xf numFmtId="1" fontId="0" fillId="7" borderId="14" xfId="0" applyNumberFormat="1" applyFill="1" applyBorder="1" applyProtection="1">
      <protection hidden="1"/>
    </xf>
    <xf numFmtId="1" fontId="0" fillId="7" borderId="25" xfId="0" applyNumberFormat="1" applyFill="1" applyBorder="1" applyProtection="1">
      <protection hidden="1"/>
    </xf>
    <xf numFmtId="1" fontId="0" fillId="5" borderId="7" xfId="0" applyNumberFormat="1" applyFill="1" applyBorder="1" applyProtection="1">
      <protection hidden="1"/>
    </xf>
    <xf numFmtId="1" fontId="0" fillId="5" borderId="6" xfId="0" applyNumberFormat="1" applyFill="1" applyBorder="1" applyProtection="1">
      <protection hidden="1"/>
    </xf>
    <xf numFmtId="0" fontId="26" fillId="0" borderId="1" xfId="0" applyFont="1" applyBorder="1" applyAlignment="1">
      <alignment horizontal="center" vertical="center"/>
    </xf>
    <xf numFmtId="0" fontId="1" fillId="14" borderId="1"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0" fillId="39" borderId="1" xfId="0" applyFill="1" applyBorder="1" applyAlignment="1">
      <alignment vertical="center" wrapText="1"/>
    </xf>
    <xf numFmtId="0" fontId="0" fillId="9" borderId="1" xfId="0" applyFill="1" applyBorder="1" applyAlignment="1">
      <alignment vertical="center" wrapText="1"/>
    </xf>
    <xf numFmtId="0" fontId="60" fillId="5" borderId="1" xfId="0" applyFont="1" applyFill="1" applyBorder="1" applyAlignment="1">
      <alignment horizontal="center" vertical="center"/>
    </xf>
    <xf numFmtId="0" fontId="1" fillId="0" borderId="1" xfId="0" applyFont="1" applyBorder="1" applyAlignment="1" applyProtection="1">
      <alignment vertical="center" wrapText="1"/>
      <protection locked="0"/>
    </xf>
    <xf numFmtId="0" fontId="85" fillId="9" borderId="1" xfId="0" applyFont="1" applyFill="1" applyBorder="1" applyAlignment="1">
      <alignment horizontal="center" vertical="center"/>
    </xf>
    <xf numFmtId="0" fontId="85" fillId="39" borderId="1" xfId="0" applyFont="1" applyFill="1" applyBorder="1" applyAlignment="1">
      <alignment horizontal="center" vertical="center"/>
    </xf>
    <xf numFmtId="0" fontId="85" fillId="11" borderId="1" xfId="0" applyFont="1" applyFill="1" applyBorder="1" applyAlignment="1">
      <alignment horizontal="center" vertical="center"/>
    </xf>
    <xf numFmtId="0" fontId="85" fillId="14" borderId="1" xfId="0" applyFont="1" applyFill="1" applyBorder="1" applyAlignment="1">
      <alignment horizontal="center" vertical="center"/>
    </xf>
    <xf numFmtId="0" fontId="141" fillId="0" borderId="0" xfId="0" applyFont="1" applyFill="1" applyAlignment="1" applyProtection="1">
      <alignment horizontal="center"/>
      <protection locked="0"/>
    </xf>
    <xf numFmtId="0" fontId="0" fillId="44" borderId="0" xfId="0" applyFill="1" applyProtection="1">
      <protection locked="0"/>
    </xf>
    <xf numFmtId="0" fontId="0" fillId="30" borderId="0" xfId="0" applyFill="1" applyProtection="1">
      <protection locked="0"/>
    </xf>
    <xf numFmtId="0" fontId="0" fillId="22" borderId="0" xfId="0" applyFill="1" applyProtection="1">
      <protection locked="0"/>
    </xf>
    <xf numFmtId="0" fontId="0" fillId="8" borderId="0" xfId="0" applyFill="1" applyProtection="1">
      <protection locked="0"/>
    </xf>
    <xf numFmtId="0" fontId="0" fillId="0" borderId="0" xfId="0" applyFill="1" applyAlignment="1" applyProtection="1">
      <alignment horizontal="left"/>
      <protection locked="0"/>
    </xf>
    <xf numFmtId="0" fontId="0" fillId="44" borderId="0" xfId="0" applyFill="1" applyAlignment="1" applyProtection="1">
      <alignment wrapText="1"/>
      <protection locked="0"/>
    </xf>
    <xf numFmtId="0" fontId="0" fillId="0" borderId="0" xfId="0" applyFill="1" applyBorder="1" applyAlignment="1" applyProtection="1">
      <alignment horizontal="center" vertical="top" wrapText="1"/>
      <protection locked="0"/>
    </xf>
    <xf numFmtId="0" fontId="0" fillId="0" borderId="0" xfId="0" applyFill="1" applyBorder="1" applyAlignment="1" applyProtection="1">
      <alignment horizontal="center" vertical="center" wrapText="1"/>
      <protection locked="0"/>
    </xf>
    <xf numFmtId="0" fontId="150" fillId="0" borderId="0" xfId="0" applyFont="1" applyFill="1" applyAlignment="1" applyProtection="1">
      <alignment vertical="center" wrapText="1"/>
      <protection locked="0"/>
    </xf>
    <xf numFmtId="0" fontId="0" fillId="44" borderId="0" xfId="0" applyFill="1" applyAlignment="1" applyProtection="1">
      <alignment vertical="center" wrapText="1"/>
      <protection locked="0"/>
    </xf>
    <xf numFmtId="0" fontId="0" fillId="30" borderId="0" xfId="0" applyFill="1" applyAlignment="1" applyProtection="1">
      <alignment vertical="center" wrapText="1"/>
      <protection locked="0"/>
    </xf>
    <xf numFmtId="0" fontId="0" fillId="22" borderId="0" xfId="0" applyFill="1" applyAlignment="1" applyProtection="1">
      <alignment vertical="center" wrapText="1"/>
      <protection locked="0"/>
    </xf>
    <xf numFmtId="0" fontId="0" fillId="8" borderId="0" xfId="0" applyFill="1" applyAlignment="1" applyProtection="1">
      <alignment vertical="center" wrapText="1"/>
      <protection locked="0"/>
    </xf>
    <xf numFmtId="0" fontId="16" fillId="0" borderId="0" xfId="0" applyFont="1" applyFill="1" applyBorder="1" applyAlignment="1" applyProtection="1">
      <alignment horizontal="center"/>
      <protection locked="0"/>
    </xf>
    <xf numFmtId="0" fontId="16" fillId="0" borderId="0" xfId="0" applyFont="1" applyFill="1" applyAlignment="1" applyProtection="1">
      <alignment horizontal="center"/>
      <protection locked="0"/>
    </xf>
    <xf numFmtId="0" fontId="0" fillId="0" borderId="1" xfId="0" applyBorder="1" applyAlignment="1" applyProtection="1">
      <alignment horizontal="left" vertical="top" wrapText="1"/>
      <protection hidden="1"/>
    </xf>
    <xf numFmtId="0" fontId="125" fillId="0" borderId="0" xfId="0" applyFont="1" applyFill="1" applyAlignment="1" applyProtection="1">
      <alignment vertical="center"/>
      <protection locked="0"/>
    </xf>
    <xf numFmtId="0" fontId="16" fillId="0" borderId="0" xfId="0" applyFont="1" applyFill="1" applyAlignment="1" applyProtection="1">
      <alignment horizontal="right" vertical="center"/>
      <protection locked="0"/>
    </xf>
    <xf numFmtId="0" fontId="126" fillId="23" borderId="7" xfId="0" applyFont="1" applyFill="1" applyBorder="1" applyAlignment="1" applyProtection="1">
      <alignment horizontal="center" vertical="center"/>
      <protection locked="0"/>
    </xf>
    <xf numFmtId="0" fontId="2" fillId="0" borderId="1" xfId="0" applyFont="1" applyBorder="1" applyAlignment="1" applyProtection="1">
      <alignment horizontal="left" vertical="center"/>
      <protection locked="0"/>
    </xf>
    <xf numFmtId="0" fontId="1" fillId="0" borderId="1" xfId="0" applyFont="1" applyBorder="1" applyAlignment="1" applyProtection="1">
      <alignment horizontal="center" vertical="center"/>
      <protection locked="0"/>
    </xf>
    <xf numFmtId="0" fontId="71" fillId="0" borderId="0" xfId="0" applyFont="1"/>
    <xf numFmtId="0" fontId="0" fillId="5" borderId="67" xfId="0" applyFill="1" applyBorder="1"/>
    <xf numFmtId="0" fontId="0" fillId="5" borderId="4" xfId="0" applyFill="1" applyBorder="1"/>
    <xf numFmtId="0" fontId="0" fillId="5" borderId="33" xfId="0" applyFill="1" applyBorder="1"/>
    <xf numFmtId="0" fontId="0" fillId="5" borderId="68" xfId="0" applyFill="1" applyBorder="1"/>
    <xf numFmtId="0" fontId="0" fillId="5" borderId="29" xfId="0" applyFill="1" applyBorder="1"/>
    <xf numFmtId="0" fontId="0" fillId="5" borderId="14" xfId="0" applyFill="1" applyBorder="1"/>
    <xf numFmtId="0" fontId="0" fillId="5" borderId="60" xfId="0" applyFill="1" applyBorder="1"/>
    <xf numFmtId="0" fontId="0" fillId="5" borderId="25" xfId="0" applyFill="1" applyBorder="1"/>
    <xf numFmtId="0" fontId="2" fillId="0" borderId="0" xfId="0" applyFont="1" applyAlignment="1">
      <alignment vertical="center"/>
    </xf>
    <xf numFmtId="0" fontId="2" fillId="0" borderId="0" xfId="0" applyFont="1"/>
    <xf numFmtId="0" fontId="88" fillId="0" borderId="0" xfId="0" applyFont="1" applyAlignment="1">
      <alignment vertical="center"/>
    </xf>
    <xf numFmtId="0" fontId="70" fillId="0" borderId="0" xfId="0" applyFont="1" applyAlignment="1">
      <alignment horizontal="center" vertical="center"/>
    </xf>
    <xf numFmtId="0" fontId="2" fillId="0" borderId="0" xfId="0" applyFont="1" applyAlignment="1">
      <alignment horizontal="left" vertical="center"/>
    </xf>
    <xf numFmtId="0" fontId="66" fillId="0" borderId="0" xfId="0" applyFont="1"/>
    <xf numFmtId="0" fontId="1" fillId="0" borderId="67" xfId="0" applyFont="1" applyBorder="1" applyAlignment="1">
      <alignment horizontal="center"/>
    </xf>
    <xf numFmtId="0" fontId="66" fillId="0" borderId="4" xfId="0" applyFont="1" applyBorder="1"/>
    <xf numFmtId="0" fontId="2" fillId="0" borderId="4" xfId="0" applyFont="1" applyBorder="1"/>
    <xf numFmtId="0" fontId="1" fillId="0" borderId="4" xfId="0" applyFont="1" applyBorder="1"/>
    <xf numFmtId="0" fontId="1" fillId="0" borderId="33" xfId="0" applyFont="1" applyBorder="1"/>
    <xf numFmtId="0" fontId="1" fillId="0" borderId="68" xfId="0" applyFont="1" applyBorder="1"/>
    <xf numFmtId="0" fontId="2" fillId="0" borderId="0" xfId="0" applyFont="1" applyBorder="1"/>
    <xf numFmtId="0" fontId="1" fillId="0" borderId="29" xfId="0" applyFont="1" applyBorder="1"/>
    <xf numFmtId="0" fontId="1" fillId="0" borderId="14" xfId="0" applyFont="1" applyBorder="1"/>
    <xf numFmtId="0" fontId="1" fillId="0" borderId="60" xfId="0" applyFont="1" applyBorder="1"/>
    <xf numFmtId="0" fontId="1" fillId="0" borderId="25" xfId="0" applyFont="1" applyBorder="1"/>
    <xf numFmtId="0" fontId="66" fillId="0" borderId="4" xfId="0" applyFont="1" applyBorder="1" applyAlignment="1"/>
    <xf numFmtId="0" fontId="2" fillId="0" borderId="33" xfId="0" applyFont="1" applyBorder="1"/>
    <xf numFmtId="0" fontId="2" fillId="0" borderId="68" xfId="0" applyFont="1" applyBorder="1"/>
    <xf numFmtId="0" fontId="2" fillId="0" borderId="29" xfId="0" applyFont="1" applyBorder="1"/>
    <xf numFmtId="1" fontId="114" fillId="5" borderId="8" xfId="0" applyNumberFormat="1" applyFont="1"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1" fontId="23" fillId="0" borderId="5" xfId="0" applyNumberFormat="1" applyFont="1" applyBorder="1" applyAlignment="1" applyProtection="1">
      <alignment horizontal="center" vertical="center"/>
      <protection locked="0"/>
    </xf>
    <xf numFmtId="1" fontId="23" fillId="10" borderId="5" xfId="0" applyNumberFormat="1" applyFont="1" applyFill="1" applyBorder="1" applyAlignment="1" applyProtection="1">
      <alignment horizontal="center" vertical="center"/>
      <protection locked="0"/>
    </xf>
    <xf numFmtId="164" fontId="10" fillId="0" borderId="5" xfId="0" applyNumberFormat="1" applyFont="1" applyBorder="1" applyAlignment="1" applyProtection="1">
      <alignment horizontal="center" vertical="center"/>
      <protection hidden="1"/>
    </xf>
    <xf numFmtId="1" fontId="10" fillId="0" borderId="5" xfId="0" applyNumberFormat="1" applyFont="1" applyBorder="1" applyAlignment="1" applyProtection="1">
      <alignment horizontal="center" vertical="center"/>
      <protection hidden="1"/>
    </xf>
    <xf numFmtId="0" fontId="114" fillId="5" borderId="8" xfId="0" applyFont="1" applyFill="1" applyBorder="1" applyAlignment="1" applyProtection="1">
      <alignment horizontal="center" vertical="center"/>
      <protection locked="0"/>
    </xf>
    <xf numFmtId="0" fontId="146" fillId="5" borderId="8" xfId="0" applyFont="1" applyFill="1" applyBorder="1" applyAlignment="1" applyProtection="1">
      <alignment horizontal="center" vertical="center"/>
      <protection locked="0"/>
    </xf>
    <xf numFmtId="164" fontId="1" fillId="15" borderId="3" xfId="0" applyNumberFormat="1" applyFont="1" applyFill="1" applyBorder="1" applyAlignment="1" applyProtection="1">
      <alignment horizontal="center" vertical="center"/>
      <protection locked="0"/>
    </xf>
    <xf numFmtId="164" fontId="1" fillId="5" borderId="3" xfId="0" applyNumberFormat="1" applyFont="1" applyFill="1" applyBorder="1" applyAlignment="1" applyProtection="1">
      <alignment horizontal="center" vertical="center"/>
      <protection locked="0"/>
    </xf>
    <xf numFmtId="164" fontId="1" fillId="11" borderId="3" xfId="0" applyNumberFormat="1" applyFont="1" applyFill="1" applyBorder="1" applyAlignment="1" applyProtection="1">
      <alignment horizontal="center" vertical="center"/>
      <protection locked="0"/>
    </xf>
    <xf numFmtId="164" fontId="1" fillId="39" borderId="3" xfId="0" applyNumberFormat="1" applyFont="1" applyFill="1" applyBorder="1" applyAlignment="1" applyProtection="1">
      <alignment horizontal="center" vertical="center"/>
      <protection locked="0"/>
    </xf>
    <xf numFmtId="164" fontId="1" fillId="4" borderId="3" xfId="0" applyNumberFormat="1" applyFont="1" applyFill="1" applyBorder="1" applyAlignment="1" applyProtection="1">
      <alignment horizontal="center" vertical="center"/>
      <protection locked="0"/>
    </xf>
    <xf numFmtId="1" fontId="78" fillId="0" borderId="0" xfId="0" applyNumberFormat="1" applyFont="1" applyAlignment="1" applyProtection="1">
      <alignment horizontal="center" vertical="center"/>
      <protection locked="0"/>
    </xf>
    <xf numFmtId="1" fontId="0" fillId="39" borderId="20" xfId="0" applyNumberFormat="1" applyFill="1" applyBorder="1" applyAlignment="1" applyProtection="1">
      <alignment horizontal="center" vertical="center"/>
      <protection locked="0"/>
    </xf>
    <xf numFmtId="1" fontId="0" fillId="4" borderId="20" xfId="0" applyNumberFormat="1" applyFill="1" applyBorder="1" applyAlignment="1" applyProtection="1">
      <alignment horizontal="center" vertical="center"/>
      <protection locked="0"/>
    </xf>
    <xf numFmtId="1" fontId="0" fillId="5" borderId="20" xfId="0" applyNumberFormat="1" applyFill="1" applyBorder="1" applyAlignment="1" applyProtection="1">
      <alignment horizontal="center" vertical="center"/>
      <protection locked="0"/>
    </xf>
    <xf numFmtId="1" fontId="25" fillId="10" borderId="20" xfId="0" applyNumberFormat="1" applyFont="1" applyFill="1" applyBorder="1" applyAlignment="1" applyProtection="1">
      <alignment horizontal="center" vertical="center"/>
      <protection locked="0"/>
    </xf>
    <xf numFmtId="1" fontId="25" fillId="39" borderId="20" xfId="0" applyNumberFormat="1" applyFont="1" applyFill="1" applyBorder="1" applyAlignment="1" applyProtection="1">
      <alignment horizontal="center" vertical="center"/>
      <protection locked="0"/>
    </xf>
    <xf numFmtId="1" fontId="25" fillId="4" borderId="20" xfId="0" applyNumberFormat="1" applyFont="1" applyFill="1" applyBorder="1" applyAlignment="1" applyProtection="1">
      <alignment horizontal="center" vertical="center"/>
      <protection locked="0"/>
    </xf>
    <xf numFmtId="1" fontId="25" fillId="5" borderId="20" xfId="0" applyNumberFormat="1" applyFont="1" applyFill="1" applyBorder="1" applyAlignment="1" applyProtection="1">
      <alignment horizontal="center" vertical="center"/>
      <protection locked="0"/>
    </xf>
    <xf numFmtId="164" fontId="1" fillId="15" borderId="1" xfId="0" applyNumberFormat="1" applyFont="1" applyFill="1" applyBorder="1" applyAlignment="1" applyProtection="1">
      <alignment horizontal="center" vertical="center"/>
      <protection hidden="1"/>
    </xf>
    <xf numFmtId="164" fontId="2" fillId="5" borderId="1" xfId="0" applyNumberFormat="1" applyFont="1" applyFill="1" applyBorder="1" applyAlignment="1" applyProtection="1">
      <alignment horizontal="center" vertical="center"/>
      <protection locked="0"/>
    </xf>
    <xf numFmtId="164" fontId="2" fillId="10" borderId="1" xfId="0" applyNumberFormat="1" applyFont="1" applyFill="1" applyBorder="1" applyAlignment="1" applyProtection="1">
      <alignment horizontal="center" vertical="center"/>
      <protection locked="0"/>
    </xf>
    <xf numFmtId="164" fontId="2" fillId="9" borderId="1" xfId="0" applyNumberFormat="1" applyFont="1" applyFill="1" applyBorder="1" applyAlignment="1" applyProtection="1">
      <alignment horizontal="center" vertical="center"/>
      <protection locked="0"/>
    </xf>
    <xf numFmtId="164" fontId="2" fillId="9" borderId="3" xfId="0" applyNumberFormat="1" applyFont="1" applyFill="1" applyBorder="1" applyAlignment="1" applyProtection="1">
      <alignment horizontal="center" vertical="center"/>
      <protection locked="0"/>
    </xf>
    <xf numFmtId="164" fontId="2" fillId="10" borderId="3" xfId="0" applyNumberFormat="1" applyFont="1" applyFill="1" applyBorder="1" applyAlignment="1" applyProtection="1">
      <alignment horizontal="center" vertical="center"/>
      <protection locked="0"/>
    </xf>
    <xf numFmtId="0" fontId="153" fillId="5" borderId="1" xfId="0" applyFont="1" applyFill="1" applyBorder="1" applyAlignment="1" applyProtection="1">
      <alignment horizontal="center" vertical="center"/>
      <protection hidden="1"/>
    </xf>
    <xf numFmtId="0" fontId="73" fillId="5" borderId="1" xfId="0" applyFont="1" applyFill="1" applyBorder="1" applyAlignment="1" applyProtection="1">
      <alignment horizontal="center" vertical="center"/>
      <protection hidden="1"/>
    </xf>
    <xf numFmtId="0" fontId="21" fillId="5" borderId="8" xfId="0" applyFont="1" applyFill="1" applyBorder="1" applyAlignment="1" applyProtection="1">
      <alignment horizontal="center" vertical="center"/>
      <protection locked="0"/>
    </xf>
    <xf numFmtId="1" fontId="25" fillId="10" borderId="28" xfId="0" applyNumberFormat="1" applyFont="1" applyFill="1" applyBorder="1" applyAlignment="1" applyProtection="1">
      <alignment horizontal="center" vertical="center"/>
      <protection locked="0"/>
    </xf>
    <xf numFmtId="164" fontId="1" fillId="10" borderId="1" xfId="0" applyNumberFormat="1" applyFont="1" applyFill="1" applyBorder="1" applyAlignment="1" applyProtection="1">
      <alignment horizontal="center" vertical="center"/>
      <protection locked="0"/>
    </xf>
    <xf numFmtId="164" fontId="1" fillId="5" borderId="1" xfId="0" applyNumberFormat="1" applyFont="1" applyFill="1" applyBorder="1" applyAlignment="1" applyProtection="1">
      <alignment horizontal="center" vertical="center"/>
      <protection locked="0"/>
    </xf>
    <xf numFmtId="164" fontId="25" fillId="0" borderId="1" xfId="0" applyNumberFormat="1" applyFont="1" applyFill="1" applyBorder="1" applyAlignment="1" applyProtection="1">
      <alignment horizontal="center" vertical="center"/>
      <protection locked="0"/>
    </xf>
    <xf numFmtId="164" fontId="25" fillId="10" borderId="1" xfId="0" applyNumberFormat="1" applyFont="1" applyFill="1" applyBorder="1" applyAlignment="1" applyProtection="1">
      <alignment horizontal="center" vertical="center"/>
      <protection locked="0"/>
    </xf>
    <xf numFmtId="164" fontId="25" fillId="5" borderId="1" xfId="0" applyNumberFormat="1" applyFont="1" applyFill="1" applyBorder="1" applyAlignment="1" applyProtection="1">
      <alignment horizontal="center" vertical="center"/>
      <protection locked="0"/>
    </xf>
    <xf numFmtId="164" fontId="25" fillId="0" borderId="3" xfId="0" applyNumberFormat="1" applyFont="1" applyFill="1" applyBorder="1" applyAlignment="1" applyProtection="1">
      <alignment horizontal="center" vertical="center"/>
      <protection locked="0"/>
    </xf>
    <xf numFmtId="164" fontId="25" fillId="10" borderId="3" xfId="0" applyNumberFormat="1" applyFont="1" applyFill="1" applyBorder="1" applyAlignment="1" applyProtection="1">
      <alignment horizontal="center" vertical="center"/>
      <protection locked="0"/>
    </xf>
    <xf numFmtId="164" fontId="25" fillId="5" borderId="3" xfId="0" applyNumberFormat="1"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protection hidden="1"/>
    </xf>
    <xf numFmtId="0" fontId="0" fillId="0" borderId="5" xfId="0" applyFont="1" applyBorder="1" applyAlignment="1" applyProtection="1">
      <alignment horizontal="center" vertical="center"/>
      <protection locked="0"/>
    </xf>
    <xf numFmtId="0" fontId="0" fillId="10" borderId="5" xfId="0" applyFont="1" applyFill="1" applyBorder="1" applyAlignment="1" applyProtection="1">
      <alignment horizontal="center" vertical="center"/>
      <protection locked="0"/>
    </xf>
    <xf numFmtId="0" fontId="16" fillId="0" borderId="3" xfId="0" applyFont="1" applyBorder="1" applyAlignment="1" applyProtection="1">
      <alignment horizontal="center" vertical="center"/>
      <protection locked="0"/>
    </xf>
    <xf numFmtId="0" fontId="16" fillId="0" borderId="1" xfId="0" applyFont="1" applyBorder="1" applyAlignment="1" applyProtection="1">
      <alignment horizontal="center" vertical="center"/>
      <protection locked="0"/>
    </xf>
    <xf numFmtId="164" fontId="2" fillId="5" borderId="3" xfId="0" applyNumberFormat="1" applyFont="1" applyFill="1" applyBorder="1" applyAlignment="1" applyProtection="1">
      <alignment horizontal="center" vertical="center"/>
      <protection locked="0"/>
    </xf>
    <xf numFmtId="0" fontId="1" fillId="3" borderId="14" xfId="0" applyFont="1" applyFill="1" applyBorder="1" applyAlignment="1" applyProtection="1">
      <alignment horizontal="center" vertical="center"/>
      <protection hidden="1"/>
    </xf>
    <xf numFmtId="0" fontId="116" fillId="0" borderId="6" xfId="0" applyFont="1" applyBorder="1" applyAlignment="1" applyProtection="1">
      <alignment horizontal="center" vertical="center"/>
      <protection locked="0"/>
    </xf>
    <xf numFmtId="0" fontId="16" fillId="0" borderId="6" xfId="0" applyFont="1" applyBorder="1" applyAlignment="1" applyProtection="1">
      <alignment horizontal="left" vertical="center" indent="1"/>
      <protection locked="0"/>
    </xf>
    <xf numFmtId="164" fontId="1" fillId="39" borderId="1" xfId="0" applyNumberFormat="1" applyFont="1" applyFill="1" applyBorder="1" applyAlignment="1" applyProtection="1">
      <alignment horizontal="center" vertical="center"/>
      <protection locked="0"/>
    </xf>
    <xf numFmtId="164" fontId="1" fillId="4" borderId="1" xfId="0" applyNumberFormat="1" applyFont="1" applyFill="1" applyBorder="1" applyAlignment="1" applyProtection="1">
      <alignment horizontal="center" vertical="center"/>
      <protection locked="0"/>
    </xf>
    <xf numFmtId="0" fontId="0" fillId="10" borderId="1" xfId="0" applyFont="1" applyFill="1" applyBorder="1" applyAlignment="1" applyProtection="1">
      <alignment horizontal="center" vertical="center"/>
      <protection locked="0"/>
    </xf>
    <xf numFmtId="1" fontId="0" fillId="4" borderId="5" xfId="0" applyNumberFormat="1" applyFont="1" applyFill="1" applyBorder="1" applyAlignment="1" applyProtection="1">
      <alignment horizontal="center" vertical="center"/>
      <protection locked="0"/>
    </xf>
    <xf numFmtId="164" fontId="1" fillId="10" borderId="3" xfId="0" applyNumberFormat="1" applyFont="1" applyFill="1" applyBorder="1" applyAlignment="1" applyProtection="1">
      <alignment horizontal="center" vertical="center"/>
      <protection locked="0"/>
    </xf>
    <xf numFmtId="0" fontId="13" fillId="11" borderId="20" xfId="0" applyFont="1" applyFill="1" applyBorder="1" applyAlignment="1" applyProtection="1">
      <alignment horizontal="center" vertical="center"/>
      <protection locked="0"/>
    </xf>
    <xf numFmtId="0" fontId="0" fillId="11" borderId="1" xfId="0" applyFill="1" applyBorder="1" applyAlignment="1" applyProtection="1">
      <alignment horizontal="center" vertical="center"/>
      <protection locked="0"/>
    </xf>
    <xf numFmtId="1" fontId="13" fillId="11" borderId="20" xfId="0" applyNumberFormat="1" applyFont="1" applyFill="1" applyBorder="1" applyAlignment="1" applyProtection="1">
      <alignment horizontal="center" vertical="center"/>
      <protection locked="0"/>
    </xf>
    <xf numFmtId="1" fontId="13" fillId="5" borderId="7" xfId="0" applyNumberFormat="1" applyFont="1" applyFill="1" applyBorder="1" applyAlignment="1" applyProtection="1">
      <alignment horizontal="center" vertical="center"/>
      <protection locked="0"/>
    </xf>
    <xf numFmtId="1" fontId="13" fillId="5" borderId="8" xfId="0" applyNumberFormat="1" applyFont="1" applyFill="1" applyBorder="1" applyAlignment="1" applyProtection="1">
      <alignment horizontal="center" vertical="center"/>
      <protection locked="0"/>
    </xf>
    <xf numFmtId="1" fontId="13" fillId="5" borderId="6" xfId="0" applyNumberFormat="1" applyFont="1" applyFill="1" applyBorder="1" applyAlignment="1" applyProtection="1">
      <alignment horizontal="center" vertical="center"/>
      <protection locked="0"/>
    </xf>
    <xf numFmtId="1" fontId="76" fillId="5" borderId="8" xfId="0" applyNumberFormat="1" applyFont="1" applyFill="1" applyBorder="1" applyAlignment="1" applyProtection="1">
      <alignment horizontal="center" vertical="center"/>
      <protection locked="0"/>
    </xf>
    <xf numFmtId="1" fontId="114" fillId="5" borderId="8" xfId="0" applyNumberFormat="1" applyFont="1" applyFill="1" applyBorder="1" applyAlignment="1" applyProtection="1">
      <alignment horizontal="center" vertical="center"/>
      <protection locked="0"/>
    </xf>
    <xf numFmtId="0" fontId="13" fillId="11" borderId="1" xfId="0" applyFont="1" applyFill="1" applyBorder="1" applyAlignment="1" applyProtection="1">
      <alignment horizontal="center" vertical="center"/>
      <protection locked="0"/>
    </xf>
    <xf numFmtId="0" fontId="10" fillId="39" borderId="8" xfId="0" applyFont="1" applyFill="1" applyBorder="1" applyAlignment="1" applyProtection="1">
      <alignment horizontal="center" vertical="center"/>
      <protection locked="0"/>
    </xf>
    <xf numFmtId="0" fontId="146" fillId="5" borderId="8" xfId="0" applyFont="1" applyFill="1" applyBorder="1" applyAlignment="1" applyProtection="1">
      <alignment horizontal="center" vertical="center"/>
      <protection locked="0"/>
    </xf>
    <xf numFmtId="0" fontId="5" fillId="3" borderId="1" xfId="0" applyFont="1" applyFill="1" applyBorder="1" applyAlignment="1" applyProtection="1">
      <alignment horizontal="center" vertical="center"/>
      <protection hidden="1"/>
    </xf>
    <xf numFmtId="0" fontId="69" fillId="0" borderId="5" xfId="0" applyFont="1" applyBorder="1" applyAlignment="1" applyProtection="1">
      <alignment horizontal="center" vertical="center"/>
      <protection locked="0"/>
    </xf>
    <xf numFmtId="0" fontId="69" fillId="4" borderId="5" xfId="0" applyFont="1" applyFill="1" applyBorder="1" applyAlignment="1" applyProtection="1">
      <alignment horizontal="center" vertical="center"/>
      <protection locked="0"/>
    </xf>
    <xf numFmtId="0" fontId="13" fillId="11" borderId="23" xfId="0" applyFont="1" applyFill="1" applyBorder="1" applyAlignment="1" applyProtection="1">
      <alignment horizontal="center" vertical="center"/>
      <protection locked="0"/>
    </xf>
    <xf numFmtId="0" fontId="73" fillId="12" borderId="0" xfId="0" applyFont="1" applyFill="1" applyAlignment="1" applyProtection="1">
      <alignment horizontal="center" vertical="center"/>
      <protection locked="0"/>
    </xf>
    <xf numFmtId="164" fontId="5" fillId="0" borderId="2" xfId="0" applyNumberFormat="1" applyFont="1" applyFill="1" applyBorder="1" applyAlignment="1" applyProtection="1">
      <alignment horizontal="center" vertical="center"/>
      <protection locked="0"/>
    </xf>
    <xf numFmtId="164" fontId="5" fillId="9" borderId="1" xfId="0" applyNumberFormat="1" applyFont="1" applyFill="1" applyBorder="1" applyAlignment="1" applyProtection="1">
      <alignment horizontal="center" vertical="center"/>
      <protection locked="0"/>
    </xf>
    <xf numFmtId="164" fontId="5" fillId="9" borderId="2" xfId="0" applyNumberFormat="1" applyFont="1" applyFill="1" applyBorder="1" applyAlignment="1" applyProtection="1">
      <alignment horizontal="center" vertical="center"/>
      <protection locked="0"/>
    </xf>
    <xf numFmtId="1" fontId="13" fillId="0" borderId="25" xfId="0" applyNumberFormat="1" applyFont="1" applyBorder="1" applyAlignment="1" applyProtection="1">
      <alignment horizontal="center" vertical="center"/>
      <protection locked="0"/>
    </xf>
    <xf numFmtId="1" fontId="23" fillId="0" borderId="29" xfId="0" applyNumberFormat="1" applyFont="1" applyBorder="1" applyAlignment="1" applyProtection="1">
      <alignment horizontal="left" vertical="center" indent="1"/>
      <protection locked="0"/>
    </xf>
    <xf numFmtId="1" fontId="32" fillId="9" borderId="3" xfId="0" applyNumberFormat="1" applyFont="1" applyFill="1" applyBorder="1" applyAlignment="1" applyProtection="1">
      <alignment horizontal="center" vertical="center"/>
      <protection locked="0"/>
    </xf>
    <xf numFmtId="164" fontId="5" fillId="0" borderId="3" xfId="0" applyNumberFormat="1" applyFont="1" applyFill="1" applyBorder="1" applyAlignment="1" applyProtection="1">
      <alignment horizontal="center" vertical="center"/>
      <protection locked="0"/>
    </xf>
    <xf numFmtId="164" fontId="5" fillId="9" borderId="3" xfId="0" applyNumberFormat="1" applyFont="1" applyFill="1" applyBorder="1" applyAlignment="1" applyProtection="1">
      <alignment horizontal="center" vertical="center"/>
      <protection locked="0"/>
    </xf>
    <xf numFmtId="1" fontId="5" fillId="3" borderId="3" xfId="0" applyNumberFormat="1" applyFont="1" applyFill="1" applyBorder="1" applyAlignment="1" applyProtection="1">
      <alignment horizontal="center" vertical="center"/>
      <protection hidden="1"/>
    </xf>
    <xf numFmtId="1" fontId="21" fillId="0" borderId="3" xfId="0" applyNumberFormat="1" applyFont="1" applyBorder="1" applyAlignment="1" applyProtection="1">
      <alignment horizontal="center" vertical="center"/>
      <protection hidden="1"/>
    </xf>
    <xf numFmtId="1" fontId="78" fillId="11" borderId="20" xfId="0" applyNumberFormat="1" applyFont="1" applyFill="1" applyBorder="1" applyAlignment="1" applyProtection="1">
      <alignment horizontal="center" vertical="center"/>
      <protection locked="0"/>
    </xf>
    <xf numFmtId="1" fontId="78" fillId="5" borderId="20" xfId="0" applyNumberFormat="1" applyFont="1" applyFill="1" applyBorder="1" applyAlignment="1" applyProtection="1">
      <alignment horizontal="center" vertical="center"/>
      <protection locked="0"/>
    </xf>
    <xf numFmtId="164" fontId="155" fillId="5" borderId="1" xfId="0" applyNumberFormat="1" applyFont="1" applyFill="1" applyBorder="1" applyAlignment="1" applyProtection="1">
      <alignment horizontal="center" vertical="center"/>
      <protection hidden="1"/>
    </xf>
    <xf numFmtId="164" fontId="21" fillId="0" borderId="3" xfId="0" applyNumberFormat="1" applyFont="1" applyBorder="1" applyAlignment="1" applyProtection="1">
      <alignment horizontal="center" vertical="center"/>
      <protection hidden="1"/>
    </xf>
    <xf numFmtId="164" fontId="1" fillId="9" borderId="1" xfId="0" applyNumberFormat="1" applyFont="1" applyFill="1" applyBorder="1" applyAlignment="1" applyProtection="1">
      <alignment horizontal="center" vertical="center"/>
      <protection locked="0"/>
    </xf>
    <xf numFmtId="164" fontId="1" fillId="11" borderId="1" xfId="0" applyNumberFormat="1" applyFont="1" applyFill="1" applyBorder="1" applyAlignment="1" applyProtection="1">
      <alignment horizontal="center" vertical="center"/>
      <protection locked="0"/>
    </xf>
    <xf numFmtId="0" fontId="121" fillId="10" borderId="3" xfId="0" applyFont="1" applyFill="1" applyBorder="1" applyAlignment="1" applyProtection="1">
      <alignment horizontal="center" vertical="center"/>
      <protection locked="0"/>
    </xf>
    <xf numFmtId="164" fontId="1" fillId="9" borderId="3" xfId="0" applyNumberFormat="1" applyFont="1" applyFill="1" applyBorder="1" applyAlignment="1" applyProtection="1">
      <alignment horizontal="center" vertical="center"/>
      <protection locked="0"/>
    </xf>
    <xf numFmtId="0" fontId="5" fillId="3" borderId="3" xfId="0" applyFont="1" applyFill="1" applyBorder="1" applyAlignment="1" applyProtection="1">
      <alignment horizontal="center" vertical="center"/>
      <protection hidden="1"/>
    </xf>
    <xf numFmtId="0" fontId="13" fillId="0" borderId="3" xfId="0" applyFont="1" applyBorder="1" applyAlignment="1" applyProtection="1">
      <alignment horizontal="center" vertical="center"/>
      <protection hidden="1"/>
    </xf>
    <xf numFmtId="0" fontId="13" fillId="11" borderId="40" xfId="0" applyFont="1" applyFill="1" applyBorder="1" applyAlignment="1" applyProtection="1">
      <alignment horizontal="center" vertical="center"/>
      <protection locked="0"/>
    </xf>
    <xf numFmtId="0" fontId="13" fillId="5" borderId="40" xfId="0" applyFont="1" applyFill="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1" fontId="10" fillId="5" borderId="6" xfId="0" applyNumberFormat="1" applyFont="1" applyFill="1" applyBorder="1" applyAlignment="1" applyProtection="1">
      <alignment horizontal="center"/>
      <protection locked="0"/>
    </xf>
    <xf numFmtId="0" fontId="16" fillId="3" borderId="1" xfId="0" applyFont="1" applyFill="1" applyBorder="1" applyAlignment="1" applyProtection="1">
      <alignment horizontal="center" vertical="center"/>
      <protection locked="0"/>
    </xf>
    <xf numFmtId="0" fontId="16" fillId="3" borderId="1" xfId="0" applyFont="1" applyFill="1" applyBorder="1" applyAlignment="1" applyProtection="1">
      <alignment horizontal="center" vertical="center" textRotation="90" wrapText="1"/>
      <protection locked="0"/>
    </xf>
    <xf numFmtId="0" fontId="2" fillId="0" borderId="5" xfId="0" applyFont="1" applyBorder="1" applyAlignment="1" applyProtection="1">
      <alignment horizontal="center" vertical="center"/>
      <protection locked="0"/>
    </xf>
    <xf numFmtId="164" fontId="2" fillId="0" borderId="3" xfId="0" applyNumberFormat="1" applyFon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13" fillId="14" borderId="20" xfId="0" applyFont="1" applyFill="1" applyBorder="1" applyAlignment="1" applyProtection="1">
      <alignment horizontal="center" vertical="center"/>
      <protection locked="0"/>
    </xf>
    <xf numFmtId="0" fontId="73" fillId="0" borderId="0" xfId="0" applyFont="1" applyAlignment="1" applyProtection="1">
      <alignment horizontal="center" vertical="center"/>
      <protection locked="0"/>
    </xf>
    <xf numFmtId="164" fontId="0" fillId="0" borderId="0" xfId="0" applyNumberFormat="1" applyFont="1" applyProtection="1">
      <protection locked="0"/>
    </xf>
    <xf numFmtId="0" fontId="150" fillId="0" borderId="0" xfId="0" applyFont="1" applyAlignment="1" applyProtection="1">
      <alignment horizontal="center" vertical="center"/>
      <protection locked="0"/>
    </xf>
    <xf numFmtId="164" fontId="4" fillId="5" borderId="1" xfId="0" applyNumberFormat="1" applyFont="1" applyFill="1" applyBorder="1" applyAlignment="1" applyProtection="1">
      <alignment horizontal="center" vertical="center"/>
      <protection hidden="1"/>
    </xf>
    <xf numFmtId="0" fontId="0" fillId="0" borderId="0" xfId="0" applyFont="1" applyProtection="1">
      <protection locked="0"/>
    </xf>
    <xf numFmtId="1" fontId="1" fillId="15" borderId="3" xfId="0" applyNumberFormat="1" applyFont="1" applyFill="1" applyBorder="1" applyAlignment="1" applyProtection="1">
      <alignment horizontal="center" vertical="center"/>
      <protection locked="0"/>
    </xf>
    <xf numFmtId="1" fontId="1" fillId="15" borderId="1" xfId="0" applyNumberFormat="1" applyFont="1" applyFill="1" applyBorder="1" applyAlignment="1" applyProtection="1">
      <alignment horizontal="center" vertical="center"/>
      <protection locked="0"/>
    </xf>
    <xf numFmtId="164" fontId="84" fillId="5" borderId="1" xfId="0" applyNumberFormat="1" applyFont="1" applyFill="1" applyBorder="1" applyAlignment="1" applyProtection="1">
      <alignment horizontal="center" vertical="center"/>
      <protection locked="0"/>
    </xf>
    <xf numFmtId="1" fontId="84" fillId="5" borderId="1" xfId="0" applyNumberFormat="1" applyFont="1" applyFill="1" applyBorder="1" applyAlignment="1" applyProtection="1">
      <alignment horizontal="center" vertical="center"/>
      <protection locked="0"/>
    </xf>
    <xf numFmtId="1" fontId="77" fillId="5" borderId="6" xfId="0" applyNumberFormat="1" applyFont="1" applyFill="1" applyBorder="1" applyAlignment="1" applyProtection="1">
      <alignment vertical="center"/>
      <protection locked="0"/>
    </xf>
    <xf numFmtId="164" fontId="1" fillId="5" borderId="3" xfId="0" applyNumberFormat="1" applyFont="1" applyFill="1" applyBorder="1" applyAlignment="1" applyProtection="1">
      <alignment horizontal="center" vertical="center"/>
      <protection hidden="1"/>
    </xf>
    <xf numFmtId="164" fontId="1" fillId="4" borderId="3" xfId="0" applyNumberFormat="1" applyFont="1" applyFill="1" applyBorder="1" applyAlignment="1" applyProtection="1">
      <alignment horizontal="center" vertical="center"/>
      <protection hidden="1"/>
    </xf>
    <xf numFmtId="1" fontId="76" fillId="5" borderId="8" xfId="0" applyNumberFormat="1" applyFont="1" applyFill="1" applyBorder="1" applyAlignment="1" applyProtection="1">
      <alignment horizontal="center" vertical="center"/>
      <protection hidden="1"/>
    </xf>
    <xf numFmtId="164" fontId="2" fillId="9" borderId="14" xfId="0" applyNumberFormat="1" applyFont="1" applyFill="1" applyBorder="1" applyAlignment="1" applyProtection="1">
      <alignment horizontal="center" vertical="center"/>
      <protection locked="0"/>
    </xf>
    <xf numFmtId="164" fontId="2" fillId="9" borderId="7" xfId="0" applyNumberFormat="1" applyFont="1" applyFill="1" applyBorder="1" applyAlignment="1" applyProtection="1">
      <alignment horizontal="center" vertical="center"/>
      <protection locked="0"/>
    </xf>
    <xf numFmtId="1" fontId="13" fillId="10" borderId="68" xfId="0" applyNumberFormat="1" applyFont="1" applyFill="1" applyBorder="1" applyAlignment="1" applyProtection="1">
      <alignment horizontal="center"/>
      <protection locked="0"/>
    </xf>
    <xf numFmtId="1" fontId="0" fillId="4" borderId="4" xfId="0" applyNumberFormat="1" applyFont="1" applyFill="1" applyBorder="1" applyAlignment="1" applyProtection="1">
      <alignment horizontal="center"/>
      <protection locked="0"/>
    </xf>
    <xf numFmtId="1" fontId="0" fillId="4" borderId="0" xfId="0" applyNumberFormat="1" applyFont="1" applyFill="1" applyBorder="1" applyAlignment="1" applyProtection="1">
      <alignment horizontal="center"/>
      <protection locked="0"/>
    </xf>
    <xf numFmtId="1" fontId="0" fillId="4" borderId="60" xfId="0" applyNumberFormat="1" applyFont="1" applyFill="1" applyBorder="1" applyAlignment="1" applyProtection="1">
      <alignment horizontal="center"/>
      <protection locked="0"/>
    </xf>
    <xf numFmtId="1" fontId="0" fillId="10" borderId="68" xfId="0" applyNumberFormat="1" applyFont="1" applyFill="1" applyBorder="1" applyAlignment="1" applyProtection="1">
      <alignment horizontal="center"/>
      <protection locked="0"/>
    </xf>
    <xf numFmtId="1" fontId="0" fillId="10" borderId="67" xfId="0" applyNumberFormat="1" applyFont="1" applyFill="1" applyBorder="1" applyAlignment="1" applyProtection="1">
      <alignment horizontal="center"/>
      <protection locked="0"/>
    </xf>
    <xf numFmtId="1" fontId="13" fillId="0" borderId="29" xfId="0" applyNumberFormat="1" applyFont="1" applyBorder="1" applyAlignment="1" applyProtection="1">
      <alignment horizontal="center" vertical="center"/>
      <protection locked="0"/>
    </xf>
    <xf numFmtId="1" fontId="0" fillId="0" borderId="33" xfId="0" applyNumberFormat="1" applyFont="1" applyBorder="1" applyAlignment="1" applyProtection="1">
      <alignment horizontal="center" vertical="center"/>
      <protection locked="0"/>
    </xf>
    <xf numFmtId="1" fontId="25" fillId="10" borderId="2" xfId="0" applyNumberFormat="1" applyFont="1" applyFill="1" applyBorder="1" applyAlignment="1" applyProtection="1">
      <alignment horizontal="center" vertical="center"/>
      <protection locked="0"/>
    </xf>
    <xf numFmtId="1" fontId="0" fillId="4" borderId="67" xfId="0" applyNumberFormat="1" applyFill="1" applyBorder="1" applyProtection="1">
      <protection hidden="1"/>
    </xf>
    <xf numFmtId="1" fontId="0" fillId="4" borderId="33" xfId="0" applyNumberFormat="1" applyFill="1" applyBorder="1" applyProtection="1">
      <protection hidden="1"/>
    </xf>
    <xf numFmtId="1" fontId="0" fillId="4" borderId="68" xfId="0" applyNumberFormat="1" applyFill="1" applyBorder="1" applyProtection="1">
      <protection hidden="1"/>
    </xf>
    <xf numFmtId="1" fontId="0" fillId="4" borderId="29" xfId="0" applyNumberFormat="1" applyFill="1" applyBorder="1" applyProtection="1">
      <protection hidden="1"/>
    </xf>
    <xf numFmtId="1" fontId="0" fillId="4" borderId="14" xfId="0" applyNumberFormat="1" applyFill="1" applyBorder="1" applyProtection="1">
      <protection hidden="1"/>
    </xf>
    <xf numFmtId="1" fontId="0" fillId="4" borderId="25" xfId="0" applyNumberFormat="1" applyFill="1" applyBorder="1" applyProtection="1">
      <protection hidden="1"/>
    </xf>
    <xf numFmtId="1" fontId="83" fillId="5" borderId="7" xfId="0" applyNumberFormat="1" applyFont="1" applyFill="1" applyBorder="1" applyAlignment="1" applyProtection="1">
      <alignment vertical="center"/>
      <protection hidden="1"/>
    </xf>
    <xf numFmtId="1" fontId="83" fillId="5" borderId="6" xfId="0" applyNumberFormat="1" applyFont="1" applyFill="1" applyBorder="1" applyAlignment="1" applyProtection="1">
      <alignment vertical="center"/>
      <protection hidden="1"/>
    </xf>
    <xf numFmtId="164" fontId="1" fillId="39" borderId="1" xfId="0" applyNumberFormat="1" applyFont="1" applyFill="1" applyBorder="1" applyAlignment="1" applyProtection="1">
      <alignment horizontal="center" vertical="center"/>
      <protection hidden="1"/>
    </xf>
    <xf numFmtId="164" fontId="1" fillId="4" borderId="1" xfId="0" applyNumberFormat="1" applyFont="1" applyFill="1" applyBorder="1" applyAlignment="1" applyProtection="1">
      <alignment horizontal="center" vertical="center"/>
      <protection hidden="1"/>
    </xf>
    <xf numFmtId="1" fontId="114" fillId="5" borderId="7" xfId="0" applyNumberFormat="1" applyFont="1" applyFill="1" applyBorder="1" applyAlignment="1" applyProtection="1">
      <alignment horizontal="center" vertical="center"/>
      <protection hidden="1"/>
    </xf>
    <xf numFmtId="1" fontId="114" fillId="5" borderId="8" xfId="0" applyNumberFormat="1" applyFont="1" applyFill="1" applyBorder="1" applyAlignment="1" applyProtection="1">
      <alignment horizontal="center" vertical="center"/>
      <protection hidden="1"/>
    </xf>
    <xf numFmtId="164" fontId="13" fillId="0" borderId="3" xfId="0" applyNumberFormat="1" applyFont="1" applyBorder="1" applyAlignment="1" applyProtection="1">
      <alignment horizontal="center" vertical="center"/>
      <protection locked="0"/>
    </xf>
    <xf numFmtId="1" fontId="13" fillId="0" borderId="3" xfId="0" applyNumberFormat="1" applyFont="1" applyBorder="1" applyAlignment="1" applyProtection="1">
      <alignment horizontal="center" vertical="center"/>
      <protection locked="0"/>
    </xf>
    <xf numFmtId="164" fontId="0" fillId="8" borderId="67" xfId="0" applyNumberFormat="1" applyFill="1" applyBorder="1" applyProtection="1">
      <protection locked="0"/>
    </xf>
    <xf numFmtId="1" fontId="0" fillId="8" borderId="33" xfId="0" applyNumberFormat="1" applyFill="1" applyBorder="1" applyProtection="1">
      <protection locked="0"/>
    </xf>
    <xf numFmtId="164" fontId="0" fillId="8" borderId="14" xfId="0" applyNumberFormat="1" applyFill="1" applyBorder="1" applyProtection="1">
      <protection locked="0"/>
    </xf>
    <xf numFmtId="1" fontId="0" fillId="8" borderId="25" xfId="0" applyNumberFormat="1" applyFill="1" applyBorder="1" applyProtection="1">
      <protection locked="0"/>
    </xf>
    <xf numFmtId="164" fontId="77" fillId="5" borderId="7" xfId="0" applyNumberFormat="1" applyFont="1" applyFill="1" applyBorder="1" applyAlignment="1" applyProtection="1">
      <alignment vertical="center"/>
      <protection locked="0"/>
    </xf>
    <xf numFmtId="164" fontId="13" fillId="0" borderId="1" xfId="0" applyNumberFormat="1" applyFont="1" applyBorder="1" applyAlignment="1" applyProtection="1">
      <alignment horizontal="center" vertical="center"/>
      <protection locked="0"/>
    </xf>
    <xf numFmtId="1" fontId="5" fillId="5" borderId="1" xfId="0" applyNumberFormat="1" applyFont="1" applyFill="1" applyBorder="1" applyAlignment="1" applyProtection="1">
      <alignment horizontal="center" vertical="center"/>
      <protection hidden="1"/>
    </xf>
    <xf numFmtId="0" fontId="32" fillId="0" borderId="0" xfId="0" applyFont="1" applyBorder="1" applyProtection="1">
      <protection locked="0"/>
    </xf>
    <xf numFmtId="0" fontId="10" fillId="39" borderId="8" xfId="0" applyFont="1" applyFill="1" applyBorder="1" applyAlignment="1" applyProtection="1">
      <alignment horizontal="center" vertical="center"/>
      <protection hidden="1"/>
    </xf>
    <xf numFmtId="0" fontId="146" fillId="5" borderId="8" xfId="0" applyFont="1" applyFill="1" applyBorder="1" applyAlignment="1" applyProtection="1">
      <alignment horizontal="center" vertical="center"/>
      <protection hidden="1"/>
    </xf>
    <xf numFmtId="1" fontId="5" fillId="0" borderId="0" xfId="0" applyNumberFormat="1" applyFont="1" applyFill="1" applyBorder="1" applyAlignment="1" applyProtection="1">
      <alignment horizontal="center" vertical="center"/>
      <protection locked="0"/>
    </xf>
    <xf numFmtId="1" fontId="95" fillId="0" borderId="0" xfId="0" applyNumberFormat="1" applyFont="1" applyFill="1" applyAlignment="1" applyProtection="1">
      <alignment horizontal="center" vertical="center"/>
      <protection locked="0"/>
    </xf>
    <xf numFmtId="1" fontId="5" fillId="0" borderId="0" xfId="0" applyNumberFormat="1" applyFont="1" applyProtection="1">
      <protection locked="0"/>
    </xf>
    <xf numFmtId="1" fontId="6" fillId="0" borderId="5" xfId="0" applyNumberFormat="1" applyFont="1" applyBorder="1" applyAlignment="1" applyProtection="1">
      <alignment horizontal="center" vertical="center"/>
      <protection locked="0"/>
    </xf>
    <xf numFmtId="1" fontId="6" fillId="10" borderId="5" xfId="0" applyNumberFormat="1" applyFont="1" applyFill="1" applyBorder="1" applyAlignment="1" applyProtection="1">
      <alignment horizontal="center" vertical="center"/>
      <protection locked="0"/>
    </xf>
    <xf numFmtId="1" fontId="6" fillId="29" borderId="67" xfId="0" applyNumberFormat="1" applyFont="1" applyFill="1" applyBorder="1" applyAlignment="1" applyProtection="1">
      <alignment horizontal="center" vertical="center"/>
      <protection locked="0"/>
    </xf>
    <xf numFmtId="1" fontId="6" fillId="29" borderId="4" xfId="0" applyNumberFormat="1" applyFont="1" applyFill="1" applyBorder="1" applyAlignment="1" applyProtection="1">
      <alignment horizontal="center" vertical="center"/>
      <protection locked="0"/>
    </xf>
    <xf numFmtId="1" fontId="6" fillId="4" borderId="4" xfId="0" applyNumberFormat="1" applyFont="1" applyFill="1" applyBorder="1" applyAlignment="1" applyProtection="1">
      <alignment horizontal="center" vertical="center"/>
      <protection locked="0"/>
    </xf>
    <xf numFmtId="1" fontId="6" fillId="4" borderId="33" xfId="0" applyNumberFormat="1" applyFont="1" applyFill="1" applyBorder="1" applyAlignment="1" applyProtection="1">
      <alignment horizontal="center" vertical="center"/>
      <protection locked="0"/>
    </xf>
    <xf numFmtId="1" fontId="6" fillId="29" borderId="68" xfId="0" applyNumberFormat="1" applyFont="1" applyFill="1" applyBorder="1" applyAlignment="1" applyProtection="1">
      <alignment horizontal="center" vertical="center"/>
      <protection locked="0"/>
    </xf>
    <xf numFmtId="1" fontId="6" fillId="29" borderId="0" xfId="0" applyNumberFormat="1" applyFont="1" applyFill="1" applyBorder="1" applyAlignment="1" applyProtection="1">
      <alignment horizontal="center" vertical="center"/>
      <protection locked="0"/>
    </xf>
    <xf numFmtId="1" fontId="6" fillId="4" borderId="0" xfId="0" applyNumberFormat="1" applyFont="1" applyFill="1" applyBorder="1" applyAlignment="1" applyProtection="1">
      <alignment horizontal="center" vertical="center"/>
      <protection locked="0"/>
    </xf>
    <xf numFmtId="1" fontId="6" fillId="4" borderId="29" xfId="0" applyNumberFormat="1" applyFont="1" applyFill="1" applyBorder="1" applyAlignment="1" applyProtection="1">
      <alignment horizontal="center" vertical="center"/>
      <protection locked="0"/>
    </xf>
    <xf numFmtId="1" fontId="6" fillId="5" borderId="14" xfId="0" applyNumberFormat="1" applyFont="1" applyFill="1" applyBorder="1" applyAlignment="1" applyProtection="1">
      <alignment horizontal="center" vertical="center"/>
      <protection locked="0"/>
    </xf>
    <xf numFmtId="1" fontId="6" fillId="5" borderId="60" xfId="0" applyNumberFormat="1" applyFont="1" applyFill="1" applyBorder="1" applyAlignment="1" applyProtection="1">
      <alignment horizontal="center" vertical="center"/>
      <protection locked="0"/>
    </xf>
    <xf numFmtId="1" fontId="6" fillId="5" borderId="25" xfId="0" applyNumberFormat="1" applyFont="1" applyFill="1" applyBorder="1" applyAlignment="1" applyProtection="1">
      <alignment horizontal="center" vertical="center"/>
      <protection locked="0"/>
    </xf>
    <xf numFmtId="1" fontId="6" fillId="0" borderId="1" xfId="0" applyNumberFormat="1" applyFont="1" applyBorder="1" applyAlignment="1" applyProtection="1">
      <alignment horizontal="center" vertical="center"/>
      <protection locked="0"/>
    </xf>
    <xf numFmtId="1" fontId="6" fillId="10" borderId="1" xfId="0" applyNumberFormat="1" applyFont="1" applyFill="1" applyBorder="1" applyAlignment="1" applyProtection="1">
      <alignment horizontal="center" vertical="center"/>
      <protection locked="0"/>
    </xf>
    <xf numFmtId="1" fontId="6" fillId="5" borderId="7" xfId="0" applyNumberFormat="1" applyFont="1" applyFill="1" applyBorder="1" applyAlignment="1" applyProtection="1">
      <alignment horizontal="center" vertical="center"/>
      <protection locked="0"/>
    </xf>
    <xf numFmtId="1" fontId="6" fillId="5" borderId="8" xfId="0" applyNumberFormat="1" applyFont="1" applyFill="1" applyBorder="1" applyAlignment="1" applyProtection="1">
      <alignment horizontal="center" vertical="center"/>
      <protection locked="0"/>
    </xf>
    <xf numFmtId="1" fontId="6" fillId="5" borderId="6" xfId="0" applyNumberFormat="1" applyFont="1" applyFill="1" applyBorder="1" applyAlignment="1" applyProtection="1">
      <alignment horizontal="center" vertical="center"/>
      <protection locked="0"/>
    </xf>
    <xf numFmtId="1" fontId="1" fillId="9" borderId="3" xfId="0" applyNumberFormat="1" applyFont="1" applyFill="1" applyBorder="1" applyAlignment="1" applyProtection="1">
      <alignment horizontal="center" vertical="center"/>
      <protection locked="0"/>
    </xf>
    <xf numFmtId="1" fontId="1" fillId="9" borderId="1" xfId="0" applyNumberFormat="1" applyFont="1" applyFill="1" applyBorder="1" applyAlignment="1" applyProtection="1">
      <alignment horizontal="center" vertical="center"/>
      <protection locked="0"/>
    </xf>
    <xf numFmtId="1" fontId="1" fillId="0" borderId="1" xfId="0" applyNumberFormat="1" applyFont="1" applyBorder="1" applyAlignment="1" applyProtection="1">
      <alignment horizontal="center"/>
      <protection locked="0"/>
    </xf>
    <xf numFmtId="1" fontId="1" fillId="9" borderId="1" xfId="0" applyNumberFormat="1" applyFont="1" applyFill="1" applyBorder="1" applyAlignment="1" applyProtection="1">
      <alignment horizontal="center"/>
      <protection locked="0"/>
    </xf>
    <xf numFmtId="1" fontId="1" fillId="39" borderId="3" xfId="0" applyNumberFormat="1" applyFont="1" applyFill="1" applyBorder="1" applyAlignment="1" applyProtection="1">
      <alignment horizontal="center" vertical="center"/>
      <protection hidden="1"/>
    </xf>
    <xf numFmtId="1" fontId="1" fillId="5" borderId="3" xfId="0" applyNumberFormat="1" applyFont="1" applyFill="1" applyBorder="1" applyAlignment="1" applyProtection="1">
      <alignment horizontal="center" vertical="center"/>
      <protection hidden="1"/>
    </xf>
    <xf numFmtId="1" fontId="1" fillId="4" borderId="3" xfId="0" applyNumberFormat="1" applyFont="1" applyFill="1" applyBorder="1" applyAlignment="1" applyProtection="1">
      <alignment horizontal="center" vertical="center"/>
      <protection hidden="1"/>
    </xf>
    <xf numFmtId="1" fontId="5" fillId="15" borderId="3" xfId="0" applyNumberFormat="1" applyFont="1" applyFill="1" applyBorder="1" applyAlignment="1" applyProtection="1">
      <alignment horizontal="center" vertical="center"/>
      <protection hidden="1"/>
    </xf>
    <xf numFmtId="1" fontId="10" fillId="5" borderId="6" xfId="0" applyNumberFormat="1" applyFont="1" applyFill="1" applyBorder="1" applyAlignment="1" applyProtection="1">
      <alignment horizontal="center"/>
      <protection hidden="1"/>
    </xf>
    <xf numFmtId="1" fontId="156" fillId="5" borderId="1" xfId="0" applyNumberFormat="1" applyFont="1" applyFill="1" applyBorder="1" applyAlignment="1" applyProtection="1">
      <alignment horizontal="center" vertical="center"/>
      <protection hidden="1"/>
    </xf>
    <xf numFmtId="0" fontId="39" fillId="5" borderId="3" xfId="2" applyFont="1" applyFill="1" applyBorder="1" applyAlignment="1" applyProtection="1">
      <alignment horizontal="center" vertical="center"/>
      <protection locked="0"/>
    </xf>
    <xf numFmtId="0" fontId="78" fillId="0" borderId="3" xfId="0" quotePrefix="1" applyNumberFormat="1" applyFont="1" applyFill="1" applyBorder="1" applyAlignment="1">
      <alignment horizontal="center" vertical="center" wrapText="1"/>
    </xf>
    <xf numFmtId="49" fontId="7" fillId="0" borderId="3" xfId="0" quotePrefix="1" applyNumberFormat="1" applyFont="1" applyBorder="1" applyAlignment="1">
      <alignment horizontal="center" vertical="center"/>
    </xf>
    <xf numFmtId="0" fontId="7" fillId="0" borderId="3" xfId="0" applyFont="1" applyBorder="1" applyAlignment="1">
      <alignment horizontal="left" vertical="center"/>
    </xf>
    <xf numFmtId="0" fontId="0" fillId="0" borderId="3" xfId="0" applyBorder="1" applyAlignment="1">
      <alignment horizontal="left" vertical="center" wrapText="1"/>
    </xf>
    <xf numFmtId="167" fontId="0" fillId="0" borderId="3" xfId="0" applyNumberFormat="1" applyBorder="1" applyAlignment="1">
      <alignment horizontal="left" vertical="center" wrapText="1"/>
    </xf>
    <xf numFmtId="0" fontId="7" fillId="0" borderId="3" xfId="0" applyFont="1" applyBorder="1" applyAlignment="1">
      <alignment horizontal="center" vertical="center" wrapText="1"/>
    </xf>
    <xf numFmtId="0" fontId="14" fillId="0" borderId="3" xfId="0" applyFont="1" applyFill="1" applyBorder="1" applyAlignment="1">
      <alignment horizontal="center" vertical="center" wrapText="1"/>
    </xf>
    <xf numFmtId="0" fontId="98" fillId="0" borderId="3" xfId="0" applyFont="1" applyFill="1" applyBorder="1" applyAlignment="1">
      <alignment horizontal="left" vertical="center"/>
    </xf>
    <xf numFmtId="0" fontId="7" fillId="0" borderId="3" xfId="0" applyFont="1" applyFill="1" applyBorder="1" applyAlignment="1">
      <alignment vertical="center" wrapText="1"/>
    </xf>
    <xf numFmtId="0" fontId="98" fillId="0" borderId="3" xfId="0" applyFont="1" applyFill="1" applyBorder="1" applyAlignment="1">
      <alignment horizontal="left" vertical="center" wrapText="1"/>
    </xf>
    <xf numFmtId="0" fontId="98" fillId="0" borderId="3" xfId="0" applyNumberFormat="1" applyFont="1" applyFill="1" applyBorder="1" applyAlignment="1">
      <alignment horizontal="left" vertical="center" wrapText="1"/>
    </xf>
    <xf numFmtId="0" fontId="42" fillId="7" borderId="25" xfId="0" applyFont="1" applyFill="1" applyBorder="1" applyAlignment="1" applyProtection="1">
      <alignment wrapText="1"/>
      <protection locked="0"/>
    </xf>
    <xf numFmtId="0" fontId="42" fillId="7" borderId="3" xfId="0" applyFont="1" applyFill="1" applyBorder="1" applyAlignment="1" applyProtection="1">
      <alignment wrapText="1"/>
      <protection locked="0"/>
    </xf>
    <xf numFmtId="0" fontId="42" fillId="7" borderId="82" xfId="0" applyFont="1" applyFill="1" applyBorder="1" applyAlignment="1" applyProtection="1">
      <alignment wrapText="1"/>
      <protection locked="0"/>
    </xf>
    <xf numFmtId="0" fontId="49" fillId="18" borderId="1" xfId="2" applyFont="1" applyFill="1" applyBorder="1" applyAlignment="1" applyProtection="1">
      <alignment horizontal="center" vertical="center" wrapText="1"/>
      <protection hidden="1"/>
    </xf>
    <xf numFmtId="0" fontId="45" fillId="5" borderId="1" xfId="2" applyFont="1" applyFill="1" applyBorder="1" applyAlignment="1" applyProtection="1">
      <alignment horizontal="center" vertical="center"/>
      <protection hidden="1"/>
    </xf>
    <xf numFmtId="0" fontId="54" fillId="5" borderId="19" xfId="7" applyFill="1" applyBorder="1" applyAlignment="1">
      <alignment horizontal="left" vertical="center" indent="1"/>
    </xf>
    <xf numFmtId="0" fontId="0" fillId="45" borderId="0" xfId="0" applyFill="1" applyBorder="1"/>
    <xf numFmtId="0" fontId="0" fillId="45" borderId="12" xfId="0" applyFill="1" applyBorder="1"/>
    <xf numFmtId="0" fontId="0" fillId="46" borderId="9" xfId="0" applyFill="1" applyBorder="1"/>
    <xf numFmtId="0" fontId="0" fillId="46" borderId="10" xfId="0" applyFill="1" applyBorder="1"/>
    <xf numFmtId="0" fontId="0" fillId="46" borderId="0" xfId="0" applyFill="1" applyBorder="1"/>
    <xf numFmtId="0" fontId="0" fillId="46" borderId="12" xfId="0" applyFill="1" applyBorder="1"/>
    <xf numFmtId="0" fontId="79" fillId="0" borderId="0" xfId="0" applyFont="1" applyFill="1" applyBorder="1"/>
    <xf numFmtId="0" fontId="79" fillId="0" borderId="13" xfId="0" applyFont="1" applyFill="1" applyBorder="1"/>
    <xf numFmtId="0" fontId="159" fillId="0" borderId="0" xfId="7" applyFont="1" applyFill="1" applyBorder="1"/>
    <xf numFmtId="0" fontId="29" fillId="26" borderId="12" xfId="0" applyFont="1" applyFill="1" applyBorder="1"/>
    <xf numFmtId="0" fontId="29" fillId="26" borderId="0" xfId="0" applyFont="1" applyFill="1" applyBorder="1"/>
    <xf numFmtId="0" fontId="29" fillId="26" borderId="13" xfId="0" applyFont="1" applyFill="1" applyBorder="1"/>
    <xf numFmtId="0" fontId="160" fillId="26" borderId="0" xfId="7" applyFont="1" applyFill="1" applyBorder="1"/>
    <xf numFmtId="0" fontId="161" fillId="26" borderId="73" xfId="0" applyFont="1" applyFill="1" applyBorder="1" applyAlignment="1">
      <alignment horizontal="center" vertical="center"/>
    </xf>
    <xf numFmtId="0" fontId="161" fillId="26" borderId="5" xfId="0" applyFont="1" applyFill="1" applyBorder="1" applyAlignment="1">
      <alignment horizontal="center" vertical="center"/>
    </xf>
    <xf numFmtId="0" fontId="161" fillId="26" borderId="80" xfId="0" applyFont="1" applyFill="1" applyBorder="1" applyAlignment="1">
      <alignment horizontal="center" vertical="center"/>
    </xf>
    <xf numFmtId="0" fontId="157" fillId="13" borderId="67" xfId="7" applyFont="1" applyFill="1" applyBorder="1" applyAlignment="1">
      <alignment horizontal="center"/>
    </xf>
    <xf numFmtId="0" fontId="158" fillId="13" borderId="4" xfId="0" applyFont="1" applyFill="1" applyBorder="1" applyAlignment="1">
      <alignment horizontal="center"/>
    </xf>
    <xf numFmtId="0" fontId="158" fillId="13" borderId="33" xfId="0" applyFont="1" applyFill="1" applyBorder="1" applyAlignment="1">
      <alignment horizontal="center"/>
    </xf>
    <xf numFmtId="0" fontId="158" fillId="13" borderId="14" xfId="0" applyFont="1" applyFill="1" applyBorder="1" applyAlignment="1">
      <alignment horizontal="center"/>
    </xf>
    <xf numFmtId="0" fontId="158" fillId="13" borderId="60" xfId="0" applyFont="1" applyFill="1" applyBorder="1" applyAlignment="1">
      <alignment horizontal="center"/>
    </xf>
    <xf numFmtId="0" fontId="158" fillId="13" borderId="25" xfId="0" applyFont="1" applyFill="1" applyBorder="1" applyAlignment="1">
      <alignment horizontal="center"/>
    </xf>
    <xf numFmtId="0" fontId="49" fillId="18" borderId="1" xfId="2" applyFont="1" applyFill="1" applyBorder="1" applyAlignment="1" applyProtection="1">
      <alignment horizontal="center" vertical="center" wrapText="1"/>
      <protection hidden="1"/>
    </xf>
    <xf numFmtId="0" fontId="37" fillId="5" borderId="0" xfId="0" applyFont="1" applyFill="1" applyAlignment="1" applyProtection="1">
      <alignment horizontal="left"/>
      <protection hidden="1"/>
    </xf>
    <xf numFmtId="0" fontId="46" fillId="18" borderId="1" xfId="2" applyFont="1" applyFill="1" applyBorder="1" applyAlignment="1" applyProtection="1">
      <alignment horizontal="center" vertical="center" wrapText="1"/>
      <protection hidden="1"/>
    </xf>
    <xf numFmtId="0" fontId="50" fillId="18" borderId="1" xfId="2" applyFont="1" applyFill="1" applyBorder="1" applyAlignment="1" applyProtection="1">
      <alignment horizontal="center" vertical="center" wrapText="1"/>
      <protection hidden="1"/>
    </xf>
    <xf numFmtId="0" fontId="47" fillId="18" borderId="1" xfId="2" applyFont="1" applyFill="1" applyBorder="1" applyAlignment="1" applyProtection="1">
      <alignment horizontal="center" vertical="center" wrapText="1"/>
      <protection hidden="1"/>
    </xf>
    <xf numFmtId="0" fontId="37" fillId="5" borderId="15" xfId="0" applyFont="1" applyFill="1" applyBorder="1" applyAlignment="1">
      <alignment horizontal="center" vertical="center"/>
    </xf>
    <xf numFmtId="0" fontId="37" fillId="5" borderId="16" xfId="0" applyFont="1" applyFill="1" applyBorder="1" applyAlignment="1">
      <alignment horizontal="center" vertical="center"/>
    </xf>
    <xf numFmtId="0" fontId="37" fillId="5" borderId="17" xfId="0" applyFont="1" applyFill="1" applyBorder="1" applyAlignment="1">
      <alignment horizontal="center" vertical="center"/>
    </xf>
    <xf numFmtId="0" fontId="36" fillId="13" borderId="49" xfId="0" applyFont="1" applyFill="1" applyBorder="1" applyAlignment="1">
      <alignment horizontal="center" vertical="center"/>
    </xf>
    <xf numFmtId="0" fontId="36" fillId="13" borderId="4" xfId="0" applyFont="1" applyFill="1" applyBorder="1" applyAlignment="1">
      <alignment horizontal="center" vertical="center"/>
    </xf>
    <xf numFmtId="0" fontId="36" fillId="13" borderId="50" xfId="0" applyFont="1" applyFill="1" applyBorder="1" applyAlignment="1">
      <alignment horizontal="center" vertical="center"/>
    </xf>
    <xf numFmtId="0" fontId="52" fillId="6" borderId="51" xfId="0" applyFont="1" applyFill="1" applyBorder="1" applyAlignment="1">
      <alignment horizontal="center" vertical="center"/>
    </xf>
    <xf numFmtId="0" fontId="52" fillId="6" borderId="52" xfId="0" applyFont="1" applyFill="1" applyBorder="1" applyAlignment="1">
      <alignment horizontal="center" vertical="center"/>
    </xf>
    <xf numFmtId="0" fontId="52" fillId="6" borderId="53" xfId="0" applyFont="1" applyFill="1" applyBorder="1" applyAlignment="1">
      <alignment horizontal="center" vertical="center"/>
    </xf>
    <xf numFmtId="0" fontId="23" fillId="25" borderId="1" xfId="0" applyFont="1" applyFill="1" applyBorder="1" applyAlignment="1" applyProtection="1">
      <alignment horizontal="center" vertical="center"/>
      <protection locked="0" hidden="1"/>
    </xf>
    <xf numFmtId="0" fontId="23" fillId="24" borderId="1" xfId="0" applyFont="1" applyFill="1" applyBorder="1" applyAlignment="1">
      <alignment horizontal="center" vertical="center"/>
    </xf>
    <xf numFmtId="0" fontId="23" fillId="19" borderId="1" xfId="0" applyFont="1" applyFill="1" applyBorder="1" applyAlignment="1">
      <alignment horizontal="center" vertical="center"/>
    </xf>
    <xf numFmtId="0" fontId="23" fillId="7" borderId="7" xfId="0" applyFont="1" applyFill="1" applyBorder="1" applyAlignment="1">
      <alignment horizontal="center" vertical="center"/>
    </xf>
    <xf numFmtId="0" fontId="23" fillId="7" borderId="8" xfId="0" applyFont="1" applyFill="1" applyBorder="1" applyAlignment="1">
      <alignment horizontal="center" vertical="center"/>
    </xf>
    <xf numFmtId="0" fontId="23" fillId="7" borderId="6" xfId="0" applyFont="1" applyFill="1" applyBorder="1" applyAlignment="1">
      <alignment horizontal="center" vertical="center"/>
    </xf>
    <xf numFmtId="0" fontId="23" fillId="7" borderId="1" xfId="0" applyFont="1" applyFill="1" applyBorder="1" applyAlignment="1" applyProtection="1">
      <alignment horizontal="center" vertical="center"/>
      <protection locked="0" hidden="1"/>
    </xf>
    <xf numFmtId="0" fontId="16" fillId="19" borderId="7" xfId="0" applyFont="1" applyFill="1" applyBorder="1" applyAlignment="1" applyProtection="1">
      <alignment horizontal="center" vertical="center"/>
      <protection locked="0"/>
    </xf>
    <xf numFmtId="0" fontId="16" fillId="19" borderId="8" xfId="0" applyFont="1" applyFill="1" applyBorder="1" applyAlignment="1" applyProtection="1">
      <alignment horizontal="center" vertical="center"/>
      <protection locked="0"/>
    </xf>
    <xf numFmtId="0" fontId="16" fillId="19" borderId="6" xfId="0" applyFont="1" applyFill="1" applyBorder="1" applyAlignment="1" applyProtection="1">
      <alignment horizontal="center" vertical="center"/>
      <protection locked="0"/>
    </xf>
    <xf numFmtId="0" fontId="5" fillId="4" borderId="15" xfId="0" applyFont="1" applyFill="1" applyBorder="1" applyAlignment="1" applyProtection="1">
      <alignment horizontal="center" vertical="center"/>
      <protection locked="0"/>
    </xf>
    <xf numFmtId="0" fontId="5" fillId="4" borderId="16" xfId="0" applyFont="1" applyFill="1" applyBorder="1" applyAlignment="1" applyProtection="1">
      <alignment horizontal="center" vertical="center"/>
      <protection locked="0"/>
    </xf>
    <xf numFmtId="0" fontId="5" fillId="4" borderId="17" xfId="0" applyFont="1" applyFill="1" applyBorder="1" applyAlignment="1" applyProtection="1">
      <alignment horizontal="center" vertical="center"/>
      <protection locked="0"/>
    </xf>
    <xf numFmtId="0" fontId="16" fillId="0" borderId="1" xfId="0" applyFont="1" applyFill="1" applyBorder="1" applyAlignment="1" applyProtection="1">
      <alignment horizontal="center" vertical="center"/>
      <protection locked="0"/>
    </xf>
    <xf numFmtId="0" fontId="5" fillId="14" borderId="15" xfId="0" applyFont="1" applyFill="1" applyBorder="1" applyAlignment="1" applyProtection="1">
      <alignment horizontal="center" vertical="center"/>
      <protection locked="0"/>
    </xf>
    <xf numFmtId="0" fontId="5" fillId="14" borderId="16" xfId="0" applyFont="1" applyFill="1" applyBorder="1" applyAlignment="1" applyProtection="1">
      <alignment horizontal="center" vertical="center"/>
      <protection locked="0"/>
    </xf>
    <xf numFmtId="0" fontId="5" fillId="14" borderId="17" xfId="0" applyFont="1" applyFill="1" applyBorder="1" applyAlignment="1" applyProtection="1">
      <alignment horizontal="center" vertical="center"/>
      <protection locked="0"/>
    </xf>
    <xf numFmtId="0" fontId="16" fillId="7" borderId="1" xfId="0" applyFont="1" applyFill="1" applyBorder="1" applyAlignment="1" applyProtection="1">
      <alignment horizontal="center" vertical="center"/>
      <protection locked="0"/>
    </xf>
    <xf numFmtId="0" fontId="16" fillId="7" borderId="20" xfId="0" applyFont="1" applyFill="1" applyBorder="1" applyAlignment="1" applyProtection="1">
      <alignment horizontal="center" vertical="center"/>
      <protection locked="0"/>
    </xf>
    <xf numFmtId="0" fontId="1" fillId="3" borderId="15" xfId="0" applyFont="1" applyFill="1" applyBorder="1" applyAlignment="1" applyProtection="1">
      <alignment horizontal="center" vertical="center"/>
      <protection locked="0"/>
    </xf>
    <xf numFmtId="0" fontId="1" fillId="3" borderId="18" xfId="0" applyFont="1" applyFill="1" applyBorder="1" applyAlignment="1" applyProtection="1">
      <alignment horizontal="center" vertical="center"/>
      <protection locked="0"/>
    </xf>
    <xf numFmtId="0" fontId="1" fillId="3" borderId="35" xfId="0" applyFont="1" applyFill="1" applyBorder="1" applyAlignment="1" applyProtection="1">
      <alignment horizontal="center" vertical="center"/>
      <protection locked="0"/>
    </xf>
    <xf numFmtId="0" fontId="6" fillId="3" borderId="16" xfId="0" applyFont="1" applyFill="1" applyBorder="1" applyAlignment="1" applyProtection="1">
      <alignment horizontal="center" vertical="center"/>
      <protection locked="0"/>
    </xf>
    <xf numFmtId="0" fontId="6" fillId="3" borderId="1" xfId="0" applyFont="1" applyFill="1" applyBorder="1" applyAlignment="1" applyProtection="1">
      <alignment horizontal="center" vertical="center"/>
      <protection locked="0"/>
    </xf>
    <xf numFmtId="0" fontId="6" fillId="3" borderId="20" xfId="0" applyFont="1" applyFill="1" applyBorder="1" applyAlignment="1" applyProtection="1">
      <alignment horizontal="center" vertical="center"/>
      <protection locked="0"/>
    </xf>
    <xf numFmtId="0" fontId="1" fillId="3" borderId="54"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textRotation="90" wrapText="1"/>
      <protection locked="0"/>
    </xf>
    <xf numFmtId="0" fontId="3" fillId="5" borderId="1" xfId="0" applyFont="1" applyFill="1" applyBorder="1" applyAlignment="1" applyProtection="1">
      <alignment horizontal="center" vertical="center" textRotation="90" wrapText="1"/>
      <protection locked="0"/>
    </xf>
    <xf numFmtId="0" fontId="3" fillId="5" borderId="20" xfId="0" applyFont="1" applyFill="1" applyBorder="1" applyAlignment="1" applyProtection="1">
      <alignment horizontal="center" vertical="center" textRotation="90" wrapText="1"/>
      <protection locked="0"/>
    </xf>
    <xf numFmtId="0" fontId="1" fillId="0" borderId="24" xfId="0" applyFont="1" applyBorder="1" applyAlignment="1" applyProtection="1">
      <alignment horizontal="center" vertical="center"/>
      <protection locked="0"/>
    </xf>
    <xf numFmtId="0" fontId="1" fillId="0" borderId="16"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1" fontId="5" fillId="4" borderId="57" xfId="0" applyNumberFormat="1" applyFont="1" applyFill="1" applyBorder="1" applyAlignment="1" applyProtection="1">
      <alignment horizontal="center" vertical="center"/>
      <protection locked="0"/>
    </xf>
    <xf numFmtId="1" fontId="5" fillId="4" borderId="80" xfId="0" applyNumberFormat="1" applyFont="1" applyFill="1" applyBorder="1" applyAlignment="1" applyProtection="1">
      <alignment horizontal="center" vertical="center"/>
      <protection locked="0"/>
    </xf>
    <xf numFmtId="1" fontId="5" fillId="4" borderId="61" xfId="0" applyNumberFormat="1" applyFont="1" applyFill="1" applyBorder="1" applyAlignment="1" applyProtection="1">
      <alignment horizontal="center" vertical="center"/>
      <protection locked="0"/>
    </xf>
    <xf numFmtId="0" fontId="16" fillId="0" borderId="18" xfId="0" applyFont="1" applyFill="1" applyBorder="1" applyAlignment="1" applyProtection="1">
      <alignment horizontal="center" vertical="center"/>
      <protection locked="0"/>
    </xf>
    <xf numFmtId="1" fontId="5" fillId="4" borderId="16" xfId="0" applyNumberFormat="1" applyFont="1" applyFill="1" applyBorder="1" applyAlignment="1" applyProtection="1">
      <alignment horizontal="center" vertical="center"/>
      <protection locked="0"/>
    </xf>
    <xf numFmtId="1" fontId="5" fillId="4" borderId="1" xfId="0" applyNumberFormat="1" applyFont="1" applyFill="1" applyBorder="1" applyAlignment="1" applyProtection="1">
      <alignment horizontal="center" vertical="center"/>
      <protection locked="0"/>
    </xf>
    <xf numFmtId="1" fontId="5" fillId="4" borderId="20" xfId="0" applyNumberFormat="1" applyFont="1" applyFill="1" applyBorder="1" applyAlignment="1" applyProtection="1">
      <alignment horizontal="center" vertical="center"/>
      <protection locked="0"/>
    </xf>
    <xf numFmtId="1" fontId="5" fillId="4" borderId="36" xfId="0" applyNumberFormat="1" applyFont="1" applyFill="1" applyBorder="1" applyAlignment="1" applyProtection="1">
      <alignment horizontal="center" vertical="center"/>
      <protection locked="0"/>
    </xf>
    <xf numFmtId="1" fontId="5" fillId="4" borderId="5" xfId="0" applyNumberFormat="1" applyFont="1" applyFill="1" applyBorder="1" applyAlignment="1" applyProtection="1">
      <alignment horizontal="center" vertical="center"/>
      <protection locked="0"/>
    </xf>
    <xf numFmtId="1" fontId="5" fillId="4" borderId="28" xfId="0" applyNumberFormat="1" applyFont="1" applyFill="1" applyBorder="1" applyAlignment="1" applyProtection="1">
      <alignment horizontal="center" vertical="center"/>
      <protection locked="0"/>
    </xf>
    <xf numFmtId="0" fontId="5" fillId="7" borderId="16"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2" fillId="5" borderId="1" xfId="0" applyFont="1" applyFill="1" applyBorder="1" applyAlignment="1" applyProtection="1">
      <alignment horizontal="center" vertical="center"/>
      <protection locked="0"/>
    </xf>
    <xf numFmtId="0" fontId="5" fillId="6" borderId="54"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26" xfId="0"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10" borderId="16" xfId="0" applyFont="1" applyFill="1" applyBorder="1" applyAlignment="1" applyProtection="1">
      <alignment horizontal="center" vertical="center" textRotation="90"/>
      <protection locked="0"/>
    </xf>
    <xf numFmtId="0" fontId="5" fillId="10" borderId="1" xfId="0" applyFont="1" applyFill="1" applyBorder="1" applyAlignment="1" applyProtection="1">
      <alignment horizontal="center" vertical="center" textRotation="90"/>
      <protection locked="0"/>
    </xf>
    <xf numFmtId="0" fontId="5" fillId="10" borderId="20" xfId="0" applyFont="1" applyFill="1" applyBorder="1" applyAlignment="1" applyProtection="1">
      <alignment horizontal="center" vertical="center" textRotation="90"/>
      <protection locked="0"/>
    </xf>
    <xf numFmtId="0" fontId="2" fillId="5" borderId="7" xfId="0" applyFont="1" applyFill="1" applyBorder="1" applyAlignment="1" applyProtection="1">
      <alignment horizontal="center" vertical="center"/>
      <protection locked="0"/>
    </xf>
    <xf numFmtId="0" fontId="2" fillId="5" borderId="8" xfId="0" applyFont="1" applyFill="1" applyBorder="1" applyAlignment="1" applyProtection="1">
      <alignment horizontal="center" vertical="center"/>
      <protection locked="0"/>
    </xf>
    <xf numFmtId="0" fontId="2" fillId="5" borderId="6" xfId="0" applyFont="1" applyFill="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2" fillId="3" borderId="16"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2" fillId="3" borderId="20" xfId="0" applyFont="1" applyFill="1" applyBorder="1" applyAlignment="1" applyProtection="1">
      <alignment horizontal="center" vertical="center"/>
      <protection locked="0"/>
    </xf>
    <xf numFmtId="0" fontId="1" fillId="0" borderId="54" xfId="0" applyFont="1" applyBorder="1" applyAlignment="1" applyProtection="1">
      <alignment horizontal="center" vertical="center"/>
      <protection locked="0"/>
    </xf>
    <xf numFmtId="0" fontId="1" fillId="0" borderId="23" xfId="0" applyFont="1" applyBorder="1" applyAlignment="1" applyProtection="1">
      <alignment horizontal="center" vertical="center"/>
      <protection locked="0"/>
    </xf>
    <xf numFmtId="0" fontId="3" fillId="0" borderId="16" xfId="0" applyFont="1" applyBorder="1" applyAlignment="1" applyProtection="1">
      <alignment horizontal="center" vertical="center"/>
      <protection locked="0"/>
    </xf>
    <xf numFmtId="0" fontId="1" fillId="7" borderId="54" xfId="0" applyFont="1" applyFill="1" applyBorder="1" applyAlignment="1" applyProtection="1">
      <alignment horizontal="center" vertical="center"/>
      <protection locked="0"/>
    </xf>
    <xf numFmtId="0" fontId="1" fillId="7" borderId="23" xfId="0" applyFont="1" applyFill="1" applyBorder="1" applyAlignment="1" applyProtection="1">
      <alignment horizontal="center" vertical="center"/>
      <protection locked="0"/>
    </xf>
    <xf numFmtId="0" fontId="1" fillId="7" borderId="24" xfId="0" applyFont="1" applyFill="1" applyBorder="1" applyAlignment="1" applyProtection="1">
      <alignment horizontal="center" vertical="center"/>
      <protection locked="0"/>
    </xf>
    <xf numFmtId="0" fontId="3" fillId="0" borderId="7" xfId="0"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72" fillId="0" borderId="1" xfId="0" applyFont="1" applyFill="1" applyBorder="1" applyAlignment="1" applyProtection="1">
      <alignment horizontal="center" vertical="center"/>
      <protection locked="0"/>
    </xf>
    <xf numFmtId="0" fontId="72" fillId="0" borderId="1" xfId="0" applyFont="1" applyBorder="1" applyAlignment="1" applyProtection="1">
      <alignment horizontal="center" vertical="center"/>
      <protection locked="0"/>
    </xf>
    <xf numFmtId="0" fontId="2" fillId="0" borderId="58" xfId="0" applyFont="1" applyBorder="1" applyAlignment="1" applyProtection="1">
      <alignment horizontal="center" vertical="center" wrapText="1"/>
      <protection locked="0"/>
    </xf>
    <xf numFmtId="0" fontId="2" fillId="0" borderId="10" xfId="0"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2" fillId="0" borderId="60"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5" fillId="9" borderId="15" xfId="0" applyFont="1" applyFill="1" applyBorder="1" applyAlignment="1" applyProtection="1">
      <alignment horizontal="center" vertical="center"/>
      <protection locked="0"/>
    </xf>
    <xf numFmtId="0" fontId="5" fillId="9" borderId="16" xfId="0" applyFont="1" applyFill="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79" xfId="0"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2"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71" fillId="13" borderId="2" xfId="0" applyFont="1" applyFill="1" applyBorder="1" applyAlignment="1">
      <alignment horizontal="center" vertical="center"/>
    </xf>
    <xf numFmtId="0" fontId="71" fillId="13" borderId="3" xfId="0" applyFont="1" applyFill="1" applyBorder="1" applyAlignment="1">
      <alignment horizontal="center" vertical="center"/>
    </xf>
    <xf numFmtId="0" fontId="74" fillId="13" borderId="2" xfId="0" applyFont="1" applyFill="1" applyBorder="1" applyAlignment="1" applyProtection="1">
      <alignment horizontal="center" vertical="center"/>
      <protection locked="0"/>
    </xf>
    <xf numFmtId="0" fontId="74" fillId="13" borderId="3" xfId="0" applyFont="1" applyFill="1" applyBorder="1" applyAlignment="1" applyProtection="1">
      <alignment horizontal="center" vertical="center"/>
      <protection locked="0"/>
    </xf>
    <xf numFmtId="0" fontId="23" fillId="0" borderId="0"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0" fontId="5" fillId="14" borderId="1" xfId="0" applyFont="1" applyFill="1" applyBorder="1" applyAlignment="1">
      <alignment horizontal="center" vertical="center"/>
    </xf>
    <xf numFmtId="0" fontId="5" fillId="10" borderId="1" xfId="0" applyFont="1" applyFill="1" applyBorder="1" applyAlignment="1">
      <alignment horizontal="center" vertical="center" textRotation="90"/>
    </xf>
    <xf numFmtId="0" fontId="5" fillId="0" borderId="1" xfId="0" applyFont="1" applyBorder="1" applyAlignment="1">
      <alignment horizontal="center" vertical="center"/>
    </xf>
    <xf numFmtId="0" fontId="5" fillId="6" borderId="1" xfId="0" applyFont="1" applyFill="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1" xfId="0" applyFont="1" applyBorder="1" applyAlignment="1">
      <alignment horizontal="center" vertical="center"/>
    </xf>
    <xf numFmtId="0" fontId="3" fillId="5" borderId="1" xfId="0" applyFont="1" applyFill="1" applyBorder="1" applyAlignment="1">
      <alignment horizontal="center" vertical="center" textRotation="90" wrapText="1"/>
    </xf>
    <xf numFmtId="0" fontId="1" fillId="3" borderId="1" xfId="0" applyFont="1" applyFill="1" applyBorder="1" applyAlignment="1">
      <alignment horizontal="center" vertical="center"/>
    </xf>
    <xf numFmtId="0" fontId="6" fillId="3"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7"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6" xfId="0" applyFont="1" applyFill="1" applyBorder="1" applyAlignment="1">
      <alignment horizontal="center" vertical="center"/>
    </xf>
    <xf numFmtId="0" fontId="2" fillId="5" borderId="1" xfId="0" applyFont="1" applyFill="1" applyBorder="1" applyAlignment="1">
      <alignment horizontal="center" vertical="center"/>
    </xf>
    <xf numFmtId="0" fontId="2" fillId="0" borderId="1" xfId="0" applyFont="1" applyFill="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6" xfId="0" applyFont="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0" fontId="5" fillId="7" borderId="6" xfId="0" applyFont="1" applyFill="1" applyBorder="1" applyAlignment="1">
      <alignment horizontal="center" vertical="center"/>
    </xf>
    <xf numFmtId="0" fontId="2" fillId="5" borderId="7"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6"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5" fillId="7" borderId="15" xfId="0" applyFont="1" applyFill="1" applyBorder="1" applyAlignment="1">
      <alignment horizontal="center" vertical="center"/>
    </xf>
    <xf numFmtId="0" fontId="5" fillId="7" borderId="24" xfId="0" applyFont="1" applyFill="1" applyBorder="1" applyAlignment="1">
      <alignment horizontal="center" vertical="center"/>
    </xf>
    <xf numFmtId="0" fontId="5" fillId="7" borderId="16" xfId="0" applyFont="1" applyFill="1" applyBorder="1" applyAlignment="1">
      <alignment horizontal="center" vertical="center"/>
    </xf>
    <xf numFmtId="0" fontId="5" fillId="7" borderId="54" xfId="0" applyFont="1" applyFill="1" applyBorder="1" applyAlignment="1">
      <alignment horizontal="center" vertical="center"/>
    </xf>
    <xf numFmtId="0" fontId="5" fillId="4" borderId="37" xfId="0" applyFont="1" applyFill="1" applyBorder="1" applyAlignment="1">
      <alignment horizontal="center" vertical="center"/>
    </xf>
    <xf numFmtId="0" fontId="5" fillId="4" borderId="38"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30" xfId="0" applyFont="1" applyFill="1" applyBorder="1" applyAlignment="1">
      <alignment horizontal="center" vertical="center"/>
    </xf>
    <xf numFmtId="0" fontId="5" fillId="4" borderId="31" xfId="0" applyFont="1" applyFill="1" applyBorder="1" applyAlignment="1">
      <alignment horizontal="center" vertical="center"/>
    </xf>
    <xf numFmtId="0" fontId="5" fillId="4" borderId="32" xfId="0" applyFont="1" applyFill="1" applyBorder="1" applyAlignment="1">
      <alignment horizontal="center" vertical="center"/>
    </xf>
    <xf numFmtId="0" fontId="32" fillId="0" borderId="0" xfId="0" applyFont="1" applyFill="1" applyBorder="1" applyAlignment="1" applyProtection="1">
      <alignment horizontal="center" vertical="center"/>
      <protection locked="0"/>
    </xf>
    <xf numFmtId="0" fontId="2" fillId="0" borderId="6" xfId="0" applyFont="1" applyBorder="1" applyAlignment="1">
      <alignment horizontal="center" vertical="center"/>
    </xf>
    <xf numFmtId="0" fontId="1" fillId="3" borderId="15"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35"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20" xfId="0" applyFont="1" applyFill="1" applyBorder="1" applyAlignment="1">
      <alignment horizontal="center" vertical="center"/>
    </xf>
    <xf numFmtId="0" fontId="1" fillId="3" borderId="54"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26" xfId="0" applyFont="1" applyFill="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7" borderId="17" xfId="0" applyFont="1" applyFill="1" applyBorder="1" applyAlignment="1">
      <alignment horizontal="center" vertical="center"/>
    </xf>
    <xf numFmtId="0" fontId="2" fillId="5" borderId="70" xfId="0" applyFont="1" applyFill="1" applyBorder="1" applyAlignment="1">
      <alignment horizontal="center" vertical="center"/>
    </xf>
    <xf numFmtId="0" fontId="5" fillId="0" borderId="9" xfId="0" applyFont="1" applyBorder="1" applyAlignment="1">
      <alignment horizontal="center" vertical="center"/>
    </xf>
    <xf numFmtId="0" fontId="5" fillId="0" borderId="12" xfId="0" applyFont="1" applyBorder="1" applyAlignment="1">
      <alignment horizontal="center" vertical="center"/>
    </xf>
    <xf numFmtId="0" fontId="5" fillId="0" borderId="41" xfId="0" applyFont="1" applyBorder="1" applyAlignment="1">
      <alignment horizontal="center" vertical="center"/>
    </xf>
    <xf numFmtId="0" fontId="2" fillId="0" borderId="18" xfId="0" applyFont="1" applyFill="1" applyBorder="1" applyAlignment="1">
      <alignment horizontal="center" vertical="center"/>
    </xf>
    <xf numFmtId="0" fontId="2" fillId="5" borderId="18" xfId="0" applyFont="1" applyFill="1" applyBorder="1" applyAlignment="1">
      <alignment horizontal="center" vertical="center"/>
    </xf>
    <xf numFmtId="0" fontId="1" fillId="0" borderId="24" xfId="0" applyFont="1" applyBorder="1" applyAlignment="1">
      <alignment horizontal="center" vertical="center"/>
    </xf>
    <xf numFmtId="0" fontId="1" fillId="0" borderId="16" xfId="0" applyFont="1" applyBorder="1" applyAlignment="1">
      <alignment horizontal="center" vertical="center"/>
    </xf>
    <xf numFmtId="0" fontId="3" fillId="5" borderId="16" xfId="0" applyFont="1" applyFill="1" applyBorder="1" applyAlignment="1">
      <alignment horizontal="center" vertical="center" textRotation="90" wrapText="1"/>
    </xf>
    <xf numFmtId="0" fontId="3" fillId="5" borderId="20" xfId="0" applyFont="1" applyFill="1" applyBorder="1" applyAlignment="1">
      <alignment horizontal="center" vertical="center" textRotation="90" wrapText="1"/>
    </xf>
    <xf numFmtId="0" fontId="5" fillId="10" borderId="16" xfId="0" applyFont="1" applyFill="1" applyBorder="1" applyAlignment="1">
      <alignment horizontal="center" vertical="center" textRotation="90"/>
    </xf>
    <xf numFmtId="0" fontId="5" fillId="10" borderId="20" xfId="0" applyFont="1" applyFill="1" applyBorder="1" applyAlignment="1">
      <alignment horizontal="center" vertical="center" textRotation="90"/>
    </xf>
    <xf numFmtId="0" fontId="5" fillId="6" borderId="54" xfId="0" applyFont="1" applyFill="1" applyBorder="1" applyAlignment="1">
      <alignment horizontal="center" vertical="center"/>
    </xf>
    <xf numFmtId="0" fontId="5" fillId="6" borderId="7" xfId="0" applyFont="1" applyFill="1" applyBorder="1" applyAlignment="1">
      <alignment horizontal="center" vertical="center"/>
    </xf>
    <xf numFmtId="0" fontId="5" fillId="6" borderId="26" xfId="0" applyFont="1" applyFill="1" applyBorder="1" applyAlignment="1">
      <alignment horizontal="center" vertical="center"/>
    </xf>
    <xf numFmtId="0" fontId="5" fillId="0" borderId="58" xfId="0" applyFont="1" applyBorder="1" applyAlignment="1">
      <alignment horizontal="center" vertical="center"/>
    </xf>
    <xf numFmtId="0" fontId="5" fillId="0" borderId="10" xfId="0" applyFont="1" applyBorder="1" applyAlignment="1">
      <alignment horizontal="center" vertical="center"/>
    </xf>
    <xf numFmtId="0" fontId="5" fillId="0" borderId="14" xfId="0" applyFont="1" applyBorder="1" applyAlignment="1">
      <alignment horizontal="center" vertical="center"/>
    </xf>
    <xf numFmtId="0" fontId="5" fillId="0" borderId="60" xfId="0" applyFont="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3" borderId="16" xfId="0" applyFont="1" applyFill="1" applyBorder="1" applyAlignment="1">
      <alignment horizontal="center" vertical="center"/>
    </xf>
    <xf numFmtId="0" fontId="1" fillId="3" borderId="20" xfId="0" applyFont="1" applyFill="1" applyBorder="1" applyAlignment="1">
      <alignment horizontal="center" vertical="center"/>
    </xf>
    <xf numFmtId="0" fontId="72" fillId="0" borderId="16" xfId="0" applyFont="1" applyBorder="1" applyAlignment="1">
      <alignment horizontal="center" vertical="center"/>
    </xf>
    <xf numFmtId="0" fontId="5" fillId="7" borderId="23" xfId="0" applyFont="1" applyFill="1" applyBorder="1" applyAlignment="1">
      <alignment horizontal="center" vertical="center"/>
    </xf>
    <xf numFmtId="0" fontId="5" fillId="0" borderId="54"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2" fillId="0" borderId="8" xfId="0" applyFont="1" applyFill="1" applyBorder="1" applyAlignment="1">
      <alignment horizontal="center" vertical="center"/>
    </xf>
    <xf numFmtId="0" fontId="5" fillId="11" borderId="15"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16" xfId="0" applyFont="1" applyFill="1" applyBorder="1" applyAlignment="1">
      <alignment horizontal="center" vertical="center"/>
    </xf>
    <xf numFmtId="0" fontId="72" fillId="0" borderId="7" xfId="0" applyFont="1" applyBorder="1" applyAlignment="1">
      <alignment horizontal="center" vertical="center" wrapText="1"/>
    </xf>
    <xf numFmtId="0" fontId="7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2" fillId="0" borderId="6" xfId="0" applyFont="1" applyBorder="1" applyAlignment="1">
      <alignment horizontal="center" vertical="center" wrapText="1"/>
    </xf>
    <xf numFmtId="0" fontId="1" fillId="5" borderId="2" xfId="0" applyFont="1" applyFill="1" applyBorder="1" applyAlignment="1">
      <alignment horizontal="center" vertical="center"/>
    </xf>
    <xf numFmtId="0" fontId="1" fillId="5" borderId="28" xfId="0" applyFont="1" applyFill="1" applyBorder="1" applyAlignment="1">
      <alignment horizontal="center" vertical="center"/>
    </xf>
    <xf numFmtId="0" fontId="2" fillId="0" borderId="58"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60" xfId="0" applyFont="1" applyBorder="1" applyAlignment="1">
      <alignment horizontal="center" vertical="center" wrapText="1"/>
    </xf>
    <xf numFmtId="0" fontId="5" fillId="6" borderId="16" xfId="0" applyFont="1" applyFill="1" applyBorder="1" applyAlignment="1">
      <alignment horizontal="center" vertical="center"/>
    </xf>
    <xf numFmtId="0" fontId="5" fillId="6" borderId="20" xfId="0" applyFont="1" applyFill="1" applyBorder="1" applyAlignment="1">
      <alignment horizontal="center" vertical="center"/>
    </xf>
    <xf numFmtId="0" fontId="5" fillId="14" borderId="54" xfId="0" applyFont="1" applyFill="1" applyBorder="1" applyAlignment="1">
      <alignment horizontal="center" vertical="center"/>
    </xf>
    <xf numFmtId="0" fontId="5" fillId="14" borderId="23" xfId="0" applyFont="1" applyFill="1" applyBorder="1" applyAlignment="1">
      <alignment horizontal="center" vertical="center"/>
    </xf>
    <xf numFmtId="0" fontId="5" fillId="14" borderId="27" xfId="0" applyFont="1" applyFill="1" applyBorder="1" applyAlignment="1">
      <alignment horizontal="center" vertical="center"/>
    </xf>
    <xf numFmtId="0" fontId="1" fillId="0" borderId="6" xfId="0" applyFont="1" applyBorder="1" applyAlignment="1">
      <alignment horizontal="center" vertical="center"/>
    </xf>
    <xf numFmtId="0" fontId="1" fillId="39" borderId="2" xfId="0" applyFont="1" applyFill="1" applyBorder="1" applyAlignment="1">
      <alignment horizontal="center" vertical="center"/>
    </xf>
    <xf numFmtId="0" fontId="1" fillId="39" borderId="28" xfId="0" applyFont="1" applyFill="1" applyBorder="1" applyAlignment="1">
      <alignment horizontal="center" vertical="center"/>
    </xf>
    <xf numFmtId="0" fontId="2" fillId="0" borderId="7" xfId="0" applyFont="1" applyBorder="1" applyAlignment="1">
      <alignment horizontal="center" vertical="center"/>
    </xf>
    <xf numFmtId="0" fontId="1" fillId="5" borderId="72" xfId="0" applyFont="1" applyFill="1" applyBorder="1" applyAlignment="1">
      <alignment horizontal="center" vertical="center"/>
    </xf>
    <xf numFmtId="0" fontId="1" fillId="5" borderId="61" xfId="0" applyFont="1" applyFill="1" applyBorder="1" applyAlignment="1">
      <alignment horizontal="center" vertical="center"/>
    </xf>
    <xf numFmtId="0" fontId="1" fillId="0" borderId="14" xfId="0" applyFont="1" applyBorder="1" applyAlignment="1">
      <alignment horizontal="center" vertical="center"/>
    </xf>
    <xf numFmtId="0" fontId="1" fillId="0" borderId="60" xfId="0" applyFont="1" applyBorder="1" applyAlignment="1">
      <alignment horizontal="center" vertical="center"/>
    </xf>
    <xf numFmtId="0" fontId="1" fillId="39" borderId="5" xfId="0" applyFont="1" applyFill="1" applyBorder="1" applyAlignment="1">
      <alignment horizontal="center" vertical="center"/>
    </xf>
    <xf numFmtId="0" fontId="1" fillId="39" borderId="3" xfId="0" applyFont="1" applyFill="1" applyBorder="1" applyAlignment="1">
      <alignment horizontal="center" vertical="center"/>
    </xf>
    <xf numFmtId="0" fontId="1" fillId="0" borderId="25" xfId="0" applyFont="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6" xfId="0" applyFont="1" applyFill="1" applyBorder="1" applyAlignment="1">
      <alignment horizontal="center" vertical="center"/>
    </xf>
    <xf numFmtId="0" fontId="72" fillId="0" borderId="8" xfId="0" applyFont="1" applyBorder="1" applyAlignment="1">
      <alignment horizontal="center" vertical="center" wrapText="1"/>
    </xf>
    <xf numFmtId="0" fontId="2" fillId="0" borderId="8" xfId="0" applyFont="1" applyBorder="1" applyAlignment="1">
      <alignment horizontal="center" vertical="center"/>
    </xf>
    <xf numFmtId="0" fontId="5" fillId="0" borderId="54"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4" xfId="0" applyFont="1" applyFill="1" applyBorder="1" applyAlignment="1">
      <alignment horizontal="center" vertical="center"/>
    </xf>
    <xf numFmtId="0" fontId="74" fillId="13" borderId="16" xfId="0" applyFont="1" applyFill="1" applyBorder="1" applyAlignment="1" applyProtection="1">
      <alignment horizontal="center" vertical="center"/>
      <protection locked="0"/>
    </xf>
    <xf numFmtId="0" fontId="74" fillId="13" borderId="1" xfId="0" applyFont="1" applyFill="1" applyBorder="1" applyAlignment="1" applyProtection="1">
      <alignment horizontal="center" vertical="center"/>
      <protection locked="0"/>
    </xf>
    <xf numFmtId="0" fontId="74" fillId="13" borderId="20" xfId="0" applyFont="1" applyFill="1" applyBorder="1" applyAlignment="1" applyProtection="1">
      <alignment horizontal="center" vertical="center"/>
      <protection locked="0"/>
    </xf>
    <xf numFmtId="0" fontId="74" fillId="13" borderId="17" xfId="0" applyFont="1" applyFill="1" applyBorder="1" applyAlignment="1" applyProtection="1">
      <alignment horizontal="center" vertical="center"/>
      <protection locked="0"/>
    </xf>
    <xf numFmtId="0" fontId="74" fillId="13" borderId="19" xfId="0" applyFont="1" applyFill="1" applyBorder="1" applyAlignment="1" applyProtection="1">
      <alignment horizontal="center" vertical="center"/>
      <protection locked="0"/>
    </xf>
    <xf numFmtId="0" fontId="74" fillId="13" borderId="21" xfId="0" applyFont="1" applyFill="1" applyBorder="1" applyAlignment="1" applyProtection="1">
      <alignment horizontal="center" vertical="center"/>
      <protection locked="0"/>
    </xf>
    <xf numFmtId="0" fontId="1" fillId="0" borderId="18" xfId="0" applyFont="1" applyBorder="1" applyAlignment="1">
      <alignment horizontal="center" vertical="center"/>
    </xf>
    <xf numFmtId="0" fontId="1" fillId="0" borderId="15" xfId="0" applyFont="1" applyBorder="1" applyAlignment="1">
      <alignment horizontal="center" vertical="center"/>
    </xf>
    <xf numFmtId="0" fontId="5" fillId="10" borderId="17" xfId="0" applyFont="1" applyFill="1" applyBorder="1" applyAlignment="1">
      <alignment horizontal="center" vertical="center" textRotation="90"/>
    </xf>
    <xf numFmtId="0" fontId="5" fillId="10" borderId="19" xfId="0" applyFont="1" applyFill="1" applyBorder="1" applyAlignment="1">
      <alignment horizontal="center" vertical="center" textRotation="90"/>
    </xf>
    <xf numFmtId="0" fontId="5" fillId="10" borderId="21" xfId="0" applyFont="1" applyFill="1" applyBorder="1" applyAlignment="1">
      <alignment horizontal="center" vertical="center" textRotation="90"/>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59" xfId="0" applyFont="1" applyBorder="1" applyAlignment="1">
      <alignment horizontal="center" vertical="center" wrapText="1"/>
    </xf>
    <xf numFmtId="0" fontId="1" fillId="0" borderId="77" xfId="0" applyFont="1" applyBorder="1" applyAlignment="1">
      <alignment horizontal="center" vertical="center" wrapText="1"/>
    </xf>
    <xf numFmtId="0" fontId="1" fillId="0" borderId="60" xfId="0" applyFont="1" applyBorder="1" applyAlignment="1">
      <alignment horizontal="center" vertical="center" wrapText="1"/>
    </xf>
    <xf numFmtId="0" fontId="1" fillId="0" borderId="25" xfId="0" applyFont="1" applyBorder="1" applyAlignment="1">
      <alignment horizontal="center" vertical="center" wrapText="1"/>
    </xf>
    <xf numFmtId="0" fontId="2" fillId="6" borderId="17" xfId="0" applyFont="1" applyFill="1" applyBorder="1" applyAlignment="1">
      <alignment horizontal="center" vertical="center"/>
    </xf>
    <xf numFmtId="0" fontId="2" fillId="6" borderId="19" xfId="0" applyFont="1" applyFill="1" applyBorder="1" applyAlignment="1">
      <alignment horizontal="center" vertical="center"/>
    </xf>
    <xf numFmtId="0" fontId="2" fillId="6" borderId="21" xfId="0" applyFont="1" applyFill="1" applyBorder="1" applyAlignment="1">
      <alignment horizontal="center" vertical="center"/>
    </xf>
    <xf numFmtId="0" fontId="2" fillId="0" borderId="18" xfId="0" applyFont="1" applyBorder="1" applyAlignment="1">
      <alignment horizontal="center" vertical="center"/>
    </xf>
    <xf numFmtId="0" fontId="5" fillId="14" borderId="22"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3" xfId="0" applyFont="1" applyFill="1" applyBorder="1" applyAlignment="1">
      <alignment horizontal="center" vertical="center"/>
    </xf>
    <xf numFmtId="0" fontId="1" fillId="7" borderId="2"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50" xfId="0" applyFont="1" applyFill="1" applyBorder="1" applyAlignment="1">
      <alignment horizontal="center" vertical="center"/>
    </xf>
    <xf numFmtId="0" fontId="1" fillId="7" borderId="13" xfId="0" applyFont="1" applyFill="1" applyBorder="1" applyAlignment="1">
      <alignment horizontal="center" vertical="center"/>
    </xf>
    <xf numFmtId="0" fontId="5" fillId="8" borderId="15"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54" xfId="0" applyFont="1" applyFill="1" applyBorder="1" applyAlignment="1">
      <alignment horizontal="center" vertical="center"/>
    </xf>
    <xf numFmtId="0" fontId="1" fillId="5" borderId="5" xfId="0" applyFont="1" applyFill="1" applyBorder="1" applyAlignment="1">
      <alignment horizontal="center" vertical="center"/>
    </xf>
    <xf numFmtId="0" fontId="1" fillId="6" borderId="72" xfId="0" applyFont="1" applyFill="1" applyBorder="1" applyAlignment="1">
      <alignment horizontal="center" vertical="center"/>
    </xf>
    <xf numFmtId="0" fontId="1" fillId="6" borderId="61" xfId="0" applyFont="1" applyFill="1" applyBorder="1" applyAlignment="1">
      <alignment horizontal="center" vertical="center"/>
    </xf>
    <xf numFmtId="0" fontId="95" fillId="6" borderId="22" xfId="0" applyFont="1" applyFill="1" applyBorder="1" applyAlignment="1">
      <alignment horizontal="center" vertical="center"/>
    </xf>
    <xf numFmtId="0" fontId="95" fillId="6" borderId="23" xfId="0" applyFont="1" applyFill="1" applyBorder="1" applyAlignment="1">
      <alignment horizontal="center" vertical="center"/>
    </xf>
    <xf numFmtId="0" fontId="95" fillId="6" borderId="27"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28" xfId="0" applyFont="1" applyFill="1" applyBorder="1" applyAlignment="1">
      <alignment horizontal="center" vertical="center"/>
    </xf>
    <xf numFmtId="0" fontId="5" fillId="5" borderId="36" xfId="0" applyFont="1" applyFill="1" applyBorder="1" applyAlignment="1">
      <alignment horizontal="center" vertical="center"/>
    </xf>
    <xf numFmtId="0" fontId="1" fillId="3" borderId="69" xfId="0" applyFont="1" applyFill="1" applyBorder="1" applyAlignment="1">
      <alignment horizontal="center" vertical="center"/>
    </xf>
    <xf numFmtId="0" fontId="6" fillId="3" borderId="2" xfId="0" applyFont="1" applyFill="1" applyBorder="1" applyAlignment="1">
      <alignment horizontal="center" vertical="center"/>
    </xf>
    <xf numFmtId="0" fontId="1" fillId="6" borderId="16" xfId="0" applyFont="1" applyFill="1" applyBorder="1" applyAlignment="1">
      <alignment horizontal="center" vertical="center"/>
    </xf>
    <xf numFmtId="0" fontId="1" fillId="6" borderId="1" xfId="0" applyFont="1" applyFill="1" applyBorder="1" applyAlignment="1">
      <alignment horizontal="center" vertical="center"/>
    </xf>
    <xf numFmtId="0" fontId="3" fillId="5" borderId="2" xfId="0" applyFont="1" applyFill="1" applyBorder="1" applyAlignment="1">
      <alignment horizontal="center" vertical="center" textRotation="90" wrapText="1"/>
    </xf>
    <xf numFmtId="0" fontId="5" fillId="10" borderId="2" xfId="0" applyFont="1" applyFill="1" applyBorder="1" applyAlignment="1">
      <alignment horizontal="center" vertical="center" textRotation="90"/>
    </xf>
    <xf numFmtId="0" fontId="5" fillId="6" borderId="67" xfId="0" applyFont="1" applyFill="1" applyBorder="1" applyAlignment="1">
      <alignment horizontal="center" vertical="center"/>
    </xf>
    <xf numFmtId="0" fontId="2" fillId="0" borderId="1" xfId="0" applyFont="1" applyBorder="1" applyAlignment="1">
      <alignment horizontal="center" vertical="center" wrapText="1"/>
    </xf>
    <xf numFmtId="0" fontId="72" fillId="14" borderId="16" xfId="0" applyFont="1" applyFill="1" applyBorder="1" applyAlignment="1">
      <alignment horizontal="center" vertical="center"/>
    </xf>
    <xf numFmtId="0" fontId="2" fillId="11" borderId="16" xfId="0" applyFont="1" applyFill="1" applyBorder="1" applyAlignment="1">
      <alignment horizontal="center" vertical="center"/>
    </xf>
    <xf numFmtId="0" fontId="2" fillId="11" borderId="17" xfId="0" applyFont="1" applyFill="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85" fillId="5" borderId="2" xfId="0" applyFont="1" applyFill="1" applyBorder="1" applyAlignment="1" applyProtection="1">
      <alignment horizontal="center" vertical="center"/>
      <protection locked="0"/>
    </xf>
    <xf numFmtId="0" fontId="85" fillId="5" borderId="3" xfId="0" applyFont="1" applyFill="1" applyBorder="1" applyAlignment="1" applyProtection="1">
      <alignment horizontal="center" vertical="center"/>
      <protection locked="0"/>
    </xf>
    <xf numFmtId="0" fontId="85" fillId="10" borderId="2" xfId="0" applyFont="1" applyFill="1" applyBorder="1" applyAlignment="1" applyProtection="1">
      <alignment horizontal="center" vertical="center"/>
      <protection locked="0"/>
    </xf>
    <xf numFmtId="0" fontId="85" fillId="10" borderId="3" xfId="0" applyFont="1" applyFill="1" applyBorder="1" applyAlignment="1" applyProtection="1">
      <alignment horizontal="center" vertical="center"/>
      <protection locked="0"/>
    </xf>
    <xf numFmtId="0" fontId="13" fillId="11" borderId="16" xfId="0" applyFont="1" applyFill="1" applyBorder="1" applyAlignment="1" applyProtection="1">
      <alignment horizontal="center" vertical="center"/>
      <protection locked="0"/>
    </xf>
    <xf numFmtId="0" fontId="13" fillId="11" borderId="20" xfId="0" applyFont="1" applyFill="1" applyBorder="1" applyAlignment="1" applyProtection="1">
      <alignment horizontal="center" vertical="center"/>
      <protection locked="0"/>
    </xf>
    <xf numFmtId="0" fontId="0" fillId="11" borderId="15" xfId="0" applyFill="1" applyBorder="1" applyAlignment="1" applyProtection="1">
      <alignment horizontal="center" vertical="center"/>
      <protection locked="0"/>
    </xf>
    <xf numFmtId="0" fontId="0" fillId="11" borderId="35" xfId="0" applyFill="1" applyBorder="1" applyAlignment="1" applyProtection="1">
      <alignment horizontal="center" vertical="center"/>
      <protection locked="0"/>
    </xf>
    <xf numFmtId="0" fontId="0" fillId="11" borderId="16" xfId="0" applyFill="1" applyBorder="1" applyAlignment="1" applyProtection="1">
      <alignment horizontal="center" vertical="center"/>
      <protection locked="0"/>
    </xf>
    <xf numFmtId="0" fontId="0" fillId="11" borderId="20" xfId="0" applyFill="1" applyBorder="1" applyAlignment="1" applyProtection="1">
      <alignment horizontal="center" vertical="center"/>
      <protection locked="0"/>
    </xf>
    <xf numFmtId="0" fontId="0" fillId="11" borderId="36" xfId="0" applyFont="1" applyFill="1" applyBorder="1" applyAlignment="1" applyProtection="1">
      <alignment horizontal="center" vertical="center"/>
      <protection locked="0"/>
    </xf>
    <xf numFmtId="0" fontId="0" fillId="11" borderId="28" xfId="0" applyFont="1" applyFill="1" applyBorder="1" applyAlignment="1" applyProtection="1">
      <alignment horizontal="center" vertical="center"/>
      <protection locked="0"/>
    </xf>
    <xf numFmtId="0" fontId="13" fillId="11" borderId="16" xfId="0" applyFont="1" applyFill="1" applyBorder="1" applyAlignment="1" applyProtection="1">
      <alignment horizontal="center" vertical="center" wrapText="1"/>
      <protection locked="0"/>
    </xf>
    <xf numFmtId="0" fontId="13" fillId="11" borderId="20" xfId="0" applyFont="1" applyFill="1" applyBorder="1" applyAlignment="1" applyProtection="1">
      <alignment horizontal="center" vertical="center" wrapText="1"/>
      <protection locked="0"/>
    </xf>
    <xf numFmtId="0" fontId="13" fillId="11" borderId="58" xfId="0" applyFont="1" applyFill="1" applyBorder="1" applyAlignment="1" applyProtection="1">
      <alignment horizontal="center" vertical="center" wrapText="1"/>
      <protection locked="0"/>
    </xf>
    <xf numFmtId="0" fontId="13" fillId="11" borderId="81" xfId="0" applyFont="1" applyFill="1" applyBorder="1" applyAlignment="1" applyProtection="1">
      <alignment horizontal="center" vertical="center" wrapText="1"/>
      <protection locked="0"/>
    </xf>
    <xf numFmtId="0" fontId="67" fillId="13" borderId="23" xfId="0" applyFont="1" applyFill="1" applyBorder="1" applyAlignment="1" applyProtection="1">
      <alignment horizontal="center" vertical="center"/>
      <protection locked="0"/>
    </xf>
    <xf numFmtId="0" fontId="26" fillId="4" borderId="22" xfId="0" applyFont="1" applyFill="1" applyBorder="1" applyAlignment="1" applyProtection="1">
      <alignment horizontal="center" vertical="center"/>
      <protection locked="0"/>
    </xf>
    <xf numFmtId="0" fontId="26" fillId="4" borderId="23" xfId="0" applyFont="1" applyFill="1" applyBorder="1" applyAlignment="1" applyProtection="1">
      <alignment horizontal="center" vertical="center"/>
      <protection locked="0"/>
    </xf>
    <xf numFmtId="0" fontId="29" fillId="11" borderId="16" xfId="0" applyFont="1" applyFill="1" applyBorder="1" applyAlignment="1" applyProtection="1">
      <alignment horizontal="center" vertical="center"/>
      <protection locked="0"/>
    </xf>
    <xf numFmtId="0" fontId="29" fillId="11" borderId="20" xfId="0" applyFont="1" applyFill="1" applyBorder="1" applyAlignment="1" applyProtection="1">
      <alignment horizontal="center" vertical="center"/>
      <protection locked="0"/>
    </xf>
    <xf numFmtId="0" fontId="0" fillId="11" borderId="36" xfId="0" applyFill="1" applyBorder="1" applyAlignment="1" applyProtection="1">
      <alignment horizontal="center" vertical="center"/>
      <protection locked="0"/>
    </xf>
    <xf numFmtId="0" fontId="0" fillId="11" borderId="28" xfId="0" applyFill="1" applyBorder="1" applyAlignment="1" applyProtection="1">
      <alignment horizontal="center" vertical="center"/>
      <protection locked="0"/>
    </xf>
    <xf numFmtId="0" fontId="0" fillId="7" borderId="57" xfId="0" applyFill="1" applyBorder="1" applyAlignment="1" applyProtection="1">
      <alignment horizontal="center" vertical="center"/>
      <protection locked="0"/>
    </xf>
    <xf numFmtId="0" fontId="0" fillId="7" borderId="61" xfId="0" applyFill="1" applyBorder="1" applyAlignment="1" applyProtection="1">
      <alignment horizontal="center" vertical="center"/>
      <protection locked="0"/>
    </xf>
    <xf numFmtId="0" fontId="0" fillId="5" borderId="16" xfId="0" applyFill="1" applyBorder="1" applyAlignment="1" applyProtection="1">
      <alignment horizontal="center" vertical="center" wrapText="1"/>
      <protection locked="0"/>
    </xf>
    <xf numFmtId="0" fontId="0" fillId="5" borderId="20" xfId="0" applyFill="1" applyBorder="1" applyAlignment="1" applyProtection="1">
      <alignment horizontal="center" vertical="center" wrapText="1"/>
      <protection locked="0"/>
    </xf>
    <xf numFmtId="0" fontId="68" fillId="4" borderId="54" xfId="0" applyFont="1" applyFill="1" applyBorder="1" applyAlignment="1" applyProtection="1">
      <alignment horizontal="center" vertical="center"/>
      <protection locked="0"/>
    </xf>
    <xf numFmtId="0" fontId="68" fillId="4" borderId="23" xfId="0" applyFont="1" applyFill="1" applyBorder="1" applyAlignment="1" applyProtection="1">
      <alignment horizontal="center" vertical="center"/>
      <protection locked="0"/>
    </xf>
    <xf numFmtId="0" fontId="140" fillId="13" borderId="22" xfId="0" applyFont="1" applyFill="1" applyBorder="1" applyAlignment="1" applyProtection="1">
      <alignment horizontal="center" vertical="center"/>
      <protection locked="0"/>
    </xf>
    <xf numFmtId="0" fontId="140" fillId="13" borderId="23" xfId="0" applyFont="1" applyFill="1" applyBorder="1" applyAlignment="1" applyProtection="1">
      <alignment horizontal="center" vertical="center"/>
      <protection locked="0"/>
    </xf>
    <xf numFmtId="0" fontId="140" fillId="13" borderId="24" xfId="0" applyFont="1" applyFill="1" applyBorder="1" applyAlignment="1" applyProtection="1">
      <alignment horizontal="center" vertical="center"/>
      <protection locked="0"/>
    </xf>
    <xf numFmtId="0" fontId="25" fillId="11" borderId="16" xfId="0" applyFont="1" applyFill="1" applyBorder="1" applyAlignment="1" applyProtection="1">
      <alignment horizontal="center" vertical="center" wrapText="1"/>
      <protection locked="0"/>
    </xf>
    <xf numFmtId="0" fontId="25" fillId="11" borderId="20" xfId="0" applyFont="1" applyFill="1" applyBorder="1" applyAlignment="1" applyProtection="1">
      <alignment horizontal="center" vertical="center" wrapText="1"/>
      <protection locked="0"/>
    </xf>
    <xf numFmtId="0" fontId="25" fillId="11" borderId="54" xfId="0" applyFont="1" applyFill="1" applyBorder="1" applyAlignment="1" applyProtection="1">
      <alignment horizontal="center" vertical="center"/>
      <protection locked="0"/>
    </xf>
    <xf numFmtId="0" fontId="25" fillId="11" borderId="26" xfId="0" applyFont="1" applyFill="1" applyBorder="1" applyAlignment="1" applyProtection="1">
      <alignment horizontal="center" vertical="center"/>
      <protection locked="0"/>
    </xf>
    <xf numFmtId="0" fontId="0" fillId="11" borderId="16" xfId="0" applyFill="1" applyBorder="1" applyAlignment="1" applyProtection="1">
      <alignment horizontal="left" vertical="center" indent="1"/>
      <protection locked="0"/>
    </xf>
    <xf numFmtId="0" fontId="0" fillId="11" borderId="20" xfId="0" applyFill="1" applyBorder="1" applyAlignment="1" applyProtection="1">
      <alignment horizontal="left" vertical="center" indent="1"/>
      <protection locked="0"/>
    </xf>
    <xf numFmtId="0" fontId="0" fillId="11" borderId="16" xfId="0" applyFill="1" applyBorder="1" applyAlignment="1" applyProtection="1">
      <alignment horizontal="center" vertical="center"/>
      <protection hidden="1"/>
    </xf>
    <xf numFmtId="0" fontId="0" fillId="11" borderId="20" xfId="0" applyFill="1" applyBorder="1" applyAlignment="1" applyProtection="1">
      <alignment horizontal="center" vertical="center"/>
      <protection hidden="1"/>
    </xf>
    <xf numFmtId="0" fontId="13" fillId="4" borderId="15" xfId="0" applyFont="1" applyFill="1" applyBorder="1" applyAlignment="1" applyProtection="1">
      <alignment horizontal="center" vertical="center"/>
      <protection locked="0"/>
    </xf>
    <xf numFmtId="0" fontId="13" fillId="4" borderId="16" xfId="0" applyFont="1" applyFill="1" applyBorder="1" applyAlignment="1" applyProtection="1">
      <alignment horizontal="center" vertical="center"/>
      <protection locked="0"/>
    </xf>
    <xf numFmtId="0" fontId="13" fillId="4" borderId="17" xfId="0" applyFont="1" applyFill="1" applyBorder="1" applyAlignment="1" applyProtection="1">
      <alignment horizontal="center" vertical="center"/>
      <protection locked="0"/>
    </xf>
    <xf numFmtId="0" fontId="86" fillId="13" borderId="15" xfId="0" applyFont="1" applyFill="1" applyBorder="1" applyAlignment="1" applyProtection="1">
      <alignment horizontal="center" vertical="center"/>
      <protection locked="0"/>
    </xf>
    <xf numFmtId="0" fontId="86" fillId="13" borderId="16" xfId="0" applyFont="1" applyFill="1" applyBorder="1" applyAlignment="1" applyProtection="1">
      <alignment horizontal="center" vertical="center"/>
      <protection locked="0"/>
    </xf>
    <xf numFmtId="0" fontId="86" fillId="13" borderId="54" xfId="0" applyFont="1" applyFill="1" applyBorder="1" applyAlignment="1" applyProtection="1">
      <alignment horizontal="center" vertical="center"/>
      <protection locked="0"/>
    </xf>
    <xf numFmtId="0" fontId="0" fillId="11" borderId="16" xfId="0" applyFill="1" applyBorder="1" applyAlignment="1" applyProtection="1">
      <alignment horizontal="center" vertical="center" wrapText="1"/>
      <protection hidden="1"/>
    </xf>
    <xf numFmtId="0" fontId="0" fillId="11" borderId="20" xfId="0" applyFill="1" applyBorder="1" applyAlignment="1" applyProtection="1">
      <alignment horizontal="center" vertical="center" wrapText="1"/>
      <protection hidden="1"/>
    </xf>
    <xf numFmtId="0" fontId="25" fillId="11" borderId="57" xfId="0" applyFont="1" applyFill="1" applyBorder="1" applyAlignment="1" applyProtection="1">
      <alignment horizontal="center" vertical="center" wrapText="1"/>
      <protection hidden="1"/>
    </xf>
    <xf numFmtId="0" fontId="25" fillId="11" borderId="61" xfId="0" applyFont="1" applyFill="1" applyBorder="1" applyAlignment="1" applyProtection="1">
      <alignment horizontal="center" vertical="center" wrapText="1"/>
      <protection hidden="1"/>
    </xf>
    <xf numFmtId="0" fontId="85" fillId="0" borderId="57" xfId="0" applyFont="1" applyBorder="1" applyAlignment="1" applyProtection="1">
      <alignment horizontal="center" vertical="center"/>
      <protection locked="0"/>
    </xf>
    <xf numFmtId="0" fontId="85" fillId="0" borderId="61" xfId="0" applyFont="1" applyBorder="1" applyAlignment="1" applyProtection="1">
      <alignment horizontal="center" vertical="center"/>
      <protection locked="0"/>
    </xf>
    <xf numFmtId="0" fontId="85" fillId="5" borderId="16" xfId="0" applyFont="1" applyFill="1" applyBorder="1" applyAlignment="1" applyProtection="1">
      <alignment horizontal="center" vertical="center" wrapText="1"/>
      <protection locked="0"/>
    </xf>
    <xf numFmtId="0" fontId="85" fillId="5" borderId="20" xfId="0" applyFont="1" applyFill="1" applyBorder="1" applyAlignment="1" applyProtection="1">
      <alignment horizontal="center" vertical="center" wrapText="1"/>
      <protection locked="0"/>
    </xf>
    <xf numFmtId="0" fontId="10" fillId="0" borderId="16" xfId="0" applyFont="1" applyFill="1" applyBorder="1" applyAlignment="1" applyProtection="1">
      <alignment horizontal="center" vertical="center"/>
      <protection locked="0"/>
    </xf>
    <xf numFmtId="0" fontId="82" fillId="11" borderId="15" xfId="0" applyFont="1" applyFill="1" applyBorder="1" applyAlignment="1" applyProtection="1">
      <alignment horizontal="center" vertical="center"/>
      <protection locked="0"/>
    </xf>
    <xf numFmtId="0" fontId="82" fillId="11" borderId="35" xfId="0" applyFont="1" applyFill="1" applyBorder="1" applyAlignment="1" applyProtection="1">
      <alignment horizontal="center" vertical="center"/>
      <protection locked="0"/>
    </xf>
    <xf numFmtId="0" fontId="112" fillId="11" borderId="16" xfId="0" applyFont="1" applyFill="1" applyBorder="1" applyAlignment="1" applyProtection="1">
      <alignment horizontal="center" vertical="center"/>
      <protection locked="0"/>
    </xf>
    <xf numFmtId="0" fontId="112" fillId="11" borderId="20" xfId="0" applyFont="1" applyFill="1" applyBorder="1" applyAlignment="1" applyProtection="1">
      <alignment horizontal="center" vertical="center"/>
      <protection locked="0"/>
    </xf>
    <xf numFmtId="0" fontId="82" fillId="11" borderId="16" xfId="0" applyFont="1" applyFill="1" applyBorder="1" applyAlignment="1" applyProtection="1">
      <alignment horizontal="center" vertical="center"/>
      <protection locked="0"/>
    </xf>
    <xf numFmtId="0" fontId="82" fillId="11" borderId="20" xfId="0" applyFont="1" applyFill="1" applyBorder="1" applyAlignment="1" applyProtection="1">
      <alignment horizontal="center" vertical="center"/>
      <protection locked="0"/>
    </xf>
    <xf numFmtId="0" fontId="26" fillId="11" borderId="16" xfId="0" applyFont="1" applyFill="1" applyBorder="1" applyAlignment="1" applyProtection="1">
      <alignment horizontal="center" vertical="center" wrapText="1"/>
      <protection locked="0"/>
    </xf>
    <xf numFmtId="0" fontId="26" fillId="11" borderId="20" xfId="0" applyFont="1" applyFill="1" applyBorder="1" applyAlignment="1" applyProtection="1">
      <alignment horizontal="center" vertical="center" wrapText="1"/>
      <protection locked="0"/>
    </xf>
    <xf numFmtId="0" fontId="85" fillId="11" borderId="16" xfId="0" applyFont="1" applyFill="1" applyBorder="1" applyAlignment="1" applyProtection="1">
      <alignment horizontal="center" vertical="center"/>
      <protection locked="0"/>
    </xf>
    <xf numFmtId="0" fontId="85" fillId="11" borderId="20" xfId="0" applyFont="1" applyFill="1" applyBorder="1" applyAlignment="1" applyProtection="1">
      <alignment horizontal="center" vertical="center"/>
      <protection locked="0"/>
    </xf>
    <xf numFmtId="0" fontId="10" fillId="0" borderId="54" xfId="0" applyFont="1" applyFill="1" applyBorder="1" applyAlignment="1" applyProtection="1">
      <alignment horizontal="center" vertical="center"/>
      <protection locked="0"/>
    </xf>
    <xf numFmtId="1" fontId="0" fillId="0" borderId="57" xfId="0" applyNumberFormat="1" applyBorder="1" applyAlignment="1" applyProtection="1">
      <alignment horizontal="center" vertical="center"/>
      <protection locked="0"/>
    </xf>
    <xf numFmtId="1" fontId="0" fillId="0" borderId="61" xfId="0" applyNumberFormat="1" applyBorder="1" applyAlignment="1" applyProtection="1">
      <alignment horizontal="center" vertical="center"/>
      <protection locked="0"/>
    </xf>
    <xf numFmtId="1" fontId="13" fillId="5" borderId="16" xfId="0" applyNumberFormat="1" applyFont="1" applyFill="1" applyBorder="1" applyAlignment="1" applyProtection="1">
      <alignment horizontal="center" vertical="center" wrapText="1"/>
      <protection locked="0"/>
    </xf>
    <xf numFmtId="1" fontId="13" fillId="5" borderId="20" xfId="0" applyNumberFormat="1" applyFont="1" applyFill="1" applyBorder="1" applyAlignment="1" applyProtection="1">
      <alignment horizontal="center" vertical="center" wrapText="1"/>
      <protection locked="0"/>
    </xf>
    <xf numFmtId="1" fontId="79" fillId="13" borderId="22" xfId="0" applyNumberFormat="1" applyFont="1" applyFill="1" applyBorder="1" applyAlignment="1" applyProtection="1">
      <alignment horizontal="center" vertical="center"/>
      <protection locked="0"/>
    </xf>
    <xf numFmtId="1" fontId="79" fillId="13" borderId="23" xfId="0" applyNumberFormat="1" applyFont="1" applyFill="1" applyBorder="1" applyAlignment="1" applyProtection="1">
      <alignment horizontal="center" vertical="center"/>
      <protection locked="0"/>
    </xf>
    <xf numFmtId="1" fontId="0" fillId="11" borderId="15" xfId="0" applyNumberFormat="1" applyFill="1" applyBorder="1" applyAlignment="1" applyProtection="1">
      <alignment horizontal="center" vertical="center"/>
      <protection locked="0"/>
    </xf>
    <xf numFmtId="1" fontId="0" fillId="11" borderId="35" xfId="0" applyNumberFormat="1" applyFill="1" applyBorder="1" applyAlignment="1" applyProtection="1">
      <alignment horizontal="center" vertical="center"/>
      <protection locked="0"/>
    </xf>
    <xf numFmtId="1" fontId="29" fillId="11" borderId="16" xfId="0" applyNumberFormat="1" applyFont="1" applyFill="1" applyBorder="1" applyAlignment="1" applyProtection="1">
      <alignment horizontal="center" vertical="center"/>
      <protection locked="0"/>
    </xf>
    <xf numFmtId="1" fontId="29" fillId="11" borderId="20" xfId="0" applyNumberFormat="1" applyFont="1" applyFill="1" applyBorder="1" applyAlignment="1" applyProtection="1">
      <alignment horizontal="center" vertical="center"/>
      <protection locked="0"/>
    </xf>
    <xf numFmtId="1" fontId="0" fillId="11" borderId="36" xfId="0" applyNumberFormat="1" applyFill="1" applyBorder="1" applyAlignment="1" applyProtection="1">
      <alignment horizontal="center" vertical="center"/>
      <protection locked="0"/>
    </xf>
    <xf numFmtId="1" fontId="0" fillId="11" borderId="28" xfId="0" applyNumberFormat="1" applyFill="1" applyBorder="1" applyAlignment="1" applyProtection="1">
      <alignment horizontal="center" vertical="center"/>
      <protection locked="0"/>
    </xf>
    <xf numFmtId="1" fontId="0" fillId="11" borderId="16" xfId="0" applyNumberFormat="1" applyFill="1" applyBorder="1" applyAlignment="1" applyProtection="1">
      <alignment horizontal="center" vertical="center"/>
      <protection locked="0"/>
    </xf>
    <xf numFmtId="1" fontId="0" fillId="11" borderId="20" xfId="0" applyNumberFormat="1" applyFill="1" applyBorder="1" applyAlignment="1" applyProtection="1">
      <alignment horizontal="center" vertical="center"/>
      <protection locked="0"/>
    </xf>
    <xf numFmtId="1" fontId="25" fillId="11" borderId="16" xfId="0" applyNumberFormat="1" applyFont="1" applyFill="1" applyBorder="1" applyAlignment="1" applyProtection="1">
      <alignment horizontal="center" vertical="center" wrapText="1"/>
      <protection locked="0"/>
    </xf>
    <xf numFmtId="1" fontId="25" fillId="11" borderId="20" xfId="0" applyNumberFormat="1" applyFont="1" applyFill="1" applyBorder="1" applyAlignment="1" applyProtection="1">
      <alignment horizontal="center" vertical="center" wrapText="1"/>
      <protection locked="0"/>
    </xf>
    <xf numFmtId="1" fontId="25" fillId="11" borderId="54" xfId="0" applyNumberFormat="1" applyFont="1" applyFill="1" applyBorder="1" applyAlignment="1" applyProtection="1">
      <alignment horizontal="center" vertical="center"/>
      <protection locked="0"/>
    </xf>
    <xf numFmtId="1" fontId="25" fillId="11" borderId="26" xfId="0" applyNumberFormat="1" applyFont="1" applyFill="1" applyBorder="1" applyAlignment="1" applyProtection="1">
      <alignment horizontal="center" vertical="center"/>
      <protection locked="0"/>
    </xf>
    <xf numFmtId="1" fontId="0" fillId="4" borderId="54" xfId="0" applyNumberFormat="1" applyFill="1" applyBorder="1" applyAlignment="1" applyProtection="1">
      <alignment horizontal="center" vertical="center"/>
      <protection locked="0"/>
    </xf>
    <xf numFmtId="1" fontId="0" fillId="4" borderId="23" xfId="0" applyNumberFormat="1" applyFill="1" applyBorder="1" applyAlignment="1" applyProtection="1">
      <alignment horizontal="center" vertical="center"/>
      <protection locked="0"/>
    </xf>
    <xf numFmtId="0" fontId="26" fillId="7" borderId="57" xfId="0" applyFont="1" applyFill="1" applyBorder="1" applyAlignment="1" applyProtection="1">
      <alignment horizontal="center" vertical="center"/>
      <protection locked="0"/>
    </xf>
    <xf numFmtId="0" fontId="26" fillId="7" borderId="61" xfId="0" applyFont="1" applyFill="1" applyBorder="1" applyAlignment="1" applyProtection="1">
      <alignment horizontal="center" vertical="center"/>
      <protection locked="0"/>
    </xf>
    <xf numFmtId="0" fontId="13" fillId="5" borderId="16" xfId="0" applyFont="1" applyFill="1" applyBorder="1" applyAlignment="1" applyProtection="1">
      <alignment horizontal="center" vertical="center" wrapText="1"/>
      <protection locked="0"/>
    </xf>
    <xf numFmtId="0" fontId="13" fillId="5" borderId="20" xfId="0" applyFont="1" applyFill="1" applyBorder="1" applyAlignment="1" applyProtection="1">
      <alignment horizontal="center" vertical="center" wrapText="1"/>
      <protection locked="0"/>
    </xf>
    <xf numFmtId="0" fontId="12" fillId="0" borderId="16" xfId="0" applyFont="1" applyFill="1" applyBorder="1" applyAlignment="1" applyProtection="1">
      <alignment horizontal="center" vertical="center" wrapText="1"/>
      <protection locked="0"/>
    </xf>
    <xf numFmtId="0" fontId="68" fillId="11" borderId="16" xfId="0" applyFont="1" applyFill="1" applyBorder="1" applyAlignment="1" applyProtection="1">
      <alignment horizontal="center" vertical="center" wrapText="1"/>
      <protection locked="0"/>
    </xf>
    <xf numFmtId="0" fontId="68" fillId="11" borderId="20" xfId="0" applyFont="1" applyFill="1" applyBorder="1" applyAlignment="1" applyProtection="1">
      <alignment horizontal="center" vertical="center" wrapText="1"/>
      <protection locked="0"/>
    </xf>
    <xf numFmtId="0" fontId="68" fillId="11" borderId="54" xfId="0" applyFont="1" applyFill="1" applyBorder="1" applyAlignment="1" applyProtection="1">
      <alignment horizontal="center" vertical="center"/>
      <protection locked="0"/>
    </xf>
    <xf numFmtId="0" fontId="68" fillId="11" borderId="26" xfId="0" applyFont="1" applyFill="1" applyBorder="1" applyAlignment="1" applyProtection="1">
      <alignment horizontal="center" vertical="center"/>
      <protection locked="0"/>
    </xf>
    <xf numFmtId="0" fontId="13" fillId="0" borderId="36" xfId="0" applyFont="1" applyBorder="1" applyAlignment="1" applyProtection="1">
      <alignment horizontal="center" vertical="center"/>
      <protection locked="0"/>
    </xf>
    <xf numFmtId="0" fontId="13" fillId="0" borderId="5" xfId="0" applyFont="1" applyBorder="1" applyAlignment="1" applyProtection="1">
      <alignment horizontal="center" vertical="center"/>
      <protection locked="0"/>
    </xf>
    <xf numFmtId="0" fontId="68" fillId="11" borderId="2" xfId="0" applyFont="1" applyFill="1" applyBorder="1" applyAlignment="1" applyProtection="1">
      <alignment horizontal="center" vertical="center" wrapText="1"/>
      <protection locked="0"/>
    </xf>
    <xf numFmtId="0" fontId="68" fillId="11" borderId="3" xfId="0" applyFont="1" applyFill="1" applyBorder="1" applyAlignment="1" applyProtection="1">
      <alignment horizontal="center" vertical="center" wrapText="1"/>
      <protection locked="0"/>
    </xf>
    <xf numFmtId="0" fontId="0" fillId="11" borderId="1" xfId="0" applyFill="1" applyBorder="1" applyAlignment="1" applyProtection="1">
      <alignment horizontal="center" vertical="center"/>
      <protection locked="0"/>
    </xf>
    <xf numFmtId="0" fontId="25" fillId="11" borderId="1" xfId="0" applyFont="1" applyFill="1" applyBorder="1" applyAlignment="1" applyProtection="1">
      <alignment horizontal="center" vertical="center" wrapText="1"/>
      <protection locked="0"/>
    </xf>
    <xf numFmtId="0" fontId="68" fillId="11" borderId="1" xfId="0" applyFont="1" applyFill="1" applyBorder="1" applyAlignment="1" applyProtection="1">
      <alignment horizontal="center" vertical="center" wrapText="1"/>
      <protection locked="0"/>
    </xf>
    <xf numFmtId="0" fontId="13" fillId="5" borderId="2"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28" fillId="0" borderId="8" xfId="0" applyFont="1" applyFill="1" applyBorder="1" applyAlignment="1" applyProtection="1">
      <alignment horizontal="center" vertical="center" wrapText="1"/>
      <protection locked="0"/>
    </xf>
    <xf numFmtId="0" fontId="28" fillId="0" borderId="6" xfId="0" applyFont="1" applyFill="1" applyBorder="1" applyAlignment="1" applyProtection="1">
      <alignment horizontal="center" vertical="center" wrapText="1"/>
      <protection locked="0"/>
    </xf>
    <xf numFmtId="0" fontId="29" fillId="11" borderId="1" xfId="0" applyFont="1" applyFill="1" applyBorder="1" applyAlignment="1" applyProtection="1">
      <alignment horizontal="center" vertical="center"/>
      <protection locked="0"/>
    </xf>
    <xf numFmtId="0" fontId="0" fillId="11" borderId="2" xfId="0" applyFont="1" applyFill="1" applyBorder="1" applyAlignment="1" applyProtection="1">
      <alignment horizontal="center" vertical="center"/>
      <protection locked="0"/>
    </xf>
    <xf numFmtId="0" fontId="0" fillId="11" borderId="3" xfId="0" applyFont="1" applyFill="1" applyBorder="1" applyAlignment="1" applyProtection="1">
      <alignment horizontal="center" vertical="center"/>
      <protection locked="0"/>
    </xf>
    <xf numFmtId="0" fontId="13" fillId="0" borderId="2" xfId="0" applyFont="1" applyBorder="1" applyAlignment="1" applyProtection="1">
      <alignment horizontal="center" vertical="center"/>
      <protection locked="0"/>
    </xf>
    <xf numFmtId="0" fontId="13" fillId="5" borderId="1" xfId="0" applyFont="1" applyFill="1" applyBorder="1" applyAlignment="1" applyProtection="1">
      <alignment horizontal="center" vertical="center" wrapText="1"/>
      <protection locked="0"/>
    </xf>
    <xf numFmtId="0" fontId="29" fillId="11" borderId="2" xfId="0" applyFont="1" applyFill="1" applyBorder="1" applyAlignment="1" applyProtection="1">
      <alignment horizontal="center" vertical="center"/>
      <protection locked="0"/>
    </xf>
    <xf numFmtId="0" fontId="21" fillId="11" borderId="1"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61" xfId="0" applyBorder="1" applyAlignment="1" applyProtection="1">
      <alignment horizontal="center" vertical="center"/>
      <protection locked="0"/>
    </xf>
    <xf numFmtId="0" fontId="25" fillId="5" borderId="16" xfId="0" applyFont="1" applyFill="1" applyBorder="1" applyAlignment="1" applyProtection="1">
      <alignment horizontal="center" vertical="center" wrapText="1"/>
      <protection locked="0"/>
    </xf>
    <xf numFmtId="0" fontId="25" fillId="5" borderId="20" xfId="0" applyFont="1" applyFill="1" applyBorder="1" applyAlignment="1" applyProtection="1">
      <alignment horizontal="center" vertical="center" wrapText="1"/>
      <protection locked="0"/>
    </xf>
    <xf numFmtId="0" fontId="79" fillId="13" borderId="22" xfId="0" applyFont="1" applyFill="1" applyBorder="1" applyAlignment="1" applyProtection="1">
      <alignment horizontal="center" vertical="center"/>
      <protection locked="0"/>
    </xf>
    <xf numFmtId="0" fontId="79" fillId="13" borderId="23" xfId="0" applyFont="1" applyFill="1" applyBorder="1" applyAlignment="1" applyProtection="1">
      <alignment horizontal="center" vertical="center"/>
      <protection locked="0"/>
    </xf>
    <xf numFmtId="0" fontId="79" fillId="13" borderId="24" xfId="0" applyFont="1" applyFill="1" applyBorder="1" applyAlignment="1" applyProtection="1">
      <alignment horizontal="center" vertical="center"/>
      <protection locked="0"/>
    </xf>
    <xf numFmtId="0" fontId="0" fillId="4" borderId="54" xfId="0" applyFill="1" applyBorder="1" applyAlignment="1" applyProtection="1">
      <alignment horizontal="center" vertical="center"/>
      <protection locked="0"/>
    </xf>
    <xf numFmtId="0" fontId="0" fillId="4" borderId="23" xfId="0" applyFill="1" applyBorder="1" applyAlignment="1" applyProtection="1">
      <alignment horizontal="center" vertical="center"/>
      <protection locked="0"/>
    </xf>
    <xf numFmtId="1" fontId="26" fillId="0" borderId="58" xfId="0" applyNumberFormat="1" applyFont="1" applyBorder="1" applyAlignment="1" applyProtection="1">
      <alignment horizontal="center" vertical="center"/>
      <protection locked="0"/>
    </xf>
    <xf numFmtId="1" fontId="26" fillId="0" borderId="10" xfId="0" applyNumberFormat="1" applyFont="1" applyBorder="1" applyAlignment="1" applyProtection="1">
      <alignment horizontal="center" vertical="center"/>
      <protection locked="0"/>
    </xf>
    <xf numFmtId="1" fontId="26" fillId="0" borderId="11" xfId="0" applyNumberFormat="1" applyFont="1" applyBorder="1" applyAlignment="1" applyProtection="1">
      <alignment horizontal="center" vertical="center"/>
      <protection locked="0"/>
    </xf>
    <xf numFmtId="1" fontId="26" fillId="0" borderId="14" xfId="0" applyNumberFormat="1" applyFont="1" applyBorder="1" applyAlignment="1" applyProtection="1">
      <alignment horizontal="center" vertical="center"/>
      <protection locked="0"/>
    </xf>
    <xf numFmtId="1" fontId="26" fillId="0" borderId="60" xfId="0" applyNumberFormat="1" applyFont="1" applyBorder="1" applyAlignment="1" applyProtection="1">
      <alignment horizontal="center" vertical="center"/>
      <protection locked="0"/>
    </xf>
    <xf numFmtId="1" fontId="26" fillId="0" borderId="78" xfId="0" applyNumberFormat="1" applyFont="1" applyBorder="1" applyAlignment="1" applyProtection="1">
      <alignment horizontal="center" vertical="center"/>
      <protection locked="0"/>
    </xf>
    <xf numFmtId="1" fontId="85" fillId="5" borderId="56" xfId="0" applyNumberFormat="1" applyFont="1" applyFill="1" applyBorder="1" applyAlignment="1" applyProtection="1">
      <alignment horizontal="center" vertical="center"/>
      <protection locked="0"/>
    </xf>
    <xf numFmtId="1" fontId="85" fillId="5" borderId="73" xfId="0" applyNumberFormat="1" applyFont="1" applyFill="1" applyBorder="1" applyAlignment="1" applyProtection="1">
      <alignment horizontal="center" vertical="center"/>
      <protection locked="0"/>
    </xf>
    <xf numFmtId="1" fontId="85" fillId="5" borderId="62" xfId="0" applyNumberFormat="1" applyFont="1" applyFill="1" applyBorder="1" applyAlignment="1" applyProtection="1">
      <alignment horizontal="center" vertical="center"/>
      <protection locked="0"/>
    </xf>
    <xf numFmtId="1" fontId="85" fillId="10" borderId="57" xfId="0" applyNumberFormat="1" applyFont="1" applyFill="1" applyBorder="1" applyAlignment="1" applyProtection="1">
      <alignment horizontal="center" vertical="center"/>
      <protection locked="0"/>
    </xf>
    <xf numFmtId="1" fontId="85" fillId="10" borderId="80" xfId="0" applyNumberFormat="1" applyFont="1" applyFill="1" applyBorder="1" applyAlignment="1" applyProtection="1">
      <alignment horizontal="center" vertical="center"/>
      <protection locked="0"/>
    </xf>
    <xf numFmtId="1" fontId="85" fillId="10" borderId="61" xfId="0" applyNumberFormat="1" applyFont="1" applyFill="1" applyBorder="1" applyAlignment="1" applyProtection="1">
      <alignment horizontal="center" vertical="center"/>
      <protection locked="0"/>
    </xf>
    <xf numFmtId="1" fontId="10" fillId="5" borderId="7" xfId="0" applyNumberFormat="1" applyFont="1" applyFill="1" applyBorder="1" applyAlignment="1" applyProtection="1">
      <alignment horizontal="center"/>
      <protection locked="0"/>
    </xf>
    <xf numFmtId="1" fontId="10" fillId="5" borderId="8" xfId="0" applyNumberFormat="1" applyFont="1" applyFill="1" applyBorder="1" applyAlignment="1" applyProtection="1">
      <alignment horizontal="center"/>
      <protection locked="0"/>
    </xf>
    <xf numFmtId="1" fontId="10" fillId="5" borderId="6" xfId="0" applyNumberFormat="1" applyFont="1" applyFill="1" applyBorder="1" applyAlignment="1" applyProtection="1">
      <alignment horizontal="center"/>
      <protection locked="0"/>
    </xf>
    <xf numFmtId="1" fontId="5" fillId="11" borderId="16" xfId="0" applyNumberFormat="1" applyFont="1" applyFill="1" applyBorder="1" applyAlignment="1" applyProtection="1">
      <alignment horizontal="center" vertical="center"/>
      <protection locked="0"/>
    </xf>
    <xf numFmtId="1" fontId="5" fillId="11" borderId="5" xfId="0" applyNumberFormat="1" applyFont="1" applyFill="1" applyBorder="1" applyAlignment="1" applyProtection="1">
      <alignment horizontal="center" vertical="center"/>
      <protection locked="0"/>
    </xf>
    <xf numFmtId="1" fontId="5" fillId="11" borderId="20" xfId="0" applyNumberFormat="1" applyFont="1" applyFill="1" applyBorder="1" applyAlignment="1" applyProtection="1">
      <alignment horizontal="center" vertical="center"/>
      <protection locked="0"/>
    </xf>
    <xf numFmtId="1" fontId="68" fillId="11" borderId="16" xfId="0" applyNumberFormat="1" applyFont="1" applyFill="1" applyBorder="1" applyAlignment="1" applyProtection="1">
      <alignment horizontal="center" vertical="center" wrapText="1"/>
      <protection locked="0"/>
    </xf>
    <xf numFmtId="1" fontId="68" fillId="11" borderId="5" xfId="0" applyNumberFormat="1" applyFont="1" applyFill="1" applyBorder="1" applyAlignment="1" applyProtection="1">
      <alignment horizontal="center" vertical="center" wrapText="1"/>
      <protection locked="0"/>
    </xf>
    <xf numFmtId="1" fontId="68" fillId="11" borderId="20" xfId="0" applyNumberFormat="1" applyFont="1" applyFill="1" applyBorder="1" applyAlignment="1" applyProtection="1">
      <alignment horizontal="center" vertical="center" wrapText="1"/>
      <protection locked="0"/>
    </xf>
    <xf numFmtId="1" fontId="13" fillId="10" borderId="7" xfId="0" applyNumberFormat="1" applyFont="1" applyFill="1" applyBorder="1" applyAlignment="1" applyProtection="1">
      <alignment horizontal="center" vertical="center"/>
      <protection locked="0"/>
    </xf>
    <xf numFmtId="1" fontId="13" fillId="10" borderId="8" xfId="0" applyNumberFormat="1" applyFont="1" applyFill="1" applyBorder="1" applyAlignment="1" applyProtection="1">
      <alignment horizontal="center" vertical="center"/>
      <protection locked="0"/>
    </xf>
    <xf numFmtId="1" fontId="13" fillId="10" borderId="6" xfId="0" applyNumberFormat="1" applyFont="1" applyFill="1" applyBorder="1" applyAlignment="1" applyProtection="1">
      <alignment horizontal="center" vertical="center"/>
      <protection locked="0"/>
    </xf>
    <xf numFmtId="1" fontId="13" fillId="39" borderId="7" xfId="0" applyNumberFormat="1" applyFont="1" applyFill="1" applyBorder="1" applyAlignment="1" applyProtection="1">
      <alignment horizontal="center" vertical="center"/>
      <protection locked="0"/>
    </xf>
    <xf numFmtId="1" fontId="13" fillId="39" borderId="8" xfId="0" applyNumberFormat="1" applyFont="1" applyFill="1" applyBorder="1" applyAlignment="1" applyProtection="1">
      <alignment horizontal="center" vertical="center"/>
      <protection locked="0"/>
    </xf>
    <xf numFmtId="1" fontId="13" fillId="39" borderId="6" xfId="0" applyNumberFormat="1" applyFont="1" applyFill="1" applyBorder="1" applyAlignment="1" applyProtection="1">
      <alignment horizontal="center" vertical="center"/>
      <protection locked="0"/>
    </xf>
    <xf numFmtId="1" fontId="23" fillId="11" borderId="58" xfId="0" applyNumberFormat="1" applyFont="1" applyFill="1" applyBorder="1" applyAlignment="1" applyProtection="1">
      <alignment horizontal="center" vertical="center"/>
      <protection locked="0"/>
    </xf>
    <xf numFmtId="1" fontId="23" fillId="11" borderId="10" xfId="0" applyNumberFormat="1" applyFont="1" applyFill="1" applyBorder="1" applyAlignment="1" applyProtection="1">
      <alignment horizontal="center" vertical="center"/>
      <protection locked="0"/>
    </xf>
    <xf numFmtId="1" fontId="23" fillId="11" borderId="59" xfId="0" applyNumberFormat="1" applyFont="1" applyFill="1" applyBorder="1" applyAlignment="1" applyProtection="1">
      <alignment horizontal="center" vertical="center"/>
      <protection locked="0"/>
    </xf>
    <xf numFmtId="1" fontId="23" fillId="11" borderId="14" xfId="0" applyNumberFormat="1" applyFont="1" applyFill="1" applyBorder="1" applyAlignment="1" applyProtection="1">
      <alignment horizontal="center" vertical="center"/>
      <protection locked="0"/>
    </xf>
    <xf numFmtId="1" fontId="23" fillId="11" borderId="60" xfId="0" applyNumberFormat="1" applyFont="1" applyFill="1" applyBorder="1" applyAlignment="1" applyProtection="1">
      <alignment horizontal="center" vertical="center"/>
      <protection locked="0"/>
    </xf>
    <xf numFmtId="1" fontId="23" fillId="11" borderId="25" xfId="0" applyNumberFormat="1" applyFont="1" applyFill="1" applyBorder="1" applyAlignment="1" applyProtection="1">
      <alignment horizontal="center" vertical="center"/>
      <protection locked="0"/>
    </xf>
    <xf numFmtId="1" fontId="26" fillId="0" borderId="59" xfId="0" applyNumberFormat="1" applyFont="1" applyBorder="1" applyAlignment="1" applyProtection="1">
      <alignment horizontal="center" vertical="center"/>
      <protection locked="0"/>
    </xf>
    <xf numFmtId="1" fontId="26" fillId="0" borderId="25" xfId="0" applyNumberFormat="1" applyFont="1" applyBorder="1" applyAlignment="1" applyProtection="1">
      <alignment horizontal="center" vertical="center"/>
      <protection locked="0"/>
    </xf>
    <xf numFmtId="1" fontId="0" fillId="11" borderId="73" xfId="0" applyNumberFormat="1" applyFill="1" applyBorder="1" applyAlignment="1" applyProtection="1">
      <alignment horizontal="center" vertical="center"/>
      <protection locked="0"/>
    </xf>
    <xf numFmtId="1" fontId="0" fillId="11" borderId="5" xfId="0" applyNumberFormat="1" applyFill="1" applyBorder="1" applyAlignment="1" applyProtection="1">
      <alignment horizontal="center" vertical="center"/>
      <protection locked="0"/>
    </xf>
    <xf numFmtId="1" fontId="13" fillId="11" borderId="16" xfId="0" applyNumberFormat="1" applyFont="1" applyFill="1" applyBorder="1" applyAlignment="1" applyProtection="1">
      <alignment horizontal="center" vertical="center"/>
      <protection locked="0"/>
    </xf>
    <xf numFmtId="1" fontId="13" fillId="11" borderId="5" xfId="0" applyNumberFormat="1" applyFont="1" applyFill="1" applyBorder="1" applyAlignment="1" applyProtection="1">
      <alignment horizontal="center" vertical="center"/>
      <protection locked="0"/>
    </xf>
    <xf numFmtId="1" fontId="13" fillId="11" borderId="20" xfId="0" applyNumberFormat="1" applyFont="1" applyFill="1" applyBorder="1" applyAlignment="1" applyProtection="1">
      <alignment horizontal="center" vertical="center"/>
      <protection locked="0"/>
    </xf>
    <xf numFmtId="1" fontId="13" fillId="5" borderId="7" xfId="0" applyNumberFormat="1" applyFont="1" applyFill="1" applyBorder="1" applyAlignment="1" applyProtection="1">
      <alignment horizontal="center" vertical="center"/>
      <protection locked="0"/>
    </xf>
    <xf numFmtId="1" fontId="13" fillId="5" borderId="8" xfId="0" applyNumberFormat="1" applyFont="1" applyFill="1" applyBorder="1" applyAlignment="1" applyProtection="1">
      <alignment horizontal="center" vertical="center"/>
      <protection locked="0"/>
    </xf>
    <xf numFmtId="1" fontId="13" fillId="5" borderId="6" xfId="0" applyNumberFormat="1" applyFont="1" applyFill="1" applyBorder="1" applyAlignment="1" applyProtection="1">
      <alignment horizontal="center" vertical="center"/>
      <protection locked="0"/>
    </xf>
    <xf numFmtId="1" fontId="13" fillId="4" borderId="7" xfId="0" applyNumberFormat="1" applyFont="1" applyFill="1" applyBorder="1" applyAlignment="1" applyProtection="1">
      <alignment horizontal="center" vertical="center"/>
      <protection locked="0"/>
    </xf>
    <xf numFmtId="1" fontId="13" fillId="4" borderId="8" xfId="0" applyNumberFormat="1" applyFont="1" applyFill="1" applyBorder="1" applyAlignment="1" applyProtection="1">
      <alignment horizontal="center" vertical="center"/>
      <protection locked="0"/>
    </xf>
    <xf numFmtId="1" fontId="13" fillId="4" borderId="6" xfId="0" applyNumberFormat="1" applyFont="1" applyFill="1" applyBorder="1" applyAlignment="1" applyProtection="1">
      <alignment horizontal="center" vertical="center"/>
      <protection locked="0"/>
    </xf>
    <xf numFmtId="1" fontId="0" fillId="11" borderId="54" xfId="0" applyNumberFormat="1" applyFill="1" applyBorder="1" applyAlignment="1" applyProtection="1">
      <alignment horizontal="center" vertical="center"/>
      <protection locked="0"/>
    </xf>
    <xf numFmtId="1" fontId="0" fillId="11" borderId="23" xfId="0" applyNumberFormat="1" applyFill="1" applyBorder="1" applyAlignment="1" applyProtection="1">
      <alignment horizontal="center" vertical="center"/>
      <protection locked="0"/>
    </xf>
    <xf numFmtId="1" fontId="0" fillId="11" borderId="24" xfId="0" applyNumberFormat="1" applyFill="1" applyBorder="1" applyAlignment="1" applyProtection="1">
      <alignment horizontal="center" vertical="center"/>
      <protection locked="0"/>
    </xf>
    <xf numFmtId="1" fontId="76" fillId="5" borderId="7" xfId="0" applyNumberFormat="1" applyFont="1" applyFill="1" applyBorder="1" applyAlignment="1" applyProtection="1">
      <alignment horizontal="center" vertical="center"/>
      <protection locked="0"/>
    </xf>
    <xf numFmtId="1" fontId="76" fillId="5" borderId="8" xfId="0" applyNumberFormat="1" applyFont="1" applyFill="1" applyBorder="1" applyAlignment="1" applyProtection="1">
      <alignment horizontal="center" vertical="center"/>
      <protection locked="0"/>
    </xf>
    <xf numFmtId="1" fontId="26" fillId="5" borderId="36" xfId="0" applyNumberFormat="1" applyFont="1" applyFill="1" applyBorder="1" applyAlignment="1" applyProtection="1">
      <alignment horizontal="center" vertical="center" wrapText="1"/>
      <protection locked="0"/>
    </xf>
    <xf numFmtId="1" fontId="26" fillId="5" borderId="5" xfId="0" applyNumberFormat="1" applyFont="1" applyFill="1" applyBorder="1" applyAlignment="1" applyProtection="1">
      <alignment horizontal="center" vertical="center" wrapText="1"/>
      <protection locked="0"/>
    </xf>
    <xf numFmtId="1" fontId="26" fillId="5" borderId="28" xfId="0" applyNumberFormat="1" applyFont="1" applyFill="1" applyBorder="1" applyAlignment="1" applyProtection="1">
      <alignment horizontal="center" vertical="center" wrapText="1"/>
      <protection locked="0"/>
    </xf>
    <xf numFmtId="1" fontId="26" fillId="0" borderId="57" xfId="0" applyNumberFormat="1" applyFont="1" applyBorder="1" applyAlignment="1" applyProtection="1">
      <alignment horizontal="center" vertical="center"/>
      <protection locked="0"/>
    </xf>
    <xf numFmtId="1" fontId="26" fillId="0" borderId="80" xfId="0" applyNumberFormat="1" applyFont="1" applyBorder="1" applyAlignment="1" applyProtection="1">
      <alignment horizontal="center" vertical="center"/>
      <protection locked="0"/>
    </xf>
    <xf numFmtId="1" fontId="26" fillId="0" borderId="61" xfId="0" applyNumberFormat="1" applyFont="1" applyBorder="1" applyAlignment="1" applyProtection="1">
      <alignment horizontal="center" vertical="center"/>
      <protection locked="0"/>
    </xf>
    <xf numFmtId="1" fontId="75" fillId="5" borderId="36" xfId="0" applyNumberFormat="1" applyFont="1" applyFill="1" applyBorder="1" applyAlignment="1" applyProtection="1">
      <alignment horizontal="center" vertical="center"/>
      <protection locked="0"/>
    </xf>
    <xf numFmtId="1" fontId="75" fillId="5" borderId="5" xfId="0" applyNumberFormat="1" applyFont="1" applyFill="1" applyBorder="1" applyAlignment="1" applyProtection="1">
      <alignment horizontal="center" vertical="center"/>
      <protection locked="0"/>
    </xf>
    <xf numFmtId="1" fontId="75" fillId="5" borderId="28" xfId="0" applyNumberFormat="1" applyFont="1" applyFill="1" applyBorder="1" applyAlignment="1" applyProtection="1">
      <alignment horizontal="center" vertical="center"/>
      <protection locked="0"/>
    </xf>
    <xf numFmtId="1" fontId="13" fillId="11" borderId="2" xfId="0" applyNumberFormat="1" applyFont="1" applyFill="1" applyBorder="1" applyAlignment="1" applyProtection="1">
      <alignment horizontal="center" vertical="center"/>
      <protection locked="0"/>
    </xf>
    <xf numFmtId="1" fontId="13" fillId="11" borderId="28" xfId="0" applyNumberFormat="1" applyFont="1" applyFill="1" applyBorder="1" applyAlignment="1" applyProtection="1">
      <alignment horizontal="center" vertical="center"/>
      <protection locked="0"/>
    </xf>
    <xf numFmtId="1" fontId="0" fillId="11" borderId="36" xfId="0" applyNumberFormat="1" applyFont="1" applyFill="1" applyBorder="1" applyAlignment="1" applyProtection="1">
      <alignment horizontal="center" vertical="center" wrapText="1"/>
      <protection locked="0"/>
    </xf>
    <xf numFmtId="1" fontId="0" fillId="11" borderId="5" xfId="0" applyNumberFormat="1" applyFont="1" applyFill="1" applyBorder="1" applyAlignment="1" applyProtection="1">
      <alignment horizontal="center" vertical="center" wrapText="1"/>
      <protection locked="0"/>
    </xf>
    <xf numFmtId="1" fontId="0" fillId="11" borderId="28" xfId="0" applyNumberFormat="1" applyFont="1" applyFill="1" applyBorder="1" applyAlignment="1" applyProtection="1">
      <alignment horizontal="center" vertical="center" wrapText="1"/>
      <protection locked="0"/>
    </xf>
    <xf numFmtId="1" fontId="0" fillId="11" borderId="36" xfId="0" applyNumberFormat="1" applyFill="1" applyBorder="1" applyAlignment="1" applyProtection="1">
      <alignment horizontal="center" vertical="center" wrapText="1"/>
      <protection locked="0"/>
    </xf>
    <xf numFmtId="1" fontId="0" fillId="11" borderId="5" xfId="0" applyNumberFormat="1" applyFill="1" applyBorder="1" applyAlignment="1" applyProtection="1">
      <alignment horizontal="center" vertical="center" wrapText="1"/>
      <protection locked="0"/>
    </xf>
    <xf numFmtId="1" fontId="0" fillId="11" borderId="28" xfId="0" applyNumberFormat="1" applyFill="1" applyBorder="1" applyAlignment="1" applyProtection="1">
      <alignment horizontal="center" vertical="center" wrapText="1"/>
      <protection locked="0"/>
    </xf>
    <xf numFmtId="1" fontId="25" fillId="0" borderId="54" xfId="0" applyNumberFormat="1" applyFont="1" applyBorder="1" applyAlignment="1" applyProtection="1">
      <alignment horizontal="center" vertical="center" wrapText="1"/>
      <protection locked="0"/>
    </xf>
    <xf numFmtId="1" fontId="25" fillId="0" borderId="23" xfId="0" applyNumberFormat="1" applyFont="1" applyBorder="1" applyAlignment="1" applyProtection="1">
      <alignment horizontal="center" vertical="center" wrapText="1"/>
      <protection locked="0"/>
    </xf>
    <xf numFmtId="1" fontId="25" fillId="0" borderId="24" xfId="0" applyNumberFormat="1" applyFont="1" applyBorder="1" applyAlignment="1" applyProtection="1">
      <alignment horizontal="center" vertical="center" wrapText="1"/>
      <protection locked="0"/>
    </xf>
    <xf numFmtId="1" fontId="25" fillId="4" borderId="54" xfId="0" applyNumberFormat="1" applyFont="1" applyFill="1" applyBorder="1" applyAlignment="1" applyProtection="1">
      <alignment horizontal="center" vertical="center" wrapText="1"/>
      <protection locked="0"/>
    </xf>
    <xf numFmtId="1" fontId="25" fillId="4" borderId="23" xfId="0" applyNumberFormat="1" applyFont="1" applyFill="1" applyBorder="1" applyAlignment="1" applyProtection="1">
      <alignment horizontal="center" vertical="center" wrapText="1"/>
      <protection locked="0"/>
    </xf>
    <xf numFmtId="1" fontId="25" fillId="4" borderId="24" xfId="0" applyNumberFormat="1" applyFont="1" applyFill="1" applyBorder="1" applyAlignment="1" applyProtection="1">
      <alignment horizontal="center" vertical="center" wrapText="1"/>
      <protection locked="0"/>
    </xf>
    <xf numFmtId="1" fontId="13" fillId="14" borderId="2" xfId="0" applyNumberFormat="1" applyFont="1" applyFill="1" applyBorder="1" applyAlignment="1" applyProtection="1">
      <alignment horizontal="center" vertical="center"/>
      <protection locked="0"/>
    </xf>
    <xf numFmtId="1" fontId="13" fillId="14" borderId="28" xfId="0" applyNumberFormat="1" applyFont="1" applyFill="1" applyBorder="1" applyAlignment="1" applyProtection="1">
      <alignment horizontal="center" vertical="center"/>
      <protection locked="0"/>
    </xf>
    <xf numFmtId="1" fontId="57" fillId="11" borderId="36" xfId="0" applyNumberFormat="1" applyFont="1" applyFill="1" applyBorder="1" applyAlignment="1" applyProtection="1">
      <alignment horizontal="center" vertical="center"/>
      <protection locked="0"/>
    </xf>
    <xf numFmtId="1" fontId="57" fillId="11" borderId="5" xfId="0" applyNumberFormat="1" applyFont="1" applyFill="1" applyBorder="1" applyAlignment="1" applyProtection="1">
      <alignment horizontal="center" vertical="center"/>
      <protection locked="0"/>
    </xf>
    <xf numFmtId="1" fontId="57" fillId="11" borderId="28" xfId="0" applyNumberFormat="1" applyFont="1" applyFill="1" applyBorder="1" applyAlignment="1" applyProtection="1">
      <alignment horizontal="center" vertical="center"/>
      <protection locked="0"/>
    </xf>
    <xf numFmtId="1" fontId="0" fillId="11" borderId="56" xfId="0" applyNumberFormat="1" applyFill="1" applyBorder="1" applyAlignment="1" applyProtection="1">
      <alignment horizontal="center" vertical="center"/>
      <protection locked="0"/>
    </xf>
    <xf numFmtId="1" fontId="0" fillId="11" borderId="62" xfId="0" applyNumberFormat="1" applyFill="1" applyBorder="1" applyAlignment="1" applyProtection="1">
      <alignment horizontal="center" vertical="center"/>
      <protection locked="0"/>
    </xf>
    <xf numFmtId="1" fontId="26" fillId="11" borderId="54" xfId="0" applyNumberFormat="1" applyFont="1" applyFill="1" applyBorder="1" applyAlignment="1" applyProtection="1">
      <alignment horizontal="center" vertical="center"/>
      <protection locked="0"/>
    </xf>
    <xf numFmtId="1" fontId="26" fillId="11" borderId="23" xfId="0" applyNumberFormat="1" applyFont="1" applyFill="1" applyBorder="1" applyAlignment="1" applyProtection="1">
      <alignment horizontal="center" vertical="center"/>
      <protection locked="0"/>
    </xf>
    <xf numFmtId="1" fontId="26" fillId="11" borderId="24" xfId="0" applyNumberFormat="1" applyFont="1" applyFill="1" applyBorder="1" applyAlignment="1" applyProtection="1">
      <alignment horizontal="center" vertical="center"/>
      <protection locked="0"/>
    </xf>
    <xf numFmtId="1" fontId="69" fillId="4" borderId="16" xfId="0" applyNumberFormat="1" applyFont="1" applyFill="1" applyBorder="1" applyAlignment="1" applyProtection="1">
      <alignment horizontal="center" vertical="center"/>
      <protection locked="0"/>
    </xf>
    <xf numFmtId="1" fontId="0" fillId="7" borderId="57" xfId="0" applyNumberFormat="1" applyFill="1" applyBorder="1" applyAlignment="1" applyProtection="1">
      <alignment horizontal="center" vertical="center"/>
      <protection locked="0"/>
    </xf>
    <xf numFmtId="1" fontId="0" fillId="7" borderId="80" xfId="0" applyNumberFormat="1" applyFill="1" applyBorder="1" applyAlignment="1" applyProtection="1">
      <alignment horizontal="center" vertical="center"/>
      <protection locked="0"/>
    </xf>
    <xf numFmtId="1" fontId="0" fillId="5" borderId="36" xfId="0" applyNumberFormat="1" applyFill="1" applyBorder="1" applyAlignment="1" applyProtection="1">
      <alignment horizontal="center" vertical="center" wrapText="1"/>
      <protection locked="0"/>
    </xf>
    <xf numFmtId="1" fontId="0" fillId="5" borderId="5" xfId="0" applyNumberFormat="1" applyFill="1" applyBorder="1" applyAlignment="1" applyProtection="1">
      <alignment horizontal="center" vertical="center" wrapText="1"/>
      <protection locked="0"/>
    </xf>
    <xf numFmtId="1" fontId="69" fillId="14" borderId="2" xfId="0" applyNumberFormat="1" applyFont="1" applyFill="1" applyBorder="1" applyAlignment="1" applyProtection="1">
      <alignment horizontal="center" vertical="center"/>
      <protection locked="0"/>
    </xf>
    <xf numFmtId="1" fontId="69" fillId="14" borderId="28" xfId="0" applyNumberFormat="1" applyFont="1" applyFill="1" applyBorder="1" applyAlignment="1" applyProtection="1">
      <alignment horizontal="center" vertical="center"/>
      <protection locked="0"/>
    </xf>
    <xf numFmtId="1" fontId="114" fillId="5" borderId="7" xfId="0" applyNumberFormat="1" applyFont="1" applyFill="1" applyBorder="1" applyAlignment="1" applyProtection="1">
      <alignment horizontal="center" vertical="center"/>
      <protection locked="0"/>
    </xf>
    <xf numFmtId="1" fontId="114" fillId="5" borderId="8" xfId="0" applyNumberFormat="1" applyFont="1" applyFill="1" applyBorder="1" applyAlignment="1" applyProtection="1">
      <alignment horizontal="center" vertical="center"/>
      <protection locked="0"/>
    </xf>
    <xf numFmtId="1" fontId="69" fillId="0" borderId="16" xfId="0" applyNumberFormat="1" applyFont="1" applyBorder="1" applyAlignment="1" applyProtection="1">
      <alignment horizontal="center" vertical="center"/>
      <protection locked="0"/>
    </xf>
    <xf numFmtId="1" fontId="13" fillId="11" borderId="54" xfId="0" applyNumberFormat="1" applyFont="1" applyFill="1" applyBorder="1" applyAlignment="1" applyProtection="1">
      <alignment horizontal="center" vertical="center"/>
      <protection locked="0"/>
    </xf>
    <xf numFmtId="1" fontId="13" fillId="11" borderId="23" xfId="0" applyNumberFormat="1" applyFont="1" applyFill="1" applyBorder="1" applyAlignment="1" applyProtection="1">
      <alignment horizontal="center" vertical="center"/>
      <protection locked="0"/>
    </xf>
    <xf numFmtId="1" fontId="13" fillId="11" borderId="24" xfId="0" applyNumberFormat="1" applyFont="1" applyFill="1" applyBorder="1" applyAlignment="1" applyProtection="1">
      <alignment horizontal="center" vertical="center"/>
      <protection locked="0"/>
    </xf>
    <xf numFmtId="1" fontId="16" fillId="11" borderId="58" xfId="0" applyNumberFormat="1" applyFont="1" applyFill="1" applyBorder="1" applyAlignment="1" applyProtection="1">
      <alignment horizontal="center" vertical="center"/>
      <protection locked="0"/>
    </xf>
    <xf numFmtId="1" fontId="16" fillId="11" borderId="10" xfId="0" applyNumberFormat="1" applyFont="1" applyFill="1" applyBorder="1" applyAlignment="1" applyProtection="1">
      <alignment horizontal="center" vertical="center"/>
      <protection locked="0"/>
    </xf>
    <xf numFmtId="1" fontId="16" fillId="11" borderId="59" xfId="0" applyNumberFormat="1" applyFont="1" applyFill="1" applyBorder="1" applyAlignment="1" applyProtection="1">
      <alignment horizontal="center" vertical="center"/>
      <protection locked="0"/>
    </xf>
    <xf numFmtId="1" fontId="16" fillId="11" borderId="14" xfId="0" applyNumberFormat="1" applyFont="1" applyFill="1" applyBorder="1" applyAlignment="1" applyProtection="1">
      <alignment horizontal="center" vertical="center"/>
      <protection locked="0"/>
    </xf>
    <xf numFmtId="1" fontId="16" fillId="11" borderId="60" xfId="0" applyNumberFormat="1" applyFont="1" applyFill="1" applyBorder="1" applyAlignment="1" applyProtection="1">
      <alignment horizontal="center" vertical="center"/>
      <protection locked="0"/>
    </xf>
    <xf numFmtId="1" fontId="16" fillId="11" borderId="25" xfId="0" applyNumberFormat="1" applyFont="1" applyFill="1" applyBorder="1" applyAlignment="1" applyProtection="1">
      <alignment horizontal="center" vertical="center"/>
      <protection locked="0"/>
    </xf>
    <xf numFmtId="1" fontId="69" fillId="11" borderId="2" xfId="0" applyNumberFormat="1" applyFont="1" applyFill="1" applyBorder="1" applyAlignment="1" applyProtection="1">
      <alignment horizontal="center" vertical="center"/>
      <protection locked="0"/>
    </xf>
    <xf numFmtId="1" fontId="69" fillId="11" borderId="28" xfId="0" applyNumberFormat="1" applyFont="1" applyFill="1" applyBorder="1" applyAlignment="1" applyProtection="1">
      <alignment horizontal="center" vertical="center"/>
      <protection locked="0"/>
    </xf>
    <xf numFmtId="1" fontId="29" fillId="11" borderId="36" xfId="0" applyNumberFormat="1" applyFont="1" applyFill="1" applyBorder="1" applyAlignment="1" applyProtection="1">
      <alignment horizontal="center" vertical="center"/>
      <protection locked="0"/>
    </xf>
    <xf numFmtId="1" fontId="29" fillId="11" borderId="5" xfId="0" applyNumberFormat="1" applyFont="1" applyFill="1" applyBorder="1" applyAlignment="1" applyProtection="1">
      <alignment horizontal="center" vertical="center"/>
      <protection locked="0"/>
    </xf>
    <xf numFmtId="1" fontId="29" fillId="11" borderId="28" xfId="0" applyNumberFormat="1" applyFont="1" applyFill="1" applyBorder="1" applyAlignment="1" applyProtection="1">
      <alignment horizontal="center" vertical="center"/>
      <protection locked="0"/>
    </xf>
    <xf numFmtId="1" fontId="0" fillId="9" borderId="36" xfId="0" applyNumberFormat="1" applyFill="1" applyBorder="1" applyAlignment="1" applyProtection="1">
      <alignment horizontal="center" vertical="center"/>
      <protection locked="0"/>
    </xf>
    <xf numFmtId="1" fontId="0" fillId="9" borderId="5" xfId="0" applyNumberFormat="1" applyFill="1" applyBorder="1" applyAlignment="1" applyProtection="1">
      <alignment horizontal="center" vertical="center"/>
      <protection locked="0"/>
    </xf>
    <xf numFmtId="1" fontId="0" fillId="9" borderId="28" xfId="0" applyNumberFormat="1" applyFill="1" applyBorder="1" applyAlignment="1" applyProtection="1">
      <alignment horizontal="center" vertical="center"/>
      <protection locked="0"/>
    </xf>
    <xf numFmtId="1" fontId="25" fillId="11" borderId="36" xfId="0" applyNumberFormat="1" applyFont="1" applyFill="1" applyBorder="1" applyAlignment="1" applyProtection="1">
      <alignment horizontal="center" vertical="center" wrapText="1"/>
      <protection locked="0"/>
    </xf>
    <xf numFmtId="1" fontId="25" fillId="11" borderId="5" xfId="0" applyNumberFormat="1" applyFont="1" applyFill="1" applyBorder="1" applyAlignment="1" applyProtection="1">
      <alignment horizontal="center" vertical="center" wrapText="1"/>
      <protection locked="0"/>
    </xf>
    <xf numFmtId="1" fontId="1" fillId="32" borderId="36" xfId="0" applyNumberFormat="1" applyFont="1" applyFill="1" applyBorder="1" applyAlignment="1" applyProtection="1">
      <alignment horizontal="center" vertical="center"/>
      <protection locked="0"/>
    </xf>
    <xf numFmtId="1" fontId="1" fillId="32" borderId="5" xfId="0" applyNumberFormat="1" applyFont="1" applyFill="1" applyBorder="1" applyAlignment="1" applyProtection="1">
      <alignment horizontal="center" vertical="center"/>
      <protection locked="0"/>
    </xf>
    <xf numFmtId="0" fontId="0" fillId="0" borderId="80" xfId="0" applyBorder="1" applyAlignment="1" applyProtection="1">
      <alignment horizontal="center" vertical="center"/>
      <protection locked="0"/>
    </xf>
    <xf numFmtId="0" fontId="13" fillId="11" borderId="15" xfId="0" applyFont="1" applyFill="1" applyBorder="1" applyAlignment="1" applyProtection="1">
      <alignment horizontal="center" vertical="center"/>
      <protection locked="0"/>
    </xf>
    <xf numFmtId="0" fontId="13" fillId="11" borderId="69" xfId="0" applyFont="1" applyFill="1" applyBorder="1" applyAlignment="1" applyProtection="1">
      <alignment horizontal="center" vertical="center"/>
      <protection locked="0"/>
    </xf>
    <xf numFmtId="0" fontId="13" fillId="11" borderId="35" xfId="0" applyFont="1" applyFill="1" applyBorder="1" applyAlignment="1" applyProtection="1">
      <alignment horizontal="center" vertical="center"/>
      <protection locked="0"/>
    </xf>
    <xf numFmtId="0" fontId="134" fillId="11" borderId="16" xfId="0" applyFont="1" applyFill="1" applyBorder="1" applyAlignment="1" applyProtection="1">
      <alignment horizontal="center" vertical="center"/>
      <protection locked="0"/>
    </xf>
    <xf numFmtId="0" fontId="134" fillId="11" borderId="2" xfId="0" applyFont="1" applyFill="1" applyBorder="1" applyAlignment="1" applyProtection="1">
      <alignment horizontal="center" vertical="center"/>
      <protection locked="0"/>
    </xf>
    <xf numFmtId="0" fontId="134" fillId="11" borderId="20" xfId="0" applyFont="1" applyFill="1" applyBorder="1" applyAlignment="1" applyProtection="1">
      <alignment horizontal="center" vertical="center"/>
      <protection locked="0"/>
    </xf>
    <xf numFmtId="0" fontId="13" fillId="11" borderId="36" xfId="0" applyFont="1" applyFill="1" applyBorder="1" applyAlignment="1" applyProtection="1">
      <alignment horizontal="center" vertical="center"/>
      <protection locked="0"/>
    </xf>
    <xf numFmtId="0" fontId="13" fillId="11" borderId="5" xfId="0" applyFont="1" applyFill="1" applyBorder="1" applyAlignment="1" applyProtection="1">
      <alignment horizontal="center" vertical="center"/>
      <protection locked="0"/>
    </xf>
    <xf numFmtId="0" fontId="13" fillId="11" borderId="28" xfId="0" applyFont="1" applyFill="1" applyBorder="1" applyAlignment="1" applyProtection="1">
      <alignment horizontal="center" vertical="center"/>
      <protection locked="0"/>
    </xf>
    <xf numFmtId="0" fontId="13" fillId="11" borderId="1" xfId="0" applyFont="1" applyFill="1" applyBorder="1" applyAlignment="1" applyProtection="1">
      <alignment horizontal="center" vertical="center"/>
      <protection locked="0"/>
    </xf>
    <xf numFmtId="0" fontId="154" fillId="32" borderId="36" xfId="0" applyFont="1" applyFill="1" applyBorder="1" applyAlignment="1" applyProtection="1">
      <alignment horizontal="center" vertical="center"/>
      <protection locked="0"/>
    </xf>
    <xf numFmtId="0" fontId="154" fillId="32" borderId="5" xfId="0" applyFont="1" applyFill="1" applyBorder="1" applyAlignment="1" applyProtection="1">
      <alignment horizontal="center" vertical="center"/>
      <protection locked="0"/>
    </xf>
    <xf numFmtId="0" fontId="154" fillId="32" borderId="28"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wrapText="1"/>
      <protection locked="0"/>
    </xf>
    <xf numFmtId="1" fontId="13" fillId="10" borderId="14" xfId="0" applyNumberFormat="1" applyFont="1" applyFill="1" applyBorder="1" applyAlignment="1" applyProtection="1">
      <alignment horizontal="center" vertical="center"/>
      <protection locked="0"/>
    </xf>
    <xf numFmtId="1" fontId="13" fillId="10" borderId="60" xfId="0" applyNumberFormat="1" applyFont="1" applyFill="1" applyBorder="1" applyAlignment="1" applyProtection="1">
      <alignment horizontal="center" vertical="center"/>
      <protection locked="0"/>
    </xf>
    <xf numFmtId="1" fontId="13" fillId="10" borderId="25" xfId="0" applyNumberFormat="1" applyFont="1" applyFill="1" applyBorder="1" applyAlignment="1" applyProtection="1">
      <alignment horizontal="center" vertical="center"/>
      <protection locked="0"/>
    </xf>
    <xf numFmtId="1" fontId="13" fillId="39" borderId="14" xfId="0" applyNumberFormat="1" applyFont="1" applyFill="1" applyBorder="1" applyAlignment="1" applyProtection="1">
      <alignment horizontal="center" vertical="center"/>
      <protection locked="0"/>
    </xf>
    <xf numFmtId="1" fontId="13" fillId="39" borderId="60" xfId="0" applyNumberFormat="1" applyFont="1" applyFill="1" applyBorder="1" applyAlignment="1" applyProtection="1">
      <alignment horizontal="center" vertical="center"/>
      <protection locked="0"/>
    </xf>
    <xf numFmtId="1" fontId="13" fillId="39" borderId="25" xfId="0" applyNumberFormat="1" applyFont="1" applyFill="1" applyBorder="1" applyAlignment="1" applyProtection="1">
      <alignment horizontal="center" vertical="center"/>
      <protection locked="0"/>
    </xf>
    <xf numFmtId="0" fontId="26" fillId="0" borderId="58" xfId="0" applyFont="1" applyBorder="1" applyAlignment="1" applyProtection="1">
      <alignment horizontal="center" vertical="center"/>
      <protection locked="0"/>
    </xf>
    <xf numFmtId="0" fontId="26" fillId="0" borderId="10" xfId="0" applyFont="1" applyBorder="1" applyAlignment="1" applyProtection="1">
      <alignment horizontal="center" vertical="center"/>
      <protection locked="0"/>
    </xf>
    <xf numFmtId="0" fontId="26" fillId="0" borderId="59"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0" fontId="26" fillId="0" borderId="60" xfId="0" applyFont="1" applyBorder="1" applyAlignment="1" applyProtection="1">
      <alignment horizontal="center" vertical="center"/>
      <protection locked="0"/>
    </xf>
    <xf numFmtId="0" fontId="26" fillId="0" borderId="25" xfId="0" applyFont="1" applyBorder="1" applyAlignment="1" applyProtection="1">
      <alignment horizontal="center" vertical="center"/>
      <protection locked="0"/>
    </xf>
    <xf numFmtId="0" fontId="21" fillId="5" borderId="7" xfId="0" applyFont="1" applyFill="1" applyBorder="1" applyAlignment="1" applyProtection="1">
      <alignment horizontal="center" vertical="center"/>
      <protection locked="0"/>
    </xf>
    <xf numFmtId="0" fontId="21" fillId="5" borderId="8" xfId="0" applyFont="1" applyFill="1" applyBorder="1" applyAlignment="1" applyProtection="1">
      <alignment horizontal="center" vertical="center"/>
      <protection locked="0"/>
    </xf>
    <xf numFmtId="0" fontId="0" fillId="11" borderId="16" xfId="0" applyFont="1" applyFill="1" applyBorder="1" applyAlignment="1" applyProtection="1">
      <alignment horizontal="center" vertical="center" wrapText="1"/>
      <protection locked="0"/>
    </xf>
    <xf numFmtId="0" fontId="0" fillId="11" borderId="1" xfId="0" applyFont="1" applyFill="1" applyBorder="1" applyAlignment="1" applyProtection="1">
      <alignment horizontal="center" vertical="center" wrapText="1"/>
      <protection locked="0"/>
    </xf>
    <xf numFmtId="0" fontId="0" fillId="11" borderId="20" xfId="0" applyFont="1" applyFill="1" applyBorder="1" applyAlignment="1" applyProtection="1">
      <alignment horizontal="center" vertical="center" wrapText="1"/>
      <protection locked="0"/>
    </xf>
    <xf numFmtId="0" fontId="0" fillId="11" borderId="36" xfId="0" applyFont="1" applyFill="1" applyBorder="1" applyAlignment="1" applyProtection="1">
      <alignment horizontal="center" vertical="center" wrapText="1"/>
      <protection locked="0"/>
    </xf>
    <xf numFmtId="0" fontId="0" fillId="11" borderId="5" xfId="0" applyFont="1" applyFill="1" applyBorder="1" applyAlignment="1" applyProtection="1">
      <alignment horizontal="center" vertical="center" wrapText="1"/>
      <protection locked="0"/>
    </xf>
    <xf numFmtId="0" fontId="0" fillId="11" borderId="28" xfId="0" applyFont="1" applyFill="1" applyBorder="1" applyAlignment="1" applyProtection="1">
      <alignment horizontal="center" vertical="center" wrapText="1"/>
      <protection locked="0"/>
    </xf>
    <xf numFmtId="0" fontId="68" fillId="5" borderId="36" xfId="0" applyFont="1" applyFill="1" applyBorder="1" applyAlignment="1" applyProtection="1">
      <alignment horizontal="center" vertical="center" wrapText="1"/>
      <protection locked="0"/>
    </xf>
    <xf numFmtId="0" fontId="68" fillId="5" borderId="5" xfId="0" applyFont="1" applyFill="1" applyBorder="1" applyAlignment="1" applyProtection="1">
      <alignment horizontal="center" vertical="center" wrapText="1"/>
      <protection locked="0"/>
    </xf>
    <xf numFmtId="0" fontId="68" fillId="5" borderId="28" xfId="0" applyFont="1" applyFill="1" applyBorder="1" applyAlignment="1" applyProtection="1">
      <alignment horizontal="center" vertical="center" wrapText="1"/>
      <protection locked="0"/>
    </xf>
    <xf numFmtId="1" fontId="13" fillId="5" borderId="14" xfId="0" applyNumberFormat="1" applyFont="1" applyFill="1" applyBorder="1" applyAlignment="1" applyProtection="1">
      <alignment horizontal="center" vertical="center"/>
      <protection locked="0"/>
    </xf>
    <xf numFmtId="1" fontId="13" fillId="5" borderId="60" xfId="0" applyNumberFormat="1" applyFont="1" applyFill="1" applyBorder="1" applyAlignment="1" applyProtection="1">
      <alignment horizontal="center" vertical="center"/>
      <protection locked="0"/>
    </xf>
    <xf numFmtId="1" fontId="13" fillId="5" borderId="25" xfId="0" applyNumberFormat="1" applyFont="1" applyFill="1" applyBorder="1" applyAlignment="1" applyProtection="1">
      <alignment horizontal="center" vertical="center"/>
      <protection locked="0"/>
    </xf>
    <xf numFmtId="1" fontId="13" fillId="4" borderId="14" xfId="0" applyNumberFormat="1" applyFont="1" applyFill="1" applyBorder="1" applyAlignment="1" applyProtection="1">
      <alignment horizontal="center" vertical="center"/>
      <protection locked="0"/>
    </xf>
    <xf numFmtId="1" fontId="13" fillId="4" borderId="60" xfId="0" applyNumberFormat="1" applyFont="1" applyFill="1" applyBorder="1" applyAlignment="1" applyProtection="1">
      <alignment horizontal="center" vertical="center"/>
      <protection locked="0"/>
    </xf>
    <xf numFmtId="1" fontId="13" fillId="4" borderId="25" xfId="0" applyNumberFormat="1" applyFont="1" applyFill="1" applyBorder="1" applyAlignment="1" applyProtection="1">
      <alignment horizontal="center" vertical="center"/>
      <protection locked="0"/>
    </xf>
    <xf numFmtId="0" fontId="26" fillId="11" borderId="54" xfId="0" applyFont="1" applyFill="1" applyBorder="1" applyAlignment="1" applyProtection="1">
      <alignment horizontal="center" vertical="center"/>
      <protection locked="0"/>
    </xf>
    <xf numFmtId="0" fontId="26" fillId="11" borderId="23" xfId="0" applyFont="1" applyFill="1" applyBorder="1" applyAlignment="1" applyProtection="1">
      <alignment horizontal="center" vertical="center"/>
      <protection locked="0"/>
    </xf>
    <xf numFmtId="0" fontId="26" fillId="11" borderId="24" xfId="0" applyFont="1" applyFill="1" applyBorder="1" applyAlignment="1" applyProtection="1">
      <alignment horizontal="center" vertical="center"/>
      <protection locked="0"/>
    </xf>
    <xf numFmtId="0" fontId="69" fillId="0" borderId="16" xfId="0" applyFont="1" applyBorder="1" applyAlignment="1" applyProtection="1">
      <alignment horizontal="center" vertical="center"/>
      <protection locked="0"/>
    </xf>
    <xf numFmtId="0" fontId="69" fillId="4" borderId="16" xfId="0" applyFont="1" applyFill="1" applyBorder="1" applyAlignment="1" applyProtection="1">
      <alignment horizontal="center" vertical="center"/>
      <protection locked="0"/>
    </xf>
    <xf numFmtId="0" fontId="0" fillId="11" borderId="73" xfId="0" applyFill="1" applyBorder="1" applyAlignment="1" applyProtection="1">
      <alignment horizontal="center" vertical="center"/>
      <protection locked="0"/>
    </xf>
    <xf numFmtId="0" fontId="29" fillId="11" borderId="5" xfId="0" applyFont="1" applyFill="1" applyBorder="1" applyAlignment="1" applyProtection="1">
      <alignment horizontal="center" vertical="center"/>
      <protection locked="0"/>
    </xf>
    <xf numFmtId="0" fontId="0" fillId="11" borderId="5" xfId="0" applyFill="1" applyBorder="1" applyAlignment="1" applyProtection="1">
      <alignment horizontal="left" vertical="center" indent="1"/>
      <protection locked="0"/>
    </xf>
    <xf numFmtId="0" fontId="0" fillId="11" borderId="5" xfId="0" applyFill="1" applyBorder="1" applyAlignment="1" applyProtection="1">
      <alignment horizontal="center" vertical="center"/>
      <protection locked="0"/>
    </xf>
    <xf numFmtId="164" fontId="2" fillId="11" borderId="16" xfId="0" applyNumberFormat="1" applyFont="1" applyFill="1" applyBorder="1" applyAlignment="1" applyProtection="1">
      <alignment horizontal="center" vertical="center"/>
      <protection locked="0"/>
    </xf>
    <xf numFmtId="164" fontId="2" fillId="11" borderId="5" xfId="0" applyNumberFormat="1" applyFont="1" applyFill="1" applyBorder="1" applyAlignment="1" applyProtection="1">
      <alignment horizontal="center" vertical="center"/>
      <protection locked="0"/>
    </xf>
    <xf numFmtId="164" fontId="2" fillId="11" borderId="20" xfId="0" applyNumberFormat="1" applyFont="1" applyFill="1" applyBorder="1" applyAlignment="1" applyProtection="1">
      <alignment horizontal="center" vertical="center"/>
      <protection locked="0"/>
    </xf>
    <xf numFmtId="0" fontId="0" fillId="5" borderId="5" xfId="0" applyFill="1" applyBorder="1" applyAlignment="1" applyProtection="1">
      <alignment horizontal="center" vertical="center" wrapText="1"/>
      <protection locked="0"/>
    </xf>
    <xf numFmtId="0" fontId="13" fillId="11" borderId="54" xfId="0" applyFont="1" applyFill="1" applyBorder="1" applyAlignment="1" applyProtection="1">
      <alignment horizontal="center" vertical="center"/>
      <protection locked="0"/>
    </xf>
    <xf numFmtId="0" fontId="13" fillId="11" borderId="23" xfId="0" applyFont="1" applyFill="1" applyBorder="1" applyAlignment="1" applyProtection="1">
      <alignment horizontal="center" vertical="center"/>
      <protection locked="0"/>
    </xf>
    <xf numFmtId="0" fontId="13" fillId="11" borderId="24" xfId="0" applyFont="1" applyFill="1" applyBorder="1" applyAlignment="1" applyProtection="1">
      <alignment horizontal="center" vertical="center"/>
      <protection locked="0"/>
    </xf>
    <xf numFmtId="0" fontId="114" fillId="5" borderId="7" xfId="0" applyFont="1" applyFill="1" applyBorder="1" applyAlignment="1" applyProtection="1">
      <alignment horizontal="center" vertical="center"/>
      <protection locked="0"/>
    </xf>
    <xf numFmtId="0" fontId="114" fillId="5" borderId="8" xfId="0" applyFont="1" applyFill="1" applyBorder="1" applyAlignment="1" applyProtection="1">
      <alignment horizontal="center" vertical="center"/>
      <protection locked="0"/>
    </xf>
    <xf numFmtId="0" fontId="25" fillId="11" borderId="5" xfId="0" applyFont="1" applyFill="1" applyBorder="1" applyAlignment="1" applyProtection="1">
      <alignment horizontal="center" vertical="center" wrapText="1"/>
      <protection locked="0"/>
    </xf>
    <xf numFmtId="1" fontId="26" fillId="7" borderId="57" xfId="0" applyNumberFormat="1" applyFont="1" applyFill="1" applyBorder="1" applyAlignment="1" applyProtection="1">
      <alignment horizontal="center" vertical="center"/>
      <protection locked="0"/>
    </xf>
    <xf numFmtId="1" fontId="26" fillId="7" borderId="80" xfId="0" applyNumberFormat="1" applyFont="1" applyFill="1" applyBorder="1" applyAlignment="1" applyProtection="1">
      <alignment horizontal="center" vertical="center"/>
      <protection locked="0"/>
    </xf>
    <xf numFmtId="1" fontId="26" fillId="7" borderId="61" xfId="0" applyNumberFormat="1" applyFont="1" applyFill="1" applyBorder="1" applyAlignment="1" applyProtection="1">
      <alignment horizontal="center" vertical="center"/>
      <protection locked="0"/>
    </xf>
    <xf numFmtId="1" fontId="0" fillId="0" borderId="16" xfId="0" applyNumberFormat="1" applyFont="1" applyBorder="1" applyAlignment="1" applyProtection="1">
      <alignment horizontal="center" vertical="center"/>
      <protection locked="0"/>
    </xf>
    <xf numFmtId="1" fontId="0" fillId="4" borderId="16" xfId="0" applyNumberFormat="1" applyFont="1" applyFill="1" applyBorder="1" applyAlignment="1" applyProtection="1">
      <alignment horizontal="center" vertical="center"/>
      <protection locked="0"/>
    </xf>
    <xf numFmtId="1" fontId="134" fillId="11" borderId="15" xfId="0" applyNumberFormat="1" applyFont="1" applyFill="1" applyBorder="1" applyAlignment="1" applyProtection="1">
      <alignment horizontal="center" vertical="center"/>
      <protection locked="0"/>
    </xf>
    <xf numFmtId="1" fontId="134" fillId="11" borderId="73" xfId="0" applyNumberFormat="1" applyFont="1" applyFill="1" applyBorder="1" applyAlignment="1" applyProtection="1">
      <alignment horizontal="center" vertical="center"/>
      <protection locked="0"/>
    </xf>
    <xf numFmtId="1" fontId="134" fillId="11" borderId="35" xfId="0" applyNumberFormat="1" applyFont="1" applyFill="1" applyBorder="1" applyAlignment="1" applyProtection="1">
      <alignment horizontal="center" vertical="center"/>
      <protection locked="0"/>
    </xf>
    <xf numFmtId="1" fontId="134" fillId="11" borderId="16" xfId="0" applyNumberFormat="1" applyFont="1" applyFill="1" applyBorder="1" applyAlignment="1" applyProtection="1">
      <alignment horizontal="center" vertical="center"/>
      <protection locked="0"/>
    </xf>
    <xf numFmtId="1" fontId="134" fillId="11" borderId="5" xfId="0" applyNumberFormat="1" applyFont="1" applyFill="1" applyBorder="1" applyAlignment="1" applyProtection="1">
      <alignment horizontal="center" vertical="center"/>
      <protection locked="0"/>
    </xf>
    <xf numFmtId="1" fontId="134" fillId="11" borderId="20" xfId="0" applyNumberFormat="1" applyFont="1" applyFill="1" applyBorder="1" applyAlignment="1" applyProtection="1">
      <alignment horizontal="center" vertical="center"/>
      <protection locked="0"/>
    </xf>
    <xf numFmtId="1" fontId="75" fillId="11" borderId="16" xfId="0" applyNumberFormat="1" applyFont="1" applyFill="1" applyBorder="1" applyAlignment="1" applyProtection="1">
      <alignment horizontal="center" vertical="center"/>
      <protection locked="0"/>
    </xf>
    <xf numFmtId="1" fontId="75" fillId="11" borderId="5" xfId="0" applyNumberFormat="1" applyFont="1" applyFill="1" applyBorder="1" applyAlignment="1" applyProtection="1">
      <alignment horizontal="center" vertical="center"/>
      <protection locked="0"/>
    </xf>
    <xf numFmtId="1" fontId="75" fillId="11" borderId="20" xfId="0" applyNumberFormat="1" applyFont="1" applyFill="1" applyBorder="1" applyAlignment="1" applyProtection="1">
      <alignment horizontal="center" vertical="center"/>
      <protection locked="0"/>
    </xf>
    <xf numFmtId="1" fontId="26" fillId="5" borderId="16" xfId="0" applyNumberFormat="1" applyFont="1" applyFill="1" applyBorder="1" applyAlignment="1" applyProtection="1">
      <alignment horizontal="center" vertical="center" wrapText="1"/>
      <protection locked="0"/>
    </xf>
    <xf numFmtId="1" fontId="26" fillId="5" borderId="20" xfId="0" applyNumberFormat="1" applyFont="1" applyFill="1" applyBorder="1" applyAlignment="1" applyProtection="1">
      <alignment horizontal="center" vertical="center" wrapText="1"/>
      <protection locked="0"/>
    </xf>
    <xf numFmtId="1" fontId="0" fillId="11" borderId="16" xfId="0" applyNumberFormat="1" applyFill="1" applyBorder="1" applyAlignment="1" applyProtection="1">
      <alignment horizontal="center" vertical="center" wrapText="1"/>
      <protection locked="0"/>
    </xf>
    <xf numFmtId="1" fontId="0" fillId="11" borderId="20" xfId="0" applyNumberFormat="1" applyFill="1" applyBorder="1" applyAlignment="1" applyProtection="1">
      <alignment horizontal="center" vertical="center" wrapText="1"/>
      <protection locked="0"/>
    </xf>
    <xf numFmtId="1" fontId="0" fillId="11" borderId="16" xfId="0" applyNumberFormat="1" applyFont="1" applyFill="1" applyBorder="1" applyAlignment="1" applyProtection="1">
      <alignment horizontal="center" vertical="center" wrapText="1"/>
      <protection locked="0"/>
    </xf>
    <xf numFmtId="1" fontId="0" fillId="11" borderId="20" xfId="0" applyNumberFormat="1" applyFont="1" applyFill="1" applyBorder="1" applyAlignment="1" applyProtection="1">
      <alignment horizontal="center" vertical="center" wrapText="1"/>
      <protection locked="0"/>
    </xf>
    <xf numFmtId="1" fontId="0" fillId="11" borderId="16" xfId="0" applyNumberFormat="1" applyFont="1" applyFill="1" applyBorder="1" applyAlignment="1" applyProtection="1">
      <alignment horizontal="center" vertical="center"/>
      <protection locked="0"/>
    </xf>
    <xf numFmtId="1" fontId="0" fillId="11" borderId="5" xfId="0" applyNumberFormat="1" applyFont="1" applyFill="1" applyBorder="1" applyAlignment="1" applyProtection="1">
      <alignment horizontal="center" vertical="center"/>
      <protection locked="0"/>
    </xf>
    <xf numFmtId="1" fontId="0" fillId="11" borderId="20" xfId="0" applyNumberFormat="1" applyFont="1" applyFill="1" applyBorder="1" applyAlignment="1" applyProtection="1">
      <alignment horizontal="center" vertical="center"/>
      <protection locked="0"/>
    </xf>
    <xf numFmtId="1" fontId="13" fillId="0" borderId="57" xfId="0" applyNumberFormat="1" applyFont="1" applyBorder="1" applyAlignment="1" applyProtection="1">
      <alignment horizontal="center" vertical="center"/>
      <protection locked="0"/>
    </xf>
    <xf numFmtId="1" fontId="13" fillId="0" borderId="80" xfId="0" applyNumberFormat="1" applyFont="1" applyBorder="1" applyAlignment="1" applyProtection="1">
      <alignment horizontal="center" vertical="center"/>
      <protection locked="0"/>
    </xf>
    <xf numFmtId="1" fontId="13" fillId="0" borderId="61" xfId="0" applyNumberFormat="1" applyFont="1" applyBorder="1" applyAlignment="1" applyProtection="1">
      <alignment horizontal="center" vertical="center"/>
      <protection locked="0"/>
    </xf>
    <xf numFmtId="1" fontId="135" fillId="0" borderId="0" xfId="0" applyNumberFormat="1" applyFont="1" applyAlignment="1" applyProtection="1">
      <alignment horizontal="center" vertical="center"/>
      <protection locked="0"/>
    </xf>
    <xf numFmtId="1" fontId="0" fillId="11" borderId="1" xfId="0" applyNumberFormat="1" applyFont="1" applyFill="1" applyBorder="1" applyAlignment="1" applyProtection="1">
      <alignment horizontal="center" vertical="center" wrapText="1"/>
      <protection locked="0"/>
    </xf>
    <xf numFmtId="1" fontId="13" fillId="5" borderId="1" xfId="0" applyNumberFormat="1" applyFont="1" applyFill="1" applyBorder="1" applyAlignment="1" applyProtection="1">
      <alignment horizontal="center" vertical="center" wrapText="1"/>
      <protection locked="0"/>
    </xf>
    <xf numFmtId="1" fontId="13" fillId="0" borderId="58" xfId="0" applyNumberFormat="1" applyFont="1" applyBorder="1" applyAlignment="1" applyProtection="1">
      <alignment horizontal="center" vertical="center"/>
      <protection locked="0"/>
    </xf>
    <xf numFmtId="1" fontId="13" fillId="0" borderId="10" xfId="0" applyNumberFormat="1" applyFont="1" applyBorder="1" applyAlignment="1" applyProtection="1">
      <alignment horizontal="center" vertical="center"/>
      <protection locked="0"/>
    </xf>
    <xf numFmtId="1" fontId="13" fillId="0" borderId="59" xfId="0" applyNumberFormat="1" applyFont="1" applyBorder="1" applyAlignment="1" applyProtection="1">
      <alignment horizontal="center" vertical="center"/>
      <protection locked="0"/>
    </xf>
    <xf numFmtId="1" fontId="13" fillId="0" borderId="14" xfId="0" applyNumberFormat="1" applyFont="1" applyBorder="1" applyAlignment="1" applyProtection="1">
      <alignment horizontal="center" vertical="center"/>
      <protection locked="0"/>
    </xf>
    <xf numFmtId="1" fontId="13" fillId="0" borderId="60" xfId="0" applyNumberFormat="1" applyFont="1" applyBorder="1" applyAlignment="1" applyProtection="1">
      <alignment horizontal="center" vertical="center"/>
      <protection locked="0"/>
    </xf>
    <xf numFmtId="1" fontId="13" fillId="0" borderId="25" xfId="0" applyNumberFormat="1" applyFont="1" applyBorder="1" applyAlignment="1" applyProtection="1">
      <alignment horizontal="center" vertical="center"/>
      <protection locked="0"/>
    </xf>
    <xf numFmtId="1" fontId="20" fillId="11" borderId="15" xfId="0" applyNumberFormat="1" applyFont="1" applyFill="1" applyBorder="1" applyAlignment="1" applyProtection="1">
      <alignment horizontal="center" vertical="center"/>
      <protection locked="0"/>
    </xf>
    <xf numFmtId="1" fontId="20" fillId="11" borderId="69" xfId="0" applyNumberFormat="1" applyFont="1" applyFill="1" applyBorder="1" applyAlignment="1" applyProtection="1">
      <alignment horizontal="center" vertical="center"/>
      <protection locked="0"/>
    </xf>
    <xf numFmtId="1" fontId="20" fillId="11" borderId="35" xfId="0" applyNumberFormat="1" applyFont="1" applyFill="1" applyBorder="1" applyAlignment="1" applyProtection="1">
      <alignment horizontal="center" vertical="center"/>
      <protection locked="0"/>
    </xf>
    <xf numFmtId="1" fontId="20" fillId="11" borderId="16" xfId="0" applyNumberFormat="1" applyFont="1" applyFill="1" applyBorder="1" applyAlignment="1" applyProtection="1">
      <alignment horizontal="center" vertical="center"/>
      <protection locked="0"/>
    </xf>
    <xf numFmtId="1" fontId="20" fillId="11" borderId="2" xfId="0" applyNumberFormat="1" applyFont="1" applyFill="1" applyBorder="1" applyAlignment="1" applyProtection="1">
      <alignment horizontal="center" vertical="center"/>
      <protection locked="0"/>
    </xf>
    <xf numFmtId="1" fontId="20" fillId="11" borderId="20" xfId="0" applyNumberFormat="1" applyFont="1" applyFill="1" applyBorder="1" applyAlignment="1" applyProtection="1">
      <alignment horizontal="center" vertical="center"/>
      <protection locked="0"/>
    </xf>
    <xf numFmtId="1" fontId="20" fillId="11" borderId="36" xfId="0" applyNumberFormat="1" applyFont="1" applyFill="1" applyBorder="1" applyAlignment="1" applyProtection="1">
      <alignment horizontal="left" vertical="center" indent="1"/>
      <protection locked="0"/>
    </xf>
    <xf numFmtId="1" fontId="20" fillId="11" borderId="5" xfId="0" applyNumberFormat="1" applyFont="1" applyFill="1" applyBorder="1" applyAlignment="1" applyProtection="1">
      <alignment horizontal="left" vertical="center" indent="1"/>
      <protection locked="0"/>
    </xf>
    <xf numFmtId="1" fontId="20" fillId="11" borderId="28" xfId="0" applyNumberFormat="1" applyFont="1" applyFill="1" applyBorder="1" applyAlignment="1" applyProtection="1">
      <alignment horizontal="left" vertical="center" indent="1"/>
      <protection locked="0"/>
    </xf>
    <xf numFmtId="1" fontId="20" fillId="11" borderId="1" xfId="0" applyNumberFormat="1" applyFont="1" applyFill="1" applyBorder="1" applyAlignment="1" applyProtection="1">
      <alignment horizontal="center" vertical="center"/>
      <protection locked="0"/>
    </xf>
    <xf numFmtId="1" fontId="0" fillId="11" borderId="1" xfId="0" applyNumberFormat="1" applyFont="1" applyFill="1" applyBorder="1" applyAlignment="1" applyProtection="1">
      <alignment horizontal="center" vertical="center"/>
      <protection locked="0"/>
    </xf>
    <xf numFmtId="0" fontId="13" fillId="0" borderId="10" xfId="0" applyFont="1" applyBorder="1" applyAlignment="1" applyProtection="1">
      <alignment horizontal="center" vertical="center" wrapText="1"/>
      <protection locked="0"/>
    </xf>
    <xf numFmtId="0" fontId="13" fillId="0" borderId="59" xfId="0" applyFont="1" applyBorder="1" applyAlignment="1" applyProtection="1">
      <alignment horizontal="center" vertical="center" wrapText="1"/>
      <protection locked="0"/>
    </xf>
    <xf numFmtId="0" fontId="13" fillId="0" borderId="60" xfId="0" applyFont="1" applyBorder="1" applyAlignment="1" applyProtection="1">
      <alignment horizontal="center" vertical="center" wrapText="1"/>
      <protection locked="0"/>
    </xf>
    <xf numFmtId="0" fontId="13" fillId="0" borderId="25" xfId="0" applyFont="1" applyBorder="1" applyAlignment="1" applyProtection="1">
      <alignment horizontal="center" vertical="center" wrapText="1"/>
      <protection locked="0"/>
    </xf>
    <xf numFmtId="0" fontId="26" fillId="0" borderId="57" xfId="0" applyFont="1" applyBorder="1" applyAlignment="1" applyProtection="1">
      <alignment horizontal="center" vertical="center"/>
      <protection locked="0"/>
    </xf>
    <xf numFmtId="0" fontId="26" fillId="0" borderId="80" xfId="0" applyFont="1" applyBorder="1" applyAlignment="1" applyProtection="1">
      <alignment horizontal="center" vertical="center"/>
      <protection locked="0"/>
    </xf>
    <xf numFmtId="0" fontId="26" fillId="0" borderId="61" xfId="0" applyFont="1" applyBorder="1" applyAlignment="1" applyProtection="1">
      <alignment horizontal="center" vertical="center"/>
      <protection locked="0"/>
    </xf>
    <xf numFmtId="0" fontId="13" fillId="11" borderId="2" xfId="0" applyFont="1" applyFill="1" applyBorder="1" applyAlignment="1" applyProtection="1">
      <alignment horizontal="center" vertical="center"/>
      <protection locked="0"/>
    </xf>
    <xf numFmtId="164" fontId="147" fillId="5" borderId="16" xfId="0" applyNumberFormat="1" applyFont="1" applyFill="1" applyBorder="1" applyAlignment="1" applyProtection="1">
      <alignment horizontal="center" vertical="center"/>
      <protection locked="0"/>
    </xf>
    <xf numFmtId="164" fontId="147" fillId="5" borderId="1" xfId="0" applyNumberFormat="1" applyFont="1" applyFill="1" applyBorder="1" applyAlignment="1" applyProtection="1">
      <alignment horizontal="center" vertical="center"/>
      <protection locked="0"/>
    </xf>
    <xf numFmtId="164" fontId="147" fillId="5" borderId="20" xfId="0" applyNumberFormat="1" applyFont="1" applyFill="1" applyBorder="1" applyAlignment="1" applyProtection="1">
      <alignment horizontal="center" vertical="center"/>
      <protection locked="0"/>
    </xf>
    <xf numFmtId="0" fontId="26" fillId="5" borderId="16" xfId="0" applyFont="1" applyFill="1" applyBorder="1" applyAlignment="1" applyProtection="1">
      <alignment horizontal="center" vertical="center" wrapText="1"/>
      <protection locked="0"/>
    </xf>
    <xf numFmtId="0" fontId="26" fillId="5" borderId="1" xfId="0" applyFont="1" applyFill="1" applyBorder="1" applyAlignment="1" applyProtection="1">
      <alignment horizontal="center" vertical="center" wrapText="1"/>
      <protection locked="0"/>
    </xf>
    <xf numFmtId="0" fontId="26" fillId="5" borderId="20" xfId="0" applyFont="1" applyFill="1" applyBorder="1" applyAlignment="1" applyProtection="1">
      <alignment horizontal="center" vertical="center" wrapText="1"/>
      <protection locked="0"/>
    </xf>
    <xf numFmtId="0" fontId="13" fillId="0" borderId="58" xfId="0" applyFont="1" applyBorder="1" applyAlignment="1" applyProtection="1">
      <alignment horizontal="center" vertical="center" wrapText="1"/>
      <protection locked="0"/>
    </xf>
    <xf numFmtId="0" fontId="13" fillId="0" borderId="14" xfId="0" applyFont="1" applyBorder="1" applyAlignment="1" applyProtection="1">
      <alignment horizontal="center" vertical="center" wrapText="1"/>
      <protection locked="0"/>
    </xf>
    <xf numFmtId="0" fontId="10" fillId="39" borderId="7" xfId="0" applyFont="1" applyFill="1" applyBorder="1" applyAlignment="1" applyProtection="1">
      <alignment horizontal="center" vertical="center"/>
      <protection locked="0"/>
    </xf>
    <xf numFmtId="0" fontId="10" fillId="39" borderId="8" xfId="0" applyFont="1" applyFill="1" applyBorder="1" applyAlignment="1" applyProtection="1">
      <alignment horizontal="center" vertical="center"/>
      <protection locked="0"/>
    </xf>
    <xf numFmtId="0" fontId="13" fillId="11" borderId="1" xfId="0" applyFont="1" applyFill="1" applyBorder="1" applyAlignment="1" applyProtection="1">
      <alignment horizontal="center" vertical="center" wrapText="1"/>
      <protection locked="0"/>
    </xf>
    <xf numFmtId="0" fontId="13" fillId="11" borderId="36" xfId="0" applyFont="1" applyFill="1" applyBorder="1" applyAlignment="1" applyProtection="1">
      <alignment horizontal="center" vertical="center" wrapText="1"/>
      <protection locked="0"/>
    </xf>
    <xf numFmtId="0" fontId="13" fillId="11" borderId="5" xfId="0" applyFont="1" applyFill="1" applyBorder="1" applyAlignment="1" applyProtection="1">
      <alignment horizontal="center" vertical="center" wrapText="1"/>
      <protection locked="0"/>
    </xf>
    <xf numFmtId="0" fontId="13" fillId="11" borderId="28" xfId="0" applyFont="1" applyFill="1" applyBorder="1" applyAlignment="1" applyProtection="1">
      <alignment horizontal="center" vertical="center" wrapText="1"/>
      <protection locked="0"/>
    </xf>
    <xf numFmtId="164" fontId="0" fillId="11" borderId="16" xfId="0" applyNumberFormat="1" applyFont="1" applyFill="1" applyBorder="1" applyAlignment="1" applyProtection="1">
      <alignment horizontal="center" vertical="center"/>
      <protection locked="0"/>
    </xf>
    <xf numFmtId="164" fontId="0" fillId="11" borderId="1" xfId="0" applyNumberFormat="1" applyFont="1" applyFill="1" applyBorder="1" applyAlignment="1" applyProtection="1">
      <alignment horizontal="center" vertical="center"/>
      <protection locked="0"/>
    </xf>
    <xf numFmtId="164" fontId="0" fillId="11" borderId="20" xfId="0" applyNumberFormat="1" applyFont="1" applyFill="1" applyBorder="1" applyAlignment="1" applyProtection="1">
      <alignment horizontal="center" vertical="center"/>
      <protection locked="0"/>
    </xf>
    <xf numFmtId="0" fontId="25" fillId="11" borderId="36" xfId="0" applyFont="1" applyFill="1" applyBorder="1" applyAlignment="1" applyProtection="1">
      <alignment horizontal="center" vertical="center" wrapText="1"/>
      <protection locked="0"/>
    </xf>
    <xf numFmtId="0" fontId="25" fillId="11" borderId="28" xfId="0" applyFont="1" applyFill="1" applyBorder="1" applyAlignment="1" applyProtection="1">
      <alignment horizontal="center" vertical="center" wrapText="1"/>
      <protection locked="0"/>
    </xf>
    <xf numFmtId="0" fontId="69" fillId="0" borderId="58" xfId="0" applyFont="1" applyBorder="1" applyAlignment="1" applyProtection="1">
      <alignment horizontal="center" vertical="center" wrapText="1"/>
      <protection locked="0"/>
    </xf>
    <xf numFmtId="0" fontId="69" fillId="0" borderId="10" xfId="0" applyFont="1" applyBorder="1" applyAlignment="1" applyProtection="1">
      <alignment horizontal="center" vertical="center" wrapText="1"/>
      <protection locked="0"/>
    </xf>
    <xf numFmtId="0" fontId="69" fillId="0" borderId="59" xfId="0" applyFont="1" applyBorder="1" applyAlignment="1" applyProtection="1">
      <alignment horizontal="center" vertical="center" wrapText="1"/>
      <protection locked="0"/>
    </xf>
    <xf numFmtId="0" fontId="69" fillId="0" borderId="14" xfId="0" applyFont="1" applyBorder="1" applyAlignment="1" applyProtection="1">
      <alignment horizontal="center" vertical="center" wrapText="1"/>
      <protection locked="0"/>
    </xf>
    <xf numFmtId="0" fontId="69" fillId="0" borderId="60" xfId="0" applyFont="1" applyBorder="1" applyAlignment="1" applyProtection="1">
      <alignment horizontal="center" vertical="center" wrapText="1"/>
      <protection locked="0"/>
    </xf>
    <xf numFmtId="0" fontId="69" fillId="0" borderId="25" xfId="0" applyFont="1" applyBorder="1" applyAlignment="1" applyProtection="1">
      <alignment horizontal="center" vertical="center" wrapText="1"/>
      <protection locked="0"/>
    </xf>
    <xf numFmtId="0" fontId="69" fillId="4" borderId="58" xfId="0" applyFont="1" applyFill="1" applyBorder="1" applyAlignment="1" applyProtection="1">
      <alignment horizontal="center" vertical="center" wrapText="1"/>
      <protection locked="0"/>
    </xf>
    <xf numFmtId="0" fontId="69" fillId="4" borderId="10" xfId="0" applyFont="1" applyFill="1" applyBorder="1" applyAlignment="1" applyProtection="1">
      <alignment horizontal="center" vertical="center" wrapText="1"/>
      <protection locked="0"/>
    </xf>
    <xf numFmtId="0" fontId="69" fillId="4" borderId="59" xfId="0" applyFont="1" applyFill="1" applyBorder="1" applyAlignment="1" applyProtection="1">
      <alignment horizontal="center" vertical="center" wrapText="1"/>
      <protection locked="0"/>
    </xf>
    <xf numFmtId="0" fontId="69" fillId="4" borderId="14" xfId="0" applyFont="1" applyFill="1" applyBorder="1" applyAlignment="1" applyProtection="1">
      <alignment horizontal="center" vertical="center" wrapText="1"/>
      <protection locked="0"/>
    </xf>
    <xf numFmtId="0" fontId="69" fillId="4" borderId="60" xfId="0" applyFont="1" applyFill="1" applyBorder="1" applyAlignment="1" applyProtection="1">
      <alignment horizontal="center" vertical="center" wrapText="1"/>
      <protection locked="0"/>
    </xf>
    <xf numFmtId="0" fontId="69" fillId="4" borderId="25" xfId="0" applyFont="1" applyFill="1" applyBorder="1" applyAlignment="1" applyProtection="1">
      <alignment horizontal="center" vertical="center" wrapText="1"/>
      <protection locked="0"/>
    </xf>
    <xf numFmtId="0" fontId="146" fillId="5" borderId="7" xfId="0" applyFont="1" applyFill="1" applyBorder="1" applyAlignment="1" applyProtection="1">
      <alignment horizontal="center" vertical="center"/>
      <protection locked="0"/>
    </xf>
    <xf numFmtId="0" fontId="146" fillId="5" borderId="8" xfId="0" applyFont="1"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0" fontId="57" fillId="11" borderId="16" xfId="0" applyFont="1" applyFill="1" applyBorder="1" applyAlignment="1" applyProtection="1">
      <alignment horizontal="center" vertical="center"/>
      <protection locked="0"/>
    </xf>
    <xf numFmtId="0" fontId="57" fillId="11" borderId="1" xfId="0" applyFont="1" applyFill="1" applyBorder="1" applyAlignment="1" applyProtection="1">
      <alignment horizontal="center" vertical="center"/>
      <protection locked="0"/>
    </xf>
    <xf numFmtId="0" fontId="57" fillId="11" borderId="20" xfId="0" applyFont="1" applyFill="1" applyBorder="1" applyAlignment="1" applyProtection="1">
      <alignment horizontal="center" vertical="center"/>
      <protection locked="0"/>
    </xf>
    <xf numFmtId="0" fontId="19" fillId="5" borderId="0" xfId="0" applyFont="1" applyFill="1" applyBorder="1" applyAlignment="1" applyProtection="1">
      <alignment horizontal="left"/>
      <protection locked="0"/>
    </xf>
    <xf numFmtId="0" fontId="19" fillId="5" borderId="0" xfId="0" applyFont="1" applyFill="1" applyBorder="1" applyAlignment="1">
      <alignment horizontal="left"/>
    </xf>
    <xf numFmtId="0" fontId="19" fillId="11" borderId="0" xfId="0" applyFont="1" applyFill="1" applyBorder="1" applyAlignment="1" applyProtection="1">
      <alignment horizontal="left"/>
      <protection locked="0"/>
    </xf>
    <xf numFmtId="0" fontId="5" fillId="0" borderId="0" xfId="0" applyFont="1" applyBorder="1" applyAlignment="1">
      <alignment horizontal="center" vertical="center"/>
    </xf>
    <xf numFmtId="0" fontId="1" fillId="0" borderId="0" xfId="0" applyFont="1" applyFill="1" applyBorder="1" applyAlignment="1">
      <alignment horizontal="center" vertical="center"/>
    </xf>
    <xf numFmtId="0" fontId="32" fillId="5" borderId="0" xfId="0" applyFont="1" applyFill="1" applyAlignment="1">
      <alignment horizontal="left"/>
    </xf>
    <xf numFmtId="0" fontId="109" fillId="5" borderId="0" xfId="0" applyFont="1" applyFill="1" applyAlignment="1">
      <alignment horizontal="left"/>
    </xf>
    <xf numFmtId="164" fontId="2" fillId="0" borderId="67" xfId="0" applyNumberFormat="1" applyFont="1" applyBorder="1" applyAlignment="1" applyProtection="1">
      <alignment horizontal="center" vertical="center"/>
      <protection hidden="1"/>
    </xf>
    <xf numFmtId="164" fontId="2" fillId="0" borderId="33" xfId="0" applyNumberFormat="1" applyFont="1" applyBorder="1" applyAlignment="1" applyProtection="1">
      <alignment horizontal="center" vertical="center"/>
      <protection hidden="1"/>
    </xf>
    <xf numFmtId="164" fontId="2" fillId="0" borderId="68" xfId="0" applyNumberFormat="1" applyFont="1" applyBorder="1" applyAlignment="1" applyProtection="1">
      <alignment horizontal="center" vertical="center"/>
      <protection hidden="1"/>
    </xf>
    <xf numFmtId="164" fontId="2" fillId="0" borderId="29" xfId="0" applyNumberFormat="1" applyFont="1" applyBorder="1" applyAlignment="1" applyProtection="1">
      <alignment horizontal="center" vertical="center"/>
      <protection hidden="1"/>
    </xf>
    <xf numFmtId="164" fontId="2" fillId="0" borderId="14" xfId="0" applyNumberFormat="1" applyFont="1" applyBorder="1" applyAlignment="1" applyProtection="1">
      <alignment horizontal="center" vertical="center"/>
      <protection hidden="1"/>
    </xf>
    <xf numFmtId="164" fontId="2" fillId="0" borderId="25" xfId="0" applyNumberFormat="1" applyFont="1" applyBorder="1" applyAlignment="1" applyProtection="1">
      <alignment horizontal="center" vertical="center"/>
      <protection hidden="1"/>
    </xf>
    <xf numFmtId="0" fontId="2" fillId="0" borderId="67" xfId="0" applyFont="1" applyBorder="1" applyAlignment="1" applyProtection="1">
      <alignment horizontal="center" vertical="center"/>
      <protection hidden="1"/>
    </xf>
    <xf numFmtId="0" fontId="2" fillId="0" borderId="33" xfId="0" applyFont="1" applyBorder="1" applyAlignment="1" applyProtection="1">
      <alignment horizontal="center" vertical="center"/>
      <protection hidden="1"/>
    </xf>
    <xf numFmtId="0" fontId="2" fillId="0" borderId="68" xfId="0" applyFont="1" applyBorder="1" applyAlignment="1" applyProtection="1">
      <alignment horizontal="center" vertical="center"/>
      <protection hidden="1"/>
    </xf>
    <xf numFmtId="0" fontId="2" fillId="0" borderId="29" xfId="0" applyFont="1" applyBorder="1" applyAlignment="1" applyProtection="1">
      <alignment horizontal="center" vertical="center"/>
      <protection hidden="1"/>
    </xf>
    <xf numFmtId="0" fontId="2" fillId="0" borderId="14" xfId="0" applyFont="1" applyBorder="1" applyAlignment="1" applyProtection="1">
      <alignment horizontal="center" vertical="center"/>
      <protection hidden="1"/>
    </xf>
    <xf numFmtId="0" fontId="2" fillId="0" borderId="25" xfId="0" applyFont="1" applyBorder="1" applyAlignment="1" applyProtection="1">
      <alignment horizontal="center" vertical="center"/>
      <protection hidden="1"/>
    </xf>
    <xf numFmtId="0" fontId="1" fillId="0" borderId="1" xfId="0" applyFont="1" applyBorder="1" applyAlignment="1" applyProtection="1">
      <alignment horizontal="center" vertical="center"/>
      <protection hidden="1"/>
    </xf>
    <xf numFmtId="0" fontId="2" fillId="0" borderId="67" xfId="0" applyFont="1" applyBorder="1" applyAlignment="1" applyProtection="1">
      <alignment horizontal="left" vertical="center" wrapText="1" indent="1"/>
      <protection hidden="1"/>
    </xf>
    <xf numFmtId="0" fontId="2" fillId="0" borderId="4" xfId="0" applyFont="1" applyBorder="1" applyAlignment="1" applyProtection="1">
      <alignment horizontal="left" vertical="center" wrapText="1" indent="1"/>
      <protection hidden="1"/>
    </xf>
    <xf numFmtId="0" fontId="2" fillId="0" borderId="33" xfId="0" applyFont="1" applyBorder="1" applyAlignment="1" applyProtection="1">
      <alignment horizontal="left" vertical="center" wrapText="1" indent="1"/>
      <protection hidden="1"/>
    </xf>
    <xf numFmtId="0" fontId="2" fillId="0" borderId="68" xfId="0" applyFont="1" applyBorder="1" applyAlignment="1" applyProtection="1">
      <alignment horizontal="left" vertical="center" wrapText="1" indent="1"/>
      <protection hidden="1"/>
    </xf>
    <xf numFmtId="0" fontId="2" fillId="0" borderId="0" xfId="0" applyFont="1" applyBorder="1" applyAlignment="1" applyProtection="1">
      <alignment horizontal="left" vertical="center" wrapText="1" indent="1"/>
      <protection hidden="1"/>
    </xf>
    <xf numFmtId="0" fontId="2" fillId="0" borderId="29" xfId="0" applyFont="1" applyBorder="1" applyAlignment="1" applyProtection="1">
      <alignment horizontal="left" vertical="center" wrapText="1" indent="1"/>
      <protection hidden="1"/>
    </xf>
    <xf numFmtId="0" fontId="2" fillId="0" borderId="14" xfId="0" applyFont="1" applyBorder="1" applyAlignment="1" applyProtection="1">
      <alignment horizontal="left" vertical="center" wrapText="1" indent="1"/>
      <protection hidden="1"/>
    </xf>
    <xf numFmtId="0" fontId="2" fillId="0" borderId="60" xfId="0" applyFont="1" applyBorder="1" applyAlignment="1" applyProtection="1">
      <alignment horizontal="left" vertical="center" wrapText="1" indent="1"/>
      <protection hidden="1"/>
    </xf>
    <xf numFmtId="0" fontId="2" fillId="0" borderId="25" xfId="0" applyFont="1" applyBorder="1" applyAlignment="1" applyProtection="1">
      <alignment horizontal="left" vertical="center" wrapText="1" indent="1"/>
      <protection hidden="1"/>
    </xf>
    <xf numFmtId="0" fontId="1" fillId="0" borderId="1" xfId="0" applyFont="1" applyBorder="1" applyAlignment="1" applyProtection="1">
      <alignment horizontal="center"/>
      <protection hidden="1"/>
    </xf>
    <xf numFmtId="0" fontId="71" fillId="0" borderId="1" xfId="0" applyFont="1" applyBorder="1" applyAlignment="1" applyProtection="1">
      <alignment horizontal="center"/>
      <protection hidden="1"/>
    </xf>
    <xf numFmtId="0" fontId="1" fillId="0" borderId="67" xfId="0" applyFont="1" applyBorder="1" applyAlignment="1" applyProtection="1">
      <alignment horizontal="left" vertical="center" wrapText="1" indent="2"/>
      <protection hidden="1"/>
    </xf>
    <xf numFmtId="0" fontId="1" fillId="0" borderId="4" xfId="0" applyFont="1" applyBorder="1" applyAlignment="1" applyProtection="1">
      <alignment horizontal="left" vertical="center" wrapText="1" indent="2"/>
      <protection hidden="1"/>
    </xf>
    <xf numFmtId="0" fontId="1" fillId="0" borderId="33" xfId="0" applyFont="1" applyBorder="1" applyAlignment="1" applyProtection="1">
      <alignment horizontal="left" vertical="center" wrapText="1" indent="2"/>
      <protection hidden="1"/>
    </xf>
    <xf numFmtId="0" fontId="1" fillId="0" borderId="68" xfId="0" applyFont="1" applyBorder="1" applyAlignment="1" applyProtection="1">
      <alignment horizontal="left" vertical="center" wrapText="1" indent="2"/>
      <protection hidden="1"/>
    </xf>
    <xf numFmtId="0" fontId="1" fillId="0" borderId="0" xfId="0" applyFont="1" applyBorder="1" applyAlignment="1" applyProtection="1">
      <alignment horizontal="left" vertical="center" wrapText="1" indent="2"/>
      <protection hidden="1"/>
    </xf>
    <xf numFmtId="0" fontId="1" fillId="0" borderId="29" xfId="0" applyFont="1" applyBorder="1" applyAlignment="1" applyProtection="1">
      <alignment horizontal="left" vertical="center" wrapText="1" indent="2"/>
      <protection hidden="1"/>
    </xf>
    <xf numFmtId="0" fontId="1" fillId="0" borderId="14" xfId="0" applyFont="1" applyBorder="1" applyAlignment="1" applyProtection="1">
      <alignment horizontal="left" vertical="center" wrapText="1" indent="2"/>
      <protection hidden="1"/>
    </xf>
    <xf numFmtId="0" fontId="1" fillId="0" borderId="60" xfId="0" applyFont="1" applyBorder="1" applyAlignment="1" applyProtection="1">
      <alignment horizontal="left" vertical="center" wrapText="1" indent="2"/>
      <protection hidden="1"/>
    </xf>
    <xf numFmtId="0" fontId="1" fillId="0" borderId="25" xfId="0" applyFont="1" applyBorder="1" applyAlignment="1" applyProtection="1">
      <alignment horizontal="left" vertical="center" wrapText="1" indent="2"/>
      <protection hidden="1"/>
    </xf>
    <xf numFmtId="0" fontId="5" fillId="3" borderId="67" xfId="0" applyFont="1" applyFill="1" applyBorder="1" applyAlignment="1" applyProtection="1">
      <alignment horizontal="center" vertical="center"/>
      <protection hidden="1"/>
    </xf>
    <xf numFmtId="0" fontId="5" fillId="3" borderId="4" xfId="0" applyFont="1" applyFill="1" applyBorder="1" applyAlignment="1" applyProtection="1">
      <alignment horizontal="center" vertical="center"/>
      <protection hidden="1"/>
    </xf>
    <xf numFmtId="0" fontId="5" fillId="3" borderId="33" xfId="0" applyFont="1" applyFill="1" applyBorder="1" applyAlignment="1" applyProtection="1">
      <alignment horizontal="center" vertical="center"/>
      <protection hidden="1"/>
    </xf>
    <xf numFmtId="0" fontId="5" fillId="3" borderId="14" xfId="0" applyFont="1" applyFill="1" applyBorder="1" applyAlignment="1" applyProtection="1">
      <alignment horizontal="center" vertical="center"/>
      <protection hidden="1"/>
    </xf>
    <xf numFmtId="0" fontId="5" fillId="3" borderId="60" xfId="0" applyFont="1" applyFill="1" applyBorder="1" applyAlignment="1" applyProtection="1">
      <alignment horizontal="center" vertical="center"/>
      <protection hidden="1"/>
    </xf>
    <xf numFmtId="0" fontId="5" fillId="3" borderId="25" xfId="0" applyFont="1" applyFill="1" applyBorder="1" applyAlignment="1" applyProtection="1">
      <alignment horizontal="center" vertical="center"/>
      <protection hidden="1"/>
    </xf>
    <xf numFmtId="0" fontId="1"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center" vertical="center"/>
      <protection hidden="1"/>
    </xf>
    <xf numFmtId="0" fontId="53" fillId="7" borderId="1" xfId="0" applyFont="1" applyFill="1" applyBorder="1" applyAlignment="1" applyProtection="1">
      <alignment horizontal="center" vertical="center"/>
      <protection locked="0"/>
    </xf>
    <xf numFmtId="0" fontId="6" fillId="9" borderId="67" xfId="0" applyFont="1" applyFill="1" applyBorder="1" applyAlignment="1" applyProtection="1">
      <alignment horizontal="center" vertical="center"/>
      <protection locked="0"/>
    </xf>
    <xf numFmtId="0" fontId="6" fillId="9" borderId="4" xfId="0" applyFont="1" applyFill="1" applyBorder="1" applyAlignment="1" applyProtection="1">
      <alignment horizontal="center" vertical="center"/>
      <protection locked="0"/>
    </xf>
    <xf numFmtId="0" fontId="6" fillId="9" borderId="33" xfId="0" applyFont="1" applyFill="1" applyBorder="1" applyAlignment="1" applyProtection="1">
      <alignment horizontal="center" vertical="center"/>
      <protection locked="0"/>
    </xf>
    <xf numFmtId="0" fontId="6" fillId="9" borderId="14" xfId="0" applyFont="1" applyFill="1" applyBorder="1" applyAlignment="1" applyProtection="1">
      <alignment horizontal="center" vertical="center"/>
      <protection locked="0"/>
    </xf>
    <xf numFmtId="0" fontId="6" fillId="9" borderId="60" xfId="0" applyFont="1" applyFill="1" applyBorder="1" applyAlignment="1" applyProtection="1">
      <alignment horizontal="center" vertical="center"/>
      <protection locked="0"/>
    </xf>
    <xf numFmtId="0" fontId="6" fillId="9" borderId="25" xfId="0" applyFont="1" applyFill="1" applyBorder="1" applyAlignment="1" applyProtection="1">
      <alignment horizontal="center" vertical="center"/>
      <protection locked="0"/>
    </xf>
    <xf numFmtId="0" fontId="1" fillId="0" borderId="67" xfId="0" applyFont="1" applyBorder="1" applyAlignment="1" applyProtection="1">
      <alignment horizontal="center" vertical="center"/>
      <protection hidden="1"/>
    </xf>
    <xf numFmtId="0" fontId="1" fillId="0" borderId="33" xfId="0" applyFont="1" applyBorder="1" applyAlignment="1" applyProtection="1">
      <alignment horizontal="center" vertical="center"/>
      <protection hidden="1"/>
    </xf>
    <xf numFmtId="0" fontId="1" fillId="0" borderId="68" xfId="0" applyFont="1" applyBorder="1" applyAlignment="1" applyProtection="1">
      <alignment horizontal="center" vertical="center"/>
      <protection hidden="1"/>
    </xf>
    <xf numFmtId="0" fontId="1" fillId="0" borderId="29" xfId="0" applyFont="1" applyBorder="1" applyAlignment="1" applyProtection="1">
      <alignment horizontal="center" vertical="center"/>
      <protection hidden="1"/>
    </xf>
    <xf numFmtId="0" fontId="1" fillId="0" borderId="14" xfId="0" applyFont="1" applyBorder="1" applyAlignment="1" applyProtection="1">
      <alignment horizontal="center" vertical="center"/>
      <protection hidden="1"/>
    </xf>
    <xf numFmtId="0" fontId="1" fillId="0" borderId="25" xfId="0" applyFont="1" applyBorder="1" applyAlignment="1" applyProtection="1">
      <alignment horizontal="center" vertical="center"/>
      <protection hidden="1"/>
    </xf>
    <xf numFmtId="0" fontId="1" fillId="0" borderId="67" xfId="0" applyFont="1" applyBorder="1" applyAlignment="1" applyProtection="1">
      <alignment horizontal="left" vertical="center" wrapText="1"/>
      <protection hidden="1"/>
    </xf>
    <xf numFmtId="0" fontId="1" fillId="0" borderId="4" xfId="0" applyFont="1" applyBorder="1" applyAlignment="1" applyProtection="1">
      <alignment horizontal="left" vertical="center" wrapText="1"/>
      <protection hidden="1"/>
    </xf>
    <xf numFmtId="0" fontId="1" fillId="0" borderId="33" xfId="0" applyFont="1" applyBorder="1" applyAlignment="1" applyProtection="1">
      <alignment horizontal="left" vertical="center" wrapText="1"/>
      <protection hidden="1"/>
    </xf>
    <xf numFmtId="0" fontId="1" fillId="0" borderId="68" xfId="0" applyFont="1" applyBorder="1" applyAlignment="1" applyProtection="1">
      <alignment horizontal="left" vertical="center" wrapText="1"/>
      <protection hidden="1"/>
    </xf>
    <xf numFmtId="0" fontId="1" fillId="0" borderId="0" xfId="0" applyFont="1" applyBorder="1" applyAlignment="1" applyProtection="1">
      <alignment horizontal="left" vertical="center" wrapText="1"/>
      <protection hidden="1"/>
    </xf>
    <xf numFmtId="0" fontId="1" fillId="0" borderId="29" xfId="0" applyFont="1" applyBorder="1" applyAlignment="1" applyProtection="1">
      <alignment horizontal="left" vertical="center" wrapText="1"/>
      <protection hidden="1"/>
    </xf>
    <xf numFmtId="0" fontId="1" fillId="0" borderId="14" xfId="0" applyFont="1" applyBorder="1" applyAlignment="1" applyProtection="1">
      <alignment horizontal="left" vertical="center" wrapText="1"/>
      <protection hidden="1"/>
    </xf>
    <xf numFmtId="0" fontId="1" fillId="0" borderId="60" xfId="0" applyFont="1" applyBorder="1" applyAlignment="1" applyProtection="1">
      <alignment horizontal="left" vertical="center" wrapText="1"/>
      <protection hidden="1"/>
    </xf>
    <xf numFmtId="0" fontId="1" fillId="0" borderId="25" xfId="0" applyFont="1" applyBorder="1" applyAlignment="1" applyProtection="1">
      <alignment horizontal="left" vertical="center" wrapText="1"/>
      <protection hidden="1"/>
    </xf>
    <xf numFmtId="0" fontId="53" fillId="12" borderId="1" xfId="0" applyFont="1" applyFill="1" applyBorder="1" applyAlignment="1" applyProtection="1">
      <alignment horizontal="center" vertical="center"/>
      <protection locked="0"/>
    </xf>
    <xf numFmtId="0" fontId="95" fillId="13" borderId="0" xfId="0" applyFont="1" applyFill="1" applyAlignment="1" applyProtection="1">
      <alignment horizontal="left" vertical="center"/>
      <protection locked="0"/>
    </xf>
    <xf numFmtId="0" fontId="2" fillId="3" borderId="1" xfId="0" applyFont="1" applyFill="1" applyBorder="1" applyAlignment="1" applyProtection="1">
      <alignment horizontal="center" vertical="center"/>
      <protection hidden="1"/>
    </xf>
    <xf numFmtId="0" fontId="1" fillId="0" borderId="0" xfId="0" applyFont="1" applyAlignment="1" applyProtection="1">
      <alignment horizontal="center"/>
      <protection hidden="1"/>
    </xf>
    <xf numFmtId="0" fontId="94" fillId="12" borderId="2" xfId="0" applyFont="1" applyFill="1" applyBorder="1" applyAlignment="1" applyProtection="1">
      <alignment horizontal="center" vertical="center"/>
      <protection locked="0"/>
    </xf>
    <xf numFmtId="0" fontId="94" fillId="12" borderId="3" xfId="0" applyFont="1" applyFill="1" applyBorder="1" applyAlignment="1" applyProtection="1">
      <alignment horizontal="center" vertical="center"/>
      <protection locked="0"/>
    </xf>
    <xf numFmtId="0" fontId="6" fillId="5" borderId="67" xfId="0" applyFont="1" applyFill="1" applyBorder="1" applyAlignment="1" applyProtection="1">
      <alignment horizontal="left" vertical="center" indent="1"/>
      <protection locked="0"/>
    </xf>
    <xf numFmtId="0" fontId="6" fillId="5" borderId="4" xfId="0" applyFont="1" applyFill="1" applyBorder="1" applyAlignment="1" applyProtection="1">
      <alignment horizontal="left" vertical="center" indent="1"/>
      <protection locked="0"/>
    </xf>
    <xf numFmtId="0" fontId="6" fillId="5" borderId="33" xfId="0" applyFont="1" applyFill="1" applyBorder="1" applyAlignment="1" applyProtection="1">
      <alignment horizontal="left" vertical="center" indent="1"/>
      <protection locked="0"/>
    </xf>
    <xf numFmtId="0" fontId="6" fillId="5" borderId="14" xfId="0" applyFont="1" applyFill="1" applyBorder="1" applyAlignment="1" applyProtection="1">
      <alignment horizontal="left" vertical="center" indent="1"/>
      <protection locked="0"/>
    </xf>
    <xf numFmtId="0" fontId="6" fillId="5" borderId="60" xfId="0" applyFont="1" applyFill="1" applyBorder="1" applyAlignment="1" applyProtection="1">
      <alignment horizontal="left" vertical="center" indent="1"/>
      <protection locked="0"/>
    </xf>
    <xf numFmtId="0" fontId="6" fillId="5" borderId="25" xfId="0" applyFont="1" applyFill="1" applyBorder="1" applyAlignment="1" applyProtection="1">
      <alignment horizontal="left" vertical="center" indent="1"/>
      <protection locked="0"/>
    </xf>
    <xf numFmtId="0" fontId="95" fillId="13" borderId="0" xfId="0" applyFont="1" applyFill="1" applyAlignment="1" applyProtection="1">
      <alignment horizontal="center" vertical="center" wrapText="1"/>
      <protection locked="0"/>
    </xf>
    <xf numFmtId="0" fontId="1" fillId="0" borderId="7" xfId="0" applyFont="1" applyBorder="1" applyAlignment="1" applyProtection="1">
      <alignment horizontal="left" vertical="center" indent="1"/>
      <protection hidden="1"/>
    </xf>
    <xf numFmtId="0" fontId="1" fillId="0" borderId="8" xfId="0" applyFont="1" applyBorder="1" applyAlignment="1" applyProtection="1">
      <alignment horizontal="left" vertical="center" indent="1"/>
      <protection hidden="1"/>
    </xf>
    <xf numFmtId="0" fontId="1" fillId="0" borderId="6" xfId="0" applyFont="1" applyBorder="1" applyAlignment="1" applyProtection="1">
      <alignment horizontal="left" vertical="center" indent="1"/>
      <protection hidden="1"/>
    </xf>
    <xf numFmtId="0" fontId="71" fillId="0" borderId="7" xfId="0" applyFont="1" applyBorder="1" applyAlignment="1" applyProtection="1">
      <alignment horizontal="left" vertical="center" indent="1"/>
      <protection hidden="1"/>
    </xf>
    <xf numFmtId="0" fontId="71" fillId="0" borderId="8" xfId="0" applyFont="1" applyBorder="1" applyAlignment="1" applyProtection="1">
      <alignment horizontal="left" vertical="center" indent="1"/>
      <protection hidden="1"/>
    </xf>
    <xf numFmtId="0" fontId="71" fillId="0" borderId="6" xfId="0" applyFont="1" applyBorder="1" applyAlignment="1" applyProtection="1">
      <alignment horizontal="left" vertical="center" indent="1"/>
      <protection hidden="1"/>
    </xf>
    <xf numFmtId="0" fontId="1" fillId="0" borderId="7" xfId="0" applyFont="1" applyBorder="1" applyAlignment="1" applyProtection="1">
      <alignment horizontal="center" vertical="center"/>
      <protection hidden="1"/>
    </xf>
    <xf numFmtId="0" fontId="1" fillId="0" borderId="8" xfId="0" applyFont="1" applyBorder="1" applyAlignment="1" applyProtection="1">
      <alignment horizontal="center" vertical="center"/>
      <protection hidden="1"/>
    </xf>
    <xf numFmtId="0" fontId="1" fillId="0" borderId="6" xfId="0" applyFont="1" applyBorder="1" applyAlignment="1" applyProtection="1">
      <alignment horizontal="center" vertical="center"/>
      <protection hidden="1"/>
    </xf>
    <xf numFmtId="0" fontId="15" fillId="12" borderId="67" xfId="0" applyFont="1" applyFill="1" applyBorder="1" applyAlignment="1" applyProtection="1">
      <alignment horizontal="left" vertical="center" indent="1"/>
      <protection locked="0"/>
    </xf>
    <xf numFmtId="0" fontId="15" fillId="12" borderId="4" xfId="0" applyFont="1" applyFill="1" applyBorder="1" applyAlignment="1" applyProtection="1">
      <alignment horizontal="left" vertical="center" indent="1"/>
      <protection locked="0"/>
    </xf>
    <xf numFmtId="0" fontId="15" fillId="12" borderId="33" xfId="0" applyFont="1" applyFill="1" applyBorder="1" applyAlignment="1" applyProtection="1">
      <alignment horizontal="left" vertical="center" indent="1"/>
      <protection locked="0"/>
    </xf>
    <xf numFmtId="0" fontId="15" fillId="12" borderId="14" xfId="0" applyFont="1" applyFill="1" applyBorder="1" applyAlignment="1" applyProtection="1">
      <alignment horizontal="left" vertical="center" indent="1"/>
      <protection locked="0"/>
    </xf>
    <xf numFmtId="0" fontId="15" fillId="12" borderId="60" xfId="0" applyFont="1" applyFill="1" applyBorder="1" applyAlignment="1" applyProtection="1">
      <alignment horizontal="left" vertical="center" indent="1"/>
      <protection locked="0"/>
    </xf>
    <xf numFmtId="0" fontId="15" fillId="12" borderId="25" xfId="0" applyFont="1" applyFill="1" applyBorder="1" applyAlignment="1" applyProtection="1">
      <alignment horizontal="left" vertical="center" indent="1"/>
      <protection locked="0"/>
    </xf>
    <xf numFmtId="0" fontId="95" fillId="13" borderId="0" xfId="0" applyFont="1" applyFill="1" applyAlignment="1" applyProtection="1">
      <alignment horizontal="center" vertical="center"/>
      <protection locked="0"/>
    </xf>
    <xf numFmtId="0" fontId="71" fillId="13" borderId="0" xfId="0" applyFont="1" applyFill="1" applyAlignment="1" applyProtection="1">
      <alignment horizontal="center" vertical="center"/>
      <protection locked="0"/>
    </xf>
    <xf numFmtId="0" fontId="97" fillId="13" borderId="1" xfId="0" applyFont="1" applyFill="1" applyBorder="1" applyAlignment="1" applyProtection="1">
      <alignment horizontal="center" vertical="center"/>
      <protection locked="0"/>
    </xf>
    <xf numFmtId="0" fontId="96" fillId="12" borderId="1" xfId="0" applyFont="1" applyFill="1" applyBorder="1" applyAlignment="1" applyProtection="1">
      <alignment horizontal="center" vertical="center"/>
      <protection locked="0"/>
    </xf>
    <xf numFmtId="0" fontId="96" fillId="5" borderId="1" xfId="0" applyFont="1" applyFill="1" applyBorder="1" applyAlignment="1" applyProtection="1">
      <alignment horizontal="center" vertical="center"/>
      <protection locked="0"/>
    </xf>
    <xf numFmtId="0" fontId="6" fillId="0" borderId="0" xfId="0" applyFont="1" applyAlignment="1" applyProtection="1">
      <alignment horizontal="center"/>
      <protection hidden="1"/>
    </xf>
    <xf numFmtId="0" fontId="53" fillId="12" borderId="10" xfId="0" applyFont="1" applyFill="1" applyBorder="1" applyAlignment="1" applyProtection="1">
      <alignment horizontal="center" vertical="center"/>
      <protection locked="0"/>
    </xf>
    <xf numFmtId="0" fontId="53" fillId="12" borderId="0" xfId="0" applyFont="1" applyFill="1" applyBorder="1" applyAlignment="1" applyProtection="1">
      <alignment horizontal="center" vertical="center"/>
      <protection locked="0"/>
    </xf>
    <xf numFmtId="0" fontId="15" fillId="0" borderId="0" xfId="0" applyFont="1" applyAlignment="1" applyProtection="1">
      <alignment horizontal="center" vertical="center"/>
      <protection hidden="1"/>
    </xf>
    <xf numFmtId="0" fontId="15" fillId="0" borderId="29" xfId="0" applyFont="1" applyBorder="1" applyAlignment="1" applyProtection="1">
      <alignment horizontal="center" vertical="center"/>
      <protection hidden="1"/>
    </xf>
    <xf numFmtId="0" fontId="2" fillId="0" borderId="0" xfId="0" applyFont="1" applyAlignment="1" applyProtection="1">
      <alignment horizontal="left" vertical="center"/>
      <protection hidden="1"/>
    </xf>
    <xf numFmtId="0" fontId="5" fillId="0" borderId="0" xfId="0" applyFont="1" applyAlignment="1" applyProtection="1">
      <alignment horizontal="left" vertical="center"/>
      <protection hidden="1"/>
    </xf>
    <xf numFmtId="167" fontId="1" fillId="0" borderId="0" xfId="0" applyNumberFormat="1" applyFont="1" applyAlignment="1" applyProtection="1">
      <alignment horizontal="left" vertical="center"/>
      <protection hidden="1"/>
    </xf>
    <xf numFmtId="0" fontId="1" fillId="0" borderId="0" xfId="0" applyFont="1" applyAlignment="1" applyProtection="1">
      <alignment horizontal="center" vertical="center"/>
      <protection hidden="1"/>
    </xf>
    <xf numFmtId="0" fontId="145" fillId="0" borderId="0" xfId="0" applyFont="1" applyAlignment="1" applyProtection="1">
      <alignment horizontal="center" vertical="center"/>
      <protection hidden="1"/>
    </xf>
    <xf numFmtId="0" fontId="66" fillId="3" borderId="1" xfId="0" applyFont="1" applyFill="1" applyBorder="1" applyAlignment="1" applyProtection="1">
      <alignment horizontal="center" vertical="center"/>
      <protection hidden="1"/>
    </xf>
    <xf numFmtId="0" fontId="1" fillId="0" borderId="0" xfId="0" applyFont="1" applyAlignment="1" applyProtection="1">
      <alignment horizontal="left" vertical="center"/>
      <protection hidden="1"/>
    </xf>
    <xf numFmtId="0" fontId="6" fillId="5" borderId="2" xfId="0" applyFont="1" applyFill="1" applyBorder="1" applyAlignment="1" applyProtection="1">
      <alignment horizontal="center" vertical="center"/>
      <protection locked="0"/>
    </xf>
    <xf numFmtId="0" fontId="6" fillId="5" borderId="3" xfId="0" applyFont="1" applyFill="1" applyBorder="1" applyAlignment="1" applyProtection="1">
      <alignment horizontal="center" vertical="center"/>
      <protection locked="0"/>
    </xf>
    <xf numFmtId="0" fontId="6" fillId="7" borderId="0" xfId="0" applyFont="1" applyFill="1" applyBorder="1" applyAlignment="1" applyProtection="1">
      <alignment horizontal="left" vertical="center" indent="1"/>
      <protection locked="0"/>
    </xf>
    <xf numFmtId="0" fontId="94" fillId="5" borderId="57" xfId="0" applyFont="1" applyFill="1" applyBorder="1" applyAlignment="1" applyProtection="1">
      <alignment horizontal="center" vertical="center"/>
      <protection locked="0"/>
    </xf>
    <xf numFmtId="0" fontId="94" fillId="5" borderId="61" xfId="0" applyFont="1" applyFill="1" applyBorder="1" applyAlignment="1" applyProtection="1">
      <alignment horizontal="center" vertical="center"/>
      <protection locked="0"/>
    </xf>
    <xf numFmtId="0" fontId="5" fillId="0" borderId="7" xfId="0" applyFont="1" applyBorder="1" applyAlignment="1" applyProtection="1">
      <alignment horizontal="right" vertical="center" indent="2"/>
      <protection hidden="1"/>
    </xf>
    <xf numFmtId="0" fontId="5" fillId="0" borderId="8" xfId="0" applyFont="1" applyBorder="1" applyAlignment="1" applyProtection="1">
      <alignment horizontal="right" vertical="center" indent="2"/>
      <protection hidden="1"/>
    </xf>
    <xf numFmtId="0" fontId="5" fillId="0" borderId="8" xfId="0" applyFont="1" applyBorder="1" applyAlignment="1" applyProtection="1">
      <alignment horizontal="left" vertical="center"/>
      <protection hidden="1"/>
    </xf>
    <xf numFmtId="0" fontId="5" fillId="0" borderId="6" xfId="0" applyFont="1" applyBorder="1" applyAlignment="1" applyProtection="1">
      <alignment horizontal="left" vertical="center"/>
      <protection hidden="1"/>
    </xf>
    <xf numFmtId="0" fontId="6" fillId="0" borderId="0" xfId="0" applyFont="1" applyAlignment="1" applyProtection="1">
      <alignment horizontal="center" vertical="center"/>
      <protection hidden="1"/>
    </xf>
    <xf numFmtId="0" fontId="93" fillId="0" borderId="0" xfId="0"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 fillId="0" borderId="0" xfId="0" applyFont="1" applyAlignment="1" applyProtection="1">
      <alignment horizontal="center"/>
      <protection hidden="1"/>
    </xf>
    <xf numFmtId="0" fontId="101" fillId="0" borderId="67" xfId="0" applyFont="1" applyBorder="1" applyAlignment="1" applyProtection="1">
      <alignment horizontal="center" vertical="center"/>
      <protection hidden="1"/>
    </xf>
    <xf numFmtId="0" fontId="101" fillId="0" borderId="4" xfId="0" applyFont="1" applyBorder="1" applyAlignment="1" applyProtection="1">
      <alignment horizontal="center" vertical="center"/>
      <protection hidden="1"/>
    </xf>
    <xf numFmtId="0" fontId="101" fillId="0" borderId="33" xfId="0" applyFont="1" applyBorder="1" applyAlignment="1" applyProtection="1">
      <alignment horizontal="center" vertical="center"/>
      <protection hidden="1"/>
    </xf>
    <xf numFmtId="0" fontId="101" fillId="0" borderId="14" xfId="0" applyFont="1" applyBorder="1" applyAlignment="1" applyProtection="1">
      <alignment horizontal="center" vertical="center"/>
      <protection hidden="1"/>
    </xf>
    <xf numFmtId="0" fontId="101" fillId="0" borderId="60" xfId="0" applyFont="1" applyBorder="1" applyAlignment="1" applyProtection="1">
      <alignment horizontal="center" vertical="center"/>
      <protection hidden="1"/>
    </xf>
    <xf numFmtId="0" fontId="101" fillId="0" borderId="25"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94" fillId="12" borderId="1" xfId="0" applyFont="1" applyFill="1" applyBorder="1" applyAlignment="1" applyProtection="1">
      <alignment horizontal="center" vertical="center"/>
      <protection locked="0"/>
    </xf>
    <xf numFmtId="0" fontId="93" fillId="12" borderId="56" xfId="0" applyFont="1" applyFill="1" applyBorder="1" applyAlignment="1" applyProtection="1">
      <alignment horizontal="center" vertical="center"/>
      <protection locked="0"/>
    </xf>
    <xf numFmtId="0" fontId="93" fillId="12" borderId="62" xfId="0" applyFont="1" applyFill="1" applyBorder="1" applyAlignment="1" applyProtection="1">
      <alignment horizontal="center" vertical="center"/>
      <protection locked="0"/>
    </xf>
    <xf numFmtId="0" fontId="1" fillId="0" borderId="67" xfId="0" applyFont="1" applyBorder="1" applyAlignment="1" applyProtection="1">
      <alignment horizontal="left" vertical="center" wrapText="1" indent="1"/>
      <protection hidden="1"/>
    </xf>
    <xf numFmtId="0" fontId="1" fillId="0" borderId="4" xfId="0" applyFont="1" applyBorder="1" applyAlignment="1" applyProtection="1">
      <alignment horizontal="left" vertical="center" wrapText="1" indent="1"/>
      <protection hidden="1"/>
    </xf>
    <xf numFmtId="0" fontId="1" fillId="0" borderId="33" xfId="0" applyFont="1" applyBorder="1" applyAlignment="1" applyProtection="1">
      <alignment horizontal="left" vertical="center" wrapText="1" indent="1"/>
      <protection hidden="1"/>
    </xf>
    <xf numFmtId="0" fontId="1" fillId="0" borderId="68" xfId="0" applyFont="1" applyBorder="1" applyAlignment="1" applyProtection="1">
      <alignment horizontal="left" vertical="center" wrapText="1" indent="1"/>
      <protection hidden="1"/>
    </xf>
    <xf numFmtId="0" fontId="1" fillId="0" borderId="0" xfId="0" applyFont="1" applyBorder="1" applyAlignment="1" applyProtection="1">
      <alignment horizontal="left" vertical="center" wrapText="1" indent="1"/>
      <protection hidden="1"/>
    </xf>
    <xf numFmtId="0" fontId="1" fillId="0" borderId="29" xfId="0" applyFont="1" applyBorder="1" applyAlignment="1" applyProtection="1">
      <alignment horizontal="left" vertical="center" wrapText="1" indent="1"/>
      <protection hidden="1"/>
    </xf>
    <xf numFmtId="0" fontId="1" fillId="0" borderId="14" xfId="0" applyFont="1" applyBorder="1" applyAlignment="1" applyProtection="1">
      <alignment horizontal="left" vertical="center" wrapText="1" indent="1"/>
      <protection hidden="1"/>
    </xf>
    <xf numFmtId="0" fontId="1" fillId="0" borderId="60" xfId="0" applyFont="1" applyBorder="1" applyAlignment="1" applyProtection="1">
      <alignment horizontal="left" vertical="center" wrapText="1" indent="1"/>
      <protection hidden="1"/>
    </xf>
    <xf numFmtId="0" fontId="1" fillId="0" borderId="25" xfId="0" applyFont="1" applyBorder="1" applyAlignment="1" applyProtection="1">
      <alignment horizontal="left" vertical="center" wrapText="1" indent="1"/>
      <protection hidden="1"/>
    </xf>
    <xf numFmtId="0" fontId="1" fillId="0" borderId="4" xfId="0" applyFont="1" applyBorder="1" applyAlignment="1" applyProtection="1">
      <alignment horizontal="center"/>
      <protection hidden="1"/>
    </xf>
    <xf numFmtId="0" fontId="1" fillId="0" borderId="33" xfId="0" applyFont="1" applyBorder="1" applyAlignment="1" applyProtection="1">
      <alignment horizontal="center"/>
      <protection hidden="1"/>
    </xf>
    <xf numFmtId="0" fontId="1" fillId="0" borderId="0" xfId="0" applyFont="1" applyBorder="1" applyAlignment="1" applyProtection="1">
      <alignment horizontal="center"/>
      <protection hidden="1"/>
    </xf>
    <xf numFmtId="0" fontId="1" fillId="0" borderId="29" xfId="0" applyFont="1" applyBorder="1" applyAlignment="1" applyProtection="1">
      <alignment horizontal="center"/>
      <protection hidden="1"/>
    </xf>
    <xf numFmtId="0" fontId="1" fillId="0" borderId="60" xfId="0" applyFont="1" applyBorder="1" applyAlignment="1" applyProtection="1">
      <alignment horizontal="center"/>
      <protection hidden="1"/>
    </xf>
    <xf numFmtId="0" fontId="1" fillId="0" borderId="25" xfId="0" applyFont="1" applyBorder="1" applyAlignment="1" applyProtection="1">
      <alignment horizontal="center"/>
      <protection hidden="1"/>
    </xf>
    <xf numFmtId="0" fontId="1" fillId="0" borderId="67" xfId="0" applyFont="1" applyBorder="1" applyAlignment="1" applyProtection="1">
      <alignment horizontal="center"/>
      <protection hidden="1"/>
    </xf>
    <xf numFmtId="0" fontId="1" fillId="0" borderId="68" xfId="0" applyFont="1" applyBorder="1" applyAlignment="1" applyProtection="1">
      <alignment horizontal="center"/>
      <protection hidden="1"/>
    </xf>
    <xf numFmtId="0" fontId="1" fillId="0" borderId="14" xfId="0" applyFont="1" applyBorder="1" applyAlignment="1" applyProtection="1">
      <alignment horizontal="center"/>
      <protection hidden="1"/>
    </xf>
    <xf numFmtId="0" fontId="1" fillId="0" borderId="4" xfId="0" applyFont="1" applyBorder="1" applyAlignment="1" applyProtection="1">
      <alignment horizontal="center" vertical="center"/>
      <protection hidden="1"/>
    </xf>
    <xf numFmtId="0" fontId="1" fillId="0" borderId="0" xfId="0" applyFont="1" applyBorder="1" applyAlignment="1" applyProtection="1">
      <alignment horizontal="center" vertical="center"/>
      <protection hidden="1"/>
    </xf>
    <xf numFmtId="0" fontId="1" fillId="0" borderId="60" xfId="0" applyFont="1" applyBorder="1" applyAlignment="1" applyProtection="1">
      <alignment horizontal="center" vertical="center"/>
      <protection hidden="1"/>
    </xf>
    <xf numFmtId="0" fontId="1" fillId="0" borderId="1" xfId="0" applyFont="1" applyFill="1" applyBorder="1" applyAlignment="1" applyProtection="1">
      <alignment horizontal="center"/>
      <protection hidden="1"/>
    </xf>
    <xf numFmtId="0" fontId="15" fillId="3" borderId="7" xfId="0" applyFont="1" applyFill="1" applyBorder="1" applyAlignment="1" applyProtection="1">
      <alignment horizontal="center" vertical="center"/>
      <protection hidden="1"/>
    </xf>
    <xf numFmtId="0" fontId="15" fillId="3" borderId="8" xfId="0" applyFont="1" applyFill="1" applyBorder="1" applyAlignment="1" applyProtection="1">
      <alignment horizontal="center" vertical="center"/>
      <protection hidden="1"/>
    </xf>
    <xf numFmtId="0" fontId="15" fillId="3" borderId="6" xfId="0" applyFont="1" applyFill="1" applyBorder="1" applyAlignment="1" applyProtection="1">
      <alignment horizontal="center" vertical="center"/>
      <protection hidden="1"/>
    </xf>
    <xf numFmtId="0" fontId="1" fillId="0" borderId="67" xfId="0" applyFont="1" applyBorder="1" applyAlignment="1" applyProtection="1">
      <alignment horizontal="center" vertical="center" wrapText="1"/>
      <protection hidden="1"/>
    </xf>
    <xf numFmtId="0" fontId="1" fillId="0" borderId="4" xfId="0" applyFont="1" applyBorder="1" applyAlignment="1" applyProtection="1">
      <alignment horizontal="center" vertical="center" wrapText="1"/>
      <protection hidden="1"/>
    </xf>
    <xf numFmtId="0" fontId="1" fillId="0" borderId="33" xfId="0" applyFont="1" applyBorder="1" applyAlignment="1" applyProtection="1">
      <alignment horizontal="center" vertical="center" wrapText="1"/>
      <protection hidden="1"/>
    </xf>
    <xf numFmtId="0" fontId="1" fillId="0" borderId="68" xfId="0" applyFont="1" applyBorder="1" applyAlignment="1" applyProtection="1">
      <alignment horizontal="center" vertical="center" wrapText="1"/>
      <protection hidden="1"/>
    </xf>
    <xf numFmtId="0" fontId="1" fillId="0" borderId="0" xfId="0" applyFont="1" applyBorder="1" applyAlignment="1" applyProtection="1">
      <alignment horizontal="center" vertical="center" wrapText="1"/>
      <protection hidden="1"/>
    </xf>
    <xf numFmtId="0" fontId="1" fillId="0" borderId="29" xfId="0"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60" xfId="0" applyFont="1" applyBorder="1" applyAlignment="1" applyProtection="1">
      <alignment horizontal="center" vertical="center" wrapText="1"/>
      <protection hidden="1"/>
    </xf>
    <xf numFmtId="0" fontId="1" fillId="0" borderId="25" xfId="0" applyFont="1" applyBorder="1" applyAlignment="1" applyProtection="1">
      <alignment horizontal="center" vertical="center" wrapText="1"/>
      <protection hidden="1"/>
    </xf>
    <xf numFmtId="0" fontId="1" fillId="0" borderId="0" xfId="0" applyFont="1" applyAlignment="1" applyProtection="1">
      <protection hidden="1"/>
    </xf>
    <xf numFmtId="0" fontId="5" fillId="0" borderId="67" xfId="0" applyFont="1" applyBorder="1" applyAlignment="1" applyProtection="1">
      <alignment horizontal="center" vertical="center"/>
      <protection hidden="1"/>
    </xf>
    <xf numFmtId="0" fontId="5" fillId="0" borderId="33" xfId="0" applyFont="1" applyBorder="1" applyAlignment="1" applyProtection="1">
      <alignment horizontal="center" vertical="center"/>
      <protection hidden="1"/>
    </xf>
    <xf numFmtId="0" fontId="123" fillId="0" borderId="0" xfId="0" applyFont="1" applyAlignment="1" applyProtection="1">
      <alignment horizontal="left" vertical="center"/>
      <protection hidden="1"/>
    </xf>
    <xf numFmtId="0" fontId="123" fillId="0" borderId="0" xfId="0" applyFont="1" applyAlignment="1" applyProtection="1">
      <alignment horizontal="left"/>
      <protection hidden="1"/>
    </xf>
    <xf numFmtId="0" fontId="66" fillId="0" borderId="0" xfId="0" applyFont="1" applyAlignment="1" applyProtection="1">
      <alignment horizontal="center" vertical="center"/>
      <protection hidden="1"/>
    </xf>
    <xf numFmtId="0" fontId="1" fillId="0" borderId="1" xfId="0" applyFont="1" applyBorder="1" applyAlignment="1" applyProtection="1">
      <alignment horizontal="left" vertical="center" wrapText="1"/>
      <protection hidden="1"/>
    </xf>
    <xf numFmtId="0" fontId="1" fillId="0" borderId="67" xfId="0" applyFont="1" applyBorder="1" applyAlignment="1" applyProtection="1">
      <alignment horizontal="left" vertical="center" indent="1"/>
      <protection hidden="1"/>
    </xf>
    <xf numFmtId="0" fontId="1" fillId="0" borderId="4" xfId="0" applyFont="1" applyBorder="1" applyAlignment="1" applyProtection="1">
      <alignment horizontal="left" vertical="center" indent="1"/>
      <protection hidden="1"/>
    </xf>
    <xf numFmtId="0" fontId="1" fillId="0" borderId="33" xfId="0" applyFont="1" applyBorder="1" applyAlignment="1" applyProtection="1">
      <alignment horizontal="left" vertical="center" indent="1"/>
      <protection hidden="1"/>
    </xf>
    <xf numFmtId="0" fontId="1" fillId="0" borderId="14" xfId="0" applyFont="1" applyBorder="1" applyAlignment="1" applyProtection="1">
      <alignment horizontal="left" vertical="center" indent="1"/>
      <protection hidden="1"/>
    </xf>
    <xf numFmtId="0" fontId="1" fillId="0" borderId="60" xfId="0" applyFont="1" applyBorder="1" applyAlignment="1" applyProtection="1">
      <alignment horizontal="left" vertical="center" indent="1"/>
      <protection hidden="1"/>
    </xf>
    <xf numFmtId="0" fontId="1" fillId="0" borderId="25" xfId="0" applyFont="1" applyBorder="1" applyAlignment="1" applyProtection="1">
      <alignment horizontal="left" vertical="center" indent="1"/>
      <protection hidden="1"/>
    </xf>
    <xf numFmtId="0" fontId="6" fillId="3" borderId="3" xfId="0" applyFont="1" applyFill="1" applyBorder="1" applyAlignment="1">
      <alignment horizontal="center" vertical="center"/>
    </xf>
    <xf numFmtId="0" fontId="0" fillId="0" borderId="1" xfId="0" applyBorder="1" applyAlignment="1">
      <alignment horizontal="center" vertical="center"/>
    </xf>
    <xf numFmtId="0" fontId="4" fillId="3" borderId="1" xfId="0" applyFont="1" applyFill="1" applyBorder="1" applyAlignment="1">
      <alignment horizontal="center" vertical="center"/>
    </xf>
    <xf numFmtId="0" fontId="0" fillId="0" borderId="1" xfId="0" applyBorder="1" applyAlignment="1">
      <alignment horizont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32" fillId="5" borderId="7" xfId="0" applyFont="1" applyFill="1" applyBorder="1" applyAlignment="1">
      <alignment horizontal="center" vertical="center"/>
    </xf>
    <xf numFmtId="0" fontId="32" fillId="5" borderId="8" xfId="0" applyFont="1" applyFill="1" applyBorder="1" applyAlignment="1">
      <alignment horizontal="center" vertical="center"/>
    </xf>
    <xf numFmtId="0" fontId="32" fillId="5" borderId="6" xfId="0" applyFon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1" fontId="16" fillId="0" borderId="1" xfId="0" applyNumberFormat="1" applyFont="1" applyBorder="1" applyAlignment="1" applyProtection="1">
      <alignment horizontal="center" vertical="center"/>
      <protection locked="0"/>
    </xf>
    <xf numFmtId="1" fontId="21" fillId="15" borderId="1" xfId="0" applyNumberFormat="1" applyFont="1" applyFill="1" applyBorder="1" applyAlignment="1" applyProtection="1">
      <alignment horizontal="center" vertical="center"/>
      <protection locked="0"/>
    </xf>
    <xf numFmtId="1" fontId="12" fillId="0" borderId="1" xfId="0" applyNumberFormat="1" applyFont="1" applyFill="1" applyBorder="1" applyAlignment="1" applyProtection="1">
      <alignment horizontal="center" vertical="center"/>
      <protection locked="0"/>
    </xf>
    <xf numFmtId="1" fontId="21" fillId="0" borderId="1" xfId="0" applyNumberFormat="1" applyFont="1" applyBorder="1" applyAlignment="1" applyProtection="1">
      <alignment horizontal="center" vertical="center"/>
      <protection locked="0"/>
    </xf>
    <xf numFmtId="1" fontId="10" fillId="16" borderId="37" xfId="0" applyNumberFormat="1" applyFont="1" applyFill="1" applyBorder="1" applyAlignment="1" applyProtection="1">
      <alignment horizontal="center" vertical="center"/>
      <protection locked="0"/>
    </xf>
    <xf numFmtId="1" fontId="10" fillId="16" borderId="38" xfId="0" applyNumberFormat="1" applyFont="1" applyFill="1" applyBorder="1" applyAlignment="1" applyProtection="1">
      <alignment horizontal="center" vertical="center"/>
      <protection locked="0"/>
    </xf>
    <xf numFmtId="1" fontId="22" fillId="15" borderId="24" xfId="0" applyNumberFormat="1" applyFont="1" applyFill="1" applyBorder="1" applyAlignment="1" applyProtection="1">
      <alignment horizontal="center" vertical="center" wrapText="1"/>
      <protection locked="0"/>
    </xf>
    <xf numFmtId="1" fontId="22" fillId="15" borderId="6" xfId="0" applyNumberFormat="1" applyFont="1" applyFill="1" applyBorder="1" applyAlignment="1" applyProtection="1">
      <alignment horizontal="center" vertical="center" wrapText="1"/>
      <protection locked="0"/>
    </xf>
    <xf numFmtId="1" fontId="22" fillId="15" borderId="40" xfId="0" applyNumberFormat="1" applyFont="1" applyFill="1" applyBorder="1" applyAlignment="1" applyProtection="1">
      <alignment horizontal="center" vertical="center" wrapText="1"/>
      <protection locked="0"/>
    </xf>
    <xf numFmtId="1" fontId="22" fillId="15" borderId="16" xfId="0" applyNumberFormat="1" applyFont="1" applyFill="1" applyBorder="1" applyAlignment="1" applyProtection="1">
      <alignment horizontal="center" vertical="center" wrapText="1"/>
      <protection locked="0"/>
    </xf>
    <xf numFmtId="1" fontId="22" fillId="15" borderId="1" xfId="0" applyNumberFormat="1" applyFont="1" applyFill="1" applyBorder="1" applyAlignment="1" applyProtection="1">
      <alignment horizontal="center" vertical="center" wrapText="1"/>
      <protection locked="0"/>
    </xf>
    <xf numFmtId="1" fontId="22" fillId="15" borderId="20" xfId="0" applyNumberFormat="1" applyFont="1" applyFill="1" applyBorder="1" applyAlignment="1" applyProtection="1">
      <alignment horizontal="center" vertical="center" wrapText="1"/>
      <protection locked="0"/>
    </xf>
    <xf numFmtId="1" fontId="22" fillId="15" borderId="36" xfId="0" applyNumberFormat="1" applyFont="1" applyFill="1" applyBorder="1" applyAlignment="1" applyProtection="1">
      <alignment horizontal="center" vertical="center"/>
      <protection locked="0"/>
    </xf>
    <xf numFmtId="1" fontId="22" fillId="15" borderId="5" xfId="0" applyNumberFormat="1" applyFont="1" applyFill="1" applyBorder="1" applyAlignment="1" applyProtection="1">
      <alignment horizontal="center" vertical="center"/>
      <protection locked="0"/>
    </xf>
    <xf numFmtId="1" fontId="22" fillId="15" borderId="28" xfId="0" applyNumberFormat="1" applyFont="1" applyFill="1" applyBorder="1" applyAlignment="1" applyProtection="1">
      <alignment horizontal="center" vertical="center"/>
      <protection locked="0"/>
    </xf>
    <xf numFmtId="1" fontId="23" fillId="16" borderId="16" xfId="0" applyNumberFormat="1" applyFont="1" applyFill="1" applyBorder="1" applyAlignment="1" applyProtection="1">
      <alignment horizontal="center" vertical="center"/>
      <protection locked="0"/>
    </xf>
    <xf numFmtId="1" fontId="23" fillId="16" borderId="1" xfId="0" applyNumberFormat="1" applyFont="1" applyFill="1" applyBorder="1" applyAlignment="1" applyProtection="1">
      <alignment horizontal="center" vertical="center"/>
      <protection locked="0"/>
    </xf>
    <xf numFmtId="1" fontId="10" fillId="16" borderId="17" xfId="0" applyNumberFormat="1" applyFont="1" applyFill="1" applyBorder="1" applyAlignment="1" applyProtection="1">
      <alignment horizontal="center" vertical="center"/>
      <protection locked="0"/>
    </xf>
    <xf numFmtId="1" fontId="10" fillId="16" borderId="19" xfId="0" applyNumberFormat="1" applyFont="1" applyFill="1" applyBorder="1" applyAlignment="1" applyProtection="1">
      <alignment horizontal="center" vertical="center"/>
      <protection locked="0"/>
    </xf>
    <xf numFmtId="1" fontId="10" fillId="16" borderId="21" xfId="0" applyNumberFormat="1" applyFont="1" applyFill="1" applyBorder="1" applyAlignment="1" applyProtection="1">
      <alignment horizontal="center" vertical="center"/>
      <protection locked="0"/>
    </xf>
    <xf numFmtId="0" fontId="10" fillId="6" borderId="67" xfId="0" applyFont="1" applyFill="1" applyBorder="1" applyAlignment="1">
      <alignment horizontal="center"/>
    </xf>
    <xf numFmtId="0" fontId="10" fillId="6" borderId="4" xfId="0" applyFont="1" applyFill="1" applyBorder="1" applyAlignment="1">
      <alignment horizontal="center"/>
    </xf>
    <xf numFmtId="0" fontId="10" fillId="6" borderId="14" xfId="0" applyFont="1" applyFill="1" applyBorder="1" applyAlignment="1">
      <alignment horizontal="center"/>
    </xf>
    <xf numFmtId="0" fontId="10" fillId="6" borderId="60" xfId="0" applyFont="1" applyFill="1" applyBorder="1" applyAlignment="1">
      <alignment horizontal="center"/>
    </xf>
    <xf numFmtId="0" fontId="10" fillId="3" borderId="1" xfId="0" applyFont="1" applyFill="1" applyBorder="1" applyAlignment="1">
      <alignment horizontal="center" vertical="center"/>
    </xf>
    <xf numFmtId="0" fontId="82" fillId="3" borderId="1" xfId="0" applyFont="1" applyFill="1" applyBorder="1" applyAlignment="1" applyProtection="1">
      <alignment horizontal="center" vertical="center"/>
      <protection locked="0"/>
    </xf>
    <xf numFmtId="0" fontId="16" fillId="15" borderId="1" xfId="0" applyFont="1" applyFill="1" applyBorder="1" applyAlignment="1">
      <alignment horizontal="center" vertical="center" wrapText="1"/>
    </xf>
    <xf numFmtId="0" fontId="16" fillId="11" borderId="1" xfId="0" applyFont="1" applyFill="1" applyBorder="1" applyAlignment="1">
      <alignment horizontal="center" vertical="center"/>
    </xf>
    <xf numFmtId="0" fontId="10" fillId="0" borderId="7" xfId="0" applyFont="1" applyFill="1" applyBorder="1" applyAlignment="1">
      <alignment horizontal="center" vertical="center"/>
    </xf>
    <xf numFmtId="0" fontId="10" fillId="0" borderId="8" xfId="0" applyFont="1" applyFill="1" applyBorder="1" applyAlignment="1">
      <alignment horizontal="center" vertical="center"/>
    </xf>
    <xf numFmtId="0" fontId="10" fillId="0" borderId="6" xfId="0" applyFont="1" applyFill="1" applyBorder="1" applyAlignment="1">
      <alignment horizontal="center" vertical="center"/>
    </xf>
    <xf numFmtId="0" fontId="16" fillId="0" borderId="1" xfId="0" applyFont="1" applyBorder="1" applyAlignment="1">
      <alignment horizontal="center" vertical="center"/>
    </xf>
    <xf numFmtId="0" fontId="82" fillId="0" borderId="1" xfId="0" applyFont="1" applyFill="1" applyBorder="1" applyAlignment="1" applyProtection="1">
      <alignment horizontal="center" vertical="center"/>
      <protection locked="0"/>
    </xf>
    <xf numFmtId="0" fontId="20" fillId="0" borderId="1" xfId="0" applyFont="1" applyFill="1" applyBorder="1" applyAlignment="1">
      <alignment horizontal="center" vertical="center"/>
    </xf>
    <xf numFmtId="0" fontId="16" fillId="11" borderId="2" xfId="0" applyFont="1" applyFill="1" applyBorder="1" applyAlignment="1">
      <alignment horizontal="center" vertical="center"/>
    </xf>
    <xf numFmtId="0" fontId="16" fillId="11" borderId="5" xfId="0" applyFont="1" applyFill="1" applyBorder="1" applyAlignment="1">
      <alignment horizontal="center" vertical="center"/>
    </xf>
    <xf numFmtId="0" fontId="16" fillId="11" borderId="3" xfId="0" applyFont="1" applyFill="1" applyBorder="1" applyAlignment="1">
      <alignment horizontal="center" vertical="center"/>
    </xf>
    <xf numFmtId="0" fontId="16" fillId="0" borderId="19" xfId="0" applyFont="1" applyBorder="1" applyAlignment="1">
      <alignment horizontal="center" vertical="center"/>
    </xf>
    <xf numFmtId="0" fontId="16" fillId="0" borderId="31" xfId="0" applyFont="1" applyBorder="1" applyAlignment="1">
      <alignment horizontal="center" vertical="center"/>
    </xf>
    <xf numFmtId="0" fontId="16" fillId="0" borderId="34" xfId="0" applyFont="1" applyBorder="1" applyAlignment="1">
      <alignment horizontal="center" vertical="center"/>
    </xf>
    <xf numFmtId="0" fontId="16" fillId="15" borderId="6" xfId="0" applyFont="1" applyFill="1" applyBorder="1" applyAlignment="1">
      <alignment horizontal="center" vertical="center" wrapText="1"/>
    </xf>
    <xf numFmtId="0" fontId="20" fillId="0" borderId="7" xfId="0" applyFont="1" applyFill="1" applyBorder="1" applyAlignment="1">
      <alignment horizontal="center" vertical="center"/>
    </xf>
    <xf numFmtId="0" fontId="20" fillId="0" borderId="8" xfId="0" applyFont="1" applyFill="1" applyBorder="1" applyAlignment="1">
      <alignment horizontal="center" vertical="center"/>
    </xf>
    <xf numFmtId="0" fontId="20" fillId="0" borderId="6" xfId="0" applyFont="1" applyFill="1" applyBorder="1" applyAlignment="1">
      <alignment horizontal="center" vertical="center"/>
    </xf>
    <xf numFmtId="0" fontId="16" fillId="11" borderId="1" xfId="0" applyFont="1" applyFill="1" applyBorder="1" applyAlignment="1">
      <alignment horizontal="center" vertical="center" textRotation="90"/>
    </xf>
    <xf numFmtId="0" fontId="10" fillId="16" borderId="17" xfId="0" applyFont="1" applyFill="1" applyBorder="1" applyAlignment="1">
      <alignment horizontal="center" vertical="center"/>
    </xf>
    <xf numFmtId="0" fontId="10" fillId="16" borderId="19" xfId="0" applyFont="1" applyFill="1" applyBorder="1" applyAlignment="1">
      <alignment horizontal="center" vertical="center"/>
    </xf>
    <xf numFmtId="0" fontId="10" fillId="16" borderId="21" xfId="0" applyFont="1" applyFill="1" applyBorder="1" applyAlignment="1">
      <alignment horizontal="center" vertical="center"/>
    </xf>
    <xf numFmtId="0" fontId="21" fillId="0" borderId="37" xfId="0" applyFont="1" applyBorder="1" applyAlignment="1">
      <alignment horizontal="center" vertical="center"/>
    </xf>
    <xf numFmtId="0" fontId="21" fillId="0" borderId="13" xfId="0" applyFont="1" applyBorder="1" applyAlignment="1">
      <alignment horizontal="center" vertical="center"/>
    </xf>
    <xf numFmtId="0" fontId="21" fillId="0" borderId="76" xfId="0" applyFont="1" applyBorder="1" applyAlignment="1">
      <alignment horizontal="center" vertical="center"/>
    </xf>
    <xf numFmtId="0" fontId="16" fillId="0" borderId="30" xfId="0" applyFont="1" applyBorder="1" applyAlignment="1">
      <alignment horizontal="center" vertical="center"/>
    </xf>
    <xf numFmtId="0" fontId="16" fillId="0" borderId="32" xfId="0" applyFont="1" applyBorder="1" applyAlignment="1">
      <alignment horizontal="center" vertical="center"/>
    </xf>
    <xf numFmtId="0" fontId="16" fillId="0" borderId="22" xfId="0" applyFont="1" applyBorder="1" applyAlignment="1">
      <alignment horizontal="center" vertical="center"/>
    </xf>
    <xf numFmtId="0" fontId="16" fillId="0" borderId="39" xfId="0" applyFont="1" applyBorder="1" applyAlignment="1">
      <alignment horizontal="center" vertical="center"/>
    </xf>
    <xf numFmtId="0" fontId="12" fillId="15" borderId="24" xfId="0" applyFont="1" applyFill="1" applyBorder="1" applyAlignment="1">
      <alignment horizontal="center" vertical="center" wrapText="1"/>
    </xf>
    <xf numFmtId="0" fontId="12" fillId="15" borderId="6" xfId="0" applyFont="1" applyFill="1" applyBorder="1" applyAlignment="1">
      <alignment horizontal="center" vertical="center" wrapText="1"/>
    </xf>
    <xf numFmtId="0" fontId="12" fillId="15" borderId="40" xfId="0" applyFont="1" applyFill="1" applyBorder="1" applyAlignment="1">
      <alignment horizontal="center" vertical="center" wrapText="1"/>
    </xf>
    <xf numFmtId="0" fontId="12" fillId="15" borderId="16" xfId="0" applyFont="1" applyFill="1" applyBorder="1" applyAlignment="1">
      <alignment horizontal="center" vertical="center" wrapText="1"/>
    </xf>
    <xf numFmtId="0" fontId="12" fillId="15" borderId="1" xfId="0" applyFont="1" applyFill="1" applyBorder="1" applyAlignment="1">
      <alignment horizontal="center" vertical="center" wrapText="1"/>
    </xf>
    <xf numFmtId="0" fontId="12" fillId="15" borderId="20" xfId="0" applyFont="1" applyFill="1" applyBorder="1" applyAlignment="1">
      <alignment horizontal="center" vertical="center" wrapText="1"/>
    </xf>
    <xf numFmtId="0" fontId="12" fillId="15" borderId="36" xfId="0" applyFont="1" applyFill="1" applyBorder="1" applyAlignment="1">
      <alignment horizontal="center" vertical="center"/>
    </xf>
    <xf numFmtId="0" fontId="12" fillId="15" borderId="5" xfId="0" applyFont="1" applyFill="1" applyBorder="1" applyAlignment="1">
      <alignment horizontal="center" vertical="center"/>
    </xf>
    <xf numFmtId="0" fontId="12" fillId="15" borderId="28" xfId="0" applyFont="1" applyFill="1" applyBorder="1" applyAlignment="1">
      <alignment horizontal="center" vertical="center"/>
    </xf>
    <xf numFmtId="0" fontId="23" fillId="16" borderId="58" xfId="0" applyFont="1" applyFill="1" applyBorder="1" applyAlignment="1">
      <alignment horizontal="center" vertical="center" wrapText="1"/>
    </xf>
    <xf numFmtId="0" fontId="23" fillId="16" borderId="10" xfId="0" applyFont="1" applyFill="1" applyBorder="1" applyAlignment="1">
      <alignment horizontal="center" vertical="center" wrapText="1"/>
    </xf>
    <xf numFmtId="0" fontId="23" fillId="16" borderId="14" xfId="0" applyFont="1" applyFill="1" applyBorder="1" applyAlignment="1">
      <alignment horizontal="center" vertical="center" wrapText="1"/>
    </xf>
    <xf numFmtId="0" fontId="23" fillId="16" borderId="60" xfId="0" applyFont="1" applyFill="1" applyBorder="1" applyAlignment="1">
      <alignment horizontal="center" vertical="center" wrapText="1"/>
    </xf>
    <xf numFmtId="0" fontId="20" fillId="15" borderId="22" xfId="0" applyFont="1" applyFill="1" applyBorder="1" applyAlignment="1">
      <alignment horizontal="center" vertical="center"/>
    </xf>
    <xf numFmtId="0" fontId="20" fillId="15" borderId="23" xfId="0" applyFont="1" applyFill="1" applyBorder="1" applyAlignment="1">
      <alignment horizontal="center" vertical="center"/>
    </xf>
    <xf numFmtId="0" fontId="20" fillId="15" borderId="27" xfId="0" applyFont="1" applyFill="1" applyBorder="1" applyAlignment="1">
      <alignment horizontal="center" vertical="center"/>
    </xf>
    <xf numFmtId="0" fontId="10" fillId="16" borderId="17" xfId="0" applyFont="1" applyFill="1" applyBorder="1" applyAlignment="1">
      <alignment horizontal="center" vertical="center" wrapText="1"/>
    </xf>
    <xf numFmtId="0" fontId="10" fillId="16" borderId="19" xfId="0" applyFont="1" applyFill="1" applyBorder="1" applyAlignment="1">
      <alignment horizontal="center" vertical="center" wrapText="1"/>
    </xf>
    <xf numFmtId="0" fontId="10" fillId="16" borderId="21" xfId="0" applyFont="1" applyFill="1" applyBorder="1" applyAlignment="1">
      <alignment horizontal="center" vertical="center" wrapText="1"/>
    </xf>
    <xf numFmtId="0" fontId="16" fillId="0" borderId="15" xfId="0" applyFont="1" applyBorder="1" applyAlignment="1">
      <alignment horizontal="center" vertical="center"/>
    </xf>
    <xf numFmtId="0" fontId="16" fillId="0" borderId="18" xfId="0" applyFont="1" applyBorder="1" applyAlignment="1">
      <alignment horizontal="center" vertical="center"/>
    </xf>
    <xf numFmtId="0" fontId="16" fillId="0" borderId="35" xfId="0" applyFont="1" applyBorder="1" applyAlignment="1">
      <alignment horizontal="center" vertical="center"/>
    </xf>
    <xf numFmtId="0" fontId="16" fillId="0" borderId="16" xfId="0" applyFont="1" applyBorder="1" applyAlignment="1">
      <alignment horizontal="center" vertical="center"/>
    </xf>
    <xf numFmtId="0" fontId="16" fillId="0" borderId="20" xfId="0" applyFont="1" applyBorder="1" applyAlignment="1">
      <alignment horizontal="center" vertical="center"/>
    </xf>
    <xf numFmtId="0" fontId="20" fillId="15" borderId="16" xfId="0" applyFont="1" applyFill="1" applyBorder="1" applyAlignment="1">
      <alignment horizontal="center" vertical="center"/>
    </xf>
    <xf numFmtId="0" fontId="21" fillId="0" borderId="16" xfId="0" applyFont="1" applyBorder="1" applyAlignment="1">
      <alignment horizontal="center" vertical="center"/>
    </xf>
    <xf numFmtId="0" fontId="21" fillId="0" borderId="1" xfId="0" applyFont="1" applyBorder="1" applyAlignment="1">
      <alignment horizontal="center" vertical="center"/>
    </xf>
    <xf numFmtId="0" fontId="21" fillId="0" borderId="20" xfId="0" applyFont="1" applyBorder="1" applyAlignment="1">
      <alignment horizontal="center" vertical="center"/>
    </xf>
    <xf numFmtId="0" fontId="12" fillId="15" borderId="16" xfId="0" applyFont="1" applyFill="1" applyBorder="1" applyAlignment="1">
      <alignment horizontal="center" vertical="center"/>
    </xf>
    <xf numFmtId="0" fontId="12" fillId="15" borderId="1" xfId="0" applyFont="1" applyFill="1" applyBorder="1" applyAlignment="1">
      <alignment horizontal="center" vertical="center"/>
    </xf>
    <xf numFmtId="0" fontId="12" fillId="15" borderId="20" xfId="0" applyFont="1" applyFill="1" applyBorder="1" applyAlignment="1">
      <alignment horizontal="center" vertical="center"/>
    </xf>
    <xf numFmtId="0" fontId="23" fillId="16" borderId="16" xfId="0" applyFont="1" applyFill="1" applyBorder="1" applyAlignment="1">
      <alignment horizontal="center" vertical="center" wrapText="1"/>
    </xf>
    <xf numFmtId="0" fontId="23" fillId="16" borderId="1" xfId="0" applyFont="1" applyFill="1" applyBorder="1" applyAlignment="1">
      <alignment horizontal="center" vertical="center" wrapText="1"/>
    </xf>
    <xf numFmtId="0" fontId="10" fillId="16" borderId="1" xfId="0" applyFont="1" applyFill="1" applyBorder="1" applyAlignment="1">
      <alignment horizontal="center" vertical="center"/>
    </xf>
    <xf numFmtId="0" fontId="20" fillId="15" borderId="1" xfId="0" applyFont="1" applyFill="1" applyBorder="1" applyAlignment="1">
      <alignment horizontal="center" vertical="center"/>
    </xf>
    <xf numFmtId="0" fontId="103" fillId="0" borderId="1" xfId="0" applyFont="1" applyBorder="1" applyAlignment="1">
      <alignment horizontal="center" vertical="center"/>
    </xf>
    <xf numFmtId="0" fontId="10" fillId="15" borderId="1" xfId="0" applyFont="1" applyFill="1" applyBorder="1" applyAlignment="1">
      <alignment horizontal="center" vertical="center" wrapText="1"/>
    </xf>
    <xf numFmtId="0" fontId="10" fillId="15" borderId="1" xfId="0" applyFont="1" applyFill="1" applyBorder="1" applyAlignment="1">
      <alignment horizontal="center" vertical="center"/>
    </xf>
    <xf numFmtId="0" fontId="16" fillId="16" borderId="1" xfId="0" applyFont="1" applyFill="1" applyBorder="1" applyAlignment="1">
      <alignment horizontal="center" vertical="center" wrapText="1"/>
    </xf>
    <xf numFmtId="0" fontId="23" fillId="16" borderId="2" xfId="0" applyFont="1" applyFill="1" applyBorder="1" applyAlignment="1">
      <alignment horizontal="center" vertical="center" wrapText="1"/>
    </xf>
    <xf numFmtId="0" fontId="23" fillId="16" borderId="5" xfId="0" applyFont="1" applyFill="1" applyBorder="1" applyAlignment="1">
      <alignment horizontal="center" vertical="center" wrapText="1"/>
    </xf>
    <xf numFmtId="0" fontId="23" fillId="16" borderId="3" xfId="0" applyFont="1" applyFill="1" applyBorder="1" applyAlignment="1">
      <alignment horizontal="center" vertical="center" wrapText="1"/>
    </xf>
    <xf numFmtId="0" fontId="20" fillId="15" borderId="7" xfId="0" applyFont="1" applyFill="1" applyBorder="1" applyAlignment="1">
      <alignment horizontal="center" vertical="center"/>
    </xf>
    <xf numFmtId="0" fontId="20" fillId="15" borderId="8" xfId="0" applyFont="1" applyFill="1" applyBorder="1" applyAlignment="1">
      <alignment horizontal="center" vertical="center"/>
    </xf>
    <xf numFmtId="0" fontId="20" fillId="15" borderId="6" xfId="0" applyFont="1" applyFill="1" applyBorder="1" applyAlignment="1">
      <alignment horizontal="center" vertical="center"/>
    </xf>
    <xf numFmtId="0" fontId="16" fillId="15" borderId="16" xfId="0" applyFont="1" applyFill="1" applyBorder="1" applyAlignment="1">
      <alignment horizontal="center" vertical="center" wrapText="1"/>
    </xf>
    <xf numFmtId="0" fontId="16" fillId="15" borderId="20" xfId="0" applyFont="1" applyFill="1" applyBorder="1" applyAlignment="1">
      <alignment horizontal="center" vertical="center" wrapText="1"/>
    </xf>
    <xf numFmtId="0" fontId="16" fillId="7" borderId="57" xfId="0" applyFont="1" applyFill="1" applyBorder="1" applyAlignment="1">
      <alignment horizontal="center" vertical="center"/>
    </xf>
    <xf numFmtId="0" fontId="16" fillId="7" borderId="61" xfId="0" applyFont="1" applyFill="1" applyBorder="1" applyAlignment="1">
      <alignment horizontal="center" vertical="center"/>
    </xf>
    <xf numFmtId="0" fontId="78" fillId="3" borderId="37" xfId="0" applyFont="1" applyFill="1" applyBorder="1" applyAlignment="1" applyProtection="1">
      <alignment horizontal="center" vertical="center"/>
      <protection locked="0"/>
    </xf>
    <xf numFmtId="0" fontId="78" fillId="3" borderId="63" xfId="0" applyFont="1" applyFill="1" applyBorder="1" applyAlignment="1" applyProtection="1">
      <alignment horizontal="center" vertical="center"/>
      <protection locked="0"/>
    </xf>
    <xf numFmtId="0" fontId="16" fillId="15" borderId="15" xfId="0" applyFont="1" applyFill="1" applyBorder="1" applyAlignment="1">
      <alignment horizontal="center" vertical="center" wrapText="1"/>
    </xf>
    <xf numFmtId="0" fontId="16" fillId="15" borderId="35" xfId="0" applyFont="1" applyFill="1" applyBorder="1" applyAlignment="1">
      <alignment horizontal="center" vertical="center" wrapText="1"/>
    </xf>
    <xf numFmtId="0" fontId="78" fillId="3" borderId="64" xfId="0" applyFont="1" applyFill="1" applyBorder="1" applyAlignment="1" applyProtection="1">
      <alignment horizontal="center" vertical="center"/>
      <protection locked="0"/>
    </xf>
    <xf numFmtId="0" fontId="78" fillId="3" borderId="65" xfId="0" applyFont="1" applyFill="1" applyBorder="1" applyAlignment="1" applyProtection="1">
      <alignment horizontal="center" vertical="center"/>
      <protection locked="0"/>
    </xf>
    <xf numFmtId="0" fontId="78" fillId="3" borderId="66" xfId="0" applyFont="1" applyFill="1" applyBorder="1" applyAlignment="1" applyProtection="1">
      <alignment horizontal="center" vertical="center"/>
      <protection locked="0"/>
    </xf>
    <xf numFmtId="0" fontId="16" fillId="7" borderId="1" xfId="0" applyFont="1" applyFill="1" applyBorder="1" applyAlignment="1">
      <alignment horizontal="center" vertical="center"/>
    </xf>
    <xf numFmtId="0" fontId="78" fillId="3" borderId="1" xfId="0" applyFont="1" applyFill="1" applyBorder="1" applyAlignment="1" applyProtection="1">
      <alignment horizontal="center" vertical="center"/>
      <protection locked="0"/>
    </xf>
    <xf numFmtId="0" fontId="17" fillId="4" borderId="7" xfId="0" applyFont="1" applyFill="1" applyBorder="1" applyAlignment="1">
      <alignment horizontal="center" vertical="center"/>
    </xf>
    <xf numFmtId="0" fontId="17" fillId="4" borderId="6" xfId="0" applyFont="1" applyFill="1" applyBorder="1" applyAlignment="1">
      <alignment horizontal="center" vertical="center"/>
    </xf>
    <xf numFmtId="0" fontId="78" fillId="3" borderId="71" xfId="0" applyFont="1" applyFill="1" applyBorder="1" applyAlignment="1" applyProtection="1">
      <alignment horizontal="center" vertical="center"/>
      <protection locked="0"/>
    </xf>
    <xf numFmtId="0" fontId="78" fillId="3" borderId="75" xfId="0" applyFont="1" applyFill="1" applyBorder="1" applyAlignment="1" applyProtection="1">
      <alignment horizontal="center" vertical="center"/>
      <protection locked="0"/>
    </xf>
    <xf numFmtId="0" fontId="10" fillId="33" borderId="67" xfId="0" applyFont="1" applyFill="1" applyBorder="1" applyAlignment="1">
      <alignment horizontal="center"/>
    </xf>
    <xf numFmtId="0" fontId="10" fillId="33" borderId="4" xfId="0" applyFont="1" applyFill="1" applyBorder="1" applyAlignment="1">
      <alignment horizontal="center"/>
    </xf>
    <xf numFmtId="0" fontId="10" fillId="33" borderId="14" xfId="0" applyFont="1" applyFill="1" applyBorder="1" applyAlignment="1">
      <alignment horizontal="center"/>
    </xf>
    <xf numFmtId="0" fontId="10" fillId="33" borderId="60" xfId="0" applyFont="1" applyFill="1" applyBorder="1" applyAlignment="1">
      <alignment horizontal="center"/>
    </xf>
    <xf numFmtId="0" fontId="10" fillId="4" borderId="67" xfId="0" applyFont="1" applyFill="1" applyBorder="1" applyAlignment="1">
      <alignment horizontal="center"/>
    </xf>
    <xf numFmtId="0" fontId="10" fillId="4" borderId="4" xfId="0" applyFont="1" applyFill="1" applyBorder="1" applyAlignment="1">
      <alignment horizontal="center"/>
    </xf>
    <xf numFmtId="0" fontId="10" fillId="4" borderId="14" xfId="0" applyFont="1" applyFill="1" applyBorder="1" applyAlignment="1">
      <alignment horizontal="center"/>
    </xf>
    <xf numFmtId="0" fontId="10" fillId="4" borderId="60" xfId="0" applyFont="1" applyFill="1" applyBorder="1" applyAlignment="1">
      <alignment horizontal="center"/>
    </xf>
    <xf numFmtId="164" fontId="82" fillId="0" borderId="1" xfId="0" applyNumberFormat="1" applyFont="1" applyFill="1" applyBorder="1" applyAlignment="1" applyProtection="1">
      <alignment horizontal="center" vertical="center"/>
      <protection locked="0"/>
    </xf>
    <xf numFmtId="0" fontId="16" fillId="3" borderId="1" xfId="0" applyFont="1" applyFill="1" applyBorder="1" applyAlignment="1">
      <alignment horizontal="center" vertical="center"/>
    </xf>
    <xf numFmtId="0" fontId="16" fillId="3" borderId="1" xfId="0" applyFont="1" applyFill="1" applyBorder="1" applyAlignment="1">
      <alignment horizontal="center" vertical="center" wrapText="1"/>
    </xf>
    <xf numFmtId="0" fontId="20" fillId="12" borderId="7" xfId="0" applyFont="1" applyFill="1" applyBorder="1" applyAlignment="1">
      <alignment horizontal="center" vertical="center"/>
    </xf>
    <xf numFmtId="0" fontId="20" fillId="12" borderId="8" xfId="0" applyFont="1" applyFill="1" applyBorder="1" applyAlignment="1">
      <alignment horizontal="center" vertical="center"/>
    </xf>
    <xf numFmtId="0" fontId="20" fillId="12" borderId="6" xfId="0" applyFont="1" applyFill="1" applyBorder="1" applyAlignment="1">
      <alignment horizontal="center" vertical="center"/>
    </xf>
    <xf numFmtId="0" fontId="10" fillId="36" borderId="67" xfId="0" applyFont="1" applyFill="1" applyBorder="1" applyAlignment="1">
      <alignment horizontal="center"/>
    </xf>
    <xf numFmtId="0" fontId="10" fillId="36" borderId="4" xfId="0" applyFont="1" applyFill="1" applyBorder="1" applyAlignment="1">
      <alignment horizontal="center"/>
    </xf>
    <xf numFmtId="0" fontId="10" fillId="36" borderId="14" xfId="0" applyFont="1" applyFill="1" applyBorder="1" applyAlignment="1">
      <alignment horizontal="center"/>
    </xf>
    <xf numFmtId="0" fontId="10" fillId="36" borderId="60" xfId="0" applyFont="1" applyFill="1" applyBorder="1" applyAlignment="1">
      <alignment horizontal="center"/>
    </xf>
    <xf numFmtId="0" fontId="21" fillId="0" borderId="7" xfId="0" applyFont="1" applyFill="1" applyBorder="1" applyAlignment="1">
      <alignment horizontal="center" vertical="center"/>
    </xf>
    <xf numFmtId="0" fontId="21" fillId="0" borderId="8" xfId="0" applyFont="1" applyFill="1" applyBorder="1" applyAlignment="1">
      <alignment horizontal="center" vertical="center"/>
    </xf>
    <xf numFmtId="0" fontId="21" fillId="0" borderId="6" xfId="0" applyFont="1" applyFill="1" applyBorder="1" applyAlignment="1">
      <alignment horizontal="center" vertical="center"/>
    </xf>
    <xf numFmtId="0" fontId="10" fillId="39" borderId="67" xfId="0" applyFont="1" applyFill="1" applyBorder="1" applyAlignment="1">
      <alignment horizontal="center"/>
    </xf>
    <xf numFmtId="0" fontId="10" fillId="39" borderId="4" xfId="0" applyFont="1" applyFill="1" applyBorder="1" applyAlignment="1">
      <alignment horizontal="center"/>
    </xf>
    <xf numFmtId="0" fontId="10" fillId="39" borderId="14" xfId="0" applyFont="1" applyFill="1" applyBorder="1" applyAlignment="1">
      <alignment horizontal="center"/>
    </xf>
    <xf numFmtId="0" fontId="10" fillId="39" borderId="60" xfId="0" applyFont="1" applyFill="1" applyBorder="1" applyAlignment="1">
      <alignment horizontal="center"/>
    </xf>
    <xf numFmtId="0" fontId="20" fillId="3" borderId="7" xfId="0" applyFont="1" applyFill="1" applyBorder="1" applyAlignment="1">
      <alignment horizontal="center" vertical="center"/>
    </xf>
    <xf numFmtId="0" fontId="20" fillId="3" borderId="8" xfId="0" applyFont="1" applyFill="1" applyBorder="1" applyAlignment="1">
      <alignment horizontal="center" vertical="center"/>
    </xf>
    <xf numFmtId="0" fontId="20" fillId="3" borderId="6" xfId="0" applyFont="1" applyFill="1" applyBorder="1" applyAlignment="1">
      <alignment horizontal="center" vertical="center"/>
    </xf>
    <xf numFmtId="0" fontId="21" fillId="12" borderId="7" xfId="0" applyFont="1" applyFill="1" applyBorder="1" applyAlignment="1">
      <alignment horizontal="center" vertical="center"/>
    </xf>
    <xf numFmtId="0" fontId="21" fillId="12" borderId="8" xfId="0" applyFont="1" applyFill="1" applyBorder="1" applyAlignment="1">
      <alignment horizontal="center" vertical="center"/>
    </xf>
    <xf numFmtId="0" fontId="21" fillId="12" borderId="6" xfId="0" applyFont="1" applyFill="1" applyBorder="1" applyAlignment="1">
      <alignment horizontal="center" vertical="center"/>
    </xf>
    <xf numFmtId="0" fontId="10" fillId="14" borderId="67" xfId="0" applyFont="1" applyFill="1" applyBorder="1" applyAlignment="1">
      <alignment horizontal="center"/>
    </xf>
    <xf numFmtId="0" fontId="10" fillId="14" borderId="4" xfId="0" applyFont="1" applyFill="1" applyBorder="1" applyAlignment="1">
      <alignment horizontal="center"/>
    </xf>
    <xf numFmtId="0" fontId="10" fillId="14" borderId="14" xfId="0" applyFont="1" applyFill="1" applyBorder="1" applyAlignment="1">
      <alignment horizontal="center"/>
    </xf>
    <xf numFmtId="0" fontId="10" fillId="14" borderId="60" xfId="0" applyFont="1" applyFill="1" applyBorder="1" applyAlignment="1">
      <alignment horizontal="center"/>
    </xf>
    <xf numFmtId="0" fontId="10" fillId="11" borderId="67" xfId="0" applyFont="1" applyFill="1" applyBorder="1" applyAlignment="1">
      <alignment horizontal="center"/>
    </xf>
    <xf numFmtId="0" fontId="10" fillId="11" borderId="4" xfId="0" applyFont="1" applyFill="1" applyBorder="1" applyAlignment="1">
      <alignment horizontal="center"/>
    </xf>
    <xf numFmtId="0" fontId="10" fillId="11" borderId="14" xfId="0" applyFont="1" applyFill="1" applyBorder="1" applyAlignment="1">
      <alignment horizontal="center"/>
    </xf>
    <xf numFmtId="0" fontId="10" fillId="11" borderId="60" xfId="0" applyFont="1" applyFill="1" applyBorder="1" applyAlignment="1">
      <alignment horizontal="center"/>
    </xf>
    <xf numFmtId="1" fontId="10" fillId="16" borderId="16" xfId="0" applyNumberFormat="1" applyFont="1" applyFill="1" applyBorder="1" applyAlignment="1" applyProtection="1">
      <alignment horizontal="center" vertical="center"/>
      <protection locked="0"/>
    </xf>
    <xf numFmtId="1" fontId="10" fillId="16" borderId="1" xfId="0" applyNumberFormat="1" applyFont="1" applyFill="1" applyBorder="1" applyAlignment="1" applyProtection="1">
      <alignment horizontal="center" vertical="center"/>
      <protection locked="0"/>
    </xf>
    <xf numFmtId="0" fontId="26" fillId="5" borderId="15" xfId="0" applyFont="1" applyFill="1" applyBorder="1" applyAlignment="1">
      <alignment horizontal="center" vertical="center"/>
    </xf>
    <xf numFmtId="0" fontId="26" fillId="5" borderId="16" xfId="0" applyFont="1" applyFill="1" applyBorder="1" applyAlignment="1">
      <alignment horizontal="center" vertical="center"/>
    </xf>
    <xf numFmtId="0" fontId="26" fillId="5" borderId="54" xfId="0" applyFont="1" applyFill="1" applyBorder="1" applyAlignment="1">
      <alignment horizontal="center" vertical="center"/>
    </xf>
    <xf numFmtId="0" fontId="26" fillId="5" borderId="17" xfId="0" applyFont="1" applyFill="1" applyBorder="1" applyAlignment="1">
      <alignment horizontal="center" vertical="center"/>
    </xf>
    <xf numFmtId="1" fontId="24" fillId="5" borderId="18" xfId="0" applyNumberFormat="1" applyFont="1" applyFill="1" applyBorder="1" applyAlignment="1" applyProtection="1">
      <alignment horizontal="center" vertical="center"/>
      <protection locked="0"/>
    </xf>
    <xf numFmtId="1" fontId="24" fillId="5" borderId="1" xfId="0" applyNumberFormat="1" applyFont="1" applyFill="1" applyBorder="1" applyAlignment="1" applyProtection="1">
      <alignment horizontal="center" vertical="center"/>
      <protection locked="0"/>
    </xf>
    <xf numFmtId="1" fontId="24" fillId="11" borderId="7" xfId="0" applyNumberFormat="1" applyFont="1" applyFill="1" applyBorder="1" applyAlignment="1" applyProtection="1">
      <alignment horizontal="center" vertical="center"/>
      <protection locked="0"/>
    </xf>
    <xf numFmtId="1" fontId="24" fillId="11" borderId="8" xfId="0" applyNumberFormat="1" applyFont="1" applyFill="1" applyBorder="1" applyAlignment="1" applyProtection="1">
      <alignment horizontal="center" vertical="center"/>
      <protection locked="0"/>
    </xf>
    <xf numFmtId="1" fontId="24" fillId="11" borderId="6" xfId="0" applyNumberFormat="1" applyFont="1" applyFill="1" applyBorder="1" applyAlignment="1" applyProtection="1">
      <alignment horizontal="center" vertical="center"/>
      <protection locked="0"/>
    </xf>
    <xf numFmtId="1" fontId="24" fillId="14" borderId="1" xfId="0" applyNumberFormat="1" applyFont="1" applyFill="1" applyBorder="1" applyAlignment="1" applyProtection="1">
      <alignment horizontal="center" vertical="center"/>
      <protection locked="0"/>
    </xf>
    <xf numFmtId="0" fontId="0" fillId="8" borderId="1" xfId="0" applyFill="1" applyBorder="1" applyAlignment="1">
      <alignment horizontal="center"/>
    </xf>
    <xf numFmtId="0" fontId="0" fillId="8" borderId="7" xfId="0" applyFill="1" applyBorder="1" applyAlignment="1">
      <alignment horizontal="center"/>
    </xf>
    <xf numFmtId="0" fontId="0" fillId="8" borderId="19" xfId="0" applyFill="1" applyBorder="1" applyAlignment="1">
      <alignment horizontal="center"/>
    </xf>
    <xf numFmtId="1" fontId="24" fillId="11" borderId="1" xfId="0" applyNumberFormat="1" applyFont="1" applyFill="1" applyBorder="1" applyAlignment="1" applyProtection="1">
      <alignment horizontal="center" vertical="center"/>
      <protection locked="0"/>
    </xf>
    <xf numFmtId="0" fontId="0" fillId="8" borderId="2" xfId="0" applyFill="1" applyBorder="1" applyAlignment="1">
      <alignment horizontal="center"/>
    </xf>
    <xf numFmtId="0" fontId="0" fillId="8" borderId="72" xfId="0" applyFill="1" applyBorder="1" applyAlignment="1">
      <alignment horizontal="center"/>
    </xf>
    <xf numFmtId="0" fontId="26" fillId="8" borderId="15" xfId="0" applyFont="1" applyFill="1" applyBorder="1" applyAlignment="1">
      <alignment horizontal="center" vertical="center"/>
    </xf>
    <xf numFmtId="0" fontId="26" fillId="8" borderId="24" xfId="0" applyFont="1" applyFill="1" applyBorder="1" applyAlignment="1">
      <alignment horizontal="center" vertical="center"/>
    </xf>
    <xf numFmtId="0" fontId="26" fillId="8" borderId="16" xfId="0" applyFont="1" applyFill="1" applyBorder="1" applyAlignment="1">
      <alignment horizontal="center" vertical="center"/>
    </xf>
    <xf numFmtId="0" fontId="26" fillId="8" borderId="17" xfId="0" applyFont="1" applyFill="1" applyBorder="1" applyAlignment="1">
      <alignment horizontal="center" vertical="center"/>
    </xf>
    <xf numFmtId="1" fontId="24" fillId="5" borderId="6" xfId="0" applyNumberFormat="1" applyFont="1" applyFill="1" applyBorder="1" applyAlignment="1" applyProtection="1">
      <alignment horizontal="center" vertical="center"/>
      <protection locked="0"/>
    </xf>
    <xf numFmtId="0" fontId="104" fillId="5" borderId="15" xfId="0" applyFont="1" applyFill="1" applyBorder="1" applyAlignment="1">
      <alignment horizontal="center" vertical="center"/>
    </xf>
    <xf numFmtId="0" fontId="104" fillId="5" borderId="16" xfId="0" applyFont="1" applyFill="1" applyBorder="1" applyAlignment="1">
      <alignment horizontal="center" vertical="center"/>
    </xf>
    <xf numFmtId="0" fontId="104" fillId="5" borderId="17" xfId="0" applyFont="1" applyFill="1" applyBorder="1" applyAlignment="1">
      <alignment horizontal="center" vertical="center"/>
    </xf>
    <xf numFmtId="0" fontId="26" fillId="8" borderId="54" xfId="0" applyFont="1" applyFill="1" applyBorder="1" applyAlignment="1">
      <alignment horizontal="center" vertical="center"/>
    </xf>
    <xf numFmtId="0" fontId="67" fillId="6" borderId="15" xfId="0" applyFont="1" applyFill="1" applyBorder="1" applyAlignment="1">
      <alignment horizontal="center" vertical="center"/>
    </xf>
    <xf numFmtId="0" fontId="67" fillId="6" borderId="16" xfId="0" applyFont="1" applyFill="1" applyBorder="1" applyAlignment="1">
      <alignment horizontal="center" vertical="center"/>
    </xf>
    <xf numFmtId="0" fontId="67" fillId="6" borderId="17" xfId="0" applyFont="1" applyFill="1" applyBorder="1" applyAlignment="1">
      <alignment horizontal="center" vertical="center"/>
    </xf>
    <xf numFmtId="1" fontId="24" fillId="5" borderId="69" xfId="0" applyNumberFormat="1" applyFont="1" applyFill="1" applyBorder="1" applyAlignment="1" applyProtection="1">
      <alignment horizontal="center" vertical="center"/>
      <protection locked="0"/>
    </xf>
    <xf numFmtId="1" fontId="24" fillId="5" borderId="2" xfId="0" applyNumberFormat="1" applyFont="1" applyFill="1" applyBorder="1" applyAlignment="1" applyProtection="1">
      <alignment horizontal="center" vertical="center"/>
      <protection locked="0"/>
    </xf>
    <xf numFmtId="1" fontId="24" fillId="14" borderId="2" xfId="0" applyNumberFormat="1" applyFont="1" applyFill="1" applyBorder="1" applyAlignment="1" applyProtection="1">
      <alignment horizontal="center" vertical="center"/>
      <protection locked="0"/>
    </xf>
    <xf numFmtId="1" fontId="24" fillId="11" borderId="67" xfId="0" applyNumberFormat="1" applyFont="1" applyFill="1" applyBorder="1" applyAlignment="1" applyProtection="1">
      <alignment horizontal="center" vertical="center"/>
      <protection locked="0"/>
    </xf>
    <xf numFmtId="1" fontId="24" fillId="11" borderId="33" xfId="0" applyNumberFormat="1" applyFont="1" applyFill="1" applyBorder="1" applyAlignment="1" applyProtection="1">
      <alignment horizontal="center" vertical="center"/>
      <protection locked="0"/>
    </xf>
    <xf numFmtId="0" fontId="13" fillId="4" borderId="15"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17" xfId="0" applyFont="1" applyFill="1" applyBorder="1" applyAlignment="1">
      <alignment horizontal="center" vertical="center"/>
    </xf>
    <xf numFmtId="0" fontId="13" fillId="0" borderId="1" xfId="0" applyFont="1" applyBorder="1" applyAlignment="1">
      <alignment horizontal="center" vertical="center"/>
    </xf>
    <xf numFmtId="0" fontId="26" fillId="0" borderId="7" xfId="0" applyFont="1" applyBorder="1" applyAlignment="1">
      <alignment horizontal="center" vertical="center"/>
    </xf>
    <xf numFmtId="0" fontId="0" fillId="0" borderId="69" xfId="0" applyBorder="1" applyAlignment="1">
      <alignment horizontal="center"/>
    </xf>
    <xf numFmtId="0" fontId="0" fillId="0" borderId="72" xfId="0" applyBorder="1" applyAlignment="1">
      <alignment horizontal="center"/>
    </xf>
    <xf numFmtId="0" fontId="135" fillId="5" borderId="67" xfId="0" applyFont="1" applyFill="1" applyBorder="1" applyAlignment="1">
      <alignment horizontal="center" vertical="center"/>
    </xf>
    <xf numFmtId="0" fontId="135" fillId="5" borderId="4" xfId="0" applyFont="1" applyFill="1" applyBorder="1" applyAlignment="1">
      <alignment horizontal="center" vertical="center"/>
    </xf>
    <xf numFmtId="0" fontId="135" fillId="5" borderId="33" xfId="0" applyFont="1" applyFill="1" applyBorder="1" applyAlignment="1">
      <alignment horizontal="center" vertical="center"/>
    </xf>
    <xf numFmtId="0" fontId="135" fillId="5" borderId="14" xfId="0" applyFont="1" applyFill="1" applyBorder="1" applyAlignment="1">
      <alignment horizontal="center" vertical="center"/>
    </xf>
    <xf numFmtId="0" fontId="135" fillId="5" borderId="60" xfId="0" applyFont="1" applyFill="1" applyBorder="1" applyAlignment="1">
      <alignment horizontal="center" vertical="center"/>
    </xf>
    <xf numFmtId="0" fontId="135" fillId="5" borderId="25" xfId="0" applyFont="1" applyFill="1" applyBorder="1" applyAlignment="1">
      <alignment horizontal="center" vertical="center"/>
    </xf>
    <xf numFmtId="0" fontId="19" fillId="5" borderId="7" xfId="0" applyFont="1" applyFill="1" applyBorder="1" applyAlignment="1">
      <alignment horizontal="left" indent="1"/>
    </xf>
    <xf numFmtId="0" fontId="19" fillId="5" borderId="8" xfId="0" applyFont="1" applyFill="1" applyBorder="1" applyAlignment="1">
      <alignment horizontal="left" indent="1"/>
    </xf>
    <xf numFmtId="0" fontId="19" fillId="5" borderId="6" xfId="0" applyFont="1" applyFill="1" applyBorder="1" applyAlignment="1">
      <alignment horizontal="left" indent="1"/>
    </xf>
    <xf numFmtId="0" fontId="19" fillId="5" borderId="67" xfId="0" applyFont="1" applyFill="1" applyBorder="1" applyAlignment="1">
      <alignment horizontal="center" vertical="center"/>
    </xf>
    <xf numFmtId="0" fontId="19" fillId="5" borderId="4" xfId="0" applyFont="1" applyFill="1" applyBorder="1" applyAlignment="1">
      <alignment horizontal="center" vertical="center"/>
    </xf>
    <xf numFmtId="0" fontId="19" fillId="5" borderId="33" xfId="0" applyFont="1" applyFill="1" applyBorder="1" applyAlignment="1">
      <alignment horizontal="center" vertical="center"/>
    </xf>
    <xf numFmtId="0" fontId="19" fillId="5" borderId="14" xfId="0" applyFont="1" applyFill="1" applyBorder="1" applyAlignment="1">
      <alignment horizontal="center" vertical="center"/>
    </xf>
    <xf numFmtId="0" fontId="19" fillId="5" borderId="60" xfId="0" applyFont="1" applyFill="1" applyBorder="1" applyAlignment="1">
      <alignment horizontal="center" vertical="center"/>
    </xf>
    <xf numFmtId="0" fontId="19" fillId="5" borderId="25" xfId="0" applyFont="1" applyFill="1" applyBorder="1" applyAlignment="1">
      <alignment horizontal="center" vertical="center"/>
    </xf>
    <xf numFmtId="0" fontId="16" fillId="3" borderId="2" xfId="0" applyFont="1" applyFill="1" applyBorder="1" applyAlignment="1" applyProtection="1">
      <alignment horizontal="center" vertical="center" textRotation="90" wrapText="1"/>
      <protection locked="0"/>
    </xf>
    <xf numFmtId="0" fontId="16" fillId="3" borderId="5" xfId="0" applyFont="1" applyFill="1" applyBorder="1" applyAlignment="1" applyProtection="1">
      <alignment horizontal="center" vertical="center" textRotation="90" wrapText="1"/>
      <protection locked="0"/>
    </xf>
    <xf numFmtId="0" fontId="16" fillId="3" borderId="3" xfId="0" applyFont="1" applyFill="1" applyBorder="1" applyAlignment="1" applyProtection="1">
      <alignment horizontal="center" vertical="center" textRotation="90" wrapText="1"/>
      <protection locked="0"/>
    </xf>
    <xf numFmtId="0" fontId="10" fillId="3" borderId="1" xfId="0" applyFont="1" applyFill="1" applyBorder="1" applyAlignment="1" applyProtection="1">
      <alignment horizontal="center" vertical="center"/>
      <protection locked="0"/>
    </xf>
    <xf numFmtId="0" fontId="10" fillId="3" borderId="2" xfId="0" applyFont="1" applyFill="1" applyBorder="1" applyAlignment="1" applyProtection="1">
      <alignment horizontal="center" vertical="center"/>
      <protection locked="0"/>
    </xf>
    <xf numFmtId="0" fontId="10" fillId="3" borderId="5" xfId="0" applyFont="1" applyFill="1" applyBorder="1" applyAlignment="1" applyProtection="1">
      <alignment horizontal="center" vertical="center"/>
      <protection locked="0"/>
    </xf>
    <xf numFmtId="0" fontId="10" fillId="3" borderId="3" xfId="0" applyFont="1" applyFill="1" applyBorder="1" applyAlignment="1" applyProtection="1">
      <alignment horizontal="center" vertical="center"/>
      <protection locked="0"/>
    </xf>
    <xf numFmtId="0" fontId="125" fillId="0" borderId="0" xfId="0" applyFont="1" applyFill="1" applyAlignment="1" applyProtection="1">
      <alignment horizontal="left"/>
      <protection locked="0"/>
    </xf>
    <xf numFmtId="0" fontId="23" fillId="0" borderId="0" xfId="0" applyFont="1" applyAlignment="1" applyProtection="1">
      <alignment horizontal="center"/>
      <protection locked="0"/>
    </xf>
    <xf numFmtId="0" fontId="16" fillId="3" borderId="1" xfId="0" applyFont="1" applyFill="1" applyBorder="1" applyAlignment="1" applyProtection="1">
      <alignment horizontal="center" vertical="center"/>
      <protection locked="0"/>
    </xf>
    <xf numFmtId="0" fontId="16" fillId="3" borderId="1" xfId="0" applyFont="1" applyFill="1" applyBorder="1" applyAlignment="1" applyProtection="1">
      <alignment horizontal="center" vertical="center" textRotation="90" wrapText="1"/>
      <protection locked="0"/>
    </xf>
    <xf numFmtId="0" fontId="16" fillId="3" borderId="2" xfId="0" applyFont="1" applyFill="1" applyBorder="1" applyAlignment="1" applyProtection="1">
      <alignment horizontal="center" vertical="center"/>
      <protection locked="0"/>
    </xf>
    <xf numFmtId="0" fontId="16" fillId="3" borderId="3" xfId="0" applyFont="1" applyFill="1" applyBorder="1" applyAlignment="1" applyProtection="1">
      <alignment horizontal="center" vertical="center"/>
      <protection locked="0"/>
    </xf>
    <xf numFmtId="0" fontId="16" fillId="3" borderId="15" xfId="0" applyFont="1" applyFill="1" applyBorder="1" applyAlignment="1">
      <alignment horizontal="center" vertical="center"/>
    </xf>
    <xf numFmtId="0" fontId="16" fillId="3" borderId="35" xfId="0" applyFont="1" applyFill="1" applyBorder="1" applyAlignment="1">
      <alignment horizontal="center" vertical="center"/>
    </xf>
    <xf numFmtId="0" fontId="16" fillId="3" borderId="16" xfId="0" applyFont="1" applyFill="1" applyBorder="1" applyAlignment="1">
      <alignment horizontal="center" vertical="center"/>
    </xf>
    <xf numFmtId="0" fontId="16" fillId="3" borderId="20" xfId="0" applyFont="1" applyFill="1" applyBorder="1" applyAlignment="1">
      <alignment horizontal="center" vertical="center"/>
    </xf>
    <xf numFmtId="0" fontId="0" fillId="14" borderId="16" xfId="0" applyFill="1" applyBorder="1" applyAlignment="1">
      <alignment horizontal="center" vertical="center"/>
    </xf>
    <xf numFmtId="0" fontId="0" fillId="14" borderId="17" xfId="0" applyFill="1" applyBorder="1" applyAlignment="1">
      <alignment horizontal="center" vertical="center"/>
    </xf>
    <xf numFmtId="0" fontId="0" fillId="0" borderId="67" xfId="0" applyBorder="1" applyAlignment="1">
      <alignment horizontal="center" vertical="top"/>
    </xf>
    <xf numFmtId="0" fontId="0" fillId="0" borderId="33" xfId="0" applyBorder="1" applyAlignment="1">
      <alignment horizontal="center" vertical="top"/>
    </xf>
    <xf numFmtId="0" fontId="0" fillId="0" borderId="68" xfId="0" applyBorder="1" applyAlignment="1">
      <alignment horizontal="center" vertical="top"/>
    </xf>
    <xf numFmtId="0" fontId="0" fillId="0" borderId="29" xfId="0" applyBorder="1" applyAlignment="1">
      <alignment horizontal="center" vertical="top"/>
    </xf>
    <xf numFmtId="0" fontId="0" fillId="0" borderId="14" xfId="0" applyBorder="1" applyAlignment="1">
      <alignment horizontal="center" vertical="top"/>
    </xf>
    <xf numFmtId="0" fontId="0" fillId="0" borderId="25" xfId="0" applyBorder="1" applyAlignment="1">
      <alignment horizontal="center" vertical="top"/>
    </xf>
    <xf numFmtId="0" fontId="16" fillId="0" borderId="2" xfId="0" applyFont="1" applyBorder="1" applyAlignment="1">
      <alignment horizontal="center" vertical="center" wrapText="1"/>
    </xf>
    <xf numFmtId="0" fontId="16" fillId="0" borderId="3" xfId="0" applyFont="1" applyBorder="1" applyAlignment="1">
      <alignment horizontal="center" vertical="center" wrapText="1"/>
    </xf>
    <xf numFmtId="0" fontId="129" fillId="0" borderId="68" xfId="0" applyFont="1" applyBorder="1" applyAlignment="1">
      <alignment horizontal="left" vertical="top" wrapText="1" indent="1"/>
    </xf>
    <xf numFmtId="0" fontId="129" fillId="0" borderId="29" xfId="0" applyFont="1" applyBorder="1" applyAlignment="1">
      <alignment horizontal="left" vertical="top" wrapText="1" indent="1"/>
    </xf>
    <xf numFmtId="0" fontId="129" fillId="0" borderId="14" xfId="0" applyFont="1" applyBorder="1" applyAlignment="1">
      <alignment horizontal="left" vertical="top" wrapText="1" indent="1"/>
    </xf>
    <xf numFmtId="0" fontId="129" fillId="0" borderId="25" xfId="0" applyFont="1" applyBorder="1" applyAlignment="1">
      <alignment horizontal="left" vertical="top" wrapText="1" indent="1"/>
    </xf>
    <xf numFmtId="0" fontId="106" fillId="0" borderId="60" xfId="0" applyFont="1" applyBorder="1" applyAlignment="1">
      <alignment horizontal="left" vertical="center" indent="1"/>
    </xf>
    <xf numFmtId="0" fontId="23" fillId="0" borderId="0" xfId="0" applyFont="1" applyAlignment="1">
      <alignment horizontal="center" vertical="center"/>
    </xf>
    <xf numFmtId="164" fontId="21" fillId="42" borderId="1" xfId="0" applyNumberFormat="1" applyFont="1" applyFill="1" applyBorder="1" applyAlignment="1">
      <alignment horizontal="center" vertical="center"/>
    </xf>
    <xf numFmtId="0" fontId="73" fillId="42" borderId="1" xfId="0" applyNumberFormat="1"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0" fillId="3" borderId="67"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33"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60" xfId="0" applyFont="1" applyFill="1" applyBorder="1" applyAlignment="1">
      <alignment horizontal="center" vertical="center"/>
    </xf>
    <xf numFmtId="0" fontId="10" fillId="3" borderId="25" xfId="0" applyFont="1" applyFill="1" applyBorder="1" applyAlignment="1">
      <alignment horizontal="center" vertical="center"/>
    </xf>
    <xf numFmtId="0" fontId="23" fillId="3" borderId="15" xfId="0" applyFont="1" applyFill="1" applyBorder="1" applyAlignment="1">
      <alignment horizontal="center" vertical="center"/>
    </xf>
    <xf numFmtId="0" fontId="23" fillId="3" borderId="35" xfId="0" applyFont="1" applyFill="1" applyBorder="1" applyAlignment="1">
      <alignment horizontal="center" vertical="center"/>
    </xf>
    <xf numFmtId="0" fontId="23" fillId="3" borderId="16" xfId="0" applyFont="1" applyFill="1" applyBorder="1" applyAlignment="1">
      <alignment horizontal="center" vertical="center"/>
    </xf>
    <xf numFmtId="0" fontId="23" fillId="3" borderId="20" xfId="0" applyFont="1" applyFill="1" applyBorder="1" applyAlignment="1">
      <alignment horizontal="center" vertical="center"/>
    </xf>
    <xf numFmtId="0" fontId="26" fillId="14" borderId="16" xfId="0" applyFont="1" applyFill="1" applyBorder="1" applyAlignment="1">
      <alignment horizontal="center" vertical="center"/>
    </xf>
    <xf numFmtId="0" fontId="26" fillId="14" borderId="17" xfId="0" applyFont="1" applyFill="1" applyBorder="1" applyAlignment="1">
      <alignment horizontal="center" vertical="center"/>
    </xf>
    <xf numFmtId="0" fontId="2" fillId="0" borderId="67" xfId="0" applyFont="1" applyBorder="1" applyAlignment="1">
      <alignment horizontal="left" vertical="center" wrapText="1" indent="1"/>
    </xf>
    <xf numFmtId="0" fontId="2" fillId="0" borderId="4" xfId="0" applyFont="1" applyBorder="1" applyAlignment="1">
      <alignment horizontal="left" vertical="center" wrapText="1" indent="1"/>
    </xf>
    <xf numFmtId="0" fontId="2" fillId="0" borderId="33" xfId="0" applyFont="1" applyBorder="1" applyAlignment="1">
      <alignment horizontal="left" vertical="center" wrapText="1" indent="1"/>
    </xf>
    <xf numFmtId="0" fontId="2" fillId="0" borderId="68"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29" xfId="0" applyFont="1" applyBorder="1" applyAlignment="1">
      <alignment horizontal="left" vertical="center" wrapText="1" indent="1"/>
    </xf>
    <xf numFmtId="0" fontId="2" fillId="0" borderId="14" xfId="0" applyFont="1" applyBorder="1" applyAlignment="1">
      <alignment horizontal="left" vertical="center" wrapText="1" indent="1"/>
    </xf>
    <xf numFmtId="0" fontId="2" fillId="0" borderId="60" xfId="0" applyFont="1" applyBorder="1" applyAlignment="1">
      <alignment horizontal="left" vertical="center" wrapText="1" indent="1"/>
    </xf>
    <xf numFmtId="0" fontId="2" fillId="0" borderId="25" xfId="0" applyFont="1" applyBorder="1" applyAlignment="1">
      <alignment horizontal="left" vertical="center" wrapText="1" indent="1"/>
    </xf>
    <xf numFmtId="0" fontId="71" fillId="13" borderId="0" xfId="0" applyFont="1" applyFill="1" applyAlignment="1">
      <alignment horizontal="center" vertical="center"/>
    </xf>
    <xf numFmtId="0" fontId="2" fillId="3" borderId="1" xfId="0" applyFont="1" applyFill="1" applyBorder="1" applyAlignment="1">
      <alignment horizontal="center" vertical="center"/>
    </xf>
    <xf numFmtId="164" fontId="2" fillId="0" borderId="67" xfId="0" applyNumberFormat="1" applyFont="1" applyBorder="1" applyAlignment="1">
      <alignment horizontal="center" vertical="center"/>
    </xf>
    <xf numFmtId="164" fontId="2" fillId="0" borderId="33" xfId="0" applyNumberFormat="1" applyFont="1" applyBorder="1" applyAlignment="1">
      <alignment horizontal="center" vertical="center"/>
    </xf>
    <xf numFmtId="164" fontId="2" fillId="0" borderId="68" xfId="0" applyNumberFormat="1" applyFont="1" applyBorder="1" applyAlignment="1">
      <alignment horizontal="center" vertical="center"/>
    </xf>
    <xf numFmtId="164" fontId="2" fillId="0" borderId="29" xfId="0" applyNumberFormat="1" applyFont="1" applyBorder="1" applyAlignment="1">
      <alignment horizontal="center" vertical="center"/>
    </xf>
    <xf numFmtId="164" fontId="2" fillId="0" borderId="14" xfId="0" applyNumberFormat="1" applyFont="1" applyBorder="1" applyAlignment="1">
      <alignment horizontal="center" vertical="center"/>
    </xf>
    <xf numFmtId="164" fontId="2" fillId="0" borderId="25" xfId="0" applyNumberFormat="1" applyFont="1" applyBorder="1" applyAlignment="1">
      <alignment horizontal="center" vertical="center"/>
    </xf>
    <xf numFmtId="0" fontId="2" fillId="0" borderId="67" xfId="0" applyFont="1" applyBorder="1" applyAlignment="1">
      <alignment horizontal="center" vertical="center"/>
    </xf>
    <xf numFmtId="0" fontId="2" fillId="0" borderId="33" xfId="0" applyFont="1" applyBorder="1" applyAlignment="1">
      <alignment horizontal="center" vertical="center"/>
    </xf>
    <xf numFmtId="0" fontId="2" fillId="0" borderId="68" xfId="0" applyFont="1" applyBorder="1" applyAlignment="1">
      <alignment horizontal="center" vertical="center"/>
    </xf>
    <xf numFmtId="0" fontId="2" fillId="0" borderId="29" xfId="0" applyFont="1" applyBorder="1" applyAlignment="1">
      <alignment horizontal="center" vertical="center"/>
    </xf>
    <xf numFmtId="0" fontId="2" fillId="0" borderId="14" xfId="0" applyFont="1" applyBorder="1" applyAlignment="1">
      <alignment horizontal="center" vertical="center"/>
    </xf>
    <xf numFmtId="0" fontId="2" fillId="0" borderId="25" xfId="0" applyFont="1" applyBorder="1" applyAlignment="1">
      <alignment horizontal="center" vertical="center"/>
    </xf>
    <xf numFmtId="0" fontId="1" fillId="0" borderId="67" xfId="0" applyFont="1" applyBorder="1" applyAlignment="1">
      <alignment horizontal="center" vertical="center"/>
    </xf>
    <xf numFmtId="0" fontId="1" fillId="0" borderId="33" xfId="0" applyFont="1" applyBorder="1" applyAlignment="1">
      <alignment horizontal="center" vertical="center"/>
    </xf>
    <xf numFmtId="0" fontId="1" fillId="0" borderId="68" xfId="0" applyFont="1" applyBorder="1" applyAlignment="1">
      <alignment horizontal="center" vertical="center"/>
    </xf>
    <xf numFmtId="0" fontId="1" fillId="0" borderId="29" xfId="0" applyFont="1" applyBorder="1" applyAlignment="1">
      <alignment horizontal="center" vertical="center"/>
    </xf>
    <xf numFmtId="0" fontId="1" fillId="0" borderId="67" xfId="0" applyFont="1" applyBorder="1" applyAlignment="1">
      <alignment horizontal="left" vertical="center" wrapText="1" indent="1"/>
    </xf>
    <xf numFmtId="0" fontId="1" fillId="0" borderId="4" xfId="0" applyFont="1" applyBorder="1" applyAlignment="1">
      <alignment horizontal="left" vertical="center" wrapText="1" indent="1"/>
    </xf>
    <xf numFmtId="0" fontId="1" fillId="0" borderId="33" xfId="0" applyFont="1" applyBorder="1" applyAlignment="1">
      <alignment horizontal="left" vertical="center" wrapText="1" indent="1"/>
    </xf>
    <xf numFmtId="0" fontId="1" fillId="0" borderId="68" xfId="0" applyFont="1" applyBorder="1" applyAlignment="1">
      <alignment horizontal="left" vertical="center" wrapText="1" indent="1"/>
    </xf>
    <xf numFmtId="0" fontId="1" fillId="0" borderId="0" xfId="0" applyFont="1" applyBorder="1" applyAlignment="1">
      <alignment horizontal="left" vertical="center" wrapText="1" indent="1"/>
    </xf>
    <xf numFmtId="0" fontId="1" fillId="0" borderId="29" xfId="0" applyFont="1" applyBorder="1" applyAlignment="1">
      <alignment horizontal="left" vertical="center" wrapText="1" indent="1"/>
    </xf>
    <xf numFmtId="0" fontId="1" fillId="0" borderId="14" xfId="0" applyFont="1" applyBorder="1" applyAlignment="1">
      <alignment horizontal="left" vertical="center" wrapText="1" indent="1"/>
    </xf>
    <xf numFmtId="0" fontId="1" fillId="0" borderId="60" xfId="0" applyFont="1" applyBorder="1" applyAlignment="1">
      <alignment horizontal="left" vertical="center" wrapText="1" indent="1"/>
    </xf>
    <xf numFmtId="0" fontId="1" fillId="0" borderId="25" xfId="0" applyFont="1" applyBorder="1" applyAlignment="1">
      <alignment horizontal="left" vertical="center" wrapText="1" indent="1"/>
    </xf>
    <xf numFmtId="0" fontId="130" fillId="13" borderId="67" xfId="0" applyFont="1" applyFill="1" applyBorder="1" applyAlignment="1">
      <alignment horizontal="center" vertical="center"/>
    </xf>
    <xf numFmtId="0" fontId="130" fillId="13" borderId="4" xfId="0" applyFont="1" applyFill="1" applyBorder="1" applyAlignment="1">
      <alignment horizontal="center" vertical="center"/>
    </xf>
    <xf numFmtId="0" fontId="130" fillId="13" borderId="33" xfId="0" applyFont="1" applyFill="1" applyBorder="1" applyAlignment="1">
      <alignment horizontal="center" vertical="center"/>
    </xf>
    <xf numFmtId="0" fontId="130" fillId="13" borderId="68" xfId="0" applyFont="1" applyFill="1" applyBorder="1" applyAlignment="1">
      <alignment horizontal="center" vertical="center"/>
    </xf>
    <xf numFmtId="0" fontId="130" fillId="13" borderId="0" xfId="0" applyFont="1" applyFill="1" applyBorder="1" applyAlignment="1">
      <alignment horizontal="center" vertical="center"/>
    </xf>
    <xf numFmtId="0" fontId="130" fillId="13" borderId="29" xfId="0" applyFont="1" applyFill="1" applyBorder="1" applyAlignment="1">
      <alignment horizontal="center" vertical="center"/>
    </xf>
    <xf numFmtId="0" fontId="130" fillId="13" borderId="14" xfId="0" applyFont="1" applyFill="1" applyBorder="1" applyAlignment="1">
      <alignment horizontal="center" vertical="center"/>
    </xf>
    <xf numFmtId="0" fontId="130" fillId="13" borderId="60" xfId="0" applyFont="1" applyFill="1" applyBorder="1" applyAlignment="1">
      <alignment horizontal="center" vertical="center"/>
    </xf>
    <xf numFmtId="0" fontId="130" fillId="13" borderId="25" xfId="0" applyFont="1" applyFill="1" applyBorder="1" applyAlignment="1">
      <alignment horizontal="center" vertical="center"/>
    </xf>
    <xf numFmtId="0" fontId="151" fillId="5" borderId="67" xfId="0" applyFont="1" applyFill="1" applyBorder="1" applyAlignment="1">
      <alignment horizontal="center" vertical="center"/>
    </xf>
    <xf numFmtId="0" fontId="151" fillId="5" borderId="4" xfId="0" applyFont="1" applyFill="1" applyBorder="1" applyAlignment="1">
      <alignment horizontal="center" vertical="center"/>
    </xf>
    <xf numFmtId="0" fontId="151" fillId="5" borderId="33" xfId="0" applyFont="1" applyFill="1" applyBorder="1" applyAlignment="1">
      <alignment horizontal="center" vertical="center"/>
    </xf>
    <xf numFmtId="0" fontId="151" fillId="5" borderId="68" xfId="0" applyFont="1" applyFill="1" applyBorder="1" applyAlignment="1">
      <alignment horizontal="center" vertical="center"/>
    </xf>
    <xf numFmtId="0" fontId="151" fillId="5" borderId="0" xfId="0" applyFont="1" applyFill="1" applyBorder="1" applyAlignment="1">
      <alignment horizontal="center" vertical="center"/>
    </xf>
    <xf numFmtId="0" fontId="151" fillId="5" borderId="29" xfId="0" applyFont="1" applyFill="1" applyBorder="1" applyAlignment="1">
      <alignment horizontal="center" vertical="center"/>
    </xf>
    <xf numFmtId="0" fontId="151" fillId="5" borderId="14" xfId="0" applyFont="1" applyFill="1" applyBorder="1" applyAlignment="1">
      <alignment horizontal="center" vertical="center"/>
    </xf>
    <xf numFmtId="0" fontId="151" fillId="5" borderId="60" xfId="0" applyFont="1" applyFill="1" applyBorder="1" applyAlignment="1">
      <alignment horizontal="center" vertical="center"/>
    </xf>
    <xf numFmtId="0" fontId="151" fillId="5" borderId="25" xfId="0" applyFont="1" applyFill="1" applyBorder="1" applyAlignment="1">
      <alignment horizontal="center" vertical="center"/>
    </xf>
    <xf numFmtId="0" fontId="15" fillId="0" borderId="0" xfId="0" applyFont="1" applyAlignment="1">
      <alignment horizontal="center" vertical="center"/>
    </xf>
    <xf numFmtId="0" fontId="2" fillId="0" borderId="0" xfId="0" applyFont="1" applyAlignment="1">
      <alignment horizontal="left" vertical="center"/>
    </xf>
    <xf numFmtId="0" fontId="66" fillId="3" borderId="1" xfId="0" applyFont="1" applyFill="1" applyBorder="1" applyAlignment="1">
      <alignment horizontal="center" vertical="center"/>
    </xf>
    <xf numFmtId="0" fontId="152" fillId="12" borderId="67" xfId="0" applyFont="1" applyFill="1" applyBorder="1" applyAlignment="1">
      <alignment horizontal="center" vertical="center"/>
    </xf>
    <xf numFmtId="0" fontId="152" fillId="12" borderId="4" xfId="0" applyFont="1" applyFill="1" applyBorder="1" applyAlignment="1">
      <alignment horizontal="center" vertical="center"/>
    </xf>
    <xf numFmtId="0" fontId="152" fillId="12" borderId="33" xfId="0" applyFont="1" applyFill="1" applyBorder="1" applyAlignment="1">
      <alignment horizontal="center" vertical="center"/>
    </xf>
    <xf numFmtId="0" fontId="152" fillId="12" borderId="68" xfId="0" applyFont="1" applyFill="1" applyBorder="1" applyAlignment="1">
      <alignment horizontal="center" vertical="center"/>
    </xf>
    <xf numFmtId="0" fontId="152" fillId="12" borderId="0" xfId="0" applyFont="1" applyFill="1" applyBorder="1" applyAlignment="1">
      <alignment horizontal="center" vertical="center"/>
    </xf>
    <xf numFmtId="0" fontId="152" fillId="12" borderId="29" xfId="0" applyFont="1" applyFill="1" applyBorder="1" applyAlignment="1">
      <alignment horizontal="center" vertical="center"/>
    </xf>
    <xf numFmtId="0" fontId="152" fillId="12" borderId="14" xfId="0" applyFont="1" applyFill="1" applyBorder="1" applyAlignment="1">
      <alignment horizontal="center" vertical="center"/>
    </xf>
    <xf numFmtId="0" fontId="152" fillId="12" borderId="60" xfId="0" applyFont="1" applyFill="1" applyBorder="1" applyAlignment="1">
      <alignment horizontal="center" vertical="center"/>
    </xf>
    <xf numFmtId="0" fontId="152" fillId="12" borderId="25" xfId="0" applyFont="1" applyFill="1" applyBorder="1" applyAlignment="1">
      <alignment horizontal="center" vertical="center"/>
    </xf>
    <xf numFmtId="0" fontId="152" fillId="8" borderId="67" xfId="0" applyFont="1" applyFill="1" applyBorder="1" applyAlignment="1">
      <alignment horizontal="center" vertical="center"/>
    </xf>
    <xf numFmtId="0" fontId="152" fillId="8" borderId="4" xfId="0" applyFont="1" applyFill="1" applyBorder="1" applyAlignment="1">
      <alignment horizontal="center" vertical="center"/>
    </xf>
    <xf numFmtId="0" fontId="152" fillId="8" borderId="33" xfId="0" applyFont="1" applyFill="1" applyBorder="1" applyAlignment="1">
      <alignment horizontal="center" vertical="center"/>
    </xf>
    <xf numFmtId="0" fontId="152" fillId="8" borderId="68" xfId="0" applyFont="1" applyFill="1" applyBorder="1" applyAlignment="1">
      <alignment horizontal="center" vertical="center"/>
    </xf>
    <xf numFmtId="0" fontId="152" fillId="8" borderId="0" xfId="0" applyFont="1" applyFill="1" applyBorder="1" applyAlignment="1">
      <alignment horizontal="center" vertical="center"/>
    </xf>
    <xf numFmtId="0" fontId="152" fillId="8" borderId="29" xfId="0" applyFont="1" applyFill="1" applyBorder="1" applyAlignment="1">
      <alignment horizontal="center" vertical="center"/>
    </xf>
    <xf numFmtId="0" fontId="152" fillId="8" borderId="14" xfId="0" applyFont="1" applyFill="1" applyBorder="1" applyAlignment="1">
      <alignment horizontal="center" vertical="center"/>
    </xf>
    <xf numFmtId="0" fontId="152" fillId="8" borderId="60" xfId="0" applyFont="1" applyFill="1" applyBorder="1" applyAlignment="1">
      <alignment horizontal="center" vertical="center"/>
    </xf>
    <xf numFmtId="0" fontId="152" fillId="8" borderId="25" xfId="0" applyFont="1" applyFill="1" applyBorder="1" applyAlignment="1">
      <alignment horizontal="center" vertical="center"/>
    </xf>
    <xf numFmtId="0" fontId="152" fillId="32" borderId="67" xfId="0" applyFont="1" applyFill="1" applyBorder="1" applyAlignment="1">
      <alignment horizontal="center" vertical="center"/>
    </xf>
    <xf numFmtId="0" fontId="152" fillId="32" borderId="4" xfId="0" applyFont="1" applyFill="1" applyBorder="1" applyAlignment="1">
      <alignment horizontal="center" vertical="center"/>
    </xf>
    <xf numFmtId="0" fontId="152" fillId="32" borderId="33" xfId="0" applyFont="1" applyFill="1" applyBorder="1" applyAlignment="1">
      <alignment horizontal="center" vertical="center"/>
    </xf>
    <xf numFmtId="0" fontId="152" fillId="32" borderId="68" xfId="0" applyFont="1" applyFill="1" applyBorder="1" applyAlignment="1">
      <alignment horizontal="center" vertical="center"/>
    </xf>
    <xf numFmtId="0" fontId="152" fillId="32" borderId="0" xfId="0" applyFont="1" applyFill="1" applyBorder="1" applyAlignment="1">
      <alignment horizontal="center" vertical="center"/>
    </xf>
    <xf numFmtId="0" fontId="152" fillId="32" borderId="29" xfId="0" applyFont="1" applyFill="1" applyBorder="1" applyAlignment="1">
      <alignment horizontal="center" vertical="center"/>
    </xf>
    <xf numFmtId="0" fontId="152" fillId="32" borderId="14" xfId="0" applyFont="1" applyFill="1" applyBorder="1" applyAlignment="1">
      <alignment horizontal="center" vertical="center"/>
    </xf>
    <xf numFmtId="0" fontId="152" fillId="32" borderId="60" xfId="0" applyFont="1" applyFill="1" applyBorder="1" applyAlignment="1">
      <alignment horizontal="center" vertical="center"/>
    </xf>
    <xf numFmtId="0" fontId="152" fillId="32" borderId="25" xfId="0" applyFont="1" applyFill="1" applyBorder="1" applyAlignment="1">
      <alignment horizontal="center" vertical="center"/>
    </xf>
  </cellXfs>
  <cellStyles count="8">
    <cellStyle name="Hyperlink" xfId="7" builtinId="8"/>
    <cellStyle name="Normal" xfId="0" builtinId="0"/>
    <cellStyle name="Normal 2" xfId="2"/>
    <cellStyle name="Normal 2 2" xfId="3"/>
    <cellStyle name="Normal 4" xfId="4"/>
    <cellStyle name="Normal 5" xfId="5"/>
    <cellStyle name="Normal 6" xfId="6"/>
    <cellStyle name="Normal_N.SMT" xfId="1"/>
  </cellStyles>
  <dxfs count="2166">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
      <font>
        <color rgb="FF9C0006"/>
      </font>
      <fill>
        <patternFill>
          <bgColor rgb="FFFFC7CE"/>
        </patternFill>
      </fill>
    </dxf>
    <dxf>
      <font>
        <b/>
        <i val="0"/>
        <color rgb="FF00B050"/>
      </font>
    </dxf>
  </dxfs>
  <tableStyles count="0" defaultTableStyle="TableStyleMedium2" defaultPivotStyle="PivotStyleLight16"/>
  <colors>
    <mruColors>
      <color rgb="FFFFFF66"/>
      <color rgb="FFCCECFF"/>
      <color rgb="FF66FFFF"/>
      <color rgb="FF66FF33"/>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2.xml"/><Relationship Id="rId95"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id-ID"/>
            </a:pPr>
            <a:r>
              <a:rPr lang="id-ID"/>
              <a:t>Grafik Nilai Aspek Pengetahuan Siswa</a:t>
            </a:r>
          </a:p>
        </c:rich>
      </c:tx>
      <c:overlay val="0"/>
    </c:title>
    <c:autoTitleDeleted val="0"/>
    <c:plotArea>
      <c:layout/>
      <c:barChart>
        <c:barDir val="col"/>
        <c:grouping val="clustered"/>
        <c:varyColors val="0"/>
        <c:ser>
          <c:idx val="0"/>
          <c:order val="0"/>
          <c:tx>
            <c:v>Nilai Siswa</c:v>
          </c:tx>
          <c:invertIfNegative val="0"/>
          <c:cat>
            <c:strRef>
              <c:f>hasil!$A$11:$A$19</c:f>
              <c:strCache>
                <c:ptCount val="9"/>
                <c:pt idx="0">
                  <c:v>AGAMA </c:v>
                </c:pt>
                <c:pt idx="1">
                  <c:v>PKN</c:v>
                </c:pt>
                <c:pt idx="2">
                  <c:v>BI</c:v>
                </c:pt>
                <c:pt idx="3">
                  <c:v>MAT</c:v>
                </c:pt>
                <c:pt idx="4">
                  <c:v>IPA</c:v>
                </c:pt>
                <c:pt idx="5">
                  <c:v>IPS</c:v>
                </c:pt>
                <c:pt idx="6">
                  <c:v>PJOK</c:v>
                </c:pt>
                <c:pt idx="7">
                  <c:v>SBDP</c:v>
                </c:pt>
                <c:pt idx="8">
                  <c:v>B.JAWA</c:v>
                </c:pt>
              </c:strCache>
            </c:strRef>
          </c:cat>
          <c:val>
            <c:numRef>
              <c:f>hasil!$C$11:$C$19</c:f>
              <c:numCache>
                <c:formatCode>0.0</c:formatCode>
                <c:ptCount val="9"/>
                <c:pt idx="0">
                  <c:v>321</c:v>
                </c:pt>
                <c:pt idx="1">
                  <c:v>78</c:v>
                </c:pt>
                <c:pt idx="2">
                  <c:v>76</c:v>
                </c:pt>
                <c:pt idx="3">
                  <c:v>75</c:v>
                </c:pt>
                <c:pt idx="4">
                  <c:v>67</c:v>
                </c:pt>
                <c:pt idx="5">
                  <c:v>76</c:v>
                </c:pt>
                <c:pt idx="6">
                  <c:v>78</c:v>
                </c:pt>
                <c:pt idx="7">
                  <c:v>75</c:v>
                </c:pt>
                <c:pt idx="8">
                  <c:v>67</c:v>
                </c:pt>
              </c:numCache>
            </c:numRef>
          </c:val>
        </c:ser>
        <c:ser>
          <c:idx val="1"/>
          <c:order val="1"/>
          <c:tx>
            <c:v>Nilai Tertinggi</c:v>
          </c:tx>
          <c:invertIfNegative val="0"/>
          <c:cat>
            <c:strRef>
              <c:f>hasil!$A$11:$A$19</c:f>
              <c:strCache>
                <c:ptCount val="9"/>
                <c:pt idx="0">
                  <c:v>AGAMA </c:v>
                </c:pt>
                <c:pt idx="1">
                  <c:v>PKN</c:v>
                </c:pt>
                <c:pt idx="2">
                  <c:v>BI</c:v>
                </c:pt>
                <c:pt idx="3">
                  <c:v>MAT</c:v>
                </c:pt>
                <c:pt idx="4">
                  <c:v>IPA</c:v>
                </c:pt>
                <c:pt idx="5">
                  <c:v>IPS</c:v>
                </c:pt>
                <c:pt idx="6">
                  <c:v>PJOK</c:v>
                </c:pt>
                <c:pt idx="7">
                  <c:v>SBDP</c:v>
                </c:pt>
                <c:pt idx="8">
                  <c:v>B.JAWA</c:v>
                </c:pt>
              </c:strCache>
            </c:strRef>
          </c:cat>
          <c:val>
            <c:numRef>
              <c:f>hasil!$E$11:$E$19</c:f>
              <c:numCache>
                <c:formatCode>0.0</c:formatCode>
                <c:ptCount val="9"/>
                <c:pt idx="0">
                  <c:v>321</c:v>
                </c:pt>
                <c:pt idx="1">
                  <c:v>78</c:v>
                </c:pt>
                <c:pt idx="2">
                  <c:v>76</c:v>
                </c:pt>
                <c:pt idx="3">
                  <c:v>75</c:v>
                </c:pt>
                <c:pt idx="4">
                  <c:v>67</c:v>
                </c:pt>
                <c:pt idx="5">
                  <c:v>76</c:v>
                </c:pt>
                <c:pt idx="6">
                  <c:v>75</c:v>
                </c:pt>
                <c:pt idx="7">
                  <c:v>78</c:v>
                </c:pt>
                <c:pt idx="8">
                  <c:v>67</c:v>
                </c:pt>
              </c:numCache>
            </c:numRef>
          </c:val>
        </c:ser>
        <c:dLbls>
          <c:showLegendKey val="0"/>
          <c:showVal val="0"/>
          <c:showCatName val="0"/>
          <c:showSerName val="0"/>
          <c:showPercent val="0"/>
          <c:showBubbleSize val="0"/>
        </c:dLbls>
        <c:gapWidth val="75"/>
        <c:overlap val="-25"/>
        <c:axId val="329981808"/>
        <c:axId val="329985728"/>
      </c:barChart>
      <c:catAx>
        <c:axId val="329981808"/>
        <c:scaling>
          <c:orientation val="minMax"/>
        </c:scaling>
        <c:delete val="0"/>
        <c:axPos val="b"/>
        <c:numFmt formatCode="General" sourceLinked="0"/>
        <c:majorTickMark val="none"/>
        <c:minorTickMark val="none"/>
        <c:tickLblPos val="nextTo"/>
        <c:txPr>
          <a:bodyPr/>
          <a:lstStyle/>
          <a:p>
            <a:pPr>
              <a:defRPr lang="id-ID"/>
            </a:pPr>
            <a:endParaRPr lang="en-US"/>
          </a:p>
        </c:txPr>
        <c:crossAx val="329985728"/>
        <c:crosses val="autoZero"/>
        <c:auto val="1"/>
        <c:lblAlgn val="ctr"/>
        <c:lblOffset val="100"/>
        <c:noMultiLvlLbl val="0"/>
      </c:catAx>
      <c:valAx>
        <c:axId val="329985728"/>
        <c:scaling>
          <c:orientation val="minMax"/>
        </c:scaling>
        <c:delete val="0"/>
        <c:axPos val="l"/>
        <c:majorGridlines/>
        <c:numFmt formatCode="0.0" sourceLinked="1"/>
        <c:majorTickMark val="none"/>
        <c:minorTickMark val="none"/>
        <c:tickLblPos val="nextTo"/>
        <c:spPr>
          <a:ln w="9525">
            <a:noFill/>
          </a:ln>
        </c:spPr>
        <c:txPr>
          <a:bodyPr/>
          <a:lstStyle/>
          <a:p>
            <a:pPr>
              <a:defRPr lang="id-ID"/>
            </a:pPr>
            <a:endParaRPr lang="en-US"/>
          </a:p>
        </c:txPr>
        <c:crossAx val="329981808"/>
        <c:crosses val="autoZero"/>
        <c:crossBetween val="between"/>
      </c:valAx>
    </c:plotArea>
    <c:legend>
      <c:legendPos val="b"/>
      <c:overlay val="0"/>
      <c:txPr>
        <a:bodyPr/>
        <a:lstStyle/>
        <a:p>
          <a:pPr>
            <a:defRPr lang="id-ID"/>
          </a:pPr>
          <a:endParaRPr lang="en-US"/>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id-ID"/>
            </a:pPr>
            <a:r>
              <a:rPr lang="id-ID"/>
              <a:t>Grafik Nilai Siswa</a:t>
            </a:r>
          </a:p>
        </c:rich>
      </c:tx>
      <c:overlay val="0"/>
    </c:title>
    <c:autoTitleDeleted val="0"/>
    <c:plotArea>
      <c:layout/>
      <c:barChart>
        <c:barDir val="col"/>
        <c:grouping val="clustered"/>
        <c:varyColors val="0"/>
        <c:ser>
          <c:idx val="0"/>
          <c:order val="0"/>
          <c:tx>
            <c:v>Nilai Siswa</c:v>
          </c:tx>
          <c:invertIfNegative val="0"/>
          <c:cat>
            <c:strRef>
              <c:f>HASIL2!$A$11:$A$19</c:f>
              <c:strCache>
                <c:ptCount val="9"/>
                <c:pt idx="0">
                  <c:v>AGAMA </c:v>
                </c:pt>
                <c:pt idx="1">
                  <c:v>PKN</c:v>
                </c:pt>
                <c:pt idx="2">
                  <c:v>BI</c:v>
                </c:pt>
                <c:pt idx="3">
                  <c:v>MAT</c:v>
                </c:pt>
                <c:pt idx="4">
                  <c:v>IPA</c:v>
                </c:pt>
                <c:pt idx="5">
                  <c:v>IPS</c:v>
                </c:pt>
                <c:pt idx="6">
                  <c:v>PJOK</c:v>
                </c:pt>
                <c:pt idx="7">
                  <c:v>SBDP</c:v>
                </c:pt>
                <c:pt idx="8">
                  <c:v>B.JAWA</c:v>
                </c:pt>
              </c:strCache>
            </c:strRef>
          </c:cat>
          <c:val>
            <c:numRef>
              <c:f>HASIL2!$C$11:$C$19</c:f>
              <c:numCache>
                <c:formatCode>0.0</c:formatCode>
                <c:ptCount val="9"/>
                <c:pt idx="0">
                  <c:v>0</c:v>
                </c:pt>
                <c:pt idx="1">
                  <c:v>70</c:v>
                </c:pt>
                <c:pt idx="2">
                  <c:v>70</c:v>
                </c:pt>
                <c:pt idx="3">
                  <c:v>0</c:v>
                </c:pt>
                <c:pt idx="4">
                  <c:v>0</c:v>
                </c:pt>
                <c:pt idx="5">
                  <c:v>0</c:v>
                </c:pt>
                <c:pt idx="6">
                  <c:v>0</c:v>
                </c:pt>
                <c:pt idx="7">
                  <c:v>0</c:v>
                </c:pt>
                <c:pt idx="8">
                  <c:v>0</c:v>
                </c:pt>
              </c:numCache>
            </c:numRef>
          </c:val>
        </c:ser>
        <c:ser>
          <c:idx val="1"/>
          <c:order val="1"/>
          <c:tx>
            <c:v>Nilai Tertinggi</c:v>
          </c:tx>
          <c:invertIfNegative val="0"/>
          <c:cat>
            <c:strRef>
              <c:f>HASIL2!$A$11:$A$19</c:f>
              <c:strCache>
                <c:ptCount val="9"/>
                <c:pt idx="0">
                  <c:v>AGAMA </c:v>
                </c:pt>
                <c:pt idx="1">
                  <c:v>PKN</c:v>
                </c:pt>
                <c:pt idx="2">
                  <c:v>BI</c:v>
                </c:pt>
                <c:pt idx="3">
                  <c:v>MAT</c:v>
                </c:pt>
                <c:pt idx="4">
                  <c:v>IPA</c:v>
                </c:pt>
                <c:pt idx="5">
                  <c:v>IPS</c:v>
                </c:pt>
                <c:pt idx="6">
                  <c:v>PJOK</c:v>
                </c:pt>
                <c:pt idx="7">
                  <c:v>SBDP</c:v>
                </c:pt>
                <c:pt idx="8">
                  <c:v>B.JAWA</c:v>
                </c:pt>
              </c:strCache>
            </c:strRef>
          </c:cat>
          <c:val>
            <c:numRef>
              <c:f>HASIL2!$E$11:$E$19</c:f>
              <c:numCache>
                <c:formatCode>0.0</c:formatCode>
                <c:ptCount val="9"/>
                <c:pt idx="0">
                  <c:v>0</c:v>
                </c:pt>
                <c:pt idx="1">
                  <c:v>70</c:v>
                </c:pt>
                <c:pt idx="2">
                  <c:v>69</c:v>
                </c:pt>
                <c:pt idx="3">
                  <c:v>0</c:v>
                </c:pt>
                <c:pt idx="4">
                  <c:v>0</c:v>
                </c:pt>
                <c:pt idx="5">
                  <c:v>0</c:v>
                </c:pt>
                <c:pt idx="6">
                  <c:v>0</c:v>
                </c:pt>
                <c:pt idx="7">
                  <c:v>0</c:v>
                </c:pt>
                <c:pt idx="8">
                  <c:v>0</c:v>
                </c:pt>
              </c:numCache>
            </c:numRef>
          </c:val>
        </c:ser>
        <c:dLbls>
          <c:showLegendKey val="0"/>
          <c:showVal val="0"/>
          <c:showCatName val="0"/>
          <c:showSerName val="0"/>
          <c:showPercent val="0"/>
          <c:showBubbleSize val="0"/>
        </c:dLbls>
        <c:gapWidth val="75"/>
        <c:overlap val="-25"/>
        <c:axId val="329984944"/>
        <c:axId val="329987296"/>
      </c:barChart>
      <c:catAx>
        <c:axId val="329984944"/>
        <c:scaling>
          <c:orientation val="minMax"/>
        </c:scaling>
        <c:delete val="0"/>
        <c:axPos val="b"/>
        <c:numFmt formatCode="General" sourceLinked="0"/>
        <c:majorTickMark val="none"/>
        <c:minorTickMark val="none"/>
        <c:tickLblPos val="nextTo"/>
        <c:txPr>
          <a:bodyPr/>
          <a:lstStyle/>
          <a:p>
            <a:pPr>
              <a:defRPr lang="id-ID"/>
            </a:pPr>
            <a:endParaRPr lang="en-US"/>
          </a:p>
        </c:txPr>
        <c:crossAx val="329987296"/>
        <c:crosses val="autoZero"/>
        <c:auto val="1"/>
        <c:lblAlgn val="ctr"/>
        <c:lblOffset val="100"/>
        <c:noMultiLvlLbl val="0"/>
      </c:catAx>
      <c:valAx>
        <c:axId val="329987296"/>
        <c:scaling>
          <c:orientation val="minMax"/>
        </c:scaling>
        <c:delete val="0"/>
        <c:axPos val="l"/>
        <c:majorGridlines/>
        <c:numFmt formatCode="0.0" sourceLinked="1"/>
        <c:majorTickMark val="none"/>
        <c:minorTickMark val="none"/>
        <c:tickLblPos val="nextTo"/>
        <c:spPr>
          <a:ln w="9525">
            <a:noFill/>
          </a:ln>
        </c:spPr>
        <c:txPr>
          <a:bodyPr/>
          <a:lstStyle/>
          <a:p>
            <a:pPr>
              <a:defRPr lang="id-ID"/>
            </a:pPr>
            <a:endParaRPr lang="en-US"/>
          </a:p>
        </c:txPr>
        <c:crossAx val="329984944"/>
        <c:crosses val="autoZero"/>
        <c:crossBetween val="between"/>
      </c:valAx>
    </c:plotArea>
    <c:legend>
      <c:legendPos val="b"/>
      <c:overlay val="0"/>
      <c:txPr>
        <a:bodyPr/>
        <a:lstStyle/>
        <a:p>
          <a:pPr>
            <a:defRPr lang="id-ID"/>
          </a:pPr>
          <a:endParaRPr lang="en-US"/>
        </a:p>
      </c:txPr>
    </c:legend>
    <c:plotVisOnly val="1"/>
    <c:dispBlanksAs val="gap"/>
    <c:showDLblsOverMax val="0"/>
  </c:chart>
  <c:spPr>
    <a:noFill/>
    <a:ln>
      <a:solidFill>
        <a:schemeClr val="tx1"/>
      </a:solidFill>
    </a:ln>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Mat_ki3!A1"/><Relationship Id="rId13" Type="http://schemas.openxmlformats.org/officeDocument/2006/relationships/hyperlink" Target="#pkn_ki4!A1"/><Relationship Id="rId18" Type="http://schemas.openxmlformats.org/officeDocument/2006/relationships/hyperlink" Target="#mulok_ki4!A1"/><Relationship Id="rId26" Type="http://schemas.openxmlformats.org/officeDocument/2006/relationships/hyperlink" Target="#IPS_KI4!A1"/><Relationship Id="rId3" Type="http://schemas.openxmlformats.org/officeDocument/2006/relationships/hyperlink" Target="#dtesku!A1"/><Relationship Id="rId21" Type="http://schemas.openxmlformats.org/officeDocument/2006/relationships/hyperlink" Target="http://www.atirta13.com" TargetMode="External"/><Relationship Id="rId7" Type="http://schemas.openxmlformats.org/officeDocument/2006/relationships/hyperlink" Target="#biki_3!A1"/><Relationship Id="rId12" Type="http://schemas.openxmlformats.org/officeDocument/2006/relationships/hyperlink" Target="#mulok_ki3!A1"/><Relationship Id="rId17" Type="http://schemas.openxmlformats.org/officeDocument/2006/relationships/hyperlink" Target="#pjok_ki4!A1"/><Relationship Id="rId25" Type="http://schemas.openxmlformats.org/officeDocument/2006/relationships/hyperlink" Target="#IPA_KI4!A1"/><Relationship Id="rId2" Type="http://schemas.openxmlformats.org/officeDocument/2006/relationships/hyperlink" Target="#dtsekolah!A1"/><Relationship Id="rId16" Type="http://schemas.openxmlformats.org/officeDocument/2006/relationships/hyperlink" Target="#Sbdp_ki4!A1"/><Relationship Id="rId20" Type="http://schemas.openxmlformats.org/officeDocument/2006/relationships/hyperlink" Target="#prestasi!A1"/><Relationship Id="rId29" Type="http://schemas.openxmlformats.org/officeDocument/2006/relationships/image" Target="../media/image2.jpeg"/><Relationship Id="rId1" Type="http://schemas.openxmlformats.org/officeDocument/2006/relationships/hyperlink" Target="#dtsiswa!A1"/><Relationship Id="rId6" Type="http://schemas.openxmlformats.org/officeDocument/2006/relationships/hyperlink" Target="#pknki_3!A1"/><Relationship Id="rId11" Type="http://schemas.openxmlformats.org/officeDocument/2006/relationships/hyperlink" Target="#agmki3!A1"/><Relationship Id="rId24" Type="http://schemas.openxmlformats.org/officeDocument/2006/relationships/hyperlink" Target="#IPS_3!A1"/><Relationship Id="rId5" Type="http://schemas.openxmlformats.org/officeDocument/2006/relationships/hyperlink" Target="#SOSIAL!A1"/><Relationship Id="rId15" Type="http://schemas.openxmlformats.org/officeDocument/2006/relationships/hyperlink" Target="#mat_ki4!A1"/><Relationship Id="rId23" Type="http://schemas.openxmlformats.org/officeDocument/2006/relationships/hyperlink" Target="#ipa_3!A1"/><Relationship Id="rId28" Type="http://schemas.openxmlformats.org/officeDocument/2006/relationships/hyperlink" Target="htpp://www.opssekolahkita.com" TargetMode="External"/><Relationship Id="rId10" Type="http://schemas.openxmlformats.org/officeDocument/2006/relationships/hyperlink" Target="#pjok_ki3!A1"/><Relationship Id="rId19" Type="http://schemas.openxmlformats.org/officeDocument/2006/relationships/hyperlink" Target="#RAPOT!A1"/><Relationship Id="rId4" Type="http://schemas.openxmlformats.org/officeDocument/2006/relationships/hyperlink" Target="#SPIRITUAL!A1"/><Relationship Id="rId9" Type="http://schemas.openxmlformats.org/officeDocument/2006/relationships/hyperlink" Target="#sbdp_ki3!A1"/><Relationship Id="rId14" Type="http://schemas.openxmlformats.org/officeDocument/2006/relationships/hyperlink" Target="#BI_ki4!A1"/><Relationship Id="rId22" Type="http://schemas.openxmlformats.org/officeDocument/2006/relationships/image" Target="../media/image1.jpeg"/><Relationship Id="rId27" Type="http://schemas.openxmlformats.org/officeDocument/2006/relationships/hyperlink" Target="#KAT!A1"/></Relationships>
</file>

<file path=xl/drawings/_rels/drawing2.xml.rels><?xml version="1.0" encoding="UTF-8" standalone="yes"?>
<Relationships xmlns="http://schemas.openxmlformats.org/package/2006/relationships"><Relationship Id="rId2" Type="http://schemas.openxmlformats.org/officeDocument/2006/relationships/hyperlink" Target="#DEPAN!A1"/><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1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2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2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menu!A1"/></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2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3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3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32.xml.rels><?xml version="1.0" encoding="UTF-8" standalone="yes"?>
<Relationships xmlns="http://schemas.openxmlformats.org/package/2006/relationships"><Relationship Id="rId8" Type="http://schemas.openxmlformats.org/officeDocument/2006/relationships/hyperlink" Target="#des_agm!Z1"/><Relationship Id="rId3" Type="http://schemas.openxmlformats.org/officeDocument/2006/relationships/hyperlink" Target="#des_agm!A1"/><Relationship Id="rId7" Type="http://schemas.openxmlformats.org/officeDocument/2006/relationships/hyperlink" Target="#des_agm!V69"/><Relationship Id="rId2" Type="http://schemas.openxmlformats.org/officeDocument/2006/relationships/hyperlink" Target="#des_agm!V1"/><Relationship Id="rId1" Type="http://schemas.openxmlformats.org/officeDocument/2006/relationships/hyperlink" Target="#des_agm!A66"/><Relationship Id="rId6" Type="http://schemas.openxmlformats.org/officeDocument/2006/relationships/hyperlink" Target="#des_agm!M1"/><Relationship Id="rId5" Type="http://schemas.openxmlformats.org/officeDocument/2006/relationships/image" Target="../media/image3.png"/><Relationship Id="rId4" Type="http://schemas.openxmlformats.org/officeDocument/2006/relationships/hyperlink" Target="#menu!A1"/><Relationship Id="rId9" Type="http://schemas.openxmlformats.org/officeDocument/2006/relationships/image" Target="../media/image5.png"/></Relationships>
</file>

<file path=xl/drawings/_rels/drawing3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menu!A1"/><Relationship Id="rId7" Type="http://schemas.openxmlformats.org/officeDocument/2006/relationships/hyperlink" Target="#des_pkn!I64"/><Relationship Id="rId2" Type="http://schemas.openxmlformats.org/officeDocument/2006/relationships/hyperlink" Target="#des_pkn!A1"/><Relationship Id="rId1" Type="http://schemas.openxmlformats.org/officeDocument/2006/relationships/hyperlink" Target="#des_pkn!J1"/><Relationship Id="rId6" Type="http://schemas.openxmlformats.org/officeDocument/2006/relationships/hyperlink" Target="#des_pkn!I1"/><Relationship Id="rId5" Type="http://schemas.openxmlformats.org/officeDocument/2006/relationships/hyperlink" Target="#des_pkn!A65"/><Relationship Id="rId4" Type="http://schemas.openxmlformats.org/officeDocument/2006/relationships/image" Target="../media/image3.png"/><Relationship Id="rId9" Type="http://schemas.openxmlformats.org/officeDocument/2006/relationships/hyperlink" Target="#des_pkn!Q1"/></Relationships>
</file>

<file path=xl/drawings/_rels/drawing34.xml.rels><?xml version="1.0" encoding="UTF-8" standalone="yes"?>
<Relationships xmlns="http://schemas.openxmlformats.org/package/2006/relationships"><Relationship Id="rId8" Type="http://schemas.openxmlformats.org/officeDocument/2006/relationships/hyperlink" Target="#des_BI!J2"/><Relationship Id="rId3" Type="http://schemas.openxmlformats.org/officeDocument/2006/relationships/hyperlink" Target="#menu!A1"/><Relationship Id="rId7" Type="http://schemas.openxmlformats.org/officeDocument/2006/relationships/hyperlink" Target="#des_BI!J66"/><Relationship Id="rId2" Type="http://schemas.openxmlformats.org/officeDocument/2006/relationships/hyperlink" Target="#des_BI!A1"/><Relationship Id="rId1" Type="http://schemas.openxmlformats.org/officeDocument/2006/relationships/hyperlink" Target="#des_BI!P1"/><Relationship Id="rId6" Type="http://schemas.openxmlformats.org/officeDocument/2006/relationships/hyperlink" Target="#des_BI!J1"/><Relationship Id="rId5" Type="http://schemas.openxmlformats.org/officeDocument/2006/relationships/hyperlink" Target="#des_BI!A68"/><Relationship Id="rId10" Type="http://schemas.openxmlformats.org/officeDocument/2006/relationships/image" Target="../media/image5.png"/><Relationship Id="rId4" Type="http://schemas.openxmlformats.org/officeDocument/2006/relationships/image" Target="../media/image3.png"/><Relationship Id="rId9" Type="http://schemas.openxmlformats.org/officeDocument/2006/relationships/hyperlink" Target="#des_BI!T1"/></Relationships>
</file>

<file path=xl/drawings/_rels/drawing35.xml.rels><?xml version="1.0" encoding="UTF-8" standalone="yes"?>
<Relationships xmlns="http://schemas.openxmlformats.org/package/2006/relationships"><Relationship Id="rId8" Type="http://schemas.openxmlformats.org/officeDocument/2006/relationships/hyperlink" Target="#des_ipa!P1"/><Relationship Id="rId3" Type="http://schemas.openxmlformats.org/officeDocument/2006/relationships/hyperlink" Target="#menu!A1"/><Relationship Id="rId7" Type="http://schemas.openxmlformats.org/officeDocument/2006/relationships/hyperlink" Target="#des_ipa!I1"/><Relationship Id="rId2" Type="http://schemas.openxmlformats.org/officeDocument/2006/relationships/hyperlink" Target="#des_ipa!A1"/><Relationship Id="rId1" Type="http://schemas.openxmlformats.org/officeDocument/2006/relationships/hyperlink" Target="#des_ipa!L1"/><Relationship Id="rId6" Type="http://schemas.openxmlformats.org/officeDocument/2006/relationships/hyperlink" Target="#des_ipa!G61"/><Relationship Id="rId5" Type="http://schemas.openxmlformats.org/officeDocument/2006/relationships/hyperlink" Target="#des_ipa!A64"/><Relationship Id="rId4" Type="http://schemas.openxmlformats.org/officeDocument/2006/relationships/image" Target="../media/image3.png"/><Relationship Id="rId9" Type="http://schemas.openxmlformats.org/officeDocument/2006/relationships/image" Target="../media/image6.png"/></Relationships>
</file>

<file path=xl/drawings/_rels/drawing36.xml.rels><?xml version="1.0" encoding="UTF-8" standalone="yes"?>
<Relationships xmlns="http://schemas.openxmlformats.org/package/2006/relationships"><Relationship Id="rId8" Type="http://schemas.openxmlformats.org/officeDocument/2006/relationships/hyperlink" Target="#des_ips!Q1"/><Relationship Id="rId3" Type="http://schemas.openxmlformats.org/officeDocument/2006/relationships/hyperlink" Target="#menu!A1"/><Relationship Id="rId7" Type="http://schemas.openxmlformats.org/officeDocument/2006/relationships/hyperlink" Target="#des_ips!I1"/><Relationship Id="rId2" Type="http://schemas.openxmlformats.org/officeDocument/2006/relationships/hyperlink" Target="#des_ips!A1"/><Relationship Id="rId1" Type="http://schemas.openxmlformats.org/officeDocument/2006/relationships/hyperlink" Target="#des_ips!M1"/><Relationship Id="rId6" Type="http://schemas.openxmlformats.org/officeDocument/2006/relationships/hyperlink" Target="#des_ips!G63"/><Relationship Id="rId5" Type="http://schemas.openxmlformats.org/officeDocument/2006/relationships/hyperlink" Target="#des_ips!A63"/><Relationship Id="rId4" Type="http://schemas.openxmlformats.org/officeDocument/2006/relationships/image" Target="../media/image3.png"/><Relationship Id="rId9" Type="http://schemas.openxmlformats.org/officeDocument/2006/relationships/image" Target="../media/image6.png"/></Relationships>
</file>

<file path=xl/drawings/_rels/drawing37.xml.rels><?xml version="1.0" encoding="UTF-8" standalone="yes"?>
<Relationships xmlns="http://schemas.openxmlformats.org/package/2006/relationships"><Relationship Id="rId8" Type="http://schemas.openxmlformats.org/officeDocument/2006/relationships/hyperlink" Target="#des_mat!AC1"/><Relationship Id="rId3" Type="http://schemas.openxmlformats.org/officeDocument/2006/relationships/image" Target="../media/image3.png"/><Relationship Id="rId7" Type="http://schemas.openxmlformats.org/officeDocument/2006/relationships/hyperlink" Target="#des_mat!L1"/><Relationship Id="rId2" Type="http://schemas.openxmlformats.org/officeDocument/2006/relationships/hyperlink" Target="#menu!A1"/><Relationship Id="rId1" Type="http://schemas.openxmlformats.org/officeDocument/2006/relationships/hyperlink" Target="#des_mat!A1"/><Relationship Id="rId6" Type="http://schemas.openxmlformats.org/officeDocument/2006/relationships/hyperlink" Target="#des_mat!L65"/><Relationship Id="rId5" Type="http://schemas.openxmlformats.org/officeDocument/2006/relationships/hyperlink" Target="#des_mat!P1"/><Relationship Id="rId10" Type="http://schemas.openxmlformats.org/officeDocument/2006/relationships/hyperlink" Target="#des_mat!Y1"/><Relationship Id="rId4" Type="http://schemas.openxmlformats.org/officeDocument/2006/relationships/hyperlink" Target="#des_mat!A67"/><Relationship Id="rId9" Type="http://schemas.openxmlformats.org/officeDocument/2006/relationships/image" Target="../media/image5.png"/></Relationships>
</file>

<file path=xl/drawings/_rels/drawing38.xml.rels><?xml version="1.0" encoding="UTF-8" standalone="yes"?>
<Relationships xmlns="http://schemas.openxmlformats.org/package/2006/relationships"><Relationship Id="rId8" Type="http://schemas.openxmlformats.org/officeDocument/2006/relationships/hyperlink" Target="#des_sbdp!U1"/><Relationship Id="rId3" Type="http://schemas.openxmlformats.org/officeDocument/2006/relationships/image" Target="../media/image3.png"/><Relationship Id="rId7" Type="http://schemas.openxmlformats.org/officeDocument/2006/relationships/hyperlink" Target="#des_sbdp!I1"/><Relationship Id="rId2" Type="http://schemas.openxmlformats.org/officeDocument/2006/relationships/hyperlink" Target="#menu!A1"/><Relationship Id="rId1" Type="http://schemas.openxmlformats.org/officeDocument/2006/relationships/hyperlink" Target="#des_sbdp!A1"/><Relationship Id="rId6" Type="http://schemas.openxmlformats.org/officeDocument/2006/relationships/hyperlink" Target="#des_sbdp!I65"/><Relationship Id="rId5" Type="http://schemas.openxmlformats.org/officeDocument/2006/relationships/hyperlink" Target="#des_sbdp!Q1"/><Relationship Id="rId4" Type="http://schemas.openxmlformats.org/officeDocument/2006/relationships/hyperlink" Target="#des_sbdp!A65"/><Relationship Id="rId9" Type="http://schemas.openxmlformats.org/officeDocument/2006/relationships/image" Target="../media/image5.png"/></Relationships>
</file>

<file path=xl/drawings/_rels/drawing39.xml.rels><?xml version="1.0" encoding="UTF-8" standalone="yes"?>
<Relationships xmlns="http://schemas.openxmlformats.org/package/2006/relationships"><Relationship Id="rId8" Type="http://schemas.openxmlformats.org/officeDocument/2006/relationships/hyperlink" Target="#des_pjok!U1"/><Relationship Id="rId3" Type="http://schemas.openxmlformats.org/officeDocument/2006/relationships/image" Target="../media/image3.png"/><Relationship Id="rId7" Type="http://schemas.openxmlformats.org/officeDocument/2006/relationships/hyperlink" Target="#des_pjok!J1"/><Relationship Id="rId2" Type="http://schemas.openxmlformats.org/officeDocument/2006/relationships/hyperlink" Target="#menu!A1"/><Relationship Id="rId1" Type="http://schemas.openxmlformats.org/officeDocument/2006/relationships/hyperlink" Target="#des_pjok!A1"/><Relationship Id="rId6" Type="http://schemas.openxmlformats.org/officeDocument/2006/relationships/hyperlink" Target="#des_pjok!J65"/><Relationship Id="rId5" Type="http://schemas.openxmlformats.org/officeDocument/2006/relationships/hyperlink" Target="#des_pjok!P1"/><Relationship Id="rId10" Type="http://schemas.openxmlformats.org/officeDocument/2006/relationships/hyperlink" Target="#des_pjok!Q1"/><Relationship Id="rId4" Type="http://schemas.openxmlformats.org/officeDocument/2006/relationships/hyperlink" Target="#des_pjok!A65"/><Relationship Id="rId9" Type="http://schemas.openxmlformats.org/officeDocument/2006/relationships/image" Target="../media/image5.png"/></Relationships>
</file>

<file path=xl/drawings/_rels/drawing40.xml.rels><?xml version="1.0" encoding="UTF-8" standalone="yes"?>
<Relationships xmlns="http://schemas.openxmlformats.org/package/2006/relationships"><Relationship Id="rId8" Type="http://schemas.openxmlformats.org/officeDocument/2006/relationships/hyperlink" Target="#des_mulok!H1"/><Relationship Id="rId3" Type="http://schemas.openxmlformats.org/officeDocument/2006/relationships/image" Target="../media/image3.png"/><Relationship Id="rId7" Type="http://schemas.openxmlformats.org/officeDocument/2006/relationships/hyperlink" Target="#des_mulok!H67"/><Relationship Id="rId2" Type="http://schemas.openxmlformats.org/officeDocument/2006/relationships/hyperlink" Target="#menu!A1"/><Relationship Id="rId1" Type="http://schemas.openxmlformats.org/officeDocument/2006/relationships/hyperlink" Target="#des_mulok!A1"/><Relationship Id="rId6" Type="http://schemas.openxmlformats.org/officeDocument/2006/relationships/hyperlink" Target="#des_mulok!M1"/><Relationship Id="rId5" Type="http://schemas.openxmlformats.org/officeDocument/2006/relationships/hyperlink" Target="#des_mulok!A67"/><Relationship Id="rId10" Type="http://schemas.openxmlformats.org/officeDocument/2006/relationships/image" Target="../media/image5.png"/><Relationship Id="rId4" Type="http://schemas.openxmlformats.org/officeDocument/2006/relationships/hyperlink" Target="#des_sbdp!A1"/><Relationship Id="rId9" Type="http://schemas.openxmlformats.org/officeDocument/2006/relationships/hyperlink" Target="#des_mulok!Q1"/></Relationships>
</file>

<file path=xl/drawings/_rels/drawing4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4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4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44.xml.rels><?xml version="1.0" encoding="UTF-8" standalone="yes"?>
<Relationships xmlns="http://schemas.openxmlformats.org/package/2006/relationships"><Relationship Id="rId3" Type="http://schemas.openxmlformats.org/officeDocument/2006/relationships/hyperlink" Target="#RAPOT!A1"/><Relationship Id="rId2" Type="http://schemas.openxmlformats.org/officeDocument/2006/relationships/image" Target="../media/image8.png"/><Relationship Id="rId1" Type="http://schemas.openxmlformats.org/officeDocument/2006/relationships/hyperlink" Target="#menu!A1"/><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45.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menu!A1"/></Relationships>
</file>

<file path=xl/drawings/_rels/drawing4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47.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kn5!A1"/><Relationship Id="rId7" Type="http://schemas.openxmlformats.org/officeDocument/2006/relationships/hyperlink" Target="#an_pkn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kn6!A1"/><Relationship Id="rId10" Type="http://schemas.openxmlformats.org/officeDocument/2006/relationships/image" Target="../media/image16.png"/><Relationship Id="rId4" Type="http://schemas.openxmlformats.org/officeDocument/2006/relationships/image" Target="../media/image13.png"/><Relationship Id="rId9" Type="http://schemas.openxmlformats.org/officeDocument/2006/relationships/hyperlink" Target="#an_pkn8!A1"/></Relationships>
</file>

<file path=xl/drawings/_rels/drawing48.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kn5!A1"/><Relationship Id="rId7" Type="http://schemas.openxmlformats.org/officeDocument/2006/relationships/hyperlink" Target="#an_pkn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kn6!A1"/><Relationship Id="rId10" Type="http://schemas.openxmlformats.org/officeDocument/2006/relationships/image" Target="../media/image16.png"/><Relationship Id="rId4" Type="http://schemas.openxmlformats.org/officeDocument/2006/relationships/image" Target="../media/image13.png"/><Relationship Id="rId9" Type="http://schemas.openxmlformats.org/officeDocument/2006/relationships/hyperlink" Target="#an_pkn8!A1"/></Relationships>
</file>

<file path=xl/drawings/_rels/drawing49.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kn5!A1"/><Relationship Id="rId7" Type="http://schemas.openxmlformats.org/officeDocument/2006/relationships/hyperlink" Target="#an_pkn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kn6!A1"/><Relationship Id="rId10" Type="http://schemas.openxmlformats.org/officeDocument/2006/relationships/image" Target="../media/image16.png"/><Relationship Id="rId4" Type="http://schemas.openxmlformats.org/officeDocument/2006/relationships/image" Target="../media/image13.png"/><Relationship Id="rId9" Type="http://schemas.openxmlformats.org/officeDocument/2006/relationships/hyperlink" Target="#an_pkn8!A1"/></Relationships>
</file>

<file path=xl/drawings/_rels/drawing50.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kn5!A1"/><Relationship Id="rId7" Type="http://schemas.openxmlformats.org/officeDocument/2006/relationships/hyperlink" Target="#an_pkn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kn6!A1"/><Relationship Id="rId10" Type="http://schemas.openxmlformats.org/officeDocument/2006/relationships/image" Target="../media/image16.png"/><Relationship Id="rId4" Type="http://schemas.openxmlformats.org/officeDocument/2006/relationships/image" Target="../media/image13.png"/><Relationship Id="rId9" Type="http://schemas.openxmlformats.org/officeDocument/2006/relationships/hyperlink" Target="#an_pkn8!A1"/></Relationships>
</file>

<file path=xl/drawings/_rels/drawing5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bi5!A1"/><Relationship Id="rId7" Type="http://schemas.openxmlformats.org/officeDocument/2006/relationships/hyperlink" Target="#an_bi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bi6!A1"/><Relationship Id="rId10" Type="http://schemas.openxmlformats.org/officeDocument/2006/relationships/image" Target="../media/image17.png"/><Relationship Id="rId4" Type="http://schemas.openxmlformats.org/officeDocument/2006/relationships/image" Target="../media/image13.png"/><Relationship Id="rId9" Type="http://schemas.openxmlformats.org/officeDocument/2006/relationships/hyperlink" Target="#an_bi8!A1"/></Relationships>
</file>

<file path=xl/drawings/_rels/drawing5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5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5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55.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mat5!A1"/><Relationship Id="rId7" Type="http://schemas.openxmlformats.org/officeDocument/2006/relationships/hyperlink" Target="#an_mat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mat6!A1"/><Relationship Id="rId10" Type="http://schemas.openxmlformats.org/officeDocument/2006/relationships/image" Target="../media/image18.png"/><Relationship Id="rId4" Type="http://schemas.openxmlformats.org/officeDocument/2006/relationships/image" Target="../media/image13.png"/><Relationship Id="rId9" Type="http://schemas.openxmlformats.org/officeDocument/2006/relationships/hyperlink" Target="#an_mat8!A1"/></Relationships>
</file>

<file path=xl/drawings/_rels/drawing56.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mat5!A1"/><Relationship Id="rId7" Type="http://schemas.openxmlformats.org/officeDocument/2006/relationships/hyperlink" Target="#an_mat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mat6!A1"/><Relationship Id="rId10" Type="http://schemas.openxmlformats.org/officeDocument/2006/relationships/image" Target="../media/image18.png"/><Relationship Id="rId4" Type="http://schemas.openxmlformats.org/officeDocument/2006/relationships/image" Target="../media/image13.png"/><Relationship Id="rId9" Type="http://schemas.openxmlformats.org/officeDocument/2006/relationships/hyperlink" Target="#an_mat8!A1"/></Relationships>
</file>

<file path=xl/drawings/_rels/drawing57.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mat5!A1"/><Relationship Id="rId7" Type="http://schemas.openxmlformats.org/officeDocument/2006/relationships/hyperlink" Target="#an_mat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mat6!A1"/><Relationship Id="rId10" Type="http://schemas.openxmlformats.org/officeDocument/2006/relationships/image" Target="../media/image18.png"/><Relationship Id="rId4" Type="http://schemas.openxmlformats.org/officeDocument/2006/relationships/image" Target="../media/image13.png"/><Relationship Id="rId9" Type="http://schemas.openxmlformats.org/officeDocument/2006/relationships/hyperlink" Target="#an_mat8!A1"/></Relationships>
</file>

<file path=xl/drawings/_rels/drawing58.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mat5!A1"/><Relationship Id="rId7" Type="http://schemas.openxmlformats.org/officeDocument/2006/relationships/hyperlink" Target="#an_mat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mat6!A1"/><Relationship Id="rId10" Type="http://schemas.openxmlformats.org/officeDocument/2006/relationships/image" Target="../media/image18.png"/><Relationship Id="rId4" Type="http://schemas.openxmlformats.org/officeDocument/2006/relationships/image" Target="../media/image13.png"/><Relationship Id="rId9" Type="http://schemas.openxmlformats.org/officeDocument/2006/relationships/hyperlink" Target="#an_mat8!A1"/></Relationships>
</file>

<file path=xl/drawings/_rels/drawing59.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sbdp5!A1"/><Relationship Id="rId7" Type="http://schemas.openxmlformats.org/officeDocument/2006/relationships/hyperlink" Target="#an_sbdp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sbdp6!A1"/><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hyperlink" Target="#an_sbdp8!A1"/></Relationships>
</file>

<file path=xl/drawings/_rels/drawing60.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sbdp5!A1"/><Relationship Id="rId7" Type="http://schemas.openxmlformats.org/officeDocument/2006/relationships/hyperlink" Target="#an_sbdp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sbdp6!A1"/><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hyperlink" Target="#an_sbdp8!A1"/></Relationships>
</file>

<file path=xl/drawings/_rels/drawing6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sbdp5!A1"/><Relationship Id="rId7" Type="http://schemas.openxmlformats.org/officeDocument/2006/relationships/hyperlink" Target="#an_sbdp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sbdp6!A1"/><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hyperlink" Target="#an_sbdp8!A1"/></Relationships>
</file>

<file path=xl/drawings/_rels/drawing6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sbdp5!A1"/><Relationship Id="rId7" Type="http://schemas.openxmlformats.org/officeDocument/2006/relationships/hyperlink" Target="#an_sbdp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sbdp6!A1"/><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hyperlink" Target="#an_sbdp8!A1"/></Relationships>
</file>

<file path=xl/drawings/_rels/drawing6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jok5!A1"/><Relationship Id="rId7" Type="http://schemas.openxmlformats.org/officeDocument/2006/relationships/hyperlink" Target="#an_pjok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jok6!A1"/><Relationship Id="rId10" Type="http://schemas.openxmlformats.org/officeDocument/2006/relationships/image" Target="../media/image20.png"/><Relationship Id="rId4" Type="http://schemas.openxmlformats.org/officeDocument/2006/relationships/image" Target="../media/image13.png"/><Relationship Id="rId9" Type="http://schemas.openxmlformats.org/officeDocument/2006/relationships/hyperlink" Target="#an_pjok8!A1"/></Relationships>
</file>

<file path=xl/drawings/_rels/drawing6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jok5!A1"/><Relationship Id="rId7" Type="http://schemas.openxmlformats.org/officeDocument/2006/relationships/hyperlink" Target="#an_pjok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jok6!A1"/><Relationship Id="rId10" Type="http://schemas.openxmlformats.org/officeDocument/2006/relationships/image" Target="../media/image20.png"/><Relationship Id="rId4" Type="http://schemas.openxmlformats.org/officeDocument/2006/relationships/image" Target="../media/image13.png"/><Relationship Id="rId9" Type="http://schemas.openxmlformats.org/officeDocument/2006/relationships/hyperlink" Target="#an_pjok8!A1"/></Relationships>
</file>

<file path=xl/drawings/_rels/drawing65.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jok5!A1"/><Relationship Id="rId7" Type="http://schemas.openxmlformats.org/officeDocument/2006/relationships/hyperlink" Target="#an_pjok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jok6!A1"/><Relationship Id="rId10" Type="http://schemas.openxmlformats.org/officeDocument/2006/relationships/image" Target="../media/image20.png"/><Relationship Id="rId4" Type="http://schemas.openxmlformats.org/officeDocument/2006/relationships/image" Target="../media/image13.png"/><Relationship Id="rId9" Type="http://schemas.openxmlformats.org/officeDocument/2006/relationships/hyperlink" Target="#an_pjok8!A1"/></Relationships>
</file>

<file path=xl/drawings/_rels/drawing66.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pjok5!A1"/><Relationship Id="rId7" Type="http://schemas.openxmlformats.org/officeDocument/2006/relationships/hyperlink" Target="#an_pjok7!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pjok6!A1"/><Relationship Id="rId10" Type="http://schemas.openxmlformats.org/officeDocument/2006/relationships/image" Target="../media/image20.png"/><Relationship Id="rId4" Type="http://schemas.openxmlformats.org/officeDocument/2006/relationships/image" Target="../media/image13.png"/><Relationship Id="rId9" Type="http://schemas.openxmlformats.org/officeDocument/2006/relationships/hyperlink" Target="#an_pjok8!A1"/></Relationships>
</file>

<file path=xl/drawings/_rels/drawing67.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IPA6!A1"/><Relationship Id="rId7" Type="http://schemas.openxmlformats.org/officeDocument/2006/relationships/hyperlink" Target="#an_IPA8!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image" Target="../media/image14.png"/><Relationship Id="rId5" Type="http://schemas.openxmlformats.org/officeDocument/2006/relationships/hyperlink" Target="#an_IPA7!A1"/><Relationship Id="rId10" Type="http://schemas.openxmlformats.org/officeDocument/2006/relationships/image" Target="../media/image21.png"/><Relationship Id="rId4" Type="http://schemas.openxmlformats.org/officeDocument/2006/relationships/image" Target="../media/image13.png"/><Relationship Id="rId9" Type="http://schemas.openxmlformats.org/officeDocument/2006/relationships/hyperlink" Target="#an_IPA9!A1"/></Relationships>
</file>

<file path=xl/drawings/_rels/drawing68.xml.rels><?xml version="1.0" encoding="UTF-8" standalone="yes"?>
<Relationships xmlns="http://schemas.openxmlformats.org/package/2006/relationships"><Relationship Id="rId8" Type="http://schemas.openxmlformats.org/officeDocument/2006/relationships/hyperlink" Target="#an_IPA9!A1"/><Relationship Id="rId3" Type="http://schemas.openxmlformats.org/officeDocument/2006/relationships/image" Target="../media/image13.png"/><Relationship Id="rId7" Type="http://schemas.openxmlformats.org/officeDocument/2006/relationships/image" Target="../media/image15.png"/><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hyperlink" Target="#an_IPA8!A1"/><Relationship Id="rId5" Type="http://schemas.openxmlformats.org/officeDocument/2006/relationships/image" Target="../media/image14.png"/><Relationship Id="rId4" Type="http://schemas.openxmlformats.org/officeDocument/2006/relationships/hyperlink" Target="#an_IPA7!A1"/><Relationship Id="rId9" Type="http://schemas.openxmlformats.org/officeDocument/2006/relationships/image" Target="../media/image21.png"/></Relationships>
</file>

<file path=xl/drawings/_rels/drawing69.xml.rels><?xml version="1.0" encoding="UTF-8" standalone="yes"?>
<Relationships xmlns="http://schemas.openxmlformats.org/package/2006/relationships"><Relationship Id="rId8" Type="http://schemas.openxmlformats.org/officeDocument/2006/relationships/hyperlink" Target="#an_IPA9!A1"/><Relationship Id="rId3" Type="http://schemas.openxmlformats.org/officeDocument/2006/relationships/image" Target="../media/image13.png"/><Relationship Id="rId7" Type="http://schemas.openxmlformats.org/officeDocument/2006/relationships/image" Target="../media/image15.png"/><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hyperlink" Target="#an_IPA8!A1"/><Relationship Id="rId5" Type="http://schemas.openxmlformats.org/officeDocument/2006/relationships/image" Target="../media/image14.png"/><Relationship Id="rId4" Type="http://schemas.openxmlformats.org/officeDocument/2006/relationships/hyperlink" Target="#an_IPA7!A1"/><Relationship Id="rId9" Type="http://schemas.openxmlformats.org/officeDocument/2006/relationships/image" Target="../media/image21.png"/></Relationships>
</file>

<file path=xl/drawings/_rels/drawing70.xml.rels><?xml version="1.0" encoding="UTF-8" standalone="yes"?>
<Relationships xmlns="http://schemas.openxmlformats.org/package/2006/relationships"><Relationship Id="rId8" Type="http://schemas.openxmlformats.org/officeDocument/2006/relationships/hyperlink" Target="#an_IPA9!A1"/><Relationship Id="rId3" Type="http://schemas.openxmlformats.org/officeDocument/2006/relationships/image" Target="../media/image13.png"/><Relationship Id="rId7" Type="http://schemas.openxmlformats.org/officeDocument/2006/relationships/image" Target="../media/image15.png"/><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hyperlink" Target="#an_IPA8!A1"/><Relationship Id="rId5" Type="http://schemas.openxmlformats.org/officeDocument/2006/relationships/image" Target="../media/image14.png"/><Relationship Id="rId4" Type="http://schemas.openxmlformats.org/officeDocument/2006/relationships/hyperlink" Target="#an_IPA7!A1"/><Relationship Id="rId9" Type="http://schemas.openxmlformats.org/officeDocument/2006/relationships/image" Target="../media/image21.png"/></Relationships>
</file>

<file path=xl/drawings/_rels/drawing7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IPs6!A1"/><Relationship Id="rId7" Type="http://schemas.openxmlformats.org/officeDocument/2006/relationships/hyperlink" Target="#an_IPs8!A1"/><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image" Target="../media/image14.png"/><Relationship Id="rId5" Type="http://schemas.openxmlformats.org/officeDocument/2006/relationships/hyperlink" Target="#an_IPs7!A1"/><Relationship Id="rId10" Type="http://schemas.openxmlformats.org/officeDocument/2006/relationships/image" Target="../media/image21.png"/><Relationship Id="rId4" Type="http://schemas.openxmlformats.org/officeDocument/2006/relationships/image" Target="../media/image13.png"/><Relationship Id="rId9" Type="http://schemas.openxmlformats.org/officeDocument/2006/relationships/hyperlink" Target="#an_IPs9!A1"/></Relationships>
</file>

<file path=xl/drawings/_rels/drawing72.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IPs6!A1"/><Relationship Id="rId7" Type="http://schemas.openxmlformats.org/officeDocument/2006/relationships/hyperlink" Target="#an_IPs8!A1"/><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image" Target="../media/image14.png"/><Relationship Id="rId5" Type="http://schemas.openxmlformats.org/officeDocument/2006/relationships/hyperlink" Target="#an_IPs7!A1"/><Relationship Id="rId10" Type="http://schemas.openxmlformats.org/officeDocument/2006/relationships/image" Target="../media/image21.png"/><Relationship Id="rId4" Type="http://schemas.openxmlformats.org/officeDocument/2006/relationships/image" Target="../media/image13.png"/><Relationship Id="rId9" Type="http://schemas.openxmlformats.org/officeDocument/2006/relationships/hyperlink" Target="#an_IPs9!A1"/></Relationships>
</file>

<file path=xl/drawings/_rels/drawing73.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IPs6!A1"/><Relationship Id="rId7" Type="http://schemas.openxmlformats.org/officeDocument/2006/relationships/hyperlink" Target="#an_IPs8!A1"/><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image" Target="../media/image14.png"/><Relationship Id="rId5" Type="http://schemas.openxmlformats.org/officeDocument/2006/relationships/hyperlink" Target="#an_IPs7!A1"/><Relationship Id="rId10" Type="http://schemas.openxmlformats.org/officeDocument/2006/relationships/image" Target="../media/image21.png"/><Relationship Id="rId4" Type="http://schemas.openxmlformats.org/officeDocument/2006/relationships/image" Target="../media/image13.png"/><Relationship Id="rId9" Type="http://schemas.openxmlformats.org/officeDocument/2006/relationships/hyperlink" Target="#an_IPs9!A1"/></Relationships>
</file>

<file path=xl/drawings/_rels/drawing7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hyperlink" Target="#an_IPs6!A1"/><Relationship Id="rId7" Type="http://schemas.openxmlformats.org/officeDocument/2006/relationships/hyperlink" Target="#an_IPs8!A1"/><Relationship Id="rId2" Type="http://schemas.openxmlformats.org/officeDocument/2006/relationships/image" Target="../media/image3.png"/><Relationship Id="rId1" Type="http://schemas.openxmlformats.org/officeDocument/2006/relationships/hyperlink" Target="#an_IPA6!A1"/><Relationship Id="rId6" Type="http://schemas.openxmlformats.org/officeDocument/2006/relationships/image" Target="../media/image14.png"/><Relationship Id="rId5" Type="http://schemas.openxmlformats.org/officeDocument/2006/relationships/hyperlink" Target="#an_IPs7!A1"/><Relationship Id="rId10" Type="http://schemas.openxmlformats.org/officeDocument/2006/relationships/image" Target="../media/image21.png"/><Relationship Id="rId4" Type="http://schemas.openxmlformats.org/officeDocument/2006/relationships/image" Target="../media/image13.png"/><Relationship Id="rId9" Type="http://schemas.openxmlformats.org/officeDocument/2006/relationships/hyperlink" Target="#an_IPs9!A1"/></Relationships>
</file>

<file path=xl/drawings/_rels/drawing7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7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77.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hyperlink" Target="#menu!A1"/><Relationship Id="rId1" Type="http://schemas.openxmlformats.org/officeDocument/2006/relationships/image" Target="../media/image22.png"/><Relationship Id="rId6" Type="http://schemas.openxmlformats.org/officeDocument/2006/relationships/image" Target="../media/image26.png"/><Relationship Id="rId5" Type="http://schemas.openxmlformats.org/officeDocument/2006/relationships/image" Target="../media/image25.png"/><Relationship Id="rId4" Type="http://schemas.openxmlformats.org/officeDocument/2006/relationships/image" Target="../media/image24.png"/></Relationships>
</file>

<file path=xl/drawings/_rels/drawing7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menu!A1"/></Relationships>
</file>

<file path=xl/drawings/_rels/drawing79.xml.rels><?xml version="1.0" encoding="UTF-8" standalone="yes"?>
<Relationships xmlns="http://schemas.openxmlformats.org/package/2006/relationships"><Relationship Id="rId1" Type="http://schemas.openxmlformats.org/officeDocument/2006/relationships/hyperlink" Target="#menu!A1"/></Relationships>
</file>

<file path=xl/drawings/_rels/drawing80.xml.rels><?xml version="1.0" encoding="UTF-8" standalone="yes"?>
<Relationships xmlns="http://schemas.openxmlformats.org/package/2006/relationships"><Relationship Id="rId1" Type="http://schemas.openxmlformats.org/officeDocument/2006/relationships/hyperlink" Target="#menu!A1"/></Relationships>
</file>

<file path=xl/drawings/_rels/drawing8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u!A1"/><Relationship Id="rId1" Type="http://schemas.openxmlformats.org/officeDocument/2006/relationships/hyperlink" Target="#hasil!A1"/></Relationships>
</file>

<file path=xl/drawings/_rels/drawing8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u!A1"/><Relationship Id="rId1" Type="http://schemas.openxmlformats.org/officeDocument/2006/relationships/image" Target="../media/image28.png"/><Relationship Id="rId4" Type="http://schemas.openxmlformats.org/officeDocument/2006/relationships/chart" Target="../charts/chart1.xml"/></Relationships>
</file>

<file path=xl/drawings/_rels/drawing8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menu!A1"/><Relationship Id="rId1" Type="http://schemas.openxmlformats.org/officeDocument/2006/relationships/image" Target="../media/image28.png"/><Relationship Id="rId4" Type="http://schemas.openxmlformats.org/officeDocument/2006/relationships/chart" Target="../charts/chart2.xml"/></Relationships>
</file>

<file path=xl/drawings/_rels/drawing84.xml.rels><?xml version="1.0" encoding="UTF-8" standalone="yes"?>
<Relationships xmlns="http://schemas.openxmlformats.org/package/2006/relationships"><Relationship Id="rId3" Type="http://schemas.openxmlformats.org/officeDocument/2006/relationships/hyperlink" Target="#KRT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BUDHA!A1"/><Relationship Id="rId5" Type="http://schemas.openxmlformats.org/officeDocument/2006/relationships/hyperlink" Target="#HINDU!A1"/><Relationship Id="rId4" Type="http://schemas.openxmlformats.org/officeDocument/2006/relationships/hyperlink" Target="#KAT!A1"/></Relationships>
</file>

<file path=xl/drawings/_rels/drawing85.xml.rels><?xml version="1.0" encoding="UTF-8" standalone="yes"?>
<Relationships xmlns="http://schemas.openxmlformats.org/package/2006/relationships"><Relationship Id="rId3" Type="http://schemas.openxmlformats.org/officeDocument/2006/relationships/hyperlink" Target="#KRT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BUDHA!A1"/><Relationship Id="rId5" Type="http://schemas.openxmlformats.org/officeDocument/2006/relationships/hyperlink" Target="#HINDU!A1"/><Relationship Id="rId4" Type="http://schemas.openxmlformats.org/officeDocument/2006/relationships/hyperlink" Target="#KAT!A1"/></Relationships>
</file>

<file path=xl/drawings/_rels/drawing86.xml.rels><?xml version="1.0" encoding="UTF-8" standalone="yes"?>
<Relationships xmlns="http://schemas.openxmlformats.org/package/2006/relationships"><Relationship Id="rId3" Type="http://schemas.openxmlformats.org/officeDocument/2006/relationships/hyperlink" Target="#KRT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BUDHA!A1"/><Relationship Id="rId5" Type="http://schemas.openxmlformats.org/officeDocument/2006/relationships/hyperlink" Target="#HINDU!A1"/><Relationship Id="rId4" Type="http://schemas.openxmlformats.org/officeDocument/2006/relationships/hyperlink" Target="#KAT!A1"/></Relationships>
</file>

<file path=xl/drawings/_rels/drawing87.xml.rels><?xml version="1.0" encoding="UTF-8" standalone="yes"?>
<Relationships xmlns="http://schemas.openxmlformats.org/package/2006/relationships"><Relationship Id="rId3" Type="http://schemas.openxmlformats.org/officeDocument/2006/relationships/hyperlink" Target="#KRTS!A1"/><Relationship Id="rId2" Type="http://schemas.openxmlformats.org/officeDocument/2006/relationships/image" Target="../media/image3.png"/><Relationship Id="rId1" Type="http://schemas.openxmlformats.org/officeDocument/2006/relationships/hyperlink" Target="#menu!A1"/><Relationship Id="rId6" Type="http://schemas.openxmlformats.org/officeDocument/2006/relationships/hyperlink" Target="#BUDHA!A1"/><Relationship Id="rId5" Type="http://schemas.openxmlformats.org/officeDocument/2006/relationships/hyperlink" Target="#HINDU!A1"/><Relationship Id="rId4" Type="http://schemas.openxmlformats.org/officeDocument/2006/relationships/hyperlink" Target="#K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3</xdr:col>
      <xdr:colOff>69273</xdr:colOff>
      <xdr:row>11</xdr:row>
      <xdr:rowOff>141645</xdr:rowOff>
    </xdr:from>
    <xdr:to>
      <xdr:col>5</xdr:col>
      <xdr:colOff>469323</xdr:colOff>
      <xdr:row>13</xdr:row>
      <xdr:rowOff>95249</xdr:rowOff>
    </xdr:to>
    <xdr:sp macro="[0]!datasiswa" textlink="">
      <xdr:nvSpPr>
        <xdr:cNvPr id="9" name="Freeform 8">
          <a:hlinkClick xmlns:r="http://schemas.openxmlformats.org/officeDocument/2006/relationships" r:id="rId1"/>
        </xdr:cNvPr>
        <xdr:cNvSpPr/>
      </xdr:nvSpPr>
      <xdr:spPr>
        <a:xfrm>
          <a:off x="1898073" y="2418120"/>
          <a:ext cx="1619250" cy="420329"/>
        </a:xfrm>
        <a:custGeom>
          <a:avLst/>
          <a:gdLst>
            <a:gd name="connsiteX0" fmla="*/ 0 w 1990427"/>
            <a:gd name="connsiteY0" fmla="*/ 0 h 378181"/>
            <a:gd name="connsiteX1" fmla="*/ 1990427 w 1990427"/>
            <a:gd name="connsiteY1" fmla="*/ 0 h 378181"/>
            <a:gd name="connsiteX2" fmla="*/ 1990427 w 1990427"/>
            <a:gd name="connsiteY2" fmla="*/ 378181 h 378181"/>
            <a:gd name="connsiteX3" fmla="*/ 0 w 1990427"/>
            <a:gd name="connsiteY3" fmla="*/ 378181 h 378181"/>
            <a:gd name="connsiteX4" fmla="*/ 0 w 1990427"/>
            <a:gd name="connsiteY4" fmla="*/ 0 h 3781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90427" h="378181">
              <a:moveTo>
                <a:pt x="0" y="0"/>
              </a:moveTo>
              <a:lnTo>
                <a:pt x="1990427" y="0"/>
              </a:lnTo>
              <a:lnTo>
                <a:pt x="1990427" y="378181"/>
              </a:lnTo>
              <a:lnTo>
                <a:pt x="0" y="378181"/>
              </a:lnTo>
              <a:lnTo>
                <a:pt x="0" y="0"/>
              </a:lnTo>
              <a:close/>
            </a:path>
          </a:pathLst>
        </a:custGeom>
        <a:solidFill>
          <a:srgbClr val="00B050"/>
        </a:solidFill>
      </xdr:spPr>
      <xdr:style>
        <a:lnRef idx="1">
          <a:schemeClr val="accent4"/>
        </a:lnRef>
        <a:fillRef idx="2">
          <a:schemeClr val="accent4"/>
        </a:fillRef>
        <a:effectRef idx="1">
          <a:schemeClr val="accent4"/>
        </a:effectRef>
        <a:fontRef idx="minor">
          <a:schemeClr val="dk1"/>
        </a:fontRef>
      </xdr:style>
      <xdr:txBody>
        <a:bodyPr spcFirstLastPara="0" vert="horz" wrap="square" lIns="11428" tIns="11430" rIns="11431" bIns="11430" numCol="1" spcCol="1270" anchor="ctr" anchorCtr="0">
          <a:noAutofit/>
        </a:bodyPr>
        <a:lstStyle/>
        <a:p>
          <a:pPr lvl="0" algn="ctr" defTabSz="800100">
            <a:lnSpc>
              <a:spcPct val="90000"/>
            </a:lnSpc>
            <a:spcBef>
              <a:spcPct val="0"/>
            </a:spcBef>
            <a:spcAft>
              <a:spcPct val="35000"/>
            </a:spcAft>
          </a:pPr>
          <a:r>
            <a:rPr lang="id-ID" sz="1600" b="1" kern="1200"/>
            <a:t>DATA SISWA</a:t>
          </a:r>
        </a:p>
      </xdr:txBody>
    </xdr:sp>
    <xdr:clientData/>
  </xdr:twoCellAnchor>
  <xdr:twoCellAnchor>
    <xdr:from>
      <xdr:col>6</xdr:col>
      <xdr:colOff>38100</xdr:colOff>
      <xdr:row>11</xdr:row>
      <xdr:rowOff>141645</xdr:rowOff>
    </xdr:from>
    <xdr:to>
      <xdr:col>9</xdr:col>
      <xdr:colOff>114300</xdr:colOff>
      <xdr:row>13</xdr:row>
      <xdr:rowOff>94020</xdr:rowOff>
    </xdr:to>
    <xdr:sp macro="[0]!dtsekolah" textlink="">
      <xdr:nvSpPr>
        <xdr:cNvPr id="10" name="Freeform 9">
          <a:hlinkClick xmlns:r="http://schemas.openxmlformats.org/officeDocument/2006/relationships" r:id="rId2"/>
        </xdr:cNvPr>
        <xdr:cNvSpPr/>
      </xdr:nvSpPr>
      <xdr:spPr>
        <a:xfrm>
          <a:off x="3695700" y="2418120"/>
          <a:ext cx="1905000" cy="419100"/>
        </a:xfrm>
        <a:custGeom>
          <a:avLst/>
          <a:gdLst>
            <a:gd name="connsiteX0" fmla="*/ 0 w 1240434"/>
            <a:gd name="connsiteY0" fmla="*/ 0 h 378181"/>
            <a:gd name="connsiteX1" fmla="*/ 1240434 w 1240434"/>
            <a:gd name="connsiteY1" fmla="*/ 0 h 378181"/>
            <a:gd name="connsiteX2" fmla="*/ 1240434 w 1240434"/>
            <a:gd name="connsiteY2" fmla="*/ 378181 h 378181"/>
            <a:gd name="connsiteX3" fmla="*/ 0 w 1240434"/>
            <a:gd name="connsiteY3" fmla="*/ 378181 h 378181"/>
            <a:gd name="connsiteX4" fmla="*/ 0 w 1240434"/>
            <a:gd name="connsiteY4" fmla="*/ 0 h 3781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0434" h="378181">
              <a:moveTo>
                <a:pt x="0" y="0"/>
              </a:moveTo>
              <a:lnTo>
                <a:pt x="1240434" y="0"/>
              </a:lnTo>
              <a:lnTo>
                <a:pt x="1240434" y="378181"/>
              </a:lnTo>
              <a:lnTo>
                <a:pt x="0" y="378181"/>
              </a:lnTo>
              <a:lnTo>
                <a:pt x="0" y="0"/>
              </a:lnTo>
              <a:close/>
            </a:path>
          </a:pathLst>
        </a:custGeom>
        <a:solidFill>
          <a:srgbClr val="00B050"/>
        </a:solidFill>
      </xdr:spPr>
      <xdr:style>
        <a:lnRef idx="1">
          <a:schemeClr val="accent5"/>
        </a:lnRef>
        <a:fillRef idx="2">
          <a:schemeClr val="accent5"/>
        </a:fillRef>
        <a:effectRef idx="1">
          <a:schemeClr val="accent5"/>
        </a:effectRef>
        <a:fontRef idx="minor">
          <a:schemeClr val="dk1"/>
        </a:fontRef>
      </xdr:style>
      <xdr:txBody>
        <a:bodyPr spcFirstLastPara="0" vert="horz" wrap="square" lIns="6985" tIns="6985" rIns="6985" bIns="6985" numCol="1" spcCol="1270" anchor="ctr" anchorCtr="0">
          <a:noAutofit/>
        </a:bodyPr>
        <a:lstStyle/>
        <a:p>
          <a:pPr lvl="0" algn="ctr" defTabSz="488950">
            <a:lnSpc>
              <a:spcPct val="90000"/>
            </a:lnSpc>
            <a:spcBef>
              <a:spcPct val="0"/>
            </a:spcBef>
            <a:spcAft>
              <a:spcPct val="35000"/>
            </a:spcAft>
          </a:pPr>
          <a:r>
            <a:rPr lang="id-ID" sz="1600" b="1" kern="1200"/>
            <a:t>Data</a:t>
          </a:r>
          <a:r>
            <a:rPr lang="id-ID" sz="1600" b="1" kern="1200" baseline="0"/>
            <a:t> Sekolah</a:t>
          </a:r>
          <a:endParaRPr lang="id-ID" sz="1600" b="1" kern="1200"/>
        </a:p>
      </xdr:txBody>
    </xdr:sp>
    <xdr:clientData/>
  </xdr:twoCellAnchor>
  <xdr:twoCellAnchor>
    <xdr:from>
      <xdr:col>3</xdr:col>
      <xdr:colOff>88323</xdr:colOff>
      <xdr:row>3</xdr:row>
      <xdr:rowOff>85725</xdr:rowOff>
    </xdr:from>
    <xdr:to>
      <xdr:col>5</xdr:col>
      <xdr:colOff>282286</xdr:colOff>
      <xdr:row>5</xdr:row>
      <xdr:rowOff>66945</xdr:rowOff>
    </xdr:to>
    <xdr:sp macro="" textlink="">
      <xdr:nvSpPr>
        <xdr:cNvPr id="16" name="Pentagon 15"/>
        <xdr:cNvSpPr/>
      </xdr:nvSpPr>
      <xdr:spPr>
        <a:xfrm>
          <a:off x="1917123" y="838200"/>
          <a:ext cx="1413163" cy="362220"/>
        </a:xfrm>
        <a:prstGeom prst="homePlate">
          <a:avLst/>
        </a:prstGeom>
        <a:solidFill>
          <a:schemeClr val="accent2"/>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l"/>
          <a:r>
            <a:rPr lang="id-ID" sz="1000" b="1"/>
            <a:t>REKAP KI_1 dan</a:t>
          </a:r>
          <a:r>
            <a:rPr lang="id-ID" sz="1000" b="1" baseline="0"/>
            <a:t> KI_2</a:t>
          </a:r>
          <a:endParaRPr lang="id-ID" sz="1000" b="1"/>
        </a:p>
      </xdr:txBody>
    </xdr:sp>
    <xdr:clientData/>
  </xdr:twoCellAnchor>
  <xdr:twoCellAnchor>
    <xdr:from>
      <xdr:col>0</xdr:col>
      <xdr:colOff>47625</xdr:colOff>
      <xdr:row>9</xdr:row>
      <xdr:rowOff>155864</xdr:rowOff>
    </xdr:from>
    <xdr:to>
      <xdr:col>2</xdr:col>
      <xdr:colOff>447675</xdr:colOff>
      <xdr:row>12</xdr:row>
      <xdr:rowOff>196453</xdr:rowOff>
    </xdr:to>
    <xdr:sp macro="[0]!dteskul" textlink="">
      <xdr:nvSpPr>
        <xdr:cNvPr id="109" name="Freeform 108">
          <a:hlinkClick xmlns:r="http://schemas.openxmlformats.org/officeDocument/2006/relationships" r:id="rId3"/>
        </xdr:cNvPr>
        <xdr:cNvSpPr/>
      </xdr:nvSpPr>
      <xdr:spPr>
        <a:xfrm>
          <a:off x="47625" y="2051339"/>
          <a:ext cx="1619250" cy="612089"/>
        </a:xfrm>
        <a:custGeom>
          <a:avLst/>
          <a:gdLst>
            <a:gd name="connsiteX0" fmla="*/ 0 w 1240434"/>
            <a:gd name="connsiteY0" fmla="*/ 0 h 378181"/>
            <a:gd name="connsiteX1" fmla="*/ 1240434 w 1240434"/>
            <a:gd name="connsiteY1" fmla="*/ 0 h 378181"/>
            <a:gd name="connsiteX2" fmla="*/ 1240434 w 1240434"/>
            <a:gd name="connsiteY2" fmla="*/ 378181 h 378181"/>
            <a:gd name="connsiteX3" fmla="*/ 0 w 1240434"/>
            <a:gd name="connsiteY3" fmla="*/ 378181 h 378181"/>
            <a:gd name="connsiteX4" fmla="*/ 0 w 1240434"/>
            <a:gd name="connsiteY4" fmla="*/ 0 h 3781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0434" h="378181">
              <a:moveTo>
                <a:pt x="0" y="0"/>
              </a:moveTo>
              <a:lnTo>
                <a:pt x="1240434" y="0"/>
              </a:lnTo>
              <a:lnTo>
                <a:pt x="1240434" y="378181"/>
              </a:lnTo>
              <a:lnTo>
                <a:pt x="0" y="378181"/>
              </a:lnTo>
              <a:lnTo>
                <a:pt x="0" y="0"/>
              </a:lnTo>
              <a:close/>
            </a:path>
          </a:pathLst>
        </a:custGeom>
      </xdr:spPr>
      <xdr:style>
        <a:lnRef idx="1">
          <a:schemeClr val="accent5"/>
        </a:lnRef>
        <a:fillRef idx="2">
          <a:schemeClr val="accent5"/>
        </a:fillRef>
        <a:effectRef idx="1">
          <a:schemeClr val="accent5"/>
        </a:effectRef>
        <a:fontRef idx="minor">
          <a:schemeClr val="dk1"/>
        </a:fontRef>
      </xdr:style>
      <xdr:txBody>
        <a:bodyPr spcFirstLastPara="0" vert="horz" wrap="square" lIns="6985" tIns="6985" rIns="6985" bIns="6985" numCol="1" spcCol="1270" anchor="ctr" anchorCtr="0">
          <a:noAutofit/>
        </a:bodyPr>
        <a:lstStyle/>
        <a:p>
          <a:pPr lvl="0" algn="ctr" defTabSz="488950">
            <a:lnSpc>
              <a:spcPct val="90000"/>
            </a:lnSpc>
            <a:spcBef>
              <a:spcPct val="0"/>
            </a:spcBef>
            <a:spcAft>
              <a:spcPct val="35000"/>
            </a:spcAft>
          </a:pPr>
          <a:r>
            <a:rPr lang="id-ID" sz="1400" b="1" kern="1200"/>
            <a:t>Data</a:t>
          </a:r>
          <a:r>
            <a:rPr lang="id-ID" sz="1400" b="1" kern="1200" baseline="0"/>
            <a:t>  Eskul, Kesehatan, Absensi</a:t>
          </a:r>
          <a:endParaRPr lang="id-ID" sz="1400" b="1" kern="1200"/>
        </a:p>
      </xdr:txBody>
    </xdr:sp>
    <xdr:clientData/>
  </xdr:twoCellAnchor>
  <xdr:twoCellAnchor>
    <xdr:from>
      <xdr:col>5</xdr:col>
      <xdr:colOff>342898</xdr:colOff>
      <xdr:row>3</xdr:row>
      <xdr:rowOff>109538</xdr:rowOff>
    </xdr:from>
    <xdr:to>
      <xdr:col>7</xdr:col>
      <xdr:colOff>209549</xdr:colOff>
      <xdr:row>5</xdr:row>
      <xdr:rowOff>43133</xdr:rowOff>
    </xdr:to>
    <xdr:sp macro="" textlink="">
      <xdr:nvSpPr>
        <xdr:cNvPr id="30" name="Rounded Rectangle 29">
          <a:hlinkClick xmlns:r="http://schemas.openxmlformats.org/officeDocument/2006/relationships" r:id="rId4"/>
        </xdr:cNvPr>
        <xdr:cNvSpPr/>
      </xdr:nvSpPr>
      <xdr:spPr>
        <a:xfrm>
          <a:off x="3390898" y="862013"/>
          <a:ext cx="1085851" cy="314595"/>
        </a:xfrm>
        <a:prstGeom prst="roundRect">
          <a:avLst/>
        </a:prstGeom>
        <a:solidFill>
          <a:schemeClr val="accent2"/>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000"/>
            <a:t>SPIRITUAL</a:t>
          </a:r>
        </a:p>
      </xdr:txBody>
    </xdr:sp>
    <xdr:clientData/>
  </xdr:twoCellAnchor>
  <xdr:twoCellAnchor>
    <xdr:from>
      <xdr:col>7</xdr:col>
      <xdr:colOff>304798</xdr:colOff>
      <xdr:row>3</xdr:row>
      <xdr:rowOff>109808</xdr:rowOff>
    </xdr:from>
    <xdr:to>
      <xdr:col>9</xdr:col>
      <xdr:colOff>95249</xdr:colOff>
      <xdr:row>5</xdr:row>
      <xdr:rowOff>42863</xdr:rowOff>
    </xdr:to>
    <xdr:sp macro="" textlink="">
      <xdr:nvSpPr>
        <xdr:cNvPr id="139" name="Rounded Rectangle 138">
          <a:hlinkClick xmlns:r="http://schemas.openxmlformats.org/officeDocument/2006/relationships" r:id="rId5"/>
        </xdr:cNvPr>
        <xdr:cNvSpPr/>
      </xdr:nvSpPr>
      <xdr:spPr>
        <a:xfrm>
          <a:off x="4571998" y="862283"/>
          <a:ext cx="1009651" cy="314055"/>
        </a:xfrm>
        <a:prstGeom prst="roundRect">
          <a:avLst/>
        </a:prstGeom>
        <a:solidFill>
          <a:schemeClr val="accent2"/>
        </a:solidFill>
      </xdr:spPr>
      <xdr:style>
        <a:lnRef idx="1">
          <a:schemeClr val="dk1"/>
        </a:lnRef>
        <a:fillRef idx="3">
          <a:schemeClr val="dk1"/>
        </a:fillRef>
        <a:effectRef idx="2">
          <a:schemeClr val="dk1"/>
        </a:effectRef>
        <a:fontRef idx="minor">
          <a:schemeClr val="lt1"/>
        </a:fontRef>
      </xdr:style>
      <xdr:txBody>
        <a:bodyPr vertOverflow="clip" horzOverflow="clip" rtlCol="0" anchor="ctr"/>
        <a:lstStyle/>
        <a:p>
          <a:pPr algn="ctr"/>
          <a:r>
            <a:rPr lang="id-ID" sz="1100"/>
            <a:t>SOSIAL</a:t>
          </a:r>
        </a:p>
      </xdr:txBody>
    </xdr:sp>
    <xdr:clientData/>
  </xdr:twoCellAnchor>
  <xdr:twoCellAnchor>
    <xdr:from>
      <xdr:col>3</xdr:col>
      <xdr:colOff>69273</xdr:colOff>
      <xdr:row>5</xdr:row>
      <xdr:rowOff>185737</xdr:rowOff>
    </xdr:from>
    <xdr:to>
      <xdr:col>5</xdr:col>
      <xdr:colOff>107373</xdr:colOff>
      <xdr:row>8</xdr:row>
      <xdr:rowOff>59267</xdr:rowOff>
    </xdr:to>
    <xdr:sp macro="" textlink="">
      <xdr:nvSpPr>
        <xdr:cNvPr id="106" name="Pentagon 105"/>
        <xdr:cNvSpPr/>
      </xdr:nvSpPr>
      <xdr:spPr>
        <a:xfrm>
          <a:off x="1898073" y="1319212"/>
          <a:ext cx="1257300" cy="445030"/>
        </a:xfrm>
        <a:prstGeom prst="homePlate">
          <a:avLst/>
        </a:prstGeom>
        <a:solidFill>
          <a:srgbClr val="00B05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l"/>
          <a:r>
            <a:rPr lang="id-ID" sz="1200" b="1">
              <a:solidFill>
                <a:sysClr val="windowText" lastClr="000000"/>
              </a:solidFill>
            </a:rPr>
            <a:t>REKAP KI_3</a:t>
          </a:r>
        </a:p>
      </xdr:txBody>
    </xdr:sp>
    <xdr:clientData/>
  </xdr:twoCellAnchor>
  <xdr:twoCellAnchor>
    <xdr:from>
      <xdr:col>5</xdr:col>
      <xdr:colOff>247650</xdr:colOff>
      <xdr:row>6</xdr:row>
      <xdr:rowOff>4763</xdr:rowOff>
    </xdr:from>
    <xdr:to>
      <xdr:col>6</xdr:col>
      <xdr:colOff>219075</xdr:colOff>
      <xdr:row>8</xdr:row>
      <xdr:rowOff>38100</xdr:rowOff>
    </xdr:to>
    <xdr:sp macro="[0]!Utagm_3" textlink="">
      <xdr:nvSpPr>
        <xdr:cNvPr id="110" name="Rounded Rectangle 109">
          <a:hlinkClick xmlns:r="http://schemas.openxmlformats.org/officeDocument/2006/relationships" r:id="rId6"/>
        </xdr:cNvPr>
        <xdr:cNvSpPr/>
      </xdr:nvSpPr>
      <xdr:spPr>
        <a:xfrm>
          <a:off x="3295650" y="1328738"/>
          <a:ext cx="581025"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PKN</a:t>
          </a:r>
        </a:p>
      </xdr:txBody>
    </xdr:sp>
    <xdr:clientData/>
  </xdr:twoCellAnchor>
  <xdr:twoCellAnchor>
    <xdr:from>
      <xdr:col>6</xdr:col>
      <xdr:colOff>314325</xdr:colOff>
      <xdr:row>6</xdr:row>
      <xdr:rowOff>4763</xdr:rowOff>
    </xdr:from>
    <xdr:to>
      <xdr:col>7</xdr:col>
      <xdr:colOff>447675</xdr:colOff>
      <xdr:row>8</xdr:row>
      <xdr:rowOff>38100</xdr:rowOff>
    </xdr:to>
    <xdr:sp macro="[0]!UTBI1" textlink="">
      <xdr:nvSpPr>
        <xdr:cNvPr id="140" name="Rounded Rectangle 139">
          <a:hlinkClick xmlns:r="http://schemas.openxmlformats.org/officeDocument/2006/relationships" r:id="rId7"/>
        </xdr:cNvPr>
        <xdr:cNvSpPr/>
      </xdr:nvSpPr>
      <xdr:spPr>
        <a:xfrm>
          <a:off x="3971925" y="1328738"/>
          <a:ext cx="742950"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BHS.IND</a:t>
          </a:r>
        </a:p>
      </xdr:txBody>
    </xdr:sp>
    <xdr:clientData/>
  </xdr:twoCellAnchor>
  <xdr:twoCellAnchor>
    <xdr:from>
      <xdr:col>7</xdr:col>
      <xdr:colOff>552449</xdr:colOff>
      <xdr:row>6</xdr:row>
      <xdr:rowOff>4763</xdr:rowOff>
    </xdr:from>
    <xdr:to>
      <xdr:col>9</xdr:col>
      <xdr:colOff>352424</xdr:colOff>
      <xdr:row>8</xdr:row>
      <xdr:rowOff>38100</xdr:rowOff>
    </xdr:to>
    <xdr:sp macro="" textlink="">
      <xdr:nvSpPr>
        <xdr:cNvPr id="145" name="Rounded Rectangle 144">
          <a:hlinkClick xmlns:r="http://schemas.openxmlformats.org/officeDocument/2006/relationships" r:id="rId8"/>
        </xdr:cNvPr>
        <xdr:cNvSpPr/>
      </xdr:nvSpPr>
      <xdr:spPr>
        <a:xfrm>
          <a:off x="4819649" y="1328738"/>
          <a:ext cx="1019175"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MATEMATIKA</a:t>
          </a:r>
        </a:p>
      </xdr:txBody>
    </xdr:sp>
    <xdr:clientData/>
  </xdr:twoCellAnchor>
  <xdr:twoCellAnchor>
    <xdr:from>
      <xdr:col>11</xdr:col>
      <xdr:colOff>571500</xdr:colOff>
      <xdr:row>6</xdr:row>
      <xdr:rowOff>4763</xdr:rowOff>
    </xdr:from>
    <xdr:to>
      <xdr:col>12</xdr:col>
      <xdr:colOff>495300</xdr:colOff>
      <xdr:row>8</xdr:row>
      <xdr:rowOff>38100</xdr:rowOff>
    </xdr:to>
    <xdr:sp macro="" textlink="">
      <xdr:nvSpPr>
        <xdr:cNvPr id="170" name="Rounded Rectangle 169">
          <a:hlinkClick xmlns:r="http://schemas.openxmlformats.org/officeDocument/2006/relationships" r:id="rId9"/>
        </xdr:cNvPr>
        <xdr:cNvSpPr/>
      </xdr:nvSpPr>
      <xdr:spPr>
        <a:xfrm>
          <a:off x="7277100" y="1328738"/>
          <a:ext cx="533400"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SBDP</a:t>
          </a:r>
        </a:p>
      </xdr:txBody>
    </xdr:sp>
    <xdr:clientData/>
  </xdr:twoCellAnchor>
  <xdr:twoCellAnchor>
    <xdr:from>
      <xdr:col>12</xdr:col>
      <xdr:colOff>590550</xdr:colOff>
      <xdr:row>6</xdr:row>
      <xdr:rowOff>4763</xdr:rowOff>
    </xdr:from>
    <xdr:to>
      <xdr:col>13</xdr:col>
      <xdr:colOff>533399</xdr:colOff>
      <xdr:row>8</xdr:row>
      <xdr:rowOff>38100</xdr:rowOff>
    </xdr:to>
    <xdr:sp macro="" textlink="">
      <xdr:nvSpPr>
        <xdr:cNvPr id="171" name="Rounded Rectangle 170">
          <a:hlinkClick xmlns:r="http://schemas.openxmlformats.org/officeDocument/2006/relationships" r:id="rId10"/>
        </xdr:cNvPr>
        <xdr:cNvSpPr/>
      </xdr:nvSpPr>
      <xdr:spPr>
        <a:xfrm>
          <a:off x="7905750" y="1328738"/>
          <a:ext cx="552449"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PJOK</a:t>
          </a:r>
        </a:p>
      </xdr:txBody>
    </xdr:sp>
    <xdr:clientData/>
  </xdr:twoCellAnchor>
  <xdr:twoCellAnchor>
    <xdr:from>
      <xdr:col>14</xdr:col>
      <xdr:colOff>9524</xdr:colOff>
      <xdr:row>6</xdr:row>
      <xdr:rowOff>4763</xdr:rowOff>
    </xdr:from>
    <xdr:to>
      <xdr:col>15</xdr:col>
      <xdr:colOff>133349</xdr:colOff>
      <xdr:row>8</xdr:row>
      <xdr:rowOff>38100</xdr:rowOff>
    </xdr:to>
    <xdr:sp macro="[0]!UHTagama" textlink="">
      <xdr:nvSpPr>
        <xdr:cNvPr id="172" name="Rounded Rectangle 171">
          <a:hlinkClick xmlns:r="http://schemas.openxmlformats.org/officeDocument/2006/relationships" r:id="rId11"/>
        </xdr:cNvPr>
        <xdr:cNvSpPr/>
      </xdr:nvSpPr>
      <xdr:spPr>
        <a:xfrm>
          <a:off x="8543924" y="1328738"/>
          <a:ext cx="733425" cy="414337"/>
        </a:xfrm>
        <a:prstGeom prst="roundRect">
          <a:avLst/>
        </a:prstGeom>
        <a:solidFill>
          <a:schemeClr val="accent6"/>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id-ID" sz="1050" b="1">
              <a:solidFill>
                <a:sysClr val="windowText" lastClr="000000"/>
              </a:solidFill>
            </a:rPr>
            <a:t>AGAMA</a:t>
          </a:r>
        </a:p>
      </xdr:txBody>
    </xdr:sp>
    <xdr:clientData/>
  </xdr:twoCellAnchor>
  <xdr:twoCellAnchor>
    <xdr:from>
      <xdr:col>15</xdr:col>
      <xdr:colOff>209549</xdr:colOff>
      <xdr:row>6</xdr:row>
      <xdr:rowOff>4763</xdr:rowOff>
    </xdr:from>
    <xdr:to>
      <xdr:col>17</xdr:col>
      <xdr:colOff>295274</xdr:colOff>
      <xdr:row>8</xdr:row>
      <xdr:rowOff>38100</xdr:rowOff>
    </xdr:to>
    <xdr:sp macro="" textlink="">
      <xdr:nvSpPr>
        <xdr:cNvPr id="173" name="Rounded Rectangle 172">
          <a:hlinkClick xmlns:r="http://schemas.openxmlformats.org/officeDocument/2006/relationships" r:id="rId12"/>
        </xdr:cNvPr>
        <xdr:cNvSpPr/>
      </xdr:nvSpPr>
      <xdr:spPr>
        <a:xfrm>
          <a:off x="9353549" y="1328738"/>
          <a:ext cx="733425" cy="414337"/>
        </a:xfrm>
        <a:prstGeom prst="roundRect">
          <a:avLst/>
        </a:prstGeom>
        <a:solidFill>
          <a:schemeClr val="accent6"/>
        </a:soli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id-ID" sz="1100" b="1">
              <a:solidFill>
                <a:sysClr val="windowText" lastClr="000000"/>
              </a:solidFill>
            </a:rPr>
            <a:t>MULOK</a:t>
          </a:r>
        </a:p>
      </xdr:txBody>
    </xdr:sp>
    <xdr:clientData/>
  </xdr:twoCellAnchor>
  <xdr:twoCellAnchor>
    <xdr:from>
      <xdr:col>3</xdr:col>
      <xdr:colOff>69273</xdr:colOff>
      <xdr:row>8</xdr:row>
      <xdr:rowOff>171450</xdr:rowOff>
    </xdr:from>
    <xdr:to>
      <xdr:col>5</xdr:col>
      <xdr:colOff>107373</xdr:colOff>
      <xdr:row>11</xdr:row>
      <xdr:rowOff>7408</xdr:rowOff>
    </xdr:to>
    <xdr:sp macro="" textlink="">
      <xdr:nvSpPr>
        <xdr:cNvPr id="107" name="Pentagon 106"/>
        <xdr:cNvSpPr/>
      </xdr:nvSpPr>
      <xdr:spPr>
        <a:xfrm>
          <a:off x="1898073" y="1876425"/>
          <a:ext cx="1257300" cy="407458"/>
        </a:xfrm>
        <a:prstGeom prst="homePlate">
          <a:avLst/>
        </a:prstGeom>
        <a:solidFill>
          <a:srgbClr val="00B050"/>
        </a:solidFill>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l"/>
          <a:r>
            <a:rPr lang="id-ID" sz="1200" b="1"/>
            <a:t>REKAP KI_4</a:t>
          </a:r>
        </a:p>
      </xdr:txBody>
    </xdr:sp>
    <xdr:clientData/>
  </xdr:twoCellAnchor>
  <xdr:twoCellAnchor>
    <xdr:from>
      <xdr:col>5</xdr:col>
      <xdr:colOff>228600</xdr:colOff>
      <xdr:row>8</xdr:row>
      <xdr:rowOff>185738</xdr:rowOff>
    </xdr:from>
    <xdr:to>
      <xdr:col>6</xdr:col>
      <xdr:colOff>200025</xdr:colOff>
      <xdr:row>10</xdr:row>
      <xdr:rowOff>171450</xdr:rowOff>
    </xdr:to>
    <xdr:sp macro="[0]!des_pknki4" textlink="">
      <xdr:nvSpPr>
        <xdr:cNvPr id="177" name="Rounded Rectangle 176">
          <a:hlinkClick xmlns:r="http://schemas.openxmlformats.org/officeDocument/2006/relationships" r:id="rId13"/>
        </xdr:cNvPr>
        <xdr:cNvSpPr/>
      </xdr:nvSpPr>
      <xdr:spPr>
        <a:xfrm>
          <a:off x="3276600" y="1890713"/>
          <a:ext cx="581025"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PKN</a:t>
          </a:r>
        </a:p>
      </xdr:txBody>
    </xdr:sp>
    <xdr:clientData/>
  </xdr:twoCellAnchor>
  <xdr:twoCellAnchor>
    <xdr:from>
      <xdr:col>6</xdr:col>
      <xdr:colOff>295275</xdr:colOff>
      <xdr:row>8</xdr:row>
      <xdr:rowOff>185738</xdr:rowOff>
    </xdr:from>
    <xdr:to>
      <xdr:col>7</xdr:col>
      <xdr:colOff>428625</xdr:colOff>
      <xdr:row>10</xdr:row>
      <xdr:rowOff>171450</xdr:rowOff>
    </xdr:to>
    <xdr:sp macro="" textlink="">
      <xdr:nvSpPr>
        <xdr:cNvPr id="178" name="Rounded Rectangle 177">
          <a:hlinkClick xmlns:r="http://schemas.openxmlformats.org/officeDocument/2006/relationships" r:id="rId14"/>
        </xdr:cNvPr>
        <xdr:cNvSpPr/>
      </xdr:nvSpPr>
      <xdr:spPr>
        <a:xfrm>
          <a:off x="3952875" y="1890713"/>
          <a:ext cx="742950"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BHS.IND</a:t>
          </a:r>
        </a:p>
      </xdr:txBody>
    </xdr:sp>
    <xdr:clientData/>
  </xdr:twoCellAnchor>
  <xdr:twoCellAnchor>
    <xdr:from>
      <xdr:col>7</xdr:col>
      <xdr:colOff>533399</xdr:colOff>
      <xdr:row>8</xdr:row>
      <xdr:rowOff>185738</xdr:rowOff>
    </xdr:from>
    <xdr:to>
      <xdr:col>9</xdr:col>
      <xdr:colOff>333374</xdr:colOff>
      <xdr:row>10</xdr:row>
      <xdr:rowOff>171450</xdr:rowOff>
    </xdr:to>
    <xdr:sp macro="" textlink="">
      <xdr:nvSpPr>
        <xdr:cNvPr id="179" name="Rounded Rectangle 178">
          <a:hlinkClick xmlns:r="http://schemas.openxmlformats.org/officeDocument/2006/relationships" r:id="rId15"/>
        </xdr:cNvPr>
        <xdr:cNvSpPr/>
      </xdr:nvSpPr>
      <xdr:spPr>
        <a:xfrm>
          <a:off x="4800599" y="1890713"/>
          <a:ext cx="1019175"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MATEMATIKA</a:t>
          </a:r>
        </a:p>
      </xdr:txBody>
    </xdr:sp>
    <xdr:clientData/>
  </xdr:twoCellAnchor>
  <xdr:twoCellAnchor>
    <xdr:from>
      <xdr:col>11</xdr:col>
      <xdr:colOff>552450</xdr:colOff>
      <xdr:row>8</xdr:row>
      <xdr:rowOff>185738</xdr:rowOff>
    </xdr:from>
    <xdr:to>
      <xdr:col>12</xdr:col>
      <xdr:colOff>476250</xdr:colOff>
      <xdr:row>10</xdr:row>
      <xdr:rowOff>171450</xdr:rowOff>
    </xdr:to>
    <xdr:sp macro="" textlink="">
      <xdr:nvSpPr>
        <xdr:cNvPr id="180" name="Rounded Rectangle 179">
          <a:hlinkClick xmlns:r="http://schemas.openxmlformats.org/officeDocument/2006/relationships" r:id="rId16"/>
        </xdr:cNvPr>
        <xdr:cNvSpPr/>
      </xdr:nvSpPr>
      <xdr:spPr>
        <a:xfrm>
          <a:off x="7258050" y="1890713"/>
          <a:ext cx="533400"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SBDP</a:t>
          </a:r>
        </a:p>
      </xdr:txBody>
    </xdr:sp>
    <xdr:clientData/>
  </xdr:twoCellAnchor>
  <xdr:twoCellAnchor>
    <xdr:from>
      <xdr:col>12</xdr:col>
      <xdr:colOff>571500</xdr:colOff>
      <xdr:row>8</xdr:row>
      <xdr:rowOff>185738</xdr:rowOff>
    </xdr:from>
    <xdr:to>
      <xdr:col>13</xdr:col>
      <xdr:colOff>514349</xdr:colOff>
      <xdr:row>10</xdr:row>
      <xdr:rowOff>171450</xdr:rowOff>
    </xdr:to>
    <xdr:sp macro="" textlink="">
      <xdr:nvSpPr>
        <xdr:cNvPr id="181" name="Rounded Rectangle 180">
          <a:hlinkClick xmlns:r="http://schemas.openxmlformats.org/officeDocument/2006/relationships" r:id="rId17"/>
        </xdr:cNvPr>
        <xdr:cNvSpPr/>
      </xdr:nvSpPr>
      <xdr:spPr>
        <a:xfrm>
          <a:off x="7886700" y="1890713"/>
          <a:ext cx="552449"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PJOK</a:t>
          </a:r>
        </a:p>
      </xdr:txBody>
    </xdr:sp>
    <xdr:clientData/>
  </xdr:twoCellAnchor>
  <xdr:twoCellAnchor>
    <xdr:from>
      <xdr:col>13</xdr:col>
      <xdr:colOff>609599</xdr:colOff>
      <xdr:row>8</xdr:row>
      <xdr:rowOff>185738</xdr:rowOff>
    </xdr:from>
    <xdr:to>
      <xdr:col>15</xdr:col>
      <xdr:colOff>123824</xdr:colOff>
      <xdr:row>10</xdr:row>
      <xdr:rowOff>171450</xdr:rowOff>
    </xdr:to>
    <xdr:sp macro="[0]!ragm_4" textlink="">
      <xdr:nvSpPr>
        <xdr:cNvPr id="182" name="Rounded Rectangle 181"/>
        <xdr:cNvSpPr/>
      </xdr:nvSpPr>
      <xdr:spPr>
        <a:xfrm>
          <a:off x="8534399" y="1890713"/>
          <a:ext cx="733425" cy="366712"/>
        </a:xfrm>
        <a:prstGeom prst="roundRect">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id-ID" sz="1050" b="1">
              <a:solidFill>
                <a:sysClr val="windowText" lastClr="000000"/>
              </a:solidFill>
            </a:rPr>
            <a:t>AGAMA</a:t>
          </a:r>
        </a:p>
      </xdr:txBody>
    </xdr:sp>
    <xdr:clientData/>
  </xdr:twoCellAnchor>
  <xdr:twoCellAnchor>
    <xdr:from>
      <xdr:col>15</xdr:col>
      <xdr:colOff>190499</xdr:colOff>
      <xdr:row>8</xdr:row>
      <xdr:rowOff>185738</xdr:rowOff>
    </xdr:from>
    <xdr:to>
      <xdr:col>17</xdr:col>
      <xdr:colOff>276224</xdr:colOff>
      <xdr:row>10</xdr:row>
      <xdr:rowOff>171450</xdr:rowOff>
    </xdr:to>
    <xdr:sp macro="" textlink="">
      <xdr:nvSpPr>
        <xdr:cNvPr id="183" name="Rounded Rectangle 182">
          <a:hlinkClick xmlns:r="http://schemas.openxmlformats.org/officeDocument/2006/relationships" r:id="rId18"/>
        </xdr:cNvPr>
        <xdr:cNvSpPr/>
      </xdr:nvSpPr>
      <xdr:spPr>
        <a:xfrm>
          <a:off x="9334499" y="1890713"/>
          <a:ext cx="733425" cy="366712"/>
        </a:xfrm>
        <a:prstGeom prst="roundRect">
          <a:avLst/>
        </a:prstGeom>
        <a:solidFill>
          <a:schemeClr val="bg1"/>
        </a:soli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id-ID" sz="1100" b="1">
              <a:solidFill>
                <a:sysClr val="windowText" lastClr="000000"/>
              </a:solidFill>
            </a:rPr>
            <a:t>MULOK</a:t>
          </a:r>
        </a:p>
      </xdr:txBody>
    </xdr:sp>
    <xdr:clientData/>
  </xdr:twoCellAnchor>
  <xdr:oneCellAnchor>
    <xdr:from>
      <xdr:col>0</xdr:col>
      <xdr:colOff>0</xdr:colOff>
      <xdr:row>0</xdr:row>
      <xdr:rowOff>95249</xdr:rowOff>
    </xdr:from>
    <xdr:ext cx="10458450" cy="657226"/>
    <xdr:sp macro="" textlink="">
      <xdr:nvSpPr>
        <xdr:cNvPr id="198" name="Rectangle 197"/>
        <xdr:cNvSpPr/>
      </xdr:nvSpPr>
      <xdr:spPr>
        <a:xfrm>
          <a:off x="0" y="95249"/>
          <a:ext cx="10458450" cy="657226"/>
        </a:xfrm>
        <a:prstGeom prst="rect">
          <a:avLst/>
        </a:prstGeom>
        <a:solidFill>
          <a:srgbClr val="FF0000"/>
        </a:solidFill>
      </xdr:spPr>
      <xdr:txBody>
        <a:bodyPr wrap="non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l"/>
          <a:r>
            <a:rPr lang="en-US" sz="4800" b="1" cap="none" spc="50">
              <a:ln w="11430"/>
              <a:solidFill>
                <a:schemeClr val="tx1"/>
              </a:solidFill>
              <a:effectLst>
                <a:outerShdw blurRad="76200" dist="50800" dir="5400000" algn="tl" rotWithShape="0">
                  <a:srgbClr val="000000">
                    <a:alpha val="65000"/>
                  </a:srgbClr>
                </a:outerShdw>
              </a:effectLst>
              <a:latin typeface="Britannic Bold" pitchFamily="34" charset="0"/>
            </a:rPr>
            <a:t>           </a:t>
          </a:r>
          <a:r>
            <a:rPr lang="id-ID" sz="4800" b="1" cap="none" spc="50">
              <a:ln w="11430"/>
              <a:solidFill>
                <a:schemeClr val="tx1"/>
              </a:solidFill>
              <a:effectLst>
                <a:outerShdw blurRad="76200" dist="50800" dir="5400000" algn="tl" rotWithShape="0">
                  <a:srgbClr val="000000">
                    <a:alpha val="65000"/>
                  </a:srgbClr>
                </a:outerShdw>
              </a:effectLst>
              <a:latin typeface="Britannic Bold" pitchFamily="34" charset="0"/>
            </a:rPr>
            <a:t>Aplikasi</a:t>
          </a:r>
          <a:r>
            <a:rPr lang="id-ID" sz="4800" b="1" cap="none" spc="50" baseline="0">
              <a:ln w="11430"/>
              <a:solidFill>
                <a:schemeClr val="tx1"/>
              </a:solidFill>
              <a:effectLst>
                <a:outerShdw blurRad="76200" dist="50800" dir="5400000" algn="tl" rotWithShape="0">
                  <a:srgbClr val="000000">
                    <a:alpha val="65000"/>
                  </a:srgbClr>
                </a:outerShdw>
              </a:effectLst>
              <a:latin typeface="Britannic Bold" pitchFamily="34" charset="0"/>
            </a:rPr>
            <a:t> Kurikulum 2013 </a:t>
          </a:r>
          <a:endParaRPr lang="en-US" sz="4800" b="1" cap="none" spc="50">
            <a:ln w="11430"/>
            <a:solidFill>
              <a:schemeClr val="tx1"/>
            </a:solidFill>
            <a:effectLst>
              <a:outerShdw blurRad="76200" dist="50800" dir="5400000" algn="tl" rotWithShape="0">
                <a:srgbClr val="000000">
                  <a:alpha val="65000"/>
                </a:srgbClr>
              </a:outerShdw>
            </a:effectLst>
            <a:latin typeface="Britannic Bold" pitchFamily="34" charset="0"/>
          </a:endParaRPr>
        </a:p>
      </xdr:txBody>
    </xdr:sp>
    <xdr:clientData/>
  </xdr:oneCellAnchor>
  <xdr:oneCellAnchor>
    <xdr:from>
      <xdr:col>13</xdr:col>
      <xdr:colOff>270163</xdr:colOff>
      <xdr:row>0</xdr:row>
      <xdr:rowOff>159238</xdr:rowOff>
    </xdr:from>
    <xdr:ext cx="184731" cy="466923"/>
    <xdr:sp macro="" textlink="">
      <xdr:nvSpPr>
        <xdr:cNvPr id="200" name="TextBox 199"/>
        <xdr:cNvSpPr txBox="1"/>
      </xdr:nvSpPr>
      <xdr:spPr>
        <a:xfrm>
          <a:off x="8194963" y="159238"/>
          <a:ext cx="184731" cy="4669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endParaRPr lang="id-ID" sz="2000">
            <a:solidFill>
              <a:sysClr val="windowText" lastClr="000000"/>
            </a:solidFill>
            <a:latin typeface="Bauhaus 93" pitchFamily="82" charset="0"/>
          </a:endParaRPr>
        </a:p>
      </xdr:txBody>
    </xdr:sp>
    <xdr:clientData/>
  </xdr:oneCellAnchor>
  <xdr:twoCellAnchor>
    <xdr:from>
      <xdr:col>13</xdr:col>
      <xdr:colOff>466725</xdr:colOff>
      <xdr:row>11</xdr:row>
      <xdr:rowOff>141645</xdr:rowOff>
    </xdr:from>
    <xdr:to>
      <xdr:col>17</xdr:col>
      <xdr:colOff>314325</xdr:colOff>
      <xdr:row>13</xdr:row>
      <xdr:rowOff>131231</xdr:rowOff>
    </xdr:to>
    <xdr:sp macro="" textlink="">
      <xdr:nvSpPr>
        <xdr:cNvPr id="202" name="Rounded Rectangle 201">
          <a:hlinkClick xmlns:r="http://schemas.openxmlformats.org/officeDocument/2006/relationships" r:id="rId19"/>
        </xdr:cNvPr>
        <xdr:cNvSpPr/>
      </xdr:nvSpPr>
      <xdr:spPr>
        <a:xfrm>
          <a:off x="8391525" y="2418120"/>
          <a:ext cx="1714500" cy="456311"/>
        </a:xfrm>
        <a:prstGeom prst="roundRect">
          <a:avLst/>
        </a:prstGeom>
        <a:solidFill>
          <a:srgbClr val="00B050"/>
        </a:solidFill>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id-ID" sz="1600" b="1">
              <a:solidFill>
                <a:schemeClr val="bg1"/>
              </a:solidFill>
            </a:rPr>
            <a:t>CETAK RAPOT</a:t>
          </a:r>
        </a:p>
      </xdr:txBody>
    </xdr:sp>
    <xdr:clientData/>
  </xdr:twoCellAnchor>
  <xdr:oneCellAnchor>
    <xdr:from>
      <xdr:col>0</xdr:col>
      <xdr:colOff>256353</xdr:colOff>
      <xdr:row>7</xdr:row>
      <xdr:rowOff>29265</xdr:rowOff>
    </xdr:from>
    <xdr:ext cx="1210716" cy="530658"/>
    <xdr:sp macro="" textlink="">
      <xdr:nvSpPr>
        <xdr:cNvPr id="14" name="TextBox 13"/>
        <xdr:cNvSpPr txBox="1"/>
      </xdr:nvSpPr>
      <xdr:spPr>
        <a:xfrm>
          <a:off x="256353" y="1543740"/>
          <a:ext cx="121071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id-ID" sz="1400" b="1">
              <a:solidFill>
                <a:sysClr val="windowText" lastClr="000000"/>
              </a:solidFill>
            </a:rPr>
            <a:t>DIKNAS </a:t>
          </a:r>
        </a:p>
        <a:p>
          <a:pPr algn="ctr"/>
          <a:r>
            <a:rPr lang="id-ID" sz="1400" b="1">
              <a:solidFill>
                <a:sysClr val="windowText" lastClr="000000"/>
              </a:solidFill>
            </a:rPr>
            <a:t>KOTA </a:t>
          </a:r>
          <a:r>
            <a:rPr lang="en-US" sz="1400" b="1" baseline="0">
              <a:solidFill>
                <a:sysClr val="windowText" lastClr="000000"/>
              </a:solidFill>
            </a:rPr>
            <a:t> ...........</a:t>
          </a:r>
          <a:endParaRPr lang="id-ID" sz="1400" b="1">
            <a:solidFill>
              <a:sysClr val="windowText" lastClr="000000"/>
            </a:solidFill>
          </a:endParaRPr>
        </a:p>
      </xdr:txBody>
    </xdr:sp>
    <xdr:clientData/>
  </xdr:oneCellAnchor>
  <xdr:twoCellAnchor>
    <xdr:from>
      <xdr:col>9</xdr:col>
      <xdr:colOff>340302</xdr:colOff>
      <xdr:row>11</xdr:row>
      <xdr:rowOff>133351</xdr:rowOff>
    </xdr:from>
    <xdr:to>
      <xdr:col>13</xdr:col>
      <xdr:colOff>228600</xdr:colOff>
      <xdr:row>13</xdr:row>
      <xdr:rowOff>114300</xdr:rowOff>
    </xdr:to>
    <xdr:sp macro="[0]!dtsekolah" textlink="">
      <xdr:nvSpPr>
        <xdr:cNvPr id="50" name="Freeform 49">
          <a:hlinkClick xmlns:r="http://schemas.openxmlformats.org/officeDocument/2006/relationships" r:id="rId20"/>
        </xdr:cNvPr>
        <xdr:cNvSpPr/>
      </xdr:nvSpPr>
      <xdr:spPr>
        <a:xfrm>
          <a:off x="5826702" y="2409826"/>
          <a:ext cx="2326698" cy="447674"/>
        </a:xfrm>
        <a:custGeom>
          <a:avLst/>
          <a:gdLst>
            <a:gd name="connsiteX0" fmla="*/ 0 w 1240434"/>
            <a:gd name="connsiteY0" fmla="*/ 0 h 378181"/>
            <a:gd name="connsiteX1" fmla="*/ 1240434 w 1240434"/>
            <a:gd name="connsiteY1" fmla="*/ 0 h 378181"/>
            <a:gd name="connsiteX2" fmla="*/ 1240434 w 1240434"/>
            <a:gd name="connsiteY2" fmla="*/ 378181 h 378181"/>
            <a:gd name="connsiteX3" fmla="*/ 0 w 1240434"/>
            <a:gd name="connsiteY3" fmla="*/ 378181 h 378181"/>
            <a:gd name="connsiteX4" fmla="*/ 0 w 1240434"/>
            <a:gd name="connsiteY4" fmla="*/ 0 h 3781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40434" h="378181">
              <a:moveTo>
                <a:pt x="0" y="0"/>
              </a:moveTo>
              <a:lnTo>
                <a:pt x="1240434" y="0"/>
              </a:lnTo>
              <a:lnTo>
                <a:pt x="1240434" y="378181"/>
              </a:lnTo>
              <a:lnTo>
                <a:pt x="0" y="378181"/>
              </a:lnTo>
              <a:lnTo>
                <a:pt x="0" y="0"/>
              </a:lnTo>
              <a:close/>
            </a:path>
          </a:pathLst>
        </a:custGeom>
        <a:solidFill>
          <a:srgbClr val="00B050"/>
        </a:solidFill>
      </xdr:spPr>
      <xdr:style>
        <a:lnRef idx="1">
          <a:schemeClr val="accent5"/>
        </a:lnRef>
        <a:fillRef idx="2">
          <a:schemeClr val="accent5"/>
        </a:fillRef>
        <a:effectRef idx="1">
          <a:schemeClr val="accent5"/>
        </a:effectRef>
        <a:fontRef idx="minor">
          <a:schemeClr val="dk1"/>
        </a:fontRef>
      </xdr:style>
      <xdr:txBody>
        <a:bodyPr spcFirstLastPara="0" vert="horz" wrap="square" lIns="6985" tIns="6985" rIns="6985" bIns="6985" numCol="1" spcCol="1270" anchor="ctr" anchorCtr="0">
          <a:noAutofit/>
        </a:bodyPr>
        <a:lstStyle/>
        <a:p>
          <a:pPr lvl="0" algn="ctr" defTabSz="488950">
            <a:lnSpc>
              <a:spcPct val="90000"/>
            </a:lnSpc>
            <a:spcBef>
              <a:spcPct val="0"/>
            </a:spcBef>
            <a:spcAft>
              <a:spcPct val="35000"/>
            </a:spcAft>
          </a:pPr>
          <a:r>
            <a:rPr lang="id-ID" sz="1600" b="1" kern="1200"/>
            <a:t>Prestasi</a:t>
          </a:r>
          <a:r>
            <a:rPr lang="id-ID" sz="1600" b="1" kern="1200" baseline="0"/>
            <a:t> Siswa</a:t>
          </a:r>
          <a:endParaRPr lang="id-ID" sz="1600" b="1" kern="1200"/>
        </a:p>
      </xdr:txBody>
    </xdr:sp>
    <xdr:clientData/>
  </xdr:twoCellAnchor>
  <xdr:twoCellAnchor editAs="oneCell">
    <xdr:from>
      <xdr:col>0</xdr:col>
      <xdr:colOff>323850</xdr:colOff>
      <xdr:row>0</xdr:row>
      <xdr:rowOff>285124</xdr:rowOff>
    </xdr:from>
    <xdr:to>
      <xdr:col>2</xdr:col>
      <xdr:colOff>333375</xdr:colOff>
      <xdr:row>6</xdr:row>
      <xdr:rowOff>184078</xdr:rowOff>
    </xdr:to>
    <xdr:pic>
      <xdr:nvPicPr>
        <xdr:cNvPr id="52" name="Picture 51">
          <a:hlinkClick xmlns:r="http://schemas.openxmlformats.org/officeDocument/2006/relationships" r:id="rId21"/>
        </xdr:cNvPr>
        <xdr:cNvPicPr>
          <a:picLocks noChangeAspect="1"/>
        </xdr:cNvPicPr>
      </xdr:nvPicPr>
      <xdr:blipFill>
        <a:blip xmlns:r="http://schemas.openxmlformats.org/officeDocument/2006/relationships" r:embed="rId22" cstate="print"/>
        <a:stretch>
          <a:fillRect/>
        </a:stretch>
      </xdr:blipFill>
      <xdr:spPr>
        <a:xfrm>
          <a:off x="323850" y="285124"/>
          <a:ext cx="1228725" cy="1222929"/>
        </a:xfrm>
        <a:prstGeom prst="rect">
          <a:avLst/>
        </a:prstGeom>
        <a:effectLst>
          <a:glow rad="101600">
            <a:schemeClr val="bg1">
              <a:alpha val="60000"/>
            </a:schemeClr>
          </a:glow>
        </a:effectLst>
      </xdr:spPr>
    </xdr:pic>
    <xdr:clientData/>
  </xdr:twoCellAnchor>
  <xdr:twoCellAnchor>
    <xdr:from>
      <xdr:col>9</xdr:col>
      <xdr:colOff>476250</xdr:colOff>
      <xdr:row>6</xdr:row>
      <xdr:rowOff>23813</xdr:rowOff>
    </xdr:from>
    <xdr:to>
      <xdr:col>10</xdr:col>
      <xdr:colOff>400050</xdr:colOff>
      <xdr:row>8</xdr:row>
      <xdr:rowOff>57150</xdr:rowOff>
    </xdr:to>
    <xdr:sp macro="" textlink="">
      <xdr:nvSpPr>
        <xdr:cNvPr id="53" name="Rounded Rectangle 52">
          <a:hlinkClick xmlns:r="http://schemas.openxmlformats.org/officeDocument/2006/relationships" r:id="rId23"/>
        </xdr:cNvPr>
        <xdr:cNvSpPr/>
      </xdr:nvSpPr>
      <xdr:spPr>
        <a:xfrm>
          <a:off x="5962650" y="1347788"/>
          <a:ext cx="533400"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IPA</a:t>
          </a:r>
        </a:p>
      </xdr:txBody>
    </xdr:sp>
    <xdr:clientData/>
  </xdr:twoCellAnchor>
  <xdr:twoCellAnchor>
    <xdr:from>
      <xdr:col>10</xdr:col>
      <xdr:colOff>495300</xdr:colOff>
      <xdr:row>6</xdr:row>
      <xdr:rowOff>23813</xdr:rowOff>
    </xdr:from>
    <xdr:to>
      <xdr:col>11</xdr:col>
      <xdr:colOff>438149</xdr:colOff>
      <xdr:row>8</xdr:row>
      <xdr:rowOff>57150</xdr:rowOff>
    </xdr:to>
    <xdr:sp macro="" textlink="">
      <xdr:nvSpPr>
        <xdr:cNvPr id="54" name="Rounded Rectangle 53">
          <a:hlinkClick xmlns:r="http://schemas.openxmlformats.org/officeDocument/2006/relationships" r:id="rId24"/>
        </xdr:cNvPr>
        <xdr:cNvSpPr/>
      </xdr:nvSpPr>
      <xdr:spPr>
        <a:xfrm>
          <a:off x="6591300" y="1347788"/>
          <a:ext cx="552449" cy="414337"/>
        </a:xfrm>
        <a:prstGeom prst="roundRect">
          <a:avLst/>
        </a:prstGeom>
        <a:solidFill>
          <a:schemeClr val="accent6"/>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IPS</a:t>
          </a:r>
        </a:p>
      </xdr:txBody>
    </xdr:sp>
    <xdr:clientData/>
  </xdr:twoCellAnchor>
  <xdr:twoCellAnchor>
    <xdr:from>
      <xdr:col>9</xdr:col>
      <xdr:colOff>457200</xdr:colOff>
      <xdr:row>9</xdr:row>
      <xdr:rowOff>14288</xdr:rowOff>
    </xdr:from>
    <xdr:to>
      <xdr:col>10</xdr:col>
      <xdr:colOff>381000</xdr:colOff>
      <xdr:row>11</xdr:row>
      <xdr:rowOff>0</xdr:rowOff>
    </xdr:to>
    <xdr:sp macro="" textlink="">
      <xdr:nvSpPr>
        <xdr:cNvPr id="55" name="Rounded Rectangle 54">
          <a:hlinkClick xmlns:r="http://schemas.openxmlformats.org/officeDocument/2006/relationships" r:id="rId25"/>
        </xdr:cNvPr>
        <xdr:cNvSpPr/>
      </xdr:nvSpPr>
      <xdr:spPr>
        <a:xfrm>
          <a:off x="5943600" y="1909763"/>
          <a:ext cx="533400"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IPA</a:t>
          </a:r>
        </a:p>
      </xdr:txBody>
    </xdr:sp>
    <xdr:clientData/>
  </xdr:twoCellAnchor>
  <xdr:twoCellAnchor>
    <xdr:from>
      <xdr:col>10</xdr:col>
      <xdr:colOff>476250</xdr:colOff>
      <xdr:row>9</xdr:row>
      <xdr:rowOff>14288</xdr:rowOff>
    </xdr:from>
    <xdr:to>
      <xdr:col>11</xdr:col>
      <xdr:colOff>419099</xdr:colOff>
      <xdr:row>11</xdr:row>
      <xdr:rowOff>0</xdr:rowOff>
    </xdr:to>
    <xdr:sp macro="" textlink="">
      <xdr:nvSpPr>
        <xdr:cNvPr id="56" name="Rounded Rectangle 55">
          <a:hlinkClick xmlns:r="http://schemas.openxmlformats.org/officeDocument/2006/relationships" r:id="rId26"/>
        </xdr:cNvPr>
        <xdr:cNvSpPr/>
      </xdr:nvSpPr>
      <xdr:spPr>
        <a:xfrm>
          <a:off x="6572250" y="1909763"/>
          <a:ext cx="552449" cy="366712"/>
        </a:xfrm>
        <a:prstGeom prst="roundRect">
          <a:avLst/>
        </a:prstGeom>
        <a:solidFill>
          <a:schemeClr val="bg1"/>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id-ID" sz="1050" b="1">
              <a:solidFill>
                <a:sysClr val="windowText" lastClr="000000"/>
              </a:solidFill>
            </a:rPr>
            <a:t>IPS</a:t>
          </a:r>
        </a:p>
      </xdr:txBody>
    </xdr:sp>
    <xdr:clientData/>
  </xdr:twoCellAnchor>
  <xdr:twoCellAnchor>
    <xdr:from>
      <xdr:col>0</xdr:col>
      <xdr:colOff>161924</xdr:colOff>
      <xdr:row>13</xdr:row>
      <xdr:rowOff>95250</xdr:rowOff>
    </xdr:from>
    <xdr:to>
      <xdr:col>1</xdr:col>
      <xdr:colOff>590549</xdr:colOff>
      <xdr:row>14</xdr:row>
      <xdr:rowOff>104775</xdr:rowOff>
    </xdr:to>
    <xdr:sp macro="" textlink="">
      <xdr:nvSpPr>
        <xdr:cNvPr id="34" name="Rounded Rectangle 33">
          <a:hlinkClick xmlns:r="http://schemas.openxmlformats.org/officeDocument/2006/relationships" r:id="rId27"/>
        </xdr:cNvPr>
        <xdr:cNvSpPr/>
      </xdr:nvSpPr>
      <xdr:spPr>
        <a:xfrm>
          <a:off x="161924" y="2838450"/>
          <a:ext cx="1038225" cy="2667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id-ID" sz="1100"/>
            <a:t>AGAMA</a:t>
          </a:r>
          <a:r>
            <a:rPr lang="id-ID" sz="1100" baseline="0"/>
            <a:t> LAIN</a:t>
          </a:r>
          <a:endParaRPr lang="id-ID" sz="1100"/>
        </a:p>
      </xdr:txBody>
    </xdr:sp>
    <xdr:clientData/>
  </xdr:twoCellAnchor>
  <xdr:twoCellAnchor editAs="oneCell">
    <xdr:from>
      <xdr:col>16</xdr:col>
      <xdr:colOff>66675</xdr:colOff>
      <xdr:row>0</xdr:row>
      <xdr:rowOff>114300</xdr:rowOff>
    </xdr:from>
    <xdr:to>
      <xdr:col>17</xdr:col>
      <xdr:colOff>296915</xdr:colOff>
      <xdr:row>2</xdr:row>
      <xdr:rowOff>139721</xdr:rowOff>
    </xdr:to>
    <xdr:pic>
      <xdr:nvPicPr>
        <xdr:cNvPr id="35" name="Picture 34" descr="017 garut-e.jpg">
          <a:hlinkClick xmlns:r="http://schemas.openxmlformats.org/officeDocument/2006/relationships" r:id="rId28"/>
        </xdr:cNvPr>
        <xdr:cNvPicPr>
          <a:picLocks noChangeAspect="1"/>
        </xdr:cNvPicPr>
      </xdr:nvPicPr>
      <xdr:blipFill>
        <a:blip xmlns:r="http://schemas.openxmlformats.org/officeDocument/2006/relationships" r:embed="rId29" cstate="print"/>
        <a:stretch>
          <a:fillRect/>
        </a:stretch>
      </xdr:blipFill>
      <xdr:spPr>
        <a:xfrm>
          <a:off x="9534525" y="114300"/>
          <a:ext cx="554090" cy="5873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23</xdr:col>
      <xdr:colOff>190500</xdr:colOff>
      <xdr:row>2</xdr:row>
      <xdr:rowOff>47625</xdr:rowOff>
    </xdr:from>
    <xdr:to>
      <xdr:col>25</xdr:col>
      <xdr:colOff>285750</xdr:colOff>
      <xdr:row>3</xdr:row>
      <xdr:rowOff>133350</xdr:rowOff>
    </xdr:to>
    <xdr:sp macro="" textlink="">
      <xdr:nvSpPr>
        <xdr:cNvPr id="2" name="Rounded Rectangle 1">
          <a:hlinkClick xmlns:r="http://schemas.openxmlformats.org/officeDocument/2006/relationships" r:id="rId1"/>
        </xdr:cNvPr>
        <xdr:cNvSpPr/>
      </xdr:nvSpPr>
      <xdr:spPr>
        <a:xfrm>
          <a:off x="37071300" y="933450"/>
          <a:ext cx="1314450" cy="409575"/>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twoCellAnchor>
    <xdr:from>
      <xdr:col>5</xdr:col>
      <xdr:colOff>590550</xdr:colOff>
      <xdr:row>0</xdr:row>
      <xdr:rowOff>123825</xdr:rowOff>
    </xdr:from>
    <xdr:to>
      <xdr:col>7</xdr:col>
      <xdr:colOff>352425</xdr:colOff>
      <xdr:row>0</xdr:row>
      <xdr:rowOff>514350</xdr:rowOff>
    </xdr:to>
    <xdr:sp macro="" textlink="">
      <xdr:nvSpPr>
        <xdr:cNvPr id="3" name="Rounded Rectangle 2">
          <a:hlinkClick xmlns:r="http://schemas.openxmlformats.org/officeDocument/2006/relationships" r:id="rId1"/>
        </xdr:cNvPr>
        <xdr:cNvSpPr/>
      </xdr:nvSpPr>
      <xdr:spPr>
        <a:xfrm>
          <a:off x="5372100" y="123825"/>
          <a:ext cx="1314450" cy="390525"/>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twoCellAnchor>
    <xdr:from>
      <xdr:col>13</xdr:col>
      <xdr:colOff>1666875</xdr:colOff>
      <xdr:row>0</xdr:row>
      <xdr:rowOff>200025</xdr:rowOff>
    </xdr:from>
    <xdr:to>
      <xdr:col>14</xdr:col>
      <xdr:colOff>1114425</xdr:colOff>
      <xdr:row>0</xdr:row>
      <xdr:rowOff>542925</xdr:rowOff>
    </xdr:to>
    <xdr:sp macro="" textlink="">
      <xdr:nvSpPr>
        <xdr:cNvPr id="4" name="Rounded Rectangle 3">
          <a:hlinkClick xmlns:r="http://schemas.openxmlformats.org/officeDocument/2006/relationships" r:id="rId2"/>
        </xdr:cNvPr>
        <xdr:cNvSpPr/>
      </xdr:nvSpPr>
      <xdr:spPr>
        <a:xfrm>
          <a:off x="20955000" y="200025"/>
          <a:ext cx="1314450" cy="342900"/>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9</xdr:row>
      <xdr:rowOff>209550</xdr:rowOff>
    </xdr:from>
    <xdr:to>
      <xdr:col>6</xdr:col>
      <xdr:colOff>212725</xdr:colOff>
      <xdr:row>10</xdr:row>
      <xdr:rowOff>285750</xdr:rowOff>
    </xdr:to>
    <xdr:sp macro="" textlink="">
      <xdr:nvSpPr>
        <xdr:cNvPr id="5" name="Rounded Rectangle 4">
          <a:hlinkClick xmlns:r="http://schemas.openxmlformats.org/officeDocument/2006/relationships" r:id="rId1"/>
        </xdr:cNvPr>
        <xdr:cNvSpPr/>
      </xdr:nvSpPr>
      <xdr:spPr>
        <a:xfrm>
          <a:off x="5686425" y="2924175"/>
          <a:ext cx="2365375" cy="390525"/>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57151</xdr:colOff>
      <xdr:row>0</xdr:row>
      <xdr:rowOff>28575</xdr:rowOff>
    </xdr:from>
    <xdr:to>
      <xdr:col>15</xdr:col>
      <xdr:colOff>47625</xdr:colOff>
      <xdr:row>4</xdr:row>
      <xdr:rowOff>57150</xdr:rowOff>
    </xdr:to>
    <xdr:sp macro="" textlink="">
      <xdr:nvSpPr>
        <xdr:cNvPr id="2" name="Rectangle 1"/>
        <xdr:cNvSpPr/>
      </xdr:nvSpPr>
      <xdr:spPr>
        <a:xfrm>
          <a:off x="6019801" y="28575"/>
          <a:ext cx="6219824" cy="79057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t"/>
        <a:lstStyle/>
        <a:p>
          <a:pPr algn="l"/>
          <a:r>
            <a:rPr lang="id-ID" sz="1600" b="1"/>
            <a:t>PETUNJUK:</a:t>
          </a:r>
        </a:p>
        <a:p>
          <a:pPr algn="l"/>
          <a:r>
            <a:rPr lang="id-ID" sz="1200" b="1"/>
            <a:t>1. Isilah data tinggi, berat badan</a:t>
          </a:r>
          <a:r>
            <a:rPr lang="en-US" sz="1200" b="1"/>
            <a:t>,</a:t>
          </a:r>
          <a:r>
            <a:rPr lang="id-ID" sz="1200" b="1"/>
            <a:t> data kondisi fisik</a:t>
          </a:r>
          <a:r>
            <a:rPr lang="en-US" sz="1200" b="1"/>
            <a:t>, kehadiran,</a:t>
          </a:r>
          <a:r>
            <a:rPr lang="en-US" sz="1200" b="1" baseline="0"/>
            <a:t> ekskul</a:t>
          </a:r>
          <a:r>
            <a:rPr lang="id-ID" sz="1200" b="1"/>
            <a:t> setiap siswa.</a:t>
          </a:r>
        </a:p>
        <a:p>
          <a:pPr algn="l"/>
          <a:r>
            <a:rPr lang="id-ID" sz="1200" b="1"/>
            <a:t>2. Data ini digunakan pada data raport.</a:t>
          </a:r>
        </a:p>
      </xdr:txBody>
    </xdr:sp>
    <xdr:clientData/>
  </xdr:twoCellAnchor>
  <xdr:twoCellAnchor>
    <xdr:from>
      <xdr:col>15</xdr:col>
      <xdr:colOff>409575</xdr:colOff>
      <xdr:row>1</xdr:row>
      <xdr:rowOff>123825</xdr:rowOff>
    </xdr:from>
    <xdr:to>
      <xdr:col>17</xdr:col>
      <xdr:colOff>504825</xdr:colOff>
      <xdr:row>3</xdr:row>
      <xdr:rowOff>47625</xdr:rowOff>
    </xdr:to>
    <xdr:sp macro="" textlink="">
      <xdr:nvSpPr>
        <xdr:cNvPr id="3" name="Rounded Rectangle 2">
          <a:hlinkClick xmlns:r="http://schemas.openxmlformats.org/officeDocument/2006/relationships" r:id="rId1"/>
        </xdr:cNvPr>
        <xdr:cNvSpPr/>
      </xdr:nvSpPr>
      <xdr:spPr>
        <a:xfrm>
          <a:off x="12601575" y="314325"/>
          <a:ext cx="1314450" cy="304800"/>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twoCellAnchor>
    <xdr:from>
      <xdr:col>1</xdr:col>
      <xdr:colOff>228600</xdr:colOff>
      <xdr:row>1</xdr:row>
      <xdr:rowOff>28575</xdr:rowOff>
    </xdr:from>
    <xdr:to>
      <xdr:col>1</xdr:col>
      <xdr:colOff>1543050</xdr:colOff>
      <xdr:row>2</xdr:row>
      <xdr:rowOff>142875</xdr:rowOff>
    </xdr:to>
    <xdr:sp macro="" textlink="">
      <xdr:nvSpPr>
        <xdr:cNvPr id="4" name="Rounded Rectangle 3">
          <a:hlinkClick xmlns:r="http://schemas.openxmlformats.org/officeDocument/2006/relationships" r:id="rId1"/>
        </xdr:cNvPr>
        <xdr:cNvSpPr/>
      </xdr:nvSpPr>
      <xdr:spPr>
        <a:xfrm>
          <a:off x="571500" y="219075"/>
          <a:ext cx="1314450" cy="304800"/>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179833</xdr:rowOff>
    </xdr:to>
    <xdr:pic macro="[0]!Picture1_Click">
      <xdr:nvPicPr>
        <xdr:cNvPr id="4" name="Picture 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63500</xdr:colOff>
      <xdr:row>0</xdr:row>
      <xdr:rowOff>53976</xdr:rowOff>
    </xdr:from>
    <xdr:to>
      <xdr:col>1</xdr:col>
      <xdr:colOff>383602</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53976"/>
          <a:ext cx="615377" cy="26987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141733</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101600</xdr:colOff>
      <xdr:row>0</xdr:row>
      <xdr:rowOff>101600</xdr:rowOff>
    </xdr:from>
    <xdr:to>
      <xdr:col>1</xdr:col>
      <xdr:colOff>440826</xdr:colOff>
      <xdr:row>1</xdr:row>
      <xdr:rowOff>189358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600" y="101600"/>
          <a:ext cx="634501" cy="26873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85725</xdr:colOff>
      <xdr:row>0</xdr:row>
      <xdr:rowOff>104775</xdr:rowOff>
    </xdr:from>
    <xdr:to>
      <xdr:col>1</xdr:col>
      <xdr:colOff>333375</xdr:colOff>
      <xdr:row>1</xdr:row>
      <xdr:rowOff>103633</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 y="104775"/>
          <a:ext cx="571500" cy="23698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19</xdr:col>
      <xdr:colOff>95250</xdr:colOff>
      <xdr:row>0</xdr:row>
      <xdr:rowOff>138559</xdr:rowOff>
    </xdr:from>
    <xdr:to>
      <xdr:col>20</xdr:col>
      <xdr:colOff>385762</xdr:colOff>
      <xdr:row>1</xdr:row>
      <xdr:rowOff>208409</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53650" y="138559"/>
          <a:ext cx="785812" cy="336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23</xdr:col>
      <xdr:colOff>390525</xdr:colOff>
      <xdr:row>1</xdr:row>
      <xdr:rowOff>53740</xdr:rowOff>
    </xdr:from>
    <xdr:to>
      <xdr:col>24</xdr:col>
      <xdr:colOff>352425</xdr:colOff>
      <xdr:row>2</xdr:row>
      <xdr:rowOff>27433</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72775" y="320440"/>
          <a:ext cx="571500" cy="24039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27</xdr:col>
      <xdr:colOff>234294</xdr:colOff>
      <xdr:row>1</xdr:row>
      <xdr:rowOff>119062</xdr:rowOff>
    </xdr:from>
    <xdr:to>
      <xdr:col>28</xdr:col>
      <xdr:colOff>550068</xdr:colOff>
      <xdr:row>2</xdr:row>
      <xdr:rowOff>172688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009700" y="452437"/>
          <a:ext cx="922993" cy="38700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17</xdr:col>
      <xdr:colOff>485775</xdr:colOff>
      <xdr:row>1</xdr:row>
      <xdr:rowOff>11289</xdr:rowOff>
    </xdr:from>
    <xdr:to>
      <xdr:col>18</xdr:col>
      <xdr:colOff>504825</xdr:colOff>
      <xdr:row>2</xdr:row>
      <xdr:rowOff>17909</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7500" y="277989"/>
          <a:ext cx="638175" cy="27332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19</xdr:col>
      <xdr:colOff>581025</xdr:colOff>
      <xdr:row>1</xdr:row>
      <xdr:rowOff>101365</xdr:rowOff>
    </xdr:from>
    <xdr:to>
      <xdr:col>20</xdr:col>
      <xdr:colOff>542925</xdr:colOff>
      <xdr:row>2</xdr:row>
      <xdr:rowOff>75058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782300" y="368065"/>
          <a:ext cx="571500" cy="24039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21</xdr:col>
      <xdr:colOff>9525</xdr:colOff>
      <xdr:row>0</xdr:row>
      <xdr:rowOff>200026</xdr:rowOff>
    </xdr:from>
    <xdr:to>
      <xdr:col>22</xdr:col>
      <xdr:colOff>219075</xdr:colOff>
      <xdr:row>2</xdr:row>
      <xdr:rowOff>8384</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44075" y="200026"/>
          <a:ext cx="781050" cy="34175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24</xdr:col>
      <xdr:colOff>0</xdr:colOff>
      <xdr:row>1</xdr:row>
      <xdr:rowOff>120415</xdr:rowOff>
    </xdr:from>
    <xdr:to>
      <xdr:col>24</xdr:col>
      <xdr:colOff>571500</xdr:colOff>
      <xdr:row>2</xdr:row>
      <xdr:rowOff>94108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48975" y="387115"/>
          <a:ext cx="571500" cy="24039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19</xdr:col>
      <xdr:colOff>314325</xdr:colOff>
      <xdr:row>0</xdr:row>
      <xdr:rowOff>252859</xdr:rowOff>
    </xdr:from>
    <xdr:to>
      <xdr:col>21</xdr:col>
      <xdr:colOff>33337</xdr:colOff>
      <xdr:row>2</xdr:row>
      <xdr:rowOff>56009</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29875" y="252859"/>
          <a:ext cx="785812" cy="3365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100852</xdr:colOff>
      <xdr:row>0</xdr:row>
      <xdr:rowOff>54910</xdr:rowOff>
    </xdr:from>
    <xdr:to>
      <xdr:col>2</xdr:col>
      <xdr:colOff>313765</xdr:colOff>
      <xdr:row>1</xdr:row>
      <xdr:rowOff>199856</xdr:rowOff>
    </xdr:to>
    <xdr:pic macro="[0]!Picture1_Click">
      <xdr:nvPicPr>
        <xdr:cNvPr id="4" name="Picture 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852" y="54910"/>
          <a:ext cx="896472" cy="38027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29</xdr:col>
      <xdr:colOff>390338</xdr:colOff>
      <xdr:row>0</xdr:row>
      <xdr:rowOff>166408</xdr:rowOff>
    </xdr:from>
    <xdr:to>
      <xdr:col>31</xdr:col>
      <xdr:colOff>12060</xdr:colOff>
      <xdr:row>1</xdr:row>
      <xdr:rowOff>190499</xdr:rowOff>
    </xdr:to>
    <xdr:pic macro="[0]!Picture1_Click">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78073" y="166408"/>
          <a:ext cx="762481" cy="31544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85725</xdr:colOff>
      <xdr:row>0</xdr:row>
      <xdr:rowOff>114300</xdr:rowOff>
    </xdr:from>
    <xdr:to>
      <xdr:col>2</xdr:col>
      <xdr:colOff>59826</xdr:colOff>
      <xdr:row>1</xdr:row>
      <xdr:rowOff>189358</xdr:rowOff>
    </xdr:to>
    <xdr:pic macro="[0]!Picture1_Click">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725" y="114300"/>
          <a:ext cx="631326" cy="26555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2</xdr:col>
      <xdr:colOff>1134971</xdr:colOff>
      <xdr:row>1</xdr:row>
      <xdr:rowOff>75454</xdr:rowOff>
    </xdr:from>
    <xdr:to>
      <xdr:col>3</xdr:col>
      <xdr:colOff>196850</xdr:colOff>
      <xdr:row>2</xdr:row>
      <xdr:rowOff>42561</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60471" y="340037"/>
          <a:ext cx="638796" cy="26344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31</xdr:col>
      <xdr:colOff>352425</xdr:colOff>
      <xdr:row>2</xdr:row>
      <xdr:rowOff>57150</xdr:rowOff>
    </xdr:from>
    <xdr:to>
      <xdr:col>32</xdr:col>
      <xdr:colOff>440826</xdr:colOff>
      <xdr:row>3</xdr:row>
      <xdr:rowOff>56008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991725" y="704850"/>
          <a:ext cx="631326" cy="265558"/>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29</xdr:col>
      <xdr:colOff>347383</xdr:colOff>
      <xdr:row>0</xdr:row>
      <xdr:rowOff>132791</xdr:rowOff>
    </xdr:from>
    <xdr:to>
      <xdr:col>30</xdr:col>
      <xdr:colOff>547704</xdr:colOff>
      <xdr:row>1</xdr:row>
      <xdr:rowOff>246530</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42912" y="132791"/>
          <a:ext cx="850262" cy="405092"/>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38101</xdr:colOff>
      <xdr:row>0</xdr:row>
      <xdr:rowOff>106652</xdr:rowOff>
    </xdr:from>
    <xdr:to>
      <xdr:col>2</xdr:col>
      <xdr:colOff>190500</xdr:colOff>
      <xdr:row>1</xdr:row>
      <xdr:rowOff>216999</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1" y="106652"/>
          <a:ext cx="927099" cy="37704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33</xdr:col>
      <xdr:colOff>424208</xdr:colOff>
      <xdr:row>0</xdr:row>
      <xdr:rowOff>105833</xdr:rowOff>
    </xdr:from>
    <xdr:to>
      <xdr:col>35</xdr:col>
      <xdr:colOff>84668</xdr:colOff>
      <xdr:row>1</xdr:row>
      <xdr:rowOff>210758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547291" y="550333"/>
          <a:ext cx="877543" cy="369508"/>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39</xdr:col>
      <xdr:colOff>149039</xdr:colOff>
      <xdr:row>1</xdr:row>
      <xdr:rowOff>0</xdr:rowOff>
    </xdr:from>
    <xdr:to>
      <xdr:col>40</xdr:col>
      <xdr:colOff>175434</xdr:colOff>
      <xdr:row>2</xdr:row>
      <xdr:rowOff>1099</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484289" y="266700"/>
          <a:ext cx="629645" cy="267799"/>
        </a:xfrm>
        <a:prstGeom prst="rect">
          <a:avLst/>
        </a:prstGeom>
      </xdr:spPr>
    </xdr:pic>
    <xdr:clientData/>
  </xdr:twoCellAnchor>
  <xdr:twoCellAnchor editAs="oneCell">
    <xdr:from>
      <xdr:col>0</xdr:col>
      <xdr:colOff>93771</xdr:colOff>
      <xdr:row>0</xdr:row>
      <xdr:rowOff>50987</xdr:rowOff>
    </xdr:from>
    <xdr:to>
      <xdr:col>1</xdr:col>
      <xdr:colOff>474304</xdr:colOff>
      <xdr:row>0</xdr:row>
      <xdr:rowOff>381000</xdr:rowOff>
    </xdr:to>
    <xdr:pic macro="[0]!Picture1_Click">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771" y="50987"/>
          <a:ext cx="704383" cy="330013"/>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8</xdr:col>
      <xdr:colOff>5543550</xdr:colOff>
      <xdr:row>0</xdr:row>
      <xdr:rowOff>28575</xdr:rowOff>
    </xdr:from>
    <xdr:to>
      <xdr:col>8</xdr:col>
      <xdr:colOff>6562724</xdr:colOff>
      <xdr:row>1</xdr:row>
      <xdr:rowOff>95250</xdr:rowOff>
    </xdr:to>
    <xdr:sp macro="" textlink="">
      <xdr:nvSpPr>
        <xdr:cNvPr id="8" name="Rounded Rectangle 7">
          <a:hlinkClick xmlns:r="http://schemas.openxmlformats.org/officeDocument/2006/relationships" r:id="rId1"/>
        </xdr:cNvPr>
        <xdr:cNvSpPr/>
      </xdr:nvSpPr>
      <xdr:spPr>
        <a:xfrm>
          <a:off x="10658475" y="28575"/>
          <a:ext cx="1019174" cy="4000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xdr:from>
      <xdr:col>8</xdr:col>
      <xdr:colOff>6638924</xdr:colOff>
      <xdr:row>0</xdr:row>
      <xdr:rowOff>28575</xdr:rowOff>
    </xdr:from>
    <xdr:to>
      <xdr:col>8</xdr:col>
      <xdr:colOff>7353299</xdr:colOff>
      <xdr:row>1</xdr:row>
      <xdr:rowOff>95250</xdr:rowOff>
    </xdr:to>
    <xdr:sp macro="" textlink="">
      <xdr:nvSpPr>
        <xdr:cNvPr id="2" name="Rounded Rectangle 1">
          <a:hlinkClick xmlns:r="http://schemas.openxmlformats.org/officeDocument/2006/relationships" r:id="rId2"/>
        </xdr:cNvPr>
        <xdr:cNvSpPr/>
      </xdr:nvSpPr>
      <xdr:spPr>
        <a:xfrm>
          <a:off x="11753849" y="28575"/>
          <a:ext cx="714375" cy="4000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a:t>
          </a:r>
          <a:r>
            <a:rPr lang="id-ID" sz="1800" b="1">
              <a:solidFill>
                <a:sysClr val="windowText" lastClr="000000"/>
              </a:solidFill>
            </a:rPr>
            <a:t>4</a:t>
          </a:r>
        </a:p>
      </xdr:txBody>
    </xdr:sp>
    <xdr:clientData/>
  </xdr:twoCellAnchor>
  <xdr:twoCellAnchor>
    <xdr:from>
      <xdr:col>21</xdr:col>
      <xdr:colOff>5057775</xdr:colOff>
      <xdr:row>0</xdr:row>
      <xdr:rowOff>23812</xdr:rowOff>
    </xdr:from>
    <xdr:to>
      <xdr:col>21</xdr:col>
      <xdr:colOff>5619750</xdr:colOff>
      <xdr:row>1</xdr:row>
      <xdr:rowOff>10432</xdr:rowOff>
    </xdr:to>
    <xdr:sp macro="" textlink="">
      <xdr:nvSpPr>
        <xdr:cNvPr id="3" name="Rounded Rectangle 2">
          <a:hlinkClick xmlns:r="http://schemas.openxmlformats.org/officeDocument/2006/relationships" r:id="rId3"/>
        </xdr:cNvPr>
        <xdr:cNvSpPr/>
      </xdr:nvSpPr>
      <xdr:spPr>
        <a:xfrm>
          <a:off x="24279225" y="23812"/>
          <a:ext cx="5619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400" b="1">
              <a:solidFill>
                <a:sysClr val="windowText" lastClr="000000"/>
              </a:solidFill>
            </a:rPr>
            <a:t>KI</a:t>
          </a:r>
          <a:r>
            <a:rPr lang="id-ID" sz="1400" b="1" baseline="0">
              <a:solidFill>
                <a:sysClr val="windowText" lastClr="000000"/>
              </a:solidFill>
            </a:rPr>
            <a:t> 3</a:t>
          </a:r>
          <a:endParaRPr lang="id-ID" sz="1400" b="1">
            <a:solidFill>
              <a:sysClr val="windowText" lastClr="000000"/>
            </a:solidFill>
          </a:endParaRPr>
        </a:p>
      </xdr:txBody>
    </xdr:sp>
    <xdr:clientData/>
  </xdr:twoCellAnchor>
  <xdr:twoCellAnchor editAs="oneCell">
    <xdr:from>
      <xdr:col>8</xdr:col>
      <xdr:colOff>4772025</xdr:colOff>
      <xdr:row>0</xdr:row>
      <xdr:rowOff>38099</xdr:rowOff>
    </xdr:from>
    <xdr:to>
      <xdr:col>8</xdr:col>
      <xdr:colOff>5470026</xdr:colOff>
      <xdr:row>1</xdr:row>
      <xdr:rowOff>95249</xdr:rowOff>
    </xdr:to>
    <xdr:pic macro="[0]!Picture1_Click">
      <xdr:nvPicPr>
        <xdr:cNvPr id="4" name="Picture 3">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886950" y="38099"/>
          <a:ext cx="698001" cy="390525"/>
        </a:xfrm>
        <a:prstGeom prst="rect">
          <a:avLst/>
        </a:prstGeom>
      </xdr:spPr>
    </xdr:pic>
    <xdr:clientData/>
  </xdr:twoCellAnchor>
  <xdr:twoCellAnchor editAs="oneCell">
    <xdr:from>
      <xdr:col>21</xdr:col>
      <xdr:colOff>4248150</xdr:colOff>
      <xdr:row>0</xdr:row>
      <xdr:rowOff>19050</xdr:rowOff>
    </xdr:from>
    <xdr:to>
      <xdr:col>21</xdr:col>
      <xdr:colOff>4984251</xdr:colOff>
      <xdr:row>1</xdr:row>
      <xdr:rowOff>9525</xdr:rowOff>
    </xdr:to>
    <xdr:pic macro="[0]!Picture1_Click">
      <xdr:nvPicPr>
        <xdr:cNvPr id="5" name="Picture 4">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469600" y="19050"/>
          <a:ext cx="736101" cy="323850"/>
        </a:xfrm>
        <a:prstGeom prst="rect">
          <a:avLst/>
        </a:prstGeom>
      </xdr:spPr>
    </xdr:pic>
    <xdr:clientData/>
  </xdr:twoCellAnchor>
  <xdr:twoCellAnchor editAs="oneCell">
    <xdr:from>
      <xdr:col>21</xdr:col>
      <xdr:colOff>4457700</xdr:colOff>
      <xdr:row>47</xdr:row>
      <xdr:rowOff>133349</xdr:rowOff>
    </xdr:from>
    <xdr:to>
      <xdr:col>21</xdr:col>
      <xdr:colOff>5193801</xdr:colOff>
      <xdr:row>48</xdr:row>
      <xdr:rowOff>171449</xdr:rowOff>
    </xdr:to>
    <xdr:pic macro="[0]!Picture1_Click">
      <xdr:nvPicPr>
        <xdr:cNvPr id="12" name="Picture 11">
          <a:hlinkClick xmlns:r="http://schemas.openxmlformats.org/officeDocument/2006/relationships" r:id="rId6"/>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879175" y="133349"/>
          <a:ext cx="736101" cy="333375"/>
        </a:xfrm>
        <a:prstGeom prst="rect">
          <a:avLst/>
        </a:prstGeom>
      </xdr:spPr>
    </xdr:pic>
    <xdr:clientData/>
  </xdr:twoCellAnchor>
  <xdr:twoCellAnchor>
    <xdr:from>
      <xdr:col>21</xdr:col>
      <xdr:colOff>3009900</xdr:colOff>
      <xdr:row>0</xdr:row>
      <xdr:rowOff>23812</xdr:rowOff>
    </xdr:from>
    <xdr:to>
      <xdr:col>21</xdr:col>
      <xdr:colOff>4181475</xdr:colOff>
      <xdr:row>1</xdr:row>
      <xdr:rowOff>14287</xdr:rowOff>
    </xdr:to>
    <xdr:sp macro="" textlink="">
      <xdr:nvSpPr>
        <xdr:cNvPr id="13" name="Rounded Rectangle 12">
          <a:hlinkClick xmlns:r="http://schemas.openxmlformats.org/officeDocument/2006/relationships" r:id="rId7"/>
        </xdr:cNvPr>
        <xdr:cNvSpPr/>
      </xdr:nvSpPr>
      <xdr:spPr>
        <a:xfrm>
          <a:off x="22231350" y="23812"/>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25</xdr:col>
      <xdr:colOff>3895725</xdr:colOff>
      <xdr:row>0</xdr:row>
      <xdr:rowOff>133350</xdr:rowOff>
    </xdr:from>
    <xdr:to>
      <xdr:col>25</xdr:col>
      <xdr:colOff>4631826</xdr:colOff>
      <xdr:row>1</xdr:row>
      <xdr:rowOff>133350</xdr:rowOff>
    </xdr:to>
    <xdr:pic macro="[0]!Picture1_Click">
      <xdr:nvPicPr>
        <xdr:cNvPr id="11" name="Picture 10">
          <a:hlinkClick xmlns:r="http://schemas.openxmlformats.org/officeDocument/2006/relationships" r:id="rId6"/>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6690300" y="133350"/>
          <a:ext cx="736101" cy="333375"/>
        </a:xfrm>
        <a:prstGeom prst="rect">
          <a:avLst/>
        </a:prstGeom>
      </xdr:spPr>
    </xdr:pic>
    <xdr:clientData/>
  </xdr:twoCellAnchor>
  <xdr:twoCellAnchor>
    <xdr:from>
      <xdr:col>21</xdr:col>
      <xdr:colOff>2000250</xdr:colOff>
      <xdr:row>0</xdr:row>
      <xdr:rowOff>19050</xdr:rowOff>
    </xdr:from>
    <xdr:to>
      <xdr:col>21</xdr:col>
      <xdr:colOff>2924175</xdr:colOff>
      <xdr:row>1</xdr:row>
      <xdr:rowOff>17236</xdr:rowOff>
    </xdr:to>
    <xdr:sp macro="" textlink="">
      <xdr:nvSpPr>
        <xdr:cNvPr id="10" name="Rounded Rectangle 9">
          <a:hlinkClick xmlns:r="http://schemas.openxmlformats.org/officeDocument/2006/relationships" r:id="rId8"/>
        </xdr:cNvPr>
        <xdr:cNvSpPr/>
      </xdr:nvSpPr>
      <xdr:spPr>
        <a:xfrm>
          <a:off x="21221700"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8</xdr:col>
      <xdr:colOff>6591302</xdr:colOff>
      <xdr:row>47</xdr:row>
      <xdr:rowOff>211355</xdr:rowOff>
    </xdr:from>
    <xdr:to>
      <xdr:col>8</xdr:col>
      <xdr:colOff>7381876</xdr:colOff>
      <xdr:row>48</xdr:row>
      <xdr:rowOff>228599</xdr:rowOff>
    </xdr:to>
    <xdr:pic>
      <xdr:nvPicPr>
        <xdr:cNvPr id="15" name="Picture 14">
          <a:hlinkClick xmlns:r="http://schemas.openxmlformats.org/officeDocument/2006/relationships" r:id="rId3"/>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706227" y="22842755"/>
          <a:ext cx="790574" cy="312519"/>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xdr:col>
      <xdr:colOff>6677024</xdr:colOff>
      <xdr:row>0</xdr:row>
      <xdr:rowOff>28575</xdr:rowOff>
    </xdr:from>
    <xdr:to>
      <xdr:col>5</xdr:col>
      <xdr:colOff>7391399</xdr:colOff>
      <xdr:row>1</xdr:row>
      <xdr:rowOff>9525</xdr:rowOff>
    </xdr:to>
    <xdr:sp macro="" textlink="">
      <xdr:nvSpPr>
        <xdr:cNvPr id="2" name="Rounded Rectangle 1">
          <a:hlinkClick xmlns:r="http://schemas.openxmlformats.org/officeDocument/2006/relationships" r:id="rId1"/>
        </xdr:cNvPr>
        <xdr:cNvSpPr/>
      </xdr:nvSpPr>
      <xdr:spPr>
        <a:xfrm>
          <a:off x="11229974" y="28575"/>
          <a:ext cx="714375" cy="314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a:t>
          </a:r>
          <a:r>
            <a:rPr lang="id-ID" sz="1800" b="1">
              <a:solidFill>
                <a:sysClr val="windowText" lastClr="000000"/>
              </a:solidFill>
            </a:rPr>
            <a:t>4</a:t>
          </a:r>
        </a:p>
      </xdr:txBody>
    </xdr:sp>
    <xdr:clientData/>
  </xdr:twoCellAnchor>
  <xdr:twoCellAnchor>
    <xdr:from>
      <xdr:col>12</xdr:col>
      <xdr:colOff>5438775</xdr:colOff>
      <xdr:row>0</xdr:row>
      <xdr:rowOff>19050</xdr:rowOff>
    </xdr:from>
    <xdr:to>
      <xdr:col>12</xdr:col>
      <xdr:colOff>6076950</xdr:colOff>
      <xdr:row>1</xdr:row>
      <xdr:rowOff>80963</xdr:rowOff>
    </xdr:to>
    <xdr:sp macro="" textlink="">
      <xdr:nvSpPr>
        <xdr:cNvPr id="3" name="Rounded Rectangle 2">
          <a:hlinkClick xmlns:r="http://schemas.openxmlformats.org/officeDocument/2006/relationships" r:id="rId2"/>
        </xdr:cNvPr>
        <xdr:cNvSpPr/>
      </xdr:nvSpPr>
      <xdr:spPr>
        <a:xfrm>
          <a:off x="24431625" y="19050"/>
          <a:ext cx="638175" cy="39528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5</xdr:col>
      <xdr:colOff>4810125</xdr:colOff>
      <xdr:row>0</xdr:row>
      <xdr:rowOff>28576</xdr:rowOff>
    </xdr:from>
    <xdr:to>
      <xdr:col>5</xdr:col>
      <xdr:colOff>5508126</xdr:colOff>
      <xdr:row>1</xdr:row>
      <xdr:rowOff>19051</xdr:rowOff>
    </xdr:to>
    <xdr:pic macro="[0]!Picture1_Click">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363075" y="28576"/>
          <a:ext cx="698001" cy="323850"/>
        </a:xfrm>
        <a:prstGeom prst="rect">
          <a:avLst/>
        </a:prstGeom>
      </xdr:spPr>
    </xdr:pic>
    <xdr:clientData/>
  </xdr:twoCellAnchor>
  <xdr:twoCellAnchor editAs="oneCell">
    <xdr:from>
      <xdr:col>12</xdr:col>
      <xdr:colOff>4629150</xdr:colOff>
      <xdr:row>0</xdr:row>
      <xdr:rowOff>19050</xdr:rowOff>
    </xdr:from>
    <xdr:to>
      <xdr:col>12</xdr:col>
      <xdr:colOff>5365251</xdr:colOff>
      <xdr:row>1</xdr:row>
      <xdr:rowOff>85725</xdr:rowOff>
    </xdr:to>
    <xdr:pic macro="[0]!Picture1_Click">
      <xdr:nvPicPr>
        <xdr:cNvPr id="5" name="Picture 4">
          <a:hlinkClick xmlns:r="http://schemas.openxmlformats.org/officeDocument/2006/relationships" r:id="rId2"/>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622000" y="19050"/>
          <a:ext cx="736101" cy="400050"/>
        </a:xfrm>
        <a:prstGeom prst="rect">
          <a:avLst/>
        </a:prstGeom>
      </xdr:spPr>
    </xdr:pic>
    <xdr:clientData/>
  </xdr:twoCellAnchor>
  <xdr:twoCellAnchor>
    <xdr:from>
      <xdr:col>5</xdr:col>
      <xdr:colOff>5581650</xdr:colOff>
      <xdr:row>0</xdr:row>
      <xdr:rowOff>28575</xdr:rowOff>
    </xdr:from>
    <xdr:to>
      <xdr:col>5</xdr:col>
      <xdr:colOff>6600824</xdr:colOff>
      <xdr:row>1</xdr:row>
      <xdr:rowOff>19050</xdr:rowOff>
    </xdr:to>
    <xdr:sp macro="" textlink="">
      <xdr:nvSpPr>
        <xdr:cNvPr id="7" name="Rounded Rectangle 6">
          <a:hlinkClick xmlns:r="http://schemas.openxmlformats.org/officeDocument/2006/relationships" r:id="rId5"/>
        </xdr:cNvPr>
        <xdr:cNvSpPr/>
      </xdr:nvSpPr>
      <xdr:spPr>
        <a:xfrm>
          <a:off x="10134600" y="28575"/>
          <a:ext cx="1019174"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12</xdr:col>
      <xdr:colOff>5267325</xdr:colOff>
      <xdr:row>46</xdr:row>
      <xdr:rowOff>66674</xdr:rowOff>
    </xdr:from>
    <xdr:to>
      <xdr:col>12</xdr:col>
      <xdr:colOff>6003426</xdr:colOff>
      <xdr:row>47</xdr:row>
      <xdr:rowOff>161924</xdr:rowOff>
    </xdr:to>
    <xdr:pic macro="[0]!Picture1_Click">
      <xdr:nvPicPr>
        <xdr:cNvPr id="8" name="Picture 7">
          <a:hlinkClick xmlns:r="http://schemas.openxmlformats.org/officeDocument/2006/relationships" r:id="rId6"/>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126825" y="9829799"/>
          <a:ext cx="736101" cy="333375"/>
        </a:xfrm>
        <a:prstGeom prst="rect">
          <a:avLst/>
        </a:prstGeom>
      </xdr:spPr>
    </xdr:pic>
    <xdr:clientData/>
  </xdr:twoCellAnchor>
  <xdr:twoCellAnchor>
    <xdr:from>
      <xdr:col>12</xdr:col>
      <xdr:colOff>3390900</xdr:colOff>
      <xdr:row>0</xdr:row>
      <xdr:rowOff>19050</xdr:rowOff>
    </xdr:from>
    <xdr:to>
      <xdr:col>12</xdr:col>
      <xdr:colOff>4562475</xdr:colOff>
      <xdr:row>1</xdr:row>
      <xdr:rowOff>85725</xdr:rowOff>
    </xdr:to>
    <xdr:sp macro="" textlink="">
      <xdr:nvSpPr>
        <xdr:cNvPr id="9" name="Rounded Rectangle 8">
          <a:hlinkClick xmlns:r="http://schemas.openxmlformats.org/officeDocument/2006/relationships" r:id="rId7"/>
        </xdr:cNvPr>
        <xdr:cNvSpPr/>
      </xdr:nvSpPr>
      <xdr:spPr>
        <a:xfrm>
          <a:off x="22383750" y="19050"/>
          <a:ext cx="1171575" cy="4000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16</xdr:col>
      <xdr:colOff>3895725</xdr:colOff>
      <xdr:row>0</xdr:row>
      <xdr:rowOff>133350</xdr:rowOff>
    </xdr:from>
    <xdr:to>
      <xdr:col>16</xdr:col>
      <xdr:colOff>4631826</xdr:colOff>
      <xdr:row>1</xdr:row>
      <xdr:rowOff>133350</xdr:rowOff>
    </xdr:to>
    <xdr:pic macro="[0]!Picture1_Click">
      <xdr:nvPicPr>
        <xdr:cNvPr id="10" name="Picture 9">
          <a:hlinkClick xmlns:r="http://schemas.openxmlformats.org/officeDocument/2006/relationships" r:id="rId6"/>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852225" y="133350"/>
          <a:ext cx="736101" cy="333375"/>
        </a:xfrm>
        <a:prstGeom prst="rect">
          <a:avLst/>
        </a:prstGeom>
      </xdr:spPr>
    </xdr:pic>
    <xdr:clientData/>
  </xdr:twoCellAnchor>
  <xdr:twoCellAnchor editAs="oneCell">
    <xdr:from>
      <xdr:col>5</xdr:col>
      <xdr:colOff>7058025</xdr:colOff>
      <xdr:row>47</xdr:row>
      <xdr:rowOff>328982</xdr:rowOff>
    </xdr:from>
    <xdr:to>
      <xdr:col>5</xdr:col>
      <xdr:colOff>7677150</xdr:colOff>
      <xdr:row>48</xdr:row>
      <xdr:rowOff>256033</xdr:rowOff>
    </xdr:to>
    <xdr:pic>
      <xdr:nvPicPr>
        <xdr:cNvPr id="12" name="Picture 11">
          <a:hlinkClick xmlns:r="http://schemas.openxmlformats.org/officeDocument/2006/relationships" r:id="rId2"/>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639550" y="10139732"/>
          <a:ext cx="619125" cy="260426"/>
        </a:xfrm>
        <a:prstGeom prst="rect">
          <a:avLst/>
        </a:prstGeom>
      </xdr:spPr>
    </xdr:pic>
    <xdr:clientData/>
  </xdr:twoCellAnchor>
  <xdr:twoCellAnchor>
    <xdr:from>
      <xdr:col>12</xdr:col>
      <xdr:colOff>2381250</xdr:colOff>
      <xdr:row>0</xdr:row>
      <xdr:rowOff>19050</xdr:rowOff>
    </xdr:from>
    <xdr:to>
      <xdr:col>12</xdr:col>
      <xdr:colOff>3305175</xdr:colOff>
      <xdr:row>1</xdr:row>
      <xdr:rowOff>95250</xdr:rowOff>
    </xdr:to>
    <xdr:sp macro="" textlink="">
      <xdr:nvSpPr>
        <xdr:cNvPr id="11" name="Rounded Rectangle 10">
          <a:hlinkClick xmlns:r="http://schemas.openxmlformats.org/officeDocument/2006/relationships" r:id="rId9"/>
        </xdr:cNvPr>
        <xdr:cNvSpPr/>
      </xdr:nvSpPr>
      <xdr:spPr>
        <a:xfrm>
          <a:off x="21374100" y="19050"/>
          <a:ext cx="923925" cy="4095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6638924</xdr:colOff>
      <xdr:row>0</xdr:row>
      <xdr:rowOff>28575</xdr:rowOff>
    </xdr:from>
    <xdr:to>
      <xdr:col>7</xdr:col>
      <xdr:colOff>7353299</xdr:colOff>
      <xdr:row>1</xdr:row>
      <xdr:rowOff>95250</xdr:rowOff>
    </xdr:to>
    <xdr:sp macro="" textlink="">
      <xdr:nvSpPr>
        <xdr:cNvPr id="2" name="Rounded Rectangle 1">
          <a:hlinkClick xmlns:r="http://schemas.openxmlformats.org/officeDocument/2006/relationships" r:id="rId1"/>
        </xdr:cNvPr>
        <xdr:cNvSpPr/>
      </xdr:nvSpPr>
      <xdr:spPr>
        <a:xfrm>
          <a:off x="11753849" y="28575"/>
          <a:ext cx="714375" cy="40005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a:t>
          </a:r>
          <a:r>
            <a:rPr lang="id-ID" sz="1800" b="1">
              <a:solidFill>
                <a:sysClr val="windowText" lastClr="000000"/>
              </a:solidFill>
            </a:rPr>
            <a:t>4</a:t>
          </a:r>
        </a:p>
      </xdr:txBody>
    </xdr:sp>
    <xdr:clientData/>
  </xdr:twoCellAnchor>
  <xdr:twoCellAnchor>
    <xdr:from>
      <xdr:col>15</xdr:col>
      <xdr:colOff>5219700</xdr:colOff>
      <xdr:row>0</xdr:row>
      <xdr:rowOff>23812</xdr:rowOff>
    </xdr:from>
    <xdr:to>
      <xdr:col>15</xdr:col>
      <xdr:colOff>5857875</xdr:colOff>
      <xdr:row>1</xdr:row>
      <xdr:rowOff>10432</xdr:rowOff>
    </xdr:to>
    <xdr:sp macro="" textlink="">
      <xdr:nvSpPr>
        <xdr:cNvPr id="3" name="Rounded Rectangle 2">
          <a:hlinkClick xmlns:r="http://schemas.openxmlformats.org/officeDocument/2006/relationships" r:id="rId2"/>
        </xdr:cNvPr>
        <xdr:cNvSpPr/>
      </xdr:nvSpPr>
      <xdr:spPr>
        <a:xfrm>
          <a:off x="24412575" y="23812"/>
          <a:ext cx="6381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7</xdr:col>
      <xdr:colOff>4772025</xdr:colOff>
      <xdr:row>0</xdr:row>
      <xdr:rowOff>38099</xdr:rowOff>
    </xdr:from>
    <xdr:to>
      <xdr:col>7</xdr:col>
      <xdr:colOff>5470026</xdr:colOff>
      <xdr:row>1</xdr:row>
      <xdr:rowOff>95249</xdr:rowOff>
    </xdr:to>
    <xdr:pic macro="[0]!Picture1_Click">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886950" y="38099"/>
          <a:ext cx="698001" cy="390525"/>
        </a:xfrm>
        <a:prstGeom prst="rect">
          <a:avLst/>
        </a:prstGeom>
      </xdr:spPr>
    </xdr:pic>
    <xdr:clientData/>
  </xdr:twoCellAnchor>
  <xdr:twoCellAnchor editAs="oneCell">
    <xdr:from>
      <xdr:col>15</xdr:col>
      <xdr:colOff>4410075</xdr:colOff>
      <xdr:row>0</xdr:row>
      <xdr:rowOff>19050</xdr:rowOff>
    </xdr:from>
    <xdr:to>
      <xdr:col>15</xdr:col>
      <xdr:colOff>5146176</xdr:colOff>
      <xdr:row>1</xdr:row>
      <xdr:rowOff>9525</xdr:rowOff>
    </xdr:to>
    <xdr:pic macro="[0]!Picture1_Click">
      <xdr:nvPicPr>
        <xdr:cNvPr id="5" name="Picture 4">
          <a:hlinkClick xmlns:r="http://schemas.openxmlformats.org/officeDocument/2006/relationships" r:id="rId2"/>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602950" y="19050"/>
          <a:ext cx="736101" cy="323850"/>
        </a:xfrm>
        <a:prstGeom prst="rect">
          <a:avLst/>
        </a:prstGeom>
      </xdr:spPr>
    </xdr:pic>
    <xdr:clientData/>
  </xdr:twoCellAnchor>
  <xdr:twoCellAnchor>
    <xdr:from>
      <xdr:col>7</xdr:col>
      <xdr:colOff>5543550</xdr:colOff>
      <xdr:row>0</xdr:row>
      <xdr:rowOff>28575</xdr:rowOff>
    </xdr:from>
    <xdr:to>
      <xdr:col>7</xdr:col>
      <xdr:colOff>6562724</xdr:colOff>
      <xdr:row>1</xdr:row>
      <xdr:rowOff>95250</xdr:rowOff>
    </xdr:to>
    <xdr:sp macro="" textlink="">
      <xdr:nvSpPr>
        <xdr:cNvPr id="6" name="Rounded Rectangle 5">
          <a:hlinkClick xmlns:r="http://schemas.openxmlformats.org/officeDocument/2006/relationships" r:id="rId5"/>
        </xdr:cNvPr>
        <xdr:cNvSpPr/>
      </xdr:nvSpPr>
      <xdr:spPr>
        <a:xfrm>
          <a:off x="10658475" y="28575"/>
          <a:ext cx="1019174" cy="4000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15</xdr:col>
      <xdr:colOff>5743575</xdr:colOff>
      <xdr:row>48</xdr:row>
      <xdr:rowOff>276224</xdr:rowOff>
    </xdr:from>
    <xdr:to>
      <xdr:col>15</xdr:col>
      <xdr:colOff>6479676</xdr:colOff>
      <xdr:row>49</xdr:row>
      <xdr:rowOff>247649</xdr:rowOff>
    </xdr:to>
    <xdr:pic macro="[0]!Picture1_Click">
      <xdr:nvPicPr>
        <xdr:cNvPr id="7" name="Picture 6">
          <a:hlinkClick xmlns:r="http://schemas.openxmlformats.org/officeDocument/2006/relationships" r:id="rId6"/>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174450" y="10648949"/>
          <a:ext cx="736101" cy="333375"/>
        </a:xfrm>
        <a:prstGeom prst="rect">
          <a:avLst/>
        </a:prstGeom>
      </xdr:spPr>
    </xdr:pic>
    <xdr:clientData/>
  </xdr:twoCellAnchor>
  <xdr:twoCellAnchor>
    <xdr:from>
      <xdr:col>15</xdr:col>
      <xdr:colOff>3171825</xdr:colOff>
      <xdr:row>0</xdr:row>
      <xdr:rowOff>14287</xdr:rowOff>
    </xdr:from>
    <xdr:to>
      <xdr:col>15</xdr:col>
      <xdr:colOff>4343400</xdr:colOff>
      <xdr:row>1</xdr:row>
      <xdr:rowOff>4762</xdr:rowOff>
    </xdr:to>
    <xdr:sp macro="" textlink="">
      <xdr:nvSpPr>
        <xdr:cNvPr id="8" name="Rounded Rectangle 7">
          <a:hlinkClick xmlns:r="http://schemas.openxmlformats.org/officeDocument/2006/relationships" r:id="rId7"/>
        </xdr:cNvPr>
        <xdr:cNvSpPr/>
      </xdr:nvSpPr>
      <xdr:spPr>
        <a:xfrm>
          <a:off x="22364700" y="14287"/>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19</xdr:col>
      <xdr:colOff>3895725</xdr:colOff>
      <xdr:row>0</xdr:row>
      <xdr:rowOff>133350</xdr:rowOff>
    </xdr:from>
    <xdr:to>
      <xdr:col>19</xdr:col>
      <xdr:colOff>4631826</xdr:colOff>
      <xdr:row>1</xdr:row>
      <xdr:rowOff>133350</xdr:rowOff>
    </xdr:to>
    <xdr:pic macro="[0]!Picture1_Click">
      <xdr:nvPicPr>
        <xdr:cNvPr id="9" name="Picture 8">
          <a:hlinkClick xmlns:r="http://schemas.openxmlformats.org/officeDocument/2006/relationships" r:id="rId8"/>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414075" y="133350"/>
          <a:ext cx="736101" cy="333375"/>
        </a:xfrm>
        <a:prstGeom prst="rect">
          <a:avLst/>
        </a:prstGeom>
      </xdr:spPr>
    </xdr:pic>
    <xdr:clientData/>
  </xdr:twoCellAnchor>
  <xdr:twoCellAnchor>
    <xdr:from>
      <xdr:col>15</xdr:col>
      <xdr:colOff>2162175</xdr:colOff>
      <xdr:row>0</xdr:row>
      <xdr:rowOff>19050</xdr:rowOff>
    </xdr:from>
    <xdr:to>
      <xdr:col>15</xdr:col>
      <xdr:colOff>3086100</xdr:colOff>
      <xdr:row>1</xdr:row>
      <xdr:rowOff>17236</xdr:rowOff>
    </xdr:to>
    <xdr:sp macro="" textlink="">
      <xdr:nvSpPr>
        <xdr:cNvPr id="10" name="Rounded Rectangle 9">
          <a:hlinkClick xmlns:r="http://schemas.openxmlformats.org/officeDocument/2006/relationships" r:id="rId9"/>
        </xdr:cNvPr>
        <xdr:cNvSpPr/>
      </xdr:nvSpPr>
      <xdr:spPr>
        <a:xfrm>
          <a:off x="21355050"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7</xdr:col>
      <xdr:colOff>6591302</xdr:colOff>
      <xdr:row>48</xdr:row>
      <xdr:rowOff>211355</xdr:rowOff>
    </xdr:from>
    <xdr:to>
      <xdr:col>7</xdr:col>
      <xdr:colOff>7381876</xdr:colOff>
      <xdr:row>49</xdr:row>
      <xdr:rowOff>161924</xdr:rowOff>
    </xdr:to>
    <xdr:pic>
      <xdr:nvPicPr>
        <xdr:cNvPr id="11" name="Picture 10">
          <a:hlinkClick xmlns:r="http://schemas.openxmlformats.org/officeDocument/2006/relationships" r:id="rId2"/>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06227" y="10584080"/>
          <a:ext cx="790574" cy="31251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4</xdr:col>
      <xdr:colOff>6677024</xdr:colOff>
      <xdr:row>0</xdr:row>
      <xdr:rowOff>28575</xdr:rowOff>
    </xdr:from>
    <xdr:to>
      <xdr:col>4</xdr:col>
      <xdr:colOff>7391399</xdr:colOff>
      <xdr:row>1</xdr:row>
      <xdr:rowOff>9525</xdr:rowOff>
    </xdr:to>
    <xdr:sp macro="" textlink="">
      <xdr:nvSpPr>
        <xdr:cNvPr id="2" name="Rounded Rectangle 1">
          <a:hlinkClick xmlns:r="http://schemas.openxmlformats.org/officeDocument/2006/relationships" r:id="rId1"/>
        </xdr:cNvPr>
        <xdr:cNvSpPr/>
      </xdr:nvSpPr>
      <xdr:spPr>
        <a:xfrm>
          <a:off x="11258549" y="28575"/>
          <a:ext cx="714375" cy="314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a:t>
          </a:r>
          <a:r>
            <a:rPr lang="id-ID" sz="1800" b="1">
              <a:solidFill>
                <a:sysClr val="windowText" lastClr="000000"/>
              </a:solidFill>
            </a:rPr>
            <a:t>4</a:t>
          </a:r>
        </a:p>
      </xdr:txBody>
    </xdr:sp>
    <xdr:clientData/>
  </xdr:twoCellAnchor>
  <xdr:twoCellAnchor>
    <xdr:from>
      <xdr:col>11</xdr:col>
      <xdr:colOff>5438775</xdr:colOff>
      <xdr:row>0</xdr:row>
      <xdr:rowOff>19050</xdr:rowOff>
    </xdr:from>
    <xdr:to>
      <xdr:col>11</xdr:col>
      <xdr:colOff>6076950</xdr:colOff>
      <xdr:row>1</xdr:row>
      <xdr:rowOff>80963</xdr:rowOff>
    </xdr:to>
    <xdr:sp macro="" textlink="">
      <xdr:nvSpPr>
        <xdr:cNvPr id="3" name="Rounded Rectangle 2">
          <a:hlinkClick xmlns:r="http://schemas.openxmlformats.org/officeDocument/2006/relationships" r:id="rId2"/>
        </xdr:cNvPr>
        <xdr:cNvSpPr/>
      </xdr:nvSpPr>
      <xdr:spPr>
        <a:xfrm>
          <a:off x="23460075" y="19050"/>
          <a:ext cx="638175" cy="39528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4</xdr:col>
      <xdr:colOff>4810125</xdr:colOff>
      <xdr:row>0</xdr:row>
      <xdr:rowOff>28576</xdr:rowOff>
    </xdr:from>
    <xdr:to>
      <xdr:col>4</xdr:col>
      <xdr:colOff>5508126</xdr:colOff>
      <xdr:row>1</xdr:row>
      <xdr:rowOff>19051</xdr:rowOff>
    </xdr:to>
    <xdr:pic macro="[0]!Picture1_Click">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391650" y="28576"/>
          <a:ext cx="698001" cy="323850"/>
        </a:xfrm>
        <a:prstGeom prst="rect">
          <a:avLst/>
        </a:prstGeom>
      </xdr:spPr>
    </xdr:pic>
    <xdr:clientData/>
  </xdr:twoCellAnchor>
  <xdr:twoCellAnchor editAs="oneCell">
    <xdr:from>
      <xdr:col>11</xdr:col>
      <xdr:colOff>4629150</xdr:colOff>
      <xdr:row>0</xdr:row>
      <xdr:rowOff>19050</xdr:rowOff>
    </xdr:from>
    <xdr:to>
      <xdr:col>11</xdr:col>
      <xdr:colOff>5365251</xdr:colOff>
      <xdr:row>1</xdr:row>
      <xdr:rowOff>85725</xdr:rowOff>
    </xdr:to>
    <xdr:pic macro="[0]!Picture1_Click">
      <xdr:nvPicPr>
        <xdr:cNvPr id="5"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50450" y="19050"/>
          <a:ext cx="736101" cy="400050"/>
        </a:xfrm>
        <a:prstGeom prst="rect">
          <a:avLst/>
        </a:prstGeom>
      </xdr:spPr>
    </xdr:pic>
    <xdr:clientData/>
  </xdr:twoCellAnchor>
  <xdr:twoCellAnchor>
    <xdr:from>
      <xdr:col>4</xdr:col>
      <xdr:colOff>5581650</xdr:colOff>
      <xdr:row>0</xdr:row>
      <xdr:rowOff>28575</xdr:rowOff>
    </xdr:from>
    <xdr:to>
      <xdr:col>4</xdr:col>
      <xdr:colOff>6600824</xdr:colOff>
      <xdr:row>1</xdr:row>
      <xdr:rowOff>19050</xdr:rowOff>
    </xdr:to>
    <xdr:sp macro="" textlink="">
      <xdr:nvSpPr>
        <xdr:cNvPr id="6" name="Rounded Rectangle 5">
          <a:hlinkClick xmlns:r="http://schemas.openxmlformats.org/officeDocument/2006/relationships" r:id="rId5"/>
        </xdr:cNvPr>
        <xdr:cNvSpPr/>
      </xdr:nvSpPr>
      <xdr:spPr>
        <a:xfrm>
          <a:off x="10163175" y="28575"/>
          <a:ext cx="1019174"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11</xdr:col>
      <xdr:colOff>5267325</xdr:colOff>
      <xdr:row>46</xdr:row>
      <xdr:rowOff>66674</xdr:rowOff>
    </xdr:from>
    <xdr:to>
      <xdr:col>11</xdr:col>
      <xdr:colOff>6003426</xdr:colOff>
      <xdr:row>47</xdr:row>
      <xdr:rowOff>161924</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288625" y="9639299"/>
          <a:ext cx="736101" cy="333375"/>
        </a:xfrm>
        <a:prstGeom prst="rect">
          <a:avLst/>
        </a:prstGeom>
      </xdr:spPr>
    </xdr:pic>
    <xdr:clientData/>
  </xdr:twoCellAnchor>
  <xdr:twoCellAnchor>
    <xdr:from>
      <xdr:col>11</xdr:col>
      <xdr:colOff>3390900</xdr:colOff>
      <xdr:row>0</xdr:row>
      <xdr:rowOff>19050</xdr:rowOff>
    </xdr:from>
    <xdr:to>
      <xdr:col>11</xdr:col>
      <xdr:colOff>4562475</xdr:colOff>
      <xdr:row>1</xdr:row>
      <xdr:rowOff>85725</xdr:rowOff>
    </xdr:to>
    <xdr:sp macro="" textlink="">
      <xdr:nvSpPr>
        <xdr:cNvPr id="8" name="Rounded Rectangle 7">
          <a:hlinkClick xmlns:r="http://schemas.openxmlformats.org/officeDocument/2006/relationships" r:id="rId6"/>
        </xdr:cNvPr>
        <xdr:cNvSpPr/>
      </xdr:nvSpPr>
      <xdr:spPr>
        <a:xfrm>
          <a:off x="21412200" y="19050"/>
          <a:ext cx="1171575" cy="4000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15</xdr:col>
      <xdr:colOff>3895725</xdr:colOff>
      <xdr:row>0</xdr:row>
      <xdr:rowOff>133350</xdr:rowOff>
    </xdr:from>
    <xdr:to>
      <xdr:col>15</xdr:col>
      <xdr:colOff>4631826</xdr:colOff>
      <xdr:row>1</xdr:row>
      <xdr:rowOff>133350</xdr:rowOff>
    </xdr:to>
    <xdr:pic macro="[0]!Picture1_Click">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490275" y="133350"/>
          <a:ext cx="736101" cy="333375"/>
        </a:xfrm>
        <a:prstGeom prst="rect">
          <a:avLst/>
        </a:prstGeom>
      </xdr:spPr>
    </xdr:pic>
    <xdr:clientData/>
  </xdr:twoCellAnchor>
  <xdr:twoCellAnchor>
    <xdr:from>
      <xdr:col>11</xdr:col>
      <xdr:colOff>2381250</xdr:colOff>
      <xdr:row>0</xdr:row>
      <xdr:rowOff>19050</xdr:rowOff>
    </xdr:from>
    <xdr:to>
      <xdr:col>11</xdr:col>
      <xdr:colOff>3305175</xdr:colOff>
      <xdr:row>1</xdr:row>
      <xdr:rowOff>95250</xdr:rowOff>
    </xdr:to>
    <xdr:sp macro="" textlink="">
      <xdr:nvSpPr>
        <xdr:cNvPr id="10" name="Rounded Rectangle 9">
          <a:hlinkClick xmlns:r="http://schemas.openxmlformats.org/officeDocument/2006/relationships" r:id="rId8"/>
        </xdr:cNvPr>
        <xdr:cNvSpPr/>
      </xdr:nvSpPr>
      <xdr:spPr>
        <a:xfrm>
          <a:off x="20402550" y="19050"/>
          <a:ext cx="923925" cy="4095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4</xdr:col>
      <xdr:colOff>7124700</xdr:colOff>
      <xdr:row>47</xdr:row>
      <xdr:rowOff>300407</xdr:rowOff>
    </xdr:from>
    <xdr:to>
      <xdr:col>4</xdr:col>
      <xdr:colOff>7743825</xdr:colOff>
      <xdr:row>48</xdr:row>
      <xdr:rowOff>217933</xdr:rowOff>
    </xdr:to>
    <xdr:pic>
      <xdr:nvPicPr>
        <xdr:cNvPr id="11" name="Picture 10">
          <a:hlinkClick xmlns:r="http://schemas.openxmlformats.org/officeDocument/2006/relationships" r:id="rId2"/>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639550" y="10111157"/>
          <a:ext cx="619125" cy="260426"/>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5</xdr:col>
      <xdr:colOff>6677024</xdr:colOff>
      <xdr:row>0</xdr:row>
      <xdr:rowOff>28575</xdr:rowOff>
    </xdr:from>
    <xdr:to>
      <xdr:col>5</xdr:col>
      <xdr:colOff>7391399</xdr:colOff>
      <xdr:row>1</xdr:row>
      <xdr:rowOff>9525</xdr:rowOff>
    </xdr:to>
    <xdr:sp macro="" textlink="">
      <xdr:nvSpPr>
        <xdr:cNvPr id="2" name="Rounded Rectangle 1">
          <a:hlinkClick xmlns:r="http://schemas.openxmlformats.org/officeDocument/2006/relationships" r:id="rId1"/>
        </xdr:cNvPr>
        <xdr:cNvSpPr/>
      </xdr:nvSpPr>
      <xdr:spPr>
        <a:xfrm>
          <a:off x="11258549" y="28575"/>
          <a:ext cx="714375" cy="314325"/>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a:t>
          </a:r>
          <a:r>
            <a:rPr lang="id-ID" sz="1800" b="1">
              <a:solidFill>
                <a:sysClr val="windowText" lastClr="000000"/>
              </a:solidFill>
            </a:rPr>
            <a:t>4</a:t>
          </a:r>
        </a:p>
      </xdr:txBody>
    </xdr:sp>
    <xdr:clientData/>
  </xdr:twoCellAnchor>
  <xdr:twoCellAnchor>
    <xdr:from>
      <xdr:col>12</xdr:col>
      <xdr:colOff>5438775</xdr:colOff>
      <xdr:row>0</xdr:row>
      <xdr:rowOff>19050</xdr:rowOff>
    </xdr:from>
    <xdr:to>
      <xdr:col>12</xdr:col>
      <xdr:colOff>6076950</xdr:colOff>
      <xdr:row>1</xdr:row>
      <xdr:rowOff>80963</xdr:rowOff>
    </xdr:to>
    <xdr:sp macro="" textlink="">
      <xdr:nvSpPr>
        <xdr:cNvPr id="3" name="Rounded Rectangle 2">
          <a:hlinkClick xmlns:r="http://schemas.openxmlformats.org/officeDocument/2006/relationships" r:id="rId2"/>
        </xdr:cNvPr>
        <xdr:cNvSpPr/>
      </xdr:nvSpPr>
      <xdr:spPr>
        <a:xfrm>
          <a:off x="23460075" y="19050"/>
          <a:ext cx="638175" cy="395288"/>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5</xdr:col>
      <xdr:colOff>4743450</xdr:colOff>
      <xdr:row>0</xdr:row>
      <xdr:rowOff>38101</xdr:rowOff>
    </xdr:from>
    <xdr:to>
      <xdr:col>5</xdr:col>
      <xdr:colOff>5441451</xdr:colOff>
      <xdr:row>1</xdr:row>
      <xdr:rowOff>28576</xdr:rowOff>
    </xdr:to>
    <xdr:pic macro="[0]!Picture1_Click">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324975" y="38101"/>
          <a:ext cx="698001" cy="323850"/>
        </a:xfrm>
        <a:prstGeom prst="rect">
          <a:avLst/>
        </a:prstGeom>
      </xdr:spPr>
    </xdr:pic>
    <xdr:clientData/>
  </xdr:twoCellAnchor>
  <xdr:twoCellAnchor editAs="oneCell">
    <xdr:from>
      <xdr:col>12</xdr:col>
      <xdr:colOff>4629150</xdr:colOff>
      <xdr:row>0</xdr:row>
      <xdr:rowOff>19050</xdr:rowOff>
    </xdr:from>
    <xdr:to>
      <xdr:col>12</xdr:col>
      <xdr:colOff>5365251</xdr:colOff>
      <xdr:row>1</xdr:row>
      <xdr:rowOff>85725</xdr:rowOff>
    </xdr:to>
    <xdr:pic macro="[0]!Picture1_Click">
      <xdr:nvPicPr>
        <xdr:cNvPr id="5" name="Picture 4">
          <a:hlinkClick xmlns:r="http://schemas.openxmlformats.org/officeDocument/2006/relationships" r:id="rId2"/>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50450" y="19050"/>
          <a:ext cx="736101" cy="400050"/>
        </a:xfrm>
        <a:prstGeom prst="rect">
          <a:avLst/>
        </a:prstGeom>
      </xdr:spPr>
    </xdr:pic>
    <xdr:clientData/>
  </xdr:twoCellAnchor>
  <xdr:twoCellAnchor>
    <xdr:from>
      <xdr:col>5</xdr:col>
      <xdr:colOff>5581650</xdr:colOff>
      <xdr:row>0</xdr:row>
      <xdr:rowOff>28575</xdr:rowOff>
    </xdr:from>
    <xdr:to>
      <xdr:col>5</xdr:col>
      <xdr:colOff>6600824</xdr:colOff>
      <xdr:row>1</xdr:row>
      <xdr:rowOff>19050</xdr:rowOff>
    </xdr:to>
    <xdr:sp macro="" textlink="">
      <xdr:nvSpPr>
        <xdr:cNvPr id="6" name="Rounded Rectangle 5">
          <a:hlinkClick xmlns:r="http://schemas.openxmlformats.org/officeDocument/2006/relationships" r:id="rId5"/>
        </xdr:cNvPr>
        <xdr:cNvSpPr/>
      </xdr:nvSpPr>
      <xdr:spPr>
        <a:xfrm>
          <a:off x="10163175" y="28575"/>
          <a:ext cx="1019174"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12</xdr:col>
      <xdr:colOff>5267325</xdr:colOff>
      <xdr:row>46</xdr:row>
      <xdr:rowOff>66674</xdr:rowOff>
    </xdr:from>
    <xdr:to>
      <xdr:col>12</xdr:col>
      <xdr:colOff>6003426</xdr:colOff>
      <xdr:row>47</xdr:row>
      <xdr:rowOff>161924</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288625" y="9639299"/>
          <a:ext cx="736101" cy="333375"/>
        </a:xfrm>
        <a:prstGeom prst="rect">
          <a:avLst/>
        </a:prstGeom>
      </xdr:spPr>
    </xdr:pic>
    <xdr:clientData/>
  </xdr:twoCellAnchor>
  <xdr:twoCellAnchor>
    <xdr:from>
      <xdr:col>12</xdr:col>
      <xdr:colOff>3390900</xdr:colOff>
      <xdr:row>0</xdr:row>
      <xdr:rowOff>19050</xdr:rowOff>
    </xdr:from>
    <xdr:to>
      <xdr:col>12</xdr:col>
      <xdr:colOff>4562475</xdr:colOff>
      <xdr:row>1</xdr:row>
      <xdr:rowOff>85725</xdr:rowOff>
    </xdr:to>
    <xdr:sp macro="" textlink="">
      <xdr:nvSpPr>
        <xdr:cNvPr id="8" name="Rounded Rectangle 7">
          <a:hlinkClick xmlns:r="http://schemas.openxmlformats.org/officeDocument/2006/relationships" r:id="rId6"/>
        </xdr:cNvPr>
        <xdr:cNvSpPr/>
      </xdr:nvSpPr>
      <xdr:spPr>
        <a:xfrm>
          <a:off x="21412200" y="19050"/>
          <a:ext cx="1171575" cy="4000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16</xdr:col>
      <xdr:colOff>3895725</xdr:colOff>
      <xdr:row>0</xdr:row>
      <xdr:rowOff>133350</xdr:rowOff>
    </xdr:from>
    <xdr:to>
      <xdr:col>16</xdr:col>
      <xdr:colOff>4631826</xdr:colOff>
      <xdr:row>1</xdr:row>
      <xdr:rowOff>133350</xdr:rowOff>
    </xdr:to>
    <xdr:pic macro="[0]!Picture1_Click">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490275" y="133350"/>
          <a:ext cx="736101" cy="333375"/>
        </a:xfrm>
        <a:prstGeom prst="rect">
          <a:avLst/>
        </a:prstGeom>
      </xdr:spPr>
    </xdr:pic>
    <xdr:clientData/>
  </xdr:twoCellAnchor>
  <xdr:twoCellAnchor>
    <xdr:from>
      <xdr:col>12</xdr:col>
      <xdr:colOff>2381250</xdr:colOff>
      <xdr:row>0</xdr:row>
      <xdr:rowOff>19050</xdr:rowOff>
    </xdr:from>
    <xdr:to>
      <xdr:col>12</xdr:col>
      <xdr:colOff>3305175</xdr:colOff>
      <xdr:row>1</xdr:row>
      <xdr:rowOff>95250</xdr:rowOff>
    </xdr:to>
    <xdr:sp macro="" textlink="">
      <xdr:nvSpPr>
        <xdr:cNvPr id="10" name="Rounded Rectangle 9">
          <a:hlinkClick xmlns:r="http://schemas.openxmlformats.org/officeDocument/2006/relationships" r:id="rId8"/>
        </xdr:cNvPr>
        <xdr:cNvSpPr/>
      </xdr:nvSpPr>
      <xdr:spPr>
        <a:xfrm>
          <a:off x="20402550" y="19050"/>
          <a:ext cx="923925" cy="409575"/>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5</xdr:col>
      <xdr:colOff>7019925</xdr:colOff>
      <xdr:row>47</xdr:row>
      <xdr:rowOff>205157</xdr:rowOff>
    </xdr:from>
    <xdr:to>
      <xdr:col>5</xdr:col>
      <xdr:colOff>7639050</xdr:colOff>
      <xdr:row>48</xdr:row>
      <xdr:rowOff>170308</xdr:rowOff>
    </xdr:to>
    <xdr:pic>
      <xdr:nvPicPr>
        <xdr:cNvPr id="11" name="Picture 10">
          <a:hlinkClick xmlns:r="http://schemas.openxmlformats.org/officeDocument/2006/relationships" r:id="rId2"/>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601450" y="10015907"/>
          <a:ext cx="619125" cy="260426"/>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24</xdr:col>
      <xdr:colOff>5219700</xdr:colOff>
      <xdr:row>0</xdr:row>
      <xdr:rowOff>23812</xdr:rowOff>
    </xdr:from>
    <xdr:to>
      <xdr:col>24</xdr:col>
      <xdr:colOff>5857875</xdr:colOff>
      <xdr:row>1</xdr:row>
      <xdr:rowOff>10432</xdr:rowOff>
    </xdr:to>
    <xdr:sp macro="" textlink="">
      <xdr:nvSpPr>
        <xdr:cNvPr id="3" name="Rounded Rectangle 2">
          <a:hlinkClick xmlns:r="http://schemas.openxmlformats.org/officeDocument/2006/relationships" r:id="rId1"/>
        </xdr:cNvPr>
        <xdr:cNvSpPr/>
      </xdr:nvSpPr>
      <xdr:spPr>
        <a:xfrm>
          <a:off x="24412575" y="23812"/>
          <a:ext cx="6381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9</xdr:col>
      <xdr:colOff>4772025</xdr:colOff>
      <xdr:row>0</xdr:row>
      <xdr:rowOff>80963</xdr:rowOff>
    </xdr:from>
    <xdr:to>
      <xdr:col>9</xdr:col>
      <xdr:colOff>5470026</xdr:colOff>
      <xdr:row>1</xdr:row>
      <xdr:rowOff>90487</xdr:rowOff>
    </xdr:to>
    <xdr:pic macro="[0]!Picture1_Click">
      <xdr:nvPicPr>
        <xdr:cNvPr id="4" name="Picture 3">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829925" y="80963"/>
          <a:ext cx="698001" cy="342899"/>
        </a:xfrm>
        <a:prstGeom prst="rect">
          <a:avLst/>
        </a:prstGeom>
      </xdr:spPr>
    </xdr:pic>
    <xdr:clientData/>
  </xdr:twoCellAnchor>
  <xdr:twoCellAnchor editAs="oneCell">
    <xdr:from>
      <xdr:col>24</xdr:col>
      <xdr:colOff>4410075</xdr:colOff>
      <xdr:row>0</xdr:row>
      <xdr:rowOff>19050</xdr:rowOff>
    </xdr:from>
    <xdr:to>
      <xdr:col>24</xdr:col>
      <xdr:colOff>5146176</xdr:colOff>
      <xdr:row>1</xdr:row>
      <xdr:rowOff>9525</xdr:rowOff>
    </xdr:to>
    <xdr:pic macro="[0]!Picture1_Click">
      <xdr:nvPicPr>
        <xdr:cNvPr id="5" name="Picture 4">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3602950" y="19050"/>
          <a:ext cx="736101" cy="323850"/>
        </a:xfrm>
        <a:prstGeom prst="rect">
          <a:avLst/>
        </a:prstGeom>
      </xdr:spPr>
    </xdr:pic>
    <xdr:clientData/>
  </xdr:twoCellAnchor>
  <xdr:twoCellAnchor>
    <xdr:from>
      <xdr:col>9</xdr:col>
      <xdr:colOff>3724274</xdr:colOff>
      <xdr:row>0</xdr:row>
      <xdr:rowOff>80962</xdr:rowOff>
    </xdr:from>
    <xdr:to>
      <xdr:col>9</xdr:col>
      <xdr:colOff>4743449</xdr:colOff>
      <xdr:row>1</xdr:row>
      <xdr:rowOff>90487</xdr:rowOff>
    </xdr:to>
    <xdr:sp macro="" textlink="">
      <xdr:nvSpPr>
        <xdr:cNvPr id="6" name="Rounded Rectangle 5">
          <a:hlinkClick xmlns:r="http://schemas.openxmlformats.org/officeDocument/2006/relationships" r:id="rId4"/>
        </xdr:cNvPr>
        <xdr:cNvSpPr/>
      </xdr:nvSpPr>
      <xdr:spPr>
        <a:xfrm>
          <a:off x="9782174" y="80962"/>
          <a:ext cx="1019175" cy="342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24</xdr:col>
      <xdr:colOff>5229225</xdr:colOff>
      <xdr:row>46</xdr:row>
      <xdr:rowOff>85724</xdr:rowOff>
    </xdr:from>
    <xdr:to>
      <xdr:col>25</xdr:col>
      <xdr:colOff>50301</xdr:colOff>
      <xdr:row>47</xdr:row>
      <xdr:rowOff>228599</xdr:rowOff>
    </xdr:to>
    <xdr:pic macro="[0]!Picture1_Click">
      <xdr:nvPicPr>
        <xdr:cNvPr id="7" name="Picture 6">
          <a:hlinkClick xmlns:r="http://schemas.openxmlformats.org/officeDocument/2006/relationships" r:id="rId5"/>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117300" y="10086974"/>
          <a:ext cx="736101" cy="333375"/>
        </a:xfrm>
        <a:prstGeom prst="rect">
          <a:avLst/>
        </a:prstGeom>
      </xdr:spPr>
    </xdr:pic>
    <xdr:clientData/>
  </xdr:twoCellAnchor>
  <xdr:twoCellAnchor>
    <xdr:from>
      <xdr:col>24</xdr:col>
      <xdr:colOff>3171825</xdr:colOff>
      <xdr:row>0</xdr:row>
      <xdr:rowOff>23812</xdr:rowOff>
    </xdr:from>
    <xdr:to>
      <xdr:col>24</xdr:col>
      <xdr:colOff>4343400</xdr:colOff>
      <xdr:row>1</xdr:row>
      <xdr:rowOff>14287</xdr:rowOff>
    </xdr:to>
    <xdr:sp macro="" textlink="">
      <xdr:nvSpPr>
        <xdr:cNvPr id="8" name="Rounded Rectangle 7">
          <a:hlinkClick xmlns:r="http://schemas.openxmlformats.org/officeDocument/2006/relationships" r:id="rId6"/>
        </xdr:cNvPr>
        <xdr:cNvSpPr/>
      </xdr:nvSpPr>
      <xdr:spPr>
        <a:xfrm>
          <a:off x="22364700" y="23812"/>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28</xdr:col>
      <xdr:colOff>3895725</xdr:colOff>
      <xdr:row>0</xdr:row>
      <xdr:rowOff>133350</xdr:rowOff>
    </xdr:from>
    <xdr:to>
      <xdr:col>28</xdr:col>
      <xdr:colOff>4631826</xdr:colOff>
      <xdr:row>1</xdr:row>
      <xdr:rowOff>133350</xdr:rowOff>
    </xdr:to>
    <xdr:pic macro="[0]!Picture1_Click">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414075" y="133350"/>
          <a:ext cx="736101" cy="333375"/>
        </a:xfrm>
        <a:prstGeom prst="rect">
          <a:avLst/>
        </a:prstGeom>
      </xdr:spPr>
    </xdr:pic>
    <xdr:clientData/>
  </xdr:twoCellAnchor>
  <xdr:twoCellAnchor>
    <xdr:from>
      <xdr:col>24</xdr:col>
      <xdr:colOff>2162175</xdr:colOff>
      <xdr:row>0</xdr:row>
      <xdr:rowOff>19050</xdr:rowOff>
    </xdr:from>
    <xdr:to>
      <xdr:col>24</xdr:col>
      <xdr:colOff>3086100</xdr:colOff>
      <xdr:row>1</xdr:row>
      <xdr:rowOff>17236</xdr:rowOff>
    </xdr:to>
    <xdr:sp macro="" textlink="">
      <xdr:nvSpPr>
        <xdr:cNvPr id="10" name="Rounded Rectangle 9">
          <a:hlinkClick xmlns:r="http://schemas.openxmlformats.org/officeDocument/2006/relationships" r:id="rId8"/>
        </xdr:cNvPr>
        <xdr:cNvSpPr/>
      </xdr:nvSpPr>
      <xdr:spPr>
        <a:xfrm>
          <a:off x="21355050"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9</xdr:col>
      <xdr:colOff>5200652</xdr:colOff>
      <xdr:row>47</xdr:row>
      <xdr:rowOff>192305</xdr:rowOff>
    </xdr:from>
    <xdr:to>
      <xdr:col>9</xdr:col>
      <xdr:colOff>5991226</xdr:colOff>
      <xdr:row>48</xdr:row>
      <xdr:rowOff>209549</xdr:rowOff>
    </xdr:to>
    <xdr:pic>
      <xdr:nvPicPr>
        <xdr:cNvPr id="11" name="Picture 10">
          <a:hlinkClick xmlns:r="http://schemas.openxmlformats.org/officeDocument/2006/relationships" r:id="rId1"/>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258552" y="10374530"/>
          <a:ext cx="790574" cy="312519"/>
        </a:xfrm>
        <a:prstGeom prst="rect">
          <a:avLst/>
        </a:prstGeom>
      </xdr:spPr>
    </xdr:pic>
    <xdr:clientData/>
  </xdr:twoCellAnchor>
  <xdr:twoCellAnchor>
    <xdr:from>
      <xdr:col>9</xdr:col>
      <xdr:colOff>3028950</xdr:colOff>
      <xdr:row>0</xdr:row>
      <xdr:rowOff>85725</xdr:rowOff>
    </xdr:from>
    <xdr:to>
      <xdr:col>9</xdr:col>
      <xdr:colOff>3657599</xdr:colOff>
      <xdr:row>1</xdr:row>
      <xdr:rowOff>76200</xdr:rowOff>
    </xdr:to>
    <xdr:sp macro="" textlink="">
      <xdr:nvSpPr>
        <xdr:cNvPr id="12" name="Rounded Rectangle 11">
          <a:hlinkClick xmlns:r="http://schemas.openxmlformats.org/officeDocument/2006/relationships" r:id="rId10"/>
        </xdr:cNvPr>
        <xdr:cNvSpPr/>
      </xdr:nvSpPr>
      <xdr:spPr>
        <a:xfrm>
          <a:off x="9086850" y="85725"/>
          <a:ext cx="628649" cy="3238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KI-4</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16</xdr:col>
      <xdr:colOff>5219700</xdr:colOff>
      <xdr:row>0</xdr:row>
      <xdr:rowOff>23812</xdr:rowOff>
    </xdr:from>
    <xdr:to>
      <xdr:col>16</xdr:col>
      <xdr:colOff>5857875</xdr:colOff>
      <xdr:row>1</xdr:row>
      <xdr:rowOff>10432</xdr:rowOff>
    </xdr:to>
    <xdr:sp macro="" textlink="">
      <xdr:nvSpPr>
        <xdr:cNvPr id="2" name="Rounded Rectangle 1">
          <a:hlinkClick xmlns:r="http://schemas.openxmlformats.org/officeDocument/2006/relationships" r:id="rId1"/>
        </xdr:cNvPr>
        <xdr:cNvSpPr/>
      </xdr:nvSpPr>
      <xdr:spPr>
        <a:xfrm>
          <a:off x="23698200" y="23812"/>
          <a:ext cx="6381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6</xdr:col>
      <xdr:colOff>4772025</xdr:colOff>
      <xdr:row>0</xdr:row>
      <xdr:rowOff>80963</xdr:rowOff>
    </xdr:from>
    <xdr:to>
      <xdr:col>6</xdr:col>
      <xdr:colOff>5470026</xdr:colOff>
      <xdr:row>1</xdr:row>
      <xdr:rowOff>90487</xdr:rowOff>
    </xdr:to>
    <xdr:pic macro="[0]!Picture1_Click">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191875" y="80963"/>
          <a:ext cx="698001" cy="342899"/>
        </a:xfrm>
        <a:prstGeom prst="rect">
          <a:avLst/>
        </a:prstGeom>
      </xdr:spPr>
    </xdr:pic>
    <xdr:clientData/>
  </xdr:twoCellAnchor>
  <xdr:twoCellAnchor editAs="oneCell">
    <xdr:from>
      <xdr:col>16</xdr:col>
      <xdr:colOff>4410075</xdr:colOff>
      <xdr:row>0</xdr:row>
      <xdr:rowOff>19050</xdr:rowOff>
    </xdr:from>
    <xdr:to>
      <xdr:col>16</xdr:col>
      <xdr:colOff>5146176</xdr:colOff>
      <xdr:row>1</xdr:row>
      <xdr:rowOff>9525</xdr:rowOff>
    </xdr:to>
    <xdr:pic macro="[0]!Picture1_Click">
      <xdr:nvPicPr>
        <xdr:cNvPr id="4" name="Picture 3">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88575" y="19050"/>
          <a:ext cx="736101" cy="323850"/>
        </a:xfrm>
        <a:prstGeom prst="rect">
          <a:avLst/>
        </a:prstGeom>
      </xdr:spPr>
    </xdr:pic>
    <xdr:clientData/>
  </xdr:twoCellAnchor>
  <xdr:twoCellAnchor>
    <xdr:from>
      <xdr:col>6</xdr:col>
      <xdr:colOff>3724274</xdr:colOff>
      <xdr:row>0</xdr:row>
      <xdr:rowOff>80962</xdr:rowOff>
    </xdr:from>
    <xdr:to>
      <xdr:col>6</xdr:col>
      <xdr:colOff>4743449</xdr:colOff>
      <xdr:row>1</xdr:row>
      <xdr:rowOff>90487</xdr:rowOff>
    </xdr:to>
    <xdr:sp macro="" textlink="">
      <xdr:nvSpPr>
        <xdr:cNvPr id="5" name="Rounded Rectangle 4">
          <a:hlinkClick xmlns:r="http://schemas.openxmlformats.org/officeDocument/2006/relationships" r:id="rId4"/>
        </xdr:cNvPr>
        <xdr:cNvSpPr/>
      </xdr:nvSpPr>
      <xdr:spPr>
        <a:xfrm>
          <a:off x="10144124" y="80962"/>
          <a:ext cx="1019175" cy="342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16</xdr:col>
      <xdr:colOff>4457700</xdr:colOff>
      <xdr:row>47</xdr:row>
      <xdr:rowOff>133349</xdr:rowOff>
    </xdr:from>
    <xdr:to>
      <xdr:col>16</xdr:col>
      <xdr:colOff>5193801</xdr:colOff>
      <xdr:row>48</xdr:row>
      <xdr:rowOff>171449</xdr:rowOff>
    </xdr:to>
    <xdr:pic macro="[0]!Picture1_Click">
      <xdr:nvPicPr>
        <xdr:cNvPr id="6" name="Picture 5">
          <a:hlinkClick xmlns:r="http://schemas.openxmlformats.org/officeDocument/2006/relationships" r:id="rId5"/>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936200" y="10315574"/>
          <a:ext cx="736101" cy="333375"/>
        </a:xfrm>
        <a:prstGeom prst="rect">
          <a:avLst/>
        </a:prstGeom>
      </xdr:spPr>
    </xdr:pic>
    <xdr:clientData/>
  </xdr:twoCellAnchor>
  <xdr:twoCellAnchor>
    <xdr:from>
      <xdr:col>16</xdr:col>
      <xdr:colOff>3171825</xdr:colOff>
      <xdr:row>0</xdr:row>
      <xdr:rowOff>23812</xdr:rowOff>
    </xdr:from>
    <xdr:to>
      <xdr:col>16</xdr:col>
      <xdr:colOff>4343400</xdr:colOff>
      <xdr:row>1</xdr:row>
      <xdr:rowOff>14287</xdr:rowOff>
    </xdr:to>
    <xdr:sp macro="" textlink="">
      <xdr:nvSpPr>
        <xdr:cNvPr id="7" name="Rounded Rectangle 6">
          <a:hlinkClick xmlns:r="http://schemas.openxmlformats.org/officeDocument/2006/relationships" r:id="rId6"/>
        </xdr:cNvPr>
        <xdr:cNvSpPr/>
      </xdr:nvSpPr>
      <xdr:spPr>
        <a:xfrm>
          <a:off x="21650325" y="23812"/>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20</xdr:col>
      <xdr:colOff>3895725</xdr:colOff>
      <xdr:row>0</xdr:row>
      <xdr:rowOff>133350</xdr:rowOff>
    </xdr:from>
    <xdr:to>
      <xdr:col>20</xdr:col>
      <xdr:colOff>4631826</xdr:colOff>
      <xdr:row>1</xdr:row>
      <xdr:rowOff>133350</xdr:rowOff>
    </xdr:to>
    <xdr:pic macro="[0]!Picture1_Click">
      <xdr:nvPicPr>
        <xdr:cNvPr id="8" name="Picture 7">
          <a:hlinkClick xmlns:r="http://schemas.openxmlformats.org/officeDocument/2006/relationships" r:id="rId7"/>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28350" y="133350"/>
          <a:ext cx="736101" cy="333375"/>
        </a:xfrm>
        <a:prstGeom prst="rect">
          <a:avLst/>
        </a:prstGeom>
      </xdr:spPr>
    </xdr:pic>
    <xdr:clientData/>
  </xdr:twoCellAnchor>
  <xdr:twoCellAnchor>
    <xdr:from>
      <xdr:col>16</xdr:col>
      <xdr:colOff>2162175</xdr:colOff>
      <xdr:row>0</xdr:row>
      <xdr:rowOff>19050</xdr:rowOff>
    </xdr:from>
    <xdr:to>
      <xdr:col>16</xdr:col>
      <xdr:colOff>3086100</xdr:colOff>
      <xdr:row>1</xdr:row>
      <xdr:rowOff>17236</xdr:rowOff>
    </xdr:to>
    <xdr:sp macro="" textlink="">
      <xdr:nvSpPr>
        <xdr:cNvPr id="9" name="Rounded Rectangle 8">
          <a:hlinkClick xmlns:r="http://schemas.openxmlformats.org/officeDocument/2006/relationships" r:id="rId8"/>
        </xdr:cNvPr>
        <xdr:cNvSpPr/>
      </xdr:nvSpPr>
      <xdr:spPr>
        <a:xfrm>
          <a:off x="20640675"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6</xdr:col>
      <xdr:colOff>5200652</xdr:colOff>
      <xdr:row>47</xdr:row>
      <xdr:rowOff>192305</xdr:rowOff>
    </xdr:from>
    <xdr:to>
      <xdr:col>6</xdr:col>
      <xdr:colOff>5991226</xdr:colOff>
      <xdr:row>48</xdr:row>
      <xdr:rowOff>209549</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620502" y="10374530"/>
          <a:ext cx="790574" cy="312519"/>
        </a:xfrm>
        <a:prstGeom prst="rect">
          <a:avLst/>
        </a:prstGeom>
      </xdr:spPr>
    </xdr:pic>
    <xdr:clientData/>
  </xdr:twoCellAnchor>
  <xdr:twoCellAnchor>
    <xdr:from>
      <xdr:col>6</xdr:col>
      <xdr:colOff>3028950</xdr:colOff>
      <xdr:row>0</xdr:row>
      <xdr:rowOff>85725</xdr:rowOff>
    </xdr:from>
    <xdr:to>
      <xdr:col>6</xdr:col>
      <xdr:colOff>3657599</xdr:colOff>
      <xdr:row>1</xdr:row>
      <xdr:rowOff>76200</xdr:rowOff>
    </xdr:to>
    <xdr:sp macro="" textlink="">
      <xdr:nvSpPr>
        <xdr:cNvPr id="11" name="Rounded Rectangle 10">
          <a:hlinkClick xmlns:r="http://schemas.openxmlformats.org/officeDocument/2006/relationships" r:id="rId5"/>
        </xdr:cNvPr>
        <xdr:cNvSpPr/>
      </xdr:nvSpPr>
      <xdr:spPr>
        <a:xfrm>
          <a:off x="9448800" y="85725"/>
          <a:ext cx="628649" cy="3238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KI-4</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16</xdr:col>
      <xdr:colOff>5219700</xdr:colOff>
      <xdr:row>0</xdr:row>
      <xdr:rowOff>23812</xdr:rowOff>
    </xdr:from>
    <xdr:to>
      <xdr:col>16</xdr:col>
      <xdr:colOff>5857875</xdr:colOff>
      <xdr:row>1</xdr:row>
      <xdr:rowOff>10432</xdr:rowOff>
    </xdr:to>
    <xdr:sp macro="" textlink="">
      <xdr:nvSpPr>
        <xdr:cNvPr id="2" name="Rounded Rectangle 1">
          <a:hlinkClick xmlns:r="http://schemas.openxmlformats.org/officeDocument/2006/relationships" r:id="rId1"/>
        </xdr:cNvPr>
        <xdr:cNvSpPr/>
      </xdr:nvSpPr>
      <xdr:spPr>
        <a:xfrm>
          <a:off x="23707725" y="23812"/>
          <a:ext cx="6381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7</xdr:col>
      <xdr:colOff>4772025</xdr:colOff>
      <xdr:row>0</xdr:row>
      <xdr:rowOff>80963</xdr:rowOff>
    </xdr:from>
    <xdr:to>
      <xdr:col>7</xdr:col>
      <xdr:colOff>5470026</xdr:colOff>
      <xdr:row>1</xdr:row>
      <xdr:rowOff>90487</xdr:rowOff>
    </xdr:to>
    <xdr:pic macro="[0]!Picture1_Click">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01400" y="80963"/>
          <a:ext cx="698001" cy="342899"/>
        </a:xfrm>
        <a:prstGeom prst="rect">
          <a:avLst/>
        </a:prstGeom>
      </xdr:spPr>
    </xdr:pic>
    <xdr:clientData/>
  </xdr:twoCellAnchor>
  <xdr:twoCellAnchor editAs="oneCell">
    <xdr:from>
      <xdr:col>16</xdr:col>
      <xdr:colOff>4410075</xdr:colOff>
      <xdr:row>0</xdr:row>
      <xdr:rowOff>19050</xdr:rowOff>
    </xdr:from>
    <xdr:to>
      <xdr:col>16</xdr:col>
      <xdr:colOff>5146176</xdr:colOff>
      <xdr:row>1</xdr:row>
      <xdr:rowOff>9525</xdr:rowOff>
    </xdr:to>
    <xdr:pic macro="[0]!Picture1_Click">
      <xdr:nvPicPr>
        <xdr:cNvPr id="4" name="Picture 3">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98100" y="19050"/>
          <a:ext cx="736101" cy="323850"/>
        </a:xfrm>
        <a:prstGeom prst="rect">
          <a:avLst/>
        </a:prstGeom>
      </xdr:spPr>
    </xdr:pic>
    <xdr:clientData/>
  </xdr:twoCellAnchor>
  <xdr:twoCellAnchor>
    <xdr:from>
      <xdr:col>7</xdr:col>
      <xdr:colOff>3724274</xdr:colOff>
      <xdr:row>0</xdr:row>
      <xdr:rowOff>80962</xdr:rowOff>
    </xdr:from>
    <xdr:to>
      <xdr:col>7</xdr:col>
      <xdr:colOff>4743449</xdr:colOff>
      <xdr:row>1</xdr:row>
      <xdr:rowOff>90487</xdr:rowOff>
    </xdr:to>
    <xdr:sp macro="" textlink="">
      <xdr:nvSpPr>
        <xdr:cNvPr id="5" name="Rounded Rectangle 4">
          <a:hlinkClick xmlns:r="http://schemas.openxmlformats.org/officeDocument/2006/relationships" r:id="rId4"/>
        </xdr:cNvPr>
        <xdr:cNvSpPr/>
      </xdr:nvSpPr>
      <xdr:spPr>
        <a:xfrm>
          <a:off x="10153649" y="80962"/>
          <a:ext cx="1019175" cy="342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16</xdr:col>
      <xdr:colOff>5800725</xdr:colOff>
      <xdr:row>47</xdr:row>
      <xdr:rowOff>66674</xdr:rowOff>
    </xdr:from>
    <xdr:to>
      <xdr:col>16</xdr:col>
      <xdr:colOff>6536826</xdr:colOff>
      <xdr:row>48</xdr:row>
      <xdr:rowOff>104774</xdr:rowOff>
    </xdr:to>
    <xdr:pic macro="[0]!Picture1_Click">
      <xdr:nvPicPr>
        <xdr:cNvPr id="6" name="Picture 5">
          <a:hlinkClick xmlns:r="http://schemas.openxmlformats.org/officeDocument/2006/relationships" r:id="rId5"/>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174450" y="10391774"/>
          <a:ext cx="736101" cy="333375"/>
        </a:xfrm>
        <a:prstGeom prst="rect">
          <a:avLst/>
        </a:prstGeom>
      </xdr:spPr>
    </xdr:pic>
    <xdr:clientData/>
  </xdr:twoCellAnchor>
  <xdr:twoCellAnchor>
    <xdr:from>
      <xdr:col>16</xdr:col>
      <xdr:colOff>3171825</xdr:colOff>
      <xdr:row>0</xdr:row>
      <xdr:rowOff>23812</xdr:rowOff>
    </xdr:from>
    <xdr:to>
      <xdr:col>16</xdr:col>
      <xdr:colOff>4343400</xdr:colOff>
      <xdr:row>1</xdr:row>
      <xdr:rowOff>14287</xdr:rowOff>
    </xdr:to>
    <xdr:sp macro="" textlink="">
      <xdr:nvSpPr>
        <xdr:cNvPr id="7" name="Rounded Rectangle 6">
          <a:hlinkClick xmlns:r="http://schemas.openxmlformats.org/officeDocument/2006/relationships" r:id="rId6"/>
        </xdr:cNvPr>
        <xdr:cNvSpPr/>
      </xdr:nvSpPr>
      <xdr:spPr>
        <a:xfrm>
          <a:off x="21659850" y="23812"/>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20</xdr:col>
      <xdr:colOff>3895725</xdr:colOff>
      <xdr:row>0</xdr:row>
      <xdr:rowOff>133350</xdr:rowOff>
    </xdr:from>
    <xdr:to>
      <xdr:col>20</xdr:col>
      <xdr:colOff>4631826</xdr:colOff>
      <xdr:row>1</xdr:row>
      <xdr:rowOff>133350</xdr:rowOff>
    </xdr:to>
    <xdr:pic macro="[0]!Picture1_Click">
      <xdr:nvPicPr>
        <xdr:cNvPr id="8" name="Picture 7">
          <a:hlinkClick xmlns:r="http://schemas.openxmlformats.org/officeDocument/2006/relationships" r:id="rId7"/>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7875" y="133350"/>
          <a:ext cx="736101" cy="333375"/>
        </a:xfrm>
        <a:prstGeom prst="rect">
          <a:avLst/>
        </a:prstGeom>
      </xdr:spPr>
    </xdr:pic>
    <xdr:clientData/>
  </xdr:twoCellAnchor>
  <xdr:twoCellAnchor>
    <xdr:from>
      <xdr:col>16</xdr:col>
      <xdr:colOff>2162175</xdr:colOff>
      <xdr:row>0</xdr:row>
      <xdr:rowOff>19050</xdr:rowOff>
    </xdr:from>
    <xdr:to>
      <xdr:col>16</xdr:col>
      <xdr:colOff>3086100</xdr:colOff>
      <xdr:row>1</xdr:row>
      <xdr:rowOff>17236</xdr:rowOff>
    </xdr:to>
    <xdr:sp macro="" textlink="">
      <xdr:nvSpPr>
        <xdr:cNvPr id="9" name="Rounded Rectangle 8">
          <a:hlinkClick xmlns:r="http://schemas.openxmlformats.org/officeDocument/2006/relationships" r:id="rId8"/>
        </xdr:cNvPr>
        <xdr:cNvSpPr/>
      </xdr:nvSpPr>
      <xdr:spPr>
        <a:xfrm>
          <a:off x="20650200"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7</xdr:col>
      <xdr:colOff>5200652</xdr:colOff>
      <xdr:row>47</xdr:row>
      <xdr:rowOff>192305</xdr:rowOff>
    </xdr:from>
    <xdr:to>
      <xdr:col>7</xdr:col>
      <xdr:colOff>5991226</xdr:colOff>
      <xdr:row>48</xdr:row>
      <xdr:rowOff>209549</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630027" y="10412630"/>
          <a:ext cx="790574" cy="312519"/>
        </a:xfrm>
        <a:prstGeom prst="rect">
          <a:avLst/>
        </a:prstGeom>
      </xdr:spPr>
    </xdr:pic>
    <xdr:clientData/>
  </xdr:twoCellAnchor>
  <xdr:twoCellAnchor>
    <xdr:from>
      <xdr:col>7</xdr:col>
      <xdr:colOff>3028950</xdr:colOff>
      <xdr:row>0</xdr:row>
      <xdr:rowOff>85725</xdr:rowOff>
    </xdr:from>
    <xdr:to>
      <xdr:col>7</xdr:col>
      <xdr:colOff>3657599</xdr:colOff>
      <xdr:row>1</xdr:row>
      <xdr:rowOff>76200</xdr:rowOff>
    </xdr:to>
    <xdr:sp macro="" textlink="">
      <xdr:nvSpPr>
        <xdr:cNvPr id="11" name="Rounded Rectangle 10">
          <a:hlinkClick xmlns:r="http://schemas.openxmlformats.org/officeDocument/2006/relationships" r:id="rId10"/>
        </xdr:cNvPr>
        <xdr:cNvSpPr/>
      </xdr:nvSpPr>
      <xdr:spPr>
        <a:xfrm>
          <a:off x="9458325" y="85725"/>
          <a:ext cx="628649" cy="3238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KI-4</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12</xdr:col>
      <xdr:colOff>5219700</xdr:colOff>
      <xdr:row>0</xdr:row>
      <xdr:rowOff>23812</xdr:rowOff>
    </xdr:from>
    <xdr:to>
      <xdr:col>12</xdr:col>
      <xdr:colOff>5857875</xdr:colOff>
      <xdr:row>1</xdr:row>
      <xdr:rowOff>10432</xdr:rowOff>
    </xdr:to>
    <xdr:sp macro="" textlink="">
      <xdr:nvSpPr>
        <xdr:cNvPr id="2" name="Rounded Rectangle 1">
          <a:hlinkClick xmlns:r="http://schemas.openxmlformats.org/officeDocument/2006/relationships" r:id="rId1"/>
        </xdr:cNvPr>
        <xdr:cNvSpPr/>
      </xdr:nvSpPr>
      <xdr:spPr>
        <a:xfrm>
          <a:off x="23707725" y="23812"/>
          <a:ext cx="638175" cy="319995"/>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id-ID" sz="1800" b="1">
              <a:solidFill>
                <a:sysClr val="windowText" lastClr="000000"/>
              </a:solidFill>
            </a:rPr>
            <a:t>KI</a:t>
          </a:r>
          <a:r>
            <a:rPr lang="id-ID" sz="1800" b="1" baseline="0">
              <a:solidFill>
                <a:sysClr val="windowText" lastClr="000000"/>
              </a:solidFill>
            </a:rPr>
            <a:t> 3</a:t>
          </a:r>
          <a:endParaRPr lang="id-ID" sz="1800" b="1">
            <a:solidFill>
              <a:sysClr val="windowText" lastClr="000000"/>
            </a:solidFill>
          </a:endParaRPr>
        </a:p>
      </xdr:txBody>
    </xdr:sp>
    <xdr:clientData/>
  </xdr:twoCellAnchor>
  <xdr:twoCellAnchor editAs="oneCell">
    <xdr:from>
      <xdr:col>5</xdr:col>
      <xdr:colOff>4905375</xdr:colOff>
      <xdr:row>0</xdr:row>
      <xdr:rowOff>80963</xdr:rowOff>
    </xdr:from>
    <xdr:to>
      <xdr:col>5</xdr:col>
      <xdr:colOff>5603376</xdr:colOff>
      <xdr:row>1</xdr:row>
      <xdr:rowOff>90487</xdr:rowOff>
    </xdr:to>
    <xdr:pic macro="[0]!Picture1_Click">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801350" y="80963"/>
          <a:ext cx="698001" cy="342899"/>
        </a:xfrm>
        <a:prstGeom prst="rect">
          <a:avLst/>
        </a:prstGeom>
      </xdr:spPr>
    </xdr:pic>
    <xdr:clientData/>
  </xdr:twoCellAnchor>
  <xdr:twoCellAnchor editAs="oneCell">
    <xdr:from>
      <xdr:col>12</xdr:col>
      <xdr:colOff>4410075</xdr:colOff>
      <xdr:row>0</xdr:row>
      <xdr:rowOff>19050</xdr:rowOff>
    </xdr:from>
    <xdr:to>
      <xdr:col>12</xdr:col>
      <xdr:colOff>5146176</xdr:colOff>
      <xdr:row>1</xdr:row>
      <xdr:rowOff>9525</xdr:rowOff>
    </xdr:to>
    <xdr:pic macro="[0]!Picture1_Click">
      <xdr:nvPicPr>
        <xdr:cNvPr id="4" name="Picture 3">
          <a:hlinkClick xmlns:r="http://schemas.openxmlformats.org/officeDocument/2006/relationships" r:id="rId4"/>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98100" y="19050"/>
          <a:ext cx="736101" cy="323850"/>
        </a:xfrm>
        <a:prstGeom prst="rect">
          <a:avLst/>
        </a:prstGeom>
      </xdr:spPr>
    </xdr:pic>
    <xdr:clientData/>
  </xdr:twoCellAnchor>
  <xdr:twoCellAnchor>
    <xdr:from>
      <xdr:col>5</xdr:col>
      <xdr:colOff>3724274</xdr:colOff>
      <xdr:row>0</xdr:row>
      <xdr:rowOff>80962</xdr:rowOff>
    </xdr:from>
    <xdr:to>
      <xdr:col>5</xdr:col>
      <xdr:colOff>4743449</xdr:colOff>
      <xdr:row>1</xdr:row>
      <xdr:rowOff>90487</xdr:rowOff>
    </xdr:to>
    <xdr:sp macro="" textlink="">
      <xdr:nvSpPr>
        <xdr:cNvPr id="5" name="Rounded Rectangle 4">
          <a:hlinkClick xmlns:r="http://schemas.openxmlformats.org/officeDocument/2006/relationships" r:id="rId5"/>
        </xdr:cNvPr>
        <xdr:cNvSpPr/>
      </xdr:nvSpPr>
      <xdr:spPr>
        <a:xfrm>
          <a:off x="10153649" y="80962"/>
          <a:ext cx="1019175" cy="34290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200" b="1">
              <a:solidFill>
                <a:sysClr val="windowText" lastClr="000000"/>
              </a:solidFill>
            </a:rPr>
            <a:t>DES ( - ) KI</a:t>
          </a:r>
          <a:r>
            <a:rPr lang="id-ID" sz="1200" b="1" baseline="0">
              <a:solidFill>
                <a:sysClr val="windowText" lastClr="000000"/>
              </a:solidFill>
            </a:rPr>
            <a:t> 3</a:t>
          </a:r>
          <a:endParaRPr lang="id-ID" sz="1200" b="1">
            <a:solidFill>
              <a:sysClr val="windowText" lastClr="000000"/>
            </a:solidFill>
          </a:endParaRPr>
        </a:p>
      </xdr:txBody>
    </xdr:sp>
    <xdr:clientData/>
  </xdr:twoCellAnchor>
  <xdr:twoCellAnchor editAs="oneCell">
    <xdr:from>
      <xdr:col>12</xdr:col>
      <xdr:colOff>5943600</xdr:colOff>
      <xdr:row>46</xdr:row>
      <xdr:rowOff>85724</xdr:rowOff>
    </xdr:from>
    <xdr:to>
      <xdr:col>12</xdr:col>
      <xdr:colOff>6679701</xdr:colOff>
      <xdr:row>47</xdr:row>
      <xdr:rowOff>228599</xdr:rowOff>
    </xdr:to>
    <xdr:pic macro="[0]!Picture1_Click">
      <xdr:nvPicPr>
        <xdr:cNvPr id="6" name="Picture 5">
          <a:hlinkClick xmlns:r="http://schemas.openxmlformats.org/officeDocument/2006/relationships" r:id="rId6"/>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622875" y="10115549"/>
          <a:ext cx="736101" cy="333375"/>
        </a:xfrm>
        <a:prstGeom prst="rect">
          <a:avLst/>
        </a:prstGeom>
      </xdr:spPr>
    </xdr:pic>
    <xdr:clientData/>
  </xdr:twoCellAnchor>
  <xdr:twoCellAnchor>
    <xdr:from>
      <xdr:col>12</xdr:col>
      <xdr:colOff>3171825</xdr:colOff>
      <xdr:row>0</xdr:row>
      <xdr:rowOff>23812</xdr:rowOff>
    </xdr:from>
    <xdr:to>
      <xdr:col>12</xdr:col>
      <xdr:colOff>4343400</xdr:colOff>
      <xdr:row>1</xdr:row>
      <xdr:rowOff>14287</xdr:rowOff>
    </xdr:to>
    <xdr:sp macro="" textlink="">
      <xdr:nvSpPr>
        <xdr:cNvPr id="7" name="Rounded Rectangle 6">
          <a:hlinkClick xmlns:r="http://schemas.openxmlformats.org/officeDocument/2006/relationships" r:id="rId7"/>
        </xdr:cNvPr>
        <xdr:cNvSpPr/>
      </xdr:nvSpPr>
      <xdr:spPr>
        <a:xfrm>
          <a:off x="21659850" y="23812"/>
          <a:ext cx="1171575" cy="323850"/>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400" b="1">
              <a:solidFill>
                <a:sysClr val="windowText" lastClr="000000"/>
              </a:solidFill>
            </a:rPr>
            <a:t>DES ( -</a:t>
          </a:r>
          <a:r>
            <a:rPr lang="id-ID" sz="1400" b="1" baseline="0">
              <a:solidFill>
                <a:sysClr val="windowText" lastClr="000000"/>
              </a:solidFill>
            </a:rPr>
            <a:t> ) KI-4</a:t>
          </a:r>
          <a:endParaRPr lang="id-ID" sz="1400" b="1">
            <a:solidFill>
              <a:sysClr val="windowText" lastClr="000000"/>
            </a:solidFill>
          </a:endParaRPr>
        </a:p>
      </xdr:txBody>
    </xdr:sp>
    <xdr:clientData/>
  </xdr:twoCellAnchor>
  <xdr:twoCellAnchor editAs="oneCell">
    <xdr:from>
      <xdr:col>16</xdr:col>
      <xdr:colOff>3895725</xdr:colOff>
      <xdr:row>0</xdr:row>
      <xdr:rowOff>133350</xdr:rowOff>
    </xdr:from>
    <xdr:to>
      <xdr:col>16</xdr:col>
      <xdr:colOff>4631826</xdr:colOff>
      <xdr:row>1</xdr:row>
      <xdr:rowOff>133350</xdr:rowOff>
    </xdr:to>
    <xdr:pic macro="[0]!Picture1_Click">
      <xdr:nvPicPr>
        <xdr:cNvPr id="8" name="Picture 7">
          <a:hlinkClick xmlns:r="http://schemas.openxmlformats.org/officeDocument/2006/relationships" r:id="rId8"/>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337875" y="133350"/>
          <a:ext cx="736101" cy="333375"/>
        </a:xfrm>
        <a:prstGeom prst="rect">
          <a:avLst/>
        </a:prstGeom>
      </xdr:spPr>
    </xdr:pic>
    <xdr:clientData/>
  </xdr:twoCellAnchor>
  <xdr:twoCellAnchor>
    <xdr:from>
      <xdr:col>12</xdr:col>
      <xdr:colOff>2162175</xdr:colOff>
      <xdr:row>0</xdr:row>
      <xdr:rowOff>19050</xdr:rowOff>
    </xdr:from>
    <xdr:to>
      <xdr:col>12</xdr:col>
      <xdr:colOff>3086100</xdr:colOff>
      <xdr:row>1</xdr:row>
      <xdr:rowOff>17236</xdr:rowOff>
    </xdr:to>
    <xdr:sp macro="" textlink="">
      <xdr:nvSpPr>
        <xdr:cNvPr id="9" name="Rounded Rectangle 8">
          <a:hlinkClick xmlns:r="http://schemas.openxmlformats.org/officeDocument/2006/relationships" r:id="rId9"/>
        </xdr:cNvPr>
        <xdr:cNvSpPr/>
      </xdr:nvSpPr>
      <xdr:spPr>
        <a:xfrm>
          <a:off x="20650200" y="19050"/>
          <a:ext cx="923925" cy="331561"/>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id-ID" sz="1100"/>
            <a:t>GABUNGAN</a:t>
          </a:r>
        </a:p>
      </xdr:txBody>
    </xdr:sp>
    <xdr:clientData/>
  </xdr:twoCellAnchor>
  <xdr:twoCellAnchor editAs="oneCell">
    <xdr:from>
      <xdr:col>5</xdr:col>
      <xdr:colOff>5362577</xdr:colOff>
      <xdr:row>46</xdr:row>
      <xdr:rowOff>144680</xdr:rowOff>
    </xdr:from>
    <xdr:to>
      <xdr:col>5</xdr:col>
      <xdr:colOff>6153151</xdr:colOff>
      <xdr:row>47</xdr:row>
      <xdr:rowOff>266699</xdr:rowOff>
    </xdr:to>
    <xdr:pic>
      <xdr:nvPicPr>
        <xdr:cNvPr id="10" name="Picture 9">
          <a:hlinkClick xmlns:r="http://schemas.openxmlformats.org/officeDocument/2006/relationships" r:id="rId1"/>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258552" y="10174505"/>
          <a:ext cx="790574" cy="312519"/>
        </a:xfrm>
        <a:prstGeom prst="rect">
          <a:avLst/>
        </a:prstGeom>
      </xdr:spPr>
    </xdr:pic>
    <xdr:clientData/>
  </xdr:twoCellAnchor>
  <xdr:twoCellAnchor>
    <xdr:from>
      <xdr:col>5</xdr:col>
      <xdr:colOff>3028950</xdr:colOff>
      <xdr:row>0</xdr:row>
      <xdr:rowOff>85725</xdr:rowOff>
    </xdr:from>
    <xdr:to>
      <xdr:col>5</xdr:col>
      <xdr:colOff>3657599</xdr:colOff>
      <xdr:row>1</xdr:row>
      <xdr:rowOff>76200</xdr:rowOff>
    </xdr:to>
    <xdr:sp macro="" textlink="">
      <xdr:nvSpPr>
        <xdr:cNvPr id="11" name="Rounded Rectangle 10">
          <a:hlinkClick xmlns:r="http://schemas.openxmlformats.org/officeDocument/2006/relationships" r:id="rId6"/>
        </xdr:cNvPr>
        <xdr:cNvSpPr/>
      </xdr:nvSpPr>
      <xdr:spPr>
        <a:xfrm>
          <a:off x="9458325" y="85725"/>
          <a:ext cx="628649" cy="3238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id-ID" sz="1100" b="1"/>
            <a:t>KI-4</a:t>
          </a:r>
        </a:p>
      </xdr:txBody>
    </xdr:sp>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209549</xdr:colOff>
      <xdr:row>1</xdr:row>
      <xdr:rowOff>76200</xdr:rowOff>
    </xdr:from>
    <xdr:to>
      <xdr:col>1</xdr:col>
      <xdr:colOff>550010</xdr:colOff>
      <xdr:row>3</xdr:row>
      <xdr:rowOff>161925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9549" y="266700"/>
          <a:ext cx="950061" cy="466725"/>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7</xdr:col>
      <xdr:colOff>790576</xdr:colOff>
      <xdr:row>0</xdr:row>
      <xdr:rowOff>147538</xdr:rowOff>
    </xdr:from>
    <xdr:to>
      <xdr:col>8</xdr:col>
      <xdr:colOff>786477</xdr:colOff>
      <xdr:row>2</xdr:row>
      <xdr:rowOff>1</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0376" y="147538"/>
          <a:ext cx="843626" cy="414438"/>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11</xdr:col>
      <xdr:colOff>9525</xdr:colOff>
      <xdr:row>0</xdr:row>
      <xdr:rowOff>171450</xdr:rowOff>
    </xdr:from>
    <xdr:to>
      <xdr:col>11</xdr:col>
      <xdr:colOff>542925</xdr:colOff>
      <xdr:row>1</xdr:row>
      <xdr:rowOff>166787</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15125" y="171450"/>
          <a:ext cx="533400" cy="262037"/>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xdr:from>
      <xdr:col>6</xdr:col>
      <xdr:colOff>19050</xdr:colOff>
      <xdr:row>86</xdr:row>
      <xdr:rowOff>85724</xdr:rowOff>
    </xdr:from>
    <xdr:to>
      <xdr:col>9</xdr:col>
      <xdr:colOff>171450</xdr:colOff>
      <xdr:row>91</xdr:row>
      <xdr:rowOff>25399</xdr:rowOff>
    </xdr:to>
    <xdr:sp macro="" textlink="">
      <xdr:nvSpPr>
        <xdr:cNvPr id="3" name="Rectangle 2"/>
        <xdr:cNvSpPr/>
      </xdr:nvSpPr>
      <xdr:spPr>
        <a:xfrm>
          <a:off x="1362075" y="18078449"/>
          <a:ext cx="895350" cy="1177925"/>
        </a:xfrm>
        <a:prstGeom prst="rect">
          <a:avLst/>
        </a:prstGeom>
        <a:no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editAs="oneCell">
    <xdr:from>
      <xdr:col>33</xdr:col>
      <xdr:colOff>66675</xdr:colOff>
      <xdr:row>0</xdr:row>
      <xdr:rowOff>161925</xdr:rowOff>
    </xdr:from>
    <xdr:to>
      <xdr:col>34</xdr:col>
      <xdr:colOff>371475</xdr:colOff>
      <xdr:row>3</xdr:row>
      <xdr:rowOff>3629</xdr:rowOff>
    </xdr:to>
    <xdr:pic>
      <xdr:nvPicPr>
        <xdr:cNvPr id="4" name="Picture 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10775" y="161925"/>
          <a:ext cx="914400" cy="384629"/>
        </a:xfrm>
        <a:prstGeom prst="rect">
          <a:avLst/>
        </a:prstGeom>
      </xdr:spPr>
    </xdr:pic>
    <xdr:clientData/>
  </xdr:twoCellAnchor>
  <xdr:twoCellAnchor editAs="oneCell">
    <xdr:from>
      <xdr:col>27</xdr:col>
      <xdr:colOff>171450</xdr:colOff>
      <xdr:row>60</xdr:row>
      <xdr:rowOff>47625</xdr:rowOff>
    </xdr:from>
    <xdr:to>
      <xdr:col>29</xdr:col>
      <xdr:colOff>104396</xdr:colOff>
      <xdr:row>62</xdr:row>
      <xdr:rowOff>103633</xdr:rowOff>
    </xdr:to>
    <xdr:pic>
      <xdr:nvPicPr>
        <xdr:cNvPr id="9" name="Picture 8">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00800" y="11668125"/>
          <a:ext cx="1152146" cy="484633"/>
        </a:xfrm>
        <a:prstGeom prst="rect">
          <a:avLst/>
        </a:prstGeom>
      </xdr:spPr>
    </xdr:pic>
    <xdr:clientData/>
  </xdr:twoCellAnchor>
  <xdr:twoCellAnchor editAs="oneCell">
    <xdr:from>
      <xdr:col>27</xdr:col>
      <xdr:colOff>596900</xdr:colOff>
      <xdr:row>100</xdr:row>
      <xdr:rowOff>161925</xdr:rowOff>
    </xdr:from>
    <xdr:to>
      <xdr:col>29</xdr:col>
      <xdr:colOff>529846</xdr:colOff>
      <xdr:row>102</xdr:row>
      <xdr:rowOff>151258</xdr:rowOff>
    </xdr:to>
    <xdr:pic>
      <xdr:nvPicPr>
        <xdr:cNvPr id="10" name="Picture 9">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454900" y="21828125"/>
          <a:ext cx="1152146" cy="497333"/>
        </a:xfrm>
        <a:prstGeom prst="rect">
          <a:avLst/>
        </a:prstGeom>
      </xdr:spPr>
    </xdr:pic>
    <xdr:clientData/>
  </xdr:twoCellAnchor>
  <xdr:twoCellAnchor editAs="oneCell">
    <xdr:from>
      <xdr:col>32</xdr:col>
      <xdr:colOff>254000</xdr:colOff>
      <xdr:row>147</xdr:row>
      <xdr:rowOff>165100</xdr:rowOff>
    </xdr:from>
    <xdr:to>
      <xdr:col>34</xdr:col>
      <xdr:colOff>186946</xdr:colOff>
      <xdr:row>150</xdr:row>
      <xdr:rowOff>2033</xdr:rowOff>
    </xdr:to>
    <xdr:pic>
      <xdr:nvPicPr>
        <xdr:cNvPr id="11" name="Picture 10">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02800" y="31356300"/>
          <a:ext cx="1152146" cy="497333"/>
        </a:xfrm>
        <a:prstGeom prst="rect">
          <a:avLst/>
        </a:prstGeom>
      </xdr:spPr>
    </xdr:pic>
    <xdr:clientData/>
  </xdr:twoCellAnchor>
  <xdr:twoCellAnchor editAs="oneCell">
    <xdr:from>
      <xdr:col>32</xdr:col>
      <xdr:colOff>215900</xdr:colOff>
      <xdr:row>205</xdr:row>
      <xdr:rowOff>139700</xdr:rowOff>
    </xdr:from>
    <xdr:to>
      <xdr:col>34</xdr:col>
      <xdr:colOff>148846</xdr:colOff>
      <xdr:row>208</xdr:row>
      <xdr:rowOff>2033</xdr:rowOff>
    </xdr:to>
    <xdr:pic>
      <xdr:nvPicPr>
        <xdr:cNvPr id="12" name="Picture 11">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31400" y="41592500"/>
          <a:ext cx="1152146" cy="497333"/>
        </a:xfrm>
        <a:prstGeom prst="rect">
          <a:avLst/>
        </a:prstGeom>
      </xdr:spPr>
    </xdr:pic>
    <xdr:clientData/>
  </xdr:twoCellAnchor>
  <xdr:twoCellAnchor editAs="oneCell">
    <xdr:from>
      <xdr:col>32</xdr:col>
      <xdr:colOff>88900</xdr:colOff>
      <xdr:row>262</xdr:row>
      <xdr:rowOff>76200</xdr:rowOff>
    </xdr:from>
    <xdr:to>
      <xdr:col>34</xdr:col>
      <xdr:colOff>21846</xdr:colOff>
      <xdr:row>264</xdr:row>
      <xdr:rowOff>103633</xdr:rowOff>
    </xdr:to>
    <xdr:pic>
      <xdr:nvPicPr>
        <xdr:cNvPr id="13" name="Picture 12">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804400" y="51765200"/>
          <a:ext cx="1152146" cy="497333"/>
        </a:xfrm>
        <a:prstGeom prst="rect">
          <a:avLst/>
        </a:prstGeom>
      </xdr:spPr>
    </xdr:pic>
    <xdr:clientData/>
  </xdr:twoCellAnchor>
  <xdr:twoCellAnchor editAs="oneCell">
    <xdr:from>
      <xdr:col>32</xdr:col>
      <xdr:colOff>95250</xdr:colOff>
      <xdr:row>375</xdr:row>
      <xdr:rowOff>47625</xdr:rowOff>
    </xdr:from>
    <xdr:to>
      <xdr:col>34</xdr:col>
      <xdr:colOff>28196</xdr:colOff>
      <xdr:row>378</xdr:row>
      <xdr:rowOff>8383</xdr:rowOff>
    </xdr:to>
    <xdr:pic>
      <xdr:nvPicPr>
        <xdr:cNvPr id="14" name="Picture 13">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29750" y="62560200"/>
          <a:ext cx="1152146" cy="503683"/>
        </a:xfrm>
        <a:prstGeom prst="rect">
          <a:avLst/>
        </a:prstGeom>
      </xdr:spPr>
    </xdr:pic>
    <xdr:clientData/>
  </xdr:twoCellAnchor>
  <xdr:twoCellAnchor editAs="oneCell">
    <xdr:from>
      <xdr:col>32</xdr:col>
      <xdr:colOff>161925</xdr:colOff>
      <xdr:row>427</xdr:row>
      <xdr:rowOff>66675</xdr:rowOff>
    </xdr:from>
    <xdr:to>
      <xdr:col>34</xdr:col>
      <xdr:colOff>94871</xdr:colOff>
      <xdr:row>430</xdr:row>
      <xdr:rowOff>27433</xdr:rowOff>
    </xdr:to>
    <xdr:pic>
      <xdr:nvPicPr>
        <xdr:cNvPr id="15" name="Picture 14">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96425" y="73056750"/>
          <a:ext cx="1152146" cy="503683"/>
        </a:xfrm>
        <a:prstGeom prst="rect">
          <a:avLst/>
        </a:prstGeom>
      </xdr:spPr>
    </xdr:pic>
    <xdr:clientData/>
  </xdr:twoCellAnchor>
  <xdr:twoCellAnchor editAs="oneCell">
    <xdr:from>
      <xdr:col>32</xdr:col>
      <xdr:colOff>123825</xdr:colOff>
      <xdr:row>488</xdr:row>
      <xdr:rowOff>66675</xdr:rowOff>
    </xdr:from>
    <xdr:to>
      <xdr:col>34</xdr:col>
      <xdr:colOff>56771</xdr:colOff>
      <xdr:row>490</xdr:row>
      <xdr:rowOff>129033</xdr:rowOff>
    </xdr:to>
    <xdr:pic>
      <xdr:nvPicPr>
        <xdr:cNvPr id="16" name="Picture 15">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58325" y="83581875"/>
          <a:ext cx="1152146" cy="503683"/>
        </a:xfrm>
        <a:prstGeom prst="rect">
          <a:avLst/>
        </a:prstGeom>
      </xdr:spPr>
    </xdr:pic>
    <xdr:clientData/>
  </xdr:twoCellAnchor>
  <xdr:twoCellAnchor editAs="oneCell">
    <xdr:from>
      <xdr:col>32</xdr:col>
      <xdr:colOff>123825</xdr:colOff>
      <xdr:row>546</xdr:row>
      <xdr:rowOff>66675</xdr:rowOff>
    </xdr:from>
    <xdr:to>
      <xdr:col>34</xdr:col>
      <xdr:colOff>56771</xdr:colOff>
      <xdr:row>548</xdr:row>
      <xdr:rowOff>154433</xdr:rowOff>
    </xdr:to>
    <xdr:pic>
      <xdr:nvPicPr>
        <xdr:cNvPr id="17" name="Picture 16">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58325" y="83581875"/>
          <a:ext cx="1152146" cy="503683"/>
        </a:xfrm>
        <a:prstGeom prst="rect">
          <a:avLst/>
        </a:prstGeom>
      </xdr:spPr>
    </xdr:pic>
    <xdr:clientData/>
  </xdr:twoCellAnchor>
  <xdr:twoCellAnchor editAs="oneCell">
    <xdr:from>
      <xdr:col>27</xdr:col>
      <xdr:colOff>142875</xdr:colOff>
      <xdr:row>582</xdr:row>
      <xdr:rowOff>127981</xdr:rowOff>
    </xdr:from>
    <xdr:to>
      <xdr:col>28</xdr:col>
      <xdr:colOff>552450</xdr:colOff>
      <xdr:row>584</xdr:row>
      <xdr:rowOff>56008</xdr:rowOff>
    </xdr:to>
    <xdr:pic>
      <xdr:nvPicPr>
        <xdr:cNvPr id="18" name="Picture 17">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80175" y="102832881"/>
          <a:ext cx="1019175" cy="436027"/>
        </a:xfrm>
        <a:prstGeom prst="rect">
          <a:avLst/>
        </a:prstGeom>
      </xdr:spPr>
    </xdr:pic>
    <xdr:clientData/>
  </xdr:twoCellAnchor>
  <xdr:twoCellAnchor editAs="oneCell">
    <xdr:from>
      <xdr:col>33</xdr:col>
      <xdr:colOff>142875</xdr:colOff>
      <xdr:row>319</xdr:row>
      <xdr:rowOff>19050</xdr:rowOff>
    </xdr:from>
    <xdr:to>
      <xdr:col>35</xdr:col>
      <xdr:colOff>75821</xdr:colOff>
      <xdr:row>320</xdr:row>
      <xdr:rowOff>275083</xdr:rowOff>
    </xdr:to>
    <xdr:pic>
      <xdr:nvPicPr>
        <xdr:cNvPr id="19" name="Picture 18">
          <a:hlinkClick xmlns:r="http://schemas.openxmlformats.org/officeDocument/2006/relationships" r:id="rId3"/>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29825" y="62522100"/>
          <a:ext cx="1152146" cy="503683"/>
        </a:xfrm>
        <a:prstGeom prst="rect">
          <a:avLst/>
        </a:prstGeom>
      </xdr:spPr>
    </xdr:pic>
    <xdr:clientData/>
  </xdr:twoCellAnchor>
  <xdr:twoCellAnchor editAs="oneCell">
    <xdr:from>
      <xdr:col>10</xdr:col>
      <xdr:colOff>85724</xdr:colOff>
      <xdr:row>12</xdr:row>
      <xdr:rowOff>28574</xdr:rowOff>
    </xdr:from>
    <xdr:to>
      <xdr:col>15</xdr:col>
      <xdr:colOff>247899</xdr:colOff>
      <xdr:row>21</xdr:row>
      <xdr:rowOff>123825</xdr:rowOff>
    </xdr:to>
    <xdr:pic>
      <xdr:nvPicPr>
        <xdr:cNvPr id="8" name="Picture 7"/>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419349" y="2600324"/>
          <a:ext cx="1381375" cy="17240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590550</xdr:colOff>
          <xdr:row>3</xdr:row>
          <xdr:rowOff>123825</xdr:rowOff>
        </xdr:from>
        <xdr:to>
          <xdr:col>29</xdr:col>
          <xdr:colOff>295275</xdr:colOff>
          <xdr:row>6</xdr:row>
          <xdr:rowOff>9525</xdr:rowOff>
        </xdr:to>
        <xdr:sp macro="" textlink="">
          <xdr:nvSpPr>
            <xdr:cNvPr id="35842" name="SpinButton1" hidden="1">
              <a:extLst>
                <a:ext uri="{63B3BB69-23CF-44E3-9099-C40C66FF867C}">
                  <a14:compatExt spid="_x0000_s3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241177</xdr:colOff>
      <xdr:row>1</xdr:row>
      <xdr:rowOff>95250</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
          <a:ext cx="679327" cy="285749"/>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450351</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31326" cy="265558"/>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15</xdr:col>
      <xdr:colOff>346273</xdr:colOff>
      <xdr:row>0</xdr:row>
      <xdr:rowOff>84080</xdr:rowOff>
    </xdr:from>
    <xdr:to>
      <xdr:col>16</xdr:col>
      <xdr:colOff>495300</xdr:colOff>
      <xdr:row>1</xdr:row>
      <xdr:rowOff>104775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56698" y="84080"/>
          <a:ext cx="530027" cy="220720"/>
        </a:xfrm>
        <a:prstGeom prst="rect">
          <a:avLst/>
        </a:prstGeom>
      </xdr:spPr>
    </xdr:pic>
    <xdr:clientData/>
  </xdr:twoCellAnchor>
  <xdr:twoCellAnchor editAs="oneCell">
    <xdr:from>
      <xdr:col>4</xdr:col>
      <xdr:colOff>127198</xdr:colOff>
      <xdr:row>0</xdr:row>
      <xdr:rowOff>28575</xdr:rowOff>
    </xdr:from>
    <xdr:to>
      <xdr:col>6</xdr:col>
      <xdr:colOff>219076</xdr:colOff>
      <xdr:row>1</xdr:row>
      <xdr:rowOff>171450</xdr:rowOff>
    </xdr:to>
    <xdr:pic>
      <xdr:nvPicPr>
        <xdr:cNvPr id="8" name="Picture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289498" y="28575"/>
          <a:ext cx="777678" cy="342900"/>
        </a:xfrm>
        <a:prstGeom prst="rect">
          <a:avLst/>
        </a:prstGeom>
      </xdr:spPr>
    </xdr:pic>
    <xdr:clientData/>
  </xdr:twoCellAnchor>
  <xdr:twoCellAnchor editAs="oneCell">
    <xdr:from>
      <xdr:col>6</xdr:col>
      <xdr:colOff>279598</xdr:colOff>
      <xdr:row>0</xdr:row>
      <xdr:rowOff>28575</xdr:rowOff>
    </xdr:from>
    <xdr:to>
      <xdr:col>9</xdr:col>
      <xdr:colOff>1</xdr:colOff>
      <xdr:row>1</xdr:row>
      <xdr:rowOff>173091</xdr:rowOff>
    </xdr:to>
    <xdr:pic>
      <xdr:nvPicPr>
        <xdr:cNvPr id="9" name="Picture 8">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27698" y="28575"/>
          <a:ext cx="777678" cy="344541"/>
        </a:xfrm>
        <a:prstGeom prst="rect">
          <a:avLst/>
        </a:prstGeom>
      </xdr:spPr>
    </xdr:pic>
    <xdr:clientData/>
  </xdr:twoCellAnchor>
  <xdr:twoCellAnchor editAs="oneCell">
    <xdr:from>
      <xdr:col>9</xdr:col>
      <xdr:colOff>70048</xdr:colOff>
      <xdr:row>0</xdr:row>
      <xdr:rowOff>28575</xdr:rowOff>
    </xdr:from>
    <xdr:to>
      <xdr:col>11</xdr:col>
      <xdr:colOff>47626</xdr:colOff>
      <xdr:row>1</xdr:row>
      <xdr:rowOff>173091</xdr:rowOff>
    </xdr:to>
    <xdr:pic>
      <xdr:nvPicPr>
        <xdr:cNvPr id="10" name="Picture 9">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975423" y="28575"/>
          <a:ext cx="777678" cy="344541"/>
        </a:xfrm>
        <a:prstGeom prst="rect">
          <a:avLst/>
        </a:prstGeom>
      </xdr:spPr>
    </xdr:pic>
    <xdr:clientData/>
  </xdr:twoCellAnchor>
  <xdr:twoCellAnchor editAs="oneCell">
    <xdr:from>
      <xdr:col>11</xdr:col>
      <xdr:colOff>85726</xdr:colOff>
      <xdr:row>0</xdr:row>
      <xdr:rowOff>40127</xdr:rowOff>
    </xdr:from>
    <xdr:to>
      <xdr:col>12</xdr:col>
      <xdr:colOff>462152</xdr:colOff>
      <xdr:row>1</xdr:row>
      <xdr:rowOff>171450</xdr:rowOff>
    </xdr:to>
    <xdr:pic>
      <xdr:nvPicPr>
        <xdr:cNvPr id="3" name="Picture 2">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86451" y="40127"/>
          <a:ext cx="747901" cy="331348"/>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15</xdr:col>
      <xdr:colOff>95250</xdr:colOff>
      <xdr:row>0</xdr:row>
      <xdr:rowOff>93605</xdr:rowOff>
    </xdr:from>
    <xdr:to>
      <xdr:col>15</xdr:col>
      <xdr:colOff>625277</xdr:colOff>
      <xdr:row>1</xdr:row>
      <xdr:rowOff>114300</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0500" y="93605"/>
          <a:ext cx="530027" cy="220720"/>
        </a:xfrm>
        <a:prstGeom prst="rect">
          <a:avLst/>
        </a:prstGeom>
      </xdr:spPr>
    </xdr:pic>
    <xdr:clientData/>
  </xdr:twoCellAnchor>
  <xdr:twoCellAnchor editAs="oneCell">
    <xdr:from>
      <xdr:col>6</xdr:col>
      <xdr:colOff>161925</xdr:colOff>
      <xdr:row>0</xdr:row>
      <xdr:rowOff>28575</xdr:rowOff>
    </xdr:from>
    <xdr:to>
      <xdr:col>8</xdr:col>
      <xdr:colOff>196653</xdr:colOff>
      <xdr:row>1</xdr:row>
      <xdr:rowOff>171450</xdr:rowOff>
    </xdr:to>
    <xdr:pic>
      <xdr:nvPicPr>
        <xdr:cNvPr id="12" name="Picture 11">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448175" y="28575"/>
          <a:ext cx="777678" cy="342900"/>
        </a:xfrm>
        <a:prstGeom prst="rect">
          <a:avLst/>
        </a:prstGeom>
      </xdr:spPr>
    </xdr:pic>
    <xdr:clientData/>
  </xdr:twoCellAnchor>
  <xdr:twoCellAnchor editAs="oneCell">
    <xdr:from>
      <xdr:col>8</xdr:col>
      <xdr:colOff>257175</xdr:colOff>
      <xdr:row>0</xdr:row>
      <xdr:rowOff>28575</xdr:rowOff>
    </xdr:from>
    <xdr:to>
      <xdr:col>10</xdr:col>
      <xdr:colOff>234753</xdr:colOff>
      <xdr:row>1</xdr:row>
      <xdr:rowOff>173091</xdr:rowOff>
    </xdr:to>
    <xdr:pic>
      <xdr:nvPicPr>
        <xdr:cNvPr id="13" name="Picture 12">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286375" y="28575"/>
          <a:ext cx="777678" cy="344541"/>
        </a:xfrm>
        <a:prstGeom prst="rect">
          <a:avLst/>
        </a:prstGeom>
      </xdr:spPr>
    </xdr:pic>
    <xdr:clientData/>
  </xdr:twoCellAnchor>
  <xdr:twoCellAnchor editAs="oneCell">
    <xdr:from>
      <xdr:col>10</xdr:col>
      <xdr:colOff>304800</xdr:colOff>
      <xdr:row>0</xdr:row>
      <xdr:rowOff>28575</xdr:rowOff>
    </xdr:from>
    <xdr:to>
      <xdr:col>12</xdr:col>
      <xdr:colOff>339528</xdr:colOff>
      <xdr:row>1</xdr:row>
      <xdr:rowOff>173091</xdr:rowOff>
    </xdr:to>
    <xdr:pic>
      <xdr:nvPicPr>
        <xdr:cNvPr id="14" name="Picture 13">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34100" y="28575"/>
          <a:ext cx="777678" cy="344541"/>
        </a:xfrm>
        <a:prstGeom prst="rect">
          <a:avLst/>
        </a:prstGeom>
      </xdr:spPr>
    </xdr:pic>
    <xdr:clientData/>
  </xdr:twoCellAnchor>
  <xdr:twoCellAnchor editAs="oneCell">
    <xdr:from>
      <xdr:col>12</xdr:col>
      <xdr:colOff>377628</xdr:colOff>
      <xdr:row>0</xdr:row>
      <xdr:rowOff>40127</xdr:rowOff>
    </xdr:from>
    <xdr:to>
      <xdr:col>14</xdr:col>
      <xdr:colOff>363529</xdr:colOff>
      <xdr:row>1</xdr:row>
      <xdr:rowOff>171450</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949878" y="40127"/>
          <a:ext cx="747901" cy="331348"/>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15</xdr:col>
      <xdr:colOff>146248</xdr:colOff>
      <xdr:row>0</xdr:row>
      <xdr:rowOff>103130</xdr:rowOff>
    </xdr:from>
    <xdr:to>
      <xdr:col>16</xdr:col>
      <xdr:colOff>295275</xdr:colOff>
      <xdr:row>1</xdr:row>
      <xdr:rowOff>123825</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61448" y="103130"/>
          <a:ext cx="530027" cy="220720"/>
        </a:xfrm>
        <a:prstGeom prst="rect">
          <a:avLst/>
        </a:prstGeom>
      </xdr:spPr>
    </xdr:pic>
    <xdr:clientData/>
  </xdr:twoCellAnchor>
  <xdr:twoCellAnchor editAs="oneCell">
    <xdr:from>
      <xdr:col>6</xdr:col>
      <xdr:colOff>161925</xdr:colOff>
      <xdr:row>0</xdr:row>
      <xdr:rowOff>19050</xdr:rowOff>
    </xdr:from>
    <xdr:to>
      <xdr:col>8</xdr:col>
      <xdr:colOff>253803</xdr:colOff>
      <xdr:row>1</xdr:row>
      <xdr:rowOff>161925</xdr:rowOff>
    </xdr:to>
    <xdr:pic>
      <xdr:nvPicPr>
        <xdr:cNvPr id="8" name="Picture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086225" y="19050"/>
          <a:ext cx="777678" cy="342900"/>
        </a:xfrm>
        <a:prstGeom prst="rect">
          <a:avLst/>
        </a:prstGeom>
      </xdr:spPr>
    </xdr:pic>
    <xdr:clientData/>
  </xdr:twoCellAnchor>
  <xdr:twoCellAnchor editAs="oneCell">
    <xdr:from>
      <xdr:col>8</xdr:col>
      <xdr:colOff>314325</xdr:colOff>
      <xdr:row>0</xdr:row>
      <xdr:rowOff>19050</xdr:rowOff>
    </xdr:from>
    <xdr:to>
      <xdr:col>10</xdr:col>
      <xdr:colOff>320478</xdr:colOff>
      <xdr:row>1</xdr:row>
      <xdr:rowOff>163566</xdr:rowOff>
    </xdr:to>
    <xdr:pic>
      <xdr:nvPicPr>
        <xdr:cNvPr id="9" name="Picture 8">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924425" y="19050"/>
          <a:ext cx="777678" cy="344541"/>
        </a:xfrm>
        <a:prstGeom prst="rect">
          <a:avLst/>
        </a:prstGeom>
      </xdr:spPr>
    </xdr:pic>
    <xdr:clientData/>
  </xdr:twoCellAnchor>
  <xdr:twoCellAnchor editAs="oneCell">
    <xdr:from>
      <xdr:col>10</xdr:col>
      <xdr:colOff>390525</xdr:colOff>
      <xdr:row>0</xdr:row>
      <xdr:rowOff>19050</xdr:rowOff>
    </xdr:from>
    <xdr:to>
      <xdr:col>12</xdr:col>
      <xdr:colOff>368103</xdr:colOff>
      <xdr:row>1</xdr:row>
      <xdr:rowOff>163566</xdr:rowOff>
    </xdr:to>
    <xdr:pic>
      <xdr:nvPicPr>
        <xdr:cNvPr id="10" name="Picture 9">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772150" y="19050"/>
          <a:ext cx="777678" cy="344541"/>
        </a:xfrm>
        <a:prstGeom prst="rect">
          <a:avLst/>
        </a:prstGeom>
      </xdr:spPr>
    </xdr:pic>
    <xdr:clientData/>
  </xdr:twoCellAnchor>
  <xdr:twoCellAnchor editAs="oneCell">
    <xdr:from>
      <xdr:col>13</xdr:col>
      <xdr:colOff>34728</xdr:colOff>
      <xdr:row>0</xdr:row>
      <xdr:rowOff>30602</xdr:rowOff>
    </xdr:from>
    <xdr:to>
      <xdr:col>15</xdr:col>
      <xdr:colOff>20629</xdr:colOff>
      <xdr:row>1</xdr:row>
      <xdr:rowOff>161925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587928" y="30602"/>
          <a:ext cx="747901" cy="331348"/>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295275</xdr:colOff>
      <xdr:row>0</xdr:row>
      <xdr:rowOff>57150</xdr:rowOff>
    </xdr:from>
    <xdr:to>
      <xdr:col>8</xdr:col>
      <xdr:colOff>72828</xdr:colOff>
      <xdr:row>1</xdr:row>
      <xdr:rowOff>200025</xdr:rowOff>
    </xdr:to>
    <xdr:pic>
      <xdr:nvPicPr>
        <xdr:cNvPr id="8" name="Picture 7">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95725" y="57150"/>
          <a:ext cx="777678" cy="342900"/>
        </a:xfrm>
        <a:prstGeom prst="rect">
          <a:avLst/>
        </a:prstGeom>
      </xdr:spPr>
    </xdr:pic>
    <xdr:clientData/>
  </xdr:twoCellAnchor>
  <xdr:twoCellAnchor editAs="oneCell">
    <xdr:from>
      <xdr:col>8</xdr:col>
      <xdr:colOff>133350</xdr:colOff>
      <xdr:row>0</xdr:row>
      <xdr:rowOff>57150</xdr:rowOff>
    </xdr:from>
    <xdr:to>
      <xdr:col>10</xdr:col>
      <xdr:colOff>139503</xdr:colOff>
      <xdr:row>1</xdr:row>
      <xdr:rowOff>201666</xdr:rowOff>
    </xdr:to>
    <xdr:pic>
      <xdr:nvPicPr>
        <xdr:cNvPr id="9" name="Picture 8">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33925" y="57150"/>
          <a:ext cx="777678" cy="344541"/>
        </a:xfrm>
        <a:prstGeom prst="rect">
          <a:avLst/>
        </a:prstGeom>
      </xdr:spPr>
    </xdr:pic>
    <xdr:clientData/>
  </xdr:twoCellAnchor>
  <xdr:twoCellAnchor editAs="oneCell">
    <xdr:from>
      <xdr:col>10</xdr:col>
      <xdr:colOff>209550</xdr:colOff>
      <xdr:row>0</xdr:row>
      <xdr:rowOff>57150</xdr:rowOff>
    </xdr:from>
    <xdr:to>
      <xdr:col>12</xdr:col>
      <xdr:colOff>215703</xdr:colOff>
      <xdr:row>1</xdr:row>
      <xdr:rowOff>201666</xdr:rowOff>
    </xdr:to>
    <xdr:pic>
      <xdr:nvPicPr>
        <xdr:cNvPr id="10" name="Picture 9">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81650" y="57150"/>
          <a:ext cx="777678" cy="344541"/>
        </a:xfrm>
        <a:prstGeom prst="rect">
          <a:avLst/>
        </a:prstGeom>
      </xdr:spPr>
    </xdr:pic>
    <xdr:clientData/>
  </xdr:twoCellAnchor>
  <xdr:twoCellAnchor editAs="oneCell">
    <xdr:from>
      <xdr:col>12</xdr:col>
      <xdr:colOff>253803</xdr:colOff>
      <xdr:row>0</xdr:row>
      <xdr:rowOff>68702</xdr:rowOff>
    </xdr:from>
    <xdr:to>
      <xdr:col>14</xdr:col>
      <xdr:colOff>239704</xdr:colOff>
      <xdr:row>1</xdr:row>
      <xdr:rowOff>200025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97428" y="68702"/>
          <a:ext cx="747901" cy="3313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360704</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31326" cy="265558"/>
        </a:xfrm>
        <a:prstGeom prst="rect">
          <a:avLst/>
        </a:prstGeom>
      </xdr:spPr>
    </xdr:pic>
    <xdr:clientData/>
  </xdr:twoCellAnchor>
  <xdr:twoCellAnchor>
    <xdr:from>
      <xdr:col>2</xdr:col>
      <xdr:colOff>76391</xdr:colOff>
      <xdr:row>0</xdr:row>
      <xdr:rowOff>42333</xdr:rowOff>
    </xdr:from>
    <xdr:to>
      <xdr:col>4</xdr:col>
      <xdr:colOff>243671</xdr:colOff>
      <xdr:row>0</xdr:row>
      <xdr:rowOff>385233</xdr:rowOff>
    </xdr:to>
    <xdr:pic>
      <xdr:nvPicPr>
        <xdr:cNvPr id="9" name="Picture 8">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65641" y="42333"/>
          <a:ext cx="823447" cy="342900"/>
        </a:xfrm>
        <a:prstGeom prst="rect">
          <a:avLst/>
        </a:prstGeom>
      </xdr:spPr>
    </xdr:pic>
    <xdr:clientData/>
  </xdr:twoCellAnchor>
  <xdr:twoCellAnchor>
    <xdr:from>
      <xdr:col>4</xdr:col>
      <xdr:colOff>286125</xdr:colOff>
      <xdr:row>0</xdr:row>
      <xdr:rowOff>42333</xdr:rowOff>
    </xdr:from>
    <xdr:to>
      <xdr:col>7</xdr:col>
      <xdr:colOff>156417</xdr:colOff>
      <xdr:row>0</xdr:row>
      <xdr:rowOff>386874</xdr:rowOff>
    </xdr:to>
    <xdr:pic>
      <xdr:nvPicPr>
        <xdr:cNvPr id="10" name="Picture 9">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31542" y="42333"/>
          <a:ext cx="822792" cy="344541"/>
        </a:xfrm>
        <a:prstGeom prst="rect">
          <a:avLst/>
        </a:prstGeom>
      </xdr:spPr>
    </xdr:pic>
    <xdr:clientData/>
  </xdr:twoCellAnchor>
  <xdr:twoCellAnchor>
    <xdr:from>
      <xdr:col>7</xdr:col>
      <xdr:colOff>233582</xdr:colOff>
      <xdr:row>0</xdr:row>
      <xdr:rowOff>42333</xdr:rowOff>
    </xdr:from>
    <xdr:to>
      <xdr:col>10</xdr:col>
      <xdr:colOff>95358</xdr:colOff>
      <xdr:row>0</xdr:row>
      <xdr:rowOff>386874</xdr:rowOff>
    </xdr:to>
    <xdr:pic>
      <xdr:nvPicPr>
        <xdr:cNvPr id="11" name="Picture 10">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731499" y="42333"/>
          <a:ext cx="814276" cy="344541"/>
        </a:xfrm>
        <a:prstGeom prst="rect">
          <a:avLst/>
        </a:prstGeom>
      </xdr:spPr>
    </xdr:pic>
    <xdr:clientData/>
  </xdr:twoCellAnchor>
  <xdr:twoCellAnchor editAs="oneCell">
    <xdr:from>
      <xdr:col>10</xdr:col>
      <xdr:colOff>158750</xdr:colOff>
      <xdr:row>0</xdr:row>
      <xdr:rowOff>52917</xdr:rowOff>
    </xdr:from>
    <xdr:to>
      <xdr:col>12</xdr:col>
      <xdr:colOff>185058</xdr:colOff>
      <xdr:row>0</xdr:row>
      <xdr:rowOff>402167</xdr:rowOff>
    </xdr:to>
    <xdr:pic>
      <xdr:nvPicPr>
        <xdr:cNvPr id="3" name="Picture 2">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609167" y="52917"/>
          <a:ext cx="788308" cy="3492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360704</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27404" cy="265558"/>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360704</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27404" cy="265558"/>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360704</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27404" cy="265558"/>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66675</xdr:colOff>
      <xdr:row>0</xdr:row>
      <xdr:rowOff>72837</xdr:rowOff>
    </xdr:from>
    <xdr:to>
      <xdr:col>1</xdr:col>
      <xdr:colOff>404799</xdr:colOff>
      <xdr:row>0</xdr:row>
      <xdr:rowOff>414616</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72837"/>
          <a:ext cx="698953" cy="341779"/>
        </a:xfrm>
        <a:prstGeom prst="rect">
          <a:avLst/>
        </a:prstGeom>
      </xdr:spPr>
    </xdr:pic>
    <xdr:clientData/>
  </xdr:twoCellAnchor>
  <xdr:twoCellAnchor editAs="oneCell">
    <xdr:from>
      <xdr:col>10</xdr:col>
      <xdr:colOff>141755</xdr:colOff>
      <xdr:row>0</xdr:row>
      <xdr:rowOff>67236</xdr:rowOff>
    </xdr:from>
    <xdr:to>
      <xdr:col>11</xdr:col>
      <xdr:colOff>538433</xdr:colOff>
      <xdr:row>0</xdr:row>
      <xdr:rowOff>410136</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52373" y="67236"/>
          <a:ext cx="777678" cy="342900"/>
        </a:xfrm>
        <a:prstGeom prst="rect">
          <a:avLst/>
        </a:prstGeom>
      </xdr:spPr>
    </xdr:pic>
    <xdr:clientData/>
  </xdr:twoCellAnchor>
  <xdr:twoCellAnchor editAs="oneCell">
    <xdr:from>
      <xdr:col>11</xdr:col>
      <xdr:colOff>598955</xdr:colOff>
      <xdr:row>0</xdr:row>
      <xdr:rowOff>67236</xdr:rowOff>
    </xdr:from>
    <xdr:to>
      <xdr:col>13</xdr:col>
      <xdr:colOff>222427</xdr:colOff>
      <xdr:row>0</xdr:row>
      <xdr:rowOff>411777</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90573" y="67236"/>
          <a:ext cx="777678" cy="344541"/>
        </a:xfrm>
        <a:prstGeom prst="rect">
          <a:avLst/>
        </a:prstGeom>
      </xdr:spPr>
    </xdr:pic>
    <xdr:clientData/>
  </xdr:twoCellAnchor>
  <xdr:twoCellAnchor editAs="oneCell">
    <xdr:from>
      <xdr:col>13</xdr:col>
      <xdr:colOff>292474</xdr:colOff>
      <xdr:row>0</xdr:row>
      <xdr:rowOff>67236</xdr:rowOff>
    </xdr:from>
    <xdr:to>
      <xdr:col>14</xdr:col>
      <xdr:colOff>498652</xdr:colOff>
      <xdr:row>0</xdr:row>
      <xdr:rowOff>411777</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338298" y="67236"/>
          <a:ext cx="777678" cy="344541"/>
        </a:xfrm>
        <a:prstGeom prst="rect">
          <a:avLst/>
        </a:prstGeom>
      </xdr:spPr>
    </xdr:pic>
    <xdr:clientData/>
  </xdr:twoCellAnchor>
  <xdr:twoCellAnchor editAs="oneCell">
    <xdr:from>
      <xdr:col>15</xdr:col>
      <xdr:colOff>67237</xdr:colOff>
      <xdr:row>0</xdr:row>
      <xdr:rowOff>72127</xdr:rowOff>
    </xdr:from>
    <xdr:to>
      <xdr:col>15</xdr:col>
      <xdr:colOff>818031</xdr:colOff>
      <xdr:row>0</xdr:row>
      <xdr:rowOff>404757</xdr:rowOff>
    </xdr:to>
    <xdr:pic>
      <xdr:nvPicPr>
        <xdr:cNvPr id="7" name="Picture 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88825" y="72127"/>
          <a:ext cx="750794" cy="33263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66675</xdr:colOff>
      <xdr:row>0</xdr:row>
      <xdr:rowOff>72837</xdr:rowOff>
    </xdr:from>
    <xdr:to>
      <xdr:col>1</xdr:col>
      <xdr:colOff>404799</xdr:colOff>
      <xdr:row>0</xdr:row>
      <xdr:rowOff>371475</xdr:rowOff>
    </xdr:to>
    <xdr:pic macro="[0]!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72837"/>
          <a:ext cx="700074" cy="298638"/>
        </a:xfrm>
        <a:prstGeom prst="rect">
          <a:avLst/>
        </a:prstGeom>
      </xdr:spPr>
    </xdr:pic>
    <xdr:clientData/>
  </xdr:twoCellAnchor>
  <xdr:twoCellAnchor editAs="oneCell">
    <xdr:from>
      <xdr:col>10</xdr:col>
      <xdr:colOff>0</xdr:colOff>
      <xdr:row>0</xdr:row>
      <xdr:rowOff>0</xdr:rowOff>
    </xdr:from>
    <xdr:to>
      <xdr:col>11</xdr:col>
      <xdr:colOff>396678</xdr:colOff>
      <xdr:row>0</xdr:row>
      <xdr:rowOff>342900</xdr:rowOff>
    </xdr:to>
    <xdr:pic>
      <xdr:nvPicPr>
        <xdr:cNvPr id="16" name="Picture 15">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00" y="0"/>
          <a:ext cx="777678" cy="342900"/>
        </a:xfrm>
        <a:prstGeom prst="rect">
          <a:avLst/>
        </a:prstGeom>
      </xdr:spPr>
    </xdr:pic>
    <xdr:clientData/>
  </xdr:twoCellAnchor>
  <xdr:twoCellAnchor editAs="oneCell">
    <xdr:from>
      <xdr:col>11</xdr:col>
      <xdr:colOff>457200</xdr:colOff>
      <xdr:row>0</xdr:row>
      <xdr:rowOff>0</xdr:rowOff>
    </xdr:from>
    <xdr:to>
      <xdr:col>13</xdr:col>
      <xdr:colOff>82353</xdr:colOff>
      <xdr:row>0</xdr:row>
      <xdr:rowOff>344541</xdr:rowOff>
    </xdr:to>
    <xdr:pic>
      <xdr:nvPicPr>
        <xdr:cNvPr id="17" name="Picture 16">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353300" y="0"/>
          <a:ext cx="777678" cy="344541"/>
        </a:xfrm>
        <a:prstGeom prst="rect">
          <a:avLst/>
        </a:prstGeom>
      </xdr:spPr>
    </xdr:pic>
    <xdr:clientData/>
  </xdr:twoCellAnchor>
  <xdr:twoCellAnchor editAs="oneCell">
    <xdr:from>
      <xdr:col>13</xdr:col>
      <xdr:colOff>152400</xdr:colOff>
      <xdr:row>0</xdr:row>
      <xdr:rowOff>0</xdr:rowOff>
    </xdr:from>
    <xdr:to>
      <xdr:col>14</xdr:col>
      <xdr:colOff>358578</xdr:colOff>
      <xdr:row>0</xdr:row>
      <xdr:rowOff>344541</xdr:rowOff>
    </xdr:to>
    <xdr:pic>
      <xdr:nvPicPr>
        <xdr:cNvPr id="18" name="Picture 17">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01025" y="0"/>
          <a:ext cx="777678" cy="344541"/>
        </a:xfrm>
        <a:prstGeom prst="rect">
          <a:avLst/>
        </a:prstGeom>
      </xdr:spPr>
    </xdr:pic>
    <xdr:clientData/>
  </xdr:twoCellAnchor>
  <xdr:twoCellAnchor editAs="oneCell">
    <xdr:from>
      <xdr:col>14</xdr:col>
      <xdr:colOff>431427</xdr:colOff>
      <xdr:row>0</xdr:row>
      <xdr:rowOff>4891</xdr:rowOff>
    </xdr:from>
    <xdr:to>
      <xdr:col>15</xdr:col>
      <xdr:colOff>677396</xdr:colOff>
      <xdr:row>0</xdr:row>
      <xdr:rowOff>337521</xdr:rowOff>
    </xdr:to>
    <xdr:pic>
      <xdr:nvPicPr>
        <xdr:cNvPr id="19" name="Picture 18">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51552" y="4891"/>
          <a:ext cx="750794" cy="33263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66675</xdr:colOff>
      <xdr:row>0</xdr:row>
      <xdr:rowOff>72837</xdr:rowOff>
    </xdr:from>
    <xdr:to>
      <xdr:col>1</xdr:col>
      <xdr:colOff>404799</xdr:colOff>
      <xdr:row>0</xdr:row>
      <xdr:rowOff>409575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72837"/>
          <a:ext cx="700074" cy="336738"/>
        </a:xfrm>
        <a:prstGeom prst="rect">
          <a:avLst/>
        </a:prstGeom>
      </xdr:spPr>
    </xdr:pic>
    <xdr:clientData/>
  </xdr:twoCellAnchor>
  <xdr:twoCellAnchor editAs="oneCell">
    <xdr:from>
      <xdr:col>10</xdr:col>
      <xdr:colOff>95250</xdr:colOff>
      <xdr:row>0</xdr:row>
      <xdr:rowOff>47625</xdr:rowOff>
    </xdr:from>
    <xdr:to>
      <xdr:col>11</xdr:col>
      <xdr:colOff>491928</xdr:colOff>
      <xdr:row>0</xdr:row>
      <xdr:rowOff>390525</xdr:rowOff>
    </xdr:to>
    <xdr:pic>
      <xdr:nvPicPr>
        <xdr:cNvPr id="17" name="Picture 1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10350" y="47625"/>
          <a:ext cx="777678" cy="342900"/>
        </a:xfrm>
        <a:prstGeom prst="rect">
          <a:avLst/>
        </a:prstGeom>
      </xdr:spPr>
    </xdr:pic>
    <xdr:clientData/>
  </xdr:twoCellAnchor>
  <xdr:twoCellAnchor editAs="oneCell">
    <xdr:from>
      <xdr:col>11</xdr:col>
      <xdr:colOff>552450</xdr:colOff>
      <xdr:row>0</xdr:row>
      <xdr:rowOff>47625</xdr:rowOff>
    </xdr:from>
    <xdr:to>
      <xdr:col>13</xdr:col>
      <xdr:colOff>177603</xdr:colOff>
      <xdr:row>0</xdr:row>
      <xdr:rowOff>392166</xdr:rowOff>
    </xdr:to>
    <xdr:pic>
      <xdr:nvPicPr>
        <xdr:cNvPr id="18" name="Picture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448550" y="47625"/>
          <a:ext cx="777678" cy="344541"/>
        </a:xfrm>
        <a:prstGeom prst="rect">
          <a:avLst/>
        </a:prstGeom>
      </xdr:spPr>
    </xdr:pic>
    <xdr:clientData/>
  </xdr:twoCellAnchor>
  <xdr:twoCellAnchor editAs="oneCell">
    <xdr:from>
      <xdr:col>13</xdr:col>
      <xdr:colOff>247650</xdr:colOff>
      <xdr:row>0</xdr:row>
      <xdr:rowOff>47625</xdr:rowOff>
    </xdr:from>
    <xdr:to>
      <xdr:col>14</xdr:col>
      <xdr:colOff>453828</xdr:colOff>
      <xdr:row>0</xdr:row>
      <xdr:rowOff>392166</xdr:rowOff>
    </xdr:to>
    <xdr:pic>
      <xdr:nvPicPr>
        <xdr:cNvPr id="19" name="Picture 1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296275" y="47625"/>
          <a:ext cx="777678" cy="344541"/>
        </a:xfrm>
        <a:prstGeom prst="rect">
          <a:avLst/>
        </a:prstGeom>
      </xdr:spPr>
    </xdr:pic>
    <xdr:clientData/>
  </xdr:twoCellAnchor>
  <xdr:twoCellAnchor editAs="oneCell">
    <xdr:from>
      <xdr:col>15</xdr:col>
      <xdr:colOff>21852</xdr:colOff>
      <xdr:row>0</xdr:row>
      <xdr:rowOff>52516</xdr:rowOff>
    </xdr:from>
    <xdr:to>
      <xdr:col>15</xdr:col>
      <xdr:colOff>772646</xdr:colOff>
      <xdr:row>0</xdr:row>
      <xdr:rowOff>385146</xdr:rowOff>
    </xdr:to>
    <xdr:pic>
      <xdr:nvPicPr>
        <xdr:cNvPr id="20" name="Picture 1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46802" y="52516"/>
          <a:ext cx="750794" cy="332630"/>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66675</xdr:colOff>
      <xdr:row>0</xdr:row>
      <xdr:rowOff>72837</xdr:rowOff>
    </xdr:from>
    <xdr:to>
      <xdr:col>1</xdr:col>
      <xdr:colOff>404799</xdr:colOff>
      <xdr:row>0</xdr:row>
      <xdr:rowOff>400050</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72837"/>
          <a:ext cx="700074" cy="327213"/>
        </a:xfrm>
        <a:prstGeom prst="rect">
          <a:avLst/>
        </a:prstGeom>
      </xdr:spPr>
    </xdr:pic>
    <xdr:clientData/>
  </xdr:twoCellAnchor>
  <xdr:twoCellAnchor editAs="oneCell">
    <xdr:from>
      <xdr:col>8</xdr:col>
      <xdr:colOff>104775</xdr:colOff>
      <xdr:row>0</xdr:row>
      <xdr:rowOff>76200</xdr:rowOff>
    </xdr:from>
    <xdr:to>
      <xdr:col>10</xdr:col>
      <xdr:colOff>120453</xdr:colOff>
      <xdr:row>0</xdr:row>
      <xdr:rowOff>419100</xdr:rowOff>
    </xdr:to>
    <xdr:pic>
      <xdr:nvPicPr>
        <xdr:cNvPr id="16" name="Picture 15">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772150" y="76200"/>
          <a:ext cx="777678" cy="342900"/>
        </a:xfrm>
        <a:prstGeom prst="rect">
          <a:avLst/>
        </a:prstGeom>
      </xdr:spPr>
    </xdr:pic>
    <xdr:clientData/>
  </xdr:twoCellAnchor>
  <xdr:twoCellAnchor editAs="oneCell">
    <xdr:from>
      <xdr:col>10</xdr:col>
      <xdr:colOff>180975</xdr:colOff>
      <xdr:row>0</xdr:row>
      <xdr:rowOff>76200</xdr:rowOff>
    </xdr:from>
    <xdr:to>
      <xdr:col>11</xdr:col>
      <xdr:colOff>577653</xdr:colOff>
      <xdr:row>0</xdr:row>
      <xdr:rowOff>420741</xdr:rowOff>
    </xdr:to>
    <xdr:pic>
      <xdr:nvPicPr>
        <xdr:cNvPr id="17" name="Picture 16">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610350" y="76200"/>
          <a:ext cx="777678" cy="344541"/>
        </a:xfrm>
        <a:prstGeom prst="rect">
          <a:avLst/>
        </a:prstGeom>
      </xdr:spPr>
    </xdr:pic>
    <xdr:clientData/>
  </xdr:twoCellAnchor>
  <xdr:twoCellAnchor editAs="oneCell">
    <xdr:from>
      <xdr:col>11</xdr:col>
      <xdr:colOff>647700</xdr:colOff>
      <xdr:row>0</xdr:row>
      <xdr:rowOff>76200</xdr:rowOff>
    </xdr:from>
    <xdr:to>
      <xdr:col>14</xdr:col>
      <xdr:colOff>63303</xdr:colOff>
      <xdr:row>0</xdr:row>
      <xdr:rowOff>420741</xdr:rowOff>
    </xdr:to>
    <xdr:pic>
      <xdr:nvPicPr>
        <xdr:cNvPr id="18" name="Picture 17">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458075" y="76200"/>
          <a:ext cx="777678" cy="344541"/>
        </a:xfrm>
        <a:prstGeom prst="rect">
          <a:avLst/>
        </a:prstGeom>
      </xdr:spPr>
    </xdr:pic>
    <xdr:clientData/>
  </xdr:twoCellAnchor>
  <xdr:twoCellAnchor editAs="oneCell">
    <xdr:from>
      <xdr:col>14</xdr:col>
      <xdr:colOff>136152</xdr:colOff>
      <xdr:row>0</xdr:row>
      <xdr:rowOff>81091</xdr:rowOff>
    </xdr:from>
    <xdr:to>
      <xdr:col>15</xdr:col>
      <xdr:colOff>563096</xdr:colOff>
      <xdr:row>0</xdr:row>
      <xdr:rowOff>413721</xdr:rowOff>
    </xdr:to>
    <xdr:pic>
      <xdr:nvPicPr>
        <xdr:cNvPr id="19" name="Picture 18">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308602" y="81091"/>
          <a:ext cx="750794" cy="33263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6</xdr:col>
      <xdr:colOff>57150</xdr:colOff>
      <xdr:row>0</xdr:row>
      <xdr:rowOff>57414</xdr:rowOff>
    </xdr:from>
    <xdr:to>
      <xdr:col>8</xdr:col>
      <xdr:colOff>149028</xdr:colOff>
      <xdr:row>1</xdr:row>
      <xdr:rowOff>200289</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71925" y="57414"/>
          <a:ext cx="777678" cy="342900"/>
        </a:xfrm>
        <a:prstGeom prst="rect">
          <a:avLst/>
        </a:prstGeom>
      </xdr:spPr>
    </xdr:pic>
    <xdr:clientData/>
  </xdr:twoCellAnchor>
  <xdr:twoCellAnchor editAs="oneCell">
    <xdr:from>
      <xdr:col>8</xdr:col>
      <xdr:colOff>209550</xdr:colOff>
      <xdr:row>0</xdr:row>
      <xdr:rowOff>57414</xdr:rowOff>
    </xdr:from>
    <xdr:to>
      <xdr:col>10</xdr:col>
      <xdr:colOff>215703</xdr:colOff>
      <xdr:row>1</xdr:row>
      <xdr:rowOff>201930</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810125" y="57414"/>
          <a:ext cx="777678" cy="344541"/>
        </a:xfrm>
        <a:prstGeom prst="rect">
          <a:avLst/>
        </a:prstGeom>
      </xdr:spPr>
    </xdr:pic>
    <xdr:clientData/>
  </xdr:twoCellAnchor>
  <xdr:twoCellAnchor editAs="oneCell">
    <xdr:from>
      <xdr:col>10</xdr:col>
      <xdr:colOff>285750</xdr:colOff>
      <xdr:row>0</xdr:row>
      <xdr:rowOff>57414</xdr:rowOff>
    </xdr:from>
    <xdr:to>
      <xdr:col>12</xdr:col>
      <xdr:colOff>196653</xdr:colOff>
      <xdr:row>1</xdr:row>
      <xdr:rowOff>201930</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657850" y="57414"/>
          <a:ext cx="777678" cy="344541"/>
        </a:xfrm>
        <a:prstGeom prst="rect">
          <a:avLst/>
        </a:prstGeom>
      </xdr:spPr>
    </xdr:pic>
    <xdr:clientData/>
  </xdr:twoCellAnchor>
  <xdr:twoCellAnchor editAs="oneCell">
    <xdr:from>
      <xdr:col>12</xdr:col>
      <xdr:colOff>244604</xdr:colOff>
      <xdr:row>0</xdr:row>
      <xdr:rowOff>57150</xdr:rowOff>
    </xdr:from>
    <xdr:to>
      <xdr:col>14</xdr:col>
      <xdr:colOff>257175</xdr:colOff>
      <xdr:row>1</xdr:row>
      <xdr:rowOff>200289</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483479" y="57150"/>
          <a:ext cx="774571" cy="343164"/>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266700</xdr:colOff>
      <xdr:row>0</xdr:row>
      <xdr:rowOff>28839</xdr:rowOff>
    </xdr:from>
    <xdr:to>
      <xdr:col>8</xdr:col>
      <xdr:colOff>44253</xdr:colOff>
      <xdr:row>1</xdr:row>
      <xdr:rowOff>171714</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67150" y="28839"/>
          <a:ext cx="777678" cy="342900"/>
        </a:xfrm>
        <a:prstGeom prst="rect">
          <a:avLst/>
        </a:prstGeom>
      </xdr:spPr>
    </xdr:pic>
    <xdr:clientData/>
  </xdr:twoCellAnchor>
  <xdr:twoCellAnchor editAs="oneCell">
    <xdr:from>
      <xdr:col>8</xdr:col>
      <xdr:colOff>104775</xdr:colOff>
      <xdr:row>0</xdr:row>
      <xdr:rowOff>28839</xdr:rowOff>
    </xdr:from>
    <xdr:to>
      <xdr:col>10</xdr:col>
      <xdr:colOff>110928</xdr:colOff>
      <xdr:row>1</xdr:row>
      <xdr:rowOff>173355</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05350" y="28839"/>
          <a:ext cx="777678" cy="344541"/>
        </a:xfrm>
        <a:prstGeom prst="rect">
          <a:avLst/>
        </a:prstGeom>
      </xdr:spPr>
    </xdr:pic>
    <xdr:clientData/>
  </xdr:twoCellAnchor>
  <xdr:twoCellAnchor editAs="oneCell">
    <xdr:from>
      <xdr:col>10</xdr:col>
      <xdr:colOff>180975</xdr:colOff>
      <xdr:row>0</xdr:row>
      <xdr:rowOff>28839</xdr:rowOff>
    </xdr:from>
    <xdr:to>
      <xdr:col>12</xdr:col>
      <xdr:colOff>168078</xdr:colOff>
      <xdr:row>1</xdr:row>
      <xdr:rowOff>173355</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53075" y="28839"/>
          <a:ext cx="777678" cy="344541"/>
        </a:xfrm>
        <a:prstGeom prst="rect">
          <a:avLst/>
        </a:prstGeom>
      </xdr:spPr>
    </xdr:pic>
    <xdr:clientData/>
  </xdr:twoCellAnchor>
  <xdr:twoCellAnchor editAs="oneCell">
    <xdr:from>
      <xdr:col>12</xdr:col>
      <xdr:colOff>216029</xdr:colOff>
      <xdr:row>0</xdr:row>
      <xdr:rowOff>28575</xdr:rowOff>
    </xdr:from>
    <xdr:to>
      <xdr:col>14</xdr:col>
      <xdr:colOff>228600</xdr:colOff>
      <xdr:row>1</xdr:row>
      <xdr:rowOff>171714</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78704" y="28575"/>
          <a:ext cx="774571" cy="343164"/>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152400</xdr:colOff>
      <xdr:row>0</xdr:row>
      <xdr:rowOff>66939</xdr:rowOff>
    </xdr:from>
    <xdr:to>
      <xdr:col>7</xdr:col>
      <xdr:colOff>301428</xdr:colOff>
      <xdr:row>1</xdr:row>
      <xdr:rowOff>209814</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52850" y="66939"/>
          <a:ext cx="777678" cy="342900"/>
        </a:xfrm>
        <a:prstGeom prst="rect">
          <a:avLst/>
        </a:prstGeom>
      </xdr:spPr>
    </xdr:pic>
    <xdr:clientData/>
  </xdr:twoCellAnchor>
  <xdr:twoCellAnchor editAs="oneCell">
    <xdr:from>
      <xdr:col>7</xdr:col>
      <xdr:colOff>361950</xdr:colOff>
      <xdr:row>0</xdr:row>
      <xdr:rowOff>66939</xdr:rowOff>
    </xdr:from>
    <xdr:to>
      <xdr:col>9</xdr:col>
      <xdr:colOff>396678</xdr:colOff>
      <xdr:row>1</xdr:row>
      <xdr:rowOff>211455</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91050" y="66939"/>
          <a:ext cx="777678" cy="344541"/>
        </a:xfrm>
        <a:prstGeom prst="rect">
          <a:avLst/>
        </a:prstGeom>
      </xdr:spPr>
    </xdr:pic>
    <xdr:clientData/>
  </xdr:twoCellAnchor>
  <xdr:twoCellAnchor editAs="oneCell">
    <xdr:from>
      <xdr:col>10</xdr:col>
      <xdr:colOff>66675</xdr:colOff>
      <xdr:row>0</xdr:row>
      <xdr:rowOff>66939</xdr:rowOff>
    </xdr:from>
    <xdr:to>
      <xdr:col>12</xdr:col>
      <xdr:colOff>72828</xdr:colOff>
      <xdr:row>1</xdr:row>
      <xdr:rowOff>211455</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38775" y="66939"/>
          <a:ext cx="777678" cy="344541"/>
        </a:xfrm>
        <a:prstGeom prst="rect">
          <a:avLst/>
        </a:prstGeom>
      </xdr:spPr>
    </xdr:pic>
    <xdr:clientData/>
  </xdr:twoCellAnchor>
  <xdr:twoCellAnchor editAs="oneCell">
    <xdr:from>
      <xdr:col>12</xdr:col>
      <xdr:colOff>120779</xdr:colOff>
      <xdr:row>0</xdr:row>
      <xdr:rowOff>66675</xdr:rowOff>
    </xdr:from>
    <xdr:to>
      <xdr:col>14</xdr:col>
      <xdr:colOff>133350</xdr:colOff>
      <xdr:row>1</xdr:row>
      <xdr:rowOff>209814</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64404" y="66675"/>
          <a:ext cx="774571" cy="343164"/>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161925</xdr:colOff>
      <xdr:row>0</xdr:row>
      <xdr:rowOff>66675</xdr:rowOff>
    </xdr:from>
    <xdr:to>
      <xdr:col>7</xdr:col>
      <xdr:colOff>310953</xdr:colOff>
      <xdr:row>1</xdr:row>
      <xdr:rowOff>209550</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62375" y="66675"/>
          <a:ext cx="777678" cy="342900"/>
        </a:xfrm>
        <a:prstGeom prst="rect">
          <a:avLst/>
        </a:prstGeom>
      </xdr:spPr>
    </xdr:pic>
    <xdr:clientData/>
  </xdr:twoCellAnchor>
  <xdr:twoCellAnchor editAs="oneCell">
    <xdr:from>
      <xdr:col>8</xdr:col>
      <xdr:colOff>0</xdr:colOff>
      <xdr:row>0</xdr:row>
      <xdr:rowOff>66675</xdr:rowOff>
    </xdr:from>
    <xdr:to>
      <xdr:col>10</xdr:col>
      <xdr:colOff>6153</xdr:colOff>
      <xdr:row>1</xdr:row>
      <xdr:rowOff>211191</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00575" y="66675"/>
          <a:ext cx="777678" cy="344541"/>
        </a:xfrm>
        <a:prstGeom prst="rect">
          <a:avLst/>
        </a:prstGeom>
      </xdr:spPr>
    </xdr:pic>
    <xdr:clientData/>
  </xdr:twoCellAnchor>
  <xdr:twoCellAnchor editAs="oneCell">
    <xdr:from>
      <xdr:col>10</xdr:col>
      <xdr:colOff>76200</xdr:colOff>
      <xdr:row>0</xdr:row>
      <xdr:rowOff>66675</xdr:rowOff>
    </xdr:from>
    <xdr:to>
      <xdr:col>12</xdr:col>
      <xdr:colOff>82353</xdr:colOff>
      <xdr:row>1</xdr:row>
      <xdr:rowOff>211191</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48300" y="66675"/>
          <a:ext cx="777678" cy="344541"/>
        </a:xfrm>
        <a:prstGeom prst="rect">
          <a:avLst/>
        </a:prstGeom>
      </xdr:spPr>
    </xdr:pic>
    <xdr:clientData/>
  </xdr:twoCellAnchor>
  <xdr:twoCellAnchor editAs="oneCell">
    <xdr:from>
      <xdr:col>12</xdr:col>
      <xdr:colOff>130304</xdr:colOff>
      <xdr:row>0</xdr:row>
      <xdr:rowOff>66411</xdr:rowOff>
    </xdr:from>
    <xdr:to>
      <xdr:col>14</xdr:col>
      <xdr:colOff>142875</xdr:colOff>
      <xdr:row>1</xdr:row>
      <xdr:rowOff>209550</xdr:rowOff>
    </xdr:to>
    <xdr:pic>
      <xdr:nvPicPr>
        <xdr:cNvPr id="7" name="Picture 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73929" y="66411"/>
          <a:ext cx="774571" cy="343164"/>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161925</xdr:colOff>
      <xdr:row>0</xdr:row>
      <xdr:rowOff>53992</xdr:rowOff>
    </xdr:from>
    <xdr:to>
      <xdr:col>7</xdr:col>
      <xdr:colOff>310953</xdr:colOff>
      <xdr:row>1</xdr:row>
      <xdr:rowOff>196867</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62375" y="53992"/>
          <a:ext cx="777678" cy="342900"/>
        </a:xfrm>
        <a:prstGeom prst="rect">
          <a:avLst/>
        </a:prstGeom>
      </xdr:spPr>
    </xdr:pic>
    <xdr:clientData/>
  </xdr:twoCellAnchor>
  <xdr:twoCellAnchor editAs="oneCell">
    <xdr:from>
      <xdr:col>8</xdr:col>
      <xdr:colOff>0</xdr:colOff>
      <xdr:row>0</xdr:row>
      <xdr:rowOff>53992</xdr:rowOff>
    </xdr:from>
    <xdr:to>
      <xdr:col>10</xdr:col>
      <xdr:colOff>6153</xdr:colOff>
      <xdr:row>1</xdr:row>
      <xdr:rowOff>198508</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00575" y="53992"/>
          <a:ext cx="777678" cy="344541"/>
        </a:xfrm>
        <a:prstGeom prst="rect">
          <a:avLst/>
        </a:prstGeom>
      </xdr:spPr>
    </xdr:pic>
    <xdr:clientData/>
  </xdr:twoCellAnchor>
  <xdr:twoCellAnchor editAs="oneCell">
    <xdr:from>
      <xdr:col>10</xdr:col>
      <xdr:colOff>76200</xdr:colOff>
      <xdr:row>0</xdr:row>
      <xdr:rowOff>53992</xdr:rowOff>
    </xdr:from>
    <xdr:to>
      <xdr:col>12</xdr:col>
      <xdr:colOff>82353</xdr:colOff>
      <xdr:row>1</xdr:row>
      <xdr:rowOff>198508</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48300" y="53992"/>
          <a:ext cx="777678" cy="344541"/>
        </a:xfrm>
        <a:prstGeom prst="rect">
          <a:avLst/>
        </a:prstGeom>
      </xdr:spPr>
    </xdr:pic>
    <xdr:clientData/>
  </xdr:twoCellAnchor>
  <xdr:twoCellAnchor editAs="oneCell">
    <xdr:from>
      <xdr:col>12</xdr:col>
      <xdr:colOff>142876</xdr:colOff>
      <xdr:row>0</xdr:row>
      <xdr:rowOff>53992</xdr:rowOff>
    </xdr:from>
    <xdr:to>
      <xdr:col>14</xdr:col>
      <xdr:colOff>180975</xdr:colOff>
      <xdr:row>1</xdr:row>
      <xdr:rowOff>208441</xdr:rowOff>
    </xdr:to>
    <xdr:pic>
      <xdr:nvPicPr>
        <xdr:cNvPr id="7" name="Picture 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286501" y="53992"/>
          <a:ext cx="800099" cy="354474"/>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228600</xdr:colOff>
      <xdr:row>0</xdr:row>
      <xdr:rowOff>76200</xdr:rowOff>
    </xdr:from>
    <xdr:to>
      <xdr:col>7</xdr:col>
      <xdr:colOff>339528</xdr:colOff>
      <xdr:row>1</xdr:row>
      <xdr:rowOff>219075</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29050" y="76200"/>
          <a:ext cx="777678" cy="342900"/>
        </a:xfrm>
        <a:prstGeom prst="rect">
          <a:avLst/>
        </a:prstGeom>
      </xdr:spPr>
    </xdr:pic>
    <xdr:clientData/>
  </xdr:twoCellAnchor>
  <xdr:twoCellAnchor editAs="oneCell">
    <xdr:from>
      <xdr:col>8</xdr:col>
      <xdr:colOff>28575</xdr:colOff>
      <xdr:row>0</xdr:row>
      <xdr:rowOff>76200</xdr:rowOff>
    </xdr:from>
    <xdr:to>
      <xdr:col>10</xdr:col>
      <xdr:colOff>34728</xdr:colOff>
      <xdr:row>1</xdr:row>
      <xdr:rowOff>220716</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67250" y="76200"/>
          <a:ext cx="777678" cy="344541"/>
        </a:xfrm>
        <a:prstGeom prst="rect">
          <a:avLst/>
        </a:prstGeom>
      </xdr:spPr>
    </xdr:pic>
    <xdr:clientData/>
  </xdr:twoCellAnchor>
  <xdr:twoCellAnchor editAs="oneCell">
    <xdr:from>
      <xdr:col>10</xdr:col>
      <xdr:colOff>104775</xdr:colOff>
      <xdr:row>0</xdr:row>
      <xdr:rowOff>76200</xdr:rowOff>
    </xdr:from>
    <xdr:to>
      <xdr:col>12</xdr:col>
      <xdr:colOff>110928</xdr:colOff>
      <xdr:row>1</xdr:row>
      <xdr:rowOff>220716</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14975" y="76200"/>
          <a:ext cx="777678" cy="344541"/>
        </a:xfrm>
        <a:prstGeom prst="rect">
          <a:avLst/>
        </a:prstGeom>
      </xdr:spPr>
    </xdr:pic>
    <xdr:clientData/>
  </xdr:twoCellAnchor>
  <xdr:twoCellAnchor editAs="oneCell">
    <xdr:from>
      <xdr:col>12</xdr:col>
      <xdr:colOff>171451</xdr:colOff>
      <xdr:row>0</xdr:row>
      <xdr:rowOff>76200</xdr:rowOff>
    </xdr:from>
    <xdr:to>
      <xdr:col>14</xdr:col>
      <xdr:colOff>209550</xdr:colOff>
      <xdr:row>1</xdr:row>
      <xdr:rowOff>230649</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53176" y="76200"/>
          <a:ext cx="800099" cy="354474"/>
        </a:xfrm>
        <a:prstGeom prst="rect">
          <a:avLst/>
        </a:prstGeom>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200025</xdr:colOff>
      <xdr:row>0</xdr:row>
      <xdr:rowOff>57150</xdr:rowOff>
    </xdr:from>
    <xdr:to>
      <xdr:col>7</xdr:col>
      <xdr:colOff>349053</xdr:colOff>
      <xdr:row>1</xdr:row>
      <xdr:rowOff>200025</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00475" y="57150"/>
          <a:ext cx="777678" cy="342900"/>
        </a:xfrm>
        <a:prstGeom prst="rect">
          <a:avLst/>
        </a:prstGeom>
      </xdr:spPr>
    </xdr:pic>
    <xdr:clientData/>
  </xdr:twoCellAnchor>
  <xdr:twoCellAnchor editAs="oneCell">
    <xdr:from>
      <xdr:col>8</xdr:col>
      <xdr:colOff>38100</xdr:colOff>
      <xdr:row>0</xdr:row>
      <xdr:rowOff>57150</xdr:rowOff>
    </xdr:from>
    <xdr:to>
      <xdr:col>10</xdr:col>
      <xdr:colOff>44253</xdr:colOff>
      <xdr:row>1</xdr:row>
      <xdr:rowOff>201666</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38675" y="57150"/>
          <a:ext cx="777678" cy="344541"/>
        </a:xfrm>
        <a:prstGeom prst="rect">
          <a:avLst/>
        </a:prstGeom>
      </xdr:spPr>
    </xdr:pic>
    <xdr:clientData/>
  </xdr:twoCellAnchor>
  <xdr:twoCellAnchor editAs="oneCell">
    <xdr:from>
      <xdr:col>10</xdr:col>
      <xdr:colOff>114300</xdr:colOff>
      <xdr:row>0</xdr:row>
      <xdr:rowOff>57150</xdr:rowOff>
    </xdr:from>
    <xdr:to>
      <xdr:col>12</xdr:col>
      <xdr:colOff>120453</xdr:colOff>
      <xdr:row>1</xdr:row>
      <xdr:rowOff>201666</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86400" y="57150"/>
          <a:ext cx="777678" cy="344541"/>
        </a:xfrm>
        <a:prstGeom prst="rect">
          <a:avLst/>
        </a:prstGeom>
      </xdr:spPr>
    </xdr:pic>
    <xdr:clientData/>
  </xdr:twoCellAnchor>
  <xdr:twoCellAnchor editAs="oneCell">
    <xdr:from>
      <xdr:col>12</xdr:col>
      <xdr:colOff>180976</xdr:colOff>
      <xdr:row>0</xdr:row>
      <xdr:rowOff>57150</xdr:rowOff>
    </xdr:from>
    <xdr:to>
      <xdr:col>14</xdr:col>
      <xdr:colOff>219075</xdr:colOff>
      <xdr:row>1</xdr:row>
      <xdr:rowOff>211599</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24601" y="57150"/>
          <a:ext cx="800099" cy="354474"/>
        </a:xfrm>
        <a:prstGeom prst="rect">
          <a:avLst/>
        </a:prstGeom>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5</xdr:col>
      <xdr:colOff>228600</xdr:colOff>
      <xdr:row>0</xdr:row>
      <xdr:rowOff>66675</xdr:rowOff>
    </xdr:from>
    <xdr:to>
      <xdr:col>8</xdr:col>
      <xdr:colOff>6153</xdr:colOff>
      <xdr:row>1</xdr:row>
      <xdr:rowOff>209550</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29050" y="66675"/>
          <a:ext cx="777678" cy="342900"/>
        </a:xfrm>
        <a:prstGeom prst="rect">
          <a:avLst/>
        </a:prstGeom>
      </xdr:spPr>
    </xdr:pic>
    <xdr:clientData/>
  </xdr:twoCellAnchor>
  <xdr:twoCellAnchor editAs="oneCell">
    <xdr:from>
      <xdr:col>8</xdr:col>
      <xdr:colOff>66675</xdr:colOff>
      <xdr:row>0</xdr:row>
      <xdr:rowOff>66675</xdr:rowOff>
    </xdr:from>
    <xdr:to>
      <xdr:col>10</xdr:col>
      <xdr:colOff>72828</xdr:colOff>
      <xdr:row>1</xdr:row>
      <xdr:rowOff>211191</xdr:rowOff>
    </xdr:to>
    <xdr:pic>
      <xdr:nvPicPr>
        <xdr:cNvPr id="8" name="Picture 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667250" y="66675"/>
          <a:ext cx="777678" cy="344541"/>
        </a:xfrm>
        <a:prstGeom prst="rect">
          <a:avLst/>
        </a:prstGeom>
      </xdr:spPr>
    </xdr:pic>
    <xdr:clientData/>
  </xdr:twoCellAnchor>
  <xdr:twoCellAnchor editAs="oneCell">
    <xdr:from>
      <xdr:col>10</xdr:col>
      <xdr:colOff>142875</xdr:colOff>
      <xdr:row>0</xdr:row>
      <xdr:rowOff>66675</xdr:rowOff>
    </xdr:from>
    <xdr:to>
      <xdr:col>12</xdr:col>
      <xdr:colOff>149028</xdr:colOff>
      <xdr:row>1</xdr:row>
      <xdr:rowOff>211191</xdr:rowOff>
    </xdr:to>
    <xdr:pic>
      <xdr:nvPicPr>
        <xdr:cNvPr id="9" name="Picture 8">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514975" y="66675"/>
          <a:ext cx="777678" cy="344541"/>
        </a:xfrm>
        <a:prstGeom prst="rect">
          <a:avLst/>
        </a:prstGeom>
      </xdr:spPr>
    </xdr:pic>
    <xdr:clientData/>
  </xdr:twoCellAnchor>
  <xdr:twoCellAnchor editAs="oneCell">
    <xdr:from>
      <xdr:col>12</xdr:col>
      <xdr:colOff>209551</xdr:colOff>
      <xdr:row>0</xdr:row>
      <xdr:rowOff>66675</xdr:rowOff>
    </xdr:from>
    <xdr:to>
      <xdr:col>14</xdr:col>
      <xdr:colOff>247650</xdr:colOff>
      <xdr:row>1</xdr:row>
      <xdr:rowOff>221124</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353176" y="66675"/>
          <a:ext cx="800099" cy="354474"/>
        </a:xfrm>
        <a:prstGeom prst="rect">
          <a:avLst/>
        </a:prstGeom>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5" name="Picture 4">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6" name="Picture 5">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7" name="Picture 6">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14</xdr:col>
      <xdr:colOff>298648</xdr:colOff>
      <xdr:row>0</xdr:row>
      <xdr:rowOff>45980</xdr:rowOff>
    </xdr:from>
    <xdr:to>
      <xdr:col>15</xdr:col>
      <xdr:colOff>630658</xdr:colOff>
      <xdr:row>1</xdr:row>
      <xdr:rowOff>142875</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4273" y="45980"/>
          <a:ext cx="713010" cy="296920"/>
        </a:xfrm>
        <a:prstGeom prst="rect">
          <a:avLst/>
        </a:prstGeom>
      </xdr:spPr>
    </xdr:pic>
    <xdr:clientData/>
  </xdr:twoCellAnchor>
  <xdr:twoCellAnchor editAs="oneCell">
    <xdr:from>
      <xdr:col>4</xdr:col>
      <xdr:colOff>114300</xdr:colOff>
      <xdr:row>0</xdr:row>
      <xdr:rowOff>0</xdr:rowOff>
    </xdr:from>
    <xdr:to>
      <xdr:col>6</xdr:col>
      <xdr:colOff>206178</xdr:colOff>
      <xdr:row>1</xdr:row>
      <xdr:rowOff>142875</xdr:rowOff>
    </xdr:to>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43275" y="0"/>
          <a:ext cx="777678" cy="342900"/>
        </a:xfrm>
        <a:prstGeom prst="rect">
          <a:avLst/>
        </a:prstGeom>
      </xdr:spPr>
    </xdr:pic>
    <xdr:clientData/>
  </xdr:twoCellAnchor>
  <xdr:twoCellAnchor editAs="oneCell">
    <xdr:from>
      <xdr:col>6</xdr:col>
      <xdr:colOff>266700</xdr:colOff>
      <xdr:row>0</xdr:row>
      <xdr:rowOff>0</xdr:rowOff>
    </xdr:from>
    <xdr:to>
      <xdr:col>8</xdr:col>
      <xdr:colOff>358578</xdr:colOff>
      <xdr:row>1</xdr:row>
      <xdr:rowOff>144516</xdr:rowOff>
    </xdr:to>
    <xdr:pic>
      <xdr:nvPicPr>
        <xdr:cNvPr id="4" name="Picture 3">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181475" y="0"/>
          <a:ext cx="777678" cy="344541"/>
        </a:xfrm>
        <a:prstGeom prst="rect">
          <a:avLst/>
        </a:prstGeom>
      </xdr:spPr>
    </xdr:pic>
    <xdr:clientData/>
  </xdr:twoCellAnchor>
  <xdr:twoCellAnchor editAs="oneCell">
    <xdr:from>
      <xdr:col>9</xdr:col>
      <xdr:colOff>57150</xdr:colOff>
      <xdr:row>0</xdr:row>
      <xdr:rowOff>0</xdr:rowOff>
    </xdr:from>
    <xdr:to>
      <xdr:col>11</xdr:col>
      <xdr:colOff>34728</xdr:colOff>
      <xdr:row>1</xdr:row>
      <xdr:rowOff>144516</xdr:rowOff>
    </xdr:to>
    <xdr:pic>
      <xdr:nvPicPr>
        <xdr:cNvPr id="5" name="Picture 4">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029200" y="0"/>
          <a:ext cx="777678" cy="344541"/>
        </a:xfrm>
        <a:prstGeom prst="rect">
          <a:avLst/>
        </a:prstGeom>
      </xdr:spPr>
    </xdr:pic>
    <xdr:clientData/>
  </xdr:twoCellAnchor>
  <xdr:twoCellAnchor editAs="oneCell">
    <xdr:from>
      <xdr:col>11</xdr:col>
      <xdr:colOff>123826</xdr:colOff>
      <xdr:row>0</xdr:row>
      <xdr:rowOff>9525</xdr:rowOff>
    </xdr:from>
    <xdr:to>
      <xdr:col>13</xdr:col>
      <xdr:colOff>128129</xdr:colOff>
      <xdr:row>1</xdr:row>
      <xdr:rowOff>144781</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895976" y="9525"/>
          <a:ext cx="756778" cy="335281"/>
        </a:xfrm>
        <a:prstGeom prst="rect">
          <a:avLst/>
        </a:prstGeom>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66675</xdr:colOff>
      <xdr:row>0</xdr:row>
      <xdr:rowOff>95250</xdr:rowOff>
    </xdr:from>
    <xdr:to>
      <xdr:col>1</xdr:col>
      <xdr:colOff>450351</xdr:colOff>
      <xdr:row>0</xdr:row>
      <xdr:rowOff>360808</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95250"/>
          <a:ext cx="631326" cy="265558"/>
        </a:xfrm>
        <a:prstGeom prst="rect">
          <a:avLst/>
        </a:prstGeom>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1</xdr:col>
      <xdr:colOff>1659485</xdr:colOff>
      <xdr:row>1</xdr:row>
      <xdr:rowOff>142875</xdr:rowOff>
    </xdr:from>
    <xdr:to>
      <xdr:col>1</xdr:col>
      <xdr:colOff>2208435</xdr:colOff>
      <xdr:row>2</xdr:row>
      <xdr:rowOff>133350</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88110" y="342900"/>
          <a:ext cx="548950" cy="228600"/>
        </a:xfrm>
        <a:prstGeom prst="rect">
          <a:avLst/>
        </a:prstGeom>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82</xdr:row>
      <xdr:rowOff>103638</xdr:rowOff>
    </xdr:from>
    <xdr:to>
      <xdr:col>13</xdr:col>
      <xdr:colOff>428625</xdr:colOff>
      <xdr:row>90</xdr:row>
      <xdr:rowOff>114087</xdr:rowOff>
    </xdr:to>
    <xdr:pic>
      <xdr:nvPicPr>
        <xdr:cNvPr id="23" name="Picture 2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239738"/>
          <a:ext cx="8353425" cy="1534449"/>
        </a:xfrm>
        <a:prstGeom prst="rect">
          <a:avLst/>
        </a:prstGeom>
      </xdr:spPr>
    </xdr:pic>
    <xdr:clientData/>
  </xdr:twoCellAnchor>
  <xdr:twoCellAnchor editAs="oneCell">
    <xdr:from>
      <xdr:col>14</xdr:col>
      <xdr:colOff>123825</xdr:colOff>
      <xdr:row>0</xdr:row>
      <xdr:rowOff>123825</xdr:rowOff>
    </xdr:from>
    <xdr:to>
      <xdr:col>15</xdr:col>
      <xdr:colOff>442641</xdr:colOff>
      <xdr:row>2</xdr:row>
      <xdr:rowOff>28575</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58225" y="123825"/>
          <a:ext cx="928416" cy="390525"/>
        </a:xfrm>
        <a:prstGeom prst="rect">
          <a:avLst/>
        </a:prstGeom>
      </xdr:spPr>
    </xdr:pic>
    <xdr:clientData/>
  </xdr:twoCellAnchor>
  <xdr:twoCellAnchor>
    <xdr:from>
      <xdr:col>0</xdr:col>
      <xdr:colOff>38099</xdr:colOff>
      <xdr:row>18</xdr:row>
      <xdr:rowOff>114299</xdr:rowOff>
    </xdr:from>
    <xdr:to>
      <xdr:col>13</xdr:col>
      <xdr:colOff>457200</xdr:colOff>
      <xdr:row>30</xdr:row>
      <xdr:rowOff>66675</xdr:rowOff>
    </xdr:to>
    <xdr:sp macro="" textlink="">
      <xdr:nvSpPr>
        <xdr:cNvPr id="4" name="TextBox 3"/>
        <xdr:cNvSpPr txBox="1"/>
      </xdr:nvSpPr>
      <xdr:spPr>
        <a:xfrm>
          <a:off x="38099" y="3648074"/>
          <a:ext cx="8343901" cy="22383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600" b="1"/>
            <a:t>Gambar</a:t>
          </a:r>
          <a:r>
            <a:rPr lang="id-ID" sz="1600" b="1" baseline="0"/>
            <a:t> diatas adalah tampilan dari APLIKASI RAPOT KURTILAS . Dimana semua menu memiliki fungsi tersendiri. Untuk pertama kali data yang wajib di ISI  adalah :</a:t>
          </a:r>
        </a:p>
        <a:p>
          <a:r>
            <a:rPr lang="id-ID" sz="2000" b="1" baseline="0">
              <a:solidFill>
                <a:srgbClr val="FF0000"/>
              </a:solidFill>
            </a:rPr>
            <a:t>1. DATA SISWA</a:t>
          </a:r>
        </a:p>
        <a:p>
          <a:r>
            <a:rPr lang="id-ID" sz="2000" b="1" baseline="0">
              <a:solidFill>
                <a:srgbClr val="FF0000"/>
              </a:solidFill>
            </a:rPr>
            <a:t>2. DATA SEKOLAH</a:t>
          </a:r>
        </a:p>
        <a:p>
          <a:r>
            <a:rPr lang="id-ID" sz="2000" b="1" baseline="0">
              <a:solidFill>
                <a:srgbClr val="FF0000"/>
              </a:solidFill>
            </a:rPr>
            <a:t>3. DATA ESKUL, KESEHATAN, ABSENSI SISWA dan PRESTASI SISWA</a:t>
          </a:r>
        </a:p>
        <a:p>
          <a:r>
            <a:rPr lang="id-ID" sz="1600" b="1" baseline="0"/>
            <a:t>       Ketiga DATA diatas sangat penting untuk di isi terlebih dahulu karena semua data tentang siswa yang akan dipergunakan untuk raport berasal dari ke tiga menu data tersebut.</a:t>
          </a:r>
          <a:endParaRPr lang="id-ID" sz="1600" b="1"/>
        </a:p>
      </xdr:txBody>
    </xdr:sp>
    <xdr:clientData/>
  </xdr:twoCellAnchor>
  <xdr:twoCellAnchor>
    <xdr:from>
      <xdr:col>0</xdr:col>
      <xdr:colOff>0</xdr:colOff>
      <xdr:row>35</xdr:row>
      <xdr:rowOff>123825</xdr:rowOff>
    </xdr:from>
    <xdr:to>
      <xdr:col>13</xdr:col>
      <xdr:colOff>228601</xdr:colOff>
      <xdr:row>45</xdr:row>
      <xdr:rowOff>171450</xdr:rowOff>
    </xdr:to>
    <xdr:sp macro="" textlink="">
      <xdr:nvSpPr>
        <xdr:cNvPr id="8" name="TextBox 7"/>
        <xdr:cNvSpPr txBox="1"/>
      </xdr:nvSpPr>
      <xdr:spPr>
        <a:xfrm>
          <a:off x="0" y="6896100"/>
          <a:ext cx="8153401" cy="1952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d-ID" sz="1600" b="1"/>
            <a:t>Untuk</a:t>
          </a:r>
          <a:r>
            <a:rPr lang="id-ID" sz="1600" b="1" baseline="0"/>
            <a:t> memasukkan Nilai, terutama </a:t>
          </a:r>
        </a:p>
        <a:p>
          <a:r>
            <a:rPr lang="id-ID" sz="1600" b="1" baseline="0"/>
            <a:t>a. Nilai Ulangan Harian ( KI-3 )</a:t>
          </a:r>
        </a:p>
        <a:p>
          <a:r>
            <a:rPr lang="id-ID" sz="1600" b="1" baseline="0"/>
            <a:t>b. Nilai Tugas dan Praktek ( KI-4 )</a:t>
          </a:r>
        </a:p>
        <a:p>
          <a:r>
            <a:rPr lang="id-ID" sz="1600" b="1" baseline="0"/>
            <a:t>c. Nilai UTS </a:t>
          </a:r>
        </a:p>
      </xdr:txBody>
    </xdr:sp>
    <xdr:clientData/>
  </xdr:twoCellAnchor>
  <xdr:twoCellAnchor>
    <xdr:from>
      <xdr:col>0</xdr:col>
      <xdr:colOff>95250</xdr:colOff>
      <xdr:row>53</xdr:row>
      <xdr:rowOff>180975</xdr:rowOff>
    </xdr:from>
    <xdr:to>
      <xdr:col>12</xdr:col>
      <xdr:colOff>523875</xdr:colOff>
      <xdr:row>56</xdr:row>
      <xdr:rowOff>104775</xdr:rowOff>
    </xdr:to>
    <xdr:sp macro="" textlink="">
      <xdr:nvSpPr>
        <xdr:cNvPr id="11" name="Rectangle 10"/>
        <xdr:cNvSpPr/>
      </xdr:nvSpPr>
      <xdr:spPr>
        <a:xfrm>
          <a:off x="95250" y="10382250"/>
          <a:ext cx="7743825" cy="495300"/>
        </a:xfrm>
        <a:prstGeom prst="rect">
          <a:avLst/>
        </a:prstGeom>
        <a:no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2</xdr:col>
      <xdr:colOff>485775</xdr:colOff>
      <xdr:row>62</xdr:row>
      <xdr:rowOff>161925</xdr:rowOff>
    </xdr:from>
    <xdr:to>
      <xdr:col>8</xdr:col>
      <xdr:colOff>342900</xdr:colOff>
      <xdr:row>64</xdr:row>
      <xdr:rowOff>133350</xdr:rowOff>
    </xdr:to>
    <xdr:sp macro="" textlink="">
      <xdr:nvSpPr>
        <xdr:cNvPr id="30" name="TextBox 29"/>
        <xdr:cNvSpPr txBox="1"/>
      </xdr:nvSpPr>
      <xdr:spPr>
        <a:xfrm>
          <a:off x="1704975" y="12077700"/>
          <a:ext cx="3514725" cy="352425"/>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400" b="1"/>
            <a:t>memasukkan</a:t>
          </a:r>
          <a:r>
            <a:rPr lang="id-ID" sz="1400" b="1" baseline="0"/>
            <a:t> nilai KI-3 dan KI-4</a:t>
          </a:r>
          <a:endParaRPr lang="id-ID" sz="1400" b="1"/>
        </a:p>
      </xdr:txBody>
    </xdr:sp>
    <xdr:clientData/>
  </xdr:twoCellAnchor>
  <xdr:twoCellAnchor>
    <xdr:from>
      <xdr:col>0</xdr:col>
      <xdr:colOff>142876</xdr:colOff>
      <xdr:row>92</xdr:row>
      <xdr:rowOff>38099</xdr:rowOff>
    </xdr:from>
    <xdr:to>
      <xdr:col>8</xdr:col>
      <xdr:colOff>142876</xdr:colOff>
      <xdr:row>98</xdr:row>
      <xdr:rowOff>9524</xdr:rowOff>
    </xdr:to>
    <xdr:sp macro="" textlink="">
      <xdr:nvSpPr>
        <xdr:cNvPr id="77" name="TextBox 76"/>
        <xdr:cNvSpPr txBox="1"/>
      </xdr:nvSpPr>
      <xdr:spPr>
        <a:xfrm>
          <a:off x="142876" y="24079199"/>
          <a:ext cx="4876800" cy="1114425"/>
        </a:xfrm>
        <a:prstGeom prst="rect">
          <a:avLst/>
        </a:prstGeom>
        <a:solidFill>
          <a:schemeClr val="bg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id-ID" sz="1400" b="1">
              <a:solidFill>
                <a:srgbClr val="FF0000"/>
              </a:solidFill>
            </a:rPr>
            <a:t>MEMASUKKAN</a:t>
          </a:r>
          <a:r>
            <a:rPr lang="id-ID" sz="1400" b="1" baseline="0">
              <a:solidFill>
                <a:srgbClr val="FF0000"/>
              </a:solidFill>
            </a:rPr>
            <a:t> NILAI  " </a:t>
          </a:r>
          <a:r>
            <a:rPr lang="id-ID" sz="1400" b="1" baseline="0">
              <a:solidFill>
                <a:sysClr val="windowText" lastClr="000000"/>
              </a:solidFill>
            </a:rPr>
            <a:t>KI-3 dan KI-4 </a:t>
          </a:r>
          <a:r>
            <a:rPr lang="id-ID" sz="1400" b="1" baseline="0">
              <a:solidFill>
                <a:srgbClr val="FF0000"/>
              </a:solidFill>
            </a:rPr>
            <a:t>"</a:t>
          </a:r>
          <a:r>
            <a:rPr lang="id-ID" sz="1400" b="1" baseline="0"/>
            <a:t> dilakukan dengan meng-klik pada buton yang dilingkari garis warna putih. Ketika mengisi nilai KI-3 dan KI-4 hendaknya mengisi pada kolom nilai </a:t>
          </a:r>
          <a:r>
            <a:rPr lang="id-ID" sz="1400" b="1" baseline="0">
              <a:solidFill>
                <a:srgbClr val="FF0000"/>
              </a:solidFill>
            </a:rPr>
            <a:t>UTS</a:t>
          </a:r>
          <a:r>
            <a:rPr lang="id-ID" sz="1400" b="1" baseline="0"/>
            <a:t> dan Kolom membuat </a:t>
          </a:r>
          <a:r>
            <a:rPr lang="id-ID" sz="1400" b="1" baseline="0">
              <a:solidFill>
                <a:srgbClr val="FF0000"/>
              </a:solidFill>
            </a:rPr>
            <a:t>DESKRIPSI</a:t>
          </a:r>
          <a:r>
            <a:rPr lang="id-ID" sz="1400" b="1" baseline="0">
              <a:solidFill>
                <a:schemeClr val="dk1"/>
              </a:solidFill>
            </a:rPr>
            <a:t> untuk KI-3. Sedangkan KI-4 hanya mengisi KOLOM memunculkan </a:t>
          </a:r>
          <a:r>
            <a:rPr lang="id-ID" sz="1400" b="1" baseline="0">
              <a:solidFill>
                <a:srgbClr val="FF0000"/>
              </a:solidFill>
            </a:rPr>
            <a:t>DESKRIPSI</a:t>
          </a:r>
          <a:r>
            <a:rPr lang="id-ID" sz="1400" b="1" baseline="0">
              <a:solidFill>
                <a:schemeClr val="dk1"/>
              </a:solidFill>
            </a:rPr>
            <a:t>.</a:t>
          </a:r>
          <a:endParaRPr lang="id-ID" sz="1400" b="1"/>
        </a:p>
      </xdr:txBody>
    </xdr:sp>
    <xdr:clientData/>
  </xdr:twoCellAnchor>
  <xdr:twoCellAnchor editAs="oneCell">
    <xdr:from>
      <xdr:col>0</xdr:col>
      <xdr:colOff>104775</xdr:colOff>
      <xdr:row>67</xdr:row>
      <xdr:rowOff>19153</xdr:rowOff>
    </xdr:from>
    <xdr:to>
      <xdr:col>13</xdr:col>
      <xdr:colOff>428625</xdr:colOff>
      <xdr:row>75</xdr:row>
      <xdr:rowOff>58525</xdr:rowOff>
    </xdr:to>
    <xdr:pic>
      <xdr:nvPicPr>
        <xdr:cNvPr id="6" name="Picture 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4775" y="13011253"/>
          <a:ext cx="8248650" cy="1563372"/>
        </a:xfrm>
        <a:prstGeom prst="rect">
          <a:avLst/>
        </a:prstGeom>
      </xdr:spPr>
    </xdr:pic>
    <xdr:clientData/>
  </xdr:twoCellAnchor>
  <xdr:twoCellAnchor>
    <xdr:from>
      <xdr:col>5</xdr:col>
      <xdr:colOff>285750</xdr:colOff>
      <xdr:row>67</xdr:row>
      <xdr:rowOff>28575</xdr:rowOff>
    </xdr:from>
    <xdr:to>
      <xdr:col>6</xdr:col>
      <xdr:colOff>171450</xdr:colOff>
      <xdr:row>75</xdr:row>
      <xdr:rowOff>133350</xdr:rowOff>
    </xdr:to>
    <xdr:sp macro="" textlink="">
      <xdr:nvSpPr>
        <xdr:cNvPr id="9" name="Rectangle 8"/>
        <xdr:cNvSpPr/>
      </xdr:nvSpPr>
      <xdr:spPr>
        <a:xfrm>
          <a:off x="3333750" y="19183350"/>
          <a:ext cx="495300" cy="162877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9</xdr:col>
      <xdr:colOff>457200</xdr:colOff>
      <xdr:row>84</xdr:row>
      <xdr:rowOff>76200</xdr:rowOff>
    </xdr:from>
    <xdr:to>
      <xdr:col>13</xdr:col>
      <xdr:colOff>485775</xdr:colOff>
      <xdr:row>86</xdr:row>
      <xdr:rowOff>66675</xdr:rowOff>
    </xdr:to>
    <xdr:sp macro="" textlink="">
      <xdr:nvSpPr>
        <xdr:cNvPr id="12" name="Rectangle 11"/>
        <xdr:cNvSpPr/>
      </xdr:nvSpPr>
      <xdr:spPr>
        <a:xfrm>
          <a:off x="5943600" y="22593300"/>
          <a:ext cx="2466975" cy="37147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371475</xdr:colOff>
      <xdr:row>76</xdr:row>
      <xdr:rowOff>9525</xdr:rowOff>
    </xdr:from>
    <xdr:to>
      <xdr:col>7</xdr:col>
      <xdr:colOff>76200</xdr:colOff>
      <xdr:row>77</xdr:row>
      <xdr:rowOff>123825</xdr:rowOff>
    </xdr:to>
    <xdr:sp macro="" textlink="">
      <xdr:nvSpPr>
        <xdr:cNvPr id="13" name="TextBox 12"/>
        <xdr:cNvSpPr txBox="1"/>
      </xdr:nvSpPr>
      <xdr:spPr>
        <a:xfrm>
          <a:off x="2200275" y="14716125"/>
          <a:ext cx="2143125"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HANYA NILAI UTS dan UAS</a:t>
          </a:r>
        </a:p>
      </xdr:txBody>
    </xdr:sp>
    <xdr:clientData/>
  </xdr:twoCellAnchor>
  <xdr:twoCellAnchor>
    <xdr:from>
      <xdr:col>11</xdr:col>
      <xdr:colOff>95250</xdr:colOff>
      <xdr:row>72</xdr:row>
      <xdr:rowOff>95250</xdr:rowOff>
    </xdr:from>
    <xdr:to>
      <xdr:col>11</xdr:col>
      <xdr:colOff>114300</xdr:colOff>
      <xdr:row>76</xdr:row>
      <xdr:rowOff>171450</xdr:rowOff>
    </xdr:to>
    <xdr:cxnSp macro="">
      <xdr:nvCxnSpPr>
        <xdr:cNvPr id="20" name="Straight Arrow Connector 19"/>
        <xdr:cNvCxnSpPr/>
      </xdr:nvCxnSpPr>
      <xdr:spPr>
        <a:xfrm>
          <a:off x="6800850" y="20202525"/>
          <a:ext cx="19050" cy="838200"/>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390525</xdr:colOff>
      <xdr:row>76</xdr:row>
      <xdr:rowOff>180974</xdr:rowOff>
    </xdr:from>
    <xdr:to>
      <xdr:col>13</xdr:col>
      <xdr:colOff>257174</xdr:colOff>
      <xdr:row>79</xdr:row>
      <xdr:rowOff>171449</xdr:rowOff>
    </xdr:to>
    <xdr:sp macro="" textlink="">
      <xdr:nvSpPr>
        <xdr:cNvPr id="78" name="TextBox 77"/>
        <xdr:cNvSpPr txBox="1"/>
      </xdr:nvSpPr>
      <xdr:spPr>
        <a:xfrm>
          <a:off x="5267325" y="21050249"/>
          <a:ext cx="2914649"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MEMUNCULKAN DESKRIPSI POSITIF DAN NEGATIF</a:t>
          </a:r>
        </a:p>
      </xdr:txBody>
    </xdr:sp>
    <xdr:clientData/>
  </xdr:twoCellAnchor>
  <xdr:twoCellAnchor>
    <xdr:from>
      <xdr:col>0</xdr:col>
      <xdr:colOff>114300</xdr:colOff>
      <xdr:row>66</xdr:row>
      <xdr:rowOff>28575</xdr:rowOff>
    </xdr:from>
    <xdr:to>
      <xdr:col>2</xdr:col>
      <xdr:colOff>485775</xdr:colOff>
      <xdr:row>67</xdr:row>
      <xdr:rowOff>19050</xdr:rowOff>
    </xdr:to>
    <xdr:sp macro="" textlink="">
      <xdr:nvSpPr>
        <xdr:cNvPr id="79" name="TextBox 78"/>
        <xdr:cNvSpPr txBox="1"/>
      </xdr:nvSpPr>
      <xdr:spPr>
        <a:xfrm>
          <a:off x="114300" y="18992850"/>
          <a:ext cx="15906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id-ID" sz="1200" b="1"/>
            <a:t>INPUT KI-3</a:t>
          </a:r>
        </a:p>
      </xdr:txBody>
    </xdr:sp>
    <xdr:clientData/>
  </xdr:twoCellAnchor>
  <xdr:twoCellAnchor>
    <xdr:from>
      <xdr:col>0</xdr:col>
      <xdr:colOff>28575</xdr:colOff>
      <xdr:row>80</xdr:row>
      <xdr:rowOff>142875</xdr:rowOff>
    </xdr:from>
    <xdr:to>
      <xdr:col>2</xdr:col>
      <xdr:colOff>400050</xdr:colOff>
      <xdr:row>82</xdr:row>
      <xdr:rowOff>66675</xdr:rowOff>
    </xdr:to>
    <xdr:sp macro="" textlink="">
      <xdr:nvSpPr>
        <xdr:cNvPr id="80" name="TextBox 79"/>
        <xdr:cNvSpPr txBox="1"/>
      </xdr:nvSpPr>
      <xdr:spPr>
        <a:xfrm>
          <a:off x="28575" y="21897975"/>
          <a:ext cx="15906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id-ID" sz="1200" b="1"/>
            <a:t>INPUT KI - 4</a:t>
          </a:r>
        </a:p>
      </xdr:txBody>
    </xdr:sp>
    <xdr:clientData/>
  </xdr:twoCellAnchor>
  <xdr:twoCellAnchor>
    <xdr:from>
      <xdr:col>10</xdr:col>
      <xdr:colOff>152400</xdr:colOff>
      <xdr:row>69</xdr:row>
      <xdr:rowOff>161925</xdr:rowOff>
    </xdr:from>
    <xdr:to>
      <xdr:col>13</xdr:col>
      <xdr:colOff>485775</xdr:colOff>
      <xdr:row>71</xdr:row>
      <xdr:rowOff>152400</xdr:rowOff>
    </xdr:to>
    <xdr:sp macro="" textlink="">
      <xdr:nvSpPr>
        <xdr:cNvPr id="81" name="Rectangle 80"/>
        <xdr:cNvSpPr/>
      </xdr:nvSpPr>
      <xdr:spPr>
        <a:xfrm>
          <a:off x="6248400" y="19821525"/>
          <a:ext cx="2162175" cy="37147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10</xdr:col>
      <xdr:colOff>180975</xdr:colOff>
      <xdr:row>86</xdr:row>
      <xdr:rowOff>57150</xdr:rowOff>
    </xdr:from>
    <xdr:to>
      <xdr:col>10</xdr:col>
      <xdr:colOff>190500</xdr:colOff>
      <xdr:row>92</xdr:row>
      <xdr:rowOff>133350</xdr:rowOff>
    </xdr:to>
    <xdr:cxnSp macro="">
      <xdr:nvCxnSpPr>
        <xdr:cNvPr id="82" name="Straight Arrow Connector 81"/>
        <xdr:cNvCxnSpPr/>
      </xdr:nvCxnSpPr>
      <xdr:spPr>
        <a:xfrm>
          <a:off x="6276975" y="22955250"/>
          <a:ext cx="9525" cy="1219200"/>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485775</xdr:colOff>
      <xdr:row>92</xdr:row>
      <xdr:rowOff>123824</xdr:rowOff>
    </xdr:from>
    <xdr:to>
      <xdr:col>12</xdr:col>
      <xdr:colOff>485774</xdr:colOff>
      <xdr:row>95</xdr:row>
      <xdr:rowOff>114299</xdr:rowOff>
    </xdr:to>
    <xdr:sp macro="" textlink="">
      <xdr:nvSpPr>
        <xdr:cNvPr id="84" name="TextBox 83"/>
        <xdr:cNvSpPr txBox="1"/>
      </xdr:nvSpPr>
      <xdr:spPr>
        <a:xfrm>
          <a:off x="5362575" y="24164924"/>
          <a:ext cx="2438399"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200" b="1"/>
            <a:t>MEMUNCULKAN DESKRIPSI POSITIF DAN NEGATIF</a:t>
          </a:r>
        </a:p>
      </xdr:txBody>
    </xdr:sp>
    <xdr:clientData/>
  </xdr:twoCellAnchor>
  <xdr:twoCellAnchor editAs="oneCell">
    <xdr:from>
      <xdr:col>14</xdr:col>
      <xdr:colOff>57150</xdr:colOff>
      <xdr:row>33</xdr:row>
      <xdr:rowOff>76200</xdr:rowOff>
    </xdr:from>
    <xdr:to>
      <xdr:col>15</xdr:col>
      <xdr:colOff>375966</xdr:colOff>
      <xdr:row>35</xdr:row>
      <xdr:rowOff>85725</xdr:rowOff>
    </xdr:to>
    <xdr:pic>
      <xdr:nvPicPr>
        <xdr:cNvPr id="85" name="Picture 84">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91550" y="6467475"/>
          <a:ext cx="928416" cy="390525"/>
        </a:xfrm>
        <a:prstGeom prst="rect">
          <a:avLst/>
        </a:prstGeom>
      </xdr:spPr>
    </xdr:pic>
    <xdr:clientData/>
  </xdr:twoCellAnchor>
  <xdr:twoCellAnchor editAs="oneCell">
    <xdr:from>
      <xdr:col>14</xdr:col>
      <xdr:colOff>57150</xdr:colOff>
      <xdr:row>63</xdr:row>
      <xdr:rowOff>85725</xdr:rowOff>
    </xdr:from>
    <xdr:to>
      <xdr:col>15</xdr:col>
      <xdr:colOff>375966</xdr:colOff>
      <xdr:row>65</xdr:row>
      <xdr:rowOff>95250</xdr:rowOff>
    </xdr:to>
    <xdr:pic>
      <xdr:nvPicPr>
        <xdr:cNvPr id="86" name="Picture 85">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91550" y="12192000"/>
          <a:ext cx="928416" cy="390525"/>
        </a:xfrm>
        <a:prstGeom prst="rect">
          <a:avLst/>
        </a:prstGeom>
      </xdr:spPr>
    </xdr:pic>
    <xdr:clientData/>
  </xdr:twoCellAnchor>
  <xdr:twoCellAnchor editAs="oneCell">
    <xdr:from>
      <xdr:col>14</xdr:col>
      <xdr:colOff>95250</xdr:colOff>
      <xdr:row>66</xdr:row>
      <xdr:rowOff>95250</xdr:rowOff>
    </xdr:from>
    <xdr:to>
      <xdr:col>15</xdr:col>
      <xdr:colOff>414066</xdr:colOff>
      <xdr:row>67</xdr:row>
      <xdr:rowOff>171450</xdr:rowOff>
    </xdr:to>
    <xdr:pic>
      <xdr:nvPicPr>
        <xdr:cNvPr id="87" name="Picture 86">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29650" y="19059525"/>
          <a:ext cx="928416" cy="390525"/>
        </a:xfrm>
        <a:prstGeom prst="rect">
          <a:avLst/>
        </a:prstGeom>
      </xdr:spPr>
    </xdr:pic>
    <xdr:clientData/>
  </xdr:twoCellAnchor>
  <xdr:twoCellAnchor editAs="oneCell">
    <xdr:from>
      <xdr:col>14</xdr:col>
      <xdr:colOff>114300</xdr:colOff>
      <xdr:row>99</xdr:row>
      <xdr:rowOff>114300</xdr:rowOff>
    </xdr:from>
    <xdr:to>
      <xdr:col>15</xdr:col>
      <xdr:colOff>433116</xdr:colOff>
      <xdr:row>101</xdr:row>
      <xdr:rowOff>123825</xdr:rowOff>
    </xdr:to>
    <xdr:pic>
      <xdr:nvPicPr>
        <xdr:cNvPr id="88" name="Picture 87">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48700" y="19202400"/>
          <a:ext cx="928416" cy="390525"/>
        </a:xfrm>
        <a:prstGeom prst="rect">
          <a:avLst/>
        </a:prstGeom>
      </xdr:spPr>
    </xdr:pic>
    <xdr:clientData/>
  </xdr:twoCellAnchor>
  <xdr:twoCellAnchor editAs="oneCell">
    <xdr:from>
      <xdr:col>0</xdr:col>
      <xdr:colOff>133350</xdr:colOff>
      <xdr:row>46</xdr:row>
      <xdr:rowOff>171450</xdr:rowOff>
    </xdr:from>
    <xdr:to>
      <xdr:col>13</xdr:col>
      <xdr:colOff>381000</xdr:colOff>
      <xdr:row>61</xdr:row>
      <xdr:rowOff>149138</xdr:rowOff>
    </xdr:to>
    <xdr:pic>
      <xdr:nvPicPr>
        <xdr:cNvPr id="94" name="Picture 93"/>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 y="9039225"/>
          <a:ext cx="8172450" cy="2835188"/>
        </a:xfrm>
        <a:prstGeom prst="rect">
          <a:avLst/>
        </a:prstGeom>
      </xdr:spPr>
    </xdr:pic>
    <xdr:clientData/>
  </xdr:twoCellAnchor>
  <xdr:twoCellAnchor editAs="oneCell">
    <xdr:from>
      <xdr:col>0</xdr:col>
      <xdr:colOff>104776</xdr:colOff>
      <xdr:row>2</xdr:row>
      <xdr:rowOff>0</xdr:rowOff>
    </xdr:from>
    <xdr:to>
      <xdr:col>13</xdr:col>
      <xdr:colOff>352426</xdr:colOff>
      <xdr:row>16</xdr:row>
      <xdr:rowOff>168188</xdr:rowOff>
    </xdr:to>
    <xdr:pic>
      <xdr:nvPicPr>
        <xdr:cNvPr id="7"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4776" y="485775"/>
          <a:ext cx="8172450" cy="2835188"/>
        </a:xfrm>
        <a:prstGeom prst="rect">
          <a:avLst/>
        </a:prstGeom>
      </xdr:spPr>
    </xdr:pic>
    <xdr:clientData/>
  </xdr:twoCellAnchor>
  <xdr:twoCellAnchor>
    <xdr:from>
      <xdr:col>4</xdr:col>
      <xdr:colOff>219075</xdr:colOff>
      <xdr:row>56</xdr:row>
      <xdr:rowOff>28576</xdr:rowOff>
    </xdr:from>
    <xdr:to>
      <xdr:col>5</xdr:col>
      <xdr:colOff>28575</xdr:colOff>
      <xdr:row>62</xdr:row>
      <xdr:rowOff>123828</xdr:rowOff>
    </xdr:to>
    <xdr:sp macro="" textlink="">
      <xdr:nvSpPr>
        <xdr:cNvPr id="21" name="Right Arrow 20"/>
        <xdr:cNvSpPr/>
      </xdr:nvSpPr>
      <xdr:spPr>
        <a:xfrm rot="5400000">
          <a:off x="2247899" y="11210927"/>
          <a:ext cx="1238252" cy="419100"/>
        </a:xfrm>
        <a:prstGeom prst="rightArrow">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id-ID" sz="1100"/>
        </a:p>
      </xdr:txBody>
    </xdr:sp>
    <xdr:clientData/>
  </xdr:twoCellAnchor>
  <xdr:twoCellAnchor>
    <xdr:from>
      <xdr:col>5</xdr:col>
      <xdr:colOff>247650</xdr:colOff>
      <xdr:row>53</xdr:row>
      <xdr:rowOff>133350</xdr:rowOff>
    </xdr:from>
    <xdr:to>
      <xdr:col>6</xdr:col>
      <xdr:colOff>57150</xdr:colOff>
      <xdr:row>62</xdr:row>
      <xdr:rowOff>180978</xdr:rowOff>
    </xdr:to>
    <xdr:sp macro="" textlink="">
      <xdr:nvSpPr>
        <xdr:cNvPr id="95" name="Right Arrow 94"/>
        <xdr:cNvSpPr/>
      </xdr:nvSpPr>
      <xdr:spPr>
        <a:xfrm rot="5400000">
          <a:off x="2624136" y="11006139"/>
          <a:ext cx="1762128" cy="419100"/>
        </a:xfrm>
        <a:prstGeom prst="rightArrow">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id-ID" sz="1100"/>
        </a:p>
      </xdr:txBody>
    </xdr:sp>
    <xdr:clientData/>
  </xdr:twoCellAnchor>
  <xdr:twoCellAnchor>
    <xdr:from>
      <xdr:col>3</xdr:col>
      <xdr:colOff>257175</xdr:colOff>
      <xdr:row>81</xdr:row>
      <xdr:rowOff>85725</xdr:rowOff>
    </xdr:from>
    <xdr:to>
      <xdr:col>4</xdr:col>
      <xdr:colOff>581025</xdr:colOff>
      <xdr:row>90</xdr:row>
      <xdr:rowOff>0</xdr:rowOff>
    </xdr:to>
    <xdr:sp macro="" textlink="">
      <xdr:nvSpPr>
        <xdr:cNvPr id="96" name="Rectangle 95"/>
        <xdr:cNvSpPr/>
      </xdr:nvSpPr>
      <xdr:spPr>
        <a:xfrm>
          <a:off x="2085975" y="15744825"/>
          <a:ext cx="933450" cy="1628775"/>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editAs="oneCell">
    <xdr:from>
      <xdr:col>0</xdr:col>
      <xdr:colOff>133027</xdr:colOff>
      <xdr:row>99</xdr:row>
      <xdr:rowOff>190499</xdr:rowOff>
    </xdr:from>
    <xdr:to>
      <xdr:col>5</xdr:col>
      <xdr:colOff>523435</xdr:colOff>
      <xdr:row>130</xdr:row>
      <xdr:rowOff>37362</xdr:rowOff>
    </xdr:to>
    <xdr:pic>
      <xdr:nvPicPr>
        <xdr:cNvPr id="100" name="Picture 99"/>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027" y="19278599"/>
          <a:ext cx="3438408" cy="5752363"/>
        </a:xfrm>
        <a:prstGeom prst="rect">
          <a:avLst/>
        </a:prstGeom>
      </xdr:spPr>
    </xdr:pic>
    <xdr:clientData/>
  </xdr:twoCellAnchor>
  <xdr:oneCellAnchor>
    <xdr:from>
      <xdr:col>0</xdr:col>
      <xdr:colOff>152400</xdr:colOff>
      <xdr:row>116</xdr:row>
      <xdr:rowOff>57150</xdr:rowOff>
    </xdr:from>
    <xdr:ext cx="4086225" cy="311496"/>
    <xdr:sp macro="" textlink="">
      <xdr:nvSpPr>
        <xdr:cNvPr id="99" name="TextBox 98"/>
        <xdr:cNvSpPr txBox="1"/>
      </xdr:nvSpPr>
      <xdr:spPr>
        <a:xfrm>
          <a:off x="152400" y="22383750"/>
          <a:ext cx="4086225" cy="31149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id-ID" sz="1400" b="1"/>
            <a:t>HENDAK</a:t>
          </a:r>
          <a:r>
            <a:rPr lang="id-ID" sz="1400" b="1" baseline="0"/>
            <a:t> PADA PILIHAN PAGE DI ISI PAGE : 1 DAN 11</a:t>
          </a:r>
          <a:endParaRPr lang="id-ID" sz="1400" b="1"/>
        </a:p>
      </xdr:txBody>
    </xdr:sp>
    <xdr:clientData/>
  </xdr:oneCellAnchor>
  <xdr:twoCellAnchor>
    <xdr:from>
      <xdr:col>0</xdr:col>
      <xdr:colOff>133350</xdr:colOff>
      <xdr:row>113</xdr:row>
      <xdr:rowOff>9525</xdr:rowOff>
    </xdr:from>
    <xdr:to>
      <xdr:col>5</xdr:col>
      <xdr:colOff>561975</xdr:colOff>
      <xdr:row>115</xdr:row>
      <xdr:rowOff>142875</xdr:rowOff>
    </xdr:to>
    <xdr:sp macro="" textlink="">
      <xdr:nvSpPr>
        <xdr:cNvPr id="98" name="Rectangle 97"/>
        <xdr:cNvSpPr/>
      </xdr:nvSpPr>
      <xdr:spPr>
        <a:xfrm>
          <a:off x="133350" y="21764625"/>
          <a:ext cx="3476625" cy="5143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47625</xdr:colOff>
      <xdr:row>0</xdr:row>
      <xdr:rowOff>76200</xdr:rowOff>
    </xdr:from>
    <xdr:to>
      <xdr:col>1</xdr:col>
      <xdr:colOff>379635</xdr:colOff>
      <xdr:row>1</xdr:row>
      <xdr:rowOff>182620</xdr:rowOff>
    </xdr:to>
    <xdr:pic macro="[0]!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7625" y="76200"/>
          <a:ext cx="713010" cy="296920"/>
        </a:xfrm>
        <a:prstGeom prst="rect">
          <a:avLst/>
        </a:prstGeom>
      </xdr:spPr>
    </xdr:pic>
    <xdr:clientData/>
  </xdr:twoCellAnchor>
</xdr:wsDr>
</file>

<file path=xl/drawings/drawing79.xml><?xml version="1.0" encoding="utf-8"?>
<xdr:wsDr xmlns:xdr="http://schemas.openxmlformats.org/drawingml/2006/spreadsheetDrawing" xmlns:a="http://schemas.openxmlformats.org/drawingml/2006/main">
  <xdr:twoCellAnchor>
    <xdr:from>
      <xdr:col>2</xdr:col>
      <xdr:colOff>104774</xdr:colOff>
      <xdr:row>2</xdr:row>
      <xdr:rowOff>228600</xdr:rowOff>
    </xdr:from>
    <xdr:to>
      <xdr:col>7</xdr:col>
      <xdr:colOff>1285875</xdr:colOff>
      <xdr:row>9</xdr:row>
      <xdr:rowOff>152401</xdr:rowOff>
    </xdr:to>
    <xdr:sp macro="" textlink="">
      <xdr:nvSpPr>
        <xdr:cNvPr id="6" name="Rectangle 5"/>
        <xdr:cNvSpPr/>
      </xdr:nvSpPr>
      <xdr:spPr>
        <a:xfrm>
          <a:off x="3086099" y="838200"/>
          <a:ext cx="2705101" cy="1323976"/>
        </a:xfrm>
        <a:prstGeom prst="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b="1">
              <a:solidFill>
                <a:sysClr val="windowText" lastClr="000000"/>
              </a:solidFill>
            </a:rPr>
            <a:t>Skala Nilai:</a:t>
          </a:r>
        </a:p>
        <a:p>
          <a:pPr algn="ctr"/>
          <a:endParaRPr lang="id-ID" sz="1400" b="1">
            <a:solidFill>
              <a:sysClr val="windowText" lastClr="000000"/>
            </a:solidFill>
          </a:endParaRPr>
        </a:p>
        <a:p>
          <a:pPr algn="l"/>
          <a:r>
            <a:rPr lang="id-ID" sz="1100" b="1">
              <a:solidFill>
                <a:sysClr val="windowText" lastClr="000000"/>
              </a:solidFill>
            </a:rPr>
            <a:t>4 =  Sangat baik</a:t>
          </a:r>
        </a:p>
        <a:p>
          <a:pPr algn="l"/>
          <a:r>
            <a:rPr lang="id-ID" sz="1100" b="1">
              <a:solidFill>
                <a:sysClr val="windowText" lastClr="000000"/>
              </a:solidFill>
            </a:rPr>
            <a:t>3 =</a:t>
          </a:r>
          <a:r>
            <a:rPr lang="id-ID" sz="1100" b="1" baseline="0">
              <a:solidFill>
                <a:sysClr val="windowText" lastClr="000000"/>
              </a:solidFill>
            </a:rPr>
            <a:t>  Baik</a:t>
          </a:r>
          <a:endParaRPr lang="id-ID" sz="1100" b="1">
            <a:solidFill>
              <a:sysClr val="windowText" lastClr="000000"/>
            </a:solidFill>
          </a:endParaRPr>
        </a:p>
        <a:p>
          <a:pPr algn="l"/>
          <a:r>
            <a:rPr lang="id-ID" sz="1100" b="1">
              <a:solidFill>
                <a:sysClr val="windowText" lastClr="000000"/>
              </a:solidFill>
            </a:rPr>
            <a:t>2 =  Dengan bimbingan dan pendampingan yang lebih, akan mampu   meningkatkan ..</a:t>
          </a:r>
        </a:p>
      </xdr:txBody>
    </xdr:sp>
    <xdr:clientData/>
  </xdr:twoCellAnchor>
  <xdr:twoCellAnchor>
    <xdr:from>
      <xdr:col>7</xdr:col>
      <xdr:colOff>1438276</xdr:colOff>
      <xdr:row>8</xdr:row>
      <xdr:rowOff>9525</xdr:rowOff>
    </xdr:from>
    <xdr:to>
      <xdr:col>7</xdr:col>
      <xdr:colOff>2638426</xdr:colOff>
      <xdr:row>9</xdr:row>
      <xdr:rowOff>123825</xdr:rowOff>
    </xdr:to>
    <xdr:sp macro="" textlink="">
      <xdr:nvSpPr>
        <xdr:cNvPr id="7" name="Rounded Rectangle 6">
          <a:hlinkClick xmlns:r="http://schemas.openxmlformats.org/officeDocument/2006/relationships" r:id="rId1"/>
        </xdr:cNvPr>
        <xdr:cNvSpPr/>
      </xdr:nvSpPr>
      <xdr:spPr>
        <a:xfrm>
          <a:off x="5943601" y="1828800"/>
          <a:ext cx="1200150" cy="304800"/>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7</xdr:col>
      <xdr:colOff>1390650</xdr:colOff>
      <xdr:row>8</xdr:row>
      <xdr:rowOff>66675</xdr:rowOff>
    </xdr:from>
    <xdr:to>
      <xdr:col>7</xdr:col>
      <xdr:colOff>2705100</xdr:colOff>
      <xdr:row>9</xdr:row>
      <xdr:rowOff>180975</xdr:rowOff>
    </xdr:to>
    <xdr:sp macro="" textlink="">
      <xdr:nvSpPr>
        <xdr:cNvPr id="4" name="Rounded Rectangle 3">
          <a:hlinkClick xmlns:r="http://schemas.openxmlformats.org/officeDocument/2006/relationships" r:id="rId1"/>
        </xdr:cNvPr>
        <xdr:cNvSpPr/>
      </xdr:nvSpPr>
      <xdr:spPr>
        <a:xfrm>
          <a:off x="5429250" y="1647825"/>
          <a:ext cx="1314450" cy="304800"/>
        </a:xfrm>
        <a:prstGeom prst="roundRect">
          <a:avLst>
            <a:gd name="adj"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t>KEMBALI</a:t>
          </a:r>
        </a:p>
      </xdr:txBody>
    </xdr:sp>
    <xdr:clientData/>
  </xdr:twoCellAnchor>
  <xdr:twoCellAnchor>
    <xdr:from>
      <xdr:col>2</xdr:col>
      <xdr:colOff>114299</xdr:colOff>
      <xdr:row>3</xdr:row>
      <xdr:rowOff>0</xdr:rowOff>
    </xdr:from>
    <xdr:to>
      <xdr:col>7</xdr:col>
      <xdr:colOff>1219200</xdr:colOff>
      <xdr:row>10</xdr:row>
      <xdr:rowOff>28575</xdr:rowOff>
    </xdr:to>
    <xdr:sp macro="" textlink="">
      <xdr:nvSpPr>
        <xdr:cNvPr id="5" name="Rectangle 4"/>
        <xdr:cNvSpPr/>
      </xdr:nvSpPr>
      <xdr:spPr>
        <a:xfrm>
          <a:off x="2628899" y="876300"/>
          <a:ext cx="2628901" cy="1381125"/>
        </a:xfrm>
        <a:prstGeom prst="rect">
          <a:avLst/>
        </a:prstGeom>
        <a:solidFill>
          <a:srgbClr val="FFC000"/>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b="1">
              <a:solidFill>
                <a:sysClr val="windowText" lastClr="000000"/>
              </a:solidFill>
            </a:rPr>
            <a:t>Skala Nilai:</a:t>
          </a:r>
        </a:p>
        <a:p>
          <a:pPr algn="l"/>
          <a:r>
            <a:rPr lang="id-ID" sz="1100" b="1">
              <a:solidFill>
                <a:sysClr val="windowText" lastClr="000000"/>
              </a:solidFill>
            </a:rPr>
            <a:t>4 = Sangat baik</a:t>
          </a:r>
        </a:p>
        <a:p>
          <a:pPr algn="l"/>
          <a:r>
            <a:rPr lang="id-ID" sz="1100" b="1">
              <a:solidFill>
                <a:sysClr val="windowText" lastClr="000000"/>
              </a:solidFill>
            </a:rPr>
            <a:t>3 = Baik</a:t>
          </a:r>
        </a:p>
        <a:p>
          <a:pPr algn="l"/>
          <a:r>
            <a:rPr lang="id-ID" sz="1100" b="1">
              <a:solidFill>
                <a:sysClr val="windowText" lastClr="000000"/>
              </a:solidFill>
            </a:rPr>
            <a:t>2 = Dengan bimbingan dan pendampingan yang lebih, akan mampu   meningkatkan ..</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14</xdr:col>
      <xdr:colOff>266700</xdr:colOff>
      <xdr:row>1</xdr:row>
      <xdr:rowOff>200025</xdr:rowOff>
    </xdr:from>
    <xdr:to>
      <xdr:col>18</xdr:col>
      <xdr:colOff>76200</xdr:colOff>
      <xdr:row>2</xdr:row>
      <xdr:rowOff>276225</xdr:rowOff>
    </xdr:to>
    <xdr:sp macro="" textlink="">
      <xdr:nvSpPr>
        <xdr:cNvPr id="2" name="Rectangle 1">
          <a:hlinkClick xmlns:r="http://schemas.openxmlformats.org/officeDocument/2006/relationships" r:id="rId1"/>
        </xdr:cNvPr>
        <xdr:cNvSpPr/>
      </xdr:nvSpPr>
      <xdr:spPr>
        <a:xfrm>
          <a:off x="7096125" y="495300"/>
          <a:ext cx="2247900" cy="3905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id-ID" sz="1600"/>
            <a:t>REKAP PER - SISWA</a:t>
          </a:r>
        </a:p>
      </xdr:txBody>
    </xdr:sp>
    <xdr:clientData/>
  </xdr:twoCellAnchor>
  <xdr:twoCellAnchor editAs="oneCell">
    <xdr:from>
      <xdr:col>14</xdr:col>
      <xdr:colOff>257175</xdr:colOff>
      <xdr:row>0</xdr:row>
      <xdr:rowOff>133350</xdr:rowOff>
    </xdr:from>
    <xdr:to>
      <xdr:col>15</xdr:col>
      <xdr:colOff>360585</xdr:colOff>
      <xdr:row>1</xdr:row>
      <xdr:rowOff>134995</xdr:rowOff>
    </xdr:to>
    <xdr:pic macro="[0]!Picture1_Click">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91600" y="133350"/>
          <a:ext cx="713010" cy="296920"/>
        </a:xfrm>
        <a:prstGeom prst="rect">
          <a:avLst/>
        </a:prstGeom>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47625</xdr:colOff>
      <xdr:row>0</xdr:row>
      <xdr:rowOff>91711</xdr:rowOff>
    </xdr:from>
    <xdr:to>
      <xdr:col>0</xdr:col>
      <xdr:colOff>770181</xdr:colOff>
      <xdr:row>3</xdr:row>
      <xdr:rowOff>114300</xdr:rowOff>
    </xdr:to>
    <xdr:pic>
      <xdr:nvPicPr>
        <xdr:cNvPr id="7" name="Pictur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91711"/>
          <a:ext cx="722556" cy="708389"/>
        </a:xfrm>
        <a:prstGeom prst="rect">
          <a:avLst/>
        </a:prstGeom>
      </xdr:spPr>
    </xdr:pic>
    <xdr:clientData/>
  </xdr:twoCellAnchor>
  <xdr:twoCellAnchor editAs="oneCell">
    <xdr:from>
      <xdr:col>9</xdr:col>
      <xdr:colOff>334433</xdr:colOff>
      <xdr:row>0</xdr:row>
      <xdr:rowOff>178858</xdr:rowOff>
    </xdr:from>
    <xdr:to>
      <xdr:col>10</xdr:col>
      <xdr:colOff>437843</xdr:colOff>
      <xdr:row>2</xdr:row>
      <xdr:rowOff>7995</xdr:rowOff>
    </xdr:to>
    <xdr:pic macro="[0]!Picture1_Click">
      <xdr:nvPicPr>
        <xdr:cNvPr id="10" name="Picture 9">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11508" y="178858"/>
          <a:ext cx="713010" cy="295862"/>
        </a:xfrm>
        <a:prstGeom prst="rect">
          <a:avLst/>
        </a:prstGeom>
      </xdr:spPr>
    </xdr:pic>
    <xdr:clientData/>
  </xdr:twoCellAnchor>
  <xdr:twoCellAnchor>
    <xdr:from>
      <xdr:col>0</xdr:col>
      <xdr:colOff>9524</xdr:colOff>
      <xdr:row>26</xdr:row>
      <xdr:rowOff>23812</xdr:rowOff>
    </xdr:from>
    <xdr:to>
      <xdr:col>6</xdr:col>
      <xdr:colOff>28574</xdr:colOff>
      <xdr:row>40</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171450</xdr:colOff>
          <xdr:row>0</xdr:row>
          <xdr:rowOff>190500</xdr:rowOff>
        </xdr:from>
        <xdr:to>
          <xdr:col>9</xdr:col>
          <xdr:colOff>200025</xdr:colOff>
          <xdr:row>2</xdr:row>
          <xdr:rowOff>19050</xdr:rowOff>
        </xdr:to>
        <xdr:sp macro="" textlink="">
          <xdr:nvSpPr>
            <xdr:cNvPr id="69633" name="SpinButton1" hidden="1">
              <a:extLst>
                <a:ext uri="{63B3BB69-23CF-44E3-9099-C40C66FF867C}">
                  <a14:compatExt spid="_x0000_s696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editAs="oneCell">
    <xdr:from>
      <xdr:col>0</xdr:col>
      <xdr:colOff>47625</xdr:colOff>
      <xdr:row>0</xdr:row>
      <xdr:rowOff>57150</xdr:rowOff>
    </xdr:from>
    <xdr:to>
      <xdr:col>0</xdr:col>
      <xdr:colOff>841519</xdr:colOff>
      <xdr:row>3</xdr:row>
      <xdr:rowOff>114301</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793894" cy="742951"/>
        </a:xfrm>
        <a:prstGeom prst="rect">
          <a:avLst/>
        </a:prstGeom>
      </xdr:spPr>
    </xdr:pic>
    <xdr:clientData/>
  </xdr:twoCellAnchor>
  <xdr:twoCellAnchor editAs="oneCell">
    <xdr:from>
      <xdr:col>9</xdr:col>
      <xdr:colOff>196850</xdr:colOff>
      <xdr:row>0</xdr:row>
      <xdr:rowOff>184150</xdr:rowOff>
    </xdr:from>
    <xdr:to>
      <xdr:col>10</xdr:col>
      <xdr:colOff>296027</xdr:colOff>
      <xdr:row>2</xdr:row>
      <xdr:rowOff>14345</xdr:rowOff>
    </xdr:to>
    <xdr:pic macro="[0]!Picture1_Click">
      <xdr:nvPicPr>
        <xdr:cNvPr id="7" name="Picture 6">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273925" y="184150"/>
          <a:ext cx="708777" cy="296920"/>
        </a:xfrm>
        <a:prstGeom prst="rect">
          <a:avLst/>
        </a:prstGeom>
      </xdr:spPr>
    </xdr:pic>
    <xdr:clientData/>
  </xdr:twoCellAnchor>
  <xdr:twoCellAnchor>
    <xdr:from>
      <xdr:col>0</xdr:col>
      <xdr:colOff>0</xdr:colOff>
      <xdr:row>26</xdr:row>
      <xdr:rowOff>42862</xdr:rowOff>
    </xdr:from>
    <xdr:to>
      <xdr:col>5</xdr:col>
      <xdr:colOff>933450</xdr:colOff>
      <xdr:row>40</xdr:row>
      <xdr:rowOff>109537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57150</xdr:colOff>
          <xdr:row>0</xdr:row>
          <xdr:rowOff>190500</xdr:rowOff>
        </xdr:from>
        <xdr:to>
          <xdr:col>9</xdr:col>
          <xdr:colOff>85725</xdr:colOff>
          <xdr:row>2</xdr:row>
          <xdr:rowOff>19050</xdr:rowOff>
        </xdr:to>
        <xdr:sp macro="" textlink="">
          <xdr:nvSpPr>
            <xdr:cNvPr id="71681" name="SpinButton1" hidden="1">
              <a:extLst>
                <a:ext uri="{63B3BB69-23CF-44E3-9099-C40C66FF867C}">
                  <a14:compatExt spid="_x0000_s71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editAs="oneCell">
    <xdr:from>
      <xdr:col>28</xdr:col>
      <xdr:colOff>9525</xdr:colOff>
      <xdr:row>6</xdr:row>
      <xdr:rowOff>162856</xdr:rowOff>
    </xdr:from>
    <xdr:to>
      <xdr:col>31</xdr:col>
      <xdr:colOff>136609</xdr:colOff>
      <xdr:row>9</xdr:row>
      <xdr:rowOff>9525</xdr:rowOff>
    </xdr:to>
    <xdr:pic macro="[1]!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9900" y="1248706"/>
          <a:ext cx="870034" cy="361019"/>
        </a:xfrm>
        <a:prstGeom prst="rect">
          <a:avLst/>
        </a:prstGeom>
      </xdr:spPr>
    </xdr:pic>
    <xdr:clientData/>
  </xdr:twoCellAnchor>
  <xdr:twoCellAnchor>
    <xdr:from>
      <xdr:col>27</xdr:col>
      <xdr:colOff>47625</xdr:colOff>
      <xdr:row>0</xdr:row>
      <xdr:rowOff>142875</xdr:rowOff>
    </xdr:from>
    <xdr:to>
      <xdr:col>30</xdr:col>
      <xdr:colOff>28575</xdr:colOff>
      <xdr:row>2</xdr:row>
      <xdr:rowOff>57150</xdr:rowOff>
    </xdr:to>
    <xdr:sp macro="" textlink="">
      <xdr:nvSpPr>
        <xdr:cNvPr id="3" name="Rectangle 2">
          <a:hlinkClick xmlns:r="http://schemas.openxmlformats.org/officeDocument/2006/relationships" r:id="rId3"/>
        </xdr:cNvPr>
        <xdr:cNvSpPr/>
      </xdr:nvSpPr>
      <xdr:spPr>
        <a:xfrm>
          <a:off x="6429375" y="142875"/>
          <a:ext cx="723900" cy="314325"/>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KRISTEN</a:t>
          </a:r>
        </a:p>
      </xdr:txBody>
    </xdr:sp>
    <xdr:clientData/>
  </xdr:twoCellAnchor>
  <xdr:twoCellAnchor>
    <xdr:from>
      <xdr:col>30</xdr:col>
      <xdr:colOff>190500</xdr:colOff>
      <xdr:row>0</xdr:row>
      <xdr:rowOff>142875</xdr:rowOff>
    </xdr:from>
    <xdr:to>
      <xdr:col>33</xdr:col>
      <xdr:colOff>171450</xdr:colOff>
      <xdr:row>2</xdr:row>
      <xdr:rowOff>57150</xdr:rowOff>
    </xdr:to>
    <xdr:sp macro="" textlink="">
      <xdr:nvSpPr>
        <xdr:cNvPr id="4" name="Rectangle 3">
          <a:hlinkClick xmlns:r="http://schemas.openxmlformats.org/officeDocument/2006/relationships" r:id="rId4"/>
        </xdr:cNvPr>
        <xdr:cNvSpPr/>
      </xdr:nvSpPr>
      <xdr:spPr>
        <a:xfrm>
          <a:off x="7315200" y="142875"/>
          <a:ext cx="723900" cy="314325"/>
        </a:xfrm>
        <a:prstGeom prst="rect">
          <a:avLst/>
        </a:prstGeom>
        <a:solidFill>
          <a:srgbClr val="FF000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solidFill>
                <a:schemeClr val="bg1"/>
              </a:solidFill>
            </a:rPr>
            <a:t>KATOLIK</a:t>
          </a:r>
        </a:p>
      </xdr:txBody>
    </xdr:sp>
    <xdr:clientData/>
  </xdr:twoCellAnchor>
  <xdr:twoCellAnchor>
    <xdr:from>
      <xdr:col>34</xdr:col>
      <xdr:colOff>47625</xdr:colOff>
      <xdr:row>0</xdr:row>
      <xdr:rowOff>142875</xdr:rowOff>
    </xdr:from>
    <xdr:to>
      <xdr:col>37</xdr:col>
      <xdr:colOff>28575</xdr:colOff>
      <xdr:row>2</xdr:row>
      <xdr:rowOff>57150</xdr:rowOff>
    </xdr:to>
    <xdr:sp macro="" textlink="">
      <xdr:nvSpPr>
        <xdr:cNvPr id="5" name="Rectangle 4">
          <a:hlinkClick xmlns:r="http://schemas.openxmlformats.org/officeDocument/2006/relationships" r:id="rId5"/>
        </xdr:cNvPr>
        <xdr:cNvSpPr/>
      </xdr:nvSpPr>
      <xdr:spPr>
        <a:xfrm>
          <a:off x="8162925" y="142875"/>
          <a:ext cx="723900" cy="314325"/>
        </a:xfrm>
        <a:prstGeom prst="rect">
          <a:avLst/>
        </a:prstGeom>
        <a:solidFill>
          <a:srgbClr val="00B0F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HINDU</a:t>
          </a:r>
        </a:p>
      </xdr:txBody>
    </xdr:sp>
    <xdr:clientData/>
  </xdr:twoCellAnchor>
  <xdr:twoCellAnchor>
    <xdr:from>
      <xdr:col>37</xdr:col>
      <xdr:colOff>190500</xdr:colOff>
      <xdr:row>0</xdr:row>
      <xdr:rowOff>142875</xdr:rowOff>
    </xdr:from>
    <xdr:to>
      <xdr:col>40</xdr:col>
      <xdr:colOff>171450</xdr:colOff>
      <xdr:row>2</xdr:row>
      <xdr:rowOff>57150</xdr:rowOff>
    </xdr:to>
    <xdr:sp macro="" textlink="">
      <xdr:nvSpPr>
        <xdr:cNvPr id="6" name="Rectangle 5">
          <a:hlinkClick xmlns:r="http://schemas.openxmlformats.org/officeDocument/2006/relationships" r:id="rId6"/>
        </xdr:cNvPr>
        <xdr:cNvSpPr/>
      </xdr:nvSpPr>
      <xdr:spPr>
        <a:xfrm>
          <a:off x="9048750" y="142875"/>
          <a:ext cx="723900" cy="314325"/>
        </a:xfrm>
        <a:prstGeom prst="rect">
          <a:avLst/>
        </a:prstGeom>
        <a:solidFill>
          <a:schemeClr val="accent6"/>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BUDHA</a:t>
          </a:r>
        </a:p>
      </xdr:txBody>
    </xdr:sp>
    <xdr:clientData/>
  </xdr:twoCellAnchor>
</xdr:wsDr>
</file>

<file path=xl/drawings/drawing85.xml><?xml version="1.0" encoding="utf-8"?>
<xdr:wsDr xmlns:xdr="http://schemas.openxmlformats.org/drawingml/2006/spreadsheetDrawing" xmlns:a="http://schemas.openxmlformats.org/drawingml/2006/main">
  <xdr:twoCellAnchor editAs="oneCell">
    <xdr:from>
      <xdr:col>28</xdr:col>
      <xdr:colOff>9525</xdr:colOff>
      <xdr:row>6</xdr:row>
      <xdr:rowOff>162856</xdr:rowOff>
    </xdr:from>
    <xdr:to>
      <xdr:col>32</xdr:col>
      <xdr:colOff>142875</xdr:colOff>
      <xdr:row>9</xdr:row>
      <xdr:rowOff>114887</xdr:rowOff>
    </xdr:to>
    <xdr:pic macro="[1]!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9900" y="1248706"/>
          <a:ext cx="1123950" cy="466381"/>
        </a:xfrm>
        <a:prstGeom prst="rect">
          <a:avLst/>
        </a:prstGeom>
      </xdr:spPr>
    </xdr:pic>
    <xdr:clientData/>
  </xdr:twoCellAnchor>
  <xdr:twoCellAnchor>
    <xdr:from>
      <xdr:col>27</xdr:col>
      <xdr:colOff>47625</xdr:colOff>
      <xdr:row>0</xdr:row>
      <xdr:rowOff>142875</xdr:rowOff>
    </xdr:from>
    <xdr:to>
      <xdr:col>30</xdr:col>
      <xdr:colOff>28575</xdr:colOff>
      <xdr:row>2</xdr:row>
      <xdr:rowOff>57150</xdr:rowOff>
    </xdr:to>
    <xdr:sp macro="" textlink="">
      <xdr:nvSpPr>
        <xdr:cNvPr id="3" name="Rectangle 2">
          <a:hlinkClick xmlns:r="http://schemas.openxmlformats.org/officeDocument/2006/relationships" r:id="rId3"/>
        </xdr:cNvPr>
        <xdr:cNvSpPr/>
      </xdr:nvSpPr>
      <xdr:spPr>
        <a:xfrm>
          <a:off x="6610350" y="142875"/>
          <a:ext cx="723900" cy="314325"/>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KRISTEN</a:t>
          </a:r>
        </a:p>
      </xdr:txBody>
    </xdr:sp>
    <xdr:clientData/>
  </xdr:twoCellAnchor>
  <xdr:twoCellAnchor>
    <xdr:from>
      <xdr:col>30</xdr:col>
      <xdr:colOff>190500</xdr:colOff>
      <xdr:row>0</xdr:row>
      <xdr:rowOff>142875</xdr:rowOff>
    </xdr:from>
    <xdr:to>
      <xdr:col>33</xdr:col>
      <xdr:colOff>171450</xdr:colOff>
      <xdr:row>2</xdr:row>
      <xdr:rowOff>57150</xdr:rowOff>
    </xdr:to>
    <xdr:sp macro="" textlink="">
      <xdr:nvSpPr>
        <xdr:cNvPr id="4" name="Rectangle 3">
          <a:hlinkClick xmlns:r="http://schemas.openxmlformats.org/officeDocument/2006/relationships" r:id="rId4"/>
        </xdr:cNvPr>
        <xdr:cNvSpPr/>
      </xdr:nvSpPr>
      <xdr:spPr>
        <a:xfrm>
          <a:off x="7496175" y="142875"/>
          <a:ext cx="723900" cy="314325"/>
        </a:xfrm>
        <a:prstGeom prst="rect">
          <a:avLst/>
        </a:prstGeom>
        <a:solidFill>
          <a:srgbClr val="FF000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solidFill>
                <a:schemeClr val="bg1"/>
              </a:solidFill>
            </a:rPr>
            <a:t>KATOLIK</a:t>
          </a:r>
        </a:p>
      </xdr:txBody>
    </xdr:sp>
    <xdr:clientData/>
  </xdr:twoCellAnchor>
  <xdr:twoCellAnchor>
    <xdr:from>
      <xdr:col>34</xdr:col>
      <xdr:colOff>47625</xdr:colOff>
      <xdr:row>0</xdr:row>
      <xdr:rowOff>142875</xdr:rowOff>
    </xdr:from>
    <xdr:to>
      <xdr:col>37</xdr:col>
      <xdr:colOff>28575</xdr:colOff>
      <xdr:row>2</xdr:row>
      <xdr:rowOff>57150</xdr:rowOff>
    </xdr:to>
    <xdr:sp macro="" textlink="">
      <xdr:nvSpPr>
        <xdr:cNvPr id="5" name="Rectangle 4">
          <a:hlinkClick xmlns:r="http://schemas.openxmlformats.org/officeDocument/2006/relationships" r:id="rId5"/>
        </xdr:cNvPr>
        <xdr:cNvSpPr/>
      </xdr:nvSpPr>
      <xdr:spPr>
        <a:xfrm>
          <a:off x="8343900" y="142875"/>
          <a:ext cx="723900" cy="314325"/>
        </a:xfrm>
        <a:prstGeom prst="rect">
          <a:avLst/>
        </a:prstGeom>
        <a:solidFill>
          <a:srgbClr val="00B0F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HINDU</a:t>
          </a:r>
        </a:p>
      </xdr:txBody>
    </xdr:sp>
    <xdr:clientData/>
  </xdr:twoCellAnchor>
  <xdr:twoCellAnchor>
    <xdr:from>
      <xdr:col>37</xdr:col>
      <xdr:colOff>190500</xdr:colOff>
      <xdr:row>0</xdr:row>
      <xdr:rowOff>142875</xdr:rowOff>
    </xdr:from>
    <xdr:to>
      <xdr:col>40</xdr:col>
      <xdr:colOff>171450</xdr:colOff>
      <xdr:row>2</xdr:row>
      <xdr:rowOff>57150</xdr:rowOff>
    </xdr:to>
    <xdr:sp macro="" textlink="">
      <xdr:nvSpPr>
        <xdr:cNvPr id="6" name="Rectangle 5">
          <a:hlinkClick xmlns:r="http://schemas.openxmlformats.org/officeDocument/2006/relationships" r:id="rId6"/>
        </xdr:cNvPr>
        <xdr:cNvSpPr/>
      </xdr:nvSpPr>
      <xdr:spPr>
        <a:xfrm>
          <a:off x="9229725" y="142875"/>
          <a:ext cx="723900" cy="314325"/>
        </a:xfrm>
        <a:prstGeom prst="rect">
          <a:avLst/>
        </a:prstGeom>
        <a:solidFill>
          <a:schemeClr val="accent6"/>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BUDHA</a:t>
          </a:r>
        </a:p>
      </xdr:txBody>
    </xdr:sp>
    <xdr:clientData/>
  </xdr:twoCellAnchor>
</xdr:wsDr>
</file>

<file path=xl/drawings/drawing86.xml><?xml version="1.0" encoding="utf-8"?>
<xdr:wsDr xmlns:xdr="http://schemas.openxmlformats.org/drawingml/2006/spreadsheetDrawing" xmlns:a="http://schemas.openxmlformats.org/drawingml/2006/main">
  <xdr:twoCellAnchor editAs="oneCell">
    <xdr:from>
      <xdr:col>28</xdr:col>
      <xdr:colOff>9525</xdr:colOff>
      <xdr:row>6</xdr:row>
      <xdr:rowOff>162856</xdr:rowOff>
    </xdr:from>
    <xdr:to>
      <xdr:col>32</xdr:col>
      <xdr:colOff>142875</xdr:colOff>
      <xdr:row>9</xdr:row>
      <xdr:rowOff>114887</xdr:rowOff>
    </xdr:to>
    <xdr:pic macro="[1]!Picture1_Click">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9900" y="1248706"/>
          <a:ext cx="1123950" cy="466381"/>
        </a:xfrm>
        <a:prstGeom prst="rect">
          <a:avLst/>
        </a:prstGeom>
      </xdr:spPr>
    </xdr:pic>
    <xdr:clientData/>
  </xdr:twoCellAnchor>
  <xdr:twoCellAnchor>
    <xdr:from>
      <xdr:col>27</xdr:col>
      <xdr:colOff>47625</xdr:colOff>
      <xdr:row>0</xdr:row>
      <xdr:rowOff>142875</xdr:rowOff>
    </xdr:from>
    <xdr:to>
      <xdr:col>30</xdr:col>
      <xdr:colOff>28575</xdr:colOff>
      <xdr:row>2</xdr:row>
      <xdr:rowOff>57150</xdr:rowOff>
    </xdr:to>
    <xdr:sp macro="" textlink="">
      <xdr:nvSpPr>
        <xdr:cNvPr id="3" name="Rectangle 2">
          <a:hlinkClick xmlns:r="http://schemas.openxmlformats.org/officeDocument/2006/relationships" r:id="rId3"/>
        </xdr:cNvPr>
        <xdr:cNvSpPr/>
      </xdr:nvSpPr>
      <xdr:spPr>
        <a:xfrm>
          <a:off x="6610350" y="142875"/>
          <a:ext cx="723900" cy="314325"/>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KRISTEN</a:t>
          </a:r>
        </a:p>
      </xdr:txBody>
    </xdr:sp>
    <xdr:clientData/>
  </xdr:twoCellAnchor>
  <xdr:twoCellAnchor>
    <xdr:from>
      <xdr:col>30</xdr:col>
      <xdr:colOff>190500</xdr:colOff>
      <xdr:row>0</xdr:row>
      <xdr:rowOff>142875</xdr:rowOff>
    </xdr:from>
    <xdr:to>
      <xdr:col>33</xdr:col>
      <xdr:colOff>171450</xdr:colOff>
      <xdr:row>2</xdr:row>
      <xdr:rowOff>57150</xdr:rowOff>
    </xdr:to>
    <xdr:sp macro="" textlink="">
      <xdr:nvSpPr>
        <xdr:cNvPr id="4" name="Rectangle 3">
          <a:hlinkClick xmlns:r="http://schemas.openxmlformats.org/officeDocument/2006/relationships" r:id="rId4"/>
        </xdr:cNvPr>
        <xdr:cNvSpPr/>
      </xdr:nvSpPr>
      <xdr:spPr>
        <a:xfrm>
          <a:off x="7496175" y="142875"/>
          <a:ext cx="723900" cy="314325"/>
        </a:xfrm>
        <a:prstGeom prst="rect">
          <a:avLst/>
        </a:prstGeom>
        <a:solidFill>
          <a:srgbClr val="FF000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solidFill>
                <a:schemeClr val="bg1"/>
              </a:solidFill>
            </a:rPr>
            <a:t>KATOLIK</a:t>
          </a:r>
        </a:p>
      </xdr:txBody>
    </xdr:sp>
    <xdr:clientData/>
  </xdr:twoCellAnchor>
  <xdr:twoCellAnchor>
    <xdr:from>
      <xdr:col>34</xdr:col>
      <xdr:colOff>47625</xdr:colOff>
      <xdr:row>0</xdr:row>
      <xdr:rowOff>142875</xdr:rowOff>
    </xdr:from>
    <xdr:to>
      <xdr:col>37</xdr:col>
      <xdr:colOff>28575</xdr:colOff>
      <xdr:row>2</xdr:row>
      <xdr:rowOff>57150</xdr:rowOff>
    </xdr:to>
    <xdr:sp macro="" textlink="">
      <xdr:nvSpPr>
        <xdr:cNvPr id="5" name="Rectangle 4">
          <a:hlinkClick xmlns:r="http://schemas.openxmlformats.org/officeDocument/2006/relationships" r:id="rId5"/>
        </xdr:cNvPr>
        <xdr:cNvSpPr/>
      </xdr:nvSpPr>
      <xdr:spPr>
        <a:xfrm>
          <a:off x="8343900" y="142875"/>
          <a:ext cx="723900" cy="314325"/>
        </a:xfrm>
        <a:prstGeom prst="rect">
          <a:avLst/>
        </a:prstGeom>
        <a:solidFill>
          <a:srgbClr val="00B0F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HINDU</a:t>
          </a:r>
        </a:p>
      </xdr:txBody>
    </xdr:sp>
    <xdr:clientData/>
  </xdr:twoCellAnchor>
  <xdr:twoCellAnchor>
    <xdr:from>
      <xdr:col>37</xdr:col>
      <xdr:colOff>190500</xdr:colOff>
      <xdr:row>0</xdr:row>
      <xdr:rowOff>142875</xdr:rowOff>
    </xdr:from>
    <xdr:to>
      <xdr:col>40</xdr:col>
      <xdr:colOff>171450</xdr:colOff>
      <xdr:row>2</xdr:row>
      <xdr:rowOff>57150</xdr:rowOff>
    </xdr:to>
    <xdr:sp macro="" textlink="">
      <xdr:nvSpPr>
        <xdr:cNvPr id="6" name="Rectangle 5">
          <a:hlinkClick xmlns:r="http://schemas.openxmlformats.org/officeDocument/2006/relationships" r:id="rId6"/>
        </xdr:cNvPr>
        <xdr:cNvSpPr/>
      </xdr:nvSpPr>
      <xdr:spPr>
        <a:xfrm>
          <a:off x="9229725" y="142875"/>
          <a:ext cx="723900" cy="314325"/>
        </a:xfrm>
        <a:prstGeom prst="rect">
          <a:avLst/>
        </a:prstGeom>
        <a:solidFill>
          <a:schemeClr val="accent6"/>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BUDHA</a:t>
          </a:r>
        </a:p>
      </xdr:txBody>
    </xdr:sp>
    <xdr:clientData/>
  </xdr:twoCellAnchor>
</xdr:wsDr>
</file>

<file path=xl/drawings/drawing87.xml><?xml version="1.0" encoding="utf-8"?>
<xdr:wsDr xmlns:xdr="http://schemas.openxmlformats.org/drawingml/2006/spreadsheetDrawing" xmlns:a="http://schemas.openxmlformats.org/drawingml/2006/main">
  <xdr:twoCellAnchor editAs="oneCell">
    <xdr:from>
      <xdr:col>28</xdr:col>
      <xdr:colOff>9525</xdr:colOff>
      <xdr:row>6</xdr:row>
      <xdr:rowOff>162856</xdr:rowOff>
    </xdr:from>
    <xdr:to>
      <xdr:col>32</xdr:col>
      <xdr:colOff>142875</xdr:colOff>
      <xdr:row>9</xdr:row>
      <xdr:rowOff>114887</xdr:rowOff>
    </xdr:to>
    <xdr:pic macro="[1]!Picture1_Click">
      <xdr:nvPicPr>
        <xdr:cNvPr id="7" name="Picture 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9900" y="1248706"/>
          <a:ext cx="1123950" cy="466381"/>
        </a:xfrm>
        <a:prstGeom prst="rect">
          <a:avLst/>
        </a:prstGeom>
      </xdr:spPr>
    </xdr:pic>
    <xdr:clientData/>
  </xdr:twoCellAnchor>
  <xdr:twoCellAnchor>
    <xdr:from>
      <xdr:col>27</xdr:col>
      <xdr:colOff>47625</xdr:colOff>
      <xdr:row>0</xdr:row>
      <xdr:rowOff>142875</xdr:rowOff>
    </xdr:from>
    <xdr:to>
      <xdr:col>30</xdr:col>
      <xdr:colOff>28575</xdr:colOff>
      <xdr:row>2</xdr:row>
      <xdr:rowOff>57150</xdr:rowOff>
    </xdr:to>
    <xdr:sp macro="" textlink="">
      <xdr:nvSpPr>
        <xdr:cNvPr id="8" name="Rectangle 7">
          <a:hlinkClick xmlns:r="http://schemas.openxmlformats.org/officeDocument/2006/relationships" r:id="rId3"/>
        </xdr:cNvPr>
        <xdr:cNvSpPr/>
      </xdr:nvSpPr>
      <xdr:spPr>
        <a:xfrm>
          <a:off x="6610350" y="142875"/>
          <a:ext cx="723900" cy="314325"/>
        </a:xfrm>
        <a:prstGeom prst="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KRISTEN</a:t>
          </a:r>
        </a:p>
      </xdr:txBody>
    </xdr:sp>
    <xdr:clientData/>
  </xdr:twoCellAnchor>
  <xdr:twoCellAnchor>
    <xdr:from>
      <xdr:col>30</xdr:col>
      <xdr:colOff>190500</xdr:colOff>
      <xdr:row>0</xdr:row>
      <xdr:rowOff>142875</xdr:rowOff>
    </xdr:from>
    <xdr:to>
      <xdr:col>33</xdr:col>
      <xdr:colOff>171450</xdr:colOff>
      <xdr:row>2</xdr:row>
      <xdr:rowOff>57150</xdr:rowOff>
    </xdr:to>
    <xdr:sp macro="" textlink="">
      <xdr:nvSpPr>
        <xdr:cNvPr id="9" name="Rectangle 8">
          <a:hlinkClick xmlns:r="http://schemas.openxmlformats.org/officeDocument/2006/relationships" r:id="rId4"/>
        </xdr:cNvPr>
        <xdr:cNvSpPr/>
      </xdr:nvSpPr>
      <xdr:spPr>
        <a:xfrm>
          <a:off x="7496175" y="142875"/>
          <a:ext cx="723900" cy="314325"/>
        </a:xfrm>
        <a:prstGeom prst="rect">
          <a:avLst/>
        </a:prstGeom>
        <a:solidFill>
          <a:srgbClr val="FF000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solidFill>
                <a:schemeClr val="bg1"/>
              </a:solidFill>
            </a:rPr>
            <a:t>KATOLIK</a:t>
          </a:r>
        </a:p>
      </xdr:txBody>
    </xdr:sp>
    <xdr:clientData/>
  </xdr:twoCellAnchor>
  <xdr:twoCellAnchor>
    <xdr:from>
      <xdr:col>34</xdr:col>
      <xdr:colOff>47625</xdr:colOff>
      <xdr:row>0</xdr:row>
      <xdr:rowOff>142875</xdr:rowOff>
    </xdr:from>
    <xdr:to>
      <xdr:col>37</xdr:col>
      <xdr:colOff>28575</xdr:colOff>
      <xdr:row>2</xdr:row>
      <xdr:rowOff>57150</xdr:rowOff>
    </xdr:to>
    <xdr:sp macro="" textlink="">
      <xdr:nvSpPr>
        <xdr:cNvPr id="10" name="Rectangle 9">
          <a:hlinkClick xmlns:r="http://schemas.openxmlformats.org/officeDocument/2006/relationships" r:id="rId5"/>
        </xdr:cNvPr>
        <xdr:cNvSpPr/>
      </xdr:nvSpPr>
      <xdr:spPr>
        <a:xfrm>
          <a:off x="8343900" y="142875"/>
          <a:ext cx="723900" cy="314325"/>
        </a:xfrm>
        <a:prstGeom prst="rect">
          <a:avLst/>
        </a:prstGeom>
        <a:solidFill>
          <a:srgbClr val="00B0F0"/>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HINDU</a:t>
          </a:r>
        </a:p>
      </xdr:txBody>
    </xdr:sp>
    <xdr:clientData/>
  </xdr:twoCellAnchor>
  <xdr:twoCellAnchor>
    <xdr:from>
      <xdr:col>37</xdr:col>
      <xdr:colOff>190500</xdr:colOff>
      <xdr:row>0</xdr:row>
      <xdr:rowOff>142875</xdr:rowOff>
    </xdr:from>
    <xdr:to>
      <xdr:col>40</xdr:col>
      <xdr:colOff>171450</xdr:colOff>
      <xdr:row>2</xdr:row>
      <xdr:rowOff>57150</xdr:rowOff>
    </xdr:to>
    <xdr:sp macro="" textlink="">
      <xdr:nvSpPr>
        <xdr:cNvPr id="11" name="Rectangle 10">
          <a:hlinkClick xmlns:r="http://schemas.openxmlformats.org/officeDocument/2006/relationships" r:id="rId6"/>
        </xdr:cNvPr>
        <xdr:cNvSpPr/>
      </xdr:nvSpPr>
      <xdr:spPr>
        <a:xfrm>
          <a:off x="9229725" y="142875"/>
          <a:ext cx="723900" cy="314325"/>
        </a:xfrm>
        <a:prstGeom prst="rect">
          <a:avLst/>
        </a:prstGeom>
        <a:solidFill>
          <a:schemeClr val="accent6"/>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r>
            <a:rPr lang="id-ID" sz="1100"/>
            <a:t>BUDHA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ILA~1/AppData/Local/Temp/Rar$DIa0.152/RAPOT%20KARTIKA%206_smt%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ILA~1/AppData/Local/Temp/Rar$DIa0.152/Kelas%205dr%20p%20toto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tsiswa"/>
      <sheetName val="dtsekolah"/>
      <sheetName val="dtesku"/>
      <sheetName val="UTagm"/>
      <sheetName val="UT_pkn"/>
      <sheetName val="UT_bhs ind"/>
      <sheetName val="UT_mat"/>
      <sheetName val="UHT_IPA"/>
      <sheetName val="UHT_IPS"/>
      <sheetName val="UT_PJOK"/>
      <sheetName val="UT_Sbdp"/>
      <sheetName val="UT_MULOK"/>
      <sheetName val="agmki3"/>
      <sheetName val="pknki_3"/>
      <sheetName val="biki_3"/>
      <sheetName val="Mat_ki3"/>
      <sheetName val="ipa_3"/>
      <sheetName val="IPS_3"/>
      <sheetName val="sbdp_ki3"/>
      <sheetName val="pjok_ki3"/>
      <sheetName val="mulok_ki3"/>
      <sheetName val="agki_4"/>
      <sheetName val="pkn_ki4"/>
      <sheetName val="BI_ki4"/>
      <sheetName val="mat_ki4"/>
      <sheetName val="IPS_KI4"/>
      <sheetName val="IPA_KI4"/>
      <sheetName val="Sbdp_ki4"/>
      <sheetName val="pjok_ki4"/>
      <sheetName val="mulok_ki4"/>
      <sheetName val="des_agm"/>
      <sheetName val="des_pkn"/>
      <sheetName val="des_BI"/>
      <sheetName val="des_ipa"/>
      <sheetName val="des_ips"/>
      <sheetName val="des_mat"/>
      <sheetName val="des_sbdp"/>
      <sheetName val="des_pjok"/>
      <sheetName val="des_mulok"/>
      <sheetName val="kd all"/>
      <sheetName val="kdki3l"/>
      <sheetName val="kdki4"/>
      <sheetName val="RAPOT"/>
      <sheetName val="REKAPALL"/>
      <sheetName val="an_agm1"/>
      <sheetName val="an_pkn5"/>
      <sheetName val="an_pkn6"/>
      <sheetName val="an_pkn7"/>
      <sheetName val="an_pkn8"/>
      <sheetName val="an_bi5"/>
      <sheetName val="an_bi6"/>
      <sheetName val="an_bi7"/>
      <sheetName val="an_bi8"/>
      <sheetName val="an_mat5"/>
      <sheetName val="an_mat6"/>
      <sheetName val="an_mat7"/>
      <sheetName val="an_mat8"/>
      <sheetName val="an_sbdp5"/>
      <sheetName val="an_sbdp6"/>
      <sheetName val="an_sbdp7"/>
      <sheetName val="an_sbdp8"/>
      <sheetName val="an_pjok5"/>
      <sheetName val="an_pjok6"/>
      <sheetName val="an_pjok7"/>
      <sheetName val="an_pjok8"/>
      <sheetName val="an_IPA6"/>
      <sheetName val="an_IPA7"/>
      <sheetName val="an_IPA8"/>
      <sheetName val="an_IPA9"/>
      <sheetName val="an_IPs6"/>
      <sheetName val="an_IPs7"/>
      <sheetName val="an_IPs8"/>
      <sheetName val="an_IPs9"/>
      <sheetName val="an_mulok"/>
      <sheetName val="LEDGER"/>
      <sheetName val="PETUNJUK"/>
      <sheetName val="prestasi"/>
      <sheetName val="SPIRITUAL"/>
      <sheetName val="SOSIAL"/>
      <sheetName val="REKAP 1"/>
      <sheetName val="hasil"/>
      <sheetName val="REKAP KI4"/>
      <sheetName val="HASIL2"/>
      <sheetName val="KAT"/>
      <sheetName val="KRTS"/>
      <sheetName val="HINDU"/>
      <sheetName val="BUDHA"/>
      <sheetName val="RAPOT KARTIKA 6_smt 2"/>
    </sheetNames>
    <definedNames>
      <definedName name="Picture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row r="15">
          <cell r="A15">
            <v>1</v>
          </cell>
          <cell r="B15" t="str">
            <v>Amatera Yohana</v>
          </cell>
          <cell r="C15">
            <v>4</v>
          </cell>
          <cell r="D15">
            <v>3</v>
          </cell>
          <cell r="E15">
            <v>4</v>
          </cell>
          <cell r="F15">
            <v>2</v>
          </cell>
          <cell r="G15">
            <v>0</v>
          </cell>
          <cell r="H15" t="str">
            <v xml:space="preserve"> Sangat baik dalam ketaatan beribadah, berdo'a sebelum melakukan kegiatan,   Baik dalam  berperilaku syukur,    Dengan bimbingan dan pendampingan yang lebih, akan mampu meningkatkan sikap    toleransi beragama,  </v>
          </cell>
        </row>
        <row r="16">
          <cell r="A16">
            <v>2</v>
          </cell>
          <cell r="B16" t="str">
            <v>Bayu Anggara</v>
          </cell>
          <cell r="C16">
            <v>4</v>
          </cell>
          <cell r="D16">
            <v>4</v>
          </cell>
          <cell r="E16">
            <v>4</v>
          </cell>
          <cell r="F16">
            <v>3</v>
          </cell>
          <cell r="G16">
            <v>0</v>
          </cell>
          <cell r="H16" t="str">
            <v xml:space="preserve"> Sangat baik dalam ketaatan beribadah,berperilaku syukur,berdo'a sebelum melakukan kegiatan,   Baik dalam    toleransi beragama,               </v>
          </cell>
        </row>
        <row r="17">
          <cell r="A17">
            <v>3</v>
          </cell>
          <cell r="B17" t="str">
            <v>Deril Fransiska A</v>
          </cell>
          <cell r="C17">
            <v>0</v>
          </cell>
          <cell r="D17">
            <v>0</v>
          </cell>
          <cell r="E17">
            <v>0</v>
          </cell>
          <cell r="F17">
            <v>0</v>
          </cell>
          <cell r="G17">
            <v>0</v>
          </cell>
          <cell r="H17" t="str">
            <v/>
          </cell>
        </row>
        <row r="18">
          <cell r="A18">
            <v>4</v>
          </cell>
          <cell r="B18" t="str">
            <v>Dhika Wahyu N</v>
          </cell>
          <cell r="C18">
            <v>0</v>
          </cell>
          <cell r="D18">
            <v>0</v>
          </cell>
          <cell r="E18">
            <v>0</v>
          </cell>
          <cell r="F18">
            <v>0</v>
          </cell>
          <cell r="G18">
            <v>0</v>
          </cell>
          <cell r="H18" t="str">
            <v/>
          </cell>
        </row>
        <row r="19">
          <cell r="A19">
            <v>5</v>
          </cell>
          <cell r="B19" t="str">
            <v>Fajar Nurmansyah</v>
          </cell>
          <cell r="C19">
            <v>0</v>
          </cell>
          <cell r="D19">
            <v>0</v>
          </cell>
          <cell r="E19">
            <v>0</v>
          </cell>
          <cell r="F19">
            <v>0</v>
          </cell>
          <cell r="G19">
            <v>0</v>
          </cell>
          <cell r="H19" t="str">
            <v/>
          </cell>
        </row>
        <row r="20">
          <cell r="A20">
            <v>6</v>
          </cell>
          <cell r="B20" t="str">
            <v>Fachrizal Putra</v>
          </cell>
          <cell r="C20">
            <v>0</v>
          </cell>
          <cell r="D20">
            <v>0</v>
          </cell>
          <cell r="E20">
            <v>0</v>
          </cell>
          <cell r="F20">
            <v>0</v>
          </cell>
          <cell r="G20">
            <v>0</v>
          </cell>
          <cell r="H20" t="str">
            <v/>
          </cell>
        </row>
        <row r="21">
          <cell r="A21">
            <v>7</v>
          </cell>
          <cell r="B21" t="str">
            <v>Febriana Amalia</v>
          </cell>
          <cell r="C21">
            <v>0</v>
          </cell>
          <cell r="D21">
            <v>0</v>
          </cell>
          <cell r="E21">
            <v>0</v>
          </cell>
          <cell r="F21">
            <v>0</v>
          </cell>
          <cell r="G21">
            <v>0</v>
          </cell>
          <cell r="H21" t="str">
            <v/>
          </cell>
        </row>
        <row r="22">
          <cell r="A22">
            <v>8</v>
          </cell>
          <cell r="B22" t="str">
            <v>Izza Sani Rusyada</v>
          </cell>
          <cell r="C22">
            <v>0</v>
          </cell>
          <cell r="D22">
            <v>0</v>
          </cell>
          <cell r="E22">
            <v>0</v>
          </cell>
          <cell r="F22">
            <v>0</v>
          </cell>
          <cell r="G22">
            <v>0</v>
          </cell>
          <cell r="H22" t="str">
            <v/>
          </cell>
        </row>
        <row r="23">
          <cell r="A23">
            <v>9</v>
          </cell>
          <cell r="B23" t="str">
            <v>Juventiar Arif Pahlevi</v>
          </cell>
          <cell r="C23">
            <v>0</v>
          </cell>
          <cell r="D23">
            <v>0</v>
          </cell>
          <cell r="E23">
            <v>0</v>
          </cell>
          <cell r="F23">
            <v>0</v>
          </cell>
          <cell r="G23">
            <v>0</v>
          </cell>
          <cell r="H23" t="str">
            <v/>
          </cell>
        </row>
        <row r="24">
          <cell r="A24">
            <v>10</v>
          </cell>
          <cell r="B24" t="str">
            <v>Marcelino Arya S.R</v>
          </cell>
          <cell r="C24">
            <v>0</v>
          </cell>
          <cell r="D24">
            <v>0</v>
          </cell>
          <cell r="E24">
            <v>0</v>
          </cell>
          <cell r="F24">
            <v>0</v>
          </cell>
          <cell r="G24">
            <v>0</v>
          </cell>
          <cell r="H24" t="str">
            <v/>
          </cell>
        </row>
        <row r="25">
          <cell r="A25">
            <v>11</v>
          </cell>
          <cell r="B25" t="str">
            <v>M. Dafa Sinatria</v>
          </cell>
          <cell r="C25">
            <v>0</v>
          </cell>
          <cell r="D25">
            <v>0</v>
          </cell>
          <cell r="E25">
            <v>0</v>
          </cell>
          <cell r="F25">
            <v>0</v>
          </cell>
          <cell r="G25">
            <v>0</v>
          </cell>
          <cell r="H25" t="str">
            <v/>
          </cell>
        </row>
        <row r="26">
          <cell r="A26">
            <v>12</v>
          </cell>
          <cell r="B26" t="str">
            <v>Mochammad Bagaskara</v>
          </cell>
          <cell r="C26">
            <v>0</v>
          </cell>
          <cell r="D26">
            <v>0</v>
          </cell>
          <cell r="E26">
            <v>0</v>
          </cell>
          <cell r="F26">
            <v>0</v>
          </cell>
          <cell r="G26">
            <v>0</v>
          </cell>
          <cell r="H26" t="str">
            <v/>
          </cell>
        </row>
        <row r="27">
          <cell r="A27">
            <v>13</v>
          </cell>
          <cell r="B27" t="str">
            <v>Naura Paramahita N</v>
          </cell>
          <cell r="C27">
            <v>0</v>
          </cell>
          <cell r="D27">
            <v>0</v>
          </cell>
          <cell r="E27">
            <v>0</v>
          </cell>
          <cell r="F27">
            <v>0</v>
          </cell>
          <cell r="G27">
            <v>0</v>
          </cell>
          <cell r="H27" t="str">
            <v/>
          </cell>
        </row>
        <row r="28">
          <cell r="A28">
            <v>14</v>
          </cell>
          <cell r="B28" t="str">
            <v>Nuril Yanabillah W</v>
          </cell>
          <cell r="C28">
            <v>0</v>
          </cell>
          <cell r="D28">
            <v>0</v>
          </cell>
          <cell r="E28">
            <v>0</v>
          </cell>
          <cell r="F28">
            <v>0</v>
          </cell>
          <cell r="G28">
            <v>0</v>
          </cell>
          <cell r="H28" t="str">
            <v/>
          </cell>
        </row>
        <row r="29">
          <cell r="A29">
            <v>15</v>
          </cell>
          <cell r="B29" t="str">
            <v>Rafael Bagaskara</v>
          </cell>
          <cell r="C29">
            <v>0</v>
          </cell>
          <cell r="D29">
            <v>0</v>
          </cell>
          <cell r="E29">
            <v>0</v>
          </cell>
          <cell r="F29">
            <v>0</v>
          </cell>
          <cell r="G29">
            <v>0</v>
          </cell>
          <cell r="H29" t="str">
            <v/>
          </cell>
        </row>
        <row r="30">
          <cell r="A30">
            <v>16</v>
          </cell>
          <cell r="B30" t="str">
            <v>Rafifah Fairuz K</v>
          </cell>
          <cell r="C30">
            <v>0</v>
          </cell>
          <cell r="D30">
            <v>0</v>
          </cell>
          <cell r="E30">
            <v>0</v>
          </cell>
          <cell r="F30">
            <v>0</v>
          </cell>
          <cell r="G30">
            <v>0</v>
          </cell>
          <cell r="H30" t="str">
            <v/>
          </cell>
        </row>
        <row r="31">
          <cell r="A31">
            <v>17</v>
          </cell>
          <cell r="B31" t="str">
            <v>Rendy Putra Kusuma</v>
          </cell>
          <cell r="C31">
            <v>0</v>
          </cell>
          <cell r="D31">
            <v>0</v>
          </cell>
          <cell r="E31">
            <v>0</v>
          </cell>
          <cell r="F31">
            <v>0</v>
          </cell>
          <cell r="G31">
            <v>0</v>
          </cell>
          <cell r="H31" t="str">
            <v/>
          </cell>
        </row>
        <row r="32">
          <cell r="A32">
            <v>18</v>
          </cell>
          <cell r="B32" t="str">
            <v>Rahhagagel W</v>
          </cell>
          <cell r="C32">
            <v>0</v>
          </cell>
          <cell r="D32">
            <v>0</v>
          </cell>
          <cell r="E32">
            <v>0</v>
          </cell>
          <cell r="F32">
            <v>0</v>
          </cell>
          <cell r="G32">
            <v>0</v>
          </cell>
          <cell r="H32" t="str">
            <v/>
          </cell>
        </row>
        <row r="33">
          <cell r="A33">
            <v>19</v>
          </cell>
          <cell r="B33" t="str">
            <v>Ruben Bimantara P.A</v>
          </cell>
          <cell r="C33">
            <v>0</v>
          </cell>
          <cell r="D33">
            <v>0</v>
          </cell>
          <cell r="E33">
            <v>0</v>
          </cell>
          <cell r="F33">
            <v>0</v>
          </cell>
          <cell r="G33">
            <v>0</v>
          </cell>
          <cell r="H33" t="str">
            <v/>
          </cell>
        </row>
        <row r="34">
          <cell r="A34">
            <v>20</v>
          </cell>
          <cell r="B34" t="str">
            <v>Sapta Andhika</v>
          </cell>
          <cell r="C34">
            <v>0</v>
          </cell>
          <cell r="D34">
            <v>0</v>
          </cell>
          <cell r="E34">
            <v>0</v>
          </cell>
          <cell r="F34">
            <v>0</v>
          </cell>
          <cell r="G34">
            <v>0</v>
          </cell>
          <cell r="H34" t="str">
            <v/>
          </cell>
        </row>
        <row r="35">
          <cell r="A35">
            <v>21</v>
          </cell>
          <cell r="B35" t="str">
            <v>Tsarisyah Tirta</v>
          </cell>
          <cell r="C35">
            <v>0</v>
          </cell>
          <cell r="D35">
            <v>0</v>
          </cell>
          <cell r="E35">
            <v>0</v>
          </cell>
          <cell r="F35">
            <v>0</v>
          </cell>
          <cell r="G35">
            <v>0</v>
          </cell>
          <cell r="H35" t="str">
            <v/>
          </cell>
        </row>
        <row r="36">
          <cell r="A36">
            <v>22</v>
          </cell>
          <cell r="B36" t="str">
            <v>Vito Nur Ramadhan</v>
          </cell>
          <cell r="C36">
            <v>0</v>
          </cell>
          <cell r="D36">
            <v>0</v>
          </cell>
          <cell r="E36">
            <v>0</v>
          </cell>
          <cell r="F36">
            <v>0</v>
          </cell>
          <cell r="G36">
            <v>0</v>
          </cell>
          <cell r="H36" t="str">
            <v/>
          </cell>
        </row>
        <row r="37">
          <cell r="A37">
            <v>23</v>
          </cell>
          <cell r="B37" t="str">
            <v>Yardan Yanabillah</v>
          </cell>
          <cell r="C37">
            <v>0</v>
          </cell>
          <cell r="D37">
            <v>0</v>
          </cell>
          <cell r="E37">
            <v>0</v>
          </cell>
          <cell r="F37">
            <v>0</v>
          </cell>
          <cell r="G37">
            <v>0</v>
          </cell>
          <cell r="H37" t="str">
            <v/>
          </cell>
        </row>
        <row r="38">
          <cell r="A38">
            <v>24</v>
          </cell>
          <cell r="B38" t="str">
            <v>Gesang Wicaksana S</v>
          </cell>
          <cell r="C38">
            <v>0</v>
          </cell>
          <cell r="D38">
            <v>0</v>
          </cell>
          <cell r="E38">
            <v>0</v>
          </cell>
          <cell r="F38">
            <v>0</v>
          </cell>
          <cell r="G38">
            <v>0</v>
          </cell>
          <cell r="H38" t="str">
            <v/>
          </cell>
        </row>
        <row r="39">
          <cell r="A39">
            <v>25</v>
          </cell>
          <cell r="B39" t="str">
            <v>Mahendra Alifian W</v>
          </cell>
          <cell r="C39">
            <v>0</v>
          </cell>
          <cell r="D39">
            <v>0</v>
          </cell>
          <cell r="E39">
            <v>0</v>
          </cell>
          <cell r="F39">
            <v>0</v>
          </cell>
          <cell r="G39">
            <v>0</v>
          </cell>
          <cell r="H39" t="str">
            <v/>
          </cell>
        </row>
        <row r="40">
          <cell r="A40">
            <v>26</v>
          </cell>
          <cell r="B40" t="str">
            <v>Marcelino Yovito Arbi</v>
          </cell>
          <cell r="C40">
            <v>0</v>
          </cell>
          <cell r="D40">
            <v>0</v>
          </cell>
          <cell r="E40">
            <v>0</v>
          </cell>
          <cell r="F40">
            <v>0</v>
          </cell>
          <cell r="G40">
            <v>0</v>
          </cell>
          <cell r="H40" t="str">
            <v/>
          </cell>
        </row>
        <row r="41">
          <cell r="A41">
            <v>27</v>
          </cell>
          <cell r="B41" t="str">
            <v>Nadia Ekasari</v>
          </cell>
          <cell r="C41">
            <v>0</v>
          </cell>
          <cell r="D41">
            <v>0</v>
          </cell>
          <cell r="E41">
            <v>0</v>
          </cell>
          <cell r="F41">
            <v>0</v>
          </cell>
          <cell r="G41">
            <v>0</v>
          </cell>
          <cell r="H41" t="str">
            <v/>
          </cell>
        </row>
        <row r="42">
          <cell r="A42">
            <v>28</v>
          </cell>
          <cell r="B42" t="str">
            <v>Namira Amanda Putri</v>
          </cell>
          <cell r="C42">
            <v>0</v>
          </cell>
          <cell r="D42">
            <v>0</v>
          </cell>
          <cell r="E42">
            <v>0</v>
          </cell>
          <cell r="F42">
            <v>0</v>
          </cell>
          <cell r="G42">
            <v>0</v>
          </cell>
          <cell r="H42" t="str">
            <v/>
          </cell>
        </row>
        <row r="43">
          <cell r="A43">
            <v>29</v>
          </cell>
          <cell r="B43" t="str">
            <v>Agung Tyo Kuswara</v>
          </cell>
          <cell r="C43">
            <v>0</v>
          </cell>
          <cell r="D43">
            <v>0</v>
          </cell>
          <cell r="E43">
            <v>0</v>
          </cell>
          <cell r="F43">
            <v>0</v>
          </cell>
          <cell r="G43">
            <v>0</v>
          </cell>
          <cell r="H43" t="str">
            <v/>
          </cell>
        </row>
        <row r="44">
          <cell r="A44">
            <v>30</v>
          </cell>
          <cell r="B44" t="str">
            <v>Kentza Loasandria Lukito</v>
          </cell>
          <cell r="C44">
            <v>0</v>
          </cell>
          <cell r="D44">
            <v>0</v>
          </cell>
          <cell r="E44">
            <v>0</v>
          </cell>
          <cell r="F44">
            <v>0</v>
          </cell>
          <cell r="G44">
            <v>0</v>
          </cell>
          <cell r="H44" t="str">
            <v/>
          </cell>
        </row>
        <row r="45">
          <cell r="A45">
            <v>31</v>
          </cell>
          <cell r="B45">
            <v>0</v>
          </cell>
          <cell r="C45">
            <v>0</v>
          </cell>
          <cell r="D45">
            <v>0</v>
          </cell>
          <cell r="E45">
            <v>0</v>
          </cell>
          <cell r="F45">
            <v>0</v>
          </cell>
          <cell r="G45">
            <v>0</v>
          </cell>
          <cell r="H45" t="str">
            <v/>
          </cell>
        </row>
        <row r="46">
          <cell r="A46">
            <v>32</v>
          </cell>
          <cell r="B46">
            <v>0</v>
          </cell>
          <cell r="C46">
            <v>0</v>
          </cell>
          <cell r="D46">
            <v>0</v>
          </cell>
          <cell r="E46">
            <v>0</v>
          </cell>
          <cell r="F46">
            <v>0</v>
          </cell>
          <cell r="G46">
            <v>0</v>
          </cell>
          <cell r="H46" t="str">
            <v/>
          </cell>
        </row>
        <row r="47">
          <cell r="A47">
            <v>33</v>
          </cell>
          <cell r="B47">
            <v>0</v>
          </cell>
          <cell r="C47">
            <v>0</v>
          </cell>
          <cell r="D47">
            <v>0</v>
          </cell>
          <cell r="E47">
            <v>0</v>
          </cell>
          <cell r="F47">
            <v>0</v>
          </cell>
          <cell r="G47">
            <v>0</v>
          </cell>
          <cell r="H47" t="str">
            <v/>
          </cell>
        </row>
        <row r="48">
          <cell r="A48">
            <v>34</v>
          </cell>
          <cell r="B48">
            <v>0</v>
          </cell>
          <cell r="C48">
            <v>0</v>
          </cell>
          <cell r="D48">
            <v>0</v>
          </cell>
          <cell r="E48">
            <v>0</v>
          </cell>
          <cell r="F48">
            <v>0</v>
          </cell>
          <cell r="G48">
            <v>0</v>
          </cell>
          <cell r="H48" t="str">
            <v/>
          </cell>
        </row>
        <row r="49">
          <cell r="A49">
            <v>35</v>
          </cell>
          <cell r="B49">
            <v>0</v>
          </cell>
          <cell r="C49">
            <v>0</v>
          </cell>
          <cell r="D49">
            <v>0</v>
          </cell>
          <cell r="E49">
            <v>0</v>
          </cell>
          <cell r="F49">
            <v>0</v>
          </cell>
          <cell r="G49">
            <v>0</v>
          </cell>
          <cell r="H49" t="str">
            <v/>
          </cell>
        </row>
        <row r="50">
          <cell r="A50">
            <v>36</v>
          </cell>
          <cell r="B50">
            <v>0</v>
          </cell>
          <cell r="C50">
            <v>0</v>
          </cell>
          <cell r="D50">
            <v>0</v>
          </cell>
          <cell r="E50">
            <v>0</v>
          </cell>
          <cell r="F50">
            <v>0</v>
          </cell>
          <cell r="G50">
            <v>0</v>
          </cell>
          <cell r="H50" t="str">
            <v/>
          </cell>
        </row>
        <row r="51">
          <cell r="A51">
            <v>37</v>
          </cell>
          <cell r="B51">
            <v>0</v>
          </cell>
          <cell r="C51">
            <v>0</v>
          </cell>
          <cell r="D51">
            <v>0</v>
          </cell>
          <cell r="E51">
            <v>0</v>
          </cell>
          <cell r="F51">
            <v>0</v>
          </cell>
          <cell r="G51">
            <v>0</v>
          </cell>
          <cell r="H51" t="str">
            <v/>
          </cell>
        </row>
        <row r="52">
          <cell r="A52">
            <v>38</v>
          </cell>
          <cell r="B52">
            <v>0</v>
          </cell>
          <cell r="C52">
            <v>0</v>
          </cell>
          <cell r="D52">
            <v>0</v>
          </cell>
          <cell r="E52">
            <v>0</v>
          </cell>
          <cell r="F52">
            <v>0</v>
          </cell>
          <cell r="G52">
            <v>0</v>
          </cell>
          <cell r="H52" t="str">
            <v/>
          </cell>
        </row>
        <row r="53">
          <cell r="A53">
            <v>39</v>
          </cell>
          <cell r="B53">
            <v>0</v>
          </cell>
          <cell r="C53">
            <v>0</v>
          </cell>
          <cell r="D53">
            <v>0</v>
          </cell>
          <cell r="E53">
            <v>0</v>
          </cell>
          <cell r="F53">
            <v>0</v>
          </cell>
          <cell r="G53">
            <v>0</v>
          </cell>
          <cell r="H53" t="str">
            <v/>
          </cell>
        </row>
        <row r="54">
          <cell r="A54">
            <v>40</v>
          </cell>
          <cell r="B54">
            <v>0</v>
          </cell>
          <cell r="C54">
            <v>0</v>
          </cell>
          <cell r="D54">
            <v>0</v>
          </cell>
          <cell r="E54">
            <v>0</v>
          </cell>
          <cell r="F54">
            <v>0</v>
          </cell>
          <cell r="G54">
            <v>0</v>
          </cell>
          <cell r="H54" t="str">
            <v/>
          </cell>
        </row>
      </sheetData>
      <sheetData sheetId="79"/>
      <sheetData sheetId="80"/>
      <sheetData sheetId="81"/>
      <sheetData sheetId="82"/>
      <sheetData sheetId="83"/>
      <sheetData sheetId="84"/>
      <sheetData sheetId="85"/>
      <sheetData sheetId="86"/>
      <sheetData sheetId="87"/>
      <sheetData sheetId="8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AN"/>
      <sheetName val="Rekap Nilai"/>
      <sheetName val="Cetak Rekap"/>
      <sheetName val="Raport A4"/>
      <sheetName val="Raport F4"/>
      <sheetName val="1. Data"/>
      <sheetName val="Petunjuk Penggunaan"/>
      <sheetName val="2. Siswa"/>
      <sheetName val="4. NILAI SIKAP SPIRITUAL"/>
      <sheetName val="5. NILAI SIKAP SOSIAL"/>
      <sheetName val="KI 3 PKn"/>
      <sheetName val="KI 3 IPS"/>
      <sheetName val="6. KI 3 IPA"/>
      <sheetName val="7. KI 3 B IND"/>
      <sheetName val="8. KI 3 MAT"/>
      <sheetName val="9. KI 3 SBDP"/>
      <sheetName val="10. KI 3 PJOK"/>
      <sheetName val="11. KI 3 AGAMA"/>
      <sheetName val="12. KI 3 MULOK"/>
      <sheetName val="13. KI 4 PPKn"/>
      <sheetName val="14. KI 4 B IND"/>
      <sheetName val="KI 4 IPA"/>
      <sheetName val="KI 4 IPS"/>
      <sheetName val="15. KI 4 MAT"/>
      <sheetName val="16. KI 4 SBDP"/>
      <sheetName val="17. KI 4 PJOK"/>
      <sheetName val="17. KI 4 AGAMA"/>
      <sheetName val="KI 4 MULOK"/>
      <sheetName val="20. Deskripsi spiritual"/>
      <sheetName val="21. Deskripsi Sosial"/>
      <sheetName val="22. Deskripsi PKn"/>
      <sheetName val="23. Deskripsi BIN"/>
      <sheetName val="24. Deskripsi Mat"/>
      <sheetName val="25. Deskripsi SBDP"/>
      <sheetName val="26. Deskripsi PJOK"/>
      <sheetName val="27. Deskripsi Agama"/>
      <sheetName val="28. Deskripsi Mulok"/>
      <sheetName val="Deskripsi IPA"/>
      <sheetName val="3. KOMPETENSI DASAR"/>
      <sheetName val="Deskripsi IPS"/>
      <sheetName val="Data TB, BB, SIA, ekstra"/>
      <sheetName val="Sheet3"/>
    </sheetNames>
    <sheetDataSet>
      <sheetData sheetId="0"/>
      <sheetData sheetId="1"/>
      <sheetData sheetId="2"/>
      <sheetData sheetId="3"/>
      <sheetData sheetId="4"/>
      <sheetData sheetId="5"/>
      <sheetData sheetId="6"/>
      <sheetData sheetId="7">
        <row r="7">
          <cell r="D7" t="str">
            <v xml:space="preserve">Aan Rachmadani </v>
          </cell>
        </row>
        <row r="8">
          <cell r="D8" t="str">
            <v>Amelya Ratu Airin</v>
          </cell>
        </row>
        <row r="9">
          <cell r="D9" t="str">
            <v>Aulia Hikma Ayu P</v>
          </cell>
        </row>
        <row r="10">
          <cell r="D10" t="str">
            <v>Ayudha Shenny R</v>
          </cell>
        </row>
        <row r="11">
          <cell r="D11" t="str">
            <v xml:space="preserve">Citra Dewi Cassimira Cahyanti </v>
          </cell>
        </row>
        <row r="12">
          <cell r="D12" t="str">
            <v xml:space="preserve">Darmawan Afifuddin </v>
          </cell>
        </row>
        <row r="13">
          <cell r="D13" t="str">
            <v xml:space="preserve">Estevania Ramadhanti Aulia Laksono   </v>
          </cell>
        </row>
        <row r="14">
          <cell r="D14" t="str">
            <v>Fahaema Noora Bahaudina</v>
          </cell>
        </row>
        <row r="15">
          <cell r="D15" t="str">
            <v xml:space="preserve">Fatia Salma </v>
          </cell>
        </row>
        <row r="16">
          <cell r="D16" t="str">
            <v xml:space="preserve">Irvan Afandy </v>
          </cell>
        </row>
        <row r="17">
          <cell r="D17" t="str">
            <v>Masayu Fadila Septiana</v>
          </cell>
        </row>
        <row r="18">
          <cell r="D18" t="str">
            <v>Masha Adelia Putri Jatnika</v>
          </cell>
        </row>
        <row r="19">
          <cell r="D19" t="str">
            <v xml:space="preserve">Mutia Zufinda </v>
          </cell>
        </row>
        <row r="20">
          <cell r="D20" t="str">
            <v>Natasya Mutia Rizqiana</v>
          </cell>
        </row>
        <row r="21">
          <cell r="D21" t="str">
            <v>Naurah Atikah Rabbani</v>
          </cell>
        </row>
        <row r="22">
          <cell r="D22" t="str">
            <v>Rendra Prasetiya Danadyaksa</v>
          </cell>
        </row>
        <row r="23">
          <cell r="D23" t="str">
            <v xml:space="preserve">Rizal Ilham Pratama </v>
          </cell>
        </row>
        <row r="24">
          <cell r="D24" t="str">
            <v>Satriya Dwisetya Nugraha</v>
          </cell>
        </row>
        <row r="25">
          <cell r="D25" t="str">
            <v>Shahbaz Faiz Rheznandiya</v>
          </cell>
        </row>
        <row r="26">
          <cell r="D26" t="str">
            <v xml:space="preserve">Shinta Amelya Jatlieno </v>
          </cell>
        </row>
        <row r="27">
          <cell r="D27" t="str">
            <v xml:space="preserve">Wisnu Anggara </v>
          </cell>
        </row>
        <row r="28">
          <cell r="D28" t="str">
            <v xml:space="preserve">I Kadek Afrisa Diana Dipta </v>
          </cell>
        </row>
        <row r="29">
          <cell r="D29" t="str">
            <v>Khayla Rifi Athalillah</v>
          </cell>
        </row>
        <row r="30">
          <cell r="D30" t="str">
            <v xml:space="preserve">Bulan Kaniya Putri Rahmadani </v>
          </cell>
        </row>
        <row r="31">
          <cell r="D31" t="str">
            <v xml:space="preserve">Yekza Adikustiyanata </v>
          </cell>
        </row>
        <row r="32">
          <cell r="D32" t="str">
            <v xml:space="preserve">Rico David Afiludin </v>
          </cell>
        </row>
        <row r="33">
          <cell r="D33" t="str">
            <v xml:space="preserve">Muhammad Dava Maulana Rasyid </v>
          </cell>
        </row>
        <row r="34">
          <cell r="D34" t="str">
            <v>Azwan Syahril Ramadhan</v>
          </cell>
        </row>
        <row r="35">
          <cell r="D35" t="str">
            <v>Harits Imtiyaaz Tresna Putra</v>
          </cell>
        </row>
        <row r="36">
          <cell r="D36" t="str">
            <v xml:space="preserve">Zafienna Kyla Syam </v>
          </cell>
        </row>
        <row r="37">
          <cell r="D37" t="str">
            <v>Adinda Putri Junaidi</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ikieducation.info-gurku.com/" TargetMode="External"/><Relationship Id="rId2" Type="http://schemas.openxmlformats.org/officeDocument/2006/relationships/hyperlink" Target="http://www.berkasdownload.info/" TargetMode="External"/><Relationship Id="rId1" Type="http://schemas.openxmlformats.org/officeDocument/2006/relationships/hyperlink" Target="http://www.info-guruku.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gurugalery.blogspot.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www.atirta13.com/" TargetMode="External"/><Relationship Id="rId1" Type="http://schemas.openxmlformats.org/officeDocument/2006/relationships/hyperlink" Target="mailto:kartika_47@yahoo.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4.xml"/><Relationship Id="rId1" Type="http://schemas.openxmlformats.org/officeDocument/2006/relationships/printerSettings" Target="../printerSettings/printerSettings41.bin"/><Relationship Id="rId5" Type="http://schemas.openxmlformats.org/officeDocument/2006/relationships/image" Target="../media/image7.emf"/><Relationship Id="rId4" Type="http://schemas.openxmlformats.org/officeDocument/2006/relationships/control" Target="../activeX/activeX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2.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3.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51.bin"/></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52.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53.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54.bin"/></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55.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56.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57.bin"/></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2.xml"/><Relationship Id="rId1" Type="http://schemas.openxmlformats.org/officeDocument/2006/relationships/printerSettings" Target="../printerSettings/printerSettings58.bin"/><Relationship Id="rId5" Type="http://schemas.openxmlformats.org/officeDocument/2006/relationships/image" Target="../media/image27.emf"/><Relationship Id="rId4" Type="http://schemas.openxmlformats.org/officeDocument/2006/relationships/control" Target="../activeX/activeX2.xml"/></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3.xml"/><Relationship Id="rId1" Type="http://schemas.openxmlformats.org/officeDocument/2006/relationships/printerSettings" Target="../printerSettings/printerSettings60.bin"/><Relationship Id="rId5" Type="http://schemas.openxmlformats.org/officeDocument/2006/relationships/image" Target="../media/image27.emf"/><Relationship Id="rId4" Type="http://schemas.openxmlformats.org/officeDocument/2006/relationships/control" Target="../activeX/activeX3.xml"/></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61.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62.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63.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6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18"/>
  <sheetViews>
    <sheetView showGridLines="0" tabSelected="1" zoomScaleSheetLayoutView="110" workbookViewId="0">
      <selection activeCell="V14" sqref="V14"/>
    </sheetView>
  </sheetViews>
  <sheetFormatPr defaultRowHeight="15" x14ac:dyDescent="0.25"/>
  <cols>
    <col min="1" max="1" width="9.140625" customWidth="1"/>
    <col min="4" max="6" width="9.140625" style="75"/>
    <col min="16" max="19" width="4.85546875" customWidth="1"/>
  </cols>
  <sheetData>
    <row r="1" spans="1:19" ht="29.25" customHeight="1" x14ac:dyDescent="0.25">
      <c r="A1" s="2215"/>
      <c r="B1" s="2216"/>
      <c r="C1" s="2216"/>
      <c r="D1" s="2216"/>
      <c r="E1" s="2216"/>
      <c r="F1" s="2216"/>
      <c r="G1" s="2216"/>
      <c r="H1" s="2216"/>
      <c r="I1" s="2216"/>
      <c r="J1" s="2216"/>
      <c r="K1" s="2216"/>
      <c r="L1" s="2216"/>
      <c r="M1" s="2216"/>
      <c r="N1" s="2216"/>
      <c r="O1" s="2216"/>
      <c r="P1" s="2216"/>
      <c r="Q1" s="2216"/>
      <c r="R1" s="2217"/>
      <c r="S1" s="2217"/>
    </row>
    <row r="2" spans="1:19" x14ac:dyDescent="0.25">
      <c r="A2" s="2218"/>
      <c r="B2" s="2217"/>
      <c r="C2" s="2217"/>
      <c r="D2" s="2217"/>
      <c r="E2" s="2217"/>
      <c r="F2" s="2217"/>
      <c r="G2" s="2217"/>
      <c r="H2" s="2217"/>
      <c r="I2" s="2217"/>
      <c r="J2" s="2217"/>
      <c r="K2" s="2217"/>
      <c r="L2" s="2217"/>
      <c r="M2" s="2217"/>
      <c r="N2" s="2217"/>
      <c r="O2" s="2217"/>
      <c r="P2" s="2217"/>
      <c r="Q2" s="2217"/>
      <c r="R2" s="2217"/>
      <c r="S2" s="2217"/>
    </row>
    <row r="3" spans="1:19" x14ac:dyDescent="0.25">
      <c r="A3" s="2218"/>
      <c r="B3" s="2217"/>
      <c r="C3" s="2217"/>
      <c r="D3" s="2217"/>
      <c r="E3" s="2217"/>
      <c r="F3" s="2217"/>
      <c r="G3" s="2217"/>
      <c r="H3" s="2217"/>
      <c r="I3" s="2217"/>
      <c r="J3" s="2217"/>
      <c r="K3" s="2217"/>
      <c r="L3" s="2217"/>
      <c r="M3" s="2217"/>
      <c r="N3" s="2217"/>
      <c r="O3" s="2217"/>
      <c r="P3" s="2217"/>
      <c r="Q3" s="2217"/>
      <c r="R3" s="2217"/>
      <c r="S3" s="2217"/>
    </row>
    <row r="4" spans="1:19" x14ac:dyDescent="0.25">
      <c r="A4" s="2214"/>
      <c r="B4" s="2213"/>
      <c r="C4" s="2213"/>
      <c r="D4" s="2219"/>
      <c r="E4" s="2219"/>
      <c r="F4" s="2219"/>
      <c r="G4" s="2219"/>
      <c r="H4" s="2219"/>
      <c r="I4" s="2219"/>
      <c r="J4" s="2219"/>
      <c r="K4" s="2219"/>
      <c r="L4" s="2219"/>
      <c r="M4" s="2219"/>
      <c r="N4" s="2219"/>
      <c r="O4" s="2219"/>
      <c r="P4" s="2219"/>
      <c r="Q4" s="2219"/>
      <c r="R4" s="2219"/>
      <c r="S4" s="2220"/>
    </row>
    <row r="5" spans="1:19" x14ac:dyDescent="0.25">
      <c r="A5" s="2214"/>
      <c r="B5" s="2213"/>
      <c r="C5" s="2213"/>
      <c r="D5" s="2219"/>
      <c r="E5" s="2219"/>
      <c r="F5" s="2219"/>
      <c r="G5" s="2219"/>
      <c r="H5" s="2219"/>
      <c r="I5" s="2219"/>
      <c r="J5" s="2219"/>
      <c r="K5" s="2219"/>
      <c r="L5" s="2221" t="s">
        <v>1009</v>
      </c>
      <c r="M5" s="2219"/>
      <c r="N5" s="2219"/>
      <c r="O5" s="2221" t="s">
        <v>1010</v>
      </c>
      <c r="P5" s="2219"/>
      <c r="Q5" s="2219"/>
      <c r="R5" s="2219"/>
      <c r="S5" s="2220"/>
    </row>
    <row r="6" spans="1:19" x14ac:dyDescent="0.25">
      <c r="A6" s="2214"/>
      <c r="B6" s="2213"/>
      <c r="C6" s="2213"/>
      <c r="D6" s="2219"/>
      <c r="E6" s="2219"/>
      <c r="F6" s="2219"/>
      <c r="G6" s="2219"/>
      <c r="H6" s="2219"/>
      <c r="I6" s="2219"/>
      <c r="J6" s="2219"/>
      <c r="K6" s="2219"/>
      <c r="L6" s="2219"/>
      <c r="M6" s="2219"/>
      <c r="N6" s="2219"/>
      <c r="O6" s="2219"/>
      <c r="P6" s="2219"/>
      <c r="Q6" s="2219"/>
      <c r="R6" s="2219"/>
      <c r="S6" s="2220"/>
    </row>
    <row r="7" spans="1:19" x14ac:dyDescent="0.25">
      <c r="A7" s="2214"/>
      <c r="B7" s="2213"/>
      <c r="C7" s="2213"/>
      <c r="D7" s="2219"/>
      <c r="E7" s="2219"/>
      <c r="F7" s="2219"/>
      <c r="G7" s="2219"/>
      <c r="H7" s="2219"/>
      <c r="I7" s="2219"/>
      <c r="J7" s="2219"/>
      <c r="K7" s="2219"/>
      <c r="L7" s="2219"/>
      <c r="M7" s="2219"/>
      <c r="N7" s="2219"/>
      <c r="O7" s="2219"/>
      <c r="P7" s="2219"/>
      <c r="Q7" s="2219"/>
      <c r="R7" s="2219"/>
      <c r="S7" s="2220"/>
    </row>
    <row r="8" spans="1:19" x14ac:dyDescent="0.25">
      <c r="A8" s="2214"/>
      <c r="B8" s="2213"/>
      <c r="C8" s="2213"/>
      <c r="D8" s="2219"/>
      <c r="E8" s="2219"/>
      <c r="F8" s="2219"/>
      <c r="G8" s="2219"/>
      <c r="H8" s="2219"/>
      <c r="I8" s="2219"/>
      <c r="J8" s="2219"/>
      <c r="K8" s="2219"/>
      <c r="L8" s="2219"/>
      <c r="M8" s="2219"/>
      <c r="N8" s="2219"/>
      <c r="O8" s="2219"/>
      <c r="P8" s="2219"/>
      <c r="Q8" s="2219"/>
      <c r="R8" s="2219"/>
      <c r="S8" s="2220"/>
    </row>
    <row r="9" spans="1:19" x14ac:dyDescent="0.25">
      <c r="A9" s="2214"/>
      <c r="B9" s="2213"/>
      <c r="C9" s="2213"/>
      <c r="D9" s="2219"/>
      <c r="E9" s="2219"/>
      <c r="F9" s="2219"/>
      <c r="G9" s="2219"/>
      <c r="H9" s="2219"/>
      <c r="I9" s="2219"/>
      <c r="J9" s="2219"/>
      <c r="K9" s="2219"/>
      <c r="L9" s="2219"/>
      <c r="M9" s="2219"/>
      <c r="N9" s="2219"/>
      <c r="O9" s="2219"/>
      <c r="P9" s="2219"/>
      <c r="Q9" s="2219"/>
      <c r="R9" s="2219"/>
      <c r="S9" s="2220"/>
    </row>
    <row r="10" spans="1:19" x14ac:dyDescent="0.25">
      <c r="A10" s="2214"/>
      <c r="B10" s="2213"/>
      <c r="C10" s="2213"/>
      <c r="D10" s="2219"/>
      <c r="E10" s="2219"/>
      <c r="F10" s="2219"/>
      <c r="G10" s="2219"/>
      <c r="H10" s="2219"/>
      <c r="I10" s="2219"/>
      <c r="J10" s="2219"/>
      <c r="K10" s="2219"/>
      <c r="L10" s="2219"/>
      <c r="M10" s="2219"/>
      <c r="N10" s="2219"/>
      <c r="O10" s="2219"/>
      <c r="P10" s="2219"/>
      <c r="Q10" s="2219"/>
      <c r="R10" s="2219"/>
      <c r="S10" s="2220"/>
    </row>
    <row r="11" spans="1:19" x14ac:dyDescent="0.25">
      <c r="A11" s="2214"/>
      <c r="B11" s="2213"/>
      <c r="C11" s="2213"/>
      <c r="D11" s="2219"/>
      <c r="E11" s="2219"/>
      <c r="F11" s="2219"/>
      <c r="G11" s="2219"/>
      <c r="H11" s="2219"/>
      <c r="I11" s="2219"/>
      <c r="J11" s="2219"/>
      <c r="K11" s="2219"/>
      <c r="L11" s="2219"/>
      <c r="M11" s="2219"/>
      <c r="N11" s="2219"/>
      <c r="O11" s="2219"/>
      <c r="P11" s="2219"/>
      <c r="Q11" s="2219"/>
      <c r="R11" s="2219"/>
      <c r="S11" s="2220"/>
    </row>
    <row r="12" spans="1:19" x14ac:dyDescent="0.25">
      <c r="A12" s="2214"/>
      <c r="B12" s="2213"/>
      <c r="C12" s="2213"/>
      <c r="D12" s="2219"/>
      <c r="E12" s="2219"/>
      <c r="F12" s="2219"/>
      <c r="G12" s="2219"/>
      <c r="H12" s="2219"/>
      <c r="I12" s="2219"/>
      <c r="J12" s="2219"/>
      <c r="K12" s="2219"/>
      <c r="L12" s="2219"/>
      <c r="M12" s="2219"/>
      <c r="N12" s="2219"/>
      <c r="O12" s="2219"/>
      <c r="P12" s="2219"/>
      <c r="Q12" s="2219"/>
      <c r="R12" s="2219"/>
      <c r="S12" s="2220"/>
    </row>
    <row r="13" spans="1:19" ht="21.75" customHeight="1" x14ac:dyDescent="0.25">
      <c r="A13" s="2214"/>
      <c r="B13" s="2213"/>
      <c r="C13" s="2213"/>
      <c r="D13" s="2219"/>
      <c r="E13" s="2219"/>
      <c r="F13" s="2219"/>
      <c r="G13" s="2219"/>
      <c r="H13" s="2219"/>
      <c r="I13" s="2219"/>
      <c r="J13" s="2219"/>
      <c r="K13" s="2219"/>
      <c r="L13" s="2219"/>
      <c r="M13" s="2219"/>
      <c r="N13" s="2219"/>
      <c r="O13" s="2219"/>
      <c r="P13" s="2219"/>
      <c r="Q13" s="2219"/>
      <c r="R13" s="2219"/>
      <c r="S13" s="2220"/>
    </row>
    <row r="14" spans="1:19" ht="20.25" customHeight="1" x14ac:dyDescent="0.25">
      <c r="A14" s="2222"/>
      <c r="B14" s="2223"/>
      <c r="C14" s="2223"/>
      <c r="D14" s="2223"/>
      <c r="E14" s="2223"/>
      <c r="F14" s="2223"/>
      <c r="G14" s="2223"/>
      <c r="H14" s="2223"/>
      <c r="I14" s="2223"/>
      <c r="J14" s="2223"/>
      <c r="K14" s="2223"/>
      <c r="L14" s="2223"/>
      <c r="M14" s="2223"/>
      <c r="N14" s="2223"/>
      <c r="O14" s="2223"/>
      <c r="P14" s="2223"/>
      <c r="Q14" s="2223"/>
      <c r="R14" s="2223"/>
      <c r="S14" s="2224"/>
    </row>
    <row r="15" spans="1:19" ht="19.5" customHeight="1" x14ac:dyDescent="0.25">
      <c r="A15" s="2222"/>
      <c r="B15" s="2223"/>
      <c r="C15" s="2223"/>
      <c r="D15" s="2225" t="s">
        <v>1011</v>
      </c>
      <c r="E15" s="2223"/>
      <c r="F15" s="2223"/>
      <c r="G15" s="2223"/>
      <c r="H15" s="2225" t="s">
        <v>1012</v>
      </c>
      <c r="I15" s="2223"/>
      <c r="J15" s="2223"/>
      <c r="K15" s="2223"/>
      <c r="L15" s="2223" t="s">
        <v>1013</v>
      </c>
      <c r="M15" s="2223"/>
      <c r="N15" s="2223"/>
      <c r="O15" s="2223"/>
      <c r="P15" s="2223"/>
      <c r="Q15" s="2223"/>
      <c r="R15" s="2223"/>
      <c r="S15" s="2224"/>
    </row>
    <row r="16" spans="1:19" s="136" customFormat="1" ht="24.75" customHeight="1" x14ac:dyDescent="0.25">
      <c r="A16" s="2226" t="s">
        <v>976</v>
      </c>
      <c r="B16" s="2227"/>
      <c r="C16" s="2227"/>
      <c r="D16" s="2227"/>
      <c r="E16" s="2227"/>
      <c r="F16" s="2227"/>
      <c r="G16" s="2227"/>
      <c r="H16" s="2227"/>
      <c r="I16" s="2227"/>
      <c r="J16" s="2227"/>
      <c r="K16" s="2227"/>
      <c r="L16" s="2227"/>
      <c r="M16" s="2227"/>
      <c r="N16" s="2227"/>
      <c r="O16" s="2227"/>
      <c r="P16" s="2227"/>
      <c r="Q16" s="2227"/>
      <c r="R16" s="2227"/>
      <c r="S16" s="2228"/>
    </row>
    <row r="17" spans="1:19" x14ac:dyDescent="0.25">
      <c r="A17" s="2229"/>
      <c r="B17" s="2230"/>
      <c r="C17" s="2230"/>
      <c r="D17" s="2230"/>
      <c r="E17" s="2230"/>
      <c r="F17" s="2230"/>
      <c r="G17" s="2230"/>
      <c r="H17" s="2230"/>
      <c r="I17" s="2230"/>
      <c r="J17" s="2230"/>
      <c r="K17" s="2230"/>
      <c r="L17" s="2230"/>
      <c r="M17" s="2230"/>
      <c r="N17" s="2230"/>
      <c r="O17" s="2230"/>
      <c r="P17" s="2230"/>
      <c r="Q17" s="2230"/>
      <c r="R17" s="2230"/>
      <c r="S17" s="2231"/>
    </row>
    <row r="18" spans="1:19" x14ac:dyDescent="0.25">
      <c r="A18" s="2232"/>
      <c r="B18" s="2233"/>
      <c r="C18" s="2233"/>
      <c r="D18" s="2233"/>
      <c r="E18" s="2233"/>
      <c r="F18" s="2233"/>
      <c r="G18" s="2233"/>
      <c r="H18" s="2233"/>
      <c r="I18" s="2233"/>
      <c r="J18" s="2233"/>
      <c r="K18" s="2233"/>
      <c r="L18" s="2233"/>
      <c r="M18" s="2233"/>
      <c r="N18" s="2233"/>
      <c r="O18" s="2233"/>
      <c r="P18" s="2233"/>
      <c r="Q18" s="2233"/>
      <c r="R18" s="2233"/>
      <c r="S18" s="2234"/>
    </row>
  </sheetData>
  <mergeCells count="2">
    <mergeCell ref="A16:S16"/>
    <mergeCell ref="A17:S18"/>
  </mergeCells>
  <conditionalFormatting sqref="V14">
    <cfRule type="top10" dxfId="0" priority="1" rank="1"/>
  </conditionalFormatting>
  <hyperlinks>
    <hyperlink ref="L5" r:id="rId1"/>
    <hyperlink ref="O5" r:id="rId2"/>
    <hyperlink ref="D15" r:id="rId3"/>
    <hyperlink ref="H15" r:id="rId4"/>
  </hyperlinks>
  <pageMargins left="0.7" right="0.7" top="0.75" bottom="0.75" header="0.3" footer="0.3"/>
  <pageSetup paperSize="5" orientation="landscape" horizontalDpi="300" verticalDpi="300"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QC946"/>
  <sheetViews>
    <sheetView workbookViewId="0">
      <selection sqref="A1:W1"/>
    </sheetView>
  </sheetViews>
  <sheetFormatPr defaultRowHeight="16.5" x14ac:dyDescent="0.3"/>
  <cols>
    <col min="1" max="1" width="5.5703125" style="78" customWidth="1"/>
    <col min="2" max="2" width="12.7109375" style="78" customWidth="1"/>
    <col min="3" max="3" width="17.85546875" style="78" customWidth="1"/>
    <col min="4" max="4" width="38.140625" style="78" bestFit="1" customWidth="1"/>
    <col min="5" max="5" width="19.42578125" style="78" customWidth="1"/>
    <col min="6" max="6" width="23" style="78" customWidth="1"/>
    <col min="7" max="7" width="16" style="78" customWidth="1"/>
    <col min="8" max="8" width="14" style="78" bestFit="1" customWidth="1"/>
    <col min="9" max="9" width="27.85546875" style="78" bestFit="1" customWidth="1"/>
    <col min="10" max="10" width="34.7109375" style="78" bestFit="1" customWidth="1"/>
    <col min="11" max="11" width="36.5703125" style="78" bestFit="1" customWidth="1"/>
    <col min="12" max="12" width="37.7109375" style="78" bestFit="1" customWidth="1"/>
    <col min="13" max="13" width="19" style="78" customWidth="1"/>
    <col min="14" max="14" width="28" style="78" bestFit="1" customWidth="1"/>
    <col min="15" max="15" width="34.7109375" style="78" bestFit="1" customWidth="1"/>
    <col min="16" max="16" width="25.28515625" style="78" customWidth="1"/>
    <col min="17" max="17" width="28.28515625" style="78" customWidth="1"/>
    <col min="18" max="18" width="20.140625" style="78" customWidth="1"/>
    <col min="19" max="19" width="24.5703125" style="78" customWidth="1"/>
    <col min="20" max="23" width="25.7109375" style="78" customWidth="1"/>
    <col min="24" max="445" width="9.140625" style="77"/>
    <col min="446" max="16384" width="9.140625" style="78"/>
  </cols>
  <sheetData>
    <row r="1" spans="1:445" s="77" customFormat="1" ht="52.5" customHeight="1" x14ac:dyDescent="0.35">
      <c r="A1" s="2236" t="s">
        <v>66</v>
      </c>
      <c r="B1" s="2236"/>
      <c r="C1" s="2236"/>
      <c r="D1" s="2236"/>
      <c r="E1" s="2236"/>
      <c r="F1" s="2236"/>
      <c r="G1" s="2236"/>
      <c r="H1" s="2236"/>
      <c r="I1" s="2236"/>
      <c r="J1" s="2236"/>
      <c r="K1" s="2236"/>
      <c r="L1" s="2236"/>
      <c r="M1" s="2236"/>
      <c r="N1" s="2236"/>
      <c r="O1" s="2236"/>
      <c r="P1" s="2236"/>
      <c r="Q1" s="2236"/>
      <c r="R1" s="2236"/>
      <c r="S1" s="2236"/>
      <c r="T1" s="2236"/>
      <c r="U1" s="2236"/>
      <c r="V1" s="2236"/>
      <c r="W1" s="2236"/>
      <c r="X1" s="76"/>
      <c r="Y1" s="76"/>
      <c r="Z1" s="76"/>
      <c r="AA1" s="76"/>
      <c r="AB1" s="76"/>
      <c r="AC1" s="76"/>
      <c r="AD1" s="76"/>
      <c r="AE1" s="76"/>
      <c r="AF1" s="76"/>
      <c r="AG1" s="76"/>
      <c r="AH1" s="76"/>
      <c r="AI1" s="76"/>
      <c r="AJ1" s="76"/>
      <c r="AK1" s="76"/>
      <c r="AL1" s="76"/>
      <c r="AM1" s="76"/>
      <c r="AN1" s="76"/>
      <c r="AO1" s="76"/>
      <c r="AP1" s="76"/>
      <c r="AQ1" s="76"/>
      <c r="AR1" s="76"/>
      <c r="AS1" s="76"/>
      <c r="AT1" s="76"/>
      <c r="AU1" s="76"/>
      <c r="AV1" s="76"/>
      <c r="AW1" s="76"/>
      <c r="AX1" s="76"/>
      <c r="AY1" s="76"/>
      <c r="AZ1" s="76"/>
      <c r="BA1" s="76"/>
      <c r="BB1" s="76"/>
      <c r="BC1" s="76"/>
      <c r="BD1" s="76"/>
      <c r="BE1" s="76"/>
    </row>
    <row r="2" spans="1:445" s="77" customFormat="1" x14ac:dyDescent="0.3"/>
    <row r="3" spans="1:445" ht="25.5" customHeight="1" x14ac:dyDescent="0.3">
      <c r="A3" s="2235" t="s">
        <v>0</v>
      </c>
      <c r="B3" s="2235" t="s">
        <v>55</v>
      </c>
      <c r="C3" s="2235" t="s">
        <v>67</v>
      </c>
      <c r="D3" s="2235" t="s">
        <v>68</v>
      </c>
      <c r="E3" s="2235" t="s">
        <v>69</v>
      </c>
      <c r="F3" s="2235" t="s">
        <v>70</v>
      </c>
      <c r="G3" s="2235" t="s">
        <v>71</v>
      </c>
      <c r="H3" s="2235" t="s">
        <v>72</v>
      </c>
      <c r="I3" s="2235" t="s">
        <v>73</v>
      </c>
      <c r="J3" s="2237" t="s">
        <v>74</v>
      </c>
      <c r="K3" s="2238" t="s">
        <v>75</v>
      </c>
      <c r="L3" s="2238"/>
      <c r="M3" s="2238"/>
      <c r="N3" s="2238"/>
      <c r="O3" s="2238"/>
      <c r="P3" s="2238"/>
      <c r="Q3" s="2238"/>
      <c r="R3" s="2238"/>
      <c r="S3" s="2238"/>
      <c r="T3" s="2239" t="s">
        <v>76</v>
      </c>
      <c r="U3" s="2239"/>
      <c r="V3" s="2239"/>
      <c r="W3" s="2239"/>
    </row>
    <row r="4" spans="1:445" ht="16.5" customHeight="1" x14ac:dyDescent="0.3">
      <c r="A4" s="2235"/>
      <c r="B4" s="2235"/>
      <c r="C4" s="2235"/>
      <c r="D4" s="2235"/>
      <c r="E4" s="2235"/>
      <c r="F4" s="2235"/>
      <c r="G4" s="2235"/>
      <c r="H4" s="2235"/>
      <c r="I4" s="2235"/>
      <c r="J4" s="2237"/>
      <c r="K4" s="2235" t="s">
        <v>77</v>
      </c>
      <c r="L4" s="2235" t="s">
        <v>78</v>
      </c>
      <c r="M4" s="2235" t="s">
        <v>79</v>
      </c>
      <c r="N4" s="2235" t="s">
        <v>80</v>
      </c>
      <c r="O4" s="2235" t="s">
        <v>81</v>
      </c>
      <c r="P4" s="2235"/>
      <c r="Q4" s="2235"/>
      <c r="R4" s="2235"/>
      <c r="S4" s="2235"/>
      <c r="T4" s="2239"/>
      <c r="U4" s="2239"/>
      <c r="V4" s="2239"/>
      <c r="W4" s="2239"/>
    </row>
    <row r="5" spans="1:445" ht="21.75" customHeight="1" x14ac:dyDescent="0.3">
      <c r="A5" s="2235"/>
      <c r="B5" s="2235"/>
      <c r="C5" s="2235"/>
      <c r="D5" s="2235"/>
      <c r="E5" s="2235"/>
      <c r="F5" s="2235"/>
      <c r="G5" s="2235"/>
      <c r="H5" s="2235"/>
      <c r="I5" s="2235"/>
      <c r="J5" s="2237"/>
      <c r="K5" s="2235"/>
      <c r="L5" s="2235"/>
      <c r="M5" s="2235"/>
      <c r="N5" s="2235"/>
      <c r="O5" s="2210" t="s">
        <v>82</v>
      </c>
      <c r="P5" s="2210" t="s">
        <v>91</v>
      </c>
      <c r="Q5" s="2210" t="s">
        <v>83</v>
      </c>
      <c r="R5" s="2210" t="s">
        <v>84</v>
      </c>
      <c r="S5" s="2210" t="s">
        <v>85</v>
      </c>
      <c r="T5" s="2210" t="s">
        <v>86</v>
      </c>
      <c r="U5" s="2210" t="s">
        <v>87</v>
      </c>
      <c r="V5" s="2210" t="s">
        <v>88</v>
      </c>
      <c r="W5" s="2210" t="s">
        <v>89</v>
      </c>
    </row>
    <row r="6" spans="1:445" s="80" customFormat="1" ht="16.5" customHeight="1" x14ac:dyDescent="0.3">
      <c r="A6" s="2211">
        <v>1</v>
      </c>
      <c r="B6" s="2211">
        <v>2</v>
      </c>
      <c r="C6" s="2211">
        <v>3</v>
      </c>
      <c r="D6" s="2211">
        <v>4</v>
      </c>
      <c r="E6" s="2211">
        <v>5</v>
      </c>
      <c r="F6" s="2211">
        <v>6</v>
      </c>
      <c r="G6" s="2211">
        <v>7</v>
      </c>
      <c r="H6" s="2211">
        <v>8</v>
      </c>
      <c r="I6" s="2211">
        <v>9</v>
      </c>
      <c r="J6" s="2211">
        <v>10</v>
      </c>
      <c r="K6" s="2211">
        <v>11</v>
      </c>
      <c r="L6" s="2211">
        <v>12</v>
      </c>
      <c r="M6" s="2211">
        <v>13</v>
      </c>
      <c r="N6" s="2211">
        <v>14</v>
      </c>
      <c r="O6" s="2211">
        <v>15</v>
      </c>
      <c r="P6" s="2211">
        <v>16</v>
      </c>
      <c r="Q6" s="2211">
        <v>17</v>
      </c>
      <c r="R6" s="2211">
        <v>18</v>
      </c>
      <c r="S6" s="2211">
        <v>19</v>
      </c>
      <c r="T6" s="2211">
        <v>20</v>
      </c>
      <c r="U6" s="2211">
        <v>21</v>
      </c>
      <c r="V6" s="2211">
        <v>22</v>
      </c>
      <c r="W6" s="2211">
        <v>23</v>
      </c>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W6" s="79"/>
      <c r="BX6" s="79"/>
      <c r="BY6" s="79"/>
      <c r="BZ6" s="79"/>
      <c r="CA6" s="79"/>
      <c r="CB6" s="79"/>
      <c r="CC6" s="79"/>
      <c r="CD6" s="79"/>
      <c r="CE6" s="79"/>
      <c r="CF6" s="79"/>
      <c r="CG6" s="79"/>
      <c r="CH6" s="79"/>
      <c r="CI6" s="79"/>
      <c r="CJ6" s="79"/>
      <c r="CK6" s="79"/>
      <c r="CL6" s="79"/>
      <c r="CM6" s="79"/>
      <c r="CN6" s="79"/>
      <c r="CO6" s="79"/>
      <c r="CP6" s="79"/>
      <c r="CQ6" s="79"/>
      <c r="CR6" s="79"/>
      <c r="CS6" s="79"/>
      <c r="CT6" s="79"/>
      <c r="CU6" s="79"/>
      <c r="CV6" s="79"/>
      <c r="CW6" s="79"/>
      <c r="CX6" s="79"/>
      <c r="CY6" s="79"/>
      <c r="CZ6" s="79"/>
      <c r="DA6" s="79"/>
      <c r="DB6" s="79"/>
      <c r="DC6" s="79"/>
      <c r="DD6" s="79"/>
      <c r="DE6" s="79"/>
      <c r="DF6" s="79"/>
      <c r="DG6" s="79"/>
      <c r="DH6" s="79"/>
      <c r="DI6" s="79"/>
      <c r="DJ6" s="79"/>
      <c r="DK6" s="79"/>
      <c r="DL6" s="79"/>
      <c r="DM6" s="79"/>
      <c r="DN6" s="79"/>
      <c r="DO6" s="79"/>
      <c r="DP6" s="79"/>
      <c r="DQ6" s="79"/>
      <c r="DR6" s="79"/>
      <c r="DS6" s="79"/>
      <c r="DT6" s="79"/>
      <c r="DU6" s="79"/>
      <c r="DV6" s="79"/>
      <c r="DW6" s="79"/>
      <c r="DX6" s="79"/>
      <c r="DY6" s="79"/>
      <c r="DZ6" s="79"/>
      <c r="EA6" s="79"/>
      <c r="EB6" s="79"/>
      <c r="EC6" s="79"/>
      <c r="ED6" s="79"/>
      <c r="EE6" s="79"/>
      <c r="EF6" s="79"/>
      <c r="EG6" s="79"/>
      <c r="EH6" s="79"/>
      <c r="EI6" s="79"/>
      <c r="EJ6" s="79"/>
      <c r="EK6" s="79"/>
      <c r="EL6" s="79"/>
      <c r="EM6" s="79"/>
      <c r="EN6" s="79"/>
      <c r="EO6" s="79"/>
      <c r="EP6" s="79"/>
      <c r="EQ6" s="79"/>
      <c r="ER6" s="79"/>
      <c r="ES6" s="79"/>
      <c r="ET6" s="79"/>
      <c r="EU6" s="79"/>
      <c r="EV6" s="79"/>
      <c r="EW6" s="79"/>
      <c r="EX6" s="79"/>
      <c r="EY6" s="79"/>
      <c r="EZ6" s="79"/>
      <c r="FA6" s="79"/>
      <c r="FB6" s="79"/>
      <c r="FC6" s="79"/>
      <c r="FD6" s="79"/>
      <c r="FE6" s="79"/>
      <c r="FF6" s="79"/>
      <c r="FG6" s="79"/>
      <c r="FH6" s="79"/>
      <c r="FI6" s="79"/>
      <c r="FJ6" s="79"/>
      <c r="FK6" s="79"/>
      <c r="FL6" s="79"/>
      <c r="FM6" s="79"/>
      <c r="FN6" s="79"/>
      <c r="FO6" s="79"/>
      <c r="FP6" s="79"/>
      <c r="FQ6" s="79"/>
      <c r="FR6" s="79"/>
      <c r="FS6" s="79"/>
      <c r="FT6" s="79"/>
      <c r="FU6" s="79"/>
      <c r="FV6" s="79"/>
      <c r="FW6" s="79"/>
      <c r="FX6" s="79"/>
      <c r="FY6" s="79"/>
      <c r="FZ6" s="79"/>
      <c r="GA6" s="79"/>
      <c r="GB6" s="79"/>
      <c r="GC6" s="79"/>
      <c r="GD6" s="79"/>
      <c r="GE6" s="79"/>
      <c r="GF6" s="79"/>
      <c r="GG6" s="79"/>
      <c r="GH6" s="79"/>
      <c r="GI6" s="79"/>
      <c r="GJ6" s="79"/>
      <c r="GK6" s="79"/>
      <c r="GL6" s="79"/>
      <c r="GM6" s="79"/>
      <c r="GN6" s="79"/>
      <c r="GO6" s="79"/>
      <c r="GP6" s="79"/>
      <c r="GQ6" s="79"/>
      <c r="GR6" s="79"/>
      <c r="GS6" s="79"/>
      <c r="GT6" s="79"/>
      <c r="GU6" s="79"/>
      <c r="GV6" s="79"/>
      <c r="GW6" s="79"/>
      <c r="GX6" s="79"/>
      <c r="GY6" s="79"/>
      <c r="GZ6" s="79"/>
      <c r="HA6" s="79"/>
      <c r="HB6" s="79"/>
      <c r="HC6" s="79"/>
      <c r="HD6" s="79"/>
      <c r="HE6" s="79"/>
      <c r="HF6" s="79"/>
      <c r="HG6" s="79"/>
      <c r="HH6" s="79"/>
      <c r="HI6" s="79"/>
      <c r="HJ6" s="79"/>
      <c r="HK6" s="79"/>
      <c r="HL6" s="79"/>
      <c r="HM6" s="79"/>
      <c r="HN6" s="79"/>
      <c r="HO6" s="79"/>
      <c r="HP6" s="79"/>
      <c r="HQ6" s="79"/>
      <c r="HR6" s="79"/>
      <c r="HS6" s="79"/>
      <c r="HT6" s="79"/>
      <c r="HU6" s="79"/>
      <c r="HV6" s="79"/>
      <c r="HW6" s="79"/>
      <c r="HX6" s="79"/>
      <c r="HY6" s="79"/>
      <c r="HZ6" s="79"/>
      <c r="IA6" s="79"/>
      <c r="IB6" s="79"/>
      <c r="IC6" s="79"/>
      <c r="ID6" s="79"/>
      <c r="IE6" s="79"/>
      <c r="IF6" s="79"/>
      <c r="IG6" s="79"/>
      <c r="IH6" s="79"/>
      <c r="II6" s="79"/>
      <c r="IJ6" s="79"/>
      <c r="IK6" s="79"/>
      <c r="IL6" s="79"/>
      <c r="IM6" s="79"/>
      <c r="IN6" s="79"/>
      <c r="IO6" s="79"/>
      <c r="IP6" s="79"/>
      <c r="IQ6" s="79"/>
      <c r="IR6" s="79"/>
      <c r="IS6" s="79"/>
      <c r="IT6" s="79"/>
      <c r="IU6" s="79"/>
      <c r="IV6" s="79"/>
      <c r="IW6" s="79"/>
      <c r="IX6" s="79"/>
      <c r="IY6" s="79"/>
      <c r="IZ6" s="79"/>
      <c r="JA6" s="79"/>
      <c r="JB6" s="79"/>
      <c r="JC6" s="79"/>
      <c r="JD6" s="79"/>
      <c r="JE6" s="79"/>
      <c r="JF6" s="79"/>
      <c r="JG6" s="79"/>
      <c r="JH6" s="79"/>
      <c r="JI6" s="79"/>
      <c r="JJ6" s="79"/>
      <c r="JK6" s="79"/>
      <c r="JL6" s="79"/>
      <c r="JM6" s="79"/>
      <c r="JN6" s="79"/>
      <c r="JO6" s="79"/>
      <c r="JP6" s="79"/>
      <c r="JQ6" s="79"/>
      <c r="JR6" s="79"/>
      <c r="JS6" s="79"/>
      <c r="JT6" s="79"/>
      <c r="JU6" s="79"/>
      <c r="JV6" s="79"/>
      <c r="JW6" s="79"/>
      <c r="JX6" s="79"/>
      <c r="JY6" s="79"/>
      <c r="JZ6" s="79"/>
      <c r="KA6" s="79"/>
      <c r="KB6" s="79"/>
      <c r="KC6" s="79"/>
      <c r="KD6" s="79"/>
      <c r="KE6" s="79"/>
      <c r="KF6" s="79"/>
      <c r="KG6" s="79"/>
      <c r="KH6" s="79"/>
      <c r="KI6" s="79"/>
      <c r="KJ6" s="79"/>
      <c r="KK6" s="79"/>
      <c r="KL6" s="79"/>
      <c r="KM6" s="79"/>
      <c r="KN6" s="79"/>
      <c r="KO6" s="79"/>
      <c r="KP6" s="79"/>
      <c r="KQ6" s="79"/>
      <c r="KR6" s="79"/>
      <c r="KS6" s="79"/>
      <c r="KT6" s="79"/>
      <c r="KU6" s="79"/>
      <c r="KV6" s="79"/>
      <c r="KW6" s="79"/>
      <c r="KX6" s="79"/>
      <c r="KY6" s="79"/>
      <c r="KZ6" s="79"/>
      <c r="LA6" s="79"/>
      <c r="LB6" s="79"/>
      <c r="LC6" s="79"/>
      <c r="LD6" s="79"/>
      <c r="LE6" s="79"/>
      <c r="LF6" s="79"/>
      <c r="LG6" s="79"/>
      <c r="LH6" s="79"/>
      <c r="LI6" s="79"/>
      <c r="LJ6" s="79"/>
      <c r="LK6" s="79"/>
      <c r="LL6" s="79"/>
      <c r="LM6" s="79"/>
      <c r="LN6" s="79"/>
      <c r="LO6" s="79"/>
      <c r="LP6" s="79"/>
      <c r="LQ6" s="79"/>
      <c r="LR6" s="79"/>
      <c r="LS6" s="79"/>
      <c r="LT6" s="79"/>
      <c r="LU6" s="79"/>
      <c r="LV6" s="79"/>
      <c r="LW6" s="79"/>
      <c r="LX6" s="79"/>
      <c r="LY6" s="79"/>
      <c r="LZ6" s="79"/>
      <c r="MA6" s="79"/>
      <c r="MB6" s="79"/>
      <c r="MC6" s="79"/>
      <c r="MD6" s="79"/>
      <c r="ME6" s="79"/>
      <c r="MF6" s="79"/>
      <c r="MG6" s="79"/>
      <c r="MH6" s="79"/>
      <c r="MI6" s="79"/>
      <c r="MJ6" s="79"/>
      <c r="MK6" s="79"/>
      <c r="ML6" s="79"/>
      <c r="MM6" s="79"/>
      <c r="MN6" s="79"/>
      <c r="MO6" s="79"/>
      <c r="MP6" s="79"/>
      <c r="MQ6" s="79"/>
      <c r="MR6" s="79"/>
      <c r="MS6" s="79"/>
      <c r="MT6" s="79"/>
      <c r="MU6" s="79"/>
      <c r="MV6" s="79"/>
      <c r="MW6" s="79"/>
      <c r="MX6" s="79"/>
      <c r="MY6" s="79"/>
      <c r="MZ6" s="79"/>
      <c r="NA6" s="79"/>
      <c r="NB6" s="79"/>
      <c r="NC6" s="79"/>
      <c r="ND6" s="79"/>
      <c r="NE6" s="79"/>
      <c r="NF6" s="79"/>
      <c r="NG6" s="79"/>
      <c r="NH6" s="79"/>
      <c r="NI6" s="79"/>
      <c r="NJ6" s="79"/>
      <c r="NK6" s="79"/>
      <c r="NL6" s="79"/>
      <c r="NM6" s="79"/>
      <c r="NN6" s="79"/>
      <c r="NO6" s="79"/>
      <c r="NP6" s="79"/>
      <c r="NQ6" s="79"/>
      <c r="NR6" s="79"/>
      <c r="NS6" s="79"/>
      <c r="NT6" s="79"/>
      <c r="NU6" s="79"/>
      <c r="NV6" s="79"/>
      <c r="NW6" s="79"/>
      <c r="NX6" s="79"/>
      <c r="NY6" s="79"/>
      <c r="NZ6" s="79"/>
      <c r="OA6" s="79"/>
      <c r="OB6" s="79"/>
      <c r="OC6" s="79"/>
      <c r="OD6" s="79"/>
      <c r="OE6" s="79"/>
      <c r="OF6" s="79"/>
      <c r="OG6" s="79"/>
      <c r="OH6" s="79"/>
      <c r="OI6" s="79"/>
      <c r="OJ6" s="79"/>
      <c r="OK6" s="79"/>
      <c r="OL6" s="79"/>
      <c r="OM6" s="79"/>
      <c r="ON6" s="79"/>
      <c r="OO6" s="79"/>
      <c r="OP6" s="79"/>
      <c r="OQ6" s="79"/>
      <c r="OR6" s="79"/>
      <c r="OS6" s="79"/>
      <c r="OT6" s="79"/>
      <c r="OU6" s="79"/>
      <c r="OV6" s="79"/>
      <c r="OW6" s="79"/>
      <c r="OX6" s="79"/>
      <c r="OY6" s="79"/>
      <c r="OZ6" s="79"/>
      <c r="PA6" s="79"/>
      <c r="PB6" s="79"/>
      <c r="PC6" s="79"/>
      <c r="PD6" s="79"/>
      <c r="PE6" s="79"/>
      <c r="PF6" s="79"/>
      <c r="PG6" s="79"/>
      <c r="PH6" s="79"/>
      <c r="PI6" s="79"/>
      <c r="PJ6" s="79"/>
      <c r="PK6" s="79"/>
      <c r="PL6" s="79"/>
      <c r="PM6" s="79"/>
      <c r="PN6" s="79"/>
      <c r="PO6" s="79"/>
      <c r="PP6" s="79"/>
      <c r="PQ6" s="79"/>
      <c r="PR6" s="79"/>
      <c r="PS6" s="79"/>
      <c r="PT6" s="79"/>
      <c r="PU6" s="79"/>
      <c r="PV6" s="79"/>
      <c r="PW6" s="79"/>
      <c r="PX6" s="79"/>
      <c r="PY6" s="79"/>
      <c r="PZ6" s="79"/>
      <c r="QA6" s="79"/>
      <c r="QB6" s="79"/>
      <c r="QC6" s="79"/>
    </row>
    <row r="7" spans="1:445" s="85" customFormat="1" ht="15.75" x14ac:dyDescent="0.25">
      <c r="A7" s="2195">
        <v>1</v>
      </c>
      <c r="B7" s="2196" t="s">
        <v>258</v>
      </c>
      <c r="C7" s="2197" t="s">
        <v>259</v>
      </c>
      <c r="D7" s="2198" t="s">
        <v>742</v>
      </c>
      <c r="E7" s="2199" t="s">
        <v>113</v>
      </c>
      <c r="F7" s="2200">
        <v>38432</v>
      </c>
      <c r="G7" s="2201" t="s">
        <v>260</v>
      </c>
      <c r="H7" s="2202" t="s">
        <v>261</v>
      </c>
      <c r="I7" s="2203" t="s">
        <v>262</v>
      </c>
      <c r="J7" s="2199" t="s">
        <v>263</v>
      </c>
      <c r="K7" s="2204" t="s">
        <v>264</v>
      </c>
      <c r="L7" s="2204" t="s">
        <v>265</v>
      </c>
      <c r="M7" s="2204" t="s">
        <v>266</v>
      </c>
      <c r="N7" s="2204" t="s">
        <v>267</v>
      </c>
      <c r="O7" s="2199" t="s">
        <v>263</v>
      </c>
      <c r="P7" s="2205" t="s">
        <v>268</v>
      </c>
      <c r="Q7" s="2205" t="s">
        <v>269</v>
      </c>
      <c r="R7" s="2205" t="s">
        <v>90</v>
      </c>
      <c r="S7" s="2206" t="s">
        <v>114</v>
      </c>
      <c r="T7" s="2207"/>
      <c r="U7" s="2208"/>
      <c r="V7" s="2208"/>
      <c r="W7" s="2209"/>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c r="BG7" s="84"/>
      <c r="BH7" s="84"/>
      <c r="BI7" s="84"/>
      <c r="BJ7" s="84"/>
      <c r="BK7" s="84"/>
      <c r="BL7" s="84"/>
      <c r="BM7" s="84"/>
      <c r="BN7" s="84"/>
      <c r="BO7" s="84"/>
      <c r="BP7" s="84"/>
      <c r="BQ7" s="84"/>
      <c r="BR7" s="84"/>
      <c r="BS7" s="84"/>
      <c r="BT7" s="84"/>
      <c r="BU7" s="84"/>
      <c r="BV7" s="84"/>
      <c r="BW7" s="84"/>
      <c r="BX7" s="84"/>
      <c r="BY7" s="84"/>
      <c r="BZ7" s="84"/>
      <c r="CA7" s="84"/>
      <c r="CB7" s="84"/>
      <c r="CC7" s="84"/>
      <c r="CD7" s="84"/>
      <c r="CE7" s="84"/>
      <c r="CF7" s="84"/>
      <c r="CG7" s="84"/>
      <c r="CH7" s="84"/>
      <c r="CI7" s="84"/>
      <c r="CJ7" s="84"/>
      <c r="CK7" s="84"/>
      <c r="CL7" s="84"/>
      <c r="CM7" s="84"/>
      <c r="CN7" s="84"/>
      <c r="CO7" s="84"/>
      <c r="CP7" s="84"/>
      <c r="CQ7" s="84"/>
      <c r="CR7" s="84"/>
      <c r="CS7" s="84"/>
      <c r="CT7" s="84"/>
      <c r="CU7" s="84"/>
      <c r="CV7" s="84"/>
      <c r="CW7" s="84"/>
      <c r="CX7" s="84"/>
      <c r="CY7" s="84"/>
      <c r="CZ7" s="84"/>
      <c r="DA7" s="84"/>
      <c r="DB7" s="84"/>
      <c r="DC7" s="84"/>
      <c r="DD7" s="84"/>
      <c r="DE7" s="84"/>
      <c r="DF7" s="84"/>
      <c r="DG7" s="84"/>
      <c r="DH7" s="84"/>
      <c r="DI7" s="84"/>
      <c r="DJ7" s="84"/>
      <c r="DK7" s="84"/>
      <c r="DL7" s="84"/>
      <c r="DM7" s="84"/>
      <c r="DN7" s="84"/>
      <c r="DO7" s="84"/>
      <c r="DP7" s="84"/>
      <c r="DQ7" s="84"/>
      <c r="DR7" s="84"/>
      <c r="DS7" s="84"/>
      <c r="DT7" s="84"/>
      <c r="DU7" s="84"/>
      <c r="DV7" s="84"/>
      <c r="DW7" s="84"/>
      <c r="DX7" s="84"/>
      <c r="DY7" s="84"/>
      <c r="DZ7" s="84"/>
      <c r="EA7" s="84"/>
      <c r="EB7" s="84"/>
      <c r="EC7" s="84"/>
      <c r="ED7" s="84"/>
      <c r="EE7" s="84"/>
      <c r="EF7" s="84"/>
      <c r="EG7" s="84"/>
      <c r="EH7" s="84"/>
      <c r="EI7" s="84"/>
      <c r="EJ7" s="84"/>
      <c r="EK7" s="84"/>
      <c r="EL7" s="84"/>
      <c r="EM7" s="84"/>
      <c r="EN7" s="84"/>
      <c r="EO7" s="84"/>
      <c r="EP7" s="84"/>
      <c r="EQ7" s="84"/>
      <c r="ER7" s="84"/>
      <c r="ES7" s="84"/>
      <c r="ET7" s="84"/>
      <c r="EU7" s="84"/>
      <c r="EV7" s="84"/>
      <c r="EW7" s="84"/>
      <c r="EX7" s="84"/>
      <c r="EY7" s="84"/>
      <c r="EZ7" s="84"/>
      <c r="FA7" s="84"/>
      <c r="FB7" s="84"/>
      <c r="FC7" s="84"/>
      <c r="FD7" s="84"/>
      <c r="FE7" s="84"/>
      <c r="FF7" s="84"/>
      <c r="FG7" s="84"/>
      <c r="FH7" s="84"/>
      <c r="FI7" s="84"/>
      <c r="FJ7" s="84"/>
      <c r="FK7" s="84"/>
      <c r="FL7" s="84"/>
      <c r="FM7" s="84"/>
      <c r="FN7" s="84"/>
      <c r="FO7" s="84"/>
      <c r="FP7" s="84"/>
      <c r="FQ7" s="84"/>
      <c r="FR7" s="84"/>
      <c r="FS7" s="84"/>
      <c r="FT7" s="84"/>
      <c r="FU7" s="84"/>
      <c r="FV7" s="84"/>
      <c r="FW7" s="84"/>
      <c r="FX7" s="84"/>
      <c r="FY7" s="84"/>
      <c r="FZ7" s="84"/>
      <c r="GA7" s="84"/>
      <c r="GB7" s="84"/>
      <c r="GC7" s="84"/>
      <c r="GD7" s="84"/>
      <c r="GE7" s="84"/>
      <c r="GF7" s="84"/>
      <c r="GG7" s="84"/>
      <c r="GH7" s="84"/>
      <c r="GI7" s="84"/>
      <c r="GJ7" s="84"/>
      <c r="GK7" s="84"/>
      <c r="GL7" s="84"/>
      <c r="GM7" s="84"/>
      <c r="GN7" s="84"/>
      <c r="GO7" s="84"/>
      <c r="GP7" s="84"/>
      <c r="GQ7" s="84"/>
      <c r="GR7" s="84"/>
      <c r="GS7" s="84"/>
      <c r="GT7" s="84"/>
      <c r="GU7" s="84"/>
      <c r="GV7" s="84"/>
      <c r="GW7" s="84"/>
      <c r="GX7" s="84"/>
      <c r="GY7" s="84"/>
      <c r="GZ7" s="84"/>
      <c r="HA7" s="84"/>
      <c r="HB7" s="84"/>
      <c r="HC7" s="84"/>
      <c r="HD7" s="84"/>
      <c r="HE7" s="84"/>
      <c r="HF7" s="84"/>
      <c r="HG7" s="84"/>
      <c r="HH7" s="84"/>
      <c r="HI7" s="84"/>
      <c r="HJ7" s="84"/>
      <c r="HK7" s="84"/>
      <c r="HL7" s="84"/>
      <c r="HM7" s="84"/>
      <c r="HN7" s="84"/>
      <c r="HO7" s="84"/>
      <c r="HP7" s="84"/>
      <c r="HQ7" s="84"/>
      <c r="HR7" s="84"/>
      <c r="HS7" s="84"/>
      <c r="HT7" s="84"/>
      <c r="HU7" s="84"/>
      <c r="HV7" s="84"/>
      <c r="HW7" s="84"/>
      <c r="HX7" s="84"/>
      <c r="HY7" s="84"/>
      <c r="HZ7" s="84"/>
      <c r="IA7" s="84"/>
      <c r="IB7" s="84"/>
      <c r="IC7" s="84"/>
      <c r="ID7" s="84"/>
      <c r="IE7" s="84"/>
      <c r="IF7" s="84"/>
      <c r="IG7" s="84"/>
      <c r="IH7" s="84"/>
      <c r="II7" s="84"/>
      <c r="IJ7" s="84"/>
      <c r="IK7" s="84"/>
      <c r="IL7" s="84"/>
      <c r="IM7" s="84"/>
      <c r="IN7" s="84"/>
      <c r="IO7" s="84"/>
      <c r="IP7" s="84"/>
      <c r="IQ7" s="84"/>
      <c r="IR7" s="84"/>
      <c r="IS7" s="84"/>
      <c r="IT7" s="84"/>
      <c r="IU7" s="84"/>
      <c r="IV7" s="84"/>
      <c r="IW7" s="84"/>
      <c r="IX7" s="84"/>
      <c r="IY7" s="84"/>
      <c r="IZ7" s="84"/>
      <c r="JA7" s="84"/>
      <c r="JB7" s="84"/>
      <c r="JC7" s="84"/>
      <c r="JD7" s="84"/>
      <c r="JE7" s="84"/>
      <c r="JF7" s="84"/>
      <c r="JG7" s="84"/>
      <c r="JH7" s="84"/>
      <c r="JI7" s="84"/>
      <c r="JJ7" s="84"/>
      <c r="JK7" s="84"/>
      <c r="JL7" s="84"/>
      <c r="JM7" s="84"/>
      <c r="JN7" s="84"/>
      <c r="JO7" s="84"/>
      <c r="JP7" s="84"/>
      <c r="JQ7" s="84"/>
      <c r="JR7" s="84"/>
      <c r="JS7" s="84"/>
      <c r="JT7" s="84"/>
      <c r="JU7" s="84"/>
      <c r="JV7" s="84"/>
      <c r="JW7" s="84"/>
      <c r="JX7" s="84"/>
      <c r="JY7" s="84"/>
      <c r="JZ7" s="84"/>
      <c r="KA7" s="84"/>
      <c r="KB7" s="84"/>
      <c r="KC7" s="84"/>
      <c r="KD7" s="84"/>
      <c r="KE7" s="84"/>
      <c r="KF7" s="84"/>
      <c r="KG7" s="84"/>
      <c r="KH7" s="84"/>
      <c r="KI7" s="84"/>
      <c r="KJ7" s="84"/>
      <c r="KK7" s="84"/>
      <c r="KL7" s="84"/>
      <c r="KM7" s="84"/>
      <c r="KN7" s="84"/>
      <c r="KO7" s="84"/>
      <c r="KP7" s="84"/>
      <c r="KQ7" s="84"/>
      <c r="KR7" s="84"/>
      <c r="KS7" s="84"/>
      <c r="KT7" s="84"/>
      <c r="KU7" s="84"/>
      <c r="KV7" s="84"/>
      <c r="KW7" s="84"/>
      <c r="KX7" s="84"/>
      <c r="KY7" s="84"/>
      <c r="KZ7" s="84"/>
      <c r="LA7" s="84"/>
      <c r="LB7" s="84"/>
      <c r="LC7" s="84"/>
      <c r="LD7" s="84"/>
      <c r="LE7" s="84"/>
      <c r="LF7" s="84"/>
      <c r="LG7" s="84"/>
      <c r="LH7" s="84"/>
      <c r="LI7" s="84"/>
      <c r="LJ7" s="84"/>
      <c r="LK7" s="84"/>
      <c r="LL7" s="84"/>
      <c r="LM7" s="84"/>
      <c r="LN7" s="84"/>
      <c r="LO7" s="84"/>
      <c r="LP7" s="84"/>
      <c r="LQ7" s="84"/>
      <c r="LR7" s="84"/>
      <c r="LS7" s="84"/>
      <c r="LT7" s="84"/>
      <c r="LU7" s="84"/>
      <c r="LV7" s="84"/>
      <c r="LW7" s="84"/>
      <c r="LX7" s="84"/>
      <c r="LY7" s="84"/>
      <c r="LZ7" s="84"/>
      <c r="MA7" s="84"/>
      <c r="MB7" s="84"/>
      <c r="MC7" s="84"/>
      <c r="MD7" s="84"/>
      <c r="ME7" s="84"/>
      <c r="MF7" s="84"/>
      <c r="MG7" s="84"/>
      <c r="MH7" s="84"/>
      <c r="MI7" s="84"/>
      <c r="MJ7" s="84"/>
      <c r="MK7" s="84"/>
      <c r="ML7" s="84"/>
      <c r="MM7" s="84"/>
      <c r="MN7" s="84"/>
      <c r="MO7" s="84"/>
      <c r="MP7" s="84"/>
      <c r="MQ7" s="84"/>
      <c r="MR7" s="84"/>
      <c r="MS7" s="84"/>
      <c r="MT7" s="84"/>
      <c r="MU7" s="84"/>
      <c r="MV7" s="84"/>
      <c r="MW7" s="84"/>
      <c r="MX7" s="84"/>
      <c r="MY7" s="84"/>
      <c r="MZ7" s="84"/>
      <c r="NA7" s="84"/>
      <c r="NB7" s="84"/>
      <c r="NC7" s="84"/>
      <c r="ND7" s="84"/>
      <c r="NE7" s="84"/>
      <c r="NF7" s="84"/>
      <c r="NG7" s="84"/>
      <c r="NH7" s="84"/>
      <c r="NI7" s="84"/>
      <c r="NJ7" s="84"/>
      <c r="NK7" s="84"/>
      <c r="NL7" s="84"/>
      <c r="NM7" s="84"/>
      <c r="NN7" s="84"/>
      <c r="NO7" s="84"/>
      <c r="NP7" s="84"/>
      <c r="NQ7" s="84"/>
      <c r="NR7" s="84"/>
      <c r="NS7" s="84"/>
      <c r="NT7" s="84"/>
      <c r="NU7" s="84"/>
      <c r="NV7" s="84"/>
      <c r="NW7" s="84"/>
      <c r="NX7" s="84"/>
      <c r="NY7" s="84"/>
      <c r="NZ7" s="84"/>
      <c r="OA7" s="84"/>
      <c r="OB7" s="84"/>
      <c r="OC7" s="84"/>
      <c r="OD7" s="84"/>
      <c r="OE7" s="84"/>
      <c r="OF7" s="84"/>
      <c r="OG7" s="84"/>
      <c r="OH7" s="84"/>
      <c r="OI7" s="84"/>
      <c r="OJ7" s="84"/>
      <c r="OK7" s="84"/>
      <c r="OL7" s="84"/>
      <c r="OM7" s="84"/>
      <c r="ON7" s="84"/>
      <c r="OO7" s="84"/>
      <c r="OP7" s="84"/>
      <c r="OQ7" s="84"/>
      <c r="OR7" s="84"/>
      <c r="OS7" s="84"/>
      <c r="OT7" s="84"/>
      <c r="OU7" s="84"/>
      <c r="OV7" s="84"/>
      <c r="OW7" s="84"/>
      <c r="OX7" s="84"/>
      <c r="OY7" s="84"/>
      <c r="OZ7" s="84"/>
      <c r="PA7" s="84"/>
      <c r="PB7" s="84"/>
      <c r="PC7" s="84"/>
      <c r="PD7" s="84"/>
      <c r="PE7" s="84"/>
      <c r="PF7" s="84"/>
      <c r="PG7" s="84"/>
      <c r="PH7" s="84"/>
      <c r="PI7" s="84"/>
      <c r="PJ7" s="84"/>
      <c r="PK7" s="84"/>
      <c r="PL7" s="84"/>
      <c r="PM7" s="84"/>
      <c r="PN7" s="84"/>
      <c r="PO7" s="84"/>
      <c r="PP7" s="84"/>
      <c r="PQ7" s="84"/>
      <c r="PR7" s="84"/>
      <c r="PS7" s="84"/>
      <c r="PT7" s="84"/>
      <c r="PU7" s="84"/>
      <c r="PV7" s="84"/>
      <c r="PW7" s="84"/>
      <c r="PX7" s="84"/>
      <c r="PY7" s="84"/>
      <c r="PZ7" s="84"/>
      <c r="QA7" s="84"/>
      <c r="QB7" s="84"/>
      <c r="QC7" s="84"/>
    </row>
    <row r="8" spans="1:445" s="85" customFormat="1" ht="15.75" x14ac:dyDescent="0.25">
      <c r="A8" s="86">
        <v>2</v>
      </c>
      <c r="B8" s="337">
        <v>2523</v>
      </c>
      <c r="C8" s="327" t="s">
        <v>270</v>
      </c>
      <c r="D8" s="1180" t="s">
        <v>743</v>
      </c>
      <c r="E8" s="329" t="s">
        <v>113</v>
      </c>
      <c r="F8" s="330">
        <v>38425</v>
      </c>
      <c r="G8" s="339" t="s">
        <v>271</v>
      </c>
      <c r="H8" s="332" t="s">
        <v>261</v>
      </c>
      <c r="I8" s="333" t="s">
        <v>262</v>
      </c>
      <c r="J8" s="328" t="s">
        <v>272</v>
      </c>
      <c r="K8" s="334" t="s">
        <v>273</v>
      </c>
      <c r="L8" s="334" t="s">
        <v>274</v>
      </c>
      <c r="M8" s="334" t="s">
        <v>275</v>
      </c>
      <c r="N8" s="334" t="s">
        <v>276</v>
      </c>
      <c r="O8" s="328" t="s">
        <v>272</v>
      </c>
      <c r="P8" s="335" t="s">
        <v>277</v>
      </c>
      <c r="Q8" s="335" t="s">
        <v>112</v>
      </c>
      <c r="R8" s="335" t="s">
        <v>90</v>
      </c>
      <c r="S8" s="336" t="s">
        <v>114</v>
      </c>
      <c r="T8" s="89"/>
      <c r="U8" s="90"/>
      <c r="V8" s="90"/>
      <c r="W8" s="91"/>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c r="BG8" s="84"/>
      <c r="BH8" s="84"/>
      <c r="BI8" s="84"/>
      <c r="BJ8" s="84"/>
      <c r="BK8" s="84"/>
      <c r="BL8" s="84"/>
      <c r="BM8" s="84"/>
      <c r="BN8" s="84"/>
      <c r="BO8" s="84"/>
      <c r="BP8" s="84"/>
      <c r="BQ8" s="84"/>
      <c r="BR8" s="84"/>
      <c r="BS8" s="84"/>
      <c r="BT8" s="84"/>
      <c r="BU8" s="84"/>
      <c r="BV8" s="84"/>
      <c r="BW8" s="84"/>
      <c r="BX8" s="84"/>
      <c r="BY8" s="84"/>
      <c r="BZ8" s="84"/>
      <c r="CA8" s="84"/>
      <c r="CB8" s="84"/>
      <c r="CC8" s="84"/>
      <c r="CD8" s="84"/>
      <c r="CE8" s="84"/>
      <c r="CF8" s="84"/>
      <c r="CG8" s="84"/>
      <c r="CH8" s="84"/>
      <c r="CI8" s="84"/>
      <c r="CJ8" s="84"/>
      <c r="CK8" s="84"/>
      <c r="CL8" s="84"/>
      <c r="CM8" s="84"/>
      <c r="CN8" s="84"/>
      <c r="CO8" s="84"/>
      <c r="CP8" s="84"/>
      <c r="CQ8" s="84"/>
      <c r="CR8" s="84"/>
      <c r="CS8" s="84"/>
      <c r="CT8" s="84"/>
      <c r="CU8" s="84"/>
      <c r="CV8" s="84"/>
      <c r="CW8" s="84"/>
      <c r="CX8" s="84"/>
      <c r="CY8" s="84"/>
      <c r="CZ8" s="84"/>
      <c r="DA8" s="84"/>
      <c r="DB8" s="84"/>
      <c r="DC8" s="84"/>
      <c r="DD8" s="84"/>
      <c r="DE8" s="84"/>
      <c r="DF8" s="84"/>
      <c r="DG8" s="84"/>
      <c r="DH8" s="84"/>
      <c r="DI8" s="84"/>
      <c r="DJ8" s="84"/>
      <c r="DK8" s="84"/>
      <c r="DL8" s="84"/>
      <c r="DM8" s="84"/>
      <c r="DN8" s="84"/>
      <c r="DO8" s="84"/>
      <c r="DP8" s="84"/>
      <c r="DQ8" s="84"/>
      <c r="DR8" s="84"/>
      <c r="DS8" s="84"/>
      <c r="DT8" s="84"/>
      <c r="DU8" s="84"/>
      <c r="DV8" s="84"/>
      <c r="DW8" s="84"/>
      <c r="DX8" s="84"/>
      <c r="DY8" s="84"/>
      <c r="DZ8" s="84"/>
      <c r="EA8" s="84"/>
      <c r="EB8" s="84"/>
      <c r="EC8" s="84"/>
      <c r="ED8" s="84"/>
      <c r="EE8" s="84"/>
      <c r="EF8" s="84"/>
      <c r="EG8" s="84"/>
      <c r="EH8" s="84"/>
      <c r="EI8" s="84"/>
      <c r="EJ8" s="84"/>
      <c r="EK8" s="84"/>
      <c r="EL8" s="84"/>
      <c r="EM8" s="84"/>
      <c r="EN8" s="84"/>
      <c r="EO8" s="84"/>
      <c r="EP8" s="84"/>
      <c r="EQ8" s="84"/>
      <c r="ER8" s="84"/>
      <c r="ES8" s="84"/>
      <c r="ET8" s="84"/>
      <c r="EU8" s="84"/>
      <c r="EV8" s="84"/>
      <c r="EW8" s="84"/>
      <c r="EX8" s="84"/>
      <c r="EY8" s="84"/>
      <c r="EZ8" s="84"/>
      <c r="FA8" s="84"/>
      <c r="FB8" s="84"/>
      <c r="FC8" s="84"/>
      <c r="FD8" s="84"/>
      <c r="FE8" s="84"/>
      <c r="FF8" s="84"/>
      <c r="FG8" s="84"/>
      <c r="FH8" s="84"/>
      <c r="FI8" s="84"/>
      <c r="FJ8" s="84"/>
      <c r="FK8" s="84"/>
      <c r="FL8" s="84"/>
      <c r="FM8" s="84"/>
      <c r="FN8" s="84"/>
      <c r="FO8" s="84"/>
      <c r="FP8" s="84"/>
      <c r="FQ8" s="84"/>
      <c r="FR8" s="84"/>
      <c r="FS8" s="84"/>
      <c r="FT8" s="84"/>
      <c r="FU8" s="84"/>
      <c r="FV8" s="84"/>
      <c r="FW8" s="84"/>
      <c r="FX8" s="84"/>
      <c r="FY8" s="84"/>
      <c r="FZ8" s="84"/>
      <c r="GA8" s="84"/>
      <c r="GB8" s="84"/>
      <c r="GC8" s="84"/>
      <c r="GD8" s="84"/>
      <c r="GE8" s="84"/>
      <c r="GF8" s="84"/>
      <c r="GG8" s="84"/>
      <c r="GH8" s="84"/>
      <c r="GI8" s="84"/>
      <c r="GJ8" s="84"/>
      <c r="GK8" s="84"/>
      <c r="GL8" s="84"/>
      <c r="GM8" s="84"/>
      <c r="GN8" s="84"/>
      <c r="GO8" s="84"/>
      <c r="GP8" s="84"/>
      <c r="GQ8" s="84"/>
      <c r="GR8" s="84"/>
      <c r="GS8" s="84"/>
      <c r="GT8" s="84"/>
      <c r="GU8" s="84"/>
      <c r="GV8" s="84"/>
      <c r="GW8" s="84"/>
      <c r="GX8" s="84"/>
      <c r="GY8" s="84"/>
      <c r="GZ8" s="84"/>
      <c r="HA8" s="84"/>
      <c r="HB8" s="84"/>
      <c r="HC8" s="84"/>
      <c r="HD8" s="84"/>
      <c r="HE8" s="84"/>
      <c r="HF8" s="84"/>
      <c r="HG8" s="84"/>
      <c r="HH8" s="84"/>
      <c r="HI8" s="84"/>
      <c r="HJ8" s="84"/>
      <c r="HK8" s="84"/>
      <c r="HL8" s="84"/>
      <c r="HM8" s="84"/>
      <c r="HN8" s="84"/>
      <c r="HO8" s="84"/>
      <c r="HP8" s="84"/>
      <c r="HQ8" s="84"/>
      <c r="HR8" s="84"/>
      <c r="HS8" s="84"/>
      <c r="HT8" s="84"/>
      <c r="HU8" s="84"/>
      <c r="HV8" s="84"/>
      <c r="HW8" s="84"/>
      <c r="HX8" s="84"/>
      <c r="HY8" s="84"/>
      <c r="HZ8" s="84"/>
      <c r="IA8" s="84"/>
      <c r="IB8" s="84"/>
      <c r="IC8" s="84"/>
      <c r="ID8" s="84"/>
      <c r="IE8" s="84"/>
      <c r="IF8" s="84"/>
      <c r="IG8" s="84"/>
      <c r="IH8" s="84"/>
      <c r="II8" s="84"/>
      <c r="IJ8" s="84"/>
      <c r="IK8" s="84"/>
      <c r="IL8" s="84"/>
      <c r="IM8" s="84"/>
      <c r="IN8" s="84"/>
      <c r="IO8" s="84"/>
      <c r="IP8" s="84"/>
      <c r="IQ8" s="84"/>
      <c r="IR8" s="84"/>
      <c r="IS8" s="84"/>
      <c r="IT8" s="84"/>
      <c r="IU8" s="84"/>
      <c r="IV8" s="84"/>
      <c r="IW8" s="84"/>
      <c r="IX8" s="84"/>
      <c r="IY8" s="84"/>
      <c r="IZ8" s="84"/>
      <c r="JA8" s="84"/>
      <c r="JB8" s="84"/>
      <c r="JC8" s="84"/>
      <c r="JD8" s="84"/>
      <c r="JE8" s="84"/>
      <c r="JF8" s="84"/>
      <c r="JG8" s="84"/>
      <c r="JH8" s="84"/>
      <c r="JI8" s="84"/>
      <c r="JJ8" s="84"/>
      <c r="JK8" s="84"/>
      <c r="JL8" s="84"/>
      <c r="JM8" s="84"/>
      <c r="JN8" s="84"/>
      <c r="JO8" s="84"/>
      <c r="JP8" s="84"/>
      <c r="JQ8" s="84"/>
      <c r="JR8" s="84"/>
      <c r="JS8" s="84"/>
      <c r="JT8" s="84"/>
      <c r="JU8" s="84"/>
      <c r="JV8" s="84"/>
      <c r="JW8" s="84"/>
      <c r="JX8" s="84"/>
      <c r="JY8" s="84"/>
      <c r="JZ8" s="84"/>
      <c r="KA8" s="84"/>
      <c r="KB8" s="84"/>
      <c r="KC8" s="84"/>
      <c r="KD8" s="84"/>
      <c r="KE8" s="84"/>
      <c r="KF8" s="84"/>
      <c r="KG8" s="84"/>
      <c r="KH8" s="84"/>
      <c r="KI8" s="84"/>
      <c r="KJ8" s="84"/>
      <c r="KK8" s="84"/>
      <c r="KL8" s="84"/>
      <c r="KM8" s="84"/>
      <c r="KN8" s="84"/>
      <c r="KO8" s="84"/>
      <c r="KP8" s="84"/>
      <c r="KQ8" s="84"/>
      <c r="KR8" s="84"/>
      <c r="KS8" s="84"/>
      <c r="KT8" s="84"/>
      <c r="KU8" s="84"/>
      <c r="KV8" s="84"/>
      <c r="KW8" s="84"/>
      <c r="KX8" s="84"/>
      <c r="KY8" s="84"/>
      <c r="KZ8" s="84"/>
      <c r="LA8" s="84"/>
      <c r="LB8" s="84"/>
      <c r="LC8" s="84"/>
      <c r="LD8" s="84"/>
      <c r="LE8" s="84"/>
      <c r="LF8" s="84"/>
      <c r="LG8" s="84"/>
      <c r="LH8" s="84"/>
      <c r="LI8" s="84"/>
      <c r="LJ8" s="84"/>
      <c r="LK8" s="84"/>
      <c r="LL8" s="84"/>
      <c r="LM8" s="84"/>
      <c r="LN8" s="84"/>
      <c r="LO8" s="84"/>
      <c r="LP8" s="84"/>
      <c r="LQ8" s="84"/>
      <c r="LR8" s="84"/>
      <c r="LS8" s="84"/>
      <c r="LT8" s="84"/>
      <c r="LU8" s="84"/>
      <c r="LV8" s="84"/>
      <c r="LW8" s="84"/>
      <c r="LX8" s="84"/>
      <c r="LY8" s="84"/>
      <c r="LZ8" s="84"/>
      <c r="MA8" s="84"/>
      <c r="MB8" s="84"/>
      <c r="MC8" s="84"/>
      <c r="MD8" s="84"/>
      <c r="ME8" s="84"/>
      <c r="MF8" s="84"/>
      <c r="MG8" s="84"/>
      <c r="MH8" s="84"/>
      <c r="MI8" s="84"/>
      <c r="MJ8" s="84"/>
      <c r="MK8" s="84"/>
      <c r="ML8" s="84"/>
      <c r="MM8" s="84"/>
      <c r="MN8" s="84"/>
      <c r="MO8" s="84"/>
      <c r="MP8" s="84"/>
      <c r="MQ8" s="84"/>
      <c r="MR8" s="84"/>
      <c r="MS8" s="84"/>
      <c r="MT8" s="84"/>
      <c r="MU8" s="84"/>
      <c r="MV8" s="84"/>
      <c r="MW8" s="84"/>
      <c r="MX8" s="84"/>
      <c r="MY8" s="84"/>
      <c r="MZ8" s="84"/>
      <c r="NA8" s="84"/>
      <c r="NB8" s="84"/>
      <c r="NC8" s="84"/>
      <c r="ND8" s="84"/>
      <c r="NE8" s="84"/>
      <c r="NF8" s="84"/>
      <c r="NG8" s="84"/>
      <c r="NH8" s="84"/>
      <c r="NI8" s="84"/>
      <c r="NJ8" s="84"/>
      <c r="NK8" s="84"/>
      <c r="NL8" s="84"/>
      <c r="NM8" s="84"/>
      <c r="NN8" s="84"/>
      <c r="NO8" s="84"/>
      <c r="NP8" s="84"/>
      <c r="NQ8" s="84"/>
      <c r="NR8" s="84"/>
      <c r="NS8" s="84"/>
      <c r="NT8" s="84"/>
      <c r="NU8" s="84"/>
      <c r="NV8" s="84"/>
      <c r="NW8" s="84"/>
      <c r="NX8" s="84"/>
      <c r="NY8" s="84"/>
      <c r="NZ8" s="84"/>
      <c r="OA8" s="84"/>
      <c r="OB8" s="84"/>
      <c r="OC8" s="84"/>
      <c r="OD8" s="84"/>
      <c r="OE8" s="84"/>
      <c r="OF8" s="84"/>
      <c r="OG8" s="84"/>
      <c r="OH8" s="84"/>
      <c r="OI8" s="84"/>
      <c r="OJ8" s="84"/>
      <c r="OK8" s="84"/>
      <c r="OL8" s="84"/>
      <c r="OM8" s="84"/>
      <c r="ON8" s="84"/>
      <c r="OO8" s="84"/>
      <c r="OP8" s="84"/>
      <c r="OQ8" s="84"/>
      <c r="OR8" s="84"/>
      <c r="OS8" s="84"/>
      <c r="OT8" s="84"/>
      <c r="OU8" s="84"/>
      <c r="OV8" s="84"/>
      <c r="OW8" s="84"/>
      <c r="OX8" s="84"/>
      <c r="OY8" s="84"/>
      <c r="OZ8" s="84"/>
      <c r="PA8" s="84"/>
      <c r="PB8" s="84"/>
      <c r="PC8" s="84"/>
      <c r="PD8" s="84"/>
      <c r="PE8" s="84"/>
      <c r="PF8" s="84"/>
      <c r="PG8" s="84"/>
      <c r="PH8" s="84"/>
      <c r="PI8" s="84"/>
      <c r="PJ8" s="84"/>
      <c r="PK8" s="84"/>
      <c r="PL8" s="84"/>
      <c r="PM8" s="84"/>
      <c r="PN8" s="84"/>
      <c r="PO8" s="84"/>
      <c r="PP8" s="84"/>
      <c r="PQ8" s="84"/>
      <c r="PR8" s="84"/>
      <c r="PS8" s="84"/>
      <c r="PT8" s="84"/>
      <c r="PU8" s="84"/>
      <c r="PV8" s="84"/>
      <c r="PW8" s="84"/>
      <c r="PX8" s="84"/>
      <c r="PY8" s="84"/>
      <c r="PZ8" s="84"/>
      <c r="QA8" s="84"/>
      <c r="QB8" s="84"/>
      <c r="QC8" s="84"/>
    </row>
    <row r="9" spans="1:445" s="85" customFormat="1" ht="15.75" x14ac:dyDescent="0.25">
      <c r="A9" s="92">
        <v>3</v>
      </c>
      <c r="B9" s="337">
        <v>2524</v>
      </c>
      <c r="C9" s="327" t="s">
        <v>278</v>
      </c>
      <c r="D9" s="1180" t="s">
        <v>744</v>
      </c>
      <c r="E9" s="329" t="s">
        <v>113</v>
      </c>
      <c r="F9" s="330">
        <v>38568</v>
      </c>
      <c r="G9" s="339" t="s">
        <v>271</v>
      </c>
      <c r="H9" s="332" t="s">
        <v>261</v>
      </c>
      <c r="I9" s="333" t="s">
        <v>262</v>
      </c>
      <c r="J9" s="329" t="s">
        <v>279</v>
      </c>
      <c r="K9" s="334" t="s">
        <v>280</v>
      </c>
      <c r="L9" s="334" t="s">
        <v>281</v>
      </c>
      <c r="M9" s="334" t="s">
        <v>267</v>
      </c>
      <c r="N9" s="334" t="s">
        <v>267</v>
      </c>
      <c r="O9" s="329" t="s">
        <v>279</v>
      </c>
      <c r="P9" s="335" t="s">
        <v>112</v>
      </c>
      <c r="Q9" s="335" t="s">
        <v>112</v>
      </c>
      <c r="R9" s="335" t="s">
        <v>90</v>
      </c>
      <c r="S9" s="336" t="s">
        <v>114</v>
      </c>
      <c r="T9" s="89"/>
      <c r="U9" s="90"/>
      <c r="V9" s="90"/>
      <c r="W9" s="91"/>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c r="BG9" s="84"/>
      <c r="BH9" s="84"/>
      <c r="BI9" s="84"/>
      <c r="BJ9" s="84"/>
      <c r="BK9" s="84"/>
      <c r="BL9" s="84"/>
      <c r="BM9" s="84"/>
      <c r="BN9" s="84"/>
      <c r="BO9" s="84"/>
      <c r="BP9" s="84"/>
      <c r="BQ9" s="84"/>
      <c r="BR9" s="84"/>
      <c r="BS9" s="84"/>
      <c r="BT9" s="84"/>
      <c r="BU9" s="84"/>
      <c r="BV9" s="84"/>
      <c r="BW9" s="84"/>
      <c r="BX9" s="84"/>
      <c r="BY9" s="84"/>
      <c r="BZ9" s="84"/>
      <c r="CA9" s="84"/>
      <c r="CB9" s="84"/>
      <c r="CC9" s="84"/>
      <c r="CD9" s="84"/>
      <c r="CE9" s="84"/>
      <c r="CF9" s="84"/>
      <c r="CG9" s="84"/>
      <c r="CH9" s="84"/>
      <c r="CI9" s="84"/>
      <c r="CJ9" s="84"/>
      <c r="CK9" s="84"/>
      <c r="CL9" s="84"/>
      <c r="CM9" s="84"/>
      <c r="CN9" s="84"/>
      <c r="CO9" s="84"/>
      <c r="CP9" s="84"/>
      <c r="CQ9" s="84"/>
      <c r="CR9" s="84"/>
      <c r="CS9" s="84"/>
      <c r="CT9" s="84"/>
      <c r="CU9" s="84"/>
      <c r="CV9" s="84"/>
      <c r="CW9" s="84"/>
      <c r="CX9" s="84"/>
      <c r="CY9" s="84"/>
      <c r="CZ9" s="84"/>
      <c r="DA9" s="84"/>
      <c r="DB9" s="84"/>
      <c r="DC9" s="84"/>
      <c r="DD9" s="84"/>
      <c r="DE9" s="84"/>
      <c r="DF9" s="84"/>
      <c r="DG9" s="84"/>
      <c r="DH9" s="84"/>
      <c r="DI9" s="84"/>
      <c r="DJ9" s="84"/>
      <c r="DK9" s="84"/>
      <c r="DL9" s="84"/>
      <c r="DM9" s="84"/>
      <c r="DN9" s="84"/>
      <c r="DO9" s="84"/>
      <c r="DP9" s="84"/>
      <c r="DQ9" s="84"/>
      <c r="DR9" s="84"/>
      <c r="DS9" s="84"/>
      <c r="DT9" s="84"/>
      <c r="DU9" s="84"/>
      <c r="DV9" s="84"/>
      <c r="DW9" s="84"/>
      <c r="DX9" s="84"/>
      <c r="DY9" s="84"/>
      <c r="DZ9" s="84"/>
      <c r="EA9" s="84"/>
      <c r="EB9" s="84"/>
      <c r="EC9" s="84"/>
      <c r="ED9" s="84"/>
      <c r="EE9" s="84"/>
      <c r="EF9" s="84"/>
      <c r="EG9" s="84"/>
      <c r="EH9" s="84"/>
      <c r="EI9" s="84"/>
      <c r="EJ9" s="84"/>
      <c r="EK9" s="84"/>
      <c r="EL9" s="84"/>
      <c r="EM9" s="84"/>
      <c r="EN9" s="84"/>
      <c r="EO9" s="84"/>
      <c r="EP9" s="84"/>
      <c r="EQ9" s="84"/>
      <c r="ER9" s="84"/>
      <c r="ES9" s="84"/>
      <c r="ET9" s="84"/>
      <c r="EU9" s="84"/>
      <c r="EV9" s="84"/>
      <c r="EW9" s="84"/>
      <c r="EX9" s="84"/>
      <c r="EY9" s="84"/>
      <c r="EZ9" s="84"/>
      <c r="FA9" s="84"/>
      <c r="FB9" s="84"/>
      <c r="FC9" s="84"/>
      <c r="FD9" s="84"/>
      <c r="FE9" s="84"/>
      <c r="FF9" s="84"/>
      <c r="FG9" s="84"/>
      <c r="FH9" s="84"/>
      <c r="FI9" s="84"/>
      <c r="FJ9" s="84"/>
      <c r="FK9" s="84"/>
      <c r="FL9" s="84"/>
      <c r="FM9" s="84"/>
      <c r="FN9" s="84"/>
      <c r="FO9" s="84"/>
      <c r="FP9" s="84"/>
      <c r="FQ9" s="84"/>
      <c r="FR9" s="84"/>
      <c r="FS9" s="84"/>
      <c r="FT9" s="84"/>
      <c r="FU9" s="84"/>
      <c r="FV9" s="84"/>
      <c r="FW9" s="84"/>
      <c r="FX9" s="84"/>
      <c r="FY9" s="84"/>
      <c r="FZ9" s="84"/>
      <c r="GA9" s="84"/>
      <c r="GB9" s="84"/>
      <c r="GC9" s="84"/>
      <c r="GD9" s="84"/>
      <c r="GE9" s="84"/>
      <c r="GF9" s="84"/>
      <c r="GG9" s="84"/>
      <c r="GH9" s="84"/>
      <c r="GI9" s="84"/>
      <c r="GJ9" s="84"/>
      <c r="GK9" s="84"/>
      <c r="GL9" s="84"/>
      <c r="GM9" s="84"/>
      <c r="GN9" s="84"/>
      <c r="GO9" s="84"/>
      <c r="GP9" s="84"/>
      <c r="GQ9" s="84"/>
      <c r="GR9" s="84"/>
      <c r="GS9" s="84"/>
      <c r="GT9" s="84"/>
      <c r="GU9" s="84"/>
      <c r="GV9" s="84"/>
      <c r="GW9" s="84"/>
      <c r="GX9" s="84"/>
      <c r="GY9" s="84"/>
      <c r="GZ9" s="84"/>
      <c r="HA9" s="84"/>
      <c r="HB9" s="84"/>
      <c r="HC9" s="84"/>
      <c r="HD9" s="84"/>
      <c r="HE9" s="84"/>
      <c r="HF9" s="84"/>
      <c r="HG9" s="84"/>
      <c r="HH9" s="84"/>
      <c r="HI9" s="84"/>
      <c r="HJ9" s="84"/>
      <c r="HK9" s="84"/>
      <c r="HL9" s="84"/>
      <c r="HM9" s="84"/>
      <c r="HN9" s="84"/>
      <c r="HO9" s="84"/>
      <c r="HP9" s="84"/>
      <c r="HQ9" s="84"/>
      <c r="HR9" s="84"/>
      <c r="HS9" s="84"/>
      <c r="HT9" s="84"/>
      <c r="HU9" s="84"/>
      <c r="HV9" s="84"/>
      <c r="HW9" s="84"/>
      <c r="HX9" s="84"/>
      <c r="HY9" s="84"/>
      <c r="HZ9" s="84"/>
      <c r="IA9" s="84"/>
      <c r="IB9" s="84"/>
      <c r="IC9" s="84"/>
      <c r="ID9" s="84"/>
      <c r="IE9" s="84"/>
      <c r="IF9" s="84"/>
      <c r="IG9" s="84"/>
      <c r="IH9" s="84"/>
      <c r="II9" s="84"/>
      <c r="IJ9" s="84"/>
      <c r="IK9" s="84"/>
      <c r="IL9" s="84"/>
      <c r="IM9" s="84"/>
      <c r="IN9" s="84"/>
      <c r="IO9" s="84"/>
      <c r="IP9" s="84"/>
      <c r="IQ9" s="84"/>
      <c r="IR9" s="84"/>
      <c r="IS9" s="84"/>
      <c r="IT9" s="84"/>
      <c r="IU9" s="84"/>
      <c r="IV9" s="84"/>
      <c r="IW9" s="84"/>
      <c r="IX9" s="84"/>
      <c r="IY9" s="84"/>
      <c r="IZ9" s="84"/>
      <c r="JA9" s="84"/>
      <c r="JB9" s="84"/>
      <c r="JC9" s="84"/>
      <c r="JD9" s="84"/>
      <c r="JE9" s="84"/>
      <c r="JF9" s="84"/>
      <c r="JG9" s="84"/>
      <c r="JH9" s="84"/>
      <c r="JI9" s="84"/>
      <c r="JJ9" s="84"/>
      <c r="JK9" s="84"/>
      <c r="JL9" s="84"/>
      <c r="JM9" s="84"/>
      <c r="JN9" s="84"/>
      <c r="JO9" s="84"/>
      <c r="JP9" s="84"/>
      <c r="JQ9" s="84"/>
      <c r="JR9" s="84"/>
      <c r="JS9" s="84"/>
      <c r="JT9" s="84"/>
      <c r="JU9" s="84"/>
      <c r="JV9" s="84"/>
      <c r="JW9" s="84"/>
      <c r="JX9" s="84"/>
      <c r="JY9" s="84"/>
      <c r="JZ9" s="84"/>
      <c r="KA9" s="84"/>
      <c r="KB9" s="84"/>
      <c r="KC9" s="84"/>
      <c r="KD9" s="84"/>
      <c r="KE9" s="84"/>
      <c r="KF9" s="84"/>
      <c r="KG9" s="84"/>
      <c r="KH9" s="84"/>
      <c r="KI9" s="84"/>
      <c r="KJ9" s="84"/>
      <c r="KK9" s="84"/>
      <c r="KL9" s="84"/>
      <c r="KM9" s="84"/>
      <c r="KN9" s="84"/>
      <c r="KO9" s="84"/>
      <c r="KP9" s="84"/>
      <c r="KQ9" s="84"/>
      <c r="KR9" s="84"/>
      <c r="KS9" s="84"/>
      <c r="KT9" s="84"/>
      <c r="KU9" s="84"/>
      <c r="KV9" s="84"/>
      <c r="KW9" s="84"/>
      <c r="KX9" s="84"/>
      <c r="KY9" s="84"/>
      <c r="KZ9" s="84"/>
      <c r="LA9" s="84"/>
      <c r="LB9" s="84"/>
      <c r="LC9" s="84"/>
      <c r="LD9" s="84"/>
      <c r="LE9" s="84"/>
      <c r="LF9" s="84"/>
      <c r="LG9" s="84"/>
      <c r="LH9" s="84"/>
      <c r="LI9" s="84"/>
      <c r="LJ9" s="84"/>
      <c r="LK9" s="84"/>
      <c r="LL9" s="84"/>
      <c r="LM9" s="84"/>
      <c r="LN9" s="84"/>
      <c r="LO9" s="84"/>
      <c r="LP9" s="84"/>
      <c r="LQ9" s="84"/>
      <c r="LR9" s="84"/>
      <c r="LS9" s="84"/>
      <c r="LT9" s="84"/>
      <c r="LU9" s="84"/>
      <c r="LV9" s="84"/>
      <c r="LW9" s="84"/>
      <c r="LX9" s="84"/>
      <c r="LY9" s="84"/>
      <c r="LZ9" s="84"/>
      <c r="MA9" s="84"/>
      <c r="MB9" s="84"/>
      <c r="MC9" s="84"/>
      <c r="MD9" s="84"/>
      <c r="ME9" s="84"/>
      <c r="MF9" s="84"/>
      <c r="MG9" s="84"/>
      <c r="MH9" s="84"/>
      <c r="MI9" s="84"/>
      <c r="MJ9" s="84"/>
      <c r="MK9" s="84"/>
      <c r="ML9" s="84"/>
      <c r="MM9" s="84"/>
      <c r="MN9" s="84"/>
      <c r="MO9" s="84"/>
      <c r="MP9" s="84"/>
      <c r="MQ9" s="84"/>
      <c r="MR9" s="84"/>
      <c r="MS9" s="84"/>
      <c r="MT9" s="84"/>
      <c r="MU9" s="84"/>
      <c r="MV9" s="84"/>
      <c r="MW9" s="84"/>
      <c r="MX9" s="84"/>
      <c r="MY9" s="84"/>
      <c r="MZ9" s="84"/>
      <c r="NA9" s="84"/>
      <c r="NB9" s="84"/>
      <c r="NC9" s="84"/>
      <c r="ND9" s="84"/>
      <c r="NE9" s="84"/>
      <c r="NF9" s="84"/>
      <c r="NG9" s="84"/>
      <c r="NH9" s="84"/>
      <c r="NI9" s="84"/>
      <c r="NJ9" s="84"/>
      <c r="NK9" s="84"/>
      <c r="NL9" s="84"/>
      <c r="NM9" s="84"/>
      <c r="NN9" s="84"/>
      <c r="NO9" s="84"/>
      <c r="NP9" s="84"/>
      <c r="NQ9" s="84"/>
      <c r="NR9" s="84"/>
      <c r="NS9" s="84"/>
      <c r="NT9" s="84"/>
      <c r="NU9" s="84"/>
      <c r="NV9" s="84"/>
      <c r="NW9" s="84"/>
      <c r="NX9" s="84"/>
      <c r="NY9" s="84"/>
      <c r="NZ9" s="84"/>
      <c r="OA9" s="84"/>
      <c r="OB9" s="84"/>
      <c r="OC9" s="84"/>
      <c r="OD9" s="84"/>
      <c r="OE9" s="84"/>
      <c r="OF9" s="84"/>
      <c r="OG9" s="84"/>
      <c r="OH9" s="84"/>
      <c r="OI9" s="84"/>
      <c r="OJ9" s="84"/>
      <c r="OK9" s="84"/>
      <c r="OL9" s="84"/>
      <c r="OM9" s="84"/>
      <c r="ON9" s="84"/>
      <c r="OO9" s="84"/>
      <c r="OP9" s="84"/>
      <c r="OQ9" s="84"/>
      <c r="OR9" s="84"/>
      <c r="OS9" s="84"/>
      <c r="OT9" s="84"/>
      <c r="OU9" s="84"/>
      <c r="OV9" s="84"/>
      <c r="OW9" s="84"/>
      <c r="OX9" s="84"/>
      <c r="OY9" s="84"/>
      <c r="OZ9" s="84"/>
      <c r="PA9" s="84"/>
      <c r="PB9" s="84"/>
      <c r="PC9" s="84"/>
      <c r="PD9" s="84"/>
      <c r="PE9" s="84"/>
      <c r="PF9" s="84"/>
      <c r="PG9" s="84"/>
      <c r="PH9" s="84"/>
      <c r="PI9" s="84"/>
      <c r="PJ9" s="84"/>
      <c r="PK9" s="84"/>
      <c r="PL9" s="84"/>
      <c r="PM9" s="84"/>
      <c r="PN9" s="84"/>
      <c r="PO9" s="84"/>
      <c r="PP9" s="84"/>
      <c r="PQ9" s="84"/>
      <c r="PR9" s="84"/>
      <c r="PS9" s="84"/>
      <c r="PT9" s="84"/>
      <c r="PU9" s="84"/>
      <c r="PV9" s="84"/>
      <c r="PW9" s="84"/>
      <c r="PX9" s="84"/>
      <c r="PY9" s="84"/>
      <c r="PZ9" s="84"/>
      <c r="QA9" s="84"/>
      <c r="QB9" s="84"/>
      <c r="QC9" s="84"/>
    </row>
    <row r="10" spans="1:445" s="85" customFormat="1" ht="15.75" x14ac:dyDescent="0.25">
      <c r="A10" s="86">
        <v>4</v>
      </c>
      <c r="B10" s="337">
        <v>2525</v>
      </c>
      <c r="C10" s="327" t="s">
        <v>282</v>
      </c>
      <c r="D10" s="1180" t="s">
        <v>745</v>
      </c>
      <c r="E10" s="329" t="s">
        <v>113</v>
      </c>
      <c r="F10" s="330" t="s">
        <v>283</v>
      </c>
      <c r="G10" s="339" t="s">
        <v>271</v>
      </c>
      <c r="H10" s="332" t="s">
        <v>261</v>
      </c>
      <c r="I10" s="333" t="s">
        <v>262</v>
      </c>
      <c r="J10" s="340" t="s">
        <v>284</v>
      </c>
      <c r="K10" s="329" t="s">
        <v>285</v>
      </c>
      <c r="L10" s="334" t="s">
        <v>286</v>
      </c>
      <c r="M10" s="334" t="s">
        <v>287</v>
      </c>
      <c r="N10" s="334" t="s">
        <v>276</v>
      </c>
      <c r="O10" s="340" t="s">
        <v>284</v>
      </c>
      <c r="P10" s="335" t="s">
        <v>288</v>
      </c>
      <c r="Q10" s="335" t="s">
        <v>112</v>
      </c>
      <c r="R10" s="335" t="s">
        <v>90</v>
      </c>
      <c r="S10" s="336" t="s">
        <v>114</v>
      </c>
      <c r="T10" s="89"/>
      <c r="U10" s="90"/>
      <c r="V10" s="90"/>
      <c r="W10" s="91"/>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c r="BD10" s="84"/>
      <c r="BE10" s="84"/>
      <c r="BF10" s="84"/>
      <c r="BG10" s="84"/>
      <c r="BH10" s="84"/>
      <c r="BI10" s="84"/>
      <c r="BJ10" s="84"/>
      <c r="BK10" s="84"/>
      <c r="BL10" s="84"/>
      <c r="BM10" s="84"/>
      <c r="BN10" s="84"/>
      <c r="BO10" s="84"/>
      <c r="BP10" s="84"/>
      <c r="BQ10" s="84"/>
      <c r="BR10" s="84"/>
      <c r="BS10" s="84"/>
      <c r="BT10" s="84"/>
      <c r="BU10" s="84"/>
      <c r="BV10" s="84"/>
      <c r="BW10" s="84"/>
      <c r="BX10" s="84"/>
      <c r="BY10" s="84"/>
      <c r="BZ10" s="84"/>
      <c r="CA10" s="84"/>
      <c r="CB10" s="84"/>
      <c r="CC10" s="84"/>
      <c r="CD10" s="84"/>
      <c r="CE10" s="84"/>
      <c r="CF10" s="84"/>
      <c r="CG10" s="84"/>
      <c r="CH10" s="84"/>
      <c r="CI10" s="84"/>
      <c r="CJ10" s="84"/>
      <c r="CK10" s="84"/>
      <c r="CL10" s="84"/>
      <c r="CM10" s="84"/>
      <c r="CN10" s="84"/>
      <c r="CO10" s="84"/>
      <c r="CP10" s="84"/>
      <c r="CQ10" s="84"/>
      <c r="CR10" s="84"/>
      <c r="CS10" s="84"/>
      <c r="CT10" s="84"/>
      <c r="CU10" s="84"/>
      <c r="CV10" s="84"/>
      <c r="CW10" s="84"/>
      <c r="CX10" s="84"/>
      <c r="CY10" s="84"/>
      <c r="CZ10" s="84"/>
      <c r="DA10" s="84"/>
      <c r="DB10" s="84"/>
      <c r="DC10" s="84"/>
      <c r="DD10" s="84"/>
      <c r="DE10" s="84"/>
      <c r="DF10" s="84"/>
      <c r="DG10" s="84"/>
      <c r="DH10" s="84"/>
      <c r="DI10" s="84"/>
      <c r="DJ10" s="84"/>
      <c r="DK10" s="84"/>
      <c r="DL10" s="84"/>
      <c r="DM10" s="84"/>
      <c r="DN10" s="84"/>
      <c r="DO10" s="84"/>
      <c r="DP10" s="84"/>
      <c r="DQ10" s="84"/>
      <c r="DR10" s="84"/>
      <c r="DS10" s="84"/>
      <c r="DT10" s="84"/>
      <c r="DU10" s="84"/>
      <c r="DV10" s="84"/>
      <c r="DW10" s="84"/>
      <c r="DX10" s="84"/>
      <c r="DY10" s="84"/>
      <c r="DZ10" s="84"/>
      <c r="EA10" s="84"/>
      <c r="EB10" s="84"/>
      <c r="EC10" s="84"/>
      <c r="ED10" s="84"/>
      <c r="EE10" s="84"/>
      <c r="EF10" s="84"/>
      <c r="EG10" s="84"/>
      <c r="EH10" s="84"/>
      <c r="EI10" s="84"/>
      <c r="EJ10" s="84"/>
      <c r="EK10" s="84"/>
      <c r="EL10" s="84"/>
      <c r="EM10" s="84"/>
      <c r="EN10" s="84"/>
      <c r="EO10" s="84"/>
      <c r="EP10" s="84"/>
      <c r="EQ10" s="84"/>
      <c r="ER10" s="84"/>
      <c r="ES10" s="84"/>
      <c r="ET10" s="84"/>
      <c r="EU10" s="84"/>
      <c r="EV10" s="84"/>
      <c r="EW10" s="84"/>
      <c r="EX10" s="84"/>
      <c r="EY10" s="84"/>
      <c r="EZ10" s="84"/>
      <c r="FA10" s="84"/>
      <c r="FB10" s="84"/>
      <c r="FC10" s="84"/>
      <c r="FD10" s="84"/>
      <c r="FE10" s="84"/>
      <c r="FF10" s="84"/>
      <c r="FG10" s="84"/>
      <c r="FH10" s="84"/>
      <c r="FI10" s="84"/>
      <c r="FJ10" s="84"/>
      <c r="FK10" s="84"/>
      <c r="FL10" s="84"/>
      <c r="FM10" s="84"/>
      <c r="FN10" s="84"/>
      <c r="FO10" s="84"/>
      <c r="FP10" s="84"/>
      <c r="FQ10" s="84"/>
      <c r="FR10" s="84"/>
      <c r="FS10" s="84"/>
      <c r="FT10" s="84"/>
      <c r="FU10" s="84"/>
      <c r="FV10" s="84"/>
      <c r="FW10" s="84"/>
      <c r="FX10" s="84"/>
      <c r="FY10" s="84"/>
      <c r="FZ10" s="84"/>
      <c r="GA10" s="84"/>
      <c r="GB10" s="84"/>
      <c r="GC10" s="84"/>
      <c r="GD10" s="84"/>
      <c r="GE10" s="84"/>
      <c r="GF10" s="84"/>
      <c r="GG10" s="84"/>
      <c r="GH10" s="84"/>
      <c r="GI10" s="84"/>
      <c r="GJ10" s="84"/>
      <c r="GK10" s="84"/>
      <c r="GL10" s="84"/>
      <c r="GM10" s="84"/>
      <c r="GN10" s="84"/>
      <c r="GO10" s="84"/>
      <c r="GP10" s="84"/>
      <c r="GQ10" s="84"/>
      <c r="GR10" s="84"/>
      <c r="GS10" s="84"/>
      <c r="GT10" s="84"/>
      <c r="GU10" s="84"/>
      <c r="GV10" s="84"/>
      <c r="GW10" s="84"/>
      <c r="GX10" s="84"/>
      <c r="GY10" s="84"/>
      <c r="GZ10" s="84"/>
      <c r="HA10" s="84"/>
      <c r="HB10" s="84"/>
      <c r="HC10" s="84"/>
      <c r="HD10" s="84"/>
      <c r="HE10" s="84"/>
      <c r="HF10" s="84"/>
      <c r="HG10" s="84"/>
      <c r="HH10" s="84"/>
      <c r="HI10" s="84"/>
      <c r="HJ10" s="84"/>
      <c r="HK10" s="84"/>
      <c r="HL10" s="84"/>
      <c r="HM10" s="84"/>
      <c r="HN10" s="84"/>
      <c r="HO10" s="84"/>
      <c r="HP10" s="84"/>
      <c r="HQ10" s="84"/>
      <c r="HR10" s="84"/>
      <c r="HS10" s="84"/>
      <c r="HT10" s="84"/>
      <c r="HU10" s="84"/>
      <c r="HV10" s="84"/>
      <c r="HW10" s="84"/>
      <c r="HX10" s="84"/>
      <c r="HY10" s="84"/>
      <c r="HZ10" s="84"/>
      <c r="IA10" s="84"/>
      <c r="IB10" s="84"/>
      <c r="IC10" s="84"/>
      <c r="ID10" s="84"/>
      <c r="IE10" s="84"/>
      <c r="IF10" s="84"/>
      <c r="IG10" s="84"/>
      <c r="IH10" s="84"/>
      <c r="II10" s="84"/>
      <c r="IJ10" s="84"/>
      <c r="IK10" s="84"/>
      <c r="IL10" s="84"/>
      <c r="IM10" s="84"/>
      <c r="IN10" s="84"/>
      <c r="IO10" s="84"/>
      <c r="IP10" s="84"/>
      <c r="IQ10" s="84"/>
      <c r="IR10" s="84"/>
      <c r="IS10" s="84"/>
      <c r="IT10" s="84"/>
      <c r="IU10" s="84"/>
      <c r="IV10" s="84"/>
      <c r="IW10" s="84"/>
      <c r="IX10" s="84"/>
      <c r="IY10" s="84"/>
      <c r="IZ10" s="84"/>
      <c r="JA10" s="84"/>
      <c r="JB10" s="84"/>
      <c r="JC10" s="84"/>
      <c r="JD10" s="84"/>
      <c r="JE10" s="84"/>
      <c r="JF10" s="84"/>
      <c r="JG10" s="84"/>
      <c r="JH10" s="84"/>
      <c r="JI10" s="84"/>
      <c r="JJ10" s="84"/>
      <c r="JK10" s="84"/>
      <c r="JL10" s="84"/>
      <c r="JM10" s="84"/>
      <c r="JN10" s="84"/>
      <c r="JO10" s="84"/>
      <c r="JP10" s="84"/>
      <c r="JQ10" s="84"/>
      <c r="JR10" s="84"/>
      <c r="JS10" s="84"/>
      <c r="JT10" s="84"/>
      <c r="JU10" s="84"/>
      <c r="JV10" s="84"/>
      <c r="JW10" s="84"/>
      <c r="JX10" s="84"/>
      <c r="JY10" s="84"/>
      <c r="JZ10" s="84"/>
      <c r="KA10" s="84"/>
      <c r="KB10" s="84"/>
      <c r="KC10" s="84"/>
      <c r="KD10" s="84"/>
      <c r="KE10" s="84"/>
      <c r="KF10" s="84"/>
      <c r="KG10" s="84"/>
      <c r="KH10" s="84"/>
      <c r="KI10" s="84"/>
      <c r="KJ10" s="84"/>
      <c r="KK10" s="84"/>
      <c r="KL10" s="84"/>
      <c r="KM10" s="84"/>
      <c r="KN10" s="84"/>
      <c r="KO10" s="84"/>
      <c r="KP10" s="84"/>
      <c r="KQ10" s="84"/>
      <c r="KR10" s="84"/>
      <c r="KS10" s="84"/>
      <c r="KT10" s="84"/>
      <c r="KU10" s="84"/>
      <c r="KV10" s="84"/>
      <c r="KW10" s="84"/>
      <c r="KX10" s="84"/>
      <c r="KY10" s="84"/>
      <c r="KZ10" s="84"/>
      <c r="LA10" s="84"/>
      <c r="LB10" s="84"/>
      <c r="LC10" s="84"/>
      <c r="LD10" s="84"/>
      <c r="LE10" s="84"/>
      <c r="LF10" s="84"/>
      <c r="LG10" s="84"/>
      <c r="LH10" s="84"/>
      <c r="LI10" s="84"/>
      <c r="LJ10" s="84"/>
      <c r="LK10" s="84"/>
      <c r="LL10" s="84"/>
      <c r="LM10" s="84"/>
      <c r="LN10" s="84"/>
      <c r="LO10" s="84"/>
      <c r="LP10" s="84"/>
      <c r="LQ10" s="84"/>
      <c r="LR10" s="84"/>
      <c r="LS10" s="84"/>
      <c r="LT10" s="84"/>
      <c r="LU10" s="84"/>
      <c r="LV10" s="84"/>
      <c r="LW10" s="84"/>
      <c r="LX10" s="84"/>
      <c r="LY10" s="84"/>
      <c r="LZ10" s="84"/>
      <c r="MA10" s="84"/>
      <c r="MB10" s="84"/>
      <c r="MC10" s="84"/>
      <c r="MD10" s="84"/>
      <c r="ME10" s="84"/>
      <c r="MF10" s="84"/>
      <c r="MG10" s="84"/>
      <c r="MH10" s="84"/>
      <c r="MI10" s="84"/>
      <c r="MJ10" s="84"/>
      <c r="MK10" s="84"/>
      <c r="ML10" s="84"/>
      <c r="MM10" s="84"/>
      <c r="MN10" s="84"/>
      <c r="MO10" s="84"/>
      <c r="MP10" s="84"/>
      <c r="MQ10" s="84"/>
      <c r="MR10" s="84"/>
      <c r="MS10" s="84"/>
      <c r="MT10" s="84"/>
      <c r="MU10" s="84"/>
      <c r="MV10" s="84"/>
      <c r="MW10" s="84"/>
      <c r="MX10" s="84"/>
      <c r="MY10" s="84"/>
      <c r="MZ10" s="84"/>
      <c r="NA10" s="84"/>
      <c r="NB10" s="84"/>
      <c r="NC10" s="84"/>
      <c r="ND10" s="84"/>
      <c r="NE10" s="84"/>
      <c r="NF10" s="84"/>
      <c r="NG10" s="84"/>
      <c r="NH10" s="84"/>
      <c r="NI10" s="84"/>
      <c r="NJ10" s="84"/>
      <c r="NK10" s="84"/>
      <c r="NL10" s="84"/>
      <c r="NM10" s="84"/>
      <c r="NN10" s="84"/>
      <c r="NO10" s="84"/>
      <c r="NP10" s="84"/>
      <c r="NQ10" s="84"/>
      <c r="NR10" s="84"/>
      <c r="NS10" s="84"/>
      <c r="NT10" s="84"/>
      <c r="NU10" s="84"/>
      <c r="NV10" s="84"/>
      <c r="NW10" s="84"/>
      <c r="NX10" s="84"/>
      <c r="NY10" s="84"/>
      <c r="NZ10" s="84"/>
      <c r="OA10" s="84"/>
      <c r="OB10" s="84"/>
      <c r="OC10" s="84"/>
      <c r="OD10" s="84"/>
      <c r="OE10" s="84"/>
      <c r="OF10" s="84"/>
      <c r="OG10" s="84"/>
      <c r="OH10" s="84"/>
      <c r="OI10" s="84"/>
      <c r="OJ10" s="84"/>
      <c r="OK10" s="84"/>
      <c r="OL10" s="84"/>
      <c r="OM10" s="84"/>
      <c r="ON10" s="84"/>
      <c r="OO10" s="84"/>
      <c r="OP10" s="84"/>
      <c r="OQ10" s="84"/>
      <c r="OR10" s="84"/>
      <c r="OS10" s="84"/>
      <c r="OT10" s="84"/>
      <c r="OU10" s="84"/>
      <c r="OV10" s="84"/>
      <c r="OW10" s="84"/>
      <c r="OX10" s="84"/>
      <c r="OY10" s="84"/>
      <c r="OZ10" s="84"/>
      <c r="PA10" s="84"/>
      <c r="PB10" s="84"/>
      <c r="PC10" s="84"/>
      <c r="PD10" s="84"/>
      <c r="PE10" s="84"/>
      <c r="PF10" s="84"/>
      <c r="PG10" s="84"/>
      <c r="PH10" s="84"/>
      <c r="PI10" s="84"/>
      <c r="PJ10" s="84"/>
      <c r="PK10" s="84"/>
      <c r="PL10" s="84"/>
      <c r="PM10" s="84"/>
      <c r="PN10" s="84"/>
      <c r="PO10" s="84"/>
      <c r="PP10" s="84"/>
      <c r="PQ10" s="84"/>
      <c r="PR10" s="84"/>
      <c r="PS10" s="84"/>
      <c r="PT10" s="84"/>
      <c r="PU10" s="84"/>
      <c r="PV10" s="84"/>
      <c r="PW10" s="84"/>
      <c r="PX10" s="84"/>
      <c r="PY10" s="84"/>
      <c r="PZ10" s="84"/>
      <c r="QA10" s="84"/>
      <c r="QB10" s="84"/>
      <c r="QC10" s="84"/>
    </row>
    <row r="11" spans="1:445" s="85" customFormat="1" ht="15.75" x14ac:dyDescent="0.25">
      <c r="A11" s="92">
        <v>5</v>
      </c>
      <c r="B11" s="337">
        <v>2526</v>
      </c>
      <c r="C11" s="327" t="s">
        <v>289</v>
      </c>
      <c r="D11" s="1180" t="s">
        <v>746</v>
      </c>
      <c r="E11" s="329" t="s">
        <v>113</v>
      </c>
      <c r="F11" s="330">
        <v>38575</v>
      </c>
      <c r="G11" s="339" t="s">
        <v>271</v>
      </c>
      <c r="H11" s="332" t="s">
        <v>261</v>
      </c>
      <c r="I11" s="333" t="s">
        <v>262</v>
      </c>
      <c r="J11" s="329" t="s">
        <v>290</v>
      </c>
      <c r="K11" s="334" t="s">
        <v>291</v>
      </c>
      <c r="L11" s="334" t="s">
        <v>292</v>
      </c>
      <c r="M11" s="334" t="s">
        <v>293</v>
      </c>
      <c r="N11" s="334" t="s">
        <v>293</v>
      </c>
      <c r="O11" s="329" t="s">
        <v>290</v>
      </c>
      <c r="P11" s="335" t="s">
        <v>288</v>
      </c>
      <c r="Q11" s="335" t="s">
        <v>112</v>
      </c>
      <c r="R11" s="335" t="s">
        <v>90</v>
      </c>
      <c r="S11" s="336" t="s">
        <v>114</v>
      </c>
      <c r="T11" s="89"/>
      <c r="U11" s="90"/>
      <c r="V11" s="90"/>
      <c r="W11" s="91"/>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row>
    <row r="12" spans="1:445" s="85" customFormat="1" ht="15.75" x14ac:dyDescent="0.25">
      <c r="A12" s="86">
        <v>6</v>
      </c>
      <c r="B12" s="337">
        <v>2529</v>
      </c>
      <c r="C12" s="327" t="s">
        <v>294</v>
      </c>
      <c r="D12" s="1180" t="s">
        <v>747</v>
      </c>
      <c r="E12" s="329" t="s">
        <v>113</v>
      </c>
      <c r="F12" s="330">
        <v>38478</v>
      </c>
      <c r="G12" s="331" t="s">
        <v>260</v>
      </c>
      <c r="H12" s="332" t="s">
        <v>261</v>
      </c>
      <c r="I12" s="333" t="s">
        <v>262</v>
      </c>
      <c r="J12" s="329" t="s">
        <v>295</v>
      </c>
      <c r="K12" s="334" t="s">
        <v>296</v>
      </c>
      <c r="L12" s="334" t="s">
        <v>297</v>
      </c>
      <c r="M12" s="334" t="s">
        <v>267</v>
      </c>
      <c r="N12" s="334" t="s">
        <v>267</v>
      </c>
      <c r="O12" s="329" t="s">
        <v>295</v>
      </c>
      <c r="P12" s="335" t="s">
        <v>288</v>
      </c>
      <c r="Q12" s="335" t="s">
        <v>112</v>
      </c>
      <c r="R12" s="335" t="s">
        <v>90</v>
      </c>
      <c r="S12" s="336" t="s">
        <v>114</v>
      </c>
      <c r="T12" s="89"/>
      <c r="U12" s="90"/>
      <c r="V12" s="90"/>
      <c r="W12" s="91"/>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c r="BG12" s="84"/>
      <c r="BH12" s="84"/>
      <c r="BI12" s="84"/>
      <c r="BJ12" s="84"/>
      <c r="BK12" s="84"/>
      <c r="BL12" s="84"/>
      <c r="BM12" s="84"/>
      <c r="BN12" s="84"/>
      <c r="BO12" s="84"/>
      <c r="BP12" s="84"/>
      <c r="BQ12" s="84"/>
      <c r="BR12" s="84"/>
      <c r="BS12" s="84"/>
      <c r="BT12" s="84"/>
      <c r="BU12" s="84"/>
      <c r="BV12" s="84"/>
      <c r="BW12" s="84"/>
      <c r="BX12" s="84"/>
      <c r="BY12" s="84"/>
      <c r="BZ12" s="84"/>
      <c r="CA12" s="84"/>
      <c r="CB12" s="84"/>
      <c r="CC12" s="84"/>
      <c r="CD12" s="84"/>
      <c r="CE12" s="84"/>
      <c r="CF12" s="84"/>
      <c r="CG12" s="84"/>
      <c r="CH12" s="84"/>
      <c r="CI12" s="84"/>
      <c r="CJ12" s="84"/>
      <c r="CK12" s="84"/>
      <c r="CL12" s="84"/>
      <c r="CM12" s="84"/>
      <c r="CN12" s="84"/>
      <c r="CO12" s="84"/>
      <c r="CP12" s="84"/>
      <c r="CQ12" s="84"/>
      <c r="CR12" s="84"/>
      <c r="CS12" s="84"/>
      <c r="CT12" s="84"/>
      <c r="CU12" s="84"/>
      <c r="CV12" s="84"/>
      <c r="CW12" s="84"/>
      <c r="CX12" s="84"/>
      <c r="CY12" s="84"/>
      <c r="CZ12" s="84"/>
      <c r="DA12" s="84"/>
      <c r="DB12" s="84"/>
      <c r="DC12" s="84"/>
      <c r="DD12" s="84"/>
      <c r="DE12" s="84"/>
      <c r="DF12" s="84"/>
      <c r="DG12" s="84"/>
      <c r="DH12" s="84"/>
      <c r="DI12" s="84"/>
      <c r="DJ12" s="84"/>
      <c r="DK12" s="84"/>
      <c r="DL12" s="84"/>
      <c r="DM12" s="84"/>
      <c r="DN12" s="84"/>
      <c r="DO12" s="84"/>
      <c r="DP12" s="84"/>
      <c r="DQ12" s="84"/>
      <c r="DR12" s="84"/>
      <c r="DS12" s="84"/>
      <c r="DT12" s="84"/>
      <c r="DU12" s="84"/>
      <c r="DV12" s="84"/>
      <c r="DW12" s="84"/>
      <c r="DX12" s="84"/>
      <c r="DY12" s="84"/>
      <c r="DZ12" s="84"/>
      <c r="EA12" s="84"/>
      <c r="EB12" s="84"/>
      <c r="EC12" s="84"/>
      <c r="ED12" s="84"/>
      <c r="EE12" s="84"/>
      <c r="EF12" s="84"/>
      <c r="EG12" s="84"/>
      <c r="EH12" s="84"/>
      <c r="EI12" s="84"/>
      <c r="EJ12" s="84"/>
      <c r="EK12" s="84"/>
      <c r="EL12" s="84"/>
      <c r="EM12" s="84"/>
      <c r="EN12" s="84"/>
      <c r="EO12" s="84"/>
      <c r="EP12" s="84"/>
      <c r="EQ12" s="84"/>
      <c r="ER12" s="84"/>
      <c r="ES12" s="84"/>
      <c r="ET12" s="84"/>
      <c r="EU12" s="84"/>
      <c r="EV12" s="84"/>
      <c r="EW12" s="84"/>
      <c r="EX12" s="84"/>
      <c r="EY12" s="84"/>
      <c r="EZ12" s="84"/>
      <c r="FA12" s="84"/>
      <c r="FB12" s="84"/>
      <c r="FC12" s="84"/>
      <c r="FD12" s="84"/>
      <c r="FE12" s="84"/>
      <c r="FF12" s="84"/>
      <c r="FG12" s="84"/>
      <c r="FH12" s="84"/>
      <c r="FI12" s="84"/>
      <c r="FJ12" s="84"/>
      <c r="FK12" s="84"/>
      <c r="FL12" s="84"/>
      <c r="FM12" s="84"/>
      <c r="FN12" s="84"/>
      <c r="FO12" s="84"/>
      <c r="FP12" s="84"/>
      <c r="FQ12" s="84"/>
      <c r="FR12" s="84"/>
      <c r="FS12" s="84"/>
      <c r="FT12" s="84"/>
      <c r="FU12" s="84"/>
      <c r="FV12" s="84"/>
      <c r="FW12" s="84"/>
      <c r="FX12" s="84"/>
      <c r="FY12" s="84"/>
      <c r="FZ12" s="84"/>
      <c r="GA12" s="84"/>
      <c r="GB12" s="84"/>
      <c r="GC12" s="84"/>
      <c r="GD12" s="84"/>
      <c r="GE12" s="84"/>
      <c r="GF12" s="84"/>
      <c r="GG12" s="84"/>
      <c r="GH12" s="84"/>
      <c r="GI12" s="84"/>
      <c r="GJ12" s="84"/>
      <c r="GK12" s="84"/>
      <c r="GL12" s="84"/>
      <c r="GM12" s="84"/>
      <c r="GN12" s="84"/>
      <c r="GO12" s="84"/>
      <c r="GP12" s="84"/>
      <c r="GQ12" s="84"/>
      <c r="GR12" s="84"/>
      <c r="GS12" s="84"/>
      <c r="GT12" s="84"/>
      <c r="GU12" s="84"/>
      <c r="GV12" s="84"/>
      <c r="GW12" s="84"/>
      <c r="GX12" s="84"/>
      <c r="GY12" s="84"/>
      <c r="GZ12" s="84"/>
      <c r="HA12" s="84"/>
      <c r="HB12" s="84"/>
      <c r="HC12" s="84"/>
      <c r="HD12" s="84"/>
      <c r="HE12" s="84"/>
      <c r="HF12" s="84"/>
      <c r="HG12" s="84"/>
      <c r="HH12" s="84"/>
      <c r="HI12" s="84"/>
      <c r="HJ12" s="84"/>
      <c r="HK12" s="84"/>
      <c r="HL12" s="84"/>
      <c r="HM12" s="84"/>
      <c r="HN12" s="84"/>
      <c r="HO12" s="84"/>
      <c r="HP12" s="84"/>
      <c r="HQ12" s="84"/>
      <c r="HR12" s="84"/>
      <c r="HS12" s="84"/>
      <c r="HT12" s="84"/>
      <c r="HU12" s="84"/>
      <c r="HV12" s="84"/>
      <c r="HW12" s="84"/>
      <c r="HX12" s="84"/>
      <c r="HY12" s="84"/>
      <c r="HZ12" s="84"/>
      <c r="IA12" s="84"/>
      <c r="IB12" s="84"/>
      <c r="IC12" s="84"/>
      <c r="ID12" s="84"/>
      <c r="IE12" s="84"/>
      <c r="IF12" s="84"/>
      <c r="IG12" s="84"/>
      <c r="IH12" s="84"/>
      <c r="II12" s="84"/>
      <c r="IJ12" s="84"/>
      <c r="IK12" s="84"/>
      <c r="IL12" s="84"/>
      <c r="IM12" s="84"/>
      <c r="IN12" s="84"/>
      <c r="IO12" s="84"/>
      <c r="IP12" s="84"/>
      <c r="IQ12" s="84"/>
      <c r="IR12" s="84"/>
      <c r="IS12" s="84"/>
      <c r="IT12" s="84"/>
      <c r="IU12" s="84"/>
      <c r="IV12" s="84"/>
      <c r="IW12" s="84"/>
      <c r="IX12" s="84"/>
      <c r="IY12" s="84"/>
      <c r="IZ12" s="84"/>
      <c r="JA12" s="84"/>
      <c r="JB12" s="84"/>
      <c r="JC12" s="84"/>
      <c r="JD12" s="84"/>
      <c r="JE12" s="84"/>
      <c r="JF12" s="84"/>
      <c r="JG12" s="84"/>
      <c r="JH12" s="84"/>
      <c r="JI12" s="84"/>
      <c r="JJ12" s="84"/>
      <c r="JK12" s="84"/>
      <c r="JL12" s="84"/>
      <c r="JM12" s="84"/>
      <c r="JN12" s="84"/>
      <c r="JO12" s="84"/>
      <c r="JP12" s="84"/>
      <c r="JQ12" s="84"/>
      <c r="JR12" s="84"/>
      <c r="JS12" s="84"/>
      <c r="JT12" s="84"/>
      <c r="JU12" s="84"/>
      <c r="JV12" s="84"/>
      <c r="JW12" s="84"/>
      <c r="JX12" s="84"/>
      <c r="JY12" s="84"/>
      <c r="JZ12" s="84"/>
      <c r="KA12" s="84"/>
      <c r="KB12" s="84"/>
      <c r="KC12" s="84"/>
      <c r="KD12" s="84"/>
      <c r="KE12" s="84"/>
      <c r="KF12" s="84"/>
      <c r="KG12" s="84"/>
      <c r="KH12" s="84"/>
      <c r="KI12" s="84"/>
      <c r="KJ12" s="84"/>
      <c r="KK12" s="84"/>
      <c r="KL12" s="84"/>
      <c r="KM12" s="84"/>
      <c r="KN12" s="84"/>
      <c r="KO12" s="84"/>
      <c r="KP12" s="84"/>
      <c r="KQ12" s="84"/>
      <c r="KR12" s="84"/>
      <c r="KS12" s="84"/>
      <c r="KT12" s="84"/>
      <c r="KU12" s="84"/>
      <c r="KV12" s="84"/>
      <c r="KW12" s="84"/>
      <c r="KX12" s="84"/>
      <c r="KY12" s="84"/>
      <c r="KZ12" s="84"/>
      <c r="LA12" s="84"/>
      <c r="LB12" s="84"/>
      <c r="LC12" s="84"/>
      <c r="LD12" s="84"/>
      <c r="LE12" s="84"/>
      <c r="LF12" s="84"/>
      <c r="LG12" s="84"/>
      <c r="LH12" s="84"/>
      <c r="LI12" s="84"/>
      <c r="LJ12" s="84"/>
      <c r="LK12" s="84"/>
      <c r="LL12" s="84"/>
      <c r="LM12" s="84"/>
      <c r="LN12" s="84"/>
      <c r="LO12" s="84"/>
      <c r="LP12" s="84"/>
      <c r="LQ12" s="84"/>
      <c r="LR12" s="84"/>
      <c r="LS12" s="84"/>
      <c r="LT12" s="84"/>
      <c r="LU12" s="84"/>
      <c r="LV12" s="84"/>
      <c r="LW12" s="84"/>
      <c r="LX12" s="84"/>
      <c r="LY12" s="84"/>
      <c r="LZ12" s="84"/>
      <c r="MA12" s="84"/>
      <c r="MB12" s="84"/>
      <c r="MC12" s="84"/>
      <c r="MD12" s="84"/>
      <c r="ME12" s="84"/>
      <c r="MF12" s="84"/>
      <c r="MG12" s="84"/>
      <c r="MH12" s="84"/>
      <c r="MI12" s="84"/>
      <c r="MJ12" s="84"/>
      <c r="MK12" s="84"/>
      <c r="ML12" s="84"/>
      <c r="MM12" s="84"/>
      <c r="MN12" s="84"/>
      <c r="MO12" s="84"/>
      <c r="MP12" s="84"/>
      <c r="MQ12" s="84"/>
      <c r="MR12" s="84"/>
      <c r="MS12" s="84"/>
      <c r="MT12" s="84"/>
      <c r="MU12" s="84"/>
      <c r="MV12" s="84"/>
      <c r="MW12" s="84"/>
      <c r="MX12" s="84"/>
      <c r="MY12" s="84"/>
      <c r="MZ12" s="84"/>
      <c r="NA12" s="84"/>
      <c r="NB12" s="84"/>
      <c r="NC12" s="84"/>
      <c r="ND12" s="84"/>
      <c r="NE12" s="84"/>
      <c r="NF12" s="84"/>
      <c r="NG12" s="84"/>
      <c r="NH12" s="84"/>
      <c r="NI12" s="84"/>
      <c r="NJ12" s="84"/>
      <c r="NK12" s="84"/>
      <c r="NL12" s="84"/>
      <c r="NM12" s="84"/>
      <c r="NN12" s="84"/>
      <c r="NO12" s="84"/>
      <c r="NP12" s="84"/>
      <c r="NQ12" s="84"/>
      <c r="NR12" s="84"/>
      <c r="NS12" s="84"/>
      <c r="NT12" s="84"/>
      <c r="NU12" s="84"/>
      <c r="NV12" s="84"/>
      <c r="NW12" s="84"/>
      <c r="NX12" s="84"/>
      <c r="NY12" s="84"/>
      <c r="NZ12" s="84"/>
      <c r="OA12" s="84"/>
      <c r="OB12" s="84"/>
      <c r="OC12" s="84"/>
      <c r="OD12" s="84"/>
      <c r="OE12" s="84"/>
      <c r="OF12" s="84"/>
      <c r="OG12" s="84"/>
      <c r="OH12" s="84"/>
      <c r="OI12" s="84"/>
      <c r="OJ12" s="84"/>
      <c r="OK12" s="84"/>
      <c r="OL12" s="84"/>
      <c r="OM12" s="84"/>
      <c r="ON12" s="84"/>
      <c r="OO12" s="84"/>
      <c r="OP12" s="84"/>
      <c r="OQ12" s="84"/>
      <c r="OR12" s="84"/>
      <c r="OS12" s="84"/>
      <c r="OT12" s="84"/>
      <c r="OU12" s="84"/>
      <c r="OV12" s="84"/>
      <c r="OW12" s="84"/>
      <c r="OX12" s="84"/>
      <c r="OY12" s="84"/>
      <c r="OZ12" s="84"/>
      <c r="PA12" s="84"/>
      <c r="PB12" s="84"/>
      <c r="PC12" s="84"/>
      <c r="PD12" s="84"/>
      <c r="PE12" s="84"/>
      <c r="PF12" s="84"/>
      <c r="PG12" s="84"/>
      <c r="PH12" s="84"/>
      <c r="PI12" s="84"/>
      <c r="PJ12" s="84"/>
      <c r="PK12" s="84"/>
      <c r="PL12" s="84"/>
      <c r="PM12" s="84"/>
      <c r="PN12" s="84"/>
      <c r="PO12" s="84"/>
      <c r="PP12" s="84"/>
      <c r="PQ12" s="84"/>
      <c r="PR12" s="84"/>
      <c r="PS12" s="84"/>
      <c r="PT12" s="84"/>
      <c r="PU12" s="84"/>
      <c r="PV12" s="84"/>
      <c r="PW12" s="84"/>
      <c r="PX12" s="84"/>
      <c r="PY12" s="84"/>
      <c r="PZ12" s="84"/>
      <c r="QA12" s="84"/>
      <c r="QB12" s="84"/>
      <c r="QC12" s="84"/>
    </row>
    <row r="13" spans="1:445" s="85" customFormat="1" ht="15.75" x14ac:dyDescent="0.25">
      <c r="A13" s="92">
        <v>7</v>
      </c>
      <c r="B13" s="337">
        <v>2530</v>
      </c>
      <c r="C13" s="327" t="s">
        <v>298</v>
      </c>
      <c r="D13" s="1180" t="s">
        <v>748</v>
      </c>
      <c r="E13" s="329" t="s">
        <v>113</v>
      </c>
      <c r="F13" s="330">
        <v>38640</v>
      </c>
      <c r="G13" s="339" t="s">
        <v>271</v>
      </c>
      <c r="H13" s="332" t="s">
        <v>261</v>
      </c>
      <c r="I13" s="333" t="s">
        <v>262</v>
      </c>
      <c r="J13" s="329" t="s">
        <v>299</v>
      </c>
      <c r="K13" s="334" t="s">
        <v>300</v>
      </c>
      <c r="L13" s="334" t="s">
        <v>301</v>
      </c>
      <c r="M13" s="334" t="s">
        <v>267</v>
      </c>
      <c r="N13" s="334" t="s">
        <v>267</v>
      </c>
      <c r="O13" s="329" t="s">
        <v>299</v>
      </c>
      <c r="P13" s="335" t="s">
        <v>302</v>
      </c>
      <c r="Q13" s="335" t="s">
        <v>303</v>
      </c>
      <c r="R13" s="335" t="s">
        <v>304</v>
      </c>
      <c r="S13" s="336" t="s">
        <v>114</v>
      </c>
      <c r="T13" s="89"/>
      <c r="U13" s="90"/>
      <c r="V13" s="90"/>
      <c r="W13" s="91"/>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c r="BG13" s="84"/>
      <c r="BH13" s="84"/>
      <c r="BI13" s="84"/>
      <c r="BJ13" s="84"/>
      <c r="BK13" s="84"/>
      <c r="BL13" s="84"/>
      <c r="BM13" s="84"/>
      <c r="BN13" s="84"/>
      <c r="BO13" s="84"/>
      <c r="BP13" s="84"/>
      <c r="BQ13" s="84"/>
      <c r="BR13" s="84"/>
      <c r="BS13" s="84"/>
      <c r="BT13" s="84"/>
      <c r="BU13" s="84"/>
      <c r="BV13" s="84"/>
      <c r="BW13" s="84"/>
      <c r="BX13" s="84"/>
      <c r="BY13" s="84"/>
      <c r="BZ13" s="84"/>
      <c r="CA13" s="84"/>
      <c r="CB13" s="84"/>
      <c r="CC13" s="84"/>
      <c r="CD13" s="84"/>
      <c r="CE13" s="84"/>
      <c r="CF13" s="84"/>
      <c r="CG13" s="84"/>
      <c r="CH13" s="84"/>
      <c r="CI13" s="84"/>
      <c r="CJ13" s="84"/>
      <c r="CK13" s="84"/>
      <c r="CL13" s="84"/>
      <c r="CM13" s="84"/>
      <c r="CN13" s="84"/>
      <c r="CO13" s="84"/>
      <c r="CP13" s="84"/>
      <c r="CQ13" s="84"/>
      <c r="CR13" s="84"/>
      <c r="CS13" s="84"/>
      <c r="CT13" s="84"/>
      <c r="CU13" s="84"/>
      <c r="CV13" s="84"/>
      <c r="CW13" s="84"/>
      <c r="CX13" s="84"/>
      <c r="CY13" s="84"/>
      <c r="CZ13" s="84"/>
      <c r="DA13" s="84"/>
      <c r="DB13" s="84"/>
      <c r="DC13" s="84"/>
      <c r="DD13" s="84"/>
      <c r="DE13" s="84"/>
      <c r="DF13" s="84"/>
      <c r="DG13" s="84"/>
      <c r="DH13" s="84"/>
      <c r="DI13" s="84"/>
      <c r="DJ13" s="84"/>
      <c r="DK13" s="84"/>
      <c r="DL13" s="84"/>
      <c r="DM13" s="84"/>
      <c r="DN13" s="84"/>
      <c r="DO13" s="84"/>
      <c r="DP13" s="84"/>
      <c r="DQ13" s="84"/>
      <c r="DR13" s="84"/>
      <c r="DS13" s="84"/>
      <c r="DT13" s="84"/>
      <c r="DU13" s="84"/>
      <c r="DV13" s="84"/>
      <c r="DW13" s="84"/>
      <c r="DX13" s="84"/>
      <c r="DY13" s="84"/>
      <c r="DZ13" s="84"/>
      <c r="EA13" s="84"/>
      <c r="EB13" s="84"/>
      <c r="EC13" s="84"/>
      <c r="ED13" s="84"/>
      <c r="EE13" s="84"/>
      <c r="EF13" s="84"/>
      <c r="EG13" s="84"/>
      <c r="EH13" s="84"/>
      <c r="EI13" s="84"/>
      <c r="EJ13" s="84"/>
      <c r="EK13" s="84"/>
      <c r="EL13" s="84"/>
      <c r="EM13" s="84"/>
      <c r="EN13" s="84"/>
      <c r="EO13" s="84"/>
      <c r="EP13" s="84"/>
      <c r="EQ13" s="84"/>
      <c r="ER13" s="84"/>
      <c r="ES13" s="84"/>
      <c r="ET13" s="84"/>
      <c r="EU13" s="84"/>
      <c r="EV13" s="84"/>
      <c r="EW13" s="84"/>
      <c r="EX13" s="84"/>
      <c r="EY13" s="84"/>
      <c r="EZ13" s="84"/>
      <c r="FA13" s="84"/>
      <c r="FB13" s="84"/>
      <c r="FC13" s="84"/>
      <c r="FD13" s="84"/>
      <c r="FE13" s="84"/>
      <c r="FF13" s="84"/>
      <c r="FG13" s="84"/>
      <c r="FH13" s="84"/>
      <c r="FI13" s="84"/>
      <c r="FJ13" s="84"/>
      <c r="FK13" s="84"/>
      <c r="FL13" s="84"/>
      <c r="FM13" s="84"/>
      <c r="FN13" s="84"/>
      <c r="FO13" s="84"/>
      <c r="FP13" s="84"/>
      <c r="FQ13" s="84"/>
      <c r="FR13" s="84"/>
      <c r="FS13" s="84"/>
      <c r="FT13" s="84"/>
      <c r="FU13" s="84"/>
      <c r="FV13" s="84"/>
      <c r="FW13" s="84"/>
      <c r="FX13" s="84"/>
      <c r="FY13" s="84"/>
      <c r="FZ13" s="84"/>
      <c r="GA13" s="84"/>
      <c r="GB13" s="84"/>
      <c r="GC13" s="84"/>
      <c r="GD13" s="84"/>
      <c r="GE13" s="84"/>
      <c r="GF13" s="84"/>
      <c r="GG13" s="84"/>
      <c r="GH13" s="84"/>
      <c r="GI13" s="84"/>
      <c r="GJ13" s="84"/>
      <c r="GK13" s="84"/>
      <c r="GL13" s="84"/>
      <c r="GM13" s="84"/>
      <c r="GN13" s="84"/>
      <c r="GO13" s="84"/>
      <c r="GP13" s="84"/>
      <c r="GQ13" s="84"/>
      <c r="GR13" s="84"/>
      <c r="GS13" s="84"/>
      <c r="GT13" s="84"/>
      <c r="GU13" s="84"/>
      <c r="GV13" s="84"/>
      <c r="GW13" s="84"/>
      <c r="GX13" s="84"/>
      <c r="GY13" s="84"/>
      <c r="GZ13" s="84"/>
      <c r="HA13" s="84"/>
      <c r="HB13" s="84"/>
      <c r="HC13" s="84"/>
      <c r="HD13" s="84"/>
      <c r="HE13" s="84"/>
      <c r="HF13" s="84"/>
      <c r="HG13" s="84"/>
      <c r="HH13" s="84"/>
      <c r="HI13" s="84"/>
      <c r="HJ13" s="84"/>
      <c r="HK13" s="84"/>
      <c r="HL13" s="84"/>
      <c r="HM13" s="84"/>
      <c r="HN13" s="84"/>
      <c r="HO13" s="84"/>
      <c r="HP13" s="84"/>
      <c r="HQ13" s="84"/>
      <c r="HR13" s="84"/>
      <c r="HS13" s="84"/>
      <c r="HT13" s="84"/>
      <c r="HU13" s="84"/>
      <c r="HV13" s="84"/>
      <c r="HW13" s="84"/>
      <c r="HX13" s="84"/>
      <c r="HY13" s="84"/>
      <c r="HZ13" s="84"/>
      <c r="IA13" s="84"/>
      <c r="IB13" s="84"/>
      <c r="IC13" s="84"/>
      <c r="ID13" s="84"/>
      <c r="IE13" s="84"/>
      <c r="IF13" s="84"/>
      <c r="IG13" s="84"/>
      <c r="IH13" s="84"/>
      <c r="II13" s="84"/>
      <c r="IJ13" s="84"/>
      <c r="IK13" s="84"/>
      <c r="IL13" s="84"/>
      <c r="IM13" s="84"/>
      <c r="IN13" s="84"/>
      <c r="IO13" s="84"/>
      <c r="IP13" s="84"/>
      <c r="IQ13" s="84"/>
      <c r="IR13" s="84"/>
      <c r="IS13" s="84"/>
      <c r="IT13" s="84"/>
      <c r="IU13" s="84"/>
      <c r="IV13" s="84"/>
      <c r="IW13" s="84"/>
      <c r="IX13" s="84"/>
      <c r="IY13" s="84"/>
      <c r="IZ13" s="84"/>
      <c r="JA13" s="84"/>
      <c r="JB13" s="84"/>
      <c r="JC13" s="84"/>
      <c r="JD13" s="84"/>
      <c r="JE13" s="84"/>
      <c r="JF13" s="84"/>
      <c r="JG13" s="84"/>
      <c r="JH13" s="84"/>
      <c r="JI13" s="84"/>
      <c r="JJ13" s="84"/>
      <c r="JK13" s="84"/>
      <c r="JL13" s="84"/>
      <c r="JM13" s="84"/>
      <c r="JN13" s="84"/>
      <c r="JO13" s="84"/>
      <c r="JP13" s="84"/>
      <c r="JQ13" s="84"/>
      <c r="JR13" s="84"/>
      <c r="JS13" s="84"/>
      <c r="JT13" s="84"/>
      <c r="JU13" s="84"/>
      <c r="JV13" s="84"/>
      <c r="JW13" s="84"/>
      <c r="JX13" s="84"/>
      <c r="JY13" s="84"/>
      <c r="JZ13" s="84"/>
      <c r="KA13" s="84"/>
      <c r="KB13" s="84"/>
      <c r="KC13" s="84"/>
      <c r="KD13" s="84"/>
      <c r="KE13" s="84"/>
      <c r="KF13" s="84"/>
      <c r="KG13" s="84"/>
      <c r="KH13" s="84"/>
      <c r="KI13" s="84"/>
      <c r="KJ13" s="84"/>
      <c r="KK13" s="84"/>
      <c r="KL13" s="84"/>
      <c r="KM13" s="84"/>
      <c r="KN13" s="84"/>
      <c r="KO13" s="84"/>
      <c r="KP13" s="84"/>
      <c r="KQ13" s="84"/>
      <c r="KR13" s="84"/>
      <c r="KS13" s="84"/>
      <c r="KT13" s="84"/>
      <c r="KU13" s="84"/>
      <c r="KV13" s="84"/>
      <c r="KW13" s="84"/>
      <c r="KX13" s="84"/>
      <c r="KY13" s="84"/>
      <c r="KZ13" s="84"/>
      <c r="LA13" s="84"/>
      <c r="LB13" s="84"/>
      <c r="LC13" s="84"/>
      <c r="LD13" s="84"/>
      <c r="LE13" s="84"/>
      <c r="LF13" s="84"/>
      <c r="LG13" s="84"/>
      <c r="LH13" s="84"/>
      <c r="LI13" s="84"/>
      <c r="LJ13" s="84"/>
      <c r="LK13" s="84"/>
      <c r="LL13" s="84"/>
      <c r="LM13" s="84"/>
      <c r="LN13" s="84"/>
      <c r="LO13" s="84"/>
      <c r="LP13" s="84"/>
      <c r="LQ13" s="84"/>
      <c r="LR13" s="84"/>
      <c r="LS13" s="84"/>
      <c r="LT13" s="84"/>
      <c r="LU13" s="84"/>
      <c r="LV13" s="84"/>
      <c r="LW13" s="84"/>
      <c r="LX13" s="84"/>
      <c r="LY13" s="84"/>
      <c r="LZ13" s="84"/>
      <c r="MA13" s="84"/>
      <c r="MB13" s="84"/>
      <c r="MC13" s="84"/>
      <c r="MD13" s="84"/>
      <c r="ME13" s="84"/>
      <c r="MF13" s="84"/>
      <c r="MG13" s="84"/>
      <c r="MH13" s="84"/>
      <c r="MI13" s="84"/>
      <c r="MJ13" s="84"/>
      <c r="MK13" s="84"/>
      <c r="ML13" s="84"/>
      <c r="MM13" s="84"/>
      <c r="MN13" s="84"/>
      <c r="MO13" s="84"/>
      <c r="MP13" s="84"/>
      <c r="MQ13" s="84"/>
      <c r="MR13" s="84"/>
      <c r="MS13" s="84"/>
      <c r="MT13" s="84"/>
      <c r="MU13" s="84"/>
      <c r="MV13" s="84"/>
      <c r="MW13" s="84"/>
      <c r="MX13" s="84"/>
      <c r="MY13" s="84"/>
      <c r="MZ13" s="84"/>
      <c r="NA13" s="84"/>
      <c r="NB13" s="84"/>
      <c r="NC13" s="84"/>
      <c r="ND13" s="84"/>
      <c r="NE13" s="84"/>
      <c r="NF13" s="84"/>
      <c r="NG13" s="84"/>
      <c r="NH13" s="84"/>
      <c r="NI13" s="84"/>
      <c r="NJ13" s="84"/>
      <c r="NK13" s="84"/>
      <c r="NL13" s="84"/>
      <c r="NM13" s="84"/>
      <c r="NN13" s="84"/>
      <c r="NO13" s="84"/>
      <c r="NP13" s="84"/>
      <c r="NQ13" s="84"/>
      <c r="NR13" s="84"/>
      <c r="NS13" s="84"/>
      <c r="NT13" s="84"/>
      <c r="NU13" s="84"/>
      <c r="NV13" s="84"/>
      <c r="NW13" s="84"/>
      <c r="NX13" s="84"/>
      <c r="NY13" s="84"/>
      <c r="NZ13" s="84"/>
      <c r="OA13" s="84"/>
      <c r="OB13" s="84"/>
      <c r="OC13" s="84"/>
      <c r="OD13" s="84"/>
      <c r="OE13" s="84"/>
      <c r="OF13" s="84"/>
      <c r="OG13" s="84"/>
      <c r="OH13" s="84"/>
      <c r="OI13" s="84"/>
      <c r="OJ13" s="84"/>
      <c r="OK13" s="84"/>
      <c r="OL13" s="84"/>
      <c r="OM13" s="84"/>
      <c r="ON13" s="84"/>
      <c r="OO13" s="84"/>
      <c r="OP13" s="84"/>
      <c r="OQ13" s="84"/>
      <c r="OR13" s="84"/>
      <c r="OS13" s="84"/>
      <c r="OT13" s="84"/>
      <c r="OU13" s="84"/>
      <c r="OV13" s="84"/>
      <c r="OW13" s="84"/>
      <c r="OX13" s="84"/>
      <c r="OY13" s="84"/>
      <c r="OZ13" s="84"/>
      <c r="PA13" s="84"/>
      <c r="PB13" s="84"/>
      <c r="PC13" s="84"/>
      <c r="PD13" s="84"/>
      <c r="PE13" s="84"/>
      <c r="PF13" s="84"/>
      <c r="PG13" s="84"/>
      <c r="PH13" s="84"/>
      <c r="PI13" s="84"/>
      <c r="PJ13" s="84"/>
      <c r="PK13" s="84"/>
      <c r="PL13" s="84"/>
      <c r="PM13" s="84"/>
      <c r="PN13" s="84"/>
      <c r="PO13" s="84"/>
      <c r="PP13" s="84"/>
      <c r="PQ13" s="84"/>
      <c r="PR13" s="84"/>
      <c r="PS13" s="84"/>
      <c r="PT13" s="84"/>
      <c r="PU13" s="84"/>
      <c r="PV13" s="84"/>
      <c r="PW13" s="84"/>
      <c r="PX13" s="84"/>
      <c r="PY13" s="84"/>
      <c r="PZ13" s="84"/>
      <c r="QA13" s="84"/>
      <c r="QB13" s="84"/>
      <c r="QC13" s="84"/>
    </row>
    <row r="14" spans="1:445" s="85" customFormat="1" ht="15.75" x14ac:dyDescent="0.25">
      <c r="A14" s="86">
        <v>8</v>
      </c>
      <c r="B14" s="337">
        <v>2531</v>
      </c>
      <c r="C14" s="327" t="s">
        <v>305</v>
      </c>
      <c r="D14" s="1180" t="s">
        <v>749</v>
      </c>
      <c r="E14" s="329" t="s">
        <v>306</v>
      </c>
      <c r="F14" s="330">
        <v>38592</v>
      </c>
      <c r="G14" s="339" t="s">
        <v>271</v>
      </c>
      <c r="H14" s="332" t="s">
        <v>261</v>
      </c>
      <c r="I14" s="333" t="s">
        <v>262</v>
      </c>
      <c r="J14" s="329" t="s">
        <v>307</v>
      </c>
      <c r="K14" s="334" t="s">
        <v>308</v>
      </c>
      <c r="L14" s="334" t="s">
        <v>309</v>
      </c>
      <c r="M14" s="334" t="s">
        <v>310</v>
      </c>
      <c r="N14" s="334" t="s">
        <v>276</v>
      </c>
      <c r="O14" s="329" t="s">
        <v>307</v>
      </c>
      <c r="P14" s="335" t="s">
        <v>288</v>
      </c>
      <c r="Q14" s="335" t="s">
        <v>112</v>
      </c>
      <c r="R14" s="335" t="s">
        <v>90</v>
      </c>
      <c r="S14" s="336" t="s">
        <v>114</v>
      </c>
      <c r="T14" s="89"/>
      <c r="U14" s="90"/>
      <c r="V14" s="90"/>
      <c r="W14" s="91"/>
      <c r="X14" s="84"/>
      <c r="Y14" s="84"/>
      <c r="Z14" s="84"/>
      <c r="AA14" s="84"/>
      <c r="AB14" s="84"/>
      <c r="AC14" s="84"/>
      <c r="AD14" s="84"/>
      <c r="AE14" s="84"/>
      <c r="AF14" s="84"/>
      <c r="AG14" s="84"/>
      <c r="AH14" s="84"/>
      <c r="AI14" s="84"/>
      <c r="AJ14" s="84"/>
      <c r="AK14" s="84"/>
      <c r="AL14" s="84"/>
      <c r="AM14" s="84"/>
      <c r="AN14" s="84"/>
      <c r="AO14" s="84"/>
      <c r="AP14" s="84"/>
      <c r="AQ14" s="84"/>
      <c r="AR14" s="84"/>
      <c r="AS14" s="84"/>
      <c r="AT14" s="84"/>
      <c r="AU14" s="84"/>
      <c r="AV14" s="84"/>
      <c r="AW14" s="84"/>
      <c r="AX14" s="84"/>
      <c r="AY14" s="84"/>
      <c r="AZ14" s="84"/>
      <c r="BA14" s="84"/>
      <c r="BB14" s="84"/>
      <c r="BC14" s="84"/>
      <c r="BD14" s="84"/>
      <c r="BE14" s="84"/>
      <c r="BF14" s="84"/>
      <c r="BG14" s="84"/>
      <c r="BH14" s="84"/>
      <c r="BI14" s="84"/>
      <c r="BJ14" s="84"/>
      <c r="BK14" s="84"/>
      <c r="BL14" s="84"/>
      <c r="BM14" s="84"/>
      <c r="BN14" s="84"/>
      <c r="BO14" s="84"/>
      <c r="BP14" s="84"/>
      <c r="BQ14" s="84"/>
      <c r="BR14" s="84"/>
      <c r="BS14" s="84"/>
      <c r="BT14" s="84"/>
      <c r="BU14" s="84"/>
      <c r="BV14" s="84"/>
      <c r="BW14" s="84"/>
      <c r="BX14" s="84"/>
      <c r="BY14" s="84"/>
      <c r="BZ14" s="84"/>
      <c r="CA14" s="84"/>
      <c r="CB14" s="84"/>
      <c r="CC14" s="84"/>
      <c r="CD14" s="84"/>
      <c r="CE14" s="84"/>
      <c r="CF14" s="84"/>
      <c r="CG14" s="84"/>
      <c r="CH14" s="84"/>
      <c r="CI14" s="84"/>
      <c r="CJ14" s="84"/>
      <c r="CK14" s="84"/>
      <c r="CL14" s="84"/>
      <c r="CM14" s="84"/>
      <c r="CN14" s="84"/>
      <c r="CO14" s="84"/>
      <c r="CP14" s="84"/>
      <c r="CQ14" s="84"/>
      <c r="CR14" s="84"/>
      <c r="CS14" s="84"/>
      <c r="CT14" s="84"/>
      <c r="CU14" s="84"/>
      <c r="CV14" s="84"/>
      <c r="CW14" s="84"/>
      <c r="CX14" s="84"/>
      <c r="CY14" s="84"/>
      <c r="CZ14" s="84"/>
      <c r="DA14" s="84"/>
      <c r="DB14" s="84"/>
      <c r="DC14" s="84"/>
      <c r="DD14" s="84"/>
      <c r="DE14" s="84"/>
      <c r="DF14" s="84"/>
      <c r="DG14" s="84"/>
      <c r="DH14" s="84"/>
      <c r="DI14" s="84"/>
      <c r="DJ14" s="84"/>
      <c r="DK14" s="84"/>
      <c r="DL14" s="84"/>
      <c r="DM14" s="84"/>
      <c r="DN14" s="84"/>
      <c r="DO14" s="84"/>
      <c r="DP14" s="84"/>
      <c r="DQ14" s="84"/>
      <c r="DR14" s="84"/>
      <c r="DS14" s="84"/>
      <c r="DT14" s="84"/>
      <c r="DU14" s="84"/>
      <c r="DV14" s="84"/>
      <c r="DW14" s="84"/>
      <c r="DX14" s="84"/>
      <c r="DY14" s="84"/>
      <c r="DZ14" s="84"/>
      <c r="EA14" s="84"/>
      <c r="EB14" s="84"/>
      <c r="EC14" s="84"/>
      <c r="ED14" s="84"/>
      <c r="EE14" s="84"/>
      <c r="EF14" s="84"/>
      <c r="EG14" s="84"/>
      <c r="EH14" s="84"/>
      <c r="EI14" s="84"/>
      <c r="EJ14" s="84"/>
      <c r="EK14" s="84"/>
      <c r="EL14" s="84"/>
      <c r="EM14" s="84"/>
      <c r="EN14" s="84"/>
      <c r="EO14" s="84"/>
      <c r="EP14" s="84"/>
      <c r="EQ14" s="84"/>
      <c r="ER14" s="84"/>
      <c r="ES14" s="84"/>
      <c r="ET14" s="84"/>
      <c r="EU14" s="84"/>
      <c r="EV14" s="84"/>
      <c r="EW14" s="84"/>
      <c r="EX14" s="84"/>
      <c r="EY14" s="84"/>
      <c r="EZ14" s="84"/>
      <c r="FA14" s="84"/>
      <c r="FB14" s="84"/>
      <c r="FC14" s="84"/>
      <c r="FD14" s="84"/>
      <c r="FE14" s="84"/>
      <c r="FF14" s="84"/>
      <c r="FG14" s="84"/>
      <c r="FH14" s="84"/>
      <c r="FI14" s="84"/>
      <c r="FJ14" s="84"/>
      <c r="FK14" s="84"/>
      <c r="FL14" s="84"/>
      <c r="FM14" s="84"/>
      <c r="FN14" s="84"/>
      <c r="FO14" s="84"/>
      <c r="FP14" s="84"/>
      <c r="FQ14" s="84"/>
      <c r="FR14" s="84"/>
      <c r="FS14" s="84"/>
      <c r="FT14" s="84"/>
      <c r="FU14" s="84"/>
      <c r="FV14" s="84"/>
      <c r="FW14" s="84"/>
      <c r="FX14" s="84"/>
      <c r="FY14" s="84"/>
      <c r="FZ14" s="84"/>
      <c r="GA14" s="84"/>
      <c r="GB14" s="84"/>
      <c r="GC14" s="84"/>
      <c r="GD14" s="84"/>
      <c r="GE14" s="84"/>
      <c r="GF14" s="84"/>
      <c r="GG14" s="84"/>
      <c r="GH14" s="84"/>
      <c r="GI14" s="84"/>
      <c r="GJ14" s="84"/>
      <c r="GK14" s="84"/>
      <c r="GL14" s="84"/>
      <c r="GM14" s="84"/>
      <c r="GN14" s="84"/>
      <c r="GO14" s="84"/>
      <c r="GP14" s="84"/>
      <c r="GQ14" s="84"/>
      <c r="GR14" s="84"/>
      <c r="GS14" s="84"/>
      <c r="GT14" s="84"/>
      <c r="GU14" s="84"/>
      <c r="GV14" s="84"/>
      <c r="GW14" s="84"/>
      <c r="GX14" s="84"/>
      <c r="GY14" s="84"/>
      <c r="GZ14" s="84"/>
      <c r="HA14" s="84"/>
      <c r="HB14" s="84"/>
      <c r="HC14" s="84"/>
      <c r="HD14" s="84"/>
      <c r="HE14" s="84"/>
      <c r="HF14" s="84"/>
      <c r="HG14" s="84"/>
      <c r="HH14" s="84"/>
      <c r="HI14" s="84"/>
      <c r="HJ14" s="84"/>
      <c r="HK14" s="84"/>
      <c r="HL14" s="84"/>
      <c r="HM14" s="84"/>
      <c r="HN14" s="84"/>
      <c r="HO14" s="84"/>
      <c r="HP14" s="84"/>
      <c r="HQ14" s="84"/>
      <c r="HR14" s="84"/>
      <c r="HS14" s="84"/>
      <c r="HT14" s="84"/>
      <c r="HU14" s="84"/>
      <c r="HV14" s="84"/>
      <c r="HW14" s="84"/>
      <c r="HX14" s="84"/>
      <c r="HY14" s="84"/>
      <c r="HZ14" s="84"/>
      <c r="IA14" s="84"/>
      <c r="IB14" s="84"/>
      <c r="IC14" s="84"/>
      <c r="ID14" s="84"/>
      <c r="IE14" s="84"/>
      <c r="IF14" s="84"/>
      <c r="IG14" s="84"/>
      <c r="IH14" s="84"/>
      <c r="II14" s="84"/>
      <c r="IJ14" s="84"/>
      <c r="IK14" s="84"/>
      <c r="IL14" s="84"/>
      <c r="IM14" s="84"/>
      <c r="IN14" s="84"/>
      <c r="IO14" s="84"/>
      <c r="IP14" s="84"/>
      <c r="IQ14" s="84"/>
      <c r="IR14" s="84"/>
      <c r="IS14" s="84"/>
      <c r="IT14" s="84"/>
      <c r="IU14" s="84"/>
      <c r="IV14" s="84"/>
      <c r="IW14" s="84"/>
      <c r="IX14" s="84"/>
      <c r="IY14" s="84"/>
      <c r="IZ14" s="84"/>
      <c r="JA14" s="84"/>
      <c r="JB14" s="84"/>
      <c r="JC14" s="84"/>
      <c r="JD14" s="84"/>
      <c r="JE14" s="84"/>
      <c r="JF14" s="84"/>
      <c r="JG14" s="84"/>
      <c r="JH14" s="84"/>
      <c r="JI14" s="84"/>
      <c r="JJ14" s="84"/>
      <c r="JK14" s="84"/>
      <c r="JL14" s="84"/>
      <c r="JM14" s="84"/>
      <c r="JN14" s="84"/>
      <c r="JO14" s="84"/>
      <c r="JP14" s="84"/>
      <c r="JQ14" s="84"/>
      <c r="JR14" s="84"/>
      <c r="JS14" s="84"/>
      <c r="JT14" s="84"/>
      <c r="JU14" s="84"/>
      <c r="JV14" s="84"/>
      <c r="JW14" s="84"/>
      <c r="JX14" s="84"/>
      <c r="JY14" s="84"/>
      <c r="JZ14" s="84"/>
      <c r="KA14" s="84"/>
      <c r="KB14" s="84"/>
      <c r="KC14" s="84"/>
      <c r="KD14" s="84"/>
      <c r="KE14" s="84"/>
      <c r="KF14" s="84"/>
      <c r="KG14" s="84"/>
      <c r="KH14" s="84"/>
      <c r="KI14" s="84"/>
      <c r="KJ14" s="84"/>
      <c r="KK14" s="84"/>
      <c r="KL14" s="84"/>
      <c r="KM14" s="84"/>
      <c r="KN14" s="84"/>
      <c r="KO14" s="84"/>
      <c r="KP14" s="84"/>
      <c r="KQ14" s="84"/>
      <c r="KR14" s="84"/>
      <c r="KS14" s="84"/>
      <c r="KT14" s="84"/>
      <c r="KU14" s="84"/>
      <c r="KV14" s="84"/>
      <c r="KW14" s="84"/>
      <c r="KX14" s="84"/>
      <c r="KY14" s="84"/>
      <c r="KZ14" s="84"/>
      <c r="LA14" s="84"/>
      <c r="LB14" s="84"/>
      <c r="LC14" s="84"/>
      <c r="LD14" s="84"/>
      <c r="LE14" s="84"/>
      <c r="LF14" s="84"/>
      <c r="LG14" s="84"/>
      <c r="LH14" s="84"/>
      <c r="LI14" s="84"/>
      <c r="LJ14" s="84"/>
      <c r="LK14" s="84"/>
      <c r="LL14" s="84"/>
      <c r="LM14" s="84"/>
      <c r="LN14" s="84"/>
      <c r="LO14" s="84"/>
      <c r="LP14" s="84"/>
      <c r="LQ14" s="84"/>
      <c r="LR14" s="84"/>
      <c r="LS14" s="84"/>
      <c r="LT14" s="84"/>
      <c r="LU14" s="84"/>
      <c r="LV14" s="84"/>
      <c r="LW14" s="84"/>
      <c r="LX14" s="84"/>
      <c r="LY14" s="84"/>
      <c r="LZ14" s="84"/>
      <c r="MA14" s="84"/>
      <c r="MB14" s="84"/>
      <c r="MC14" s="84"/>
      <c r="MD14" s="84"/>
      <c r="ME14" s="84"/>
      <c r="MF14" s="84"/>
      <c r="MG14" s="84"/>
      <c r="MH14" s="84"/>
      <c r="MI14" s="84"/>
      <c r="MJ14" s="84"/>
      <c r="MK14" s="84"/>
      <c r="ML14" s="84"/>
      <c r="MM14" s="84"/>
      <c r="MN14" s="84"/>
      <c r="MO14" s="84"/>
      <c r="MP14" s="84"/>
      <c r="MQ14" s="84"/>
      <c r="MR14" s="84"/>
      <c r="MS14" s="84"/>
      <c r="MT14" s="84"/>
      <c r="MU14" s="84"/>
      <c r="MV14" s="84"/>
      <c r="MW14" s="84"/>
      <c r="MX14" s="84"/>
      <c r="MY14" s="84"/>
      <c r="MZ14" s="84"/>
      <c r="NA14" s="84"/>
      <c r="NB14" s="84"/>
      <c r="NC14" s="84"/>
      <c r="ND14" s="84"/>
      <c r="NE14" s="84"/>
      <c r="NF14" s="84"/>
      <c r="NG14" s="84"/>
      <c r="NH14" s="84"/>
      <c r="NI14" s="84"/>
      <c r="NJ14" s="84"/>
      <c r="NK14" s="84"/>
      <c r="NL14" s="84"/>
      <c r="NM14" s="84"/>
      <c r="NN14" s="84"/>
      <c r="NO14" s="84"/>
      <c r="NP14" s="84"/>
      <c r="NQ14" s="84"/>
      <c r="NR14" s="84"/>
      <c r="NS14" s="84"/>
      <c r="NT14" s="84"/>
      <c r="NU14" s="84"/>
      <c r="NV14" s="84"/>
      <c r="NW14" s="84"/>
      <c r="NX14" s="84"/>
      <c r="NY14" s="84"/>
      <c r="NZ14" s="84"/>
      <c r="OA14" s="84"/>
      <c r="OB14" s="84"/>
      <c r="OC14" s="84"/>
      <c r="OD14" s="84"/>
      <c r="OE14" s="84"/>
      <c r="OF14" s="84"/>
      <c r="OG14" s="84"/>
      <c r="OH14" s="84"/>
      <c r="OI14" s="84"/>
      <c r="OJ14" s="84"/>
      <c r="OK14" s="84"/>
      <c r="OL14" s="84"/>
      <c r="OM14" s="84"/>
      <c r="ON14" s="84"/>
      <c r="OO14" s="84"/>
      <c r="OP14" s="84"/>
      <c r="OQ14" s="84"/>
      <c r="OR14" s="84"/>
      <c r="OS14" s="84"/>
      <c r="OT14" s="84"/>
      <c r="OU14" s="84"/>
      <c r="OV14" s="84"/>
      <c r="OW14" s="84"/>
      <c r="OX14" s="84"/>
      <c r="OY14" s="84"/>
      <c r="OZ14" s="84"/>
      <c r="PA14" s="84"/>
      <c r="PB14" s="84"/>
      <c r="PC14" s="84"/>
      <c r="PD14" s="84"/>
      <c r="PE14" s="84"/>
      <c r="PF14" s="84"/>
      <c r="PG14" s="84"/>
      <c r="PH14" s="84"/>
      <c r="PI14" s="84"/>
      <c r="PJ14" s="84"/>
      <c r="PK14" s="84"/>
      <c r="PL14" s="84"/>
      <c r="PM14" s="84"/>
      <c r="PN14" s="84"/>
      <c r="PO14" s="84"/>
      <c r="PP14" s="84"/>
      <c r="PQ14" s="84"/>
      <c r="PR14" s="84"/>
      <c r="PS14" s="84"/>
      <c r="PT14" s="84"/>
      <c r="PU14" s="84"/>
      <c r="PV14" s="84"/>
      <c r="PW14" s="84"/>
      <c r="PX14" s="84"/>
      <c r="PY14" s="84"/>
      <c r="PZ14" s="84"/>
      <c r="QA14" s="84"/>
      <c r="QB14" s="84"/>
      <c r="QC14" s="84"/>
    </row>
    <row r="15" spans="1:445" s="85" customFormat="1" ht="15.75" x14ac:dyDescent="0.25">
      <c r="A15" s="92">
        <v>9</v>
      </c>
      <c r="B15" s="337">
        <v>2532</v>
      </c>
      <c r="C15" s="327" t="s">
        <v>311</v>
      </c>
      <c r="D15" s="1180" t="s">
        <v>750</v>
      </c>
      <c r="E15" s="329" t="s">
        <v>113</v>
      </c>
      <c r="F15" s="330">
        <v>38638</v>
      </c>
      <c r="G15" s="331" t="s">
        <v>271</v>
      </c>
      <c r="H15" s="332" t="s">
        <v>261</v>
      </c>
      <c r="I15" s="333" t="s">
        <v>262</v>
      </c>
      <c r="J15" s="329" t="s">
        <v>312</v>
      </c>
      <c r="K15" s="334" t="s">
        <v>313</v>
      </c>
      <c r="L15" s="334" t="s">
        <v>314</v>
      </c>
      <c r="M15" s="334" t="s">
        <v>315</v>
      </c>
      <c r="N15" s="334" t="s">
        <v>276</v>
      </c>
      <c r="O15" s="329" t="s">
        <v>312</v>
      </c>
      <c r="P15" s="335" t="s">
        <v>316</v>
      </c>
      <c r="Q15" s="335" t="s">
        <v>112</v>
      </c>
      <c r="R15" s="335" t="s">
        <v>90</v>
      </c>
      <c r="S15" s="336" t="s">
        <v>114</v>
      </c>
      <c r="T15" s="89"/>
      <c r="U15" s="90"/>
      <c r="V15" s="90"/>
      <c r="W15" s="91"/>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84"/>
      <c r="AW15" s="84"/>
      <c r="AX15" s="84"/>
      <c r="AY15" s="84"/>
      <c r="AZ15" s="84"/>
      <c r="BA15" s="84"/>
      <c r="BB15" s="84"/>
      <c r="BC15" s="84"/>
      <c r="BD15" s="84"/>
      <c r="BE15" s="84"/>
      <c r="BF15" s="84"/>
      <c r="BG15" s="84"/>
      <c r="BH15" s="84"/>
      <c r="BI15" s="84"/>
      <c r="BJ15" s="84"/>
      <c r="BK15" s="84"/>
      <c r="BL15" s="84"/>
      <c r="BM15" s="84"/>
      <c r="BN15" s="84"/>
      <c r="BO15" s="84"/>
      <c r="BP15" s="84"/>
      <c r="BQ15" s="84"/>
      <c r="BR15" s="84"/>
      <c r="BS15" s="84"/>
      <c r="BT15" s="84"/>
      <c r="BU15" s="84"/>
      <c r="BV15" s="84"/>
      <c r="BW15" s="84"/>
      <c r="BX15" s="84"/>
      <c r="BY15" s="84"/>
      <c r="BZ15" s="84"/>
      <c r="CA15" s="84"/>
      <c r="CB15" s="84"/>
      <c r="CC15" s="84"/>
      <c r="CD15" s="84"/>
      <c r="CE15" s="84"/>
      <c r="CF15" s="84"/>
      <c r="CG15" s="84"/>
      <c r="CH15" s="84"/>
      <c r="CI15" s="84"/>
      <c r="CJ15" s="84"/>
      <c r="CK15" s="84"/>
      <c r="CL15" s="84"/>
      <c r="CM15" s="84"/>
      <c r="CN15" s="84"/>
      <c r="CO15" s="84"/>
      <c r="CP15" s="84"/>
      <c r="CQ15" s="84"/>
      <c r="CR15" s="84"/>
      <c r="CS15" s="84"/>
      <c r="CT15" s="84"/>
      <c r="CU15" s="84"/>
      <c r="CV15" s="84"/>
      <c r="CW15" s="84"/>
      <c r="CX15" s="84"/>
      <c r="CY15" s="84"/>
      <c r="CZ15" s="84"/>
      <c r="DA15" s="84"/>
      <c r="DB15" s="84"/>
      <c r="DC15" s="84"/>
      <c r="DD15" s="84"/>
      <c r="DE15" s="84"/>
      <c r="DF15" s="84"/>
      <c r="DG15" s="84"/>
      <c r="DH15" s="84"/>
      <c r="DI15" s="84"/>
      <c r="DJ15" s="84"/>
      <c r="DK15" s="84"/>
      <c r="DL15" s="84"/>
      <c r="DM15" s="84"/>
      <c r="DN15" s="84"/>
      <c r="DO15" s="84"/>
      <c r="DP15" s="84"/>
      <c r="DQ15" s="84"/>
      <c r="DR15" s="84"/>
      <c r="DS15" s="84"/>
      <c r="DT15" s="84"/>
      <c r="DU15" s="84"/>
      <c r="DV15" s="84"/>
      <c r="DW15" s="84"/>
      <c r="DX15" s="84"/>
      <c r="DY15" s="84"/>
      <c r="DZ15" s="84"/>
      <c r="EA15" s="84"/>
      <c r="EB15" s="84"/>
      <c r="EC15" s="84"/>
      <c r="ED15" s="84"/>
      <c r="EE15" s="84"/>
      <c r="EF15" s="84"/>
      <c r="EG15" s="84"/>
      <c r="EH15" s="84"/>
      <c r="EI15" s="84"/>
      <c r="EJ15" s="84"/>
      <c r="EK15" s="84"/>
      <c r="EL15" s="84"/>
      <c r="EM15" s="84"/>
      <c r="EN15" s="84"/>
      <c r="EO15" s="84"/>
      <c r="EP15" s="84"/>
      <c r="EQ15" s="84"/>
      <c r="ER15" s="84"/>
      <c r="ES15" s="84"/>
      <c r="ET15" s="84"/>
      <c r="EU15" s="84"/>
      <c r="EV15" s="84"/>
      <c r="EW15" s="84"/>
      <c r="EX15" s="84"/>
      <c r="EY15" s="84"/>
      <c r="EZ15" s="84"/>
      <c r="FA15" s="84"/>
      <c r="FB15" s="84"/>
      <c r="FC15" s="84"/>
      <c r="FD15" s="84"/>
      <c r="FE15" s="84"/>
      <c r="FF15" s="84"/>
      <c r="FG15" s="84"/>
      <c r="FH15" s="84"/>
      <c r="FI15" s="84"/>
      <c r="FJ15" s="84"/>
      <c r="FK15" s="84"/>
      <c r="FL15" s="84"/>
      <c r="FM15" s="84"/>
      <c r="FN15" s="84"/>
      <c r="FO15" s="84"/>
      <c r="FP15" s="84"/>
      <c r="FQ15" s="84"/>
      <c r="FR15" s="84"/>
      <c r="FS15" s="84"/>
      <c r="FT15" s="84"/>
      <c r="FU15" s="84"/>
      <c r="FV15" s="84"/>
      <c r="FW15" s="84"/>
      <c r="FX15" s="84"/>
      <c r="FY15" s="84"/>
      <c r="FZ15" s="84"/>
      <c r="GA15" s="84"/>
      <c r="GB15" s="84"/>
      <c r="GC15" s="84"/>
      <c r="GD15" s="84"/>
      <c r="GE15" s="84"/>
      <c r="GF15" s="84"/>
      <c r="GG15" s="84"/>
      <c r="GH15" s="84"/>
      <c r="GI15" s="84"/>
      <c r="GJ15" s="84"/>
      <c r="GK15" s="84"/>
      <c r="GL15" s="84"/>
      <c r="GM15" s="84"/>
      <c r="GN15" s="84"/>
      <c r="GO15" s="84"/>
      <c r="GP15" s="84"/>
      <c r="GQ15" s="84"/>
      <c r="GR15" s="84"/>
      <c r="GS15" s="84"/>
      <c r="GT15" s="84"/>
      <c r="GU15" s="84"/>
      <c r="GV15" s="84"/>
      <c r="GW15" s="84"/>
      <c r="GX15" s="84"/>
      <c r="GY15" s="84"/>
      <c r="GZ15" s="84"/>
      <c r="HA15" s="84"/>
      <c r="HB15" s="84"/>
      <c r="HC15" s="84"/>
      <c r="HD15" s="84"/>
      <c r="HE15" s="84"/>
      <c r="HF15" s="84"/>
      <c r="HG15" s="84"/>
      <c r="HH15" s="84"/>
      <c r="HI15" s="84"/>
      <c r="HJ15" s="84"/>
      <c r="HK15" s="84"/>
      <c r="HL15" s="84"/>
      <c r="HM15" s="84"/>
      <c r="HN15" s="84"/>
      <c r="HO15" s="84"/>
      <c r="HP15" s="84"/>
      <c r="HQ15" s="84"/>
      <c r="HR15" s="84"/>
      <c r="HS15" s="84"/>
      <c r="HT15" s="84"/>
      <c r="HU15" s="84"/>
      <c r="HV15" s="84"/>
      <c r="HW15" s="84"/>
      <c r="HX15" s="84"/>
      <c r="HY15" s="84"/>
      <c r="HZ15" s="84"/>
      <c r="IA15" s="84"/>
      <c r="IB15" s="84"/>
      <c r="IC15" s="84"/>
      <c r="ID15" s="84"/>
      <c r="IE15" s="84"/>
      <c r="IF15" s="84"/>
      <c r="IG15" s="84"/>
      <c r="IH15" s="84"/>
      <c r="II15" s="84"/>
      <c r="IJ15" s="84"/>
      <c r="IK15" s="84"/>
      <c r="IL15" s="84"/>
      <c r="IM15" s="84"/>
      <c r="IN15" s="84"/>
      <c r="IO15" s="84"/>
      <c r="IP15" s="84"/>
      <c r="IQ15" s="84"/>
      <c r="IR15" s="84"/>
      <c r="IS15" s="84"/>
      <c r="IT15" s="84"/>
      <c r="IU15" s="84"/>
      <c r="IV15" s="84"/>
      <c r="IW15" s="84"/>
      <c r="IX15" s="84"/>
      <c r="IY15" s="84"/>
      <c r="IZ15" s="84"/>
      <c r="JA15" s="84"/>
      <c r="JB15" s="84"/>
      <c r="JC15" s="84"/>
      <c r="JD15" s="84"/>
      <c r="JE15" s="84"/>
      <c r="JF15" s="84"/>
      <c r="JG15" s="84"/>
      <c r="JH15" s="84"/>
      <c r="JI15" s="84"/>
      <c r="JJ15" s="84"/>
      <c r="JK15" s="84"/>
      <c r="JL15" s="84"/>
      <c r="JM15" s="84"/>
      <c r="JN15" s="84"/>
      <c r="JO15" s="84"/>
      <c r="JP15" s="84"/>
      <c r="JQ15" s="84"/>
      <c r="JR15" s="84"/>
      <c r="JS15" s="84"/>
      <c r="JT15" s="84"/>
      <c r="JU15" s="84"/>
      <c r="JV15" s="84"/>
      <c r="JW15" s="84"/>
      <c r="JX15" s="84"/>
      <c r="JY15" s="84"/>
      <c r="JZ15" s="84"/>
      <c r="KA15" s="84"/>
      <c r="KB15" s="84"/>
      <c r="KC15" s="84"/>
      <c r="KD15" s="84"/>
      <c r="KE15" s="84"/>
      <c r="KF15" s="84"/>
      <c r="KG15" s="84"/>
      <c r="KH15" s="84"/>
      <c r="KI15" s="84"/>
      <c r="KJ15" s="84"/>
      <c r="KK15" s="84"/>
      <c r="KL15" s="84"/>
      <c r="KM15" s="84"/>
      <c r="KN15" s="84"/>
      <c r="KO15" s="84"/>
      <c r="KP15" s="84"/>
      <c r="KQ15" s="84"/>
      <c r="KR15" s="84"/>
      <c r="KS15" s="84"/>
      <c r="KT15" s="84"/>
      <c r="KU15" s="84"/>
      <c r="KV15" s="84"/>
      <c r="KW15" s="84"/>
      <c r="KX15" s="84"/>
      <c r="KY15" s="84"/>
      <c r="KZ15" s="84"/>
      <c r="LA15" s="84"/>
      <c r="LB15" s="84"/>
      <c r="LC15" s="84"/>
      <c r="LD15" s="84"/>
      <c r="LE15" s="84"/>
      <c r="LF15" s="84"/>
      <c r="LG15" s="84"/>
      <c r="LH15" s="84"/>
      <c r="LI15" s="84"/>
      <c r="LJ15" s="84"/>
      <c r="LK15" s="84"/>
      <c r="LL15" s="84"/>
      <c r="LM15" s="84"/>
      <c r="LN15" s="84"/>
      <c r="LO15" s="84"/>
      <c r="LP15" s="84"/>
      <c r="LQ15" s="84"/>
      <c r="LR15" s="84"/>
      <c r="LS15" s="84"/>
      <c r="LT15" s="84"/>
      <c r="LU15" s="84"/>
      <c r="LV15" s="84"/>
      <c r="LW15" s="84"/>
      <c r="LX15" s="84"/>
      <c r="LY15" s="84"/>
      <c r="LZ15" s="84"/>
      <c r="MA15" s="84"/>
      <c r="MB15" s="84"/>
      <c r="MC15" s="84"/>
      <c r="MD15" s="84"/>
      <c r="ME15" s="84"/>
      <c r="MF15" s="84"/>
      <c r="MG15" s="84"/>
      <c r="MH15" s="84"/>
      <c r="MI15" s="84"/>
      <c r="MJ15" s="84"/>
      <c r="MK15" s="84"/>
      <c r="ML15" s="84"/>
      <c r="MM15" s="84"/>
      <c r="MN15" s="84"/>
      <c r="MO15" s="84"/>
      <c r="MP15" s="84"/>
      <c r="MQ15" s="84"/>
      <c r="MR15" s="84"/>
      <c r="MS15" s="84"/>
      <c r="MT15" s="84"/>
      <c r="MU15" s="84"/>
      <c r="MV15" s="84"/>
      <c r="MW15" s="84"/>
      <c r="MX15" s="84"/>
      <c r="MY15" s="84"/>
      <c r="MZ15" s="84"/>
      <c r="NA15" s="84"/>
      <c r="NB15" s="84"/>
      <c r="NC15" s="84"/>
      <c r="ND15" s="84"/>
      <c r="NE15" s="84"/>
      <c r="NF15" s="84"/>
      <c r="NG15" s="84"/>
      <c r="NH15" s="84"/>
      <c r="NI15" s="84"/>
      <c r="NJ15" s="84"/>
      <c r="NK15" s="84"/>
      <c r="NL15" s="84"/>
      <c r="NM15" s="84"/>
      <c r="NN15" s="84"/>
      <c r="NO15" s="84"/>
      <c r="NP15" s="84"/>
      <c r="NQ15" s="84"/>
      <c r="NR15" s="84"/>
      <c r="NS15" s="84"/>
      <c r="NT15" s="84"/>
      <c r="NU15" s="84"/>
      <c r="NV15" s="84"/>
      <c r="NW15" s="84"/>
      <c r="NX15" s="84"/>
      <c r="NY15" s="84"/>
      <c r="NZ15" s="84"/>
      <c r="OA15" s="84"/>
      <c r="OB15" s="84"/>
      <c r="OC15" s="84"/>
      <c r="OD15" s="84"/>
      <c r="OE15" s="84"/>
      <c r="OF15" s="84"/>
      <c r="OG15" s="84"/>
      <c r="OH15" s="84"/>
      <c r="OI15" s="84"/>
      <c r="OJ15" s="84"/>
      <c r="OK15" s="84"/>
      <c r="OL15" s="84"/>
      <c r="OM15" s="84"/>
      <c r="ON15" s="84"/>
      <c r="OO15" s="84"/>
      <c r="OP15" s="84"/>
      <c r="OQ15" s="84"/>
      <c r="OR15" s="84"/>
      <c r="OS15" s="84"/>
      <c r="OT15" s="84"/>
      <c r="OU15" s="84"/>
      <c r="OV15" s="84"/>
      <c r="OW15" s="84"/>
      <c r="OX15" s="84"/>
      <c r="OY15" s="84"/>
      <c r="OZ15" s="84"/>
      <c r="PA15" s="84"/>
      <c r="PB15" s="84"/>
      <c r="PC15" s="84"/>
      <c r="PD15" s="84"/>
      <c r="PE15" s="84"/>
      <c r="PF15" s="84"/>
      <c r="PG15" s="84"/>
      <c r="PH15" s="84"/>
      <c r="PI15" s="84"/>
      <c r="PJ15" s="84"/>
      <c r="PK15" s="84"/>
      <c r="PL15" s="84"/>
      <c r="PM15" s="84"/>
      <c r="PN15" s="84"/>
      <c r="PO15" s="84"/>
      <c r="PP15" s="84"/>
      <c r="PQ15" s="84"/>
      <c r="PR15" s="84"/>
      <c r="PS15" s="84"/>
      <c r="PT15" s="84"/>
      <c r="PU15" s="84"/>
      <c r="PV15" s="84"/>
      <c r="PW15" s="84"/>
      <c r="PX15" s="84"/>
      <c r="PY15" s="84"/>
      <c r="PZ15" s="84"/>
      <c r="QA15" s="84"/>
      <c r="QB15" s="84"/>
      <c r="QC15" s="84"/>
    </row>
    <row r="16" spans="1:445" s="85" customFormat="1" ht="15.75" x14ac:dyDescent="0.25">
      <c r="A16" s="86">
        <v>10</v>
      </c>
      <c r="B16" s="337">
        <v>2533</v>
      </c>
      <c r="C16" s="327" t="s">
        <v>317</v>
      </c>
      <c r="D16" s="1180" t="s">
        <v>751</v>
      </c>
      <c r="E16" s="329" t="s">
        <v>113</v>
      </c>
      <c r="F16" s="330">
        <v>38162</v>
      </c>
      <c r="G16" s="331" t="s">
        <v>260</v>
      </c>
      <c r="H16" s="332" t="s">
        <v>261</v>
      </c>
      <c r="I16" s="333" t="s">
        <v>262</v>
      </c>
      <c r="J16" s="329" t="s">
        <v>318</v>
      </c>
      <c r="K16" s="334" t="s">
        <v>319</v>
      </c>
      <c r="L16" s="334" t="s">
        <v>320</v>
      </c>
      <c r="M16" s="334" t="s">
        <v>267</v>
      </c>
      <c r="N16" s="334" t="s">
        <v>276</v>
      </c>
      <c r="O16" s="329" t="s">
        <v>318</v>
      </c>
      <c r="P16" s="335" t="s">
        <v>288</v>
      </c>
      <c r="Q16" s="335" t="s">
        <v>112</v>
      </c>
      <c r="R16" s="335" t="s">
        <v>90</v>
      </c>
      <c r="S16" s="336" t="s">
        <v>114</v>
      </c>
      <c r="T16" s="89"/>
      <c r="U16" s="90"/>
      <c r="V16" s="90"/>
      <c r="W16" s="91"/>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84"/>
      <c r="AW16" s="84"/>
      <c r="AX16" s="84"/>
      <c r="AY16" s="84"/>
      <c r="AZ16" s="84"/>
      <c r="BA16" s="84"/>
      <c r="BB16" s="84"/>
      <c r="BC16" s="84"/>
      <c r="BD16" s="84"/>
      <c r="BE16" s="84"/>
      <c r="BF16" s="84"/>
      <c r="BG16" s="84"/>
      <c r="BH16" s="84"/>
      <c r="BI16" s="84"/>
      <c r="BJ16" s="84"/>
      <c r="BK16" s="84"/>
      <c r="BL16" s="84"/>
      <c r="BM16" s="84"/>
      <c r="BN16" s="84"/>
      <c r="BO16" s="84"/>
      <c r="BP16" s="84"/>
      <c r="BQ16" s="84"/>
      <c r="BR16" s="84"/>
      <c r="BS16" s="84"/>
      <c r="BT16" s="84"/>
      <c r="BU16" s="84"/>
      <c r="BV16" s="84"/>
      <c r="BW16" s="84"/>
      <c r="BX16" s="84"/>
      <c r="BY16" s="84"/>
      <c r="BZ16" s="84"/>
      <c r="CA16" s="84"/>
      <c r="CB16" s="84"/>
      <c r="CC16" s="84"/>
      <c r="CD16" s="84"/>
      <c r="CE16" s="84"/>
      <c r="CF16" s="84"/>
      <c r="CG16" s="84"/>
      <c r="CH16" s="84"/>
      <c r="CI16" s="84"/>
      <c r="CJ16" s="84"/>
      <c r="CK16" s="84"/>
      <c r="CL16" s="84"/>
      <c r="CM16" s="84"/>
      <c r="CN16" s="84"/>
      <c r="CO16" s="84"/>
      <c r="CP16" s="84"/>
      <c r="CQ16" s="84"/>
      <c r="CR16" s="84"/>
      <c r="CS16" s="84"/>
      <c r="CT16" s="84"/>
      <c r="CU16" s="84"/>
      <c r="CV16" s="84"/>
      <c r="CW16" s="84"/>
      <c r="CX16" s="84"/>
      <c r="CY16" s="84"/>
      <c r="CZ16" s="84"/>
      <c r="DA16" s="84"/>
      <c r="DB16" s="84"/>
      <c r="DC16" s="84"/>
      <c r="DD16" s="84"/>
      <c r="DE16" s="84"/>
      <c r="DF16" s="84"/>
      <c r="DG16" s="84"/>
      <c r="DH16" s="84"/>
      <c r="DI16" s="84"/>
      <c r="DJ16" s="84"/>
      <c r="DK16" s="84"/>
      <c r="DL16" s="84"/>
      <c r="DM16" s="84"/>
      <c r="DN16" s="84"/>
      <c r="DO16" s="84"/>
      <c r="DP16" s="84"/>
      <c r="DQ16" s="84"/>
      <c r="DR16" s="84"/>
      <c r="DS16" s="84"/>
      <c r="DT16" s="84"/>
      <c r="DU16" s="84"/>
      <c r="DV16" s="84"/>
      <c r="DW16" s="84"/>
      <c r="DX16" s="84"/>
      <c r="DY16" s="84"/>
      <c r="DZ16" s="84"/>
      <c r="EA16" s="84"/>
      <c r="EB16" s="84"/>
      <c r="EC16" s="84"/>
      <c r="ED16" s="84"/>
      <c r="EE16" s="84"/>
      <c r="EF16" s="84"/>
      <c r="EG16" s="84"/>
      <c r="EH16" s="84"/>
      <c r="EI16" s="84"/>
      <c r="EJ16" s="84"/>
      <c r="EK16" s="84"/>
      <c r="EL16" s="84"/>
      <c r="EM16" s="84"/>
      <c r="EN16" s="84"/>
      <c r="EO16" s="84"/>
      <c r="EP16" s="84"/>
      <c r="EQ16" s="84"/>
      <c r="ER16" s="84"/>
      <c r="ES16" s="84"/>
      <c r="ET16" s="84"/>
      <c r="EU16" s="84"/>
      <c r="EV16" s="84"/>
      <c r="EW16" s="84"/>
      <c r="EX16" s="84"/>
      <c r="EY16" s="84"/>
      <c r="EZ16" s="84"/>
      <c r="FA16" s="84"/>
      <c r="FB16" s="84"/>
      <c r="FC16" s="84"/>
      <c r="FD16" s="84"/>
      <c r="FE16" s="84"/>
      <c r="FF16" s="84"/>
      <c r="FG16" s="84"/>
      <c r="FH16" s="84"/>
      <c r="FI16" s="84"/>
      <c r="FJ16" s="84"/>
      <c r="FK16" s="84"/>
      <c r="FL16" s="84"/>
      <c r="FM16" s="84"/>
      <c r="FN16" s="84"/>
      <c r="FO16" s="84"/>
      <c r="FP16" s="84"/>
      <c r="FQ16" s="84"/>
      <c r="FR16" s="84"/>
      <c r="FS16" s="84"/>
      <c r="FT16" s="84"/>
      <c r="FU16" s="84"/>
      <c r="FV16" s="84"/>
      <c r="FW16" s="84"/>
      <c r="FX16" s="84"/>
      <c r="FY16" s="84"/>
      <c r="FZ16" s="84"/>
      <c r="GA16" s="84"/>
      <c r="GB16" s="84"/>
      <c r="GC16" s="84"/>
      <c r="GD16" s="84"/>
      <c r="GE16" s="84"/>
      <c r="GF16" s="84"/>
      <c r="GG16" s="84"/>
      <c r="GH16" s="84"/>
      <c r="GI16" s="84"/>
      <c r="GJ16" s="84"/>
      <c r="GK16" s="84"/>
      <c r="GL16" s="84"/>
      <c r="GM16" s="84"/>
      <c r="GN16" s="84"/>
      <c r="GO16" s="84"/>
      <c r="GP16" s="84"/>
      <c r="GQ16" s="84"/>
      <c r="GR16" s="84"/>
      <c r="GS16" s="84"/>
      <c r="GT16" s="84"/>
      <c r="GU16" s="84"/>
      <c r="GV16" s="84"/>
      <c r="GW16" s="84"/>
      <c r="GX16" s="84"/>
      <c r="GY16" s="84"/>
      <c r="GZ16" s="84"/>
      <c r="HA16" s="84"/>
      <c r="HB16" s="84"/>
      <c r="HC16" s="84"/>
      <c r="HD16" s="84"/>
      <c r="HE16" s="84"/>
      <c r="HF16" s="84"/>
      <c r="HG16" s="84"/>
      <c r="HH16" s="84"/>
      <c r="HI16" s="84"/>
      <c r="HJ16" s="84"/>
      <c r="HK16" s="84"/>
      <c r="HL16" s="84"/>
      <c r="HM16" s="84"/>
      <c r="HN16" s="84"/>
      <c r="HO16" s="84"/>
      <c r="HP16" s="84"/>
      <c r="HQ16" s="84"/>
      <c r="HR16" s="84"/>
      <c r="HS16" s="84"/>
      <c r="HT16" s="84"/>
      <c r="HU16" s="84"/>
      <c r="HV16" s="84"/>
      <c r="HW16" s="84"/>
      <c r="HX16" s="84"/>
      <c r="HY16" s="84"/>
      <c r="HZ16" s="84"/>
      <c r="IA16" s="84"/>
      <c r="IB16" s="84"/>
      <c r="IC16" s="84"/>
      <c r="ID16" s="84"/>
      <c r="IE16" s="84"/>
      <c r="IF16" s="84"/>
      <c r="IG16" s="84"/>
      <c r="IH16" s="84"/>
      <c r="II16" s="84"/>
      <c r="IJ16" s="84"/>
      <c r="IK16" s="84"/>
      <c r="IL16" s="84"/>
      <c r="IM16" s="84"/>
      <c r="IN16" s="84"/>
      <c r="IO16" s="84"/>
      <c r="IP16" s="84"/>
      <c r="IQ16" s="84"/>
      <c r="IR16" s="84"/>
      <c r="IS16" s="84"/>
      <c r="IT16" s="84"/>
      <c r="IU16" s="84"/>
      <c r="IV16" s="84"/>
      <c r="IW16" s="84"/>
      <c r="IX16" s="84"/>
      <c r="IY16" s="84"/>
      <c r="IZ16" s="84"/>
      <c r="JA16" s="84"/>
      <c r="JB16" s="84"/>
      <c r="JC16" s="84"/>
      <c r="JD16" s="84"/>
      <c r="JE16" s="84"/>
      <c r="JF16" s="84"/>
      <c r="JG16" s="84"/>
      <c r="JH16" s="84"/>
      <c r="JI16" s="84"/>
      <c r="JJ16" s="84"/>
      <c r="JK16" s="84"/>
      <c r="JL16" s="84"/>
      <c r="JM16" s="84"/>
      <c r="JN16" s="84"/>
      <c r="JO16" s="84"/>
      <c r="JP16" s="84"/>
      <c r="JQ16" s="84"/>
      <c r="JR16" s="84"/>
      <c r="JS16" s="84"/>
      <c r="JT16" s="84"/>
      <c r="JU16" s="84"/>
      <c r="JV16" s="84"/>
      <c r="JW16" s="84"/>
      <c r="JX16" s="84"/>
      <c r="JY16" s="84"/>
      <c r="JZ16" s="84"/>
      <c r="KA16" s="84"/>
      <c r="KB16" s="84"/>
      <c r="KC16" s="84"/>
      <c r="KD16" s="84"/>
      <c r="KE16" s="84"/>
      <c r="KF16" s="84"/>
      <c r="KG16" s="84"/>
      <c r="KH16" s="84"/>
      <c r="KI16" s="84"/>
      <c r="KJ16" s="84"/>
      <c r="KK16" s="84"/>
      <c r="KL16" s="84"/>
      <c r="KM16" s="84"/>
      <c r="KN16" s="84"/>
      <c r="KO16" s="84"/>
      <c r="KP16" s="84"/>
      <c r="KQ16" s="84"/>
      <c r="KR16" s="84"/>
      <c r="KS16" s="84"/>
      <c r="KT16" s="84"/>
      <c r="KU16" s="84"/>
      <c r="KV16" s="84"/>
      <c r="KW16" s="84"/>
      <c r="KX16" s="84"/>
      <c r="KY16" s="84"/>
      <c r="KZ16" s="84"/>
      <c r="LA16" s="84"/>
      <c r="LB16" s="84"/>
      <c r="LC16" s="84"/>
      <c r="LD16" s="84"/>
      <c r="LE16" s="84"/>
      <c r="LF16" s="84"/>
      <c r="LG16" s="84"/>
      <c r="LH16" s="84"/>
      <c r="LI16" s="84"/>
      <c r="LJ16" s="84"/>
      <c r="LK16" s="84"/>
      <c r="LL16" s="84"/>
      <c r="LM16" s="84"/>
      <c r="LN16" s="84"/>
      <c r="LO16" s="84"/>
      <c r="LP16" s="84"/>
      <c r="LQ16" s="84"/>
      <c r="LR16" s="84"/>
      <c r="LS16" s="84"/>
      <c r="LT16" s="84"/>
      <c r="LU16" s="84"/>
      <c r="LV16" s="84"/>
      <c r="LW16" s="84"/>
      <c r="LX16" s="84"/>
      <c r="LY16" s="84"/>
      <c r="LZ16" s="84"/>
      <c r="MA16" s="84"/>
      <c r="MB16" s="84"/>
      <c r="MC16" s="84"/>
      <c r="MD16" s="84"/>
      <c r="ME16" s="84"/>
      <c r="MF16" s="84"/>
      <c r="MG16" s="84"/>
      <c r="MH16" s="84"/>
      <c r="MI16" s="84"/>
      <c r="MJ16" s="84"/>
      <c r="MK16" s="84"/>
      <c r="ML16" s="84"/>
      <c r="MM16" s="84"/>
      <c r="MN16" s="84"/>
      <c r="MO16" s="84"/>
      <c r="MP16" s="84"/>
      <c r="MQ16" s="84"/>
      <c r="MR16" s="84"/>
      <c r="MS16" s="84"/>
      <c r="MT16" s="84"/>
      <c r="MU16" s="84"/>
      <c r="MV16" s="84"/>
      <c r="MW16" s="84"/>
      <c r="MX16" s="84"/>
      <c r="MY16" s="84"/>
      <c r="MZ16" s="84"/>
      <c r="NA16" s="84"/>
      <c r="NB16" s="84"/>
      <c r="NC16" s="84"/>
      <c r="ND16" s="84"/>
      <c r="NE16" s="84"/>
      <c r="NF16" s="84"/>
      <c r="NG16" s="84"/>
      <c r="NH16" s="84"/>
      <c r="NI16" s="84"/>
      <c r="NJ16" s="84"/>
      <c r="NK16" s="84"/>
      <c r="NL16" s="84"/>
      <c r="NM16" s="84"/>
      <c r="NN16" s="84"/>
      <c r="NO16" s="84"/>
      <c r="NP16" s="84"/>
      <c r="NQ16" s="84"/>
      <c r="NR16" s="84"/>
      <c r="NS16" s="84"/>
      <c r="NT16" s="84"/>
      <c r="NU16" s="84"/>
      <c r="NV16" s="84"/>
      <c r="NW16" s="84"/>
      <c r="NX16" s="84"/>
      <c r="NY16" s="84"/>
      <c r="NZ16" s="84"/>
      <c r="OA16" s="84"/>
      <c r="OB16" s="84"/>
      <c r="OC16" s="84"/>
      <c r="OD16" s="84"/>
      <c r="OE16" s="84"/>
      <c r="OF16" s="84"/>
      <c r="OG16" s="84"/>
      <c r="OH16" s="84"/>
      <c r="OI16" s="84"/>
      <c r="OJ16" s="84"/>
      <c r="OK16" s="84"/>
      <c r="OL16" s="84"/>
      <c r="OM16" s="84"/>
      <c r="ON16" s="84"/>
      <c r="OO16" s="84"/>
      <c r="OP16" s="84"/>
      <c r="OQ16" s="84"/>
      <c r="OR16" s="84"/>
      <c r="OS16" s="84"/>
      <c r="OT16" s="84"/>
      <c r="OU16" s="84"/>
      <c r="OV16" s="84"/>
      <c r="OW16" s="84"/>
      <c r="OX16" s="84"/>
      <c r="OY16" s="84"/>
      <c r="OZ16" s="84"/>
      <c r="PA16" s="84"/>
      <c r="PB16" s="84"/>
      <c r="PC16" s="84"/>
      <c r="PD16" s="84"/>
      <c r="PE16" s="84"/>
      <c r="PF16" s="84"/>
      <c r="PG16" s="84"/>
      <c r="PH16" s="84"/>
      <c r="PI16" s="84"/>
      <c r="PJ16" s="84"/>
      <c r="PK16" s="84"/>
      <c r="PL16" s="84"/>
      <c r="PM16" s="84"/>
      <c r="PN16" s="84"/>
      <c r="PO16" s="84"/>
      <c r="PP16" s="84"/>
      <c r="PQ16" s="84"/>
      <c r="PR16" s="84"/>
      <c r="PS16" s="84"/>
      <c r="PT16" s="84"/>
      <c r="PU16" s="84"/>
      <c r="PV16" s="84"/>
      <c r="PW16" s="84"/>
      <c r="PX16" s="84"/>
      <c r="PY16" s="84"/>
      <c r="PZ16" s="84"/>
      <c r="QA16" s="84"/>
      <c r="QB16" s="84"/>
      <c r="QC16" s="84"/>
    </row>
    <row r="17" spans="1:445" s="85" customFormat="1" ht="15.75" x14ac:dyDescent="0.25">
      <c r="A17" s="92">
        <v>11</v>
      </c>
      <c r="B17" s="337">
        <v>2535</v>
      </c>
      <c r="C17" s="327" t="s">
        <v>321</v>
      </c>
      <c r="D17" s="1180" t="s">
        <v>752</v>
      </c>
      <c r="E17" s="329" t="s">
        <v>113</v>
      </c>
      <c r="F17" s="330">
        <v>38251</v>
      </c>
      <c r="G17" s="331" t="s">
        <v>271</v>
      </c>
      <c r="H17" s="332" t="s">
        <v>261</v>
      </c>
      <c r="I17" s="333" t="s">
        <v>262</v>
      </c>
      <c r="J17" s="329" t="s">
        <v>322</v>
      </c>
      <c r="K17" s="334" t="s">
        <v>323</v>
      </c>
      <c r="L17" s="334" t="s">
        <v>324</v>
      </c>
      <c r="M17" s="334" t="s">
        <v>267</v>
      </c>
      <c r="N17" s="334" t="s">
        <v>267</v>
      </c>
      <c r="O17" s="329" t="s">
        <v>322</v>
      </c>
      <c r="P17" s="335" t="s">
        <v>277</v>
      </c>
      <c r="Q17" s="335" t="s">
        <v>112</v>
      </c>
      <c r="R17" s="335" t="s">
        <v>90</v>
      </c>
      <c r="S17" s="336" t="s">
        <v>114</v>
      </c>
      <c r="T17" s="89"/>
      <c r="U17" s="90"/>
      <c r="V17" s="90"/>
      <c r="W17" s="91"/>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c r="BS17" s="84"/>
      <c r="BT17" s="84"/>
      <c r="BU17" s="84"/>
      <c r="BV17" s="84"/>
      <c r="BW17" s="84"/>
      <c r="BX17" s="84"/>
      <c r="BY17" s="84"/>
      <c r="BZ17" s="84"/>
      <c r="CA17" s="84"/>
      <c r="CB17" s="84"/>
      <c r="CC17" s="84"/>
      <c r="CD17" s="84"/>
      <c r="CE17" s="84"/>
      <c r="CF17" s="84"/>
      <c r="CG17" s="84"/>
      <c r="CH17" s="84"/>
      <c r="CI17" s="84"/>
      <c r="CJ17" s="84"/>
      <c r="CK17" s="84"/>
      <c r="CL17" s="84"/>
      <c r="CM17" s="84"/>
      <c r="CN17" s="84"/>
      <c r="CO17" s="84"/>
      <c r="CP17" s="84"/>
      <c r="CQ17" s="84"/>
      <c r="CR17" s="84"/>
      <c r="CS17" s="84"/>
      <c r="CT17" s="84"/>
      <c r="CU17" s="84"/>
      <c r="CV17" s="84"/>
      <c r="CW17" s="84"/>
      <c r="CX17" s="84"/>
      <c r="CY17" s="84"/>
      <c r="CZ17" s="84"/>
      <c r="DA17" s="84"/>
      <c r="DB17" s="84"/>
      <c r="DC17" s="84"/>
      <c r="DD17" s="84"/>
      <c r="DE17" s="84"/>
      <c r="DF17" s="84"/>
      <c r="DG17" s="84"/>
      <c r="DH17" s="84"/>
      <c r="DI17" s="84"/>
      <c r="DJ17" s="84"/>
      <c r="DK17" s="84"/>
      <c r="DL17" s="84"/>
      <c r="DM17" s="84"/>
      <c r="DN17" s="84"/>
      <c r="DO17" s="84"/>
      <c r="DP17" s="84"/>
      <c r="DQ17" s="84"/>
      <c r="DR17" s="84"/>
      <c r="DS17" s="84"/>
      <c r="DT17" s="84"/>
      <c r="DU17" s="84"/>
      <c r="DV17" s="84"/>
      <c r="DW17" s="84"/>
      <c r="DX17" s="84"/>
      <c r="DY17" s="84"/>
      <c r="DZ17" s="84"/>
      <c r="EA17" s="84"/>
      <c r="EB17" s="84"/>
      <c r="EC17" s="84"/>
      <c r="ED17" s="84"/>
      <c r="EE17" s="84"/>
      <c r="EF17" s="84"/>
      <c r="EG17" s="84"/>
      <c r="EH17" s="84"/>
      <c r="EI17" s="84"/>
      <c r="EJ17" s="84"/>
      <c r="EK17" s="84"/>
      <c r="EL17" s="84"/>
      <c r="EM17" s="84"/>
      <c r="EN17" s="84"/>
      <c r="EO17" s="84"/>
      <c r="EP17" s="84"/>
      <c r="EQ17" s="84"/>
      <c r="ER17" s="84"/>
      <c r="ES17" s="84"/>
      <c r="ET17" s="84"/>
      <c r="EU17" s="84"/>
      <c r="EV17" s="84"/>
      <c r="EW17" s="84"/>
      <c r="EX17" s="84"/>
      <c r="EY17" s="84"/>
      <c r="EZ17" s="84"/>
      <c r="FA17" s="84"/>
      <c r="FB17" s="84"/>
      <c r="FC17" s="84"/>
      <c r="FD17" s="84"/>
      <c r="FE17" s="84"/>
      <c r="FF17" s="84"/>
      <c r="FG17" s="84"/>
      <c r="FH17" s="84"/>
      <c r="FI17" s="84"/>
      <c r="FJ17" s="84"/>
      <c r="FK17" s="84"/>
      <c r="FL17" s="84"/>
      <c r="FM17" s="84"/>
      <c r="FN17" s="84"/>
      <c r="FO17" s="84"/>
      <c r="FP17" s="84"/>
      <c r="FQ17" s="84"/>
      <c r="FR17" s="84"/>
      <c r="FS17" s="84"/>
      <c r="FT17" s="84"/>
      <c r="FU17" s="84"/>
      <c r="FV17" s="84"/>
      <c r="FW17" s="84"/>
      <c r="FX17" s="84"/>
      <c r="FY17" s="84"/>
      <c r="FZ17" s="84"/>
      <c r="GA17" s="84"/>
      <c r="GB17" s="84"/>
      <c r="GC17" s="84"/>
      <c r="GD17" s="84"/>
      <c r="GE17" s="84"/>
      <c r="GF17" s="84"/>
      <c r="GG17" s="84"/>
      <c r="GH17" s="84"/>
      <c r="GI17" s="84"/>
      <c r="GJ17" s="84"/>
      <c r="GK17" s="84"/>
      <c r="GL17" s="84"/>
      <c r="GM17" s="84"/>
      <c r="GN17" s="84"/>
      <c r="GO17" s="84"/>
      <c r="GP17" s="84"/>
      <c r="GQ17" s="84"/>
      <c r="GR17" s="84"/>
      <c r="GS17" s="84"/>
      <c r="GT17" s="84"/>
      <c r="GU17" s="84"/>
      <c r="GV17" s="84"/>
      <c r="GW17" s="84"/>
      <c r="GX17" s="84"/>
      <c r="GY17" s="84"/>
      <c r="GZ17" s="84"/>
      <c r="HA17" s="84"/>
      <c r="HB17" s="84"/>
      <c r="HC17" s="84"/>
      <c r="HD17" s="84"/>
      <c r="HE17" s="84"/>
      <c r="HF17" s="84"/>
      <c r="HG17" s="84"/>
      <c r="HH17" s="84"/>
      <c r="HI17" s="84"/>
      <c r="HJ17" s="84"/>
      <c r="HK17" s="84"/>
      <c r="HL17" s="84"/>
      <c r="HM17" s="84"/>
      <c r="HN17" s="84"/>
      <c r="HO17" s="84"/>
      <c r="HP17" s="84"/>
      <c r="HQ17" s="84"/>
      <c r="HR17" s="84"/>
      <c r="HS17" s="84"/>
      <c r="HT17" s="84"/>
      <c r="HU17" s="84"/>
      <c r="HV17" s="84"/>
      <c r="HW17" s="84"/>
      <c r="HX17" s="84"/>
      <c r="HY17" s="84"/>
      <c r="HZ17" s="84"/>
      <c r="IA17" s="84"/>
      <c r="IB17" s="84"/>
      <c r="IC17" s="84"/>
      <c r="ID17" s="84"/>
      <c r="IE17" s="84"/>
      <c r="IF17" s="84"/>
      <c r="IG17" s="84"/>
      <c r="IH17" s="84"/>
      <c r="II17" s="84"/>
      <c r="IJ17" s="84"/>
      <c r="IK17" s="84"/>
      <c r="IL17" s="84"/>
      <c r="IM17" s="84"/>
      <c r="IN17" s="84"/>
      <c r="IO17" s="84"/>
      <c r="IP17" s="84"/>
      <c r="IQ17" s="84"/>
      <c r="IR17" s="84"/>
      <c r="IS17" s="84"/>
      <c r="IT17" s="84"/>
      <c r="IU17" s="84"/>
      <c r="IV17" s="84"/>
      <c r="IW17" s="84"/>
      <c r="IX17" s="84"/>
      <c r="IY17" s="84"/>
      <c r="IZ17" s="84"/>
      <c r="JA17" s="84"/>
      <c r="JB17" s="84"/>
      <c r="JC17" s="84"/>
      <c r="JD17" s="84"/>
      <c r="JE17" s="84"/>
      <c r="JF17" s="84"/>
      <c r="JG17" s="84"/>
      <c r="JH17" s="84"/>
      <c r="JI17" s="84"/>
      <c r="JJ17" s="84"/>
      <c r="JK17" s="84"/>
      <c r="JL17" s="84"/>
      <c r="JM17" s="84"/>
      <c r="JN17" s="84"/>
      <c r="JO17" s="84"/>
      <c r="JP17" s="84"/>
      <c r="JQ17" s="84"/>
      <c r="JR17" s="84"/>
      <c r="JS17" s="84"/>
      <c r="JT17" s="84"/>
      <c r="JU17" s="84"/>
      <c r="JV17" s="84"/>
      <c r="JW17" s="84"/>
      <c r="JX17" s="84"/>
      <c r="JY17" s="84"/>
      <c r="JZ17" s="84"/>
      <c r="KA17" s="84"/>
      <c r="KB17" s="84"/>
      <c r="KC17" s="84"/>
      <c r="KD17" s="84"/>
      <c r="KE17" s="84"/>
      <c r="KF17" s="84"/>
      <c r="KG17" s="84"/>
      <c r="KH17" s="84"/>
      <c r="KI17" s="84"/>
      <c r="KJ17" s="84"/>
      <c r="KK17" s="84"/>
      <c r="KL17" s="84"/>
      <c r="KM17" s="84"/>
      <c r="KN17" s="84"/>
      <c r="KO17" s="84"/>
      <c r="KP17" s="84"/>
      <c r="KQ17" s="84"/>
      <c r="KR17" s="84"/>
      <c r="KS17" s="84"/>
      <c r="KT17" s="84"/>
      <c r="KU17" s="84"/>
      <c r="KV17" s="84"/>
      <c r="KW17" s="84"/>
      <c r="KX17" s="84"/>
      <c r="KY17" s="84"/>
      <c r="KZ17" s="84"/>
      <c r="LA17" s="84"/>
      <c r="LB17" s="84"/>
      <c r="LC17" s="84"/>
      <c r="LD17" s="84"/>
      <c r="LE17" s="84"/>
      <c r="LF17" s="84"/>
      <c r="LG17" s="84"/>
      <c r="LH17" s="84"/>
      <c r="LI17" s="84"/>
      <c r="LJ17" s="84"/>
      <c r="LK17" s="84"/>
      <c r="LL17" s="84"/>
      <c r="LM17" s="84"/>
      <c r="LN17" s="84"/>
      <c r="LO17" s="84"/>
      <c r="LP17" s="84"/>
      <c r="LQ17" s="84"/>
      <c r="LR17" s="84"/>
      <c r="LS17" s="84"/>
      <c r="LT17" s="84"/>
      <c r="LU17" s="84"/>
      <c r="LV17" s="84"/>
      <c r="LW17" s="84"/>
      <c r="LX17" s="84"/>
      <c r="LY17" s="84"/>
      <c r="LZ17" s="84"/>
      <c r="MA17" s="84"/>
      <c r="MB17" s="84"/>
      <c r="MC17" s="84"/>
      <c r="MD17" s="84"/>
      <c r="ME17" s="84"/>
      <c r="MF17" s="84"/>
      <c r="MG17" s="84"/>
      <c r="MH17" s="84"/>
      <c r="MI17" s="84"/>
      <c r="MJ17" s="84"/>
      <c r="MK17" s="84"/>
      <c r="ML17" s="84"/>
      <c r="MM17" s="84"/>
      <c r="MN17" s="84"/>
      <c r="MO17" s="84"/>
      <c r="MP17" s="84"/>
      <c r="MQ17" s="84"/>
      <c r="MR17" s="84"/>
      <c r="MS17" s="84"/>
      <c r="MT17" s="84"/>
      <c r="MU17" s="84"/>
      <c r="MV17" s="84"/>
      <c r="MW17" s="84"/>
      <c r="MX17" s="84"/>
      <c r="MY17" s="84"/>
      <c r="MZ17" s="84"/>
      <c r="NA17" s="84"/>
      <c r="NB17" s="84"/>
      <c r="NC17" s="84"/>
      <c r="ND17" s="84"/>
      <c r="NE17" s="84"/>
      <c r="NF17" s="84"/>
      <c r="NG17" s="84"/>
      <c r="NH17" s="84"/>
      <c r="NI17" s="84"/>
      <c r="NJ17" s="84"/>
      <c r="NK17" s="84"/>
      <c r="NL17" s="84"/>
      <c r="NM17" s="84"/>
      <c r="NN17" s="84"/>
      <c r="NO17" s="84"/>
      <c r="NP17" s="84"/>
      <c r="NQ17" s="84"/>
      <c r="NR17" s="84"/>
      <c r="NS17" s="84"/>
      <c r="NT17" s="84"/>
      <c r="NU17" s="84"/>
      <c r="NV17" s="84"/>
      <c r="NW17" s="84"/>
      <c r="NX17" s="84"/>
      <c r="NY17" s="84"/>
      <c r="NZ17" s="84"/>
      <c r="OA17" s="84"/>
      <c r="OB17" s="84"/>
      <c r="OC17" s="84"/>
      <c r="OD17" s="84"/>
      <c r="OE17" s="84"/>
      <c r="OF17" s="84"/>
      <c r="OG17" s="84"/>
      <c r="OH17" s="84"/>
      <c r="OI17" s="84"/>
      <c r="OJ17" s="84"/>
      <c r="OK17" s="84"/>
      <c r="OL17" s="84"/>
      <c r="OM17" s="84"/>
      <c r="ON17" s="84"/>
      <c r="OO17" s="84"/>
      <c r="OP17" s="84"/>
      <c r="OQ17" s="84"/>
      <c r="OR17" s="84"/>
      <c r="OS17" s="84"/>
      <c r="OT17" s="84"/>
      <c r="OU17" s="84"/>
      <c r="OV17" s="84"/>
      <c r="OW17" s="84"/>
      <c r="OX17" s="84"/>
      <c r="OY17" s="84"/>
      <c r="OZ17" s="84"/>
      <c r="PA17" s="84"/>
      <c r="PB17" s="84"/>
      <c r="PC17" s="84"/>
      <c r="PD17" s="84"/>
      <c r="PE17" s="84"/>
      <c r="PF17" s="84"/>
      <c r="PG17" s="84"/>
      <c r="PH17" s="84"/>
      <c r="PI17" s="84"/>
      <c r="PJ17" s="84"/>
      <c r="PK17" s="84"/>
      <c r="PL17" s="84"/>
      <c r="PM17" s="84"/>
      <c r="PN17" s="84"/>
      <c r="PO17" s="84"/>
      <c r="PP17" s="84"/>
      <c r="PQ17" s="84"/>
      <c r="PR17" s="84"/>
      <c r="PS17" s="84"/>
      <c r="PT17" s="84"/>
      <c r="PU17" s="84"/>
      <c r="PV17" s="84"/>
      <c r="PW17" s="84"/>
      <c r="PX17" s="84"/>
      <c r="PY17" s="84"/>
      <c r="PZ17" s="84"/>
      <c r="QA17" s="84"/>
      <c r="QB17" s="84"/>
      <c r="QC17" s="84"/>
    </row>
    <row r="18" spans="1:445" s="85" customFormat="1" ht="15.75" x14ac:dyDescent="0.25">
      <c r="A18" s="86">
        <v>12</v>
      </c>
      <c r="B18" s="337">
        <v>2536</v>
      </c>
      <c r="C18" s="327" t="s">
        <v>325</v>
      </c>
      <c r="D18" s="1180" t="s">
        <v>753</v>
      </c>
      <c r="E18" s="329" t="s">
        <v>113</v>
      </c>
      <c r="F18" s="330">
        <v>38146</v>
      </c>
      <c r="G18" s="331" t="s">
        <v>271</v>
      </c>
      <c r="H18" s="332" t="s">
        <v>261</v>
      </c>
      <c r="I18" s="333" t="s">
        <v>262</v>
      </c>
      <c r="J18" s="329" t="s">
        <v>326</v>
      </c>
      <c r="K18" s="334" t="s">
        <v>327</v>
      </c>
      <c r="L18" s="334" t="s">
        <v>328</v>
      </c>
      <c r="M18" s="334" t="s">
        <v>267</v>
      </c>
      <c r="N18" s="334" t="s">
        <v>267</v>
      </c>
      <c r="O18" s="329" t="s">
        <v>326</v>
      </c>
      <c r="P18" s="335" t="s">
        <v>277</v>
      </c>
      <c r="Q18" s="335" t="s">
        <v>112</v>
      </c>
      <c r="R18" s="335" t="s">
        <v>90</v>
      </c>
      <c r="S18" s="336" t="s">
        <v>114</v>
      </c>
      <c r="T18" s="89"/>
      <c r="U18" s="90"/>
      <c r="V18" s="90"/>
      <c r="W18" s="91"/>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84"/>
      <c r="AW18" s="84"/>
      <c r="AX18" s="84"/>
      <c r="AY18" s="84"/>
      <c r="AZ18" s="84"/>
      <c r="BA18" s="84"/>
      <c r="BB18" s="84"/>
      <c r="BC18" s="84"/>
      <c r="BD18" s="84"/>
      <c r="BE18" s="84"/>
      <c r="BF18" s="84"/>
      <c r="BG18" s="84"/>
      <c r="BH18" s="84"/>
      <c r="BI18" s="84"/>
      <c r="BJ18" s="84"/>
      <c r="BK18" s="84"/>
      <c r="BL18" s="84"/>
      <c r="BM18" s="84"/>
      <c r="BN18" s="84"/>
      <c r="BO18" s="84"/>
      <c r="BP18" s="84"/>
      <c r="BQ18" s="84"/>
      <c r="BR18" s="84"/>
      <c r="BS18" s="84"/>
      <c r="BT18" s="84"/>
      <c r="BU18" s="84"/>
      <c r="BV18" s="84"/>
      <c r="BW18" s="84"/>
      <c r="BX18" s="84"/>
      <c r="BY18" s="84"/>
      <c r="BZ18" s="84"/>
      <c r="CA18" s="84"/>
      <c r="CB18" s="84"/>
      <c r="CC18" s="84"/>
      <c r="CD18" s="84"/>
      <c r="CE18" s="84"/>
      <c r="CF18" s="84"/>
      <c r="CG18" s="84"/>
      <c r="CH18" s="84"/>
      <c r="CI18" s="84"/>
      <c r="CJ18" s="84"/>
      <c r="CK18" s="84"/>
      <c r="CL18" s="84"/>
      <c r="CM18" s="84"/>
      <c r="CN18" s="84"/>
      <c r="CO18" s="84"/>
      <c r="CP18" s="84"/>
      <c r="CQ18" s="84"/>
      <c r="CR18" s="84"/>
      <c r="CS18" s="84"/>
      <c r="CT18" s="84"/>
      <c r="CU18" s="84"/>
      <c r="CV18" s="84"/>
      <c r="CW18" s="84"/>
      <c r="CX18" s="84"/>
      <c r="CY18" s="84"/>
      <c r="CZ18" s="84"/>
      <c r="DA18" s="84"/>
      <c r="DB18" s="84"/>
      <c r="DC18" s="84"/>
      <c r="DD18" s="84"/>
      <c r="DE18" s="84"/>
      <c r="DF18" s="84"/>
      <c r="DG18" s="84"/>
      <c r="DH18" s="84"/>
      <c r="DI18" s="84"/>
      <c r="DJ18" s="84"/>
      <c r="DK18" s="84"/>
      <c r="DL18" s="84"/>
      <c r="DM18" s="84"/>
      <c r="DN18" s="84"/>
      <c r="DO18" s="84"/>
      <c r="DP18" s="84"/>
      <c r="DQ18" s="84"/>
      <c r="DR18" s="84"/>
      <c r="DS18" s="84"/>
      <c r="DT18" s="84"/>
      <c r="DU18" s="84"/>
      <c r="DV18" s="84"/>
      <c r="DW18" s="84"/>
      <c r="DX18" s="84"/>
      <c r="DY18" s="84"/>
      <c r="DZ18" s="84"/>
      <c r="EA18" s="84"/>
      <c r="EB18" s="84"/>
      <c r="EC18" s="84"/>
      <c r="ED18" s="84"/>
      <c r="EE18" s="84"/>
      <c r="EF18" s="84"/>
      <c r="EG18" s="84"/>
      <c r="EH18" s="84"/>
      <c r="EI18" s="84"/>
      <c r="EJ18" s="84"/>
      <c r="EK18" s="84"/>
      <c r="EL18" s="84"/>
      <c r="EM18" s="84"/>
      <c r="EN18" s="84"/>
      <c r="EO18" s="84"/>
      <c r="EP18" s="84"/>
      <c r="EQ18" s="84"/>
      <c r="ER18" s="84"/>
      <c r="ES18" s="84"/>
      <c r="ET18" s="84"/>
      <c r="EU18" s="84"/>
      <c r="EV18" s="84"/>
      <c r="EW18" s="84"/>
      <c r="EX18" s="84"/>
      <c r="EY18" s="84"/>
      <c r="EZ18" s="84"/>
      <c r="FA18" s="84"/>
      <c r="FB18" s="84"/>
      <c r="FC18" s="84"/>
      <c r="FD18" s="84"/>
      <c r="FE18" s="84"/>
      <c r="FF18" s="84"/>
      <c r="FG18" s="84"/>
      <c r="FH18" s="84"/>
      <c r="FI18" s="84"/>
      <c r="FJ18" s="84"/>
      <c r="FK18" s="84"/>
      <c r="FL18" s="84"/>
      <c r="FM18" s="84"/>
      <c r="FN18" s="84"/>
      <c r="FO18" s="84"/>
      <c r="FP18" s="84"/>
      <c r="FQ18" s="84"/>
      <c r="FR18" s="84"/>
      <c r="FS18" s="84"/>
      <c r="FT18" s="84"/>
      <c r="FU18" s="84"/>
      <c r="FV18" s="84"/>
      <c r="FW18" s="84"/>
      <c r="FX18" s="84"/>
      <c r="FY18" s="84"/>
      <c r="FZ18" s="84"/>
      <c r="GA18" s="84"/>
      <c r="GB18" s="84"/>
      <c r="GC18" s="84"/>
      <c r="GD18" s="84"/>
      <c r="GE18" s="84"/>
      <c r="GF18" s="84"/>
      <c r="GG18" s="84"/>
      <c r="GH18" s="84"/>
      <c r="GI18" s="84"/>
      <c r="GJ18" s="84"/>
      <c r="GK18" s="84"/>
      <c r="GL18" s="84"/>
      <c r="GM18" s="84"/>
      <c r="GN18" s="84"/>
      <c r="GO18" s="84"/>
      <c r="GP18" s="84"/>
      <c r="GQ18" s="84"/>
      <c r="GR18" s="84"/>
      <c r="GS18" s="84"/>
      <c r="GT18" s="84"/>
      <c r="GU18" s="84"/>
      <c r="GV18" s="84"/>
      <c r="GW18" s="84"/>
      <c r="GX18" s="84"/>
      <c r="GY18" s="84"/>
      <c r="GZ18" s="84"/>
      <c r="HA18" s="84"/>
      <c r="HB18" s="84"/>
      <c r="HC18" s="84"/>
      <c r="HD18" s="84"/>
      <c r="HE18" s="84"/>
      <c r="HF18" s="84"/>
      <c r="HG18" s="84"/>
      <c r="HH18" s="84"/>
      <c r="HI18" s="84"/>
      <c r="HJ18" s="84"/>
      <c r="HK18" s="84"/>
      <c r="HL18" s="84"/>
      <c r="HM18" s="84"/>
      <c r="HN18" s="84"/>
      <c r="HO18" s="84"/>
      <c r="HP18" s="84"/>
      <c r="HQ18" s="84"/>
      <c r="HR18" s="84"/>
      <c r="HS18" s="84"/>
      <c r="HT18" s="84"/>
      <c r="HU18" s="84"/>
      <c r="HV18" s="84"/>
      <c r="HW18" s="84"/>
      <c r="HX18" s="84"/>
      <c r="HY18" s="84"/>
      <c r="HZ18" s="84"/>
      <c r="IA18" s="84"/>
      <c r="IB18" s="84"/>
      <c r="IC18" s="84"/>
      <c r="ID18" s="84"/>
      <c r="IE18" s="84"/>
      <c r="IF18" s="84"/>
      <c r="IG18" s="84"/>
      <c r="IH18" s="84"/>
      <c r="II18" s="84"/>
      <c r="IJ18" s="84"/>
      <c r="IK18" s="84"/>
      <c r="IL18" s="84"/>
      <c r="IM18" s="84"/>
      <c r="IN18" s="84"/>
      <c r="IO18" s="84"/>
      <c r="IP18" s="84"/>
      <c r="IQ18" s="84"/>
      <c r="IR18" s="84"/>
      <c r="IS18" s="84"/>
      <c r="IT18" s="84"/>
      <c r="IU18" s="84"/>
      <c r="IV18" s="84"/>
      <c r="IW18" s="84"/>
      <c r="IX18" s="84"/>
      <c r="IY18" s="84"/>
      <c r="IZ18" s="84"/>
      <c r="JA18" s="84"/>
      <c r="JB18" s="84"/>
      <c r="JC18" s="84"/>
      <c r="JD18" s="84"/>
      <c r="JE18" s="84"/>
      <c r="JF18" s="84"/>
      <c r="JG18" s="84"/>
      <c r="JH18" s="84"/>
      <c r="JI18" s="84"/>
      <c r="JJ18" s="84"/>
      <c r="JK18" s="84"/>
      <c r="JL18" s="84"/>
      <c r="JM18" s="84"/>
      <c r="JN18" s="84"/>
      <c r="JO18" s="84"/>
      <c r="JP18" s="84"/>
      <c r="JQ18" s="84"/>
      <c r="JR18" s="84"/>
      <c r="JS18" s="84"/>
      <c r="JT18" s="84"/>
      <c r="JU18" s="84"/>
      <c r="JV18" s="84"/>
      <c r="JW18" s="84"/>
      <c r="JX18" s="84"/>
      <c r="JY18" s="84"/>
      <c r="JZ18" s="84"/>
      <c r="KA18" s="84"/>
      <c r="KB18" s="84"/>
      <c r="KC18" s="84"/>
      <c r="KD18" s="84"/>
      <c r="KE18" s="84"/>
      <c r="KF18" s="84"/>
      <c r="KG18" s="84"/>
      <c r="KH18" s="84"/>
      <c r="KI18" s="84"/>
      <c r="KJ18" s="84"/>
      <c r="KK18" s="84"/>
      <c r="KL18" s="84"/>
      <c r="KM18" s="84"/>
      <c r="KN18" s="84"/>
      <c r="KO18" s="84"/>
      <c r="KP18" s="84"/>
      <c r="KQ18" s="84"/>
      <c r="KR18" s="84"/>
      <c r="KS18" s="84"/>
      <c r="KT18" s="84"/>
      <c r="KU18" s="84"/>
      <c r="KV18" s="84"/>
      <c r="KW18" s="84"/>
      <c r="KX18" s="84"/>
      <c r="KY18" s="84"/>
      <c r="KZ18" s="84"/>
      <c r="LA18" s="84"/>
      <c r="LB18" s="84"/>
      <c r="LC18" s="84"/>
      <c r="LD18" s="84"/>
      <c r="LE18" s="84"/>
      <c r="LF18" s="84"/>
      <c r="LG18" s="84"/>
      <c r="LH18" s="84"/>
      <c r="LI18" s="84"/>
      <c r="LJ18" s="84"/>
      <c r="LK18" s="84"/>
      <c r="LL18" s="84"/>
      <c r="LM18" s="84"/>
      <c r="LN18" s="84"/>
      <c r="LO18" s="84"/>
      <c r="LP18" s="84"/>
      <c r="LQ18" s="84"/>
      <c r="LR18" s="84"/>
      <c r="LS18" s="84"/>
      <c r="LT18" s="84"/>
      <c r="LU18" s="84"/>
      <c r="LV18" s="84"/>
      <c r="LW18" s="84"/>
      <c r="LX18" s="84"/>
      <c r="LY18" s="84"/>
      <c r="LZ18" s="84"/>
      <c r="MA18" s="84"/>
      <c r="MB18" s="84"/>
      <c r="MC18" s="84"/>
      <c r="MD18" s="84"/>
      <c r="ME18" s="84"/>
      <c r="MF18" s="84"/>
      <c r="MG18" s="84"/>
      <c r="MH18" s="84"/>
      <c r="MI18" s="84"/>
      <c r="MJ18" s="84"/>
      <c r="MK18" s="84"/>
      <c r="ML18" s="84"/>
      <c r="MM18" s="84"/>
      <c r="MN18" s="84"/>
      <c r="MO18" s="84"/>
      <c r="MP18" s="84"/>
      <c r="MQ18" s="84"/>
      <c r="MR18" s="84"/>
      <c r="MS18" s="84"/>
      <c r="MT18" s="84"/>
      <c r="MU18" s="84"/>
      <c r="MV18" s="84"/>
      <c r="MW18" s="84"/>
      <c r="MX18" s="84"/>
      <c r="MY18" s="84"/>
      <c r="MZ18" s="84"/>
      <c r="NA18" s="84"/>
      <c r="NB18" s="84"/>
      <c r="NC18" s="84"/>
      <c r="ND18" s="84"/>
      <c r="NE18" s="84"/>
      <c r="NF18" s="84"/>
      <c r="NG18" s="84"/>
      <c r="NH18" s="84"/>
      <c r="NI18" s="84"/>
      <c r="NJ18" s="84"/>
      <c r="NK18" s="84"/>
      <c r="NL18" s="84"/>
      <c r="NM18" s="84"/>
      <c r="NN18" s="84"/>
      <c r="NO18" s="84"/>
      <c r="NP18" s="84"/>
      <c r="NQ18" s="84"/>
      <c r="NR18" s="84"/>
      <c r="NS18" s="84"/>
      <c r="NT18" s="84"/>
      <c r="NU18" s="84"/>
      <c r="NV18" s="84"/>
      <c r="NW18" s="84"/>
      <c r="NX18" s="84"/>
      <c r="NY18" s="84"/>
      <c r="NZ18" s="84"/>
      <c r="OA18" s="84"/>
      <c r="OB18" s="84"/>
      <c r="OC18" s="84"/>
      <c r="OD18" s="84"/>
      <c r="OE18" s="84"/>
      <c r="OF18" s="84"/>
      <c r="OG18" s="84"/>
      <c r="OH18" s="84"/>
      <c r="OI18" s="84"/>
      <c r="OJ18" s="84"/>
      <c r="OK18" s="84"/>
      <c r="OL18" s="84"/>
      <c r="OM18" s="84"/>
      <c r="ON18" s="84"/>
      <c r="OO18" s="84"/>
      <c r="OP18" s="84"/>
      <c r="OQ18" s="84"/>
      <c r="OR18" s="84"/>
      <c r="OS18" s="84"/>
      <c r="OT18" s="84"/>
      <c r="OU18" s="84"/>
      <c r="OV18" s="84"/>
      <c r="OW18" s="84"/>
      <c r="OX18" s="84"/>
      <c r="OY18" s="84"/>
      <c r="OZ18" s="84"/>
      <c r="PA18" s="84"/>
      <c r="PB18" s="84"/>
      <c r="PC18" s="84"/>
      <c r="PD18" s="84"/>
      <c r="PE18" s="84"/>
      <c r="PF18" s="84"/>
      <c r="PG18" s="84"/>
      <c r="PH18" s="84"/>
      <c r="PI18" s="84"/>
      <c r="PJ18" s="84"/>
      <c r="PK18" s="84"/>
      <c r="PL18" s="84"/>
      <c r="PM18" s="84"/>
      <c r="PN18" s="84"/>
      <c r="PO18" s="84"/>
      <c r="PP18" s="84"/>
      <c r="PQ18" s="84"/>
      <c r="PR18" s="84"/>
      <c r="PS18" s="84"/>
      <c r="PT18" s="84"/>
      <c r="PU18" s="84"/>
      <c r="PV18" s="84"/>
      <c r="PW18" s="84"/>
      <c r="PX18" s="84"/>
      <c r="PY18" s="84"/>
      <c r="PZ18" s="84"/>
      <c r="QA18" s="84"/>
      <c r="QB18" s="84"/>
      <c r="QC18" s="84"/>
    </row>
    <row r="19" spans="1:445" s="85" customFormat="1" ht="15.75" x14ac:dyDescent="0.25">
      <c r="A19" s="92">
        <v>13</v>
      </c>
      <c r="B19" s="337">
        <v>2540</v>
      </c>
      <c r="C19" s="327" t="s">
        <v>329</v>
      </c>
      <c r="D19" s="1180" t="s">
        <v>754</v>
      </c>
      <c r="E19" s="329" t="s">
        <v>113</v>
      </c>
      <c r="F19" s="330">
        <v>38652</v>
      </c>
      <c r="G19" s="331" t="s">
        <v>271</v>
      </c>
      <c r="H19" s="332" t="s">
        <v>261</v>
      </c>
      <c r="I19" s="333" t="s">
        <v>262</v>
      </c>
      <c r="J19" s="329" t="s">
        <v>330</v>
      </c>
      <c r="K19" s="334" t="s">
        <v>331</v>
      </c>
      <c r="L19" s="334" t="s">
        <v>332</v>
      </c>
      <c r="M19" s="334" t="s">
        <v>287</v>
      </c>
      <c r="N19" s="334" t="s">
        <v>267</v>
      </c>
      <c r="O19" s="329" t="s">
        <v>330</v>
      </c>
      <c r="P19" s="335" t="s">
        <v>333</v>
      </c>
      <c r="Q19" s="335" t="s">
        <v>269</v>
      </c>
      <c r="R19" s="335" t="s">
        <v>90</v>
      </c>
      <c r="S19" s="336" t="s">
        <v>114</v>
      </c>
      <c r="T19" s="89"/>
      <c r="U19" s="90"/>
      <c r="V19" s="90"/>
      <c r="W19" s="91"/>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c r="BD19" s="84"/>
      <c r="BE19" s="84"/>
      <c r="BF19" s="84"/>
      <c r="BG19" s="84"/>
      <c r="BH19" s="84"/>
      <c r="BI19" s="84"/>
      <c r="BJ19" s="84"/>
      <c r="BK19" s="84"/>
      <c r="BL19" s="84"/>
      <c r="BM19" s="84"/>
      <c r="BN19" s="84"/>
      <c r="BO19" s="84"/>
      <c r="BP19" s="84"/>
      <c r="BQ19" s="84"/>
      <c r="BR19" s="84"/>
      <c r="BS19" s="84"/>
      <c r="BT19" s="84"/>
      <c r="BU19" s="84"/>
      <c r="BV19" s="84"/>
      <c r="BW19" s="84"/>
      <c r="BX19" s="84"/>
      <c r="BY19" s="84"/>
      <c r="BZ19" s="84"/>
      <c r="CA19" s="84"/>
      <c r="CB19" s="84"/>
      <c r="CC19" s="84"/>
      <c r="CD19" s="84"/>
      <c r="CE19" s="84"/>
      <c r="CF19" s="84"/>
      <c r="CG19" s="84"/>
      <c r="CH19" s="84"/>
      <c r="CI19" s="84"/>
      <c r="CJ19" s="84"/>
      <c r="CK19" s="84"/>
      <c r="CL19" s="84"/>
      <c r="CM19" s="84"/>
      <c r="CN19" s="84"/>
      <c r="CO19" s="84"/>
      <c r="CP19" s="84"/>
      <c r="CQ19" s="84"/>
      <c r="CR19" s="84"/>
      <c r="CS19" s="84"/>
      <c r="CT19" s="84"/>
      <c r="CU19" s="84"/>
      <c r="CV19" s="84"/>
      <c r="CW19" s="84"/>
      <c r="CX19" s="84"/>
      <c r="CY19" s="84"/>
      <c r="CZ19" s="84"/>
      <c r="DA19" s="84"/>
      <c r="DB19" s="84"/>
      <c r="DC19" s="84"/>
      <c r="DD19" s="84"/>
      <c r="DE19" s="84"/>
      <c r="DF19" s="84"/>
      <c r="DG19" s="84"/>
      <c r="DH19" s="84"/>
      <c r="DI19" s="84"/>
      <c r="DJ19" s="84"/>
      <c r="DK19" s="84"/>
      <c r="DL19" s="84"/>
      <c r="DM19" s="84"/>
      <c r="DN19" s="84"/>
      <c r="DO19" s="84"/>
      <c r="DP19" s="84"/>
      <c r="DQ19" s="84"/>
      <c r="DR19" s="84"/>
      <c r="DS19" s="84"/>
      <c r="DT19" s="84"/>
      <c r="DU19" s="84"/>
      <c r="DV19" s="84"/>
      <c r="DW19" s="84"/>
      <c r="DX19" s="84"/>
      <c r="DY19" s="84"/>
      <c r="DZ19" s="84"/>
      <c r="EA19" s="84"/>
      <c r="EB19" s="84"/>
      <c r="EC19" s="84"/>
      <c r="ED19" s="84"/>
      <c r="EE19" s="84"/>
      <c r="EF19" s="84"/>
      <c r="EG19" s="84"/>
      <c r="EH19" s="84"/>
      <c r="EI19" s="84"/>
      <c r="EJ19" s="84"/>
      <c r="EK19" s="84"/>
      <c r="EL19" s="84"/>
      <c r="EM19" s="84"/>
      <c r="EN19" s="84"/>
      <c r="EO19" s="84"/>
      <c r="EP19" s="84"/>
      <c r="EQ19" s="84"/>
      <c r="ER19" s="84"/>
      <c r="ES19" s="84"/>
      <c r="ET19" s="84"/>
      <c r="EU19" s="84"/>
      <c r="EV19" s="84"/>
      <c r="EW19" s="84"/>
      <c r="EX19" s="84"/>
      <c r="EY19" s="84"/>
      <c r="EZ19" s="84"/>
      <c r="FA19" s="84"/>
      <c r="FB19" s="84"/>
      <c r="FC19" s="84"/>
      <c r="FD19" s="84"/>
      <c r="FE19" s="84"/>
      <c r="FF19" s="84"/>
      <c r="FG19" s="84"/>
      <c r="FH19" s="84"/>
      <c r="FI19" s="84"/>
      <c r="FJ19" s="84"/>
      <c r="FK19" s="84"/>
      <c r="FL19" s="84"/>
      <c r="FM19" s="84"/>
      <c r="FN19" s="84"/>
      <c r="FO19" s="84"/>
      <c r="FP19" s="84"/>
      <c r="FQ19" s="84"/>
      <c r="FR19" s="84"/>
      <c r="FS19" s="84"/>
      <c r="FT19" s="84"/>
      <c r="FU19" s="84"/>
      <c r="FV19" s="84"/>
      <c r="FW19" s="84"/>
      <c r="FX19" s="84"/>
      <c r="FY19" s="84"/>
      <c r="FZ19" s="84"/>
      <c r="GA19" s="84"/>
      <c r="GB19" s="84"/>
      <c r="GC19" s="84"/>
      <c r="GD19" s="84"/>
      <c r="GE19" s="84"/>
      <c r="GF19" s="84"/>
      <c r="GG19" s="84"/>
      <c r="GH19" s="84"/>
      <c r="GI19" s="84"/>
      <c r="GJ19" s="84"/>
      <c r="GK19" s="84"/>
      <c r="GL19" s="84"/>
      <c r="GM19" s="84"/>
      <c r="GN19" s="84"/>
      <c r="GO19" s="84"/>
      <c r="GP19" s="84"/>
      <c r="GQ19" s="84"/>
      <c r="GR19" s="84"/>
      <c r="GS19" s="84"/>
      <c r="GT19" s="84"/>
      <c r="GU19" s="84"/>
      <c r="GV19" s="84"/>
      <c r="GW19" s="84"/>
      <c r="GX19" s="84"/>
      <c r="GY19" s="84"/>
      <c r="GZ19" s="84"/>
      <c r="HA19" s="84"/>
      <c r="HB19" s="84"/>
      <c r="HC19" s="84"/>
      <c r="HD19" s="84"/>
      <c r="HE19" s="84"/>
      <c r="HF19" s="84"/>
      <c r="HG19" s="84"/>
      <c r="HH19" s="84"/>
      <c r="HI19" s="84"/>
      <c r="HJ19" s="84"/>
      <c r="HK19" s="84"/>
      <c r="HL19" s="84"/>
      <c r="HM19" s="84"/>
      <c r="HN19" s="84"/>
      <c r="HO19" s="84"/>
      <c r="HP19" s="84"/>
      <c r="HQ19" s="84"/>
      <c r="HR19" s="84"/>
      <c r="HS19" s="84"/>
      <c r="HT19" s="84"/>
      <c r="HU19" s="84"/>
      <c r="HV19" s="84"/>
      <c r="HW19" s="84"/>
      <c r="HX19" s="84"/>
      <c r="HY19" s="84"/>
      <c r="HZ19" s="84"/>
      <c r="IA19" s="84"/>
      <c r="IB19" s="84"/>
      <c r="IC19" s="84"/>
      <c r="ID19" s="84"/>
      <c r="IE19" s="84"/>
      <c r="IF19" s="84"/>
      <c r="IG19" s="84"/>
      <c r="IH19" s="84"/>
      <c r="II19" s="84"/>
      <c r="IJ19" s="84"/>
      <c r="IK19" s="84"/>
      <c r="IL19" s="84"/>
      <c r="IM19" s="84"/>
      <c r="IN19" s="84"/>
      <c r="IO19" s="84"/>
      <c r="IP19" s="84"/>
      <c r="IQ19" s="84"/>
      <c r="IR19" s="84"/>
      <c r="IS19" s="84"/>
      <c r="IT19" s="84"/>
      <c r="IU19" s="84"/>
      <c r="IV19" s="84"/>
      <c r="IW19" s="84"/>
      <c r="IX19" s="84"/>
      <c r="IY19" s="84"/>
      <c r="IZ19" s="84"/>
      <c r="JA19" s="84"/>
      <c r="JB19" s="84"/>
      <c r="JC19" s="84"/>
      <c r="JD19" s="84"/>
      <c r="JE19" s="84"/>
      <c r="JF19" s="84"/>
      <c r="JG19" s="84"/>
      <c r="JH19" s="84"/>
      <c r="JI19" s="84"/>
      <c r="JJ19" s="84"/>
      <c r="JK19" s="84"/>
      <c r="JL19" s="84"/>
      <c r="JM19" s="84"/>
      <c r="JN19" s="84"/>
      <c r="JO19" s="84"/>
      <c r="JP19" s="84"/>
      <c r="JQ19" s="84"/>
      <c r="JR19" s="84"/>
      <c r="JS19" s="84"/>
      <c r="JT19" s="84"/>
      <c r="JU19" s="84"/>
      <c r="JV19" s="84"/>
      <c r="JW19" s="84"/>
      <c r="JX19" s="84"/>
      <c r="JY19" s="84"/>
      <c r="JZ19" s="84"/>
      <c r="KA19" s="84"/>
      <c r="KB19" s="84"/>
      <c r="KC19" s="84"/>
      <c r="KD19" s="84"/>
      <c r="KE19" s="84"/>
      <c r="KF19" s="84"/>
      <c r="KG19" s="84"/>
      <c r="KH19" s="84"/>
      <c r="KI19" s="84"/>
      <c r="KJ19" s="84"/>
      <c r="KK19" s="84"/>
      <c r="KL19" s="84"/>
      <c r="KM19" s="84"/>
      <c r="KN19" s="84"/>
      <c r="KO19" s="84"/>
      <c r="KP19" s="84"/>
      <c r="KQ19" s="84"/>
      <c r="KR19" s="84"/>
      <c r="KS19" s="84"/>
      <c r="KT19" s="84"/>
      <c r="KU19" s="84"/>
      <c r="KV19" s="84"/>
      <c r="KW19" s="84"/>
      <c r="KX19" s="84"/>
      <c r="KY19" s="84"/>
      <c r="KZ19" s="84"/>
      <c r="LA19" s="84"/>
      <c r="LB19" s="84"/>
      <c r="LC19" s="84"/>
      <c r="LD19" s="84"/>
      <c r="LE19" s="84"/>
      <c r="LF19" s="84"/>
      <c r="LG19" s="84"/>
      <c r="LH19" s="84"/>
      <c r="LI19" s="84"/>
      <c r="LJ19" s="84"/>
      <c r="LK19" s="84"/>
      <c r="LL19" s="84"/>
      <c r="LM19" s="84"/>
      <c r="LN19" s="84"/>
      <c r="LO19" s="84"/>
      <c r="LP19" s="84"/>
      <c r="LQ19" s="84"/>
      <c r="LR19" s="84"/>
      <c r="LS19" s="84"/>
      <c r="LT19" s="84"/>
      <c r="LU19" s="84"/>
      <c r="LV19" s="84"/>
      <c r="LW19" s="84"/>
      <c r="LX19" s="84"/>
      <c r="LY19" s="84"/>
      <c r="LZ19" s="84"/>
      <c r="MA19" s="84"/>
      <c r="MB19" s="84"/>
      <c r="MC19" s="84"/>
      <c r="MD19" s="84"/>
      <c r="ME19" s="84"/>
      <c r="MF19" s="84"/>
      <c r="MG19" s="84"/>
      <c r="MH19" s="84"/>
      <c r="MI19" s="84"/>
      <c r="MJ19" s="84"/>
      <c r="MK19" s="84"/>
      <c r="ML19" s="84"/>
      <c r="MM19" s="84"/>
      <c r="MN19" s="84"/>
      <c r="MO19" s="84"/>
      <c r="MP19" s="84"/>
      <c r="MQ19" s="84"/>
      <c r="MR19" s="84"/>
      <c r="MS19" s="84"/>
      <c r="MT19" s="84"/>
      <c r="MU19" s="84"/>
      <c r="MV19" s="84"/>
      <c r="MW19" s="84"/>
      <c r="MX19" s="84"/>
      <c r="MY19" s="84"/>
      <c r="MZ19" s="84"/>
      <c r="NA19" s="84"/>
      <c r="NB19" s="84"/>
      <c r="NC19" s="84"/>
      <c r="ND19" s="84"/>
      <c r="NE19" s="84"/>
      <c r="NF19" s="84"/>
      <c r="NG19" s="84"/>
      <c r="NH19" s="84"/>
      <c r="NI19" s="84"/>
      <c r="NJ19" s="84"/>
      <c r="NK19" s="84"/>
      <c r="NL19" s="84"/>
      <c r="NM19" s="84"/>
      <c r="NN19" s="84"/>
      <c r="NO19" s="84"/>
      <c r="NP19" s="84"/>
      <c r="NQ19" s="84"/>
      <c r="NR19" s="84"/>
      <c r="NS19" s="84"/>
      <c r="NT19" s="84"/>
      <c r="NU19" s="84"/>
      <c r="NV19" s="84"/>
      <c r="NW19" s="84"/>
      <c r="NX19" s="84"/>
      <c r="NY19" s="84"/>
      <c r="NZ19" s="84"/>
      <c r="OA19" s="84"/>
      <c r="OB19" s="84"/>
      <c r="OC19" s="84"/>
      <c r="OD19" s="84"/>
      <c r="OE19" s="84"/>
      <c r="OF19" s="84"/>
      <c r="OG19" s="84"/>
      <c r="OH19" s="84"/>
      <c r="OI19" s="84"/>
      <c r="OJ19" s="84"/>
      <c r="OK19" s="84"/>
      <c r="OL19" s="84"/>
      <c r="OM19" s="84"/>
      <c r="ON19" s="84"/>
      <c r="OO19" s="84"/>
      <c r="OP19" s="84"/>
      <c r="OQ19" s="84"/>
      <c r="OR19" s="84"/>
      <c r="OS19" s="84"/>
      <c r="OT19" s="84"/>
      <c r="OU19" s="84"/>
      <c r="OV19" s="84"/>
      <c r="OW19" s="84"/>
      <c r="OX19" s="84"/>
      <c r="OY19" s="84"/>
      <c r="OZ19" s="84"/>
      <c r="PA19" s="84"/>
      <c r="PB19" s="84"/>
      <c r="PC19" s="84"/>
      <c r="PD19" s="84"/>
      <c r="PE19" s="84"/>
      <c r="PF19" s="84"/>
      <c r="PG19" s="84"/>
      <c r="PH19" s="84"/>
      <c r="PI19" s="84"/>
      <c r="PJ19" s="84"/>
      <c r="PK19" s="84"/>
      <c r="PL19" s="84"/>
      <c r="PM19" s="84"/>
      <c r="PN19" s="84"/>
      <c r="PO19" s="84"/>
      <c r="PP19" s="84"/>
      <c r="PQ19" s="84"/>
      <c r="PR19" s="84"/>
      <c r="PS19" s="84"/>
      <c r="PT19" s="84"/>
      <c r="PU19" s="84"/>
      <c r="PV19" s="84"/>
      <c r="PW19" s="84"/>
      <c r="PX19" s="84"/>
      <c r="PY19" s="84"/>
      <c r="PZ19" s="84"/>
      <c r="QA19" s="84"/>
      <c r="QB19" s="84"/>
      <c r="QC19" s="84"/>
    </row>
    <row r="20" spans="1:445" s="85" customFormat="1" ht="15.75" x14ac:dyDescent="0.25">
      <c r="A20" s="86">
        <v>14</v>
      </c>
      <c r="B20" s="337">
        <v>2541</v>
      </c>
      <c r="C20" s="327" t="s">
        <v>334</v>
      </c>
      <c r="D20" s="1180" t="s">
        <v>755</v>
      </c>
      <c r="E20" s="329" t="s">
        <v>113</v>
      </c>
      <c r="F20" s="330">
        <v>38478</v>
      </c>
      <c r="G20" s="331" t="s">
        <v>271</v>
      </c>
      <c r="H20" s="332" t="s">
        <v>261</v>
      </c>
      <c r="I20" s="333" t="s">
        <v>262</v>
      </c>
      <c r="J20" s="329" t="s">
        <v>335</v>
      </c>
      <c r="K20" s="334" t="s">
        <v>336</v>
      </c>
      <c r="L20" s="334" t="s">
        <v>337</v>
      </c>
      <c r="M20" s="334" t="s">
        <v>267</v>
      </c>
      <c r="N20" s="334" t="s">
        <v>276</v>
      </c>
      <c r="O20" s="329" t="s">
        <v>335</v>
      </c>
      <c r="P20" s="335" t="s">
        <v>288</v>
      </c>
      <c r="Q20" s="335" t="s">
        <v>112</v>
      </c>
      <c r="R20" s="335" t="s">
        <v>90</v>
      </c>
      <c r="S20" s="336" t="s">
        <v>114</v>
      </c>
      <c r="T20" s="89"/>
      <c r="U20" s="90"/>
      <c r="V20" s="90"/>
      <c r="W20" s="91"/>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c r="BD20" s="84"/>
      <c r="BE20" s="84"/>
      <c r="BF20" s="84"/>
      <c r="BG20" s="84"/>
      <c r="BH20" s="84"/>
      <c r="BI20" s="84"/>
      <c r="BJ20" s="84"/>
      <c r="BK20" s="84"/>
      <c r="BL20" s="84"/>
      <c r="BM20" s="84"/>
      <c r="BN20" s="84"/>
      <c r="BO20" s="84"/>
      <c r="BP20" s="84"/>
      <c r="BQ20" s="84"/>
      <c r="BR20" s="84"/>
      <c r="BS20" s="84"/>
      <c r="BT20" s="84"/>
      <c r="BU20" s="84"/>
      <c r="BV20" s="84"/>
      <c r="BW20" s="84"/>
      <c r="BX20" s="84"/>
      <c r="BY20" s="84"/>
      <c r="BZ20" s="84"/>
      <c r="CA20" s="84"/>
      <c r="CB20" s="84"/>
      <c r="CC20" s="84"/>
      <c r="CD20" s="84"/>
      <c r="CE20" s="84"/>
      <c r="CF20" s="84"/>
      <c r="CG20" s="84"/>
      <c r="CH20" s="84"/>
      <c r="CI20" s="84"/>
      <c r="CJ20" s="84"/>
      <c r="CK20" s="84"/>
      <c r="CL20" s="84"/>
      <c r="CM20" s="84"/>
      <c r="CN20" s="84"/>
      <c r="CO20" s="84"/>
      <c r="CP20" s="84"/>
      <c r="CQ20" s="84"/>
      <c r="CR20" s="84"/>
      <c r="CS20" s="84"/>
      <c r="CT20" s="84"/>
      <c r="CU20" s="84"/>
      <c r="CV20" s="84"/>
      <c r="CW20" s="84"/>
      <c r="CX20" s="84"/>
      <c r="CY20" s="84"/>
      <c r="CZ20" s="84"/>
      <c r="DA20" s="84"/>
      <c r="DB20" s="84"/>
      <c r="DC20" s="84"/>
      <c r="DD20" s="84"/>
      <c r="DE20" s="84"/>
      <c r="DF20" s="84"/>
      <c r="DG20" s="84"/>
      <c r="DH20" s="84"/>
      <c r="DI20" s="84"/>
      <c r="DJ20" s="84"/>
      <c r="DK20" s="84"/>
      <c r="DL20" s="84"/>
      <c r="DM20" s="84"/>
      <c r="DN20" s="84"/>
      <c r="DO20" s="84"/>
      <c r="DP20" s="84"/>
      <c r="DQ20" s="84"/>
      <c r="DR20" s="84"/>
      <c r="DS20" s="84"/>
      <c r="DT20" s="84"/>
      <c r="DU20" s="84"/>
      <c r="DV20" s="84"/>
      <c r="DW20" s="84"/>
      <c r="DX20" s="84"/>
      <c r="DY20" s="84"/>
      <c r="DZ20" s="84"/>
      <c r="EA20" s="84"/>
      <c r="EB20" s="84"/>
      <c r="EC20" s="84"/>
      <c r="ED20" s="84"/>
      <c r="EE20" s="84"/>
      <c r="EF20" s="84"/>
      <c r="EG20" s="84"/>
      <c r="EH20" s="84"/>
      <c r="EI20" s="84"/>
      <c r="EJ20" s="84"/>
      <c r="EK20" s="84"/>
      <c r="EL20" s="84"/>
      <c r="EM20" s="84"/>
      <c r="EN20" s="84"/>
      <c r="EO20" s="84"/>
      <c r="EP20" s="84"/>
      <c r="EQ20" s="84"/>
      <c r="ER20" s="84"/>
      <c r="ES20" s="84"/>
      <c r="ET20" s="84"/>
      <c r="EU20" s="84"/>
      <c r="EV20" s="84"/>
      <c r="EW20" s="84"/>
      <c r="EX20" s="84"/>
      <c r="EY20" s="84"/>
      <c r="EZ20" s="84"/>
      <c r="FA20" s="84"/>
      <c r="FB20" s="84"/>
      <c r="FC20" s="84"/>
      <c r="FD20" s="84"/>
      <c r="FE20" s="84"/>
      <c r="FF20" s="84"/>
      <c r="FG20" s="84"/>
      <c r="FH20" s="84"/>
      <c r="FI20" s="84"/>
      <c r="FJ20" s="84"/>
      <c r="FK20" s="84"/>
      <c r="FL20" s="84"/>
      <c r="FM20" s="84"/>
      <c r="FN20" s="84"/>
      <c r="FO20" s="84"/>
      <c r="FP20" s="84"/>
      <c r="FQ20" s="84"/>
      <c r="FR20" s="84"/>
      <c r="FS20" s="84"/>
      <c r="FT20" s="84"/>
      <c r="FU20" s="84"/>
      <c r="FV20" s="84"/>
      <c r="FW20" s="84"/>
      <c r="FX20" s="84"/>
      <c r="FY20" s="84"/>
      <c r="FZ20" s="84"/>
      <c r="GA20" s="84"/>
      <c r="GB20" s="84"/>
      <c r="GC20" s="84"/>
      <c r="GD20" s="84"/>
      <c r="GE20" s="84"/>
      <c r="GF20" s="84"/>
      <c r="GG20" s="84"/>
      <c r="GH20" s="84"/>
      <c r="GI20" s="84"/>
      <c r="GJ20" s="84"/>
      <c r="GK20" s="84"/>
      <c r="GL20" s="84"/>
      <c r="GM20" s="84"/>
      <c r="GN20" s="84"/>
      <c r="GO20" s="84"/>
      <c r="GP20" s="84"/>
      <c r="GQ20" s="84"/>
      <c r="GR20" s="84"/>
      <c r="GS20" s="84"/>
      <c r="GT20" s="84"/>
      <c r="GU20" s="84"/>
      <c r="GV20" s="84"/>
      <c r="GW20" s="84"/>
      <c r="GX20" s="84"/>
      <c r="GY20" s="84"/>
      <c r="GZ20" s="84"/>
      <c r="HA20" s="84"/>
      <c r="HB20" s="84"/>
      <c r="HC20" s="84"/>
      <c r="HD20" s="84"/>
      <c r="HE20" s="84"/>
      <c r="HF20" s="84"/>
      <c r="HG20" s="84"/>
      <c r="HH20" s="84"/>
      <c r="HI20" s="84"/>
      <c r="HJ20" s="84"/>
      <c r="HK20" s="84"/>
      <c r="HL20" s="84"/>
      <c r="HM20" s="84"/>
      <c r="HN20" s="84"/>
      <c r="HO20" s="84"/>
      <c r="HP20" s="84"/>
      <c r="HQ20" s="84"/>
      <c r="HR20" s="84"/>
      <c r="HS20" s="84"/>
      <c r="HT20" s="84"/>
      <c r="HU20" s="84"/>
      <c r="HV20" s="84"/>
      <c r="HW20" s="84"/>
      <c r="HX20" s="84"/>
      <c r="HY20" s="84"/>
      <c r="HZ20" s="84"/>
      <c r="IA20" s="84"/>
      <c r="IB20" s="84"/>
      <c r="IC20" s="84"/>
      <c r="ID20" s="84"/>
      <c r="IE20" s="84"/>
      <c r="IF20" s="84"/>
      <c r="IG20" s="84"/>
      <c r="IH20" s="84"/>
      <c r="II20" s="84"/>
      <c r="IJ20" s="84"/>
      <c r="IK20" s="84"/>
      <c r="IL20" s="84"/>
      <c r="IM20" s="84"/>
      <c r="IN20" s="84"/>
      <c r="IO20" s="84"/>
      <c r="IP20" s="84"/>
      <c r="IQ20" s="84"/>
      <c r="IR20" s="84"/>
      <c r="IS20" s="84"/>
      <c r="IT20" s="84"/>
      <c r="IU20" s="84"/>
      <c r="IV20" s="84"/>
      <c r="IW20" s="84"/>
      <c r="IX20" s="84"/>
      <c r="IY20" s="84"/>
      <c r="IZ20" s="84"/>
      <c r="JA20" s="84"/>
      <c r="JB20" s="84"/>
      <c r="JC20" s="84"/>
      <c r="JD20" s="84"/>
      <c r="JE20" s="84"/>
      <c r="JF20" s="84"/>
      <c r="JG20" s="84"/>
      <c r="JH20" s="84"/>
      <c r="JI20" s="84"/>
      <c r="JJ20" s="84"/>
      <c r="JK20" s="84"/>
      <c r="JL20" s="84"/>
      <c r="JM20" s="84"/>
      <c r="JN20" s="84"/>
      <c r="JO20" s="84"/>
      <c r="JP20" s="84"/>
      <c r="JQ20" s="84"/>
      <c r="JR20" s="84"/>
      <c r="JS20" s="84"/>
      <c r="JT20" s="84"/>
      <c r="JU20" s="84"/>
      <c r="JV20" s="84"/>
      <c r="JW20" s="84"/>
      <c r="JX20" s="84"/>
      <c r="JY20" s="84"/>
      <c r="JZ20" s="84"/>
      <c r="KA20" s="84"/>
      <c r="KB20" s="84"/>
      <c r="KC20" s="84"/>
      <c r="KD20" s="84"/>
      <c r="KE20" s="84"/>
      <c r="KF20" s="84"/>
      <c r="KG20" s="84"/>
      <c r="KH20" s="84"/>
      <c r="KI20" s="84"/>
      <c r="KJ20" s="84"/>
      <c r="KK20" s="84"/>
      <c r="KL20" s="84"/>
      <c r="KM20" s="84"/>
      <c r="KN20" s="84"/>
      <c r="KO20" s="84"/>
      <c r="KP20" s="84"/>
      <c r="KQ20" s="84"/>
      <c r="KR20" s="84"/>
      <c r="KS20" s="84"/>
      <c r="KT20" s="84"/>
      <c r="KU20" s="84"/>
      <c r="KV20" s="84"/>
      <c r="KW20" s="84"/>
      <c r="KX20" s="84"/>
      <c r="KY20" s="84"/>
      <c r="KZ20" s="84"/>
      <c r="LA20" s="84"/>
      <c r="LB20" s="84"/>
      <c r="LC20" s="84"/>
      <c r="LD20" s="84"/>
      <c r="LE20" s="84"/>
      <c r="LF20" s="84"/>
      <c r="LG20" s="84"/>
      <c r="LH20" s="84"/>
      <c r="LI20" s="84"/>
      <c r="LJ20" s="84"/>
      <c r="LK20" s="84"/>
      <c r="LL20" s="84"/>
      <c r="LM20" s="84"/>
      <c r="LN20" s="84"/>
      <c r="LO20" s="84"/>
      <c r="LP20" s="84"/>
      <c r="LQ20" s="84"/>
      <c r="LR20" s="84"/>
      <c r="LS20" s="84"/>
      <c r="LT20" s="84"/>
      <c r="LU20" s="84"/>
      <c r="LV20" s="84"/>
      <c r="LW20" s="84"/>
      <c r="LX20" s="84"/>
      <c r="LY20" s="84"/>
      <c r="LZ20" s="84"/>
      <c r="MA20" s="84"/>
      <c r="MB20" s="84"/>
      <c r="MC20" s="84"/>
      <c r="MD20" s="84"/>
      <c r="ME20" s="84"/>
      <c r="MF20" s="84"/>
      <c r="MG20" s="84"/>
      <c r="MH20" s="84"/>
      <c r="MI20" s="84"/>
      <c r="MJ20" s="84"/>
      <c r="MK20" s="84"/>
      <c r="ML20" s="84"/>
      <c r="MM20" s="84"/>
      <c r="MN20" s="84"/>
      <c r="MO20" s="84"/>
      <c r="MP20" s="84"/>
      <c r="MQ20" s="84"/>
      <c r="MR20" s="84"/>
      <c r="MS20" s="84"/>
      <c r="MT20" s="84"/>
      <c r="MU20" s="84"/>
      <c r="MV20" s="84"/>
      <c r="MW20" s="84"/>
      <c r="MX20" s="84"/>
      <c r="MY20" s="84"/>
      <c r="MZ20" s="84"/>
      <c r="NA20" s="84"/>
      <c r="NB20" s="84"/>
      <c r="NC20" s="84"/>
      <c r="ND20" s="84"/>
      <c r="NE20" s="84"/>
      <c r="NF20" s="84"/>
      <c r="NG20" s="84"/>
      <c r="NH20" s="84"/>
      <c r="NI20" s="84"/>
      <c r="NJ20" s="84"/>
      <c r="NK20" s="84"/>
      <c r="NL20" s="84"/>
      <c r="NM20" s="84"/>
      <c r="NN20" s="84"/>
      <c r="NO20" s="84"/>
      <c r="NP20" s="84"/>
      <c r="NQ20" s="84"/>
      <c r="NR20" s="84"/>
      <c r="NS20" s="84"/>
      <c r="NT20" s="84"/>
      <c r="NU20" s="84"/>
      <c r="NV20" s="84"/>
      <c r="NW20" s="84"/>
      <c r="NX20" s="84"/>
      <c r="NY20" s="84"/>
      <c r="NZ20" s="84"/>
      <c r="OA20" s="84"/>
      <c r="OB20" s="84"/>
      <c r="OC20" s="84"/>
      <c r="OD20" s="84"/>
      <c r="OE20" s="84"/>
      <c r="OF20" s="84"/>
      <c r="OG20" s="84"/>
      <c r="OH20" s="84"/>
      <c r="OI20" s="84"/>
      <c r="OJ20" s="84"/>
      <c r="OK20" s="84"/>
      <c r="OL20" s="84"/>
      <c r="OM20" s="84"/>
      <c r="ON20" s="84"/>
      <c r="OO20" s="84"/>
      <c r="OP20" s="84"/>
      <c r="OQ20" s="84"/>
      <c r="OR20" s="84"/>
      <c r="OS20" s="84"/>
      <c r="OT20" s="84"/>
      <c r="OU20" s="84"/>
      <c r="OV20" s="84"/>
      <c r="OW20" s="84"/>
      <c r="OX20" s="84"/>
      <c r="OY20" s="84"/>
      <c r="OZ20" s="84"/>
      <c r="PA20" s="84"/>
      <c r="PB20" s="84"/>
      <c r="PC20" s="84"/>
      <c r="PD20" s="84"/>
      <c r="PE20" s="84"/>
      <c r="PF20" s="84"/>
      <c r="PG20" s="84"/>
      <c r="PH20" s="84"/>
      <c r="PI20" s="84"/>
      <c r="PJ20" s="84"/>
      <c r="PK20" s="84"/>
      <c r="PL20" s="84"/>
      <c r="PM20" s="84"/>
      <c r="PN20" s="84"/>
      <c r="PO20" s="84"/>
      <c r="PP20" s="84"/>
      <c r="PQ20" s="84"/>
      <c r="PR20" s="84"/>
      <c r="PS20" s="84"/>
      <c r="PT20" s="84"/>
      <c r="PU20" s="84"/>
      <c r="PV20" s="84"/>
      <c r="PW20" s="84"/>
      <c r="PX20" s="84"/>
      <c r="PY20" s="84"/>
      <c r="PZ20" s="84"/>
      <c r="QA20" s="84"/>
      <c r="QB20" s="84"/>
      <c r="QC20" s="84"/>
    </row>
    <row r="21" spans="1:445" s="85" customFormat="1" ht="15.75" x14ac:dyDescent="0.25">
      <c r="A21" s="92">
        <v>15</v>
      </c>
      <c r="B21" s="337">
        <v>2542</v>
      </c>
      <c r="C21" s="327" t="s">
        <v>338</v>
      </c>
      <c r="D21" s="1180" t="s">
        <v>756</v>
      </c>
      <c r="E21" s="329" t="s">
        <v>113</v>
      </c>
      <c r="F21" s="330">
        <v>38470</v>
      </c>
      <c r="G21" s="331" t="s">
        <v>271</v>
      </c>
      <c r="H21" s="332" t="s">
        <v>261</v>
      </c>
      <c r="I21" s="333" t="s">
        <v>262</v>
      </c>
      <c r="J21" s="329" t="s">
        <v>339</v>
      </c>
      <c r="K21" s="334" t="s">
        <v>340</v>
      </c>
      <c r="L21" s="334" t="s">
        <v>341</v>
      </c>
      <c r="M21" s="341" t="s">
        <v>315</v>
      </c>
      <c r="N21" s="334" t="s">
        <v>276</v>
      </c>
      <c r="O21" s="329" t="s">
        <v>339</v>
      </c>
      <c r="P21" s="335" t="s">
        <v>342</v>
      </c>
      <c r="Q21" s="335" t="s">
        <v>112</v>
      </c>
      <c r="R21" s="335" t="s">
        <v>90</v>
      </c>
      <c r="S21" s="336" t="s">
        <v>114</v>
      </c>
      <c r="T21" s="89"/>
      <c r="U21" s="90"/>
      <c r="V21" s="90"/>
      <c r="W21" s="91"/>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84"/>
      <c r="AW21" s="84"/>
      <c r="AX21" s="84"/>
      <c r="AY21" s="84"/>
      <c r="AZ21" s="84"/>
      <c r="BA21" s="84"/>
      <c r="BB21" s="84"/>
      <c r="BC21" s="84"/>
      <c r="BD21" s="84"/>
      <c r="BE21" s="84"/>
      <c r="BF21" s="84"/>
      <c r="BG21" s="84"/>
      <c r="BH21" s="84"/>
      <c r="BI21" s="84"/>
      <c r="BJ21" s="84"/>
      <c r="BK21" s="84"/>
      <c r="BL21" s="84"/>
      <c r="BM21" s="84"/>
      <c r="BN21" s="84"/>
      <c r="BO21" s="84"/>
      <c r="BP21" s="84"/>
      <c r="BQ21" s="84"/>
      <c r="BR21" s="84"/>
      <c r="BS21" s="84"/>
      <c r="BT21" s="84"/>
      <c r="BU21" s="84"/>
      <c r="BV21" s="84"/>
      <c r="BW21" s="84"/>
      <c r="BX21" s="84"/>
      <c r="BY21" s="84"/>
      <c r="BZ21" s="84"/>
      <c r="CA21" s="84"/>
      <c r="CB21" s="84"/>
      <c r="CC21" s="84"/>
      <c r="CD21" s="84"/>
      <c r="CE21" s="84"/>
      <c r="CF21" s="84"/>
      <c r="CG21" s="84"/>
      <c r="CH21" s="84"/>
      <c r="CI21" s="84"/>
      <c r="CJ21" s="84"/>
      <c r="CK21" s="84"/>
      <c r="CL21" s="84"/>
      <c r="CM21" s="84"/>
      <c r="CN21" s="84"/>
      <c r="CO21" s="84"/>
      <c r="CP21" s="84"/>
      <c r="CQ21" s="84"/>
      <c r="CR21" s="84"/>
      <c r="CS21" s="84"/>
      <c r="CT21" s="84"/>
      <c r="CU21" s="84"/>
      <c r="CV21" s="84"/>
      <c r="CW21" s="84"/>
      <c r="CX21" s="84"/>
      <c r="CY21" s="84"/>
      <c r="CZ21" s="84"/>
      <c r="DA21" s="84"/>
      <c r="DB21" s="84"/>
      <c r="DC21" s="84"/>
      <c r="DD21" s="84"/>
      <c r="DE21" s="84"/>
      <c r="DF21" s="84"/>
      <c r="DG21" s="84"/>
      <c r="DH21" s="84"/>
      <c r="DI21" s="84"/>
      <c r="DJ21" s="84"/>
      <c r="DK21" s="84"/>
      <c r="DL21" s="84"/>
      <c r="DM21" s="84"/>
      <c r="DN21" s="84"/>
      <c r="DO21" s="84"/>
      <c r="DP21" s="84"/>
      <c r="DQ21" s="84"/>
      <c r="DR21" s="84"/>
      <c r="DS21" s="84"/>
      <c r="DT21" s="84"/>
      <c r="DU21" s="84"/>
      <c r="DV21" s="84"/>
      <c r="DW21" s="84"/>
      <c r="DX21" s="84"/>
      <c r="DY21" s="84"/>
      <c r="DZ21" s="84"/>
      <c r="EA21" s="84"/>
      <c r="EB21" s="84"/>
      <c r="EC21" s="84"/>
      <c r="ED21" s="84"/>
      <c r="EE21" s="84"/>
      <c r="EF21" s="84"/>
      <c r="EG21" s="84"/>
      <c r="EH21" s="84"/>
      <c r="EI21" s="84"/>
      <c r="EJ21" s="84"/>
      <c r="EK21" s="84"/>
      <c r="EL21" s="84"/>
      <c r="EM21" s="84"/>
      <c r="EN21" s="84"/>
      <c r="EO21" s="84"/>
      <c r="EP21" s="84"/>
      <c r="EQ21" s="84"/>
      <c r="ER21" s="84"/>
      <c r="ES21" s="84"/>
      <c r="ET21" s="84"/>
      <c r="EU21" s="84"/>
      <c r="EV21" s="84"/>
      <c r="EW21" s="84"/>
      <c r="EX21" s="84"/>
      <c r="EY21" s="84"/>
      <c r="EZ21" s="84"/>
      <c r="FA21" s="84"/>
      <c r="FB21" s="84"/>
      <c r="FC21" s="84"/>
      <c r="FD21" s="84"/>
      <c r="FE21" s="84"/>
      <c r="FF21" s="84"/>
      <c r="FG21" s="84"/>
      <c r="FH21" s="84"/>
      <c r="FI21" s="84"/>
      <c r="FJ21" s="84"/>
      <c r="FK21" s="84"/>
      <c r="FL21" s="84"/>
      <c r="FM21" s="84"/>
      <c r="FN21" s="84"/>
      <c r="FO21" s="84"/>
      <c r="FP21" s="84"/>
      <c r="FQ21" s="84"/>
      <c r="FR21" s="84"/>
      <c r="FS21" s="84"/>
      <c r="FT21" s="84"/>
      <c r="FU21" s="84"/>
      <c r="FV21" s="84"/>
      <c r="FW21" s="84"/>
      <c r="FX21" s="84"/>
      <c r="FY21" s="84"/>
      <c r="FZ21" s="84"/>
      <c r="GA21" s="84"/>
      <c r="GB21" s="84"/>
      <c r="GC21" s="84"/>
      <c r="GD21" s="84"/>
      <c r="GE21" s="84"/>
      <c r="GF21" s="84"/>
      <c r="GG21" s="84"/>
      <c r="GH21" s="84"/>
      <c r="GI21" s="84"/>
      <c r="GJ21" s="84"/>
      <c r="GK21" s="84"/>
      <c r="GL21" s="84"/>
      <c r="GM21" s="84"/>
      <c r="GN21" s="84"/>
      <c r="GO21" s="84"/>
      <c r="GP21" s="84"/>
      <c r="GQ21" s="84"/>
      <c r="GR21" s="84"/>
      <c r="GS21" s="84"/>
      <c r="GT21" s="84"/>
      <c r="GU21" s="84"/>
      <c r="GV21" s="84"/>
      <c r="GW21" s="84"/>
      <c r="GX21" s="84"/>
      <c r="GY21" s="84"/>
      <c r="GZ21" s="84"/>
      <c r="HA21" s="84"/>
      <c r="HB21" s="84"/>
      <c r="HC21" s="84"/>
      <c r="HD21" s="84"/>
      <c r="HE21" s="84"/>
      <c r="HF21" s="84"/>
      <c r="HG21" s="84"/>
      <c r="HH21" s="84"/>
      <c r="HI21" s="84"/>
      <c r="HJ21" s="84"/>
      <c r="HK21" s="84"/>
      <c r="HL21" s="84"/>
      <c r="HM21" s="84"/>
      <c r="HN21" s="84"/>
      <c r="HO21" s="84"/>
      <c r="HP21" s="84"/>
      <c r="HQ21" s="84"/>
      <c r="HR21" s="84"/>
      <c r="HS21" s="84"/>
      <c r="HT21" s="84"/>
      <c r="HU21" s="84"/>
      <c r="HV21" s="84"/>
      <c r="HW21" s="84"/>
      <c r="HX21" s="84"/>
      <c r="HY21" s="84"/>
      <c r="HZ21" s="84"/>
      <c r="IA21" s="84"/>
      <c r="IB21" s="84"/>
      <c r="IC21" s="84"/>
      <c r="ID21" s="84"/>
      <c r="IE21" s="84"/>
      <c r="IF21" s="84"/>
      <c r="IG21" s="84"/>
      <c r="IH21" s="84"/>
      <c r="II21" s="84"/>
      <c r="IJ21" s="84"/>
      <c r="IK21" s="84"/>
      <c r="IL21" s="84"/>
      <c r="IM21" s="84"/>
      <c r="IN21" s="84"/>
      <c r="IO21" s="84"/>
      <c r="IP21" s="84"/>
      <c r="IQ21" s="84"/>
      <c r="IR21" s="84"/>
      <c r="IS21" s="84"/>
      <c r="IT21" s="84"/>
      <c r="IU21" s="84"/>
      <c r="IV21" s="84"/>
      <c r="IW21" s="84"/>
      <c r="IX21" s="84"/>
      <c r="IY21" s="84"/>
      <c r="IZ21" s="84"/>
      <c r="JA21" s="84"/>
      <c r="JB21" s="84"/>
      <c r="JC21" s="84"/>
      <c r="JD21" s="84"/>
      <c r="JE21" s="84"/>
      <c r="JF21" s="84"/>
      <c r="JG21" s="84"/>
      <c r="JH21" s="84"/>
      <c r="JI21" s="84"/>
      <c r="JJ21" s="84"/>
      <c r="JK21" s="84"/>
      <c r="JL21" s="84"/>
      <c r="JM21" s="84"/>
      <c r="JN21" s="84"/>
      <c r="JO21" s="84"/>
      <c r="JP21" s="84"/>
      <c r="JQ21" s="84"/>
      <c r="JR21" s="84"/>
      <c r="JS21" s="84"/>
      <c r="JT21" s="84"/>
      <c r="JU21" s="84"/>
      <c r="JV21" s="84"/>
      <c r="JW21" s="84"/>
      <c r="JX21" s="84"/>
      <c r="JY21" s="84"/>
      <c r="JZ21" s="84"/>
      <c r="KA21" s="84"/>
      <c r="KB21" s="84"/>
      <c r="KC21" s="84"/>
      <c r="KD21" s="84"/>
      <c r="KE21" s="84"/>
      <c r="KF21" s="84"/>
      <c r="KG21" s="84"/>
      <c r="KH21" s="84"/>
      <c r="KI21" s="84"/>
      <c r="KJ21" s="84"/>
      <c r="KK21" s="84"/>
      <c r="KL21" s="84"/>
      <c r="KM21" s="84"/>
      <c r="KN21" s="84"/>
      <c r="KO21" s="84"/>
      <c r="KP21" s="84"/>
      <c r="KQ21" s="84"/>
      <c r="KR21" s="84"/>
      <c r="KS21" s="84"/>
      <c r="KT21" s="84"/>
      <c r="KU21" s="84"/>
      <c r="KV21" s="84"/>
      <c r="KW21" s="84"/>
      <c r="KX21" s="84"/>
      <c r="KY21" s="84"/>
      <c r="KZ21" s="84"/>
      <c r="LA21" s="84"/>
      <c r="LB21" s="84"/>
      <c r="LC21" s="84"/>
      <c r="LD21" s="84"/>
      <c r="LE21" s="84"/>
      <c r="LF21" s="84"/>
      <c r="LG21" s="84"/>
      <c r="LH21" s="84"/>
      <c r="LI21" s="84"/>
      <c r="LJ21" s="84"/>
      <c r="LK21" s="84"/>
      <c r="LL21" s="84"/>
      <c r="LM21" s="84"/>
      <c r="LN21" s="84"/>
      <c r="LO21" s="84"/>
      <c r="LP21" s="84"/>
      <c r="LQ21" s="84"/>
      <c r="LR21" s="84"/>
      <c r="LS21" s="84"/>
      <c r="LT21" s="84"/>
      <c r="LU21" s="84"/>
      <c r="LV21" s="84"/>
      <c r="LW21" s="84"/>
      <c r="LX21" s="84"/>
      <c r="LY21" s="84"/>
      <c r="LZ21" s="84"/>
      <c r="MA21" s="84"/>
      <c r="MB21" s="84"/>
      <c r="MC21" s="84"/>
      <c r="MD21" s="84"/>
      <c r="ME21" s="84"/>
      <c r="MF21" s="84"/>
      <c r="MG21" s="84"/>
      <c r="MH21" s="84"/>
      <c r="MI21" s="84"/>
      <c r="MJ21" s="84"/>
      <c r="MK21" s="84"/>
      <c r="ML21" s="84"/>
      <c r="MM21" s="84"/>
      <c r="MN21" s="84"/>
      <c r="MO21" s="84"/>
      <c r="MP21" s="84"/>
      <c r="MQ21" s="84"/>
      <c r="MR21" s="84"/>
      <c r="MS21" s="84"/>
      <c r="MT21" s="84"/>
      <c r="MU21" s="84"/>
      <c r="MV21" s="84"/>
      <c r="MW21" s="84"/>
      <c r="MX21" s="84"/>
      <c r="MY21" s="84"/>
      <c r="MZ21" s="84"/>
      <c r="NA21" s="84"/>
      <c r="NB21" s="84"/>
      <c r="NC21" s="84"/>
      <c r="ND21" s="84"/>
      <c r="NE21" s="84"/>
      <c r="NF21" s="84"/>
      <c r="NG21" s="84"/>
      <c r="NH21" s="84"/>
      <c r="NI21" s="84"/>
      <c r="NJ21" s="84"/>
      <c r="NK21" s="84"/>
      <c r="NL21" s="84"/>
      <c r="NM21" s="84"/>
      <c r="NN21" s="84"/>
      <c r="NO21" s="84"/>
      <c r="NP21" s="84"/>
      <c r="NQ21" s="84"/>
      <c r="NR21" s="84"/>
      <c r="NS21" s="84"/>
      <c r="NT21" s="84"/>
      <c r="NU21" s="84"/>
      <c r="NV21" s="84"/>
      <c r="NW21" s="84"/>
      <c r="NX21" s="84"/>
      <c r="NY21" s="84"/>
      <c r="NZ21" s="84"/>
      <c r="OA21" s="84"/>
      <c r="OB21" s="84"/>
      <c r="OC21" s="84"/>
      <c r="OD21" s="84"/>
      <c r="OE21" s="84"/>
      <c r="OF21" s="84"/>
      <c r="OG21" s="84"/>
      <c r="OH21" s="84"/>
      <c r="OI21" s="84"/>
      <c r="OJ21" s="84"/>
      <c r="OK21" s="84"/>
      <c r="OL21" s="84"/>
      <c r="OM21" s="84"/>
      <c r="ON21" s="84"/>
      <c r="OO21" s="84"/>
      <c r="OP21" s="84"/>
      <c r="OQ21" s="84"/>
      <c r="OR21" s="84"/>
      <c r="OS21" s="84"/>
      <c r="OT21" s="84"/>
      <c r="OU21" s="84"/>
      <c r="OV21" s="84"/>
      <c r="OW21" s="84"/>
      <c r="OX21" s="84"/>
      <c r="OY21" s="84"/>
      <c r="OZ21" s="84"/>
      <c r="PA21" s="84"/>
      <c r="PB21" s="84"/>
      <c r="PC21" s="84"/>
      <c r="PD21" s="84"/>
      <c r="PE21" s="84"/>
      <c r="PF21" s="84"/>
      <c r="PG21" s="84"/>
      <c r="PH21" s="84"/>
      <c r="PI21" s="84"/>
      <c r="PJ21" s="84"/>
      <c r="PK21" s="84"/>
      <c r="PL21" s="84"/>
      <c r="PM21" s="84"/>
      <c r="PN21" s="84"/>
      <c r="PO21" s="84"/>
      <c r="PP21" s="84"/>
      <c r="PQ21" s="84"/>
      <c r="PR21" s="84"/>
      <c r="PS21" s="84"/>
      <c r="PT21" s="84"/>
      <c r="PU21" s="84"/>
      <c r="PV21" s="84"/>
      <c r="PW21" s="84"/>
      <c r="PX21" s="84"/>
      <c r="PY21" s="84"/>
      <c r="PZ21" s="84"/>
      <c r="QA21" s="84"/>
      <c r="QB21" s="84"/>
      <c r="QC21" s="84"/>
    </row>
    <row r="22" spans="1:445" s="85" customFormat="1" ht="15.75" x14ac:dyDescent="0.25">
      <c r="A22" s="86">
        <v>16</v>
      </c>
      <c r="B22" s="337">
        <v>2544</v>
      </c>
      <c r="C22" s="327" t="s">
        <v>343</v>
      </c>
      <c r="D22" s="1180" t="s">
        <v>757</v>
      </c>
      <c r="E22" s="329" t="s">
        <v>113</v>
      </c>
      <c r="F22" s="330">
        <v>38111</v>
      </c>
      <c r="G22" s="331" t="s">
        <v>260</v>
      </c>
      <c r="H22" s="332" t="s">
        <v>261</v>
      </c>
      <c r="I22" s="333" t="s">
        <v>262</v>
      </c>
      <c r="J22" s="329" t="s">
        <v>344</v>
      </c>
      <c r="K22" s="334" t="s">
        <v>345</v>
      </c>
      <c r="L22" s="334" t="s">
        <v>346</v>
      </c>
      <c r="M22" s="334" t="s">
        <v>267</v>
      </c>
      <c r="N22" s="334" t="s">
        <v>267</v>
      </c>
      <c r="O22" s="329" t="s">
        <v>344</v>
      </c>
      <c r="P22" s="335" t="s">
        <v>333</v>
      </c>
      <c r="Q22" s="335" t="s">
        <v>269</v>
      </c>
      <c r="R22" s="335" t="s">
        <v>90</v>
      </c>
      <c r="S22" s="336" t="s">
        <v>114</v>
      </c>
      <c r="T22" s="89"/>
      <c r="U22" s="90"/>
      <c r="V22" s="90"/>
      <c r="W22" s="91"/>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84"/>
      <c r="AW22" s="84"/>
      <c r="AX22" s="84"/>
      <c r="AY22" s="84"/>
      <c r="AZ22" s="84"/>
      <c r="BA22" s="84"/>
      <c r="BB22" s="84"/>
      <c r="BC22" s="84"/>
      <c r="BD22" s="84"/>
      <c r="BE22" s="84"/>
      <c r="BF22" s="84"/>
      <c r="BG22" s="84"/>
      <c r="BH22" s="84"/>
      <c r="BI22" s="84"/>
      <c r="BJ22" s="84"/>
      <c r="BK22" s="84"/>
      <c r="BL22" s="84"/>
      <c r="BM22" s="84"/>
      <c r="BN22" s="84"/>
      <c r="BO22" s="84"/>
      <c r="BP22" s="84"/>
      <c r="BQ22" s="84"/>
      <c r="BR22" s="84"/>
      <c r="BS22" s="84"/>
      <c r="BT22" s="84"/>
      <c r="BU22" s="84"/>
      <c r="BV22" s="84"/>
      <c r="BW22" s="84"/>
      <c r="BX22" s="84"/>
      <c r="BY22" s="84"/>
      <c r="BZ22" s="84"/>
      <c r="CA22" s="84"/>
      <c r="CB22" s="84"/>
      <c r="CC22" s="84"/>
      <c r="CD22" s="84"/>
      <c r="CE22" s="84"/>
      <c r="CF22" s="84"/>
      <c r="CG22" s="84"/>
      <c r="CH22" s="84"/>
      <c r="CI22" s="84"/>
      <c r="CJ22" s="84"/>
      <c r="CK22" s="84"/>
      <c r="CL22" s="84"/>
      <c r="CM22" s="84"/>
      <c r="CN22" s="84"/>
      <c r="CO22" s="84"/>
      <c r="CP22" s="84"/>
      <c r="CQ22" s="84"/>
      <c r="CR22" s="84"/>
      <c r="CS22" s="84"/>
      <c r="CT22" s="84"/>
      <c r="CU22" s="84"/>
      <c r="CV22" s="84"/>
      <c r="CW22" s="84"/>
      <c r="CX22" s="84"/>
      <c r="CY22" s="84"/>
      <c r="CZ22" s="84"/>
      <c r="DA22" s="84"/>
      <c r="DB22" s="84"/>
      <c r="DC22" s="84"/>
      <c r="DD22" s="84"/>
      <c r="DE22" s="84"/>
      <c r="DF22" s="84"/>
      <c r="DG22" s="84"/>
      <c r="DH22" s="84"/>
      <c r="DI22" s="84"/>
      <c r="DJ22" s="84"/>
      <c r="DK22" s="84"/>
      <c r="DL22" s="84"/>
      <c r="DM22" s="84"/>
      <c r="DN22" s="84"/>
      <c r="DO22" s="84"/>
      <c r="DP22" s="84"/>
      <c r="DQ22" s="84"/>
      <c r="DR22" s="84"/>
      <c r="DS22" s="84"/>
      <c r="DT22" s="84"/>
      <c r="DU22" s="84"/>
      <c r="DV22" s="84"/>
      <c r="DW22" s="84"/>
      <c r="DX22" s="84"/>
      <c r="DY22" s="84"/>
      <c r="DZ22" s="84"/>
      <c r="EA22" s="84"/>
      <c r="EB22" s="84"/>
      <c r="EC22" s="84"/>
      <c r="ED22" s="84"/>
      <c r="EE22" s="84"/>
      <c r="EF22" s="84"/>
      <c r="EG22" s="84"/>
      <c r="EH22" s="84"/>
      <c r="EI22" s="84"/>
      <c r="EJ22" s="84"/>
      <c r="EK22" s="84"/>
      <c r="EL22" s="84"/>
      <c r="EM22" s="84"/>
      <c r="EN22" s="84"/>
      <c r="EO22" s="84"/>
      <c r="EP22" s="84"/>
      <c r="EQ22" s="84"/>
      <c r="ER22" s="84"/>
      <c r="ES22" s="84"/>
      <c r="ET22" s="84"/>
      <c r="EU22" s="84"/>
      <c r="EV22" s="84"/>
      <c r="EW22" s="84"/>
      <c r="EX22" s="84"/>
      <c r="EY22" s="84"/>
      <c r="EZ22" s="84"/>
      <c r="FA22" s="84"/>
      <c r="FB22" s="84"/>
      <c r="FC22" s="84"/>
      <c r="FD22" s="84"/>
      <c r="FE22" s="84"/>
      <c r="FF22" s="84"/>
      <c r="FG22" s="84"/>
      <c r="FH22" s="84"/>
      <c r="FI22" s="84"/>
      <c r="FJ22" s="84"/>
      <c r="FK22" s="84"/>
      <c r="FL22" s="84"/>
      <c r="FM22" s="84"/>
      <c r="FN22" s="84"/>
      <c r="FO22" s="84"/>
      <c r="FP22" s="84"/>
      <c r="FQ22" s="84"/>
      <c r="FR22" s="84"/>
      <c r="FS22" s="84"/>
      <c r="FT22" s="84"/>
      <c r="FU22" s="84"/>
      <c r="FV22" s="84"/>
      <c r="FW22" s="84"/>
      <c r="FX22" s="84"/>
      <c r="FY22" s="84"/>
      <c r="FZ22" s="84"/>
      <c r="GA22" s="84"/>
      <c r="GB22" s="84"/>
      <c r="GC22" s="84"/>
      <c r="GD22" s="84"/>
      <c r="GE22" s="84"/>
      <c r="GF22" s="84"/>
      <c r="GG22" s="84"/>
      <c r="GH22" s="84"/>
      <c r="GI22" s="84"/>
      <c r="GJ22" s="84"/>
      <c r="GK22" s="84"/>
      <c r="GL22" s="84"/>
      <c r="GM22" s="84"/>
      <c r="GN22" s="84"/>
      <c r="GO22" s="84"/>
      <c r="GP22" s="84"/>
      <c r="GQ22" s="84"/>
      <c r="GR22" s="84"/>
      <c r="GS22" s="84"/>
      <c r="GT22" s="84"/>
      <c r="GU22" s="84"/>
      <c r="GV22" s="84"/>
      <c r="GW22" s="84"/>
      <c r="GX22" s="84"/>
      <c r="GY22" s="84"/>
      <c r="GZ22" s="84"/>
      <c r="HA22" s="84"/>
      <c r="HB22" s="84"/>
      <c r="HC22" s="84"/>
      <c r="HD22" s="84"/>
      <c r="HE22" s="84"/>
      <c r="HF22" s="84"/>
      <c r="HG22" s="84"/>
      <c r="HH22" s="84"/>
      <c r="HI22" s="84"/>
      <c r="HJ22" s="84"/>
      <c r="HK22" s="84"/>
      <c r="HL22" s="84"/>
      <c r="HM22" s="84"/>
      <c r="HN22" s="84"/>
      <c r="HO22" s="84"/>
      <c r="HP22" s="84"/>
      <c r="HQ22" s="84"/>
      <c r="HR22" s="84"/>
      <c r="HS22" s="84"/>
      <c r="HT22" s="84"/>
      <c r="HU22" s="84"/>
      <c r="HV22" s="84"/>
      <c r="HW22" s="84"/>
      <c r="HX22" s="84"/>
      <c r="HY22" s="84"/>
      <c r="HZ22" s="84"/>
      <c r="IA22" s="84"/>
      <c r="IB22" s="84"/>
      <c r="IC22" s="84"/>
      <c r="ID22" s="84"/>
      <c r="IE22" s="84"/>
      <c r="IF22" s="84"/>
      <c r="IG22" s="84"/>
      <c r="IH22" s="84"/>
      <c r="II22" s="84"/>
      <c r="IJ22" s="84"/>
      <c r="IK22" s="84"/>
      <c r="IL22" s="84"/>
      <c r="IM22" s="84"/>
      <c r="IN22" s="84"/>
      <c r="IO22" s="84"/>
      <c r="IP22" s="84"/>
      <c r="IQ22" s="84"/>
      <c r="IR22" s="84"/>
      <c r="IS22" s="84"/>
      <c r="IT22" s="84"/>
      <c r="IU22" s="84"/>
      <c r="IV22" s="84"/>
      <c r="IW22" s="84"/>
      <c r="IX22" s="84"/>
      <c r="IY22" s="84"/>
      <c r="IZ22" s="84"/>
      <c r="JA22" s="84"/>
      <c r="JB22" s="84"/>
      <c r="JC22" s="84"/>
      <c r="JD22" s="84"/>
      <c r="JE22" s="84"/>
      <c r="JF22" s="84"/>
      <c r="JG22" s="84"/>
      <c r="JH22" s="84"/>
      <c r="JI22" s="84"/>
      <c r="JJ22" s="84"/>
      <c r="JK22" s="84"/>
      <c r="JL22" s="84"/>
      <c r="JM22" s="84"/>
      <c r="JN22" s="84"/>
      <c r="JO22" s="84"/>
      <c r="JP22" s="84"/>
      <c r="JQ22" s="84"/>
      <c r="JR22" s="84"/>
      <c r="JS22" s="84"/>
      <c r="JT22" s="84"/>
      <c r="JU22" s="84"/>
      <c r="JV22" s="84"/>
      <c r="JW22" s="84"/>
      <c r="JX22" s="84"/>
      <c r="JY22" s="84"/>
      <c r="JZ22" s="84"/>
      <c r="KA22" s="84"/>
      <c r="KB22" s="84"/>
      <c r="KC22" s="84"/>
      <c r="KD22" s="84"/>
      <c r="KE22" s="84"/>
      <c r="KF22" s="84"/>
      <c r="KG22" s="84"/>
      <c r="KH22" s="84"/>
      <c r="KI22" s="84"/>
      <c r="KJ22" s="84"/>
      <c r="KK22" s="84"/>
      <c r="KL22" s="84"/>
      <c r="KM22" s="84"/>
      <c r="KN22" s="84"/>
      <c r="KO22" s="84"/>
      <c r="KP22" s="84"/>
      <c r="KQ22" s="84"/>
      <c r="KR22" s="84"/>
      <c r="KS22" s="84"/>
      <c r="KT22" s="84"/>
      <c r="KU22" s="84"/>
      <c r="KV22" s="84"/>
      <c r="KW22" s="84"/>
      <c r="KX22" s="84"/>
      <c r="KY22" s="84"/>
      <c r="KZ22" s="84"/>
      <c r="LA22" s="84"/>
      <c r="LB22" s="84"/>
      <c r="LC22" s="84"/>
      <c r="LD22" s="84"/>
      <c r="LE22" s="84"/>
      <c r="LF22" s="84"/>
      <c r="LG22" s="84"/>
      <c r="LH22" s="84"/>
      <c r="LI22" s="84"/>
      <c r="LJ22" s="84"/>
      <c r="LK22" s="84"/>
      <c r="LL22" s="84"/>
      <c r="LM22" s="84"/>
      <c r="LN22" s="84"/>
      <c r="LO22" s="84"/>
      <c r="LP22" s="84"/>
      <c r="LQ22" s="84"/>
      <c r="LR22" s="84"/>
      <c r="LS22" s="84"/>
      <c r="LT22" s="84"/>
      <c r="LU22" s="84"/>
      <c r="LV22" s="84"/>
      <c r="LW22" s="84"/>
      <c r="LX22" s="84"/>
      <c r="LY22" s="84"/>
      <c r="LZ22" s="84"/>
      <c r="MA22" s="84"/>
      <c r="MB22" s="84"/>
      <c r="MC22" s="84"/>
      <c r="MD22" s="84"/>
      <c r="ME22" s="84"/>
      <c r="MF22" s="84"/>
      <c r="MG22" s="84"/>
      <c r="MH22" s="84"/>
      <c r="MI22" s="84"/>
      <c r="MJ22" s="84"/>
      <c r="MK22" s="84"/>
      <c r="ML22" s="84"/>
      <c r="MM22" s="84"/>
      <c r="MN22" s="84"/>
      <c r="MO22" s="84"/>
      <c r="MP22" s="84"/>
      <c r="MQ22" s="84"/>
      <c r="MR22" s="84"/>
      <c r="MS22" s="84"/>
      <c r="MT22" s="84"/>
      <c r="MU22" s="84"/>
      <c r="MV22" s="84"/>
      <c r="MW22" s="84"/>
      <c r="MX22" s="84"/>
      <c r="MY22" s="84"/>
      <c r="MZ22" s="84"/>
      <c r="NA22" s="84"/>
      <c r="NB22" s="84"/>
      <c r="NC22" s="84"/>
      <c r="ND22" s="84"/>
      <c r="NE22" s="84"/>
      <c r="NF22" s="84"/>
      <c r="NG22" s="84"/>
      <c r="NH22" s="84"/>
      <c r="NI22" s="84"/>
      <c r="NJ22" s="84"/>
      <c r="NK22" s="84"/>
      <c r="NL22" s="84"/>
      <c r="NM22" s="84"/>
      <c r="NN22" s="84"/>
      <c r="NO22" s="84"/>
      <c r="NP22" s="84"/>
      <c r="NQ22" s="84"/>
      <c r="NR22" s="84"/>
      <c r="NS22" s="84"/>
      <c r="NT22" s="84"/>
      <c r="NU22" s="84"/>
      <c r="NV22" s="84"/>
      <c r="NW22" s="84"/>
      <c r="NX22" s="84"/>
      <c r="NY22" s="84"/>
      <c r="NZ22" s="84"/>
      <c r="OA22" s="84"/>
      <c r="OB22" s="84"/>
      <c r="OC22" s="84"/>
      <c r="OD22" s="84"/>
      <c r="OE22" s="84"/>
      <c r="OF22" s="84"/>
      <c r="OG22" s="84"/>
      <c r="OH22" s="84"/>
      <c r="OI22" s="84"/>
      <c r="OJ22" s="84"/>
      <c r="OK22" s="84"/>
      <c r="OL22" s="84"/>
      <c r="OM22" s="84"/>
      <c r="ON22" s="84"/>
      <c r="OO22" s="84"/>
      <c r="OP22" s="84"/>
      <c r="OQ22" s="84"/>
      <c r="OR22" s="84"/>
      <c r="OS22" s="84"/>
      <c r="OT22" s="84"/>
      <c r="OU22" s="84"/>
      <c r="OV22" s="84"/>
      <c r="OW22" s="84"/>
      <c r="OX22" s="84"/>
      <c r="OY22" s="84"/>
      <c r="OZ22" s="84"/>
      <c r="PA22" s="84"/>
      <c r="PB22" s="84"/>
      <c r="PC22" s="84"/>
      <c r="PD22" s="84"/>
      <c r="PE22" s="84"/>
      <c r="PF22" s="84"/>
      <c r="PG22" s="84"/>
      <c r="PH22" s="84"/>
      <c r="PI22" s="84"/>
      <c r="PJ22" s="84"/>
      <c r="PK22" s="84"/>
      <c r="PL22" s="84"/>
      <c r="PM22" s="84"/>
      <c r="PN22" s="84"/>
      <c r="PO22" s="84"/>
      <c r="PP22" s="84"/>
      <c r="PQ22" s="84"/>
      <c r="PR22" s="84"/>
      <c r="PS22" s="84"/>
      <c r="PT22" s="84"/>
      <c r="PU22" s="84"/>
      <c r="PV22" s="84"/>
      <c r="PW22" s="84"/>
      <c r="PX22" s="84"/>
      <c r="PY22" s="84"/>
      <c r="PZ22" s="84"/>
      <c r="QA22" s="84"/>
      <c r="QB22" s="84"/>
      <c r="QC22" s="84"/>
    </row>
    <row r="23" spans="1:445" s="85" customFormat="1" ht="15.75" x14ac:dyDescent="0.25">
      <c r="A23" s="92">
        <v>17</v>
      </c>
      <c r="B23" s="337">
        <v>2545</v>
      </c>
      <c r="C23" s="327" t="s">
        <v>347</v>
      </c>
      <c r="D23" s="1180" t="s">
        <v>758</v>
      </c>
      <c r="E23" s="329" t="s">
        <v>113</v>
      </c>
      <c r="F23" s="330">
        <v>38143</v>
      </c>
      <c r="G23" s="331" t="s">
        <v>260</v>
      </c>
      <c r="H23" s="332" t="s">
        <v>261</v>
      </c>
      <c r="I23" s="333" t="s">
        <v>262</v>
      </c>
      <c r="J23" s="329" t="s">
        <v>348</v>
      </c>
      <c r="K23" s="334" t="s">
        <v>349</v>
      </c>
      <c r="L23" s="334" t="s">
        <v>350</v>
      </c>
      <c r="M23" s="334" t="s">
        <v>315</v>
      </c>
      <c r="N23" s="334" t="s">
        <v>276</v>
      </c>
      <c r="O23" s="329" t="s">
        <v>348</v>
      </c>
      <c r="P23" s="335" t="s">
        <v>351</v>
      </c>
      <c r="Q23" s="335" t="s">
        <v>269</v>
      </c>
      <c r="R23" s="335" t="s">
        <v>90</v>
      </c>
      <c r="S23" s="336" t="s">
        <v>114</v>
      </c>
      <c r="T23" s="89"/>
      <c r="U23" s="90"/>
      <c r="V23" s="90"/>
      <c r="W23" s="91"/>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84"/>
      <c r="AW23" s="84"/>
      <c r="AX23" s="84"/>
      <c r="AY23" s="84"/>
      <c r="AZ23" s="84"/>
      <c r="BA23" s="84"/>
      <c r="BB23" s="84"/>
      <c r="BC23" s="84"/>
      <c r="BD23" s="84"/>
      <c r="BE23" s="84"/>
      <c r="BF23" s="84"/>
      <c r="BG23" s="84"/>
      <c r="BH23" s="84"/>
      <c r="BI23" s="84"/>
      <c r="BJ23" s="84"/>
      <c r="BK23" s="84"/>
      <c r="BL23" s="84"/>
      <c r="BM23" s="84"/>
      <c r="BN23" s="84"/>
      <c r="BO23" s="84"/>
      <c r="BP23" s="84"/>
      <c r="BQ23" s="84"/>
      <c r="BR23" s="84"/>
      <c r="BS23" s="84"/>
      <c r="BT23" s="84"/>
      <c r="BU23" s="84"/>
      <c r="BV23" s="84"/>
      <c r="BW23" s="84"/>
      <c r="BX23" s="84"/>
      <c r="BY23" s="84"/>
      <c r="BZ23" s="84"/>
      <c r="CA23" s="84"/>
      <c r="CB23" s="84"/>
      <c r="CC23" s="84"/>
      <c r="CD23" s="84"/>
      <c r="CE23" s="84"/>
      <c r="CF23" s="84"/>
      <c r="CG23" s="84"/>
      <c r="CH23" s="84"/>
      <c r="CI23" s="84"/>
      <c r="CJ23" s="84"/>
      <c r="CK23" s="84"/>
      <c r="CL23" s="84"/>
      <c r="CM23" s="84"/>
      <c r="CN23" s="84"/>
      <c r="CO23" s="84"/>
      <c r="CP23" s="84"/>
      <c r="CQ23" s="84"/>
      <c r="CR23" s="84"/>
      <c r="CS23" s="84"/>
      <c r="CT23" s="84"/>
      <c r="CU23" s="84"/>
      <c r="CV23" s="84"/>
      <c r="CW23" s="84"/>
      <c r="CX23" s="84"/>
      <c r="CY23" s="84"/>
      <c r="CZ23" s="84"/>
      <c r="DA23" s="84"/>
      <c r="DB23" s="84"/>
      <c r="DC23" s="84"/>
      <c r="DD23" s="84"/>
      <c r="DE23" s="84"/>
      <c r="DF23" s="84"/>
      <c r="DG23" s="84"/>
      <c r="DH23" s="84"/>
      <c r="DI23" s="84"/>
      <c r="DJ23" s="84"/>
      <c r="DK23" s="84"/>
      <c r="DL23" s="84"/>
      <c r="DM23" s="84"/>
      <c r="DN23" s="84"/>
      <c r="DO23" s="84"/>
      <c r="DP23" s="84"/>
      <c r="DQ23" s="84"/>
      <c r="DR23" s="84"/>
      <c r="DS23" s="84"/>
      <c r="DT23" s="84"/>
      <c r="DU23" s="84"/>
      <c r="DV23" s="84"/>
      <c r="DW23" s="84"/>
      <c r="DX23" s="84"/>
      <c r="DY23" s="84"/>
      <c r="DZ23" s="84"/>
      <c r="EA23" s="84"/>
      <c r="EB23" s="84"/>
      <c r="EC23" s="84"/>
      <c r="ED23" s="84"/>
      <c r="EE23" s="84"/>
      <c r="EF23" s="84"/>
      <c r="EG23" s="84"/>
      <c r="EH23" s="84"/>
      <c r="EI23" s="84"/>
      <c r="EJ23" s="84"/>
      <c r="EK23" s="84"/>
      <c r="EL23" s="84"/>
      <c r="EM23" s="84"/>
      <c r="EN23" s="84"/>
      <c r="EO23" s="84"/>
      <c r="EP23" s="84"/>
      <c r="EQ23" s="84"/>
      <c r="ER23" s="84"/>
      <c r="ES23" s="84"/>
      <c r="ET23" s="84"/>
      <c r="EU23" s="84"/>
      <c r="EV23" s="84"/>
      <c r="EW23" s="84"/>
      <c r="EX23" s="84"/>
      <c r="EY23" s="84"/>
      <c r="EZ23" s="84"/>
      <c r="FA23" s="84"/>
      <c r="FB23" s="84"/>
      <c r="FC23" s="84"/>
      <c r="FD23" s="84"/>
      <c r="FE23" s="84"/>
      <c r="FF23" s="84"/>
      <c r="FG23" s="84"/>
      <c r="FH23" s="84"/>
      <c r="FI23" s="84"/>
      <c r="FJ23" s="84"/>
      <c r="FK23" s="84"/>
      <c r="FL23" s="84"/>
      <c r="FM23" s="84"/>
      <c r="FN23" s="84"/>
      <c r="FO23" s="84"/>
      <c r="FP23" s="84"/>
      <c r="FQ23" s="84"/>
      <c r="FR23" s="84"/>
      <c r="FS23" s="84"/>
      <c r="FT23" s="84"/>
      <c r="FU23" s="84"/>
      <c r="FV23" s="84"/>
      <c r="FW23" s="84"/>
      <c r="FX23" s="84"/>
      <c r="FY23" s="84"/>
      <c r="FZ23" s="84"/>
      <c r="GA23" s="84"/>
      <c r="GB23" s="84"/>
      <c r="GC23" s="84"/>
      <c r="GD23" s="84"/>
      <c r="GE23" s="84"/>
      <c r="GF23" s="84"/>
      <c r="GG23" s="84"/>
      <c r="GH23" s="84"/>
      <c r="GI23" s="84"/>
      <c r="GJ23" s="84"/>
      <c r="GK23" s="84"/>
      <c r="GL23" s="84"/>
      <c r="GM23" s="84"/>
      <c r="GN23" s="84"/>
      <c r="GO23" s="84"/>
      <c r="GP23" s="84"/>
      <c r="GQ23" s="84"/>
      <c r="GR23" s="84"/>
      <c r="GS23" s="84"/>
      <c r="GT23" s="84"/>
      <c r="GU23" s="84"/>
      <c r="GV23" s="84"/>
      <c r="GW23" s="84"/>
      <c r="GX23" s="84"/>
      <c r="GY23" s="84"/>
      <c r="GZ23" s="84"/>
      <c r="HA23" s="84"/>
      <c r="HB23" s="84"/>
      <c r="HC23" s="84"/>
      <c r="HD23" s="84"/>
      <c r="HE23" s="84"/>
      <c r="HF23" s="84"/>
      <c r="HG23" s="84"/>
      <c r="HH23" s="84"/>
      <c r="HI23" s="84"/>
      <c r="HJ23" s="84"/>
      <c r="HK23" s="84"/>
      <c r="HL23" s="84"/>
      <c r="HM23" s="84"/>
      <c r="HN23" s="84"/>
      <c r="HO23" s="84"/>
      <c r="HP23" s="84"/>
      <c r="HQ23" s="84"/>
      <c r="HR23" s="84"/>
      <c r="HS23" s="84"/>
      <c r="HT23" s="84"/>
      <c r="HU23" s="84"/>
      <c r="HV23" s="84"/>
      <c r="HW23" s="84"/>
      <c r="HX23" s="84"/>
      <c r="HY23" s="84"/>
      <c r="HZ23" s="84"/>
      <c r="IA23" s="84"/>
      <c r="IB23" s="84"/>
      <c r="IC23" s="84"/>
      <c r="ID23" s="84"/>
      <c r="IE23" s="84"/>
      <c r="IF23" s="84"/>
      <c r="IG23" s="84"/>
      <c r="IH23" s="84"/>
      <c r="II23" s="84"/>
      <c r="IJ23" s="84"/>
      <c r="IK23" s="84"/>
      <c r="IL23" s="84"/>
      <c r="IM23" s="84"/>
      <c r="IN23" s="84"/>
      <c r="IO23" s="84"/>
      <c r="IP23" s="84"/>
      <c r="IQ23" s="84"/>
      <c r="IR23" s="84"/>
      <c r="IS23" s="84"/>
      <c r="IT23" s="84"/>
      <c r="IU23" s="84"/>
      <c r="IV23" s="84"/>
      <c r="IW23" s="84"/>
      <c r="IX23" s="84"/>
      <c r="IY23" s="84"/>
      <c r="IZ23" s="84"/>
      <c r="JA23" s="84"/>
      <c r="JB23" s="84"/>
      <c r="JC23" s="84"/>
      <c r="JD23" s="84"/>
      <c r="JE23" s="84"/>
      <c r="JF23" s="84"/>
      <c r="JG23" s="84"/>
      <c r="JH23" s="84"/>
      <c r="JI23" s="84"/>
      <c r="JJ23" s="84"/>
      <c r="JK23" s="84"/>
      <c r="JL23" s="84"/>
      <c r="JM23" s="84"/>
      <c r="JN23" s="84"/>
      <c r="JO23" s="84"/>
      <c r="JP23" s="84"/>
      <c r="JQ23" s="84"/>
      <c r="JR23" s="84"/>
      <c r="JS23" s="84"/>
      <c r="JT23" s="84"/>
      <c r="JU23" s="84"/>
      <c r="JV23" s="84"/>
      <c r="JW23" s="84"/>
      <c r="JX23" s="84"/>
      <c r="JY23" s="84"/>
      <c r="JZ23" s="84"/>
      <c r="KA23" s="84"/>
      <c r="KB23" s="84"/>
      <c r="KC23" s="84"/>
      <c r="KD23" s="84"/>
      <c r="KE23" s="84"/>
      <c r="KF23" s="84"/>
      <c r="KG23" s="84"/>
      <c r="KH23" s="84"/>
      <c r="KI23" s="84"/>
      <c r="KJ23" s="84"/>
      <c r="KK23" s="84"/>
      <c r="KL23" s="84"/>
      <c r="KM23" s="84"/>
      <c r="KN23" s="84"/>
      <c r="KO23" s="84"/>
      <c r="KP23" s="84"/>
      <c r="KQ23" s="84"/>
      <c r="KR23" s="84"/>
      <c r="KS23" s="84"/>
      <c r="KT23" s="84"/>
      <c r="KU23" s="84"/>
      <c r="KV23" s="84"/>
      <c r="KW23" s="84"/>
      <c r="KX23" s="84"/>
      <c r="KY23" s="84"/>
      <c r="KZ23" s="84"/>
      <c r="LA23" s="84"/>
      <c r="LB23" s="84"/>
      <c r="LC23" s="84"/>
      <c r="LD23" s="84"/>
      <c r="LE23" s="84"/>
      <c r="LF23" s="84"/>
      <c r="LG23" s="84"/>
      <c r="LH23" s="84"/>
      <c r="LI23" s="84"/>
      <c r="LJ23" s="84"/>
      <c r="LK23" s="84"/>
      <c r="LL23" s="84"/>
      <c r="LM23" s="84"/>
      <c r="LN23" s="84"/>
      <c r="LO23" s="84"/>
      <c r="LP23" s="84"/>
      <c r="LQ23" s="84"/>
      <c r="LR23" s="84"/>
      <c r="LS23" s="84"/>
      <c r="LT23" s="84"/>
      <c r="LU23" s="84"/>
      <c r="LV23" s="84"/>
      <c r="LW23" s="84"/>
      <c r="LX23" s="84"/>
      <c r="LY23" s="84"/>
      <c r="LZ23" s="84"/>
      <c r="MA23" s="84"/>
      <c r="MB23" s="84"/>
      <c r="MC23" s="84"/>
      <c r="MD23" s="84"/>
      <c r="ME23" s="84"/>
      <c r="MF23" s="84"/>
      <c r="MG23" s="84"/>
      <c r="MH23" s="84"/>
      <c r="MI23" s="84"/>
      <c r="MJ23" s="84"/>
      <c r="MK23" s="84"/>
      <c r="ML23" s="84"/>
      <c r="MM23" s="84"/>
      <c r="MN23" s="84"/>
      <c r="MO23" s="84"/>
      <c r="MP23" s="84"/>
      <c r="MQ23" s="84"/>
      <c r="MR23" s="84"/>
      <c r="MS23" s="84"/>
      <c r="MT23" s="84"/>
      <c r="MU23" s="84"/>
      <c r="MV23" s="84"/>
      <c r="MW23" s="84"/>
      <c r="MX23" s="84"/>
      <c r="MY23" s="84"/>
      <c r="MZ23" s="84"/>
      <c r="NA23" s="84"/>
      <c r="NB23" s="84"/>
      <c r="NC23" s="84"/>
      <c r="ND23" s="84"/>
      <c r="NE23" s="84"/>
      <c r="NF23" s="84"/>
      <c r="NG23" s="84"/>
      <c r="NH23" s="84"/>
      <c r="NI23" s="84"/>
      <c r="NJ23" s="84"/>
      <c r="NK23" s="84"/>
      <c r="NL23" s="84"/>
      <c r="NM23" s="84"/>
      <c r="NN23" s="84"/>
      <c r="NO23" s="84"/>
      <c r="NP23" s="84"/>
      <c r="NQ23" s="84"/>
      <c r="NR23" s="84"/>
      <c r="NS23" s="84"/>
      <c r="NT23" s="84"/>
      <c r="NU23" s="84"/>
      <c r="NV23" s="84"/>
      <c r="NW23" s="84"/>
      <c r="NX23" s="84"/>
      <c r="NY23" s="84"/>
      <c r="NZ23" s="84"/>
      <c r="OA23" s="84"/>
      <c r="OB23" s="84"/>
      <c r="OC23" s="84"/>
      <c r="OD23" s="84"/>
      <c r="OE23" s="84"/>
      <c r="OF23" s="84"/>
      <c r="OG23" s="84"/>
      <c r="OH23" s="84"/>
      <c r="OI23" s="84"/>
      <c r="OJ23" s="84"/>
      <c r="OK23" s="84"/>
      <c r="OL23" s="84"/>
      <c r="OM23" s="84"/>
      <c r="ON23" s="84"/>
      <c r="OO23" s="84"/>
      <c r="OP23" s="84"/>
      <c r="OQ23" s="84"/>
      <c r="OR23" s="84"/>
      <c r="OS23" s="84"/>
      <c r="OT23" s="84"/>
      <c r="OU23" s="84"/>
      <c r="OV23" s="84"/>
      <c r="OW23" s="84"/>
      <c r="OX23" s="84"/>
      <c r="OY23" s="84"/>
      <c r="OZ23" s="84"/>
      <c r="PA23" s="84"/>
      <c r="PB23" s="84"/>
      <c r="PC23" s="84"/>
      <c r="PD23" s="84"/>
      <c r="PE23" s="84"/>
      <c r="PF23" s="84"/>
      <c r="PG23" s="84"/>
      <c r="PH23" s="84"/>
      <c r="PI23" s="84"/>
      <c r="PJ23" s="84"/>
      <c r="PK23" s="84"/>
      <c r="PL23" s="84"/>
      <c r="PM23" s="84"/>
      <c r="PN23" s="84"/>
      <c r="PO23" s="84"/>
      <c r="PP23" s="84"/>
      <c r="PQ23" s="84"/>
      <c r="PR23" s="84"/>
      <c r="PS23" s="84"/>
      <c r="PT23" s="84"/>
      <c r="PU23" s="84"/>
      <c r="PV23" s="84"/>
      <c r="PW23" s="84"/>
      <c r="PX23" s="84"/>
      <c r="PY23" s="84"/>
      <c r="PZ23" s="84"/>
      <c r="QA23" s="84"/>
      <c r="QB23" s="84"/>
      <c r="QC23" s="84"/>
    </row>
    <row r="24" spans="1:445" s="85" customFormat="1" ht="15.75" x14ac:dyDescent="0.25">
      <c r="A24" s="86">
        <v>18</v>
      </c>
      <c r="B24" s="337">
        <v>2546</v>
      </c>
      <c r="C24" s="327" t="s">
        <v>352</v>
      </c>
      <c r="D24" s="1180" t="s">
        <v>759</v>
      </c>
      <c r="E24" s="329" t="s">
        <v>113</v>
      </c>
      <c r="F24" s="330">
        <v>38207</v>
      </c>
      <c r="G24" s="331" t="s">
        <v>260</v>
      </c>
      <c r="H24" s="332" t="s">
        <v>261</v>
      </c>
      <c r="I24" s="333" t="s">
        <v>262</v>
      </c>
      <c r="J24" s="329" t="s">
        <v>353</v>
      </c>
      <c r="K24" s="334" t="s">
        <v>354</v>
      </c>
      <c r="L24" s="334" t="s">
        <v>355</v>
      </c>
      <c r="M24" s="334" t="s">
        <v>267</v>
      </c>
      <c r="N24" s="334" t="s">
        <v>276</v>
      </c>
      <c r="O24" s="329" t="s">
        <v>353</v>
      </c>
      <c r="P24" s="335" t="s">
        <v>356</v>
      </c>
      <c r="Q24" s="335" t="s">
        <v>269</v>
      </c>
      <c r="R24" s="335" t="s">
        <v>90</v>
      </c>
      <c r="S24" s="336" t="s">
        <v>114</v>
      </c>
      <c r="T24" s="89"/>
      <c r="U24" s="90"/>
      <c r="V24" s="90"/>
      <c r="W24" s="91"/>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84"/>
      <c r="AW24" s="84"/>
      <c r="AX24" s="84"/>
      <c r="AY24" s="84"/>
      <c r="AZ24" s="84"/>
      <c r="BA24" s="84"/>
      <c r="BB24" s="84"/>
      <c r="BC24" s="84"/>
      <c r="BD24" s="84"/>
      <c r="BE24" s="84"/>
      <c r="BF24" s="84"/>
      <c r="BG24" s="84"/>
      <c r="BH24" s="84"/>
      <c r="BI24" s="84"/>
      <c r="BJ24" s="84"/>
      <c r="BK24" s="84"/>
      <c r="BL24" s="84"/>
      <c r="BM24" s="84"/>
      <c r="BN24" s="84"/>
      <c r="BO24" s="84"/>
      <c r="BP24" s="84"/>
      <c r="BQ24" s="84"/>
      <c r="BR24" s="84"/>
      <c r="BS24" s="84"/>
      <c r="BT24" s="84"/>
      <c r="BU24" s="84"/>
      <c r="BV24" s="84"/>
      <c r="BW24" s="84"/>
      <c r="BX24" s="84"/>
      <c r="BY24" s="84"/>
      <c r="BZ24" s="84"/>
      <c r="CA24" s="84"/>
      <c r="CB24" s="84"/>
      <c r="CC24" s="84"/>
      <c r="CD24" s="84"/>
      <c r="CE24" s="84"/>
      <c r="CF24" s="84"/>
      <c r="CG24" s="84"/>
      <c r="CH24" s="84"/>
      <c r="CI24" s="84"/>
      <c r="CJ24" s="84"/>
      <c r="CK24" s="84"/>
      <c r="CL24" s="84"/>
      <c r="CM24" s="84"/>
      <c r="CN24" s="84"/>
      <c r="CO24" s="84"/>
      <c r="CP24" s="84"/>
      <c r="CQ24" s="84"/>
      <c r="CR24" s="84"/>
      <c r="CS24" s="84"/>
      <c r="CT24" s="84"/>
      <c r="CU24" s="84"/>
      <c r="CV24" s="84"/>
      <c r="CW24" s="84"/>
      <c r="CX24" s="84"/>
      <c r="CY24" s="84"/>
      <c r="CZ24" s="84"/>
      <c r="DA24" s="84"/>
      <c r="DB24" s="84"/>
      <c r="DC24" s="84"/>
      <c r="DD24" s="84"/>
      <c r="DE24" s="84"/>
      <c r="DF24" s="84"/>
      <c r="DG24" s="84"/>
      <c r="DH24" s="84"/>
      <c r="DI24" s="84"/>
      <c r="DJ24" s="84"/>
      <c r="DK24" s="84"/>
      <c r="DL24" s="84"/>
      <c r="DM24" s="84"/>
      <c r="DN24" s="84"/>
      <c r="DO24" s="84"/>
      <c r="DP24" s="84"/>
      <c r="DQ24" s="84"/>
      <c r="DR24" s="84"/>
      <c r="DS24" s="84"/>
      <c r="DT24" s="84"/>
      <c r="DU24" s="84"/>
      <c r="DV24" s="84"/>
      <c r="DW24" s="84"/>
      <c r="DX24" s="84"/>
      <c r="DY24" s="84"/>
      <c r="DZ24" s="84"/>
      <c r="EA24" s="84"/>
      <c r="EB24" s="84"/>
      <c r="EC24" s="84"/>
      <c r="ED24" s="84"/>
      <c r="EE24" s="84"/>
      <c r="EF24" s="84"/>
      <c r="EG24" s="84"/>
      <c r="EH24" s="84"/>
      <c r="EI24" s="84"/>
      <c r="EJ24" s="84"/>
      <c r="EK24" s="84"/>
      <c r="EL24" s="84"/>
      <c r="EM24" s="84"/>
      <c r="EN24" s="84"/>
      <c r="EO24" s="84"/>
      <c r="EP24" s="84"/>
      <c r="EQ24" s="84"/>
      <c r="ER24" s="84"/>
      <c r="ES24" s="84"/>
      <c r="ET24" s="84"/>
      <c r="EU24" s="84"/>
      <c r="EV24" s="84"/>
      <c r="EW24" s="84"/>
      <c r="EX24" s="84"/>
      <c r="EY24" s="84"/>
      <c r="EZ24" s="84"/>
      <c r="FA24" s="84"/>
      <c r="FB24" s="84"/>
      <c r="FC24" s="84"/>
      <c r="FD24" s="84"/>
      <c r="FE24" s="84"/>
      <c r="FF24" s="84"/>
      <c r="FG24" s="84"/>
      <c r="FH24" s="84"/>
      <c r="FI24" s="84"/>
      <c r="FJ24" s="84"/>
      <c r="FK24" s="84"/>
      <c r="FL24" s="84"/>
      <c r="FM24" s="84"/>
      <c r="FN24" s="84"/>
      <c r="FO24" s="84"/>
      <c r="FP24" s="84"/>
      <c r="FQ24" s="84"/>
      <c r="FR24" s="84"/>
      <c r="FS24" s="84"/>
      <c r="FT24" s="84"/>
      <c r="FU24" s="84"/>
      <c r="FV24" s="84"/>
      <c r="FW24" s="84"/>
      <c r="FX24" s="84"/>
      <c r="FY24" s="84"/>
      <c r="FZ24" s="84"/>
      <c r="GA24" s="84"/>
      <c r="GB24" s="84"/>
      <c r="GC24" s="84"/>
      <c r="GD24" s="84"/>
      <c r="GE24" s="84"/>
      <c r="GF24" s="84"/>
      <c r="GG24" s="84"/>
      <c r="GH24" s="84"/>
      <c r="GI24" s="84"/>
      <c r="GJ24" s="84"/>
      <c r="GK24" s="84"/>
      <c r="GL24" s="84"/>
      <c r="GM24" s="84"/>
      <c r="GN24" s="84"/>
      <c r="GO24" s="84"/>
      <c r="GP24" s="84"/>
      <c r="GQ24" s="84"/>
      <c r="GR24" s="84"/>
      <c r="GS24" s="84"/>
      <c r="GT24" s="84"/>
      <c r="GU24" s="84"/>
      <c r="GV24" s="84"/>
      <c r="GW24" s="84"/>
      <c r="GX24" s="84"/>
      <c r="GY24" s="84"/>
      <c r="GZ24" s="84"/>
      <c r="HA24" s="84"/>
      <c r="HB24" s="84"/>
      <c r="HC24" s="84"/>
      <c r="HD24" s="84"/>
      <c r="HE24" s="84"/>
      <c r="HF24" s="84"/>
      <c r="HG24" s="84"/>
      <c r="HH24" s="84"/>
      <c r="HI24" s="84"/>
      <c r="HJ24" s="84"/>
      <c r="HK24" s="84"/>
      <c r="HL24" s="84"/>
      <c r="HM24" s="84"/>
      <c r="HN24" s="84"/>
      <c r="HO24" s="84"/>
      <c r="HP24" s="84"/>
      <c r="HQ24" s="84"/>
      <c r="HR24" s="84"/>
      <c r="HS24" s="84"/>
      <c r="HT24" s="84"/>
      <c r="HU24" s="84"/>
      <c r="HV24" s="84"/>
      <c r="HW24" s="84"/>
      <c r="HX24" s="84"/>
      <c r="HY24" s="84"/>
      <c r="HZ24" s="84"/>
      <c r="IA24" s="84"/>
      <c r="IB24" s="84"/>
      <c r="IC24" s="84"/>
      <c r="ID24" s="84"/>
      <c r="IE24" s="84"/>
      <c r="IF24" s="84"/>
      <c r="IG24" s="84"/>
      <c r="IH24" s="84"/>
      <c r="II24" s="84"/>
      <c r="IJ24" s="84"/>
      <c r="IK24" s="84"/>
      <c r="IL24" s="84"/>
      <c r="IM24" s="84"/>
      <c r="IN24" s="84"/>
      <c r="IO24" s="84"/>
      <c r="IP24" s="84"/>
      <c r="IQ24" s="84"/>
      <c r="IR24" s="84"/>
      <c r="IS24" s="84"/>
      <c r="IT24" s="84"/>
      <c r="IU24" s="84"/>
      <c r="IV24" s="84"/>
      <c r="IW24" s="84"/>
      <c r="IX24" s="84"/>
      <c r="IY24" s="84"/>
      <c r="IZ24" s="84"/>
      <c r="JA24" s="84"/>
      <c r="JB24" s="84"/>
      <c r="JC24" s="84"/>
      <c r="JD24" s="84"/>
      <c r="JE24" s="84"/>
      <c r="JF24" s="84"/>
      <c r="JG24" s="84"/>
      <c r="JH24" s="84"/>
      <c r="JI24" s="84"/>
      <c r="JJ24" s="84"/>
      <c r="JK24" s="84"/>
      <c r="JL24" s="84"/>
      <c r="JM24" s="84"/>
      <c r="JN24" s="84"/>
      <c r="JO24" s="84"/>
      <c r="JP24" s="84"/>
      <c r="JQ24" s="84"/>
      <c r="JR24" s="84"/>
      <c r="JS24" s="84"/>
      <c r="JT24" s="84"/>
      <c r="JU24" s="84"/>
      <c r="JV24" s="84"/>
      <c r="JW24" s="84"/>
      <c r="JX24" s="84"/>
      <c r="JY24" s="84"/>
      <c r="JZ24" s="84"/>
      <c r="KA24" s="84"/>
      <c r="KB24" s="84"/>
      <c r="KC24" s="84"/>
      <c r="KD24" s="84"/>
      <c r="KE24" s="84"/>
      <c r="KF24" s="84"/>
      <c r="KG24" s="84"/>
      <c r="KH24" s="84"/>
      <c r="KI24" s="84"/>
      <c r="KJ24" s="84"/>
      <c r="KK24" s="84"/>
      <c r="KL24" s="84"/>
      <c r="KM24" s="84"/>
      <c r="KN24" s="84"/>
      <c r="KO24" s="84"/>
      <c r="KP24" s="84"/>
      <c r="KQ24" s="84"/>
      <c r="KR24" s="84"/>
      <c r="KS24" s="84"/>
      <c r="KT24" s="84"/>
      <c r="KU24" s="84"/>
      <c r="KV24" s="84"/>
      <c r="KW24" s="84"/>
      <c r="KX24" s="84"/>
      <c r="KY24" s="84"/>
      <c r="KZ24" s="84"/>
      <c r="LA24" s="84"/>
      <c r="LB24" s="84"/>
      <c r="LC24" s="84"/>
      <c r="LD24" s="84"/>
      <c r="LE24" s="84"/>
      <c r="LF24" s="84"/>
      <c r="LG24" s="84"/>
      <c r="LH24" s="84"/>
      <c r="LI24" s="84"/>
      <c r="LJ24" s="84"/>
      <c r="LK24" s="84"/>
      <c r="LL24" s="84"/>
      <c r="LM24" s="84"/>
      <c r="LN24" s="84"/>
      <c r="LO24" s="84"/>
      <c r="LP24" s="84"/>
      <c r="LQ24" s="84"/>
      <c r="LR24" s="84"/>
      <c r="LS24" s="84"/>
      <c r="LT24" s="84"/>
      <c r="LU24" s="84"/>
      <c r="LV24" s="84"/>
      <c r="LW24" s="84"/>
      <c r="LX24" s="84"/>
      <c r="LY24" s="84"/>
      <c r="LZ24" s="84"/>
      <c r="MA24" s="84"/>
      <c r="MB24" s="84"/>
      <c r="MC24" s="84"/>
      <c r="MD24" s="84"/>
      <c r="ME24" s="84"/>
      <c r="MF24" s="84"/>
      <c r="MG24" s="84"/>
      <c r="MH24" s="84"/>
      <c r="MI24" s="84"/>
      <c r="MJ24" s="84"/>
      <c r="MK24" s="84"/>
      <c r="ML24" s="84"/>
      <c r="MM24" s="84"/>
      <c r="MN24" s="84"/>
      <c r="MO24" s="84"/>
      <c r="MP24" s="84"/>
      <c r="MQ24" s="84"/>
      <c r="MR24" s="84"/>
      <c r="MS24" s="84"/>
      <c r="MT24" s="84"/>
      <c r="MU24" s="84"/>
      <c r="MV24" s="84"/>
      <c r="MW24" s="84"/>
      <c r="MX24" s="84"/>
      <c r="MY24" s="84"/>
      <c r="MZ24" s="84"/>
      <c r="NA24" s="84"/>
      <c r="NB24" s="84"/>
      <c r="NC24" s="84"/>
      <c r="ND24" s="84"/>
      <c r="NE24" s="84"/>
      <c r="NF24" s="84"/>
      <c r="NG24" s="84"/>
      <c r="NH24" s="84"/>
      <c r="NI24" s="84"/>
      <c r="NJ24" s="84"/>
      <c r="NK24" s="84"/>
      <c r="NL24" s="84"/>
      <c r="NM24" s="84"/>
      <c r="NN24" s="84"/>
      <c r="NO24" s="84"/>
      <c r="NP24" s="84"/>
      <c r="NQ24" s="84"/>
      <c r="NR24" s="84"/>
      <c r="NS24" s="84"/>
      <c r="NT24" s="84"/>
      <c r="NU24" s="84"/>
      <c r="NV24" s="84"/>
      <c r="NW24" s="84"/>
      <c r="NX24" s="84"/>
      <c r="NY24" s="84"/>
      <c r="NZ24" s="84"/>
      <c r="OA24" s="84"/>
      <c r="OB24" s="84"/>
      <c r="OC24" s="84"/>
      <c r="OD24" s="84"/>
      <c r="OE24" s="84"/>
      <c r="OF24" s="84"/>
      <c r="OG24" s="84"/>
      <c r="OH24" s="84"/>
      <c r="OI24" s="84"/>
      <c r="OJ24" s="84"/>
      <c r="OK24" s="84"/>
      <c r="OL24" s="84"/>
      <c r="OM24" s="84"/>
      <c r="ON24" s="84"/>
      <c r="OO24" s="84"/>
      <c r="OP24" s="84"/>
      <c r="OQ24" s="84"/>
      <c r="OR24" s="84"/>
      <c r="OS24" s="84"/>
      <c r="OT24" s="84"/>
      <c r="OU24" s="84"/>
      <c r="OV24" s="84"/>
      <c r="OW24" s="84"/>
      <c r="OX24" s="84"/>
      <c r="OY24" s="84"/>
      <c r="OZ24" s="84"/>
      <c r="PA24" s="84"/>
      <c r="PB24" s="84"/>
      <c r="PC24" s="84"/>
      <c r="PD24" s="84"/>
      <c r="PE24" s="84"/>
      <c r="PF24" s="84"/>
      <c r="PG24" s="84"/>
      <c r="PH24" s="84"/>
      <c r="PI24" s="84"/>
      <c r="PJ24" s="84"/>
      <c r="PK24" s="84"/>
      <c r="PL24" s="84"/>
      <c r="PM24" s="84"/>
      <c r="PN24" s="84"/>
      <c r="PO24" s="84"/>
      <c r="PP24" s="84"/>
      <c r="PQ24" s="84"/>
      <c r="PR24" s="84"/>
      <c r="PS24" s="84"/>
      <c r="PT24" s="84"/>
      <c r="PU24" s="84"/>
      <c r="PV24" s="84"/>
      <c r="PW24" s="84"/>
      <c r="PX24" s="84"/>
      <c r="PY24" s="84"/>
      <c r="PZ24" s="84"/>
      <c r="QA24" s="84"/>
      <c r="QB24" s="84"/>
      <c r="QC24" s="84"/>
    </row>
    <row r="25" spans="1:445" s="85" customFormat="1" ht="15.75" x14ac:dyDescent="0.25">
      <c r="A25" s="92">
        <v>19</v>
      </c>
      <c r="B25" s="337">
        <v>2547</v>
      </c>
      <c r="C25" s="327" t="s">
        <v>357</v>
      </c>
      <c r="D25" s="1180" t="s">
        <v>760</v>
      </c>
      <c r="E25" s="329" t="s">
        <v>358</v>
      </c>
      <c r="F25" s="330">
        <v>38623</v>
      </c>
      <c r="G25" s="331" t="s">
        <v>260</v>
      </c>
      <c r="H25" s="332" t="s">
        <v>261</v>
      </c>
      <c r="I25" s="333" t="s">
        <v>262</v>
      </c>
      <c r="J25" s="329" t="s">
        <v>359</v>
      </c>
      <c r="K25" s="334" t="s">
        <v>360</v>
      </c>
      <c r="L25" s="334" t="s">
        <v>361</v>
      </c>
      <c r="M25" s="334" t="s">
        <v>362</v>
      </c>
      <c r="N25" s="334" t="s">
        <v>276</v>
      </c>
      <c r="O25" s="329" t="s">
        <v>359</v>
      </c>
      <c r="P25" s="335" t="s">
        <v>333</v>
      </c>
      <c r="Q25" s="335" t="s">
        <v>269</v>
      </c>
      <c r="R25" s="335" t="s">
        <v>90</v>
      </c>
      <c r="S25" s="336" t="s">
        <v>114</v>
      </c>
      <c r="T25" s="89"/>
      <c r="U25" s="90"/>
      <c r="V25" s="90"/>
      <c r="W25" s="91"/>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84"/>
      <c r="AW25" s="84"/>
      <c r="AX25" s="84"/>
      <c r="AY25" s="84"/>
      <c r="AZ25" s="84"/>
      <c r="BA25" s="84"/>
      <c r="BB25" s="84"/>
      <c r="BC25" s="84"/>
      <c r="BD25" s="84"/>
      <c r="BE25" s="84"/>
      <c r="BF25" s="84"/>
      <c r="BG25" s="84"/>
      <c r="BH25" s="84"/>
      <c r="BI25" s="84"/>
      <c r="BJ25" s="84"/>
      <c r="BK25" s="84"/>
      <c r="BL25" s="84"/>
      <c r="BM25" s="84"/>
      <c r="BN25" s="84"/>
      <c r="BO25" s="84"/>
      <c r="BP25" s="84"/>
      <c r="BQ25" s="84"/>
      <c r="BR25" s="84"/>
      <c r="BS25" s="84"/>
      <c r="BT25" s="84"/>
      <c r="BU25" s="84"/>
      <c r="BV25" s="84"/>
      <c r="BW25" s="84"/>
      <c r="BX25" s="84"/>
      <c r="BY25" s="84"/>
      <c r="BZ25" s="84"/>
      <c r="CA25" s="84"/>
      <c r="CB25" s="84"/>
      <c r="CC25" s="84"/>
      <c r="CD25" s="84"/>
      <c r="CE25" s="84"/>
      <c r="CF25" s="84"/>
      <c r="CG25" s="84"/>
      <c r="CH25" s="84"/>
      <c r="CI25" s="84"/>
      <c r="CJ25" s="84"/>
      <c r="CK25" s="84"/>
      <c r="CL25" s="84"/>
      <c r="CM25" s="84"/>
      <c r="CN25" s="84"/>
      <c r="CO25" s="84"/>
      <c r="CP25" s="84"/>
      <c r="CQ25" s="84"/>
      <c r="CR25" s="84"/>
      <c r="CS25" s="84"/>
      <c r="CT25" s="84"/>
      <c r="CU25" s="84"/>
      <c r="CV25" s="84"/>
      <c r="CW25" s="84"/>
      <c r="CX25" s="84"/>
      <c r="CY25" s="84"/>
      <c r="CZ25" s="84"/>
      <c r="DA25" s="84"/>
      <c r="DB25" s="84"/>
      <c r="DC25" s="84"/>
      <c r="DD25" s="84"/>
      <c r="DE25" s="84"/>
      <c r="DF25" s="84"/>
      <c r="DG25" s="84"/>
      <c r="DH25" s="84"/>
      <c r="DI25" s="84"/>
      <c r="DJ25" s="84"/>
      <c r="DK25" s="84"/>
      <c r="DL25" s="84"/>
      <c r="DM25" s="84"/>
      <c r="DN25" s="84"/>
      <c r="DO25" s="84"/>
      <c r="DP25" s="84"/>
      <c r="DQ25" s="84"/>
      <c r="DR25" s="84"/>
      <c r="DS25" s="84"/>
      <c r="DT25" s="84"/>
      <c r="DU25" s="84"/>
      <c r="DV25" s="84"/>
      <c r="DW25" s="84"/>
      <c r="DX25" s="84"/>
      <c r="DY25" s="84"/>
      <c r="DZ25" s="84"/>
      <c r="EA25" s="84"/>
      <c r="EB25" s="84"/>
      <c r="EC25" s="84"/>
      <c r="ED25" s="84"/>
      <c r="EE25" s="84"/>
      <c r="EF25" s="84"/>
      <c r="EG25" s="84"/>
      <c r="EH25" s="84"/>
      <c r="EI25" s="84"/>
      <c r="EJ25" s="84"/>
      <c r="EK25" s="84"/>
      <c r="EL25" s="84"/>
      <c r="EM25" s="84"/>
      <c r="EN25" s="84"/>
      <c r="EO25" s="84"/>
      <c r="EP25" s="84"/>
      <c r="EQ25" s="84"/>
      <c r="ER25" s="84"/>
      <c r="ES25" s="84"/>
      <c r="ET25" s="84"/>
      <c r="EU25" s="84"/>
      <c r="EV25" s="84"/>
      <c r="EW25" s="84"/>
      <c r="EX25" s="84"/>
      <c r="EY25" s="84"/>
      <c r="EZ25" s="84"/>
      <c r="FA25" s="84"/>
      <c r="FB25" s="84"/>
      <c r="FC25" s="84"/>
      <c r="FD25" s="84"/>
      <c r="FE25" s="84"/>
      <c r="FF25" s="84"/>
      <c r="FG25" s="84"/>
      <c r="FH25" s="84"/>
      <c r="FI25" s="84"/>
      <c r="FJ25" s="84"/>
      <c r="FK25" s="84"/>
      <c r="FL25" s="84"/>
      <c r="FM25" s="84"/>
      <c r="FN25" s="84"/>
      <c r="FO25" s="84"/>
      <c r="FP25" s="84"/>
      <c r="FQ25" s="84"/>
      <c r="FR25" s="84"/>
      <c r="FS25" s="84"/>
      <c r="FT25" s="84"/>
      <c r="FU25" s="84"/>
      <c r="FV25" s="84"/>
      <c r="FW25" s="84"/>
      <c r="FX25" s="84"/>
      <c r="FY25" s="84"/>
      <c r="FZ25" s="84"/>
      <c r="GA25" s="84"/>
      <c r="GB25" s="84"/>
      <c r="GC25" s="84"/>
      <c r="GD25" s="84"/>
      <c r="GE25" s="84"/>
      <c r="GF25" s="84"/>
      <c r="GG25" s="84"/>
      <c r="GH25" s="84"/>
      <c r="GI25" s="84"/>
      <c r="GJ25" s="84"/>
      <c r="GK25" s="84"/>
      <c r="GL25" s="84"/>
      <c r="GM25" s="84"/>
      <c r="GN25" s="84"/>
      <c r="GO25" s="84"/>
      <c r="GP25" s="84"/>
      <c r="GQ25" s="84"/>
      <c r="GR25" s="84"/>
      <c r="GS25" s="84"/>
      <c r="GT25" s="84"/>
      <c r="GU25" s="84"/>
      <c r="GV25" s="84"/>
      <c r="GW25" s="84"/>
      <c r="GX25" s="84"/>
      <c r="GY25" s="84"/>
      <c r="GZ25" s="84"/>
      <c r="HA25" s="84"/>
      <c r="HB25" s="84"/>
      <c r="HC25" s="84"/>
      <c r="HD25" s="84"/>
      <c r="HE25" s="84"/>
      <c r="HF25" s="84"/>
      <c r="HG25" s="84"/>
      <c r="HH25" s="84"/>
      <c r="HI25" s="84"/>
      <c r="HJ25" s="84"/>
      <c r="HK25" s="84"/>
      <c r="HL25" s="84"/>
      <c r="HM25" s="84"/>
      <c r="HN25" s="84"/>
      <c r="HO25" s="84"/>
      <c r="HP25" s="84"/>
      <c r="HQ25" s="84"/>
      <c r="HR25" s="84"/>
      <c r="HS25" s="84"/>
      <c r="HT25" s="84"/>
      <c r="HU25" s="84"/>
      <c r="HV25" s="84"/>
      <c r="HW25" s="84"/>
      <c r="HX25" s="84"/>
      <c r="HY25" s="84"/>
      <c r="HZ25" s="84"/>
      <c r="IA25" s="84"/>
      <c r="IB25" s="84"/>
      <c r="IC25" s="84"/>
      <c r="ID25" s="84"/>
      <c r="IE25" s="84"/>
      <c r="IF25" s="84"/>
      <c r="IG25" s="84"/>
      <c r="IH25" s="84"/>
      <c r="II25" s="84"/>
      <c r="IJ25" s="84"/>
      <c r="IK25" s="84"/>
      <c r="IL25" s="84"/>
      <c r="IM25" s="84"/>
      <c r="IN25" s="84"/>
      <c r="IO25" s="84"/>
      <c r="IP25" s="84"/>
      <c r="IQ25" s="84"/>
      <c r="IR25" s="84"/>
      <c r="IS25" s="84"/>
      <c r="IT25" s="84"/>
      <c r="IU25" s="84"/>
      <c r="IV25" s="84"/>
      <c r="IW25" s="84"/>
      <c r="IX25" s="84"/>
      <c r="IY25" s="84"/>
      <c r="IZ25" s="84"/>
      <c r="JA25" s="84"/>
      <c r="JB25" s="84"/>
      <c r="JC25" s="84"/>
      <c r="JD25" s="84"/>
      <c r="JE25" s="84"/>
      <c r="JF25" s="84"/>
      <c r="JG25" s="84"/>
      <c r="JH25" s="84"/>
      <c r="JI25" s="84"/>
      <c r="JJ25" s="84"/>
      <c r="JK25" s="84"/>
      <c r="JL25" s="84"/>
      <c r="JM25" s="84"/>
      <c r="JN25" s="84"/>
      <c r="JO25" s="84"/>
      <c r="JP25" s="84"/>
      <c r="JQ25" s="84"/>
      <c r="JR25" s="84"/>
      <c r="JS25" s="84"/>
      <c r="JT25" s="84"/>
      <c r="JU25" s="84"/>
      <c r="JV25" s="84"/>
      <c r="JW25" s="84"/>
      <c r="JX25" s="84"/>
      <c r="JY25" s="84"/>
      <c r="JZ25" s="84"/>
      <c r="KA25" s="84"/>
      <c r="KB25" s="84"/>
      <c r="KC25" s="84"/>
      <c r="KD25" s="84"/>
      <c r="KE25" s="84"/>
      <c r="KF25" s="84"/>
      <c r="KG25" s="84"/>
      <c r="KH25" s="84"/>
      <c r="KI25" s="84"/>
      <c r="KJ25" s="84"/>
      <c r="KK25" s="84"/>
      <c r="KL25" s="84"/>
      <c r="KM25" s="84"/>
      <c r="KN25" s="84"/>
      <c r="KO25" s="84"/>
      <c r="KP25" s="84"/>
      <c r="KQ25" s="84"/>
      <c r="KR25" s="84"/>
      <c r="KS25" s="84"/>
      <c r="KT25" s="84"/>
      <c r="KU25" s="84"/>
      <c r="KV25" s="84"/>
      <c r="KW25" s="84"/>
      <c r="KX25" s="84"/>
      <c r="KY25" s="84"/>
      <c r="KZ25" s="84"/>
      <c r="LA25" s="84"/>
      <c r="LB25" s="84"/>
      <c r="LC25" s="84"/>
      <c r="LD25" s="84"/>
      <c r="LE25" s="84"/>
      <c r="LF25" s="84"/>
      <c r="LG25" s="84"/>
      <c r="LH25" s="84"/>
      <c r="LI25" s="84"/>
      <c r="LJ25" s="84"/>
      <c r="LK25" s="84"/>
      <c r="LL25" s="84"/>
      <c r="LM25" s="84"/>
      <c r="LN25" s="84"/>
      <c r="LO25" s="84"/>
      <c r="LP25" s="84"/>
      <c r="LQ25" s="84"/>
      <c r="LR25" s="84"/>
      <c r="LS25" s="84"/>
      <c r="LT25" s="84"/>
      <c r="LU25" s="84"/>
      <c r="LV25" s="84"/>
      <c r="LW25" s="84"/>
      <c r="LX25" s="84"/>
      <c r="LY25" s="84"/>
      <c r="LZ25" s="84"/>
      <c r="MA25" s="84"/>
      <c r="MB25" s="84"/>
      <c r="MC25" s="84"/>
      <c r="MD25" s="84"/>
      <c r="ME25" s="84"/>
      <c r="MF25" s="84"/>
      <c r="MG25" s="84"/>
      <c r="MH25" s="84"/>
      <c r="MI25" s="84"/>
      <c r="MJ25" s="84"/>
      <c r="MK25" s="84"/>
      <c r="ML25" s="84"/>
      <c r="MM25" s="84"/>
      <c r="MN25" s="84"/>
      <c r="MO25" s="84"/>
      <c r="MP25" s="84"/>
      <c r="MQ25" s="84"/>
      <c r="MR25" s="84"/>
      <c r="MS25" s="84"/>
      <c r="MT25" s="84"/>
      <c r="MU25" s="84"/>
      <c r="MV25" s="84"/>
      <c r="MW25" s="84"/>
      <c r="MX25" s="84"/>
      <c r="MY25" s="84"/>
      <c r="MZ25" s="84"/>
      <c r="NA25" s="84"/>
      <c r="NB25" s="84"/>
      <c r="NC25" s="84"/>
      <c r="ND25" s="84"/>
      <c r="NE25" s="84"/>
      <c r="NF25" s="84"/>
      <c r="NG25" s="84"/>
      <c r="NH25" s="84"/>
      <c r="NI25" s="84"/>
      <c r="NJ25" s="84"/>
      <c r="NK25" s="84"/>
      <c r="NL25" s="84"/>
      <c r="NM25" s="84"/>
      <c r="NN25" s="84"/>
      <c r="NO25" s="84"/>
      <c r="NP25" s="84"/>
      <c r="NQ25" s="84"/>
      <c r="NR25" s="84"/>
      <c r="NS25" s="84"/>
      <c r="NT25" s="84"/>
      <c r="NU25" s="84"/>
      <c r="NV25" s="84"/>
      <c r="NW25" s="84"/>
      <c r="NX25" s="84"/>
      <c r="NY25" s="84"/>
      <c r="NZ25" s="84"/>
      <c r="OA25" s="84"/>
      <c r="OB25" s="84"/>
      <c r="OC25" s="84"/>
      <c r="OD25" s="84"/>
      <c r="OE25" s="84"/>
      <c r="OF25" s="84"/>
      <c r="OG25" s="84"/>
      <c r="OH25" s="84"/>
      <c r="OI25" s="84"/>
      <c r="OJ25" s="84"/>
      <c r="OK25" s="84"/>
      <c r="OL25" s="84"/>
      <c r="OM25" s="84"/>
      <c r="ON25" s="84"/>
      <c r="OO25" s="84"/>
      <c r="OP25" s="84"/>
      <c r="OQ25" s="84"/>
      <c r="OR25" s="84"/>
      <c r="OS25" s="84"/>
      <c r="OT25" s="84"/>
      <c r="OU25" s="84"/>
      <c r="OV25" s="84"/>
      <c r="OW25" s="84"/>
      <c r="OX25" s="84"/>
      <c r="OY25" s="84"/>
      <c r="OZ25" s="84"/>
      <c r="PA25" s="84"/>
      <c r="PB25" s="84"/>
      <c r="PC25" s="84"/>
      <c r="PD25" s="84"/>
      <c r="PE25" s="84"/>
      <c r="PF25" s="84"/>
      <c r="PG25" s="84"/>
      <c r="PH25" s="84"/>
      <c r="PI25" s="84"/>
      <c r="PJ25" s="84"/>
      <c r="PK25" s="84"/>
      <c r="PL25" s="84"/>
      <c r="PM25" s="84"/>
      <c r="PN25" s="84"/>
      <c r="PO25" s="84"/>
      <c r="PP25" s="84"/>
      <c r="PQ25" s="84"/>
      <c r="PR25" s="84"/>
      <c r="PS25" s="84"/>
      <c r="PT25" s="84"/>
      <c r="PU25" s="84"/>
      <c r="PV25" s="84"/>
      <c r="PW25" s="84"/>
      <c r="PX25" s="84"/>
      <c r="PY25" s="84"/>
      <c r="PZ25" s="84"/>
      <c r="QA25" s="84"/>
      <c r="QB25" s="84"/>
      <c r="QC25" s="84"/>
    </row>
    <row r="26" spans="1:445" s="85" customFormat="1" ht="15.75" x14ac:dyDescent="0.25">
      <c r="A26" s="86">
        <v>20</v>
      </c>
      <c r="B26" s="337">
        <v>2548</v>
      </c>
      <c r="C26" s="327" t="s">
        <v>363</v>
      </c>
      <c r="D26" s="1180" t="s">
        <v>761</v>
      </c>
      <c r="E26" s="329" t="s">
        <v>113</v>
      </c>
      <c r="F26" s="330">
        <v>38533</v>
      </c>
      <c r="G26" s="331" t="s">
        <v>271</v>
      </c>
      <c r="H26" s="332" t="s">
        <v>261</v>
      </c>
      <c r="I26" s="333" t="s">
        <v>262</v>
      </c>
      <c r="J26" s="329" t="s">
        <v>364</v>
      </c>
      <c r="K26" s="334" t="s">
        <v>365</v>
      </c>
      <c r="L26" s="334" t="s">
        <v>366</v>
      </c>
      <c r="M26" s="334" t="s">
        <v>267</v>
      </c>
      <c r="N26" s="334" t="s">
        <v>276</v>
      </c>
      <c r="O26" s="329" t="s">
        <v>364</v>
      </c>
      <c r="P26" s="335" t="s">
        <v>316</v>
      </c>
      <c r="Q26" s="335" t="s">
        <v>112</v>
      </c>
      <c r="R26" s="335" t="s">
        <v>90</v>
      </c>
      <c r="S26" s="336" t="s">
        <v>114</v>
      </c>
      <c r="T26" s="89"/>
      <c r="U26" s="90"/>
      <c r="V26" s="90"/>
      <c r="W26" s="91"/>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84"/>
      <c r="AW26" s="84"/>
      <c r="AX26" s="84"/>
      <c r="AY26" s="84"/>
      <c r="AZ26" s="84"/>
      <c r="BA26" s="84"/>
      <c r="BB26" s="84"/>
      <c r="BC26" s="84"/>
      <c r="BD26" s="84"/>
      <c r="BE26" s="84"/>
      <c r="BF26" s="84"/>
      <c r="BG26" s="84"/>
      <c r="BH26" s="84"/>
      <c r="BI26" s="84"/>
      <c r="BJ26" s="84"/>
      <c r="BK26" s="84"/>
      <c r="BL26" s="84"/>
      <c r="BM26" s="84"/>
      <c r="BN26" s="84"/>
      <c r="BO26" s="84"/>
      <c r="BP26" s="84"/>
      <c r="BQ26" s="84"/>
      <c r="BR26" s="84"/>
      <c r="BS26" s="84"/>
      <c r="BT26" s="84"/>
      <c r="BU26" s="84"/>
      <c r="BV26" s="84"/>
      <c r="BW26" s="84"/>
      <c r="BX26" s="84"/>
      <c r="BY26" s="84"/>
      <c r="BZ26" s="84"/>
      <c r="CA26" s="84"/>
      <c r="CB26" s="84"/>
      <c r="CC26" s="84"/>
      <c r="CD26" s="84"/>
      <c r="CE26" s="84"/>
      <c r="CF26" s="84"/>
      <c r="CG26" s="84"/>
      <c r="CH26" s="84"/>
      <c r="CI26" s="84"/>
      <c r="CJ26" s="84"/>
      <c r="CK26" s="84"/>
      <c r="CL26" s="84"/>
      <c r="CM26" s="84"/>
      <c r="CN26" s="84"/>
      <c r="CO26" s="84"/>
      <c r="CP26" s="84"/>
      <c r="CQ26" s="84"/>
      <c r="CR26" s="84"/>
      <c r="CS26" s="84"/>
      <c r="CT26" s="84"/>
      <c r="CU26" s="84"/>
      <c r="CV26" s="84"/>
      <c r="CW26" s="84"/>
      <c r="CX26" s="84"/>
      <c r="CY26" s="84"/>
      <c r="CZ26" s="84"/>
      <c r="DA26" s="84"/>
      <c r="DB26" s="84"/>
      <c r="DC26" s="84"/>
      <c r="DD26" s="84"/>
      <c r="DE26" s="84"/>
      <c r="DF26" s="84"/>
      <c r="DG26" s="84"/>
      <c r="DH26" s="84"/>
      <c r="DI26" s="84"/>
      <c r="DJ26" s="84"/>
      <c r="DK26" s="84"/>
      <c r="DL26" s="84"/>
      <c r="DM26" s="84"/>
      <c r="DN26" s="84"/>
      <c r="DO26" s="84"/>
      <c r="DP26" s="84"/>
      <c r="DQ26" s="84"/>
      <c r="DR26" s="84"/>
      <c r="DS26" s="84"/>
      <c r="DT26" s="84"/>
      <c r="DU26" s="84"/>
      <c r="DV26" s="84"/>
      <c r="DW26" s="84"/>
      <c r="DX26" s="84"/>
      <c r="DY26" s="84"/>
      <c r="DZ26" s="84"/>
      <c r="EA26" s="84"/>
      <c r="EB26" s="84"/>
      <c r="EC26" s="84"/>
      <c r="ED26" s="84"/>
      <c r="EE26" s="84"/>
      <c r="EF26" s="84"/>
      <c r="EG26" s="84"/>
      <c r="EH26" s="84"/>
      <c r="EI26" s="84"/>
      <c r="EJ26" s="84"/>
      <c r="EK26" s="84"/>
      <c r="EL26" s="84"/>
      <c r="EM26" s="84"/>
      <c r="EN26" s="84"/>
      <c r="EO26" s="84"/>
      <c r="EP26" s="84"/>
      <c r="EQ26" s="84"/>
      <c r="ER26" s="84"/>
      <c r="ES26" s="84"/>
      <c r="ET26" s="84"/>
      <c r="EU26" s="84"/>
      <c r="EV26" s="84"/>
      <c r="EW26" s="84"/>
      <c r="EX26" s="84"/>
      <c r="EY26" s="84"/>
      <c r="EZ26" s="84"/>
      <c r="FA26" s="84"/>
      <c r="FB26" s="84"/>
      <c r="FC26" s="84"/>
      <c r="FD26" s="84"/>
      <c r="FE26" s="84"/>
      <c r="FF26" s="84"/>
      <c r="FG26" s="84"/>
      <c r="FH26" s="84"/>
      <c r="FI26" s="84"/>
      <c r="FJ26" s="84"/>
      <c r="FK26" s="84"/>
      <c r="FL26" s="84"/>
      <c r="FM26" s="84"/>
      <c r="FN26" s="84"/>
      <c r="FO26" s="84"/>
      <c r="FP26" s="84"/>
      <c r="FQ26" s="84"/>
      <c r="FR26" s="84"/>
      <c r="FS26" s="84"/>
      <c r="FT26" s="84"/>
      <c r="FU26" s="84"/>
      <c r="FV26" s="84"/>
      <c r="FW26" s="84"/>
      <c r="FX26" s="84"/>
      <c r="FY26" s="84"/>
      <c r="FZ26" s="84"/>
      <c r="GA26" s="84"/>
      <c r="GB26" s="84"/>
      <c r="GC26" s="84"/>
      <c r="GD26" s="84"/>
      <c r="GE26" s="84"/>
      <c r="GF26" s="84"/>
      <c r="GG26" s="84"/>
      <c r="GH26" s="84"/>
      <c r="GI26" s="84"/>
      <c r="GJ26" s="84"/>
      <c r="GK26" s="84"/>
      <c r="GL26" s="84"/>
      <c r="GM26" s="84"/>
      <c r="GN26" s="84"/>
      <c r="GO26" s="84"/>
      <c r="GP26" s="84"/>
      <c r="GQ26" s="84"/>
      <c r="GR26" s="84"/>
      <c r="GS26" s="84"/>
      <c r="GT26" s="84"/>
      <c r="GU26" s="84"/>
      <c r="GV26" s="84"/>
      <c r="GW26" s="84"/>
      <c r="GX26" s="84"/>
      <c r="GY26" s="84"/>
      <c r="GZ26" s="84"/>
      <c r="HA26" s="84"/>
      <c r="HB26" s="84"/>
      <c r="HC26" s="84"/>
      <c r="HD26" s="84"/>
      <c r="HE26" s="84"/>
      <c r="HF26" s="84"/>
      <c r="HG26" s="84"/>
      <c r="HH26" s="84"/>
      <c r="HI26" s="84"/>
      <c r="HJ26" s="84"/>
      <c r="HK26" s="84"/>
      <c r="HL26" s="84"/>
      <c r="HM26" s="84"/>
      <c r="HN26" s="84"/>
      <c r="HO26" s="84"/>
      <c r="HP26" s="84"/>
      <c r="HQ26" s="84"/>
      <c r="HR26" s="84"/>
      <c r="HS26" s="84"/>
      <c r="HT26" s="84"/>
      <c r="HU26" s="84"/>
      <c r="HV26" s="84"/>
      <c r="HW26" s="84"/>
      <c r="HX26" s="84"/>
      <c r="HY26" s="84"/>
      <c r="HZ26" s="84"/>
      <c r="IA26" s="84"/>
      <c r="IB26" s="84"/>
      <c r="IC26" s="84"/>
      <c r="ID26" s="84"/>
      <c r="IE26" s="84"/>
      <c r="IF26" s="84"/>
      <c r="IG26" s="84"/>
      <c r="IH26" s="84"/>
      <c r="II26" s="84"/>
      <c r="IJ26" s="84"/>
      <c r="IK26" s="84"/>
      <c r="IL26" s="84"/>
      <c r="IM26" s="84"/>
      <c r="IN26" s="84"/>
      <c r="IO26" s="84"/>
      <c r="IP26" s="84"/>
      <c r="IQ26" s="84"/>
      <c r="IR26" s="84"/>
      <c r="IS26" s="84"/>
      <c r="IT26" s="84"/>
      <c r="IU26" s="84"/>
      <c r="IV26" s="84"/>
      <c r="IW26" s="84"/>
      <c r="IX26" s="84"/>
      <c r="IY26" s="84"/>
      <c r="IZ26" s="84"/>
      <c r="JA26" s="84"/>
      <c r="JB26" s="84"/>
      <c r="JC26" s="84"/>
      <c r="JD26" s="84"/>
      <c r="JE26" s="84"/>
      <c r="JF26" s="84"/>
      <c r="JG26" s="84"/>
      <c r="JH26" s="84"/>
      <c r="JI26" s="84"/>
      <c r="JJ26" s="84"/>
      <c r="JK26" s="84"/>
      <c r="JL26" s="84"/>
      <c r="JM26" s="84"/>
      <c r="JN26" s="84"/>
      <c r="JO26" s="84"/>
      <c r="JP26" s="84"/>
      <c r="JQ26" s="84"/>
      <c r="JR26" s="84"/>
      <c r="JS26" s="84"/>
      <c r="JT26" s="84"/>
      <c r="JU26" s="84"/>
      <c r="JV26" s="84"/>
      <c r="JW26" s="84"/>
      <c r="JX26" s="84"/>
      <c r="JY26" s="84"/>
      <c r="JZ26" s="84"/>
      <c r="KA26" s="84"/>
      <c r="KB26" s="84"/>
      <c r="KC26" s="84"/>
      <c r="KD26" s="84"/>
      <c r="KE26" s="84"/>
      <c r="KF26" s="84"/>
      <c r="KG26" s="84"/>
      <c r="KH26" s="84"/>
      <c r="KI26" s="84"/>
      <c r="KJ26" s="84"/>
      <c r="KK26" s="84"/>
      <c r="KL26" s="84"/>
      <c r="KM26" s="84"/>
      <c r="KN26" s="84"/>
      <c r="KO26" s="84"/>
      <c r="KP26" s="84"/>
      <c r="KQ26" s="84"/>
      <c r="KR26" s="84"/>
      <c r="KS26" s="84"/>
      <c r="KT26" s="84"/>
      <c r="KU26" s="84"/>
      <c r="KV26" s="84"/>
      <c r="KW26" s="84"/>
      <c r="KX26" s="84"/>
      <c r="KY26" s="84"/>
      <c r="KZ26" s="84"/>
      <c r="LA26" s="84"/>
      <c r="LB26" s="84"/>
      <c r="LC26" s="84"/>
      <c r="LD26" s="84"/>
      <c r="LE26" s="84"/>
      <c r="LF26" s="84"/>
      <c r="LG26" s="84"/>
      <c r="LH26" s="84"/>
      <c r="LI26" s="84"/>
      <c r="LJ26" s="84"/>
      <c r="LK26" s="84"/>
      <c r="LL26" s="84"/>
      <c r="LM26" s="84"/>
      <c r="LN26" s="84"/>
      <c r="LO26" s="84"/>
      <c r="LP26" s="84"/>
      <c r="LQ26" s="84"/>
      <c r="LR26" s="84"/>
      <c r="LS26" s="84"/>
      <c r="LT26" s="84"/>
      <c r="LU26" s="84"/>
      <c r="LV26" s="84"/>
      <c r="LW26" s="84"/>
      <c r="LX26" s="84"/>
      <c r="LY26" s="84"/>
      <c r="LZ26" s="84"/>
      <c r="MA26" s="84"/>
      <c r="MB26" s="84"/>
      <c r="MC26" s="84"/>
      <c r="MD26" s="84"/>
      <c r="ME26" s="84"/>
      <c r="MF26" s="84"/>
      <c r="MG26" s="84"/>
      <c r="MH26" s="84"/>
      <c r="MI26" s="84"/>
      <c r="MJ26" s="84"/>
      <c r="MK26" s="84"/>
      <c r="ML26" s="84"/>
      <c r="MM26" s="84"/>
      <c r="MN26" s="84"/>
      <c r="MO26" s="84"/>
      <c r="MP26" s="84"/>
      <c r="MQ26" s="84"/>
      <c r="MR26" s="84"/>
      <c r="MS26" s="84"/>
      <c r="MT26" s="84"/>
      <c r="MU26" s="84"/>
      <c r="MV26" s="84"/>
      <c r="MW26" s="84"/>
      <c r="MX26" s="84"/>
      <c r="MY26" s="84"/>
      <c r="MZ26" s="84"/>
      <c r="NA26" s="84"/>
      <c r="NB26" s="84"/>
      <c r="NC26" s="84"/>
      <c r="ND26" s="84"/>
      <c r="NE26" s="84"/>
      <c r="NF26" s="84"/>
      <c r="NG26" s="84"/>
      <c r="NH26" s="84"/>
      <c r="NI26" s="84"/>
      <c r="NJ26" s="84"/>
      <c r="NK26" s="84"/>
      <c r="NL26" s="84"/>
      <c r="NM26" s="84"/>
      <c r="NN26" s="84"/>
      <c r="NO26" s="84"/>
      <c r="NP26" s="84"/>
      <c r="NQ26" s="84"/>
      <c r="NR26" s="84"/>
      <c r="NS26" s="84"/>
      <c r="NT26" s="84"/>
      <c r="NU26" s="84"/>
      <c r="NV26" s="84"/>
      <c r="NW26" s="84"/>
      <c r="NX26" s="84"/>
      <c r="NY26" s="84"/>
      <c r="NZ26" s="84"/>
      <c r="OA26" s="84"/>
      <c r="OB26" s="84"/>
      <c r="OC26" s="84"/>
      <c r="OD26" s="84"/>
      <c r="OE26" s="84"/>
      <c r="OF26" s="84"/>
      <c r="OG26" s="84"/>
      <c r="OH26" s="84"/>
      <c r="OI26" s="84"/>
      <c r="OJ26" s="84"/>
      <c r="OK26" s="84"/>
      <c r="OL26" s="84"/>
      <c r="OM26" s="84"/>
      <c r="ON26" s="84"/>
      <c r="OO26" s="84"/>
      <c r="OP26" s="84"/>
      <c r="OQ26" s="84"/>
      <c r="OR26" s="84"/>
      <c r="OS26" s="84"/>
      <c r="OT26" s="84"/>
      <c r="OU26" s="84"/>
      <c r="OV26" s="84"/>
      <c r="OW26" s="84"/>
      <c r="OX26" s="84"/>
      <c r="OY26" s="84"/>
      <c r="OZ26" s="84"/>
      <c r="PA26" s="84"/>
      <c r="PB26" s="84"/>
      <c r="PC26" s="84"/>
      <c r="PD26" s="84"/>
      <c r="PE26" s="84"/>
      <c r="PF26" s="84"/>
      <c r="PG26" s="84"/>
      <c r="PH26" s="84"/>
      <c r="PI26" s="84"/>
      <c r="PJ26" s="84"/>
      <c r="PK26" s="84"/>
      <c r="PL26" s="84"/>
      <c r="PM26" s="84"/>
      <c r="PN26" s="84"/>
      <c r="PO26" s="84"/>
      <c r="PP26" s="84"/>
      <c r="PQ26" s="84"/>
      <c r="PR26" s="84"/>
      <c r="PS26" s="84"/>
      <c r="PT26" s="84"/>
      <c r="PU26" s="84"/>
      <c r="PV26" s="84"/>
      <c r="PW26" s="84"/>
      <c r="PX26" s="84"/>
      <c r="PY26" s="84"/>
      <c r="PZ26" s="84"/>
      <c r="QA26" s="84"/>
      <c r="QB26" s="84"/>
      <c r="QC26" s="84"/>
    </row>
    <row r="27" spans="1:445" s="85" customFormat="1" ht="15.75" x14ac:dyDescent="0.25">
      <c r="A27" s="92">
        <v>21</v>
      </c>
      <c r="B27" s="337">
        <v>2549</v>
      </c>
      <c r="C27" s="327" t="s">
        <v>367</v>
      </c>
      <c r="D27" s="1180" t="s">
        <v>762</v>
      </c>
      <c r="E27" s="329" t="s">
        <v>368</v>
      </c>
      <c r="F27" s="330">
        <v>38188</v>
      </c>
      <c r="G27" s="331" t="s">
        <v>260</v>
      </c>
      <c r="H27" s="332" t="s">
        <v>261</v>
      </c>
      <c r="I27" s="333" t="s">
        <v>262</v>
      </c>
      <c r="J27" s="329" t="s">
        <v>369</v>
      </c>
      <c r="K27" s="334" t="s">
        <v>370</v>
      </c>
      <c r="L27" s="334" t="s">
        <v>371</v>
      </c>
      <c r="M27" s="334" t="s">
        <v>310</v>
      </c>
      <c r="N27" s="334" t="s">
        <v>310</v>
      </c>
      <c r="O27" s="329" t="s">
        <v>369</v>
      </c>
      <c r="P27" s="335" t="s">
        <v>372</v>
      </c>
      <c r="Q27" s="335" t="s">
        <v>269</v>
      </c>
      <c r="R27" s="335" t="s">
        <v>90</v>
      </c>
      <c r="S27" s="336" t="s">
        <v>114</v>
      </c>
      <c r="T27" s="89"/>
      <c r="U27" s="90"/>
      <c r="V27" s="90"/>
      <c r="W27" s="91"/>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84"/>
      <c r="AW27" s="84"/>
      <c r="AX27" s="84"/>
      <c r="AY27" s="84"/>
      <c r="AZ27" s="84"/>
      <c r="BA27" s="84"/>
      <c r="BB27" s="84"/>
      <c r="BC27" s="84"/>
      <c r="BD27" s="84"/>
      <c r="BE27" s="84"/>
      <c r="BF27" s="84"/>
      <c r="BG27" s="84"/>
      <c r="BH27" s="84"/>
      <c r="BI27" s="84"/>
      <c r="BJ27" s="84"/>
      <c r="BK27" s="84"/>
      <c r="BL27" s="84"/>
      <c r="BM27" s="84"/>
      <c r="BN27" s="84"/>
      <c r="BO27" s="84"/>
      <c r="BP27" s="84"/>
      <c r="BQ27" s="84"/>
      <c r="BR27" s="84"/>
      <c r="BS27" s="84"/>
      <c r="BT27" s="84"/>
      <c r="BU27" s="84"/>
      <c r="BV27" s="84"/>
      <c r="BW27" s="84"/>
      <c r="BX27" s="84"/>
      <c r="BY27" s="84"/>
      <c r="BZ27" s="84"/>
      <c r="CA27" s="84"/>
      <c r="CB27" s="84"/>
      <c r="CC27" s="84"/>
      <c r="CD27" s="84"/>
      <c r="CE27" s="84"/>
      <c r="CF27" s="84"/>
      <c r="CG27" s="84"/>
      <c r="CH27" s="84"/>
      <c r="CI27" s="84"/>
      <c r="CJ27" s="84"/>
      <c r="CK27" s="84"/>
      <c r="CL27" s="84"/>
      <c r="CM27" s="84"/>
      <c r="CN27" s="84"/>
      <c r="CO27" s="84"/>
      <c r="CP27" s="84"/>
      <c r="CQ27" s="84"/>
      <c r="CR27" s="84"/>
      <c r="CS27" s="84"/>
      <c r="CT27" s="84"/>
      <c r="CU27" s="84"/>
      <c r="CV27" s="84"/>
      <c r="CW27" s="84"/>
      <c r="CX27" s="84"/>
      <c r="CY27" s="84"/>
      <c r="CZ27" s="84"/>
      <c r="DA27" s="84"/>
      <c r="DB27" s="84"/>
      <c r="DC27" s="84"/>
      <c r="DD27" s="84"/>
      <c r="DE27" s="84"/>
      <c r="DF27" s="84"/>
      <c r="DG27" s="84"/>
      <c r="DH27" s="84"/>
      <c r="DI27" s="84"/>
      <c r="DJ27" s="84"/>
      <c r="DK27" s="84"/>
      <c r="DL27" s="84"/>
      <c r="DM27" s="84"/>
      <c r="DN27" s="84"/>
      <c r="DO27" s="84"/>
      <c r="DP27" s="84"/>
      <c r="DQ27" s="84"/>
      <c r="DR27" s="84"/>
      <c r="DS27" s="84"/>
      <c r="DT27" s="84"/>
      <c r="DU27" s="84"/>
      <c r="DV27" s="84"/>
      <c r="DW27" s="84"/>
      <c r="DX27" s="84"/>
      <c r="DY27" s="84"/>
      <c r="DZ27" s="84"/>
      <c r="EA27" s="84"/>
      <c r="EB27" s="84"/>
      <c r="EC27" s="84"/>
      <c r="ED27" s="84"/>
      <c r="EE27" s="84"/>
      <c r="EF27" s="84"/>
      <c r="EG27" s="84"/>
      <c r="EH27" s="84"/>
      <c r="EI27" s="84"/>
      <c r="EJ27" s="84"/>
      <c r="EK27" s="84"/>
      <c r="EL27" s="84"/>
      <c r="EM27" s="84"/>
      <c r="EN27" s="84"/>
      <c r="EO27" s="84"/>
      <c r="EP27" s="84"/>
      <c r="EQ27" s="84"/>
      <c r="ER27" s="84"/>
      <c r="ES27" s="84"/>
      <c r="ET27" s="84"/>
      <c r="EU27" s="84"/>
      <c r="EV27" s="84"/>
      <c r="EW27" s="84"/>
      <c r="EX27" s="84"/>
      <c r="EY27" s="84"/>
      <c r="EZ27" s="84"/>
      <c r="FA27" s="84"/>
      <c r="FB27" s="84"/>
      <c r="FC27" s="84"/>
      <c r="FD27" s="84"/>
      <c r="FE27" s="84"/>
      <c r="FF27" s="84"/>
      <c r="FG27" s="84"/>
      <c r="FH27" s="84"/>
      <c r="FI27" s="84"/>
      <c r="FJ27" s="84"/>
      <c r="FK27" s="84"/>
      <c r="FL27" s="84"/>
      <c r="FM27" s="84"/>
      <c r="FN27" s="84"/>
      <c r="FO27" s="84"/>
      <c r="FP27" s="84"/>
      <c r="FQ27" s="84"/>
      <c r="FR27" s="84"/>
      <c r="FS27" s="84"/>
      <c r="FT27" s="84"/>
      <c r="FU27" s="84"/>
      <c r="FV27" s="84"/>
      <c r="FW27" s="84"/>
      <c r="FX27" s="84"/>
      <c r="FY27" s="84"/>
      <c r="FZ27" s="84"/>
      <c r="GA27" s="84"/>
      <c r="GB27" s="84"/>
      <c r="GC27" s="84"/>
      <c r="GD27" s="84"/>
      <c r="GE27" s="84"/>
      <c r="GF27" s="84"/>
      <c r="GG27" s="84"/>
      <c r="GH27" s="84"/>
      <c r="GI27" s="84"/>
      <c r="GJ27" s="84"/>
      <c r="GK27" s="84"/>
      <c r="GL27" s="84"/>
      <c r="GM27" s="84"/>
      <c r="GN27" s="84"/>
      <c r="GO27" s="84"/>
      <c r="GP27" s="84"/>
      <c r="GQ27" s="84"/>
      <c r="GR27" s="84"/>
      <c r="GS27" s="84"/>
      <c r="GT27" s="84"/>
      <c r="GU27" s="84"/>
      <c r="GV27" s="84"/>
      <c r="GW27" s="84"/>
      <c r="GX27" s="84"/>
      <c r="GY27" s="84"/>
      <c r="GZ27" s="84"/>
      <c r="HA27" s="84"/>
      <c r="HB27" s="84"/>
      <c r="HC27" s="84"/>
      <c r="HD27" s="84"/>
      <c r="HE27" s="84"/>
      <c r="HF27" s="84"/>
      <c r="HG27" s="84"/>
      <c r="HH27" s="84"/>
      <c r="HI27" s="84"/>
      <c r="HJ27" s="84"/>
      <c r="HK27" s="84"/>
      <c r="HL27" s="84"/>
      <c r="HM27" s="84"/>
      <c r="HN27" s="84"/>
      <c r="HO27" s="84"/>
      <c r="HP27" s="84"/>
      <c r="HQ27" s="84"/>
      <c r="HR27" s="84"/>
      <c r="HS27" s="84"/>
      <c r="HT27" s="84"/>
      <c r="HU27" s="84"/>
      <c r="HV27" s="84"/>
      <c r="HW27" s="84"/>
      <c r="HX27" s="84"/>
      <c r="HY27" s="84"/>
      <c r="HZ27" s="84"/>
      <c r="IA27" s="84"/>
      <c r="IB27" s="84"/>
      <c r="IC27" s="84"/>
      <c r="ID27" s="84"/>
      <c r="IE27" s="84"/>
      <c r="IF27" s="84"/>
      <c r="IG27" s="84"/>
      <c r="IH27" s="84"/>
      <c r="II27" s="84"/>
      <c r="IJ27" s="84"/>
      <c r="IK27" s="84"/>
      <c r="IL27" s="84"/>
      <c r="IM27" s="84"/>
      <c r="IN27" s="84"/>
      <c r="IO27" s="84"/>
      <c r="IP27" s="84"/>
      <c r="IQ27" s="84"/>
      <c r="IR27" s="84"/>
      <c r="IS27" s="84"/>
      <c r="IT27" s="84"/>
      <c r="IU27" s="84"/>
      <c r="IV27" s="84"/>
      <c r="IW27" s="84"/>
      <c r="IX27" s="84"/>
      <c r="IY27" s="84"/>
      <c r="IZ27" s="84"/>
      <c r="JA27" s="84"/>
      <c r="JB27" s="84"/>
      <c r="JC27" s="84"/>
      <c r="JD27" s="84"/>
      <c r="JE27" s="84"/>
      <c r="JF27" s="84"/>
      <c r="JG27" s="84"/>
      <c r="JH27" s="84"/>
      <c r="JI27" s="84"/>
      <c r="JJ27" s="84"/>
      <c r="JK27" s="84"/>
      <c r="JL27" s="84"/>
      <c r="JM27" s="84"/>
      <c r="JN27" s="84"/>
      <c r="JO27" s="84"/>
      <c r="JP27" s="84"/>
      <c r="JQ27" s="84"/>
      <c r="JR27" s="84"/>
      <c r="JS27" s="84"/>
      <c r="JT27" s="84"/>
      <c r="JU27" s="84"/>
      <c r="JV27" s="84"/>
      <c r="JW27" s="84"/>
      <c r="JX27" s="84"/>
      <c r="JY27" s="84"/>
      <c r="JZ27" s="84"/>
      <c r="KA27" s="84"/>
      <c r="KB27" s="84"/>
      <c r="KC27" s="84"/>
      <c r="KD27" s="84"/>
      <c r="KE27" s="84"/>
      <c r="KF27" s="84"/>
      <c r="KG27" s="84"/>
      <c r="KH27" s="84"/>
      <c r="KI27" s="84"/>
      <c r="KJ27" s="84"/>
      <c r="KK27" s="84"/>
      <c r="KL27" s="84"/>
      <c r="KM27" s="84"/>
      <c r="KN27" s="84"/>
      <c r="KO27" s="84"/>
      <c r="KP27" s="84"/>
      <c r="KQ27" s="84"/>
      <c r="KR27" s="84"/>
      <c r="KS27" s="84"/>
      <c r="KT27" s="84"/>
      <c r="KU27" s="84"/>
      <c r="KV27" s="84"/>
      <c r="KW27" s="84"/>
      <c r="KX27" s="84"/>
      <c r="KY27" s="84"/>
      <c r="KZ27" s="84"/>
      <c r="LA27" s="84"/>
      <c r="LB27" s="84"/>
      <c r="LC27" s="84"/>
      <c r="LD27" s="84"/>
      <c r="LE27" s="84"/>
      <c r="LF27" s="84"/>
      <c r="LG27" s="84"/>
      <c r="LH27" s="84"/>
      <c r="LI27" s="84"/>
      <c r="LJ27" s="84"/>
      <c r="LK27" s="84"/>
      <c r="LL27" s="84"/>
      <c r="LM27" s="84"/>
      <c r="LN27" s="84"/>
      <c r="LO27" s="84"/>
      <c r="LP27" s="84"/>
      <c r="LQ27" s="84"/>
      <c r="LR27" s="84"/>
      <c r="LS27" s="84"/>
      <c r="LT27" s="84"/>
      <c r="LU27" s="84"/>
      <c r="LV27" s="84"/>
      <c r="LW27" s="84"/>
      <c r="LX27" s="84"/>
      <c r="LY27" s="84"/>
      <c r="LZ27" s="84"/>
      <c r="MA27" s="84"/>
      <c r="MB27" s="84"/>
      <c r="MC27" s="84"/>
      <c r="MD27" s="84"/>
      <c r="ME27" s="84"/>
      <c r="MF27" s="84"/>
      <c r="MG27" s="84"/>
      <c r="MH27" s="84"/>
      <c r="MI27" s="84"/>
      <c r="MJ27" s="84"/>
      <c r="MK27" s="84"/>
      <c r="ML27" s="84"/>
      <c r="MM27" s="84"/>
      <c r="MN27" s="84"/>
      <c r="MO27" s="84"/>
      <c r="MP27" s="84"/>
      <c r="MQ27" s="84"/>
      <c r="MR27" s="84"/>
      <c r="MS27" s="84"/>
      <c r="MT27" s="84"/>
      <c r="MU27" s="84"/>
      <c r="MV27" s="84"/>
      <c r="MW27" s="84"/>
      <c r="MX27" s="84"/>
      <c r="MY27" s="84"/>
      <c r="MZ27" s="84"/>
      <c r="NA27" s="84"/>
      <c r="NB27" s="84"/>
      <c r="NC27" s="84"/>
      <c r="ND27" s="84"/>
      <c r="NE27" s="84"/>
      <c r="NF27" s="84"/>
      <c r="NG27" s="84"/>
      <c r="NH27" s="84"/>
      <c r="NI27" s="84"/>
      <c r="NJ27" s="84"/>
      <c r="NK27" s="84"/>
      <c r="NL27" s="84"/>
      <c r="NM27" s="84"/>
      <c r="NN27" s="84"/>
      <c r="NO27" s="84"/>
      <c r="NP27" s="84"/>
      <c r="NQ27" s="84"/>
      <c r="NR27" s="84"/>
      <c r="NS27" s="84"/>
      <c r="NT27" s="84"/>
      <c r="NU27" s="84"/>
      <c r="NV27" s="84"/>
      <c r="NW27" s="84"/>
      <c r="NX27" s="84"/>
      <c r="NY27" s="84"/>
      <c r="NZ27" s="84"/>
      <c r="OA27" s="84"/>
      <c r="OB27" s="84"/>
      <c r="OC27" s="84"/>
      <c r="OD27" s="84"/>
      <c r="OE27" s="84"/>
      <c r="OF27" s="84"/>
      <c r="OG27" s="84"/>
      <c r="OH27" s="84"/>
      <c r="OI27" s="84"/>
      <c r="OJ27" s="84"/>
      <c r="OK27" s="84"/>
      <c r="OL27" s="84"/>
      <c r="OM27" s="84"/>
      <c r="ON27" s="84"/>
      <c r="OO27" s="84"/>
      <c r="OP27" s="84"/>
      <c r="OQ27" s="84"/>
      <c r="OR27" s="84"/>
      <c r="OS27" s="84"/>
      <c r="OT27" s="84"/>
      <c r="OU27" s="84"/>
      <c r="OV27" s="84"/>
      <c r="OW27" s="84"/>
      <c r="OX27" s="84"/>
      <c r="OY27" s="84"/>
      <c r="OZ27" s="84"/>
      <c r="PA27" s="84"/>
      <c r="PB27" s="84"/>
      <c r="PC27" s="84"/>
      <c r="PD27" s="84"/>
      <c r="PE27" s="84"/>
      <c r="PF27" s="84"/>
      <c r="PG27" s="84"/>
      <c r="PH27" s="84"/>
      <c r="PI27" s="84"/>
      <c r="PJ27" s="84"/>
      <c r="PK27" s="84"/>
      <c r="PL27" s="84"/>
      <c r="PM27" s="84"/>
      <c r="PN27" s="84"/>
      <c r="PO27" s="84"/>
      <c r="PP27" s="84"/>
      <c r="PQ27" s="84"/>
      <c r="PR27" s="84"/>
      <c r="PS27" s="84"/>
      <c r="PT27" s="84"/>
      <c r="PU27" s="84"/>
      <c r="PV27" s="84"/>
      <c r="PW27" s="84"/>
      <c r="PX27" s="84"/>
      <c r="PY27" s="84"/>
      <c r="PZ27" s="84"/>
      <c r="QA27" s="84"/>
      <c r="QB27" s="84"/>
      <c r="QC27" s="84"/>
    </row>
    <row r="28" spans="1:445" s="85" customFormat="1" ht="15.75" x14ac:dyDescent="0.25">
      <c r="A28" s="86">
        <v>22</v>
      </c>
      <c r="B28" s="337">
        <v>2558</v>
      </c>
      <c r="C28" s="327" t="s">
        <v>373</v>
      </c>
      <c r="D28" s="1180" t="s">
        <v>763</v>
      </c>
      <c r="E28" s="329" t="s">
        <v>113</v>
      </c>
      <c r="F28" s="330">
        <v>38464</v>
      </c>
      <c r="G28" s="331" t="s">
        <v>260</v>
      </c>
      <c r="H28" s="332" t="s">
        <v>374</v>
      </c>
      <c r="I28" s="333" t="s">
        <v>262</v>
      </c>
      <c r="J28" s="329" t="s">
        <v>375</v>
      </c>
      <c r="K28" s="334" t="s">
        <v>376</v>
      </c>
      <c r="L28" s="334" t="s">
        <v>377</v>
      </c>
      <c r="M28" s="334" t="s">
        <v>310</v>
      </c>
      <c r="N28" s="334" t="s">
        <v>276</v>
      </c>
      <c r="O28" s="329" t="s">
        <v>375</v>
      </c>
      <c r="P28" s="335" t="s">
        <v>288</v>
      </c>
      <c r="Q28" s="335" t="s">
        <v>112</v>
      </c>
      <c r="R28" s="335" t="s">
        <v>90</v>
      </c>
      <c r="S28" s="336" t="s">
        <v>114</v>
      </c>
      <c r="T28" s="89"/>
      <c r="U28" s="90"/>
      <c r="V28" s="90"/>
      <c r="W28" s="91"/>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84"/>
      <c r="AW28" s="84"/>
      <c r="AX28" s="84"/>
      <c r="AY28" s="84"/>
      <c r="AZ28" s="84"/>
      <c r="BA28" s="84"/>
      <c r="BB28" s="84"/>
      <c r="BC28" s="84"/>
      <c r="BD28" s="84"/>
      <c r="BE28" s="84"/>
      <c r="BF28" s="84"/>
      <c r="BG28" s="84"/>
      <c r="BH28" s="84"/>
      <c r="BI28" s="84"/>
      <c r="BJ28" s="84"/>
      <c r="BK28" s="84"/>
      <c r="BL28" s="84"/>
      <c r="BM28" s="84"/>
      <c r="BN28" s="84"/>
      <c r="BO28" s="84"/>
      <c r="BP28" s="84"/>
      <c r="BQ28" s="84"/>
      <c r="BR28" s="84"/>
      <c r="BS28" s="84"/>
      <c r="BT28" s="84"/>
      <c r="BU28" s="84"/>
      <c r="BV28" s="84"/>
      <c r="BW28" s="84"/>
      <c r="BX28" s="84"/>
      <c r="BY28" s="84"/>
      <c r="BZ28" s="84"/>
      <c r="CA28" s="84"/>
      <c r="CB28" s="84"/>
      <c r="CC28" s="84"/>
      <c r="CD28" s="84"/>
      <c r="CE28" s="84"/>
      <c r="CF28" s="84"/>
      <c r="CG28" s="84"/>
      <c r="CH28" s="84"/>
      <c r="CI28" s="84"/>
      <c r="CJ28" s="84"/>
      <c r="CK28" s="84"/>
      <c r="CL28" s="84"/>
      <c r="CM28" s="84"/>
      <c r="CN28" s="84"/>
      <c r="CO28" s="84"/>
      <c r="CP28" s="84"/>
      <c r="CQ28" s="84"/>
      <c r="CR28" s="84"/>
      <c r="CS28" s="84"/>
      <c r="CT28" s="84"/>
      <c r="CU28" s="84"/>
      <c r="CV28" s="84"/>
      <c r="CW28" s="84"/>
      <c r="CX28" s="84"/>
      <c r="CY28" s="84"/>
      <c r="CZ28" s="84"/>
      <c r="DA28" s="84"/>
      <c r="DB28" s="84"/>
      <c r="DC28" s="84"/>
      <c r="DD28" s="84"/>
      <c r="DE28" s="84"/>
      <c r="DF28" s="84"/>
      <c r="DG28" s="84"/>
      <c r="DH28" s="84"/>
      <c r="DI28" s="84"/>
      <c r="DJ28" s="84"/>
      <c r="DK28" s="84"/>
      <c r="DL28" s="84"/>
      <c r="DM28" s="84"/>
      <c r="DN28" s="84"/>
      <c r="DO28" s="84"/>
      <c r="DP28" s="84"/>
      <c r="DQ28" s="84"/>
      <c r="DR28" s="84"/>
      <c r="DS28" s="84"/>
      <c r="DT28" s="84"/>
      <c r="DU28" s="84"/>
      <c r="DV28" s="84"/>
      <c r="DW28" s="84"/>
      <c r="DX28" s="84"/>
      <c r="DY28" s="84"/>
      <c r="DZ28" s="84"/>
      <c r="EA28" s="84"/>
      <c r="EB28" s="84"/>
      <c r="EC28" s="84"/>
      <c r="ED28" s="84"/>
      <c r="EE28" s="84"/>
      <c r="EF28" s="84"/>
      <c r="EG28" s="84"/>
      <c r="EH28" s="84"/>
      <c r="EI28" s="84"/>
      <c r="EJ28" s="84"/>
      <c r="EK28" s="84"/>
      <c r="EL28" s="84"/>
      <c r="EM28" s="84"/>
      <c r="EN28" s="84"/>
      <c r="EO28" s="84"/>
      <c r="EP28" s="84"/>
      <c r="EQ28" s="84"/>
      <c r="ER28" s="84"/>
      <c r="ES28" s="84"/>
      <c r="ET28" s="84"/>
      <c r="EU28" s="84"/>
      <c r="EV28" s="84"/>
      <c r="EW28" s="84"/>
      <c r="EX28" s="84"/>
      <c r="EY28" s="84"/>
      <c r="EZ28" s="84"/>
      <c r="FA28" s="84"/>
      <c r="FB28" s="84"/>
      <c r="FC28" s="84"/>
      <c r="FD28" s="84"/>
      <c r="FE28" s="84"/>
      <c r="FF28" s="84"/>
      <c r="FG28" s="84"/>
      <c r="FH28" s="84"/>
      <c r="FI28" s="84"/>
      <c r="FJ28" s="84"/>
      <c r="FK28" s="84"/>
      <c r="FL28" s="84"/>
      <c r="FM28" s="84"/>
      <c r="FN28" s="84"/>
      <c r="FO28" s="84"/>
      <c r="FP28" s="84"/>
      <c r="FQ28" s="84"/>
      <c r="FR28" s="84"/>
      <c r="FS28" s="84"/>
      <c r="FT28" s="84"/>
      <c r="FU28" s="84"/>
      <c r="FV28" s="84"/>
      <c r="FW28" s="84"/>
      <c r="FX28" s="84"/>
      <c r="FY28" s="84"/>
      <c r="FZ28" s="84"/>
      <c r="GA28" s="84"/>
      <c r="GB28" s="84"/>
      <c r="GC28" s="84"/>
      <c r="GD28" s="84"/>
      <c r="GE28" s="84"/>
      <c r="GF28" s="84"/>
      <c r="GG28" s="84"/>
      <c r="GH28" s="84"/>
      <c r="GI28" s="84"/>
      <c r="GJ28" s="84"/>
      <c r="GK28" s="84"/>
      <c r="GL28" s="84"/>
      <c r="GM28" s="84"/>
      <c r="GN28" s="84"/>
      <c r="GO28" s="84"/>
      <c r="GP28" s="84"/>
      <c r="GQ28" s="84"/>
      <c r="GR28" s="84"/>
      <c r="GS28" s="84"/>
      <c r="GT28" s="84"/>
      <c r="GU28" s="84"/>
      <c r="GV28" s="84"/>
      <c r="GW28" s="84"/>
      <c r="GX28" s="84"/>
      <c r="GY28" s="84"/>
      <c r="GZ28" s="84"/>
      <c r="HA28" s="84"/>
      <c r="HB28" s="84"/>
      <c r="HC28" s="84"/>
      <c r="HD28" s="84"/>
      <c r="HE28" s="84"/>
      <c r="HF28" s="84"/>
      <c r="HG28" s="84"/>
      <c r="HH28" s="84"/>
      <c r="HI28" s="84"/>
      <c r="HJ28" s="84"/>
      <c r="HK28" s="84"/>
      <c r="HL28" s="84"/>
      <c r="HM28" s="84"/>
      <c r="HN28" s="84"/>
      <c r="HO28" s="84"/>
      <c r="HP28" s="84"/>
      <c r="HQ28" s="84"/>
      <c r="HR28" s="84"/>
      <c r="HS28" s="84"/>
      <c r="HT28" s="84"/>
      <c r="HU28" s="84"/>
      <c r="HV28" s="84"/>
      <c r="HW28" s="84"/>
      <c r="HX28" s="84"/>
      <c r="HY28" s="84"/>
      <c r="HZ28" s="84"/>
      <c r="IA28" s="84"/>
      <c r="IB28" s="84"/>
      <c r="IC28" s="84"/>
      <c r="ID28" s="84"/>
      <c r="IE28" s="84"/>
      <c r="IF28" s="84"/>
      <c r="IG28" s="84"/>
      <c r="IH28" s="84"/>
      <c r="II28" s="84"/>
      <c r="IJ28" s="84"/>
      <c r="IK28" s="84"/>
      <c r="IL28" s="84"/>
      <c r="IM28" s="84"/>
      <c r="IN28" s="84"/>
      <c r="IO28" s="84"/>
      <c r="IP28" s="84"/>
      <c r="IQ28" s="84"/>
      <c r="IR28" s="84"/>
      <c r="IS28" s="84"/>
      <c r="IT28" s="84"/>
      <c r="IU28" s="84"/>
      <c r="IV28" s="84"/>
      <c r="IW28" s="84"/>
      <c r="IX28" s="84"/>
      <c r="IY28" s="84"/>
      <c r="IZ28" s="84"/>
      <c r="JA28" s="84"/>
      <c r="JB28" s="84"/>
      <c r="JC28" s="84"/>
      <c r="JD28" s="84"/>
      <c r="JE28" s="84"/>
      <c r="JF28" s="84"/>
      <c r="JG28" s="84"/>
      <c r="JH28" s="84"/>
      <c r="JI28" s="84"/>
      <c r="JJ28" s="84"/>
      <c r="JK28" s="84"/>
      <c r="JL28" s="84"/>
      <c r="JM28" s="84"/>
      <c r="JN28" s="84"/>
      <c r="JO28" s="84"/>
      <c r="JP28" s="84"/>
      <c r="JQ28" s="84"/>
      <c r="JR28" s="84"/>
      <c r="JS28" s="84"/>
      <c r="JT28" s="84"/>
      <c r="JU28" s="84"/>
      <c r="JV28" s="84"/>
      <c r="JW28" s="84"/>
      <c r="JX28" s="84"/>
      <c r="JY28" s="84"/>
      <c r="JZ28" s="84"/>
      <c r="KA28" s="84"/>
      <c r="KB28" s="84"/>
      <c r="KC28" s="84"/>
      <c r="KD28" s="84"/>
      <c r="KE28" s="84"/>
      <c r="KF28" s="84"/>
      <c r="KG28" s="84"/>
      <c r="KH28" s="84"/>
      <c r="KI28" s="84"/>
      <c r="KJ28" s="84"/>
      <c r="KK28" s="84"/>
      <c r="KL28" s="84"/>
      <c r="KM28" s="84"/>
      <c r="KN28" s="84"/>
      <c r="KO28" s="84"/>
      <c r="KP28" s="84"/>
      <c r="KQ28" s="84"/>
      <c r="KR28" s="84"/>
      <c r="KS28" s="84"/>
      <c r="KT28" s="84"/>
      <c r="KU28" s="84"/>
      <c r="KV28" s="84"/>
      <c r="KW28" s="84"/>
      <c r="KX28" s="84"/>
      <c r="KY28" s="84"/>
      <c r="KZ28" s="84"/>
      <c r="LA28" s="84"/>
      <c r="LB28" s="84"/>
      <c r="LC28" s="84"/>
      <c r="LD28" s="84"/>
      <c r="LE28" s="84"/>
      <c r="LF28" s="84"/>
      <c r="LG28" s="84"/>
      <c r="LH28" s="84"/>
      <c r="LI28" s="84"/>
      <c r="LJ28" s="84"/>
      <c r="LK28" s="84"/>
      <c r="LL28" s="84"/>
      <c r="LM28" s="84"/>
      <c r="LN28" s="84"/>
      <c r="LO28" s="84"/>
      <c r="LP28" s="84"/>
      <c r="LQ28" s="84"/>
      <c r="LR28" s="84"/>
      <c r="LS28" s="84"/>
      <c r="LT28" s="84"/>
      <c r="LU28" s="84"/>
      <c r="LV28" s="84"/>
      <c r="LW28" s="84"/>
      <c r="LX28" s="84"/>
      <c r="LY28" s="84"/>
      <c r="LZ28" s="84"/>
      <c r="MA28" s="84"/>
      <c r="MB28" s="84"/>
      <c r="MC28" s="84"/>
      <c r="MD28" s="84"/>
      <c r="ME28" s="84"/>
      <c r="MF28" s="84"/>
      <c r="MG28" s="84"/>
      <c r="MH28" s="84"/>
      <c r="MI28" s="84"/>
      <c r="MJ28" s="84"/>
      <c r="MK28" s="84"/>
      <c r="ML28" s="84"/>
      <c r="MM28" s="84"/>
      <c r="MN28" s="84"/>
      <c r="MO28" s="84"/>
      <c r="MP28" s="84"/>
      <c r="MQ28" s="84"/>
      <c r="MR28" s="84"/>
      <c r="MS28" s="84"/>
      <c r="MT28" s="84"/>
      <c r="MU28" s="84"/>
      <c r="MV28" s="84"/>
      <c r="MW28" s="84"/>
      <c r="MX28" s="84"/>
      <c r="MY28" s="84"/>
      <c r="MZ28" s="84"/>
      <c r="NA28" s="84"/>
      <c r="NB28" s="84"/>
      <c r="NC28" s="84"/>
      <c r="ND28" s="84"/>
      <c r="NE28" s="84"/>
      <c r="NF28" s="84"/>
      <c r="NG28" s="84"/>
      <c r="NH28" s="84"/>
      <c r="NI28" s="84"/>
      <c r="NJ28" s="84"/>
      <c r="NK28" s="84"/>
      <c r="NL28" s="84"/>
      <c r="NM28" s="84"/>
      <c r="NN28" s="84"/>
      <c r="NO28" s="84"/>
      <c r="NP28" s="84"/>
      <c r="NQ28" s="84"/>
      <c r="NR28" s="84"/>
      <c r="NS28" s="84"/>
      <c r="NT28" s="84"/>
      <c r="NU28" s="84"/>
      <c r="NV28" s="84"/>
      <c r="NW28" s="84"/>
      <c r="NX28" s="84"/>
      <c r="NY28" s="84"/>
      <c r="NZ28" s="84"/>
      <c r="OA28" s="84"/>
      <c r="OB28" s="84"/>
      <c r="OC28" s="84"/>
      <c r="OD28" s="84"/>
      <c r="OE28" s="84"/>
      <c r="OF28" s="84"/>
      <c r="OG28" s="84"/>
      <c r="OH28" s="84"/>
      <c r="OI28" s="84"/>
      <c r="OJ28" s="84"/>
      <c r="OK28" s="84"/>
      <c r="OL28" s="84"/>
      <c r="OM28" s="84"/>
      <c r="ON28" s="84"/>
      <c r="OO28" s="84"/>
      <c r="OP28" s="84"/>
      <c r="OQ28" s="84"/>
      <c r="OR28" s="84"/>
      <c r="OS28" s="84"/>
      <c r="OT28" s="84"/>
      <c r="OU28" s="84"/>
      <c r="OV28" s="84"/>
      <c r="OW28" s="84"/>
      <c r="OX28" s="84"/>
      <c r="OY28" s="84"/>
      <c r="OZ28" s="84"/>
      <c r="PA28" s="84"/>
      <c r="PB28" s="84"/>
      <c r="PC28" s="84"/>
      <c r="PD28" s="84"/>
      <c r="PE28" s="84"/>
      <c r="PF28" s="84"/>
      <c r="PG28" s="84"/>
      <c r="PH28" s="84"/>
      <c r="PI28" s="84"/>
      <c r="PJ28" s="84"/>
      <c r="PK28" s="84"/>
      <c r="PL28" s="84"/>
      <c r="PM28" s="84"/>
      <c r="PN28" s="84"/>
      <c r="PO28" s="84"/>
      <c r="PP28" s="84"/>
      <c r="PQ28" s="84"/>
      <c r="PR28" s="84"/>
      <c r="PS28" s="84"/>
      <c r="PT28" s="84"/>
      <c r="PU28" s="84"/>
      <c r="PV28" s="84"/>
      <c r="PW28" s="84"/>
      <c r="PX28" s="84"/>
      <c r="PY28" s="84"/>
      <c r="PZ28" s="84"/>
      <c r="QA28" s="84"/>
      <c r="QB28" s="84"/>
      <c r="QC28" s="84"/>
    </row>
    <row r="29" spans="1:445" s="85" customFormat="1" ht="15.75" x14ac:dyDescent="0.25">
      <c r="A29" s="92">
        <v>23</v>
      </c>
      <c r="B29" s="337">
        <v>2559</v>
      </c>
      <c r="C29" s="327" t="s">
        <v>378</v>
      </c>
      <c r="D29" s="1180" t="s">
        <v>764</v>
      </c>
      <c r="E29" s="329" t="s">
        <v>358</v>
      </c>
      <c r="F29" s="330">
        <v>38392</v>
      </c>
      <c r="G29" s="331" t="s">
        <v>271</v>
      </c>
      <c r="H29" s="332" t="s">
        <v>261</v>
      </c>
      <c r="I29" s="333" t="s">
        <v>262</v>
      </c>
      <c r="J29" s="329" t="s">
        <v>379</v>
      </c>
      <c r="K29" s="334" t="s">
        <v>380</v>
      </c>
      <c r="L29" s="334" t="s">
        <v>381</v>
      </c>
      <c r="M29" s="334" t="s">
        <v>267</v>
      </c>
      <c r="N29" s="334" t="s">
        <v>267</v>
      </c>
      <c r="O29" s="329" t="s">
        <v>379</v>
      </c>
      <c r="P29" s="335" t="s">
        <v>382</v>
      </c>
      <c r="Q29" s="335" t="s">
        <v>269</v>
      </c>
      <c r="R29" s="335" t="s">
        <v>90</v>
      </c>
      <c r="S29" s="336" t="s">
        <v>114</v>
      </c>
      <c r="T29" s="89"/>
      <c r="U29" s="90"/>
      <c r="V29" s="90"/>
      <c r="W29" s="91"/>
      <c r="X29" s="84"/>
      <c r="Y29" s="84"/>
      <c r="Z29" s="84"/>
      <c r="AA29" s="84"/>
      <c r="AB29" s="84"/>
      <c r="AC29" s="84"/>
      <c r="AD29" s="84"/>
      <c r="AE29" s="84"/>
      <c r="AF29" s="84"/>
      <c r="AG29" s="84"/>
      <c r="AH29" s="84"/>
      <c r="AI29" s="84"/>
      <c r="AJ29" s="84"/>
      <c r="AK29" s="84"/>
      <c r="AL29" s="84"/>
      <c r="AM29" s="84"/>
      <c r="AN29" s="84"/>
      <c r="AO29" s="84"/>
      <c r="AP29" s="84"/>
      <c r="AQ29" s="84"/>
      <c r="AR29" s="84"/>
      <c r="AS29" s="84"/>
      <c r="AT29" s="84"/>
      <c r="AU29" s="84"/>
      <c r="AV29" s="84"/>
      <c r="AW29" s="84"/>
      <c r="AX29" s="84"/>
      <c r="AY29" s="84"/>
      <c r="AZ29" s="84"/>
      <c r="BA29" s="84"/>
      <c r="BB29" s="84"/>
      <c r="BC29" s="84"/>
      <c r="BD29" s="84"/>
      <c r="BE29" s="84"/>
      <c r="BF29" s="84"/>
      <c r="BG29" s="84"/>
      <c r="BH29" s="84"/>
      <c r="BI29" s="84"/>
      <c r="BJ29" s="84"/>
      <c r="BK29" s="84"/>
      <c r="BL29" s="84"/>
      <c r="BM29" s="84"/>
      <c r="BN29" s="84"/>
      <c r="BO29" s="84"/>
      <c r="BP29" s="84"/>
      <c r="BQ29" s="84"/>
      <c r="BR29" s="84"/>
      <c r="BS29" s="84"/>
      <c r="BT29" s="84"/>
      <c r="BU29" s="84"/>
      <c r="BV29" s="84"/>
      <c r="BW29" s="84"/>
      <c r="BX29" s="84"/>
      <c r="BY29" s="84"/>
      <c r="BZ29" s="84"/>
      <c r="CA29" s="84"/>
      <c r="CB29" s="84"/>
      <c r="CC29" s="84"/>
      <c r="CD29" s="84"/>
      <c r="CE29" s="84"/>
      <c r="CF29" s="84"/>
      <c r="CG29" s="84"/>
      <c r="CH29" s="84"/>
      <c r="CI29" s="84"/>
      <c r="CJ29" s="84"/>
      <c r="CK29" s="84"/>
      <c r="CL29" s="84"/>
      <c r="CM29" s="84"/>
      <c r="CN29" s="84"/>
      <c r="CO29" s="84"/>
      <c r="CP29" s="84"/>
      <c r="CQ29" s="84"/>
      <c r="CR29" s="84"/>
      <c r="CS29" s="84"/>
      <c r="CT29" s="84"/>
      <c r="CU29" s="84"/>
      <c r="CV29" s="84"/>
      <c r="CW29" s="84"/>
      <c r="CX29" s="84"/>
      <c r="CY29" s="84"/>
      <c r="CZ29" s="84"/>
      <c r="DA29" s="84"/>
      <c r="DB29" s="84"/>
      <c r="DC29" s="84"/>
      <c r="DD29" s="84"/>
      <c r="DE29" s="84"/>
      <c r="DF29" s="84"/>
      <c r="DG29" s="84"/>
      <c r="DH29" s="84"/>
      <c r="DI29" s="84"/>
      <c r="DJ29" s="84"/>
      <c r="DK29" s="84"/>
      <c r="DL29" s="84"/>
      <c r="DM29" s="84"/>
      <c r="DN29" s="84"/>
      <c r="DO29" s="84"/>
      <c r="DP29" s="84"/>
      <c r="DQ29" s="84"/>
      <c r="DR29" s="84"/>
      <c r="DS29" s="84"/>
      <c r="DT29" s="84"/>
      <c r="DU29" s="84"/>
      <c r="DV29" s="84"/>
      <c r="DW29" s="84"/>
      <c r="DX29" s="84"/>
      <c r="DY29" s="84"/>
      <c r="DZ29" s="84"/>
      <c r="EA29" s="84"/>
      <c r="EB29" s="84"/>
      <c r="EC29" s="84"/>
      <c r="ED29" s="84"/>
      <c r="EE29" s="84"/>
      <c r="EF29" s="84"/>
      <c r="EG29" s="84"/>
      <c r="EH29" s="84"/>
      <c r="EI29" s="84"/>
      <c r="EJ29" s="84"/>
      <c r="EK29" s="84"/>
      <c r="EL29" s="84"/>
      <c r="EM29" s="84"/>
      <c r="EN29" s="84"/>
      <c r="EO29" s="84"/>
      <c r="EP29" s="84"/>
      <c r="EQ29" s="84"/>
      <c r="ER29" s="84"/>
      <c r="ES29" s="84"/>
      <c r="ET29" s="84"/>
      <c r="EU29" s="84"/>
      <c r="EV29" s="84"/>
      <c r="EW29" s="84"/>
      <c r="EX29" s="84"/>
      <c r="EY29" s="84"/>
      <c r="EZ29" s="84"/>
      <c r="FA29" s="84"/>
      <c r="FB29" s="84"/>
      <c r="FC29" s="84"/>
      <c r="FD29" s="84"/>
      <c r="FE29" s="84"/>
      <c r="FF29" s="84"/>
      <c r="FG29" s="84"/>
      <c r="FH29" s="84"/>
      <c r="FI29" s="84"/>
      <c r="FJ29" s="84"/>
      <c r="FK29" s="84"/>
      <c r="FL29" s="84"/>
      <c r="FM29" s="84"/>
      <c r="FN29" s="84"/>
      <c r="FO29" s="84"/>
      <c r="FP29" s="84"/>
      <c r="FQ29" s="84"/>
      <c r="FR29" s="84"/>
      <c r="FS29" s="84"/>
      <c r="FT29" s="84"/>
      <c r="FU29" s="84"/>
      <c r="FV29" s="84"/>
      <c r="FW29" s="84"/>
      <c r="FX29" s="84"/>
      <c r="FY29" s="84"/>
      <c r="FZ29" s="84"/>
      <c r="GA29" s="84"/>
      <c r="GB29" s="84"/>
      <c r="GC29" s="84"/>
      <c r="GD29" s="84"/>
      <c r="GE29" s="84"/>
      <c r="GF29" s="84"/>
      <c r="GG29" s="84"/>
      <c r="GH29" s="84"/>
      <c r="GI29" s="84"/>
      <c r="GJ29" s="84"/>
      <c r="GK29" s="84"/>
      <c r="GL29" s="84"/>
      <c r="GM29" s="84"/>
      <c r="GN29" s="84"/>
      <c r="GO29" s="84"/>
      <c r="GP29" s="84"/>
      <c r="GQ29" s="84"/>
      <c r="GR29" s="84"/>
      <c r="GS29" s="84"/>
      <c r="GT29" s="84"/>
      <c r="GU29" s="84"/>
      <c r="GV29" s="84"/>
      <c r="GW29" s="84"/>
      <c r="GX29" s="84"/>
      <c r="GY29" s="84"/>
      <c r="GZ29" s="84"/>
      <c r="HA29" s="84"/>
      <c r="HB29" s="84"/>
      <c r="HC29" s="84"/>
      <c r="HD29" s="84"/>
      <c r="HE29" s="84"/>
      <c r="HF29" s="84"/>
      <c r="HG29" s="84"/>
      <c r="HH29" s="84"/>
      <c r="HI29" s="84"/>
      <c r="HJ29" s="84"/>
      <c r="HK29" s="84"/>
      <c r="HL29" s="84"/>
      <c r="HM29" s="84"/>
      <c r="HN29" s="84"/>
      <c r="HO29" s="84"/>
      <c r="HP29" s="84"/>
      <c r="HQ29" s="84"/>
      <c r="HR29" s="84"/>
      <c r="HS29" s="84"/>
      <c r="HT29" s="84"/>
      <c r="HU29" s="84"/>
      <c r="HV29" s="84"/>
      <c r="HW29" s="84"/>
      <c r="HX29" s="84"/>
      <c r="HY29" s="84"/>
      <c r="HZ29" s="84"/>
      <c r="IA29" s="84"/>
      <c r="IB29" s="84"/>
      <c r="IC29" s="84"/>
      <c r="ID29" s="84"/>
      <c r="IE29" s="84"/>
      <c r="IF29" s="84"/>
      <c r="IG29" s="84"/>
      <c r="IH29" s="84"/>
      <c r="II29" s="84"/>
      <c r="IJ29" s="84"/>
      <c r="IK29" s="84"/>
      <c r="IL29" s="84"/>
      <c r="IM29" s="84"/>
      <c r="IN29" s="84"/>
      <c r="IO29" s="84"/>
      <c r="IP29" s="84"/>
      <c r="IQ29" s="84"/>
      <c r="IR29" s="84"/>
      <c r="IS29" s="84"/>
      <c r="IT29" s="84"/>
      <c r="IU29" s="84"/>
      <c r="IV29" s="84"/>
      <c r="IW29" s="84"/>
      <c r="IX29" s="84"/>
      <c r="IY29" s="84"/>
      <c r="IZ29" s="84"/>
      <c r="JA29" s="84"/>
      <c r="JB29" s="84"/>
      <c r="JC29" s="84"/>
      <c r="JD29" s="84"/>
      <c r="JE29" s="84"/>
      <c r="JF29" s="84"/>
      <c r="JG29" s="84"/>
      <c r="JH29" s="84"/>
      <c r="JI29" s="84"/>
      <c r="JJ29" s="84"/>
      <c r="JK29" s="84"/>
      <c r="JL29" s="84"/>
      <c r="JM29" s="84"/>
      <c r="JN29" s="84"/>
      <c r="JO29" s="84"/>
      <c r="JP29" s="84"/>
      <c r="JQ29" s="84"/>
      <c r="JR29" s="84"/>
      <c r="JS29" s="84"/>
      <c r="JT29" s="84"/>
      <c r="JU29" s="84"/>
      <c r="JV29" s="84"/>
      <c r="JW29" s="84"/>
      <c r="JX29" s="84"/>
      <c r="JY29" s="84"/>
      <c r="JZ29" s="84"/>
      <c r="KA29" s="84"/>
      <c r="KB29" s="84"/>
      <c r="KC29" s="84"/>
      <c r="KD29" s="84"/>
      <c r="KE29" s="84"/>
      <c r="KF29" s="84"/>
      <c r="KG29" s="84"/>
      <c r="KH29" s="84"/>
      <c r="KI29" s="84"/>
      <c r="KJ29" s="84"/>
      <c r="KK29" s="84"/>
      <c r="KL29" s="84"/>
      <c r="KM29" s="84"/>
      <c r="KN29" s="84"/>
      <c r="KO29" s="84"/>
      <c r="KP29" s="84"/>
      <c r="KQ29" s="84"/>
      <c r="KR29" s="84"/>
      <c r="KS29" s="84"/>
      <c r="KT29" s="84"/>
      <c r="KU29" s="84"/>
      <c r="KV29" s="84"/>
      <c r="KW29" s="84"/>
      <c r="KX29" s="84"/>
      <c r="KY29" s="84"/>
      <c r="KZ29" s="84"/>
      <c r="LA29" s="84"/>
      <c r="LB29" s="84"/>
      <c r="LC29" s="84"/>
      <c r="LD29" s="84"/>
      <c r="LE29" s="84"/>
      <c r="LF29" s="84"/>
      <c r="LG29" s="84"/>
      <c r="LH29" s="84"/>
      <c r="LI29" s="84"/>
      <c r="LJ29" s="84"/>
      <c r="LK29" s="84"/>
      <c r="LL29" s="84"/>
      <c r="LM29" s="84"/>
      <c r="LN29" s="84"/>
      <c r="LO29" s="84"/>
      <c r="LP29" s="84"/>
      <c r="LQ29" s="84"/>
      <c r="LR29" s="84"/>
      <c r="LS29" s="84"/>
      <c r="LT29" s="84"/>
      <c r="LU29" s="84"/>
      <c r="LV29" s="84"/>
      <c r="LW29" s="84"/>
      <c r="LX29" s="84"/>
      <c r="LY29" s="84"/>
      <c r="LZ29" s="84"/>
      <c r="MA29" s="84"/>
      <c r="MB29" s="84"/>
      <c r="MC29" s="84"/>
      <c r="MD29" s="84"/>
      <c r="ME29" s="84"/>
      <c r="MF29" s="84"/>
      <c r="MG29" s="84"/>
      <c r="MH29" s="84"/>
      <c r="MI29" s="84"/>
      <c r="MJ29" s="84"/>
      <c r="MK29" s="84"/>
      <c r="ML29" s="84"/>
      <c r="MM29" s="84"/>
      <c r="MN29" s="84"/>
      <c r="MO29" s="84"/>
      <c r="MP29" s="84"/>
      <c r="MQ29" s="84"/>
      <c r="MR29" s="84"/>
      <c r="MS29" s="84"/>
      <c r="MT29" s="84"/>
      <c r="MU29" s="84"/>
      <c r="MV29" s="84"/>
      <c r="MW29" s="84"/>
      <c r="MX29" s="84"/>
      <c r="MY29" s="84"/>
      <c r="MZ29" s="84"/>
      <c r="NA29" s="84"/>
      <c r="NB29" s="84"/>
      <c r="NC29" s="84"/>
      <c r="ND29" s="84"/>
      <c r="NE29" s="84"/>
      <c r="NF29" s="84"/>
      <c r="NG29" s="84"/>
      <c r="NH29" s="84"/>
      <c r="NI29" s="84"/>
      <c r="NJ29" s="84"/>
      <c r="NK29" s="84"/>
      <c r="NL29" s="84"/>
      <c r="NM29" s="84"/>
      <c r="NN29" s="84"/>
      <c r="NO29" s="84"/>
      <c r="NP29" s="84"/>
      <c r="NQ29" s="84"/>
      <c r="NR29" s="84"/>
      <c r="NS29" s="84"/>
      <c r="NT29" s="84"/>
      <c r="NU29" s="84"/>
      <c r="NV29" s="84"/>
      <c r="NW29" s="84"/>
      <c r="NX29" s="84"/>
      <c r="NY29" s="84"/>
      <c r="NZ29" s="84"/>
      <c r="OA29" s="84"/>
      <c r="OB29" s="84"/>
      <c r="OC29" s="84"/>
      <c r="OD29" s="84"/>
      <c r="OE29" s="84"/>
      <c r="OF29" s="84"/>
      <c r="OG29" s="84"/>
      <c r="OH29" s="84"/>
      <c r="OI29" s="84"/>
      <c r="OJ29" s="84"/>
      <c r="OK29" s="84"/>
      <c r="OL29" s="84"/>
      <c r="OM29" s="84"/>
      <c r="ON29" s="84"/>
      <c r="OO29" s="84"/>
      <c r="OP29" s="84"/>
      <c r="OQ29" s="84"/>
      <c r="OR29" s="84"/>
      <c r="OS29" s="84"/>
      <c r="OT29" s="84"/>
      <c r="OU29" s="84"/>
      <c r="OV29" s="84"/>
      <c r="OW29" s="84"/>
      <c r="OX29" s="84"/>
      <c r="OY29" s="84"/>
      <c r="OZ29" s="84"/>
      <c r="PA29" s="84"/>
      <c r="PB29" s="84"/>
      <c r="PC29" s="84"/>
      <c r="PD29" s="84"/>
      <c r="PE29" s="84"/>
      <c r="PF29" s="84"/>
      <c r="PG29" s="84"/>
      <c r="PH29" s="84"/>
      <c r="PI29" s="84"/>
      <c r="PJ29" s="84"/>
      <c r="PK29" s="84"/>
      <c r="PL29" s="84"/>
      <c r="PM29" s="84"/>
      <c r="PN29" s="84"/>
      <c r="PO29" s="84"/>
      <c r="PP29" s="84"/>
      <c r="PQ29" s="84"/>
      <c r="PR29" s="84"/>
      <c r="PS29" s="84"/>
      <c r="PT29" s="84"/>
      <c r="PU29" s="84"/>
      <c r="PV29" s="84"/>
      <c r="PW29" s="84"/>
      <c r="PX29" s="84"/>
      <c r="PY29" s="84"/>
      <c r="PZ29" s="84"/>
      <c r="QA29" s="84"/>
      <c r="QB29" s="84"/>
      <c r="QC29" s="84"/>
    </row>
    <row r="30" spans="1:445" s="85" customFormat="1" ht="15.75" x14ac:dyDescent="0.25">
      <c r="A30" s="86">
        <v>24</v>
      </c>
      <c r="B30" s="337">
        <v>2561</v>
      </c>
      <c r="C30" s="327" t="s">
        <v>383</v>
      </c>
      <c r="D30" s="1181" t="s">
        <v>765</v>
      </c>
      <c r="E30" s="329" t="s">
        <v>113</v>
      </c>
      <c r="F30" s="330">
        <v>38542</v>
      </c>
      <c r="G30" s="331" t="s">
        <v>271</v>
      </c>
      <c r="H30" s="332" t="s">
        <v>261</v>
      </c>
      <c r="I30" s="333" t="s">
        <v>262</v>
      </c>
      <c r="J30" s="328" t="s">
        <v>384</v>
      </c>
      <c r="K30" s="334" t="s">
        <v>385</v>
      </c>
      <c r="L30" s="334" t="s">
        <v>386</v>
      </c>
      <c r="M30" s="334" t="s">
        <v>267</v>
      </c>
      <c r="N30" s="334" t="s">
        <v>267</v>
      </c>
      <c r="O30" s="328" t="s">
        <v>384</v>
      </c>
      <c r="P30" s="335" t="s">
        <v>316</v>
      </c>
      <c r="Q30" s="335" t="s">
        <v>112</v>
      </c>
      <c r="R30" s="335" t="s">
        <v>90</v>
      </c>
      <c r="S30" s="336" t="s">
        <v>114</v>
      </c>
      <c r="T30" s="89"/>
      <c r="U30" s="90"/>
      <c r="V30" s="90"/>
      <c r="W30" s="91"/>
      <c r="X30" s="84"/>
      <c r="Y30" s="84"/>
      <c r="Z30" s="84"/>
      <c r="AA30" s="84"/>
      <c r="AB30" s="84"/>
      <c r="AC30" s="84"/>
      <c r="AD30" s="84"/>
      <c r="AE30" s="84"/>
      <c r="AF30" s="84"/>
      <c r="AG30" s="84"/>
      <c r="AH30" s="84"/>
      <c r="AI30" s="84"/>
      <c r="AJ30" s="84"/>
      <c r="AK30" s="84"/>
      <c r="AL30" s="84"/>
      <c r="AM30" s="84"/>
      <c r="AN30" s="84"/>
      <c r="AO30" s="84"/>
      <c r="AP30" s="84"/>
      <c r="AQ30" s="84"/>
      <c r="AR30" s="84"/>
      <c r="AS30" s="84"/>
      <c r="AT30" s="84"/>
      <c r="AU30" s="84"/>
      <c r="AV30" s="84"/>
      <c r="AW30" s="84"/>
      <c r="AX30" s="84"/>
      <c r="AY30" s="84"/>
      <c r="AZ30" s="84"/>
      <c r="BA30" s="84"/>
      <c r="BB30" s="84"/>
      <c r="BC30" s="84"/>
      <c r="BD30" s="84"/>
      <c r="BE30" s="84"/>
      <c r="BF30" s="84"/>
      <c r="BG30" s="84"/>
      <c r="BH30" s="84"/>
      <c r="BI30" s="84"/>
      <c r="BJ30" s="84"/>
      <c r="BK30" s="84"/>
      <c r="BL30" s="84"/>
      <c r="BM30" s="84"/>
      <c r="BN30" s="84"/>
      <c r="BO30" s="84"/>
      <c r="BP30" s="84"/>
      <c r="BQ30" s="84"/>
      <c r="BR30" s="84"/>
      <c r="BS30" s="84"/>
      <c r="BT30" s="84"/>
      <c r="BU30" s="84"/>
      <c r="BV30" s="84"/>
      <c r="BW30" s="84"/>
      <c r="BX30" s="84"/>
      <c r="BY30" s="84"/>
      <c r="BZ30" s="84"/>
      <c r="CA30" s="84"/>
      <c r="CB30" s="84"/>
      <c r="CC30" s="84"/>
      <c r="CD30" s="84"/>
      <c r="CE30" s="84"/>
      <c r="CF30" s="84"/>
      <c r="CG30" s="84"/>
      <c r="CH30" s="84"/>
      <c r="CI30" s="84"/>
      <c r="CJ30" s="84"/>
      <c r="CK30" s="84"/>
      <c r="CL30" s="84"/>
      <c r="CM30" s="84"/>
      <c r="CN30" s="84"/>
      <c r="CO30" s="84"/>
      <c r="CP30" s="84"/>
      <c r="CQ30" s="84"/>
      <c r="CR30" s="84"/>
      <c r="CS30" s="84"/>
      <c r="CT30" s="84"/>
      <c r="CU30" s="84"/>
      <c r="CV30" s="84"/>
      <c r="CW30" s="84"/>
      <c r="CX30" s="84"/>
      <c r="CY30" s="84"/>
      <c r="CZ30" s="84"/>
      <c r="DA30" s="84"/>
      <c r="DB30" s="84"/>
      <c r="DC30" s="84"/>
      <c r="DD30" s="84"/>
      <c r="DE30" s="84"/>
      <c r="DF30" s="84"/>
      <c r="DG30" s="84"/>
      <c r="DH30" s="84"/>
      <c r="DI30" s="84"/>
      <c r="DJ30" s="84"/>
      <c r="DK30" s="84"/>
      <c r="DL30" s="84"/>
      <c r="DM30" s="84"/>
      <c r="DN30" s="84"/>
      <c r="DO30" s="84"/>
      <c r="DP30" s="84"/>
      <c r="DQ30" s="84"/>
      <c r="DR30" s="84"/>
      <c r="DS30" s="84"/>
      <c r="DT30" s="84"/>
      <c r="DU30" s="84"/>
      <c r="DV30" s="84"/>
      <c r="DW30" s="84"/>
      <c r="DX30" s="84"/>
      <c r="DY30" s="84"/>
      <c r="DZ30" s="84"/>
      <c r="EA30" s="84"/>
      <c r="EB30" s="84"/>
      <c r="EC30" s="84"/>
      <c r="ED30" s="84"/>
      <c r="EE30" s="84"/>
      <c r="EF30" s="84"/>
      <c r="EG30" s="84"/>
      <c r="EH30" s="84"/>
      <c r="EI30" s="84"/>
      <c r="EJ30" s="84"/>
      <c r="EK30" s="84"/>
      <c r="EL30" s="84"/>
      <c r="EM30" s="84"/>
      <c r="EN30" s="84"/>
      <c r="EO30" s="84"/>
      <c r="EP30" s="84"/>
      <c r="EQ30" s="84"/>
      <c r="ER30" s="84"/>
      <c r="ES30" s="84"/>
      <c r="ET30" s="84"/>
      <c r="EU30" s="84"/>
      <c r="EV30" s="84"/>
      <c r="EW30" s="84"/>
      <c r="EX30" s="84"/>
      <c r="EY30" s="84"/>
      <c r="EZ30" s="84"/>
      <c r="FA30" s="84"/>
      <c r="FB30" s="84"/>
      <c r="FC30" s="84"/>
      <c r="FD30" s="84"/>
      <c r="FE30" s="84"/>
      <c r="FF30" s="84"/>
      <c r="FG30" s="84"/>
      <c r="FH30" s="84"/>
      <c r="FI30" s="84"/>
      <c r="FJ30" s="84"/>
      <c r="FK30" s="84"/>
      <c r="FL30" s="84"/>
      <c r="FM30" s="84"/>
      <c r="FN30" s="84"/>
      <c r="FO30" s="84"/>
      <c r="FP30" s="84"/>
      <c r="FQ30" s="84"/>
      <c r="FR30" s="84"/>
      <c r="FS30" s="84"/>
      <c r="FT30" s="84"/>
      <c r="FU30" s="84"/>
      <c r="FV30" s="84"/>
      <c r="FW30" s="84"/>
      <c r="FX30" s="84"/>
      <c r="FY30" s="84"/>
      <c r="FZ30" s="84"/>
      <c r="GA30" s="84"/>
      <c r="GB30" s="84"/>
      <c r="GC30" s="84"/>
      <c r="GD30" s="84"/>
      <c r="GE30" s="84"/>
      <c r="GF30" s="84"/>
      <c r="GG30" s="84"/>
      <c r="GH30" s="84"/>
      <c r="GI30" s="84"/>
      <c r="GJ30" s="84"/>
      <c r="GK30" s="84"/>
      <c r="GL30" s="84"/>
      <c r="GM30" s="84"/>
      <c r="GN30" s="84"/>
      <c r="GO30" s="84"/>
      <c r="GP30" s="84"/>
      <c r="GQ30" s="84"/>
      <c r="GR30" s="84"/>
      <c r="GS30" s="84"/>
      <c r="GT30" s="84"/>
      <c r="GU30" s="84"/>
      <c r="GV30" s="84"/>
      <c r="GW30" s="84"/>
      <c r="GX30" s="84"/>
      <c r="GY30" s="84"/>
      <c r="GZ30" s="84"/>
      <c r="HA30" s="84"/>
      <c r="HB30" s="84"/>
      <c r="HC30" s="84"/>
      <c r="HD30" s="84"/>
      <c r="HE30" s="84"/>
      <c r="HF30" s="84"/>
      <c r="HG30" s="84"/>
      <c r="HH30" s="84"/>
      <c r="HI30" s="84"/>
      <c r="HJ30" s="84"/>
      <c r="HK30" s="84"/>
      <c r="HL30" s="84"/>
      <c r="HM30" s="84"/>
      <c r="HN30" s="84"/>
      <c r="HO30" s="84"/>
      <c r="HP30" s="84"/>
      <c r="HQ30" s="84"/>
      <c r="HR30" s="84"/>
      <c r="HS30" s="84"/>
      <c r="HT30" s="84"/>
      <c r="HU30" s="84"/>
      <c r="HV30" s="84"/>
      <c r="HW30" s="84"/>
      <c r="HX30" s="84"/>
      <c r="HY30" s="84"/>
      <c r="HZ30" s="84"/>
      <c r="IA30" s="84"/>
      <c r="IB30" s="84"/>
      <c r="IC30" s="84"/>
      <c r="ID30" s="84"/>
      <c r="IE30" s="84"/>
      <c r="IF30" s="84"/>
      <c r="IG30" s="84"/>
      <c r="IH30" s="84"/>
      <c r="II30" s="84"/>
      <c r="IJ30" s="84"/>
      <c r="IK30" s="84"/>
      <c r="IL30" s="84"/>
      <c r="IM30" s="84"/>
      <c r="IN30" s="84"/>
      <c r="IO30" s="84"/>
      <c r="IP30" s="84"/>
      <c r="IQ30" s="84"/>
      <c r="IR30" s="84"/>
      <c r="IS30" s="84"/>
      <c r="IT30" s="84"/>
      <c r="IU30" s="84"/>
      <c r="IV30" s="84"/>
      <c r="IW30" s="84"/>
      <c r="IX30" s="84"/>
      <c r="IY30" s="84"/>
      <c r="IZ30" s="84"/>
      <c r="JA30" s="84"/>
      <c r="JB30" s="84"/>
      <c r="JC30" s="84"/>
      <c r="JD30" s="84"/>
      <c r="JE30" s="84"/>
      <c r="JF30" s="84"/>
      <c r="JG30" s="84"/>
      <c r="JH30" s="84"/>
      <c r="JI30" s="84"/>
      <c r="JJ30" s="84"/>
      <c r="JK30" s="84"/>
      <c r="JL30" s="84"/>
      <c r="JM30" s="84"/>
      <c r="JN30" s="84"/>
      <c r="JO30" s="84"/>
      <c r="JP30" s="84"/>
      <c r="JQ30" s="84"/>
      <c r="JR30" s="84"/>
      <c r="JS30" s="84"/>
      <c r="JT30" s="84"/>
      <c r="JU30" s="84"/>
      <c r="JV30" s="84"/>
      <c r="JW30" s="84"/>
      <c r="JX30" s="84"/>
      <c r="JY30" s="84"/>
      <c r="JZ30" s="84"/>
      <c r="KA30" s="84"/>
      <c r="KB30" s="84"/>
      <c r="KC30" s="84"/>
      <c r="KD30" s="84"/>
      <c r="KE30" s="84"/>
      <c r="KF30" s="84"/>
      <c r="KG30" s="84"/>
      <c r="KH30" s="84"/>
      <c r="KI30" s="84"/>
      <c r="KJ30" s="84"/>
      <c r="KK30" s="84"/>
      <c r="KL30" s="84"/>
      <c r="KM30" s="84"/>
      <c r="KN30" s="84"/>
      <c r="KO30" s="84"/>
      <c r="KP30" s="84"/>
      <c r="KQ30" s="84"/>
      <c r="KR30" s="84"/>
      <c r="KS30" s="84"/>
      <c r="KT30" s="84"/>
      <c r="KU30" s="84"/>
      <c r="KV30" s="84"/>
      <c r="KW30" s="84"/>
      <c r="KX30" s="84"/>
      <c r="KY30" s="84"/>
      <c r="KZ30" s="84"/>
      <c r="LA30" s="84"/>
      <c r="LB30" s="84"/>
      <c r="LC30" s="84"/>
      <c r="LD30" s="84"/>
      <c r="LE30" s="84"/>
      <c r="LF30" s="84"/>
      <c r="LG30" s="84"/>
      <c r="LH30" s="84"/>
      <c r="LI30" s="84"/>
      <c r="LJ30" s="84"/>
      <c r="LK30" s="84"/>
      <c r="LL30" s="84"/>
      <c r="LM30" s="84"/>
      <c r="LN30" s="84"/>
      <c r="LO30" s="84"/>
      <c r="LP30" s="84"/>
      <c r="LQ30" s="84"/>
      <c r="LR30" s="84"/>
      <c r="LS30" s="84"/>
      <c r="LT30" s="84"/>
      <c r="LU30" s="84"/>
      <c r="LV30" s="84"/>
      <c r="LW30" s="84"/>
      <c r="LX30" s="84"/>
      <c r="LY30" s="84"/>
      <c r="LZ30" s="84"/>
      <c r="MA30" s="84"/>
      <c r="MB30" s="84"/>
      <c r="MC30" s="84"/>
      <c r="MD30" s="84"/>
      <c r="ME30" s="84"/>
      <c r="MF30" s="84"/>
      <c r="MG30" s="84"/>
      <c r="MH30" s="84"/>
      <c r="MI30" s="84"/>
      <c r="MJ30" s="84"/>
      <c r="MK30" s="84"/>
      <c r="ML30" s="84"/>
      <c r="MM30" s="84"/>
      <c r="MN30" s="84"/>
      <c r="MO30" s="84"/>
      <c r="MP30" s="84"/>
      <c r="MQ30" s="84"/>
      <c r="MR30" s="84"/>
      <c r="MS30" s="84"/>
      <c r="MT30" s="84"/>
      <c r="MU30" s="84"/>
      <c r="MV30" s="84"/>
      <c r="MW30" s="84"/>
      <c r="MX30" s="84"/>
      <c r="MY30" s="84"/>
      <c r="MZ30" s="84"/>
      <c r="NA30" s="84"/>
      <c r="NB30" s="84"/>
      <c r="NC30" s="84"/>
      <c r="ND30" s="84"/>
      <c r="NE30" s="84"/>
      <c r="NF30" s="84"/>
      <c r="NG30" s="84"/>
      <c r="NH30" s="84"/>
      <c r="NI30" s="84"/>
      <c r="NJ30" s="84"/>
      <c r="NK30" s="84"/>
      <c r="NL30" s="84"/>
      <c r="NM30" s="84"/>
      <c r="NN30" s="84"/>
      <c r="NO30" s="84"/>
      <c r="NP30" s="84"/>
      <c r="NQ30" s="84"/>
      <c r="NR30" s="84"/>
      <c r="NS30" s="84"/>
      <c r="NT30" s="84"/>
      <c r="NU30" s="84"/>
      <c r="NV30" s="84"/>
      <c r="NW30" s="84"/>
      <c r="NX30" s="84"/>
      <c r="NY30" s="84"/>
      <c r="NZ30" s="84"/>
      <c r="OA30" s="84"/>
      <c r="OB30" s="84"/>
      <c r="OC30" s="84"/>
      <c r="OD30" s="84"/>
      <c r="OE30" s="84"/>
      <c r="OF30" s="84"/>
      <c r="OG30" s="84"/>
      <c r="OH30" s="84"/>
      <c r="OI30" s="84"/>
      <c r="OJ30" s="84"/>
      <c r="OK30" s="84"/>
      <c r="OL30" s="84"/>
      <c r="OM30" s="84"/>
      <c r="ON30" s="84"/>
      <c r="OO30" s="84"/>
      <c r="OP30" s="84"/>
      <c r="OQ30" s="84"/>
      <c r="OR30" s="84"/>
      <c r="OS30" s="84"/>
      <c r="OT30" s="84"/>
      <c r="OU30" s="84"/>
      <c r="OV30" s="84"/>
      <c r="OW30" s="84"/>
      <c r="OX30" s="84"/>
      <c r="OY30" s="84"/>
      <c r="OZ30" s="84"/>
      <c r="PA30" s="84"/>
      <c r="PB30" s="84"/>
      <c r="PC30" s="84"/>
      <c r="PD30" s="84"/>
      <c r="PE30" s="84"/>
      <c r="PF30" s="84"/>
      <c r="PG30" s="84"/>
      <c r="PH30" s="84"/>
      <c r="PI30" s="84"/>
      <c r="PJ30" s="84"/>
      <c r="PK30" s="84"/>
      <c r="PL30" s="84"/>
      <c r="PM30" s="84"/>
      <c r="PN30" s="84"/>
      <c r="PO30" s="84"/>
      <c r="PP30" s="84"/>
      <c r="PQ30" s="84"/>
      <c r="PR30" s="84"/>
      <c r="PS30" s="84"/>
      <c r="PT30" s="84"/>
      <c r="PU30" s="84"/>
      <c r="PV30" s="84"/>
      <c r="PW30" s="84"/>
      <c r="PX30" s="84"/>
      <c r="PY30" s="84"/>
      <c r="PZ30" s="84"/>
      <c r="QA30" s="84"/>
      <c r="QB30" s="84"/>
      <c r="QC30" s="84"/>
    </row>
    <row r="31" spans="1:445" s="85" customFormat="1" ht="15.75" x14ac:dyDescent="0.25">
      <c r="A31" s="92">
        <v>25</v>
      </c>
      <c r="B31" s="337">
        <v>2632</v>
      </c>
      <c r="C31" s="327" t="s">
        <v>387</v>
      </c>
      <c r="D31" s="1181" t="s">
        <v>766</v>
      </c>
      <c r="E31" s="329" t="s">
        <v>113</v>
      </c>
      <c r="F31" s="330">
        <v>38482</v>
      </c>
      <c r="G31" s="331" t="s">
        <v>260</v>
      </c>
      <c r="H31" s="332" t="s">
        <v>261</v>
      </c>
      <c r="I31" s="333" t="s">
        <v>262</v>
      </c>
      <c r="J31" s="329" t="s">
        <v>388</v>
      </c>
      <c r="K31" s="334" t="s">
        <v>389</v>
      </c>
      <c r="L31" s="334" t="s">
        <v>390</v>
      </c>
      <c r="M31" s="334" t="s">
        <v>275</v>
      </c>
      <c r="N31" s="334" t="s">
        <v>315</v>
      </c>
      <c r="O31" s="329" t="s">
        <v>388</v>
      </c>
      <c r="P31" s="335" t="s">
        <v>302</v>
      </c>
      <c r="Q31" s="335" t="s">
        <v>303</v>
      </c>
      <c r="R31" s="335" t="s">
        <v>304</v>
      </c>
      <c r="S31" s="336" t="s">
        <v>114</v>
      </c>
      <c r="T31" s="89"/>
      <c r="U31" s="90"/>
      <c r="V31" s="90"/>
      <c r="W31" s="91"/>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4"/>
      <c r="AX31" s="84"/>
      <c r="AY31" s="84"/>
      <c r="AZ31" s="84"/>
      <c r="BA31" s="84"/>
      <c r="BB31" s="84"/>
      <c r="BC31" s="84"/>
      <c r="BD31" s="84"/>
      <c r="BE31" s="84"/>
      <c r="BF31" s="84"/>
      <c r="BG31" s="84"/>
      <c r="BH31" s="84"/>
      <c r="BI31" s="84"/>
      <c r="BJ31" s="84"/>
      <c r="BK31" s="84"/>
      <c r="BL31" s="84"/>
      <c r="BM31" s="84"/>
      <c r="BN31" s="84"/>
      <c r="BO31" s="84"/>
      <c r="BP31" s="84"/>
      <c r="BQ31" s="84"/>
      <c r="BR31" s="84"/>
      <c r="BS31" s="84"/>
      <c r="BT31" s="84"/>
      <c r="BU31" s="84"/>
      <c r="BV31" s="84"/>
      <c r="BW31" s="84"/>
      <c r="BX31" s="84"/>
      <c r="BY31" s="84"/>
      <c r="BZ31" s="84"/>
      <c r="CA31" s="84"/>
      <c r="CB31" s="84"/>
      <c r="CC31" s="84"/>
      <c r="CD31" s="84"/>
      <c r="CE31" s="84"/>
      <c r="CF31" s="84"/>
      <c r="CG31" s="84"/>
      <c r="CH31" s="84"/>
      <c r="CI31" s="84"/>
      <c r="CJ31" s="84"/>
      <c r="CK31" s="84"/>
      <c r="CL31" s="84"/>
      <c r="CM31" s="84"/>
      <c r="CN31" s="84"/>
      <c r="CO31" s="84"/>
      <c r="CP31" s="84"/>
      <c r="CQ31" s="84"/>
      <c r="CR31" s="84"/>
      <c r="CS31" s="84"/>
      <c r="CT31" s="84"/>
      <c r="CU31" s="84"/>
      <c r="CV31" s="84"/>
      <c r="CW31" s="84"/>
      <c r="CX31" s="84"/>
      <c r="CY31" s="84"/>
      <c r="CZ31" s="84"/>
      <c r="DA31" s="84"/>
      <c r="DB31" s="84"/>
      <c r="DC31" s="84"/>
      <c r="DD31" s="84"/>
      <c r="DE31" s="84"/>
      <c r="DF31" s="84"/>
      <c r="DG31" s="84"/>
      <c r="DH31" s="84"/>
      <c r="DI31" s="84"/>
      <c r="DJ31" s="84"/>
      <c r="DK31" s="84"/>
      <c r="DL31" s="84"/>
      <c r="DM31" s="84"/>
      <c r="DN31" s="84"/>
      <c r="DO31" s="84"/>
      <c r="DP31" s="84"/>
      <c r="DQ31" s="84"/>
      <c r="DR31" s="84"/>
      <c r="DS31" s="84"/>
      <c r="DT31" s="84"/>
      <c r="DU31" s="84"/>
      <c r="DV31" s="84"/>
      <c r="DW31" s="84"/>
      <c r="DX31" s="84"/>
      <c r="DY31" s="84"/>
      <c r="DZ31" s="84"/>
      <c r="EA31" s="84"/>
      <c r="EB31" s="84"/>
      <c r="EC31" s="84"/>
      <c r="ED31" s="84"/>
      <c r="EE31" s="84"/>
      <c r="EF31" s="84"/>
      <c r="EG31" s="84"/>
      <c r="EH31" s="84"/>
      <c r="EI31" s="84"/>
      <c r="EJ31" s="84"/>
      <c r="EK31" s="84"/>
      <c r="EL31" s="84"/>
      <c r="EM31" s="84"/>
      <c r="EN31" s="84"/>
      <c r="EO31" s="84"/>
      <c r="EP31" s="84"/>
      <c r="EQ31" s="84"/>
      <c r="ER31" s="84"/>
      <c r="ES31" s="84"/>
      <c r="ET31" s="84"/>
      <c r="EU31" s="84"/>
      <c r="EV31" s="84"/>
      <c r="EW31" s="84"/>
      <c r="EX31" s="84"/>
      <c r="EY31" s="84"/>
      <c r="EZ31" s="84"/>
      <c r="FA31" s="84"/>
      <c r="FB31" s="84"/>
      <c r="FC31" s="84"/>
      <c r="FD31" s="84"/>
      <c r="FE31" s="84"/>
      <c r="FF31" s="84"/>
      <c r="FG31" s="84"/>
      <c r="FH31" s="84"/>
      <c r="FI31" s="84"/>
      <c r="FJ31" s="84"/>
      <c r="FK31" s="84"/>
      <c r="FL31" s="84"/>
      <c r="FM31" s="84"/>
      <c r="FN31" s="84"/>
      <c r="FO31" s="84"/>
      <c r="FP31" s="84"/>
      <c r="FQ31" s="84"/>
      <c r="FR31" s="84"/>
      <c r="FS31" s="84"/>
      <c r="FT31" s="84"/>
      <c r="FU31" s="84"/>
      <c r="FV31" s="84"/>
      <c r="FW31" s="84"/>
      <c r="FX31" s="84"/>
      <c r="FY31" s="84"/>
      <c r="FZ31" s="84"/>
      <c r="GA31" s="84"/>
      <c r="GB31" s="84"/>
      <c r="GC31" s="84"/>
      <c r="GD31" s="84"/>
      <c r="GE31" s="84"/>
      <c r="GF31" s="84"/>
      <c r="GG31" s="84"/>
      <c r="GH31" s="84"/>
      <c r="GI31" s="84"/>
      <c r="GJ31" s="84"/>
      <c r="GK31" s="84"/>
      <c r="GL31" s="84"/>
      <c r="GM31" s="84"/>
      <c r="GN31" s="84"/>
      <c r="GO31" s="84"/>
      <c r="GP31" s="84"/>
      <c r="GQ31" s="84"/>
      <c r="GR31" s="84"/>
      <c r="GS31" s="84"/>
      <c r="GT31" s="84"/>
      <c r="GU31" s="84"/>
      <c r="GV31" s="84"/>
      <c r="GW31" s="84"/>
      <c r="GX31" s="84"/>
      <c r="GY31" s="84"/>
      <c r="GZ31" s="84"/>
      <c r="HA31" s="84"/>
      <c r="HB31" s="84"/>
      <c r="HC31" s="84"/>
      <c r="HD31" s="84"/>
      <c r="HE31" s="84"/>
      <c r="HF31" s="84"/>
      <c r="HG31" s="84"/>
      <c r="HH31" s="84"/>
      <c r="HI31" s="84"/>
      <c r="HJ31" s="84"/>
      <c r="HK31" s="84"/>
      <c r="HL31" s="84"/>
      <c r="HM31" s="84"/>
      <c r="HN31" s="84"/>
      <c r="HO31" s="84"/>
      <c r="HP31" s="84"/>
      <c r="HQ31" s="84"/>
      <c r="HR31" s="84"/>
      <c r="HS31" s="84"/>
      <c r="HT31" s="84"/>
      <c r="HU31" s="84"/>
      <c r="HV31" s="84"/>
      <c r="HW31" s="84"/>
      <c r="HX31" s="84"/>
      <c r="HY31" s="84"/>
      <c r="HZ31" s="84"/>
      <c r="IA31" s="84"/>
      <c r="IB31" s="84"/>
      <c r="IC31" s="84"/>
      <c r="ID31" s="84"/>
      <c r="IE31" s="84"/>
      <c r="IF31" s="84"/>
      <c r="IG31" s="84"/>
      <c r="IH31" s="84"/>
      <c r="II31" s="84"/>
      <c r="IJ31" s="84"/>
      <c r="IK31" s="84"/>
      <c r="IL31" s="84"/>
      <c r="IM31" s="84"/>
      <c r="IN31" s="84"/>
      <c r="IO31" s="84"/>
      <c r="IP31" s="84"/>
      <c r="IQ31" s="84"/>
      <c r="IR31" s="84"/>
      <c r="IS31" s="84"/>
      <c r="IT31" s="84"/>
      <c r="IU31" s="84"/>
      <c r="IV31" s="84"/>
      <c r="IW31" s="84"/>
      <c r="IX31" s="84"/>
      <c r="IY31" s="84"/>
      <c r="IZ31" s="84"/>
      <c r="JA31" s="84"/>
      <c r="JB31" s="84"/>
      <c r="JC31" s="84"/>
      <c r="JD31" s="84"/>
      <c r="JE31" s="84"/>
      <c r="JF31" s="84"/>
      <c r="JG31" s="84"/>
      <c r="JH31" s="84"/>
      <c r="JI31" s="84"/>
      <c r="JJ31" s="84"/>
      <c r="JK31" s="84"/>
      <c r="JL31" s="84"/>
      <c r="JM31" s="84"/>
      <c r="JN31" s="84"/>
      <c r="JO31" s="84"/>
      <c r="JP31" s="84"/>
      <c r="JQ31" s="84"/>
      <c r="JR31" s="84"/>
      <c r="JS31" s="84"/>
      <c r="JT31" s="84"/>
      <c r="JU31" s="84"/>
      <c r="JV31" s="84"/>
      <c r="JW31" s="84"/>
      <c r="JX31" s="84"/>
      <c r="JY31" s="84"/>
      <c r="JZ31" s="84"/>
      <c r="KA31" s="84"/>
      <c r="KB31" s="84"/>
      <c r="KC31" s="84"/>
      <c r="KD31" s="84"/>
      <c r="KE31" s="84"/>
      <c r="KF31" s="84"/>
      <c r="KG31" s="84"/>
      <c r="KH31" s="84"/>
      <c r="KI31" s="84"/>
      <c r="KJ31" s="84"/>
      <c r="KK31" s="84"/>
      <c r="KL31" s="84"/>
      <c r="KM31" s="84"/>
      <c r="KN31" s="84"/>
      <c r="KO31" s="84"/>
      <c r="KP31" s="84"/>
      <c r="KQ31" s="84"/>
      <c r="KR31" s="84"/>
      <c r="KS31" s="84"/>
      <c r="KT31" s="84"/>
      <c r="KU31" s="84"/>
      <c r="KV31" s="84"/>
      <c r="KW31" s="84"/>
      <c r="KX31" s="84"/>
      <c r="KY31" s="84"/>
      <c r="KZ31" s="84"/>
      <c r="LA31" s="84"/>
      <c r="LB31" s="84"/>
      <c r="LC31" s="84"/>
      <c r="LD31" s="84"/>
      <c r="LE31" s="84"/>
      <c r="LF31" s="84"/>
      <c r="LG31" s="84"/>
      <c r="LH31" s="84"/>
      <c r="LI31" s="84"/>
      <c r="LJ31" s="84"/>
      <c r="LK31" s="84"/>
      <c r="LL31" s="84"/>
      <c r="LM31" s="84"/>
      <c r="LN31" s="84"/>
      <c r="LO31" s="84"/>
      <c r="LP31" s="84"/>
      <c r="LQ31" s="84"/>
      <c r="LR31" s="84"/>
      <c r="LS31" s="84"/>
      <c r="LT31" s="84"/>
      <c r="LU31" s="84"/>
      <c r="LV31" s="84"/>
      <c r="LW31" s="84"/>
      <c r="LX31" s="84"/>
      <c r="LY31" s="84"/>
      <c r="LZ31" s="84"/>
      <c r="MA31" s="84"/>
      <c r="MB31" s="84"/>
      <c r="MC31" s="84"/>
      <c r="MD31" s="84"/>
      <c r="ME31" s="84"/>
      <c r="MF31" s="84"/>
      <c r="MG31" s="84"/>
      <c r="MH31" s="84"/>
      <c r="MI31" s="84"/>
      <c r="MJ31" s="84"/>
      <c r="MK31" s="84"/>
      <c r="ML31" s="84"/>
      <c r="MM31" s="84"/>
      <c r="MN31" s="84"/>
      <c r="MO31" s="84"/>
      <c r="MP31" s="84"/>
      <c r="MQ31" s="84"/>
      <c r="MR31" s="84"/>
      <c r="MS31" s="84"/>
      <c r="MT31" s="84"/>
      <c r="MU31" s="84"/>
      <c r="MV31" s="84"/>
      <c r="MW31" s="84"/>
      <c r="MX31" s="84"/>
      <c r="MY31" s="84"/>
      <c r="MZ31" s="84"/>
      <c r="NA31" s="84"/>
      <c r="NB31" s="84"/>
      <c r="NC31" s="84"/>
      <c r="ND31" s="84"/>
      <c r="NE31" s="84"/>
      <c r="NF31" s="84"/>
      <c r="NG31" s="84"/>
      <c r="NH31" s="84"/>
      <c r="NI31" s="84"/>
      <c r="NJ31" s="84"/>
      <c r="NK31" s="84"/>
      <c r="NL31" s="84"/>
      <c r="NM31" s="84"/>
      <c r="NN31" s="84"/>
      <c r="NO31" s="84"/>
      <c r="NP31" s="84"/>
      <c r="NQ31" s="84"/>
      <c r="NR31" s="84"/>
      <c r="NS31" s="84"/>
      <c r="NT31" s="84"/>
      <c r="NU31" s="84"/>
      <c r="NV31" s="84"/>
      <c r="NW31" s="84"/>
      <c r="NX31" s="84"/>
      <c r="NY31" s="84"/>
      <c r="NZ31" s="84"/>
      <c r="OA31" s="84"/>
      <c r="OB31" s="84"/>
      <c r="OC31" s="84"/>
      <c r="OD31" s="84"/>
      <c r="OE31" s="84"/>
      <c r="OF31" s="84"/>
      <c r="OG31" s="84"/>
      <c r="OH31" s="84"/>
      <c r="OI31" s="84"/>
      <c r="OJ31" s="84"/>
      <c r="OK31" s="84"/>
      <c r="OL31" s="84"/>
      <c r="OM31" s="84"/>
      <c r="ON31" s="84"/>
      <c r="OO31" s="84"/>
      <c r="OP31" s="84"/>
      <c r="OQ31" s="84"/>
      <c r="OR31" s="84"/>
      <c r="OS31" s="84"/>
      <c r="OT31" s="84"/>
      <c r="OU31" s="84"/>
      <c r="OV31" s="84"/>
      <c r="OW31" s="84"/>
      <c r="OX31" s="84"/>
      <c r="OY31" s="84"/>
      <c r="OZ31" s="84"/>
      <c r="PA31" s="84"/>
      <c r="PB31" s="84"/>
      <c r="PC31" s="84"/>
      <c r="PD31" s="84"/>
      <c r="PE31" s="84"/>
      <c r="PF31" s="84"/>
      <c r="PG31" s="84"/>
      <c r="PH31" s="84"/>
      <c r="PI31" s="84"/>
      <c r="PJ31" s="84"/>
      <c r="PK31" s="84"/>
      <c r="PL31" s="84"/>
      <c r="PM31" s="84"/>
      <c r="PN31" s="84"/>
      <c r="PO31" s="84"/>
      <c r="PP31" s="84"/>
      <c r="PQ31" s="84"/>
      <c r="PR31" s="84"/>
      <c r="PS31" s="84"/>
      <c r="PT31" s="84"/>
      <c r="PU31" s="84"/>
      <c r="PV31" s="84"/>
      <c r="PW31" s="84"/>
      <c r="PX31" s="84"/>
      <c r="PY31" s="84"/>
      <c r="PZ31" s="84"/>
      <c r="QA31" s="84"/>
      <c r="QB31" s="84"/>
      <c r="QC31" s="84"/>
    </row>
    <row r="32" spans="1:445" s="85" customFormat="1" ht="15.75" x14ac:dyDescent="0.25">
      <c r="A32" s="86">
        <v>26</v>
      </c>
      <c r="B32" s="337">
        <v>2631</v>
      </c>
      <c r="C32" s="327" t="s">
        <v>391</v>
      </c>
      <c r="D32" s="1181" t="s">
        <v>767</v>
      </c>
      <c r="E32" s="329" t="s">
        <v>113</v>
      </c>
      <c r="F32" s="330">
        <v>38214</v>
      </c>
      <c r="G32" s="331" t="s">
        <v>260</v>
      </c>
      <c r="H32" s="332" t="s">
        <v>261</v>
      </c>
      <c r="I32" s="333" t="s">
        <v>262</v>
      </c>
      <c r="J32" s="329" t="s">
        <v>392</v>
      </c>
      <c r="K32" s="334" t="s">
        <v>393</v>
      </c>
      <c r="L32" s="334" t="s">
        <v>394</v>
      </c>
      <c r="M32" s="334" t="s">
        <v>310</v>
      </c>
      <c r="N32" s="334" t="s">
        <v>276</v>
      </c>
      <c r="O32" s="329" t="s">
        <v>392</v>
      </c>
      <c r="P32" s="342" t="s">
        <v>395</v>
      </c>
      <c r="Q32" s="335" t="s">
        <v>396</v>
      </c>
      <c r="R32" s="335" t="s">
        <v>90</v>
      </c>
      <c r="S32" s="336" t="s">
        <v>114</v>
      </c>
      <c r="T32" s="89"/>
      <c r="U32" s="90"/>
      <c r="V32" s="90"/>
      <c r="W32" s="91"/>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4"/>
      <c r="AX32" s="84"/>
      <c r="AY32" s="84"/>
      <c r="AZ32" s="84"/>
      <c r="BA32" s="84"/>
      <c r="BB32" s="84"/>
      <c r="BC32" s="84"/>
      <c r="BD32" s="84"/>
      <c r="BE32" s="84"/>
      <c r="BF32" s="84"/>
      <c r="BG32" s="84"/>
      <c r="BH32" s="84"/>
      <c r="BI32" s="84"/>
      <c r="BJ32" s="84"/>
      <c r="BK32" s="84"/>
      <c r="BL32" s="84"/>
      <c r="BM32" s="84"/>
      <c r="BN32" s="84"/>
      <c r="BO32" s="84"/>
      <c r="BP32" s="84"/>
      <c r="BQ32" s="84"/>
      <c r="BR32" s="84"/>
      <c r="BS32" s="84"/>
      <c r="BT32" s="84"/>
      <c r="BU32" s="84"/>
      <c r="BV32" s="84"/>
      <c r="BW32" s="84"/>
      <c r="BX32" s="84"/>
      <c r="BY32" s="84"/>
      <c r="BZ32" s="84"/>
      <c r="CA32" s="84"/>
      <c r="CB32" s="84"/>
      <c r="CC32" s="84"/>
      <c r="CD32" s="84"/>
      <c r="CE32" s="84"/>
      <c r="CF32" s="84"/>
      <c r="CG32" s="84"/>
      <c r="CH32" s="84"/>
      <c r="CI32" s="84"/>
      <c r="CJ32" s="84"/>
      <c r="CK32" s="84"/>
      <c r="CL32" s="84"/>
      <c r="CM32" s="84"/>
      <c r="CN32" s="84"/>
      <c r="CO32" s="84"/>
      <c r="CP32" s="84"/>
      <c r="CQ32" s="84"/>
      <c r="CR32" s="84"/>
      <c r="CS32" s="84"/>
      <c r="CT32" s="84"/>
      <c r="CU32" s="84"/>
      <c r="CV32" s="84"/>
      <c r="CW32" s="84"/>
      <c r="CX32" s="84"/>
      <c r="CY32" s="84"/>
      <c r="CZ32" s="84"/>
      <c r="DA32" s="84"/>
      <c r="DB32" s="84"/>
      <c r="DC32" s="84"/>
      <c r="DD32" s="84"/>
      <c r="DE32" s="84"/>
      <c r="DF32" s="84"/>
      <c r="DG32" s="84"/>
      <c r="DH32" s="84"/>
      <c r="DI32" s="84"/>
      <c r="DJ32" s="84"/>
      <c r="DK32" s="84"/>
      <c r="DL32" s="84"/>
      <c r="DM32" s="84"/>
      <c r="DN32" s="84"/>
      <c r="DO32" s="84"/>
      <c r="DP32" s="84"/>
      <c r="DQ32" s="84"/>
      <c r="DR32" s="84"/>
      <c r="DS32" s="84"/>
      <c r="DT32" s="84"/>
      <c r="DU32" s="84"/>
      <c r="DV32" s="84"/>
      <c r="DW32" s="84"/>
      <c r="DX32" s="84"/>
      <c r="DY32" s="84"/>
      <c r="DZ32" s="84"/>
      <c r="EA32" s="84"/>
      <c r="EB32" s="84"/>
      <c r="EC32" s="84"/>
      <c r="ED32" s="84"/>
      <c r="EE32" s="84"/>
      <c r="EF32" s="84"/>
      <c r="EG32" s="84"/>
      <c r="EH32" s="84"/>
      <c r="EI32" s="84"/>
      <c r="EJ32" s="84"/>
      <c r="EK32" s="84"/>
      <c r="EL32" s="84"/>
      <c r="EM32" s="84"/>
      <c r="EN32" s="84"/>
      <c r="EO32" s="84"/>
      <c r="EP32" s="84"/>
      <c r="EQ32" s="84"/>
      <c r="ER32" s="84"/>
      <c r="ES32" s="84"/>
      <c r="ET32" s="84"/>
      <c r="EU32" s="84"/>
      <c r="EV32" s="84"/>
      <c r="EW32" s="84"/>
      <c r="EX32" s="84"/>
      <c r="EY32" s="84"/>
      <c r="EZ32" s="84"/>
      <c r="FA32" s="84"/>
      <c r="FB32" s="84"/>
      <c r="FC32" s="84"/>
      <c r="FD32" s="84"/>
      <c r="FE32" s="84"/>
      <c r="FF32" s="84"/>
      <c r="FG32" s="84"/>
      <c r="FH32" s="84"/>
      <c r="FI32" s="84"/>
      <c r="FJ32" s="84"/>
      <c r="FK32" s="84"/>
      <c r="FL32" s="84"/>
      <c r="FM32" s="84"/>
      <c r="FN32" s="84"/>
      <c r="FO32" s="84"/>
      <c r="FP32" s="84"/>
      <c r="FQ32" s="84"/>
      <c r="FR32" s="84"/>
      <c r="FS32" s="84"/>
      <c r="FT32" s="84"/>
      <c r="FU32" s="84"/>
      <c r="FV32" s="84"/>
      <c r="FW32" s="84"/>
      <c r="FX32" s="84"/>
      <c r="FY32" s="84"/>
      <c r="FZ32" s="84"/>
      <c r="GA32" s="84"/>
      <c r="GB32" s="84"/>
      <c r="GC32" s="84"/>
      <c r="GD32" s="84"/>
      <c r="GE32" s="84"/>
      <c r="GF32" s="84"/>
      <c r="GG32" s="84"/>
      <c r="GH32" s="84"/>
      <c r="GI32" s="84"/>
      <c r="GJ32" s="84"/>
      <c r="GK32" s="84"/>
      <c r="GL32" s="84"/>
      <c r="GM32" s="84"/>
      <c r="GN32" s="84"/>
      <c r="GO32" s="84"/>
      <c r="GP32" s="84"/>
      <c r="GQ32" s="84"/>
      <c r="GR32" s="84"/>
      <c r="GS32" s="84"/>
      <c r="GT32" s="84"/>
      <c r="GU32" s="84"/>
      <c r="GV32" s="84"/>
      <c r="GW32" s="84"/>
      <c r="GX32" s="84"/>
      <c r="GY32" s="84"/>
      <c r="GZ32" s="84"/>
      <c r="HA32" s="84"/>
      <c r="HB32" s="84"/>
      <c r="HC32" s="84"/>
      <c r="HD32" s="84"/>
      <c r="HE32" s="84"/>
      <c r="HF32" s="84"/>
      <c r="HG32" s="84"/>
      <c r="HH32" s="84"/>
      <c r="HI32" s="84"/>
      <c r="HJ32" s="84"/>
      <c r="HK32" s="84"/>
      <c r="HL32" s="84"/>
      <c r="HM32" s="84"/>
      <c r="HN32" s="84"/>
      <c r="HO32" s="84"/>
      <c r="HP32" s="84"/>
      <c r="HQ32" s="84"/>
      <c r="HR32" s="84"/>
      <c r="HS32" s="84"/>
      <c r="HT32" s="84"/>
      <c r="HU32" s="84"/>
      <c r="HV32" s="84"/>
      <c r="HW32" s="84"/>
      <c r="HX32" s="84"/>
      <c r="HY32" s="84"/>
      <c r="HZ32" s="84"/>
      <c r="IA32" s="84"/>
      <c r="IB32" s="84"/>
      <c r="IC32" s="84"/>
      <c r="ID32" s="84"/>
      <c r="IE32" s="84"/>
      <c r="IF32" s="84"/>
      <c r="IG32" s="84"/>
      <c r="IH32" s="84"/>
      <c r="II32" s="84"/>
      <c r="IJ32" s="84"/>
      <c r="IK32" s="84"/>
      <c r="IL32" s="84"/>
      <c r="IM32" s="84"/>
      <c r="IN32" s="84"/>
      <c r="IO32" s="84"/>
      <c r="IP32" s="84"/>
      <c r="IQ32" s="84"/>
      <c r="IR32" s="84"/>
      <c r="IS32" s="84"/>
      <c r="IT32" s="84"/>
      <c r="IU32" s="84"/>
      <c r="IV32" s="84"/>
      <c r="IW32" s="84"/>
      <c r="IX32" s="84"/>
      <c r="IY32" s="84"/>
      <c r="IZ32" s="84"/>
      <c r="JA32" s="84"/>
      <c r="JB32" s="84"/>
      <c r="JC32" s="84"/>
      <c r="JD32" s="84"/>
      <c r="JE32" s="84"/>
      <c r="JF32" s="84"/>
      <c r="JG32" s="84"/>
      <c r="JH32" s="84"/>
      <c r="JI32" s="84"/>
      <c r="JJ32" s="84"/>
      <c r="JK32" s="84"/>
      <c r="JL32" s="84"/>
      <c r="JM32" s="84"/>
      <c r="JN32" s="84"/>
      <c r="JO32" s="84"/>
      <c r="JP32" s="84"/>
      <c r="JQ32" s="84"/>
      <c r="JR32" s="84"/>
      <c r="JS32" s="84"/>
      <c r="JT32" s="84"/>
      <c r="JU32" s="84"/>
      <c r="JV32" s="84"/>
      <c r="JW32" s="84"/>
      <c r="JX32" s="84"/>
      <c r="JY32" s="84"/>
      <c r="JZ32" s="84"/>
      <c r="KA32" s="84"/>
      <c r="KB32" s="84"/>
      <c r="KC32" s="84"/>
      <c r="KD32" s="84"/>
      <c r="KE32" s="84"/>
      <c r="KF32" s="84"/>
      <c r="KG32" s="84"/>
      <c r="KH32" s="84"/>
      <c r="KI32" s="84"/>
      <c r="KJ32" s="84"/>
      <c r="KK32" s="84"/>
      <c r="KL32" s="84"/>
      <c r="KM32" s="84"/>
      <c r="KN32" s="84"/>
      <c r="KO32" s="84"/>
      <c r="KP32" s="84"/>
      <c r="KQ32" s="84"/>
      <c r="KR32" s="84"/>
      <c r="KS32" s="84"/>
      <c r="KT32" s="84"/>
      <c r="KU32" s="84"/>
      <c r="KV32" s="84"/>
      <c r="KW32" s="84"/>
      <c r="KX32" s="84"/>
      <c r="KY32" s="84"/>
      <c r="KZ32" s="84"/>
      <c r="LA32" s="84"/>
      <c r="LB32" s="84"/>
      <c r="LC32" s="84"/>
      <c r="LD32" s="84"/>
      <c r="LE32" s="84"/>
      <c r="LF32" s="84"/>
      <c r="LG32" s="84"/>
      <c r="LH32" s="84"/>
      <c r="LI32" s="84"/>
      <c r="LJ32" s="84"/>
      <c r="LK32" s="84"/>
      <c r="LL32" s="84"/>
      <c r="LM32" s="84"/>
      <c r="LN32" s="84"/>
      <c r="LO32" s="84"/>
      <c r="LP32" s="84"/>
      <c r="LQ32" s="84"/>
      <c r="LR32" s="84"/>
      <c r="LS32" s="84"/>
      <c r="LT32" s="84"/>
      <c r="LU32" s="84"/>
      <c r="LV32" s="84"/>
      <c r="LW32" s="84"/>
      <c r="LX32" s="84"/>
      <c r="LY32" s="84"/>
      <c r="LZ32" s="84"/>
      <c r="MA32" s="84"/>
      <c r="MB32" s="84"/>
      <c r="MC32" s="84"/>
      <c r="MD32" s="84"/>
      <c r="ME32" s="84"/>
      <c r="MF32" s="84"/>
      <c r="MG32" s="84"/>
      <c r="MH32" s="84"/>
      <c r="MI32" s="84"/>
      <c r="MJ32" s="84"/>
      <c r="MK32" s="84"/>
      <c r="ML32" s="84"/>
      <c r="MM32" s="84"/>
      <c r="MN32" s="84"/>
      <c r="MO32" s="84"/>
      <c r="MP32" s="84"/>
      <c r="MQ32" s="84"/>
      <c r="MR32" s="84"/>
      <c r="MS32" s="84"/>
      <c r="MT32" s="84"/>
      <c r="MU32" s="84"/>
      <c r="MV32" s="84"/>
      <c r="MW32" s="84"/>
      <c r="MX32" s="84"/>
      <c r="MY32" s="84"/>
      <c r="MZ32" s="84"/>
      <c r="NA32" s="84"/>
      <c r="NB32" s="84"/>
      <c r="NC32" s="84"/>
      <c r="ND32" s="84"/>
      <c r="NE32" s="84"/>
      <c r="NF32" s="84"/>
      <c r="NG32" s="84"/>
      <c r="NH32" s="84"/>
      <c r="NI32" s="84"/>
      <c r="NJ32" s="84"/>
      <c r="NK32" s="84"/>
      <c r="NL32" s="84"/>
      <c r="NM32" s="84"/>
      <c r="NN32" s="84"/>
      <c r="NO32" s="84"/>
      <c r="NP32" s="84"/>
      <c r="NQ32" s="84"/>
      <c r="NR32" s="84"/>
      <c r="NS32" s="84"/>
      <c r="NT32" s="84"/>
      <c r="NU32" s="84"/>
      <c r="NV32" s="84"/>
      <c r="NW32" s="84"/>
      <c r="NX32" s="84"/>
      <c r="NY32" s="84"/>
      <c r="NZ32" s="84"/>
      <c r="OA32" s="84"/>
      <c r="OB32" s="84"/>
      <c r="OC32" s="84"/>
      <c r="OD32" s="84"/>
      <c r="OE32" s="84"/>
      <c r="OF32" s="84"/>
      <c r="OG32" s="84"/>
      <c r="OH32" s="84"/>
      <c r="OI32" s="84"/>
      <c r="OJ32" s="84"/>
      <c r="OK32" s="84"/>
      <c r="OL32" s="84"/>
      <c r="OM32" s="84"/>
      <c r="ON32" s="84"/>
      <c r="OO32" s="84"/>
      <c r="OP32" s="84"/>
      <c r="OQ32" s="84"/>
      <c r="OR32" s="84"/>
      <c r="OS32" s="84"/>
      <c r="OT32" s="84"/>
      <c r="OU32" s="84"/>
      <c r="OV32" s="84"/>
      <c r="OW32" s="84"/>
      <c r="OX32" s="84"/>
      <c r="OY32" s="84"/>
      <c r="OZ32" s="84"/>
      <c r="PA32" s="84"/>
      <c r="PB32" s="84"/>
      <c r="PC32" s="84"/>
      <c r="PD32" s="84"/>
      <c r="PE32" s="84"/>
      <c r="PF32" s="84"/>
      <c r="PG32" s="84"/>
      <c r="PH32" s="84"/>
      <c r="PI32" s="84"/>
      <c r="PJ32" s="84"/>
      <c r="PK32" s="84"/>
      <c r="PL32" s="84"/>
      <c r="PM32" s="84"/>
      <c r="PN32" s="84"/>
      <c r="PO32" s="84"/>
      <c r="PP32" s="84"/>
      <c r="PQ32" s="84"/>
      <c r="PR32" s="84"/>
      <c r="PS32" s="84"/>
      <c r="PT32" s="84"/>
      <c r="PU32" s="84"/>
      <c r="PV32" s="84"/>
      <c r="PW32" s="84"/>
      <c r="PX32" s="84"/>
      <c r="PY32" s="84"/>
      <c r="PZ32" s="84"/>
      <c r="QA32" s="84"/>
      <c r="QB32" s="84"/>
      <c r="QC32" s="84"/>
    </row>
    <row r="33" spans="1:445" s="85" customFormat="1" ht="15.75" x14ac:dyDescent="0.25">
      <c r="A33" s="92">
        <v>27</v>
      </c>
      <c r="B33" s="337">
        <v>2643</v>
      </c>
      <c r="C33" s="327" t="s">
        <v>397</v>
      </c>
      <c r="D33" s="1181" t="s">
        <v>768</v>
      </c>
      <c r="E33" s="329" t="s">
        <v>113</v>
      </c>
      <c r="F33" s="330">
        <v>38437</v>
      </c>
      <c r="G33" s="331" t="s">
        <v>260</v>
      </c>
      <c r="H33" s="332" t="s">
        <v>261</v>
      </c>
      <c r="I33" s="333" t="s">
        <v>262</v>
      </c>
      <c r="J33" s="328" t="s">
        <v>398</v>
      </c>
      <c r="K33" s="334" t="s">
        <v>399</v>
      </c>
      <c r="L33" s="334" t="s">
        <v>400</v>
      </c>
      <c r="M33" s="334" t="s">
        <v>315</v>
      </c>
      <c r="N33" s="334" t="s">
        <v>276</v>
      </c>
      <c r="O33" s="328" t="s">
        <v>398</v>
      </c>
      <c r="P33" s="335" t="s">
        <v>401</v>
      </c>
      <c r="Q33" s="335" t="s">
        <v>303</v>
      </c>
      <c r="R33" s="335" t="s">
        <v>304</v>
      </c>
      <c r="S33" s="336" t="s">
        <v>114</v>
      </c>
      <c r="T33" s="89"/>
      <c r="U33" s="90"/>
      <c r="V33" s="90"/>
      <c r="W33" s="91"/>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c r="AW33" s="84"/>
      <c r="AX33" s="84"/>
      <c r="AY33" s="84"/>
      <c r="AZ33" s="84"/>
      <c r="BA33" s="84"/>
      <c r="BB33" s="84"/>
      <c r="BC33" s="84"/>
      <c r="BD33" s="84"/>
      <c r="BE33" s="84"/>
      <c r="BF33" s="84"/>
      <c r="BG33" s="84"/>
      <c r="BH33" s="84"/>
      <c r="BI33" s="84"/>
      <c r="BJ33" s="84"/>
      <c r="BK33" s="84"/>
      <c r="BL33" s="84"/>
      <c r="BM33" s="84"/>
      <c r="BN33" s="84"/>
      <c r="BO33" s="84"/>
      <c r="BP33" s="84"/>
      <c r="BQ33" s="84"/>
      <c r="BR33" s="84"/>
      <c r="BS33" s="84"/>
      <c r="BT33" s="84"/>
      <c r="BU33" s="84"/>
      <c r="BV33" s="84"/>
      <c r="BW33" s="84"/>
      <c r="BX33" s="84"/>
      <c r="BY33" s="84"/>
      <c r="BZ33" s="84"/>
      <c r="CA33" s="84"/>
      <c r="CB33" s="84"/>
      <c r="CC33" s="84"/>
      <c r="CD33" s="84"/>
      <c r="CE33" s="84"/>
      <c r="CF33" s="84"/>
      <c r="CG33" s="84"/>
      <c r="CH33" s="84"/>
      <c r="CI33" s="84"/>
      <c r="CJ33" s="84"/>
      <c r="CK33" s="84"/>
      <c r="CL33" s="84"/>
      <c r="CM33" s="84"/>
      <c r="CN33" s="84"/>
      <c r="CO33" s="84"/>
      <c r="CP33" s="84"/>
      <c r="CQ33" s="84"/>
      <c r="CR33" s="84"/>
      <c r="CS33" s="84"/>
      <c r="CT33" s="84"/>
      <c r="CU33" s="84"/>
      <c r="CV33" s="84"/>
      <c r="CW33" s="84"/>
      <c r="CX33" s="84"/>
      <c r="CY33" s="84"/>
      <c r="CZ33" s="84"/>
      <c r="DA33" s="84"/>
      <c r="DB33" s="84"/>
      <c r="DC33" s="84"/>
      <c r="DD33" s="84"/>
      <c r="DE33" s="84"/>
      <c r="DF33" s="84"/>
      <c r="DG33" s="84"/>
      <c r="DH33" s="84"/>
      <c r="DI33" s="84"/>
      <c r="DJ33" s="84"/>
      <c r="DK33" s="84"/>
      <c r="DL33" s="84"/>
      <c r="DM33" s="84"/>
      <c r="DN33" s="84"/>
      <c r="DO33" s="84"/>
      <c r="DP33" s="84"/>
      <c r="DQ33" s="84"/>
      <c r="DR33" s="84"/>
      <c r="DS33" s="84"/>
      <c r="DT33" s="84"/>
      <c r="DU33" s="84"/>
      <c r="DV33" s="84"/>
      <c r="DW33" s="84"/>
      <c r="DX33" s="84"/>
      <c r="DY33" s="84"/>
      <c r="DZ33" s="84"/>
      <c r="EA33" s="84"/>
      <c r="EB33" s="84"/>
      <c r="EC33" s="84"/>
      <c r="ED33" s="84"/>
      <c r="EE33" s="84"/>
      <c r="EF33" s="84"/>
      <c r="EG33" s="84"/>
      <c r="EH33" s="84"/>
      <c r="EI33" s="84"/>
      <c r="EJ33" s="84"/>
      <c r="EK33" s="84"/>
      <c r="EL33" s="84"/>
      <c r="EM33" s="84"/>
      <c r="EN33" s="84"/>
      <c r="EO33" s="84"/>
      <c r="EP33" s="84"/>
      <c r="EQ33" s="84"/>
      <c r="ER33" s="84"/>
      <c r="ES33" s="84"/>
      <c r="ET33" s="84"/>
      <c r="EU33" s="84"/>
      <c r="EV33" s="84"/>
      <c r="EW33" s="84"/>
      <c r="EX33" s="84"/>
      <c r="EY33" s="84"/>
      <c r="EZ33" s="84"/>
      <c r="FA33" s="84"/>
      <c r="FB33" s="84"/>
      <c r="FC33" s="84"/>
      <c r="FD33" s="84"/>
      <c r="FE33" s="84"/>
      <c r="FF33" s="84"/>
      <c r="FG33" s="84"/>
      <c r="FH33" s="84"/>
      <c r="FI33" s="84"/>
      <c r="FJ33" s="84"/>
      <c r="FK33" s="84"/>
      <c r="FL33" s="84"/>
      <c r="FM33" s="84"/>
      <c r="FN33" s="84"/>
      <c r="FO33" s="84"/>
      <c r="FP33" s="84"/>
      <c r="FQ33" s="84"/>
      <c r="FR33" s="84"/>
      <c r="FS33" s="84"/>
      <c r="FT33" s="84"/>
      <c r="FU33" s="84"/>
      <c r="FV33" s="84"/>
      <c r="FW33" s="84"/>
      <c r="FX33" s="84"/>
      <c r="FY33" s="84"/>
      <c r="FZ33" s="84"/>
      <c r="GA33" s="84"/>
      <c r="GB33" s="84"/>
      <c r="GC33" s="84"/>
      <c r="GD33" s="84"/>
      <c r="GE33" s="84"/>
      <c r="GF33" s="84"/>
      <c r="GG33" s="84"/>
      <c r="GH33" s="84"/>
      <c r="GI33" s="84"/>
      <c r="GJ33" s="84"/>
      <c r="GK33" s="84"/>
      <c r="GL33" s="84"/>
      <c r="GM33" s="84"/>
      <c r="GN33" s="84"/>
      <c r="GO33" s="84"/>
      <c r="GP33" s="84"/>
      <c r="GQ33" s="84"/>
      <c r="GR33" s="84"/>
      <c r="GS33" s="84"/>
      <c r="GT33" s="84"/>
      <c r="GU33" s="84"/>
      <c r="GV33" s="84"/>
      <c r="GW33" s="84"/>
      <c r="GX33" s="84"/>
      <c r="GY33" s="84"/>
      <c r="GZ33" s="84"/>
      <c r="HA33" s="84"/>
      <c r="HB33" s="84"/>
      <c r="HC33" s="84"/>
      <c r="HD33" s="84"/>
      <c r="HE33" s="84"/>
      <c r="HF33" s="84"/>
      <c r="HG33" s="84"/>
      <c r="HH33" s="84"/>
      <c r="HI33" s="84"/>
      <c r="HJ33" s="84"/>
      <c r="HK33" s="84"/>
      <c r="HL33" s="84"/>
      <c r="HM33" s="84"/>
      <c r="HN33" s="84"/>
      <c r="HO33" s="84"/>
      <c r="HP33" s="84"/>
      <c r="HQ33" s="84"/>
      <c r="HR33" s="84"/>
      <c r="HS33" s="84"/>
      <c r="HT33" s="84"/>
      <c r="HU33" s="84"/>
      <c r="HV33" s="84"/>
      <c r="HW33" s="84"/>
      <c r="HX33" s="84"/>
      <c r="HY33" s="84"/>
      <c r="HZ33" s="84"/>
      <c r="IA33" s="84"/>
      <c r="IB33" s="84"/>
      <c r="IC33" s="84"/>
      <c r="ID33" s="84"/>
      <c r="IE33" s="84"/>
      <c r="IF33" s="84"/>
      <c r="IG33" s="84"/>
      <c r="IH33" s="84"/>
      <c r="II33" s="84"/>
      <c r="IJ33" s="84"/>
      <c r="IK33" s="84"/>
      <c r="IL33" s="84"/>
      <c r="IM33" s="84"/>
      <c r="IN33" s="84"/>
      <c r="IO33" s="84"/>
      <c r="IP33" s="84"/>
      <c r="IQ33" s="84"/>
      <c r="IR33" s="84"/>
      <c r="IS33" s="84"/>
      <c r="IT33" s="84"/>
      <c r="IU33" s="84"/>
      <c r="IV33" s="84"/>
      <c r="IW33" s="84"/>
      <c r="IX33" s="84"/>
      <c r="IY33" s="84"/>
      <c r="IZ33" s="84"/>
      <c r="JA33" s="84"/>
      <c r="JB33" s="84"/>
      <c r="JC33" s="84"/>
      <c r="JD33" s="84"/>
      <c r="JE33" s="84"/>
      <c r="JF33" s="84"/>
      <c r="JG33" s="84"/>
      <c r="JH33" s="84"/>
      <c r="JI33" s="84"/>
      <c r="JJ33" s="84"/>
      <c r="JK33" s="84"/>
      <c r="JL33" s="84"/>
      <c r="JM33" s="84"/>
      <c r="JN33" s="84"/>
      <c r="JO33" s="84"/>
      <c r="JP33" s="84"/>
      <c r="JQ33" s="84"/>
      <c r="JR33" s="84"/>
      <c r="JS33" s="84"/>
      <c r="JT33" s="84"/>
      <c r="JU33" s="84"/>
      <c r="JV33" s="84"/>
      <c r="JW33" s="84"/>
      <c r="JX33" s="84"/>
      <c r="JY33" s="84"/>
      <c r="JZ33" s="84"/>
      <c r="KA33" s="84"/>
      <c r="KB33" s="84"/>
      <c r="KC33" s="84"/>
      <c r="KD33" s="84"/>
      <c r="KE33" s="84"/>
      <c r="KF33" s="84"/>
      <c r="KG33" s="84"/>
      <c r="KH33" s="84"/>
      <c r="KI33" s="84"/>
      <c r="KJ33" s="84"/>
      <c r="KK33" s="84"/>
      <c r="KL33" s="84"/>
      <c r="KM33" s="84"/>
      <c r="KN33" s="84"/>
      <c r="KO33" s="84"/>
      <c r="KP33" s="84"/>
      <c r="KQ33" s="84"/>
      <c r="KR33" s="84"/>
      <c r="KS33" s="84"/>
      <c r="KT33" s="84"/>
      <c r="KU33" s="84"/>
      <c r="KV33" s="84"/>
      <c r="KW33" s="84"/>
      <c r="KX33" s="84"/>
      <c r="KY33" s="84"/>
      <c r="KZ33" s="84"/>
      <c r="LA33" s="84"/>
      <c r="LB33" s="84"/>
      <c r="LC33" s="84"/>
      <c r="LD33" s="84"/>
      <c r="LE33" s="84"/>
      <c r="LF33" s="84"/>
      <c r="LG33" s="84"/>
      <c r="LH33" s="84"/>
      <c r="LI33" s="84"/>
      <c r="LJ33" s="84"/>
      <c r="LK33" s="84"/>
      <c r="LL33" s="84"/>
      <c r="LM33" s="84"/>
      <c r="LN33" s="84"/>
      <c r="LO33" s="84"/>
      <c r="LP33" s="84"/>
      <c r="LQ33" s="84"/>
      <c r="LR33" s="84"/>
      <c r="LS33" s="84"/>
      <c r="LT33" s="84"/>
      <c r="LU33" s="84"/>
      <c r="LV33" s="84"/>
      <c r="LW33" s="84"/>
      <c r="LX33" s="84"/>
      <c r="LY33" s="84"/>
      <c r="LZ33" s="84"/>
      <c r="MA33" s="84"/>
      <c r="MB33" s="84"/>
      <c r="MC33" s="84"/>
      <c r="MD33" s="84"/>
      <c r="ME33" s="84"/>
      <c r="MF33" s="84"/>
      <c r="MG33" s="84"/>
      <c r="MH33" s="84"/>
      <c r="MI33" s="84"/>
      <c r="MJ33" s="84"/>
      <c r="MK33" s="84"/>
      <c r="ML33" s="84"/>
      <c r="MM33" s="84"/>
      <c r="MN33" s="84"/>
      <c r="MO33" s="84"/>
      <c r="MP33" s="84"/>
      <c r="MQ33" s="84"/>
      <c r="MR33" s="84"/>
      <c r="MS33" s="84"/>
      <c r="MT33" s="84"/>
      <c r="MU33" s="84"/>
      <c r="MV33" s="84"/>
      <c r="MW33" s="84"/>
      <c r="MX33" s="84"/>
      <c r="MY33" s="84"/>
      <c r="MZ33" s="84"/>
      <c r="NA33" s="84"/>
      <c r="NB33" s="84"/>
      <c r="NC33" s="84"/>
      <c r="ND33" s="84"/>
      <c r="NE33" s="84"/>
      <c r="NF33" s="84"/>
      <c r="NG33" s="84"/>
      <c r="NH33" s="84"/>
      <c r="NI33" s="84"/>
      <c r="NJ33" s="84"/>
      <c r="NK33" s="84"/>
      <c r="NL33" s="84"/>
      <c r="NM33" s="84"/>
      <c r="NN33" s="84"/>
      <c r="NO33" s="84"/>
      <c r="NP33" s="84"/>
      <c r="NQ33" s="84"/>
      <c r="NR33" s="84"/>
      <c r="NS33" s="84"/>
      <c r="NT33" s="84"/>
      <c r="NU33" s="84"/>
      <c r="NV33" s="84"/>
      <c r="NW33" s="84"/>
      <c r="NX33" s="84"/>
      <c r="NY33" s="84"/>
      <c r="NZ33" s="84"/>
      <c r="OA33" s="84"/>
      <c r="OB33" s="84"/>
      <c r="OC33" s="84"/>
      <c r="OD33" s="84"/>
      <c r="OE33" s="84"/>
      <c r="OF33" s="84"/>
      <c r="OG33" s="84"/>
      <c r="OH33" s="84"/>
      <c r="OI33" s="84"/>
      <c r="OJ33" s="84"/>
      <c r="OK33" s="84"/>
      <c r="OL33" s="84"/>
      <c r="OM33" s="84"/>
      <c r="ON33" s="84"/>
      <c r="OO33" s="84"/>
      <c r="OP33" s="84"/>
      <c r="OQ33" s="84"/>
      <c r="OR33" s="84"/>
      <c r="OS33" s="84"/>
      <c r="OT33" s="84"/>
      <c r="OU33" s="84"/>
      <c r="OV33" s="84"/>
      <c r="OW33" s="84"/>
      <c r="OX33" s="84"/>
      <c r="OY33" s="84"/>
      <c r="OZ33" s="84"/>
      <c r="PA33" s="84"/>
      <c r="PB33" s="84"/>
      <c r="PC33" s="84"/>
      <c r="PD33" s="84"/>
      <c r="PE33" s="84"/>
      <c r="PF33" s="84"/>
      <c r="PG33" s="84"/>
      <c r="PH33" s="84"/>
      <c r="PI33" s="84"/>
      <c r="PJ33" s="84"/>
      <c r="PK33" s="84"/>
      <c r="PL33" s="84"/>
      <c r="PM33" s="84"/>
      <c r="PN33" s="84"/>
      <c r="PO33" s="84"/>
      <c r="PP33" s="84"/>
      <c r="PQ33" s="84"/>
      <c r="PR33" s="84"/>
      <c r="PS33" s="84"/>
      <c r="PT33" s="84"/>
      <c r="PU33" s="84"/>
      <c r="PV33" s="84"/>
      <c r="PW33" s="84"/>
      <c r="PX33" s="84"/>
      <c r="PY33" s="84"/>
      <c r="PZ33" s="84"/>
      <c r="QA33" s="84"/>
      <c r="QB33" s="84"/>
      <c r="QC33" s="84"/>
    </row>
    <row r="34" spans="1:445" s="85" customFormat="1" ht="15.75" x14ac:dyDescent="0.25">
      <c r="A34" s="92">
        <v>27</v>
      </c>
      <c r="B34" s="337"/>
      <c r="C34" s="327"/>
      <c r="D34" s="338"/>
      <c r="E34" s="329"/>
      <c r="F34" s="330"/>
      <c r="G34" s="331"/>
      <c r="H34" s="332"/>
      <c r="I34" s="333"/>
      <c r="J34" s="329"/>
      <c r="K34" s="334"/>
      <c r="L34" s="334"/>
      <c r="M34" s="334"/>
      <c r="N34" s="334"/>
      <c r="O34" s="329"/>
      <c r="P34" s="335"/>
      <c r="Q34" s="335"/>
      <c r="R34" s="335"/>
      <c r="S34" s="336"/>
      <c r="T34" s="89"/>
      <c r="U34" s="90"/>
      <c r="V34" s="90"/>
      <c r="W34" s="91"/>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row>
    <row r="35" spans="1:445" s="85" customFormat="1" ht="15.75" x14ac:dyDescent="0.25">
      <c r="A35" s="92">
        <v>27</v>
      </c>
      <c r="B35" s="337"/>
      <c r="C35" s="327"/>
      <c r="D35" s="328"/>
      <c r="E35" s="329"/>
      <c r="F35" s="330"/>
      <c r="G35" s="331"/>
      <c r="H35" s="332"/>
      <c r="I35" s="333"/>
      <c r="J35" s="329"/>
      <c r="K35" s="334"/>
      <c r="L35" s="334"/>
      <c r="M35" s="334"/>
      <c r="N35" s="334"/>
      <c r="O35" s="329"/>
      <c r="P35" s="335"/>
      <c r="Q35" s="335"/>
      <c r="R35" s="335"/>
      <c r="S35" s="336"/>
      <c r="T35" s="89"/>
      <c r="U35" s="90"/>
      <c r="V35" s="90"/>
      <c r="W35" s="91"/>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c r="BD35" s="84"/>
      <c r="BE35" s="84"/>
      <c r="BF35" s="84"/>
      <c r="BG35" s="84"/>
      <c r="BH35" s="84"/>
      <c r="BI35" s="84"/>
      <c r="BJ35" s="84"/>
      <c r="BK35" s="84"/>
      <c r="BL35" s="84"/>
      <c r="BM35" s="84"/>
      <c r="BN35" s="84"/>
      <c r="BO35" s="84"/>
      <c r="BP35" s="84"/>
      <c r="BQ35" s="84"/>
      <c r="BR35" s="84"/>
      <c r="BS35" s="84"/>
      <c r="BT35" s="84"/>
      <c r="BU35" s="84"/>
      <c r="BV35" s="84"/>
      <c r="BW35" s="84"/>
      <c r="BX35" s="84"/>
      <c r="BY35" s="84"/>
      <c r="BZ35" s="84"/>
      <c r="CA35" s="84"/>
      <c r="CB35" s="84"/>
      <c r="CC35" s="84"/>
      <c r="CD35" s="84"/>
      <c r="CE35" s="84"/>
      <c r="CF35" s="84"/>
      <c r="CG35" s="84"/>
      <c r="CH35" s="84"/>
      <c r="CI35" s="84"/>
      <c r="CJ35" s="84"/>
      <c r="CK35" s="84"/>
      <c r="CL35" s="84"/>
      <c r="CM35" s="84"/>
      <c r="CN35" s="84"/>
      <c r="CO35" s="84"/>
      <c r="CP35" s="84"/>
      <c r="CQ35" s="84"/>
      <c r="CR35" s="84"/>
      <c r="CS35" s="84"/>
      <c r="CT35" s="84"/>
      <c r="CU35" s="84"/>
      <c r="CV35" s="84"/>
      <c r="CW35" s="84"/>
      <c r="CX35" s="84"/>
      <c r="CY35" s="84"/>
      <c r="CZ35" s="84"/>
      <c r="DA35" s="84"/>
      <c r="DB35" s="84"/>
      <c r="DC35" s="84"/>
      <c r="DD35" s="84"/>
      <c r="DE35" s="84"/>
      <c r="DF35" s="84"/>
      <c r="DG35" s="84"/>
      <c r="DH35" s="84"/>
      <c r="DI35" s="84"/>
      <c r="DJ35" s="84"/>
      <c r="DK35" s="84"/>
      <c r="DL35" s="84"/>
      <c r="DM35" s="84"/>
      <c r="DN35" s="84"/>
      <c r="DO35" s="84"/>
      <c r="DP35" s="84"/>
      <c r="DQ35" s="84"/>
      <c r="DR35" s="84"/>
      <c r="DS35" s="84"/>
      <c r="DT35" s="84"/>
      <c r="DU35" s="84"/>
      <c r="DV35" s="84"/>
      <c r="DW35" s="84"/>
      <c r="DX35" s="84"/>
      <c r="DY35" s="84"/>
      <c r="DZ35" s="84"/>
      <c r="EA35" s="84"/>
      <c r="EB35" s="84"/>
      <c r="EC35" s="84"/>
      <c r="ED35" s="84"/>
      <c r="EE35" s="84"/>
      <c r="EF35" s="84"/>
      <c r="EG35" s="84"/>
      <c r="EH35" s="84"/>
      <c r="EI35" s="84"/>
      <c r="EJ35" s="84"/>
      <c r="EK35" s="84"/>
      <c r="EL35" s="84"/>
      <c r="EM35" s="84"/>
      <c r="EN35" s="84"/>
      <c r="EO35" s="84"/>
      <c r="EP35" s="84"/>
      <c r="EQ35" s="84"/>
      <c r="ER35" s="84"/>
      <c r="ES35" s="84"/>
      <c r="ET35" s="84"/>
      <c r="EU35" s="84"/>
      <c r="EV35" s="84"/>
      <c r="EW35" s="84"/>
      <c r="EX35" s="84"/>
      <c r="EY35" s="84"/>
      <c r="EZ35" s="84"/>
      <c r="FA35" s="84"/>
      <c r="FB35" s="84"/>
      <c r="FC35" s="84"/>
      <c r="FD35" s="84"/>
      <c r="FE35" s="84"/>
      <c r="FF35" s="84"/>
      <c r="FG35" s="84"/>
      <c r="FH35" s="84"/>
      <c r="FI35" s="84"/>
      <c r="FJ35" s="84"/>
      <c r="FK35" s="84"/>
      <c r="FL35" s="84"/>
      <c r="FM35" s="84"/>
      <c r="FN35" s="84"/>
      <c r="FO35" s="84"/>
      <c r="FP35" s="84"/>
      <c r="FQ35" s="84"/>
      <c r="FR35" s="84"/>
      <c r="FS35" s="84"/>
      <c r="FT35" s="84"/>
      <c r="FU35" s="84"/>
      <c r="FV35" s="84"/>
      <c r="FW35" s="84"/>
      <c r="FX35" s="84"/>
      <c r="FY35" s="84"/>
      <c r="FZ35" s="84"/>
      <c r="GA35" s="84"/>
      <c r="GB35" s="84"/>
      <c r="GC35" s="84"/>
      <c r="GD35" s="84"/>
      <c r="GE35" s="84"/>
      <c r="GF35" s="84"/>
      <c r="GG35" s="84"/>
      <c r="GH35" s="84"/>
      <c r="GI35" s="84"/>
      <c r="GJ35" s="84"/>
      <c r="GK35" s="84"/>
      <c r="GL35" s="84"/>
      <c r="GM35" s="84"/>
      <c r="GN35" s="84"/>
      <c r="GO35" s="84"/>
      <c r="GP35" s="84"/>
      <c r="GQ35" s="84"/>
      <c r="GR35" s="84"/>
      <c r="GS35" s="84"/>
      <c r="GT35" s="84"/>
      <c r="GU35" s="84"/>
      <c r="GV35" s="84"/>
      <c r="GW35" s="84"/>
      <c r="GX35" s="84"/>
      <c r="GY35" s="84"/>
      <c r="GZ35" s="84"/>
      <c r="HA35" s="84"/>
      <c r="HB35" s="84"/>
      <c r="HC35" s="84"/>
      <c r="HD35" s="84"/>
      <c r="HE35" s="84"/>
      <c r="HF35" s="84"/>
      <c r="HG35" s="84"/>
      <c r="HH35" s="84"/>
      <c r="HI35" s="84"/>
      <c r="HJ35" s="84"/>
      <c r="HK35" s="84"/>
      <c r="HL35" s="84"/>
      <c r="HM35" s="84"/>
      <c r="HN35" s="84"/>
      <c r="HO35" s="84"/>
      <c r="HP35" s="84"/>
      <c r="HQ35" s="84"/>
      <c r="HR35" s="84"/>
      <c r="HS35" s="84"/>
      <c r="HT35" s="84"/>
      <c r="HU35" s="84"/>
      <c r="HV35" s="84"/>
      <c r="HW35" s="84"/>
      <c r="HX35" s="84"/>
      <c r="HY35" s="84"/>
      <c r="HZ35" s="84"/>
      <c r="IA35" s="84"/>
      <c r="IB35" s="84"/>
      <c r="IC35" s="84"/>
      <c r="ID35" s="84"/>
      <c r="IE35" s="84"/>
      <c r="IF35" s="84"/>
      <c r="IG35" s="84"/>
      <c r="IH35" s="84"/>
      <c r="II35" s="84"/>
      <c r="IJ35" s="84"/>
      <c r="IK35" s="84"/>
      <c r="IL35" s="84"/>
      <c r="IM35" s="84"/>
      <c r="IN35" s="84"/>
      <c r="IO35" s="84"/>
      <c r="IP35" s="84"/>
      <c r="IQ35" s="84"/>
      <c r="IR35" s="84"/>
      <c r="IS35" s="84"/>
      <c r="IT35" s="84"/>
      <c r="IU35" s="84"/>
      <c r="IV35" s="84"/>
      <c r="IW35" s="84"/>
      <c r="IX35" s="84"/>
      <c r="IY35" s="84"/>
      <c r="IZ35" s="84"/>
      <c r="JA35" s="84"/>
      <c r="JB35" s="84"/>
      <c r="JC35" s="84"/>
      <c r="JD35" s="84"/>
      <c r="JE35" s="84"/>
      <c r="JF35" s="84"/>
      <c r="JG35" s="84"/>
      <c r="JH35" s="84"/>
      <c r="JI35" s="84"/>
      <c r="JJ35" s="84"/>
      <c r="JK35" s="84"/>
      <c r="JL35" s="84"/>
      <c r="JM35" s="84"/>
      <c r="JN35" s="84"/>
      <c r="JO35" s="84"/>
      <c r="JP35" s="84"/>
      <c r="JQ35" s="84"/>
      <c r="JR35" s="84"/>
      <c r="JS35" s="84"/>
      <c r="JT35" s="84"/>
      <c r="JU35" s="84"/>
      <c r="JV35" s="84"/>
      <c r="JW35" s="84"/>
      <c r="JX35" s="84"/>
      <c r="JY35" s="84"/>
      <c r="JZ35" s="84"/>
      <c r="KA35" s="84"/>
      <c r="KB35" s="84"/>
      <c r="KC35" s="84"/>
      <c r="KD35" s="84"/>
      <c r="KE35" s="84"/>
      <c r="KF35" s="84"/>
      <c r="KG35" s="84"/>
      <c r="KH35" s="84"/>
      <c r="KI35" s="84"/>
      <c r="KJ35" s="84"/>
      <c r="KK35" s="84"/>
      <c r="KL35" s="84"/>
      <c r="KM35" s="84"/>
      <c r="KN35" s="84"/>
      <c r="KO35" s="84"/>
      <c r="KP35" s="84"/>
      <c r="KQ35" s="84"/>
      <c r="KR35" s="84"/>
      <c r="KS35" s="84"/>
      <c r="KT35" s="84"/>
      <c r="KU35" s="84"/>
      <c r="KV35" s="84"/>
      <c r="KW35" s="84"/>
      <c r="KX35" s="84"/>
      <c r="KY35" s="84"/>
      <c r="KZ35" s="84"/>
      <c r="LA35" s="84"/>
      <c r="LB35" s="84"/>
      <c r="LC35" s="84"/>
      <c r="LD35" s="84"/>
      <c r="LE35" s="84"/>
      <c r="LF35" s="84"/>
      <c r="LG35" s="84"/>
      <c r="LH35" s="84"/>
      <c r="LI35" s="84"/>
      <c r="LJ35" s="84"/>
      <c r="LK35" s="84"/>
      <c r="LL35" s="84"/>
      <c r="LM35" s="84"/>
      <c r="LN35" s="84"/>
      <c r="LO35" s="84"/>
      <c r="LP35" s="84"/>
      <c r="LQ35" s="84"/>
      <c r="LR35" s="84"/>
      <c r="LS35" s="84"/>
      <c r="LT35" s="84"/>
      <c r="LU35" s="84"/>
      <c r="LV35" s="84"/>
      <c r="LW35" s="84"/>
      <c r="LX35" s="84"/>
      <c r="LY35" s="84"/>
      <c r="LZ35" s="84"/>
      <c r="MA35" s="84"/>
      <c r="MB35" s="84"/>
      <c r="MC35" s="84"/>
      <c r="MD35" s="84"/>
      <c r="ME35" s="84"/>
      <c r="MF35" s="84"/>
      <c r="MG35" s="84"/>
      <c r="MH35" s="84"/>
      <c r="MI35" s="84"/>
      <c r="MJ35" s="84"/>
      <c r="MK35" s="84"/>
      <c r="ML35" s="84"/>
      <c r="MM35" s="84"/>
      <c r="MN35" s="84"/>
      <c r="MO35" s="84"/>
      <c r="MP35" s="84"/>
      <c r="MQ35" s="84"/>
      <c r="MR35" s="84"/>
      <c r="MS35" s="84"/>
      <c r="MT35" s="84"/>
      <c r="MU35" s="84"/>
      <c r="MV35" s="84"/>
      <c r="MW35" s="84"/>
      <c r="MX35" s="84"/>
      <c r="MY35" s="84"/>
      <c r="MZ35" s="84"/>
      <c r="NA35" s="84"/>
      <c r="NB35" s="84"/>
      <c r="NC35" s="84"/>
      <c r="ND35" s="84"/>
      <c r="NE35" s="84"/>
      <c r="NF35" s="84"/>
      <c r="NG35" s="84"/>
      <c r="NH35" s="84"/>
      <c r="NI35" s="84"/>
      <c r="NJ35" s="84"/>
      <c r="NK35" s="84"/>
      <c r="NL35" s="84"/>
      <c r="NM35" s="84"/>
      <c r="NN35" s="84"/>
      <c r="NO35" s="84"/>
      <c r="NP35" s="84"/>
      <c r="NQ35" s="84"/>
      <c r="NR35" s="84"/>
      <c r="NS35" s="84"/>
      <c r="NT35" s="84"/>
      <c r="NU35" s="84"/>
      <c r="NV35" s="84"/>
      <c r="NW35" s="84"/>
      <c r="NX35" s="84"/>
      <c r="NY35" s="84"/>
      <c r="NZ35" s="84"/>
      <c r="OA35" s="84"/>
      <c r="OB35" s="84"/>
      <c r="OC35" s="84"/>
      <c r="OD35" s="84"/>
      <c r="OE35" s="84"/>
      <c r="OF35" s="84"/>
      <c r="OG35" s="84"/>
      <c r="OH35" s="84"/>
      <c r="OI35" s="84"/>
      <c r="OJ35" s="84"/>
      <c r="OK35" s="84"/>
      <c r="OL35" s="84"/>
      <c r="OM35" s="84"/>
      <c r="ON35" s="84"/>
      <c r="OO35" s="84"/>
      <c r="OP35" s="84"/>
      <c r="OQ35" s="84"/>
      <c r="OR35" s="84"/>
      <c r="OS35" s="84"/>
      <c r="OT35" s="84"/>
      <c r="OU35" s="84"/>
      <c r="OV35" s="84"/>
      <c r="OW35" s="84"/>
      <c r="OX35" s="84"/>
      <c r="OY35" s="84"/>
      <c r="OZ35" s="84"/>
      <c r="PA35" s="84"/>
      <c r="PB35" s="84"/>
      <c r="PC35" s="84"/>
      <c r="PD35" s="84"/>
      <c r="PE35" s="84"/>
      <c r="PF35" s="84"/>
      <c r="PG35" s="84"/>
      <c r="PH35" s="84"/>
      <c r="PI35" s="84"/>
      <c r="PJ35" s="84"/>
      <c r="PK35" s="84"/>
      <c r="PL35" s="84"/>
      <c r="PM35" s="84"/>
      <c r="PN35" s="84"/>
      <c r="PO35" s="84"/>
      <c r="PP35" s="84"/>
      <c r="PQ35" s="84"/>
      <c r="PR35" s="84"/>
      <c r="PS35" s="84"/>
      <c r="PT35" s="84"/>
      <c r="PU35" s="84"/>
      <c r="PV35" s="84"/>
      <c r="PW35" s="84"/>
      <c r="PX35" s="84"/>
      <c r="PY35" s="84"/>
      <c r="PZ35" s="84"/>
      <c r="QA35" s="84"/>
      <c r="QB35" s="84"/>
      <c r="QC35" s="84"/>
    </row>
    <row r="36" spans="1:445" s="85" customFormat="1" ht="15.75" x14ac:dyDescent="0.25">
      <c r="A36" s="92">
        <v>27</v>
      </c>
      <c r="B36" s="337"/>
      <c r="C36" s="327"/>
      <c r="D36" s="328"/>
      <c r="E36" s="329"/>
      <c r="F36" s="330"/>
      <c r="G36" s="339"/>
      <c r="H36" s="332"/>
      <c r="I36" s="333"/>
      <c r="J36" s="329"/>
      <c r="K36" s="334"/>
      <c r="L36" s="334"/>
      <c r="M36" s="334"/>
      <c r="N36" s="334"/>
      <c r="O36" s="329"/>
      <c r="P36" s="335"/>
      <c r="Q36" s="335"/>
      <c r="R36" s="335"/>
      <c r="S36" s="336"/>
      <c r="T36" s="89"/>
      <c r="U36" s="90"/>
      <c r="V36" s="90"/>
      <c r="W36" s="91"/>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c r="BD36" s="84"/>
      <c r="BE36" s="84"/>
      <c r="BF36" s="84"/>
      <c r="BG36" s="84"/>
      <c r="BH36" s="84"/>
      <c r="BI36" s="84"/>
      <c r="BJ36" s="84"/>
      <c r="BK36" s="84"/>
      <c r="BL36" s="84"/>
      <c r="BM36" s="84"/>
      <c r="BN36" s="84"/>
      <c r="BO36" s="84"/>
      <c r="BP36" s="84"/>
      <c r="BQ36" s="84"/>
      <c r="BR36" s="84"/>
      <c r="BS36" s="84"/>
      <c r="BT36" s="84"/>
      <c r="BU36" s="84"/>
      <c r="BV36" s="84"/>
      <c r="BW36" s="84"/>
      <c r="BX36" s="84"/>
      <c r="BY36" s="84"/>
      <c r="BZ36" s="84"/>
      <c r="CA36" s="84"/>
      <c r="CB36" s="84"/>
      <c r="CC36" s="84"/>
      <c r="CD36" s="84"/>
      <c r="CE36" s="84"/>
      <c r="CF36" s="84"/>
      <c r="CG36" s="84"/>
      <c r="CH36" s="84"/>
      <c r="CI36" s="84"/>
      <c r="CJ36" s="84"/>
      <c r="CK36" s="84"/>
      <c r="CL36" s="84"/>
      <c r="CM36" s="84"/>
      <c r="CN36" s="84"/>
      <c r="CO36" s="84"/>
      <c r="CP36" s="84"/>
      <c r="CQ36" s="84"/>
      <c r="CR36" s="84"/>
      <c r="CS36" s="84"/>
      <c r="CT36" s="84"/>
      <c r="CU36" s="84"/>
      <c r="CV36" s="84"/>
      <c r="CW36" s="84"/>
      <c r="CX36" s="84"/>
      <c r="CY36" s="84"/>
      <c r="CZ36" s="84"/>
      <c r="DA36" s="84"/>
      <c r="DB36" s="84"/>
      <c r="DC36" s="84"/>
      <c r="DD36" s="84"/>
      <c r="DE36" s="84"/>
      <c r="DF36" s="84"/>
      <c r="DG36" s="84"/>
      <c r="DH36" s="84"/>
      <c r="DI36" s="84"/>
      <c r="DJ36" s="84"/>
      <c r="DK36" s="84"/>
      <c r="DL36" s="84"/>
      <c r="DM36" s="84"/>
      <c r="DN36" s="84"/>
      <c r="DO36" s="84"/>
      <c r="DP36" s="84"/>
      <c r="DQ36" s="84"/>
      <c r="DR36" s="84"/>
      <c r="DS36" s="84"/>
      <c r="DT36" s="84"/>
      <c r="DU36" s="84"/>
      <c r="DV36" s="84"/>
      <c r="DW36" s="84"/>
      <c r="DX36" s="84"/>
      <c r="DY36" s="84"/>
      <c r="DZ36" s="84"/>
      <c r="EA36" s="84"/>
      <c r="EB36" s="84"/>
      <c r="EC36" s="84"/>
      <c r="ED36" s="84"/>
      <c r="EE36" s="84"/>
      <c r="EF36" s="84"/>
      <c r="EG36" s="84"/>
      <c r="EH36" s="84"/>
      <c r="EI36" s="84"/>
      <c r="EJ36" s="84"/>
      <c r="EK36" s="84"/>
      <c r="EL36" s="84"/>
      <c r="EM36" s="84"/>
      <c r="EN36" s="84"/>
      <c r="EO36" s="84"/>
      <c r="EP36" s="84"/>
      <c r="EQ36" s="84"/>
      <c r="ER36" s="84"/>
      <c r="ES36" s="84"/>
      <c r="ET36" s="84"/>
      <c r="EU36" s="84"/>
      <c r="EV36" s="84"/>
      <c r="EW36" s="84"/>
      <c r="EX36" s="84"/>
      <c r="EY36" s="84"/>
      <c r="EZ36" s="84"/>
      <c r="FA36" s="84"/>
      <c r="FB36" s="84"/>
      <c r="FC36" s="84"/>
      <c r="FD36" s="84"/>
      <c r="FE36" s="84"/>
      <c r="FF36" s="84"/>
      <c r="FG36" s="84"/>
      <c r="FH36" s="84"/>
      <c r="FI36" s="84"/>
      <c r="FJ36" s="84"/>
      <c r="FK36" s="84"/>
      <c r="FL36" s="84"/>
      <c r="FM36" s="84"/>
      <c r="FN36" s="84"/>
      <c r="FO36" s="84"/>
      <c r="FP36" s="84"/>
      <c r="FQ36" s="84"/>
      <c r="FR36" s="84"/>
      <c r="FS36" s="84"/>
      <c r="FT36" s="84"/>
      <c r="FU36" s="84"/>
      <c r="FV36" s="84"/>
      <c r="FW36" s="84"/>
      <c r="FX36" s="84"/>
      <c r="FY36" s="84"/>
      <c r="FZ36" s="84"/>
      <c r="GA36" s="84"/>
      <c r="GB36" s="84"/>
      <c r="GC36" s="84"/>
      <c r="GD36" s="84"/>
      <c r="GE36" s="84"/>
      <c r="GF36" s="84"/>
      <c r="GG36" s="84"/>
      <c r="GH36" s="84"/>
      <c r="GI36" s="84"/>
      <c r="GJ36" s="84"/>
      <c r="GK36" s="84"/>
      <c r="GL36" s="84"/>
      <c r="GM36" s="84"/>
      <c r="GN36" s="84"/>
      <c r="GO36" s="84"/>
      <c r="GP36" s="84"/>
      <c r="GQ36" s="84"/>
      <c r="GR36" s="84"/>
      <c r="GS36" s="84"/>
      <c r="GT36" s="84"/>
      <c r="GU36" s="84"/>
      <c r="GV36" s="84"/>
      <c r="GW36" s="84"/>
      <c r="GX36" s="84"/>
      <c r="GY36" s="84"/>
      <c r="GZ36" s="84"/>
      <c r="HA36" s="84"/>
      <c r="HB36" s="84"/>
      <c r="HC36" s="84"/>
      <c r="HD36" s="84"/>
      <c r="HE36" s="84"/>
      <c r="HF36" s="84"/>
      <c r="HG36" s="84"/>
      <c r="HH36" s="84"/>
      <c r="HI36" s="84"/>
      <c r="HJ36" s="84"/>
      <c r="HK36" s="84"/>
      <c r="HL36" s="84"/>
      <c r="HM36" s="84"/>
      <c r="HN36" s="84"/>
      <c r="HO36" s="84"/>
      <c r="HP36" s="84"/>
      <c r="HQ36" s="84"/>
      <c r="HR36" s="84"/>
      <c r="HS36" s="84"/>
      <c r="HT36" s="84"/>
      <c r="HU36" s="84"/>
      <c r="HV36" s="84"/>
      <c r="HW36" s="84"/>
      <c r="HX36" s="84"/>
      <c r="HY36" s="84"/>
      <c r="HZ36" s="84"/>
      <c r="IA36" s="84"/>
      <c r="IB36" s="84"/>
      <c r="IC36" s="84"/>
      <c r="ID36" s="84"/>
      <c r="IE36" s="84"/>
      <c r="IF36" s="84"/>
      <c r="IG36" s="84"/>
      <c r="IH36" s="84"/>
      <c r="II36" s="84"/>
      <c r="IJ36" s="84"/>
      <c r="IK36" s="84"/>
      <c r="IL36" s="84"/>
      <c r="IM36" s="84"/>
      <c r="IN36" s="84"/>
      <c r="IO36" s="84"/>
      <c r="IP36" s="84"/>
      <c r="IQ36" s="84"/>
      <c r="IR36" s="84"/>
      <c r="IS36" s="84"/>
      <c r="IT36" s="84"/>
      <c r="IU36" s="84"/>
      <c r="IV36" s="84"/>
      <c r="IW36" s="84"/>
      <c r="IX36" s="84"/>
      <c r="IY36" s="84"/>
      <c r="IZ36" s="84"/>
      <c r="JA36" s="84"/>
      <c r="JB36" s="84"/>
      <c r="JC36" s="84"/>
      <c r="JD36" s="84"/>
      <c r="JE36" s="84"/>
      <c r="JF36" s="84"/>
      <c r="JG36" s="84"/>
      <c r="JH36" s="84"/>
      <c r="JI36" s="84"/>
      <c r="JJ36" s="84"/>
      <c r="JK36" s="84"/>
      <c r="JL36" s="84"/>
      <c r="JM36" s="84"/>
      <c r="JN36" s="84"/>
      <c r="JO36" s="84"/>
      <c r="JP36" s="84"/>
      <c r="JQ36" s="84"/>
      <c r="JR36" s="84"/>
      <c r="JS36" s="84"/>
      <c r="JT36" s="84"/>
      <c r="JU36" s="84"/>
      <c r="JV36" s="84"/>
      <c r="JW36" s="84"/>
      <c r="JX36" s="84"/>
      <c r="JY36" s="84"/>
      <c r="JZ36" s="84"/>
      <c r="KA36" s="84"/>
      <c r="KB36" s="84"/>
      <c r="KC36" s="84"/>
      <c r="KD36" s="84"/>
      <c r="KE36" s="84"/>
      <c r="KF36" s="84"/>
      <c r="KG36" s="84"/>
      <c r="KH36" s="84"/>
      <c r="KI36" s="84"/>
      <c r="KJ36" s="84"/>
      <c r="KK36" s="84"/>
      <c r="KL36" s="84"/>
      <c r="KM36" s="84"/>
      <c r="KN36" s="84"/>
      <c r="KO36" s="84"/>
      <c r="KP36" s="84"/>
      <c r="KQ36" s="84"/>
      <c r="KR36" s="84"/>
      <c r="KS36" s="84"/>
      <c r="KT36" s="84"/>
      <c r="KU36" s="84"/>
      <c r="KV36" s="84"/>
      <c r="KW36" s="84"/>
      <c r="KX36" s="84"/>
      <c r="KY36" s="84"/>
      <c r="KZ36" s="84"/>
      <c r="LA36" s="84"/>
      <c r="LB36" s="84"/>
      <c r="LC36" s="84"/>
      <c r="LD36" s="84"/>
      <c r="LE36" s="84"/>
      <c r="LF36" s="84"/>
      <c r="LG36" s="84"/>
      <c r="LH36" s="84"/>
      <c r="LI36" s="84"/>
      <c r="LJ36" s="84"/>
      <c r="LK36" s="84"/>
      <c r="LL36" s="84"/>
      <c r="LM36" s="84"/>
      <c r="LN36" s="84"/>
      <c r="LO36" s="84"/>
      <c r="LP36" s="84"/>
      <c r="LQ36" s="84"/>
      <c r="LR36" s="84"/>
      <c r="LS36" s="84"/>
      <c r="LT36" s="84"/>
      <c r="LU36" s="84"/>
      <c r="LV36" s="84"/>
      <c r="LW36" s="84"/>
      <c r="LX36" s="84"/>
      <c r="LY36" s="84"/>
      <c r="LZ36" s="84"/>
      <c r="MA36" s="84"/>
      <c r="MB36" s="84"/>
      <c r="MC36" s="84"/>
      <c r="MD36" s="84"/>
      <c r="ME36" s="84"/>
      <c r="MF36" s="84"/>
      <c r="MG36" s="84"/>
      <c r="MH36" s="84"/>
      <c r="MI36" s="84"/>
      <c r="MJ36" s="84"/>
      <c r="MK36" s="84"/>
      <c r="ML36" s="84"/>
      <c r="MM36" s="84"/>
      <c r="MN36" s="84"/>
      <c r="MO36" s="84"/>
      <c r="MP36" s="84"/>
      <c r="MQ36" s="84"/>
      <c r="MR36" s="84"/>
      <c r="MS36" s="84"/>
      <c r="MT36" s="84"/>
      <c r="MU36" s="84"/>
      <c r="MV36" s="84"/>
      <c r="MW36" s="84"/>
      <c r="MX36" s="84"/>
      <c r="MY36" s="84"/>
      <c r="MZ36" s="84"/>
      <c r="NA36" s="84"/>
      <c r="NB36" s="84"/>
      <c r="NC36" s="84"/>
      <c r="ND36" s="84"/>
      <c r="NE36" s="84"/>
      <c r="NF36" s="84"/>
      <c r="NG36" s="84"/>
      <c r="NH36" s="84"/>
      <c r="NI36" s="84"/>
      <c r="NJ36" s="84"/>
      <c r="NK36" s="84"/>
      <c r="NL36" s="84"/>
      <c r="NM36" s="84"/>
      <c r="NN36" s="84"/>
      <c r="NO36" s="84"/>
      <c r="NP36" s="84"/>
      <c r="NQ36" s="84"/>
      <c r="NR36" s="84"/>
      <c r="NS36" s="84"/>
      <c r="NT36" s="84"/>
      <c r="NU36" s="84"/>
      <c r="NV36" s="84"/>
      <c r="NW36" s="84"/>
      <c r="NX36" s="84"/>
      <c r="NY36" s="84"/>
      <c r="NZ36" s="84"/>
      <c r="OA36" s="84"/>
      <c r="OB36" s="84"/>
      <c r="OC36" s="84"/>
      <c r="OD36" s="84"/>
      <c r="OE36" s="84"/>
      <c r="OF36" s="84"/>
      <c r="OG36" s="84"/>
      <c r="OH36" s="84"/>
      <c r="OI36" s="84"/>
      <c r="OJ36" s="84"/>
      <c r="OK36" s="84"/>
      <c r="OL36" s="84"/>
      <c r="OM36" s="84"/>
      <c r="ON36" s="84"/>
      <c r="OO36" s="84"/>
      <c r="OP36" s="84"/>
      <c r="OQ36" s="84"/>
      <c r="OR36" s="84"/>
      <c r="OS36" s="84"/>
      <c r="OT36" s="84"/>
      <c r="OU36" s="84"/>
      <c r="OV36" s="84"/>
      <c r="OW36" s="84"/>
      <c r="OX36" s="84"/>
      <c r="OY36" s="84"/>
      <c r="OZ36" s="84"/>
      <c r="PA36" s="84"/>
      <c r="PB36" s="84"/>
      <c r="PC36" s="84"/>
      <c r="PD36" s="84"/>
      <c r="PE36" s="84"/>
      <c r="PF36" s="84"/>
      <c r="PG36" s="84"/>
      <c r="PH36" s="84"/>
      <c r="PI36" s="84"/>
      <c r="PJ36" s="84"/>
      <c r="PK36" s="84"/>
      <c r="PL36" s="84"/>
      <c r="PM36" s="84"/>
      <c r="PN36" s="84"/>
      <c r="PO36" s="84"/>
      <c r="PP36" s="84"/>
      <c r="PQ36" s="84"/>
      <c r="PR36" s="84"/>
      <c r="PS36" s="84"/>
      <c r="PT36" s="84"/>
      <c r="PU36" s="84"/>
      <c r="PV36" s="84"/>
      <c r="PW36" s="84"/>
      <c r="PX36" s="84"/>
      <c r="PY36" s="84"/>
      <c r="PZ36" s="84"/>
      <c r="QA36" s="84"/>
      <c r="QB36" s="84"/>
      <c r="QC36" s="84"/>
    </row>
    <row r="37" spans="1:445" s="85" customFormat="1" ht="15.75" x14ac:dyDescent="0.25">
      <c r="A37" s="92">
        <v>27</v>
      </c>
      <c r="B37" s="337"/>
      <c r="C37" s="327"/>
      <c r="D37" s="328"/>
      <c r="E37" s="329"/>
      <c r="F37" s="330"/>
      <c r="G37" s="339"/>
      <c r="H37" s="332"/>
      <c r="I37" s="333"/>
      <c r="J37" s="329"/>
      <c r="K37" s="334"/>
      <c r="L37" s="334"/>
      <c r="M37" s="334"/>
      <c r="N37" s="334"/>
      <c r="O37" s="329"/>
      <c r="P37" s="335"/>
      <c r="Q37" s="335"/>
      <c r="R37" s="335"/>
      <c r="S37" s="336"/>
      <c r="T37" s="89"/>
      <c r="U37" s="90"/>
      <c r="V37" s="90"/>
      <c r="W37" s="91"/>
      <c r="X37" s="84"/>
      <c r="Y37" s="84"/>
      <c r="Z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c r="BB37" s="84"/>
      <c r="BC37" s="84"/>
      <c r="BD37" s="84"/>
      <c r="BE37" s="84"/>
      <c r="BF37" s="84"/>
      <c r="BG37" s="84"/>
      <c r="BH37" s="84"/>
      <c r="BI37" s="84"/>
      <c r="BJ37" s="84"/>
      <c r="BK37" s="84"/>
      <c r="BL37" s="84"/>
      <c r="BM37" s="84"/>
      <c r="BN37" s="84"/>
      <c r="BO37" s="84"/>
      <c r="BP37" s="84"/>
      <c r="BQ37" s="84"/>
      <c r="BR37" s="84"/>
      <c r="BS37" s="84"/>
      <c r="BT37" s="84"/>
      <c r="BU37" s="84"/>
      <c r="BV37" s="84"/>
      <c r="BW37" s="84"/>
      <c r="BX37" s="84"/>
      <c r="BY37" s="84"/>
      <c r="BZ37" s="84"/>
      <c r="CA37" s="84"/>
      <c r="CB37" s="84"/>
      <c r="CC37" s="84"/>
      <c r="CD37" s="84"/>
      <c r="CE37" s="84"/>
      <c r="CF37" s="84"/>
      <c r="CG37" s="84"/>
      <c r="CH37" s="84"/>
      <c r="CI37" s="84"/>
      <c r="CJ37" s="84"/>
      <c r="CK37" s="84"/>
      <c r="CL37" s="84"/>
      <c r="CM37" s="84"/>
      <c r="CN37" s="84"/>
      <c r="CO37" s="84"/>
      <c r="CP37" s="84"/>
      <c r="CQ37" s="84"/>
      <c r="CR37" s="84"/>
      <c r="CS37" s="84"/>
      <c r="CT37" s="84"/>
      <c r="CU37" s="84"/>
      <c r="CV37" s="84"/>
      <c r="CW37" s="84"/>
      <c r="CX37" s="84"/>
      <c r="CY37" s="84"/>
      <c r="CZ37" s="84"/>
      <c r="DA37" s="84"/>
      <c r="DB37" s="84"/>
      <c r="DC37" s="84"/>
      <c r="DD37" s="84"/>
      <c r="DE37" s="84"/>
      <c r="DF37" s="84"/>
      <c r="DG37" s="84"/>
      <c r="DH37" s="84"/>
      <c r="DI37" s="84"/>
      <c r="DJ37" s="84"/>
      <c r="DK37" s="84"/>
      <c r="DL37" s="84"/>
      <c r="DM37" s="84"/>
      <c r="DN37" s="84"/>
      <c r="DO37" s="84"/>
      <c r="DP37" s="84"/>
      <c r="DQ37" s="84"/>
      <c r="DR37" s="84"/>
      <c r="DS37" s="84"/>
      <c r="DT37" s="84"/>
      <c r="DU37" s="84"/>
      <c r="DV37" s="84"/>
      <c r="DW37" s="84"/>
      <c r="DX37" s="84"/>
      <c r="DY37" s="84"/>
      <c r="DZ37" s="84"/>
      <c r="EA37" s="84"/>
      <c r="EB37" s="84"/>
      <c r="EC37" s="84"/>
      <c r="ED37" s="84"/>
      <c r="EE37" s="84"/>
      <c r="EF37" s="84"/>
      <c r="EG37" s="84"/>
      <c r="EH37" s="84"/>
      <c r="EI37" s="84"/>
      <c r="EJ37" s="84"/>
      <c r="EK37" s="84"/>
      <c r="EL37" s="84"/>
      <c r="EM37" s="84"/>
      <c r="EN37" s="84"/>
      <c r="EO37" s="84"/>
      <c r="EP37" s="84"/>
      <c r="EQ37" s="84"/>
      <c r="ER37" s="84"/>
      <c r="ES37" s="84"/>
      <c r="ET37" s="84"/>
      <c r="EU37" s="84"/>
      <c r="EV37" s="84"/>
      <c r="EW37" s="84"/>
      <c r="EX37" s="84"/>
      <c r="EY37" s="84"/>
      <c r="EZ37" s="84"/>
      <c r="FA37" s="84"/>
      <c r="FB37" s="84"/>
      <c r="FC37" s="84"/>
      <c r="FD37" s="84"/>
      <c r="FE37" s="84"/>
      <c r="FF37" s="84"/>
      <c r="FG37" s="84"/>
      <c r="FH37" s="84"/>
      <c r="FI37" s="84"/>
      <c r="FJ37" s="84"/>
      <c r="FK37" s="84"/>
      <c r="FL37" s="84"/>
      <c r="FM37" s="84"/>
      <c r="FN37" s="84"/>
      <c r="FO37" s="84"/>
      <c r="FP37" s="84"/>
      <c r="FQ37" s="84"/>
      <c r="FR37" s="84"/>
      <c r="FS37" s="84"/>
      <c r="FT37" s="84"/>
      <c r="FU37" s="84"/>
      <c r="FV37" s="84"/>
      <c r="FW37" s="84"/>
      <c r="FX37" s="84"/>
      <c r="FY37" s="84"/>
      <c r="FZ37" s="84"/>
      <c r="GA37" s="84"/>
      <c r="GB37" s="84"/>
      <c r="GC37" s="84"/>
      <c r="GD37" s="84"/>
      <c r="GE37" s="84"/>
      <c r="GF37" s="84"/>
      <c r="GG37" s="84"/>
      <c r="GH37" s="84"/>
      <c r="GI37" s="84"/>
      <c r="GJ37" s="84"/>
      <c r="GK37" s="84"/>
      <c r="GL37" s="84"/>
      <c r="GM37" s="84"/>
      <c r="GN37" s="84"/>
      <c r="GO37" s="84"/>
      <c r="GP37" s="84"/>
      <c r="GQ37" s="84"/>
      <c r="GR37" s="84"/>
      <c r="GS37" s="84"/>
      <c r="GT37" s="84"/>
      <c r="GU37" s="84"/>
      <c r="GV37" s="84"/>
      <c r="GW37" s="84"/>
      <c r="GX37" s="84"/>
      <c r="GY37" s="84"/>
      <c r="GZ37" s="84"/>
      <c r="HA37" s="84"/>
      <c r="HB37" s="84"/>
      <c r="HC37" s="84"/>
      <c r="HD37" s="84"/>
      <c r="HE37" s="84"/>
      <c r="HF37" s="84"/>
      <c r="HG37" s="84"/>
      <c r="HH37" s="84"/>
      <c r="HI37" s="84"/>
      <c r="HJ37" s="84"/>
      <c r="HK37" s="84"/>
      <c r="HL37" s="84"/>
      <c r="HM37" s="84"/>
      <c r="HN37" s="84"/>
      <c r="HO37" s="84"/>
      <c r="HP37" s="84"/>
      <c r="HQ37" s="84"/>
      <c r="HR37" s="84"/>
      <c r="HS37" s="84"/>
      <c r="HT37" s="84"/>
      <c r="HU37" s="84"/>
      <c r="HV37" s="84"/>
      <c r="HW37" s="84"/>
      <c r="HX37" s="84"/>
      <c r="HY37" s="84"/>
      <c r="HZ37" s="84"/>
      <c r="IA37" s="84"/>
      <c r="IB37" s="84"/>
      <c r="IC37" s="84"/>
      <c r="ID37" s="84"/>
      <c r="IE37" s="84"/>
      <c r="IF37" s="84"/>
      <c r="IG37" s="84"/>
      <c r="IH37" s="84"/>
      <c r="II37" s="84"/>
      <c r="IJ37" s="84"/>
      <c r="IK37" s="84"/>
      <c r="IL37" s="84"/>
      <c r="IM37" s="84"/>
      <c r="IN37" s="84"/>
      <c r="IO37" s="84"/>
      <c r="IP37" s="84"/>
      <c r="IQ37" s="84"/>
      <c r="IR37" s="84"/>
      <c r="IS37" s="84"/>
      <c r="IT37" s="84"/>
      <c r="IU37" s="84"/>
      <c r="IV37" s="84"/>
      <c r="IW37" s="84"/>
      <c r="IX37" s="84"/>
      <c r="IY37" s="84"/>
      <c r="IZ37" s="84"/>
      <c r="JA37" s="84"/>
      <c r="JB37" s="84"/>
      <c r="JC37" s="84"/>
      <c r="JD37" s="84"/>
      <c r="JE37" s="84"/>
      <c r="JF37" s="84"/>
      <c r="JG37" s="84"/>
      <c r="JH37" s="84"/>
      <c r="JI37" s="84"/>
      <c r="JJ37" s="84"/>
      <c r="JK37" s="84"/>
      <c r="JL37" s="84"/>
      <c r="JM37" s="84"/>
      <c r="JN37" s="84"/>
      <c r="JO37" s="84"/>
      <c r="JP37" s="84"/>
      <c r="JQ37" s="84"/>
      <c r="JR37" s="84"/>
      <c r="JS37" s="84"/>
      <c r="JT37" s="84"/>
      <c r="JU37" s="84"/>
      <c r="JV37" s="84"/>
      <c r="JW37" s="84"/>
      <c r="JX37" s="84"/>
      <c r="JY37" s="84"/>
      <c r="JZ37" s="84"/>
      <c r="KA37" s="84"/>
      <c r="KB37" s="84"/>
      <c r="KC37" s="84"/>
      <c r="KD37" s="84"/>
      <c r="KE37" s="84"/>
      <c r="KF37" s="84"/>
      <c r="KG37" s="84"/>
      <c r="KH37" s="84"/>
      <c r="KI37" s="84"/>
      <c r="KJ37" s="84"/>
      <c r="KK37" s="84"/>
      <c r="KL37" s="84"/>
      <c r="KM37" s="84"/>
      <c r="KN37" s="84"/>
      <c r="KO37" s="84"/>
      <c r="KP37" s="84"/>
      <c r="KQ37" s="84"/>
      <c r="KR37" s="84"/>
      <c r="KS37" s="84"/>
      <c r="KT37" s="84"/>
      <c r="KU37" s="84"/>
      <c r="KV37" s="84"/>
      <c r="KW37" s="84"/>
      <c r="KX37" s="84"/>
      <c r="KY37" s="84"/>
      <c r="KZ37" s="84"/>
      <c r="LA37" s="84"/>
      <c r="LB37" s="84"/>
      <c r="LC37" s="84"/>
      <c r="LD37" s="84"/>
      <c r="LE37" s="84"/>
      <c r="LF37" s="84"/>
      <c r="LG37" s="84"/>
      <c r="LH37" s="84"/>
      <c r="LI37" s="84"/>
      <c r="LJ37" s="84"/>
      <c r="LK37" s="84"/>
      <c r="LL37" s="84"/>
      <c r="LM37" s="84"/>
      <c r="LN37" s="84"/>
      <c r="LO37" s="84"/>
      <c r="LP37" s="84"/>
      <c r="LQ37" s="84"/>
      <c r="LR37" s="84"/>
      <c r="LS37" s="84"/>
      <c r="LT37" s="84"/>
      <c r="LU37" s="84"/>
      <c r="LV37" s="84"/>
      <c r="LW37" s="84"/>
      <c r="LX37" s="84"/>
      <c r="LY37" s="84"/>
      <c r="LZ37" s="84"/>
      <c r="MA37" s="84"/>
      <c r="MB37" s="84"/>
      <c r="MC37" s="84"/>
      <c r="MD37" s="84"/>
      <c r="ME37" s="84"/>
      <c r="MF37" s="84"/>
      <c r="MG37" s="84"/>
      <c r="MH37" s="84"/>
      <c r="MI37" s="84"/>
      <c r="MJ37" s="84"/>
      <c r="MK37" s="84"/>
      <c r="ML37" s="84"/>
      <c r="MM37" s="84"/>
      <c r="MN37" s="84"/>
      <c r="MO37" s="84"/>
      <c r="MP37" s="84"/>
      <c r="MQ37" s="84"/>
      <c r="MR37" s="84"/>
      <c r="MS37" s="84"/>
      <c r="MT37" s="84"/>
      <c r="MU37" s="84"/>
      <c r="MV37" s="84"/>
      <c r="MW37" s="84"/>
      <c r="MX37" s="84"/>
      <c r="MY37" s="84"/>
      <c r="MZ37" s="84"/>
      <c r="NA37" s="84"/>
      <c r="NB37" s="84"/>
      <c r="NC37" s="84"/>
      <c r="ND37" s="84"/>
      <c r="NE37" s="84"/>
      <c r="NF37" s="84"/>
      <c r="NG37" s="84"/>
      <c r="NH37" s="84"/>
      <c r="NI37" s="84"/>
      <c r="NJ37" s="84"/>
      <c r="NK37" s="84"/>
      <c r="NL37" s="84"/>
      <c r="NM37" s="84"/>
      <c r="NN37" s="84"/>
      <c r="NO37" s="84"/>
      <c r="NP37" s="84"/>
      <c r="NQ37" s="84"/>
      <c r="NR37" s="84"/>
      <c r="NS37" s="84"/>
      <c r="NT37" s="84"/>
      <c r="NU37" s="84"/>
      <c r="NV37" s="84"/>
      <c r="NW37" s="84"/>
      <c r="NX37" s="84"/>
      <c r="NY37" s="84"/>
      <c r="NZ37" s="84"/>
      <c r="OA37" s="84"/>
      <c r="OB37" s="84"/>
      <c r="OC37" s="84"/>
      <c r="OD37" s="84"/>
      <c r="OE37" s="84"/>
      <c r="OF37" s="84"/>
      <c r="OG37" s="84"/>
      <c r="OH37" s="84"/>
      <c r="OI37" s="84"/>
      <c r="OJ37" s="84"/>
      <c r="OK37" s="84"/>
      <c r="OL37" s="84"/>
      <c r="OM37" s="84"/>
      <c r="ON37" s="84"/>
      <c r="OO37" s="84"/>
      <c r="OP37" s="84"/>
      <c r="OQ37" s="84"/>
      <c r="OR37" s="84"/>
      <c r="OS37" s="84"/>
      <c r="OT37" s="84"/>
      <c r="OU37" s="84"/>
      <c r="OV37" s="84"/>
      <c r="OW37" s="84"/>
      <c r="OX37" s="84"/>
      <c r="OY37" s="84"/>
      <c r="OZ37" s="84"/>
      <c r="PA37" s="84"/>
      <c r="PB37" s="84"/>
      <c r="PC37" s="84"/>
      <c r="PD37" s="84"/>
      <c r="PE37" s="84"/>
      <c r="PF37" s="84"/>
      <c r="PG37" s="84"/>
      <c r="PH37" s="84"/>
      <c r="PI37" s="84"/>
      <c r="PJ37" s="84"/>
      <c r="PK37" s="84"/>
      <c r="PL37" s="84"/>
      <c r="PM37" s="84"/>
      <c r="PN37" s="84"/>
      <c r="PO37" s="84"/>
      <c r="PP37" s="84"/>
      <c r="PQ37" s="84"/>
      <c r="PR37" s="84"/>
      <c r="PS37" s="84"/>
      <c r="PT37" s="84"/>
      <c r="PU37" s="84"/>
      <c r="PV37" s="84"/>
      <c r="PW37" s="84"/>
      <c r="PX37" s="84"/>
      <c r="PY37" s="84"/>
      <c r="PZ37" s="84"/>
      <c r="QA37" s="84"/>
      <c r="QB37" s="84"/>
      <c r="QC37" s="84"/>
    </row>
    <row r="38" spans="1:445" s="85" customFormat="1" ht="15.75" x14ac:dyDescent="0.25">
      <c r="A38" s="92">
        <v>27</v>
      </c>
      <c r="B38" s="343"/>
      <c r="C38" s="344"/>
      <c r="D38" s="328"/>
      <c r="E38" s="329"/>
      <c r="F38" s="330"/>
      <c r="G38" s="339"/>
      <c r="H38" s="332"/>
      <c r="I38" s="333"/>
      <c r="J38" s="329"/>
      <c r="K38" s="334"/>
      <c r="L38" s="334"/>
      <c r="M38" s="334"/>
      <c r="N38" s="334"/>
      <c r="O38" s="329"/>
      <c r="P38" s="335"/>
      <c r="Q38" s="335"/>
      <c r="R38" s="335"/>
      <c r="S38" s="336"/>
      <c r="T38" s="89"/>
      <c r="U38" s="90"/>
      <c r="V38" s="90"/>
      <c r="W38" s="91"/>
      <c r="X38" s="84"/>
      <c r="Y38" s="84"/>
      <c r="Z38" s="84"/>
      <c r="AA38" s="84"/>
      <c r="AB38" s="84"/>
      <c r="AC38" s="84"/>
      <c r="AD38" s="84"/>
      <c r="AE38" s="84"/>
      <c r="AF38" s="84"/>
      <c r="AG38" s="84"/>
      <c r="AH38" s="84"/>
      <c r="AI38" s="84"/>
      <c r="AJ38" s="84"/>
      <c r="AK38" s="84"/>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c r="BM38" s="84"/>
      <c r="BN38" s="84"/>
      <c r="BO38" s="84"/>
      <c r="BP38" s="84"/>
      <c r="BQ38" s="84"/>
      <c r="BR38" s="84"/>
      <c r="BS38" s="84"/>
      <c r="BT38" s="84"/>
      <c r="BU38" s="84"/>
      <c r="BV38" s="84"/>
      <c r="BW38" s="84"/>
      <c r="BX38" s="84"/>
      <c r="BY38" s="84"/>
      <c r="BZ38" s="84"/>
      <c r="CA38" s="84"/>
      <c r="CB38" s="84"/>
      <c r="CC38" s="84"/>
      <c r="CD38" s="84"/>
      <c r="CE38" s="84"/>
      <c r="CF38" s="84"/>
      <c r="CG38" s="84"/>
      <c r="CH38" s="84"/>
      <c r="CI38" s="84"/>
      <c r="CJ38" s="84"/>
      <c r="CK38" s="84"/>
      <c r="CL38" s="84"/>
      <c r="CM38" s="84"/>
      <c r="CN38" s="84"/>
      <c r="CO38" s="84"/>
      <c r="CP38" s="84"/>
      <c r="CQ38" s="84"/>
      <c r="CR38" s="84"/>
      <c r="CS38" s="84"/>
      <c r="CT38" s="84"/>
      <c r="CU38" s="84"/>
      <c r="CV38" s="84"/>
      <c r="CW38" s="84"/>
      <c r="CX38" s="84"/>
      <c r="CY38" s="84"/>
      <c r="CZ38" s="84"/>
      <c r="DA38" s="84"/>
      <c r="DB38" s="84"/>
      <c r="DC38" s="84"/>
      <c r="DD38" s="84"/>
      <c r="DE38" s="84"/>
      <c r="DF38" s="84"/>
      <c r="DG38" s="84"/>
      <c r="DH38" s="84"/>
      <c r="DI38" s="84"/>
      <c r="DJ38" s="84"/>
      <c r="DK38" s="84"/>
      <c r="DL38" s="84"/>
      <c r="DM38" s="84"/>
      <c r="DN38" s="84"/>
      <c r="DO38" s="84"/>
      <c r="DP38" s="84"/>
      <c r="DQ38" s="84"/>
      <c r="DR38" s="84"/>
      <c r="DS38" s="84"/>
      <c r="DT38" s="84"/>
      <c r="DU38" s="84"/>
      <c r="DV38" s="84"/>
      <c r="DW38" s="84"/>
      <c r="DX38" s="84"/>
      <c r="DY38" s="84"/>
      <c r="DZ38" s="84"/>
      <c r="EA38" s="84"/>
      <c r="EB38" s="84"/>
      <c r="EC38" s="84"/>
      <c r="ED38" s="84"/>
      <c r="EE38" s="84"/>
      <c r="EF38" s="84"/>
      <c r="EG38" s="84"/>
      <c r="EH38" s="84"/>
      <c r="EI38" s="84"/>
      <c r="EJ38" s="84"/>
      <c r="EK38" s="84"/>
      <c r="EL38" s="84"/>
      <c r="EM38" s="84"/>
      <c r="EN38" s="84"/>
      <c r="EO38" s="84"/>
      <c r="EP38" s="84"/>
      <c r="EQ38" s="84"/>
      <c r="ER38" s="84"/>
      <c r="ES38" s="84"/>
      <c r="ET38" s="84"/>
      <c r="EU38" s="84"/>
      <c r="EV38" s="84"/>
      <c r="EW38" s="84"/>
      <c r="EX38" s="84"/>
      <c r="EY38" s="84"/>
      <c r="EZ38" s="84"/>
      <c r="FA38" s="84"/>
      <c r="FB38" s="84"/>
      <c r="FC38" s="84"/>
      <c r="FD38" s="84"/>
      <c r="FE38" s="84"/>
      <c r="FF38" s="84"/>
      <c r="FG38" s="84"/>
      <c r="FH38" s="84"/>
      <c r="FI38" s="84"/>
      <c r="FJ38" s="84"/>
      <c r="FK38" s="84"/>
      <c r="FL38" s="84"/>
      <c r="FM38" s="84"/>
      <c r="FN38" s="84"/>
      <c r="FO38" s="84"/>
      <c r="FP38" s="84"/>
      <c r="FQ38" s="84"/>
      <c r="FR38" s="84"/>
      <c r="FS38" s="84"/>
      <c r="FT38" s="84"/>
      <c r="FU38" s="84"/>
      <c r="FV38" s="84"/>
      <c r="FW38" s="84"/>
      <c r="FX38" s="84"/>
      <c r="FY38" s="84"/>
      <c r="FZ38" s="84"/>
      <c r="GA38" s="84"/>
      <c r="GB38" s="84"/>
      <c r="GC38" s="84"/>
      <c r="GD38" s="84"/>
      <c r="GE38" s="84"/>
      <c r="GF38" s="84"/>
      <c r="GG38" s="84"/>
      <c r="GH38" s="84"/>
      <c r="GI38" s="84"/>
      <c r="GJ38" s="84"/>
      <c r="GK38" s="84"/>
      <c r="GL38" s="84"/>
      <c r="GM38" s="84"/>
      <c r="GN38" s="84"/>
      <c r="GO38" s="84"/>
      <c r="GP38" s="84"/>
      <c r="GQ38" s="84"/>
      <c r="GR38" s="84"/>
      <c r="GS38" s="84"/>
      <c r="GT38" s="84"/>
      <c r="GU38" s="84"/>
      <c r="GV38" s="84"/>
      <c r="GW38" s="84"/>
      <c r="GX38" s="84"/>
      <c r="GY38" s="84"/>
      <c r="GZ38" s="84"/>
      <c r="HA38" s="84"/>
      <c r="HB38" s="84"/>
      <c r="HC38" s="84"/>
      <c r="HD38" s="84"/>
      <c r="HE38" s="84"/>
      <c r="HF38" s="84"/>
      <c r="HG38" s="84"/>
      <c r="HH38" s="84"/>
      <c r="HI38" s="84"/>
      <c r="HJ38" s="84"/>
      <c r="HK38" s="84"/>
      <c r="HL38" s="84"/>
      <c r="HM38" s="84"/>
      <c r="HN38" s="84"/>
      <c r="HO38" s="84"/>
      <c r="HP38" s="84"/>
      <c r="HQ38" s="84"/>
      <c r="HR38" s="84"/>
      <c r="HS38" s="84"/>
      <c r="HT38" s="84"/>
      <c r="HU38" s="84"/>
      <c r="HV38" s="84"/>
      <c r="HW38" s="84"/>
      <c r="HX38" s="84"/>
      <c r="HY38" s="84"/>
      <c r="HZ38" s="84"/>
      <c r="IA38" s="84"/>
      <c r="IB38" s="84"/>
      <c r="IC38" s="84"/>
      <c r="ID38" s="84"/>
      <c r="IE38" s="84"/>
      <c r="IF38" s="84"/>
      <c r="IG38" s="84"/>
      <c r="IH38" s="84"/>
      <c r="II38" s="84"/>
      <c r="IJ38" s="84"/>
      <c r="IK38" s="84"/>
      <c r="IL38" s="84"/>
      <c r="IM38" s="84"/>
      <c r="IN38" s="84"/>
      <c r="IO38" s="84"/>
      <c r="IP38" s="84"/>
      <c r="IQ38" s="84"/>
      <c r="IR38" s="84"/>
      <c r="IS38" s="84"/>
      <c r="IT38" s="84"/>
      <c r="IU38" s="84"/>
      <c r="IV38" s="84"/>
      <c r="IW38" s="84"/>
      <c r="IX38" s="84"/>
      <c r="IY38" s="84"/>
      <c r="IZ38" s="84"/>
      <c r="JA38" s="84"/>
      <c r="JB38" s="84"/>
      <c r="JC38" s="84"/>
      <c r="JD38" s="84"/>
      <c r="JE38" s="84"/>
      <c r="JF38" s="84"/>
      <c r="JG38" s="84"/>
      <c r="JH38" s="84"/>
      <c r="JI38" s="84"/>
      <c r="JJ38" s="84"/>
      <c r="JK38" s="84"/>
      <c r="JL38" s="84"/>
      <c r="JM38" s="84"/>
      <c r="JN38" s="84"/>
      <c r="JO38" s="84"/>
      <c r="JP38" s="84"/>
      <c r="JQ38" s="84"/>
      <c r="JR38" s="84"/>
      <c r="JS38" s="84"/>
      <c r="JT38" s="84"/>
      <c r="JU38" s="84"/>
      <c r="JV38" s="84"/>
      <c r="JW38" s="84"/>
      <c r="JX38" s="84"/>
      <c r="JY38" s="84"/>
      <c r="JZ38" s="84"/>
      <c r="KA38" s="84"/>
      <c r="KB38" s="84"/>
      <c r="KC38" s="84"/>
      <c r="KD38" s="84"/>
      <c r="KE38" s="84"/>
      <c r="KF38" s="84"/>
      <c r="KG38" s="84"/>
      <c r="KH38" s="84"/>
      <c r="KI38" s="84"/>
      <c r="KJ38" s="84"/>
      <c r="KK38" s="84"/>
      <c r="KL38" s="84"/>
      <c r="KM38" s="84"/>
      <c r="KN38" s="84"/>
      <c r="KO38" s="84"/>
      <c r="KP38" s="84"/>
      <c r="KQ38" s="84"/>
      <c r="KR38" s="84"/>
      <c r="KS38" s="84"/>
      <c r="KT38" s="84"/>
      <c r="KU38" s="84"/>
      <c r="KV38" s="84"/>
      <c r="KW38" s="84"/>
      <c r="KX38" s="84"/>
      <c r="KY38" s="84"/>
      <c r="KZ38" s="84"/>
      <c r="LA38" s="84"/>
      <c r="LB38" s="84"/>
      <c r="LC38" s="84"/>
      <c r="LD38" s="84"/>
      <c r="LE38" s="84"/>
      <c r="LF38" s="84"/>
      <c r="LG38" s="84"/>
      <c r="LH38" s="84"/>
      <c r="LI38" s="84"/>
      <c r="LJ38" s="84"/>
      <c r="LK38" s="84"/>
      <c r="LL38" s="84"/>
      <c r="LM38" s="84"/>
      <c r="LN38" s="84"/>
      <c r="LO38" s="84"/>
      <c r="LP38" s="84"/>
      <c r="LQ38" s="84"/>
      <c r="LR38" s="84"/>
      <c r="LS38" s="84"/>
      <c r="LT38" s="84"/>
      <c r="LU38" s="84"/>
      <c r="LV38" s="84"/>
      <c r="LW38" s="84"/>
      <c r="LX38" s="84"/>
      <c r="LY38" s="84"/>
      <c r="LZ38" s="84"/>
      <c r="MA38" s="84"/>
      <c r="MB38" s="84"/>
      <c r="MC38" s="84"/>
      <c r="MD38" s="84"/>
      <c r="ME38" s="84"/>
      <c r="MF38" s="84"/>
      <c r="MG38" s="84"/>
      <c r="MH38" s="84"/>
      <c r="MI38" s="84"/>
      <c r="MJ38" s="84"/>
      <c r="MK38" s="84"/>
      <c r="ML38" s="84"/>
      <c r="MM38" s="84"/>
      <c r="MN38" s="84"/>
      <c r="MO38" s="84"/>
      <c r="MP38" s="84"/>
      <c r="MQ38" s="84"/>
      <c r="MR38" s="84"/>
      <c r="MS38" s="84"/>
      <c r="MT38" s="84"/>
      <c r="MU38" s="84"/>
      <c r="MV38" s="84"/>
      <c r="MW38" s="84"/>
      <c r="MX38" s="84"/>
      <c r="MY38" s="84"/>
      <c r="MZ38" s="84"/>
      <c r="NA38" s="84"/>
      <c r="NB38" s="84"/>
      <c r="NC38" s="84"/>
      <c r="ND38" s="84"/>
      <c r="NE38" s="84"/>
      <c r="NF38" s="84"/>
      <c r="NG38" s="84"/>
      <c r="NH38" s="84"/>
      <c r="NI38" s="84"/>
      <c r="NJ38" s="84"/>
      <c r="NK38" s="84"/>
      <c r="NL38" s="84"/>
      <c r="NM38" s="84"/>
      <c r="NN38" s="84"/>
      <c r="NO38" s="84"/>
      <c r="NP38" s="84"/>
      <c r="NQ38" s="84"/>
      <c r="NR38" s="84"/>
      <c r="NS38" s="84"/>
      <c r="NT38" s="84"/>
      <c r="NU38" s="84"/>
      <c r="NV38" s="84"/>
      <c r="NW38" s="84"/>
      <c r="NX38" s="84"/>
      <c r="NY38" s="84"/>
      <c r="NZ38" s="84"/>
      <c r="OA38" s="84"/>
      <c r="OB38" s="84"/>
      <c r="OC38" s="84"/>
      <c r="OD38" s="84"/>
      <c r="OE38" s="84"/>
      <c r="OF38" s="84"/>
      <c r="OG38" s="84"/>
      <c r="OH38" s="84"/>
      <c r="OI38" s="84"/>
      <c r="OJ38" s="84"/>
      <c r="OK38" s="84"/>
      <c r="OL38" s="84"/>
      <c r="OM38" s="84"/>
      <c r="ON38" s="84"/>
      <c r="OO38" s="84"/>
      <c r="OP38" s="84"/>
      <c r="OQ38" s="84"/>
      <c r="OR38" s="84"/>
      <c r="OS38" s="84"/>
      <c r="OT38" s="84"/>
      <c r="OU38" s="84"/>
      <c r="OV38" s="84"/>
      <c r="OW38" s="84"/>
      <c r="OX38" s="84"/>
      <c r="OY38" s="84"/>
      <c r="OZ38" s="84"/>
      <c r="PA38" s="84"/>
      <c r="PB38" s="84"/>
      <c r="PC38" s="84"/>
      <c r="PD38" s="84"/>
      <c r="PE38" s="84"/>
      <c r="PF38" s="84"/>
      <c r="PG38" s="84"/>
      <c r="PH38" s="84"/>
      <c r="PI38" s="84"/>
      <c r="PJ38" s="84"/>
      <c r="PK38" s="84"/>
      <c r="PL38" s="84"/>
      <c r="PM38" s="84"/>
      <c r="PN38" s="84"/>
      <c r="PO38" s="84"/>
      <c r="PP38" s="84"/>
      <c r="PQ38" s="84"/>
      <c r="PR38" s="84"/>
      <c r="PS38" s="84"/>
      <c r="PT38" s="84"/>
      <c r="PU38" s="84"/>
      <c r="PV38" s="84"/>
      <c r="PW38" s="84"/>
      <c r="PX38" s="84"/>
      <c r="PY38" s="84"/>
      <c r="PZ38" s="84"/>
      <c r="QA38" s="84"/>
      <c r="QB38" s="84"/>
      <c r="QC38" s="84"/>
    </row>
    <row r="39" spans="1:445" s="85" customFormat="1" ht="15.75" x14ac:dyDescent="0.25">
      <c r="A39" s="92">
        <v>27</v>
      </c>
      <c r="B39" s="337"/>
      <c r="C39" s="344"/>
      <c r="D39" s="1182"/>
      <c r="E39" s="329"/>
      <c r="F39" s="330"/>
      <c r="G39" s="331"/>
      <c r="H39" s="332"/>
      <c r="I39" s="333"/>
      <c r="J39" s="329"/>
      <c r="K39" s="334"/>
      <c r="L39" s="334"/>
      <c r="M39" s="334"/>
      <c r="N39" s="334"/>
      <c r="O39" s="329"/>
      <c r="P39" s="335"/>
      <c r="Q39" s="335"/>
      <c r="R39" s="335"/>
      <c r="S39" s="336"/>
      <c r="T39" s="89"/>
      <c r="U39" s="90"/>
      <c r="V39" s="90"/>
      <c r="W39" s="91"/>
      <c r="X39" s="84"/>
      <c r="Y39" s="84"/>
      <c r="Z39" s="84"/>
      <c r="AA39" s="84"/>
      <c r="AB39" s="84"/>
      <c r="AC39" s="84"/>
      <c r="AD39" s="84"/>
      <c r="AE39" s="84"/>
      <c r="AF39" s="84"/>
      <c r="AG39" s="84"/>
      <c r="AH39" s="84"/>
      <c r="AI39" s="84"/>
      <c r="AJ39" s="84"/>
      <c r="AK39" s="84"/>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BM39" s="84"/>
      <c r="BN39" s="84"/>
      <c r="BO39" s="84"/>
      <c r="BP39" s="84"/>
      <c r="BQ39" s="84"/>
      <c r="BR39" s="84"/>
      <c r="BS39" s="84"/>
      <c r="BT39" s="84"/>
      <c r="BU39" s="84"/>
      <c r="BV39" s="84"/>
      <c r="BW39" s="84"/>
      <c r="BX39" s="84"/>
      <c r="BY39" s="84"/>
      <c r="BZ39" s="84"/>
      <c r="CA39" s="84"/>
      <c r="CB39" s="84"/>
      <c r="CC39" s="84"/>
      <c r="CD39" s="84"/>
      <c r="CE39" s="84"/>
      <c r="CF39" s="84"/>
      <c r="CG39" s="84"/>
      <c r="CH39" s="84"/>
      <c r="CI39" s="84"/>
      <c r="CJ39" s="84"/>
      <c r="CK39" s="84"/>
      <c r="CL39" s="84"/>
      <c r="CM39" s="84"/>
      <c r="CN39" s="84"/>
      <c r="CO39" s="84"/>
      <c r="CP39" s="84"/>
      <c r="CQ39" s="84"/>
      <c r="CR39" s="84"/>
      <c r="CS39" s="84"/>
      <c r="CT39" s="84"/>
      <c r="CU39" s="84"/>
      <c r="CV39" s="84"/>
      <c r="CW39" s="84"/>
      <c r="CX39" s="84"/>
      <c r="CY39" s="84"/>
      <c r="CZ39" s="84"/>
      <c r="DA39" s="84"/>
      <c r="DB39" s="84"/>
      <c r="DC39" s="84"/>
      <c r="DD39" s="84"/>
      <c r="DE39" s="84"/>
      <c r="DF39" s="84"/>
      <c r="DG39" s="84"/>
      <c r="DH39" s="84"/>
      <c r="DI39" s="84"/>
      <c r="DJ39" s="84"/>
      <c r="DK39" s="84"/>
      <c r="DL39" s="84"/>
      <c r="DM39" s="84"/>
      <c r="DN39" s="84"/>
      <c r="DO39" s="84"/>
      <c r="DP39" s="84"/>
      <c r="DQ39" s="84"/>
      <c r="DR39" s="84"/>
      <c r="DS39" s="84"/>
      <c r="DT39" s="84"/>
      <c r="DU39" s="84"/>
      <c r="DV39" s="84"/>
      <c r="DW39" s="84"/>
      <c r="DX39" s="84"/>
      <c r="DY39" s="84"/>
      <c r="DZ39" s="84"/>
      <c r="EA39" s="84"/>
      <c r="EB39" s="84"/>
      <c r="EC39" s="84"/>
      <c r="ED39" s="84"/>
      <c r="EE39" s="84"/>
      <c r="EF39" s="84"/>
      <c r="EG39" s="84"/>
      <c r="EH39" s="84"/>
      <c r="EI39" s="84"/>
      <c r="EJ39" s="84"/>
      <c r="EK39" s="84"/>
      <c r="EL39" s="84"/>
      <c r="EM39" s="84"/>
      <c r="EN39" s="84"/>
      <c r="EO39" s="84"/>
      <c r="EP39" s="84"/>
      <c r="EQ39" s="84"/>
      <c r="ER39" s="84"/>
      <c r="ES39" s="84"/>
      <c r="ET39" s="84"/>
      <c r="EU39" s="84"/>
      <c r="EV39" s="84"/>
      <c r="EW39" s="84"/>
      <c r="EX39" s="84"/>
      <c r="EY39" s="84"/>
      <c r="EZ39" s="84"/>
      <c r="FA39" s="84"/>
      <c r="FB39" s="84"/>
      <c r="FC39" s="84"/>
      <c r="FD39" s="84"/>
      <c r="FE39" s="84"/>
      <c r="FF39" s="84"/>
      <c r="FG39" s="84"/>
      <c r="FH39" s="84"/>
      <c r="FI39" s="84"/>
      <c r="FJ39" s="84"/>
      <c r="FK39" s="84"/>
      <c r="FL39" s="84"/>
      <c r="FM39" s="84"/>
      <c r="FN39" s="84"/>
      <c r="FO39" s="84"/>
      <c r="FP39" s="84"/>
      <c r="FQ39" s="84"/>
      <c r="FR39" s="84"/>
      <c r="FS39" s="84"/>
      <c r="FT39" s="84"/>
      <c r="FU39" s="84"/>
      <c r="FV39" s="84"/>
      <c r="FW39" s="84"/>
      <c r="FX39" s="84"/>
      <c r="FY39" s="84"/>
      <c r="FZ39" s="84"/>
      <c r="GA39" s="84"/>
      <c r="GB39" s="84"/>
      <c r="GC39" s="84"/>
      <c r="GD39" s="84"/>
      <c r="GE39" s="84"/>
      <c r="GF39" s="84"/>
      <c r="GG39" s="84"/>
      <c r="GH39" s="84"/>
      <c r="GI39" s="84"/>
      <c r="GJ39" s="84"/>
      <c r="GK39" s="84"/>
      <c r="GL39" s="84"/>
      <c r="GM39" s="84"/>
      <c r="GN39" s="84"/>
      <c r="GO39" s="84"/>
      <c r="GP39" s="84"/>
      <c r="GQ39" s="84"/>
      <c r="GR39" s="84"/>
      <c r="GS39" s="84"/>
      <c r="GT39" s="84"/>
      <c r="GU39" s="84"/>
      <c r="GV39" s="84"/>
      <c r="GW39" s="84"/>
      <c r="GX39" s="84"/>
      <c r="GY39" s="84"/>
      <c r="GZ39" s="84"/>
      <c r="HA39" s="84"/>
      <c r="HB39" s="84"/>
      <c r="HC39" s="84"/>
      <c r="HD39" s="84"/>
      <c r="HE39" s="84"/>
      <c r="HF39" s="84"/>
      <c r="HG39" s="84"/>
      <c r="HH39" s="84"/>
      <c r="HI39" s="84"/>
      <c r="HJ39" s="84"/>
      <c r="HK39" s="84"/>
      <c r="HL39" s="84"/>
      <c r="HM39" s="84"/>
      <c r="HN39" s="84"/>
      <c r="HO39" s="84"/>
      <c r="HP39" s="84"/>
      <c r="HQ39" s="84"/>
      <c r="HR39" s="84"/>
      <c r="HS39" s="84"/>
      <c r="HT39" s="84"/>
      <c r="HU39" s="84"/>
      <c r="HV39" s="84"/>
      <c r="HW39" s="84"/>
      <c r="HX39" s="84"/>
      <c r="HY39" s="84"/>
      <c r="HZ39" s="84"/>
      <c r="IA39" s="84"/>
      <c r="IB39" s="84"/>
      <c r="IC39" s="84"/>
      <c r="ID39" s="84"/>
      <c r="IE39" s="84"/>
      <c r="IF39" s="84"/>
      <c r="IG39" s="84"/>
      <c r="IH39" s="84"/>
      <c r="II39" s="84"/>
      <c r="IJ39" s="84"/>
      <c r="IK39" s="84"/>
      <c r="IL39" s="84"/>
      <c r="IM39" s="84"/>
      <c r="IN39" s="84"/>
      <c r="IO39" s="84"/>
      <c r="IP39" s="84"/>
      <c r="IQ39" s="84"/>
      <c r="IR39" s="84"/>
      <c r="IS39" s="84"/>
      <c r="IT39" s="84"/>
      <c r="IU39" s="84"/>
      <c r="IV39" s="84"/>
      <c r="IW39" s="84"/>
      <c r="IX39" s="84"/>
      <c r="IY39" s="84"/>
      <c r="IZ39" s="84"/>
      <c r="JA39" s="84"/>
      <c r="JB39" s="84"/>
      <c r="JC39" s="84"/>
      <c r="JD39" s="84"/>
      <c r="JE39" s="84"/>
      <c r="JF39" s="84"/>
      <c r="JG39" s="84"/>
      <c r="JH39" s="84"/>
      <c r="JI39" s="84"/>
      <c r="JJ39" s="84"/>
      <c r="JK39" s="84"/>
      <c r="JL39" s="84"/>
      <c r="JM39" s="84"/>
      <c r="JN39" s="84"/>
      <c r="JO39" s="84"/>
      <c r="JP39" s="84"/>
      <c r="JQ39" s="84"/>
      <c r="JR39" s="84"/>
      <c r="JS39" s="84"/>
      <c r="JT39" s="84"/>
      <c r="JU39" s="84"/>
      <c r="JV39" s="84"/>
      <c r="JW39" s="84"/>
      <c r="JX39" s="84"/>
      <c r="JY39" s="84"/>
      <c r="JZ39" s="84"/>
      <c r="KA39" s="84"/>
      <c r="KB39" s="84"/>
      <c r="KC39" s="84"/>
      <c r="KD39" s="84"/>
      <c r="KE39" s="84"/>
      <c r="KF39" s="84"/>
      <c r="KG39" s="84"/>
      <c r="KH39" s="84"/>
      <c r="KI39" s="84"/>
      <c r="KJ39" s="84"/>
      <c r="KK39" s="84"/>
      <c r="KL39" s="84"/>
      <c r="KM39" s="84"/>
      <c r="KN39" s="84"/>
      <c r="KO39" s="84"/>
      <c r="KP39" s="84"/>
      <c r="KQ39" s="84"/>
      <c r="KR39" s="84"/>
      <c r="KS39" s="84"/>
      <c r="KT39" s="84"/>
      <c r="KU39" s="84"/>
      <c r="KV39" s="84"/>
      <c r="KW39" s="84"/>
      <c r="KX39" s="84"/>
      <c r="KY39" s="84"/>
      <c r="KZ39" s="84"/>
      <c r="LA39" s="84"/>
      <c r="LB39" s="84"/>
      <c r="LC39" s="84"/>
      <c r="LD39" s="84"/>
      <c r="LE39" s="84"/>
      <c r="LF39" s="84"/>
      <c r="LG39" s="84"/>
      <c r="LH39" s="84"/>
      <c r="LI39" s="84"/>
      <c r="LJ39" s="84"/>
      <c r="LK39" s="84"/>
      <c r="LL39" s="84"/>
      <c r="LM39" s="84"/>
      <c r="LN39" s="84"/>
      <c r="LO39" s="84"/>
      <c r="LP39" s="84"/>
      <c r="LQ39" s="84"/>
      <c r="LR39" s="84"/>
      <c r="LS39" s="84"/>
      <c r="LT39" s="84"/>
      <c r="LU39" s="84"/>
      <c r="LV39" s="84"/>
      <c r="LW39" s="84"/>
      <c r="LX39" s="84"/>
      <c r="LY39" s="84"/>
      <c r="LZ39" s="84"/>
      <c r="MA39" s="84"/>
      <c r="MB39" s="84"/>
      <c r="MC39" s="84"/>
      <c r="MD39" s="84"/>
      <c r="ME39" s="84"/>
      <c r="MF39" s="84"/>
      <c r="MG39" s="84"/>
      <c r="MH39" s="84"/>
      <c r="MI39" s="84"/>
      <c r="MJ39" s="84"/>
      <c r="MK39" s="84"/>
      <c r="ML39" s="84"/>
      <c r="MM39" s="84"/>
      <c r="MN39" s="84"/>
      <c r="MO39" s="84"/>
      <c r="MP39" s="84"/>
      <c r="MQ39" s="84"/>
      <c r="MR39" s="84"/>
      <c r="MS39" s="84"/>
      <c r="MT39" s="84"/>
      <c r="MU39" s="84"/>
      <c r="MV39" s="84"/>
      <c r="MW39" s="84"/>
      <c r="MX39" s="84"/>
      <c r="MY39" s="84"/>
      <c r="MZ39" s="84"/>
      <c r="NA39" s="84"/>
      <c r="NB39" s="84"/>
      <c r="NC39" s="84"/>
      <c r="ND39" s="84"/>
      <c r="NE39" s="84"/>
      <c r="NF39" s="84"/>
      <c r="NG39" s="84"/>
      <c r="NH39" s="84"/>
      <c r="NI39" s="84"/>
      <c r="NJ39" s="84"/>
      <c r="NK39" s="84"/>
      <c r="NL39" s="84"/>
      <c r="NM39" s="84"/>
      <c r="NN39" s="84"/>
      <c r="NO39" s="84"/>
      <c r="NP39" s="84"/>
      <c r="NQ39" s="84"/>
      <c r="NR39" s="84"/>
      <c r="NS39" s="84"/>
      <c r="NT39" s="84"/>
      <c r="NU39" s="84"/>
      <c r="NV39" s="84"/>
      <c r="NW39" s="84"/>
      <c r="NX39" s="84"/>
      <c r="NY39" s="84"/>
      <c r="NZ39" s="84"/>
      <c r="OA39" s="84"/>
      <c r="OB39" s="84"/>
      <c r="OC39" s="84"/>
      <c r="OD39" s="84"/>
      <c r="OE39" s="84"/>
      <c r="OF39" s="84"/>
      <c r="OG39" s="84"/>
      <c r="OH39" s="84"/>
      <c r="OI39" s="84"/>
      <c r="OJ39" s="84"/>
      <c r="OK39" s="84"/>
      <c r="OL39" s="84"/>
      <c r="OM39" s="84"/>
      <c r="ON39" s="84"/>
      <c r="OO39" s="84"/>
      <c r="OP39" s="84"/>
      <c r="OQ39" s="84"/>
      <c r="OR39" s="84"/>
      <c r="OS39" s="84"/>
      <c r="OT39" s="84"/>
      <c r="OU39" s="84"/>
      <c r="OV39" s="84"/>
      <c r="OW39" s="84"/>
      <c r="OX39" s="84"/>
      <c r="OY39" s="84"/>
      <c r="OZ39" s="84"/>
      <c r="PA39" s="84"/>
      <c r="PB39" s="84"/>
      <c r="PC39" s="84"/>
      <c r="PD39" s="84"/>
      <c r="PE39" s="84"/>
      <c r="PF39" s="84"/>
      <c r="PG39" s="84"/>
      <c r="PH39" s="84"/>
      <c r="PI39" s="84"/>
      <c r="PJ39" s="84"/>
      <c r="PK39" s="84"/>
      <c r="PL39" s="84"/>
      <c r="PM39" s="84"/>
      <c r="PN39" s="84"/>
      <c r="PO39" s="84"/>
      <c r="PP39" s="84"/>
      <c r="PQ39" s="84"/>
      <c r="PR39" s="84"/>
      <c r="PS39" s="84"/>
      <c r="PT39" s="84"/>
      <c r="PU39" s="84"/>
      <c r="PV39" s="84"/>
      <c r="PW39" s="84"/>
      <c r="PX39" s="84"/>
      <c r="PY39" s="84"/>
      <c r="PZ39" s="84"/>
      <c r="QA39" s="84"/>
      <c r="QB39" s="84"/>
      <c r="QC39" s="84"/>
    </row>
    <row r="40" spans="1:445" s="85" customFormat="1" ht="15" x14ac:dyDescent="0.25">
      <c r="A40" s="92">
        <v>27</v>
      </c>
      <c r="B40" s="87"/>
      <c r="C40" s="88"/>
      <c r="D40" s="94"/>
      <c r="E40" s="82"/>
      <c r="F40" s="83"/>
      <c r="G40" s="46"/>
      <c r="H40" s="46"/>
      <c r="I40" s="46"/>
      <c r="J40" s="46"/>
      <c r="K40" s="46"/>
      <c r="L40" s="46"/>
      <c r="M40" s="46"/>
      <c r="N40" s="46"/>
      <c r="O40" s="46"/>
      <c r="P40" s="46"/>
      <c r="Q40" s="46"/>
      <c r="R40" s="46"/>
      <c r="S40" s="46"/>
      <c r="T40" s="89"/>
      <c r="U40" s="90"/>
      <c r="V40" s="90"/>
      <c r="W40" s="91"/>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c r="BD40" s="84"/>
      <c r="BE40" s="84"/>
      <c r="BF40" s="84"/>
      <c r="BG40" s="84"/>
      <c r="BH40" s="84"/>
      <c r="BI40" s="84"/>
      <c r="BJ40" s="84"/>
      <c r="BK40" s="84"/>
      <c r="BL40" s="84"/>
      <c r="BM40" s="84"/>
      <c r="BN40" s="84"/>
      <c r="BO40" s="84"/>
      <c r="BP40" s="84"/>
      <c r="BQ40" s="84"/>
      <c r="BR40" s="84"/>
      <c r="BS40" s="84"/>
      <c r="BT40" s="84"/>
      <c r="BU40" s="84"/>
      <c r="BV40" s="84"/>
      <c r="BW40" s="84"/>
      <c r="BX40" s="84"/>
      <c r="BY40" s="84"/>
      <c r="BZ40" s="84"/>
      <c r="CA40" s="84"/>
      <c r="CB40" s="84"/>
      <c r="CC40" s="84"/>
      <c r="CD40" s="84"/>
      <c r="CE40" s="84"/>
      <c r="CF40" s="84"/>
      <c r="CG40" s="84"/>
      <c r="CH40" s="84"/>
      <c r="CI40" s="84"/>
      <c r="CJ40" s="84"/>
      <c r="CK40" s="84"/>
      <c r="CL40" s="84"/>
      <c r="CM40" s="84"/>
      <c r="CN40" s="84"/>
      <c r="CO40" s="84"/>
      <c r="CP40" s="84"/>
      <c r="CQ40" s="84"/>
      <c r="CR40" s="84"/>
      <c r="CS40" s="84"/>
      <c r="CT40" s="84"/>
      <c r="CU40" s="84"/>
      <c r="CV40" s="84"/>
      <c r="CW40" s="84"/>
      <c r="CX40" s="84"/>
      <c r="CY40" s="84"/>
      <c r="CZ40" s="84"/>
      <c r="DA40" s="84"/>
      <c r="DB40" s="84"/>
      <c r="DC40" s="84"/>
      <c r="DD40" s="84"/>
      <c r="DE40" s="84"/>
      <c r="DF40" s="84"/>
      <c r="DG40" s="84"/>
      <c r="DH40" s="84"/>
      <c r="DI40" s="84"/>
      <c r="DJ40" s="84"/>
      <c r="DK40" s="84"/>
      <c r="DL40" s="84"/>
      <c r="DM40" s="84"/>
      <c r="DN40" s="84"/>
      <c r="DO40" s="84"/>
      <c r="DP40" s="84"/>
      <c r="DQ40" s="84"/>
      <c r="DR40" s="84"/>
      <c r="DS40" s="84"/>
      <c r="DT40" s="84"/>
      <c r="DU40" s="84"/>
      <c r="DV40" s="84"/>
      <c r="DW40" s="84"/>
      <c r="DX40" s="84"/>
      <c r="DY40" s="84"/>
      <c r="DZ40" s="84"/>
      <c r="EA40" s="84"/>
      <c r="EB40" s="84"/>
      <c r="EC40" s="84"/>
      <c r="ED40" s="84"/>
      <c r="EE40" s="84"/>
      <c r="EF40" s="84"/>
      <c r="EG40" s="84"/>
      <c r="EH40" s="84"/>
      <c r="EI40" s="84"/>
      <c r="EJ40" s="84"/>
      <c r="EK40" s="84"/>
      <c r="EL40" s="84"/>
      <c r="EM40" s="84"/>
      <c r="EN40" s="84"/>
      <c r="EO40" s="84"/>
      <c r="EP40" s="84"/>
      <c r="EQ40" s="84"/>
      <c r="ER40" s="84"/>
      <c r="ES40" s="84"/>
      <c r="ET40" s="84"/>
      <c r="EU40" s="84"/>
      <c r="EV40" s="84"/>
      <c r="EW40" s="84"/>
      <c r="EX40" s="84"/>
      <c r="EY40" s="84"/>
      <c r="EZ40" s="84"/>
      <c r="FA40" s="84"/>
      <c r="FB40" s="84"/>
      <c r="FC40" s="84"/>
      <c r="FD40" s="84"/>
      <c r="FE40" s="84"/>
      <c r="FF40" s="84"/>
      <c r="FG40" s="84"/>
      <c r="FH40" s="84"/>
      <c r="FI40" s="84"/>
      <c r="FJ40" s="84"/>
      <c r="FK40" s="84"/>
      <c r="FL40" s="84"/>
      <c r="FM40" s="84"/>
      <c r="FN40" s="84"/>
      <c r="FO40" s="84"/>
      <c r="FP40" s="84"/>
      <c r="FQ40" s="84"/>
      <c r="FR40" s="84"/>
      <c r="FS40" s="84"/>
      <c r="FT40" s="84"/>
      <c r="FU40" s="84"/>
      <c r="FV40" s="84"/>
      <c r="FW40" s="84"/>
      <c r="FX40" s="84"/>
      <c r="FY40" s="84"/>
      <c r="FZ40" s="84"/>
      <c r="GA40" s="84"/>
      <c r="GB40" s="84"/>
      <c r="GC40" s="84"/>
      <c r="GD40" s="84"/>
      <c r="GE40" s="84"/>
      <c r="GF40" s="84"/>
      <c r="GG40" s="84"/>
      <c r="GH40" s="84"/>
      <c r="GI40" s="84"/>
      <c r="GJ40" s="84"/>
      <c r="GK40" s="84"/>
      <c r="GL40" s="84"/>
      <c r="GM40" s="84"/>
      <c r="GN40" s="84"/>
      <c r="GO40" s="84"/>
      <c r="GP40" s="84"/>
      <c r="GQ40" s="84"/>
      <c r="GR40" s="84"/>
      <c r="GS40" s="84"/>
      <c r="GT40" s="84"/>
      <c r="GU40" s="84"/>
      <c r="GV40" s="84"/>
      <c r="GW40" s="84"/>
      <c r="GX40" s="84"/>
      <c r="GY40" s="84"/>
      <c r="GZ40" s="84"/>
      <c r="HA40" s="84"/>
      <c r="HB40" s="84"/>
      <c r="HC40" s="84"/>
      <c r="HD40" s="84"/>
      <c r="HE40" s="84"/>
      <c r="HF40" s="84"/>
      <c r="HG40" s="84"/>
      <c r="HH40" s="84"/>
      <c r="HI40" s="84"/>
      <c r="HJ40" s="84"/>
      <c r="HK40" s="84"/>
      <c r="HL40" s="84"/>
      <c r="HM40" s="84"/>
      <c r="HN40" s="84"/>
      <c r="HO40" s="84"/>
      <c r="HP40" s="84"/>
      <c r="HQ40" s="84"/>
      <c r="HR40" s="84"/>
      <c r="HS40" s="84"/>
      <c r="HT40" s="84"/>
      <c r="HU40" s="84"/>
      <c r="HV40" s="84"/>
      <c r="HW40" s="84"/>
      <c r="HX40" s="84"/>
      <c r="HY40" s="84"/>
      <c r="HZ40" s="84"/>
      <c r="IA40" s="84"/>
      <c r="IB40" s="84"/>
      <c r="IC40" s="84"/>
      <c r="ID40" s="84"/>
      <c r="IE40" s="84"/>
      <c r="IF40" s="84"/>
      <c r="IG40" s="84"/>
      <c r="IH40" s="84"/>
      <c r="II40" s="84"/>
      <c r="IJ40" s="84"/>
      <c r="IK40" s="84"/>
      <c r="IL40" s="84"/>
      <c r="IM40" s="84"/>
      <c r="IN40" s="84"/>
      <c r="IO40" s="84"/>
      <c r="IP40" s="84"/>
      <c r="IQ40" s="84"/>
      <c r="IR40" s="84"/>
      <c r="IS40" s="84"/>
      <c r="IT40" s="84"/>
      <c r="IU40" s="84"/>
      <c r="IV40" s="84"/>
      <c r="IW40" s="84"/>
      <c r="IX40" s="84"/>
      <c r="IY40" s="84"/>
      <c r="IZ40" s="84"/>
      <c r="JA40" s="84"/>
      <c r="JB40" s="84"/>
      <c r="JC40" s="84"/>
      <c r="JD40" s="84"/>
      <c r="JE40" s="84"/>
      <c r="JF40" s="84"/>
      <c r="JG40" s="84"/>
      <c r="JH40" s="84"/>
      <c r="JI40" s="84"/>
      <c r="JJ40" s="84"/>
      <c r="JK40" s="84"/>
      <c r="JL40" s="84"/>
      <c r="JM40" s="84"/>
      <c r="JN40" s="84"/>
      <c r="JO40" s="84"/>
      <c r="JP40" s="84"/>
      <c r="JQ40" s="84"/>
      <c r="JR40" s="84"/>
      <c r="JS40" s="84"/>
      <c r="JT40" s="84"/>
      <c r="JU40" s="84"/>
      <c r="JV40" s="84"/>
      <c r="JW40" s="84"/>
      <c r="JX40" s="84"/>
      <c r="JY40" s="84"/>
      <c r="JZ40" s="84"/>
      <c r="KA40" s="84"/>
      <c r="KB40" s="84"/>
      <c r="KC40" s="84"/>
      <c r="KD40" s="84"/>
      <c r="KE40" s="84"/>
      <c r="KF40" s="84"/>
      <c r="KG40" s="84"/>
      <c r="KH40" s="84"/>
      <c r="KI40" s="84"/>
      <c r="KJ40" s="84"/>
      <c r="KK40" s="84"/>
      <c r="KL40" s="84"/>
      <c r="KM40" s="84"/>
      <c r="KN40" s="84"/>
      <c r="KO40" s="84"/>
      <c r="KP40" s="84"/>
      <c r="KQ40" s="84"/>
      <c r="KR40" s="84"/>
      <c r="KS40" s="84"/>
      <c r="KT40" s="84"/>
      <c r="KU40" s="84"/>
      <c r="KV40" s="84"/>
      <c r="KW40" s="84"/>
      <c r="KX40" s="84"/>
      <c r="KY40" s="84"/>
      <c r="KZ40" s="84"/>
      <c r="LA40" s="84"/>
      <c r="LB40" s="84"/>
      <c r="LC40" s="84"/>
      <c r="LD40" s="84"/>
      <c r="LE40" s="84"/>
      <c r="LF40" s="84"/>
      <c r="LG40" s="84"/>
      <c r="LH40" s="84"/>
      <c r="LI40" s="84"/>
      <c r="LJ40" s="84"/>
      <c r="LK40" s="84"/>
      <c r="LL40" s="84"/>
      <c r="LM40" s="84"/>
      <c r="LN40" s="84"/>
      <c r="LO40" s="84"/>
      <c r="LP40" s="84"/>
      <c r="LQ40" s="84"/>
      <c r="LR40" s="84"/>
      <c r="LS40" s="84"/>
      <c r="LT40" s="84"/>
      <c r="LU40" s="84"/>
      <c r="LV40" s="84"/>
      <c r="LW40" s="84"/>
      <c r="LX40" s="84"/>
      <c r="LY40" s="84"/>
      <c r="LZ40" s="84"/>
      <c r="MA40" s="84"/>
      <c r="MB40" s="84"/>
      <c r="MC40" s="84"/>
      <c r="MD40" s="84"/>
      <c r="ME40" s="84"/>
      <c r="MF40" s="84"/>
      <c r="MG40" s="84"/>
      <c r="MH40" s="84"/>
      <c r="MI40" s="84"/>
      <c r="MJ40" s="84"/>
      <c r="MK40" s="84"/>
      <c r="ML40" s="84"/>
      <c r="MM40" s="84"/>
      <c r="MN40" s="84"/>
      <c r="MO40" s="84"/>
      <c r="MP40" s="84"/>
      <c r="MQ40" s="84"/>
      <c r="MR40" s="84"/>
      <c r="MS40" s="84"/>
      <c r="MT40" s="84"/>
      <c r="MU40" s="84"/>
      <c r="MV40" s="84"/>
      <c r="MW40" s="84"/>
      <c r="MX40" s="84"/>
      <c r="MY40" s="84"/>
      <c r="MZ40" s="84"/>
      <c r="NA40" s="84"/>
      <c r="NB40" s="84"/>
      <c r="NC40" s="84"/>
      <c r="ND40" s="84"/>
      <c r="NE40" s="84"/>
      <c r="NF40" s="84"/>
      <c r="NG40" s="84"/>
      <c r="NH40" s="84"/>
      <c r="NI40" s="84"/>
      <c r="NJ40" s="84"/>
      <c r="NK40" s="84"/>
      <c r="NL40" s="84"/>
      <c r="NM40" s="84"/>
      <c r="NN40" s="84"/>
      <c r="NO40" s="84"/>
      <c r="NP40" s="84"/>
      <c r="NQ40" s="84"/>
      <c r="NR40" s="84"/>
      <c r="NS40" s="84"/>
      <c r="NT40" s="84"/>
      <c r="NU40" s="84"/>
      <c r="NV40" s="84"/>
      <c r="NW40" s="84"/>
      <c r="NX40" s="84"/>
      <c r="NY40" s="84"/>
      <c r="NZ40" s="84"/>
      <c r="OA40" s="84"/>
      <c r="OB40" s="84"/>
      <c r="OC40" s="84"/>
      <c r="OD40" s="84"/>
      <c r="OE40" s="84"/>
      <c r="OF40" s="84"/>
      <c r="OG40" s="84"/>
      <c r="OH40" s="84"/>
      <c r="OI40" s="84"/>
      <c r="OJ40" s="84"/>
      <c r="OK40" s="84"/>
      <c r="OL40" s="84"/>
      <c r="OM40" s="84"/>
      <c r="ON40" s="84"/>
      <c r="OO40" s="84"/>
      <c r="OP40" s="84"/>
      <c r="OQ40" s="84"/>
      <c r="OR40" s="84"/>
      <c r="OS40" s="84"/>
      <c r="OT40" s="84"/>
      <c r="OU40" s="84"/>
      <c r="OV40" s="84"/>
      <c r="OW40" s="84"/>
      <c r="OX40" s="84"/>
      <c r="OY40" s="84"/>
      <c r="OZ40" s="84"/>
      <c r="PA40" s="84"/>
      <c r="PB40" s="84"/>
      <c r="PC40" s="84"/>
      <c r="PD40" s="84"/>
      <c r="PE40" s="84"/>
      <c r="PF40" s="84"/>
      <c r="PG40" s="84"/>
      <c r="PH40" s="84"/>
      <c r="PI40" s="84"/>
      <c r="PJ40" s="84"/>
      <c r="PK40" s="84"/>
      <c r="PL40" s="84"/>
      <c r="PM40" s="84"/>
      <c r="PN40" s="84"/>
      <c r="PO40" s="84"/>
      <c r="PP40" s="84"/>
      <c r="PQ40" s="84"/>
      <c r="PR40" s="84"/>
      <c r="PS40" s="84"/>
      <c r="PT40" s="84"/>
      <c r="PU40" s="84"/>
      <c r="PV40" s="84"/>
      <c r="PW40" s="84"/>
      <c r="PX40" s="84"/>
      <c r="PY40" s="84"/>
      <c r="PZ40" s="84"/>
      <c r="QA40" s="84"/>
      <c r="QB40" s="84"/>
      <c r="QC40" s="84"/>
    </row>
    <row r="41" spans="1:445" s="85" customFormat="1" ht="15" x14ac:dyDescent="0.25">
      <c r="A41" s="92">
        <v>27</v>
      </c>
      <c r="B41" s="87"/>
      <c r="C41" s="88"/>
      <c r="D41" s="94"/>
      <c r="E41" s="82"/>
      <c r="F41" s="83"/>
      <c r="G41" s="54"/>
      <c r="H41" s="54"/>
      <c r="I41" s="54"/>
      <c r="J41" s="54"/>
      <c r="K41" s="54"/>
      <c r="L41" s="54"/>
      <c r="M41" s="46"/>
      <c r="N41" s="46"/>
      <c r="O41" s="46"/>
      <c r="P41" s="46"/>
      <c r="Q41" s="46"/>
      <c r="R41" s="46"/>
      <c r="S41" s="46"/>
      <c r="T41" s="89"/>
      <c r="U41" s="90"/>
      <c r="V41" s="90"/>
      <c r="W41" s="91"/>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c r="BD41" s="84"/>
      <c r="BE41" s="84"/>
      <c r="BF41" s="84"/>
      <c r="BG41" s="84"/>
      <c r="BH41" s="84"/>
      <c r="BI41" s="84"/>
      <c r="BJ41" s="84"/>
      <c r="BK41" s="84"/>
      <c r="BL41" s="84"/>
      <c r="BM41" s="84"/>
      <c r="BN41" s="84"/>
      <c r="BO41" s="84"/>
      <c r="BP41" s="84"/>
      <c r="BQ41" s="84"/>
      <c r="BR41" s="84"/>
      <c r="BS41" s="84"/>
      <c r="BT41" s="84"/>
      <c r="BU41" s="84"/>
      <c r="BV41" s="84"/>
      <c r="BW41" s="84"/>
      <c r="BX41" s="84"/>
      <c r="BY41" s="84"/>
      <c r="BZ41" s="84"/>
      <c r="CA41" s="84"/>
      <c r="CB41" s="84"/>
      <c r="CC41" s="84"/>
      <c r="CD41" s="84"/>
      <c r="CE41" s="84"/>
      <c r="CF41" s="84"/>
      <c r="CG41" s="84"/>
      <c r="CH41" s="84"/>
      <c r="CI41" s="84"/>
      <c r="CJ41" s="84"/>
      <c r="CK41" s="84"/>
      <c r="CL41" s="84"/>
      <c r="CM41" s="84"/>
      <c r="CN41" s="84"/>
      <c r="CO41" s="84"/>
      <c r="CP41" s="84"/>
      <c r="CQ41" s="84"/>
      <c r="CR41" s="84"/>
      <c r="CS41" s="84"/>
      <c r="CT41" s="84"/>
      <c r="CU41" s="84"/>
      <c r="CV41" s="84"/>
      <c r="CW41" s="84"/>
      <c r="CX41" s="84"/>
      <c r="CY41" s="84"/>
      <c r="CZ41" s="84"/>
      <c r="DA41" s="84"/>
      <c r="DB41" s="84"/>
      <c r="DC41" s="84"/>
      <c r="DD41" s="84"/>
      <c r="DE41" s="84"/>
      <c r="DF41" s="84"/>
      <c r="DG41" s="84"/>
      <c r="DH41" s="84"/>
      <c r="DI41" s="84"/>
      <c r="DJ41" s="84"/>
      <c r="DK41" s="84"/>
      <c r="DL41" s="84"/>
      <c r="DM41" s="84"/>
      <c r="DN41" s="84"/>
      <c r="DO41" s="84"/>
      <c r="DP41" s="84"/>
      <c r="DQ41" s="84"/>
      <c r="DR41" s="84"/>
      <c r="DS41" s="84"/>
      <c r="DT41" s="84"/>
      <c r="DU41" s="84"/>
      <c r="DV41" s="84"/>
      <c r="DW41" s="84"/>
      <c r="DX41" s="84"/>
      <c r="DY41" s="84"/>
      <c r="DZ41" s="84"/>
      <c r="EA41" s="84"/>
      <c r="EB41" s="84"/>
      <c r="EC41" s="84"/>
      <c r="ED41" s="84"/>
      <c r="EE41" s="84"/>
      <c r="EF41" s="84"/>
      <c r="EG41" s="84"/>
      <c r="EH41" s="84"/>
      <c r="EI41" s="84"/>
      <c r="EJ41" s="84"/>
      <c r="EK41" s="84"/>
      <c r="EL41" s="84"/>
      <c r="EM41" s="84"/>
      <c r="EN41" s="84"/>
      <c r="EO41" s="84"/>
      <c r="EP41" s="84"/>
      <c r="EQ41" s="84"/>
      <c r="ER41" s="84"/>
      <c r="ES41" s="84"/>
      <c r="ET41" s="84"/>
      <c r="EU41" s="84"/>
      <c r="EV41" s="84"/>
      <c r="EW41" s="84"/>
      <c r="EX41" s="84"/>
      <c r="EY41" s="84"/>
      <c r="EZ41" s="84"/>
      <c r="FA41" s="84"/>
      <c r="FB41" s="84"/>
      <c r="FC41" s="84"/>
      <c r="FD41" s="84"/>
      <c r="FE41" s="84"/>
      <c r="FF41" s="84"/>
      <c r="FG41" s="84"/>
      <c r="FH41" s="84"/>
      <c r="FI41" s="84"/>
      <c r="FJ41" s="84"/>
      <c r="FK41" s="84"/>
      <c r="FL41" s="84"/>
      <c r="FM41" s="84"/>
      <c r="FN41" s="84"/>
      <c r="FO41" s="84"/>
      <c r="FP41" s="84"/>
      <c r="FQ41" s="84"/>
      <c r="FR41" s="84"/>
      <c r="FS41" s="84"/>
      <c r="FT41" s="84"/>
      <c r="FU41" s="84"/>
      <c r="FV41" s="84"/>
      <c r="FW41" s="84"/>
      <c r="FX41" s="84"/>
      <c r="FY41" s="84"/>
      <c r="FZ41" s="84"/>
      <c r="GA41" s="84"/>
      <c r="GB41" s="84"/>
      <c r="GC41" s="84"/>
      <c r="GD41" s="84"/>
      <c r="GE41" s="84"/>
      <c r="GF41" s="84"/>
      <c r="GG41" s="84"/>
      <c r="GH41" s="84"/>
      <c r="GI41" s="84"/>
      <c r="GJ41" s="84"/>
      <c r="GK41" s="84"/>
      <c r="GL41" s="84"/>
      <c r="GM41" s="84"/>
      <c r="GN41" s="84"/>
      <c r="GO41" s="84"/>
      <c r="GP41" s="84"/>
      <c r="GQ41" s="84"/>
      <c r="GR41" s="84"/>
      <c r="GS41" s="84"/>
      <c r="GT41" s="84"/>
      <c r="GU41" s="84"/>
      <c r="GV41" s="84"/>
      <c r="GW41" s="84"/>
      <c r="GX41" s="84"/>
      <c r="GY41" s="84"/>
      <c r="GZ41" s="84"/>
      <c r="HA41" s="84"/>
      <c r="HB41" s="84"/>
      <c r="HC41" s="84"/>
      <c r="HD41" s="84"/>
      <c r="HE41" s="84"/>
      <c r="HF41" s="84"/>
      <c r="HG41" s="84"/>
      <c r="HH41" s="84"/>
      <c r="HI41" s="84"/>
      <c r="HJ41" s="84"/>
      <c r="HK41" s="84"/>
      <c r="HL41" s="84"/>
      <c r="HM41" s="84"/>
      <c r="HN41" s="84"/>
      <c r="HO41" s="84"/>
      <c r="HP41" s="84"/>
      <c r="HQ41" s="84"/>
      <c r="HR41" s="84"/>
      <c r="HS41" s="84"/>
      <c r="HT41" s="84"/>
      <c r="HU41" s="84"/>
      <c r="HV41" s="84"/>
      <c r="HW41" s="84"/>
      <c r="HX41" s="84"/>
      <c r="HY41" s="84"/>
      <c r="HZ41" s="84"/>
      <c r="IA41" s="84"/>
      <c r="IB41" s="84"/>
      <c r="IC41" s="84"/>
      <c r="ID41" s="84"/>
      <c r="IE41" s="84"/>
      <c r="IF41" s="84"/>
      <c r="IG41" s="84"/>
      <c r="IH41" s="84"/>
      <c r="II41" s="84"/>
      <c r="IJ41" s="84"/>
      <c r="IK41" s="84"/>
      <c r="IL41" s="84"/>
      <c r="IM41" s="84"/>
      <c r="IN41" s="84"/>
      <c r="IO41" s="84"/>
      <c r="IP41" s="84"/>
      <c r="IQ41" s="84"/>
      <c r="IR41" s="84"/>
      <c r="IS41" s="84"/>
      <c r="IT41" s="84"/>
      <c r="IU41" s="84"/>
      <c r="IV41" s="84"/>
      <c r="IW41" s="84"/>
      <c r="IX41" s="84"/>
      <c r="IY41" s="84"/>
      <c r="IZ41" s="84"/>
      <c r="JA41" s="84"/>
      <c r="JB41" s="84"/>
      <c r="JC41" s="84"/>
      <c r="JD41" s="84"/>
      <c r="JE41" s="84"/>
      <c r="JF41" s="84"/>
      <c r="JG41" s="84"/>
      <c r="JH41" s="84"/>
      <c r="JI41" s="84"/>
      <c r="JJ41" s="84"/>
      <c r="JK41" s="84"/>
      <c r="JL41" s="84"/>
      <c r="JM41" s="84"/>
      <c r="JN41" s="84"/>
      <c r="JO41" s="84"/>
      <c r="JP41" s="84"/>
      <c r="JQ41" s="84"/>
      <c r="JR41" s="84"/>
      <c r="JS41" s="84"/>
      <c r="JT41" s="84"/>
      <c r="JU41" s="84"/>
      <c r="JV41" s="84"/>
      <c r="JW41" s="84"/>
      <c r="JX41" s="84"/>
      <c r="JY41" s="84"/>
      <c r="JZ41" s="84"/>
      <c r="KA41" s="84"/>
      <c r="KB41" s="84"/>
      <c r="KC41" s="84"/>
      <c r="KD41" s="84"/>
      <c r="KE41" s="84"/>
      <c r="KF41" s="84"/>
      <c r="KG41" s="84"/>
      <c r="KH41" s="84"/>
      <c r="KI41" s="84"/>
      <c r="KJ41" s="84"/>
      <c r="KK41" s="84"/>
      <c r="KL41" s="84"/>
      <c r="KM41" s="84"/>
      <c r="KN41" s="84"/>
      <c r="KO41" s="84"/>
      <c r="KP41" s="84"/>
      <c r="KQ41" s="84"/>
      <c r="KR41" s="84"/>
      <c r="KS41" s="84"/>
      <c r="KT41" s="84"/>
      <c r="KU41" s="84"/>
      <c r="KV41" s="84"/>
      <c r="KW41" s="84"/>
      <c r="KX41" s="84"/>
      <c r="KY41" s="84"/>
      <c r="KZ41" s="84"/>
      <c r="LA41" s="84"/>
      <c r="LB41" s="84"/>
      <c r="LC41" s="84"/>
      <c r="LD41" s="84"/>
      <c r="LE41" s="84"/>
      <c r="LF41" s="84"/>
      <c r="LG41" s="84"/>
      <c r="LH41" s="84"/>
      <c r="LI41" s="84"/>
      <c r="LJ41" s="84"/>
      <c r="LK41" s="84"/>
      <c r="LL41" s="84"/>
      <c r="LM41" s="84"/>
      <c r="LN41" s="84"/>
      <c r="LO41" s="84"/>
      <c r="LP41" s="84"/>
      <c r="LQ41" s="84"/>
      <c r="LR41" s="84"/>
      <c r="LS41" s="84"/>
      <c r="LT41" s="84"/>
      <c r="LU41" s="84"/>
      <c r="LV41" s="84"/>
      <c r="LW41" s="84"/>
      <c r="LX41" s="84"/>
      <c r="LY41" s="84"/>
      <c r="LZ41" s="84"/>
      <c r="MA41" s="84"/>
      <c r="MB41" s="84"/>
      <c r="MC41" s="84"/>
      <c r="MD41" s="84"/>
      <c r="ME41" s="84"/>
      <c r="MF41" s="84"/>
      <c r="MG41" s="84"/>
      <c r="MH41" s="84"/>
      <c r="MI41" s="84"/>
      <c r="MJ41" s="84"/>
      <c r="MK41" s="84"/>
      <c r="ML41" s="84"/>
      <c r="MM41" s="84"/>
      <c r="MN41" s="84"/>
      <c r="MO41" s="84"/>
      <c r="MP41" s="84"/>
      <c r="MQ41" s="84"/>
      <c r="MR41" s="84"/>
      <c r="MS41" s="84"/>
      <c r="MT41" s="84"/>
      <c r="MU41" s="84"/>
      <c r="MV41" s="84"/>
      <c r="MW41" s="84"/>
      <c r="MX41" s="84"/>
      <c r="MY41" s="84"/>
      <c r="MZ41" s="84"/>
      <c r="NA41" s="84"/>
      <c r="NB41" s="84"/>
      <c r="NC41" s="84"/>
      <c r="ND41" s="84"/>
      <c r="NE41" s="84"/>
      <c r="NF41" s="84"/>
      <c r="NG41" s="84"/>
      <c r="NH41" s="84"/>
      <c r="NI41" s="84"/>
      <c r="NJ41" s="84"/>
      <c r="NK41" s="84"/>
      <c r="NL41" s="84"/>
      <c r="NM41" s="84"/>
      <c r="NN41" s="84"/>
      <c r="NO41" s="84"/>
      <c r="NP41" s="84"/>
      <c r="NQ41" s="84"/>
      <c r="NR41" s="84"/>
      <c r="NS41" s="84"/>
      <c r="NT41" s="84"/>
      <c r="NU41" s="84"/>
      <c r="NV41" s="84"/>
      <c r="NW41" s="84"/>
      <c r="NX41" s="84"/>
      <c r="NY41" s="84"/>
      <c r="NZ41" s="84"/>
      <c r="OA41" s="84"/>
      <c r="OB41" s="84"/>
      <c r="OC41" s="84"/>
      <c r="OD41" s="84"/>
      <c r="OE41" s="84"/>
      <c r="OF41" s="84"/>
      <c r="OG41" s="84"/>
      <c r="OH41" s="84"/>
      <c r="OI41" s="84"/>
      <c r="OJ41" s="84"/>
      <c r="OK41" s="84"/>
      <c r="OL41" s="84"/>
      <c r="OM41" s="84"/>
      <c r="ON41" s="84"/>
      <c r="OO41" s="84"/>
      <c r="OP41" s="84"/>
      <c r="OQ41" s="84"/>
      <c r="OR41" s="84"/>
      <c r="OS41" s="84"/>
      <c r="OT41" s="84"/>
      <c r="OU41" s="84"/>
      <c r="OV41" s="84"/>
      <c r="OW41" s="84"/>
      <c r="OX41" s="84"/>
      <c r="OY41" s="84"/>
      <c r="OZ41" s="84"/>
      <c r="PA41" s="84"/>
      <c r="PB41" s="84"/>
      <c r="PC41" s="84"/>
      <c r="PD41" s="84"/>
      <c r="PE41" s="84"/>
      <c r="PF41" s="84"/>
      <c r="PG41" s="84"/>
      <c r="PH41" s="84"/>
      <c r="PI41" s="84"/>
      <c r="PJ41" s="84"/>
      <c r="PK41" s="84"/>
      <c r="PL41" s="84"/>
      <c r="PM41" s="84"/>
      <c r="PN41" s="84"/>
      <c r="PO41" s="84"/>
      <c r="PP41" s="84"/>
      <c r="PQ41" s="84"/>
      <c r="PR41" s="84"/>
      <c r="PS41" s="84"/>
      <c r="PT41" s="84"/>
      <c r="PU41" s="84"/>
      <c r="PV41" s="84"/>
      <c r="PW41" s="84"/>
      <c r="PX41" s="84"/>
      <c r="PY41" s="84"/>
      <c r="PZ41" s="84"/>
      <c r="QA41" s="84"/>
      <c r="QB41" s="84"/>
      <c r="QC41" s="84"/>
    </row>
    <row r="42" spans="1:445" s="85" customFormat="1" ht="15" x14ac:dyDescent="0.25">
      <c r="A42" s="92">
        <v>27</v>
      </c>
      <c r="B42" s="87"/>
      <c r="C42" s="93"/>
      <c r="D42" s="94"/>
      <c r="E42" s="82"/>
      <c r="F42" s="83"/>
      <c r="G42" s="54"/>
      <c r="H42" s="54"/>
      <c r="I42" s="54"/>
      <c r="J42" s="54"/>
      <c r="K42" s="54"/>
      <c r="L42" s="54"/>
      <c r="M42" s="46"/>
      <c r="N42" s="46"/>
      <c r="O42" s="46"/>
      <c r="P42" s="46"/>
      <c r="Q42" s="46"/>
      <c r="R42" s="46"/>
      <c r="S42" s="46"/>
      <c r="T42" s="89"/>
      <c r="U42" s="90"/>
      <c r="V42" s="90"/>
      <c r="W42" s="91"/>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c r="BD42" s="84"/>
      <c r="BE42" s="84"/>
      <c r="BF42" s="84"/>
      <c r="BG42" s="84"/>
      <c r="BH42" s="84"/>
      <c r="BI42" s="84"/>
      <c r="BJ42" s="84"/>
      <c r="BK42" s="84"/>
      <c r="BL42" s="84"/>
      <c r="BM42" s="84"/>
      <c r="BN42" s="84"/>
      <c r="BO42" s="84"/>
      <c r="BP42" s="84"/>
      <c r="BQ42" s="84"/>
      <c r="BR42" s="84"/>
      <c r="BS42" s="84"/>
      <c r="BT42" s="84"/>
      <c r="BU42" s="84"/>
      <c r="BV42" s="84"/>
      <c r="BW42" s="84"/>
      <c r="BX42" s="84"/>
      <c r="BY42" s="84"/>
      <c r="BZ42" s="84"/>
      <c r="CA42" s="84"/>
      <c r="CB42" s="84"/>
      <c r="CC42" s="84"/>
      <c r="CD42" s="84"/>
      <c r="CE42" s="84"/>
      <c r="CF42" s="84"/>
      <c r="CG42" s="84"/>
      <c r="CH42" s="84"/>
      <c r="CI42" s="84"/>
      <c r="CJ42" s="84"/>
      <c r="CK42" s="84"/>
      <c r="CL42" s="84"/>
      <c r="CM42" s="84"/>
      <c r="CN42" s="84"/>
      <c r="CO42" s="84"/>
      <c r="CP42" s="84"/>
      <c r="CQ42" s="84"/>
      <c r="CR42" s="84"/>
      <c r="CS42" s="84"/>
      <c r="CT42" s="84"/>
      <c r="CU42" s="84"/>
      <c r="CV42" s="84"/>
      <c r="CW42" s="84"/>
      <c r="CX42" s="84"/>
      <c r="CY42" s="84"/>
      <c r="CZ42" s="84"/>
      <c r="DA42" s="84"/>
      <c r="DB42" s="84"/>
      <c r="DC42" s="84"/>
      <c r="DD42" s="84"/>
      <c r="DE42" s="84"/>
      <c r="DF42" s="84"/>
      <c r="DG42" s="84"/>
      <c r="DH42" s="84"/>
      <c r="DI42" s="84"/>
      <c r="DJ42" s="84"/>
      <c r="DK42" s="84"/>
      <c r="DL42" s="84"/>
      <c r="DM42" s="84"/>
      <c r="DN42" s="84"/>
      <c r="DO42" s="84"/>
      <c r="DP42" s="84"/>
      <c r="DQ42" s="84"/>
      <c r="DR42" s="84"/>
      <c r="DS42" s="84"/>
      <c r="DT42" s="84"/>
      <c r="DU42" s="84"/>
      <c r="DV42" s="84"/>
      <c r="DW42" s="84"/>
      <c r="DX42" s="84"/>
      <c r="DY42" s="84"/>
      <c r="DZ42" s="84"/>
      <c r="EA42" s="84"/>
      <c r="EB42" s="84"/>
      <c r="EC42" s="84"/>
      <c r="ED42" s="84"/>
      <c r="EE42" s="84"/>
      <c r="EF42" s="84"/>
      <c r="EG42" s="84"/>
      <c r="EH42" s="84"/>
      <c r="EI42" s="84"/>
      <c r="EJ42" s="84"/>
      <c r="EK42" s="84"/>
      <c r="EL42" s="84"/>
      <c r="EM42" s="84"/>
      <c r="EN42" s="84"/>
      <c r="EO42" s="84"/>
      <c r="EP42" s="84"/>
      <c r="EQ42" s="84"/>
      <c r="ER42" s="84"/>
      <c r="ES42" s="84"/>
      <c r="ET42" s="84"/>
      <c r="EU42" s="84"/>
      <c r="EV42" s="84"/>
      <c r="EW42" s="84"/>
      <c r="EX42" s="84"/>
      <c r="EY42" s="84"/>
      <c r="EZ42" s="84"/>
      <c r="FA42" s="84"/>
      <c r="FB42" s="84"/>
      <c r="FC42" s="84"/>
      <c r="FD42" s="84"/>
      <c r="FE42" s="84"/>
      <c r="FF42" s="84"/>
      <c r="FG42" s="84"/>
      <c r="FH42" s="84"/>
      <c r="FI42" s="84"/>
      <c r="FJ42" s="84"/>
      <c r="FK42" s="84"/>
      <c r="FL42" s="84"/>
      <c r="FM42" s="84"/>
      <c r="FN42" s="84"/>
      <c r="FO42" s="84"/>
      <c r="FP42" s="84"/>
      <c r="FQ42" s="84"/>
      <c r="FR42" s="84"/>
      <c r="FS42" s="84"/>
      <c r="FT42" s="84"/>
      <c r="FU42" s="84"/>
      <c r="FV42" s="84"/>
      <c r="FW42" s="84"/>
      <c r="FX42" s="84"/>
      <c r="FY42" s="84"/>
      <c r="FZ42" s="84"/>
      <c r="GA42" s="84"/>
      <c r="GB42" s="84"/>
      <c r="GC42" s="84"/>
      <c r="GD42" s="84"/>
      <c r="GE42" s="84"/>
      <c r="GF42" s="84"/>
      <c r="GG42" s="84"/>
      <c r="GH42" s="84"/>
      <c r="GI42" s="84"/>
      <c r="GJ42" s="84"/>
      <c r="GK42" s="84"/>
      <c r="GL42" s="84"/>
      <c r="GM42" s="84"/>
      <c r="GN42" s="84"/>
      <c r="GO42" s="84"/>
      <c r="GP42" s="84"/>
      <c r="GQ42" s="84"/>
      <c r="GR42" s="84"/>
      <c r="GS42" s="84"/>
      <c r="GT42" s="84"/>
      <c r="GU42" s="84"/>
      <c r="GV42" s="84"/>
      <c r="GW42" s="84"/>
      <c r="GX42" s="84"/>
      <c r="GY42" s="84"/>
      <c r="GZ42" s="84"/>
      <c r="HA42" s="84"/>
      <c r="HB42" s="84"/>
      <c r="HC42" s="84"/>
      <c r="HD42" s="84"/>
      <c r="HE42" s="84"/>
      <c r="HF42" s="84"/>
      <c r="HG42" s="84"/>
      <c r="HH42" s="84"/>
      <c r="HI42" s="84"/>
      <c r="HJ42" s="84"/>
      <c r="HK42" s="84"/>
      <c r="HL42" s="84"/>
      <c r="HM42" s="84"/>
      <c r="HN42" s="84"/>
      <c r="HO42" s="84"/>
      <c r="HP42" s="84"/>
      <c r="HQ42" s="84"/>
      <c r="HR42" s="84"/>
      <c r="HS42" s="84"/>
      <c r="HT42" s="84"/>
      <c r="HU42" s="84"/>
      <c r="HV42" s="84"/>
      <c r="HW42" s="84"/>
      <c r="HX42" s="84"/>
      <c r="HY42" s="84"/>
      <c r="HZ42" s="84"/>
      <c r="IA42" s="84"/>
      <c r="IB42" s="84"/>
      <c r="IC42" s="84"/>
      <c r="ID42" s="84"/>
      <c r="IE42" s="84"/>
      <c r="IF42" s="84"/>
      <c r="IG42" s="84"/>
      <c r="IH42" s="84"/>
      <c r="II42" s="84"/>
      <c r="IJ42" s="84"/>
      <c r="IK42" s="84"/>
      <c r="IL42" s="84"/>
      <c r="IM42" s="84"/>
      <c r="IN42" s="84"/>
      <c r="IO42" s="84"/>
      <c r="IP42" s="84"/>
      <c r="IQ42" s="84"/>
      <c r="IR42" s="84"/>
      <c r="IS42" s="84"/>
      <c r="IT42" s="84"/>
      <c r="IU42" s="84"/>
      <c r="IV42" s="84"/>
      <c r="IW42" s="84"/>
      <c r="IX42" s="84"/>
      <c r="IY42" s="84"/>
      <c r="IZ42" s="84"/>
      <c r="JA42" s="84"/>
      <c r="JB42" s="84"/>
      <c r="JC42" s="84"/>
      <c r="JD42" s="84"/>
      <c r="JE42" s="84"/>
      <c r="JF42" s="84"/>
      <c r="JG42" s="84"/>
      <c r="JH42" s="84"/>
      <c r="JI42" s="84"/>
      <c r="JJ42" s="84"/>
      <c r="JK42" s="84"/>
      <c r="JL42" s="84"/>
      <c r="JM42" s="84"/>
      <c r="JN42" s="84"/>
      <c r="JO42" s="84"/>
      <c r="JP42" s="84"/>
      <c r="JQ42" s="84"/>
      <c r="JR42" s="84"/>
      <c r="JS42" s="84"/>
      <c r="JT42" s="84"/>
      <c r="JU42" s="84"/>
      <c r="JV42" s="84"/>
      <c r="JW42" s="84"/>
      <c r="JX42" s="84"/>
      <c r="JY42" s="84"/>
      <c r="JZ42" s="84"/>
      <c r="KA42" s="84"/>
      <c r="KB42" s="84"/>
      <c r="KC42" s="84"/>
      <c r="KD42" s="84"/>
      <c r="KE42" s="84"/>
      <c r="KF42" s="84"/>
      <c r="KG42" s="84"/>
      <c r="KH42" s="84"/>
      <c r="KI42" s="84"/>
      <c r="KJ42" s="84"/>
      <c r="KK42" s="84"/>
      <c r="KL42" s="84"/>
      <c r="KM42" s="84"/>
      <c r="KN42" s="84"/>
      <c r="KO42" s="84"/>
      <c r="KP42" s="84"/>
      <c r="KQ42" s="84"/>
      <c r="KR42" s="84"/>
      <c r="KS42" s="84"/>
      <c r="KT42" s="84"/>
      <c r="KU42" s="84"/>
      <c r="KV42" s="84"/>
      <c r="KW42" s="84"/>
      <c r="KX42" s="84"/>
      <c r="KY42" s="84"/>
      <c r="KZ42" s="84"/>
      <c r="LA42" s="84"/>
      <c r="LB42" s="84"/>
      <c r="LC42" s="84"/>
      <c r="LD42" s="84"/>
      <c r="LE42" s="84"/>
      <c r="LF42" s="84"/>
      <c r="LG42" s="84"/>
      <c r="LH42" s="84"/>
      <c r="LI42" s="84"/>
      <c r="LJ42" s="84"/>
      <c r="LK42" s="84"/>
      <c r="LL42" s="84"/>
      <c r="LM42" s="84"/>
      <c r="LN42" s="84"/>
      <c r="LO42" s="84"/>
      <c r="LP42" s="84"/>
      <c r="LQ42" s="84"/>
      <c r="LR42" s="84"/>
      <c r="LS42" s="84"/>
      <c r="LT42" s="84"/>
      <c r="LU42" s="84"/>
      <c r="LV42" s="84"/>
      <c r="LW42" s="84"/>
      <c r="LX42" s="84"/>
      <c r="LY42" s="84"/>
      <c r="LZ42" s="84"/>
      <c r="MA42" s="84"/>
      <c r="MB42" s="84"/>
      <c r="MC42" s="84"/>
      <c r="MD42" s="84"/>
      <c r="ME42" s="84"/>
      <c r="MF42" s="84"/>
      <c r="MG42" s="84"/>
      <c r="MH42" s="84"/>
      <c r="MI42" s="84"/>
      <c r="MJ42" s="84"/>
      <c r="MK42" s="84"/>
      <c r="ML42" s="84"/>
      <c r="MM42" s="84"/>
      <c r="MN42" s="84"/>
      <c r="MO42" s="84"/>
      <c r="MP42" s="84"/>
      <c r="MQ42" s="84"/>
      <c r="MR42" s="84"/>
      <c r="MS42" s="84"/>
      <c r="MT42" s="84"/>
      <c r="MU42" s="84"/>
      <c r="MV42" s="84"/>
      <c r="MW42" s="84"/>
      <c r="MX42" s="84"/>
      <c r="MY42" s="84"/>
      <c r="MZ42" s="84"/>
      <c r="NA42" s="84"/>
      <c r="NB42" s="84"/>
      <c r="NC42" s="84"/>
      <c r="ND42" s="84"/>
      <c r="NE42" s="84"/>
      <c r="NF42" s="84"/>
      <c r="NG42" s="84"/>
      <c r="NH42" s="84"/>
      <c r="NI42" s="84"/>
      <c r="NJ42" s="84"/>
      <c r="NK42" s="84"/>
      <c r="NL42" s="84"/>
      <c r="NM42" s="84"/>
      <c r="NN42" s="84"/>
      <c r="NO42" s="84"/>
      <c r="NP42" s="84"/>
      <c r="NQ42" s="84"/>
      <c r="NR42" s="84"/>
      <c r="NS42" s="84"/>
      <c r="NT42" s="84"/>
      <c r="NU42" s="84"/>
      <c r="NV42" s="84"/>
      <c r="NW42" s="84"/>
      <c r="NX42" s="84"/>
      <c r="NY42" s="84"/>
      <c r="NZ42" s="84"/>
      <c r="OA42" s="84"/>
      <c r="OB42" s="84"/>
      <c r="OC42" s="84"/>
      <c r="OD42" s="84"/>
      <c r="OE42" s="84"/>
      <c r="OF42" s="84"/>
      <c r="OG42" s="84"/>
      <c r="OH42" s="84"/>
      <c r="OI42" s="84"/>
      <c r="OJ42" s="84"/>
      <c r="OK42" s="84"/>
      <c r="OL42" s="84"/>
      <c r="OM42" s="84"/>
      <c r="ON42" s="84"/>
      <c r="OO42" s="84"/>
      <c r="OP42" s="84"/>
      <c r="OQ42" s="84"/>
      <c r="OR42" s="84"/>
      <c r="OS42" s="84"/>
      <c r="OT42" s="84"/>
      <c r="OU42" s="84"/>
      <c r="OV42" s="84"/>
      <c r="OW42" s="84"/>
      <c r="OX42" s="84"/>
      <c r="OY42" s="84"/>
      <c r="OZ42" s="84"/>
      <c r="PA42" s="84"/>
      <c r="PB42" s="84"/>
      <c r="PC42" s="84"/>
      <c r="PD42" s="84"/>
      <c r="PE42" s="84"/>
      <c r="PF42" s="84"/>
      <c r="PG42" s="84"/>
      <c r="PH42" s="84"/>
      <c r="PI42" s="84"/>
      <c r="PJ42" s="84"/>
      <c r="PK42" s="84"/>
      <c r="PL42" s="84"/>
      <c r="PM42" s="84"/>
      <c r="PN42" s="84"/>
      <c r="PO42" s="84"/>
      <c r="PP42" s="84"/>
      <c r="PQ42" s="84"/>
      <c r="PR42" s="84"/>
      <c r="PS42" s="84"/>
      <c r="PT42" s="84"/>
      <c r="PU42" s="84"/>
      <c r="PV42" s="84"/>
      <c r="PW42" s="84"/>
      <c r="PX42" s="84"/>
      <c r="PY42" s="84"/>
      <c r="PZ42" s="84"/>
      <c r="QA42" s="84"/>
      <c r="QB42" s="84"/>
      <c r="QC42" s="84"/>
    </row>
    <row r="43" spans="1:445" s="85" customFormat="1" ht="15" x14ac:dyDescent="0.25">
      <c r="A43" s="92">
        <v>27</v>
      </c>
      <c r="B43" s="87"/>
      <c r="C43" s="95"/>
      <c r="D43" s="94"/>
      <c r="E43" s="82"/>
      <c r="F43" s="83"/>
      <c r="G43" s="54"/>
      <c r="H43" s="54"/>
      <c r="I43" s="54"/>
      <c r="J43" s="54"/>
      <c r="K43" s="54"/>
      <c r="L43" s="54"/>
      <c r="M43" s="46"/>
      <c r="N43" s="46"/>
      <c r="O43" s="46"/>
      <c r="P43" s="46"/>
      <c r="Q43" s="46"/>
      <c r="R43" s="46"/>
      <c r="S43" s="46"/>
      <c r="T43" s="89"/>
      <c r="U43" s="90"/>
      <c r="V43" s="90"/>
      <c r="W43" s="91"/>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BM43" s="84"/>
      <c r="BN43" s="84"/>
      <c r="BO43" s="84"/>
      <c r="BP43" s="84"/>
      <c r="BQ43" s="84"/>
      <c r="BR43" s="84"/>
      <c r="BS43" s="84"/>
      <c r="BT43" s="84"/>
      <c r="BU43" s="84"/>
      <c r="BV43" s="84"/>
      <c r="BW43" s="84"/>
      <c r="BX43" s="84"/>
      <c r="BY43" s="84"/>
      <c r="BZ43" s="84"/>
      <c r="CA43" s="84"/>
      <c r="CB43" s="84"/>
      <c r="CC43" s="84"/>
      <c r="CD43" s="84"/>
      <c r="CE43" s="84"/>
      <c r="CF43" s="84"/>
      <c r="CG43" s="84"/>
      <c r="CH43" s="84"/>
      <c r="CI43" s="84"/>
      <c r="CJ43" s="84"/>
      <c r="CK43" s="84"/>
      <c r="CL43" s="84"/>
      <c r="CM43" s="84"/>
      <c r="CN43" s="84"/>
      <c r="CO43" s="84"/>
      <c r="CP43" s="84"/>
      <c r="CQ43" s="84"/>
      <c r="CR43" s="84"/>
      <c r="CS43" s="84"/>
      <c r="CT43" s="84"/>
      <c r="CU43" s="84"/>
      <c r="CV43" s="84"/>
      <c r="CW43" s="84"/>
      <c r="CX43" s="84"/>
      <c r="CY43" s="84"/>
      <c r="CZ43" s="84"/>
      <c r="DA43" s="84"/>
      <c r="DB43" s="84"/>
      <c r="DC43" s="84"/>
      <c r="DD43" s="84"/>
      <c r="DE43" s="84"/>
      <c r="DF43" s="84"/>
      <c r="DG43" s="84"/>
      <c r="DH43" s="84"/>
      <c r="DI43" s="84"/>
      <c r="DJ43" s="84"/>
      <c r="DK43" s="84"/>
      <c r="DL43" s="84"/>
      <c r="DM43" s="84"/>
      <c r="DN43" s="84"/>
      <c r="DO43" s="84"/>
      <c r="DP43" s="84"/>
      <c r="DQ43" s="84"/>
      <c r="DR43" s="84"/>
      <c r="DS43" s="84"/>
      <c r="DT43" s="84"/>
      <c r="DU43" s="84"/>
      <c r="DV43" s="84"/>
      <c r="DW43" s="84"/>
      <c r="DX43" s="84"/>
      <c r="DY43" s="84"/>
      <c r="DZ43" s="84"/>
      <c r="EA43" s="84"/>
      <c r="EB43" s="84"/>
      <c r="EC43" s="84"/>
      <c r="ED43" s="84"/>
      <c r="EE43" s="84"/>
      <c r="EF43" s="84"/>
      <c r="EG43" s="84"/>
      <c r="EH43" s="84"/>
      <c r="EI43" s="84"/>
      <c r="EJ43" s="84"/>
      <c r="EK43" s="84"/>
      <c r="EL43" s="84"/>
      <c r="EM43" s="84"/>
      <c r="EN43" s="84"/>
      <c r="EO43" s="84"/>
      <c r="EP43" s="84"/>
      <c r="EQ43" s="84"/>
      <c r="ER43" s="84"/>
      <c r="ES43" s="84"/>
      <c r="ET43" s="84"/>
      <c r="EU43" s="84"/>
      <c r="EV43" s="84"/>
      <c r="EW43" s="84"/>
      <c r="EX43" s="84"/>
      <c r="EY43" s="84"/>
      <c r="EZ43" s="84"/>
      <c r="FA43" s="84"/>
      <c r="FB43" s="84"/>
      <c r="FC43" s="84"/>
      <c r="FD43" s="84"/>
      <c r="FE43" s="84"/>
      <c r="FF43" s="84"/>
      <c r="FG43" s="84"/>
      <c r="FH43" s="84"/>
      <c r="FI43" s="84"/>
      <c r="FJ43" s="84"/>
      <c r="FK43" s="84"/>
      <c r="FL43" s="84"/>
      <c r="FM43" s="84"/>
      <c r="FN43" s="84"/>
      <c r="FO43" s="84"/>
      <c r="FP43" s="84"/>
      <c r="FQ43" s="84"/>
      <c r="FR43" s="84"/>
      <c r="FS43" s="84"/>
      <c r="FT43" s="84"/>
      <c r="FU43" s="84"/>
      <c r="FV43" s="84"/>
      <c r="FW43" s="84"/>
      <c r="FX43" s="84"/>
      <c r="FY43" s="84"/>
      <c r="FZ43" s="84"/>
      <c r="GA43" s="84"/>
      <c r="GB43" s="84"/>
      <c r="GC43" s="84"/>
      <c r="GD43" s="84"/>
      <c r="GE43" s="84"/>
      <c r="GF43" s="84"/>
      <c r="GG43" s="84"/>
      <c r="GH43" s="84"/>
      <c r="GI43" s="84"/>
      <c r="GJ43" s="84"/>
      <c r="GK43" s="84"/>
      <c r="GL43" s="84"/>
      <c r="GM43" s="84"/>
      <c r="GN43" s="84"/>
      <c r="GO43" s="84"/>
      <c r="GP43" s="84"/>
      <c r="GQ43" s="84"/>
      <c r="GR43" s="84"/>
      <c r="GS43" s="84"/>
      <c r="GT43" s="84"/>
      <c r="GU43" s="84"/>
      <c r="GV43" s="84"/>
      <c r="GW43" s="84"/>
      <c r="GX43" s="84"/>
      <c r="GY43" s="84"/>
      <c r="GZ43" s="84"/>
      <c r="HA43" s="84"/>
      <c r="HB43" s="84"/>
      <c r="HC43" s="84"/>
      <c r="HD43" s="84"/>
      <c r="HE43" s="84"/>
      <c r="HF43" s="84"/>
      <c r="HG43" s="84"/>
      <c r="HH43" s="84"/>
      <c r="HI43" s="84"/>
      <c r="HJ43" s="84"/>
      <c r="HK43" s="84"/>
      <c r="HL43" s="84"/>
      <c r="HM43" s="84"/>
      <c r="HN43" s="84"/>
      <c r="HO43" s="84"/>
      <c r="HP43" s="84"/>
      <c r="HQ43" s="84"/>
      <c r="HR43" s="84"/>
      <c r="HS43" s="84"/>
      <c r="HT43" s="84"/>
      <c r="HU43" s="84"/>
      <c r="HV43" s="84"/>
      <c r="HW43" s="84"/>
      <c r="HX43" s="84"/>
      <c r="HY43" s="84"/>
      <c r="HZ43" s="84"/>
      <c r="IA43" s="84"/>
      <c r="IB43" s="84"/>
      <c r="IC43" s="84"/>
      <c r="ID43" s="84"/>
      <c r="IE43" s="84"/>
      <c r="IF43" s="84"/>
      <c r="IG43" s="84"/>
      <c r="IH43" s="84"/>
      <c r="II43" s="84"/>
      <c r="IJ43" s="84"/>
      <c r="IK43" s="84"/>
      <c r="IL43" s="84"/>
      <c r="IM43" s="84"/>
      <c r="IN43" s="84"/>
      <c r="IO43" s="84"/>
      <c r="IP43" s="84"/>
      <c r="IQ43" s="84"/>
      <c r="IR43" s="84"/>
      <c r="IS43" s="84"/>
      <c r="IT43" s="84"/>
      <c r="IU43" s="84"/>
      <c r="IV43" s="84"/>
      <c r="IW43" s="84"/>
      <c r="IX43" s="84"/>
      <c r="IY43" s="84"/>
      <c r="IZ43" s="84"/>
      <c r="JA43" s="84"/>
      <c r="JB43" s="84"/>
      <c r="JC43" s="84"/>
      <c r="JD43" s="84"/>
      <c r="JE43" s="84"/>
      <c r="JF43" s="84"/>
      <c r="JG43" s="84"/>
      <c r="JH43" s="84"/>
      <c r="JI43" s="84"/>
      <c r="JJ43" s="84"/>
      <c r="JK43" s="84"/>
      <c r="JL43" s="84"/>
      <c r="JM43" s="84"/>
      <c r="JN43" s="84"/>
      <c r="JO43" s="84"/>
      <c r="JP43" s="84"/>
      <c r="JQ43" s="84"/>
      <c r="JR43" s="84"/>
      <c r="JS43" s="84"/>
      <c r="JT43" s="84"/>
      <c r="JU43" s="84"/>
      <c r="JV43" s="84"/>
      <c r="JW43" s="84"/>
      <c r="JX43" s="84"/>
      <c r="JY43" s="84"/>
      <c r="JZ43" s="84"/>
      <c r="KA43" s="84"/>
      <c r="KB43" s="84"/>
      <c r="KC43" s="84"/>
      <c r="KD43" s="84"/>
      <c r="KE43" s="84"/>
      <c r="KF43" s="84"/>
      <c r="KG43" s="84"/>
      <c r="KH43" s="84"/>
      <c r="KI43" s="84"/>
      <c r="KJ43" s="84"/>
      <c r="KK43" s="84"/>
      <c r="KL43" s="84"/>
      <c r="KM43" s="84"/>
      <c r="KN43" s="84"/>
      <c r="KO43" s="84"/>
      <c r="KP43" s="84"/>
      <c r="KQ43" s="84"/>
      <c r="KR43" s="84"/>
      <c r="KS43" s="84"/>
      <c r="KT43" s="84"/>
      <c r="KU43" s="84"/>
      <c r="KV43" s="84"/>
      <c r="KW43" s="84"/>
      <c r="KX43" s="84"/>
      <c r="KY43" s="84"/>
      <c r="KZ43" s="84"/>
      <c r="LA43" s="84"/>
      <c r="LB43" s="84"/>
      <c r="LC43" s="84"/>
      <c r="LD43" s="84"/>
      <c r="LE43" s="84"/>
      <c r="LF43" s="84"/>
      <c r="LG43" s="84"/>
      <c r="LH43" s="84"/>
      <c r="LI43" s="84"/>
      <c r="LJ43" s="84"/>
      <c r="LK43" s="84"/>
      <c r="LL43" s="84"/>
      <c r="LM43" s="84"/>
      <c r="LN43" s="84"/>
      <c r="LO43" s="84"/>
      <c r="LP43" s="84"/>
      <c r="LQ43" s="84"/>
      <c r="LR43" s="84"/>
      <c r="LS43" s="84"/>
      <c r="LT43" s="84"/>
      <c r="LU43" s="84"/>
      <c r="LV43" s="84"/>
      <c r="LW43" s="84"/>
      <c r="LX43" s="84"/>
      <c r="LY43" s="84"/>
      <c r="LZ43" s="84"/>
      <c r="MA43" s="84"/>
      <c r="MB43" s="84"/>
      <c r="MC43" s="84"/>
      <c r="MD43" s="84"/>
      <c r="ME43" s="84"/>
      <c r="MF43" s="84"/>
      <c r="MG43" s="84"/>
      <c r="MH43" s="84"/>
      <c r="MI43" s="84"/>
      <c r="MJ43" s="84"/>
      <c r="MK43" s="84"/>
      <c r="ML43" s="84"/>
      <c r="MM43" s="84"/>
      <c r="MN43" s="84"/>
      <c r="MO43" s="84"/>
      <c r="MP43" s="84"/>
      <c r="MQ43" s="84"/>
      <c r="MR43" s="84"/>
      <c r="MS43" s="84"/>
      <c r="MT43" s="84"/>
      <c r="MU43" s="84"/>
      <c r="MV43" s="84"/>
      <c r="MW43" s="84"/>
      <c r="MX43" s="84"/>
      <c r="MY43" s="84"/>
      <c r="MZ43" s="84"/>
      <c r="NA43" s="84"/>
      <c r="NB43" s="84"/>
      <c r="NC43" s="84"/>
      <c r="ND43" s="84"/>
      <c r="NE43" s="84"/>
      <c r="NF43" s="84"/>
      <c r="NG43" s="84"/>
      <c r="NH43" s="84"/>
      <c r="NI43" s="84"/>
      <c r="NJ43" s="84"/>
      <c r="NK43" s="84"/>
      <c r="NL43" s="84"/>
      <c r="NM43" s="84"/>
      <c r="NN43" s="84"/>
      <c r="NO43" s="84"/>
      <c r="NP43" s="84"/>
      <c r="NQ43" s="84"/>
      <c r="NR43" s="84"/>
      <c r="NS43" s="84"/>
      <c r="NT43" s="84"/>
      <c r="NU43" s="84"/>
      <c r="NV43" s="84"/>
      <c r="NW43" s="84"/>
      <c r="NX43" s="84"/>
      <c r="NY43" s="84"/>
      <c r="NZ43" s="84"/>
      <c r="OA43" s="84"/>
      <c r="OB43" s="84"/>
      <c r="OC43" s="84"/>
      <c r="OD43" s="84"/>
      <c r="OE43" s="84"/>
      <c r="OF43" s="84"/>
      <c r="OG43" s="84"/>
      <c r="OH43" s="84"/>
      <c r="OI43" s="84"/>
      <c r="OJ43" s="84"/>
      <c r="OK43" s="84"/>
      <c r="OL43" s="84"/>
      <c r="OM43" s="84"/>
      <c r="ON43" s="84"/>
      <c r="OO43" s="84"/>
      <c r="OP43" s="84"/>
      <c r="OQ43" s="84"/>
      <c r="OR43" s="84"/>
      <c r="OS43" s="84"/>
      <c r="OT43" s="84"/>
      <c r="OU43" s="84"/>
      <c r="OV43" s="84"/>
      <c r="OW43" s="84"/>
      <c r="OX43" s="84"/>
      <c r="OY43" s="84"/>
      <c r="OZ43" s="84"/>
      <c r="PA43" s="84"/>
      <c r="PB43" s="84"/>
      <c r="PC43" s="84"/>
      <c r="PD43" s="84"/>
      <c r="PE43" s="84"/>
      <c r="PF43" s="84"/>
      <c r="PG43" s="84"/>
      <c r="PH43" s="84"/>
      <c r="PI43" s="84"/>
      <c r="PJ43" s="84"/>
      <c r="PK43" s="84"/>
      <c r="PL43" s="84"/>
      <c r="PM43" s="84"/>
      <c r="PN43" s="84"/>
      <c r="PO43" s="84"/>
      <c r="PP43" s="84"/>
      <c r="PQ43" s="84"/>
      <c r="PR43" s="84"/>
      <c r="PS43" s="84"/>
      <c r="PT43" s="84"/>
      <c r="PU43" s="84"/>
      <c r="PV43" s="84"/>
      <c r="PW43" s="84"/>
      <c r="PX43" s="84"/>
      <c r="PY43" s="84"/>
      <c r="PZ43" s="84"/>
      <c r="QA43" s="84"/>
      <c r="QB43" s="84"/>
      <c r="QC43" s="84"/>
    </row>
    <row r="44" spans="1:445" s="85" customFormat="1" ht="15" x14ac:dyDescent="0.25">
      <c r="A44" s="92">
        <v>27</v>
      </c>
      <c r="B44" s="87"/>
      <c r="C44" s="96"/>
      <c r="D44" s="94"/>
      <c r="E44" s="82"/>
      <c r="F44" s="83"/>
      <c r="G44" s="54"/>
      <c r="H44" s="54"/>
      <c r="I44" s="54"/>
      <c r="J44" s="54"/>
      <c r="K44" s="54"/>
      <c r="L44" s="54"/>
      <c r="M44" s="46"/>
      <c r="N44" s="46"/>
      <c r="O44" s="46"/>
      <c r="P44" s="46"/>
      <c r="Q44" s="46"/>
      <c r="R44" s="46"/>
      <c r="S44" s="46"/>
      <c r="T44" s="89"/>
      <c r="U44" s="90"/>
      <c r="V44" s="90"/>
      <c r="W44" s="91"/>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BM44" s="84"/>
      <c r="BN44" s="84"/>
      <c r="BO44" s="84"/>
      <c r="BP44" s="84"/>
      <c r="BQ44" s="84"/>
      <c r="BR44" s="84"/>
      <c r="BS44" s="84"/>
      <c r="BT44" s="84"/>
      <c r="BU44" s="84"/>
      <c r="BV44" s="84"/>
      <c r="BW44" s="84"/>
      <c r="BX44" s="84"/>
      <c r="BY44" s="84"/>
      <c r="BZ44" s="84"/>
      <c r="CA44" s="84"/>
      <c r="CB44" s="84"/>
      <c r="CC44" s="84"/>
      <c r="CD44" s="84"/>
      <c r="CE44" s="84"/>
      <c r="CF44" s="84"/>
      <c r="CG44" s="84"/>
      <c r="CH44" s="84"/>
      <c r="CI44" s="84"/>
      <c r="CJ44" s="84"/>
      <c r="CK44" s="84"/>
      <c r="CL44" s="84"/>
      <c r="CM44" s="84"/>
      <c r="CN44" s="84"/>
      <c r="CO44" s="84"/>
      <c r="CP44" s="84"/>
      <c r="CQ44" s="84"/>
      <c r="CR44" s="84"/>
      <c r="CS44" s="84"/>
      <c r="CT44" s="84"/>
      <c r="CU44" s="84"/>
      <c r="CV44" s="84"/>
      <c r="CW44" s="84"/>
      <c r="CX44" s="84"/>
      <c r="CY44" s="84"/>
      <c r="CZ44" s="84"/>
      <c r="DA44" s="84"/>
      <c r="DB44" s="84"/>
      <c r="DC44" s="84"/>
      <c r="DD44" s="84"/>
      <c r="DE44" s="84"/>
      <c r="DF44" s="84"/>
      <c r="DG44" s="84"/>
      <c r="DH44" s="84"/>
      <c r="DI44" s="84"/>
      <c r="DJ44" s="84"/>
      <c r="DK44" s="84"/>
      <c r="DL44" s="84"/>
      <c r="DM44" s="84"/>
      <c r="DN44" s="84"/>
      <c r="DO44" s="84"/>
      <c r="DP44" s="84"/>
      <c r="DQ44" s="84"/>
      <c r="DR44" s="84"/>
      <c r="DS44" s="84"/>
      <c r="DT44" s="84"/>
      <c r="DU44" s="84"/>
      <c r="DV44" s="84"/>
      <c r="DW44" s="84"/>
      <c r="DX44" s="84"/>
      <c r="DY44" s="84"/>
      <c r="DZ44" s="84"/>
      <c r="EA44" s="84"/>
      <c r="EB44" s="84"/>
      <c r="EC44" s="84"/>
      <c r="ED44" s="84"/>
      <c r="EE44" s="84"/>
      <c r="EF44" s="84"/>
      <c r="EG44" s="84"/>
      <c r="EH44" s="84"/>
      <c r="EI44" s="84"/>
      <c r="EJ44" s="84"/>
      <c r="EK44" s="84"/>
      <c r="EL44" s="84"/>
      <c r="EM44" s="84"/>
      <c r="EN44" s="84"/>
      <c r="EO44" s="84"/>
      <c r="EP44" s="84"/>
      <c r="EQ44" s="84"/>
      <c r="ER44" s="84"/>
      <c r="ES44" s="84"/>
      <c r="ET44" s="84"/>
      <c r="EU44" s="84"/>
      <c r="EV44" s="84"/>
      <c r="EW44" s="84"/>
      <c r="EX44" s="84"/>
      <c r="EY44" s="84"/>
      <c r="EZ44" s="84"/>
      <c r="FA44" s="84"/>
      <c r="FB44" s="84"/>
      <c r="FC44" s="84"/>
      <c r="FD44" s="84"/>
      <c r="FE44" s="84"/>
      <c r="FF44" s="84"/>
      <c r="FG44" s="84"/>
      <c r="FH44" s="84"/>
      <c r="FI44" s="84"/>
      <c r="FJ44" s="84"/>
      <c r="FK44" s="84"/>
      <c r="FL44" s="84"/>
      <c r="FM44" s="84"/>
      <c r="FN44" s="84"/>
      <c r="FO44" s="84"/>
      <c r="FP44" s="84"/>
      <c r="FQ44" s="84"/>
      <c r="FR44" s="84"/>
      <c r="FS44" s="84"/>
      <c r="FT44" s="84"/>
      <c r="FU44" s="84"/>
      <c r="FV44" s="84"/>
      <c r="FW44" s="84"/>
      <c r="FX44" s="84"/>
      <c r="FY44" s="84"/>
      <c r="FZ44" s="84"/>
      <c r="GA44" s="84"/>
      <c r="GB44" s="84"/>
      <c r="GC44" s="84"/>
      <c r="GD44" s="84"/>
      <c r="GE44" s="84"/>
      <c r="GF44" s="84"/>
      <c r="GG44" s="84"/>
      <c r="GH44" s="84"/>
      <c r="GI44" s="84"/>
      <c r="GJ44" s="84"/>
      <c r="GK44" s="84"/>
      <c r="GL44" s="84"/>
      <c r="GM44" s="84"/>
      <c r="GN44" s="84"/>
      <c r="GO44" s="84"/>
      <c r="GP44" s="84"/>
      <c r="GQ44" s="84"/>
      <c r="GR44" s="84"/>
      <c r="GS44" s="84"/>
      <c r="GT44" s="84"/>
      <c r="GU44" s="84"/>
      <c r="GV44" s="84"/>
      <c r="GW44" s="84"/>
      <c r="GX44" s="84"/>
      <c r="GY44" s="84"/>
      <c r="GZ44" s="84"/>
      <c r="HA44" s="84"/>
      <c r="HB44" s="84"/>
      <c r="HC44" s="84"/>
      <c r="HD44" s="84"/>
      <c r="HE44" s="84"/>
      <c r="HF44" s="84"/>
      <c r="HG44" s="84"/>
      <c r="HH44" s="84"/>
      <c r="HI44" s="84"/>
      <c r="HJ44" s="84"/>
      <c r="HK44" s="84"/>
      <c r="HL44" s="84"/>
      <c r="HM44" s="84"/>
      <c r="HN44" s="84"/>
      <c r="HO44" s="84"/>
      <c r="HP44" s="84"/>
      <c r="HQ44" s="84"/>
      <c r="HR44" s="84"/>
      <c r="HS44" s="84"/>
      <c r="HT44" s="84"/>
      <c r="HU44" s="84"/>
      <c r="HV44" s="84"/>
      <c r="HW44" s="84"/>
      <c r="HX44" s="84"/>
      <c r="HY44" s="84"/>
      <c r="HZ44" s="84"/>
      <c r="IA44" s="84"/>
      <c r="IB44" s="84"/>
      <c r="IC44" s="84"/>
      <c r="ID44" s="84"/>
      <c r="IE44" s="84"/>
      <c r="IF44" s="84"/>
      <c r="IG44" s="84"/>
      <c r="IH44" s="84"/>
      <c r="II44" s="84"/>
      <c r="IJ44" s="84"/>
      <c r="IK44" s="84"/>
      <c r="IL44" s="84"/>
      <c r="IM44" s="84"/>
      <c r="IN44" s="84"/>
      <c r="IO44" s="84"/>
      <c r="IP44" s="84"/>
      <c r="IQ44" s="84"/>
      <c r="IR44" s="84"/>
      <c r="IS44" s="84"/>
      <c r="IT44" s="84"/>
      <c r="IU44" s="84"/>
      <c r="IV44" s="84"/>
      <c r="IW44" s="84"/>
      <c r="IX44" s="84"/>
      <c r="IY44" s="84"/>
      <c r="IZ44" s="84"/>
      <c r="JA44" s="84"/>
      <c r="JB44" s="84"/>
      <c r="JC44" s="84"/>
      <c r="JD44" s="84"/>
      <c r="JE44" s="84"/>
      <c r="JF44" s="84"/>
      <c r="JG44" s="84"/>
      <c r="JH44" s="84"/>
      <c r="JI44" s="84"/>
      <c r="JJ44" s="84"/>
      <c r="JK44" s="84"/>
      <c r="JL44" s="84"/>
      <c r="JM44" s="84"/>
      <c r="JN44" s="84"/>
      <c r="JO44" s="84"/>
      <c r="JP44" s="84"/>
      <c r="JQ44" s="84"/>
      <c r="JR44" s="84"/>
      <c r="JS44" s="84"/>
      <c r="JT44" s="84"/>
      <c r="JU44" s="84"/>
      <c r="JV44" s="84"/>
      <c r="JW44" s="84"/>
      <c r="JX44" s="84"/>
      <c r="JY44" s="84"/>
      <c r="JZ44" s="84"/>
      <c r="KA44" s="84"/>
      <c r="KB44" s="84"/>
      <c r="KC44" s="84"/>
      <c r="KD44" s="84"/>
      <c r="KE44" s="84"/>
      <c r="KF44" s="84"/>
      <c r="KG44" s="84"/>
      <c r="KH44" s="84"/>
      <c r="KI44" s="84"/>
      <c r="KJ44" s="84"/>
      <c r="KK44" s="84"/>
      <c r="KL44" s="84"/>
      <c r="KM44" s="84"/>
      <c r="KN44" s="84"/>
      <c r="KO44" s="84"/>
      <c r="KP44" s="84"/>
      <c r="KQ44" s="84"/>
      <c r="KR44" s="84"/>
      <c r="KS44" s="84"/>
      <c r="KT44" s="84"/>
      <c r="KU44" s="84"/>
      <c r="KV44" s="84"/>
      <c r="KW44" s="84"/>
      <c r="KX44" s="84"/>
      <c r="KY44" s="84"/>
      <c r="KZ44" s="84"/>
      <c r="LA44" s="84"/>
      <c r="LB44" s="84"/>
      <c r="LC44" s="84"/>
      <c r="LD44" s="84"/>
      <c r="LE44" s="84"/>
      <c r="LF44" s="84"/>
      <c r="LG44" s="84"/>
      <c r="LH44" s="84"/>
      <c r="LI44" s="84"/>
      <c r="LJ44" s="84"/>
      <c r="LK44" s="84"/>
      <c r="LL44" s="84"/>
      <c r="LM44" s="84"/>
      <c r="LN44" s="84"/>
      <c r="LO44" s="84"/>
      <c r="LP44" s="84"/>
      <c r="LQ44" s="84"/>
      <c r="LR44" s="84"/>
      <c r="LS44" s="84"/>
      <c r="LT44" s="84"/>
      <c r="LU44" s="84"/>
      <c r="LV44" s="84"/>
      <c r="LW44" s="84"/>
      <c r="LX44" s="84"/>
      <c r="LY44" s="84"/>
      <c r="LZ44" s="84"/>
      <c r="MA44" s="84"/>
      <c r="MB44" s="84"/>
      <c r="MC44" s="84"/>
      <c r="MD44" s="84"/>
      <c r="ME44" s="84"/>
      <c r="MF44" s="84"/>
      <c r="MG44" s="84"/>
      <c r="MH44" s="84"/>
      <c r="MI44" s="84"/>
      <c r="MJ44" s="84"/>
      <c r="MK44" s="84"/>
      <c r="ML44" s="84"/>
      <c r="MM44" s="84"/>
      <c r="MN44" s="84"/>
      <c r="MO44" s="84"/>
      <c r="MP44" s="84"/>
      <c r="MQ44" s="84"/>
      <c r="MR44" s="84"/>
      <c r="MS44" s="84"/>
      <c r="MT44" s="84"/>
      <c r="MU44" s="84"/>
      <c r="MV44" s="84"/>
      <c r="MW44" s="84"/>
      <c r="MX44" s="84"/>
      <c r="MY44" s="84"/>
      <c r="MZ44" s="84"/>
      <c r="NA44" s="84"/>
      <c r="NB44" s="84"/>
      <c r="NC44" s="84"/>
      <c r="ND44" s="84"/>
      <c r="NE44" s="84"/>
      <c r="NF44" s="84"/>
      <c r="NG44" s="84"/>
      <c r="NH44" s="84"/>
      <c r="NI44" s="84"/>
      <c r="NJ44" s="84"/>
      <c r="NK44" s="84"/>
      <c r="NL44" s="84"/>
      <c r="NM44" s="84"/>
      <c r="NN44" s="84"/>
      <c r="NO44" s="84"/>
      <c r="NP44" s="84"/>
      <c r="NQ44" s="84"/>
      <c r="NR44" s="84"/>
      <c r="NS44" s="84"/>
      <c r="NT44" s="84"/>
      <c r="NU44" s="84"/>
      <c r="NV44" s="84"/>
      <c r="NW44" s="84"/>
      <c r="NX44" s="84"/>
      <c r="NY44" s="84"/>
      <c r="NZ44" s="84"/>
      <c r="OA44" s="84"/>
      <c r="OB44" s="84"/>
      <c r="OC44" s="84"/>
      <c r="OD44" s="84"/>
      <c r="OE44" s="84"/>
      <c r="OF44" s="84"/>
      <c r="OG44" s="84"/>
      <c r="OH44" s="84"/>
      <c r="OI44" s="84"/>
      <c r="OJ44" s="84"/>
      <c r="OK44" s="84"/>
      <c r="OL44" s="84"/>
      <c r="OM44" s="84"/>
      <c r="ON44" s="84"/>
      <c r="OO44" s="84"/>
      <c r="OP44" s="84"/>
      <c r="OQ44" s="84"/>
      <c r="OR44" s="84"/>
      <c r="OS44" s="84"/>
      <c r="OT44" s="84"/>
      <c r="OU44" s="84"/>
      <c r="OV44" s="84"/>
      <c r="OW44" s="84"/>
      <c r="OX44" s="84"/>
      <c r="OY44" s="84"/>
      <c r="OZ44" s="84"/>
      <c r="PA44" s="84"/>
      <c r="PB44" s="84"/>
      <c r="PC44" s="84"/>
      <c r="PD44" s="84"/>
      <c r="PE44" s="84"/>
      <c r="PF44" s="84"/>
      <c r="PG44" s="84"/>
      <c r="PH44" s="84"/>
      <c r="PI44" s="84"/>
      <c r="PJ44" s="84"/>
      <c r="PK44" s="84"/>
      <c r="PL44" s="84"/>
      <c r="PM44" s="84"/>
      <c r="PN44" s="84"/>
      <c r="PO44" s="84"/>
      <c r="PP44" s="84"/>
      <c r="PQ44" s="84"/>
      <c r="PR44" s="84"/>
      <c r="PS44" s="84"/>
      <c r="PT44" s="84"/>
      <c r="PU44" s="84"/>
      <c r="PV44" s="84"/>
      <c r="PW44" s="84"/>
      <c r="PX44" s="84"/>
      <c r="PY44" s="84"/>
      <c r="PZ44" s="84"/>
      <c r="QA44" s="84"/>
      <c r="QB44" s="84"/>
      <c r="QC44" s="84"/>
    </row>
    <row r="45" spans="1:445" s="85" customFormat="1" ht="15" x14ac:dyDescent="0.25">
      <c r="A45" s="92">
        <v>27</v>
      </c>
      <c r="B45" s="87"/>
      <c r="C45" s="88"/>
      <c r="D45" s="94"/>
      <c r="E45" s="82"/>
      <c r="F45" s="83"/>
      <c r="G45" s="54"/>
      <c r="H45" s="54"/>
      <c r="I45" s="54"/>
      <c r="J45" s="54"/>
      <c r="K45" s="54"/>
      <c r="L45" s="54"/>
      <c r="M45" s="46"/>
      <c r="N45" s="46"/>
      <c r="O45" s="46"/>
      <c r="P45" s="46"/>
      <c r="Q45" s="46"/>
      <c r="R45" s="46"/>
      <c r="S45" s="46"/>
      <c r="T45" s="89"/>
      <c r="U45" s="90"/>
      <c r="V45" s="90"/>
      <c r="W45" s="91"/>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BM45" s="84"/>
      <c r="BN45" s="84"/>
      <c r="BO45" s="84"/>
      <c r="BP45" s="84"/>
      <c r="BQ45" s="84"/>
      <c r="BR45" s="84"/>
      <c r="BS45" s="84"/>
      <c r="BT45" s="84"/>
      <c r="BU45" s="84"/>
      <c r="BV45" s="84"/>
      <c r="BW45" s="84"/>
      <c r="BX45" s="84"/>
      <c r="BY45" s="84"/>
      <c r="BZ45" s="84"/>
      <c r="CA45" s="84"/>
      <c r="CB45" s="84"/>
      <c r="CC45" s="84"/>
      <c r="CD45" s="84"/>
      <c r="CE45" s="84"/>
      <c r="CF45" s="84"/>
      <c r="CG45" s="84"/>
      <c r="CH45" s="84"/>
      <c r="CI45" s="84"/>
      <c r="CJ45" s="84"/>
      <c r="CK45" s="84"/>
      <c r="CL45" s="84"/>
      <c r="CM45" s="84"/>
      <c r="CN45" s="84"/>
      <c r="CO45" s="84"/>
      <c r="CP45" s="84"/>
      <c r="CQ45" s="84"/>
      <c r="CR45" s="84"/>
      <c r="CS45" s="84"/>
      <c r="CT45" s="84"/>
      <c r="CU45" s="84"/>
      <c r="CV45" s="84"/>
      <c r="CW45" s="84"/>
      <c r="CX45" s="84"/>
      <c r="CY45" s="84"/>
      <c r="CZ45" s="84"/>
      <c r="DA45" s="84"/>
      <c r="DB45" s="84"/>
      <c r="DC45" s="84"/>
      <c r="DD45" s="84"/>
      <c r="DE45" s="84"/>
      <c r="DF45" s="84"/>
      <c r="DG45" s="84"/>
      <c r="DH45" s="84"/>
      <c r="DI45" s="84"/>
      <c r="DJ45" s="84"/>
      <c r="DK45" s="84"/>
      <c r="DL45" s="84"/>
      <c r="DM45" s="84"/>
      <c r="DN45" s="84"/>
      <c r="DO45" s="84"/>
      <c r="DP45" s="84"/>
      <c r="DQ45" s="84"/>
      <c r="DR45" s="84"/>
      <c r="DS45" s="84"/>
      <c r="DT45" s="84"/>
      <c r="DU45" s="84"/>
      <c r="DV45" s="84"/>
      <c r="DW45" s="84"/>
      <c r="DX45" s="84"/>
      <c r="DY45" s="84"/>
      <c r="DZ45" s="84"/>
      <c r="EA45" s="84"/>
      <c r="EB45" s="84"/>
      <c r="EC45" s="84"/>
      <c r="ED45" s="84"/>
      <c r="EE45" s="84"/>
      <c r="EF45" s="84"/>
      <c r="EG45" s="84"/>
      <c r="EH45" s="84"/>
      <c r="EI45" s="84"/>
      <c r="EJ45" s="84"/>
      <c r="EK45" s="84"/>
      <c r="EL45" s="84"/>
      <c r="EM45" s="84"/>
      <c r="EN45" s="84"/>
      <c r="EO45" s="84"/>
      <c r="EP45" s="84"/>
      <c r="EQ45" s="84"/>
      <c r="ER45" s="84"/>
      <c r="ES45" s="84"/>
      <c r="ET45" s="84"/>
      <c r="EU45" s="84"/>
      <c r="EV45" s="84"/>
      <c r="EW45" s="84"/>
      <c r="EX45" s="84"/>
      <c r="EY45" s="84"/>
      <c r="EZ45" s="84"/>
      <c r="FA45" s="84"/>
      <c r="FB45" s="84"/>
      <c r="FC45" s="84"/>
      <c r="FD45" s="84"/>
      <c r="FE45" s="84"/>
      <c r="FF45" s="84"/>
      <c r="FG45" s="84"/>
      <c r="FH45" s="84"/>
      <c r="FI45" s="84"/>
      <c r="FJ45" s="84"/>
      <c r="FK45" s="84"/>
      <c r="FL45" s="84"/>
      <c r="FM45" s="84"/>
      <c r="FN45" s="84"/>
      <c r="FO45" s="84"/>
      <c r="FP45" s="84"/>
      <c r="FQ45" s="84"/>
      <c r="FR45" s="84"/>
      <c r="FS45" s="84"/>
      <c r="FT45" s="84"/>
      <c r="FU45" s="84"/>
      <c r="FV45" s="84"/>
      <c r="FW45" s="84"/>
      <c r="FX45" s="84"/>
      <c r="FY45" s="84"/>
      <c r="FZ45" s="84"/>
      <c r="GA45" s="84"/>
      <c r="GB45" s="84"/>
      <c r="GC45" s="84"/>
      <c r="GD45" s="84"/>
      <c r="GE45" s="84"/>
      <c r="GF45" s="84"/>
      <c r="GG45" s="84"/>
      <c r="GH45" s="84"/>
      <c r="GI45" s="84"/>
      <c r="GJ45" s="84"/>
      <c r="GK45" s="84"/>
      <c r="GL45" s="84"/>
      <c r="GM45" s="84"/>
      <c r="GN45" s="84"/>
      <c r="GO45" s="84"/>
      <c r="GP45" s="84"/>
      <c r="GQ45" s="84"/>
      <c r="GR45" s="84"/>
      <c r="GS45" s="84"/>
      <c r="GT45" s="84"/>
      <c r="GU45" s="84"/>
      <c r="GV45" s="84"/>
      <c r="GW45" s="84"/>
      <c r="GX45" s="84"/>
      <c r="GY45" s="84"/>
      <c r="GZ45" s="84"/>
      <c r="HA45" s="84"/>
      <c r="HB45" s="84"/>
      <c r="HC45" s="84"/>
      <c r="HD45" s="84"/>
      <c r="HE45" s="84"/>
      <c r="HF45" s="84"/>
      <c r="HG45" s="84"/>
      <c r="HH45" s="84"/>
      <c r="HI45" s="84"/>
      <c r="HJ45" s="84"/>
      <c r="HK45" s="84"/>
      <c r="HL45" s="84"/>
      <c r="HM45" s="84"/>
      <c r="HN45" s="84"/>
      <c r="HO45" s="84"/>
      <c r="HP45" s="84"/>
      <c r="HQ45" s="84"/>
      <c r="HR45" s="84"/>
      <c r="HS45" s="84"/>
      <c r="HT45" s="84"/>
      <c r="HU45" s="84"/>
      <c r="HV45" s="84"/>
      <c r="HW45" s="84"/>
      <c r="HX45" s="84"/>
      <c r="HY45" s="84"/>
      <c r="HZ45" s="84"/>
      <c r="IA45" s="84"/>
      <c r="IB45" s="84"/>
      <c r="IC45" s="84"/>
      <c r="ID45" s="84"/>
      <c r="IE45" s="84"/>
      <c r="IF45" s="84"/>
      <c r="IG45" s="84"/>
      <c r="IH45" s="84"/>
      <c r="II45" s="84"/>
      <c r="IJ45" s="84"/>
      <c r="IK45" s="84"/>
      <c r="IL45" s="84"/>
      <c r="IM45" s="84"/>
      <c r="IN45" s="84"/>
      <c r="IO45" s="84"/>
      <c r="IP45" s="84"/>
      <c r="IQ45" s="84"/>
      <c r="IR45" s="84"/>
      <c r="IS45" s="84"/>
      <c r="IT45" s="84"/>
      <c r="IU45" s="84"/>
      <c r="IV45" s="84"/>
      <c r="IW45" s="84"/>
      <c r="IX45" s="84"/>
      <c r="IY45" s="84"/>
      <c r="IZ45" s="84"/>
      <c r="JA45" s="84"/>
      <c r="JB45" s="84"/>
      <c r="JC45" s="84"/>
      <c r="JD45" s="84"/>
      <c r="JE45" s="84"/>
      <c r="JF45" s="84"/>
      <c r="JG45" s="84"/>
      <c r="JH45" s="84"/>
      <c r="JI45" s="84"/>
      <c r="JJ45" s="84"/>
      <c r="JK45" s="84"/>
      <c r="JL45" s="84"/>
      <c r="JM45" s="84"/>
      <c r="JN45" s="84"/>
      <c r="JO45" s="84"/>
      <c r="JP45" s="84"/>
      <c r="JQ45" s="84"/>
      <c r="JR45" s="84"/>
      <c r="JS45" s="84"/>
      <c r="JT45" s="84"/>
      <c r="JU45" s="84"/>
      <c r="JV45" s="84"/>
      <c r="JW45" s="84"/>
      <c r="JX45" s="84"/>
      <c r="JY45" s="84"/>
      <c r="JZ45" s="84"/>
      <c r="KA45" s="84"/>
      <c r="KB45" s="84"/>
      <c r="KC45" s="84"/>
      <c r="KD45" s="84"/>
      <c r="KE45" s="84"/>
      <c r="KF45" s="84"/>
      <c r="KG45" s="84"/>
      <c r="KH45" s="84"/>
      <c r="KI45" s="84"/>
      <c r="KJ45" s="84"/>
      <c r="KK45" s="84"/>
      <c r="KL45" s="84"/>
      <c r="KM45" s="84"/>
      <c r="KN45" s="84"/>
      <c r="KO45" s="84"/>
      <c r="KP45" s="84"/>
      <c r="KQ45" s="84"/>
      <c r="KR45" s="84"/>
      <c r="KS45" s="84"/>
      <c r="KT45" s="84"/>
      <c r="KU45" s="84"/>
      <c r="KV45" s="84"/>
      <c r="KW45" s="84"/>
      <c r="KX45" s="84"/>
      <c r="KY45" s="84"/>
      <c r="KZ45" s="84"/>
      <c r="LA45" s="84"/>
      <c r="LB45" s="84"/>
      <c r="LC45" s="84"/>
      <c r="LD45" s="84"/>
      <c r="LE45" s="84"/>
      <c r="LF45" s="84"/>
      <c r="LG45" s="84"/>
      <c r="LH45" s="84"/>
      <c r="LI45" s="84"/>
      <c r="LJ45" s="84"/>
      <c r="LK45" s="84"/>
      <c r="LL45" s="84"/>
      <c r="LM45" s="84"/>
      <c r="LN45" s="84"/>
      <c r="LO45" s="84"/>
      <c r="LP45" s="84"/>
      <c r="LQ45" s="84"/>
      <c r="LR45" s="84"/>
      <c r="LS45" s="84"/>
      <c r="LT45" s="84"/>
      <c r="LU45" s="84"/>
      <c r="LV45" s="84"/>
      <c r="LW45" s="84"/>
      <c r="LX45" s="84"/>
      <c r="LY45" s="84"/>
      <c r="LZ45" s="84"/>
      <c r="MA45" s="84"/>
      <c r="MB45" s="84"/>
      <c r="MC45" s="84"/>
      <c r="MD45" s="84"/>
      <c r="ME45" s="84"/>
      <c r="MF45" s="84"/>
      <c r="MG45" s="84"/>
      <c r="MH45" s="84"/>
      <c r="MI45" s="84"/>
      <c r="MJ45" s="84"/>
      <c r="MK45" s="84"/>
      <c r="ML45" s="84"/>
      <c r="MM45" s="84"/>
      <c r="MN45" s="84"/>
      <c r="MO45" s="84"/>
      <c r="MP45" s="84"/>
      <c r="MQ45" s="84"/>
      <c r="MR45" s="84"/>
      <c r="MS45" s="84"/>
      <c r="MT45" s="84"/>
      <c r="MU45" s="84"/>
      <c r="MV45" s="84"/>
      <c r="MW45" s="84"/>
      <c r="MX45" s="84"/>
      <c r="MY45" s="84"/>
      <c r="MZ45" s="84"/>
      <c r="NA45" s="84"/>
      <c r="NB45" s="84"/>
      <c r="NC45" s="84"/>
      <c r="ND45" s="84"/>
      <c r="NE45" s="84"/>
      <c r="NF45" s="84"/>
      <c r="NG45" s="84"/>
      <c r="NH45" s="84"/>
      <c r="NI45" s="84"/>
      <c r="NJ45" s="84"/>
      <c r="NK45" s="84"/>
      <c r="NL45" s="84"/>
      <c r="NM45" s="84"/>
      <c r="NN45" s="84"/>
      <c r="NO45" s="84"/>
      <c r="NP45" s="84"/>
      <c r="NQ45" s="84"/>
      <c r="NR45" s="84"/>
      <c r="NS45" s="84"/>
      <c r="NT45" s="84"/>
      <c r="NU45" s="84"/>
      <c r="NV45" s="84"/>
      <c r="NW45" s="84"/>
      <c r="NX45" s="84"/>
      <c r="NY45" s="84"/>
      <c r="NZ45" s="84"/>
      <c r="OA45" s="84"/>
      <c r="OB45" s="84"/>
      <c r="OC45" s="84"/>
      <c r="OD45" s="84"/>
      <c r="OE45" s="84"/>
      <c r="OF45" s="84"/>
      <c r="OG45" s="84"/>
      <c r="OH45" s="84"/>
      <c r="OI45" s="84"/>
      <c r="OJ45" s="84"/>
      <c r="OK45" s="84"/>
      <c r="OL45" s="84"/>
      <c r="OM45" s="84"/>
      <c r="ON45" s="84"/>
      <c r="OO45" s="84"/>
      <c r="OP45" s="84"/>
      <c r="OQ45" s="84"/>
      <c r="OR45" s="84"/>
      <c r="OS45" s="84"/>
      <c r="OT45" s="84"/>
      <c r="OU45" s="84"/>
      <c r="OV45" s="84"/>
      <c r="OW45" s="84"/>
      <c r="OX45" s="84"/>
      <c r="OY45" s="84"/>
      <c r="OZ45" s="84"/>
      <c r="PA45" s="84"/>
      <c r="PB45" s="84"/>
      <c r="PC45" s="84"/>
      <c r="PD45" s="84"/>
      <c r="PE45" s="84"/>
      <c r="PF45" s="84"/>
      <c r="PG45" s="84"/>
      <c r="PH45" s="84"/>
      <c r="PI45" s="84"/>
      <c r="PJ45" s="84"/>
      <c r="PK45" s="84"/>
      <c r="PL45" s="84"/>
      <c r="PM45" s="84"/>
      <c r="PN45" s="84"/>
      <c r="PO45" s="84"/>
      <c r="PP45" s="84"/>
      <c r="PQ45" s="84"/>
      <c r="PR45" s="84"/>
      <c r="PS45" s="84"/>
      <c r="PT45" s="84"/>
      <c r="PU45" s="84"/>
      <c r="PV45" s="84"/>
      <c r="PW45" s="84"/>
      <c r="PX45" s="84"/>
      <c r="PY45" s="84"/>
      <c r="PZ45" s="84"/>
      <c r="QA45" s="84"/>
      <c r="QB45" s="84"/>
      <c r="QC45" s="84"/>
    </row>
    <row r="46" spans="1:445" s="85" customFormat="1" ht="15" x14ac:dyDescent="0.25">
      <c r="A46" s="92">
        <v>27</v>
      </c>
      <c r="B46" s="97"/>
      <c r="C46" s="109"/>
      <c r="D46" s="98"/>
      <c r="E46" s="99"/>
      <c r="F46" s="100"/>
      <c r="G46" s="54"/>
      <c r="H46" s="54"/>
      <c r="I46" s="54"/>
      <c r="J46" s="54"/>
      <c r="K46" s="54"/>
      <c r="L46" s="54"/>
      <c r="M46" s="46"/>
      <c r="N46" s="46"/>
      <c r="O46" s="46"/>
      <c r="P46" s="46"/>
      <c r="Q46" s="46"/>
      <c r="R46" s="46"/>
      <c r="S46" s="46"/>
      <c r="T46" s="89"/>
      <c r="U46" s="90"/>
      <c r="V46" s="90"/>
      <c r="W46" s="91"/>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84"/>
      <c r="AV46" s="84"/>
      <c r="AW46" s="84"/>
      <c r="AX46" s="84"/>
      <c r="AY46" s="84"/>
      <c r="AZ46" s="84"/>
      <c r="BA46" s="84"/>
      <c r="BB46" s="84"/>
      <c r="BC46" s="84"/>
      <c r="BD46" s="84"/>
      <c r="BE46" s="84"/>
      <c r="BF46" s="84"/>
      <c r="BG46" s="84"/>
      <c r="BH46" s="84"/>
      <c r="BI46" s="84"/>
      <c r="BJ46" s="84"/>
      <c r="BK46" s="84"/>
      <c r="BL46" s="84"/>
      <c r="BM46" s="84"/>
      <c r="BN46" s="84"/>
      <c r="BO46" s="84"/>
      <c r="BP46" s="84"/>
      <c r="BQ46" s="84"/>
      <c r="BR46" s="84"/>
      <c r="BS46" s="84"/>
      <c r="BT46" s="84"/>
      <c r="BU46" s="84"/>
      <c r="BV46" s="84"/>
      <c r="BW46" s="84"/>
      <c r="BX46" s="84"/>
      <c r="BY46" s="84"/>
      <c r="BZ46" s="84"/>
      <c r="CA46" s="84"/>
      <c r="CB46" s="84"/>
      <c r="CC46" s="84"/>
      <c r="CD46" s="84"/>
      <c r="CE46" s="84"/>
      <c r="CF46" s="84"/>
      <c r="CG46" s="84"/>
      <c r="CH46" s="84"/>
      <c r="CI46" s="84"/>
      <c r="CJ46" s="84"/>
      <c r="CK46" s="84"/>
      <c r="CL46" s="84"/>
      <c r="CM46" s="84"/>
      <c r="CN46" s="84"/>
      <c r="CO46" s="84"/>
      <c r="CP46" s="84"/>
      <c r="CQ46" s="84"/>
      <c r="CR46" s="84"/>
      <c r="CS46" s="84"/>
      <c r="CT46" s="84"/>
      <c r="CU46" s="84"/>
      <c r="CV46" s="84"/>
      <c r="CW46" s="84"/>
      <c r="CX46" s="84"/>
      <c r="CY46" s="84"/>
      <c r="CZ46" s="84"/>
      <c r="DA46" s="84"/>
      <c r="DB46" s="84"/>
      <c r="DC46" s="84"/>
      <c r="DD46" s="84"/>
      <c r="DE46" s="84"/>
      <c r="DF46" s="84"/>
      <c r="DG46" s="84"/>
      <c r="DH46" s="84"/>
      <c r="DI46" s="84"/>
      <c r="DJ46" s="84"/>
      <c r="DK46" s="84"/>
      <c r="DL46" s="84"/>
      <c r="DM46" s="84"/>
      <c r="DN46" s="84"/>
      <c r="DO46" s="84"/>
      <c r="DP46" s="84"/>
      <c r="DQ46" s="84"/>
      <c r="DR46" s="84"/>
      <c r="DS46" s="84"/>
      <c r="DT46" s="84"/>
      <c r="DU46" s="84"/>
      <c r="DV46" s="84"/>
      <c r="DW46" s="84"/>
      <c r="DX46" s="84"/>
      <c r="DY46" s="84"/>
      <c r="DZ46" s="84"/>
      <c r="EA46" s="84"/>
      <c r="EB46" s="84"/>
      <c r="EC46" s="84"/>
      <c r="ED46" s="84"/>
      <c r="EE46" s="84"/>
      <c r="EF46" s="84"/>
      <c r="EG46" s="84"/>
      <c r="EH46" s="84"/>
      <c r="EI46" s="84"/>
      <c r="EJ46" s="84"/>
      <c r="EK46" s="84"/>
      <c r="EL46" s="84"/>
      <c r="EM46" s="84"/>
      <c r="EN46" s="84"/>
      <c r="EO46" s="84"/>
      <c r="EP46" s="84"/>
      <c r="EQ46" s="84"/>
      <c r="ER46" s="84"/>
      <c r="ES46" s="84"/>
      <c r="ET46" s="84"/>
      <c r="EU46" s="84"/>
      <c r="EV46" s="84"/>
      <c r="EW46" s="84"/>
      <c r="EX46" s="84"/>
      <c r="EY46" s="84"/>
      <c r="EZ46" s="84"/>
      <c r="FA46" s="84"/>
      <c r="FB46" s="84"/>
      <c r="FC46" s="84"/>
      <c r="FD46" s="84"/>
      <c r="FE46" s="84"/>
      <c r="FF46" s="84"/>
      <c r="FG46" s="84"/>
      <c r="FH46" s="84"/>
      <c r="FI46" s="84"/>
      <c r="FJ46" s="84"/>
      <c r="FK46" s="84"/>
      <c r="FL46" s="84"/>
      <c r="FM46" s="84"/>
      <c r="FN46" s="84"/>
      <c r="FO46" s="84"/>
      <c r="FP46" s="84"/>
      <c r="FQ46" s="84"/>
      <c r="FR46" s="84"/>
      <c r="FS46" s="84"/>
      <c r="FT46" s="84"/>
      <c r="FU46" s="84"/>
      <c r="FV46" s="84"/>
      <c r="FW46" s="84"/>
      <c r="FX46" s="84"/>
      <c r="FY46" s="84"/>
      <c r="FZ46" s="84"/>
      <c r="GA46" s="84"/>
      <c r="GB46" s="84"/>
      <c r="GC46" s="84"/>
      <c r="GD46" s="84"/>
      <c r="GE46" s="84"/>
      <c r="GF46" s="84"/>
      <c r="GG46" s="84"/>
      <c r="GH46" s="84"/>
      <c r="GI46" s="84"/>
      <c r="GJ46" s="84"/>
      <c r="GK46" s="84"/>
      <c r="GL46" s="84"/>
      <c r="GM46" s="84"/>
      <c r="GN46" s="84"/>
      <c r="GO46" s="84"/>
      <c r="GP46" s="84"/>
      <c r="GQ46" s="84"/>
      <c r="GR46" s="84"/>
      <c r="GS46" s="84"/>
      <c r="GT46" s="84"/>
      <c r="GU46" s="84"/>
      <c r="GV46" s="84"/>
      <c r="GW46" s="84"/>
      <c r="GX46" s="84"/>
      <c r="GY46" s="84"/>
      <c r="GZ46" s="84"/>
      <c r="HA46" s="84"/>
      <c r="HB46" s="84"/>
      <c r="HC46" s="84"/>
      <c r="HD46" s="84"/>
      <c r="HE46" s="84"/>
      <c r="HF46" s="84"/>
      <c r="HG46" s="84"/>
      <c r="HH46" s="84"/>
      <c r="HI46" s="84"/>
      <c r="HJ46" s="84"/>
      <c r="HK46" s="84"/>
      <c r="HL46" s="84"/>
      <c r="HM46" s="84"/>
      <c r="HN46" s="84"/>
      <c r="HO46" s="84"/>
      <c r="HP46" s="84"/>
      <c r="HQ46" s="84"/>
      <c r="HR46" s="84"/>
      <c r="HS46" s="84"/>
      <c r="HT46" s="84"/>
      <c r="HU46" s="84"/>
      <c r="HV46" s="84"/>
      <c r="HW46" s="84"/>
      <c r="HX46" s="84"/>
      <c r="HY46" s="84"/>
      <c r="HZ46" s="84"/>
      <c r="IA46" s="84"/>
      <c r="IB46" s="84"/>
      <c r="IC46" s="84"/>
      <c r="ID46" s="84"/>
      <c r="IE46" s="84"/>
      <c r="IF46" s="84"/>
      <c r="IG46" s="84"/>
      <c r="IH46" s="84"/>
      <c r="II46" s="84"/>
      <c r="IJ46" s="84"/>
      <c r="IK46" s="84"/>
      <c r="IL46" s="84"/>
      <c r="IM46" s="84"/>
      <c r="IN46" s="84"/>
      <c r="IO46" s="84"/>
      <c r="IP46" s="84"/>
      <c r="IQ46" s="84"/>
      <c r="IR46" s="84"/>
      <c r="IS46" s="84"/>
      <c r="IT46" s="84"/>
      <c r="IU46" s="84"/>
      <c r="IV46" s="84"/>
      <c r="IW46" s="84"/>
      <c r="IX46" s="84"/>
      <c r="IY46" s="84"/>
      <c r="IZ46" s="84"/>
      <c r="JA46" s="84"/>
      <c r="JB46" s="84"/>
      <c r="JC46" s="84"/>
      <c r="JD46" s="84"/>
      <c r="JE46" s="84"/>
      <c r="JF46" s="84"/>
      <c r="JG46" s="84"/>
      <c r="JH46" s="84"/>
      <c r="JI46" s="84"/>
      <c r="JJ46" s="84"/>
      <c r="JK46" s="84"/>
      <c r="JL46" s="84"/>
      <c r="JM46" s="84"/>
      <c r="JN46" s="84"/>
      <c r="JO46" s="84"/>
      <c r="JP46" s="84"/>
      <c r="JQ46" s="84"/>
      <c r="JR46" s="84"/>
      <c r="JS46" s="84"/>
      <c r="JT46" s="84"/>
      <c r="JU46" s="84"/>
      <c r="JV46" s="84"/>
      <c r="JW46" s="84"/>
      <c r="JX46" s="84"/>
      <c r="JY46" s="84"/>
      <c r="JZ46" s="84"/>
      <c r="KA46" s="84"/>
      <c r="KB46" s="84"/>
      <c r="KC46" s="84"/>
      <c r="KD46" s="84"/>
      <c r="KE46" s="84"/>
      <c r="KF46" s="84"/>
      <c r="KG46" s="84"/>
      <c r="KH46" s="84"/>
      <c r="KI46" s="84"/>
      <c r="KJ46" s="84"/>
      <c r="KK46" s="84"/>
      <c r="KL46" s="84"/>
      <c r="KM46" s="84"/>
      <c r="KN46" s="84"/>
      <c r="KO46" s="84"/>
      <c r="KP46" s="84"/>
      <c r="KQ46" s="84"/>
      <c r="KR46" s="84"/>
      <c r="KS46" s="84"/>
      <c r="KT46" s="84"/>
      <c r="KU46" s="84"/>
      <c r="KV46" s="84"/>
      <c r="KW46" s="84"/>
      <c r="KX46" s="84"/>
      <c r="KY46" s="84"/>
      <c r="KZ46" s="84"/>
      <c r="LA46" s="84"/>
      <c r="LB46" s="84"/>
      <c r="LC46" s="84"/>
      <c r="LD46" s="84"/>
      <c r="LE46" s="84"/>
      <c r="LF46" s="84"/>
      <c r="LG46" s="84"/>
      <c r="LH46" s="84"/>
      <c r="LI46" s="84"/>
      <c r="LJ46" s="84"/>
      <c r="LK46" s="84"/>
      <c r="LL46" s="84"/>
      <c r="LM46" s="84"/>
      <c r="LN46" s="84"/>
      <c r="LO46" s="84"/>
      <c r="LP46" s="84"/>
      <c r="LQ46" s="84"/>
      <c r="LR46" s="84"/>
      <c r="LS46" s="84"/>
      <c r="LT46" s="84"/>
      <c r="LU46" s="84"/>
      <c r="LV46" s="84"/>
      <c r="LW46" s="84"/>
      <c r="LX46" s="84"/>
      <c r="LY46" s="84"/>
      <c r="LZ46" s="84"/>
      <c r="MA46" s="84"/>
      <c r="MB46" s="84"/>
      <c r="MC46" s="84"/>
      <c r="MD46" s="84"/>
      <c r="ME46" s="84"/>
      <c r="MF46" s="84"/>
      <c r="MG46" s="84"/>
      <c r="MH46" s="84"/>
      <c r="MI46" s="84"/>
      <c r="MJ46" s="84"/>
      <c r="MK46" s="84"/>
      <c r="ML46" s="84"/>
      <c r="MM46" s="84"/>
      <c r="MN46" s="84"/>
      <c r="MO46" s="84"/>
      <c r="MP46" s="84"/>
      <c r="MQ46" s="84"/>
      <c r="MR46" s="84"/>
      <c r="MS46" s="84"/>
      <c r="MT46" s="84"/>
      <c r="MU46" s="84"/>
      <c r="MV46" s="84"/>
      <c r="MW46" s="84"/>
      <c r="MX46" s="84"/>
      <c r="MY46" s="84"/>
      <c r="MZ46" s="84"/>
      <c r="NA46" s="84"/>
      <c r="NB46" s="84"/>
      <c r="NC46" s="84"/>
      <c r="ND46" s="84"/>
      <c r="NE46" s="84"/>
      <c r="NF46" s="84"/>
      <c r="NG46" s="84"/>
      <c r="NH46" s="84"/>
      <c r="NI46" s="84"/>
      <c r="NJ46" s="84"/>
      <c r="NK46" s="84"/>
      <c r="NL46" s="84"/>
      <c r="NM46" s="84"/>
      <c r="NN46" s="84"/>
      <c r="NO46" s="84"/>
      <c r="NP46" s="84"/>
      <c r="NQ46" s="84"/>
      <c r="NR46" s="84"/>
      <c r="NS46" s="84"/>
      <c r="NT46" s="84"/>
      <c r="NU46" s="84"/>
      <c r="NV46" s="84"/>
      <c r="NW46" s="84"/>
      <c r="NX46" s="84"/>
      <c r="NY46" s="84"/>
      <c r="NZ46" s="84"/>
      <c r="OA46" s="84"/>
      <c r="OB46" s="84"/>
      <c r="OC46" s="84"/>
      <c r="OD46" s="84"/>
      <c r="OE46" s="84"/>
      <c r="OF46" s="84"/>
      <c r="OG46" s="84"/>
      <c r="OH46" s="84"/>
      <c r="OI46" s="84"/>
      <c r="OJ46" s="84"/>
      <c r="OK46" s="84"/>
      <c r="OL46" s="84"/>
      <c r="OM46" s="84"/>
      <c r="ON46" s="84"/>
      <c r="OO46" s="84"/>
      <c r="OP46" s="84"/>
      <c r="OQ46" s="84"/>
      <c r="OR46" s="84"/>
      <c r="OS46" s="84"/>
      <c r="OT46" s="84"/>
      <c r="OU46" s="84"/>
      <c r="OV46" s="84"/>
      <c r="OW46" s="84"/>
      <c r="OX46" s="84"/>
      <c r="OY46" s="84"/>
      <c r="OZ46" s="84"/>
      <c r="PA46" s="84"/>
      <c r="PB46" s="84"/>
      <c r="PC46" s="84"/>
      <c r="PD46" s="84"/>
      <c r="PE46" s="84"/>
      <c r="PF46" s="84"/>
      <c r="PG46" s="84"/>
      <c r="PH46" s="84"/>
      <c r="PI46" s="84"/>
      <c r="PJ46" s="84"/>
      <c r="PK46" s="84"/>
      <c r="PL46" s="84"/>
      <c r="PM46" s="84"/>
      <c r="PN46" s="84"/>
      <c r="PO46" s="84"/>
      <c r="PP46" s="84"/>
      <c r="PQ46" s="84"/>
      <c r="PR46" s="84"/>
      <c r="PS46" s="84"/>
      <c r="PT46" s="84"/>
      <c r="PU46" s="84"/>
      <c r="PV46" s="84"/>
      <c r="PW46" s="84"/>
      <c r="PX46" s="84"/>
      <c r="PY46" s="84"/>
      <c r="PZ46" s="84"/>
      <c r="QA46" s="84"/>
      <c r="QB46" s="84"/>
      <c r="QC46" s="84"/>
    </row>
    <row r="47" spans="1:445" s="85" customFormat="1" ht="15" x14ac:dyDescent="0.25">
      <c r="A47" s="92">
        <v>27</v>
      </c>
      <c r="B47" s="97"/>
      <c r="C47" s="110"/>
      <c r="D47" s="98"/>
      <c r="E47" s="99"/>
      <c r="F47" s="100"/>
      <c r="G47" s="54"/>
      <c r="H47" s="54"/>
      <c r="I47" s="54"/>
      <c r="J47" s="54"/>
      <c r="K47" s="54"/>
      <c r="L47" s="54"/>
      <c r="M47" s="46"/>
      <c r="N47" s="46"/>
      <c r="O47" s="46"/>
      <c r="P47" s="46"/>
      <c r="Q47" s="46"/>
      <c r="R47" s="46"/>
      <c r="S47" s="46"/>
      <c r="T47" s="101"/>
      <c r="U47" s="90"/>
      <c r="V47" s="90"/>
      <c r="W47" s="91"/>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84"/>
      <c r="AV47" s="84"/>
      <c r="AW47" s="84"/>
      <c r="AX47" s="84"/>
      <c r="AY47" s="84"/>
      <c r="AZ47" s="84"/>
      <c r="BA47" s="84"/>
      <c r="BB47" s="84"/>
      <c r="BC47" s="84"/>
      <c r="BD47" s="84"/>
      <c r="BE47" s="84"/>
      <c r="BF47" s="84"/>
      <c r="BG47" s="84"/>
      <c r="BH47" s="84"/>
      <c r="BI47" s="84"/>
      <c r="BJ47" s="84"/>
      <c r="BK47" s="84"/>
      <c r="BL47" s="84"/>
      <c r="BM47" s="84"/>
      <c r="BN47" s="84"/>
      <c r="BO47" s="84"/>
      <c r="BP47" s="84"/>
      <c r="BQ47" s="84"/>
      <c r="BR47" s="84"/>
      <c r="BS47" s="84"/>
      <c r="BT47" s="84"/>
      <c r="BU47" s="84"/>
      <c r="BV47" s="84"/>
      <c r="BW47" s="84"/>
      <c r="BX47" s="84"/>
      <c r="BY47" s="84"/>
      <c r="BZ47" s="84"/>
      <c r="CA47" s="84"/>
      <c r="CB47" s="84"/>
      <c r="CC47" s="84"/>
      <c r="CD47" s="84"/>
      <c r="CE47" s="84"/>
      <c r="CF47" s="84"/>
      <c r="CG47" s="84"/>
      <c r="CH47" s="84"/>
      <c r="CI47" s="84"/>
      <c r="CJ47" s="84"/>
      <c r="CK47" s="84"/>
      <c r="CL47" s="84"/>
      <c r="CM47" s="84"/>
      <c r="CN47" s="84"/>
      <c r="CO47" s="84"/>
      <c r="CP47" s="84"/>
      <c r="CQ47" s="84"/>
      <c r="CR47" s="84"/>
      <c r="CS47" s="84"/>
      <c r="CT47" s="84"/>
      <c r="CU47" s="84"/>
      <c r="CV47" s="84"/>
      <c r="CW47" s="84"/>
      <c r="CX47" s="84"/>
      <c r="CY47" s="84"/>
      <c r="CZ47" s="84"/>
      <c r="DA47" s="84"/>
      <c r="DB47" s="84"/>
      <c r="DC47" s="84"/>
      <c r="DD47" s="84"/>
      <c r="DE47" s="84"/>
      <c r="DF47" s="84"/>
      <c r="DG47" s="84"/>
      <c r="DH47" s="84"/>
      <c r="DI47" s="84"/>
      <c r="DJ47" s="84"/>
      <c r="DK47" s="84"/>
      <c r="DL47" s="84"/>
      <c r="DM47" s="84"/>
      <c r="DN47" s="84"/>
      <c r="DO47" s="84"/>
      <c r="DP47" s="84"/>
      <c r="DQ47" s="84"/>
      <c r="DR47" s="84"/>
      <c r="DS47" s="84"/>
      <c r="DT47" s="84"/>
      <c r="DU47" s="84"/>
      <c r="DV47" s="84"/>
      <c r="DW47" s="84"/>
      <c r="DX47" s="84"/>
      <c r="DY47" s="84"/>
      <c r="DZ47" s="84"/>
      <c r="EA47" s="84"/>
      <c r="EB47" s="84"/>
      <c r="EC47" s="84"/>
      <c r="ED47" s="84"/>
      <c r="EE47" s="84"/>
      <c r="EF47" s="84"/>
      <c r="EG47" s="84"/>
      <c r="EH47" s="84"/>
      <c r="EI47" s="84"/>
      <c r="EJ47" s="84"/>
      <c r="EK47" s="84"/>
      <c r="EL47" s="84"/>
      <c r="EM47" s="84"/>
      <c r="EN47" s="84"/>
      <c r="EO47" s="84"/>
      <c r="EP47" s="84"/>
      <c r="EQ47" s="84"/>
      <c r="ER47" s="84"/>
      <c r="ES47" s="84"/>
      <c r="ET47" s="84"/>
      <c r="EU47" s="84"/>
      <c r="EV47" s="84"/>
      <c r="EW47" s="84"/>
      <c r="EX47" s="84"/>
      <c r="EY47" s="84"/>
      <c r="EZ47" s="84"/>
      <c r="FA47" s="84"/>
      <c r="FB47" s="84"/>
      <c r="FC47" s="84"/>
      <c r="FD47" s="84"/>
      <c r="FE47" s="84"/>
      <c r="FF47" s="84"/>
      <c r="FG47" s="84"/>
      <c r="FH47" s="84"/>
      <c r="FI47" s="84"/>
      <c r="FJ47" s="84"/>
      <c r="FK47" s="84"/>
      <c r="FL47" s="84"/>
      <c r="FM47" s="84"/>
      <c r="FN47" s="84"/>
      <c r="FO47" s="84"/>
      <c r="FP47" s="84"/>
      <c r="FQ47" s="84"/>
      <c r="FR47" s="84"/>
      <c r="FS47" s="84"/>
      <c r="FT47" s="84"/>
      <c r="FU47" s="84"/>
      <c r="FV47" s="84"/>
      <c r="FW47" s="84"/>
      <c r="FX47" s="84"/>
      <c r="FY47" s="84"/>
      <c r="FZ47" s="84"/>
      <c r="GA47" s="84"/>
      <c r="GB47" s="84"/>
      <c r="GC47" s="84"/>
      <c r="GD47" s="84"/>
      <c r="GE47" s="84"/>
      <c r="GF47" s="84"/>
      <c r="GG47" s="84"/>
      <c r="GH47" s="84"/>
      <c r="GI47" s="84"/>
      <c r="GJ47" s="84"/>
      <c r="GK47" s="84"/>
      <c r="GL47" s="84"/>
      <c r="GM47" s="84"/>
      <c r="GN47" s="84"/>
      <c r="GO47" s="84"/>
      <c r="GP47" s="84"/>
      <c r="GQ47" s="84"/>
      <c r="GR47" s="84"/>
      <c r="GS47" s="84"/>
      <c r="GT47" s="84"/>
      <c r="GU47" s="84"/>
      <c r="GV47" s="84"/>
      <c r="GW47" s="84"/>
      <c r="GX47" s="84"/>
      <c r="GY47" s="84"/>
      <c r="GZ47" s="84"/>
      <c r="HA47" s="84"/>
      <c r="HB47" s="84"/>
      <c r="HC47" s="84"/>
      <c r="HD47" s="84"/>
      <c r="HE47" s="84"/>
      <c r="HF47" s="84"/>
      <c r="HG47" s="84"/>
      <c r="HH47" s="84"/>
      <c r="HI47" s="84"/>
      <c r="HJ47" s="84"/>
      <c r="HK47" s="84"/>
      <c r="HL47" s="84"/>
      <c r="HM47" s="84"/>
      <c r="HN47" s="84"/>
      <c r="HO47" s="84"/>
      <c r="HP47" s="84"/>
      <c r="HQ47" s="84"/>
      <c r="HR47" s="84"/>
      <c r="HS47" s="84"/>
      <c r="HT47" s="84"/>
      <c r="HU47" s="84"/>
      <c r="HV47" s="84"/>
      <c r="HW47" s="84"/>
      <c r="HX47" s="84"/>
      <c r="HY47" s="84"/>
      <c r="HZ47" s="84"/>
      <c r="IA47" s="84"/>
      <c r="IB47" s="84"/>
      <c r="IC47" s="84"/>
      <c r="ID47" s="84"/>
      <c r="IE47" s="84"/>
      <c r="IF47" s="84"/>
      <c r="IG47" s="84"/>
      <c r="IH47" s="84"/>
      <c r="II47" s="84"/>
      <c r="IJ47" s="84"/>
      <c r="IK47" s="84"/>
      <c r="IL47" s="84"/>
      <c r="IM47" s="84"/>
      <c r="IN47" s="84"/>
      <c r="IO47" s="84"/>
      <c r="IP47" s="84"/>
      <c r="IQ47" s="84"/>
      <c r="IR47" s="84"/>
      <c r="IS47" s="84"/>
      <c r="IT47" s="84"/>
      <c r="IU47" s="84"/>
      <c r="IV47" s="84"/>
      <c r="IW47" s="84"/>
      <c r="IX47" s="84"/>
      <c r="IY47" s="84"/>
      <c r="IZ47" s="84"/>
      <c r="JA47" s="84"/>
      <c r="JB47" s="84"/>
      <c r="JC47" s="84"/>
      <c r="JD47" s="84"/>
      <c r="JE47" s="84"/>
      <c r="JF47" s="84"/>
      <c r="JG47" s="84"/>
      <c r="JH47" s="84"/>
      <c r="JI47" s="84"/>
      <c r="JJ47" s="84"/>
      <c r="JK47" s="84"/>
      <c r="JL47" s="84"/>
      <c r="JM47" s="84"/>
      <c r="JN47" s="84"/>
      <c r="JO47" s="84"/>
      <c r="JP47" s="84"/>
      <c r="JQ47" s="84"/>
      <c r="JR47" s="84"/>
      <c r="JS47" s="84"/>
      <c r="JT47" s="84"/>
      <c r="JU47" s="84"/>
      <c r="JV47" s="84"/>
      <c r="JW47" s="84"/>
      <c r="JX47" s="84"/>
      <c r="JY47" s="84"/>
      <c r="JZ47" s="84"/>
      <c r="KA47" s="84"/>
      <c r="KB47" s="84"/>
      <c r="KC47" s="84"/>
      <c r="KD47" s="84"/>
      <c r="KE47" s="84"/>
      <c r="KF47" s="84"/>
      <c r="KG47" s="84"/>
      <c r="KH47" s="84"/>
      <c r="KI47" s="84"/>
      <c r="KJ47" s="84"/>
      <c r="KK47" s="84"/>
      <c r="KL47" s="84"/>
      <c r="KM47" s="84"/>
      <c r="KN47" s="84"/>
      <c r="KO47" s="84"/>
      <c r="KP47" s="84"/>
      <c r="KQ47" s="84"/>
      <c r="KR47" s="84"/>
      <c r="KS47" s="84"/>
      <c r="KT47" s="84"/>
      <c r="KU47" s="84"/>
      <c r="KV47" s="84"/>
      <c r="KW47" s="84"/>
      <c r="KX47" s="84"/>
      <c r="KY47" s="84"/>
      <c r="KZ47" s="84"/>
      <c r="LA47" s="84"/>
      <c r="LB47" s="84"/>
      <c r="LC47" s="84"/>
      <c r="LD47" s="84"/>
      <c r="LE47" s="84"/>
      <c r="LF47" s="84"/>
      <c r="LG47" s="84"/>
      <c r="LH47" s="84"/>
      <c r="LI47" s="84"/>
      <c r="LJ47" s="84"/>
      <c r="LK47" s="84"/>
      <c r="LL47" s="84"/>
      <c r="LM47" s="84"/>
      <c r="LN47" s="84"/>
      <c r="LO47" s="84"/>
      <c r="LP47" s="84"/>
      <c r="LQ47" s="84"/>
      <c r="LR47" s="84"/>
      <c r="LS47" s="84"/>
      <c r="LT47" s="84"/>
      <c r="LU47" s="84"/>
      <c r="LV47" s="84"/>
      <c r="LW47" s="84"/>
      <c r="LX47" s="84"/>
      <c r="LY47" s="84"/>
      <c r="LZ47" s="84"/>
      <c r="MA47" s="84"/>
      <c r="MB47" s="84"/>
      <c r="MC47" s="84"/>
      <c r="MD47" s="84"/>
      <c r="ME47" s="84"/>
      <c r="MF47" s="84"/>
      <c r="MG47" s="84"/>
      <c r="MH47" s="84"/>
      <c r="MI47" s="84"/>
      <c r="MJ47" s="84"/>
      <c r="MK47" s="84"/>
      <c r="ML47" s="84"/>
      <c r="MM47" s="84"/>
      <c r="MN47" s="84"/>
      <c r="MO47" s="84"/>
      <c r="MP47" s="84"/>
      <c r="MQ47" s="84"/>
      <c r="MR47" s="84"/>
      <c r="MS47" s="84"/>
      <c r="MT47" s="84"/>
      <c r="MU47" s="84"/>
      <c r="MV47" s="84"/>
      <c r="MW47" s="84"/>
      <c r="MX47" s="84"/>
      <c r="MY47" s="84"/>
      <c r="MZ47" s="84"/>
      <c r="NA47" s="84"/>
      <c r="NB47" s="84"/>
      <c r="NC47" s="84"/>
      <c r="ND47" s="84"/>
      <c r="NE47" s="84"/>
      <c r="NF47" s="84"/>
      <c r="NG47" s="84"/>
      <c r="NH47" s="84"/>
      <c r="NI47" s="84"/>
      <c r="NJ47" s="84"/>
      <c r="NK47" s="84"/>
      <c r="NL47" s="84"/>
      <c r="NM47" s="84"/>
      <c r="NN47" s="84"/>
      <c r="NO47" s="84"/>
      <c r="NP47" s="84"/>
      <c r="NQ47" s="84"/>
      <c r="NR47" s="84"/>
      <c r="NS47" s="84"/>
      <c r="NT47" s="84"/>
      <c r="NU47" s="84"/>
      <c r="NV47" s="84"/>
      <c r="NW47" s="84"/>
      <c r="NX47" s="84"/>
      <c r="NY47" s="84"/>
      <c r="NZ47" s="84"/>
      <c r="OA47" s="84"/>
      <c r="OB47" s="84"/>
      <c r="OC47" s="84"/>
      <c r="OD47" s="84"/>
      <c r="OE47" s="84"/>
      <c r="OF47" s="84"/>
      <c r="OG47" s="84"/>
      <c r="OH47" s="84"/>
      <c r="OI47" s="84"/>
      <c r="OJ47" s="84"/>
      <c r="OK47" s="84"/>
      <c r="OL47" s="84"/>
      <c r="OM47" s="84"/>
      <c r="ON47" s="84"/>
      <c r="OO47" s="84"/>
      <c r="OP47" s="84"/>
      <c r="OQ47" s="84"/>
      <c r="OR47" s="84"/>
      <c r="OS47" s="84"/>
      <c r="OT47" s="84"/>
      <c r="OU47" s="84"/>
      <c r="OV47" s="84"/>
      <c r="OW47" s="84"/>
      <c r="OX47" s="84"/>
      <c r="OY47" s="84"/>
      <c r="OZ47" s="84"/>
      <c r="PA47" s="84"/>
      <c r="PB47" s="84"/>
      <c r="PC47" s="84"/>
      <c r="PD47" s="84"/>
      <c r="PE47" s="84"/>
      <c r="PF47" s="84"/>
      <c r="PG47" s="84"/>
      <c r="PH47" s="84"/>
      <c r="PI47" s="84"/>
      <c r="PJ47" s="84"/>
      <c r="PK47" s="84"/>
      <c r="PL47" s="84"/>
      <c r="PM47" s="84"/>
      <c r="PN47" s="84"/>
      <c r="PO47" s="84"/>
      <c r="PP47" s="84"/>
      <c r="PQ47" s="84"/>
      <c r="PR47" s="84"/>
      <c r="PS47" s="84"/>
      <c r="PT47" s="84"/>
      <c r="PU47" s="84"/>
      <c r="PV47" s="84"/>
      <c r="PW47" s="84"/>
      <c r="PX47" s="84"/>
      <c r="PY47" s="84"/>
      <c r="PZ47" s="84"/>
      <c r="QA47" s="84"/>
      <c r="QB47" s="84"/>
      <c r="QC47" s="84"/>
    </row>
    <row r="48" spans="1:445" s="85" customFormat="1" x14ac:dyDescent="0.3">
      <c r="A48" s="92">
        <v>27</v>
      </c>
      <c r="B48" s="110"/>
      <c r="C48" s="110"/>
      <c r="D48" s="1183"/>
      <c r="E48" s="110"/>
      <c r="F48" s="111"/>
      <c r="G48" s="54"/>
      <c r="H48" s="54"/>
      <c r="I48" s="54"/>
      <c r="J48" s="54"/>
      <c r="K48" s="54"/>
      <c r="L48" s="54"/>
      <c r="M48" s="46"/>
      <c r="N48" s="46"/>
      <c r="O48" s="46"/>
      <c r="P48" s="46"/>
      <c r="Q48" s="46"/>
      <c r="R48" s="46"/>
      <c r="S48" s="46"/>
      <c r="T48" s="101"/>
      <c r="U48" s="90"/>
      <c r="V48" s="90"/>
      <c r="W48" s="91"/>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84"/>
      <c r="AV48" s="84"/>
      <c r="AW48" s="84"/>
      <c r="AX48" s="84"/>
      <c r="AY48" s="84"/>
      <c r="AZ48" s="84"/>
      <c r="BA48" s="84"/>
      <c r="BB48" s="84"/>
      <c r="BC48" s="84"/>
      <c r="BD48" s="84"/>
      <c r="BE48" s="84"/>
      <c r="BF48" s="84"/>
      <c r="BG48" s="84"/>
      <c r="BH48" s="84"/>
      <c r="BI48" s="84"/>
      <c r="BJ48" s="84"/>
      <c r="BK48" s="84"/>
      <c r="BL48" s="84"/>
      <c r="BM48" s="84"/>
      <c r="BN48" s="84"/>
      <c r="BO48" s="84"/>
      <c r="BP48" s="84"/>
      <c r="BQ48" s="84"/>
      <c r="BR48" s="84"/>
      <c r="BS48" s="84"/>
      <c r="BT48" s="84"/>
      <c r="BU48" s="84"/>
      <c r="BV48" s="84"/>
      <c r="BW48" s="84"/>
      <c r="BX48" s="84"/>
      <c r="BY48" s="84"/>
      <c r="BZ48" s="84"/>
      <c r="CA48" s="84"/>
      <c r="CB48" s="84"/>
      <c r="CC48" s="84"/>
      <c r="CD48" s="84"/>
      <c r="CE48" s="84"/>
      <c r="CF48" s="84"/>
      <c r="CG48" s="84"/>
      <c r="CH48" s="84"/>
      <c r="CI48" s="84"/>
      <c r="CJ48" s="84"/>
      <c r="CK48" s="84"/>
      <c r="CL48" s="84"/>
      <c r="CM48" s="84"/>
      <c r="CN48" s="84"/>
      <c r="CO48" s="84"/>
      <c r="CP48" s="84"/>
      <c r="CQ48" s="84"/>
      <c r="CR48" s="84"/>
      <c r="CS48" s="84"/>
      <c r="CT48" s="84"/>
      <c r="CU48" s="84"/>
      <c r="CV48" s="84"/>
      <c r="CW48" s="84"/>
      <c r="CX48" s="84"/>
      <c r="CY48" s="84"/>
      <c r="CZ48" s="84"/>
      <c r="DA48" s="84"/>
      <c r="DB48" s="84"/>
      <c r="DC48" s="84"/>
      <c r="DD48" s="84"/>
      <c r="DE48" s="84"/>
      <c r="DF48" s="84"/>
      <c r="DG48" s="84"/>
      <c r="DH48" s="84"/>
      <c r="DI48" s="84"/>
      <c r="DJ48" s="84"/>
      <c r="DK48" s="84"/>
      <c r="DL48" s="84"/>
      <c r="DM48" s="84"/>
      <c r="DN48" s="84"/>
      <c r="DO48" s="84"/>
      <c r="DP48" s="84"/>
      <c r="DQ48" s="84"/>
      <c r="DR48" s="84"/>
      <c r="DS48" s="84"/>
      <c r="DT48" s="84"/>
      <c r="DU48" s="84"/>
      <c r="DV48" s="84"/>
      <c r="DW48" s="84"/>
      <c r="DX48" s="84"/>
      <c r="DY48" s="84"/>
      <c r="DZ48" s="84"/>
      <c r="EA48" s="84"/>
      <c r="EB48" s="84"/>
      <c r="EC48" s="84"/>
      <c r="ED48" s="84"/>
      <c r="EE48" s="84"/>
      <c r="EF48" s="84"/>
      <c r="EG48" s="84"/>
      <c r="EH48" s="84"/>
      <c r="EI48" s="84"/>
      <c r="EJ48" s="84"/>
      <c r="EK48" s="84"/>
      <c r="EL48" s="84"/>
      <c r="EM48" s="84"/>
      <c r="EN48" s="84"/>
      <c r="EO48" s="84"/>
      <c r="EP48" s="84"/>
      <c r="EQ48" s="84"/>
      <c r="ER48" s="84"/>
      <c r="ES48" s="84"/>
      <c r="ET48" s="84"/>
      <c r="EU48" s="84"/>
      <c r="EV48" s="84"/>
      <c r="EW48" s="84"/>
      <c r="EX48" s="84"/>
      <c r="EY48" s="84"/>
      <c r="EZ48" s="84"/>
      <c r="FA48" s="84"/>
      <c r="FB48" s="84"/>
      <c r="FC48" s="84"/>
      <c r="FD48" s="84"/>
      <c r="FE48" s="84"/>
      <c r="FF48" s="84"/>
      <c r="FG48" s="84"/>
      <c r="FH48" s="84"/>
      <c r="FI48" s="84"/>
      <c r="FJ48" s="84"/>
      <c r="FK48" s="84"/>
      <c r="FL48" s="84"/>
      <c r="FM48" s="84"/>
      <c r="FN48" s="84"/>
      <c r="FO48" s="84"/>
      <c r="FP48" s="84"/>
      <c r="FQ48" s="84"/>
      <c r="FR48" s="84"/>
      <c r="FS48" s="84"/>
      <c r="FT48" s="84"/>
      <c r="FU48" s="84"/>
      <c r="FV48" s="84"/>
      <c r="FW48" s="84"/>
      <c r="FX48" s="84"/>
      <c r="FY48" s="84"/>
      <c r="FZ48" s="84"/>
      <c r="GA48" s="84"/>
      <c r="GB48" s="84"/>
      <c r="GC48" s="84"/>
      <c r="GD48" s="84"/>
      <c r="GE48" s="84"/>
      <c r="GF48" s="84"/>
      <c r="GG48" s="84"/>
      <c r="GH48" s="84"/>
      <c r="GI48" s="84"/>
      <c r="GJ48" s="84"/>
      <c r="GK48" s="84"/>
      <c r="GL48" s="84"/>
      <c r="GM48" s="84"/>
      <c r="GN48" s="84"/>
      <c r="GO48" s="84"/>
      <c r="GP48" s="84"/>
      <c r="GQ48" s="84"/>
      <c r="GR48" s="84"/>
      <c r="GS48" s="84"/>
      <c r="GT48" s="84"/>
      <c r="GU48" s="84"/>
      <c r="GV48" s="84"/>
      <c r="GW48" s="84"/>
      <c r="GX48" s="84"/>
      <c r="GY48" s="84"/>
      <c r="GZ48" s="84"/>
      <c r="HA48" s="84"/>
      <c r="HB48" s="84"/>
      <c r="HC48" s="84"/>
      <c r="HD48" s="84"/>
      <c r="HE48" s="84"/>
      <c r="HF48" s="84"/>
      <c r="HG48" s="84"/>
      <c r="HH48" s="84"/>
      <c r="HI48" s="84"/>
      <c r="HJ48" s="84"/>
      <c r="HK48" s="84"/>
      <c r="HL48" s="84"/>
      <c r="HM48" s="84"/>
      <c r="HN48" s="84"/>
      <c r="HO48" s="84"/>
      <c r="HP48" s="84"/>
      <c r="HQ48" s="84"/>
      <c r="HR48" s="84"/>
      <c r="HS48" s="84"/>
      <c r="HT48" s="84"/>
      <c r="HU48" s="84"/>
      <c r="HV48" s="84"/>
      <c r="HW48" s="84"/>
      <c r="HX48" s="84"/>
      <c r="HY48" s="84"/>
      <c r="HZ48" s="84"/>
      <c r="IA48" s="84"/>
      <c r="IB48" s="84"/>
      <c r="IC48" s="84"/>
      <c r="ID48" s="84"/>
      <c r="IE48" s="84"/>
      <c r="IF48" s="84"/>
      <c r="IG48" s="84"/>
      <c r="IH48" s="84"/>
      <c r="II48" s="84"/>
      <c r="IJ48" s="84"/>
      <c r="IK48" s="84"/>
      <c r="IL48" s="84"/>
      <c r="IM48" s="84"/>
      <c r="IN48" s="84"/>
      <c r="IO48" s="84"/>
      <c r="IP48" s="84"/>
      <c r="IQ48" s="84"/>
      <c r="IR48" s="84"/>
      <c r="IS48" s="84"/>
      <c r="IT48" s="84"/>
      <c r="IU48" s="84"/>
      <c r="IV48" s="84"/>
      <c r="IW48" s="84"/>
      <c r="IX48" s="84"/>
      <c r="IY48" s="84"/>
      <c r="IZ48" s="84"/>
      <c r="JA48" s="84"/>
      <c r="JB48" s="84"/>
      <c r="JC48" s="84"/>
      <c r="JD48" s="84"/>
      <c r="JE48" s="84"/>
      <c r="JF48" s="84"/>
      <c r="JG48" s="84"/>
      <c r="JH48" s="84"/>
      <c r="JI48" s="84"/>
      <c r="JJ48" s="84"/>
      <c r="JK48" s="84"/>
      <c r="JL48" s="84"/>
      <c r="JM48" s="84"/>
      <c r="JN48" s="84"/>
      <c r="JO48" s="84"/>
      <c r="JP48" s="84"/>
      <c r="JQ48" s="84"/>
      <c r="JR48" s="84"/>
      <c r="JS48" s="84"/>
      <c r="JT48" s="84"/>
      <c r="JU48" s="84"/>
      <c r="JV48" s="84"/>
      <c r="JW48" s="84"/>
      <c r="JX48" s="84"/>
      <c r="JY48" s="84"/>
      <c r="JZ48" s="84"/>
      <c r="KA48" s="84"/>
      <c r="KB48" s="84"/>
      <c r="KC48" s="84"/>
      <c r="KD48" s="84"/>
      <c r="KE48" s="84"/>
      <c r="KF48" s="84"/>
      <c r="KG48" s="84"/>
      <c r="KH48" s="84"/>
      <c r="KI48" s="84"/>
      <c r="KJ48" s="84"/>
      <c r="KK48" s="84"/>
      <c r="KL48" s="84"/>
      <c r="KM48" s="84"/>
      <c r="KN48" s="84"/>
      <c r="KO48" s="84"/>
      <c r="KP48" s="84"/>
      <c r="KQ48" s="84"/>
      <c r="KR48" s="84"/>
      <c r="KS48" s="84"/>
      <c r="KT48" s="84"/>
      <c r="KU48" s="84"/>
      <c r="KV48" s="84"/>
      <c r="KW48" s="84"/>
      <c r="KX48" s="84"/>
      <c r="KY48" s="84"/>
      <c r="KZ48" s="84"/>
      <c r="LA48" s="84"/>
      <c r="LB48" s="84"/>
      <c r="LC48" s="84"/>
      <c r="LD48" s="84"/>
      <c r="LE48" s="84"/>
      <c r="LF48" s="84"/>
      <c r="LG48" s="84"/>
      <c r="LH48" s="84"/>
      <c r="LI48" s="84"/>
      <c r="LJ48" s="84"/>
      <c r="LK48" s="84"/>
      <c r="LL48" s="84"/>
      <c r="LM48" s="84"/>
      <c r="LN48" s="84"/>
      <c r="LO48" s="84"/>
      <c r="LP48" s="84"/>
      <c r="LQ48" s="84"/>
      <c r="LR48" s="84"/>
      <c r="LS48" s="84"/>
      <c r="LT48" s="84"/>
      <c r="LU48" s="84"/>
      <c r="LV48" s="84"/>
      <c r="LW48" s="84"/>
      <c r="LX48" s="84"/>
      <c r="LY48" s="84"/>
      <c r="LZ48" s="84"/>
      <c r="MA48" s="84"/>
      <c r="MB48" s="84"/>
      <c r="MC48" s="84"/>
      <c r="MD48" s="84"/>
      <c r="ME48" s="84"/>
      <c r="MF48" s="84"/>
      <c r="MG48" s="84"/>
      <c r="MH48" s="84"/>
      <c r="MI48" s="84"/>
      <c r="MJ48" s="84"/>
      <c r="MK48" s="84"/>
      <c r="ML48" s="84"/>
      <c r="MM48" s="84"/>
      <c r="MN48" s="84"/>
      <c r="MO48" s="84"/>
      <c r="MP48" s="84"/>
      <c r="MQ48" s="84"/>
      <c r="MR48" s="84"/>
      <c r="MS48" s="84"/>
      <c r="MT48" s="84"/>
      <c r="MU48" s="84"/>
      <c r="MV48" s="84"/>
      <c r="MW48" s="84"/>
      <c r="MX48" s="84"/>
      <c r="MY48" s="84"/>
      <c r="MZ48" s="84"/>
      <c r="NA48" s="84"/>
      <c r="NB48" s="84"/>
      <c r="NC48" s="84"/>
      <c r="ND48" s="84"/>
      <c r="NE48" s="84"/>
      <c r="NF48" s="84"/>
      <c r="NG48" s="84"/>
      <c r="NH48" s="84"/>
      <c r="NI48" s="84"/>
      <c r="NJ48" s="84"/>
      <c r="NK48" s="84"/>
      <c r="NL48" s="84"/>
      <c r="NM48" s="84"/>
      <c r="NN48" s="84"/>
      <c r="NO48" s="84"/>
      <c r="NP48" s="84"/>
      <c r="NQ48" s="84"/>
      <c r="NR48" s="84"/>
      <c r="NS48" s="84"/>
      <c r="NT48" s="84"/>
      <c r="NU48" s="84"/>
      <c r="NV48" s="84"/>
      <c r="NW48" s="84"/>
      <c r="NX48" s="84"/>
      <c r="NY48" s="84"/>
      <c r="NZ48" s="84"/>
      <c r="OA48" s="84"/>
      <c r="OB48" s="84"/>
      <c r="OC48" s="84"/>
      <c r="OD48" s="84"/>
      <c r="OE48" s="84"/>
      <c r="OF48" s="84"/>
      <c r="OG48" s="84"/>
      <c r="OH48" s="84"/>
      <c r="OI48" s="84"/>
      <c r="OJ48" s="84"/>
      <c r="OK48" s="84"/>
      <c r="OL48" s="84"/>
      <c r="OM48" s="84"/>
      <c r="ON48" s="84"/>
      <c r="OO48" s="84"/>
      <c r="OP48" s="84"/>
      <c r="OQ48" s="84"/>
      <c r="OR48" s="84"/>
      <c r="OS48" s="84"/>
      <c r="OT48" s="84"/>
      <c r="OU48" s="84"/>
      <c r="OV48" s="84"/>
      <c r="OW48" s="84"/>
      <c r="OX48" s="84"/>
      <c r="OY48" s="84"/>
      <c r="OZ48" s="84"/>
      <c r="PA48" s="84"/>
      <c r="PB48" s="84"/>
      <c r="PC48" s="84"/>
      <c r="PD48" s="84"/>
      <c r="PE48" s="84"/>
      <c r="PF48" s="84"/>
      <c r="PG48" s="84"/>
      <c r="PH48" s="84"/>
      <c r="PI48" s="84"/>
      <c r="PJ48" s="84"/>
      <c r="PK48" s="84"/>
      <c r="PL48" s="84"/>
      <c r="PM48" s="84"/>
      <c r="PN48" s="84"/>
      <c r="PO48" s="84"/>
      <c r="PP48" s="84"/>
      <c r="PQ48" s="84"/>
      <c r="PR48" s="84"/>
      <c r="PS48" s="84"/>
      <c r="PT48" s="84"/>
      <c r="PU48" s="84"/>
      <c r="PV48" s="84"/>
      <c r="PW48" s="84"/>
      <c r="PX48" s="84"/>
      <c r="PY48" s="84"/>
      <c r="PZ48" s="84"/>
      <c r="QA48" s="84"/>
      <c r="QB48" s="84"/>
      <c r="QC48" s="84"/>
    </row>
    <row r="49" spans="1:445" s="85" customFormat="1" x14ac:dyDescent="0.3">
      <c r="A49" s="92">
        <v>27</v>
      </c>
      <c r="B49" s="110"/>
      <c r="C49" s="110"/>
      <c r="D49" s="1183"/>
      <c r="E49" s="110"/>
      <c r="F49" s="111"/>
      <c r="G49" s="54"/>
      <c r="H49" s="54"/>
      <c r="I49" s="54"/>
      <c r="J49" s="54"/>
      <c r="K49" s="54"/>
      <c r="L49" s="54"/>
      <c r="M49" s="46"/>
      <c r="N49" s="46"/>
      <c r="O49" s="46"/>
      <c r="P49" s="46"/>
      <c r="Q49" s="46"/>
      <c r="R49" s="46"/>
      <c r="S49" s="46"/>
      <c r="T49" s="101"/>
      <c r="U49" s="90"/>
      <c r="V49" s="90"/>
      <c r="W49" s="91"/>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84"/>
      <c r="AV49" s="84"/>
      <c r="AW49" s="84"/>
      <c r="AX49" s="84"/>
      <c r="AY49" s="84"/>
      <c r="AZ49" s="84"/>
      <c r="BA49" s="84"/>
      <c r="BB49" s="84"/>
      <c r="BC49" s="84"/>
      <c r="BD49" s="84"/>
      <c r="BE49" s="84"/>
      <c r="BF49" s="84"/>
      <c r="BG49" s="84"/>
      <c r="BH49" s="84"/>
      <c r="BI49" s="84"/>
      <c r="BJ49" s="84"/>
      <c r="BK49" s="84"/>
      <c r="BL49" s="84"/>
      <c r="BM49" s="84"/>
      <c r="BN49" s="84"/>
      <c r="BO49" s="84"/>
      <c r="BP49" s="84"/>
      <c r="BQ49" s="84"/>
      <c r="BR49" s="84"/>
      <c r="BS49" s="84"/>
      <c r="BT49" s="84"/>
      <c r="BU49" s="84"/>
      <c r="BV49" s="84"/>
      <c r="BW49" s="84"/>
      <c r="BX49" s="84"/>
      <c r="BY49" s="84"/>
      <c r="BZ49" s="84"/>
      <c r="CA49" s="84"/>
      <c r="CB49" s="84"/>
      <c r="CC49" s="84"/>
      <c r="CD49" s="84"/>
      <c r="CE49" s="84"/>
      <c r="CF49" s="84"/>
      <c r="CG49" s="84"/>
      <c r="CH49" s="84"/>
      <c r="CI49" s="84"/>
      <c r="CJ49" s="84"/>
      <c r="CK49" s="84"/>
      <c r="CL49" s="84"/>
      <c r="CM49" s="84"/>
      <c r="CN49" s="84"/>
      <c r="CO49" s="84"/>
      <c r="CP49" s="84"/>
      <c r="CQ49" s="84"/>
      <c r="CR49" s="84"/>
      <c r="CS49" s="84"/>
      <c r="CT49" s="84"/>
      <c r="CU49" s="84"/>
      <c r="CV49" s="84"/>
      <c r="CW49" s="84"/>
      <c r="CX49" s="84"/>
      <c r="CY49" s="84"/>
      <c r="CZ49" s="84"/>
      <c r="DA49" s="84"/>
      <c r="DB49" s="84"/>
      <c r="DC49" s="84"/>
      <c r="DD49" s="84"/>
      <c r="DE49" s="84"/>
      <c r="DF49" s="84"/>
      <c r="DG49" s="84"/>
      <c r="DH49" s="84"/>
      <c r="DI49" s="84"/>
      <c r="DJ49" s="84"/>
      <c r="DK49" s="84"/>
      <c r="DL49" s="84"/>
      <c r="DM49" s="84"/>
      <c r="DN49" s="84"/>
      <c r="DO49" s="84"/>
      <c r="DP49" s="84"/>
      <c r="DQ49" s="84"/>
      <c r="DR49" s="84"/>
      <c r="DS49" s="84"/>
      <c r="DT49" s="84"/>
      <c r="DU49" s="84"/>
      <c r="DV49" s="84"/>
      <c r="DW49" s="84"/>
      <c r="DX49" s="84"/>
      <c r="DY49" s="84"/>
      <c r="DZ49" s="84"/>
      <c r="EA49" s="84"/>
      <c r="EB49" s="84"/>
      <c r="EC49" s="84"/>
      <c r="ED49" s="84"/>
      <c r="EE49" s="84"/>
      <c r="EF49" s="84"/>
      <c r="EG49" s="84"/>
      <c r="EH49" s="84"/>
      <c r="EI49" s="84"/>
      <c r="EJ49" s="84"/>
      <c r="EK49" s="84"/>
      <c r="EL49" s="84"/>
      <c r="EM49" s="84"/>
      <c r="EN49" s="84"/>
      <c r="EO49" s="84"/>
      <c r="EP49" s="84"/>
      <c r="EQ49" s="84"/>
      <c r="ER49" s="84"/>
      <c r="ES49" s="84"/>
      <c r="ET49" s="84"/>
      <c r="EU49" s="84"/>
      <c r="EV49" s="84"/>
      <c r="EW49" s="84"/>
      <c r="EX49" s="84"/>
      <c r="EY49" s="84"/>
      <c r="EZ49" s="84"/>
      <c r="FA49" s="84"/>
      <c r="FB49" s="84"/>
      <c r="FC49" s="84"/>
      <c r="FD49" s="84"/>
      <c r="FE49" s="84"/>
      <c r="FF49" s="84"/>
      <c r="FG49" s="84"/>
      <c r="FH49" s="84"/>
      <c r="FI49" s="84"/>
      <c r="FJ49" s="84"/>
      <c r="FK49" s="84"/>
      <c r="FL49" s="84"/>
      <c r="FM49" s="84"/>
      <c r="FN49" s="84"/>
      <c r="FO49" s="84"/>
      <c r="FP49" s="84"/>
      <c r="FQ49" s="84"/>
      <c r="FR49" s="84"/>
      <c r="FS49" s="84"/>
      <c r="FT49" s="84"/>
      <c r="FU49" s="84"/>
      <c r="FV49" s="84"/>
      <c r="FW49" s="84"/>
      <c r="FX49" s="84"/>
      <c r="FY49" s="84"/>
      <c r="FZ49" s="84"/>
      <c r="GA49" s="84"/>
      <c r="GB49" s="84"/>
      <c r="GC49" s="84"/>
      <c r="GD49" s="84"/>
      <c r="GE49" s="84"/>
      <c r="GF49" s="84"/>
      <c r="GG49" s="84"/>
      <c r="GH49" s="84"/>
      <c r="GI49" s="84"/>
      <c r="GJ49" s="84"/>
      <c r="GK49" s="84"/>
      <c r="GL49" s="84"/>
      <c r="GM49" s="84"/>
      <c r="GN49" s="84"/>
      <c r="GO49" s="84"/>
      <c r="GP49" s="84"/>
      <c r="GQ49" s="84"/>
      <c r="GR49" s="84"/>
      <c r="GS49" s="84"/>
      <c r="GT49" s="84"/>
      <c r="GU49" s="84"/>
      <c r="GV49" s="84"/>
      <c r="GW49" s="84"/>
      <c r="GX49" s="84"/>
      <c r="GY49" s="84"/>
      <c r="GZ49" s="84"/>
      <c r="HA49" s="84"/>
      <c r="HB49" s="84"/>
      <c r="HC49" s="84"/>
      <c r="HD49" s="84"/>
      <c r="HE49" s="84"/>
      <c r="HF49" s="84"/>
      <c r="HG49" s="84"/>
      <c r="HH49" s="84"/>
      <c r="HI49" s="84"/>
      <c r="HJ49" s="84"/>
      <c r="HK49" s="84"/>
      <c r="HL49" s="84"/>
      <c r="HM49" s="84"/>
      <c r="HN49" s="84"/>
      <c r="HO49" s="84"/>
      <c r="HP49" s="84"/>
      <c r="HQ49" s="84"/>
      <c r="HR49" s="84"/>
      <c r="HS49" s="84"/>
      <c r="HT49" s="84"/>
      <c r="HU49" s="84"/>
      <c r="HV49" s="84"/>
      <c r="HW49" s="84"/>
      <c r="HX49" s="84"/>
      <c r="HY49" s="84"/>
      <c r="HZ49" s="84"/>
      <c r="IA49" s="84"/>
      <c r="IB49" s="84"/>
      <c r="IC49" s="84"/>
      <c r="ID49" s="84"/>
      <c r="IE49" s="84"/>
      <c r="IF49" s="84"/>
      <c r="IG49" s="84"/>
      <c r="IH49" s="84"/>
      <c r="II49" s="84"/>
      <c r="IJ49" s="84"/>
      <c r="IK49" s="84"/>
      <c r="IL49" s="84"/>
      <c r="IM49" s="84"/>
      <c r="IN49" s="84"/>
      <c r="IO49" s="84"/>
      <c r="IP49" s="84"/>
      <c r="IQ49" s="84"/>
      <c r="IR49" s="84"/>
      <c r="IS49" s="84"/>
      <c r="IT49" s="84"/>
      <c r="IU49" s="84"/>
      <c r="IV49" s="84"/>
      <c r="IW49" s="84"/>
      <c r="IX49" s="84"/>
      <c r="IY49" s="84"/>
      <c r="IZ49" s="84"/>
      <c r="JA49" s="84"/>
      <c r="JB49" s="84"/>
      <c r="JC49" s="84"/>
      <c r="JD49" s="84"/>
      <c r="JE49" s="84"/>
      <c r="JF49" s="84"/>
      <c r="JG49" s="84"/>
      <c r="JH49" s="84"/>
      <c r="JI49" s="84"/>
      <c r="JJ49" s="84"/>
      <c r="JK49" s="84"/>
      <c r="JL49" s="84"/>
      <c r="JM49" s="84"/>
      <c r="JN49" s="84"/>
      <c r="JO49" s="84"/>
      <c r="JP49" s="84"/>
      <c r="JQ49" s="84"/>
      <c r="JR49" s="84"/>
      <c r="JS49" s="84"/>
      <c r="JT49" s="84"/>
      <c r="JU49" s="84"/>
      <c r="JV49" s="84"/>
      <c r="JW49" s="84"/>
      <c r="JX49" s="84"/>
      <c r="JY49" s="84"/>
      <c r="JZ49" s="84"/>
      <c r="KA49" s="84"/>
      <c r="KB49" s="84"/>
      <c r="KC49" s="84"/>
      <c r="KD49" s="84"/>
      <c r="KE49" s="84"/>
      <c r="KF49" s="84"/>
      <c r="KG49" s="84"/>
      <c r="KH49" s="84"/>
      <c r="KI49" s="84"/>
      <c r="KJ49" s="84"/>
      <c r="KK49" s="84"/>
      <c r="KL49" s="84"/>
      <c r="KM49" s="84"/>
      <c r="KN49" s="84"/>
      <c r="KO49" s="84"/>
      <c r="KP49" s="84"/>
      <c r="KQ49" s="84"/>
      <c r="KR49" s="84"/>
      <c r="KS49" s="84"/>
      <c r="KT49" s="84"/>
      <c r="KU49" s="84"/>
      <c r="KV49" s="84"/>
      <c r="KW49" s="84"/>
      <c r="KX49" s="84"/>
      <c r="KY49" s="84"/>
      <c r="KZ49" s="84"/>
      <c r="LA49" s="84"/>
      <c r="LB49" s="84"/>
      <c r="LC49" s="84"/>
      <c r="LD49" s="84"/>
      <c r="LE49" s="84"/>
      <c r="LF49" s="84"/>
      <c r="LG49" s="84"/>
      <c r="LH49" s="84"/>
      <c r="LI49" s="84"/>
      <c r="LJ49" s="84"/>
      <c r="LK49" s="84"/>
      <c r="LL49" s="84"/>
      <c r="LM49" s="84"/>
      <c r="LN49" s="84"/>
      <c r="LO49" s="84"/>
      <c r="LP49" s="84"/>
      <c r="LQ49" s="84"/>
      <c r="LR49" s="84"/>
      <c r="LS49" s="84"/>
      <c r="LT49" s="84"/>
      <c r="LU49" s="84"/>
      <c r="LV49" s="84"/>
      <c r="LW49" s="84"/>
      <c r="LX49" s="84"/>
      <c r="LY49" s="84"/>
      <c r="LZ49" s="84"/>
      <c r="MA49" s="84"/>
      <c r="MB49" s="84"/>
      <c r="MC49" s="84"/>
      <c r="MD49" s="84"/>
      <c r="ME49" s="84"/>
      <c r="MF49" s="84"/>
      <c r="MG49" s="84"/>
      <c r="MH49" s="84"/>
      <c r="MI49" s="84"/>
      <c r="MJ49" s="84"/>
      <c r="MK49" s="84"/>
      <c r="ML49" s="84"/>
      <c r="MM49" s="84"/>
      <c r="MN49" s="84"/>
      <c r="MO49" s="84"/>
      <c r="MP49" s="84"/>
      <c r="MQ49" s="84"/>
      <c r="MR49" s="84"/>
      <c r="MS49" s="84"/>
      <c r="MT49" s="84"/>
      <c r="MU49" s="84"/>
      <c r="MV49" s="84"/>
      <c r="MW49" s="84"/>
      <c r="MX49" s="84"/>
      <c r="MY49" s="84"/>
      <c r="MZ49" s="84"/>
      <c r="NA49" s="84"/>
      <c r="NB49" s="84"/>
      <c r="NC49" s="84"/>
      <c r="ND49" s="84"/>
      <c r="NE49" s="84"/>
      <c r="NF49" s="84"/>
      <c r="NG49" s="84"/>
      <c r="NH49" s="84"/>
      <c r="NI49" s="84"/>
      <c r="NJ49" s="84"/>
      <c r="NK49" s="84"/>
      <c r="NL49" s="84"/>
      <c r="NM49" s="84"/>
      <c r="NN49" s="84"/>
      <c r="NO49" s="84"/>
      <c r="NP49" s="84"/>
      <c r="NQ49" s="84"/>
      <c r="NR49" s="84"/>
      <c r="NS49" s="84"/>
      <c r="NT49" s="84"/>
      <c r="NU49" s="84"/>
      <c r="NV49" s="84"/>
      <c r="NW49" s="84"/>
      <c r="NX49" s="84"/>
      <c r="NY49" s="84"/>
      <c r="NZ49" s="84"/>
      <c r="OA49" s="84"/>
      <c r="OB49" s="84"/>
      <c r="OC49" s="84"/>
      <c r="OD49" s="84"/>
      <c r="OE49" s="84"/>
      <c r="OF49" s="84"/>
      <c r="OG49" s="84"/>
      <c r="OH49" s="84"/>
      <c r="OI49" s="84"/>
      <c r="OJ49" s="84"/>
      <c r="OK49" s="84"/>
      <c r="OL49" s="84"/>
      <c r="OM49" s="84"/>
      <c r="ON49" s="84"/>
      <c r="OO49" s="84"/>
      <c r="OP49" s="84"/>
      <c r="OQ49" s="84"/>
      <c r="OR49" s="84"/>
      <c r="OS49" s="84"/>
      <c r="OT49" s="84"/>
      <c r="OU49" s="84"/>
      <c r="OV49" s="84"/>
      <c r="OW49" s="84"/>
      <c r="OX49" s="84"/>
      <c r="OY49" s="84"/>
      <c r="OZ49" s="84"/>
      <c r="PA49" s="84"/>
      <c r="PB49" s="84"/>
      <c r="PC49" s="84"/>
      <c r="PD49" s="84"/>
      <c r="PE49" s="84"/>
      <c r="PF49" s="84"/>
      <c r="PG49" s="84"/>
      <c r="PH49" s="84"/>
      <c r="PI49" s="84"/>
      <c r="PJ49" s="84"/>
      <c r="PK49" s="84"/>
      <c r="PL49" s="84"/>
      <c r="PM49" s="84"/>
      <c r="PN49" s="84"/>
      <c r="PO49" s="84"/>
      <c r="PP49" s="84"/>
      <c r="PQ49" s="84"/>
      <c r="PR49" s="84"/>
      <c r="PS49" s="84"/>
      <c r="PT49" s="84"/>
      <c r="PU49" s="84"/>
      <c r="PV49" s="84"/>
      <c r="PW49" s="84"/>
      <c r="PX49" s="84"/>
      <c r="PY49" s="84"/>
      <c r="PZ49" s="84"/>
      <c r="QA49" s="84"/>
      <c r="QB49" s="84"/>
      <c r="QC49" s="84"/>
    </row>
    <row r="50" spans="1:445" s="85" customFormat="1" ht="17.25" thickBot="1" x14ac:dyDescent="0.35">
      <c r="A50" s="92">
        <v>27</v>
      </c>
      <c r="B50" s="110"/>
      <c r="C50" s="110"/>
      <c r="D50" s="1183"/>
      <c r="E50" s="110"/>
      <c r="F50" s="111"/>
      <c r="G50" s="54"/>
      <c r="H50" s="54"/>
      <c r="I50" s="54"/>
      <c r="J50" s="54"/>
      <c r="K50" s="54"/>
      <c r="L50" s="54"/>
      <c r="M50" s="46"/>
      <c r="N50" s="46"/>
      <c r="O50" s="46"/>
      <c r="P50" s="46"/>
      <c r="Q50" s="46"/>
      <c r="R50" s="46"/>
      <c r="S50" s="46"/>
      <c r="T50" s="101"/>
      <c r="U50" s="103"/>
      <c r="V50" s="103"/>
      <c r="W50" s="104"/>
      <c r="X50" s="84"/>
      <c r="Y50" s="84"/>
      <c r="Z50" s="84"/>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row>
    <row r="51" spans="1:445" s="85" customFormat="1" x14ac:dyDescent="0.3">
      <c r="A51" s="92">
        <v>27</v>
      </c>
      <c r="B51" s="110"/>
      <c r="C51" s="110"/>
      <c r="D51" s="1183"/>
      <c r="E51" s="110"/>
      <c r="F51" s="111"/>
      <c r="G51" s="54"/>
      <c r="H51" s="54"/>
      <c r="I51" s="54"/>
      <c r="J51" s="54"/>
      <c r="K51" s="54"/>
      <c r="L51" s="54"/>
      <c r="M51" s="46"/>
      <c r="N51" s="46"/>
      <c r="O51" s="46"/>
      <c r="P51" s="46"/>
      <c r="Q51" s="46"/>
      <c r="R51" s="46"/>
      <c r="S51" s="46"/>
      <c r="T51" s="101"/>
      <c r="U51" s="105"/>
      <c r="V51" s="105"/>
      <c r="W51" s="105"/>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c r="BD51" s="84"/>
      <c r="BE51" s="84"/>
      <c r="BF51" s="84"/>
      <c r="BG51" s="84"/>
      <c r="BH51" s="84"/>
      <c r="BI51" s="84"/>
      <c r="BJ51" s="84"/>
      <c r="BK51" s="84"/>
      <c r="BL51" s="84"/>
      <c r="BM51" s="84"/>
      <c r="BN51" s="84"/>
      <c r="BO51" s="84"/>
      <c r="BP51" s="84"/>
      <c r="BQ51" s="84"/>
      <c r="BR51" s="84"/>
      <c r="BS51" s="84"/>
      <c r="BT51" s="84"/>
      <c r="BU51" s="84"/>
      <c r="BV51" s="84"/>
      <c r="BW51" s="84"/>
      <c r="BX51" s="84"/>
      <c r="BY51" s="84"/>
      <c r="BZ51" s="84"/>
      <c r="CA51" s="84"/>
      <c r="CB51" s="84"/>
      <c r="CC51" s="84"/>
      <c r="CD51" s="84"/>
      <c r="CE51" s="84"/>
      <c r="CF51" s="84"/>
      <c r="CG51" s="84"/>
      <c r="CH51" s="84"/>
      <c r="CI51" s="84"/>
      <c r="CJ51" s="84"/>
      <c r="CK51" s="84"/>
      <c r="CL51" s="84"/>
      <c r="CM51" s="84"/>
      <c r="CN51" s="84"/>
      <c r="CO51" s="84"/>
      <c r="CP51" s="84"/>
      <c r="CQ51" s="84"/>
      <c r="CR51" s="84"/>
      <c r="CS51" s="84"/>
      <c r="CT51" s="84"/>
      <c r="CU51" s="84"/>
      <c r="CV51" s="84"/>
      <c r="CW51" s="84"/>
      <c r="CX51" s="84"/>
      <c r="CY51" s="84"/>
      <c r="CZ51" s="84"/>
      <c r="DA51" s="84"/>
      <c r="DB51" s="84"/>
      <c r="DC51" s="84"/>
      <c r="DD51" s="84"/>
      <c r="DE51" s="84"/>
      <c r="DF51" s="84"/>
      <c r="DG51" s="84"/>
      <c r="DH51" s="84"/>
      <c r="DI51" s="84"/>
      <c r="DJ51" s="84"/>
      <c r="DK51" s="84"/>
      <c r="DL51" s="84"/>
      <c r="DM51" s="84"/>
      <c r="DN51" s="84"/>
      <c r="DO51" s="84"/>
      <c r="DP51" s="84"/>
      <c r="DQ51" s="84"/>
      <c r="DR51" s="84"/>
      <c r="DS51" s="84"/>
      <c r="DT51" s="84"/>
      <c r="DU51" s="84"/>
      <c r="DV51" s="84"/>
      <c r="DW51" s="84"/>
      <c r="DX51" s="84"/>
      <c r="DY51" s="84"/>
      <c r="DZ51" s="84"/>
      <c r="EA51" s="84"/>
      <c r="EB51" s="84"/>
      <c r="EC51" s="84"/>
      <c r="ED51" s="84"/>
      <c r="EE51" s="84"/>
      <c r="EF51" s="84"/>
      <c r="EG51" s="84"/>
      <c r="EH51" s="84"/>
      <c r="EI51" s="84"/>
      <c r="EJ51" s="84"/>
      <c r="EK51" s="84"/>
      <c r="EL51" s="84"/>
      <c r="EM51" s="84"/>
      <c r="EN51" s="84"/>
      <c r="EO51" s="84"/>
      <c r="EP51" s="84"/>
      <c r="EQ51" s="84"/>
      <c r="ER51" s="84"/>
      <c r="ES51" s="84"/>
      <c r="ET51" s="84"/>
      <c r="EU51" s="84"/>
      <c r="EV51" s="84"/>
      <c r="EW51" s="84"/>
      <c r="EX51" s="84"/>
      <c r="EY51" s="84"/>
      <c r="EZ51" s="84"/>
      <c r="FA51" s="84"/>
      <c r="FB51" s="84"/>
      <c r="FC51" s="84"/>
      <c r="FD51" s="84"/>
      <c r="FE51" s="84"/>
      <c r="FF51" s="84"/>
      <c r="FG51" s="84"/>
      <c r="FH51" s="84"/>
      <c r="FI51" s="84"/>
      <c r="FJ51" s="84"/>
      <c r="FK51" s="84"/>
      <c r="FL51" s="84"/>
      <c r="FM51" s="84"/>
      <c r="FN51" s="84"/>
      <c r="FO51" s="84"/>
      <c r="FP51" s="84"/>
      <c r="FQ51" s="84"/>
      <c r="FR51" s="84"/>
      <c r="FS51" s="84"/>
      <c r="FT51" s="84"/>
      <c r="FU51" s="84"/>
      <c r="FV51" s="84"/>
      <c r="FW51" s="84"/>
      <c r="FX51" s="84"/>
      <c r="FY51" s="84"/>
      <c r="FZ51" s="84"/>
      <c r="GA51" s="84"/>
      <c r="GB51" s="84"/>
      <c r="GC51" s="84"/>
      <c r="GD51" s="84"/>
      <c r="GE51" s="84"/>
      <c r="GF51" s="84"/>
      <c r="GG51" s="84"/>
      <c r="GH51" s="84"/>
      <c r="GI51" s="84"/>
      <c r="GJ51" s="84"/>
      <c r="GK51" s="84"/>
      <c r="GL51" s="84"/>
      <c r="GM51" s="84"/>
      <c r="GN51" s="84"/>
      <c r="GO51" s="84"/>
      <c r="GP51" s="84"/>
      <c r="GQ51" s="84"/>
      <c r="GR51" s="84"/>
      <c r="GS51" s="84"/>
      <c r="GT51" s="84"/>
      <c r="GU51" s="84"/>
      <c r="GV51" s="84"/>
      <c r="GW51" s="84"/>
      <c r="GX51" s="84"/>
      <c r="GY51" s="84"/>
      <c r="GZ51" s="84"/>
      <c r="HA51" s="84"/>
      <c r="HB51" s="84"/>
      <c r="HC51" s="84"/>
      <c r="HD51" s="84"/>
      <c r="HE51" s="84"/>
      <c r="HF51" s="84"/>
      <c r="HG51" s="84"/>
      <c r="HH51" s="84"/>
      <c r="HI51" s="84"/>
      <c r="HJ51" s="84"/>
      <c r="HK51" s="84"/>
      <c r="HL51" s="84"/>
      <c r="HM51" s="84"/>
      <c r="HN51" s="84"/>
      <c r="HO51" s="84"/>
      <c r="HP51" s="84"/>
      <c r="HQ51" s="84"/>
      <c r="HR51" s="84"/>
      <c r="HS51" s="84"/>
      <c r="HT51" s="84"/>
      <c r="HU51" s="84"/>
      <c r="HV51" s="84"/>
      <c r="HW51" s="84"/>
      <c r="HX51" s="84"/>
      <c r="HY51" s="84"/>
      <c r="HZ51" s="84"/>
      <c r="IA51" s="84"/>
      <c r="IB51" s="84"/>
      <c r="IC51" s="84"/>
      <c r="ID51" s="84"/>
      <c r="IE51" s="84"/>
      <c r="IF51" s="84"/>
      <c r="IG51" s="84"/>
      <c r="IH51" s="84"/>
      <c r="II51" s="84"/>
      <c r="IJ51" s="84"/>
      <c r="IK51" s="84"/>
      <c r="IL51" s="84"/>
      <c r="IM51" s="84"/>
      <c r="IN51" s="84"/>
      <c r="IO51" s="84"/>
      <c r="IP51" s="84"/>
      <c r="IQ51" s="84"/>
      <c r="IR51" s="84"/>
      <c r="IS51" s="84"/>
      <c r="IT51" s="84"/>
      <c r="IU51" s="84"/>
      <c r="IV51" s="84"/>
      <c r="IW51" s="84"/>
      <c r="IX51" s="84"/>
      <c r="IY51" s="84"/>
      <c r="IZ51" s="84"/>
      <c r="JA51" s="84"/>
      <c r="JB51" s="84"/>
      <c r="JC51" s="84"/>
      <c r="JD51" s="84"/>
      <c r="JE51" s="84"/>
      <c r="JF51" s="84"/>
      <c r="JG51" s="84"/>
      <c r="JH51" s="84"/>
      <c r="JI51" s="84"/>
      <c r="JJ51" s="84"/>
      <c r="JK51" s="84"/>
      <c r="JL51" s="84"/>
      <c r="JM51" s="84"/>
      <c r="JN51" s="84"/>
      <c r="JO51" s="84"/>
      <c r="JP51" s="84"/>
      <c r="JQ51" s="84"/>
      <c r="JR51" s="84"/>
      <c r="JS51" s="84"/>
      <c r="JT51" s="84"/>
      <c r="JU51" s="84"/>
      <c r="JV51" s="84"/>
      <c r="JW51" s="84"/>
      <c r="JX51" s="84"/>
      <c r="JY51" s="84"/>
      <c r="JZ51" s="84"/>
      <c r="KA51" s="84"/>
      <c r="KB51" s="84"/>
      <c r="KC51" s="84"/>
      <c r="KD51" s="84"/>
      <c r="KE51" s="84"/>
      <c r="KF51" s="84"/>
      <c r="KG51" s="84"/>
      <c r="KH51" s="84"/>
      <c r="KI51" s="84"/>
      <c r="KJ51" s="84"/>
      <c r="KK51" s="84"/>
      <c r="KL51" s="84"/>
      <c r="KM51" s="84"/>
      <c r="KN51" s="84"/>
      <c r="KO51" s="84"/>
      <c r="KP51" s="84"/>
      <c r="KQ51" s="84"/>
      <c r="KR51" s="84"/>
      <c r="KS51" s="84"/>
      <c r="KT51" s="84"/>
      <c r="KU51" s="84"/>
      <c r="KV51" s="84"/>
      <c r="KW51" s="84"/>
      <c r="KX51" s="84"/>
      <c r="KY51" s="84"/>
      <c r="KZ51" s="84"/>
      <c r="LA51" s="84"/>
      <c r="LB51" s="84"/>
      <c r="LC51" s="84"/>
      <c r="LD51" s="84"/>
      <c r="LE51" s="84"/>
      <c r="LF51" s="84"/>
      <c r="LG51" s="84"/>
      <c r="LH51" s="84"/>
      <c r="LI51" s="84"/>
      <c r="LJ51" s="84"/>
      <c r="LK51" s="84"/>
      <c r="LL51" s="84"/>
      <c r="LM51" s="84"/>
      <c r="LN51" s="84"/>
      <c r="LO51" s="84"/>
      <c r="LP51" s="84"/>
      <c r="LQ51" s="84"/>
      <c r="LR51" s="84"/>
      <c r="LS51" s="84"/>
      <c r="LT51" s="84"/>
      <c r="LU51" s="84"/>
      <c r="LV51" s="84"/>
      <c r="LW51" s="84"/>
      <c r="LX51" s="84"/>
      <c r="LY51" s="84"/>
      <c r="LZ51" s="84"/>
      <c r="MA51" s="84"/>
      <c r="MB51" s="84"/>
      <c r="MC51" s="84"/>
      <c r="MD51" s="84"/>
      <c r="ME51" s="84"/>
      <c r="MF51" s="84"/>
      <c r="MG51" s="84"/>
      <c r="MH51" s="84"/>
      <c r="MI51" s="84"/>
      <c r="MJ51" s="84"/>
      <c r="MK51" s="84"/>
      <c r="ML51" s="84"/>
      <c r="MM51" s="84"/>
      <c r="MN51" s="84"/>
      <c r="MO51" s="84"/>
      <c r="MP51" s="84"/>
      <c r="MQ51" s="84"/>
      <c r="MR51" s="84"/>
      <c r="MS51" s="84"/>
      <c r="MT51" s="84"/>
      <c r="MU51" s="84"/>
      <c r="MV51" s="84"/>
      <c r="MW51" s="84"/>
      <c r="MX51" s="84"/>
      <c r="MY51" s="84"/>
      <c r="MZ51" s="84"/>
      <c r="NA51" s="84"/>
      <c r="NB51" s="84"/>
      <c r="NC51" s="84"/>
      <c r="ND51" s="84"/>
      <c r="NE51" s="84"/>
      <c r="NF51" s="84"/>
      <c r="NG51" s="84"/>
      <c r="NH51" s="84"/>
      <c r="NI51" s="84"/>
      <c r="NJ51" s="84"/>
      <c r="NK51" s="84"/>
      <c r="NL51" s="84"/>
      <c r="NM51" s="84"/>
      <c r="NN51" s="84"/>
      <c r="NO51" s="84"/>
      <c r="NP51" s="84"/>
      <c r="NQ51" s="84"/>
      <c r="NR51" s="84"/>
      <c r="NS51" s="84"/>
      <c r="NT51" s="84"/>
      <c r="NU51" s="84"/>
      <c r="NV51" s="84"/>
      <c r="NW51" s="84"/>
      <c r="NX51" s="84"/>
      <c r="NY51" s="84"/>
      <c r="NZ51" s="84"/>
      <c r="OA51" s="84"/>
      <c r="OB51" s="84"/>
      <c r="OC51" s="84"/>
      <c r="OD51" s="84"/>
      <c r="OE51" s="84"/>
      <c r="OF51" s="84"/>
      <c r="OG51" s="84"/>
      <c r="OH51" s="84"/>
      <c r="OI51" s="84"/>
      <c r="OJ51" s="84"/>
      <c r="OK51" s="84"/>
      <c r="OL51" s="84"/>
      <c r="OM51" s="84"/>
      <c r="ON51" s="84"/>
      <c r="OO51" s="84"/>
      <c r="OP51" s="84"/>
      <c r="OQ51" s="84"/>
      <c r="OR51" s="84"/>
      <c r="OS51" s="84"/>
      <c r="OT51" s="84"/>
      <c r="OU51" s="84"/>
      <c r="OV51" s="84"/>
      <c r="OW51" s="84"/>
      <c r="OX51" s="84"/>
      <c r="OY51" s="84"/>
      <c r="OZ51" s="84"/>
      <c r="PA51" s="84"/>
      <c r="PB51" s="84"/>
      <c r="PC51" s="84"/>
      <c r="PD51" s="84"/>
      <c r="PE51" s="84"/>
      <c r="PF51" s="84"/>
      <c r="PG51" s="84"/>
      <c r="PH51" s="84"/>
      <c r="PI51" s="84"/>
      <c r="PJ51" s="84"/>
      <c r="PK51" s="84"/>
      <c r="PL51" s="84"/>
      <c r="PM51" s="84"/>
      <c r="PN51" s="84"/>
      <c r="PO51" s="84"/>
      <c r="PP51" s="84"/>
      <c r="PQ51" s="84"/>
      <c r="PR51" s="84"/>
      <c r="PS51" s="84"/>
      <c r="PT51" s="84"/>
      <c r="PU51" s="84"/>
      <c r="PV51" s="84"/>
      <c r="PW51" s="84"/>
      <c r="PX51" s="84"/>
      <c r="PY51" s="84"/>
      <c r="PZ51" s="84"/>
      <c r="QA51" s="84"/>
      <c r="QB51" s="84"/>
      <c r="QC51" s="84"/>
    </row>
    <row r="52" spans="1:445" s="85" customFormat="1" x14ac:dyDescent="0.3">
      <c r="A52" s="92">
        <v>27</v>
      </c>
      <c r="B52" s="110"/>
      <c r="C52" s="110"/>
      <c r="D52" s="1183"/>
      <c r="E52" s="110"/>
      <c r="F52" s="111"/>
      <c r="G52" s="54"/>
      <c r="H52" s="54"/>
      <c r="I52" s="54"/>
      <c r="J52" s="54"/>
      <c r="K52" s="54"/>
      <c r="L52" s="54"/>
      <c r="M52" s="46"/>
      <c r="N52" s="46"/>
      <c r="O52" s="46"/>
      <c r="P52" s="46"/>
      <c r="Q52" s="46"/>
      <c r="R52" s="46"/>
      <c r="S52" s="46"/>
      <c r="T52" s="101"/>
      <c r="U52" s="102"/>
      <c r="V52" s="102"/>
      <c r="W52" s="102"/>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c r="BD52" s="84"/>
      <c r="BE52" s="84"/>
      <c r="BF52" s="84"/>
      <c r="BG52" s="84"/>
      <c r="BH52" s="84"/>
      <c r="BI52" s="84"/>
      <c r="BJ52" s="84"/>
      <c r="BK52" s="84"/>
      <c r="BL52" s="84"/>
      <c r="BM52" s="84"/>
      <c r="BN52" s="84"/>
      <c r="BO52" s="84"/>
      <c r="BP52" s="84"/>
      <c r="BQ52" s="84"/>
      <c r="BR52" s="84"/>
      <c r="BS52" s="84"/>
      <c r="BT52" s="84"/>
      <c r="BU52" s="84"/>
      <c r="BV52" s="84"/>
      <c r="BW52" s="84"/>
      <c r="BX52" s="84"/>
      <c r="BY52" s="84"/>
      <c r="BZ52" s="84"/>
      <c r="CA52" s="84"/>
      <c r="CB52" s="84"/>
      <c r="CC52" s="84"/>
      <c r="CD52" s="84"/>
      <c r="CE52" s="84"/>
      <c r="CF52" s="84"/>
      <c r="CG52" s="84"/>
      <c r="CH52" s="84"/>
      <c r="CI52" s="84"/>
      <c r="CJ52" s="84"/>
      <c r="CK52" s="84"/>
      <c r="CL52" s="84"/>
      <c r="CM52" s="84"/>
      <c r="CN52" s="84"/>
      <c r="CO52" s="84"/>
      <c r="CP52" s="84"/>
      <c r="CQ52" s="84"/>
      <c r="CR52" s="84"/>
      <c r="CS52" s="84"/>
      <c r="CT52" s="84"/>
      <c r="CU52" s="84"/>
      <c r="CV52" s="84"/>
      <c r="CW52" s="84"/>
      <c r="CX52" s="84"/>
      <c r="CY52" s="84"/>
      <c r="CZ52" s="84"/>
      <c r="DA52" s="84"/>
      <c r="DB52" s="84"/>
      <c r="DC52" s="84"/>
      <c r="DD52" s="84"/>
      <c r="DE52" s="84"/>
      <c r="DF52" s="84"/>
      <c r="DG52" s="84"/>
      <c r="DH52" s="84"/>
      <c r="DI52" s="84"/>
      <c r="DJ52" s="84"/>
      <c r="DK52" s="84"/>
      <c r="DL52" s="84"/>
      <c r="DM52" s="84"/>
      <c r="DN52" s="84"/>
      <c r="DO52" s="84"/>
      <c r="DP52" s="84"/>
      <c r="DQ52" s="84"/>
      <c r="DR52" s="84"/>
      <c r="DS52" s="84"/>
      <c r="DT52" s="84"/>
      <c r="DU52" s="84"/>
      <c r="DV52" s="84"/>
      <c r="DW52" s="84"/>
      <c r="DX52" s="84"/>
      <c r="DY52" s="84"/>
      <c r="DZ52" s="84"/>
      <c r="EA52" s="84"/>
      <c r="EB52" s="84"/>
      <c r="EC52" s="84"/>
      <c r="ED52" s="84"/>
      <c r="EE52" s="84"/>
      <c r="EF52" s="84"/>
      <c r="EG52" s="84"/>
      <c r="EH52" s="84"/>
      <c r="EI52" s="84"/>
      <c r="EJ52" s="84"/>
      <c r="EK52" s="84"/>
      <c r="EL52" s="84"/>
      <c r="EM52" s="84"/>
      <c r="EN52" s="84"/>
      <c r="EO52" s="84"/>
      <c r="EP52" s="84"/>
      <c r="EQ52" s="84"/>
      <c r="ER52" s="84"/>
      <c r="ES52" s="84"/>
      <c r="ET52" s="84"/>
      <c r="EU52" s="84"/>
      <c r="EV52" s="84"/>
      <c r="EW52" s="84"/>
      <c r="EX52" s="84"/>
      <c r="EY52" s="84"/>
      <c r="EZ52" s="84"/>
      <c r="FA52" s="84"/>
      <c r="FB52" s="84"/>
      <c r="FC52" s="84"/>
      <c r="FD52" s="84"/>
      <c r="FE52" s="84"/>
      <c r="FF52" s="84"/>
      <c r="FG52" s="84"/>
      <c r="FH52" s="84"/>
      <c r="FI52" s="84"/>
      <c r="FJ52" s="84"/>
      <c r="FK52" s="84"/>
      <c r="FL52" s="84"/>
      <c r="FM52" s="84"/>
      <c r="FN52" s="84"/>
      <c r="FO52" s="84"/>
      <c r="FP52" s="84"/>
      <c r="FQ52" s="84"/>
      <c r="FR52" s="84"/>
      <c r="FS52" s="84"/>
      <c r="FT52" s="84"/>
      <c r="FU52" s="84"/>
      <c r="FV52" s="84"/>
      <c r="FW52" s="84"/>
      <c r="FX52" s="84"/>
      <c r="FY52" s="84"/>
      <c r="FZ52" s="84"/>
      <c r="GA52" s="84"/>
      <c r="GB52" s="84"/>
      <c r="GC52" s="84"/>
      <c r="GD52" s="84"/>
      <c r="GE52" s="84"/>
      <c r="GF52" s="84"/>
      <c r="GG52" s="84"/>
      <c r="GH52" s="84"/>
      <c r="GI52" s="84"/>
      <c r="GJ52" s="84"/>
      <c r="GK52" s="84"/>
      <c r="GL52" s="84"/>
      <c r="GM52" s="84"/>
      <c r="GN52" s="84"/>
      <c r="GO52" s="84"/>
      <c r="GP52" s="84"/>
      <c r="GQ52" s="84"/>
      <c r="GR52" s="84"/>
      <c r="GS52" s="84"/>
      <c r="GT52" s="84"/>
      <c r="GU52" s="84"/>
      <c r="GV52" s="84"/>
      <c r="GW52" s="84"/>
      <c r="GX52" s="84"/>
      <c r="GY52" s="84"/>
      <c r="GZ52" s="84"/>
      <c r="HA52" s="84"/>
      <c r="HB52" s="84"/>
      <c r="HC52" s="84"/>
      <c r="HD52" s="84"/>
      <c r="HE52" s="84"/>
      <c r="HF52" s="84"/>
      <c r="HG52" s="84"/>
      <c r="HH52" s="84"/>
      <c r="HI52" s="84"/>
      <c r="HJ52" s="84"/>
      <c r="HK52" s="84"/>
      <c r="HL52" s="84"/>
      <c r="HM52" s="84"/>
      <c r="HN52" s="84"/>
      <c r="HO52" s="84"/>
      <c r="HP52" s="84"/>
      <c r="HQ52" s="84"/>
      <c r="HR52" s="84"/>
      <c r="HS52" s="84"/>
      <c r="HT52" s="84"/>
      <c r="HU52" s="84"/>
      <c r="HV52" s="84"/>
      <c r="HW52" s="84"/>
      <c r="HX52" s="84"/>
      <c r="HY52" s="84"/>
      <c r="HZ52" s="84"/>
      <c r="IA52" s="84"/>
      <c r="IB52" s="84"/>
      <c r="IC52" s="84"/>
      <c r="ID52" s="84"/>
      <c r="IE52" s="84"/>
      <c r="IF52" s="84"/>
      <c r="IG52" s="84"/>
      <c r="IH52" s="84"/>
      <c r="II52" s="84"/>
      <c r="IJ52" s="84"/>
      <c r="IK52" s="84"/>
      <c r="IL52" s="84"/>
      <c r="IM52" s="84"/>
      <c r="IN52" s="84"/>
      <c r="IO52" s="84"/>
      <c r="IP52" s="84"/>
      <c r="IQ52" s="84"/>
      <c r="IR52" s="84"/>
      <c r="IS52" s="84"/>
      <c r="IT52" s="84"/>
      <c r="IU52" s="84"/>
      <c r="IV52" s="84"/>
      <c r="IW52" s="84"/>
      <c r="IX52" s="84"/>
      <c r="IY52" s="84"/>
      <c r="IZ52" s="84"/>
      <c r="JA52" s="84"/>
      <c r="JB52" s="84"/>
      <c r="JC52" s="84"/>
      <c r="JD52" s="84"/>
      <c r="JE52" s="84"/>
      <c r="JF52" s="84"/>
      <c r="JG52" s="84"/>
      <c r="JH52" s="84"/>
      <c r="JI52" s="84"/>
      <c r="JJ52" s="84"/>
      <c r="JK52" s="84"/>
      <c r="JL52" s="84"/>
      <c r="JM52" s="84"/>
      <c r="JN52" s="84"/>
      <c r="JO52" s="84"/>
      <c r="JP52" s="84"/>
      <c r="JQ52" s="84"/>
      <c r="JR52" s="84"/>
      <c r="JS52" s="84"/>
      <c r="JT52" s="84"/>
      <c r="JU52" s="84"/>
      <c r="JV52" s="84"/>
      <c r="JW52" s="84"/>
      <c r="JX52" s="84"/>
      <c r="JY52" s="84"/>
      <c r="JZ52" s="84"/>
      <c r="KA52" s="84"/>
      <c r="KB52" s="84"/>
      <c r="KC52" s="84"/>
      <c r="KD52" s="84"/>
      <c r="KE52" s="84"/>
      <c r="KF52" s="84"/>
      <c r="KG52" s="84"/>
      <c r="KH52" s="84"/>
      <c r="KI52" s="84"/>
      <c r="KJ52" s="84"/>
      <c r="KK52" s="84"/>
      <c r="KL52" s="84"/>
      <c r="KM52" s="84"/>
      <c r="KN52" s="84"/>
      <c r="KO52" s="84"/>
      <c r="KP52" s="84"/>
      <c r="KQ52" s="84"/>
      <c r="KR52" s="84"/>
      <c r="KS52" s="84"/>
      <c r="KT52" s="84"/>
      <c r="KU52" s="84"/>
      <c r="KV52" s="84"/>
      <c r="KW52" s="84"/>
      <c r="KX52" s="84"/>
      <c r="KY52" s="84"/>
      <c r="KZ52" s="84"/>
      <c r="LA52" s="84"/>
      <c r="LB52" s="84"/>
      <c r="LC52" s="84"/>
      <c r="LD52" s="84"/>
      <c r="LE52" s="84"/>
      <c r="LF52" s="84"/>
      <c r="LG52" s="84"/>
      <c r="LH52" s="84"/>
      <c r="LI52" s="84"/>
      <c r="LJ52" s="84"/>
      <c r="LK52" s="84"/>
      <c r="LL52" s="84"/>
      <c r="LM52" s="84"/>
      <c r="LN52" s="84"/>
      <c r="LO52" s="84"/>
      <c r="LP52" s="84"/>
      <c r="LQ52" s="84"/>
      <c r="LR52" s="84"/>
      <c r="LS52" s="84"/>
      <c r="LT52" s="84"/>
      <c r="LU52" s="84"/>
      <c r="LV52" s="84"/>
      <c r="LW52" s="84"/>
      <c r="LX52" s="84"/>
      <c r="LY52" s="84"/>
      <c r="LZ52" s="84"/>
      <c r="MA52" s="84"/>
      <c r="MB52" s="84"/>
      <c r="MC52" s="84"/>
      <c r="MD52" s="84"/>
      <c r="ME52" s="84"/>
      <c r="MF52" s="84"/>
      <c r="MG52" s="84"/>
      <c r="MH52" s="84"/>
      <c r="MI52" s="84"/>
      <c r="MJ52" s="84"/>
      <c r="MK52" s="84"/>
      <c r="ML52" s="84"/>
      <c r="MM52" s="84"/>
      <c r="MN52" s="84"/>
      <c r="MO52" s="84"/>
      <c r="MP52" s="84"/>
      <c r="MQ52" s="84"/>
      <c r="MR52" s="84"/>
      <c r="MS52" s="84"/>
      <c r="MT52" s="84"/>
      <c r="MU52" s="84"/>
      <c r="MV52" s="84"/>
      <c r="MW52" s="84"/>
      <c r="MX52" s="84"/>
      <c r="MY52" s="84"/>
      <c r="MZ52" s="84"/>
      <c r="NA52" s="84"/>
      <c r="NB52" s="84"/>
      <c r="NC52" s="84"/>
      <c r="ND52" s="84"/>
      <c r="NE52" s="84"/>
      <c r="NF52" s="84"/>
      <c r="NG52" s="84"/>
      <c r="NH52" s="84"/>
      <c r="NI52" s="84"/>
      <c r="NJ52" s="84"/>
      <c r="NK52" s="84"/>
      <c r="NL52" s="84"/>
      <c r="NM52" s="84"/>
      <c r="NN52" s="84"/>
      <c r="NO52" s="84"/>
      <c r="NP52" s="84"/>
      <c r="NQ52" s="84"/>
      <c r="NR52" s="84"/>
      <c r="NS52" s="84"/>
      <c r="NT52" s="84"/>
      <c r="NU52" s="84"/>
      <c r="NV52" s="84"/>
      <c r="NW52" s="84"/>
      <c r="NX52" s="84"/>
      <c r="NY52" s="84"/>
      <c r="NZ52" s="84"/>
      <c r="OA52" s="84"/>
      <c r="OB52" s="84"/>
      <c r="OC52" s="84"/>
      <c r="OD52" s="84"/>
      <c r="OE52" s="84"/>
      <c r="OF52" s="84"/>
      <c r="OG52" s="84"/>
      <c r="OH52" s="84"/>
      <c r="OI52" s="84"/>
      <c r="OJ52" s="84"/>
      <c r="OK52" s="84"/>
      <c r="OL52" s="84"/>
      <c r="OM52" s="84"/>
      <c r="ON52" s="84"/>
      <c r="OO52" s="84"/>
      <c r="OP52" s="84"/>
      <c r="OQ52" s="84"/>
      <c r="OR52" s="84"/>
      <c r="OS52" s="84"/>
      <c r="OT52" s="84"/>
      <c r="OU52" s="84"/>
      <c r="OV52" s="84"/>
      <c r="OW52" s="84"/>
      <c r="OX52" s="84"/>
      <c r="OY52" s="84"/>
      <c r="OZ52" s="84"/>
      <c r="PA52" s="84"/>
      <c r="PB52" s="84"/>
      <c r="PC52" s="84"/>
      <c r="PD52" s="84"/>
      <c r="PE52" s="84"/>
      <c r="PF52" s="84"/>
      <c r="PG52" s="84"/>
      <c r="PH52" s="84"/>
      <c r="PI52" s="84"/>
      <c r="PJ52" s="84"/>
      <c r="PK52" s="84"/>
      <c r="PL52" s="84"/>
      <c r="PM52" s="84"/>
      <c r="PN52" s="84"/>
      <c r="PO52" s="84"/>
      <c r="PP52" s="84"/>
      <c r="PQ52" s="84"/>
      <c r="PR52" s="84"/>
      <c r="PS52" s="84"/>
      <c r="PT52" s="84"/>
      <c r="PU52" s="84"/>
      <c r="PV52" s="84"/>
      <c r="PW52" s="84"/>
      <c r="PX52" s="84"/>
      <c r="PY52" s="84"/>
      <c r="PZ52" s="84"/>
      <c r="QA52" s="84"/>
      <c r="QB52" s="84"/>
      <c r="QC52" s="84"/>
    </row>
    <row r="53" spans="1:445" s="85" customFormat="1" x14ac:dyDescent="0.3">
      <c r="A53" s="92">
        <v>27</v>
      </c>
      <c r="B53" s="110"/>
      <c r="C53" s="110"/>
      <c r="D53" s="1183"/>
      <c r="E53" s="110"/>
      <c r="F53" s="111"/>
      <c r="G53" s="54"/>
      <c r="H53" s="54"/>
      <c r="I53" s="54"/>
      <c r="J53" s="54"/>
      <c r="K53" s="54"/>
      <c r="L53" s="54"/>
      <c r="M53" s="46"/>
      <c r="N53" s="46"/>
      <c r="O53" s="46"/>
      <c r="P53" s="46"/>
      <c r="Q53" s="46"/>
      <c r="R53" s="46"/>
      <c r="S53" s="46"/>
      <c r="T53" s="101"/>
      <c r="U53" s="102"/>
      <c r="V53" s="102"/>
      <c r="W53" s="102"/>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c r="BD53" s="84"/>
      <c r="BE53" s="84"/>
      <c r="BF53" s="84"/>
      <c r="BG53" s="84"/>
      <c r="BH53" s="84"/>
      <c r="BI53" s="84"/>
      <c r="BJ53" s="84"/>
      <c r="BK53" s="84"/>
      <c r="BL53" s="84"/>
      <c r="BM53" s="84"/>
      <c r="BN53" s="84"/>
      <c r="BO53" s="84"/>
      <c r="BP53" s="84"/>
      <c r="BQ53" s="84"/>
      <c r="BR53" s="84"/>
      <c r="BS53" s="84"/>
      <c r="BT53" s="84"/>
      <c r="BU53" s="84"/>
      <c r="BV53" s="84"/>
      <c r="BW53" s="84"/>
      <c r="BX53" s="84"/>
      <c r="BY53" s="84"/>
      <c r="BZ53" s="84"/>
      <c r="CA53" s="84"/>
      <c r="CB53" s="84"/>
      <c r="CC53" s="84"/>
      <c r="CD53" s="84"/>
      <c r="CE53" s="84"/>
      <c r="CF53" s="84"/>
      <c r="CG53" s="84"/>
      <c r="CH53" s="84"/>
      <c r="CI53" s="84"/>
      <c r="CJ53" s="84"/>
      <c r="CK53" s="84"/>
      <c r="CL53" s="84"/>
      <c r="CM53" s="84"/>
      <c r="CN53" s="84"/>
      <c r="CO53" s="84"/>
      <c r="CP53" s="84"/>
      <c r="CQ53" s="84"/>
      <c r="CR53" s="84"/>
      <c r="CS53" s="84"/>
      <c r="CT53" s="84"/>
      <c r="CU53" s="84"/>
      <c r="CV53" s="84"/>
      <c r="CW53" s="84"/>
      <c r="CX53" s="84"/>
      <c r="CY53" s="84"/>
      <c r="CZ53" s="84"/>
      <c r="DA53" s="84"/>
      <c r="DB53" s="84"/>
      <c r="DC53" s="84"/>
      <c r="DD53" s="84"/>
      <c r="DE53" s="84"/>
      <c r="DF53" s="84"/>
      <c r="DG53" s="84"/>
      <c r="DH53" s="84"/>
      <c r="DI53" s="84"/>
      <c r="DJ53" s="84"/>
      <c r="DK53" s="84"/>
      <c r="DL53" s="84"/>
      <c r="DM53" s="84"/>
      <c r="DN53" s="84"/>
      <c r="DO53" s="84"/>
      <c r="DP53" s="84"/>
      <c r="DQ53" s="84"/>
      <c r="DR53" s="84"/>
      <c r="DS53" s="84"/>
      <c r="DT53" s="84"/>
      <c r="DU53" s="84"/>
      <c r="DV53" s="84"/>
      <c r="DW53" s="84"/>
      <c r="DX53" s="84"/>
      <c r="DY53" s="84"/>
      <c r="DZ53" s="84"/>
      <c r="EA53" s="84"/>
      <c r="EB53" s="84"/>
      <c r="EC53" s="84"/>
      <c r="ED53" s="84"/>
      <c r="EE53" s="84"/>
      <c r="EF53" s="84"/>
      <c r="EG53" s="84"/>
      <c r="EH53" s="84"/>
      <c r="EI53" s="84"/>
      <c r="EJ53" s="84"/>
      <c r="EK53" s="84"/>
      <c r="EL53" s="84"/>
      <c r="EM53" s="84"/>
      <c r="EN53" s="84"/>
      <c r="EO53" s="84"/>
      <c r="EP53" s="84"/>
      <c r="EQ53" s="84"/>
      <c r="ER53" s="84"/>
      <c r="ES53" s="84"/>
      <c r="ET53" s="84"/>
      <c r="EU53" s="84"/>
      <c r="EV53" s="84"/>
      <c r="EW53" s="84"/>
      <c r="EX53" s="84"/>
      <c r="EY53" s="84"/>
      <c r="EZ53" s="84"/>
      <c r="FA53" s="84"/>
      <c r="FB53" s="84"/>
      <c r="FC53" s="84"/>
      <c r="FD53" s="84"/>
      <c r="FE53" s="84"/>
      <c r="FF53" s="84"/>
      <c r="FG53" s="84"/>
      <c r="FH53" s="84"/>
      <c r="FI53" s="84"/>
      <c r="FJ53" s="84"/>
      <c r="FK53" s="84"/>
      <c r="FL53" s="84"/>
      <c r="FM53" s="84"/>
      <c r="FN53" s="84"/>
      <c r="FO53" s="84"/>
      <c r="FP53" s="84"/>
      <c r="FQ53" s="84"/>
      <c r="FR53" s="84"/>
      <c r="FS53" s="84"/>
      <c r="FT53" s="84"/>
      <c r="FU53" s="84"/>
      <c r="FV53" s="84"/>
      <c r="FW53" s="84"/>
      <c r="FX53" s="84"/>
      <c r="FY53" s="84"/>
      <c r="FZ53" s="84"/>
      <c r="GA53" s="84"/>
      <c r="GB53" s="84"/>
      <c r="GC53" s="84"/>
      <c r="GD53" s="84"/>
      <c r="GE53" s="84"/>
      <c r="GF53" s="84"/>
      <c r="GG53" s="84"/>
      <c r="GH53" s="84"/>
      <c r="GI53" s="84"/>
      <c r="GJ53" s="84"/>
      <c r="GK53" s="84"/>
      <c r="GL53" s="84"/>
      <c r="GM53" s="84"/>
      <c r="GN53" s="84"/>
      <c r="GO53" s="84"/>
      <c r="GP53" s="84"/>
      <c r="GQ53" s="84"/>
      <c r="GR53" s="84"/>
      <c r="GS53" s="84"/>
      <c r="GT53" s="84"/>
      <c r="GU53" s="84"/>
      <c r="GV53" s="84"/>
      <c r="GW53" s="84"/>
      <c r="GX53" s="84"/>
      <c r="GY53" s="84"/>
      <c r="GZ53" s="84"/>
      <c r="HA53" s="84"/>
      <c r="HB53" s="84"/>
      <c r="HC53" s="84"/>
      <c r="HD53" s="84"/>
      <c r="HE53" s="84"/>
      <c r="HF53" s="84"/>
      <c r="HG53" s="84"/>
      <c r="HH53" s="84"/>
      <c r="HI53" s="84"/>
      <c r="HJ53" s="84"/>
      <c r="HK53" s="84"/>
      <c r="HL53" s="84"/>
      <c r="HM53" s="84"/>
      <c r="HN53" s="84"/>
      <c r="HO53" s="84"/>
      <c r="HP53" s="84"/>
      <c r="HQ53" s="84"/>
      <c r="HR53" s="84"/>
      <c r="HS53" s="84"/>
      <c r="HT53" s="84"/>
      <c r="HU53" s="84"/>
      <c r="HV53" s="84"/>
      <c r="HW53" s="84"/>
      <c r="HX53" s="84"/>
      <c r="HY53" s="84"/>
      <c r="HZ53" s="84"/>
      <c r="IA53" s="84"/>
      <c r="IB53" s="84"/>
      <c r="IC53" s="84"/>
      <c r="ID53" s="84"/>
      <c r="IE53" s="84"/>
      <c r="IF53" s="84"/>
      <c r="IG53" s="84"/>
      <c r="IH53" s="84"/>
      <c r="II53" s="84"/>
      <c r="IJ53" s="84"/>
      <c r="IK53" s="84"/>
      <c r="IL53" s="84"/>
      <c r="IM53" s="84"/>
      <c r="IN53" s="84"/>
      <c r="IO53" s="84"/>
      <c r="IP53" s="84"/>
      <c r="IQ53" s="84"/>
      <c r="IR53" s="84"/>
      <c r="IS53" s="84"/>
      <c r="IT53" s="84"/>
      <c r="IU53" s="84"/>
      <c r="IV53" s="84"/>
      <c r="IW53" s="84"/>
      <c r="IX53" s="84"/>
      <c r="IY53" s="84"/>
      <c r="IZ53" s="84"/>
      <c r="JA53" s="84"/>
      <c r="JB53" s="84"/>
      <c r="JC53" s="84"/>
      <c r="JD53" s="84"/>
      <c r="JE53" s="84"/>
      <c r="JF53" s="84"/>
      <c r="JG53" s="84"/>
      <c r="JH53" s="84"/>
      <c r="JI53" s="84"/>
      <c r="JJ53" s="84"/>
      <c r="JK53" s="84"/>
      <c r="JL53" s="84"/>
      <c r="JM53" s="84"/>
      <c r="JN53" s="84"/>
      <c r="JO53" s="84"/>
      <c r="JP53" s="84"/>
      <c r="JQ53" s="84"/>
      <c r="JR53" s="84"/>
      <c r="JS53" s="84"/>
      <c r="JT53" s="84"/>
      <c r="JU53" s="84"/>
      <c r="JV53" s="84"/>
      <c r="JW53" s="84"/>
      <c r="JX53" s="84"/>
      <c r="JY53" s="84"/>
      <c r="JZ53" s="84"/>
      <c r="KA53" s="84"/>
      <c r="KB53" s="84"/>
      <c r="KC53" s="84"/>
      <c r="KD53" s="84"/>
      <c r="KE53" s="84"/>
      <c r="KF53" s="84"/>
      <c r="KG53" s="84"/>
      <c r="KH53" s="84"/>
      <c r="KI53" s="84"/>
      <c r="KJ53" s="84"/>
      <c r="KK53" s="84"/>
      <c r="KL53" s="84"/>
      <c r="KM53" s="84"/>
      <c r="KN53" s="84"/>
      <c r="KO53" s="84"/>
      <c r="KP53" s="84"/>
      <c r="KQ53" s="84"/>
      <c r="KR53" s="84"/>
      <c r="KS53" s="84"/>
      <c r="KT53" s="84"/>
      <c r="KU53" s="84"/>
      <c r="KV53" s="84"/>
      <c r="KW53" s="84"/>
      <c r="KX53" s="84"/>
      <c r="KY53" s="84"/>
      <c r="KZ53" s="84"/>
      <c r="LA53" s="84"/>
      <c r="LB53" s="84"/>
      <c r="LC53" s="84"/>
      <c r="LD53" s="84"/>
      <c r="LE53" s="84"/>
      <c r="LF53" s="84"/>
      <c r="LG53" s="84"/>
      <c r="LH53" s="84"/>
      <c r="LI53" s="84"/>
      <c r="LJ53" s="84"/>
      <c r="LK53" s="84"/>
      <c r="LL53" s="84"/>
      <c r="LM53" s="84"/>
      <c r="LN53" s="84"/>
      <c r="LO53" s="84"/>
      <c r="LP53" s="84"/>
      <c r="LQ53" s="84"/>
      <c r="LR53" s="84"/>
      <c r="LS53" s="84"/>
      <c r="LT53" s="84"/>
      <c r="LU53" s="84"/>
      <c r="LV53" s="84"/>
      <c r="LW53" s="84"/>
      <c r="LX53" s="84"/>
      <c r="LY53" s="84"/>
      <c r="LZ53" s="84"/>
      <c r="MA53" s="84"/>
      <c r="MB53" s="84"/>
      <c r="MC53" s="84"/>
      <c r="MD53" s="84"/>
      <c r="ME53" s="84"/>
      <c r="MF53" s="84"/>
      <c r="MG53" s="84"/>
      <c r="MH53" s="84"/>
      <c r="MI53" s="84"/>
      <c r="MJ53" s="84"/>
      <c r="MK53" s="84"/>
      <c r="ML53" s="84"/>
      <c r="MM53" s="84"/>
      <c r="MN53" s="84"/>
      <c r="MO53" s="84"/>
      <c r="MP53" s="84"/>
      <c r="MQ53" s="84"/>
      <c r="MR53" s="84"/>
      <c r="MS53" s="84"/>
      <c r="MT53" s="84"/>
      <c r="MU53" s="84"/>
      <c r="MV53" s="84"/>
      <c r="MW53" s="84"/>
      <c r="MX53" s="84"/>
      <c r="MY53" s="84"/>
      <c r="MZ53" s="84"/>
      <c r="NA53" s="84"/>
      <c r="NB53" s="84"/>
      <c r="NC53" s="84"/>
      <c r="ND53" s="84"/>
      <c r="NE53" s="84"/>
      <c r="NF53" s="84"/>
      <c r="NG53" s="84"/>
      <c r="NH53" s="84"/>
      <c r="NI53" s="84"/>
      <c r="NJ53" s="84"/>
      <c r="NK53" s="84"/>
      <c r="NL53" s="84"/>
      <c r="NM53" s="84"/>
      <c r="NN53" s="84"/>
      <c r="NO53" s="84"/>
      <c r="NP53" s="84"/>
      <c r="NQ53" s="84"/>
      <c r="NR53" s="84"/>
      <c r="NS53" s="84"/>
      <c r="NT53" s="84"/>
      <c r="NU53" s="84"/>
      <c r="NV53" s="84"/>
      <c r="NW53" s="84"/>
      <c r="NX53" s="84"/>
      <c r="NY53" s="84"/>
      <c r="NZ53" s="84"/>
      <c r="OA53" s="84"/>
      <c r="OB53" s="84"/>
      <c r="OC53" s="84"/>
      <c r="OD53" s="84"/>
      <c r="OE53" s="84"/>
      <c r="OF53" s="84"/>
      <c r="OG53" s="84"/>
      <c r="OH53" s="84"/>
      <c r="OI53" s="84"/>
      <c r="OJ53" s="84"/>
      <c r="OK53" s="84"/>
      <c r="OL53" s="84"/>
      <c r="OM53" s="84"/>
      <c r="ON53" s="84"/>
      <c r="OO53" s="84"/>
      <c r="OP53" s="84"/>
      <c r="OQ53" s="84"/>
      <c r="OR53" s="84"/>
      <c r="OS53" s="84"/>
      <c r="OT53" s="84"/>
      <c r="OU53" s="84"/>
      <c r="OV53" s="84"/>
      <c r="OW53" s="84"/>
      <c r="OX53" s="84"/>
      <c r="OY53" s="84"/>
      <c r="OZ53" s="84"/>
      <c r="PA53" s="84"/>
      <c r="PB53" s="84"/>
      <c r="PC53" s="84"/>
      <c r="PD53" s="84"/>
      <c r="PE53" s="84"/>
      <c r="PF53" s="84"/>
      <c r="PG53" s="84"/>
      <c r="PH53" s="84"/>
      <c r="PI53" s="84"/>
      <c r="PJ53" s="84"/>
      <c r="PK53" s="84"/>
      <c r="PL53" s="84"/>
      <c r="PM53" s="84"/>
      <c r="PN53" s="84"/>
      <c r="PO53" s="84"/>
      <c r="PP53" s="84"/>
      <c r="PQ53" s="84"/>
      <c r="PR53" s="84"/>
      <c r="PS53" s="84"/>
      <c r="PT53" s="84"/>
      <c r="PU53" s="84"/>
      <c r="PV53" s="84"/>
      <c r="PW53" s="84"/>
      <c r="PX53" s="84"/>
      <c r="PY53" s="84"/>
      <c r="PZ53" s="84"/>
      <c r="QA53" s="84"/>
      <c r="QB53" s="84"/>
      <c r="QC53" s="84"/>
    </row>
    <row r="54" spans="1:445" s="85" customFormat="1" ht="15" x14ac:dyDescent="0.25">
      <c r="A54" s="92">
        <v>27</v>
      </c>
      <c r="B54" s="106"/>
      <c r="C54" s="81"/>
      <c r="D54" s="1184"/>
      <c r="E54" s="81"/>
      <c r="F54" s="107"/>
      <c r="G54" s="54"/>
      <c r="H54" s="54"/>
      <c r="I54" s="54"/>
      <c r="J54" s="54"/>
      <c r="K54" s="54"/>
      <c r="L54" s="54"/>
      <c r="M54" s="46"/>
      <c r="N54" s="46"/>
      <c r="O54" s="46"/>
      <c r="P54" s="46"/>
      <c r="Q54" s="46"/>
      <c r="R54" s="46"/>
      <c r="S54" s="46"/>
      <c r="T54" s="101"/>
      <c r="U54" s="102"/>
      <c r="V54" s="102"/>
      <c r="W54" s="102"/>
      <c r="X54" s="84"/>
      <c r="Y54" s="84"/>
      <c r="Z54" s="84"/>
      <c r="AA54" s="84"/>
      <c r="AB54" s="84"/>
      <c r="AC54" s="84"/>
      <c r="AD54" s="84"/>
      <c r="AE54" s="84"/>
      <c r="AF54" s="84"/>
      <c r="AG54" s="84"/>
      <c r="AH54" s="84"/>
      <c r="AI54" s="84"/>
      <c r="AJ54" s="84"/>
      <c r="AK54" s="84"/>
      <c r="AL54" s="84"/>
      <c r="AM54" s="84"/>
      <c r="AN54" s="84"/>
      <c r="AO54" s="84"/>
      <c r="AP54" s="84"/>
      <c r="AQ54" s="84"/>
      <c r="AR54" s="84"/>
      <c r="AS54" s="84"/>
      <c r="AT54" s="84"/>
      <c r="AU54" s="84"/>
      <c r="AV54" s="84"/>
      <c r="AW54" s="84"/>
      <c r="AX54" s="84"/>
      <c r="AY54" s="84"/>
      <c r="AZ54" s="84"/>
      <c r="BA54" s="84"/>
      <c r="BB54" s="84"/>
      <c r="BC54" s="84"/>
      <c r="BD54" s="84"/>
      <c r="BE54" s="84"/>
      <c r="BF54" s="84"/>
      <c r="BG54" s="84"/>
      <c r="BH54" s="84"/>
      <c r="BI54" s="84"/>
      <c r="BJ54" s="84"/>
      <c r="BK54" s="84"/>
      <c r="BL54" s="84"/>
      <c r="BM54" s="84"/>
      <c r="BN54" s="84"/>
      <c r="BO54" s="84"/>
      <c r="BP54" s="84"/>
      <c r="BQ54" s="84"/>
      <c r="BR54" s="84"/>
      <c r="BS54" s="84"/>
      <c r="BT54" s="84"/>
      <c r="BU54" s="84"/>
      <c r="BV54" s="84"/>
      <c r="BW54" s="84"/>
      <c r="BX54" s="84"/>
      <c r="BY54" s="84"/>
      <c r="BZ54" s="84"/>
      <c r="CA54" s="84"/>
      <c r="CB54" s="84"/>
      <c r="CC54" s="84"/>
      <c r="CD54" s="84"/>
      <c r="CE54" s="84"/>
      <c r="CF54" s="84"/>
      <c r="CG54" s="84"/>
      <c r="CH54" s="84"/>
      <c r="CI54" s="84"/>
      <c r="CJ54" s="84"/>
      <c r="CK54" s="84"/>
      <c r="CL54" s="84"/>
      <c r="CM54" s="84"/>
      <c r="CN54" s="84"/>
      <c r="CO54" s="84"/>
      <c r="CP54" s="84"/>
      <c r="CQ54" s="84"/>
      <c r="CR54" s="84"/>
      <c r="CS54" s="84"/>
      <c r="CT54" s="84"/>
      <c r="CU54" s="84"/>
      <c r="CV54" s="84"/>
      <c r="CW54" s="84"/>
      <c r="CX54" s="84"/>
      <c r="CY54" s="84"/>
      <c r="CZ54" s="84"/>
      <c r="DA54" s="84"/>
      <c r="DB54" s="84"/>
      <c r="DC54" s="84"/>
      <c r="DD54" s="84"/>
      <c r="DE54" s="84"/>
      <c r="DF54" s="84"/>
      <c r="DG54" s="84"/>
      <c r="DH54" s="84"/>
      <c r="DI54" s="84"/>
      <c r="DJ54" s="84"/>
      <c r="DK54" s="84"/>
      <c r="DL54" s="84"/>
      <c r="DM54" s="84"/>
      <c r="DN54" s="84"/>
      <c r="DO54" s="84"/>
      <c r="DP54" s="84"/>
      <c r="DQ54" s="84"/>
      <c r="DR54" s="84"/>
      <c r="DS54" s="84"/>
      <c r="DT54" s="84"/>
      <c r="DU54" s="84"/>
      <c r="DV54" s="84"/>
      <c r="DW54" s="84"/>
      <c r="DX54" s="84"/>
      <c r="DY54" s="84"/>
      <c r="DZ54" s="84"/>
      <c r="EA54" s="84"/>
      <c r="EB54" s="84"/>
      <c r="EC54" s="84"/>
      <c r="ED54" s="84"/>
      <c r="EE54" s="84"/>
      <c r="EF54" s="84"/>
      <c r="EG54" s="84"/>
      <c r="EH54" s="84"/>
      <c r="EI54" s="84"/>
      <c r="EJ54" s="84"/>
      <c r="EK54" s="84"/>
      <c r="EL54" s="84"/>
      <c r="EM54" s="84"/>
      <c r="EN54" s="84"/>
      <c r="EO54" s="84"/>
      <c r="EP54" s="84"/>
      <c r="EQ54" s="84"/>
      <c r="ER54" s="84"/>
      <c r="ES54" s="84"/>
      <c r="ET54" s="84"/>
      <c r="EU54" s="84"/>
      <c r="EV54" s="84"/>
      <c r="EW54" s="84"/>
      <c r="EX54" s="84"/>
      <c r="EY54" s="84"/>
      <c r="EZ54" s="84"/>
      <c r="FA54" s="84"/>
      <c r="FB54" s="84"/>
      <c r="FC54" s="84"/>
      <c r="FD54" s="84"/>
      <c r="FE54" s="84"/>
      <c r="FF54" s="84"/>
      <c r="FG54" s="84"/>
      <c r="FH54" s="84"/>
      <c r="FI54" s="84"/>
      <c r="FJ54" s="84"/>
      <c r="FK54" s="84"/>
      <c r="FL54" s="84"/>
      <c r="FM54" s="84"/>
      <c r="FN54" s="84"/>
      <c r="FO54" s="84"/>
      <c r="FP54" s="84"/>
      <c r="FQ54" s="84"/>
      <c r="FR54" s="84"/>
      <c r="FS54" s="84"/>
      <c r="FT54" s="84"/>
      <c r="FU54" s="84"/>
      <c r="FV54" s="84"/>
      <c r="FW54" s="84"/>
      <c r="FX54" s="84"/>
      <c r="FY54" s="84"/>
      <c r="FZ54" s="84"/>
      <c r="GA54" s="84"/>
      <c r="GB54" s="84"/>
      <c r="GC54" s="84"/>
      <c r="GD54" s="84"/>
      <c r="GE54" s="84"/>
      <c r="GF54" s="84"/>
      <c r="GG54" s="84"/>
      <c r="GH54" s="84"/>
      <c r="GI54" s="84"/>
      <c r="GJ54" s="84"/>
      <c r="GK54" s="84"/>
      <c r="GL54" s="84"/>
      <c r="GM54" s="84"/>
      <c r="GN54" s="84"/>
      <c r="GO54" s="84"/>
      <c r="GP54" s="84"/>
      <c r="GQ54" s="84"/>
      <c r="GR54" s="84"/>
      <c r="GS54" s="84"/>
      <c r="GT54" s="84"/>
      <c r="GU54" s="84"/>
      <c r="GV54" s="84"/>
      <c r="GW54" s="84"/>
      <c r="GX54" s="84"/>
      <c r="GY54" s="84"/>
      <c r="GZ54" s="84"/>
      <c r="HA54" s="84"/>
      <c r="HB54" s="84"/>
      <c r="HC54" s="84"/>
      <c r="HD54" s="84"/>
      <c r="HE54" s="84"/>
      <c r="HF54" s="84"/>
      <c r="HG54" s="84"/>
      <c r="HH54" s="84"/>
      <c r="HI54" s="84"/>
      <c r="HJ54" s="84"/>
      <c r="HK54" s="84"/>
      <c r="HL54" s="84"/>
      <c r="HM54" s="84"/>
      <c r="HN54" s="84"/>
      <c r="HO54" s="84"/>
      <c r="HP54" s="84"/>
      <c r="HQ54" s="84"/>
      <c r="HR54" s="84"/>
      <c r="HS54" s="84"/>
      <c r="HT54" s="84"/>
      <c r="HU54" s="84"/>
      <c r="HV54" s="84"/>
      <c r="HW54" s="84"/>
      <c r="HX54" s="84"/>
      <c r="HY54" s="84"/>
      <c r="HZ54" s="84"/>
      <c r="IA54" s="84"/>
      <c r="IB54" s="84"/>
      <c r="IC54" s="84"/>
      <c r="ID54" s="84"/>
      <c r="IE54" s="84"/>
      <c r="IF54" s="84"/>
      <c r="IG54" s="84"/>
      <c r="IH54" s="84"/>
      <c r="II54" s="84"/>
      <c r="IJ54" s="84"/>
      <c r="IK54" s="84"/>
      <c r="IL54" s="84"/>
      <c r="IM54" s="84"/>
      <c r="IN54" s="84"/>
      <c r="IO54" s="84"/>
      <c r="IP54" s="84"/>
      <c r="IQ54" s="84"/>
      <c r="IR54" s="84"/>
      <c r="IS54" s="84"/>
      <c r="IT54" s="84"/>
      <c r="IU54" s="84"/>
      <c r="IV54" s="84"/>
      <c r="IW54" s="84"/>
      <c r="IX54" s="84"/>
      <c r="IY54" s="84"/>
      <c r="IZ54" s="84"/>
      <c r="JA54" s="84"/>
      <c r="JB54" s="84"/>
      <c r="JC54" s="84"/>
      <c r="JD54" s="84"/>
      <c r="JE54" s="84"/>
      <c r="JF54" s="84"/>
      <c r="JG54" s="84"/>
      <c r="JH54" s="84"/>
      <c r="JI54" s="84"/>
      <c r="JJ54" s="84"/>
      <c r="JK54" s="84"/>
      <c r="JL54" s="84"/>
      <c r="JM54" s="84"/>
      <c r="JN54" s="84"/>
      <c r="JO54" s="84"/>
      <c r="JP54" s="84"/>
      <c r="JQ54" s="84"/>
      <c r="JR54" s="84"/>
      <c r="JS54" s="84"/>
      <c r="JT54" s="84"/>
      <c r="JU54" s="84"/>
      <c r="JV54" s="84"/>
      <c r="JW54" s="84"/>
      <c r="JX54" s="84"/>
      <c r="JY54" s="84"/>
      <c r="JZ54" s="84"/>
      <c r="KA54" s="84"/>
      <c r="KB54" s="84"/>
      <c r="KC54" s="84"/>
      <c r="KD54" s="84"/>
      <c r="KE54" s="84"/>
      <c r="KF54" s="84"/>
      <c r="KG54" s="84"/>
      <c r="KH54" s="84"/>
      <c r="KI54" s="84"/>
      <c r="KJ54" s="84"/>
      <c r="KK54" s="84"/>
      <c r="KL54" s="84"/>
      <c r="KM54" s="84"/>
      <c r="KN54" s="84"/>
      <c r="KO54" s="84"/>
      <c r="KP54" s="84"/>
      <c r="KQ54" s="84"/>
      <c r="KR54" s="84"/>
      <c r="KS54" s="84"/>
      <c r="KT54" s="84"/>
      <c r="KU54" s="84"/>
      <c r="KV54" s="84"/>
      <c r="KW54" s="84"/>
      <c r="KX54" s="84"/>
      <c r="KY54" s="84"/>
      <c r="KZ54" s="84"/>
      <c r="LA54" s="84"/>
      <c r="LB54" s="84"/>
      <c r="LC54" s="84"/>
      <c r="LD54" s="84"/>
      <c r="LE54" s="84"/>
      <c r="LF54" s="84"/>
      <c r="LG54" s="84"/>
      <c r="LH54" s="84"/>
      <c r="LI54" s="84"/>
      <c r="LJ54" s="84"/>
      <c r="LK54" s="84"/>
      <c r="LL54" s="84"/>
      <c r="LM54" s="84"/>
      <c r="LN54" s="84"/>
      <c r="LO54" s="84"/>
      <c r="LP54" s="84"/>
      <c r="LQ54" s="84"/>
      <c r="LR54" s="84"/>
      <c r="LS54" s="84"/>
      <c r="LT54" s="84"/>
      <c r="LU54" s="84"/>
      <c r="LV54" s="84"/>
      <c r="LW54" s="84"/>
      <c r="LX54" s="84"/>
      <c r="LY54" s="84"/>
      <c r="LZ54" s="84"/>
      <c r="MA54" s="84"/>
      <c r="MB54" s="84"/>
      <c r="MC54" s="84"/>
      <c r="MD54" s="84"/>
      <c r="ME54" s="84"/>
      <c r="MF54" s="84"/>
      <c r="MG54" s="84"/>
      <c r="MH54" s="84"/>
      <c r="MI54" s="84"/>
      <c r="MJ54" s="84"/>
      <c r="MK54" s="84"/>
      <c r="ML54" s="84"/>
      <c r="MM54" s="84"/>
      <c r="MN54" s="84"/>
      <c r="MO54" s="84"/>
      <c r="MP54" s="84"/>
      <c r="MQ54" s="84"/>
      <c r="MR54" s="84"/>
      <c r="MS54" s="84"/>
      <c r="MT54" s="84"/>
      <c r="MU54" s="84"/>
      <c r="MV54" s="84"/>
      <c r="MW54" s="84"/>
      <c r="MX54" s="84"/>
      <c r="MY54" s="84"/>
      <c r="MZ54" s="84"/>
      <c r="NA54" s="84"/>
      <c r="NB54" s="84"/>
      <c r="NC54" s="84"/>
      <c r="ND54" s="84"/>
      <c r="NE54" s="84"/>
      <c r="NF54" s="84"/>
      <c r="NG54" s="84"/>
      <c r="NH54" s="84"/>
      <c r="NI54" s="84"/>
      <c r="NJ54" s="84"/>
      <c r="NK54" s="84"/>
      <c r="NL54" s="84"/>
      <c r="NM54" s="84"/>
      <c r="NN54" s="84"/>
      <c r="NO54" s="84"/>
      <c r="NP54" s="84"/>
      <c r="NQ54" s="84"/>
      <c r="NR54" s="84"/>
      <c r="NS54" s="84"/>
      <c r="NT54" s="84"/>
      <c r="NU54" s="84"/>
      <c r="NV54" s="84"/>
      <c r="NW54" s="84"/>
      <c r="NX54" s="84"/>
      <c r="NY54" s="84"/>
      <c r="NZ54" s="84"/>
      <c r="OA54" s="84"/>
      <c r="OB54" s="84"/>
      <c r="OC54" s="84"/>
      <c r="OD54" s="84"/>
      <c r="OE54" s="84"/>
      <c r="OF54" s="84"/>
      <c r="OG54" s="84"/>
      <c r="OH54" s="84"/>
      <c r="OI54" s="84"/>
      <c r="OJ54" s="84"/>
      <c r="OK54" s="84"/>
      <c r="OL54" s="84"/>
      <c r="OM54" s="84"/>
      <c r="ON54" s="84"/>
      <c r="OO54" s="84"/>
      <c r="OP54" s="84"/>
      <c r="OQ54" s="84"/>
      <c r="OR54" s="84"/>
      <c r="OS54" s="84"/>
      <c r="OT54" s="84"/>
      <c r="OU54" s="84"/>
      <c r="OV54" s="84"/>
      <c r="OW54" s="84"/>
      <c r="OX54" s="84"/>
      <c r="OY54" s="84"/>
      <c r="OZ54" s="84"/>
      <c r="PA54" s="84"/>
      <c r="PB54" s="84"/>
      <c r="PC54" s="84"/>
      <c r="PD54" s="84"/>
      <c r="PE54" s="84"/>
      <c r="PF54" s="84"/>
      <c r="PG54" s="84"/>
      <c r="PH54" s="84"/>
      <c r="PI54" s="84"/>
      <c r="PJ54" s="84"/>
      <c r="PK54" s="84"/>
      <c r="PL54" s="84"/>
      <c r="PM54" s="84"/>
      <c r="PN54" s="84"/>
      <c r="PO54" s="84"/>
      <c r="PP54" s="84"/>
      <c r="PQ54" s="84"/>
      <c r="PR54" s="84"/>
      <c r="PS54" s="84"/>
      <c r="PT54" s="84"/>
      <c r="PU54" s="84"/>
      <c r="PV54" s="84"/>
      <c r="PW54" s="84"/>
      <c r="PX54" s="84"/>
      <c r="PY54" s="84"/>
      <c r="PZ54" s="84"/>
      <c r="QA54" s="84"/>
      <c r="QB54" s="84"/>
      <c r="QC54" s="84"/>
    </row>
    <row r="55" spans="1:445" s="85" customFormat="1" ht="15" x14ac:dyDescent="0.25">
      <c r="A55" s="92">
        <v>27</v>
      </c>
      <c r="B55" s="106"/>
      <c r="C55" s="88"/>
      <c r="D55" s="1185"/>
      <c r="E55" s="81"/>
      <c r="F55" s="108"/>
      <c r="G55" s="54"/>
      <c r="H55" s="54"/>
      <c r="I55" s="54"/>
      <c r="J55" s="54"/>
      <c r="K55" s="54"/>
      <c r="L55" s="54"/>
      <c r="M55" s="46"/>
      <c r="N55" s="46"/>
      <c r="O55" s="46"/>
      <c r="P55" s="46"/>
      <c r="Q55" s="46"/>
      <c r="R55" s="46"/>
      <c r="S55" s="46"/>
      <c r="T55" s="101"/>
      <c r="U55" s="102"/>
      <c r="V55" s="102"/>
      <c r="W55" s="102"/>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84"/>
      <c r="BG55" s="84"/>
      <c r="BH55" s="84"/>
      <c r="BI55" s="84"/>
      <c r="BJ55" s="84"/>
      <c r="BK55" s="84"/>
      <c r="BL55" s="84"/>
      <c r="BM55" s="84"/>
      <c r="BN55" s="84"/>
      <c r="BO55" s="84"/>
      <c r="BP55" s="84"/>
      <c r="BQ55" s="84"/>
      <c r="BR55" s="84"/>
      <c r="BS55" s="84"/>
      <c r="BT55" s="84"/>
      <c r="BU55" s="84"/>
      <c r="BV55" s="84"/>
      <c r="BW55" s="84"/>
      <c r="BX55" s="84"/>
      <c r="BY55" s="84"/>
      <c r="BZ55" s="84"/>
      <c r="CA55" s="84"/>
      <c r="CB55" s="84"/>
      <c r="CC55" s="84"/>
      <c r="CD55" s="84"/>
      <c r="CE55" s="84"/>
      <c r="CF55" s="84"/>
      <c r="CG55" s="84"/>
      <c r="CH55" s="84"/>
      <c r="CI55" s="84"/>
      <c r="CJ55" s="84"/>
      <c r="CK55" s="84"/>
      <c r="CL55" s="84"/>
      <c r="CM55" s="84"/>
      <c r="CN55" s="84"/>
      <c r="CO55" s="84"/>
      <c r="CP55" s="84"/>
      <c r="CQ55" s="84"/>
      <c r="CR55" s="84"/>
      <c r="CS55" s="84"/>
      <c r="CT55" s="84"/>
      <c r="CU55" s="84"/>
      <c r="CV55" s="84"/>
      <c r="CW55" s="84"/>
      <c r="CX55" s="84"/>
      <c r="CY55" s="84"/>
      <c r="CZ55" s="84"/>
      <c r="DA55" s="84"/>
      <c r="DB55" s="84"/>
      <c r="DC55" s="84"/>
      <c r="DD55" s="84"/>
      <c r="DE55" s="84"/>
      <c r="DF55" s="84"/>
      <c r="DG55" s="84"/>
      <c r="DH55" s="84"/>
      <c r="DI55" s="84"/>
      <c r="DJ55" s="84"/>
      <c r="DK55" s="84"/>
      <c r="DL55" s="84"/>
      <c r="DM55" s="84"/>
      <c r="DN55" s="84"/>
      <c r="DO55" s="84"/>
      <c r="DP55" s="84"/>
      <c r="DQ55" s="84"/>
      <c r="DR55" s="84"/>
      <c r="DS55" s="84"/>
      <c r="DT55" s="84"/>
      <c r="DU55" s="84"/>
      <c r="DV55" s="84"/>
      <c r="DW55" s="84"/>
      <c r="DX55" s="84"/>
      <c r="DY55" s="84"/>
      <c r="DZ55" s="84"/>
      <c r="EA55" s="84"/>
      <c r="EB55" s="84"/>
      <c r="EC55" s="84"/>
      <c r="ED55" s="84"/>
      <c r="EE55" s="84"/>
      <c r="EF55" s="84"/>
      <c r="EG55" s="84"/>
      <c r="EH55" s="84"/>
      <c r="EI55" s="84"/>
      <c r="EJ55" s="84"/>
      <c r="EK55" s="84"/>
      <c r="EL55" s="84"/>
      <c r="EM55" s="84"/>
      <c r="EN55" s="84"/>
      <c r="EO55" s="84"/>
      <c r="EP55" s="84"/>
      <c r="EQ55" s="84"/>
      <c r="ER55" s="84"/>
      <c r="ES55" s="84"/>
      <c r="ET55" s="84"/>
      <c r="EU55" s="84"/>
      <c r="EV55" s="84"/>
      <c r="EW55" s="84"/>
      <c r="EX55" s="84"/>
      <c r="EY55" s="84"/>
      <c r="EZ55" s="84"/>
      <c r="FA55" s="84"/>
      <c r="FB55" s="84"/>
      <c r="FC55" s="84"/>
      <c r="FD55" s="84"/>
      <c r="FE55" s="84"/>
      <c r="FF55" s="84"/>
      <c r="FG55" s="84"/>
      <c r="FH55" s="84"/>
      <c r="FI55" s="84"/>
      <c r="FJ55" s="84"/>
      <c r="FK55" s="84"/>
      <c r="FL55" s="84"/>
      <c r="FM55" s="84"/>
      <c r="FN55" s="84"/>
      <c r="FO55" s="84"/>
      <c r="FP55" s="84"/>
      <c r="FQ55" s="84"/>
      <c r="FR55" s="84"/>
      <c r="FS55" s="84"/>
      <c r="FT55" s="84"/>
      <c r="FU55" s="84"/>
      <c r="FV55" s="84"/>
      <c r="FW55" s="84"/>
      <c r="FX55" s="84"/>
      <c r="FY55" s="84"/>
      <c r="FZ55" s="84"/>
      <c r="GA55" s="84"/>
      <c r="GB55" s="84"/>
      <c r="GC55" s="84"/>
      <c r="GD55" s="84"/>
      <c r="GE55" s="84"/>
      <c r="GF55" s="84"/>
      <c r="GG55" s="84"/>
      <c r="GH55" s="84"/>
      <c r="GI55" s="84"/>
      <c r="GJ55" s="84"/>
      <c r="GK55" s="84"/>
      <c r="GL55" s="84"/>
      <c r="GM55" s="84"/>
      <c r="GN55" s="84"/>
      <c r="GO55" s="84"/>
      <c r="GP55" s="84"/>
      <c r="GQ55" s="84"/>
      <c r="GR55" s="84"/>
      <c r="GS55" s="84"/>
      <c r="GT55" s="84"/>
      <c r="GU55" s="84"/>
      <c r="GV55" s="84"/>
      <c r="GW55" s="84"/>
      <c r="GX55" s="84"/>
      <c r="GY55" s="84"/>
      <c r="GZ55" s="84"/>
      <c r="HA55" s="84"/>
      <c r="HB55" s="84"/>
      <c r="HC55" s="84"/>
      <c r="HD55" s="84"/>
      <c r="HE55" s="84"/>
      <c r="HF55" s="84"/>
      <c r="HG55" s="84"/>
      <c r="HH55" s="84"/>
      <c r="HI55" s="84"/>
      <c r="HJ55" s="84"/>
      <c r="HK55" s="84"/>
      <c r="HL55" s="84"/>
      <c r="HM55" s="84"/>
      <c r="HN55" s="84"/>
      <c r="HO55" s="84"/>
      <c r="HP55" s="84"/>
      <c r="HQ55" s="84"/>
      <c r="HR55" s="84"/>
      <c r="HS55" s="84"/>
      <c r="HT55" s="84"/>
      <c r="HU55" s="84"/>
      <c r="HV55" s="84"/>
      <c r="HW55" s="84"/>
      <c r="HX55" s="84"/>
      <c r="HY55" s="84"/>
      <c r="HZ55" s="84"/>
      <c r="IA55" s="84"/>
      <c r="IB55" s="84"/>
      <c r="IC55" s="84"/>
      <c r="ID55" s="84"/>
      <c r="IE55" s="84"/>
      <c r="IF55" s="84"/>
      <c r="IG55" s="84"/>
      <c r="IH55" s="84"/>
      <c r="II55" s="84"/>
      <c r="IJ55" s="84"/>
      <c r="IK55" s="84"/>
      <c r="IL55" s="84"/>
      <c r="IM55" s="84"/>
      <c r="IN55" s="84"/>
      <c r="IO55" s="84"/>
      <c r="IP55" s="84"/>
      <c r="IQ55" s="84"/>
      <c r="IR55" s="84"/>
      <c r="IS55" s="84"/>
      <c r="IT55" s="84"/>
      <c r="IU55" s="84"/>
      <c r="IV55" s="84"/>
      <c r="IW55" s="84"/>
      <c r="IX55" s="84"/>
      <c r="IY55" s="84"/>
      <c r="IZ55" s="84"/>
      <c r="JA55" s="84"/>
      <c r="JB55" s="84"/>
      <c r="JC55" s="84"/>
      <c r="JD55" s="84"/>
      <c r="JE55" s="84"/>
      <c r="JF55" s="84"/>
      <c r="JG55" s="84"/>
      <c r="JH55" s="84"/>
      <c r="JI55" s="84"/>
      <c r="JJ55" s="84"/>
      <c r="JK55" s="84"/>
      <c r="JL55" s="84"/>
      <c r="JM55" s="84"/>
      <c r="JN55" s="84"/>
      <c r="JO55" s="84"/>
      <c r="JP55" s="84"/>
      <c r="JQ55" s="84"/>
      <c r="JR55" s="84"/>
      <c r="JS55" s="84"/>
      <c r="JT55" s="84"/>
      <c r="JU55" s="84"/>
      <c r="JV55" s="84"/>
      <c r="JW55" s="84"/>
      <c r="JX55" s="84"/>
      <c r="JY55" s="84"/>
      <c r="JZ55" s="84"/>
      <c r="KA55" s="84"/>
      <c r="KB55" s="84"/>
      <c r="KC55" s="84"/>
      <c r="KD55" s="84"/>
      <c r="KE55" s="84"/>
      <c r="KF55" s="84"/>
      <c r="KG55" s="84"/>
      <c r="KH55" s="84"/>
      <c r="KI55" s="84"/>
      <c r="KJ55" s="84"/>
      <c r="KK55" s="84"/>
      <c r="KL55" s="84"/>
      <c r="KM55" s="84"/>
      <c r="KN55" s="84"/>
      <c r="KO55" s="84"/>
      <c r="KP55" s="84"/>
      <c r="KQ55" s="84"/>
      <c r="KR55" s="84"/>
      <c r="KS55" s="84"/>
      <c r="KT55" s="84"/>
      <c r="KU55" s="84"/>
      <c r="KV55" s="84"/>
      <c r="KW55" s="84"/>
      <c r="KX55" s="84"/>
      <c r="KY55" s="84"/>
      <c r="KZ55" s="84"/>
      <c r="LA55" s="84"/>
      <c r="LB55" s="84"/>
      <c r="LC55" s="84"/>
      <c r="LD55" s="84"/>
      <c r="LE55" s="84"/>
      <c r="LF55" s="84"/>
      <c r="LG55" s="84"/>
      <c r="LH55" s="84"/>
      <c r="LI55" s="84"/>
      <c r="LJ55" s="84"/>
      <c r="LK55" s="84"/>
      <c r="LL55" s="84"/>
      <c r="LM55" s="84"/>
      <c r="LN55" s="84"/>
      <c r="LO55" s="84"/>
      <c r="LP55" s="84"/>
      <c r="LQ55" s="84"/>
      <c r="LR55" s="84"/>
      <c r="LS55" s="84"/>
      <c r="LT55" s="84"/>
      <c r="LU55" s="84"/>
      <c r="LV55" s="84"/>
      <c r="LW55" s="84"/>
      <c r="LX55" s="84"/>
      <c r="LY55" s="84"/>
      <c r="LZ55" s="84"/>
      <c r="MA55" s="84"/>
      <c r="MB55" s="84"/>
      <c r="MC55" s="84"/>
      <c r="MD55" s="84"/>
      <c r="ME55" s="84"/>
      <c r="MF55" s="84"/>
      <c r="MG55" s="84"/>
      <c r="MH55" s="84"/>
      <c r="MI55" s="84"/>
      <c r="MJ55" s="84"/>
      <c r="MK55" s="84"/>
      <c r="ML55" s="84"/>
      <c r="MM55" s="84"/>
      <c r="MN55" s="84"/>
      <c r="MO55" s="84"/>
      <c r="MP55" s="84"/>
      <c r="MQ55" s="84"/>
      <c r="MR55" s="84"/>
      <c r="MS55" s="84"/>
      <c r="MT55" s="84"/>
      <c r="MU55" s="84"/>
      <c r="MV55" s="84"/>
      <c r="MW55" s="84"/>
      <c r="MX55" s="84"/>
      <c r="MY55" s="84"/>
      <c r="MZ55" s="84"/>
      <c r="NA55" s="84"/>
      <c r="NB55" s="84"/>
      <c r="NC55" s="84"/>
      <c r="ND55" s="84"/>
      <c r="NE55" s="84"/>
      <c r="NF55" s="84"/>
      <c r="NG55" s="84"/>
      <c r="NH55" s="84"/>
      <c r="NI55" s="84"/>
      <c r="NJ55" s="84"/>
      <c r="NK55" s="84"/>
      <c r="NL55" s="84"/>
      <c r="NM55" s="84"/>
      <c r="NN55" s="84"/>
      <c r="NO55" s="84"/>
      <c r="NP55" s="84"/>
      <c r="NQ55" s="84"/>
      <c r="NR55" s="84"/>
      <c r="NS55" s="84"/>
      <c r="NT55" s="84"/>
      <c r="NU55" s="84"/>
      <c r="NV55" s="84"/>
      <c r="NW55" s="84"/>
      <c r="NX55" s="84"/>
      <c r="NY55" s="84"/>
      <c r="NZ55" s="84"/>
      <c r="OA55" s="84"/>
      <c r="OB55" s="84"/>
      <c r="OC55" s="84"/>
      <c r="OD55" s="84"/>
      <c r="OE55" s="84"/>
      <c r="OF55" s="84"/>
      <c r="OG55" s="84"/>
      <c r="OH55" s="84"/>
      <c r="OI55" s="84"/>
      <c r="OJ55" s="84"/>
      <c r="OK55" s="84"/>
      <c r="OL55" s="84"/>
      <c r="OM55" s="84"/>
      <c r="ON55" s="84"/>
      <c r="OO55" s="84"/>
      <c r="OP55" s="84"/>
      <c r="OQ55" s="84"/>
      <c r="OR55" s="84"/>
      <c r="OS55" s="84"/>
      <c r="OT55" s="84"/>
      <c r="OU55" s="84"/>
      <c r="OV55" s="84"/>
      <c r="OW55" s="84"/>
      <c r="OX55" s="84"/>
      <c r="OY55" s="84"/>
      <c r="OZ55" s="84"/>
      <c r="PA55" s="84"/>
      <c r="PB55" s="84"/>
      <c r="PC55" s="84"/>
      <c r="PD55" s="84"/>
      <c r="PE55" s="84"/>
      <c r="PF55" s="84"/>
      <c r="PG55" s="84"/>
      <c r="PH55" s="84"/>
      <c r="PI55" s="84"/>
      <c r="PJ55" s="84"/>
      <c r="PK55" s="84"/>
      <c r="PL55" s="84"/>
      <c r="PM55" s="84"/>
      <c r="PN55" s="84"/>
      <c r="PO55" s="84"/>
      <c r="PP55" s="84"/>
      <c r="PQ55" s="84"/>
      <c r="PR55" s="84"/>
      <c r="PS55" s="84"/>
      <c r="PT55" s="84"/>
      <c r="PU55" s="84"/>
      <c r="PV55" s="84"/>
      <c r="PW55" s="84"/>
      <c r="PX55" s="84"/>
      <c r="PY55" s="84"/>
      <c r="PZ55" s="84"/>
      <c r="QA55" s="84"/>
      <c r="QB55" s="84"/>
      <c r="QC55" s="84"/>
    </row>
    <row r="56" spans="1:445" s="85" customFormat="1" ht="15" x14ac:dyDescent="0.25">
      <c r="A56" s="92">
        <v>27</v>
      </c>
      <c r="B56" s="106"/>
      <c r="C56" s="88"/>
      <c r="D56" s="1185"/>
      <c r="E56" s="81"/>
      <c r="F56" s="108"/>
      <c r="G56" s="46"/>
      <c r="H56" s="46"/>
      <c r="I56" s="46"/>
      <c r="J56" s="46"/>
      <c r="K56" s="46"/>
      <c r="L56" s="46"/>
      <c r="M56" s="46"/>
      <c r="N56" s="46"/>
      <c r="O56" s="46"/>
      <c r="P56" s="46"/>
      <c r="Q56" s="46"/>
      <c r="R56" s="46"/>
      <c r="S56" s="46"/>
      <c r="T56" s="101"/>
      <c r="U56" s="102"/>
      <c r="V56" s="102"/>
      <c r="W56" s="102"/>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84"/>
      <c r="BG56" s="84"/>
      <c r="BH56" s="84"/>
      <c r="BI56" s="84"/>
      <c r="BJ56" s="84"/>
      <c r="BK56" s="84"/>
      <c r="BL56" s="84"/>
      <c r="BM56" s="84"/>
      <c r="BN56" s="84"/>
      <c r="BO56" s="84"/>
      <c r="BP56" s="84"/>
      <c r="BQ56" s="84"/>
      <c r="BR56" s="84"/>
      <c r="BS56" s="84"/>
      <c r="BT56" s="84"/>
      <c r="BU56" s="84"/>
      <c r="BV56" s="84"/>
      <c r="BW56" s="84"/>
      <c r="BX56" s="84"/>
      <c r="BY56" s="84"/>
      <c r="BZ56" s="84"/>
      <c r="CA56" s="84"/>
      <c r="CB56" s="84"/>
      <c r="CC56" s="84"/>
      <c r="CD56" s="84"/>
      <c r="CE56" s="84"/>
      <c r="CF56" s="84"/>
      <c r="CG56" s="84"/>
      <c r="CH56" s="84"/>
      <c r="CI56" s="84"/>
      <c r="CJ56" s="84"/>
      <c r="CK56" s="84"/>
      <c r="CL56" s="84"/>
      <c r="CM56" s="84"/>
      <c r="CN56" s="84"/>
      <c r="CO56" s="84"/>
      <c r="CP56" s="84"/>
      <c r="CQ56" s="84"/>
      <c r="CR56" s="84"/>
      <c r="CS56" s="84"/>
      <c r="CT56" s="84"/>
      <c r="CU56" s="84"/>
      <c r="CV56" s="84"/>
      <c r="CW56" s="84"/>
      <c r="CX56" s="84"/>
      <c r="CY56" s="84"/>
      <c r="CZ56" s="84"/>
      <c r="DA56" s="84"/>
      <c r="DB56" s="84"/>
      <c r="DC56" s="84"/>
      <c r="DD56" s="84"/>
      <c r="DE56" s="84"/>
      <c r="DF56" s="84"/>
      <c r="DG56" s="84"/>
      <c r="DH56" s="84"/>
      <c r="DI56" s="84"/>
      <c r="DJ56" s="84"/>
      <c r="DK56" s="84"/>
      <c r="DL56" s="84"/>
      <c r="DM56" s="84"/>
      <c r="DN56" s="84"/>
      <c r="DO56" s="84"/>
      <c r="DP56" s="84"/>
      <c r="DQ56" s="84"/>
      <c r="DR56" s="84"/>
      <c r="DS56" s="84"/>
      <c r="DT56" s="84"/>
      <c r="DU56" s="84"/>
      <c r="DV56" s="84"/>
      <c r="DW56" s="84"/>
      <c r="DX56" s="84"/>
      <c r="DY56" s="84"/>
      <c r="DZ56" s="84"/>
      <c r="EA56" s="84"/>
      <c r="EB56" s="84"/>
      <c r="EC56" s="84"/>
      <c r="ED56" s="84"/>
      <c r="EE56" s="84"/>
      <c r="EF56" s="84"/>
      <c r="EG56" s="84"/>
      <c r="EH56" s="84"/>
      <c r="EI56" s="84"/>
      <c r="EJ56" s="84"/>
      <c r="EK56" s="84"/>
      <c r="EL56" s="84"/>
      <c r="EM56" s="84"/>
      <c r="EN56" s="84"/>
      <c r="EO56" s="84"/>
      <c r="EP56" s="84"/>
      <c r="EQ56" s="84"/>
      <c r="ER56" s="84"/>
      <c r="ES56" s="84"/>
      <c r="ET56" s="84"/>
      <c r="EU56" s="84"/>
      <c r="EV56" s="84"/>
      <c r="EW56" s="84"/>
      <c r="EX56" s="84"/>
      <c r="EY56" s="84"/>
      <c r="EZ56" s="84"/>
      <c r="FA56" s="84"/>
      <c r="FB56" s="84"/>
      <c r="FC56" s="84"/>
      <c r="FD56" s="84"/>
      <c r="FE56" s="84"/>
      <c r="FF56" s="84"/>
      <c r="FG56" s="84"/>
      <c r="FH56" s="84"/>
      <c r="FI56" s="84"/>
      <c r="FJ56" s="84"/>
      <c r="FK56" s="84"/>
      <c r="FL56" s="84"/>
      <c r="FM56" s="84"/>
      <c r="FN56" s="84"/>
      <c r="FO56" s="84"/>
      <c r="FP56" s="84"/>
      <c r="FQ56" s="84"/>
      <c r="FR56" s="84"/>
      <c r="FS56" s="84"/>
      <c r="FT56" s="84"/>
      <c r="FU56" s="84"/>
      <c r="FV56" s="84"/>
      <c r="FW56" s="84"/>
      <c r="FX56" s="84"/>
      <c r="FY56" s="84"/>
      <c r="FZ56" s="84"/>
      <c r="GA56" s="84"/>
      <c r="GB56" s="84"/>
      <c r="GC56" s="84"/>
      <c r="GD56" s="84"/>
      <c r="GE56" s="84"/>
      <c r="GF56" s="84"/>
      <c r="GG56" s="84"/>
      <c r="GH56" s="84"/>
      <c r="GI56" s="84"/>
      <c r="GJ56" s="84"/>
      <c r="GK56" s="84"/>
      <c r="GL56" s="84"/>
      <c r="GM56" s="84"/>
      <c r="GN56" s="84"/>
      <c r="GO56" s="84"/>
      <c r="GP56" s="84"/>
      <c r="GQ56" s="84"/>
      <c r="GR56" s="84"/>
      <c r="GS56" s="84"/>
      <c r="GT56" s="84"/>
      <c r="GU56" s="84"/>
      <c r="GV56" s="84"/>
      <c r="GW56" s="84"/>
      <c r="GX56" s="84"/>
      <c r="GY56" s="84"/>
      <c r="GZ56" s="84"/>
      <c r="HA56" s="84"/>
      <c r="HB56" s="84"/>
      <c r="HC56" s="84"/>
      <c r="HD56" s="84"/>
      <c r="HE56" s="84"/>
      <c r="HF56" s="84"/>
      <c r="HG56" s="84"/>
      <c r="HH56" s="84"/>
      <c r="HI56" s="84"/>
      <c r="HJ56" s="84"/>
      <c r="HK56" s="84"/>
      <c r="HL56" s="84"/>
      <c r="HM56" s="84"/>
      <c r="HN56" s="84"/>
      <c r="HO56" s="84"/>
      <c r="HP56" s="84"/>
      <c r="HQ56" s="84"/>
      <c r="HR56" s="84"/>
      <c r="HS56" s="84"/>
      <c r="HT56" s="84"/>
      <c r="HU56" s="84"/>
      <c r="HV56" s="84"/>
      <c r="HW56" s="84"/>
      <c r="HX56" s="84"/>
      <c r="HY56" s="84"/>
      <c r="HZ56" s="84"/>
      <c r="IA56" s="84"/>
      <c r="IB56" s="84"/>
      <c r="IC56" s="84"/>
      <c r="ID56" s="84"/>
      <c r="IE56" s="84"/>
      <c r="IF56" s="84"/>
      <c r="IG56" s="84"/>
      <c r="IH56" s="84"/>
      <c r="II56" s="84"/>
      <c r="IJ56" s="84"/>
      <c r="IK56" s="84"/>
      <c r="IL56" s="84"/>
      <c r="IM56" s="84"/>
      <c r="IN56" s="84"/>
      <c r="IO56" s="84"/>
      <c r="IP56" s="84"/>
      <c r="IQ56" s="84"/>
      <c r="IR56" s="84"/>
      <c r="IS56" s="84"/>
      <c r="IT56" s="84"/>
      <c r="IU56" s="84"/>
      <c r="IV56" s="84"/>
      <c r="IW56" s="84"/>
      <c r="IX56" s="84"/>
      <c r="IY56" s="84"/>
      <c r="IZ56" s="84"/>
      <c r="JA56" s="84"/>
      <c r="JB56" s="84"/>
      <c r="JC56" s="84"/>
      <c r="JD56" s="84"/>
      <c r="JE56" s="84"/>
      <c r="JF56" s="84"/>
      <c r="JG56" s="84"/>
      <c r="JH56" s="84"/>
      <c r="JI56" s="84"/>
      <c r="JJ56" s="84"/>
      <c r="JK56" s="84"/>
      <c r="JL56" s="84"/>
      <c r="JM56" s="84"/>
      <c r="JN56" s="84"/>
      <c r="JO56" s="84"/>
      <c r="JP56" s="84"/>
      <c r="JQ56" s="84"/>
      <c r="JR56" s="84"/>
      <c r="JS56" s="84"/>
      <c r="JT56" s="84"/>
      <c r="JU56" s="84"/>
      <c r="JV56" s="84"/>
      <c r="JW56" s="84"/>
      <c r="JX56" s="84"/>
      <c r="JY56" s="84"/>
      <c r="JZ56" s="84"/>
      <c r="KA56" s="84"/>
      <c r="KB56" s="84"/>
      <c r="KC56" s="84"/>
      <c r="KD56" s="84"/>
      <c r="KE56" s="84"/>
      <c r="KF56" s="84"/>
      <c r="KG56" s="84"/>
      <c r="KH56" s="84"/>
      <c r="KI56" s="84"/>
      <c r="KJ56" s="84"/>
      <c r="KK56" s="84"/>
      <c r="KL56" s="84"/>
      <c r="KM56" s="84"/>
      <c r="KN56" s="84"/>
      <c r="KO56" s="84"/>
      <c r="KP56" s="84"/>
      <c r="KQ56" s="84"/>
      <c r="KR56" s="84"/>
      <c r="KS56" s="84"/>
      <c r="KT56" s="84"/>
      <c r="KU56" s="84"/>
      <c r="KV56" s="84"/>
      <c r="KW56" s="84"/>
      <c r="KX56" s="84"/>
      <c r="KY56" s="84"/>
      <c r="KZ56" s="84"/>
      <c r="LA56" s="84"/>
      <c r="LB56" s="84"/>
      <c r="LC56" s="84"/>
      <c r="LD56" s="84"/>
      <c r="LE56" s="84"/>
      <c r="LF56" s="84"/>
      <c r="LG56" s="84"/>
      <c r="LH56" s="84"/>
      <c r="LI56" s="84"/>
      <c r="LJ56" s="84"/>
      <c r="LK56" s="84"/>
      <c r="LL56" s="84"/>
      <c r="LM56" s="84"/>
      <c r="LN56" s="84"/>
      <c r="LO56" s="84"/>
      <c r="LP56" s="84"/>
      <c r="LQ56" s="84"/>
      <c r="LR56" s="84"/>
      <c r="LS56" s="84"/>
      <c r="LT56" s="84"/>
      <c r="LU56" s="84"/>
      <c r="LV56" s="84"/>
      <c r="LW56" s="84"/>
      <c r="LX56" s="84"/>
      <c r="LY56" s="84"/>
      <c r="LZ56" s="84"/>
      <c r="MA56" s="84"/>
      <c r="MB56" s="84"/>
      <c r="MC56" s="84"/>
      <c r="MD56" s="84"/>
      <c r="ME56" s="84"/>
      <c r="MF56" s="84"/>
      <c r="MG56" s="84"/>
      <c r="MH56" s="84"/>
      <c r="MI56" s="84"/>
      <c r="MJ56" s="84"/>
      <c r="MK56" s="84"/>
      <c r="ML56" s="84"/>
      <c r="MM56" s="84"/>
      <c r="MN56" s="84"/>
      <c r="MO56" s="84"/>
      <c r="MP56" s="84"/>
      <c r="MQ56" s="84"/>
      <c r="MR56" s="84"/>
      <c r="MS56" s="84"/>
      <c r="MT56" s="84"/>
      <c r="MU56" s="84"/>
      <c r="MV56" s="84"/>
      <c r="MW56" s="84"/>
      <c r="MX56" s="84"/>
      <c r="MY56" s="84"/>
      <c r="MZ56" s="84"/>
      <c r="NA56" s="84"/>
      <c r="NB56" s="84"/>
      <c r="NC56" s="84"/>
      <c r="ND56" s="84"/>
      <c r="NE56" s="84"/>
      <c r="NF56" s="84"/>
      <c r="NG56" s="84"/>
      <c r="NH56" s="84"/>
      <c r="NI56" s="84"/>
      <c r="NJ56" s="84"/>
      <c r="NK56" s="84"/>
      <c r="NL56" s="84"/>
      <c r="NM56" s="84"/>
      <c r="NN56" s="84"/>
      <c r="NO56" s="84"/>
      <c r="NP56" s="84"/>
      <c r="NQ56" s="84"/>
      <c r="NR56" s="84"/>
      <c r="NS56" s="84"/>
      <c r="NT56" s="84"/>
      <c r="NU56" s="84"/>
      <c r="NV56" s="84"/>
      <c r="NW56" s="84"/>
      <c r="NX56" s="84"/>
      <c r="NY56" s="84"/>
      <c r="NZ56" s="84"/>
      <c r="OA56" s="84"/>
      <c r="OB56" s="84"/>
      <c r="OC56" s="84"/>
      <c r="OD56" s="84"/>
      <c r="OE56" s="84"/>
      <c r="OF56" s="84"/>
      <c r="OG56" s="84"/>
      <c r="OH56" s="84"/>
      <c r="OI56" s="84"/>
      <c r="OJ56" s="84"/>
      <c r="OK56" s="84"/>
      <c r="OL56" s="84"/>
      <c r="OM56" s="84"/>
      <c r="ON56" s="84"/>
      <c r="OO56" s="84"/>
      <c r="OP56" s="84"/>
      <c r="OQ56" s="84"/>
      <c r="OR56" s="84"/>
      <c r="OS56" s="84"/>
      <c r="OT56" s="84"/>
      <c r="OU56" s="84"/>
      <c r="OV56" s="84"/>
      <c r="OW56" s="84"/>
      <c r="OX56" s="84"/>
      <c r="OY56" s="84"/>
      <c r="OZ56" s="84"/>
      <c r="PA56" s="84"/>
      <c r="PB56" s="84"/>
      <c r="PC56" s="84"/>
      <c r="PD56" s="84"/>
      <c r="PE56" s="84"/>
      <c r="PF56" s="84"/>
      <c r="PG56" s="84"/>
      <c r="PH56" s="84"/>
      <c r="PI56" s="84"/>
      <c r="PJ56" s="84"/>
      <c r="PK56" s="84"/>
      <c r="PL56" s="84"/>
      <c r="PM56" s="84"/>
      <c r="PN56" s="84"/>
      <c r="PO56" s="84"/>
      <c r="PP56" s="84"/>
      <c r="PQ56" s="84"/>
      <c r="PR56" s="84"/>
      <c r="PS56" s="84"/>
      <c r="PT56" s="84"/>
      <c r="PU56" s="84"/>
      <c r="PV56" s="84"/>
      <c r="PW56" s="84"/>
      <c r="PX56" s="84"/>
      <c r="PY56" s="84"/>
      <c r="PZ56" s="84"/>
      <c r="QA56" s="84"/>
      <c r="QB56" s="84"/>
      <c r="QC56" s="84"/>
    </row>
    <row r="58" spans="1:445" s="77" customFormat="1" x14ac:dyDescent="0.3"/>
    <row r="59" spans="1:445" s="77" customFormat="1" x14ac:dyDescent="0.3"/>
    <row r="60" spans="1:445" s="77" customFormat="1" x14ac:dyDescent="0.3"/>
    <row r="61" spans="1:445" s="77" customFormat="1" x14ac:dyDescent="0.3"/>
    <row r="62" spans="1:445" s="77" customFormat="1" x14ac:dyDescent="0.3"/>
    <row r="63" spans="1:445" s="77" customFormat="1" x14ac:dyDescent="0.3"/>
    <row r="64" spans="1:445" s="77" customFormat="1" x14ac:dyDescent="0.3"/>
    <row r="65" s="77" customFormat="1" x14ac:dyDescent="0.3"/>
    <row r="66" s="77" customFormat="1" x14ac:dyDescent="0.3"/>
    <row r="67" s="77" customFormat="1" x14ac:dyDescent="0.3"/>
    <row r="68" s="77" customFormat="1" x14ac:dyDescent="0.3"/>
    <row r="69" s="77" customFormat="1" x14ac:dyDescent="0.3"/>
    <row r="70" s="77" customFormat="1" x14ac:dyDescent="0.3"/>
    <row r="71" s="77" customFormat="1" x14ac:dyDescent="0.3"/>
    <row r="72" s="77" customFormat="1" x14ac:dyDescent="0.3"/>
    <row r="73" s="77" customFormat="1" x14ac:dyDescent="0.3"/>
    <row r="74" s="77" customFormat="1" x14ac:dyDescent="0.3"/>
    <row r="75" s="77" customFormat="1" x14ac:dyDescent="0.3"/>
    <row r="76" s="77" customFormat="1" x14ac:dyDescent="0.3"/>
    <row r="77" s="77" customFormat="1" x14ac:dyDescent="0.3"/>
    <row r="78" s="77" customFormat="1" x14ac:dyDescent="0.3"/>
    <row r="79" s="77" customFormat="1" x14ac:dyDescent="0.3"/>
    <row r="80" s="77" customFormat="1" x14ac:dyDescent="0.3"/>
    <row r="81" s="77" customFormat="1" x14ac:dyDescent="0.3"/>
    <row r="82" s="77" customFormat="1" x14ac:dyDescent="0.3"/>
    <row r="83" s="77" customFormat="1" x14ac:dyDescent="0.3"/>
    <row r="84" s="77" customFormat="1" x14ac:dyDescent="0.3"/>
    <row r="85" s="77" customFormat="1" x14ac:dyDescent="0.3"/>
    <row r="86" s="77" customFormat="1" x14ac:dyDescent="0.3"/>
    <row r="87" s="77" customFormat="1" x14ac:dyDescent="0.3"/>
    <row r="88" s="77" customFormat="1" x14ac:dyDescent="0.3"/>
    <row r="89" s="77" customFormat="1" x14ac:dyDescent="0.3"/>
    <row r="90" s="77" customFormat="1" x14ac:dyDescent="0.3"/>
    <row r="91" s="77" customFormat="1" x14ac:dyDescent="0.3"/>
    <row r="92" s="77" customFormat="1" x14ac:dyDescent="0.3"/>
    <row r="93" s="77" customFormat="1" x14ac:dyDescent="0.3"/>
    <row r="94" s="77" customFormat="1" x14ac:dyDescent="0.3"/>
    <row r="95" s="77" customFormat="1" x14ac:dyDescent="0.3"/>
    <row r="96" s="77" customFormat="1" x14ac:dyDescent="0.3"/>
    <row r="97" s="77" customFormat="1" x14ac:dyDescent="0.3"/>
    <row r="98" s="77" customFormat="1" x14ac:dyDescent="0.3"/>
    <row r="99" s="77" customFormat="1" x14ac:dyDescent="0.3"/>
    <row r="100" s="77" customFormat="1" x14ac:dyDescent="0.3"/>
    <row r="101" s="77" customFormat="1" x14ac:dyDescent="0.3"/>
    <row r="102" s="77" customFormat="1" x14ac:dyDescent="0.3"/>
    <row r="103" s="77" customFormat="1" x14ac:dyDescent="0.3"/>
    <row r="104" s="77" customFormat="1" x14ac:dyDescent="0.3"/>
    <row r="105" s="77" customFormat="1" x14ac:dyDescent="0.3"/>
    <row r="106" s="77" customFormat="1" x14ac:dyDescent="0.3"/>
    <row r="107" s="77" customFormat="1" x14ac:dyDescent="0.3"/>
    <row r="108" s="77" customFormat="1" x14ac:dyDescent="0.3"/>
    <row r="109" s="77" customFormat="1" x14ac:dyDescent="0.3"/>
    <row r="110" s="77" customFormat="1" x14ac:dyDescent="0.3"/>
    <row r="111" s="77" customFormat="1" x14ac:dyDescent="0.3"/>
    <row r="112" s="77" customFormat="1" x14ac:dyDescent="0.3"/>
    <row r="113" s="77" customFormat="1" x14ac:dyDescent="0.3"/>
    <row r="114" s="77" customFormat="1" x14ac:dyDescent="0.3"/>
    <row r="115" s="77" customFormat="1" x14ac:dyDescent="0.3"/>
    <row r="116" s="77" customFormat="1" x14ac:dyDescent="0.3"/>
    <row r="117" s="77" customFormat="1" x14ac:dyDescent="0.3"/>
    <row r="118" s="77" customFormat="1" x14ac:dyDescent="0.3"/>
    <row r="119" s="77" customFormat="1" x14ac:dyDescent="0.3"/>
    <row r="120" s="77" customFormat="1" x14ac:dyDescent="0.3"/>
    <row r="121" s="77" customFormat="1" x14ac:dyDescent="0.3"/>
    <row r="122" s="77" customFormat="1" x14ac:dyDescent="0.3"/>
    <row r="123" s="77" customFormat="1" x14ac:dyDescent="0.3"/>
    <row r="124" s="77" customFormat="1" x14ac:dyDescent="0.3"/>
    <row r="125" s="77" customFormat="1" x14ac:dyDescent="0.3"/>
    <row r="126" s="77" customFormat="1" x14ac:dyDescent="0.3"/>
    <row r="127" s="77" customFormat="1" x14ac:dyDescent="0.3"/>
    <row r="128" s="77" customFormat="1" x14ac:dyDescent="0.3"/>
    <row r="129" s="77" customFormat="1" x14ac:dyDescent="0.3"/>
    <row r="130" s="77" customFormat="1" x14ac:dyDescent="0.3"/>
    <row r="131" s="77" customFormat="1" x14ac:dyDescent="0.3"/>
    <row r="132" s="77" customFormat="1" x14ac:dyDescent="0.3"/>
    <row r="133" s="77" customFormat="1" x14ac:dyDescent="0.3"/>
    <row r="134" s="77" customFormat="1" x14ac:dyDescent="0.3"/>
    <row r="135" s="77" customFormat="1" x14ac:dyDescent="0.3"/>
    <row r="136" s="77" customFormat="1" x14ac:dyDescent="0.3"/>
    <row r="137" s="77" customFormat="1" x14ac:dyDescent="0.3"/>
    <row r="138" s="77" customFormat="1" x14ac:dyDescent="0.3"/>
    <row r="139" s="77" customFormat="1" x14ac:dyDescent="0.3"/>
    <row r="140" s="77" customFormat="1" x14ac:dyDescent="0.3"/>
    <row r="141" s="77" customFormat="1" x14ac:dyDescent="0.3"/>
    <row r="142" s="77" customFormat="1" x14ac:dyDescent="0.3"/>
    <row r="143" s="77" customFormat="1" x14ac:dyDescent="0.3"/>
    <row r="144" s="77" customFormat="1" x14ac:dyDescent="0.3"/>
    <row r="145" s="77" customFormat="1" x14ac:dyDescent="0.3"/>
    <row r="146" s="77" customFormat="1" x14ac:dyDescent="0.3"/>
    <row r="147" s="77" customFormat="1" x14ac:dyDescent="0.3"/>
    <row r="148" s="77" customFormat="1" x14ac:dyDescent="0.3"/>
    <row r="149" s="77" customFormat="1" x14ac:dyDescent="0.3"/>
    <row r="150" s="77" customFormat="1" x14ac:dyDescent="0.3"/>
    <row r="151" s="77" customFormat="1" x14ac:dyDescent="0.3"/>
    <row r="152" s="77" customFormat="1" x14ac:dyDescent="0.3"/>
    <row r="153" s="77" customFormat="1" x14ac:dyDescent="0.3"/>
    <row r="154" s="77" customFormat="1" x14ac:dyDescent="0.3"/>
    <row r="155" s="77" customFormat="1" x14ac:dyDescent="0.3"/>
    <row r="156" s="77" customFormat="1" x14ac:dyDescent="0.3"/>
    <row r="157" s="77" customFormat="1" x14ac:dyDescent="0.3"/>
    <row r="158" s="77" customFormat="1" x14ac:dyDescent="0.3"/>
    <row r="159" s="77" customFormat="1" x14ac:dyDescent="0.3"/>
    <row r="160" s="77" customFormat="1" x14ac:dyDescent="0.3"/>
    <row r="161" s="77" customFormat="1" x14ac:dyDescent="0.3"/>
    <row r="162" s="77" customFormat="1" x14ac:dyDescent="0.3"/>
    <row r="163" s="77" customFormat="1" x14ac:dyDescent="0.3"/>
    <row r="164" s="77" customFormat="1" x14ac:dyDescent="0.3"/>
    <row r="165" s="77" customFormat="1" x14ac:dyDescent="0.3"/>
    <row r="166" s="77" customFormat="1" x14ac:dyDescent="0.3"/>
    <row r="167" s="77" customFormat="1" x14ac:dyDescent="0.3"/>
    <row r="168" s="77" customFormat="1" x14ac:dyDescent="0.3"/>
    <row r="169" s="77" customFormat="1" x14ac:dyDescent="0.3"/>
    <row r="170" s="77" customFormat="1" x14ac:dyDescent="0.3"/>
    <row r="171" s="77" customFormat="1" x14ac:dyDescent="0.3"/>
    <row r="172" s="77" customFormat="1" x14ac:dyDescent="0.3"/>
    <row r="173" s="77" customFormat="1" x14ac:dyDescent="0.3"/>
    <row r="174" s="77" customFormat="1" x14ac:dyDescent="0.3"/>
    <row r="175" s="77" customFormat="1" x14ac:dyDescent="0.3"/>
    <row r="176" s="77" customFormat="1" x14ac:dyDescent="0.3"/>
    <row r="177" s="77" customFormat="1" x14ac:dyDescent="0.3"/>
    <row r="178" s="77" customFormat="1" x14ac:dyDescent="0.3"/>
    <row r="179" s="77" customFormat="1" x14ac:dyDescent="0.3"/>
    <row r="180" s="77" customFormat="1" x14ac:dyDescent="0.3"/>
    <row r="181" s="77" customFormat="1" x14ac:dyDescent="0.3"/>
    <row r="182" s="77" customFormat="1" x14ac:dyDescent="0.3"/>
    <row r="183" s="77" customFormat="1" x14ac:dyDescent="0.3"/>
    <row r="184" s="77" customFormat="1" x14ac:dyDescent="0.3"/>
    <row r="185" s="77" customFormat="1" x14ac:dyDescent="0.3"/>
    <row r="186" s="77" customFormat="1" x14ac:dyDescent="0.3"/>
    <row r="187" s="77" customFormat="1" x14ac:dyDescent="0.3"/>
    <row r="188" s="77" customFormat="1" x14ac:dyDescent="0.3"/>
    <row r="189" s="77" customFormat="1" x14ac:dyDescent="0.3"/>
    <row r="190" s="77" customFormat="1" x14ac:dyDescent="0.3"/>
    <row r="191" s="77" customFormat="1" x14ac:dyDescent="0.3"/>
    <row r="192" s="77" customFormat="1" x14ac:dyDescent="0.3"/>
    <row r="193" s="77" customFormat="1" x14ac:dyDescent="0.3"/>
    <row r="194" s="77" customFormat="1" x14ac:dyDescent="0.3"/>
    <row r="195" s="77" customFormat="1" x14ac:dyDescent="0.3"/>
    <row r="196" s="77" customFormat="1" x14ac:dyDescent="0.3"/>
    <row r="197" s="77" customFormat="1" x14ac:dyDescent="0.3"/>
    <row r="198" s="77" customFormat="1" x14ac:dyDescent="0.3"/>
    <row r="199" s="77" customFormat="1" x14ac:dyDescent="0.3"/>
    <row r="200" s="77" customFormat="1" x14ac:dyDescent="0.3"/>
    <row r="201" s="77" customFormat="1" x14ac:dyDescent="0.3"/>
    <row r="202" s="77" customFormat="1" x14ac:dyDescent="0.3"/>
    <row r="203" s="77" customFormat="1" x14ac:dyDescent="0.3"/>
    <row r="204" s="77" customFormat="1" x14ac:dyDescent="0.3"/>
    <row r="205" s="77" customFormat="1" x14ac:dyDescent="0.3"/>
    <row r="206" s="77" customFormat="1" x14ac:dyDescent="0.3"/>
    <row r="207" s="77" customFormat="1" x14ac:dyDescent="0.3"/>
    <row r="208" s="77" customFormat="1" x14ac:dyDescent="0.3"/>
    <row r="209" s="77" customFormat="1" x14ac:dyDescent="0.3"/>
    <row r="210" s="77" customFormat="1" x14ac:dyDescent="0.3"/>
    <row r="211" s="77" customFormat="1" x14ac:dyDescent="0.3"/>
    <row r="212" s="77" customFormat="1" x14ac:dyDescent="0.3"/>
    <row r="213" s="77" customFormat="1" x14ac:dyDescent="0.3"/>
    <row r="214" s="77" customFormat="1" x14ac:dyDescent="0.3"/>
    <row r="215" s="77" customFormat="1" x14ac:dyDescent="0.3"/>
    <row r="216" s="77" customFormat="1" x14ac:dyDescent="0.3"/>
    <row r="217" s="77" customFormat="1" x14ac:dyDescent="0.3"/>
    <row r="218" s="77" customFormat="1" x14ac:dyDescent="0.3"/>
    <row r="219" s="77" customFormat="1" x14ac:dyDescent="0.3"/>
    <row r="220" s="77" customFormat="1" x14ac:dyDescent="0.3"/>
    <row r="221" s="77" customFormat="1" x14ac:dyDescent="0.3"/>
    <row r="222" s="77" customFormat="1" x14ac:dyDescent="0.3"/>
    <row r="223" s="77" customFormat="1" x14ac:dyDescent="0.3"/>
    <row r="224" s="77" customFormat="1" x14ac:dyDescent="0.3"/>
    <row r="225" s="77" customFormat="1" x14ac:dyDescent="0.3"/>
    <row r="226" s="77" customFormat="1" x14ac:dyDescent="0.3"/>
    <row r="227" s="77" customFormat="1" x14ac:dyDescent="0.3"/>
    <row r="228" s="77" customFormat="1" x14ac:dyDescent="0.3"/>
    <row r="229" s="77" customFormat="1" x14ac:dyDescent="0.3"/>
    <row r="230" s="77" customFormat="1" x14ac:dyDescent="0.3"/>
    <row r="231" s="77" customFormat="1" x14ac:dyDescent="0.3"/>
    <row r="232" s="77" customFormat="1" x14ac:dyDescent="0.3"/>
    <row r="233" s="77" customFormat="1" x14ac:dyDescent="0.3"/>
    <row r="234" s="77" customFormat="1" x14ac:dyDescent="0.3"/>
    <row r="235" s="77" customFormat="1" x14ac:dyDescent="0.3"/>
    <row r="236" s="77" customFormat="1" x14ac:dyDescent="0.3"/>
    <row r="237" s="77" customFormat="1" x14ac:dyDescent="0.3"/>
    <row r="238" s="77" customFormat="1" x14ac:dyDescent="0.3"/>
    <row r="239" s="77" customFormat="1" x14ac:dyDescent="0.3"/>
    <row r="240" s="77" customFormat="1" x14ac:dyDescent="0.3"/>
    <row r="241" s="77" customFormat="1" x14ac:dyDescent="0.3"/>
    <row r="242" s="77" customFormat="1" x14ac:dyDescent="0.3"/>
    <row r="243" s="77" customFormat="1" x14ac:dyDescent="0.3"/>
    <row r="244" s="77" customFormat="1" x14ac:dyDescent="0.3"/>
    <row r="245" s="77" customFormat="1" x14ac:dyDescent="0.3"/>
    <row r="246" s="77" customFormat="1" x14ac:dyDescent="0.3"/>
    <row r="247" s="77" customFormat="1" x14ac:dyDescent="0.3"/>
    <row r="248" s="77" customFormat="1" x14ac:dyDescent="0.3"/>
    <row r="249" s="77" customFormat="1" x14ac:dyDescent="0.3"/>
    <row r="250" s="77" customFormat="1" x14ac:dyDescent="0.3"/>
    <row r="251" s="77" customFormat="1" x14ac:dyDescent="0.3"/>
    <row r="252" s="77" customFormat="1" x14ac:dyDescent="0.3"/>
    <row r="253" s="77" customFormat="1" x14ac:dyDescent="0.3"/>
    <row r="254" s="77" customFormat="1" x14ac:dyDescent="0.3"/>
    <row r="255" s="77" customFormat="1" x14ac:dyDescent="0.3"/>
    <row r="256" s="77" customFormat="1" x14ac:dyDescent="0.3"/>
    <row r="257" s="77" customFormat="1" x14ac:dyDescent="0.3"/>
    <row r="258" s="77" customFormat="1" x14ac:dyDescent="0.3"/>
    <row r="259" s="77" customFormat="1" x14ac:dyDescent="0.3"/>
    <row r="260" s="77" customFormat="1" x14ac:dyDescent="0.3"/>
    <row r="261" s="77" customFormat="1" x14ac:dyDescent="0.3"/>
    <row r="262" s="77" customFormat="1" x14ac:dyDescent="0.3"/>
    <row r="263" s="77" customFormat="1" x14ac:dyDescent="0.3"/>
    <row r="264" s="77" customFormat="1" x14ac:dyDescent="0.3"/>
    <row r="265" s="77" customFormat="1" x14ac:dyDescent="0.3"/>
    <row r="266" s="77" customFormat="1" x14ac:dyDescent="0.3"/>
    <row r="267" s="77" customFormat="1" x14ac:dyDescent="0.3"/>
    <row r="268" s="77" customFormat="1" x14ac:dyDescent="0.3"/>
    <row r="269" s="77" customFormat="1" x14ac:dyDescent="0.3"/>
    <row r="270" s="77" customFormat="1" x14ac:dyDescent="0.3"/>
    <row r="271" s="77" customFormat="1" x14ac:dyDescent="0.3"/>
    <row r="272" s="77" customFormat="1" x14ac:dyDescent="0.3"/>
    <row r="273" s="77" customFormat="1" x14ac:dyDescent="0.3"/>
    <row r="274" s="77" customFormat="1" x14ac:dyDescent="0.3"/>
    <row r="275" s="77" customFormat="1" x14ac:dyDescent="0.3"/>
    <row r="276" s="77" customFormat="1" x14ac:dyDescent="0.3"/>
    <row r="277" s="77" customFormat="1" x14ac:dyDescent="0.3"/>
    <row r="278" s="77" customFormat="1" x14ac:dyDescent="0.3"/>
    <row r="279" s="77" customFormat="1" x14ac:dyDescent="0.3"/>
    <row r="280" s="77" customFormat="1" x14ac:dyDescent="0.3"/>
    <row r="281" s="77" customFormat="1" x14ac:dyDescent="0.3"/>
    <row r="282" s="77" customFormat="1" x14ac:dyDescent="0.3"/>
    <row r="283" s="77" customFormat="1" x14ac:dyDescent="0.3"/>
    <row r="284" s="77" customFormat="1" x14ac:dyDescent="0.3"/>
    <row r="285" s="77" customFormat="1" x14ac:dyDescent="0.3"/>
    <row r="286" s="77" customFormat="1" x14ac:dyDescent="0.3"/>
    <row r="287" s="77" customFormat="1" x14ac:dyDescent="0.3"/>
    <row r="288" s="77" customFormat="1" x14ac:dyDescent="0.3"/>
    <row r="289" s="77" customFormat="1" x14ac:dyDescent="0.3"/>
    <row r="290" s="77" customFormat="1" x14ac:dyDescent="0.3"/>
    <row r="291" s="77" customFormat="1" x14ac:dyDescent="0.3"/>
    <row r="292" s="77" customFormat="1" x14ac:dyDescent="0.3"/>
    <row r="293" s="77" customFormat="1" x14ac:dyDescent="0.3"/>
    <row r="294" s="77" customFormat="1" x14ac:dyDescent="0.3"/>
    <row r="295" s="77" customFormat="1" x14ac:dyDescent="0.3"/>
    <row r="296" s="77" customFormat="1" x14ac:dyDescent="0.3"/>
    <row r="297" s="77" customFormat="1" x14ac:dyDescent="0.3"/>
    <row r="298" s="77" customFormat="1" x14ac:dyDescent="0.3"/>
    <row r="299" s="77" customFormat="1" x14ac:dyDescent="0.3"/>
    <row r="300" s="77" customFormat="1" x14ac:dyDescent="0.3"/>
    <row r="301" s="77" customFormat="1" x14ac:dyDescent="0.3"/>
    <row r="302" s="77" customFormat="1" x14ac:dyDescent="0.3"/>
    <row r="303" s="77" customFormat="1" x14ac:dyDescent="0.3"/>
    <row r="304" s="77" customFormat="1" x14ac:dyDescent="0.3"/>
    <row r="305" s="77" customFormat="1" x14ac:dyDescent="0.3"/>
    <row r="306" s="77" customFormat="1" x14ac:dyDescent="0.3"/>
    <row r="307" s="77" customFormat="1" x14ac:dyDescent="0.3"/>
    <row r="308" s="77" customFormat="1" x14ac:dyDescent="0.3"/>
    <row r="309" s="77" customFormat="1" x14ac:dyDescent="0.3"/>
    <row r="310" s="77" customFormat="1" x14ac:dyDescent="0.3"/>
    <row r="311" s="77" customFormat="1" x14ac:dyDescent="0.3"/>
    <row r="312" s="77" customFormat="1" x14ac:dyDescent="0.3"/>
    <row r="313" s="77" customFormat="1" x14ac:dyDescent="0.3"/>
    <row r="314" s="77" customFormat="1" x14ac:dyDescent="0.3"/>
    <row r="315" s="77" customFormat="1" x14ac:dyDescent="0.3"/>
    <row r="316" s="77" customFormat="1" x14ac:dyDescent="0.3"/>
    <row r="317" s="77" customFormat="1" x14ac:dyDescent="0.3"/>
    <row r="318" s="77" customFormat="1" x14ac:dyDescent="0.3"/>
    <row r="319" s="77" customFormat="1" x14ac:dyDescent="0.3"/>
    <row r="320" s="77" customFormat="1" x14ac:dyDescent="0.3"/>
    <row r="321" s="77" customFormat="1" x14ac:dyDescent="0.3"/>
    <row r="322" s="77" customFormat="1" x14ac:dyDescent="0.3"/>
    <row r="323" s="77" customFormat="1" x14ac:dyDescent="0.3"/>
    <row r="324" s="77" customFormat="1" x14ac:dyDescent="0.3"/>
    <row r="325" s="77" customFormat="1" x14ac:dyDescent="0.3"/>
    <row r="326" s="77" customFormat="1" x14ac:dyDescent="0.3"/>
    <row r="327" s="77" customFormat="1" x14ac:dyDescent="0.3"/>
    <row r="328" s="77" customFormat="1" x14ac:dyDescent="0.3"/>
    <row r="329" s="77" customFormat="1" x14ac:dyDescent="0.3"/>
    <row r="330" s="77" customFormat="1" x14ac:dyDescent="0.3"/>
    <row r="331" s="77" customFormat="1" x14ac:dyDescent="0.3"/>
    <row r="332" s="77" customFormat="1" x14ac:dyDescent="0.3"/>
    <row r="333" s="77" customFormat="1" x14ac:dyDescent="0.3"/>
    <row r="334" s="77" customFormat="1" x14ac:dyDescent="0.3"/>
    <row r="335" s="77" customFormat="1" x14ac:dyDescent="0.3"/>
    <row r="336" s="77" customFormat="1" x14ac:dyDescent="0.3"/>
    <row r="337" s="77" customFormat="1" x14ac:dyDescent="0.3"/>
    <row r="338" s="77" customFormat="1" x14ac:dyDescent="0.3"/>
    <row r="339" s="77" customFormat="1" x14ac:dyDescent="0.3"/>
    <row r="340" s="77" customFormat="1" x14ac:dyDescent="0.3"/>
    <row r="341" s="77" customFormat="1" x14ac:dyDescent="0.3"/>
    <row r="342" s="77" customFormat="1" x14ac:dyDescent="0.3"/>
    <row r="343" s="77" customFormat="1" x14ac:dyDescent="0.3"/>
    <row r="344" s="77" customFormat="1" x14ac:dyDescent="0.3"/>
    <row r="345" s="77" customFormat="1" x14ac:dyDescent="0.3"/>
    <row r="346" s="77" customFormat="1" x14ac:dyDescent="0.3"/>
    <row r="347" s="77" customFormat="1" x14ac:dyDescent="0.3"/>
    <row r="348" s="77" customFormat="1" x14ac:dyDescent="0.3"/>
    <row r="349" s="77" customFormat="1" x14ac:dyDescent="0.3"/>
    <row r="350" s="77" customFormat="1" x14ac:dyDescent="0.3"/>
    <row r="351" s="77" customFormat="1" x14ac:dyDescent="0.3"/>
    <row r="352" s="77" customFormat="1" x14ac:dyDescent="0.3"/>
    <row r="353" s="77" customFormat="1" x14ac:dyDescent="0.3"/>
    <row r="354" s="77" customFormat="1" x14ac:dyDescent="0.3"/>
    <row r="355" s="77" customFormat="1" x14ac:dyDescent="0.3"/>
    <row r="356" s="77" customFormat="1" x14ac:dyDescent="0.3"/>
    <row r="357" s="77" customFormat="1" x14ac:dyDescent="0.3"/>
    <row r="358" s="77" customFormat="1" x14ac:dyDescent="0.3"/>
    <row r="359" s="77" customFormat="1" x14ac:dyDescent="0.3"/>
    <row r="360" s="77" customFormat="1" x14ac:dyDescent="0.3"/>
    <row r="361" s="77" customFormat="1" x14ac:dyDescent="0.3"/>
    <row r="362" s="77" customFormat="1" x14ac:dyDescent="0.3"/>
    <row r="363" s="77" customFormat="1" x14ac:dyDescent="0.3"/>
    <row r="364" s="77" customFormat="1" x14ac:dyDescent="0.3"/>
    <row r="365" s="77" customFormat="1" x14ac:dyDescent="0.3"/>
    <row r="366" s="77" customFormat="1" x14ac:dyDescent="0.3"/>
    <row r="367" s="77" customFormat="1" x14ac:dyDescent="0.3"/>
    <row r="368" s="77" customFormat="1" x14ac:dyDescent="0.3"/>
    <row r="369" s="77" customFormat="1" x14ac:dyDescent="0.3"/>
    <row r="370" s="77" customFormat="1" x14ac:dyDescent="0.3"/>
    <row r="371" s="77" customFormat="1" x14ac:dyDescent="0.3"/>
    <row r="372" s="77" customFormat="1" x14ac:dyDescent="0.3"/>
    <row r="373" s="77" customFormat="1" x14ac:dyDescent="0.3"/>
    <row r="374" s="77" customFormat="1" x14ac:dyDescent="0.3"/>
    <row r="375" s="77" customFormat="1" x14ac:dyDescent="0.3"/>
    <row r="376" s="77" customFormat="1" x14ac:dyDescent="0.3"/>
    <row r="377" s="77" customFormat="1" x14ac:dyDescent="0.3"/>
    <row r="378" s="77" customFormat="1" x14ac:dyDescent="0.3"/>
    <row r="379" s="77" customFormat="1" x14ac:dyDescent="0.3"/>
    <row r="380" s="77" customFormat="1" x14ac:dyDescent="0.3"/>
    <row r="381" s="77" customFormat="1" x14ac:dyDescent="0.3"/>
    <row r="382" s="77" customFormat="1" x14ac:dyDescent="0.3"/>
    <row r="383" s="77" customFormat="1" x14ac:dyDescent="0.3"/>
    <row r="384" s="77" customFormat="1" x14ac:dyDescent="0.3"/>
    <row r="385" s="77" customFormat="1" x14ac:dyDescent="0.3"/>
    <row r="386" s="77" customFormat="1" x14ac:dyDescent="0.3"/>
    <row r="387" s="77" customFormat="1" x14ac:dyDescent="0.3"/>
    <row r="388" s="77" customFormat="1" x14ac:dyDescent="0.3"/>
    <row r="389" s="77" customFormat="1" x14ac:dyDescent="0.3"/>
    <row r="390" s="77" customFormat="1" x14ac:dyDescent="0.3"/>
    <row r="391" s="77" customFormat="1" x14ac:dyDescent="0.3"/>
    <row r="392" s="77" customFormat="1" x14ac:dyDescent="0.3"/>
    <row r="393" s="77" customFormat="1" x14ac:dyDescent="0.3"/>
    <row r="394" s="77" customFormat="1" x14ac:dyDescent="0.3"/>
    <row r="395" s="77" customFormat="1" x14ac:dyDescent="0.3"/>
    <row r="396" s="77" customFormat="1" x14ac:dyDescent="0.3"/>
    <row r="397" s="77" customFormat="1" x14ac:dyDescent="0.3"/>
    <row r="398" s="77" customFormat="1" x14ac:dyDescent="0.3"/>
    <row r="399" s="77" customFormat="1" x14ac:dyDescent="0.3"/>
    <row r="400" s="77" customFormat="1" x14ac:dyDescent="0.3"/>
    <row r="401" s="77" customFormat="1" x14ac:dyDescent="0.3"/>
    <row r="402" s="77" customFormat="1" x14ac:dyDescent="0.3"/>
    <row r="403" s="77" customFormat="1" x14ac:dyDescent="0.3"/>
    <row r="404" s="77" customFormat="1" x14ac:dyDescent="0.3"/>
    <row r="405" s="77" customFormat="1" x14ac:dyDescent="0.3"/>
    <row r="406" s="77" customFormat="1" x14ac:dyDescent="0.3"/>
    <row r="407" s="77" customFormat="1" x14ac:dyDescent="0.3"/>
    <row r="408" s="77" customFormat="1" x14ac:dyDescent="0.3"/>
    <row r="409" s="77" customFormat="1" x14ac:dyDescent="0.3"/>
    <row r="410" s="77" customFormat="1" x14ac:dyDescent="0.3"/>
    <row r="411" s="77" customFormat="1" x14ac:dyDescent="0.3"/>
    <row r="412" s="77" customFormat="1" x14ac:dyDescent="0.3"/>
    <row r="413" s="77" customFormat="1" x14ac:dyDescent="0.3"/>
    <row r="414" s="77" customFormat="1" x14ac:dyDescent="0.3"/>
    <row r="415" s="77" customFormat="1" x14ac:dyDescent="0.3"/>
    <row r="416" s="77" customFormat="1" x14ac:dyDescent="0.3"/>
    <row r="417" s="77" customFormat="1" x14ac:dyDescent="0.3"/>
    <row r="418" s="77" customFormat="1" x14ac:dyDescent="0.3"/>
    <row r="419" s="77" customFormat="1" x14ac:dyDescent="0.3"/>
    <row r="420" s="77" customFormat="1" x14ac:dyDescent="0.3"/>
    <row r="421" s="77" customFormat="1" x14ac:dyDescent="0.3"/>
    <row r="422" s="77" customFormat="1" x14ac:dyDescent="0.3"/>
    <row r="423" s="77" customFormat="1" x14ac:dyDescent="0.3"/>
    <row r="424" s="77" customFormat="1" x14ac:dyDescent="0.3"/>
    <row r="425" s="77" customFormat="1" x14ac:dyDescent="0.3"/>
    <row r="426" s="77" customFormat="1" x14ac:dyDescent="0.3"/>
    <row r="427" s="77" customFormat="1" x14ac:dyDescent="0.3"/>
    <row r="428" s="77" customFormat="1" x14ac:dyDescent="0.3"/>
    <row r="429" s="77" customFormat="1" x14ac:dyDescent="0.3"/>
    <row r="430" s="77" customFormat="1" x14ac:dyDescent="0.3"/>
    <row r="431" s="77" customFormat="1" x14ac:dyDescent="0.3"/>
    <row r="432" s="77" customFormat="1" x14ac:dyDescent="0.3"/>
    <row r="433" s="77" customFormat="1" x14ac:dyDescent="0.3"/>
    <row r="434" s="77" customFormat="1" x14ac:dyDescent="0.3"/>
    <row r="435" s="77" customFormat="1" x14ac:dyDescent="0.3"/>
    <row r="436" s="77" customFormat="1" x14ac:dyDescent="0.3"/>
    <row r="437" s="77" customFormat="1" x14ac:dyDescent="0.3"/>
    <row r="438" s="77" customFormat="1" x14ac:dyDescent="0.3"/>
    <row r="439" s="77" customFormat="1" x14ac:dyDescent="0.3"/>
    <row r="440" s="77" customFormat="1" x14ac:dyDescent="0.3"/>
    <row r="441" s="77" customFormat="1" x14ac:dyDescent="0.3"/>
    <row r="442" s="77" customFormat="1" x14ac:dyDescent="0.3"/>
    <row r="443" s="77" customFormat="1" x14ac:dyDescent="0.3"/>
    <row r="444" s="77" customFormat="1" x14ac:dyDescent="0.3"/>
    <row r="445" s="77" customFormat="1" x14ac:dyDescent="0.3"/>
    <row r="446" s="77" customFormat="1" x14ac:dyDescent="0.3"/>
    <row r="447" s="77" customFormat="1" x14ac:dyDescent="0.3"/>
    <row r="448" s="77" customFormat="1" x14ac:dyDescent="0.3"/>
    <row r="449" s="77" customFormat="1" x14ac:dyDescent="0.3"/>
    <row r="450" s="77" customFormat="1" x14ac:dyDescent="0.3"/>
    <row r="451" s="77" customFormat="1" x14ac:dyDescent="0.3"/>
    <row r="452" s="77" customFormat="1" x14ac:dyDescent="0.3"/>
    <row r="453" s="77" customFormat="1" x14ac:dyDescent="0.3"/>
    <row r="454" s="77" customFormat="1" x14ac:dyDescent="0.3"/>
    <row r="455" s="77" customFormat="1" x14ac:dyDescent="0.3"/>
    <row r="456" s="77" customFormat="1" x14ac:dyDescent="0.3"/>
    <row r="457" s="77" customFormat="1" x14ac:dyDescent="0.3"/>
    <row r="458" s="77" customFormat="1" x14ac:dyDescent="0.3"/>
    <row r="459" s="77" customFormat="1" x14ac:dyDescent="0.3"/>
    <row r="460" s="77" customFormat="1" x14ac:dyDescent="0.3"/>
    <row r="461" s="77" customFormat="1" x14ac:dyDescent="0.3"/>
    <row r="462" s="77" customFormat="1" x14ac:dyDescent="0.3"/>
    <row r="463" s="77" customFormat="1" x14ac:dyDescent="0.3"/>
    <row r="464" s="77" customFormat="1" x14ac:dyDescent="0.3"/>
    <row r="465" s="77" customFormat="1" x14ac:dyDescent="0.3"/>
    <row r="466" s="77" customFormat="1" x14ac:dyDescent="0.3"/>
    <row r="467" s="77" customFormat="1" x14ac:dyDescent="0.3"/>
    <row r="468" s="77" customFormat="1" x14ac:dyDescent="0.3"/>
    <row r="469" s="77" customFormat="1" x14ac:dyDescent="0.3"/>
    <row r="470" s="77" customFormat="1" x14ac:dyDescent="0.3"/>
    <row r="471" s="77" customFormat="1" x14ac:dyDescent="0.3"/>
    <row r="472" s="77" customFormat="1" x14ac:dyDescent="0.3"/>
    <row r="473" s="77" customFormat="1" x14ac:dyDescent="0.3"/>
    <row r="474" s="77" customFormat="1" x14ac:dyDescent="0.3"/>
    <row r="475" s="77" customFormat="1" x14ac:dyDescent="0.3"/>
    <row r="476" s="77" customFormat="1" x14ac:dyDescent="0.3"/>
    <row r="477" s="77" customFormat="1" x14ac:dyDescent="0.3"/>
    <row r="478" s="77" customFormat="1" x14ac:dyDescent="0.3"/>
    <row r="479" s="77" customFormat="1" x14ac:dyDescent="0.3"/>
    <row r="480" s="77" customFormat="1" x14ac:dyDescent="0.3"/>
    <row r="481" s="77" customFormat="1" x14ac:dyDescent="0.3"/>
    <row r="482" s="77" customFormat="1" x14ac:dyDescent="0.3"/>
    <row r="483" s="77" customFormat="1" x14ac:dyDescent="0.3"/>
    <row r="484" s="77" customFormat="1" x14ac:dyDescent="0.3"/>
    <row r="485" s="77" customFormat="1" x14ac:dyDescent="0.3"/>
    <row r="486" s="77" customFormat="1" x14ac:dyDescent="0.3"/>
    <row r="487" s="77" customFormat="1" x14ac:dyDescent="0.3"/>
    <row r="488" s="77" customFormat="1" x14ac:dyDescent="0.3"/>
    <row r="489" s="77" customFormat="1" x14ac:dyDescent="0.3"/>
    <row r="490" s="77" customFormat="1" x14ac:dyDescent="0.3"/>
    <row r="491" s="77" customFormat="1" x14ac:dyDescent="0.3"/>
    <row r="492" s="77" customFormat="1" x14ac:dyDescent="0.3"/>
    <row r="493" s="77" customFormat="1" x14ac:dyDescent="0.3"/>
    <row r="494" s="77" customFormat="1" x14ac:dyDescent="0.3"/>
    <row r="495" s="77" customFormat="1" x14ac:dyDescent="0.3"/>
    <row r="496" s="77" customFormat="1" x14ac:dyDescent="0.3"/>
    <row r="497" s="77" customFormat="1" x14ac:dyDescent="0.3"/>
    <row r="498" s="77" customFormat="1" x14ac:dyDescent="0.3"/>
    <row r="499" s="77" customFormat="1" x14ac:dyDescent="0.3"/>
    <row r="500" s="77" customFormat="1" x14ac:dyDescent="0.3"/>
    <row r="501" s="77" customFormat="1" x14ac:dyDescent="0.3"/>
    <row r="502" s="77" customFormat="1" x14ac:dyDescent="0.3"/>
    <row r="503" s="77" customFormat="1" x14ac:dyDescent="0.3"/>
    <row r="504" s="77" customFormat="1" x14ac:dyDescent="0.3"/>
    <row r="505" s="77" customFormat="1" x14ac:dyDescent="0.3"/>
    <row r="506" s="77" customFormat="1" x14ac:dyDescent="0.3"/>
    <row r="507" s="77" customFormat="1" x14ac:dyDescent="0.3"/>
    <row r="508" s="77" customFormat="1" x14ac:dyDescent="0.3"/>
    <row r="509" s="77" customFormat="1" x14ac:dyDescent="0.3"/>
    <row r="510" s="77" customFormat="1" x14ac:dyDescent="0.3"/>
    <row r="511" s="77" customFormat="1" x14ac:dyDescent="0.3"/>
    <row r="512" s="77" customFormat="1" x14ac:dyDescent="0.3"/>
    <row r="513" s="77" customFormat="1" x14ac:dyDescent="0.3"/>
    <row r="514" s="77" customFormat="1" x14ac:dyDescent="0.3"/>
    <row r="515" s="77" customFormat="1" x14ac:dyDescent="0.3"/>
    <row r="516" s="77" customFormat="1" x14ac:dyDescent="0.3"/>
    <row r="517" s="77" customFormat="1" x14ac:dyDescent="0.3"/>
    <row r="518" s="77" customFormat="1" x14ac:dyDescent="0.3"/>
    <row r="519" s="77" customFormat="1" x14ac:dyDescent="0.3"/>
    <row r="520" s="77" customFormat="1" x14ac:dyDescent="0.3"/>
    <row r="521" s="77" customFormat="1" x14ac:dyDescent="0.3"/>
    <row r="522" s="77" customFormat="1" x14ac:dyDescent="0.3"/>
    <row r="523" s="77" customFormat="1" x14ac:dyDescent="0.3"/>
    <row r="524" s="77" customFormat="1" x14ac:dyDescent="0.3"/>
    <row r="525" s="77" customFormat="1" x14ac:dyDescent="0.3"/>
    <row r="526" s="77" customFormat="1" x14ac:dyDescent="0.3"/>
    <row r="527" s="77" customFormat="1" x14ac:dyDescent="0.3"/>
    <row r="528" s="77" customFormat="1" x14ac:dyDescent="0.3"/>
    <row r="529" s="77" customFormat="1" x14ac:dyDescent="0.3"/>
    <row r="530" s="77" customFormat="1" x14ac:dyDescent="0.3"/>
    <row r="531" s="77" customFormat="1" x14ac:dyDescent="0.3"/>
    <row r="532" s="77" customFormat="1" x14ac:dyDescent="0.3"/>
    <row r="533" s="77" customFormat="1" x14ac:dyDescent="0.3"/>
    <row r="534" s="77" customFormat="1" x14ac:dyDescent="0.3"/>
    <row r="535" s="77" customFormat="1" x14ac:dyDescent="0.3"/>
    <row r="536" s="77" customFormat="1" x14ac:dyDescent="0.3"/>
    <row r="537" s="77" customFormat="1" x14ac:dyDescent="0.3"/>
    <row r="538" s="77" customFormat="1" x14ac:dyDescent="0.3"/>
    <row r="539" s="77" customFormat="1" x14ac:dyDescent="0.3"/>
    <row r="540" s="77" customFormat="1" x14ac:dyDescent="0.3"/>
    <row r="541" s="77" customFormat="1" x14ac:dyDescent="0.3"/>
    <row r="542" s="77" customFormat="1" x14ac:dyDescent="0.3"/>
    <row r="543" s="77" customFormat="1" x14ac:dyDescent="0.3"/>
    <row r="544" s="77" customFormat="1" x14ac:dyDescent="0.3"/>
    <row r="545" s="77" customFormat="1" x14ac:dyDescent="0.3"/>
    <row r="546" s="77" customFormat="1" x14ac:dyDescent="0.3"/>
    <row r="547" s="77" customFormat="1" x14ac:dyDescent="0.3"/>
    <row r="548" s="77" customFormat="1" x14ac:dyDescent="0.3"/>
    <row r="549" s="77" customFormat="1" x14ac:dyDescent="0.3"/>
    <row r="550" s="77" customFormat="1" x14ac:dyDescent="0.3"/>
    <row r="551" s="77" customFormat="1" x14ac:dyDescent="0.3"/>
    <row r="552" s="77" customFormat="1" x14ac:dyDescent="0.3"/>
    <row r="553" s="77" customFormat="1" x14ac:dyDescent="0.3"/>
    <row r="554" s="77" customFormat="1" x14ac:dyDescent="0.3"/>
    <row r="555" s="77" customFormat="1" x14ac:dyDescent="0.3"/>
    <row r="556" s="77" customFormat="1" x14ac:dyDescent="0.3"/>
    <row r="557" s="77" customFormat="1" x14ac:dyDescent="0.3"/>
    <row r="558" s="77" customFormat="1" x14ac:dyDescent="0.3"/>
    <row r="559" s="77" customFormat="1" x14ac:dyDescent="0.3"/>
    <row r="560" s="77" customFormat="1" x14ac:dyDescent="0.3"/>
    <row r="561" s="77" customFormat="1" x14ac:dyDescent="0.3"/>
    <row r="562" s="77" customFormat="1" x14ac:dyDescent="0.3"/>
    <row r="563" s="77" customFormat="1" x14ac:dyDescent="0.3"/>
    <row r="564" s="77" customFormat="1" x14ac:dyDescent="0.3"/>
    <row r="565" s="77" customFormat="1" x14ac:dyDescent="0.3"/>
    <row r="566" s="77" customFormat="1" x14ac:dyDescent="0.3"/>
    <row r="567" s="77" customFormat="1" x14ac:dyDescent="0.3"/>
    <row r="568" s="77" customFormat="1" x14ac:dyDescent="0.3"/>
    <row r="569" s="77" customFormat="1" x14ac:dyDescent="0.3"/>
    <row r="570" s="77" customFormat="1" x14ac:dyDescent="0.3"/>
    <row r="571" s="77" customFormat="1" x14ac:dyDescent="0.3"/>
    <row r="572" s="77" customFormat="1" x14ac:dyDescent="0.3"/>
    <row r="573" s="77" customFormat="1" x14ac:dyDescent="0.3"/>
    <row r="574" s="77" customFormat="1" x14ac:dyDescent="0.3"/>
    <row r="575" s="77" customFormat="1" x14ac:dyDescent="0.3"/>
    <row r="576" s="77" customFormat="1" x14ac:dyDescent="0.3"/>
    <row r="577" s="77" customFormat="1" x14ac:dyDescent="0.3"/>
    <row r="578" s="77" customFormat="1" x14ac:dyDescent="0.3"/>
    <row r="579" s="77" customFormat="1" x14ac:dyDescent="0.3"/>
    <row r="580" s="77" customFormat="1" x14ac:dyDescent="0.3"/>
    <row r="581" s="77" customFormat="1" x14ac:dyDescent="0.3"/>
    <row r="582" s="77" customFormat="1" x14ac:dyDescent="0.3"/>
    <row r="583" s="77" customFormat="1" x14ac:dyDescent="0.3"/>
    <row r="584" s="77" customFormat="1" x14ac:dyDescent="0.3"/>
    <row r="585" s="77" customFormat="1" x14ac:dyDescent="0.3"/>
    <row r="586" s="77" customFormat="1" x14ac:dyDescent="0.3"/>
    <row r="587" s="77" customFormat="1" x14ac:dyDescent="0.3"/>
    <row r="588" s="77" customFormat="1" x14ac:dyDescent="0.3"/>
    <row r="589" s="77" customFormat="1" x14ac:dyDescent="0.3"/>
    <row r="590" s="77" customFormat="1" x14ac:dyDescent="0.3"/>
    <row r="591" s="77" customFormat="1" x14ac:dyDescent="0.3"/>
    <row r="592" s="77" customFormat="1" x14ac:dyDescent="0.3"/>
    <row r="593" s="77" customFormat="1" x14ac:dyDescent="0.3"/>
    <row r="594" s="77" customFormat="1" x14ac:dyDescent="0.3"/>
    <row r="595" s="77" customFormat="1" x14ac:dyDescent="0.3"/>
    <row r="596" s="77" customFormat="1" x14ac:dyDescent="0.3"/>
    <row r="597" s="77" customFormat="1" x14ac:dyDescent="0.3"/>
    <row r="598" s="77" customFormat="1" x14ac:dyDescent="0.3"/>
    <row r="599" s="77" customFormat="1" x14ac:dyDescent="0.3"/>
    <row r="600" s="77" customFormat="1" x14ac:dyDescent="0.3"/>
    <row r="601" s="77" customFormat="1" x14ac:dyDescent="0.3"/>
    <row r="602" s="77" customFormat="1" x14ac:dyDescent="0.3"/>
    <row r="603" s="77" customFormat="1" x14ac:dyDescent="0.3"/>
    <row r="604" s="77" customFormat="1" x14ac:dyDescent="0.3"/>
    <row r="605" s="77" customFormat="1" x14ac:dyDescent="0.3"/>
    <row r="606" s="77" customFormat="1" x14ac:dyDescent="0.3"/>
    <row r="607" s="77" customFormat="1" x14ac:dyDescent="0.3"/>
    <row r="608" s="77" customFormat="1" x14ac:dyDescent="0.3"/>
    <row r="609" s="77" customFormat="1" x14ac:dyDescent="0.3"/>
    <row r="610" s="77" customFormat="1" x14ac:dyDescent="0.3"/>
    <row r="611" s="77" customFormat="1" x14ac:dyDescent="0.3"/>
    <row r="612" s="77" customFormat="1" x14ac:dyDescent="0.3"/>
    <row r="613" s="77" customFormat="1" x14ac:dyDescent="0.3"/>
    <row r="614" s="77" customFormat="1" x14ac:dyDescent="0.3"/>
    <row r="615" s="77" customFormat="1" x14ac:dyDescent="0.3"/>
    <row r="616" s="77" customFormat="1" x14ac:dyDescent="0.3"/>
    <row r="617" s="77" customFormat="1" x14ac:dyDescent="0.3"/>
    <row r="618" s="77" customFormat="1" x14ac:dyDescent="0.3"/>
    <row r="619" s="77" customFormat="1" x14ac:dyDescent="0.3"/>
    <row r="620" s="77" customFormat="1" x14ac:dyDescent="0.3"/>
    <row r="621" s="77" customFormat="1" x14ac:dyDescent="0.3"/>
    <row r="622" s="77" customFormat="1" x14ac:dyDescent="0.3"/>
    <row r="623" s="77" customFormat="1" x14ac:dyDescent="0.3"/>
    <row r="624" s="77" customFormat="1" x14ac:dyDescent="0.3"/>
    <row r="625" s="77" customFormat="1" x14ac:dyDescent="0.3"/>
    <row r="626" s="77" customFormat="1" x14ac:dyDescent="0.3"/>
    <row r="627" s="77" customFormat="1" x14ac:dyDescent="0.3"/>
    <row r="628" s="77" customFormat="1" x14ac:dyDescent="0.3"/>
    <row r="629" s="77" customFormat="1" x14ac:dyDescent="0.3"/>
    <row r="630" s="77" customFormat="1" x14ac:dyDescent="0.3"/>
    <row r="631" s="77" customFormat="1" x14ac:dyDescent="0.3"/>
    <row r="632" s="77" customFormat="1" x14ac:dyDescent="0.3"/>
    <row r="633" s="77" customFormat="1" x14ac:dyDescent="0.3"/>
    <row r="634" s="77" customFormat="1" x14ac:dyDescent="0.3"/>
    <row r="635" s="77" customFormat="1" x14ac:dyDescent="0.3"/>
    <row r="636" s="77" customFormat="1" x14ac:dyDescent="0.3"/>
    <row r="637" s="77" customFormat="1" x14ac:dyDescent="0.3"/>
    <row r="638" s="77" customFormat="1" x14ac:dyDescent="0.3"/>
    <row r="639" s="77" customFormat="1" x14ac:dyDescent="0.3"/>
    <row r="640" s="77" customFormat="1" x14ac:dyDescent="0.3"/>
    <row r="641" s="77" customFormat="1" x14ac:dyDescent="0.3"/>
    <row r="642" s="77" customFormat="1" x14ac:dyDescent="0.3"/>
    <row r="643" s="77" customFormat="1" x14ac:dyDescent="0.3"/>
    <row r="644" s="77" customFormat="1" x14ac:dyDescent="0.3"/>
    <row r="645" s="77" customFormat="1" x14ac:dyDescent="0.3"/>
    <row r="646" s="77" customFormat="1" x14ac:dyDescent="0.3"/>
    <row r="647" s="77" customFormat="1" x14ac:dyDescent="0.3"/>
    <row r="648" s="77" customFormat="1" x14ac:dyDescent="0.3"/>
    <row r="649" s="77" customFormat="1" x14ac:dyDescent="0.3"/>
    <row r="650" s="77" customFormat="1" x14ac:dyDescent="0.3"/>
    <row r="651" s="77" customFormat="1" x14ac:dyDescent="0.3"/>
    <row r="652" s="77" customFormat="1" x14ac:dyDescent="0.3"/>
    <row r="653" s="77" customFormat="1" x14ac:dyDescent="0.3"/>
    <row r="654" s="77" customFormat="1" x14ac:dyDescent="0.3"/>
    <row r="655" s="77" customFormat="1" x14ac:dyDescent="0.3"/>
    <row r="656" s="77" customFormat="1" x14ac:dyDescent="0.3"/>
    <row r="657" s="77" customFormat="1" x14ac:dyDescent="0.3"/>
    <row r="658" s="77" customFormat="1" x14ac:dyDescent="0.3"/>
    <row r="659" s="77" customFormat="1" x14ac:dyDescent="0.3"/>
    <row r="660" s="77" customFormat="1" x14ac:dyDescent="0.3"/>
    <row r="661" s="77" customFormat="1" x14ac:dyDescent="0.3"/>
    <row r="662" s="77" customFormat="1" x14ac:dyDescent="0.3"/>
    <row r="663" s="77" customFormat="1" x14ac:dyDescent="0.3"/>
    <row r="664" s="77" customFormat="1" x14ac:dyDescent="0.3"/>
    <row r="665" s="77" customFormat="1" x14ac:dyDescent="0.3"/>
    <row r="666" s="77" customFormat="1" x14ac:dyDescent="0.3"/>
    <row r="667" s="77" customFormat="1" x14ac:dyDescent="0.3"/>
    <row r="668" s="77" customFormat="1" x14ac:dyDescent="0.3"/>
    <row r="669" s="77" customFormat="1" x14ac:dyDescent="0.3"/>
    <row r="670" s="77" customFormat="1" x14ac:dyDescent="0.3"/>
    <row r="671" s="77" customFormat="1" x14ac:dyDescent="0.3"/>
    <row r="672" s="77" customFormat="1" x14ac:dyDescent="0.3"/>
    <row r="673" s="77" customFormat="1" x14ac:dyDescent="0.3"/>
    <row r="674" s="77" customFormat="1" x14ac:dyDescent="0.3"/>
    <row r="675" s="77" customFormat="1" x14ac:dyDescent="0.3"/>
    <row r="676" s="77" customFormat="1" x14ac:dyDescent="0.3"/>
    <row r="677" s="77" customFormat="1" x14ac:dyDescent="0.3"/>
    <row r="678" s="77" customFormat="1" x14ac:dyDescent="0.3"/>
    <row r="679" s="77" customFormat="1" x14ac:dyDescent="0.3"/>
    <row r="680" s="77" customFormat="1" x14ac:dyDescent="0.3"/>
    <row r="681" s="77" customFormat="1" x14ac:dyDescent="0.3"/>
    <row r="682" s="77" customFormat="1" x14ac:dyDescent="0.3"/>
    <row r="683" s="77" customFormat="1" x14ac:dyDescent="0.3"/>
    <row r="684" s="77" customFormat="1" x14ac:dyDescent="0.3"/>
    <row r="685" s="77" customFormat="1" x14ac:dyDescent="0.3"/>
    <row r="686" s="77" customFormat="1" x14ac:dyDescent="0.3"/>
    <row r="687" s="77" customFormat="1" x14ac:dyDescent="0.3"/>
    <row r="688" s="77" customFormat="1" x14ac:dyDescent="0.3"/>
    <row r="689" s="77" customFormat="1" x14ac:dyDescent="0.3"/>
    <row r="690" s="77" customFormat="1" x14ac:dyDescent="0.3"/>
    <row r="691" s="77" customFormat="1" x14ac:dyDescent="0.3"/>
    <row r="692" s="77" customFormat="1" x14ac:dyDescent="0.3"/>
    <row r="693" s="77" customFormat="1" x14ac:dyDescent="0.3"/>
    <row r="694" s="77" customFormat="1" x14ac:dyDescent="0.3"/>
    <row r="695" s="77" customFormat="1" x14ac:dyDescent="0.3"/>
    <row r="696" s="77" customFormat="1" x14ac:dyDescent="0.3"/>
    <row r="697" s="77" customFormat="1" x14ac:dyDescent="0.3"/>
    <row r="698" s="77" customFormat="1" x14ac:dyDescent="0.3"/>
    <row r="699" s="77" customFormat="1" x14ac:dyDescent="0.3"/>
    <row r="700" s="77" customFormat="1" x14ac:dyDescent="0.3"/>
    <row r="701" s="77" customFormat="1" x14ac:dyDescent="0.3"/>
    <row r="702" s="77" customFormat="1" x14ac:dyDescent="0.3"/>
    <row r="703" s="77" customFormat="1" x14ac:dyDescent="0.3"/>
    <row r="704" s="77" customFormat="1" x14ac:dyDescent="0.3"/>
    <row r="705" s="77" customFormat="1" x14ac:dyDescent="0.3"/>
    <row r="706" s="77" customFormat="1" x14ac:dyDescent="0.3"/>
    <row r="707" s="77" customFormat="1" x14ac:dyDescent="0.3"/>
    <row r="708" s="77" customFormat="1" x14ac:dyDescent="0.3"/>
    <row r="709" s="77" customFormat="1" x14ac:dyDescent="0.3"/>
    <row r="710" s="77" customFormat="1" x14ac:dyDescent="0.3"/>
    <row r="711" s="77" customFormat="1" x14ac:dyDescent="0.3"/>
    <row r="712" s="77" customFormat="1" x14ac:dyDescent="0.3"/>
    <row r="713" s="77" customFormat="1" x14ac:dyDescent="0.3"/>
    <row r="714" s="77" customFormat="1" x14ac:dyDescent="0.3"/>
    <row r="715" s="77" customFormat="1" x14ac:dyDescent="0.3"/>
    <row r="716" s="77" customFormat="1" x14ac:dyDescent="0.3"/>
    <row r="717" s="77" customFormat="1" x14ac:dyDescent="0.3"/>
    <row r="718" s="77" customFormat="1" x14ac:dyDescent="0.3"/>
    <row r="719" s="77" customFormat="1" x14ac:dyDescent="0.3"/>
    <row r="720" s="77" customFormat="1" x14ac:dyDescent="0.3"/>
    <row r="721" s="77" customFormat="1" x14ac:dyDescent="0.3"/>
    <row r="722" s="77" customFormat="1" x14ac:dyDescent="0.3"/>
    <row r="723" s="77" customFormat="1" x14ac:dyDescent="0.3"/>
    <row r="724" s="77" customFormat="1" x14ac:dyDescent="0.3"/>
    <row r="725" s="77" customFormat="1" x14ac:dyDescent="0.3"/>
    <row r="726" s="77" customFormat="1" x14ac:dyDescent="0.3"/>
    <row r="727" s="77" customFormat="1" x14ac:dyDescent="0.3"/>
    <row r="728" s="77" customFormat="1" x14ac:dyDescent="0.3"/>
    <row r="729" s="77" customFormat="1" x14ac:dyDescent="0.3"/>
    <row r="730" s="77" customFormat="1" x14ac:dyDescent="0.3"/>
    <row r="731" s="77" customFormat="1" x14ac:dyDescent="0.3"/>
    <row r="732" s="77" customFormat="1" x14ac:dyDescent="0.3"/>
    <row r="733" s="77" customFormat="1" x14ac:dyDescent="0.3"/>
    <row r="734" s="77" customFormat="1" x14ac:dyDescent="0.3"/>
    <row r="735" s="77" customFormat="1" x14ac:dyDescent="0.3"/>
    <row r="736" s="77" customFormat="1" x14ac:dyDescent="0.3"/>
    <row r="737" s="77" customFormat="1" x14ac:dyDescent="0.3"/>
    <row r="738" s="77" customFormat="1" x14ac:dyDescent="0.3"/>
    <row r="739" s="77" customFormat="1" x14ac:dyDescent="0.3"/>
    <row r="740" s="77" customFormat="1" x14ac:dyDescent="0.3"/>
    <row r="741" s="77" customFormat="1" x14ac:dyDescent="0.3"/>
    <row r="742" s="77" customFormat="1" x14ac:dyDescent="0.3"/>
    <row r="743" s="77" customFormat="1" x14ac:dyDescent="0.3"/>
    <row r="744" s="77" customFormat="1" x14ac:dyDescent="0.3"/>
    <row r="745" s="77" customFormat="1" x14ac:dyDescent="0.3"/>
    <row r="746" s="77" customFormat="1" x14ac:dyDescent="0.3"/>
    <row r="747" s="77" customFormat="1" x14ac:dyDescent="0.3"/>
    <row r="748" s="77" customFormat="1" x14ac:dyDescent="0.3"/>
    <row r="749" s="77" customFormat="1" x14ac:dyDescent="0.3"/>
    <row r="750" s="77" customFormat="1" x14ac:dyDescent="0.3"/>
    <row r="751" s="77" customFormat="1" x14ac:dyDescent="0.3"/>
    <row r="752" s="77" customFormat="1" x14ac:dyDescent="0.3"/>
    <row r="753" s="77" customFormat="1" x14ac:dyDescent="0.3"/>
    <row r="754" s="77" customFormat="1" x14ac:dyDescent="0.3"/>
    <row r="755" s="77" customFormat="1" x14ac:dyDescent="0.3"/>
    <row r="756" s="77" customFormat="1" x14ac:dyDescent="0.3"/>
    <row r="757" s="77" customFormat="1" x14ac:dyDescent="0.3"/>
    <row r="758" s="77" customFormat="1" x14ac:dyDescent="0.3"/>
    <row r="759" s="77" customFormat="1" x14ac:dyDescent="0.3"/>
    <row r="760" s="77" customFormat="1" x14ac:dyDescent="0.3"/>
    <row r="761" s="77" customFormat="1" x14ac:dyDescent="0.3"/>
    <row r="762" s="77" customFormat="1" x14ac:dyDescent="0.3"/>
    <row r="763" s="77" customFormat="1" x14ac:dyDescent="0.3"/>
    <row r="764" s="77" customFormat="1" x14ac:dyDescent="0.3"/>
    <row r="765" s="77" customFormat="1" x14ac:dyDescent="0.3"/>
    <row r="766" s="77" customFormat="1" x14ac:dyDescent="0.3"/>
    <row r="767" s="77" customFormat="1" x14ac:dyDescent="0.3"/>
    <row r="768" s="77" customFormat="1" x14ac:dyDescent="0.3"/>
    <row r="769" s="77" customFormat="1" x14ac:dyDescent="0.3"/>
    <row r="770" s="77" customFormat="1" x14ac:dyDescent="0.3"/>
    <row r="771" s="77" customFormat="1" x14ac:dyDescent="0.3"/>
    <row r="772" s="77" customFormat="1" x14ac:dyDescent="0.3"/>
    <row r="773" s="77" customFormat="1" x14ac:dyDescent="0.3"/>
    <row r="774" s="77" customFormat="1" x14ac:dyDescent="0.3"/>
    <row r="775" s="77" customFormat="1" x14ac:dyDescent="0.3"/>
    <row r="776" s="77" customFormat="1" x14ac:dyDescent="0.3"/>
    <row r="777" s="77" customFormat="1" x14ac:dyDescent="0.3"/>
    <row r="778" s="77" customFormat="1" x14ac:dyDescent="0.3"/>
    <row r="779" s="77" customFormat="1" x14ac:dyDescent="0.3"/>
    <row r="780" s="77" customFormat="1" x14ac:dyDescent="0.3"/>
    <row r="781" s="77" customFormat="1" x14ac:dyDescent="0.3"/>
    <row r="782" s="77" customFormat="1" x14ac:dyDescent="0.3"/>
    <row r="783" s="77" customFormat="1" x14ac:dyDescent="0.3"/>
    <row r="784" s="77" customFormat="1" x14ac:dyDescent="0.3"/>
    <row r="785" s="77" customFormat="1" x14ac:dyDescent="0.3"/>
    <row r="786" s="77" customFormat="1" x14ac:dyDescent="0.3"/>
    <row r="787" s="77" customFormat="1" x14ac:dyDescent="0.3"/>
    <row r="788" s="77" customFormat="1" x14ac:dyDescent="0.3"/>
    <row r="789" s="77" customFormat="1" x14ac:dyDescent="0.3"/>
    <row r="790" s="77" customFormat="1" x14ac:dyDescent="0.3"/>
    <row r="791" s="77" customFormat="1" x14ac:dyDescent="0.3"/>
    <row r="792" s="77" customFormat="1" x14ac:dyDescent="0.3"/>
    <row r="793" s="77" customFormat="1" x14ac:dyDescent="0.3"/>
    <row r="794" s="77" customFormat="1" x14ac:dyDescent="0.3"/>
    <row r="795" s="77" customFormat="1" x14ac:dyDescent="0.3"/>
    <row r="796" s="77" customFormat="1" x14ac:dyDescent="0.3"/>
    <row r="797" s="77" customFormat="1" x14ac:dyDescent="0.3"/>
    <row r="798" s="77" customFormat="1" x14ac:dyDescent="0.3"/>
    <row r="799" s="77" customFormat="1" x14ac:dyDescent="0.3"/>
    <row r="800" s="77" customFormat="1" x14ac:dyDescent="0.3"/>
    <row r="801" s="77" customFormat="1" x14ac:dyDescent="0.3"/>
    <row r="802" s="77" customFormat="1" x14ac:dyDescent="0.3"/>
    <row r="803" s="77" customFormat="1" x14ac:dyDescent="0.3"/>
    <row r="804" s="77" customFormat="1" x14ac:dyDescent="0.3"/>
    <row r="805" s="77" customFormat="1" x14ac:dyDescent="0.3"/>
    <row r="806" s="77" customFormat="1" x14ac:dyDescent="0.3"/>
    <row r="807" s="77" customFormat="1" x14ac:dyDescent="0.3"/>
    <row r="808" s="77" customFormat="1" x14ac:dyDescent="0.3"/>
    <row r="809" s="77" customFormat="1" x14ac:dyDescent="0.3"/>
    <row r="810" s="77" customFormat="1" x14ac:dyDescent="0.3"/>
    <row r="811" s="77" customFormat="1" x14ac:dyDescent="0.3"/>
    <row r="812" s="77" customFormat="1" x14ac:dyDescent="0.3"/>
    <row r="813" s="77" customFormat="1" x14ac:dyDescent="0.3"/>
    <row r="814" s="77" customFormat="1" x14ac:dyDescent="0.3"/>
    <row r="815" s="77" customFormat="1" x14ac:dyDescent="0.3"/>
    <row r="816" s="77" customFormat="1" x14ac:dyDescent="0.3"/>
    <row r="817" s="77" customFormat="1" x14ac:dyDescent="0.3"/>
    <row r="818" s="77" customFormat="1" x14ac:dyDescent="0.3"/>
    <row r="819" s="77" customFormat="1" x14ac:dyDescent="0.3"/>
    <row r="820" s="77" customFormat="1" x14ac:dyDescent="0.3"/>
    <row r="821" s="77" customFormat="1" x14ac:dyDescent="0.3"/>
    <row r="822" s="77" customFormat="1" x14ac:dyDescent="0.3"/>
    <row r="823" s="77" customFormat="1" x14ac:dyDescent="0.3"/>
    <row r="824" s="77" customFormat="1" x14ac:dyDescent="0.3"/>
    <row r="825" s="77" customFormat="1" x14ac:dyDescent="0.3"/>
    <row r="826" s="77" customFormat="1" x14ac:dyDescent="0.3"/>
    <row r="827" s="77" customFormat="1" x14ac:dyDescent="0.3"/>
    <row r="828" s="77" customFormat="1" x14ac:dyDescent="0.3"/>
    <row r="829" s="77" customFormat="1" x14ac:dyDescent="0.3"/>
    <row r="830" s="77" customFormat="1" x14ac:dyDescent="0.3"/>
    <row r="831" s="77" customFormat="1" x14ac:dyDescent="0.3"/>
    <row r="832" s="77" customFormat="1" x14ac:dyDescent="0.3"/>
    <row r="833" s="77" customFormat="1" x14ac:dyDescent="0.3"/>
    <row r="834" s="77" customFormat="1" x14ac:dyDescent="0.3"/>
    <row r="835" s="77" customFormat="1" x14ac:dyDescent="0.3"/>
    <row r="836" s="77" customFormat="1" x14ac:dyDescent="0.3"/>
    <row r="837" s="77" customFormat="1" x14ac:dyDescent="0.3"/>
    <row r="838" s="77" customFormat="1" x14ac:dyDescent="0.3"/>
    <row r="839" s="77" customFormat="1" x14ac:dyDescent="0.3"/>
    <row r="840" s="77" customFormat="1" x14ac:dyDescent="0.3"/>
    <row r="841" s="77" customFormat="1" x14ac:dyDescent="0.3"/>
    <row r="842" s="77" customFormat="1" x14ac:dyDescent="0.3"/>
    <row r="843" s="77" customFormat="1" x14ac:dyDescent="0.3"/>
    <row r="844" s="77" customFormat="1" x14ac:dyDescent="0.3"/>
    <row r="845" s="77" customFormat="1" x14ac:dyDescent="0.3"/>
    <row r="846" s="77" customFormat="1" x14ac:dyDescent="0.3"/>
    <row r="847" s="77" customFormat="1" x14ac:dyDescent="0.3"/>
    <row r="848" s="77" customFormat="1" x14ac:dyDescent="0.3"/>
    <row r="849" s="77" customFormat="1" x14ac:dyDescent="0.3"/>
    <row r="850" s="77" customFormat="1" x14ac:dyDescent="0.3"/>
    <row r="851" s="77" customFormat="1" x14ac:dyDescent="0.3"/>
    <row r="852" s="77" customFormat="1" x14ac:dyDescent="0.3"/>
    <row r="853" s="77" customFormat="1" x14ac:dyDescent="0.3"/>
    <row r="854" s="77" customFormat="1" x14ac:dyDescent="0.3"/>
    <row r="855" s="77" customFormat="1" x14ac:dyDescent="0.3"/>
    <row r="856" s="77" customFormat="1" x14ac:dyDescent="0.3"/>
    <row r="857" s="77" customFormat="1" x14ac:dyDescent="0.3"/>
    <row r="858" s="77" customFormat="1" x14ac:dyDescent="0.3"/>
    <row r="859" s="77" customFormat="1" x14ac:dyDescent="0.3"/>
    <row r="860" s="77" customFormat="1" x14ac:dyDescent="0.3"/>
    <row r="861" s="77" customFormat="1" x14ac:dyDescent="0.3"/>
    <row r="862" s="77" customFormat="1" x14ac:dyDescent="0.3"/>
    <row r="863" s="77" customFormat="1" x14ac:dyDescent="0.3"/>
    <row r="864" s="77" customFormat="1" x14ac:dyDescent="0.3"/>
    <row r="865" s="77" customFormat="1" x14ac:dyDescent="0.3"/>
    <row r="866" s="77" customFormat="1" x14ac:dyDescent="0.3"/>
    <row r="867" s="77" customFormat="1" x14ac:dyDescent="0.3"/>
    <row r="868" s="77" customFormat="1" x14ac:dyDescent="0.3"/>
    <row r="869" s="77" customFormat="1" x14ac:dyDescent="0.3"/>
    <row r="870" s="77" customFormat="1" x14ac:dyDescent="0.3"/>
    <row r="871" s="77" customFormat="1" x14ac:dyDescent="0.3"/>
    <row r="872" s="77" customFormat="1" x14ac:dyDescent="0.3"/>
    <row r="873" s="77" customFormat="1" x14ac:dyDescent="0.3"/>
    <row r="874" s="77" customFormat="1" x14ac:dyDescent="0.3"/>
    <row r="875" s="77" customFormat="1" x14ac:dyDescent="0.3"/>
    <row r="876" s="77" customFormat="1" x14ac:dyDescent="0.3"/>
    <row r="877" s="77" customFormat="1" x14ac:dyDescent="0.3"/>
    <row r="878" s="77" customFormat="1" x14ac:dyDescent="0.3"/>
    <row r="879" s="77" customFormat="1" x14ac:dyDescent="0.3"/>
    <row r="880" s="77" customFormat="1" x14ac:dyDescent="0.3"/>
    <row r="881" s="77" customFormat="1" x14ac:dyDescent="0.3"/>
    <row r="882" s="77" customFormat="1" x14ac:dyDescent="0.3"/>
    <row r="883" s="77" customFormat="1" x14ac:dyDescent="0.3"/>
    <row r="884" s="77" customFormat="1" x14ac:dyDescent="0.3"/>
    <row r="885" s="77" customFormat="1" x14ac:dyDescent="0.3"/>
    <row r="886" s="77" customFormat="1" x14ac:dyDescent="0.3"/>
    <row r="887" s="77" customFormat="1" x14ac:dyDescent="0.3"/>
    <row r="888" s="77" customFormat="1" x14ac:dyDescent="0.3"/>
    <row r="889" s="77" customFormat="1" x14ac:dyDescent="0.3"/>
    <row r="890" s="77" customFormat="1" x14ac:dyDescent="0.3"/>
    <row r="891" s="77" customFormat="1" x14ac:dyDescent="0.3"/>
    <row r="892" s="77" customFormat="1" x14ac:dyDescent="0.3"/>
    <row r="893" s="77" customFormat="1" x14ac:dyDescent="0.3"/>
    <row r="894" s="77" customFormat="1" x14ac:dyDescent="0.3"/>
    <row r="895" s="77" customFormat="1" x14ac:dyDescent="0.3"/>
    <row r="896" s="77" customFormat="1" x14ac:dyDescent="0.3"/>
    <row r="897" s="77" customFormat="1" x14ac:dyDescent="0.3"/>
    <row r="898" s="77" customFormat="1" x14ac:dyDescent="0.3"/>
    <row r="899" s="77" customFormat="1" x14ac:dyDescent="0.3"/>
    <row r="900" s="77" customFormat="1" x14ac:dyDescent="0.3"/>
    <row r="901" s="77" customFormat="1" x14ac:dyDescent="0.3"/>
    <row r="902" s="77" customFormat="1" x14ac:dyDescent="0.3"/>
    <row r="903" s="77" customFormat="1" x14ac:dyDescent="0.3"/>
    <row r="904" s="77" customFormat="1" x14ac:dyDescent="0.3"/>
    <row r="905" s="77" customFormat="1" x14ac:dyDescent="0.3"/>
    <row r="906" s="77" customFormat="1" x14ac:dyDescent="0.3"/>
    <row r="907" s="77" customFormat="1" x14ac:dyDescent="0.3"/>
    <row r="908" s="77" customFormat="1" x14ac:dyDescent="0.3"/>
    <row r="909" s="77" customFormat="1" x14ac:dyDescent="0.3"/>
    <row r="910" s="77" customFormat="1" x14ac:dyDescent="0.3"/>
    <row r="911" s="77" customFormat="1" x14ac:dyDescent="0.3"/>
    <row r="912" s="77" customFormat="1" x14ac:dyDescent="0.3"/>
    <row r="913" s="77" customFormat="1" x14ac:dyDescent="0.3"/>
    <row r="914" s="77" customFormat="1" x14ac:dyDescent="0.3"/>
    <row r="915" s="77" customFormat="1" x14ac:dyDescent="0.3"/>
    <row r="916" s="77" customFormat="1" x14ac:dyDescent="0.3"/>
    <row r="917" s="77" customFormat="1" x14ac:dyDescent="0.3"/>
    <row r="918" s="77" customFormat="1" x14ac:dyDescent="0.3"/>
    <row r="919" s="77" customFormat="1" x14ac:dyDescent="0.3"/>
    <row r="920" s="77" customFormat="1" x14ac:dyDescent="0.3"/>
    <row r="921" s="77" customFormat="1" x14ac:dyDescent="0.3"/>
    <row r="922" s="77" customFormat="1" x14ac:dyDescent="0.3"/>
    <row r="923" s="77" customFormat="1" x14ac:dyDescent="0.3"/>
    <row r="924" s="77" customFormat="1" x14ac:dyDescent="0.3"/>
    <row r="925" s="77" customFormat="1" x14ac:dyDescent="0.3"/>
    <row r="926" s="77" customFormat="1" x14ac:dyDescent="0.3"/>
    <row r="927" s="77" customFormat="1" x14ac:dyDescent="0.3"/>
    <row r="928" s="77" customFormat="1" x14ac:dyDescent="0.3"/>
    <row r="929" s="77" customFormat="1" x14ac:dyDescent="0.3"/>
    <row r="930" s="77" customFormat="1" x14ac:dyDescent="0.3"/>
    <row r="931" s="77" customFormat="1" x14ac:dyDescent="0.3"/>
    <row r="932" s="77" customFormat="1" x14ac:dyDescent="0.3"/>
    <row r="933" s="77" customFormat="1" x14ac:dyDescent="0.3"/>
    <row r="934" s="77" customFormat="1" x14ac:dyDescent="0.3"/>
    <row r="935" s="77" customFormat="1" x14ac:dyDescent="0.3"/>
    <row r="936" s="77" customFormat="1" x14ac:dyDescent="0.3"/>
    <row r="937" s="77" customFormat="1" x14ac:dyDescent="0.3"/>
    <row r="938" s="77" customFormat="1" x14ac:dyDescent="0.3"/>
    <row r="939" s="77" customFormat="1" x14ac:dyDescent="0.3"/>
    <row r="940" s="77" customFormat="1" x14ac:dyDescent="0.3"/>
    <row r="941" s="77" customFormat="1" x14ac:dyDescent="0.3"/>
    <row r="942" s="77" customFormat="1" x14ac:dyDescent="0.3"/>
    <row r="943" s="77" customFormat="1" x14ac:dyDescent="0.3"/>
    <row r="944" s="77" customFormat="1" x14ac:dyDescent="0.3"/>
    <row r="945" s="77" customFormat="1" x14ac:dyDescent="0.3"/>
    <row r="946" s="77" customFormat="1" x14ac:dyDescent="0.3"/>
  </sheetData>
  <sortState ref="D7:D27">
    <sortCondition ref="D7"/>
  </sortState>
  <mergeCells count="18">
    <mergeCell ref="L4:L5"/>
    <mergeCell ref="M4:M5"/>
    <mergeCell ref="N4:N5"/>
    <mergeCell ref="O4:S4"/>
    <mergeCell ref="A1:W1"/>
    <mergeCell ref="A3:A5"/>
    <mergeCell ref="B3:B5"/>
    <mergeCell ref="C3:C5"/>
    <mergeCell ref="D3:D5"/>
    <mergeCell ref="E3:E5"/>
    <mergeCell ref="F3:F5"/>
    <mergeCell ref="G3:G5"/>
    <mergeCell ref="H3:H5"/>
    <mergeCell ref="I3:I5"/>
    <mergeCell ref="J3:J5"/>
    <mergeCell ref="K3:S3"/>
    <mergeCell ref="T3:W4"/>
    <mergeCell ref="K4:K5"/>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8"/>
  <sheetViews>
    <sheetView workbookViewId="0">
      <selection activeCell="G9" sqref="G9"/>
    </sheetView>
  </sheetViews>
  <sheetFormatPr defaultRowHeight="18" x14ac:dyDescent="0.3"/>
  <cols>
    <col min="1" max="1" width="5.85546875" style="112" customWidth="1"/>
    <col min="2" max="2" width="23.28515625" style="112" customWidth="1"/>
    <col min="3" max="3" width="53.42578125" style="112" customWidth="1"/>
    <col min="4" max="4" width="2.140625" style="112" customWidth="1"/>
    <col min="5" max="5" width="5.42578125" style="115" customWidth="1"/>
    <col min="6" max="6" width="27.42578125" style="112" customWidth="1"/>
    <col min="7" max="7" width="45.140625" style="112" customWidth="1"/>
    <col min="8" max="16384" width="9.140625" style="112"/>
  </cols>
  <sheetData>
    <row r="1" spans="1:14" ht="33.75" customHeight="1" thickBot="1" x14ac:dyDescent="0.35">
      <c r="A1" s="2240" t="s">
        <v>92</v>
      </c>
      <c r="B1" s="2241"/>
      <c r="C1" s="2242"/>
      <c r="E1" s="2246" t="s">
        <v>111</v>
      </c>
      <c r="F1" s="2247"/>
      <c r="G1" s="2248"/>
    </row>
    <row r="2" spans="1:14" ht="6.75" customHeight="1" thickBot="1" x14ac:dyDescent="0.35">
      <c r="A2" s="2243"/>
      <c r="B2" s="2244"/>
      <c r="C2" s="2245"/>
      <c r="E2" s="127"/>
      <c r="F2" s="128"/>
      <c r="G2" s="129"/>
    </row>
    <row r="3" spans="1:14" ht="24.95" customHeight="1" x14ac:dyDescent="0.3">
      <c r="A3" s="116">
        <v>1</v>
      </c>
      <c r="B3" s="117" t="s">
        <v>93</v>
      </c>
      <c r="C3" s="124" t="s">
        <v>1014</v>
      </c>
      <c r="E3" s="120">
        <v>1</v>
      </c>
      <c r="F3" s="121" t="s">
        <v>104</v>
      </c>
      <c r="G3" s="130" t="s">
        <v>1022</v>
      </c>
      <c r="H3" s="113"/>
      <c r="I3" s="113"/>
      <c r="J3" s="113"/>
      <c r="K3" s="113"/>
      <c r="L3" s="113"/>
      <c r="M3" s="113"/>
      <c r="N3" s="113"/>
    </row>
    <row r="4" spans="1:14" ht="24.95" customHeight="1" x14ac:dyDescent="0.3">
      <c r="A4" s="116">
        <v>2</v>
      </c>
      <c r="B4" s="117" t="s">
        <v>94</v>
      </c>
      <c r="C4" s="125">
        <v>201291872</v>
      </c>
      <c r="E4" s="116">
        <v>2</v>
      </c>
      <c r="F4" s="122" t="s">
        <v>105</v>
      </c>
      <c r="G4" s="346" t="s">
        <v>1023</v>
      </c>
      <c r="H4" s="113"/>
      <c r="I4" s="113"/>
      <c r="J4" s="113"/>
      <c r="K4" s="113"/>
      <c r="L4" s="113"/>
      <c r="M4" s="113"/>
      <c r="N4" s="113"/>
    </row>
    <row r="5" spans="1:14" ht="24.95" customHeight="1" x14ac:dyDescent="0.3">
      <c r="A5" s="116">
        <v>3</v>
      </c>
      <c r="B5" s="117" t="s">
        <v>95</v>
      </c>
      <c r="C5" s="124" t="s">
        <v>1015</v>
      </c>
      <c r="E5" s="116">
        <v>3</v>
      </c>
      <c r="F5" s="122" t="s">
        <v>106</v>
      </c>
      <c r="G5" s="130" t="s">
        <v>1024</v>
      </c>
      <c r="H5" s="113"/>
      <c r="I5" s="113"/>
      <c r="J5" s="113"/>
      <c r="K5" s="113"/>
      <c r="L5" s="113"/>
      <c r="M5" s="113"/>
      <c r="N5" s="113"/>
    </row>
    <row r="6" spans="1:14" ht="24.95" customHeight="1" x14ac:dyDescent="0.3">
      <c r="A6" s="116">
        <v>4</v>
      </c>
      <c r="B6" s="117" t="s">
        <v>96</v>
      </c>
      <c r="C6" s="125">
        <v>44175</v>
      </c>
      <c r="E6" s="116">
        <v>4</v>
      </c>
      <c r="F6" s="122" t="s">
        <v>107</v>
      </c>
      <c r="G6" s="346" t="s">
        <v>1025</v>
      </c>
      <c r="H6" s="113"/>
      <c r="I6" s="113"/>
      <c r="J6" s="113"/>
      <c r="K6" s="113"/>
      <c r="L6" s="113"/>
      <c r="M6" s="113"/>
      <c r="N6" s="113"/>
    </row>
    <row r="7" spans="1:14" ht="24.95" customHeight="1" x14ac:dyDescent="0.3">
      <c r="A7" s="116">
        <v>5</v>
      </c>
      <c r="B7" s="117" t="s">
        <v>97</v>
      </c>
      <c r="C7" s="124" t="s">
        <v>1016</v>
      </c>
      <c r="E7" s="116">
        <v>5</v>
      </c>
      <c r="F7" s="122" t="s">
        <v>108</v>
      </c>
      <c r="G7" s="954" t="s">
        <v>597</v>
      </c>
      <c r="H7" s="113"/>
      <c r="I7" s="113"/>
      <c r="J7" s="113"/>
      <c r="K7" s="113"/>
      <c r="L7" s="113"/>
      <c r="M7" s="113"/>
      <c r="N7" s="113"/>
    </row>
    <row r="8" spans="1:14" ht="24.95" customHeight="1" x14ac:dyDescent="0.3">
      <c r="A8" s="116">
        <v>6</v>
      </c>
      <c r="B8" s="117" t="s">
        <v>98</v>
      </c>
      <c r="C8" s="125" t="s">
        <v>1017</v>
      </c>
      <c r="E8" s="116">
        <v>6</v>
      </c>
      <c r="F8" s="122" t="s">
        <v>109</v>
      </c>
      <c r="G8" s="131" t="s">
        <v>116</v>
      </c>
      <c r="H8" s="113"/>
      <c r="I8" s="113"/>
      <c r="J8" s="113"/>
      <c r="K8" s="113"/>
      <c r="L8" s="113"/>
      <c r="M8" s="113"/>
      <c r="N8" s="113"/>
    </row>
    <row r="9" spans="1:14" ht="24.95" customHeight="1" thickBot="1" x14ac:dyDescent="0.35">
      <c r="A9" s="116">
        <v>7</v>
      </c>
      <c r="B9" s="117" t="s">
        <v>99</v>
      </c>
      <c r="C9" s="124" t="s">
        <v>1018</v>
      </c>
      <c r="E9" s="118">
        <v>7</v>
      </c>
      <c r="F9" s="123" t="s">
        <v>110</v>
      </c>
      <c r="G9" s="132" t="s">
        <v>117</v>
      </c>
      <c r="H9" s="113"/>
      <c r="I9" s="113"/>
      <c r="J9" s="113"/>
      <c r="K9" s="113"/>
      <c r="L9" s="113"/>
      <c r="M9" s="113"/>
      <c r="N9" s="113"/>
    </row>
    <row r="10" spans="1:14" ht="24.95" customHeight="1" x14ac:dyDescent="0.3">
      <c r="A10" s="116">
        <v>8</v>
      </c>
      <c r="B10" s="117" t="s">
        <v>100</v>
      </c>
      <c r="C10" s="125" t="s">
        <v>1019</v>
      </c>
      <c r="F10" s="113"/>
      <c r="G10" s="113"/>
      <c r="H10" s="113"/>
      <c r="I10" s="113"/>
      <c r="J10" s="113"/>
      <c r="K10" s="113"/>
      <c r="L10" s="113"/>
      <c r="M10" s="113"/>
      <c r="N10" s="113"/>
    </row>
    <row r="11" spans="1:14" ht="24.95" customHeight="1" x14ac:dyDescent="0.3">
      <c r="A11" s="116">
        <v>9</v>
      </c>
      <c r="B11" s="117" t="s">
        <v>101</v>
      </c>
      <c r="C11" s="124" t="s">
        <v>1020</v>
      </c>
      <c r="F11" s="113"/>
      <c r="G11" s="113"/>
      <c r="H11" s="113"/>
      <c r="I11" s="113"/>
      <c r="J11" s="113"/>
      <c r="K11" s="113"/>
      <c r="L11" s="113"/>
      <c r="M11" s="113"/>
      <c r="N11" s="113"/>
    </row>
    <row r="12" spans="1:14" ht="24.95" customHeight="1" x14ac:dyDescent="0.3">
      <c r="A12" s="116">
        <v>10</v>
      </c>
      <c r="B12" s="117" t="s">
        <v>102</v>
      </c>
      <c r="C12" s="2212" t="s">
        <v>1021</v>
      </c>
      <c r="F12" s="113"/>
      <c r="G12" s="113"/>
      <c r="H12" s="113"/>
      <c r="I12" s="113"/>
      <c r="J12" s="113"/>
      <c r="K12" s="113"/>
      <c r="L12" s="113"/>
      <c r="M12" s="113"/>
      <c r="N12" s="113"/>
    </row>
    <row r="13" spans="1:14" ht="24.95" customHeight="1" thickBot="1" x14ac:dyDescent="0.35">
      <c r="A13" s="118">
        <v>11</v>
      </c>
      <c r="B13" s="119" t="s">
        <v>103</v>
      </c>
      <c r="C13" s="126" t="s">
        <v>115</v>
      </c>
      <c r="F13" s="113"/>
      <c r="G13" s="113"/>
      <c r="H13" s="113"/>
      <c r="I13" s="113"/>
      <c r="J13" s="113"/>
      <c r="K13" s="113"/>
      <c r="L13" s="113"/>
      <c r="M13" s="113"/>
      <c r="N13" s="113"/>
    </row>
    <row r="14" spans="1:14" x14ac:dyDescent="0.3">
      <c r="A14" s="114"/>
    </row>
    <row r="15" spans="1:14" x14ac:dyDescent="0.3">
      <c r="A15" s="114"/>
    </row>
    <row r="16" spans="1:14" x14ac:dyDescent="0.3">
      <c r="A16" s="114"/>
    </row>
    <row r="17" spans="1:1" x14ac:dyDescent="0.3">
      <c r="A17" s="114"/>
    </row>
    <row r="18" spans="1:1" x14ac:dyDescent="0.3">
      <c r="A18" s="114"/>
    </row>
  </sheetData>
  <mergeCells count="3">
    <mergeCell ref="A1:C1"/>
    <mergeCell ref="A2:C2"/>
    <mergeCell ref="E1:G1"/>
  </mergeCells>
  <hyperlinks>
    <hyperlink ref="C13" r:id="rId1"/>
    <hyperlink ref="C12" r:id="rId2"/>
  </hyperlinks>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6:S58"/>
  <sheetViews>
    <sheetView showGridLines="0" workbookViewId="0">
      <pane xSplit="2" ySplit="8" topLeftCell="O9" activePane="bottomRight" state="frozen"/>
      <selection pane="topRight" activeCell="C1" sqref="C1"/>
      <selection pane="bottomLeft" activeCell="A9" sqref="A9"/>
      <selection pane="bottomRight"/>
    </sheetView>
  </sheetViews>
  <sheetFormatPr defaultRowHeight="15" x14ac:dyDescent="0.25"/>
  <cols>
    <col min="1" max="1" width="6.7109375" customWidth="1"/>
    <col min="2" max="2" width="37.42578125" bestFit="1" customWidth="1"/>
    <col min="3" max="6" width="11.7109375" style="57" bestFit="1" customWidth="1"/>
    <col min="7" max="7" width="14.140625" style="57" bestFit="1" customWidth="1"/>
    <col min="8" max="8" width="12.7109375" style="57" bestFit="1" customWidth="1"/>
    <col min="9" max="9" width="13.140625" style="57" customWidth="1"/>
    <col min="10" max="10" width="12.28515625" style="57" customWidth="1"/>
    <col min="11" max="13" width="9.140625" style="57"/>
    <col min="14" max="14" width="16.42578125" style="57" customWidth="1"/>
    <col min="15" max="15" width="18" style="57" customWidth="1"/>
    <col min="16" max="16" width="16.140625" style="57" customWidth="1"/>
    <col min="17" max="17" width="17" style="57" customWidth="1"/>
    <col min="18" max="18" width="20.42578125" style="57" customWidth="1"/>
    <col min="19" max="19" width="53.42578125" customWidth="1"/>
  </cols>
  <sheetData>
    <row r="6" spans="1:19" s="849" customFormat="1" ht="15" customHeight="1" x14ac:dyDescent="0.25">
      <c r="A6" s="849">
        <v>1</v>
      </c>
      <c r="B6" s="849">
        <v>2</v>
      </c>
      <c r="C6" s="849">
        <v>3</v>
      </c>
      <c r="D6" s="849">
        <v>4</v>
      </c>
      <c r="E6" s="849">
        <v>5</v>
      </c>
      <c r="F6" s="849">
        <v>6</v>
      </c>
      <c r="G6" s="849">
        <v>7</v>
      </c>
      <c r="H6" s="849">
        <v>8</v>
      </c>
      <c r="I6" s="849">
        <v>9</v>
      </c>
      <c r="J6" s="849">
        <v>10</v>
      </c>
      <c r="K6" s="849">
        <v>11</v>
      </c>
      <c r="L6" s="849">
        <v>12</v>
      </c>
      <c r="M6" s="849">
        <v>13</v>
      </c>
      <c r="N6" s="849">
        <v>14</v>
      </c>
      <c r="O6" s="849">
        <v>15</v>
      </c>
      <c r="P6" s="849">
        <v>16</v>
      </c>
      <c r="Q6" s="849">
        <v>17</v>
      </c>
      <c r="R6" s="849">
        <v>18</v>
      </c>
      <c r="S6" s="849">
        <v>19</v>
      </c>
    </row>
    <row r="7" spans="1:19" s="140" customFormat="1" ht="25.5" customHeight="1" x14ac:dyDescent="0.25">
      <c r="A7" s="652" t="s">
        <v>118</v>
      </c>
      <c r="B7" s="652" t="s">
        <v>119</v>
      </c>
      <c r="C7" s="2250" t="s">
        <v>120</v>
      </c>
      <c r="D7" s="2250"/>
      <c r="E7" s="2251" t="s">
        <v>121</v>
      </c>
      <c r="F7" s="2251"/>
      <c r="G7" s="2252" t="s">
        <v>122</v>
      </c>
      <c r="H7" s="2253"/>
      <c r="I7" s="2253"/>
      <c r="J7" s="2254"/>
      <c r="K7" s="2255" t="s">
        <v>123</v>
      </c>
      <c r="L7" s="2255"/>
      <c r="M7" s="2255"/>
      <c r="N7" s="2249" t="s">
        <v>124</v>
      </c>
      <c r="O7" s="2249"/>
      <c r="P7" s="2249"/>
      <c r="Q7" s="2249"/>
      <c r="R7" s="2249"/>
      <c r="S7" s="1165" t="s">
        <v>473</v>
      </c>
    </row>
    <row r="8" spans="1:19" s="139" customFormat="1" ht="18.75" x14ac:dyDescent="0.25">
      <c r="A8" s="653">
        <v>1</v>
      </c>
      <c r="B8" s="651"/>
      <c r="C8" s="141" t="s">
        <v>125</v>
      </c>
      <c r="D8" s="142" t="s">
        <v>126</v>
      </c>
      <c r="E8" s="141" t="s">
        <v>125</v>
      </c>
      <c r="F8" s="142" t="s">
        <v>126</v>
      </c>
      <c r="G8" s="138" t="s">
        <v>127</v>
      </c>
      <c r="H8" s="138" t="s">
        <v>128</v>
      </c>
      <c r="I8" s="138" t="s">
        <v>129</v>
      </c>
      <c r="J8" s="138" t="s">
        <v>130</v>
      </c>
      <c r="K8" s="133" t="s">
        <v>131</v>
      </c>
      <c r="L8" s="133" t="s">
        <v>30</v>
      </c>
      <c r="M8" s="133" t="s">
        <v>132</v>
      </c>
      <c r="N8" s="137" t="s">
        <v>133</v>
      </c>
      <c r="O8" s="137" t="s">
        <v>134</v>
      </c>
      <c r="P8" s="137" t="s">
        <v>135</v>
      </c>
      <c r="Q8" s="137" t="s">
        <v>136</v>
      </c>
      <c r="R8" s="137" t="s">
        <v>137</v>
      </c>
      <c r="S8" s="645" t="s">
        <v>474</v>
      </c>
    </row>
    <row r="9" spans="1:19" s="136" customFormat="1" ht="30" x14ac:dyDescent="0.25">
      <c r="A9" s="321">
        <v>1</v>
      </c>
      <c r="B9" s="345" t="str">
        <f>'[2]2. Siswa'!D7</f>
        <v xml:space="preserve">Aan Rachmadani </v>
      </c>
      <c r="C9" s="134">
        <v>132</v>
      </c>
      <c r="D9" s="134"/>
      <c r="E9" s="134">
        <v>26</v>
      </c>
      <c r="F9" s="134"/>
      <c r="G9" s="135" t="s">
        <v>479</v>
      </c>
      <c r="H9" s="135" t="s">
        <v>479</v>
      </c>
      <c r="I9" s="135" t="s">
        <v>480</v>
      </c>
      <c r="J9" s="135" t="s">
        <v>35</v>
      </c>
      <c r="K9" s="134">
        <v>6</v>
      </c>
      <c r="L9" s="135">
        <v>1</v>
      </c>
      <c r="M9" s="135">
        <v>1</v>
      </c>
      <c r="N9" s="321" t="s">
        <v>132</v>
      </c>
      <c r="O9" s="321" t="s">
        <v>132</v>
      </c>
      <c r="P9" s="321" t="s">
        <v>132</v>
      </c>
      <c r="Q9" s="321" t="s">
        <v>35</v>
      </c>
      <c r="R9" s="321" t="s">
        <v>35</v>
      </c>
      <c r="S9" s="243" t="s">
        <v>779</v>
      </c>
    </row>
    <row r="10" spans="1:19" s="136" customFormat="1" x14ac:dyDescent="0.25">
      <c r="A10" s="321">
        <v>2</v>
      </c>
      <c r="B10" s="345" t="str">
        <f>'[2]2. Siswa'!D8</f>
        <v>Amelya Ratu Airin</v>
      </c>
      <c r="C10" s="134">
        <v>145</v>
      </c>
      <c r="D10" s="134"/>
      <c r="E10" s="134">
        <v>50</v>
      </c>
      <c r="F10" s="134"/>
      <c r="G10" s="135" t="s">
        <v>35</v>
      </c>
      <c r="H10" s="135" t="s">
        <v>35</v>
      </c>
      <c r="I10" s="135" t="s">
        <v>35</v>
      </c>
      <c r="J10" s="135" t="s">
        <v>35</v>
      </c>
      <c r="K10" s="135" t="s">
        <v>35</v>
      </c>
      <c r="L10" s="135" t="s">
        <v>35</v>
      </c>
      <c r="M10" s="135" t="s">
        <v>35</v>
      </c>
      <c r="N10" s="321" t="s">
        <v>132</v>
      </c>
      <c r="O10" s="321" t="s">
        <v>132</v>
      </c>
      <c r="P10" s="321" t="s">
        <v>132</v>
      </c>
      <c r="Q10" s="321" t="s">
        <v>35</v>
      </c>
      <c r="R10" s="321" t="s">
        <v>35</v>
      </c>
      <c r="S10" s="243"/>
    </row>
    <row r="11" spans="1:19" s="136" customFormat="1" x14ac:dyDescent="0.25">
      <c r="A11" s="321">
        <v>3</v>
      </c>
      <c r="B11" s="345" t="str">
        <f>'[2]2. Siswa'!D9</f>
        <v>Aulia Hikma Ayu P</v>
      </c>
      <c r="C11" s="134">
        <v>143</v>
      </c>
      <c r="D11" s="134"/>
      <c r="E11" s="134">
        <v>40</v>
      </c>
      <c r="F11" s="134"/>
      <c r="G11" s="135" t="s">
        <v>35</v>
      </c>
      <c r="H11" s="135" t="s">
        <v>35</v>
      </c>
      <c r="I11" s="135" t="s">
        <v>35</v>
      </c>
      <c r="J11" s="135" t="s">
        <v>35</v>
      </c>
      <c r="K11" s="134">
        <v>2</v>
      </c>
      <c r="L11" s="321">
        <v>1</v>
      </c>
      <c r="M11" s="135" t="s">
        <v>35</v>
      </c>
      <c r="N11" s="321" t="s">
        <v>132</v>
      </c>
      <c r="O11" s="321" t="s">
        <v>132</v>
      </c>
      <c r="P11" s="321" t="s">
        <v>132</v>
      </c>
      <c r="Q11" s="321" t="s">
        <v>35</v>
      </c>
      <c r="R11" s="321" t="s">
        <v>35</v>
      </c>
      <c r="S11" s="243"/>
    </row>
    <row r="12" spans="1:19" s="136" customFormat="1" x14ac:dyDescent="0.25">
      <c r="A12" s="321">
        <v>4</v>
      </c>
      <c r="B12" s="345" t="str">
        <f>'[2]2. Siswa'!D10</f>
        <v>Ayudha Shenny R</v>
      </c>
      <c r="C12" s="134">
        <v>143</v>
      </c>
      <c r="D12" s="134"/>
      <c r="E12" s="134">
        <v>29</v>
      </c>
      <c r="F12" s="134"/>
      <c r="G12" s="135" t="s">
        <v>35</v>
      </c>
      <c r="H12" s="135" t="s">
        <v>35</v>
      </c>
      <c r="I12" s="135" t="s">
        <v>35</v>
      </c>
      <c r="J12" s="135" t="s">
        <v>35</v>
      </c>
      <c r="K12" s="134">
        <v>5</v>
      </c>
      <c r="L12" s="135" t="s">
        <v>35</v>
      </c>
      <c r="M12" s="135" t="s">
        <v>35</v>
      </c>
      <c r="N12" s="321" t="s">
        <v>132</v>
      </c>
      <c r="O12" s="321" t="s">
        <v>132</v>
      </c>
      <c r="P12" s="321" t="s">
        <v>132</v>
      </c>
      <c r="Q12" s="646" t="s">
        <v>35</v>
      </c>
      <c r="R12" s="646" t="s">
        <v>35</v>
      </c>
      <c r="S12" s="243"/>
    </row>
    <row r="13" spans="1:19" s="136" customFormat="1" x14ac:dyDescent="0.25">
      <c r="A13" s="321">
        <v>5</v>
      </c>
      <c r="B13" s="345" t="str">
        <f>'[2]2. Siswa'!D11</f>
        <v xml:space="preserve">Citra Dewi Cassimira Cahyanti </v>
      </c>
      <c r="C13" s="134">
        <v>135</v>
      </c>
      <c r="D13" s="134"/>
      <c r="E13" s="134">
        <v>28</v>
      </c>
      <c r="F13" s="134"/>
      <c r="G13" s="135" t="s">
        <v>35</v>
      </c>
      <c r="H13" s="135" t="s">
        <v>35</v>
      </c>
      <c r="I13" s="135" t="s">
        <v>35</v>
      </c>
      <c r="J13" s="135" t="s">
        <v>35</v>
      </c>
      <c r="K13" s="135" t="s">
        <v>35</v>
      </c>
      <c r="L13" s="135" t="s">
        <v>35</v>
      </c>
      <c r="M13" s="135" t="s">
        <v>35</v>
      </c>
      <c r="N13" s="321" t="s">
        <v>132</v>
      </c>
      <c r="O13" s="321" t="s">
        <v>132</v>
      </c>
      <c r="P13" s="321" t="s">
        <v>132</v>
      </c>
      <c r="Q13" s="646" t="s">
        <v>35</v>
      </c>
      <c r="R13" s="646" t="s">
        <v>35</v>
      </c>
      <c r="S13" s="243"/>
    </row>
    <row r="14" spans="1:19" s="136" customFormat="1" x14ac:dyDescent="0.25">
      <c r="A14" s="321">
        <v>6</v>
      </c>
      <c r="B14" s="345" t="str">
        <f>'[2]2. Siswa'!D12</f>
        <v xml:space="preserve">Darmawan Afifuddin </v>
      </c>
      <c r="C14" s="134">
        <v>142</v>
      </c>
      <c r="D14" s="134"/>
      <c r="E14" s="134">
        <v>39</v>
      </c>
      <c r="F14" s="134"/>
      <c r="G14" s="135" t="s">
        <v>35</v>
      </c>
      <c r="H14" s="135" t="s">
        <v>35</v>
      </c>
      <c r="I14" s="135" t="s">
        <v>35</v>
      </c>
      <c r="J14" s="135" t="s">
        <v>35</v>
      </c>
      <c r="K14" s="135" t="s">
        <v>35</v>
      </c>
      <c r="L14" s="135" t="s">
        <v>35</v>
      </c>
      <c r="M14" s="135" t="s">
        <v>35</v>
      </c>
      <c r="N14" s="321" t="s">
        <v>132</v>
      </c>
      <c r="O14" s="321" t="s">
        <v>132</v>
      </c>
      <c r="P14" s="321" t="s">
        <v>132</v>
      </c>
      <c r="Q14" s="646" t="s">
        <v>35</v>
      </c>
      <c r="R14" s="646" t="s">
        <v>35</v>
      </c>
      <c r="S14" s="243"/>
    </row>
    <row r="15" spans="1:19" s="136" customFormat="1" x14ac:dyDescent="0.25">
      <c r="A15" s="321">
        <v>7</v>
      </c>
      <c r="B15" s="345" t="str">
        <f>'[2]2. Siswa'!D13</f>
        <v xml:space="preserve">Estevania Ramadhanti Aulia Laksono   </v>
      </c>
      <c r="C15" s="134">
        <v>144</v>
      </c>
      <c r="D15" s="134"/>
      <c r="E15" s="134">
        <v>46</v>
      </c>
      <c r="F15" s="134"/>
      <c r="G15" s="135" t="s">
        <v>35</v>
      </c>
      <c r="H15" s="135" t="s">
        <v>35</v>
      </c>
      <c r="I15" s="135" t="s">
        <v>35</v>
      </c>
      <c r="J15" s="135" t="s">
        <v>35</v>
      </c>
      <c r="K15" s="134">
        <v>1</v>
      </c>
      <c r="L15" s="135" t="s">
        <v>35</v>
      </c>
      <c r="M15" s="135" t="s">
        <v>35</v>
      </c>
      <c r="N15" s="321" t="s">
        <v>132</v>
      </c>
      <c r="O15" s="321" t="s">
        <v>132</v>
      </c>
      <c r="P15" s="321" t="s">
        <v>132</v>
      </c>
      <c r="Q15" s="646" t="s">
        <v>35</v>
      </c>
      <c r="R15" s="646" t="s">
        <v>35</v>
      </c>
      <c r="S15" s="243"/>
    </row>
    <row r="16" spans="1:19" s="136" customFormat="1" x14ac:dyDescent="0.25">
      <c r="A16" s="321">
        <v>8</v>
      </c>
      <c r="B16" s="345" t="str">
        <f>'[2]2. Siswa'!D14</f>
        <v>Fahaema Noora Bahaudina</v>
      </c>
      <c r="C16" s="134">
        <v>152</v>
      </c>
      <c r="D16" s="134"/>
      <c r="E16" s="134">
        <v>45</v>
      </c>
      <c r="F16" s="134"/>
      <c r="G16" s="135" t="s">
        <v>35</v>
      </c>
      <c r="H16" s="135" t="s">
        <v>35</v>
      </c>
      <c r="I16" s="135" t="s">
        <v>35</v>
      </c>
      <c r="J16" s="135" t="s">
        <v>35</v>
      </c>
      <c r="K16" s="134">
        <v>2</v>
      </c>
      <c r="L16" s="135" t="s">
        <v>35</v>
      </c>
      <c r="M16" s="135" t="s">
        <v>35</v>
      </c>
      <c r="N16" s="321" t="s">
        <v>132</v>
      </c>
      <c r="O16" s="321" t="s">
        <v>132</v>
      </c>
      <c r="P16" s="321" t="s">
        <v>132</v>
      </c>
      <c r="Q16" s="646" t="s">
        <v>35</v>
      </c>
      <c r="R16" s="646" t="s">
        <v>35</v>
      </c>
      <c r="S16" s="243"/>
    </row>
    <row r="17" spans="1:19" s="136" customFormat="1" x14ac:dyDescent="0.25">
      <c r="A17" s="321">
        <v>9</v>
      </c>
      <c r="B17" s="345" t="str">
        <f>'[2]2. Siswa'!D15</f>
        <v xml:space="preserve">Fatia Salma </v>
      </c>
      <c r="C17" s="134">
        <v>139</v>
      </c>
      <c r="D17" s="134"/>
      <c r="E17" s="134">
        <v>34</v>
      </c>
      <c r="F17" s="134"/>
      <c r="G17" s="135" t="s">
        <v>35</v>
      </c>
      <c r="H17" s="135" t="s">
        <v>35</v>
      </c>
      <c r="I17" s="135" t="s">
        <v>35</v>
      </c>
      <c r="J17" s="135" t="s">
        <v>35</v>
      </c>
      <c r="K17" s="134">
        <v>1</v>
      </c>
      <c r="L17" s="135" t="s">
        <v>35</v>
      </c>
      <c r="M17" s="135" t="s">
        <v>35</v>
      </c>
      <c r="N17" s="321" t="s">
        <v>132</v>
      </c>
      <c r="O17" s="321" t="s">
        <v>132</v>
      </c>
      <c r="P17" s="321" t="s">
        <v>132</v>
      </c>
      <c r="Q17" s="646" t="s">
        <v>35</v>
      </c>
      <c r="R17" s="646" t="s">
        <v>35</v>
      </c>
      <c r="S17" s="243"/>
    </row>
    <row r="18" spans="1:19" s="136" customFormat="1" x14ac:dyDescent="0.25">
      <c r="A18" s="321">
        <v>10</v>
      </c>
      <c r="B18" s="345" t="str">
        <f>'[2]2. Siswa'!D16</f>
        <v xml:space="preserve">Irvan Afandy </v>
      </c>
      <c r="C18" s="134">
        <v>129</v>
      </c>
      <c r="D18" s="134"/>
      <c r="E18" s="134">
        <v>28</v>
      </c>
      <c r="F18" s="134"/>
      <c r="G18" s="135" t="s">
        <v>35</v>
      </c>
      <c r="H18" s="135" t="s">
        <v>35</v>
      </c>
      <c r="I18" s="135" t="s">
        <v>35</v>
      </c>
      <c r="J18" s="135" t="s">
        <v>35</v>
      </c>
      <c r="K18" s="135" t="s">
        <v>35</v>
      </c>
      <c r="L18" s="135" t="s">
        <v>35</v>
      </c>
      <c r="M18" s="135" t="s">
        <v>35</v>
      </c>
      <c r="N18" s="321" t="s">
        <v>132</v>
      </c>
      <c r="O18" s="321" t="s">
        <v>132</v>
      </c>
      <c r="P18" s="321" t="s">
        <v>132</v>
      </c>
      <c r="Q18" s="646" t="s">
        <v>35</v>
      </c>
      <c r="R18" s="646" t="s">
        <v>35</v>
      </c>
      <c r="S18" s="243"/>
    </row>
    <row r="19" spans="1:19" s="136" customFormat="1" x14ac:dyDescent="0.25">
      <c r="A19" s="321">
        <v>11</v>
      </c>
      <c r="B19" s="345" t="str">
        <f>'[2]2. Siswa'!D17</f>
        <v>Masayu Fadila Septiana</v>
      </c>
      <c r="C19" s="134">
        <v>151</v>
      </c>
      <c r="D19" s="134"/>
      <c r="E19" s="134">
        <v>52</v>
      </c>
      <c r="F19" s="134"/>
      <c r="G19" s="135" t="s">
        <v>35</v>
      </c>
      <c r="H19" s="135" t="s">
        <v>35</v>
      </c>
      <c r="I19" s="135" t="s">
        <v>35</v>
      </c>
      <c r="J19" s="135" t="s">
        <v>35</v>
      </c>
      <c r="K19" s="135" t="s">
        <v>35</v>
      </c>
      <c r="L19" s="135" t="s">
        <v>35</v>
      </c>
      <c r="M19" s="135" t="s">
        <v>35</v>
      </c>
      <c r="N19" s="321" t="s">
        <v>132</v>
      </c>
      <c r="O19" s="321" t="s">
        <v>132</v>
      </c>
      <c r="P19" s="321" t="s">
        <v>132</v>
      </c>
      <c r="Q19" s="646" t="s">
        <v>35</v>
      </c>
      <c r="R19" s="646" t="s">
        <v>35</v>
      </c>
      <c r="S19" s="243"/>
    </row>
    <row r="20" spans="1:19" s="136" customFormat="1" x14ac:dyDescent="0.25">
      <c r="A20" s="321">
        <v>12</v>
      </c>
      <c r="B20" s="345" t="str">
        <f>'[2]2. Siswa'!D18</f>
        <v>Masha Adelia Putri Jatnika</v>
      </c>
      <c r="C20" s="134">
        <v>149</v>
      </c>
      <c r="D20" s="134"/>
      <c r="E20" s="134">
        <v>63</v>
      </c>
      <c r="F20" s="134"/>
      <c r="G20" s="135" t="s">
        <v>35</v>
      </c>
      <c r="H20" s="135" t="s">
        <v>35</v>
      </c>
      <c r="I20" s="135" t="s">
        <v>35</v>
      </c>
      <c r="J20" s="135" t="s">
        <v>35</v>
      </c>
      <c r="K20" s="134">
        <v>1</v>
      </c>
      <c r="L20" s="321">
        <v>1</v>
      </c>
      <c r="M20" s="135" t="s">
        <v>35</v>
      </c>
      <c r="N20" s="321" t="s">
        <v>132</v>
      </c>
      <c r="O20" s="321" t="s">
        <v>132</v>
      </c>
      <c r="P20" s="321" t="s">
        <v>132</v>
      </c>
      <c r="Q20" s="646" t="s">
        <v>35</v>
      </c>
      <c r="R20" s="646" t="s">
        <v>35</v>
      </c>
      <c r="S20" s="243"/>
    </row>
    <row r="21" spans="1:19" s="136" customFormat="1" x14ac:dyDescent="0.25">
      <c r="A21" s="321">
        <v>13</v>
      </c>
      <c r="B21" s="345" t="str">
        <f>'[2]2. Siswa'!D19</f>
        <v xml:space="preserve">Mutia Zufinda </v>
      </c>
      <c r="C21" s="134">
        <v>145</v>
      </c>
      <c r="D21" s="134"/>
      <c r="E21" s="134">
        <v>45</v>
      </c>
      <c r="F21" s="134"/>
      <c r="G21" s="135" t="s">
        <v>35</v>
      </c>
      <c r="H21" s="135" t="s">
        <v>35</v>
      </c>
      <c r="I21" s="135" t="s">
        <v>35</v>
      </c>
      <c r="J21" s="135" t="s">
        <v>35</v>
      </c>
      <c r="K21" s="135" t="s">
        <v>35</v>
      </c>
      <c r="L21" s="135" t="s">
        <v>35</v>
      </c>
      <c r="M21" s="135" t="s">
        <v>35</v>
      </c>
      <c r="N21" s="321" t="s">
        <v>132</v>
      </c>
      <c r="O21" s="321" t="s">
        <v>132</v>
      </c>
      <c r="P21" s="321" t="s">
        <v>132</v>
      </c>
      <c r="Q21" s="646" t="s">
        <v>35</v>
      </c>
      <c r="R21" s="646" t="s">
        <v>35</v>
      </c>
      <c r="S21" s="243"/>
    </row>
    <row r="22" spans="1:19" s="136" customFormat="1" x14ac:dyDescent="0.25">
      <c r="A22" s="321">
        <v>14</v>
      </c>
      <c r="B22" s="345" t="str">
        <f>'[2]2. Siswa'!D20</f>
        <v>Natasya Mutia Rizqiana</v>
      </c>
      <c r="C22" s="134">
        <v>136</v>
      </c>
      <c r="D22" s="134"/>
      <c r="E22" s="134">
        <v>25</v>
      </c>
      <c r="F22" s="134"/>
      <c r="G22" s="135" t="s">
        <v>35</v>
      </c>
      <c r="H22" s="135" t="s">
        <v>35</v>
      </c>
      <c r="I22" s="135" t="s">
        <v>35</v>
      </c>
      <c r="J22" s="135" t="s">
        <v>35</v>
      </c>
      <c r="K22" s="135" t="s">
        <v>35</v>
      </c>
      <c r="L22" s="321">
        <v>1</v>
      </c>
      <c r="M22" s="135" t="s">
        <v>35</v>
      </c>
      <c r="N22" s="321" t="s">
        <v>132</v>
      </c>
      <c r="O22" s="321" t="s">
        <v>132</v>
      </c>
      <c r="P22" s="321" t="s">
        <v>132</v>
      </c>
      <c r="Q22" s="646" t="s">
        <v>35</v>
      </c>
      <c r="R22" s="646" t="s">
        <v>35</v>
      </c>
      <c r="S22" s="243"/>
    </row>
    <row r="23" spans="1:19" s="136" customFormat="1" x14ac:dyDescent="0.25">
      <c r="A23" s="321">
        <v>15</v>
      </c>
      <c r="B23" s="345" t="str">
        <f>'[2]2. Siswa'!D21</f>
        <v>Naurah Atikah Rabbani</v>
      </c>
      <c r="C23" s="134">
        <v>132</v>
      </c>
      <c r="D23" s="134"/>
      <c r="E23" s="134">
        <v>25</v>
      </c>
      <c r="F23" s="134"/>
      <c r="G23" s="135" t="s">
        <v>35</v>
      </c>
      <c r="H23" s="135" t="s">
        <v>35</v>
      </c>
      <c r="I23" s="135" t="s">
        <v>35</v>
      </c>
      <c r="J23" s="135" t="s">
        <v>35</v>
      </c>
      <c r="K23" s="135" t="s">
        <v>35</v>
      </c>
      <c r="L23" s="321">
        <v>3</v>
      </c>
      <c r="M23" s="135" t="s">
        <v>35</v>
      </c>
      <c r="N23" s="321" t="s">
        <v>132</v>
      </c>
      <c r="O23" s="321" t="s">
        <v>132</v>
      </c>
      <c r="P23" s="321" t="s">
        <v>132</v>
      </c>
      <c r="Q23" s="646" t="s">
        <v>35</v>
      </c>
      <c r="R23" s="646" t="s">
        <v>35</v>
      </c>
      <c r="S23" s="243"/>
    </row>
    <row r="24" spans="1:19" s="136" customFormat="1" x14ac:dyDescent="0.25">
      <c r="A24" s="321">
        <v>16</v>
      </c>
      <c r="B24" s="345" t="str">
        <f>'[2]2. Siswa'!D22</f>
        <v>Rendra Prasetiya Danadyaksa</v>
      </c>
      <c r="C24" s="134">
        <v>129</v>
      </c>
      <c r="D24" s="134"/>
      <c r="E24" s="134">
        <v>27</v>
      </c>
      <c r="F24" s="134"/>
      <c r="G24" s="135" t="s">
        <v>35</v>
      </c>
      <c r="H24" s="135" t="s">
        <v>35</v>
      </c>
      <c r="I24" s="135" t="s">
        <v>35</v>
      </c>
      <c r="J24" s="135" t="s">
        <v>35</v>
      </c>
      <c r="K24" s="134">
        <v>2</v>
      </c>
      <c r="L24" s="321"/>
      <c r="M24" s="135" t="s">
        <v>35</v>
      </c>
      <c r="N24" s="321" t="s">
        <v>132</v>
      </c>
      <c r="O24" s="321" t="s">
        <v>132</v>
      </c>
      <c r="P24" s="321" t="s">
        <v>132</v>
      </c>
      <c r="Q24" s="646" t="s">
        <v>35</v>
      </c>
      <c r="R24" s="646" t="s">
        <v>35</v>
      </c>
      <c r="S24" s="243"/>
    </row>
    <row r="25" spans="1:19" s="136" customFormat="1" x14ac:dyDescent="0.25">
      <c r="A25" s="321">
        <v>17</v>
      </c>
      <c r="B25" s="345" t="str">
        <f>'[2]2. Siswa'!D23</f>
        <v xml:space="preserve">Rizal Ilham Pratama </v>
      </c>
      <c r="C25" s="134">
        <v>134</v>
      </c>
      <c r="D25" s="134"/>
      <c r="E25" s="134">
        <v>29</v>
      </c>
      <c r="F25" s="134"/>
      <c r="G25" s="135" t="s">
        <v>35</v>
      </c>
      <c r="H25" s="135" t="s">
        <v>35</v>
      </c>
      <c r="I25" s="135" t="s">
        <v>35</v>
      </c>
      <c r="J25" s="135" t="s">
        <v>35</v>
      </c>
      <c r="K25" s="134">
        <v>6</v>
      </c>
      <c r="L25" s="321">
        <v>8</v>
      </c>
      <c r="M25" s="135" t="s">
        <v>35</v>
      </c>
      <c r="N25" s="321" t="s">
        <v>132</v>
      </c>
      <c r="O25" s="321" t="s">
        <v>132</v>
      </c>
      <c r="P25" s="321" t="s">
        <v>132</v>
      </c>
      <c r="Q25" s="646" t="s">
        <v>35</v>
      </c>
      <c r="R25" s="646" t="s">
        <v>35</v>
      </c>
      <c r="S25" s="243"/>
    </row>
    <row r="26" spans="1:19" s="136" customFormat="1" x14ac:dyDescent="0.25">
      <c r="A26" s="321">
        <v>18</v>
      </c>
      <c r="B26" s="345" t="str">
        <f>'[2]2. Siswa'!D24</f>
        <v>Satriya Dwisetya Nugraha</v>
      </c>
      <c r="C26" s="134">
        <v>148</v>
      </c>
      <c r="D26" s="134"/>
      <c r="E26" s="134">
        <v>64</v>
      </c>
      <c r="F26" s="134"/>
      <c r="G26" s="135" t="s">
        <v>35</v>
      </c>
      <c r="H26" s="135" t="s">
        <v>35</v>
      </c>
      <c r="I26" s="135" t="s">
        <v>35</v>
      </c>
      <c r="J26" s="135" t="s">
        <v>35</v>
      </c>
      <c r="K26" s="134"/>
      <c r="L26" s="321"/>
      <c r="M26" s="135" t="s">
        <v>35</v>
      </c>
      <c r="N26" s="321" t="s">
        <v>132</v>
      </c>
      <c r="O26" s="321" t="s">
        <v>132</v>
      </c>
      <c r="P26" s="321" t="s">
        <v>132</v>
      </c>
      <c r="Q26" s="646" t="s">
        <v>35</v>
      </c>
      <c r="R26" s="646" t="s">
        <v>35</v>
      </c>
      <c r="S26" s="243"/>
    </row>
    <row r="27" spans="1:19" s="136" customFormat="1" x14ac:dyDescent="0.25">
      <c r="A27" s="321">
        <v>19</v>
      </c>
      <c r="B27" s="345" t="str">
        <f>'[2]2. Siswa'!D25</f>
        <v>Shahbaz Faiz Rheznandiya</v>
      </c>
      <c r="C27" s="134">
        <v>136</v>
      </c>
      <c r="D27" s="134"/>
      <c r="E27" s="134">
        <v>27</v>
      </c>
      <c r="F27" s="134"/>
      <c r="G27" s="135" t="s">
        <v>35</v>
      </c>
      <c r="H27" s="135" t="s">
        <v>35</v>
      </c>
      <c r="I27" s="135" t="s">
        <v>35</v>
      </c>
      <c r="J27" s="135" t="s">
        <v>35</v>
      </c>
      <c r="K27" s="134">
        <v>3</v>
      </c>
      <c r="L27" s="321">
        <v>1</v>
      </c>
      <c r="M27" s="135" t="s">
        <v>35</v>
      </c>
      <c r="N27" s="321" t="s">
        <v>132</v>
      </c>
      <c r="O27" s="321" t="s">
        <v>132</v>
      </c>
      <c r="P27" s="321" t="s">
        <v>132</v>
      </c>
      <c r="Q27" s="646" t="s">
        <v>35</v>
      </c>
      <c r="R27" s="646" t="s">
        <v>35</v>
      </c>
      <c r="S27" s="243"/>
    </row>
    <row r="28" spans="1:19" s="136" customFormat="1" x14ac:dyDescent="0.25">
      <c r="A28" s="321">
        <v>20</v>
      </c>
      <c r="B28" s="345" t="str">
        <f>'[2]2. Siswa'!D26</f>
        <v xml:space="preserve">Shinta Amelya Jatlieno </v>
      </c>
      <c r="C28" s="134">
        <v>145</v>
      </c>
      <c r="D28" s="134"/>
      <c r="E28" s="134">
        <v>45</v>
      </c>
      <c r="F28" s="134"/>
      <c r="G28" s="135" t="s">
        <v>35</v>
      </c>
      <c r="H28" s="135" t="s">
        <v>35</v>
      </c>
      <c r="I28" s="135" t="s">
        <v>35</v>
      </c>
      <c r="J28" s="135" t="s">
        <v>35</v>
      </c>
      <c r="K28" s="134">
        <v>3</v>
      </c>
      <c r="L28" s="321"/>
      <c r="M28" s="135" t="s">
        <v>35</v>
      </c>
      <c r="N28" s="321" t="s">
        <v>132</v>
      </c>
      <c r="O28" s="321" t="s">
        <v>132</v>
      </c>
      <c r="P28" s="321" t="s">
        <v>132</v>
      </c>
      <c r="Q28" s="646" t="s">
        <v>35</v>
      </c>
      <c r="R28" s="646" t="s">
        <v>35</v>
      </c>
      <c r="S28" s="243"/>
    </row>
    <row r="29" spans="1:19" s="136" customFormat="1" x14ac:dyDescent="0.25">
      <c r="A29" s="321">
        <v>21</v>
      </c>
      <c r="B29" s="345" t="str">
        <f>'[2]2. Siswa'!D27</f>
        <v xml:space="preserve">Wisnu Anggara </v>
      </c>
      <c r="C29" s="134">
        <v>141</v>
      </c>
      <c r="D29" s="134"/>
      <c r="E29" s="134">
        <v>44</v>
      </c>
      <c r="F29" s="134"/>
      <c r="G29" s="135" t="s">
        <v>35</v>
      </c>
      <c r="H29" s="135" t="s">
        <v>35</v>
      </c>
      <c r="I29" s="135" t="s">
        <v>35</v>
      </c>
      <c r="J29" s="135" t="s">
        <v>35</v>
      </c>
      <c r="K29" s="135" t="s">
        <v>35</v>
      </c>
      <c r="L29" s="135" t="s">
        <v>35</v>
      </c>
      <c r="M29" s="135" t="s">
        <v>35</v>
      </c>
      <c r="N29" s="321" t="s">
        <v>132</v>
      </c>
      <c r="O29" s="321" t="s">
        <v>132</v>
      </c>
      <c r="P29" s="321" t="s">
        <v>132</v>
      </c>
      <c r="Q29" s="646" t="s">
        <v>35</v>
      </c>
      <c r="R29" s="646" t="s">
        <v>35</v>
      </c>
      <c r="S29" s="243"/>
    </row>
    <row r="30" spans="1:19" s="136" customFormat="1" x14ac:dyDescent="0.25">
      <c r="A30" s="321">
        <v>22</v>
      </c>
      <c r="B30" s="345" t="str">
        <f>'[2]2. Siswa'!D28</f>
        <v xml:space="preserve">I Kadek Afrisa Diana Dipta </v>
      </c>
      <c r="C30" s="134"/>
      <c r="D30" s="134"/>
      <c r="E30" s="134"/>
      <c r="F30" s="134"/>
      <c r="G30" s="135" t="s">
        <v>35</v>
      </c>
      <c r="H30" s="135" t="s">
        <v>35</v>
      </c>
      <c r="I30" s="135" t="s">
        <v>35</v>
      </c>
      <c r="J30" s="135" t="s">
        <v>35</v>
      </c>
      <c r="K30" s="135" t="s">
        <v>35</v>
      </c>
      <c r="L30" s="135" t="s">
        <v>35</v>
      </c>
      <c r="M30" s="135" t="s">
        <v>35</v>
      </c>
      <c r="N30" s="321" t="s">
        <v>132</v>
      </c>
      <c r="O30" s="321" t="s">
        <v>132</v>
      </c>
      <c r="P30" s="321" t="s">
        <v>132</v>
      </c>
      <c r="Q30" s="646" t="s">
        <v>35</v>
      </c>
      <c r="R30" s="646" t="s">
        <v>35</v>
      </c>
      <c r="S30" s="243"/>
    </row>
    <row r="31" spans="1:19" s="136" customFormat="1" x14ac:dyDescent="0.25">
      <c r="A31" s="321">
        <v>23</v>
      </c>
      <c r="B31" s="345" t="str">
        <f>'[2]2. Siswa'!D29</f>
        <v>Khayla Rifi Athalillah</v>
      </c>
      <c r="C31" s="134">
        <v>140</v>
      </c>
      <c r="D31" s="134"/>
      <c r="E31" s="134">
        <v>34</v>
      </c>
      <c r="F31" s="134"/>
      <c r="G31" s="135" t="s">
        <v>35</v>
      </c>
      <c r="H31" s="135" t="s">
        <v>35</v>
      </c>
      <c r="I31" s="135" t="s">
        <v>35</v>
      </c>
      <c r="J31" s="135" t="s">
        <v>35</v>
      </c>
      <c r="K31" s="135" t="s">
        <v>35</v>
      </c>
      <c r="L31" s="135" t="s">
        <v>35</v>
      </c>
      <c r="M31" s="135" t="s">
        <v>35</v>
      </c>
      <c r="N31" s="321" t="s">
        <v>132</v>
      </c>
      <c r="O31" s="321" t="s">
        <v>132</v>
      </c>
      <c r="P31" s="321" t="s">
        <v>132</v>
      </c>
      <c r="Q31" s="646" t="s">
        <v>35</v>
      </c>
      <c r="R31" s="646" t="s">
        <v>35</v>
      </c>
      <c r="S31" s="243"/>
    </row>
    <row r="32" spans="1:19" s="136" customFormat="1" x14ac:dyDescent="0.25">
      <c r="A32" s="321">
        <v>24</v>
      </c>
      <c r="B32" s="345" t="str">
        <f>'[2]2. Siswa'!D30</f>
        <v xml:space="preserve">Bulan Kaniya Putri Rahmadani </v>
      </c>
      <c r="C32" s="134">
        <v>132</v>
      </c>
      <c r="D32" s="134"/>
      <c r="E32" s="134">
        <v>25</v>
      </c>
      <c r="F32" s="134"/>
      <c r="G32" s="135" t="s">
        <v>35</v>
      </c>
      <c r="H32" s="135" t="s">
        <v>35</v>
      </c>
      <c r="I32" s="135" t="s">
        <v>35</v>
      </c>
      <c r="J32" s="135" t="s">
        <v>35</v>
      </c>
      <c r="K32" s="134">
        <v>1</v>
      </c>
      <c r="L32" s="321">
        <v>1</v>
      </c>
      <c r="M32" s="135" t="s">
        <v>35</v>
      </c>
      <c r="N32" s="321" t="s">
        <v>132</v>
      </c>
      <c r="O32" s="321" t="s">
        <v>132</v>
      </c>
      <c r="P32" s="321" t="s">
        <v>132</v>
      </c>
      <c r="Q32" s="646" t="s">
        <v>35</v>
      </c>
      <c r="R32" s="646" t="s">
        <v>35</v>
      </c>
      <c r="S32" s="243"/>
    </row>
    <row r="33" spans="1:19" s="136" customFormat="1" x14ac:dyDescent="0.25">
      <c r="A33" s="321">
        <v>25</v>
      </c>
      <c r="B33" s="345" t="str">
        <f>'[2]2. Siswa'!D31</f>
        <v xml:space="preserve">Yekza Adikustiyanata </v>
      </c>
      <c r="C33" s="134">
        <v>140</v>
      </c>
      <c r="D33" s="134"/>
      <c r="E33" s="134">
        <v>35</v>
      </c>
      <c r="F33" s="134"/>
      <c r="G33" s="135" t="s">
        <v>35</v>
      </c>
      <c r="H33" s="135" t="s">
        <v>35</v>
      </c>
      <c r="I33" s="135" t="s">
        <v>35</v>
      </c>
      <c r="J33" s="135" t="s">
        <v>35</v>
      </c>
      <c r="K33" s="134"/>
      <c r="L33" s="321">
        <v>1</v>
      </c>
      <c r="M33" s="135" t="s">
        <v>35</v>
      </c>
      <c r="N33" s="321" t="s">
        <v>132</v>
      </c>
      <c r="O33" s="321" t="s">
        <v>132</v>
      </c>
      <c r="P33" s="321" t="s">
        <v>132</v>
      </c>
      <c r="Q33" s="646" t="s">
        <v>35</v>
      </c>
      <c r="R33" s="646" t="s">
        <v>35</v>
      </c>
      <c r="S33" s="243"/>
    </row>
    <row r="34" spans="1:19" s="136" customFormat="1" x14ac:dyDescent="0.25">
      <c r="A34" s="321">
        <v>26</v>
      </c>
      <c r="B34" s="345" t="str">
        <f>'[2]2. Siswa'!D32</f>
        <v xml:space="preserve">Rico David Afiludin </v>
      </c>
      <c r="C34" s="134">
        <v>135</v>
      </c>
      <c r="D34" s="134"/>
      <c r="E34" s="134">
        <v>30</v>
      </c>
      <c r="F34" s="134"/>
      <c r="G34" s="135" t="s">
        <v>35</v>
      </c>
      <c r="H34" s="135" t="s">
        <v>35</v>
      </c>
      <c r="I34" s="135" t="s">
        <v>35</v>
      </c>
      <c r="J34" s="135" t="s">
        <v>35</v>
      </c>
      <c r="K34" s="134">
        <v>1</v>
      </c>
      <c r="L34" s="321">
        <v>1</v>
      </c>
      <c r="M34" s="135" t="s">
        <v>35</v>
      </c>
      <c r="N34" s="321" t="s">
        <v>132</v>
      </c>
      <c r="O34" s="321" t="s">
        <v>132</v>
      </c>
      <c r="P34" s="321" t="s">
        <v>132</v>
      </c>
      <c r="Q34" s="646" t="s">
        <v>35</v>
      </c>
      <c r="R34" s="646" t="s">
        <v>35</v>
      </c>
      <c r="S34" s="243"/>
    </row>
    <row r="35" spans="1:19" s="136" customFormat="1" x14ac:dyDescent="0.25">
      <c r="A35" s="321">
        <v>27</v>
      </c>
      <c r="B35" s="345" t="str">
        <f>'[2]2. Siswa'!D33</f>
        <v xml:space="preserve">Muhammad Dava Maulana Rasyid </v>
      </c>
      <c r="C35" s="134">
        <v>133</v>
      </c>
      <c r="D35" s="134"/>
      <c r="E35" s="134">
        <v>30</v>
      </c>
      <c r="F35" s="134"/>
      <c r="G35" s="135" t="s">
        <v>35</v>
      </c>
      <c r="H35" s="135" t="s">
        <v>35</v>
      </c>
      <c r="I35" s="135" t="s">
        <v>35</v>
      </c>
      <c r="J35" s="135" t="s">
        <v>35</v>
      </c>
      <c r="K35" s="135" t="s">
        <v>35</v>
      </c>
      <c r="L35" s="321">
        <v>5</v>
      </c>
      <c r="M35" s="135" t="s">
        <v>35</v>
      </c>
      <c r="N35" s="321" t="s">
        <v>132</v>
      </c>
      <c r="O35" s="321" t="s">
        <v>132</v>
      </c>
      <c r="P35" s="321" t="s">
        <v>132</v>
      </c>
      <c r="Q35" s="646" t="s">
        <v>35</v>
      </c>
      <c r="R35" s="646" t="s">
        <v>35</v>
      </c>
      <c r="S35" s="243"/>
    </row>
    <row r="36" spans="1:19" s="136" customFormat="1" x14ac:dyDescent="0.25">
      <c r="A36" s="321">
        <v>28</v>
      </c>
      <c r="B36" s="345" t="str">
        <f>'[2]2. Siswa'!D34</f>
        <v>Azwan Syahril Ramadhan</v>
      </c>
      <c r="C36" s="134">
        <v>142</v>
      </c>
      <c r="D36" s="134"/>
      <c r="E36" s="134">
        <v>37</v>
      </c>
      <c r="F36" s="134"/>
      <c r="G36" s="135" t="s">
        <v>35</v>
      </c>
      <c r="H36" s="135" t="s">
        <v>35</v>
      </c>
      <c r="I36" s="135" t="s">
        <v>35</v>
      </c>
      <c r="J36" s="135" t="s">
        <v>35</v>
      </c>
      <c r="K36" s="134">
        <v>1</v>
      </c>
      <c r="L36" s="135" t="s">
        <v>35</v>
      </c>
      <c r="M36" s="135" t="s">
        <v>35</v>
      </c>
      <c r="N36" s="321" t="s">
        <v>132</v>
      </c>
      <c r="O36" s="321" t="s">
        <v>132</v>
      </c>
      <c r="P36" s="321" t="s">
        <v>132</v>
      </c>
      <c r="Q36" s="646" t="s">
        <v>35</v>
      </c>
      <c r="R36" s="646" t="s">
        <v>35</v>
      </c>
      <c r="S36" s="243"/>
    </row>
    <row r="37" spans="1:19" s="136" customFormat="1" x14ac:dyDescent="0.25">
      <c r="A37" s="321">
        <v>29</v>
      </c>
      <c r="B37" s="345" t="str">
        <f>'[2]2. Siswa'!D35</f>
        <v>Harits Imtiyaaz Tresna Putra</v>
      </c>
      <c r="C37" s="134">
        <v>144</v>
      </c>
      <c r="D37" s="134"/>
      <c r="E37" s="134">
        <v>45</v>
      </c>
      <c r="F37" s="134"/>
      <c r="G37" s="135" t="s">
        <v>35</v>
      </c>
      <c r="H37" s="135" t="s">
        <v>35</v>
      </c>
      <c r="I37" s="135" t="s">
        <v>35</v>
      </c>
      <c r="J37" s="135" t="s">
        <v>35</v>
      </c>
      <c r="K37" s="135" t="s">
        <v>35</v>
      </c>
      <c r="L37" s="321">
        <v>1</v>
      </c>
      <c r="M37" s="135" t="s">
        <v>35</v>
      </c>
      <c r="N37" s="321" t="s">
        <v>132</v>
      </c>
      <c r="O37" s="321" t="s">
        <v>132</v>
      </c>
      <c r="P37" s="321" t="s">
        <v>132</v>
      </c>
      <c r="Q37" s="646" t="s">
        <v>35</v>
      </c>
      <c r="R37" s="646" t="s">
        <v>35</v>
      </c>
      <c r="S37" s="243"/>
    </row>
    <row r="38" spans="1:19" s="136" customFormat="1" x14ac:dyDescent="0.25">
      <c r="A38" s="321">
        <v>30</v>
      </c>
      <c r="B38" s="345" t="str">
        <f>'[2]2. Siswa'!D36</f>
        <v xml:space="preserve">Zafienna Kyla Syam </v>
      </c>
      <c r="C38" s="134">
        <v>158</v>
      </c>
      <c r="D38" s="134"/>
      <c r="E38" s="134">
        <v>57</v>
      </c>
      <c r="F38" s="134"/>
      <c r="G38" s="135" t="s">
        <v>35</v>
      </c>
      <c r="H38" s="135" t="s">
        <v>35</v>
      </c>
      <c r="I38" s="135" t="s">
        <v>35</v>
      </c>
      <c r="J38" s="135" t="s">
        <v>35</v>
      </c>
      <c r="K38" s="134">
        <v>3</v>
      </c>
      <c r="L38" s="321"/>
      <c r="M38" s="135" t="s">
        <v>35</v>
      </c>
      <c r="N38" s="321" t="s">
        <v>132</v>
      </c>
      <c r="O38" s="321" t="s">
        <v>132</v>
      </c>
      <c r="P38" s="321" t="s">
        <v>132</v>
      </c>
      <c r="Q38" s="646" t="s">
        <v>35</v>
      </c>
      <c r="R38" s="646" t="s">
        <v>35</v>
      </c>
      <c r="S38" s="243"/>
    </row>
    <row r="39" spans="1:19" s="136" customFormat="1" x14ac:dyDescent="0.25">
      <c r="A39" s="321">
        <v>31</v>
      </c>
      <c r="B39" s="345" t="str">
        <f>'[2]2. Siswa'!D37</f>
        <v>Adinda Putri Junaidi</v>
      </c>
      <c r="C39" s="134">
        <v>139</v>
      </c>
      <c r="D39" s="134"/>
      <c r="E39" s="134">
        <v>27</v>
      </c>
      <c r="F39" s="134"/>
      <c r="G39" s="135" t="s">
        <v>35</v>
      </c>
      <c r="H39" s="135" t="s">
        <v>35</v>
      </c>
      <c r="I39" s="135" t="s">
        <v>35</v>
      </c>
      <c r="J39" s="135" t="s">
        <v>35</v>
      </c>
      <c r="K39" s="135" t="s">
        <v>35</v>
      </c>
      <c r="L39" s="135" t="s">
        <v>35</v>
      </c>
      <c r="M39" s="135" t="s">
        <v>35</v>
      </c>
      <c r="N39" s="321" t="s">
        <v>132</v>
      </c>
      <c r="O39" s="321" t="s">
        <v>132</v>
      </c>
      <c r="P39" s="321" t="s">
        <v>132</v>
      </c>
      <c r="Q39" s="646" t="s">
        <v>35</v>
      </c>
      <c r="R39" s="646" t="s">
        <v>35</v>
      </c>
      <c r="S39" s="243"/>
    </row>
    <row r="40" spans="1:19" s="136" customFormat="1" x14ac:dyDescent="0.25">
      <c r="A40" s="321">
        <v>32</v>
      </c>
      <c r="B40" s="345"/>
      <c r="C40" s="134"/>
      <c r="D40" s="134"/>
      <c r="E40" s="134"/>
      <c r="F40" s="134"/>
      <c r="G40" s="135"/>
      <c r="H40" s="135"/>
      <c r="I40" s="135"/>
      <c r="J40" s="135"/>
      <c r="K40" s="134"/>
      <c r="L40" s="321"/>
      <c r="M40" s="321"/>
      <c r="N40" s="321"/>
      <c r="O40" s="321"/>
      <c r="P40" s="321"/>
      <c r="Q40" s="646" t="s">
        <v>35</v>
      </c>
      <c r="R40" s="646" t="s">
        <v>35</v>
      </c>
      <c r="S40" s="243"/>
    </row>
    <row r="41" spans="1:19" s="136" customFormat="1" x14ac:dyDescent="0.25">
      <c r="A41" s="321">
        <v>33</v>
      </c>
      <c r="B41" s="345"/>
      <c r="C41" s="134"/>
      <c r="D41" s="134"/>
      <c r="E41" s="134"/>
      <c r="F41" s="134"/>
      <c r="G41" s="135"/>
      <c r="H41" s="135"/>
      <c r="I41" s="135"/>
      <c r="J41" s="135"/>
      <c r="K41" s="134"/>
      <c r="L41" s="321"/>
      <c r="M41" s="321"/>
      <c r="N41" s="321"/>
      <c r="O41" s="321"/>
      <c r="P41" s="321"/>
      <c r="Q41" s="646" t="s">
        <v>35</v>
      </c>
      <c r="R41" s="646" t="s">
        <v>35</v>
      </c>
      <c r="S41" s="243"/>
    </row>
    <row r="42" spans="1:19" s="136" customFormat="1" x14ac:dyDescent="0.25">
      <c r="A42" s="321">
        <v>34</v>
      </c>
      <c r="B42" s="345"/>
      <c r="C42" s="134"/>
      <c r="D42" s="134"/>
      <c r="E42" s="134"/>
      <c r="F42" s="134"/>
      <c r="G42" s="135"/>
      <c r="H42" s="135"/>
      <c r="I42" s="135"/>
      <c r="J42" s="135"/>
      <c r="K42" s="134"/>
      <c r="L42" s="321"/>
      <c r="M42" s="321"/>
      <c r="N42" s="321"/>
      <c r="O42" s="321"/>
      <c r="P42" s="321"/>
      <c r="Q42" s="646" t="s">
        <v>35</v>
      </c>
      <c r="R42" s="646" t="s">
        <v>35</v>
      </c>
      <c r="S42" s="243"/>
    </row>
    <row r="43" spans="1:19" s="136" customFormat="1" x14ac:dyDescent="0.25">
      <c r="A43" s="321">
        <v>35</v>
      </c>
      <c r="B43" s="345"/>
      <c r="C43" s="134"/>
      <c r="D43" s="134"/>
      <c r="E43" s="134"/>
      <c r="F43" s="134"/>
      <c r="G43" s="135"/>
      <c r="H43" s="135"/>
      <c r="I43" s="135"/>
      <c r="J43" s="135"/>
      <c r="K43" s="134"/>
      <c r="L43" s="321"/>
      <c r="M43" s="321"/>
      <c r="N43" s="321"/>
      <c r="O43" s="321"/>
      <c r="P43" s="321"/>
      <c r="Q43" s="646" t="s">
        <v>35</v>
      </c>
      <c r="R43" s="646" t="s">
        <v>35</v>
      </c>
      <c r="S43" s="243"/>
    </row>
    <row r="44" spans="1:19" s="136" customFormat="1" x14ac:dyDescent="0.25">
      <c r="A44" s="321">
        <v>36</v>
      </c>
      <c r="B44" s="345"/>
      <c r="C44" s="134"/>
      <c r="D44" s="134"/>
      <c r="E44" s="134"/>
      <c r="F44" s="134"/>
      <c r="G44" s="135"/>
      <c r="H44" s="135"/>
      <c r="I44" s="135"/>
      <c r="J44" s="135"/>
      <c r="K44" s="134"/>
      <c r="L44" s="321"/>
      <c r="M44" s="321"/>
      <c r="N44" s="321"/>
      <c r="O44" s="321"/>
      <c r="P44" s="321"/>
      <c r="Q44" s="646" t="s">
        <v>35</v>
      </c>
      <c r="R44" s="646" t="s">
        <v>35</v>
      </c>
      <c r="S44" s="243"/>
    </row>
    <row r="45" spans="1:19" s="136" customFormat="1" x14ac:dyDescent="0.25">
      <c r="A45" s="321">
        <v>37</v>
      </c>
      <c r="B45" s="345"/>
      <c r="C45" s="134"/>
      <c r="D45" s="134"/>
      <c r="E45" s="134"/>
      <c r="F45" s="134"/>
      <c r="G45" s="135"/>
      <c r="H45" s="135"/>
      <c r="I45" s="135"/>
      <c r="J45" s="135"/>
      <c r="K45" s="134"/>
      <c r="L45" s="321"/>
      <c r="M45" s="321"/>
      <c r="N45" s="321"/>
      <c r="O45" s="321"/>
      <c r="P45" s="321"/>
      <c r="Q45" s="646" t="s">
        <v>35</v>
      </c>
      <c r="R45" s="646" t="s">
        <v>35</v>
      </c>
      <c r="S45" s="243"/>
    </row>
    <row r="46" spans="1:19" s="136" customFormat="1" x14ac:dyDescent="0.25">
      <c r="A46" s="321">
        <v>38</v>
      </c>
      <c r="B46" s="345"/>
      <c r="C46" s="134"/>
      <c r="D46" s="134"/>
      <c r="E46" s="134"/>
      <c r="F46" s="134"/>
      <c r="G46" s="135"/>
      <c r="H46" s="135"/>
      <c r="I46" s="135"/>
      <c r="J46" s="135"/>
      <c r="K46" s="134"/>
      <c r="L46" s="321"/>
      <c r="M46" s="321"/>
      <c r="N46" s="321"/>
      <c r="O46" s="321"/>
      <c r="P46" s="321"/>
      <c r="Q46" s="646" t="s">
        <v>35</v>
      </c>
      <c r="R46" s="646" t="s">
        <v>35</v>
      </c>
      <c r="S46" s="243"/>
    </row>
    <row r="47" spans="1:19" s="136" customFormat="1" x14ac:dyDescent="0.25">
      <c r="A47" s="321">
        <v>39</v>
      </c>
      <c r="B47" s="345"/>
      <c r="C47" s="134"/>
      <c r="D47" s="134"/>
      <c r="E47" s="134"/>
      <c r="F47" s="134"/>
      <c r="G47" s="135"/>
      <c r="H47" s="135"/>
      <c r="I47" s="135"/>
      <c r="J47" s="135"/>
      <c r="K47" s="134"/>
      <c r="L47" s="321"/>
      <c r="M47" s="321"/>
      <c r="N47" s="321"/>
      <c r="O47" s="321"/>
      <c r="P47" s="321"/>
      <c r="Q47" s="646" t="s">
        <v>35</v>
      </c>
      <c r="R47" s="646" t="s">
        <v>35</v>
      </c>
      <c r="S47" s="243"/>
    </row>
    <row r="48" spans="1:19" s="136" customFormat="1" x14ac:dyDescent="0.25">
      <c r="A48" s="321">
        <v>40</v>
      </c>
      <c r="B48" s="345"/>
      <c r="C48" s="134"/>
      <c r="D48" s="134"/>
      <c r="E48" s="134"/>
      <c r="F48" s="134"/>
      <c r="G48" s="135"/>
      <c r="H48" s="135"/>
      <c r="I48" s="135"/>
      <c r="J48" s="135"/>
      <c r="K48" s="134"/>
      <c r="L48" s="321"/>
      <c r="M48" s="321"/>
      <c r="N48" s="321"/>
      <c r="O48" s="321"/>
      <c r="P48" s="321"/>
      <c r="Q48" s="646" t="s">
        <v>35</v>
      </c>
      <c r="R48" s="646" t="s">
        <v>35</v>
      </c>
      <c r="S48" s="243"/>
    </row>
    <row r="49" spans="1:19" s="136" customFormat="1" x14ac:dyDescent="0.25">
      <c r="A49" s="321">
        <v>41</v>
      </c>
      <c r="B49" s="345"/>
      <c r="C49" s="134"/>
      <c r="D49" s="134"/>
      <c r="E49" s="134"/>
      <c r="F49" s="134"/>
      <c r="G49" s="135"/>
      <c r="H49" s="135"/>
      <c r="I49" s="135"/>
      <c r="J49" s="135"/>
      <c r="K49" s="134"/>
      <c r="L49" s="321"/>
      <c r="M49" s="321"/>
      <c r="N49" s="321"/>
      <c r="O49" s="321"/>
      <c r="P49" s="321"/>
      <c r="Q49" s="646" t="s">
        <v>35</v>
      </c>
      <c r="R49" s="646" t="s">
        <v>35</v>
      </c>
      <c r="S49" s="243"/>
    </row>
    <row r="50" spans="1:19" s="136" customFormat="1" x14ac:dyDescent="0.25">
      <c r="A50" s="321">
        <v>42</v>
      </c>
      <c r="B50" s="345"/>
      <c r="C50" s="134"/>
      <c r="D50" s="134"/>
      <c r="E50" s="134"/>
      <c r="F50" s="134"/>
      <c r="G50" s="135"/>
      <c r="H50" s="135"/>
      <c r="I50" s="135"/>
      <c r="J50" s="135"/>
      <c r="K50" s="134"/>
      <c r="L50" s="321"/>
      <c r="M50" s="321"/>
      <c r="N50" s="321"/>
      <c r="O50" s="321"/>
      <c r="P50" s="321"/>
      <c r="Q50" s="646" t="s">
        <v>35</v>
      </c>
      <c r="R50" s="646" t="s">
        <v>35</v>
      </c>
      <c r="S50" s="243"/>
    </row>
    <row r="51" spans="1:19" s="136" customFormat="1" x14ac:dyDescent="0.25">
      <c r="A51" s="321">
        <v>43</v>
      </c>
      <c r="B51" s="345"/>
      <c r="C51" s="134"/>
      <c r="D51" s="134"/>
      <c r="E51" s="134"/>
      <c r="F51" s="134"/>
      <c r="G51" s="135"/>
      <c r="H51" s="135"/>
      <c r="I51" s="135"/>
      <c r="J51" s="135"/>
      <c r="K51" s="134"/>
      <c r="L51" s="321"/>
      <c r="M51" s="321"/>
      <c r="N51" s="321"/>
      <c r="O51" s="321"/>
      <c r="P51" s="321"/>
      <c r="Q51" s="646" t="s">
        <v>35</v>
      </c>
      <c r="R51" s="646" t="s">
        <v>35</v>
      </c>
      <c r="S51" s="243"/>
    </row>
    <row r="52" spans="1:19" s="136" customFormat="1" x14ac:dyDescent="0.25">
      <c r="A52" s="321">
        <v>44</v>
      </c>
      <c r="B52" s="345"/>
      <c r="C52" s="134"/>
      <c r="D52" s="134"/>
      <c r="E52" s="134"/>
      <c r="F52" s="134"/>
      <c r="G52" s="135"/>
      <c r="H52" s="135"/>
      <c r="I52" s="135"/>
      <c r="J52" s="135"/>
      <c r="K52" s="134"/>
      <c r="L52" s="321"/>
      <c r="M52" s="321"/>
      <c r="N52" s="321"/>
      <c r="O52" s="321"/>
      <c r="P52" s="321"/>
      <c r="Q52" s="646" t="s">
        <v>35</v>
      </c>
      <c r="R52" s="646" t="s">
        <v>35</v>
      </c>
      <c r="S52" s="243"/>
    </row>
    <row r="53" spans="1:19" x14ac:dyDescent="0.25">
      <c r="A53" s="321">
        <v>45</v>
      </c>
      <c r="B53" s="345"/>
      <c r="C53" s="134"/>
      <c r="D53" s="134"/>
      <c r="E53" s="134"/>
      <c r="F53" s="134"/>
      <c r="G53" s="135"/>
      <c r="H53" s="135"/>
      <c r="I53" s="135"/>
      <c r="J53" s="135"/>
      <c r="K53" s="134"/>
      <c r="L53" s="321"/>
      <c r="M53" s="321"/>
      <c r="N53" s="321"/>
      <c r="O53" s="321"/>
      <c r="P53" s="321"/>
      <c r="Q53" s="646" t="s">
        <v>35</v>
      </c>
      <c r="R53" s="646" t="s">
        <v>35</v>
      </c>
      <c r="S53" s="1187"/>
    </row>
    <row r="54" spans="1:19" x14ac:dyDescent="0.25">
      <c r="A54" s="321">
        <v>46</v>
      </c>
      <c r="B54" s="345"/>
      <c r="C54" s="134"/>
      <c r="D54" s="134"/>
      <c r="E54" s="134"/>
      <c r="F54" s="134"/>
      <c r="G54" s="135"/>
      <c r="H54" s="135"/>
      <c r="I54" s="135"/>
      <c r="J54" s="135"/>
      <c r="K54" s="134"/>
      <c r="L54" s="321"/>
      <c r="M54" s="321"/>
      <c r="N54" s="321"/>
      <c r="O54" s="321"/>
      <c r="P54" s="321"/>
      <c r="Q54" s="646" t="s">
        <v>35</v>
      </c>
      <c r="R54" s="646" t="s">
        <v>35</v>
      </c>
      <c r="S54" s="1187"/>
    </row>
    <row r="55" spans="1:19" x14ac:dyDescent="0.25">
      <c r="A55" s="321">
        <v>47</v>
      </c>
      <c r="B55" s="345"/>
      <c r="C55" s="134"/>
      <c r="D55" s="134"/>
      <c r="E55" s="134"/>
      <c r="F55" s="134"/>
      <c r="G55" s="135"/>
      <c r="H55" s="135"/>
      <c r="I55" s="135"/>
      <c r="J55" s="135"/>
      <c r="K55" s="134"/>
      <c r="L55" s="321"/>
      <c r="M55" s="321"/>
      <c r="N55" s="321"/>
      <c r="O55" s="321"/>
      <c r="P55" s="321"/>
      <c r="Q55" s="646" t="s">
        <v>35</v>
      </c>
      <c r="R55" s="646" t="s">
        <v>35</v>
      </c>
      <c r="S55" s="1187"/>
    </row>
    <row r="56" spans="1:19" x14ac:dyDescent="0.25">
      <c r="A56" s="321">
        <v>48</v>
      </c>
      <c r="B56" s="345"/>
      <c r="C56" s="134"/>
      <c r="D56" s="134"/>
      <c r="E56" s="134"/>
      <c r="F56" s="134"/>
      <c r="G56" s="135"/>
      <c r="H56" s="135"/>
      <c r="I56" s="135"/>
      <c r="J56" s="135"/>
      <c r="K56" s="134"/>
      <c r="L56" s="321"/>
      <c r="M56" s="321"/>
      <c r="N56" s="321"/>
      <c r="O56" s="321"/>
      <c r="P56" s="321"/>
      <c r="Q56" s="646" t="s">
        <v>35</v>
      </c>
      <c r="R56" s="646" t="s">
        <v>35</v>
      </c>
      <c r="S56" s="1187"/>
    </row>
    <row r="57" spans="1:19" x14ac:dyDescent="0.25">
      <c r="A57" s="321">
        <v>49</v>
      </c>
      <c r="B57" s="345"/>
      <c r="C57" s="134"/>
      <c r="D57" s="134"/>
      <c r="E57" s="134"/>
      <c r="F57" s="134"/>
      <c r="G57" s="135"/>
      <c r="H57" s="135"/>
      <c r="I57" s="135"/>
      <c r="J57" s="135"/>
      <c r="K57" s="134"/>
      <c r="L57" s="321"/>
      <c r="M57" s="321"/>
      <c r="N57" s="321"/>
      <c r="O57" s="321"/>
      <c r="P57" s="321"/>
      <c r="Q57" s="646" t="s">
        <v>35</v>
      </c>
      <c r="R57" s="646" t="s">
        <v>35</v>
      </c>
      <c r="S57" s="1187"/>
    </row>
    <row r="58" spans="1:19" x14ac:dyDescent="0.25">
      <c r="A58" s="321">
        <v>50</v>
      </c>
      <c r="B58" s="345"/>
      <c r="C58" s="134"/>
      <c r="D58" s="134"/>
      <c r="E58" s="134"/>
      <c r="F58" s="134"/>
      <c r="G58" s="135"/>
      <c r="H58" s="135"/>
      <c r="I58" s="135"/>
      <c r="J58" s="135"/>
      <c r="K58" s="134"/>
      <c r="L58" s="321"/>
      <c r="M58" s="321"/>
      <c r="N58" s="321"/>
      <c r="O58" s="321"/>
      <c r="P58" s="321"/>
      <c r="Q58" s="646" t="s">
        <v>35</v>
      </c>
      <c r="R58" s="646" t="s">
        <v>35</v>
      </c>
      <c r="S58" s="1187"/>
    </row>
  </sheetData>
  <mergeCells count="5">
    <mergeCell ref="N7:R7"/>
    <mergeCell ref="C7:D7"/>
    <mergeCell ref="E7:F7"/>
    <mergeCell ref="G7:J7"/>
    <mergeCell ref="K7:M7"/>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N48"/>
  <sheetViews>
    <sheetView showGridLines="0" workbookViewId="0">
      <pane xSplit="2" ySplit="8" topLeftCell="C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404" customWidth="1"/>
    <col min="2" max="2" width="37.5703125" style="404" customWidth="1"/>
    <col min="3" max="3" width="5" style="404" customWidth="1"/>
    <col min="4" max="7" width="5.7109375" style="404" customWidth="1"/>
    <col min="8" max="8" width="5.7109375" style="592" customWidth="1"/>
    <col min="9" max="10" width="6.5703125" style="404" customWidth="1"/>
    <col min="11" max="11" width="5.42578125" style="592" customWidth="1"/>
    <col min="12" max="13" width="6.7109375" style="404" customWidth="1"/>
    <col min="14" max="14" width="5.85546875" style="404" customWidth="1"/>
    <col min="15" max="15" width="5.28515625" style="404" customWidth="1"/>
    <col min="16" max="16" width="5.42578125" style="592" customWidth="1"/>
    <col min="17" max="19" width="7.140625" style="404" customWidth="1"/>
    <col min="20" max="20" width="6.5703125" style="592" customWidth="1"/>
    <col min="21" max="22" width="7.140625" style="404" customWidth="1"/>
    <col min="23" max="23" width="7.140625" style="592" customWidth="1"/>
    <col min="24" max="29" width="4.7109375" style="404" customWidth="1"/>
    <col min="30" max="30" width="6.28515625" style="404" customWidth="1"/>
    <col min="31" max="39" width="5.7109375" style="404" customWidth="1"/>
    <col min="40" max="40" width="6.42578125" style="404" customWidth="1"/>
    <col min="41" max="46" width="5.7109375" style="404" customWidth="1"/>
    <col min="47" max="47" width="6.140625" style="404" customWidth="1"/>
    <col min="48" max="52" width="5.7109375" style="404" customWidth="1"/>
    <col min="53" max="53" width="5.85546875" style="404" customWidth="1"/>
    <col min="54" max="54" width="6" style="404" customWidth="1"/>
    <col min="55" max="55" width="5.5703125" style="404" customWidth="1"/>
    <col min="56" max="63" width="5.7109375" style="404" customWidth="1"/>
    <col min="64" max="64" width="5.42578125" style="404" customWidth="1"/>
    <col min="65" max="65" width="6.85546875" style="404" customWidth="1"/>
    <col min="66" max="66" width="8.42578125" style="404" customWidth="1"/>
    <col min="67" max="16384" width="9.140625" style="404"/>
  </cols>
  <sheetData>
    <row r="1" spans="1:66" ht="15" x14ac:dyDescent="0.2">
      <c r="C1" s="405"/>
      <c r="D1" s="405"/>
      <c r="E1" s="405"/>
      <c r="F1" s="405"/>
      <c r="G1" s="405"/>
      <c r="H1" s="588"/>
      <c r="I1" s="405"/>
      <c r="J1" s="405"/>
      <c r="K1" s="967"/>
      <c r="L1" s="967"/>
      <c r="M1" s="967"/>
      <c r="N1" s="966"/>
      <c r="O1" s="967"/>
      <c r="P1" s="967"/>
      <c r="Q1" s="967"/>
      <c r="R1" s="967"/>
      <c r="S1" s="966"/>
      <c r="T1" s="588"/>
      <c r="U1" s="405"/>
      <c r="V1" s="405"/>
      <c r="W1" s="588"/>
      <c r="X1" s="405"/>
      <c r="Y1" s="405"/>
      <c r="Z1" s="405"/>
      <c r="AA1" s="405"/>
      <c r="AB1" s="405"/>
      <c r="AC1" s="405"/>
    </row>
    <row r="2" spans="1:66" ht="21" x14ac:dyDescent="0.2">
      <c r="C2" s="405"/>
      <c r="D2" s="366"/>
      <c r="E2" s="915"/>
      <c r="F2" s="917"/>
      <c r="G2" s="917"/>
      <c r="H2" s="964"/>
      <c r="I2" s="917"/>
      <c r="J2" s="965"/>
      <c r="K2" s="966"/>
      <c r="L2" s="966"/>
      <c r="M2" s="966"/>
      <c r="N2" s="966"/>
      <c r="O2" s="966"/>
      <c r="P2" s="966"/>
      <c r="Q2" s="966"/>
      <c r="R2" s="966"/>
      <c r="S2" s="966"/>
      <c r="T2" s="589"/>
      <c r="U2" s="62"/>
      <c r="V2" s="62"/>
      <c r="W2" s="589"/>
      <c r="X2" s="62"/>
      <c r="Y2" s="62"/>
      <c r="Z2" s="62"/>
      <c r="AA2" s="62"/>
      <c r="AB2" s="405"/>
      <c r="AC2" s="405"/>
    </row>
    <row r="3" spans="1:66" s="407" customFormat="1" ht="18" customHeight="1" x14ac:dyDescent="0.2">
      <c r="A3" s="406" t="s">
        <v>41</v>
      </c>
      <c r="C3" s="405"/>
      <c r="D3" s="405"/>
      <c r="E3" s="405"/>
      <c r="F3" s="915"/>
      <c r="G3" s="915"/>
      <c r="H3" s="964"/>
      <c r="I3" s="915"/>
      <c r="J3" s="10"/>
      <c r="K3" s="590"/>
      <c r="L3" s="10"/>
      <c r="M3" s="10"/>
      <c r="N3" s="10"/>
      <c r="O3" s="10"/>
      <c r="P3" s="590"/>
      <c r="Q3" s="10"/>
      <c r="R3" s="10"/>
      <c r="S3" s="405"/>
      <c r="T3" s="588"/>
      <c r="U3" s="405"/>
      <c r="V3" s="405"/>
      <c r="W3" s="588"/>
      <c r="X3" s="2279"/>
      <c r="Y3" s="2279"/>
      <c r="Z3" s="2279"/>
      <c r="AA3" s="2279"/>
      <c r="AB3" s="2279"/>
      <c r="AC3" s="2279"/>
      <c r="AD3" s="367"/>
      <c r="AE3" s="367"/>
      <c r="AF3" s="2279"/>
      <c r="AG3" s="2279"/>
      <c r="AH3" s="2279"/>
      <c r="AI3" s="2279"/>
      <c r="AJ3" s="2279"/>
      <c r="AK3" s="2279"/>
      <c r="AL3" s="2279"/>
      <c r="AM3" s="2279"/>
      <c r="AN3" s="367"/>
      <c r="AO3" s="367"/>
      <c r="AP3" s="367"/>
      <c r="AQ3" s="367"/>
      <c r="AR3" s="367"/>
      <c r="AS3" s="367"/>
      <c r="AT3" s="367"/>
    </row>
    <row r="4" spans="1:66" s="407" customFormat="1" ht="18" customHeight="1" x14ac:dyDescent="0.2">
      <c r="A4" s="408" t="s">
        <v>608</v>
      </c>
      <c r="D4" s="405"/>
      <c r="E4" s="405"/>
      <c r="F4" s="917"/>
      <c r="G4" s="917"/>
      <c r="H4" s="964"/>
      <c r="I4" s="917"/>
      <c r="J4" s="917"/>
      <c r="K4" s="593"/>
      <c r="L4" s="917"/>
      <c r="M4" s="917"/>
      <c r="N4" s="369"/>
      <c r="O4" s="10"/>
      <c r="P4" s="590"/>
      <c r="Q4" s="10"/>
      <c r="R4" s="10"/>
      <c r="S4" s="10"/>
      <c r="T4" s="590"/>
      <c r="U4" s="10"/>
      <c r="V4" s="10"/>
      <c r="W4" s="590"/>
      <c r="AF4" s="367"/>
      <c r="AG4" s="367"/>
      <c r="AH4" s="367"/>
      <c r="AI4" s="367"/>
      <c r="AJ4" s="367"/>
      <c r="AK4" s="367"/>
      <c r="AL4" s="367"/>
      <c r="AM4" s="367"/>
      <c r="AN4" s="367"/>
      <c r="AO4" s="367"/>
      <c r="AP4" s="367"/>
      <c r="AQ4" s="367"/>
      <c r="AR4" s="367"/>
      <c r="AS4" s="367"/>
      <c r="AT4" s="367"/>
    </row>
    <row r="5" spans="1:66" s="406" customFormat="1" ht="18" customHeight="1" thickBot="1" x14ac:dyDescent="0.3">
      <c r="A5" s="976">
        <v>1</v>
      </c>
      <c r="B5" s="976">
        <v>2</v>
      </c>
      <c r="C5" s="976">
        <v>3</v>
      </c>
      <c r="D5" s="976">
        <v>4</v>
      </c>
      <c r="E5" s="976">
        <v>5</v>
      </c>
      <c r="F5" s="976">
        <v>6</v>
      </c>
      <c r="G5" s="976">
        <v>7</v>
      </c>
      <c r="H5" s="976">
        <v>8</v>
      </c>
      <c r="I5" s="976">
        <v>9</v>
      </c>
      <c r="J5" s="976">
        <v>10</v>
      </c>
      <c r="K5" s="976">
        <v>11</v>
      </c>
      <c r="L5" s="976">
        <v>12</v>
      </c>
      <c r="M5" s="976">
        <v>13</v>
      </c>
      <c r="N5" s="976">
        <v>14</v>
      </c>
      <c r="O5" s="976">
        <v>15</v>
      </c>
      <c r="P5" s="976">
        <v>16</v>
      </c>
      <c r="Q5" s="976">
        <v>17</v>
      </c>
      <c r="R5" s="976">
        <v>18</v>
      </c>
      <c r="S5" s="976">
        <v>19</v>
      </c>
      <c r="T5" s="976">
        <v>20</v>
      </c>
      <c r="U5" s="976">
        <v>21</v>
      </c>
      <c r="V5" s="976">
        <v>22</v>
      </c>
      <c r="W5" s="976">
        <v>23</v>
      </c>
      <c r="X5" s="976">
        <v>24</v>
      </c>
      <c r="Y5" s="976">
        <v>25</v>
      </c>
      <c r="Z5" s="976">
        <v>26</v>
      </c>
      <c r="AA5" s="976">
        <v>27</v>
      </c>
      <c r="AB5" s="976">
        <v>28</v>
      </c>
      <c r="AC5" s="976">
        <v>29</v>
      </c>
      <c r="AD5" s="976">
        <v>30</v>
      </c>
      <c r="AE5" s="976">
        <v>31</v>
      </c>
      <c r="AF5" s="976">
        <v>32</v>
      </c>
      <c r="AG5" s="976">
        <v>33</v>
      </c>
      <c r="AH5" s="976">
        <v>34</v>
      </c>
      <c r="AI5" s="976">
        <v>35</v>
      </c>
      <c r="AJ5" s="976">
        <v>36</v>
      </c>
      <c r="AK5" s="976">
        <v>37</v>
      </c>
      <c r="AL5" s="976">
        <v>38</v>
      </c>
      <c r="AM5" s="976">
        <v>39</v>
      </c>
      <c r="AN5" s="976">
        <v>40</v>
      </c>
      <c r="AO5" s="976">
        <v>41</v>
      </c>
      <c r="AP5" s="976">
        <v>42</v>
      </c>
      <c r="AQ5" s="976">
        <v>43</v>
      </c>
      <c r="AR5" s="976">
        <v>44</v>
      </c>
      <c r="AS5" s="976">
        <v>45</v>
      </c>
      <c r="AT5" s="976">
        <v>46</v>
      </c>
      <c r="AU5" s="976">
        <v>47</v>
      </c>
      <c r="AV5" s="978">
        <v>48</v>
      </c>
      <c r="AW5" s="978">
        <v>49</v>
      </c>
      <c r="AX5" s="978">
        <v>50</v>
      </c>
      <c r="AY5" s="978">
        <v>51</v>
      </c>
      <c r="AZ5" s="978">
        <v>52</v>
      </c>
      <c r="BA5" s="978">
        <v>53</v>
      </c>
      <c r="BB5" s="978">
        <v>54</v>
      </c>
      <c r="BC5" s="978">
        <v>55</v>
      </c>
      <c r="BD5" s="978">
        <v>56</v>
      </c>
      <c r="BE5" s="978">
        <v>57</v>
      </c>
      <c r="BF5" s="978">
        <v>58</v>
      </c>
      <c r="BG5" s="978">
        <v>59</v>
      </c>
      <c r="BH5" s="977">
        <v>60</v>
      </c>
      <c r="BI5" s="977">
        <v>61</v>
      </c>
      <c r="BJ5" s="977">
        <v>62</v>
      </c>
      <c r="BK5" s="977">
        <v>63</v>
      </c>
      <c r="BL5" s="977">
        <v>64</v>
      </c>
      <c r="BM5" s="977">
        <v>65</v>
      </c>
      <c r="BN5" s="977">
        <v>66</v>
      </c>
    </row>
    <row r="6" spans="1:66" s="409" customFormat="1" ht="19.5" customHeight="1" x14ac:dyDescent="0.25">
      <c r="A6" s="2268" t="s">
        <v>0</v>
      </c>
      <c r="B6" s="2271" t="s">
        <v>1</v>
      </c>
      <c r="C6" s="2274" t="s">
        <v>3</v>
      </c>
      <c r="D6" s="2278" t="s">
        <v>44</v>
      </c>
      <c r="E6" s="2278"/>
      <c r="F6" s="2278"/>
      <c r="G6" s="2278"/>
      <c r="H6" s="2291"/>
      <c r="I6" s="2297" t="s">
        <v>45</v>
      </c>
      <c r="J6" s="2297"/>
      <c r="K6" s="2291"/>
      <c r="L6" s="2298" t="s">
        <v>46</v>
      </c>
      <c r="M6" s="2298"/>
      <c r="N6" s="2298"/>
      <c r="O6" s="2298"/>
      <c r="P6" s="2291"/>
      <c r="Q6" s="2297" t="s">
        <v>47</v>
      </c>
      <c r="R6" s="2297"/>
      <c r="S6" s="2297"/>
      <c r="T6" s="2294"/>
      <c r="U6" s="2298" t="s">
        <v>48</v>
      </c>
      <c r="V6" s="2298"/>
      <c r="W6" s="2287"/>
      <c r="X6" s="2283" t="s">
        <v>15</v>
      </c>
      <c r="Y6" s="2284"/>
      <c r="Z6" s="2284"/>
      <c r="AA6" s="2284"/>
      <c r="AB6" s="2284"/>
      <c r="AC6" s="2284"/>
      <c r="AD6" s="2280" t="s">
        <v>2</v>
      </c>
      <c r="AE6" s="2278" t="s">
        <v>6</v>
      </c>
      <c r="AF6" s="2278"/>
      <c r="AG6" s="2278"/>
      <c r="AH6" s="2278"/>
      <c r="AI6" s="2278"/>
      <c r="AJ6" s="2278"/>
      <c r="AK6" s="2278"/>
      <c r="AL6" s="2278"/>
      <c r="AM6" s="2278"/>
      <c r="AN6" s="2304" t="s">
        <v>40</v>
      </c>
      <c r="AO6" s="2278" t="s">
        <v>142</v>
      </c>
      <c r="AP6" s="2278"/>
      <c r="AQ6" s="2278"/>
      <c r="AR6" s="2278"/>
      <c r="AS6" s="2278"/>
      <c r="AT6" s="2278"/>
      <c r="AU6" s="2300" t="s">
        <v>24</v>
      </c>
      <c r="AV6" s="2263" t="s">
        <v>25</v>
      </c>
      <c r="AW6" s="2264"/>
      <c r="AX6" s="2264"/>
      <c r="AY6" s="2264"/>
      <c r="AZ6" s="2264"/>
      <c r="BA6" s="2264"/>
      <c r="BB6" s="2264"/>
      <c r="BC6" s="2264"/>
      <c r="BD6" s="2264"/>
      <c r="BE6" s="2264"/>
      <c r="BF6" s="2264"/>
      <c r="BG6" s="2265"/>
      <c r="BH6" s="2259" t="s">
        <v>203</v>
      </c>
      <c r="BI6" s="2260"/>
      <c r="BJ6" s="2260"/>
      <c r="BK6" s="2260"/>
      <c r="BL6" s="2260"/>
      <c r="BM6" s="2260"/>
      <c r="BN6" s="2261"/>
    </row>
    <row r="7" spans="1:66" s="411" customFormat="1" ht="18" customHeight="1" x14ac:dyDescent="0.25">
      <c r="A7" s="2269"/>
      <c r="B7" s="2272"/>
      <c r="C7" s="2275"/>
      <c r="D7" s="2277" t="s">
        <v>42</v>
      </c>
      <c r="E7" s="2277"/>
      <c r="F7" s="2277"/>
      <c r="G7" s="914" t="s">
        <v>49</v>
      </c>
      <c r="H7" s="2292"/>
      <c r="I7" s="913" t="s">
        <v>42</v>
      </c>
      <c r="J7" s="913" t="s">
        <v>43</v>
      </c>
      <c r="K7" s="2292"/>
      <c r="L7" s="914" t="s">
        <v>42</v>
      </c>
      <c r="M7" s="914"/>
      <c r="N7" s="2285" t="s">
        <v>43</v>
      </c>
      <c r="O7" s="2285"/>
      <c r="P7" s="2292"/>
      <c r="Q7" s="2299" t="s">
        <v>42</v>
      </c>
      <c r="R7" s="2299"/>
      <c r="S7" s="913" t="s">
        <v>43</v>
      </c>
      <c r="T7" s="2295"/>
      <c r="U7" s="914" t="s">
        <v>42</v>
      </c>
      <c r="V7" s="883" t="s">
        <v>43</v>
      </c>
      <c r="W7" s="2288"/>
      <c r="X7" s="2286" t="s">
        <v>140</v>
      </c>
      <c r="Y7" s="2285"/>
      <c r="Z7" s="2285"/>
      <c r="AA7" s="2285"/>
      <c r="AB7" s="2285"/>
      <c r="AC7" s="2285"/>
      <c r="AD7" s="2281"/>
      <c r="AE7" s="2285" t="s">
        <v>141</v>
      </c>
      <c r="AF7" s="2285"/>
      <c r="AG7" s="2285"/>
      <c r="AH7" s="2285"/>
      <c r="AI7" s="2285"/>
      <c r="AJ7" s="2285"/>
      <c r="AK7" s="2285"/>
      <c r="AL7" s="2285"/>
      <c r="AM7" s="2285"/>
      <c r="AN7" s="2305"/>
      <c r="AO7" s="2303"/>
      <c r="AP7" s="2303"/>
      <c r="AQ7" s="2303"/>
      <c r="AR7" s="2303"/>
      <c r="AS7" s="2303"/>
      <c r="AT7" s="2303"/>
      <c r="AU7" s="2301"/>
      <c r="AV7" s="2290" t="s">
        <v>598</v>
      </c>
      <c r="AW7" s="2262"/>
      <c r="AX7" s="2262"/>
      <c r="AY7" s="2262"/>
      <c r="AZ7" s="1081" t="s">
        <v>599</v>
      </c>
      <c r="BA7" s="2262" t="s">
        <v>600</v>
      </c>
      <c r="BB7" s="2262"/>
      <c r="BC7" s="2266"/>
      <c r="BD7" s="2262" t="s">
        <v>601</v>
      </c>
      <c r="BE7" s="2262"/>
      <c r="BF7" s="2266"/>
      <c r="BG7" s="1096" t="s">
        <v>602</v>
      </c>
      <c r="BH7" s="1102" t="s">
        <v>598</v>
      </c>
      <c r="BI7" s="973" t="s">
        <v>599</v>
      </c>
      <c r="BJ7" s="2256" t="s">
        <v>600</v>
      </c>
      <c r="BK7" s="2257"/>
      <c r="BL7" s="2258"/>
      <c r="BM7" s="975" t="s">
        <v>601</v>
      </c>
      <c r="BN7" s="1103" t="s">
        <v>602</v>
      </c>
    </row>
    <row r="8" spans="1:66" ht="19.5" customHeight="1" thickBot="1" x14ac:dyDescent="0.25">
      <c r="A8" s="2270"/>
      <c r="B8" s="2273"/>
      <c r="C8" s="2276"/>
      <c r="D8" s="66" t="s">
        <v>603</v>
      </c>
      <c r="E8" s="66" t="s">
        <v>604</v>
      </c>
      <c r="F8" s="66" t="s">
        <v>605</v>
      </c>
      <c r="G8" s="144" t="s">
        <v>179</v>
      </c>
      <c r="H8" s="2293"/>
      <c r="I8" s="145" t="s">
        <v>155</v>
      </c>
      <c r="J8" s="144" t="s">
        <v>7</v>
      </c>
      <c r="K8" s="2293"/>
      <c r="L8" s="143" t="s">
        <v>187</v>
      </c>
      <c r="M8" s="143" t="s">
        <v>17</v>
      </c>
      <c r="N8" s="968" t="s">
        <v>180</v>
      </c>
      <c r="O8" s="968" t="s">
        <v>19</v>
      </c>
      <c r="P8" s="2293"/>
      <c r="Q8" s="969" t="s">
        <v>606</v>
      </c>
      <c r="R8" s="969" t="s">
        <v>607</v>
      </c>
      <c r="S8" s="144" t="s">
        <v>18</v>
      </c>
      <c r="T8" s="2296"/>
      <c r="U8" s="143" t="s">
        <v>22</v>
      </c>
      <c r="V8" s="144" t="s">
        <v>181</v>
      </c>
      <c r="W8" s="2289"/>
      <c r="X8" s="970" t="s">
        <v>7</v>
      </c>
      <c r="Y8" s="891" t="s">
        <v>18</v>
      </c>
      <c r="Z8" s="891" t="s">
        <v>179</v>
      </c>
      <c r="AA8" s="891" t="s">
        <v>180</v>
      </c>
      <c r="AB8" s="891" t="s">
        <v>19</v>
      </c>
      <c r="AC8" s="891" t="s">
        <v>181</v>
      </c>
      <c r="AD8" s="2282"/>
      <c r="AE8" s="971" t="s">
        <v>155</v>
      </c>
      <c r="AF8" s="972" t="s">
        <v>606</v>
      </c>
      <c r="AG8" s="972" t="s">
        <v>607</v>
      </c>
      <c r="AH8" s="972" t="s">
        <v>603</v>
      </c>
      <c r="AI8" s="972" t="s">
        <v>604</v>
      </c>
      <c r="AJ8" s="972" t="s">
        <v>605</v>
      </c>
      <c r="AK8" s="972" t="s">
        <v>187</v>
      </c>
      <c r="AL8" s="972" t="s">
        <v>17</v>
      </c>
      <c r="AM8" s="971" t="s">
        <v>22</v>
      </c>
      <c r="AN8" s="2306"/>
      <c r="AO8" s="970" t="s">
        <v>7</v>
      </c>
      <c r="AP8" s="891" t="s">
        <v>18</v>
      </c>
      <c r="AQ8" s="891" t="s">
        <v>179</v>
      </c>
      <c r="AR8" s="891" t="s">
        <v>180</v>
      </c>
      <c r="AS8" s="891" t="s">
        <v>19</v>
      </c>
      <c r="AT8" s="891" t="s">
        <v>181</v>
      </c>
      <c r="AU8" s="2302"/>
      <c r="AV8" s="1097" t="s">
        <v>603</v>
      </c>
      <c r="AW8" s="1098" t="s">
        <v>604</v>
      </c>
      <c r="AX8" s="1098" t="s">
        <v>605</v>
      </c>
      <c r="AY8" s="1099" t="s">
        <v>159</v>
      </c>
      <c r="AZ8" s="1098" t="s">
        <v>155</v>
      </c>
      <c r="BA8" s="1098" t="s">
        <v>187</v>
      </c>
      <c r="BB8" s="1098" t="s">
        <v>17</v>
      </c>
      <c r="BC8" s="2267"/>
      <c r="BD8" s="1098" t="s">
        <v>606</v>
      </c>
      <c r="BE8" s="1098" t="s">
        <v>607</v>
      </c>
      <c r="BF8" s="2267"/>
      <c r="BG8" s="1100" t="s">
        <v>22</v>
      </c>
      <c r="BH8" s="1104" t="s">
        <v>179</v>
      </c>
      <c r="BI8" s="1105" t="s">
        <v>7</v>
      </c>
      <c r="BJ8" s="1105" t="s">
        <v>180</v>
      </c>
      <c r="BK8" s="1105" t="s">
        <v>19</v>
      </c>
      <c r="BL8" s="1106"/>
      <c r="BM8" s="1105" t="s">
        <v>18</v>
      </c>
      <c r="BN8" s="1107" t="s">
        <v>181</v>
      </c>
    </row>
    <row r="9" spans="1:66" ht="24.95" customHeight="1" x14ac:dyDescent="0.2">
      <c r="A9" s="412">
        <v>1</v>
      </c>
      <c r="B9" s="413" t="str">
        <f>dtsiswa!D7</f>
        <v>Achmad Zacky</v>
      </c>
      <c r="C9" s="414" t="s">
        <v>4</v>
      </c>
      <c r="D9" s="27">
        <v>76</v>
      </c>
      <c r="E9" s="27">
        <v>80</v>
      </c>
      <c r="F9" s="27">
        <v>80</v>
      </c>
      <c r="G9" s="27">
        <v>70</v>
      </c>
      <c r="H9" s="591">
        <f t="shared" ref="H9:H38" si="0">IFERROR(AVERAGE(D9:G9),"  ")</f>
        <v>76.5</v>
      </c>
      <c r="I9" s="27">
        <v>56</v>
      </c>
      <c r="J9" s="27">
        <v>78</v>
      </c>
      <c r="K9" s="591">
        <f t="shared" ref="K9:K48" si="1">IFERROR(AVERAGE(I9:J9),"  ")</f>
        <v>67</v>
      </c>
      <c r="L9" s="27">
        <v>90</v>
      </c>
      <c r="M9" s="27">
        <v>68</v>
      </c>
      <c r="N9" s="27">
        <v>81</v>
      </c>
      <c r="O9" s="27">
        <v>79</v>
      </c>
      <c r="P9" s="591">
        <f t="shared" ref="P9:P48" si="2">IFERROR(AVERAGE(L9:O9),"  ")</f>
        <v>79.5</v>
      </c>
      <c r="Q9" s="27">
        <v>56</v>
      </c>
      <c r="R9" s="27">
        <v>90</v>
      </c>
      <c r="S9" s="27">
        <v>68</v>
      </c>
      <c r="T9" s="591">
        <f>IFERROR(AVERAGE(Q9:S9),"  ")</f>
        <v>71.333333333333329</v>
      </c>
      <c r="U9" s="27">
        <v>75</v>
      </c>
      <c r="V9" s="27">
        <v>75</v>
      </c>
      <c r="W9" s="591">
        <f t="shared" ref="W9:W48" si="3">IFERROR(AVERAGE(U9:V9),"  ")</f>
        <v>75</v>
      </c>
      <c r="X9" s="422">
        <f>J9</f>
        <v>78</v>
      </c>
      <c r="Y9" s="422">
        <f>S9</f>
        <v>68</v>
      </c>
      <c r="Z9" s="422">
        <f>G9</f>
        <v>70</v>
      </c>
      <c r="AA9" s="422">
        <f>N9</f>
        <v>81</v>
      </c>
      <c r="AB9" s="422">
        <f>O9</f>
        <v>79</v>
      </c>
      <c r="AC9" s="422">
        <f>V9</f>
        <v>75</v>
      </c>
      <c r="AD9" s="423">
        <f t="shared" ref="AD9:AD48" si="4">IFERROR(AVERAGE(X9:AC9),"  ")</f>
        <v>75.166666666666671</v>
      </c>
      <c r="AE9" s="424">
        <f>I9</f>
        <v>56</v>
      </c>
      <c r="AF9" s="424">
        <f>Q9</f>
        <v>56</v>
      </c>
      <c r="AG9" s="424">
        <f>R9</f>
        <v>90</v>
      </c>
      <c r="AH9" s="424">
        <f>D9</f>
        <v>76</v>
      </c>
      <c r="AI9" s="424">
        <f t="shared" ref="AI9:AJ9" si="5">E9</f>
        <v>80</v>
      </c>
      <c r="AJ9" s="424">
        <f t="shared" si="5"/>
        <v>80</v>
      </c>
      <c r="AK9" s="425">
        <f>L9</f>
        <v>90</v>
      </c>
      <c r="AL9" s="425">
        <f>M9</f>
        <v>68</v>
      </c>
      <c r="AM9" s="425">
        <f>U9</f>
        <v>75</v>
      </c>
      <c r="AN9" s="423">
        <f t="shared" ref="AN9:AN48" si="6">IFERROR(AVERAGE(AE9:AM9),"  ")</f>
        <v>74.555555555555557</v>
      </c>
      <c r="AO9" s="426">
        <f>(X9+AE9)/2</f>
        <v>67</v>
      </c>
      <c r="AP9" s="426">
        <f>(Y9+AF9+AG9)/3</f>
        <v>71.333333333333329</v>
      </c>
      <c r="AQ9" s="426">
        <f>(Z9+AH9+AI9+AJ9)/4</f>
        <v>76.5</v>
      </c>
      <c r="AR9" s="426">
        <f>(AA9+AK9)/2</f>
        <v>85.5</v>
      </c>
      <c r="AS9" s="426">
        <f>(AB9+AL9)/2</f>
        <v>73.5</v>
      </c>
      <c r="AT9" s="426">
        <f>(AC9+AM9)/2</f>
        <v>75</v>
      </c>
      <c r="AU9" s="423">
        <f t="shared" ref="AU9:AU48" si="7">IFERROR(AVERAGE(AO9:AT9),"  ")</f>
        <v>74.805555555555557</v>
      </c>
      <c r="AV9" s="1094">
        <f t="shared" ref="AV9:AV48" si="8">AH9</f>
        <v>76</v>
      </c>
      <c r="AW9" s="1094">
        <f t="shared" ref="AW9" si="9">AI9</f>
        <v>80</v>
      </c>
      <c r="AX9" s="1094">
        <f t="shared" ref="AX9" si="10">AJ9</f>
        <v>80</v>
      </c>
      <c r="AY9" s="1095">
        <f>IFERROR(AVERAGE(AV9:AX9),"  ")</f>
        <v>78.666666666666671</v>
      </c>
      <c r="AZ9" s="1094">
        <f t="shared" ref="AZ9:AZ48" si="11">AF9</f>
        <v>56</v>
      </c>
      <c r="BA9" s="1094">
        <f t="shared" ref="BA9:BA48" si="12">AG9</f>
        <v>90</v>
      </c>
      <c r="BB9" s="1094">
        <f t="shared" ref="BB9:BB48" si="13">AH9</f>
        <v>76</v>
      </c>
      <c r="BC9" s="1095">
        <f>IFERROR(AVERAGE(AZ9:BB9),"  ")</f>
        <v>74</v>
      </c>
      <c r="BD9" s="739">
        <f t="shared" ref="BD9:BD48" si="14">AJ9</f>
        <v>80</v>
      </c>
      <c r="BE9" s="739">
        <f t="shared" ref="BE9:BE48" si="15">AK9</f>
        <v>90</v>
      </c>
      <c r="BF9" s="1095">
        <f>IFERROR(AVERAGE(BD9:BE9),"  ")</f>
        <v>85</v>
      </c>
      <c r="BG9" s="739">
        <f>U9</f>
        <v>75</v>
      </c>
      <c r="BH9" s="885">
        <f>G9</f>
        <v>70</v>
      </c>
      <c r="BI9" s="885">
        <f>J9</f>
        <v>78</v>
      </c>
      <c r="BJ9" s="885">
        <f>N9</f>
        <v>81</v>
      </c>
      <c r="BK9" s="885">
        <f>O9</f>
        <v>79</v>
      </c>
      <c r="BL9" s="1095">
        <f>IFERROR(AVERAGE(BJ9:BK9),"  ")</f>
        <v>80</v>
      </c>
      <c r="BM9" s="1101">
        <f>S9</f>
        <v>68</v>
      </c>
      <c r="BN9" s="1101">
        <f>V9</f>
        <v>75</v>
      </c>
    </row>
    <row r="10" spans="1:66" ht="24.95" customHeight="1" x14ac:dyDescent="0.2">
      <c r="A10" s="416">
        <v>2</v>
      </c>
      <c r="B10" s="413" t="str">
        <f>dtsiswa!D8</f>
        <v>Angelia Vabel R</v>
      </c>
      <c r="C10" s="417" t="s">
        <v>4</v>
      </c>
      <c r="D10" s="22"/>
      <c r="E10" s="22"/>
      <c r="F10" s="22"/>
      <c r="G10" s="22"/>
      <c r="H10" s="591" t="str">
        <f t="shared" si="0"/>
        <v xml:space="preserve">  </v>
      </c>
      <c r="I10" s="23"/>
      <c r="J10" s="23"/>
      <c r="K10" s="591" t="str">
        <f t="shared" si="1"/>
        <v xml:space="preserve">  </v>
      </c>
      <c r="L10" s="23"/>
      <c r="M10" s="23"/>
      <c r="N10" s="22"/>
      <c r="O10" s="22"/>
      <c r="P10" s="591" t="str">
        <f t="shared" si="2"/>
        <v xml:space="preserve">  </v>
      </c>
      <c r="Q10" s="22"/>
      <c r="R10" s="27"/>
      <c r="S10" s="27"/>
      <c r="T10" s="591" t="str">
        <f t="shared" ref="T10:T48" si="16">IFERROR(AVERAGE(Q10:S10),"  ")</f>
        <v xml:space="preserve">  </v>
      </c>
      <c r="U10" s="27"/>
      <c r="V10" s="27"/>
      <c r="W10" s="591" t="str">
        <f t="shared" si="3"/>
        <v xml:space="preserve">  </v>
      </c>
      <c r="X10" s="422">
        <f t="shared" ref="X10:X48" si="17">J10</f>
        <v>0</v>
      </c>
      <c r="Y10" s="422">
        <f t="shared" ref="Y10:Y48" si="18">S10</f>
        <v>0</v>
      </c>
      <c r="Z10" s="422">
        <f t="shared" ref="Z10:Z48" si="19">G10</f>
        <v>0</v>
      </c>
      <c r="AA10" s="422">
        <f t="shared" ref="AA10:AA48" si="20">N10</f>
        <v>0</v>
      </c>
      <c r="AB10" s="422">
        <f t="shared" ref="AB10:AB48" si="21">O10</f>
        <v>0</v>
      </c>
      <c r="AC10" s="422">
        <f t="shared" ref="AC10:AC48" si="22">V10</f>
        <v>0</v>
      </c>
      <c r="AD10" s="423">
        <f t="shared" si="4"/>
        <v>0</v>
      </c>
      <c r="AE10" s="424">
        <f t="shared" ref="AE10:AE48" si="23">I10</f>
        <v>0</v>
      </c>
      <c r="AF10" s="424">
        <f t="shared" ref="AF10:AF48" si="24">Q10</f>
        <v>0</v>
      </c>
      <c r="AG10" s="424">
        <f t="shared" ref="AG10:AG48" si="25">R10</f>
        <v>0</v>
      </c>
      <c r="AH10" s="424">
        <f t="shared" ref="AH10:AH48" si="26">D10</f>
        <v>0</v>
      </c>
      <c r="AI10" s="424">
        <f t="shared" ref="AI10:AI48" si="27">E10</f>
        <v>0</v>
      </c>
      <c r="AJ10" s="424">
        <f t="shared" ref="AJ10:AJ48" si="28">F10</f>
        <v>0</v>
      </c>
      <c r="AK10" s="425">
        <f t="shared" ref="AK10:AK48" si="29">L10</f>
        <v>0</v>
      </c>
      <c r="AL10" s="425">
        <f t="shared" ref="AL10:AL48" si="30">M10</f>
        <v>0</v>
      </c>
      <c r="AM10" s="425">
        <f t="shared" ref="AM10:AM48" si="31">U10</f>
        <v>0</v>
      </c>
      <c r="AN10" s="423">
        <f t="shared" si="6"/>
        <v>0</v>
      </c>
      <c r="AO10" s="429">
        <f t="shared" ref="AO10:AO48" si="32">(X10+AE10+AF10)/3</f>
        <v>0</v>
      </c>
      <c r="AP10" s="429">
        <f t="shared" ref="AP10:AP48" si="33">(Y10+AG10)/2</f>
        <v>0</v>
      </c>
      <c r="AQ10" s="429">
        <f t="shared" ref="AQ10:AQ48" si="34">(Z10+AH10)/2</f>
        <v>0</v>
      </c>
      <c r="AR10" s="429">
        <f t="shared" ref="AR10:AR48" si="35">(AA10+AI10)/2</f>
        <v>0</v>
      </c>
      <c r="AS10" s="429">
        <f t="shared" ref="AS10:AS48" si="36">(AB10+AJ10+AK10)/3</f>
        <v>0</v>
      </c>
      <c r="AT10" s="429">
        <f t="shared" ref="AT10:AT48" si="37">(AC10+AL10)/2</f>
        <v>0</v>
      </c>
      <c r="AU10" s="423">
        <f t="shared" si="7"/>
        <v>0</v>
      </c>
      <c r="AV10" s="427">
        <f t="shared" si="8"/>
        <v>0</v>
      </c>
      <c r="AW10" s="427">
        <f t="shared" ref="AW10:AW48" si="38">AI10</f>
        <v>0</v>
      </c>
      <c r="AX10" s="427">
        <f t="shared" ref="AX10:AX48" si="39">AE10</f>
        <v>0</v>
      </c>
      <c r="AY10" s="1075">
        <f t="shared" ref="AY10:AY48" si="40">IFERROR(AVERAGE(AV10:AX10),"  ")</f>
        <v>0</v>
      </c>
      <c r="AZ10" s="427">
        <f t="shared" si="11"/>
        <v>0</v>
      </c>
      <c r="BA10" s="427">
        <f t="shared" si="12"/>
        <v>0</v>
      </c>
      <c r="BB10" s="427">
        <f t="shared" si="13"/>
        <v>0</v>
      </c>
      <c r="BC10" s="1075">
        <f t="shared" ref="BC10:BC48" si="41">IFERROR(AVERAGE(AZ10:BB10),"  ")</f>
        <v>0</v>
      </c>
      <c r="BD10" s="428">
        <f t="shared" si="14"/>
        <v>0</v>
      </c>
      <c r="BE10" s="428">
        <f t="shared" si="15"/>
        <v>0</v>
      </c>
      <c r="BF10" s="1075">
        <f t="shared" ref="BF10:BF48" si="42">IFERROR(AVERAGE(BD10:BE10),"  ")</f>
        <v>0</v>
      </c>
      <c r="BG10" s="428">
        <f t="shared" ref="BG10:BG48" si="43">U10</f>
        <v>0</v>
      </c>
      <c r="BH10" s="974">
        <f t="shared" ref="BH10:BH48" si="44">G10</f>
        <v>0</v>
      </c>
      <c r="BI10" s="974">
        <f t="shared" ref="BI10:BI48" si="45">J10</f>
        <v>0</v>
      </c>
      <c r="BJ10" s="974">
        <f t="shared" ref="BJ10:BJ48" si="46">N10</f>
        <v>0</v>
      </c>
      <c r="BK10" s="974">
        <f t="shared" ref="BK10:BK48" si="47">O10</f>
        <v>0</v>
      </c>
      <c r="BL10" s="1075">
        <f t="shared" ref="BL10:BL48" si="48">IFERROR(AVERAGE(BJ10:BK10),"  ")</f>
        <v>0</v>
      </c>
      <c r="BM10" s="1051">
        <f t="shared" ref="BM10:BM48" si="49">S10</f>
        <v>0</v>
      </c>
      <c r="BN10" s="1051">
        <f t="shared" ref="BN10:BN48" si="50">V10</f>
        <v>0</v>
      </c>
    </row>
    <row r="11" spans="1:66" ht="24.95" customHeight="1" x14ac:dyDescent="0.2">
      <c r="A11" s="416">
        <v>3</v>
      </c>
      <c r="B11" s="413" t="str">
        <f>dtsiswa!D9</f>
        <v>Anggun Dwi P.I</v>
      </c>
      <c r="C11" s="417" t="s">
        <v>4</v>
      </c>
      <c r="D11" s="22"/>
      <c r="E11" s="22"/>
      <c r="F11" s="22"/>
      <c r="G11" s="22"/>
      <c r="H11" s="591" t="str">
        <f t="shared" si="0"/>
        <v xml:space="preserve">  </v>
      </c>
      <c r="I11" s="23"/>
      <c r="J11" s="23"/>
      <c r="K11" s="591" t="str">
        <f t="shared" si="1"/>
        <v xml:space="preserve">  </v>
      </c>
      <c r="L11" s="23"/>
      <c r="M11" s="23"/>
      <c r="N11" s="22"/>
      <c r="O11" s="22"/>
      <c r="P11" s="591" t="str">
        <f t="shared" si="2"/>
        <v xml:space="preserve">  </v>
      </c>
      <c r="Q11" s="22"/>
      <c r="R11" s="27"/>
      <c r="S11" s="27"/>
      <c r="T11" s="591" t="str">
        <f t="shared" si="16"/>
        <v xml:space="preserve">  </v>
      </c>
      <c r="U11" s="27"/>
      <c r="V11" s="27"/>
      <c r="W11" s="591" t="str">
        <f t="shared" si="3"/>
        <v xml:space="preserve">  </v>
      </c>
      <c r="X11" s="422">
        <f t="shared" si="17"/>
        <v>0</v>
      </c>
      <c r="Y11" s="422">
        <f t="shared" si="18"/>
        <v>0</v>
      </c>
      <c r="Z11" s="422">
        <f t="shared" si="19"/>
        <v>0</v>
      </c>
      <c r="AA11" s="422">
        <f t="shared" si="20"/>
        <v>0</v>
      </c>
      <c r="AB11" s="422">
        <f t="shared" si="21"/>
        <v>0</v>
      </c>
      <c r="AC11" s="422">
        <f t="shared" si="22"/>
        <v>0</v>
      </c>
      <c r="AD11" s="423">
        <f t="shared" si="4"/>
        <v>0</v>
      </c>
      <c r="AE11" s="424">
        <f t="shared" si="23"/>
        <v>0</v>
      </c>
      <c r="AF11" s="424">
        <f t="shared" si="24"/>
        <v>0</v>
      </c>
      <c r="AG11" s="424">
        <f t="shared" si="25"/>
        <v>0</v>
      </c>
      <c r="AH11" s="424">
        <f t="shared" si="26"/>
        <v>0</v>
      </c>
      <c r="AI11" s="424">
        <f t="shared" si="27"/>
        <v>0</v>
      </c>
      <c r="AJ11" s="424">
        <f t="shared" si="28"/>
        <v>0</v>
      </c>
      <c r="AK11" s="425">
        <f t="shared" si="29"/>
        <v>0</v>
      </c>
      <c r="AL11" s="425">
        <f t="shared" si="30"/>
        <v>0</v>
      </c>
      <c r="AM11" s="425">
        <f t="shared" si="31"/>
        <v>0</v>
      </c>
      <c r="AN11" s="423">
        <f t="shared" si="6"/>
        <v>0</v>
      </c>
      <c r="AO11" s="429">
        <f t="shared" si="32"/>
        <v>0</v>
      </c>
      <c r="AP11" s="429">
        <f t="shared" si="33"/>
        <v>0</v>
      </c>
      <c r="AQ11" s="429">
        <f t="shared" si="34"/>
        <v>0</v>
      </c>
      <c r="AR11" s="429">
        <f t="shared" si="35"/>
        <v>0</v>
      </c>
      <c r="AS11" s="429">
        <f t="shared" si="36"/>
        <v>0</v>
      </c>
      <c r="AT11" s="429">
        <f t="shared" si="37"/>
        <v>0</v>
      </c>
      <c r="AU11" s="423">
        <f t="shared" si="7"/>
        <v>0</v>
      </c>
      <c r="AV11" s="427">
        <f t="shared" si="8"/>
        <v>0</v>
      </c>
      <c r="AW11" s="427">
        <f t="shared" si="38"/>
        <v>0</v>
      </c>
      <c r="AX11" s="427">
        <f t="shared" si="39"/>
        <v>0</v>
      </c>
      <c r="AY11" s="1075">
        <f t="shared" si="40"/>
        <v>0</v>
      </c>
      <c r="AZ11" s="427">
        <f t="shared" si="11"/>
        <v>0</v>
      </c>
      <c r="BA11" s="427">
        <f t="shared" si="12"/>
        <v>0</v>
      </c>
      <c r="BB11" s="427">
        <f t="shared" si="13"/>
        <v>0</v>
      </c>
      <c r="BC11" s="1075">
        <f t="shared" si="41"/>
        <v>0</v>
      </c>
      <c r="BD11" s="428">
        <f t="shared" si="14"/>
        <v>0</v>
      </c>
      <c r="BE11" s="428">
        <f t="shared" si="15"/>
        <v>0</v>
      </c>
      <c r="BF11" s="1075">
        <f t="shared" si="42"/>
        <v>0</v>
      </c>
      <c r="BG11" s="428">
        <f t="shared" si="43"/>
        <v>0</v>
      </c>
      <c r="BH11" s="974">
        <f t="shared" si="44"/>
        <v>0</v>
      </c>
      <c r="BI11" s="974">
        <f t="shared" si="45"/>
        <v>0</v>
      </c>
      <c r="BJ11" s="974">
        <f t="shared" si="46"/>
        <v>0</v>
      </c>
      <c r="BK11" s="974">
        <f t="shared" si="47"/>
        <v>0</v>
      </c>
      <c r="BL11" s="1075">
        <f t="shared" si="48"/>
        <v>0</v>
      </c>
      <c r="BM11" s="1051">
        <f t="shared" si="49"/>
        <v>0</v>
      </c>
      <c r="BN11" s="1051">
        <f t="shared" si="50"/>
        <v>0</v>
      </c>
    </row>
    <row r="12" spans="1:66" ht="24.95" customHeight="1" x14ac:dyDescent="0.2">
      <c r="A12" s="416">
        <v>4</v>
      </c>
      <c r="B12" s="413" t="str">
        <f>dtsiswa!D10</f>
        <v>Antonio Permata A</v>
      </c>
      <c r="C12" s="418" t="s">
        <v>4</v>
      </c>
      <c r="D12" s="22"/>
      <c r="E12" s="22"/>
      <c r="F12" s="22"/>
      <c r="G12" s="22"/>
      <c r="H12" s="591" t="str">
        <f t="shared" si="0"/>
        <v xml:space="preserve">  </v>
      </c>
      <c r="I12" s="23"/>
      <c r="J12" s="23"/>
      <c r="K12" s="591" t="str">
        <f t="shared" si="1"/>
        <v xml:space="preserve">  </v>
      </c>
      <c r="L12" s="23"/>
      <c r="M12" s="23"/>
      <c r="N12" s="22"/>
      <c r="O12" s="22"/>
      <c r="P12" s="591" t="str">
        <f t="shared" si="2"/>
        <v xml:space="preserve">  </v>
      </c>
      <c r="Q12" s="22"/>
      <c r="R12" s="27"/>
      <c r="S12" s="27"/>
      <c r="T12" s="591" t="str">
        <f t="shared" si="16"/>
        <v xml:space="preserve">  </v>
      </c>
      <c r="U12" s="27"/>
      <c r="V12" s="27"/>
      <c r="W12" s="591" t="str">
        <f t="shared" si="3"/>
        <v xml:space="preserve">  </v>
      </c>
      <c r="X12" s="422">
        <f t="shared" si="17"/>
        <v>0</v>
      </c>
      <c r="Y12" s="422">
        <f t="shared" si="18"/>
        <v>0</v>
      </c>
      <c r="Z12" s="422">
        <f t="shared" si="19"/>
        <v>0</v>
      </c>
      <c r="AA12" s="422">
        <f t="shared" si="20"/>
        <v>0</v>
      </c>
      <c r="AB12" s="422">
        <f t="shared" si="21"/>
        <v>0</v>
      </c>
      <c r="AC12" s="422">
        <f t="shared" si="22"/>
        <v>0</v>
      </c>
      <c r="AD12" s="423">
        <f t="shared" si="4"/>
        <v>0</v>
      </c>
      <c r="AE12" s="424">
        <f t="shared" si="23"/>
        <v>0</v>
      </c>
      <c r="AF12" s="424">
        <f t="shared" si="24"/>
        <v>0</v>
      </c>
      <c r="AG12" s="424">
        <f t="shared" si="25"/>
        <v>0</v>
      </c>
      <c r="AH12" s="424">
        <f t="shared" si="26"/>
        <v>0</v>
      </c>
      <c r="AI12" s="424">
        <f t="shared" si="27"/>
        <v>0</v>
      </c>
      <c r="AJ12" s="424">
        <f t="shared" si="28"/>
        <v>0</v>
      </c>
      <c r="AK12" s="425">
        <f t="shared" si="29"/>
        <v>0</v>
      </c>
      <c r="AL12" s="425">
        <f t="shared" si="30"/>
        <v>0</v>
      </c>
      <c r="AM12" s="425">
        <f t="shared" si="31"/>
        <v>0</v>
      </c>
      <c r="AN12" s="423">
        <f t="shared" si="6"/>
        <v>0</v>
      </c>
      <c r="AO12" s="429">
        <f t="shared" si="32"/>
        <v>0</v>
      </c>
      <c r="AP12" s="429">
        <f t="shared" si="33"/>
        <v>0</v>
      </c>
      <c r="AQ12" s="429">
        <f t="shared" si="34"/>
        <v>0</v>
      </c>
      <c r="AR12" s="429">
        <f t="shared" si="35"/>
        <v>0</v>
      </c>
      <c r="AS12" s="429">
        <f t="shared" si="36"/>
        <v>0</v>
      </c>
      <c r="AT12" s="429">
        <f t="shared" si="37"/>
        <v>0</v>
      </c>
      <c r="AU12" s="423">
        <f t="shared" si="7"/>
        <v>0</v>
      </c>
      <c r="AV12" s="427">
        <f t="shared" si="8"/>
        <v>0</v>
      </c>
      <c r="AW12" s="427">
        <f t="shared" si="38"/>
        <v>0</v>
      </c>
      <c r="AX12" s="427">
        <f t="shared" si="39"/>
        <v>0</v>
      </c>
      <c r="AY12" s="1075">
        <f t="shared" si="40"/>
        <v>0</v>
      </c>
      <c r="AZ12" s="427">
        <f t="shared" si="11"/>
        <v>0</v>
      </c>
      <c r="BA12" s="427">
        <f t="shared" si="12"/>
        <v>0</v>
      </c>
      <c r="BB12" s="427">
        <f t="shared" si="13"/>
        <v>0</v>
      </c>
      <c r="BC12" s="1075">
        <f t="shared" si="41"/>
        <v>0</v>
      </c>
      <c r="BD12" s="428">
        <f t="shared" si="14"/>
        <v>0</v>
      </c>
      <c r="BE12" s="428">
        <f t="shared" si="15"/>
        <v>0</v>
      </c>
      <c r="BF12" s="1075">
        <f t="shared" si="42"/>
        <v>0</v>
      </c>
      <c r="BG12" s="428">
        <f t="shared" si="43"/>
        <v>0</v>
      </c>
      <c r="BH12" s="974">
        <f t="shared" si="44"/>
        <v>0</v>
      </c>
      <c r="BI12" s="974">
        <f t="shared" si="45"/>
        <v>0</v>
      </c>
      <c r="BJ12" s="974">
        <f t="shared" si="46"/>
        <v>0</v>
      </c>
      <c r="BK12" s="974">
        <f t="shared" si="47"/>
        <v>0</v>
      </c>
      <c r="BL12" s="1075">
        <f t="shared" si="48"/>
        <v>0</v>
      </c>
      <c r="BM12" s="1051">
        <f t="shared" si="49"/>
        <v>0</v>
      </c>
      <c r="BN12" s="1051">
        <f t="shared" si="50"/>
        <v>0</v>
      </c>
    </row>
    <row r="13" spans="1:66" ht="24.95" customHeight="1" x14ac:dyDescent="0.2">
      <c r="A13" s="416">
        <v>5</v>
      </c>
      <c r="B13" s="413" t="str">
        <f>dtsiswa!D11</f>
        <v>Arya Pratama G</v>
      </c>
      <c r="C13" s="417" t="s">
        <v>5</v>
      </c>
      <c r="D13" s="22"/>
      <c r="E13" s="22"/>
      <c r="F13" s="22"/>
      <c r="G13" s="22"/>
      <c r="H13" s="591" t="str">
        <f t="shared" si="0"/>
        <v xml:space="preserve">  </v>
      </c>
      <c r="I13" s="23"/>
      <c r="J13" s="23"/>
      <c r="K13" s="591" t="str">
        <f t="shared" si="1"/>
        <v xml:space="preserve">  </v>
      </c>
      <c r="L13" s="23"/>
      <c r="M13" s="23"/>
      <c r="N13" s="22"/>
      <c r="O13" s="22"/>
      <c r="P13" s="591" t="str">
        <f t="shared" si="2"/>
        <v xml:space="preserve">  </v>
      </c>
      <c r="Q13" s="22"/>
      <c r="R13" s="27"/>
      <c r="S13" s="27"/>
      <c r="T13" s="591" t="str">
        <f t="shared" si="16"/>
        <v xml:space="preserve">  </v>
      </c>
      <c r="U13" s="27"/>
      <c r="V13" s="27"/>
      <c r="W13" s="591" t="str">
        <f t="shared" si="3"/>
        <v xml:space="preserve">  </v>
      </c>
      <c r="X13" s="422">
        <f t="shared" si="17"/>
        <v>0</v>
      </c>
      <c r="Y13" s="422">
        <f t="shared" si="18"/>
        <v>0</v>
      </c>
      <c r="Z13" s="422">
        <f t="shared" si="19"/>
        <v>0</v>
      </c>
      <c r="AA13" s="422">
        <f t="shared" si="20"/>
        <v>0</v>
      </c>
      <c r="AB13" s="422">
        <f t="shared" si="21"/>
        <v>0</v>
      </c>
      <c r="AC13" s="422">
        <f t="shared" si="22"/>
        <v>0</v>
      </c>
      <c r="AD13" s="423">
        <f t="shared" si="4"/>
        <v>0</v>
      </c>
      <c r="AE13" s="424">
        <f t="shared" si="23"/>
        <v>0</v>
      </c>
      <c r="AF13" s="424">
        <f t="shared" si="24"/>
        <v>0</v>
      </c>
      <c r="AG13" s="424">
        <f t="shared" si="25"/>
        <v>0</v>
      </c>
      <c r="AH13" s="424">
        <f t="shared" si="26"/>
        <v>0</v>
      </c>
      <c r="AI13" s="424">
        <f t="shared" si="27"/>
        <v>0</v>
      </c>
      <c r="AJ13" s="424">
        <f t="shared" si="28"/>
        <v>0</v>
      </c>
      <c r="AK13" s="425">
        <f t="shared" si="29"/>
        <v>0</v>
      </c>
      <c r="AL13" s="425">
        <f t="shared" si="30"/>
        <v>0</v>
      </c>
      <c r="AM13" s="425">
        <f t="shared" si="31"/>
        <v>0</v>
      </c>
      <c r="AN13" s="423">
        <f t="shared" si="6"/>
        <v>0</v>
      </c>
      <c r="AO13" s="429">
        <f t="shared" si="32"/>
        <v>0</v>
      </c>
      <c r="AP13" s="429">
        <f t="shared" si="33"/>
        <v>0</v>
      </c>
      <c r="AQ13" s="429">
        <f t="shared" si="34"/>
        <v>0</v>
      </c>
      <c r="AR13" s="429">
        <f t="shared" si="35"/>
        <v>0</v>
      </c>
      <c r="AS13" s="429">
        <f t="shared" si="36"/>
        <v>0</v>
      </c>
      <c r="AT13" s="429">
        <f t="shared" si="37"/>
        <v>0</v>
      </c>
      <c r="AU13" s="423">
        <f t="shared" si="7"/>
        <v>0</v>
      </c>
      <c r="AV13" s="427">
        <f t="shared" si="8"/>
        <v>0</v>
      </c>
      <c r="AW13" s="427">
        <f t="shared" si="38"/>
        <v>0</v>
      </c>
      <c r="AX13" s="427">
        <f t="shared" si="39"/>
        <v>0</v>
      </c>
      <c r="AY13" s="1075">
        <f t="shared" si="40"/>
        <v>0</v>
      </c>
      <c r="AZ13" s="427">
        <f t="shared" si="11"/>
        <v>0</v>
      </c>
      <c r="BA13" s="427">
        <f t="shared" si="12"/>
        <v>0</v>
      </c>
      <c r="BB13" s="427">
        <f t="shared" si="13"/>
        <v>0</v>
      </c>
      <c r="BC13" s="1075">
        <f t="shared" si="41"/>
        <v>0</v>
      </c>
      <c r="BD13" s="428">
        <f t="shared" si="14"/>
        <v>0</v>
      </c>
      <c r="BE13" s="428">
        <f t="shared" si="15"/>
        <v>0</v>
      </c>
      <c r="BF13" s="1075">
        <f t="shared" si="42"/>
        <v>0</v>
      </c>
      <c r="BG13" s="428">
        <f t="shared" si="43"/>
        <v>0</v>
      </c>
      <c r="BH13" s="974">
        <f t="shared" si="44"/>
        <v>0</v>
      </c>
      <c r="BI13" s="974">
        <f t="shared" si="45"/>
        <v>0</v>
      </c>
      <c r="BJ13" s="974">
        <f t="shared" si="46"/>
        <v>0</v>
      </c>
      <c r="BK13" s="974">
        <f t="shared" si="47"/>
        <v>0</v>
      </c>
      <c r="BL13" s="1075">
        <f t="shared" si="48"/>
        <v>0</v>
      </c>
      <c r="BM13" s="1051">
        <f t="shared" si="49"/>
        <v>0</v>
      </c>
      <c r="BN13" s="1051">
        <f t="shared" si="50"/>
        <v>0</v>
      </c>
    </row>
    <row r="14" spans="1:66" ht="24.95" customHeight="1" x14ac:dyDescent="0.2">
      <c r="A14" s="416">
        <v>6</v>
      </c>
      <c r="B14" s="413" t="str">
        <f>dtsiswa!D12</f>
        <v>Asyam Hanif Ihsan H</v>
      </c>
      <c r="C14" s="417" t="s">
        <v>5</v>
      </c>
      <c r="D14" s="22"/>
      <c r="E14" s="22"/>
      <c r="F14" s="22"/>
      <c r="G14" s="22"/>
      <c r="H14" s="591" t="str">
        <f t="shared" si="0"/>
        <v xml:space="preserve">  </v>
      </c>
      <c r="I14" s="23"/>
      <c r="J14" s="23"/>
      <c r="K14" s="591" t="str">
        <f t="shared" si="1"/>
        <v xml:space="preserve">  </v>
      </c>
      <c r="L14" s="23"/>
      <c r="M14" s="23"/>
      <c r="N14" s="22"/>
      <c r="O14" s="22"/>
      <c r="P14" s="591" t="str">
        <f t="shared" si="2"/>
        <v xml:space="preserve">  </v>
      </c>
      <c r="Q14" s="22"/>
      <c r="R14" s="27"/>
      <c r="S14" s="27"/>
      <c r="T14" s="591" t="str">
        <f t="shared" si="16"/>
        <v xml:space="preserve">  </v>
      </c>
      <c r="U14" s="27"/>
      <c r="V14" s="27"/>
      <c r="W14" s="591" t="str">
        <f t="shared" si="3"/>
        <v xml:space="preserve">  </v>
      </c>
      <c r="X14" s="422">
        <f t="shared" si="17"/>
        <v>0</v>
      </c>
      <c r="Y14" s="422">
        <f t="shared" si="18"/>
        <v>0</v>
      </c>
      <c r="Z14" s="422">
        <f t="shared" si="19"/>
        <v>0</v>
      </c>
      <c r="AA14" s="422">
        <f t="shared" si="20"/>
        <v>0</v>
      </c>
      <c r="AB14" s="422">
        <f t="shared" si="21"/>
        <v>0</v>
      </c>
      <c r="AC14" s="422">
        <f t="shared" si="22"/>
        <v>0</v>
      </c>
      <c r="AD14" s="423">
        <f t="shared" si="4"/>
        <v>0</v>
      </c>
      <c r="AE14" s="424">
        <f t="shared" si="23"/>
        <v>0</v>
      </c>
      <c r="AF14" s="424">
        <f t="shared" si="24"/>
        <v>0</v>
      </c>
      <c r="AG14" s="424">
        <f t="shared" si="25"/>
        <v>0</v>
      </c>
      <c r="AH14" s="424">
        <f t="shared" si="26"/>
        <v>0</v>
      </c>
      <c r="AI14" s="424">
        <f t="shared" si="27"/>
        <v>0</v>
      </c>
      <c r="AJ14" s="424">
        <f t="shared" si="28"/>
        <v>0</v>
      </c>
      <c r="AK14" s="425">
        <f t="shared" si="29"/>
        <v>0</v>
      </c>
      <c r="AL14" s="425">
        <f t="shared" si="30"/>
        <v>0</v>
      </c>
      <c r="AM14" s="425">
        <f t="shared" si="31"/>
        <v>0</v>
      </c>
      <c r="AN14" s="423">
        <f t="shared" si="6"/>
        <v>0</v>
      </c>
      <c r="AO14" s="429">
        <f t="shared" si="32"/>
        <v>0</v>
      </c>
      <c r="AP14" s="429">
        <f t="shared" si="33"/>
        <v>0</v>
      </c>
      <c r="AQ14" s="429">
        <f t="shared" si="34"/>
        <v>0</v>
      </c>
      <c r="AR14" s="429">
        <f t="shared" si="35"/>
        <v>0</v>
      </c>
      <c r="AS14" s="429">
        <f t="shared" si="36"/>
        <v>0</v>
      </c>
      <c r="AT14" s="429">
        <f t="shared" si="37"/>
        <v>0</v>
      </c>
      <c r="AU14" s="423">
        <f t="shared" si="7"/>
        <v>0</v>
      </c>
      <c r="AV14" s="427">
        <f t="shared" si="8"/>
        <v>0</v>
      </c>
      <c r="AW14" s="427">
        <f t="shared" si="38"/>
        <v>0</v>
      </c>
      <c r="AX14" s="427">
        <f t="shared" si="39"/>
        <v>0</v>
      </c>
      <c r="AY14" s="1075">
        <f t="shared" si="40"/>
        <v>0</v>
      </c>
      <c r="AZ14" s="427">
        <f t="shared" si="11"/>
        <v>0</v>
      </c>
      <c r="BA14" s="427">
        <f t="shared" si="12"/>
        <v>0</v>
      </c>
      <c r="BB14" s="427">
        <f t="shared" si="13"/>
        <v>0</v>
      </c>
      <c r="BC14" s="1075">
        <f t="shared" si="41"/>
        <v>0</v>
      </c>
      <c r="BD14" s="428">
        <f t="shared" si="14"/>
        <v>0</v>
      </c>
      <c r="BE14" s="428">
        <f t="shared" si="15"/>
        <v>0</v>
      </c>
      <c r="BF14" s="1075">
        <f t="shared" si="42"/>
        <v>0</v>
      </c>
      <c r="BG14" s="428">
        <f t="shared" si="43"/>
        <v>0</v>
      </c>
      <c r="BH14" s="974">
        <f t="shared" si="44"/>
        <v>0</v>
      </c>
      <c r="BI14" s="974">
        <f t="shared" si="45"/>
        <v>0</v>
      </c>
      <c r="BJ14" s="974">
        <f t="shared" si="46"/>
        <v>0</v>
      </c>
      <c r="BK14" s="974">
        <f t="shared" si="47"/>
        <v>0</v>
      </c>
      <c r="BL14" s="1075">
        <f t="shared" si="48"/>
        <v>0</v>
      </c>
      <c r="BM14" s="1051">
        <f t="shared" si="49"/>
        <v>0</v>
      </c>
      <c r="BN14" s="1051">
        <f t="shared" si="50"/>
        <v>0</v>
      </c>
    </row>
    <row r="15" spans="1:66" ht="24.95" customHeight="1" x14ac:dyDescent="0.2">
      <c r="A15" s="416">
        <v>7</v>
      </c>
      <c r="B15" s="413" t="str">
        <f>dtsiswa!D13</f>
        <v>Athaya Salsabilla Z</v>
      </c>
      <c r="C15" s="417" t="s">
        <v>4</v>
      </c>
      <c r="D15" s="22"/>
      <c r="E15" s="22"/>
      <c r="F15" s="22"/>
      <c r="G15" s="22"/>
      <c r="H15" s="591" t="str">
        <f t="shared" si="0"/>
        <v xml:space="preserve">  </v>
      </c>
      <c r="I15" s="23"/>
      <c r="J15" s="23"/>
      <c r="K15" s="591" t="str">
        <f t="shared" si="1"/>
        <v xml:space="preserve">  </v>
      </c>
      <c r="L15" s="23"/>
      <c r="M15" s="23"/>
      <c r="N15" s="22"/>
      <c r="O15" s="22"/>
      <c r="P15" s="591" t="str">
        <f t="shared" si="2"/>
        <v xml:space="preserve">  </v>
      </c>
      <c r="Q15" s="22"/>
      <c r="R15" s="27"/>
      <c r="S15" s="27"/>
      <c r="T15" s="591" t="str">
        <f t="shared" si="16"/>
        <v xml:space="preserve">  </v>
      </c>
      <c r="U15" s="27"/>
      <c r="V15" s="27"/>
      <c r="W15" s="591" t="str">
        <f t="shared" si="3"/>
        <v xml:space="preserve">  </v>
      </c>
      <c r="X15" s="422">
        <f t="shared" si="17"/>
        <v>0</v>
      </c>
      <c r="Y15" s="422">
        <f t="shared" si="18"/>
        <v>0</v>
      </c>
      <c r="Z15" s="422">
        <f t="shared" si="19"/>
        <v>0</v>
      </c>
      <c r="AA15" s="422">
        <f t="shared" si="20"/>
        <v>0</v>
      </c>
      <c r="AB15" s="422">
        <f t="shared" si="21"/>
        <v>0</v>
      </c>
      <c r="AC15" s="422">
        <f t="shared" si="22"/>
        <v>0</v>
      </c>
      <c r="AD15" s="423">
        <f t="shared" si="4"/>
        <v>0</v>
      </c>
      <c r="AE15" s="424">
        <f t="shared" si="23"/>
        <v>0</v>
      </c>
      <c r="AF15" s="424">
        <f t="shared" si="24"/>
        <v>0</v>
      </c>
      <c r="AG15" s="424">
        <f t="shared" si="25"/>
        <v>0</v>
      </c>
      <c r="AH15" s="424">
        <f t="shared" si="26"/>
        <v>0</v>
      </c>
      <c r="AI15" s="424">
        <f t="shared" si="27"/>
        <v>0</v>
      </c>
      <c r="AJ15" s="424">
        <f t="shared" si="28"/>
        <v>0</v>
      </c>
      <c r="AK15" s="425">
        <f t="shared" si="29"/>
        <v>0</v>
      </c>
      <c r="AL15" s="425">
        <f t="shared" si="30"/>
        <v>0</v>
      </c>
      <c r="AM15" s="425">
        <f t="shared" si="31"/>
        <v>0</v>
      </c>
      <c r="AN15" s="423">
        <f t="shared" si="6"/>
        <v>0</v>
      </c>
      <c r="AO15" s="429">
        <f t="shared" si="32"/>
        <v>0</v>
      </c>
      <c r="AP15" s="429">
        <f t="shared" si="33"/>
        <v>0</v>
      </c>
      <c r="AQ15" s="429">
        <f t="shared" si="34"/>
        <v>0</v>
      </c>
      <c r="AR15" s="429">
        <f t="shared" si="35"/>
        <v>0</v>
      </c>
      <c r="AS15" s="429">
        <f t="shared" si="36"/>
        <v>0</v>
      </c>
      <c r="AT15" s="429">
        <f t="shared" si="37"/>
        <v>0</v>
      </c>
      <c r="AU15" s="423">
        <f t="shared" si="7"/>
        <v>0</v>
      </c>
      <c r="AV15" s="427">
        <f t="shared" si="8"/>
        <v>0</v>
      </c>
      <c r="AW15" s="427">
        <f t="shared" si="38"/>
        <v>0</v>
      </c>
      <c r="AX15" s="427">
        <f t="shared" si="39"/>
        <v>0</v>
      </c>
      <c r="AY15" s="1075">
        <f t="shared" si="40"/>
        <v>0</v>
      </c>
      <c r="AZ15" s="427">
        <f t="shared" si="11"/>
        <v>0</v>
      </c>
      <c r="BA15" s="427">
        <f t="shared" si="12"/>
        <v>0</v>
      </c>
      <c r="BB15" s="427">
        <f t="shared" si="13"/>
        <v>0</v>
      </c>
      <c r="BC15" s="1075">
        <f t="shared" si="41"/>
        <v>0</v>
      </c>
      <c r="BD15" s="428">
        <f t="shared" si="14"/>
        <v>0</v>
      </c>
      <c r="BE15" s="428">
        <f t="shared" si="15"/>
        <v>0</v>
      </c>
      <c r="BF15" s="1075">
        <f t="shared" si="42"/>
        <v>0</v>
      </c>
      <c r="BG15" s="428">
        <f t="shared" si="43"/>
        <v>0</v>
      </c>
      <c r="BH15" s="974">
        <f t="shared" si="44"/>
        <v>0</v>
      </c>
      <c r="BI15" s="974">
        <f t="shared" si="45"/>
        <v>0</v>
      </c>
      <c r="BJ15" s="974">
        <f t="shared" si="46"/>
        <v>0</v>
      </c>
      <c r="BK15" s="974">
        <f t="shared" si="47"/>
        <v>0</v>
      </c>
      <c r="BL15" s="1075">
        <f t="shared" si="48"/>
        <v>0</v>
      </c>
      <c r="BM15" s="1051">
        <f t="shared" si="49"/>
        <v>0</v>
      </c>
      <c r="BN15" s="1051">
        <f t="shared" si="50"/>
        <v>0</v>
      </c>
    </row>
    <row r="16" spans="1:66" ht="24.95" customHeight="1" x14ac:dyDescent="0.2">
      <c r="A16" s="416">
        <v>8</v>
      </c>
      <c r="B16" s="413" t="str">
        <f>dtsiswa!D14</f>
        <v>Aulia Dea Rosalinda</v>
      </c>
      <c r="C16" s="417" t="s">
        <v>4</v>
      </c>
      <c r="D16" s="22"/>
      <c r="E16" s="22"/>
      <c r="F16" s="22"/>
      <c r="G16" s="22"/>
      <c r="H16" s="591" t="str">
        <f t="shared" si="0"/>
        <v xml:space="preserve">  </v>
      </c>
      <c r="I16" s="23"/>
      <c r="J16" s="23"/>
      <c r="K16" s="591" t="str">
        <f t="shared" si="1"/>
        <v xml:space="preserve">  </v>
      </c>
      <c r="L16" s="23"/>
      <c r="M16" s="23"/>
      <c r="N16" s="22"/>
      <c r="O16" s="22"/>
      <c r="P16" s="591" t="str">
        <f t="shared" si="2"/>
        <v xml:space="preserve">  </v>
      </c>
      <c r="Q16" s="22"/>
      <c r="R16" s="27"/>
      <c r="S16" s="27"/>
      <c r="T16" s="591" t="str">
        <f t="shared" si="16"/>
        <v xml:space="preserve">  </v>
      </c>
      <c r="U16" s="27"/>
      <c r="V16" s="27"/>
      <c r="W16" s="591" t="str">
        <f t="shared" si="3"/>
        <v xml:space="preserve">  </v>
      </c>
      <c r="X16" s="422">
        <f t="shared" si="17"/>
        <v>0</v>
      </c>
      <c r="Y16" s="422">
        <f t="shared" si="18"/>
        <v>0</v>
      </c>
      <c r="Z16" s="422">
        <f t="shared" si="19"/>
        <v>0</v>
      </c>
      <c r="AA16" s="422">
        <f t="shared" si="20"/>
        <v>0</v>
      </c>
      <c r="AB16" s="422">
        <f t="shared" si="21"/>
        <v>0</v>
      </c>
      <c r="AC16" s="422">
        <f t="shared" si="22"/>
        <v>0</v>
      </c>
      <c r="AD16" s="423">
        <f t="shared" si="4"/>
        <v>0</v>
      </c>
      <c r="AE16" s="424">
        <f t="shared" si="23"/>
        <v>0</v>
      </c>
      <c r="AF16" s="424">
        <f t="shared" si="24"/>
        <v>0</v>
      </c>
      <c r="AG16" s="424">
        <f t="shared" si="25"/>
        <v>0</v>
      </c>
      <c r="AH16" s="424">
        <f t="shared" si="26"/>
        <v>0</v>
      </c>
      <c r="AI16" s="424">
        <f t="shared" si="27"/>
        <v>0</v>
      </c>
      <c r="AJ16" s="424">
        <f t="shared" si="28"/>
        <v>0</v>
      </c>
      <c r="AK16" s="425">
        <f t="shared" si="29"/>
        <v>0</v>
      </c>
      <c r="AL16" s="425">
        <f t="shared" si="30"/>
        <v>0</v>
      </c>
      <c r="AM16" s="425">
        <f t="shared" si="31"/>
        <v>0</v>
      </c>
      <c r="AN16" s="423">
        <f t="shared" si="6"/>
        <v>0</v>
      </c>
      <c r="AO16" s="429">
        <f t="shared" si="32"/>
        <v>0</v>
      </c>
      <c r="AP16" s="429">
        <f t="shared" si="33"/>
        <v>0</v>
      </c>
      <c r="AQ16" s="429">
        <f t="shared" si="34"/>
        <v>0</v>
      </c>
      <c r="AR16" s="429">
        <f t="shared" si="35"/>
        <v>0</v>
      </c>
      <c r="AS16" s="429">
        <f t="shared" si="36"/>
        <v>0</v>
      </c>
      <c r="AT16" s="429">
        <f t="shared" si="37"/>
        <v>0</v>
      </c>
      <c r="AU16" s="423">
        <f t="shared" si="7"/>
        <v>0</v>
      </c>
      <c r="AV16" s="427">
        <f t="shared" si="8"/>
        <v>0</v>
      </c>
      <c r="AW16" s="427">
        <f t="shared" si="38"/>
        <v>0</v>
      </c>
      <c r="AX16" s="427">
        <f t="shared" si="39"/>
        <v>0</v>
      </c>
      <c r="AY16" s="1075">
        <f t="shared" si="40"/>
        <v>0</v>
      </c>
      <c r="AZ16" s="427">
        <f t="shared" si="11"/>
        <v>0</v>
      </c>
      <c r="BA16" s="427">
        <f t="shared" si="12"/>
        <v>0</v>
      </c>
      <c r="BB16" s="427">
        <f t="shared" si="13"/>
        <v>0</v>
      </c>
      <c r="BC16" s="1075">
        <f t="shared" si="41"/>
        <v>0</v>
      </c>
      <c r="BD16" s="428">
        <f t="shared" si="14"/>
        <v>0</v>
      </c>
      <c r="BE16" s="428">
        <f t="shared" si="15"/>
        <v>0</v>
      </c>
      <c r="BF16" s="1075">
        <f t="shared" si="42"/>
        <v>0</v>
      </c>
      <c r="BG16" s="428">
        <f t="shared" si="43"/>
        <v>0</v>
      </c>
      <c r="BH16" s="974">
        <f t="shared" si="44"/>
        <v>0</v>
      </c>
      <c r="BI16" s="974">
        <f t="shared" si="45"/>
        <v>0</v>
      </c>
      <c r="BJ16" s="974">
        <f t="shared" si="46"/>
        <v>0</v>
      </c>
      <c r="BK16" s="974">
        <f t="shared" si="47"/>
        <v>0</v>
      </c>
      <c r="BL16" s="1075">
        <f t="shared" si="48"/>
        <v>0</v>
      </c>
      <c r="BM16" s="1051">
        <f t="shared" si="49"/>
        <v>0</v>
      </c>
      <c r="BN16" s="1051">
        <f t="shared" si="50"/>
        <v>0</v>
      </c>
    </row>
    <row r="17" spans="1:66" ht="24.95" customHeight="1" x14ac:dyDescent="0.2">
      <c r="A17" s="416">
        <v>9</v>
      </c>
      <c r="B17" s="413" t="str">
        <f>dtsiswa!D15</f>
        <v>Claudia Gabriella L</v>
      </c>
      <c r="C17" s="417" t="s">
        <v>4</v>
      </c>
      <c r="D17" s="22"/>
      <c r="E17" s="22"/>
      <c r="F17" s="22"/>
      <c r="G17" s="22"/>
      <c r="H17" s="591" t="str">
        <f t="shared" si="0"/>
        <v xml:space="preserve">  </v>
      </c>
      <c r="I17" s="23"/>
      <c r="J17" s="23"/>
      <c r="K17" s="591" t="str">
        <f t="shared" si="1"/>
        <v xml:space="preserve">  </v>
      </c>
      <c r="L17" s="23"/>
      <c r="M17" s="23"/>
      <c r="N17" s="22"/>
      <c r="O17" s="22"/>
      <c r="P17" s="591" t="str">
        <f t="shared" si="2"/>
        <v xml:space="preserve">  </v>
      </c>
      <c r="Q17" s="22"/>
      <c r="R17" s="27"/>
      <c r="S17" s="27"/>
      <c r="T17" s="591" t="str">
        <f t="shared" si="16"/>
        <v xml:space="preserve">  </v>
      </c>
      <c r="U17" s="27"/>
      <c r="V17" s="27"/>
      <c r="W17" s="591" t="str">
        <f t="shared" si="3"/>
        <v xml:space="preserve">  </v>
      </c>
      <c r="X17" s="422">
        <f t="shared" si="17"/>
        <v>0</v>
      </c>
      <c r="Y17" s="422">
        <f t="shared" si="18"/>
        <v>0</v>
      </c>
      <c r="Z17" s="422">
        <f t="shared" si="19"/>
        <v>0</v>
      </c>
      <c r="AA17" s="422">
        <f t="shared" si="20"/>
        <v>0</v>
      </c>
      <c r="AB17" s="422">
        <f t="shared" si="21"/>
        <v>0</v>
      </c>
      <c r="AC17" s="422">
        <f t="shared" si="22"/>
        <v>0</v>
      </c>
      <c r="AD17" s="423">
        <f t="shared" si="4"/>
        <v>0</v>
      </c>
      <c r="AE17" s="424">
        <f t="shared" si="23"/>
        <v>0</v>
      </c>
      <c r="AF17" s="424">
        <f t="shared" si="24"/>
        <v>0</v>
      </c>
      <c r="AG17" s="424">
        <f t="shared" si="25"/>
        <v>0</v>
      </c>
      <c r="AH17" s="424">
        <f t="shared" si="26"/>
        <v>0</v>
      </c>
      <c r="AI17" s="424">
        <f t="shared" si="27"/>
        <v>0</v>
      </c>
      <c r="AJ17" s="424">
        <f t="shared" si="28"/>
        <v>0</v>
      </c>
      <c r="AK17" s="425">
        <f t="shared" si="29"/>
        <v>0</v>
      </c>
      <c r="AL17" s="425">
        <f t="shared" si="30"/>
        <v>0</v>
      </c>
      <c r="AM17" s="425">
        <f t="shared" si="31"/>
        <v>0</v>
      </c>
      <c r="AN17" s="423">
        <f t="shared" si="6"/>
        <v>0</v>
      </c>
      <c r="AO17" s="429">
        <f t="shared" si="32"/>
        <v>0</v>
      </c>
      <c r="AP17" s="429">
        <f t="shared" si="33"/>
        <v>0</v>
      </c>
      <c r="AQ17" s="429">
        <f t="shared" si="34"/>
        <v>0</v>
      </c>
      <c r="AR17" s="429">
        <f t="shared" si="35"/>
        <v>0</v>
      </c>
      <c r="AS17" s="429">
        <f t="shared" si="36"/>
        <v>0</v>
      </c>
      <c r="AT17" s="429">
        <f t="shared" si="37"/>
        <v>0</v>
      </c>
      <c r="AU17" s="423">
        <f t="shared" si="7"/>
        <v>0</v>
      </c>
      <c r="AV17" s="427">
        <f t="shared" si="8"/>
        <v>0</v>
      </c>
      <c r="AW17" s="427">
        <f t="shared" si="38"/>
        <v>0</v>
      </c>
      <c r="AX17" s="427">
        <f t="shared" si="39"/>
        <v>0</v>
      </c>
      <c r="AY17" s="1075">
        <f t="shared" si="40"/>
        <v>0</v>
      </c>
      <c r="AZ17" s="427">
        <f t="shared" si="11"/>
        <v>0</v>
      </c>
      <c r="BA17" s="427">
        <f t="shared" si="12"/>
        <v>0</v>
      </c>
      <c r="BB17" s="427">
        <f t="shared" si="13"/>
        <v>0</v>
      </c>
      <c r="BC17" s="1075">
        <f t="shared" si="41"/>
        <v>0</v>
      </c>
      <c r="BD17" s="428">
        <f t="shared" si="14"/>
        <v>0</v>
      </c>
      <c r="BE17" s="428">
        <f t="shared" si="15"/>
        <v>0</v>
      </c>
      <c r="BF17" s="1075">
        <f t="shared" si="42"/>
        <v>0</v>
      </c>
      <c r="BG17" s="428">
        <f t="shared" si="43"/>
        <v>0</v>
      </c>
      <c r="BH17" s="974">
        <f t="shared" si="44"/>
        <v>0</v>
      </c>
      <c r="BI17" s="974">
        <f t="shared" si="45"/>
        <v>0</v>
      </c>
      <c r="BJ17" s="974">
        <f t="shared" si="46"/>
        <v>0</v>
      </c>
      <c r="BK17" s="974">
        <f t="shared" si="47"/>
        <v>0</v>
      </c>
      <c r="BL17" s="1075">
        <f t="shared" si="48"/>
        <v>0</v>
      </c>
      <c r="BM17" s="1051">
        <f t="shared" si="49"/>
        <v>0</v>
      </c>
      <c r="BN17" s="1051">
        <f t="shared" si="50"/>
        <v>0</v>
      </c>
    </row>
    <row r="18" spans="1:66" ht="24.95" customHeight="1" x14ac:dyDescent="0.2">
      <c r="A18" s="416">
        <v>10</v>
      </c>
      <c r="B18" s="413" t="str">
        <f>dtsiswa!D16</f>
        <v xml:space="preserve">Deco Badarus Zaman </v>
      </c>
      <c r="C18" s="417" t="s">
        <v>4</v>
      </c>
      <c r="D18" s="22"/>
      <c r="E18" s="22"/>
      <c r="F18" s="22"/>
      <c r="G18" s="22"/>
      <c r="H18" s="591" t="str">
        <f t="shared" si="0"/>
        <v xml:space="preserve">  </v>
      </c>
      <c r="I18" s="23"/>
      <c r="J18" s="23"/>
      <c r="K18" s="591" t="str">
        <f t="shared" si="1"/>
        <v xml:space="preserve">  </v>
      </c>
      <c r="L18" s="23"/>
      <c r="M18" s="23"/>
      <c r="N18" s="22"/>
      <c r="O18" s="22"/>
      <c r="P18" s="591" t="str">
        <f t="shared" si="2"/>
        <v xml:space="preserve">  </v>
      </c>
      <c r="Q18" s="22"/>
      <c r="R18" s="27"/>
      <c r="S18" s="27"/>
      <c r="T18" s="591" t="str">
        <f t="shared" si="16"/>
        <v xml:space="preserve">  </v>
      </c>
      <c r="U18" s="27"/>
      <c r="V18" s="27"/>
      <c r="W18" s="591" t="str">
        <f t="shared" si="3"/>
        <v xml:space="preserve">  </v>
      </c>
      <c r="X18" s="422">
        <f t="shared" si="17"/>
        <v>0</v>
      </c>
      <c r="Y18" s="422">
        <f t="shared" si="18"/>
        <v>0</v>
      </c>
      <c r="Z18" s="422">
        <f t="shared" si="19"/>
        <v>0</v>
      </c>
      <c r="AA18" s="422">
        <f t="shared" si="20"/>
        <v>0</v>
      </c>
      <c r="AB18" s="422">
        <f t="shared" si="21"/>
        <v>0</v>
      </c>
      <c r="AC18" s="422">
        <f t="shared" si="22"/>
        <v>0</v>
      </c>
      <c r="AD18" s="423">
        <f t="shared" si="4"/>
        <v>0</v>
      </c>
      <c r="AE18" s="424">
        <f t="shared" si="23"/>
        <v>0</v>
      </c>
      <c r="AF18" s="424">
        <f t="shared" si="24"/>
        <v>0</v>
      </c>
      <c r="AG18" s="424">
        <f t="shared" si="25"/>
        <v>0</v>
      </c>
      <c r="AH18" s="424">
        <f t="shared" si="26"/>
        <v>0</v>
      </c>
      <c r="AI18" s="424">
        <f t="shared" si="27"/>
        <v>0</v>
      </c>
      <c r="AJ18" s="424">
        <f t="shared" si="28"/>
        <v>0</v>
      </c>
      <c r="AK18" s="425">
        <f t="shared" si="29"/>
        <v>0</v>
      </c>
      <c r="AL18" s="425">
        <f t="shared" si="30"/>
        <v>0</v>
      </c>
      <c r="AM18" s="425">
        <f t="shared" si="31"/>
        <v>0</v>
      </c>
      <c r="AN18" s="423">
        <f t="shared" si="6"/>
        <v>0</v>
      </c>
      <c r="AO18" s="429">
        <f t="shared" si="32"/>
        <v>0</v>
      </c>
      <c r="AP18" s="429">
        <f t="shared" si="33"/>
        <v>0</v>
      </c>
      <c r="AQ18" s="429">
        <f t="shared" si="34"/>
        <v>0</v>
      </c>
      <c r="AR18" s="429">
        <f t="shared" si="35"/>
        <v>0</v>
      </c>
      <c r="AS18" s="429">
        <f t="shared" si="36"/>
        <v>0</v>
      </c>
      <c r="AT18" s="429">
        <f t="shared" si="37"/>
        <v>0</v>
      </c>
      <c r="AU18" s="423">
        <f t="shared" si="7"/>
        <v>0</v>
      </c>
      <c r="AV18" s="427">
        <f t="shared" si="8"/>
        <v>0</v>
      </c>
      <c r="AW18" s="427">
        <f t="shared" si="38"/>
        <v>0</v>
      </c>
      <c r="AX18" s="427">
        <f t="shared" si="39"/>
        <v>0</v>
      </c>
      <c r="AY18" s="1075">
        <f t="shared" si="40"/>
        <v>0</v>
      </c>
      <c r="AZ18" s="427">
        <f t="shared" si="11"/>
        <v>0</v>
      </c>
      <c r="BA18" s="427">
        <f t="shared" si="12"/>
        <v>0</v>
      </c>
      <c r="BB18" s="427">
        <f t="shared" si="13"/>
        <v>0</v>
      </c>
      <c r="BC18" s="1075">
        <f t="shared" si="41"/>
        <v>0</v>
      </c>
      <c r="BD18" s="428">
        <f t="shared" si="14"/>
        <v>0</v>
      </c>
      <c r="BE18" s="428">
        <f t="shared" si="15"/>
        <v>0</v>
      </c>
      <c r="BF18" s="1075">
        <f t="shared" si="42"/>
        <v>0</v>
      </c>
      <c r="BG18" s="428">
        <f t="shared" si="43"/>
        <v>0</v>
      </c>
      <c r="BH18" s="974">
        <f t="shared" si="44"/>
        <v>0</v>
      </c>
      <c r="BI18" s="974">
        <f t="shared" si="45"/>
        <v>0</v>
      </c>
      <c r="BJ18" s="974">
        <f t="shared" si="46"/>
        <v>0</v>
      </c>
      <c r="BK18" s="974">
        <f t="shared" si="47"/>
        <v>0</v>
      </c>
      <c r="BL18" s="1075">
        <f t="shared" si="48"/>
        <v>0</v>
      </c>
      <c r="BM18" s="1051">
        <f t="shared" si="49"/>
        <v>0</v>
      </c>
      <c r="BN18" s="1051">
        <f t="shared" si="50"/>
        <v>0</v>
      </c>
    </row>
    <row r="19" spans="1:66" ht="24.95" customHeight="1" x14ac:dyDescent="0.2">
      <c r="A19" s="416">
        <v>11</v>
      </c>
      <c r="B19" s="413" t="str">
        <f>dtsiswa!D17</f>
        <v>Fania Mutiara Felichia</v>
      </c>
      <c r="C19" s="417" t="s">
        <v>4</v>
      </c>
      <c r="D19" s="22"/>
      <c r="E19" s="22"/>
      <c r="F19" s="22"/>
      <c r="G19" s="22"/>
      <c r="H19" s="591" t="str">
        <f t="shared" si="0"/>
        <v xml:space="preserve">  </v>
      </c>
      <c r="I19" s="23"/>
      <c r="J19" s="23"/>
      <c r="K19" s="591" t="str">
        <f t="shared" si="1"/>
        <v xml:space="preserve">  </v>
      </c>
      <c r="L19" s="23"/>
      <c r="M19" s="23"/>
      <c r="N19" s="22"/>
      <c r="O19" s="22"/>
      <c r="P19" s="591" t="str">
        <f t="shared" si="2"/>
        <v xml:space="preserve">  </v>
      </c>
      <c r="Q19" s="22"/>
      <c r="R19" s="27"/>
      <c r="S19" s="27"/>
      <c r="T19" s="591" t="str">
        <f t="shared" si="16"/>
        <v xml:space="preserve">  </v>
      </c>
      <c r="U19" s="27"/>
      <c r="V19" s="27"/>
      <c r="W19" s="591" t="str">
        <f t="shared" si="3"/>
        <v xml:space="preserve">  </v>
      </c>
      <c r="X19" s="422">
        <f t="shared" si="17"/>
        <v>0</v>
      </c>
      <c r="Y19" s="422">
        <f t="shared" si="18"/>
        <v>0</v>
      </c>
      <c r="Z19" s="422">
        <f t="shared" si="19"/>
        <v>0</v>
      </c>
      <c r="AA19" s="422">
        <f t="shared" si="20"/>
        <v>0</v>
      </c>
      <c r="AB19" s="422">
        <f t="shared" si="21"/>
        <v>0</v>
      </c>
      <c r="AC19" s="422">
        <f t="shared" si="22"/>
        <v>0</v>
      </c>
      <c r="AD19" s="423">
        <f t="shared" si="4"/>
        <v>0</v>
      </c>
      <c r="AE19" s="424">
        <f t="shared" si="23"/>
        <v>0</v>
      </c>
      <c r="AF19" s="424">
        <f t="shared" si="24"/>
        <v>0</v>
      </c>
      <c r="AG19" s="424">
        <f t="shared" si="25"/>
        <v>0</v>
      </c>
      <c r="AH19" s="424">
        <f t="shared" si="26"/>
        <v>0</v>
      </c>
      <c r="AI19" s="424">
        <f t="shared" si="27"/>
        <v>0</v>
      </c>
      <c r="AJ19" s="424">
        <f t="shared" si="28"/>
        <v>0</v>
      </c>
      <c r="AK19" s="425">
        <f t="shared" si="29"/>
        <v>0</v>
      </c>
      <c r="AL19" s="425">
        <f t="shared" si="30"/>
        <v>0</v>
      </c>
      <c r="AM19" s="425">
        <f t="shared" si="31"/>
        <v>0</v>
      </c>
      <c r="AN19" s="423">
        <f t="shared" si="6"/>
        <v>0</v>
      </c>
      <c r="AO19" s="429">
        <f t="shared" si="32"/>
        <v>0</v>
      </c>
      <c r="AP19" s="429">
        <f t="shared" si="33"/>
        <v>0</v>
      </c>
      <c r="AQ19" s="429">
        <f t="shared" si="34"/>
        <v>0</v>
      </c>
      <c r="AR19" s="429">
        <f t="shared" si="35"/>
        <v>0</v>
      </c>
      <c r="AS19" s="429">
        <f t="shared" si="36"/>
        <v>0</v>
      </c>
      <c r="AT19" s="429">
        <f t="shared" si="37"/>
        <v>0</v>
      </c>
      <c r="AU19" s="423">
        <f t="shared" si="7"/>
        <v>0</v>
      </c>
      <c r="AV19" s="427">
        <f t="shared" si="8"/>
        <v>0</v>
      </c>
      <c r="AW19" s="427">
        <f t="shared" si="38"/>
        <v>0</v>
      </c>
      <c r="AX19" s="427">
        <f t="shared" si="39"/>
        <v>0</v>
      </c>
      <c r="AY19" s="1075">
        <f t="shared" si="40"/>
        <v>0</v>
      </c>
      <c r="AZ19" s="427">
        <f t="shared" si="11"/>
        <v>0</v>
      </c>
      <c r="BA19" s="427">
        <f t="shared" si="12"/>
        <v>0</v>
      </c>
      <c r="BB19" s="427">
        <f t="shared" si="13"/>
        <v>0</v>
      </c>
      <c r="BC19" s="1075">
        <f t="shared" si="41"/>
        <v>0</v>
      </c>
      <c r="BD19" s="428">
        <f t="shared" si="14"/>
        <v>0</v>
      </c>
      <c r="BE19" s="428">
        <f t="shared" si="15"/>
        <v>0</v>
      </c>
      <c r="BF19" s="1075">
        <f t="shared" si="42"/>
        <v>0</v>
      </c>
      <c r="BG19" s="428">
        <f t="shared" si="43"/>
        <v>0</v>
      </c>
      <c r="BH19" s="974">
        <f t="shared" si="44"/>
        <v>0</v>
      </c>
      <c r="BI19" s="974">
        <f t="shared" si="45"/>
        <v>0</v>
      </c>
      <c r="BJ19" s="974">
        <f t="shared" si="46"/>
        <v>0</v>
      </c>
      <c r="BK19" s="974">
        <f t="shared" si="47"/>
        <v>0</v>
      </c>
      <c r="BL19" s="1075">
        <f t="shared" si="48"/>
        <v>0</v>
      </c>
      <c r="BM19" s="1051">
        <f t="shared" si="49"/>
        <v>0</v>
      </c>
      <c r="BN19" s="1051">
        <f t="shared" si="50"/>
        <v>0</v>
      </c>
    </row>
    <row r="20" spans="1:66" ht="24.95" customHeight="1" x14ac:dyDescent="0.2">
      <c r="A20" s="416">
        <v>12</v>
      </c>
      <c r="B20" s="413" t="str">
        <f>dtsiswa!D18</f>
        <v>Intan Dyah Nowari</v>
      </c>
      <c r="C20" s="417" t="s">
        <v>4</v>
      </c>
      <c r="D20" s="22"/>
      <c r="E20" s="22"/>
      <c r="F20" s="22"/>
      <c r="G20" s="22"/>
      <c r="H20" s="591" t="str">
        <f t="shared" si="0"/>
        <v xml:space="preserve">  </v>
      </c>
      <c r="I20" s="23"/>
      <c r="J20" s="23"/>
      <c r="K20" s="591" t="str">
        <f t="shared" si="1"/>
        <v xml:space="preserve">  </v>
      </c>
      <c r="L20" s="23"/>
      <c r="M20" s="23"/>
      <c r="N20" s="22"/>
      <c r="O20" s="22"/>
      <c r="P20" s="591" t="str">
        <f t="shared" si="2"/>
        <v xml:space="preserve">  </v>
      </c>
      <c r="Q20" s="22"/>
      <c r="R20" s="27"/>
      <c r="S20" s="27"/>
      <c r="T20" s="591" t="str">
        <f t="shared" si="16"/>
        <v xml:space="preserve">  </v>
      </c>
      <c r="U20" s="27"/>
      <c r="V20" s="27"/>
      <c r="W20" s="591" t="str">
        <f t="shared" si="3"/>
        <v xml:space="preserve">  </v>
      </c>
      <c r="X20" s="422">
        <f t="shared" si="17"/>
        <v>0</v>
      </c>
      <c r="Y20" s="422">
        <f t="shared" si="18"/>
        <v>0</v>
      </c>
      <c r="Z20" s="422">
        <f t="shared" si="19"/>
        <v>0</v>
      </c>
      <c r="AA20" s="422">
        <f t="shared" si="20"/>
        <v>0</v>
      </c>
      <c r="AB20" s="422">
        <f t="shared" si="21"/>
        <v>0</v>
      </c>
      <c r="AC20" s="422">
        <f t="shared" si="22"/>
        <v>0</v>
      </c>
      <c r="AD20" s="423">
        <f t="shared" si="4"/>
        <v>0</v>
      </c>
      <c r="AE20" s="424">
        <f t="shared" si="23"/>
        <v>0</v>
      </c>
      <c r="AF20" s="424">
        <f t="shared" si="24"/>
        <v>0</v>
      </c>
      <c r="AG20" s="424">
        <f t="shared" si="25"/>
        <v>0</v>
      </c>
      <c r="AH20" s="424">
        <f t="shared" si="26"/>
        <v>0</v>
      </c>
      <c r="AI20" s="424">
        <f t="shared" si="27"/>
        <v>0</v>
      </c>
      <c r="AJ20" s="424">
        <f t="shared" si="28"/>
        <v>0</v>
      </c>
      <c r="AK20" s="425">
        <f t="shared" si="29"/>
        <v>0</v>
      </c>
      <c r="AL20" s="425">
        <f t="shared" si="30"/>
        <v>0</v>
      </c>
      <c r="AM20" s="425">
        <f t="shared" si="31"/>
        <v>0</v>
      </c>
      <c r="AN20" s="423">
        <f t="shared" si="6"/>
        <v>0</v>
      </c>
      <c r="AO20" s="429">
        <f t="shared" si="32"/>
        <v>0</v>
      </c>
      <c r="AP20" s="429">
        <f t="shared" si="33"/>
        <v>0</v>
      </c>
      <c r="AQ20" s="429">
        <f t="shared" si="34"/>
        <v>0</v>
      </c>
      <c r="AR20" s="429">
        <f t="shared" si="35"/>
        <v>0</v>
      </c>
      <c r="AS20" s="429">
        <f t="shared" si="36"/>
        <v>0</v>
      </c>
      <c r="AT20" s="429">
        <f t="shared" si="37"/>
        <v>0</v>
      </c>
      <c r="AU20" s="423">
        <f t="shared" si="7"/>
        <v>0</v>
      </c>
      <c r="AV20" s="427">
        <f t="shared" si="8"/>
        <v>0</v>
      </c>
      <c r="AW20" s="427">
        <f t="shared" si="38"/>
        <v>0</v>
      </c>
      <c r="AX20" s="427">
        <f t="shared" si="39"/>
        <v>0</v>
      </c>
      <c r="AY20" s="1075">
        <f t="shared" si="40"/>
        <v>0</v>
      </c>
      <c r="AZ20" s="427">
        <f t="shared" si="11"/>
        <v>0</v>
      </c>
      <c r="BA20" s="427">
        <f t="shared" si="12"/>
        <v>0</v>
      </c>
      <c r="BB20" s="427">
        <f t="shared" si="13"/>
        <v>0</v>
      </c>
      <c r="BC20" s="1075">
        <f t="shared" si="41"/>
        <v>0</v>
      </c>
      <c r="BD20" s="428">
        <f t="shared" si="14"/>
        <v>0</v>
      </c>
      <c r="BE20" s="428">
        <f t="shared" si="15"/>
        <v>0</v>
      </c>
      <c r="BF20" s="1075">
        <f t="shared" si="42"/>
        <v>0</v>
      </c>
      <c r="BG20" s="428">
        <f t="shared" si="43"/>
        <v>0</v>
      </c>
      <c r="BH20" s="974">
        <f t="shared" si="44"/>
        <v>0</v>
      </c>
      <c r="BI20" s="974">
        <f t="shared" si="45"/>
        <v>0</v>
      </c>
      <c r="BJ20" s="974">
        <f t="shared" si="46"/>
        <v>0</v>
      </c>
      <c r="BK20" s="974">
        <f t="shared" si="47"/>
        <v>0</v>
      </c>
      <c r="BL20" s="1075">
        <f t="shared" si="48"/>
        <v>0</v>
      </c>
      <c r="BM20" s="1051">
        <f t="shared" si="49"/>
        <v>0</v>
      </c>
      <c r="BN20" s="1051">
        <f t="shared" si="50"/>
        <v>0</v>
      </c>
    </row>
    <row r="21" spans="1:66" ht="24.95" customHeight="1" x14ac:dyDescent="0.2">
      <c r="A21" s="416">
        <v>13</v>
      </c>
      <c r="B21" s="413" t="str">
        <f>dtsiswa!D19</f>
        <v>Misyanita Nurfitri S</v>
      </c>
      <c r="C21" s="417" t="s">
        <v>5</v>
      </c>
      <c r="D21" s="22"/>
      <c r="E21" s="22"/>
      <c r="F21" s="22"/>
      <c r="G21" s="22"/>
      <c r="H21" s="591" t="str">
        <f t="shared" si="0"/>
        <v xml:space="preserve">  </v>
      </c>
      <c r="I21" s="23"/>
      <c r="J21" s="23"/>
      <c r="K21" s="591" t="str">
        <f t="shared" si="1"/>
        <v xml:space="preserve">  </v>
      </c>
      <c r="L21" s="23"/>
      <c r="M21" s="23"/>
      <c r="N21" s="22"/>
      <c r="O21" s="22"/>
      <c r="P21" s="591" t="str">
        <f t="shared" si="2"/>
        <v xml:space="preserve">  </v>
      </c>
      <c r="Q21" s="22"/>
      <c r="R21" s="27"/>
      <c r="S21" s="27"/>
      <c r="T21" s="591" t="str">
        <f t="shared" si="16"/>
        <v xml:space="preserve">  </v>
      </c>
      <c r="U21" s="27"/>
      <c r="V21" s="27"/>
      <c r="W21" s="591" t="str">
        <f t="shared" si="3"/>
        <v xml:space="preserve">  </v>
      </c>
      <c r="X21" s="422">
        <f t="shared" si="17"/>
        <v>0</v>
      </c>
      <c r="Y21" s="422">
        <f t="shared" si="18"/>
        <v>0</v>
      </c>
      <c r="Z21" s="422">
        <f t="shared" si="19"/>
        <v>0</v>
      </c>
      <c r="AA21" s="422">
        <f t="shared" si="20"/>
        <v>0</v>
      </c>
      <c r="AB21" s="422">
        <f t="shared" si="21"/>
        <v>0</v>
      </c>
      <c r="AC21" s="422">
        <f t="shared" si="22"/>
        <v>0</v>
      </c>
      <c r="AD21" s="423">
        <f t="shared" si="4"/>
        <v>0</v>
      </c>
      <c r="AE21" s="424">
        <f t="shared" si="23"/>
        <v>0</v>
      </c>
      <c r="AF21" s="424">
        <f t="shared" si="24"/>
        <v>0</v>
      </c>
      <c r="AG21" s="424">
        <f t="shared" si="25"/>
        <v>0</v>
      </c>
      <c r="AH21" s="424">
        <f t="shared" si="26"/>
        <v>0</v>
      </c>
      <c r="AI21" s="424">
        <f t="shared" si="27"/>
        <v>0</v>
      </c>
      <c r="AJ21" s="424">
        <f t="shared" si="28"/>
        <v>0</v>
      </c>
      <c r="AK21" s="425">
        <f t="shared" si="29"/>
        <v>0</v>
      </c>
      <c r="AL21" s="425">
        <f t="shared" si="30"/>
        <v>0</v>
      </c>
      <c r="AM21" s="425">
        <f t="shared" si="31"/>
        <v>0</v>
      </c>
      <c r="AN21" s="423">
        <f t="shared" si="6"/>
        <v>0</v>
      </c>
      <c r="AO21" s="429">
        <f t="shared" si="32"/>
        <v>0</v>
      </c>
      <c r="AP21" s="429">
        <f t="shared" si="33"/>
        <v>0</v>
      </c>
      <c r="AQ21" s="429">
        <f t="shared" si="34"/>
        <v>0</v>
      </c>
      <c r="AR21" s="429">
        <f t="shared" si="35"/>
        <v>0</v>
      </c>
      <c r="AS21" s="429">
        <f t="shared" si="36"/>
        <v>0</v>
      </c>
      <c r="AT21" s="429">
        <f t="shared" si="37"/>
        <v>0</v>
      </c>
      <c r="AU21" s="423">
        <f t="shared" si="7"/>
        <v>0</v>
      </c>
      <c r="AV21" s="427">
        <f t="shared" si="8"/>
        <v>0</v>
      </c>
      <c r="AW21" s="427">
        <f t="shared" si="38"/>
        <v>0</v>
      </c>
      <c r="AX21" s="427">
        <f t="shared" si="39"/>
        <v>0</v>
      </c>
      <c r="AY21" s="1075">
        <f t="shared" si="40"/>
        <v>0</v>
      </c>
      <c r="AZ21" s="427">
        <f t="shared" si="11"/>
        <v>0</v>
      </c>
      <c r="BA21" s="427">
        <f t="shared" si="12"/>
        <v>0</v>
      </c>
      <c r="BB21" s="427">
        <f t="shared" si="13"/>
        <v>0</v>
      </c>
      <c r="BC21" s="1075">
        <f t="shared" si="41"/>
        <v>0</v>
      </c>
      <c r="BD21" s="428">
        <f t="shared" si="14"/>
        <v>0</v>
      </c>
      <c r="BE21" s="428">
        <f t="shared" si="15"/>
        <v>0</v>
      </c>
      <c r="BF21" s="1075">
        <f t="shared" si="42"/>
        <v>0</v>
      </c>
      <c r="BG21" s="428">
        <f t="shared" si="43"/>
        <v>0</v>
      </c>
      <c r="BH21" s="974">
        <f t="shared" si="44"/>
        <v>0</v>
      </c>
      <c r="BI21" s="974">
        <f t="shared" si="45"/>
        <v>0</v>
      </c>
      <c r="BJ21" s="974">
        <f t="shared" si="46"/>
        <v>0</v>
      </c>
      <c r="BK21" s="974">
        <f t="shared" si="47"/>
        <v>0</v>
      </c>
      <c r="BL21" s="1075">
        <f t="shared" si="48"/>
        <v>0</v>
      </c>
      <c r="BM21" s="1051">
        <f t="shared" si="49"/>
        <v>0</v>
      </c>
      <c r="BN21" s="1051">
        <f t="shared" si="50"/>
        <v>0</v>
      </c>
    </row>
    <row r="22" spans="1:66" ht="24.95" customHeight="1" x14ac:dyDescent="0.2">
      <c r="A22" s="416">
        <v>14</v>
      </c>
      <c r="B22" s="413" t="str">
        <f>dtsiswa!D20</f>
        <v>Moch Zidane Hita L. U</v>
      </c>
      <c r="C22" s="417" t="s">
        <v>4</v>
      </c>
      <c r="D22" s="22"/>
      <c r="E22" s="22"/>
      <c r="F22" s="22"/>
      <c r="G22" s="22"/>
      <c r="H22" s="591" t="str">
        <f t="shared" si="0"/>
        <v xml:space="preserve">  </v>
      </c>
      <c r="I22" s="23"/>
      <c r="J22" s="23"/>
      <c r="K22" s="591" t="str">
        <f t="shared" si="1"/>
        <v xml:space="preserve">  </v>
      </c>
      <c r="L22" s="23"/>
      <c r="M22" s="23"/>
      <c r="N22" s="22"/>
      <c r="O22" s="22"/>
      <c r="P22" s="591" t="str">
        <f t="shared" si="2"/>
        <v xml:space="preserve">  </v>
      </c>
      <c r="Q22" s="22"/>
      <c r="R22" s="27"/>
      <c r="S22" s="27"/>
      <c r="T22" s="591" t="str">
        <f t="shared" si="16"/>
        <v xml:space="preserve">  </v>
      </c>
      <c r="U22" s="27"/>
      <c r="V22" s="27"/>
      <c r="W22" s="591" t="str">
        <f t="shared" si="3"/>
        <v xml:space="preserve">  </v>
      </c>
      <c r="X22" s="422">
        <f t="shared" si="17"/>
        <v>0</v>
      </c>
      <c r="Y22" s="422">
        <f t="shared" si="18"/>
        <v>0</v>
      </c>
      <c r="Z22" s="422">
        <f t="shared" si="19"/>
        <v>0</v>
      </c>
      <c r="AA22" s="422">
        <f t="shared" si="20"/>
        <v>0</v>
      </c>
      <c r="AB22" s="422">
        <f t="shared" si="21"/>
        <v>0</v>
      </c>
      <c r="AC22" s="422">
        <f t="shared" si="22"/>
        <v>0</v>
      </c>
      <c r="AD22" s="423">
        <f t="shared" si="4"/>
        <v>0</v>
      </c>
      <c r="AE22" s="424">
        <f t="shared" si="23"/>
        <v>0</v>
      </c>
      <c r="AF22" s="424">
        <f t="shared" si="24"/>
        <v>0</v>
      </c>
      <c r="AG22" s="424">
        <f t="shared" si="25"/>
        <v>0</v>
      </c>
      <c r="AH22" s="424">
        <f t="shared" si="26"/>
        <v>0</v>
      </c>
      <c r="AI22" s="424">
        <f t="shared" si="27"/>
        <v>0</v>
      </c>
      <c r="AJ22" s="424">
        <f t="shared" si="28"/>
        <v>0</v>
      </c>
      <c r="AK22" s="425">
        <f t="shared" si="29"/>
        <v>0</v>
      </c>
      <c r="AL22" s="425">
        <f t="shared" si="30"/>
        <v>0</v>
      </c>
      <c r="AM22" s="425">
        <f t="shared" si="31"/>
        <v>0</v>
      </c>
      <c r="AN22" s="423">
        <f t="shared" si="6"/>
        <v>0</v>
      </c>
      <c r="AO22" s="429">
        <f t="shared" si="32"/>
        <v>0</v>
      </c>
      <c r="AP22" s="429">
        <f t="shared" si="33"/>
        <v>0</v>
      </c>
      <c r="AQ22" s="429">
        <f t="shared" si="34"/>
        <v>0</v>
      </c>
      <c r="AR22" s="429">
        <f t="shared" si="35"/>
        <v>0</v>
      </c>
      <c r="AS22" s="429">
        <f t="shared" si="36"/>
        <v>0</v>
      </c>
      <c r="AT22" s="429">
        <f t="shared" si="37"/>
        <v>0</v>
      </c>
      <c r="AU22" s="423">
        <f t="shared" si="7"/>
        <v>0</v>
      </c>
      <c r="AV22" s="427">
        <f t="shared" si="8"/>
        <v>0</v>
      </c>
      <c r="AW22" s="427">
        <f t="shared" si="38"/>
        <v>0</v>
      </c>
      <c r="AX22" s="427">
        <f t="shared" si="39"/>
        <v>0</v>
      </c>
      <c r="AY22" s="1075">
        <f t="shared" si="40"/>
        <v>0</v>
      </c>
      <c r="AZ22" s="427">
        <f t="shared" si="11"/>
        <v>0</v>
      </c>
      <c r="BA22" s="427">
        <f t="shared" si="12"/>
        <v>0</v>
      </c>
      <c r="BB22" s="427">
        <f t="shared" si="13"/>
        <v>0</v>
      </c>
      <c r="BC22" s="1075">
        <f t="shared" si="41"/>
        <v>0</v>
      </c>
      <c r="BD22" s="428">
        <f t="shared" si="14"/>
        <v>0</v>
      </c>
      <c r="BE22" s="428">
        <f t="shared" si="15"/>
        <v>0</v>
      </c>
      <c r="BF22" s="1075">
        <f t="shared" si="42"/>
        <v>0</v>
      </c>
      <c r="BG22" s="428">
        <f t="shared" si="43"/>
        <v>0</v>
      </c>
      <c r="BH22" s="974">
        <f t="shared" si="44"/>
        <v>0</v>
      </c>
      <c r="BI22" s="974">
        <f t="shared" si="45"/>
        <v>0</v>
      </c>
      <c r="BJ22" s="974">
        <f t="shared" si="46"/>
        <v>0</v>
      </c>
      <c r="BK22" s="974">
        <f t="shared" si="47"/>
        <v>0</v>
      </c>
      <c r="BL22" s="1075">
        <f t="shared" si="48"/>
        <v>0</v>
      </c>
      <c r="BM22" s="1051">
        <f t="shared" si="49"/>
        <v>0</v>
      </c>
      <c r="BN22" s="1051">
        <f t="shared" si="50"/>
        <v>0</v>
      </c>
    </row>
    <row r="23" spans="1:66" ht="24.95" customHeight="1" x14ac:dyDescent="0.2">
      <c r="A23" s="416">
        <v>15</v>
      </c>
      <c r="B23" s="413" t="str">
        <f>dtsiswa!D21</f>
        <v>Muhammad Ibra Maulana</v>
      </c>
      <c r="C23" s="417" t="s">
        <v>4</v>
      </c>
      <c r="D23" s="22"/>
      <c r="E23" s="22"/>
      <c r="F23" s="22"/>
      <c r="G23" s="22"/>
      <c r="H23" s="591" t="str">
        <f t="shared" si="0"/>
        <v xml:space="preserve">  </v>
      </c>
      <c r="I23" s="23"/>
      <c r="J23" s="23"/>
      <c r="K23" s="591" t="str">
        <f t="shared" si="1"/>
        <v xml:space="preserve">  </v>
      </c>
      <c r="L23" s="23"/>
      <c r="M23" s="23"/>
      <c r="N23" s="22"/>
      <c r="O23" s="22"/>
      <c r="P23" s="591" t="str">
        <f t="shared" si="2"/>
        <v xml:space="preserve">  </v>
      </c>
      <c r="Q23" s="22"/>
      <c r="R23" s="27"/>
      <c r="S23" s="27"/>
      <c r="T23" s="591" t="str">
        <f t="shared" si="16"/>
        <v xml:space="preserve">  </v>
      </c>
      <c r="U23" s="27"/>
      <c r="V23" s="27"/>
      <c r="W23" s="591" t="str">
        <f t="shared" si="3"/>
        <v xml:space="preserve">  </v>
      </c>
      <c r="X23" s="422">
        <f t="shared" si="17"/>
        <v>0</v>
      </c>
      <c r="Y23" s="422">
        <f t="shared" si="18"/>
        <v>0</v>
      </c>
      <c r="Z23" s="422">
        <f t="shared" si="19"/>
        <v>0</v>
      </c>
      <c r="AA23" s="422">
        <f t="shared" si="20"/>
        <v>0</v>
      </c>
      <c r="AB23" s="422">
        <f t="shared" si="21"/>
        <v>0</v>
      </c>
      <c r="AC23" s="422">
        <f t="shared" si="22"/>
        <v>0</v>
      </c>
      <c r="AD23" s="423">
        <f t="shared" si="4"/>
        <v>0</v>
      </c>
      <c r="AE23" s="424">
        <f t="shared" si="23"/>
        <v>0</v>
      </c>
      <c r="AF23" s="424">
        <f t="shared" si="24"/>
        <v>0</v>
      </c>
      <c r="AG23" s="424">
        <f t="shared" si="25"/>
        <v>0</v>
      </c>
      <c r="AH23" s="424">
        <f t="shared" si="26"/>
        <v>0</v>
      </c>
      <c r="AI23" s="424">
        <f t="shared" si="27"/>
        <v>0</v>
      </c>
      <c r="AJ23" s="424">
        <f t="shared" si="28"/>
        <v>0</v>
      </c>
      <c r="AK23" s="425">
        <f t="shared" si="29"/>
        <v>0</v>
      </c>
      <c r="AL23" s="425">
        <f t="shared" si="30"/>
        <v>0</v>
      </c>
      <c r="AM23" s="425">
        <f t="shared" si="31"/>
        <v>0</v>
      </c>
      <c r="AN23" s="423">
        <f t="shared" si="6"/>
        <v>0</v>
      </c>
      <c r="AO23" s="429">
        <f t="shared" si="32"/>
        <v>0</v>
      </c>
      <c r="AP23" s="429">
        <f t="shared" si="33"/>
        <v>0</v>
      </c>
      <c r="AQ23" s="429">
        <f t="shared" si="34"/>
        <v>0</v>
      </c>
      <c r="AR23" s="429">
        <f t="shared" si="35"/>
        <v>0</v>
      </c>
      <c r="AS23" s="429">
        <f t="shared" si="36"/>
        <v>0</v>
      </c>
      <c r="AT23" s="429">
        <f t="shared" si="37"/>
        <v>0</v>
      </c>
      <c r="AU23" s="423">
        <f t="shared" si="7"/>
        <v>0</v>
      </c>
      <c r="AV23" s="427">
        <f t="shared" si="8"/>
        <v>0</v>
      </c>
      <c r="AW23" s="427">
        <f t="shared" si="38"/>
        <v>0</v>
      </c>
      <c r="AX23" s="427">
        <f t="shared" si="39"/>
        <v>0</v>
      </c>
      <c r="AY23" s="1075">
        <f t="shared" si="40"/>
        <v>0</v>
      </c>
      <c r="AZ23" s="427">
        <f t="shared" si="11"/>
        <v>0</v>
      </c>
      <c r="BA23" s="427">
        <f t="shared" si="12"/>
        <v>0</v>
      </c>
      <c r="BB23" s="427">
        <f t="shared" si="13"/>
        <v>0</v>
      </c>
      <c r="BC23" s="1075">
        <f t="shared" si="41"/>
        <v>0</v>
      </c>
      <c r="BD23" s="428">
        <f t="shared" si="14"/>
        <v>0</v>
      </c>
      <c r="BE23" s="428">
        <f t="shared" si="15"/>
        <v>0</v>
      </c>
      <c r="BF23" s="1075">
        <f t="shared" si="42"/>
        <v>0</v>
      </c>
      <c r="BG23" s="428">
        <f t="shared" si="43"/>
        <v>0</v>
      </c>
      <c r="BH23" s="974">
        <f t="shared" si="44"/>
        <v>0</v>
      </c>
      <c r="BI23" s="974">
        <f t="shared" si="45"/>
        <v>0</v>
      </c>
      <c r="BJ23" s="974">
        <f t="shared" si="46"/>
        <v>0</v>
      </c>
      <c r="BK23" s="974">
        <f t="shared" si="47"/>
        <v>0</v>
      </c>
      <c r="BL23" s="1075">
        <f t="shared" si="48"/>
        <v>0</v>
      </c>
      <c r="BM23" s="1051">
        <f t="shared" si="49"/>
        <v>0</v>
      </c>
      <c r="BN23" s="1051">
        <f t="shared" si="50"/>
        <v>0</v>
      </c>
    </row>
    <row r="24" spans="1:66" ht="24.95" customHeight="1" x14ac:dyDescent="0.2">
      <c r="A24" s="416">
        <v>16</v>
      </c>
      <c r="B24" s="413" t="str">
        <f>dtsiswa!D22</f>
        <v>Nabilla Shiva Putri</v>
      </c>
      <c r="C24" s="417" t="s">
        <v>4</v>
      </c>
      <c r="D24" s="22"/>
      <c r="E24" s="22"/>
      <c r="F24" s="22"/>
      <c r="G24" s="22"/>
      <c r="H24" s="591" t="str">
        <f t="shared" si="0"/>
        <v xml:space="preserve">  </v>
      </c>
      <c r="I24" s="23"/>
      <c r="J24" s="23"/>
      <c r="K24" s="591" t="str">
        <f t="shared" si="1"/>
        <v xml:space="preserve">  </v>
      </c>
      <c r="L24" s="23"/>
      <c r="M24" s="23"/>
      <c r="N24" s="22"/>
      <c r="O24" s="22"/>
      <c r="P24" s="591" t="str">
        <f t="shared" si="2"/>
        <v xml:space="preserve">  </v>
      </c>
      <c r="Q24" s="22"/>
      <c r="R24" s="27"/>
      <c r="S24" s="27"/>
      <c r="T24" s="591" t="str">
        <f t="shared" si="16"/>
        <v xml:space="preserve">  </v>
      </c>
      <c r="U24" s="27"/>
      <c r="V24" s="27"/>
      <c r="W24" s="591" t="str">
        <f t="shared" si="3"/>
        <v xml:space="preserve">  </v>
      </c>
      <c r="X24" s="422">
        <f t="shared" si="17"/>
        <v>0</v>
      </c>
      <c r="Y24" s="422">
        <f t="shared" si="18"/>
        <v>0</v>
      </c>
      <c r="Z24" s="422">
        <f t="shared" si="19"/>
        <v>0</v>
      </c>
      <c r="AA24" s="422">
        <f t="shared" si="20"/>
        <v>0</v>
      </c>
      <c r="AB24" s="422">
        <f t="shared" si="21"/>
        <v>0</v>
      </c>
      <c r="AC24" s="422">
        <f t="shared" si="22"/>
        <v>0</v>
      </c>
      <c r="AD24" s="423">
        <f t="shared" si="4"/>
        <v>0</v>
      </c>
      <c r="AE24" s="424">
        <f t="shared" si="23"/>
        <v>0</v>
      </c>
      <c r="AF24" s="424">
        <f t="shared" si="24"/>
        <v>0</v>
      </c>
      <c r="AG24" s="424">
        <f t="shared" si="25"/>
        <v>0</v>
      </c>
      <c r="AH24" s="424">
        <f t="shared" si="26"/>
        <v>0</v>
      </c>
      <c r="AI24" s="424">
        <f t="shared" si="27"/>
        <v>0</v>
      </c>
      <c r="AJ24" s="424">
        <f t="shared" si="28"/>
        <v>0</v>
      </c>
      <c r="AK24" s="425">
        <f t="shared" si="29"/>
        <v>0</v>
      </c>
      <c r="AL24" s="425">
        <f t="shared" si="30"/>
        <v>0</v>
      </c>
      <c r="AM24" s="425">
        <f t="shared" si="31"/>
        <v>0</v>
      </c>
      <c r="AN24" s="423">
        <f t="shared" si="6"/>
        <v>0</v>
      </c>
      <c r="AO24" s="429">
        <f t="shared" si="32"/>
        <v>0</v>
      </c>
      <c r="AP24" s="429">
        <f t="shared" si="33"/>
        <v>0</v>
      </c>
      <c r="AQ24" s="429">
        <f t="shared" si="34"/>
        <v>0</v>
      </c>
      <c r="AR24" s="429">
        <f t="shared" si="35"/>
        <v>0</v>
      </c>
      <c r="AS24" s="429">
        <f t="shared" si="36"/>
        <v>0</v>
      </c>
      <c r="AT24" s="429">
        <f t="shared" si="37"/>
        <v>0</v>
      </c>
      <c r="AU24" s="423">
        <f t="shared" si="7"/>
        <v>0</v>
      </c>
      <c r="AV24" s="427">
        <f t="shared" si="8"/>
        <v>0</v>
      </c>
      <c r="AW24" s="427">
        <f t="shared" si="38"/>
        <v>0</v>
      </c>
      <c r="AX24" s="427">
        <f t="shared" si="39"/>
        <v>0</v>
      </c>
      <c r="AY24" s="1075">
        <f t="shared" si="40"/>
        <v>0</v>
      </c>
      <c r="AZ24" s="427">
        <f t="shared" si="11"/>
        <v>0</v>
      </c>
      <c r="BA24" s="427">
        <f t="shared" si="12"/>
        <v>0</v>
      </c>
      <c r="BB24" s="427">
        <f t="shared" si="13"/>
        <v>0</v>
      </c>
      <c r="BC24" s="1075">
        <f t="shared" si="41"/>
        <v>0</v>
      </c>
      <c r="BD24" s="428">
        <f t="shared" si="14"/>
        <v>0</v>
      </c>
      <c r="BE24" s="428">
        <f t="shared" si="15"/>
        <v>0</v>
      </c>
      <c r="BF24" s="1075">
        <f t="shared" si="42"/>
        <v>0</v>
      </c>
      <c r="BG24" s="428">
        <f t="shared" si="43"/>
        <v>0</v>
      </c>
      <c r="BH24" s="974">
        <f t="shared" si="44"/>
        <v>0</v>
      </c>
      <c r="BI24" s="974">
        <f t="shared" si="45"/>
        <v>0</v>
      </c>
      <c r="BJ24" s="974">
        <f t="shared" si="46"/>
        <v>0</v>
      </c>
      <c r="BK24" s="974">
        <f t="shared" si="47"/>
        <v>0</v>
      </c>
      <c r="BL24" s="1075">
        <f t="shared" si="48"/>
        <v>0</v>
      </c>
      <c r="BM24" s="1051">
        <f t="shared" si="49"/>
        <v>0</v>
      </c>
      <c r="BN24" s="1051">
        <f t="shared" si="50"/>
        <v>0</v>
      </c>
    </row>
    <row r="25" spans="1:66" ht="24.95" customHeight="1" x14ac:dyDescent="0.2">
      <c r="A25" s="416">
        <v>17</v>
      </c>
      <c r="B25" s="413" t="str">
        <f>dtsiswa!D23</f>
        <v>Naufal Falih F</v>
      </c>
      <c r="C25" s="417" t="s">
        <v>5</v>
      </c>
      <c r="D25" s="22"/>
      <c r="E25" s="22"/>
      <c r="F25" s="22"/>
      <c r="G25" s="22"/>
      <c r="H25" s="591" t="str">
        <f t="shared" si="0"/>
        <v xml:space="preserve">  </v>
      </c>
      <c r="I25" s="23"/>
      <c r="J25" s="23"/>
      <c r="K25" s="591" t="str">
        <f t="shared" si="1"/>
        <v xml:space="preserve">  </v>
      </c>
      <c r="L25" s="23"/>
      <c r="M25" s="23"/>
      <c r="N25" s="22"/>
      <c r="O25" s="22"/>
      <c r="P25" s="591" t="str">
        <f t="shared" si="2"/>
        <v xml:space="preserve">  </v>
      </c>
      <c r="Q25" s="22"/>
      <c r="R25" s="27"/>
      <c r="S25" s="27"/>
      <c r="T25" s="591" t="str">
        <f t="shared" si="16"/>
        <v xml:space="preserve">  </v>
      </c>
      <c r="U25" s="27"/>
      <c r="V25" s="27"/>
      <c r="W25" s="591" t="str">
        <f t="shared" si="3"/>
        <v xml:space="preserve">  </v>
      </c>
      <c r="X25" s="422">
        <f t="shared" si="17"/>
        <v>0</v>
      </c>
      <c r="Y25" s="422">
        <f t="shared" si="18"/>
        <v>0</v>
      </c>
      <c r="Z25" s="422">
        <f t="shared" si="19"/>
        <v>0</v>
      </c>
      <c r="AA25" s="422">
        <f t="shared" si="20"/>
        <v>0</v>
      </c>
      <c r="AB25" s="422">
        <f t="shared" si="21"/>
        <v>0</v>
      </c>
      <c r="AC25" s="422">
        <f t="shared" si="22"/>
        <v>0</v>
      </c>
      <c r="AD25" s="423">
        <f t="shared" si="4"/>
        <v>0</v>
      </c>
      <c r="AE25" s="424">
        <f t="shared" si="23"/>
        <v>0</v>
      </c>
      <c r="AF25" s="424">
        <f t="shared" si="24"/>
        <v>0</v>
      </c>
      <c r="AG25" s="424">
        <f t="shared" si="25"/>
        <v>0</v>
      </c>
      <c r="AH25" s="424">
        <f t="shared" si="26"/>
        <v>0</v>
      </c>
      <c r="AI25" s="424">
        <f t="shared" si="27"/>
        <v>0</v>
      </c>
      <c r="AJ25" s="424">
        <f t="shared" si="28"/>
        <v>0</v>
      </c>
      <c r="AK25" s="425">
        <f t="shared" si="29"/>
        <v>0</v>
      </c>
      <c r="AL25" s="425">
        <f t="shared" si="30"/>
        <v>0</v>
      </c>
      <c r="AM25" s="425">
        <f t="shared" si="31"/>
        <v>0</v>
      </c>
      <c r="AN25" s="423">
        <f t="shared" si="6"/>
        <v>0</v>
      </c>
      <c r="AO25" s="429">
        <f t="shared" si="32"/>
        <v>0</v>
      </c>
      <c r="AP25" s="429">
        <f t="shared" si="33"/>
        <v>0</v>
      </c>
      <c r="AQ25" s="429">
        <f t="shared" si="34"/>
        <v>0</v>
      </c>
      <c r="AR25" s="429">
        <f t="shared" si="35"/>
        <v>0</v>
      </c>
      <c r="AS25" s="429">
        <f t="shared" si="36"/>
        <v>0</v>
      </c>
      <c r="AT25" s="429">
        <f t="shared" si="37"/>
        <v>0</v>
      </c>
      <c r="AU25" s="423">
        <f t="shared" si="7"/>
        <v>0</v>
      </c>
      <c r="AV25" s="427">
        <f t="shared" si="8"/>
        <v>0</v>
      </c>
      <c r="AW25" s="427">
        <f t="shared" si="38"/>
        <v>0</v>
      </c>
      <c r="AX25" s="427">
        <f t="shared" si="39"/>
        <v>0</v>
      </c>
      <c r="AY25" s="1075">
        <f t="shared" si="40"/>
        <v>0</v>
      </c>
      <c r="AZ25" s="427">
        <f t="shared" si="11"/>
        <v>0</v>
      </c>
      <c r="BA25" s="427">
        <f t="shared" si="12"/>
        <v>0</v>
      </c>
      <c r="BB25" s="427">
        <f t="shared" si="13"/>
        <v>0</v>
      </c>
      <c r="BC25" s="1075">
        <f t="shared" si="41"/>
        <v>0</v>
      </c>
      <c r="BD25" s="428">
        <f t="shared" si="14"/>
        <v>0</v>
      </c>
      <c r="BE25" s="428">
        <f t="shared" si="15"/>
        <v>0</v>
      </c>
      <c r="BF25" s="1075">
        <f t="shared" si="42"/>
        <v>0</v>
      </c>
      <c r="BG25" s="428">
        <f t="shared" si="43"/>
        <v>0</v>
      </c>
      <c r="BH25" s="974">
        <f t="shared" si="44"/>
        <v>0</v>
      </c>
      <c r="BI25" s="974">
        <f t="shared" si="45"/>
        <v>0</v>
      </c>
      <c r="BJ25" s="974">
        <f t="shared" si="46"/>
        <v>0</v>
      </c>
      <c r="BK25" s="974">
        <f t="shared" si="47"/>
        <v>0</v>
      </c>
      <c r="BL25" s="1075">
        <f t="shared" si="48"/>
        <v>0</v>
      </c>
      <c r="BM25" s="1051">
        <f t="shared" si="49"/>
        <v>0</v>
      </c>
      <c r="BN25" s="1051">
        <f t="shared" si="50"/>
        <v>0</v>
      </c>
    </row>
    <row r="26" spans="1:66" ht="24.95" customHeight="1" x14ac:dyDescent="0.2">
      <c r="A26" s="416">
        <v>18</v>
      </c>
      <c r="B26" s="413" t="str">
        <f>dtsiswa!D24</f>
        <v>Nayla Annora Nobel W</v>
      </c>
      <c r="C26" s="417" t="s">
        <v>4</v>
      </c>
      <c r="D26" s="22"/>
      <c r="E26" s="22"/>
      <c r="F26" s="22"/>
      <c r="G26" s="22"/>
      <c r="H26" s="591" t="str">
        <f t="shared" si="0"/>
        <v xml:space="preserve">  </v>
      </c>
      <c r="I26" s="23"/>
      <c r="J26" s="23"/>
      <c r="K26" s="591" t="str">
        <f t="shared" si="1"/>
        <v xml:space="preserve">  </v>
      </c>
      <c r="L26" s="23"/>
      <c r="M26" s="23"/>
      <c r="N26" s="22"/>
      <c r="O26" s="22"/>
      <c r="P26" s="591" t="str">
        <f t="shared" si="2"/>
        <v xml:space="preserve">  </v>
      </c>
      <c r="Q26" s="22"/>
      <c r="R26" s="27"/>
      <c r="S26" s="27"/>
      <c r="T26" s="591" t="str">
        <f t="shared" si="16"/>
        <v xml:space="preserve">  </v>
      </c>
      <c r="U26" s="27"/>
      <c r="V26" s="27"/>
      <c r="W26" s="591" t="str">
        <f t="shared" si="3"/>
        <v xml:space="preserve">  </v>
      </c>
      <c r="X26" s="422">
        <f t="shared" si="17"/>
        <v>0</v>
      </c>
      <c r="Y26" s="422">
        <f t="shared" si="18"/>
        <v>0</v>
      </c>
      <c r="Z26" s="422">
        <f t="shared" si="19"/>
        <v>0</v>
      </c>
      <c r="AA26" s="422">
        <f t="shared" si="20"/>
        <v>0</v>
      </c>
      <c r="AB26" s="422">
        <f t="shared" si="21"/>
        <v>0</v>
      </c>
      <c r="AC26" s="422">
        <f t="shared" si="22"/>
        <v>0</v>
      </c>
      <c r="AD26" s="423">
        <f t="shared" si="4"/>
        <v>0</v>
      </c>
      <c r="AE26" s="424">
        <f t="shared" si="23"/>
        <v>0</v>
      </c>
      <c r="AF26" s="424">
        <f t="shared" si="24"/>
        <v>0</v>
      </c>
      <c r="AG26" s="424">
        <f t="shared" si="25"/>
        <v>0</v>
      </c>
      <c r="AH26" s="424">
        <f t="shared" si="26"/>
        <v>0</v>
      </c>
      <c r="AI26" s="424">
        <f t="shared" si="27"/>
        <v>0</v>
      </c>
      <c r="AJ26" s="424">
        <f t="shared" si="28"/>
        <v>0</v>
      </c>
      <c r="AK26" s="425">
        <f t="shared" si="29"/>
        <v>0</v>
      </c>
      <c r="AL26" s="425">
        <f t="shared" si="30"/>
        <v>0</v>
      </c>
      <c r="AM26" s="425">
        <f t="shared" si="31"/>
        <v>0</v>
      </c>
      <c r="AN26" s="423">
        <f t="shared" si="6"/>
        <v>0</v>
      </c>
      <c r="AO26" s="429">
        <f t="shared" si="32"/>
        <v>0</v>
      </c>
      <c r="AP26" s="429">
        <f t="shared" si="33"/>
        <v>0</v>
      </c>
      <c r="AQ26" s="429">
        <f t="shared" si="34"/>
        <v>0</v>
      </c>
      <c r="AR26" s="429">
        <f t="shared" si="35"/>
        <v>0</v>
      </c>
      <c r="AS26" s="429">
        <f t="shared" si="36"/>
        <v>0</v>
      </c>
      <c r="AT26" s="429">
        <f t="shared" si="37"/>
        <v>0</v>
      </c>
      <c r="AU26" s="423">
        <f t="shared" si="7"/>
        <v>0</v>
      </c>
      <c r="AV26" s="427">
        <f t="shared" si="8"/>
        <v>0</v>
      </c>
      <c r="AW26" s="427">
        <f t="shared" si="38"/>
        <v>0</v>
      </c>
      <c r="AX26" s="427">
        <f t="shared" si="39"/>
        <v>0</v>
      </c>
      <c r="AY26" s="1075">
        <f t="shared" si="40"/>
        <v>0</v>
      </c>
      <c r="AZ26" s="427">
        <f t="shared" si="11"/>
        <v>0</v>
      </c>
      <c r="BA26" s="427">
        <f t="shared" si="12"/>
        <v>0</v>
      </c>
      <c r="BB26" s="427">
        <f t="shared" si="13"/>
        <v>0</v>
      </c>
      <c r="BC26" s="1075">
        <f t="shared" si="41"/>
        <v>0</v>
      </c>
      <c r="BD26" s="428">
        <f t="shared" si="14"/>
        <v>0</v>
      </c>
      <c r="BE26" s="428">
        <f t="shared" si="15"/>
        <v>0</v>
      </c>
      <c r="BF26" s="1075">
        <f t="shared" si="42"/>
        <v>0</v>
      </c>
      <c r="BG26" s="428">
        <f t="shared" si="43"/>
        <v>0</v>
      </c>
      <c r="BH26" s="974">
        <f t="shared" si="44"/>
        <v>0</v>
      </c>
      <c r="BI26" s="974">
        <f t="shared" si="45"/>
        <v>0</v>
      </c>
      <c r="BJ26" s="974">
        <f t="shared" si="46"/>
        <v>0</v>
      </c>
      <c r="BK26" s="974">
        <f t="shared" si="47"/>
        <v>0</v>
      </c>
      <c r="BL26" s="1075">
        <f t="shared" si="48"/>
        <v>0</v>
      </c>
      <c r="BM26" s="1051">
        <f t="shared" si="49"/>
        <v>0</v>
      </c>
      <c r="BN26" s="1051">
        <f t="shared" si="50"/>
        <v>0</v>
      </c>
    </row>
    <row r="27" spans="1:66" ht="24.95" customHeight="1" x14ac:dyDescent="0.2">
      <c r="A27" s="416">
        <v>19</v>
      </c>
      <c r="B27" s="413" t="str">
        <f>dtsiswa!D25</f>
        <v>Raihan Danang P</v>
      </c>
      <c r="C27" s="417" t="s">
        <v>5</v>
      </c>
      <c r="D27" s="22"/>
      <c r="E27" s="22"/>
      <c r="F27" s="22"/>
      <c r="G27" s="22"/>
      <c r="H27" s="591" t="str">
        <f t="shared" si="0"/>
        <v xml:space="preserve">  </v>
      </c>
      <c r="I27" s="23"/>
      <c r="J27" s="23"/>
      <c r="K27" s="591" t="str">
        <f t="shared" si="1"/>
        <v xml:space="preserve">  </v>
      </c>
      <c r="L27" s="23"/>
      <c r="M27" s="23"/>
      <c r="N27" s="22"/>
      <c r="O27" s="22"/>
      <c r="P27" s="591" t="str">
        <f t="shared" si="2"/>
        <v xml:space="preserve">  </v>
      </c>
      <c r="Q27" s="22"/>
      <c r="R27" s="27"/>
      <c r="S27" s="27"/>
      <c r="T27" s="591" t="str">
        <f t="shared" si="16"/>
        <v xml:space="preserve">  </v>
      </c>
      <c r="U27" s="27"/>
      <c r="V27" s="27"/>
      <c r="W27" s="591" t="str">
        <f t="shared" si="3"/>
        <v xml:space="preserve">  </v>
      </c>
      <c r="X27" s="422">
        <f t="shared" si="17"/>
        <v>0</v>
      </c>
      <c r="Y27" s="422">
        <f t="shared" si="18"/>
        <v>0</v>
      </c>
      <c r="Z27" s="422">
        <f t="shared" si="19"/>
        <v>0</v>
      </c>
      <c r="AA27" s="422">
        <f t="shared" si="20"/>
        <v>0</v>
      </c>
      <c r="AB27" s="422">
        <f t="shared" si="21"/>
        <v>0</v>
      </c>
      <c r="AC27" s="422">
        <f t="shared" si="22"/>
        <v>0</v>
      </c>
      <c r="AD27" s="423">
        <f t="shared" si="4"/>
        <v>0</v>
      </c>
      <c r="AE27" s="424">
        <f t="shared" si="23"/>
        <v>0</v>
      </c>
      <c r="AF27" s="424">
        <f t="shared" si="24"/>
        <v>0</v>
      </c>
      <c r="AG27" s="424">
        <f t="shared" si="25"/>
        <v>0</v>
      </c>
      <c r="AH27" s="424">
        <f t="shared" si="26"/>
        <v>0</v>
      </c>
      <c r="AI27" s="424">
        <f t="shared" si="27"/>
        <v>0</v>
      </c>
      <c r="AJ27" s="424">
        <f t="shared" si="28"/>
        <v>0</v>
      </c>
      <c r="AK27" s="425">
        <f t="shared" si="29"/>
        <v>0</v>
      </c>
      <c r="AL27" s="425">
        <f t="shared" si="30"/>
        <v>0</v>
      </c>
      <c r="AM27" s="425">
        <f t="shared" si="31"/>
        <v>0</v>
      </c>
      <c r="AN27" s="423">
        <f t="shared" si="6"/>
        <v>0</v>
      </c>
      <c r="AO27" s="429">
        <f t="shared" si="32"/>
        <v>0</v>
      </c>
      <c r="AP27" s="429">
        <f t="shared" si="33"/>
        <v>0</v>
      </c>
      <c r="AQ27" s="429">
        <f t="shared" si="34"/>
        <v>0</v>
      </c>
      <c r="AR27" s="429">
        <f t="shared" si="35"/>
        <v>0</v>
      </c>
      <c r="AS27" s="429">
        <f t="shared" si="36"/>
        <v>0</v>
      </c>
      <c r="AT27" s="429">
        <f t="shared" si="37"/>
        <v>0</v>
      </c>
      <c r="AU27" s="423">
        <f t="shared" si="7"/>
        <v>0</v>
      </c>
      <c r="AV27" s="427">
        <f t="shared" si="8"/>
        <v>0</v>
      </c>
      <c r="AW27" s="427">
        <f t="shared" si="38"/>
        <v>0</v>
      </c>
      <c r="AX27" s="427">
        <f t="shared" si="39"/>
        <v>0</v>
      </c>
      <c r="AY27" s="1075">
        <f t="shared" si="40"/>
        <v>0</v>
      </c>
      <c r="AZ27" s="427">
        <f t="shared" si="11"/>
        <v>0</v>
      </c>
      <c r="BA27" s="427">
        <f t="shared" si="12"/>
        <v>0</v>
      </c>
      <c r="BB27" s="427">
        <f t="shared" si="13"/>
        <v>0</v>
      </c>
      <c r="BC27" s="1075">
        <f t="shared" si="41"/>
        <v>0</v>
      </c>
      <c r="BD27" s="428">
        <f t="shared" si="14"/>
        <v>0</v>
      </c>
      <c r="BE27" s="428">
        <f t="shared" si="15"/>
        <v>0</v>
      </c>
      <c r="BF27" s="1075">
        <f t="shared" si="42"/>
        <v>0</v>
      </c>
      <c r="BG27" s="428">
        <f t="shared" si="43"/>
        <v>0</v>
      </c>
      <c r="BH27" s="974">
        <f t="shared" si="44"/>
        <v>0</v>
      </c>
      <c r="BI27" s="974">
        <f t="shared" si="45"/>
        <v>0</v>
      </c>
      <c r="BJ27" s="974">
        <f t="shared" si="46"/>
        <v>0</v>
      </c>
      <c r="BK27" s="974">
        <f t="shared" si="47"/>
        <v>0</v>
      </c>
      <c r="BL27" s="1075">
        <f t="shared" si="48"/>
        <v>0</v>
      </c>
      <c r="BM27" s="1051">
        <f t="shared" si="49"/>
        <v>0</v>
      </c>
      <c r="BN27" s="1051">
        <f t="shared" si="50"/>
        <v>0</v>
      </c>
    </row>
    <row r="28" spans="1:66" ht="24.95" customHeight="1" x14ac:dyDescent="0.2">
      <c r="A28" s="416">
        <v>20</v>
      </c>
      <c r="B28" s="413" t="str">
        <f>dtsiswa!D26</f>
        <v>Roby Ardiyansyah</v>
      </c>
      <c r="C28" s="417" t="s">
        <v>5</v>
      </c>
      <c r="D28" s="22"/>
      <c r="E28" s="22"/>
      <c r="F28" s="22"/>
      <c r="G28" s="22"/>
      <c r="H28" s="591" t="str">
        <f t="shared" si="0"/>
        <v xml:space="preserve">  </v>
      </c>
      <c r="I28" s="23"/>
      <c r="J28" s="23"/>
      <c r="K28" s="591" t="str">
        <f t="shared" si="1"/>
        <v xml:space="preserve">  </v>
      </c>
      <c r="L28" s="23"/>
      <c r="M28" s="23"/>
      <c r="N28" s="22"/>
      <c r="O28" s="22"/>
      <c r="P28" s="591" t="str">
        <f t="shared" si="2"/>
        <v xml:space="preserve">  </v>
      </c>
      <c r="Q28" s="22"/>
      <c r="R28" s="27"/>
      <c r="S28" s="27"/>
      <c r="T28" s="591" t="str">
        <f t="shared" si="16"/>
        <v xml:space="preserve">  </v>
      </c>
      <c r="U28" s="27"/>
      <c r="V28" s="27"/>
      <c r="W28" s="591" t="str">
        <f t="shared" si="3"/>
        <v xml:space="preserve">  </v>
      </c>
      <c r="X28" s="422">
        <f t="shared" si="17"/>
        <v>0</v>
      </c>
      <c r="Y28" s="422">
        <f t="shared" si="18"/>
        <v>0</v>
      </c>
      <c r="Z28" s="422">
        <f t="shared" si="19"/>
        <v>0</v>
      </c>
      <c r="AA28" s="422">
        <f t="shared" si="20"/>
        <v>0</v>
      </c>
      <c r="AB28" s="422">
        <f t="shared" si="21"/>
        <v>0</v>
      </c>
      <c r="AC28" s="422">
        <f t="shared" si="22"/>
        <v>0</v>
      </c>
      <c r="AD28" s="423">
        <f t="shared" si="4"/>
        <v>0</v>
      </c>
      <c r="AE28" s="424">
        <f t="shared" si="23"/>
        <v>0</v>
      </c>
      <c r="AF28" s="424">
        <f t="shared" si="24"/>
        <v>0</v>
      </c>
      <c r="AG28" s="424">
        <f t="shared" si="25"/>
        <v>0</v>
      </c>
      <c r="AH28" s="424">
        <f t="shared" si="26"/>
        <v>0</v>
      </c>
      <c r="AI28" s="424">
        <f t="shared" si="27"/>
        <v>0</v>
      </c>
      <c r="AJ28" s="424">
        <f t="shared" si="28"/>
        <v>0</v>
      </c>
      <c r="AK28" s="425">
        <f t="shared" si="29"/>
        <v>0</v>
      </c>
      <c r="AL28" s="425">
        <f t="shared" si="30"/>
        <v>0</v>
      </c>
      <c r="AM28" s="425">
        <f t="shared" si="31"/>
        <v>0</v>
      </c>
      <c r="AN28" s="423">
        <f t="shared" si="6"/>
        <v>0</v>
      </c>
      <c r="AO28" s="429">
        <f t="shared" si="32"/>
        <v>0</v>
      </c>
      <c r="AP28" s="429">
        <f t="shared" si="33"/>
        <v>0</v>
      </c>
      <c r="AQ28" s="429">
        <f t="shared" si="34"/>
        <v>0</v>
      </c>
      <c r="AR28" s="429">
        <f t="shared" si="35"/>
        <v>0</v>
      </c>
      <c r="AS28" s="429">
        <f t="shared" si="36"/>
        <v>0</v>
      </c>
      <c r="AT28" s="429">
        <f t="shared" si="37"/>
        <v>0</v>
      </c>
      <c r="AU28" s="423">
        <f t="shared" si="7"/>
        <v>0</v>
      </c>
      <c r="AV28" s="427">
        <f t="shared" si="8"/>
        <v>0</v>
      </c>
      <c r="AW28" s="427">
        <f t="shared" si="38"/>
        <v>0</v>
      </c>
      <c r="AX28" s="427">
        <f t="shared" si="39"/>
        <v>0</v>
      </c>
      <c r="AY28" s="1075">
        <f t="shared" si="40"/>
        <v>0</v>
      </c>
      <c r="AZ28" s="427">
        <f t="shared" si="11"/>
        <v>0</v>
      </c>
      <c r="BA28" s="427">
        <f t="shared" si="12"/>
        <v>0</v>
      </c>
      <c r="BB28" s="427">
        <f t="shared" si="13"/>
        <v>0</v>
      </c>
      <c r="BC28" s="1075">
        <f t="shared" si="41"/>
        <v>0</v>
      </c>
      <c r="BD28" s="428">
        <f t="shared" si="14"/>
        <v>0</v>
      </c>
      <c r="BE28" s="428">
        <f t="shared" si="15"/>
        <v>0</v>
      </c>
      <c r="BF28" s="1075">
        <f t="shared" si="42"/>
        <v>0</v>
      </c>
      <c r="BG28" s="428">
        <f t="shared" si="43"/>
        <v>0</v>
      </c>
      <c r="BH28" s="974">
        <f t="shared" si="44"/>
        <v>0</v>
      </c>
      <c r="BI28" s="974">
        <f t="shared" si="45"/>
        <v>0</v>
      </c>
      <c r="BJ28" s="974">
        <f t="shared" si="46"/>
        <v>0</v>
      </c>
      <c r="BK28" s="974">
        <f t="shared" si="47"/>
        <v>0</v>
      </c>
      <c r="BL28" s="1075">
        <f t="shared" si="48"/>
        <v>0</v>
      </c>
      <c r="BM28" s="1051">
        <f t="shared" si="49"/>
        <v>0</v>
      </c>
      <c r="BN28" s="1051">
        <f t="shared" si="50"/>
        <v>0</v>
      </c>
    </row>
    <row r="29" spans="1:66" ht="24.95" customHeight="1" x14ac:dyDescent="0.2">
      <c r="A29" s="416">
        <v>21</v>
      </c>
      <c r="B29" s="413" t="str">
        <f>dtsiswa!D27</f>
        <v>Rojalingga Prana A</v>
      </c>
      <c r="C29" s="419" t="s">
        <v>4</v>
      </c>
      <c r="D29" s="22"/>
      <c r="E29" s="22"/>
      <c r="F29" s="22"/>
      <c r="G29" s="22"/>
      <c r="H29" s="591" t="str">
        <f t="shared" si="0"/>
        <v xml:space="preserve">  </v>
      </c>
      <c r="I29" s="23"/>
      <c r="J29" s="23"/>
      <c r="K29" s="591" t="str">
        <f t="shared" si="1"/>
        <v xml:space="preserve">  </v>
      </c>
      <c r="L29" s="23"/>
      <c r="M29" s="23"/>
      <c r="N29" s="22"/>
      <c r="O29" s="22"/>
      <c r="P29" s="591" t="str">
        <f t="shared" si="2"/>
        <v xml:space="preserve">  </v>
      </c>
      <c r="Q29" s="22"/>
      <c r="R29" s="27"/>
      <c r="S29" s="27"/>
      <c r="T29" s="591" t="str">
        <f t="shared" si="16"/>
        <v xml:space="preserve">  </v>
      </c>
      <c r="U29" s="27"/>
      <c r="V29" s="27"/>
      <c r="W29" s="591" t="str">
        <f t="shared" si="3"/>
        <v xml:space="preserve">  </v>
      </c>
      <c r="X29" s="422">
        <f t="shared" si="17"/>
        <v>0</v>
      </c>
      <c r="Y29" s="422">
        <f t="shared" si="18"/>
        <v>0</v>
      </c>
      <c r="Z29" s="422">
        <f t="shared" si="19"/>
        <v>0</v>
      </c>
      <c r="AA29" s="422">
        <f t="shared" si="20"/>
        <v>0</v>
      </c>
      <c r="AB29" s="422">
        <f t="shared" si="21"/>
        <v>0</v>
      </c>
      <c r="AC29" s="422">
        <f t="shared" si="22"/>
        <v>0</v>
      </c>
      <c r="AD29" s="423">
        <f t="shared" si="4"/>
        <v>0</v>
      </c>
      <c r="AE29" s="424">
        <f t="shared" si="23"/>
        <v>0</v>
      </c>
      <c r="AF29" s="424">
        <f t="shared" si="24"/>
        <v>0</v>
      </c>
      <c r="AG29" s="424">
        <f t="shared" si="25"/>
        <v>0</v>
      </c>
      <c r="AH29" s="424">
        <f t="shared" si="26"/>
        <v>0</v>
      </c>
      <c r="AI29" s="424">
        <f t="shared" si="27"/>
        <v>0</v>
      </c>
      <c r="AJ29" s="424">
        <f t="shared" si="28"/>
        <v>0</v>
      </c>
      <c r="AK29" s="425">
        <f t="shared" si="29"/>
        <v>0</v>
      </c>
      <c r="AL29" s="425">
        <f t="shared" si="30"/>
        <v>0</v>
      </c>
      <c r="AM29" s="425">
        <f t="shared" si="31"/>
        <v>0</v>
      </c>
      <c r="AN29" s="423">
        <f t="shared" si="6"/>
        <v>0</v>
      </c>
      <c r="AO29" s="429">
        <f t="shared" si="32"/>
        <v>0</v>
      </c>
      <c r="AP29" s="429">
        <f t="shared" si="33"/>
        <v>0</v>
      </c>
      <c r="AQ29" s="429">
        <f t="shared" si="34"/>
        <v>0</v>
      </c>
      <c r="AR29" s="429">
        <f t="shared" si="35"/>
        <v>0</v>
      </c>
      <c r="AS29" s="429">
        <f t="shared" si="36"/>
        <v>0</v>
      </c>
      <c r="AT29" s="429">
        <f t="shared" si="37"/>
        <v>0</v>
      </c>
      <c r="AU29" s="423">
        <f t="shared" si="7"/>
        <v>0</v>
      </c>
      <c r="AV29" s="427">
        <f t="shared" si="8"/>
        <v>0</v>
      </c>
      <c r="AW29" s="427">
        <f t="shared" si="38"/>
        <v>0</v>
      </c>
      <c r="AX29" s="427">
        <f t="shared" si="39"/>
        <v>0</v>
      </c>
      <c r="AY29" s="1075">
        <f t="shared" si="40"/>
        <v>0</v>
      </c>
      <c r="AZ29" s="427">
        <f t="shared" si="11"/>
        <v>0</v>
      </c>
      <c r="BA29" s="427">
        <f t="shared" si="12"/>
        <v>0</v>
      </c>
      <c r="BB29" s="427">
        <f t="shared" si="13"/>
        <v>0</v>
      </c>
      <c r="BC29" s="1075">
        <f t="shared" si="41"/>
        <v>0</v>
      </c>
      <c r="BD29" s="428">
        <f t="shared" si="14"/>
        <v>0</v>
      </c>
      <c r="BE29" s="428">
        <f t="shared" si="15"/>
        <v>0</v>
      </c>
      <c r="BF29" s="1075">
        <f t="shared" si="42"/>
        <v>0</v>
      </c>
      <c r="BG29" s="428">
        <f t="shared" si="43"/>
        <v>0</v>
      </c>
      <c r="BH29" s="974">
        <f t="shared" si="44"/>
        <v>0</v>
      </c>
      <c r="BI29" s="974">
        <f t="shared" si="45"/>
        <v>0</v>
      </c>
      <c r="BJ29" s="974">
        <f t="shared" si="46"/>
        <v>0</v>
      </c>
      <c r="BK29" s="974">
        <f t="shared" si="47"/>
        <v>0</v>
      </c>
      <c r="BL29" s="1075">
        <f t="shared" si="48"/>
        <v>0</v>
      </c>
      <c r="BM29" s="1051">
        <f t="shared" si="49"/>
        <v>0</v>
      </c>
      <c r="BN29" s="1051">
        <f t="shared" si="50"/>
        <v>0</v>
      </c>
    </row>
    <row r="30" spans="1:66" ht="24.95" customHeight="1" x14ac:dyDescent="0.25">
      <c r="A30" s="416">
        <v>22</v>
      </c>
      <c r="B30" s="413" t="str">
        <f>dtsiswa!D28</f>
        <v>Sally Savista A</v>
      </c>
      <c r="C30" s="420"/>
      <c r="D30" s="14"/>
      <c r="E30" s="14"/>
      <c r="F30" s="14"/>
      <c r="G30" s="14"/>
      <c r="H30" s="591" t="str">
        <f t="shared" si="0"/>
        <v xml:space="preserve">  </v>
      </c>
      <c r="I30" s="14"/>
      <c r="J30" s="14"/>
      <c r="K30" s="591" t="str">
        <f t="shared" si="1"/>
        <v xml:space="preserve">  </v>
      </c>
      <c r="L30" s="16"/>
      <c r="M30" s="16"/>
      <c r="N30" s="14"/>
      <c r="O30" s="14"/>
      <c r="P30" s="591" t="str">
        <f t="shared" si="2"/>
        <v xml:space="preserve">  </v>
      </c>
      <c r="Q30" s="14"/>
      <c r="R30" s="421"/>
      <c r="S30" s="421"/>
      <c r="T30" s="591" t="str">
        <f t="shared" si="16"/>
        <v xml:space="preserve">  </v>
      </c>
      <c r="U30" s="421"/>
      <c r="V30" s="421"/>
      <c r="W30" s="591" t="str">
        <f t="shared" si="3"/>
        <v xml:space="preserve">  </v>
      </c>
      <c r="X30" s="422">
        <f t="shared" si="17"/>
        <v>0</v>
      </c>
      <c r="Y30" s="422">
        <f t="shared" si="18"/>
        <v>0</v>
      </c>
      <c r="Z30" s="422">
        <f t="shared" si="19"/>
        <v>0</v>
      </c>
      <c r="AA30" s="422">
        <f t="shared" si="20"/>
        <v>0</v>
      </c>
      <c r="AB30" s="422">
        <f t="shared" si="21"/>
        <v>0</v>
      </c>
      <c r="AC30" s="422">
        <f t="shared" si="22"/>
        <v>0</v>
      </c>
      <c r="AD30" s="423">
        <f t="shared" si="4"/>
        <v>0</v>
      </c>
      <c r="AE30" s="424">
        <f t="shared" si="23"/>
        <v>0</v>
      </c>
      <c r="AF30" s="424">
        <f t="shared" si="24"/>
        <v>0</v>
      </c>
      <c r="AG30" s="424">
        <f t="shared" si="25"/>
        <v>0</v>
      </c>
      <c r="AH30" s="424">
        <f t="shared" si="26"/>
        <v>0</v>
      </c>
      <c r="AI30" s="424">
        <f t="shared" si="27"/>
        <v>0</v>
      </c>
      <c r="AJ30" s="424">
        <f t="shared" si="28"/>
        <v>0</v>
      </c>
      <c r="AK30" s="425">
        <f t="shared" si="29"/>
        <v>0</v>
      </c>
      <c r="AL30" s="425">
        <f t="shared" si="30"/>
        <v>0</v>
      </c>
      <c r="AM30" s="425">
        <f t="shared" si="31"/>
        <v>0</v>
      </c>
      <c r="AN30" s="423">
        <f t="shared" si="6"/>
        <v>0</v>
      </c>
      <c r="AO30" s="429">
        <f t="shared" si="32"/>
        <v>0</v>
      </c>
      <c r="AP30" s="429">
        <f t="shared" si="33"/>
        <v>0</v>
      </c>
      <c r="AQ30" s="429">
        <f t="shared" si="34"/>
        <v>0</v>
      </c>
      <c r="AR30" s="429">
        <f t="shared" si="35"/>
        <v>0</v>
      </c>
      <c r="AS30" s="429">
        <f t="shared" si="36"/>
        <v>0</v>
      </c>
      <c r="AT30" s="429">
        <f t="shared" si="37"/>
        <v>0</v>
      </c>
      <c r="AU30" s="423">
        <f t="shared" si="7"/>
        <v>0</v>
      </c>
      <c r="AV30" s="427">
        <f t="shared" si="8"/>
        <v>0</v>
      </c>
      <c r="AW30" s="427">
        <f t="shared" si="38"/>
        <v>0</v>
      </c>
      <c r="AX30" s="427">
        <f t="shared" si="39"/>
        <v>0</v>
      </c>
      <c r="AY30" s="1075">
        <f t="shared" si="40"/>
        <v>0</v>
      </c>
      <c r="AZ30" s="427">
        <f t="shared" si="11"/>
        <v>0</v>
      </c>
      <c r="BA30" s="427">
        <f t="shared" si="12"/>
        <v>0</v>
      </c>
      <c r="BB30" s="427">
        <f t="shared" si="13"/>
        <v>0</v>
      </c>
      <c r="BC30" s="1075">
        <f t="shared" si="41"/>
        <v>0</v>
      </c>
      <c r="BD30" s="428">
        <f t="shared" si="14"/>
        <v>0</v>
      </c>
      <c r="BE30" s="428">
        <f t="shared" si="15"/>
        <v>0</v>
      </c>
      <c r="BF30" s="1075">
        <f t="shared" si="42"/>
        <v>0</v>
      </c>
      <c r="BG30" s="428">
        <f t="shared" si="43"/>
        <v>0</v>
      </c>
      <c r="BH30" s="974">
        <f t="shared" si="44"/>
        <v>0</v>
      </c>
      <c r="BI30" s="974">
        <f t="shared" si="45"/>
        <v>0</v>
      </c>
      <c r="BJ30" s="974">
        <f t="shared" si="46"/>
        <v>0</v>
      </c>
      <c r="BK30" s="974">
        <f t="shared" si="47"/>
        <v>0</v>
      </c>
      <c r="BL30" s="1075">
        <f t="shared" si="48"/>
        <v>0</v>
      </c>
      <c r="BM30" s="1051">
        <f t="shared" si="49"/>
        <v>0</v>
      </c>
      <c r="BN30" s="1051">
        <f t="shared" si="50"/>
        <v>0</v>
      </c>
    </row>
    <row r="31" spans="1:66" ht="24.95" customHeight="1" x14ac:dyDescent="0.25">
      <c r="A31" s="416">
        <v>23</v>
      </c>
      <c r="B31" s="413" t="str">
        <f>dtsiswa!D29</f>
        <v xml:space="preserve">Tania Kaori Angelita </v>
      </c>
      <c r="C31" s="420"/>
      <c r="D31" s="14"/>
      <c r="E31" s="14"/>
      <c r="F31" s="14"/>
      <c r="G31" s="14"/>
      <c r="H31" s="591" t="str">
        <f t="shared" si="0"/>
        <v xml:space="preserve">  </v>
      </c>
      <c r="I31" s="14"/>
      <c r="J31" s="14"/>
      <c r="K31" s="591" t="str">
        <f t="shared" si="1"/>
        <v xml:space="preserve">  </v>
      </c>
      <c r="L31" s="16"/>
      <c r="M31" s="16"/>
      <c r="N31" s="14"/>
      <c r="O31" s="14"/>
      <c r="P31" s="591" t="str">
        <f t="shared" si="2"/>
        <v xml:space="preserve">  </v>
      </c>
      <c r="Q31" s="14"/>
      <c r="R31" s="421"/>
      <c r="S31" s="421"/>
      <c r="T31" s="591" t="str">
        <f t="shared" si="16"/>
        <v xml:space="preserve">  </v>
      </c>
      <c r="U31" s="421"/>
      <c r="V31" s="421"/>
      <c r="W31" s="591" t="str">
        <f t="shared" si="3"/>
        <v xml:space="preserve">  </v>
      </c>
      <c r="X31" s="422">
        <f t="shared" si="17"/>
        <v>0</v>
      </c>
      <c r="Y31" s="422">
        <f t="shared" si="18"/>
        <v>0</v>
      </c>
      <c r="Z31" s="422">
        <f t="shared" si="19"/>
        <v>0</v>
      </c>
      <c r="AA31" s="422">
        <f t="shared" si="20"/>
        <v>0</v>
      </c>
      <c r="AB31" s="422">
        <f t="shared" si="21"/>
        <v>0</v>
      </c>
      <c r="AC31" s="422">
        <f t="shared" si="22"/>
        <v>0</v>
      </c>
      <c r="AD31" s="423">
        <f t="shared" si="4"/>
        <v>0</v>
      </c>
      <c r="AE31" s="424">
        <f t="shared" si="23"/>
        <v>0</v>
      </c>
      <c r="AF31" s="424">
        <f t="shared" si="24"/>
        <v>0</v>
      </c>
      <c r="AG31" s="424">
        <f t="shared" si="25"/>
        <v>0</v>
      </c>
      <c r="AH31" s="424">
        <f t="shared" si="26"/>
        <v>0</v>
      </c>
      <c r="AI31" s="424">
        <f t="shared" si="27"/>
        <v>0</v>
      </c>
      <c r="AJ31" s="424">
        <f t="shared" si="28"/>
        <v>0</v>
      </c>
      <c r="AK31" s="425">
        <f t="shared" si="29"/>
        <v>0</v>
      </c>
      <c r="AL31" s="425">
        <f t="shared" si="30"/>
        <v>0</v>
      </c>
      <c r="AM31" s="425">
        <f t="shared" si="31"/>
        <v>0</v>
      </c>
      <c r="AN31" s="423">
        <f t="shared" si="6"/>
        <v>0</v>
      </c>
      <c r="AO31" s="429">
        <f t="shared" si="32"/>
        <v>0</v>
      </c>
      <c r="AP31" s="429">
        <f t="shared" si="33"/>
        <v>0</v>
      </c>
      <c r="AQ31" s="429">
        <f t="shared" si="34"/>
        <v>0</v>
      </c>
      <c r="AR31" s="429">
        <f t="shared" si="35"/>
        <v>0</v>
      </c>
      <c r="AS31" s="429">
        <f t="shared" si="36"/>
        <v>0</v>
      </c>
      <c r="AT31" s="429">
        <f t="shared" si="37"/>
        <v>0</v>
      </c>
      <c r="AU31" s="423">
        <f t="shared" si="7"/>
        <v>0</v>
      </c>
      <c r="AV31" s="427">
        <f t="shared" si="8"/>
        <v>0</v>
      </c>
      <c r="AW31" s="427">
        <f t="shared" si="38"/>
        <v>0</v>
      </c>
      <c r="AX31" s="427">
        <f t="shared" si="39"/>
        <v>0</v>
      </c>
      <c r="AY31" s="1075">
        <f t="shared" si="40"/>
        <v>0</v>
      </c>
      <c r="AZ31" s="427">
        <f t="shared" si="11"/>
        <v>0</v>
      </c>
      <c r="BA31" s="427">
        <f t="shared" si="12"/>
        <v>0</v>
      </c>
      <c r="BB31" s="427">
        <f t="shared" si="13"/>
        <v>0</v>
      </c>
      <c r="BC31" s="1075">
        <f t="shared" si="41"/>
        <v>0</v>
      </c>
      <c r="BD31" s="428">
        <f t="shared" si="14"/>
        <v>0</v>
      </c>
      <c r="BE31" s="428">
        <f t="shared" si="15"/>
        <v>0</v>
      </c>
      <c r="BF31" s="1075">
        <f t="shared" si="42"/>
        <v>0</v>
      </c>
      <c r="BG31" s="428">
        <f t="shared" si="43"/>
        <v>0</v>
      </c>
      <c r="BH31" s="974">
        <f t="shared" si="44"/>
        <v>0</v>
      </c>
      <c r="BI31" s="974">
        <f t="shared" si="45"/>
        <v>0</v>
      </c>
      <c r="BJ31" s="974">
        <f t="shared" si="46"/>
        <v>0</v>
      </c>
      <c r="BK31" s="974">
        <f t="shared" si="47"/>
        <v>0</v>
      </c>
      <c r="BL31" s="1075">
        <f t="shared" si="48"/>
        <v>0</v>
      </c>
      <c r="BM31" s="1051">
        <f t="shared" si="49"/>
        <v>0</v>
      </c>
      <c r="BN31" s="1051">
        <f t="shared" si="50"/>
        <v>0</v>
      </c>
    </row>
    <row r="32" spans="1:66" ht="24.95" customHeight="1" x14ac:dyDescent="0.25">
      <c r="A32" s="416">
        <v>24</v>
      </c>
      <c r="B32" s="413" t="str">
        <f>dtsiswa!D30</f>
        <v>Romzy Oka Ramadhani P</v>
      </c>
      <c r="C32" s="420"/>
      <c r="D32" s="14"/>
      <c r="E32" s="14"/>
      <c r="F32" s="14"/>
      <c r="G32" s="14"/>
      <c r="H32" s="591" t="str">
        <f t="shared" si="0"/>
        <v xml:space="preserve">  </v>
      </c>
      <c r="I32" s="14"/>
      <c r="J32" s="14"/>
      <c r="K32" s="591" t="str">
        <f t="shared" si="1"/>
        <v xml:space="preserve">  </v>
      </c>
      <c r="L32" s="16"/>
      <c r="M32" s="16"/>
      <c r="N32" s="14"/>
      <c r="O32" s="14"/>
      <c r="P32" s="591" t="str">
        <f t="shared" si="2"/>
        <v xml:space="preserve">  </v>
      </c>
      <c r="Q32" s="14"/>
      <c r="R32" s="421"/>
      <c r="S32" s="421"/>
      <c r="T32" s="591" t="str">
        <f t="shared" si="16"/>
        <v xml:space="preserve">  </v>
      </c>
      <c r="U32" s="421"/>
      <c r="V32" s="421"/>
      <c r="W32" s="591" t="str">
        <f t="shared" si="3"/>
        <v xml:space="preserve">  </v>
      </c>
      <c r="X32" s="422">
        <f t="shared" si="17"/>
        <v>0</v>
      </c>
      <c r="Y32" s="422">
        <f t="shared" si="18"/>
        <v>0</v>
      </c>
      <c r="Z32" s="422">
        <f t="shared" si="19"/>
        <v>0</v>
      </c>
      <c r="AA32" s="422">
        <f t="shared" si="20"/>
        <v>0</v>
      </c>
      <c r="AB32" s="422">
        <f t="shared" si="21"/>
        <v>0</v>
      </c>
      <c r="AC32" s="422">
        <f t="shared" si="22"/>
        <v>0</v>
      </c>
      <c r="AD32" s="423">
        <f t="shared" si="4"/>
        <v>0</v>
      </c>
      <c r="AE32" s="424">
        <f t="shared" si="23"/>
        <v>0</v>
      </c>
      <c r="AF32" s="424">
        <f t="shared" si="24"/>
        <v>0</v>
      </c>
      <c r="AG32" s="424">
        <f t="shared" si="25"/>
        <v>0</v>
      </c>
      <c r="AH32" s="424">
        <f t="shared" si="26"/>
        <v>0</v>
      </c>
      <c r="AI32" s="424">
        <f t="shared" si="27"/>
        <v>0</v>
      </c>
      <c r="AJ32" s="424">
        <f t="shared" si="28"/>
        <v>0</v>
      </c>
      <c r="AK32" s="425">
        <f t="shared" si="29"/>
        <v>0</v>
      </c>
      <c r="AL32" s="425">
        <f t="shared" si="30"/>
        <v>0</v>
      </c>
      <c r="AM32" s="425">
        <f t="shared" si="31"/>
        <v>0</v>
      </c>
      <c r="AN32" s="423">
        <f t="shared" si="6"/>
        <v>0</v>
      </c>
      <c r="AO32" s="429">
        <f t="shared" si="32"/>
        <v>0</v>
      </c>
      <c r="AP32" s="429">
        <f t="shared" si="33"/>
        <v>0</v>
      </c>
      <c r="AQ32" s="429">
        <f t="shared" si="34"/>
        <v>0</v>
      </c>
      <c r="AR32" s="429">
        <f t="shared" si="35"/>
        <v>0</v>
      </c>
      <c r="AS32" s="429">
        <f t="shared" si="36"/>
        <v>0</v>
      </c>
      <c r="AT32" s="429">
        <f t="shared" si="37"/>
        <v>0</v>
      </c>
      <c r="AU32" s="423">
        <f t="shared" si="7"/>
        <v>0</v>
      </c>
      <c r="AV32" s="427">
        <f t="shared" si="8"/>
        <v>0</v>
      </c>
      <c r="AW32" s="427">
        <f t="shared" si="38"/>
        <v>0</v>
      </c>
      <c r="AX32" s="427">
        <f t="shared" si="39"/>
        <v>0</v>
      </c>
      <c r="AY32" s="1075">
        <f t="shared" si="40"/>
        <v>0</v>
      </c>
      <c r="AZ32" s="427">
        <f t="shared" si="11"/>
        <v>0</v>
      </c>
      <c r="BA32" s="427">
        <f t="shared" si="12"/>
        <v>0</v>
      </c>
      <c r="BB32" s="427">
        <f t="shared" si="13"/>
        <v>0</v>
      </c>
      <c r="BC32" s="1075">
        <f t="shared" si="41"/>
        <v>0</v>
      </c>
      <c r="BD32" s="428">
        <f t="shared" si="14"/>
        <v>0</v>
      </c>
      <c r="BE32" s="428">
        <f t="shared" si="15"/>
        <v>0</v>
      </c>
      <c r="BF32" s="1075">
        <f t="shared" si="42"/>
        <v>0</v>
      </c>
      <c r="BG32" s="428">
        <f t="shared" si="43"/>
        <v>0</v>
      </c>
      <c r="BH32" s="974">
        <f t="shared" si="44"/>
        <v>0</v>
      </c>
      <c r="BI32" s="974">
        <f t="shared" si="45"/>
        <v>0</v>
      </c>
      <c r="BJ32" s="974">
        <f t="shared" si="46"/>
        <v>0</v>
      </c>
      <c r="BK32" s="974">
        <f t="shared" si="47"/>
        <v>0</v>
      </c>
      <c r="BL32" s="1075">
        <f t="shared" si="48"/>
        <v>0</v>
      </c>
      <c r="BM32" s="1051">
        <f t="shared" si="49"/>
        <v>0</v>
      </c>
      <c r="BN32" s="1051">
        <f t="shared" si="50"/>
        <v>0</v>
      </c>
    </row>
    <row r="33" spans="1:66" ht="24.95" customHeight="1" x14ac:dyDescent="0.2">
      <c r="A33" s="416">
        <v>25</v>
      </c>
      <c r="B33" s="413" t="str">
        <f>dtsiswa!D31</f>
        <v>Larasati Jagadhita P</v>
      </c>
      <c r="C33" s="410"/>
      <c r="D33" s="410"/>
      <c r="E33" s="916"/>
      <c r="F33" s="410"/>
      <c r="G33" s="410"/>
      <c r="H33" s="591" t="str">
        <f t="shared" si="0"/>
        <v xml:space="preserve">  </v>
      </c>
      <c r="I33" s="410"/>
      <c r="J33" s="410"/>
      <c r="K33" s="591" t="str">
        <f t="shared" si="1"/>
        <v xml:space="preserve">  </v>
      </c>
      <c r="L33" s="410"/>
      <c r="M33" s="916"/>
      <c r="N33" s="410"/>
      <c r="O33" s="410"/>
      <c r="P33" s="591" t="str">
        <f t="shared" si="2"/>
        <v xml:space="preserve">  </v>
      </c>
      <c r="Q33" s="410"/>
      <c r="R33" s="410"/>
      <c r="S33" s="410"/>
      <c r="T33" s="591" t="str">
        <f t="shared" si="16"/>
        <v xml:space="preserve">  </v>
      </c>
      <c r="U33" s="410"/>
      <c r="V33" s="410"/>
      <c r="W33" s="591" t="str">
        <f t="shared" si="3"/>
        <v xml:space="preserve">  </v>
      </c>
      <c r="X33" s="422">
        <f t="shared" si="17"/>
        <v>0</v>
      </c>
      <c r="Y33" s="422">
        <f t="shared" si="18"/>
        <v>0</v>
      </c>
      <c r="Z33" s="422">
        <f t="shared" si="19"/>
        <v>0</v>
      </c>
      <c r="AA33" s="422">
        <f t="shared" si="20"/>
        <v>0</v>
      </c>
      <c r="AB33" s="422">
        <f t="shared" si="21"/>
        <v>0</v>
      </c>
      <c r="AC33" s="422">
        <f t="shared" si="22"/>
        <v>0</v>
      </c>
      <c r="AD33" s="423">
        <f t="shared" si="4"/>
        <v>0</v>
      </c>
      <c r="AE33" s="424">
        <f t="shared" si="23"/>
        <v>0</v>
      </c>
      <c r="AF33" s="424">
        <f t="shared" si="24"/>
        <v>0</v>
      </c>
      <c r="AG33" s="424">
        <f t="shared" si="25"/>
        <v>0</v>
      </c>
      <c r="AH33" s="424">
        <f t="shared" si="26"/>
        <v>0</v>
      </c>
      <c r="AI33" s="424">
        <f t="shared" si="27"/>
        <v>0</v>
      </c>
      <c r="AJ33" s="424">
        <f t="shared" si="28"/>
        <v>0</v>
      </c>
      <c r="AK33" s="425">
        <f t="shared" si="29"/>
        <v>0</v>
      </c>
      <c r="AL33" s="425">
        <f t="shared" si="30"/>
        <v>0</v>
      </c>
      <c r="AM33" s="425">
        <f t="shared" si="31"/>
        <v>0</v>
      </c>
      <c r="AN33" s="423">
        <f t="shared" si="6"/>
        <v>0</v>
      </c>
      <c r="AO33" s="429">
        <f t="shared" si="32"/>
        <v>0</v>
      </c>
      <c r="AP33" s="429">
        <f t="shared" si="33"/>
        <v>0</v>
      </c>
      <c r="AQ33" s="429">
        <f t="shared" si="34"/>
        <v>0</v>
      </c>
      <c r="AR33" s="429">
        <f t="shared" si="35"/>
        <v>0</v>
      </c>
      <c r="AS33" s="429">
        <f t="shared" si="36"/>
        <v>0</v>
      </c>
      <c r="AT33" s="429">
        <f t="shared" si="37"/>
        <v>0</v>
      </c>
      <c r="AU33" s="423">
        <f t="shared" si="7"/>
        <v>0</v>
      </c>
      <c r="AV33" s="427">
        <f t="shared" si="8"/>
        <v>0</v>
      </c>
      <c r="AW33" s="427">
        <f t="shared" si="38"/>
        <v>0</v>
      </c>
      <c r="AX33" s="427">
        <f t="shared" si="39"/>
        <v>0</v>
      </c>
      <c r="AY33" s="1075">
        <f t="shared" si="40"/>
        <v>0</v>
      </c>
      <c r="AZ33" s="427">
        <f t="shared" si="11"/>
        <v>0</v>
      </c>
      <c r="BA33" s="427">
        <f t="shared" si="12"/>
        <v>0</v>
      </c>
      <c r="BB33" s="427">
        <f t="shared" si="13"/>
        <v>0</v>
      </c>
      <c r="BC33" s="1075">
        <f t="shared" si="41"/>
        <v>0</v>
      </c>
      <c r="BD33" s="428">
        <f t="shared" si="14"/>
        <v>0</v>
      </c>
      <c r="BE33" s="428">
        <f t="shared" si="15"/>
        <v>0</v>
      </c>
      <c r="BF33" s="1075">
        <f t="shared" si="42"/>
        <v>0</v>
      </c>
      <c r="BG33" s="428">
        <f t="shared" si="43"/>
        <v>0</v>
      </c>
      <c r="BH33" s="974">
        <f t="shared" si="44"/>
        <v>0</v>
      </c>
      <c r="BI33" s="974">
        <f t="shared" si="45"/>
        <v>0</v>
      </c>
      <c r="BJ33" s="974">
        <f t="shared" si="46"/>
        <v>0</v>
      </c>
      <c r="BK33" s="974">
        <f t="shared" si="47"/>
        <v>0</v>
      </c>
      <c r="BL33" s="1075">
        <f t="shared" si="48"/>
        <v>0</v>
      </c>
      <c r="BM33" s="1051">
        <f t="shared" si="49"/>
        <v>0</v>
      </c>
      <c r="BN33" s="1051">
        <f t="shared" si="50"/>
        <v>0</v>
      </c>
    </row>
    <row r="34" spans="1:66" ht="24.95" customHeight="1" x14ac:dyDescent="0.2">
      <c r="A34" s="416">
        <v>26</v>
      </c>
      <c r="B34" s="413" t="str">
        <f>dtsiswa!D32</f>
        <v>Meliana Citra A</v>
      </c>
      <c r="C34" s="431"/>
      <c r="D34" s="431"/>
      <c r="E34" s="431"/>
      <c r="F34" s="431"/>
      <c r="G34" s="431"/>
      <c r="H34" s="591" t="str">
        <f t="shared" si="0"/>
        <v xml:space="preserve">  </v>
      </c>
      <c r="I34" s="431"/>
      <c r="J34" s="431"/>
      <c r="K34" s="591" t="str">
        <f t="shared" si="1"/>
        <v xml:space="preserve">  </v>
      </c>
      <c r="L34" s="431"/>
      <c r="M34" s="431"/>
      <c r="N34" s="431"/>
      <c r="O34" s="431"/>
      <c r="P34" s="591" t="str">
        <f t="shared" si="2"/>
        <v xml:space="preserve">  </v>
      </c>
      <c r="Q34" s="431"/>
      <c r="R34" s="431"/>
      <c r="S34" s="431"/>
      <c r="T34" s="591" t="str">
        <f t="shared" si="16"/>
        <v xml:space="preserve">  </v>
      </c>
      <c r="U34" s="431"/>
      <c r="V34" s="431"/>
      <c r="W34" s="591" t="str">
        <f t="shared" si="3"/>
        <v xml:space="preserve">  </v>
      </c>
      <c r="X34" s="422">
        <f t="shared" si="17"/>
        <v>0</v>
      </c>
      <c r="Y34" s="422">
        <f t="shared" si="18"/>
        <v>0</v>
      </c>
      <c r="Z34" s="422">
        <f t="shared" si="19"/>
        <v>0</v>
      </c>
      <c r="AA34" s="422">
        <f t="shared" si="20"/>
        <v>0</v>
      </c>
      <c r="AB34" s="422">
        <f t="shared" si="21"/>
        <v>0</v>
      </c>
      <c r="AC34" s="422">
        <f t="shared" si="22"/>
        <v>0</v>
      </c>
      <c r="AD34" s="423">
        <f t="shared" si="4"/>
        <v>0</v>
      </c>
      <c r="AE34" s="424">
        <f t="shared" si="23"/>
        <v>0</v>
      </c>
      <c r="AF34" s="424">
        <f t="shared" si="24"/>
        <v>0</v>
      </c>
      <c r="AG34" s="424">
        <f t="shared" si="25"/>
        <v>0</v>
      </c>
      <c r="AH34" s="424">
        <f t="shared" si="26"/>
        <v>0</v>
      </c>
      <c r="AI34" s="424">
        <f t="shared" si="27"/>
        <v>0</v>
      </c>
      <c r="AJ34" s="424">
        <f t="shared" si="28"/>
        <v>0</v>
      </c>
      <c r="AK34" s="425">
        <f t="shared" si="29"/>
        <v>0</v>
      </c>
      <c r="AL34" s="425">
        <f t="shared" si="30"/>
        <v>0</v>
      </c>
      <c r="AM34" s="425">
        <f t="shared" si="31"/>
        <v>0</v>
      </c>
      <c r="AN34" s="423">
        <f t="shared" si="6"/>
        <v>0</v>
      </c>
      <c r="AO34" s="429">
        <f t="shared" si="32"/>
        <v>0</v>
      </c>
      <c r="AP34" s="429">
        <f t="shared" si="33"/>
        <v>0</v>
      </c>
      <c r="AQ34" s="429">
        <f t="shared" si="34"/>
        <v>0</v>
      </c>
      <c r="AR34" s="429">
        <f t="shared" si="35"/>
        <v>0</v>
      </c>
      <c r="AS34" s="429">
        <f t="shared" si="36"/>
        <v>0</v>
      </c>
      <c r="AT34" s="429">
        <f t="shared" si="37"/>
        <v>0</v>
      </c>
      <c r="AU34" s="423">
        <f t="shared" si="7"/>
        <v>0</v>
      </c>
      <c r="AV34" s="427">
        <f t="shared" si="8"/>
        <v>0</v>
      </c>
      <c r="AW34" s="427">
        <f t="shared" si="38"/>
        <v>0</v>
      </c>
      <c r="AX34" s="427">
        <f t="shared" si="39"/>
        <v>0</v>
      </c>
      <c r="AY34" s="1075">
        <f t="shared" si="40"/>
        <v>0</v>
      </c>
      <c r="AZ34" s="427">
        <f t="shared" si="11"/>
        <v>0</v>
      </c>
      <c r="BA34" s="427">
        <f t="shared" si="12"/>
        <v>0</v>
      </c>
      <c r="BB34" s="427">
        <f t="shared" si="13"/>
        <v>0</v>
      </c>
      <c r="BC34" s="1075">
        <f t="shared" si="41"/>
        <v>0</v>
      </c>
      <c r="BD34" s="428">
        <f t="shared" si="14"/>
        <v>0</v>
      </c>
      <c r="BE34" s="428">
        <f t="shared" si="15"/>
        <v>0</v>
      </c>
      <c r="BF34" s="1075">
        <f t="shared" si="42"/>
        <v>0</v>
      </c>
      <c r="BG34" s="428">
        <f t="shared" si="43"/>
        <v>0</v>
      </c>
      <c r="BH34" s="974">
        <f t="shared" si="44"/>
        <v>0</v>
      </c>
      <c r="BI34" s="974">
        <f t="shared" si="45"/>
        <v>0</v>
      </c>
      <c r="BJ34" s="974">
        <f t="shared" si="46"/>
        <v>0</v>
      </c>
      <c r="BK34" s="974">
        <f t="shared" si="47"/>
        <v>0</v>
      </c>
      <c r="BL34" s="1075">
        <f t="shared" si="48"/>
        <v>0</v>
      </c>
      <c r="BM34" s="1051">
        <f t="shared" si="49"/>
        <v>0</v>
      </c>
      <c r="BN34" s="1051">
        <f t="shared" si="50"/>
        <v>0</v>
      </c>
    </row>
    <row r="35" spans="1:66" ht="24.95" customHeight="1" x14ac:dyDescent="0.2">
      <c r="A35" s="416">
        <v>27</v>
      </c>
      <c r="B35" s="413" t="str">
        <f>dtsiswa!D33</f>
        <v>Mohammad Rizky</v>
      </c>
      <c r="C35" s="431"/>
      <c r="D35" s="431"/>
      <c r="E35" s="431"/>
      <c r="F35" s="431"/>
      <c r="G35" s="431"/>
      <c r="H35" s="591" t="str">
        <f t="shared" si="0"/>
        <v xml:space="preserve">  </v>
      </c>
      <c r="I35" s="431"/>
      <c r="J35" s="431"/>
      <c r="K35" s="591" t="str">
        <f t="shared" si="1"/>
        <v xml:space="preserve">  </v>
      </c>
      <c r="L35" s="431"/>
      <c r="M35" s="431"/>
      <c r="N35" s="431"/>
      <c r="O35" s="431"/>
      <c r="P35" s="591" t="str">
        <f t="shared" si="2"/>
        <v xml:space="preserve">  </v>
      </c>
      <c r="Q35" s="431"/>
      <c r="R35" s="431"/>
      <c r="S35" s="431"/>
      <c r="T35" s="591" t="str">
        <f t="shared" si="16"/>
        <v xml:space="preserve">  </v>
      </c>
      <c r="U35" s="431"/>
      <c r="V35" s="431"/>
      <c r="W35" s="591" t="str">
        <f t="shared" si="3"/>
        <v xml:space="preserve">  </v>
      </c>
      <c r="X35" s="422">
        <f t="shared" si="17"/>
        <v>0</v>
      </c>
      <c r="Y35" s="422">
        <f t="shared" si="18"/>
        <v>0</v>
      </c>
      <c r="Z35" s="422">
        <f t="shared" si="19"/>
        <v>0</v>
      </c>
      <c r="AA35" s="422">
        <f t="shared" si="20"/>
        <v>0</v>
      </c>
      <c r="AB35" s="422">
        <f t="shared" si="21"/>
        <v>0</v>
      </c>
      <c r="AC35" s="422">
        <f t="shared" si="22"/>
        <v>0</v>
      </c>
      <c r="AD35" s="423">
        <f t="shared" si="4"/>
        <v>0</v>
      </c>
      <c r="AE35" s="424">
        <f t="shared" si="23"/>
        <v>0</v>
      </c>
      <c r="AF35" s="424">
        <f t="shared" si="24"/>
        <v>0</v>
      </c>
      <c r="AG35" s="424">
        <f t="shared" si="25"/>
        <v>0</v>
      </c>
      <c r="AH35" s="424">
        <f t="shared" si="26"/>
        <v>0</v>
      </c>
      <c r="AI35" s="424">
        <f t="shared" si="27"/>
        <v>0</v>
      </c>
      <c r="AJ35" s="424">
        <f t="shared" si="28"/>
        <v>0</v>
      </c>
      <c r="AK35" s="425">
        <f t="shared" si="29"/>
        <v>0</v>
      </c>
      <c r="AL35" s="425">
        <f t="shared" si="30"/>
        <v>0</v>
      </c>
      <c r="AM35" s="425">
        <f t="shared" si="31"/>
        <v>0</v>
      </c>
      <c r="AN35" s="423">
        <f t="shared" si="6"/>
        <v>0</v>
      </c>
      <c r="AO35" s="429">
        <f t="shared" si="32"/>
        <v>0</v>
      </c>
      <c r="AP35" s="429">
        <f t="shared" si="33"/>
        <v>0</v>
      </c>
      <c r="AQ35" s="429">
        <f t="shared" si="34"/>
        <v>0</v>
      </c>
      <c r="AR35" s="429">
        <f t="shared" si="35"/>
        <v>0</v>
      </c>
      <c r="AS35" s="429">
        <f t="shared" si="36"/>
        <v>0</v>
      </c>
      <c r="AT35" s="429">
        <f t="shared" si="37"/>
        <v>0</v>
      </c>
      <c r="AU35" s="423">
        <f t="shared" si="7"/>
        <v>0</v>
      </c>
      <c r="AV35" s="427">
        <f t="shared" si="8"/>
        <v>0</v>
      </c>
      <c r="AW35" s="427">
        <f t="shared" si="38"/>
        <v>0</v>
      </c>
      <c r="AX35" s="427">
        <f t="shared" si="39"/>
        <v>0</v>
      </c>
      <c r="AY35" s="1075">
        <f t="shared" si="40"/>
        <v>0</v>
      </c>
      <c r="AZ35" s="427">
        <f t="shared" si="11"/>
        <v>0</v>
      </c>
      <c r="BA35" s="427">
        <f t="shared" si="12"/>
        <v>0</v>
      </c>
      <c r="BB35" s="427">
        <f t="shared" si="13"/>
        <v>0</v>
      </c>
      <c r="BC35" s="1075">
        <f t="shared" si="41"/>
        <v>0</v>
      </c>
      <c r="BD35" s="428">
        <f t="shared" si="14"/>
        <v>0</v>
      </c>
      <c r="BE35" s="428">
        <f t="shared" si="15"/>
        <v>0</v>
      </c>
      <c r="BF35" s="1075">
        <f t="shared" si="42"/>
        <v>0</v>
      </c>
      <c r="BG35" s="428">
        <f t="shared" si="43"/>
        <v>0</v>
      </c>
      <c r="BH35" s="974">
        <f t="shared" si="44"/>
        <v>0</v>
      </c>
      <c r="BI35" s="974">
        <f t="shared" si="45"/>
        <v>0</v>
      </c>
      <c r="BJ35" s="974">
        <f t="shared" si="46"/>
        <v>0</v>
      </c>
      <c r="BK35" s="974">
        <f t="shared" si="47"/>
        <v>0</v>
      </c>
      <c r="BL35" s="1075">
        <f t="shared" si="48"/>
        <v>0</v>
      </c>
      <c r="BM35" s="1051">
        <f t="shared" si="49"/>
        <v>0</v>
      </c>
      <c r="BN35" s="1051">
        <f t="shared" si="50"/>
        <v>0</v>
      </c>
    </row>
    <row r="36" spans="1:66" ht="24.95" customHeight="1" x14ac:dyDescent="0.2">
      <c r="A36" s="416">
        <v>28</v>
      </c>
      <c r="B36" s="413">
        <f>dtsiswa!D34</f>
        <v>0</v>
      </c>
      <c r="C36" s="431"/>
      <c r="D36" s="431"/>
      <c r="E36" s="431"/>
      <c r="F36" s="431"/>
      <c r="G36" s="431"/>
      <c r="H36" s="591" t="str">
        <f t="shared" si="0"/>
        <v xml:space="preserve">  </v>
      </c>
      <c r="I36" s="431"/>
      <c r="J36" s="431"/>
      <c r="K36" s="591" t="str">
        <f t="shared" si="1"/>
        <v xml:space="preserve">  </v>
      </c>
      <c r="L36" s="431"/>
      <c r="M36" s="431"/>
      <c r="N36" s="431"/>
      <c r="O36" s="431"/>
      <c r="P36" s="591" t="str">
        <f t="shared" si="2"/>
        <v xml:space="preserve">  </v>
      </c>
      <c r="Q36" s="431"/>
      <c r="R36" s="431"/>
      <c r="S36" s="431"/>
      <c r="T36" s="591" t="str">
        <f t="shared" si="16"/>
        <v xml:space="preserve">  </v>
      </c>
      <c r="U36" s="431"/>
      <c r="V36" s="431"/>
      <c r="W36" s="591" t="str">
        <f t="shared" si="3"/>
        <v xml:space="preserve">  </v>
      </c>
      <c r="X36" s="422">
        <f t="shared" si="17"/>
        <v>0</v>
      </c>
      <c r="Y36" s="422">
        <f t="shared" si="18"/>
        <v>0</v>
      </c>
      <c r="Z36" s="422">
        <f t="shared" si="19"/>
        <v>0</v>
      </c>
      <c r="AA36" s="422">
        <f t="shared" si="20"/>
        <v>0</v>
      </c>
      <c r="AB36" s="422">
        <f t="shared" si="21"/>
        <v>0</v>
      </c>
      <c r="AC36" s="422">
        <f t="shared" si="22"/>
        <v>0</v>
      </c>
      <c r="AD36" s="423">
        <f t="shared" si="4"/>
        <v>0</v>
      </c>
      <c r="AE36" s="424">
        <f t="shared" si="23"/>
        <v>0</v>
      </c>
      <c r="AF36" s="424">
        <f t="shared" si="24"/>
        <v>0</v>
      </c>
      <c r="AG36" s="424">
        <f t="shared" si="25"/>
        <v>0</v>
      </c>
      <c r="AH36" s="424">
        <f t="shared" si="26"/>
        <v>0</v>
      </c>
      <c r="AI36" s="424">
        <f t="shared" si="27"/>
        <v>0</v>
      </c>
      <c r="AJ36" s="424">
        <f t="shared" si="28"/>
        <v>0</v>
      </c>
      <c r="AK36" s="425">
        <f t="shared" si="29"/>
        <v>0</v>
      </c>
      <c r="AL36" s="425">
        <f t="shared" si="30"/>
        <v>0</v>
      </c>
      <c r="AM36" s="425">
        <f t="shared" si="31"/>
        <v>0</v>
      </c>
      <c r="AN36" s="423">
        <f t="shared" si="6"/>
        <v>0</v>
      </c>
      <c r="AO36" s="429">
        <f t="shared" si="32"/>
        <v>0</v>
      </c>
      <c r="AP36" s="429">
        <f t="shared" si="33"/>
        <v>0</v>
      </c>
      <c r="AQ36" s="429">
        <f t="shared" si="34"/>
        <v>0</v>
      </c>
      <c r="AR36" s="429">
        <f t="shared" si="35"/>
        <v>0</v>
      </c>
      <c r="AS36" s="429">
        <f t="shared" si="36"/>
        <v>0</v>
      </c>
      <c r="AT36" s="429">
        <f t="shared" si="37"/>
        <v>0</v>
      </c>
      <c r="AU36" s="423">
        <f t="shared" si="7"/>
        <v>0</v>
      </c>
      <c r="AV36" s="427">
        <f t="shared" si="8"/>
        <v>0</v>
      </c>
      <c r="AW36" s="427">
        <f t="shared" si="38"/>
        <v>0</v>
      </c>
      <c r="AX36" s="427">
        <f t="shared" si="39"/>
        <v>0</v>
      </c>
      <c r="AY36" s="1075">
        <f t="shared" si="40"/>
        <v>0</v>
      </c>
      <c r="AZ36" s="427">
        <f t="shared" si="11"/>
        <v>0</v>
      </c>
      <c r="BA36" s="427">
        <f t="shared" si="12"/>
        <v>0</v>
      </c>
      <c r="BB36" s="427">
        <f t="shared" si="13"/>
        <v>0</v>
      </c>
      <c r="BC36" s="1075">
        <f t="shared" si="41"/>
        <v>0</v>
      </c>
      <c r="BD36" s="428">
        <f t="shared" si="14"/>
        <v>0</v>
      </c>
      <c r="BE36" s="428">
        <f t="shared" si="15"/>
        <v>0</v>
      </c>
      <c r="BF36" s="1075">
        <f t="shared" si="42"/>
        <v>0</v>
      </c>
      <c r="BG36" s="428">
        <f t="shared" si="43"/>
        <v>0</v>
      </c>
      <c r="BH36" s="974">
        <f t="shared" si="44"/>
        <v>0</v>
      </c>
      <c r="BI36" s="974">
        <f t="shared" si="45"/>
        <v>0</v>
      </c>
      <c r="BJ36" s="974">
        <f t="shared" si="46"/>
        <v>0</v>
      </c>
      <c r="BK36" s="974">
        <f t="shared" si="47"/>
        <v>0</v>
      </c>
      <c r="BL36" s="1075">
        <f t="shared" si="48"/>
        <v>0</v>
      </c>
      <c r="BM36" s="1051">
        <f t="shared" si="49"/>
        <v>0</v>
      </c>
      <c r="BN36" s="1051">
        <f t="shared" si="50"/>
        <v>0</v>
      </c>
    </row>
    <row r="37" spans="1:66" ht="24.95" customHeight="1" x14ac:dyDescent="0.2">
      <c r="A37" s="416">
        <v>29</v>
      </c>
      <c r="B37" s="413">
        <f>dtsiswa!D35</f>
        <v>0</v>
      </c>
      <c r="C37" s="431"/>
      <c r="D37" s="431"/>
      <c r="E37" s="431"/>
      <c r="F37" s="431"/>
      <c r="G37" s="431"/>
      <c r="H37" s="591" t="str">
        <f t="shared" si="0"/>
        <v xml:space="preserve">  </v>
      </c>
      <c r="I37" s="431"/>
      <c r="J37" s="431"/>
      <c r="K37" s="591" t="str">
        <f t="shared" si="1"/>
        <v xml:space="preserve">  </v>
      </c>
      <c r="L37" s="431"/>
      <c r="M37" s="431"/>
      <c r="N37" s="431"/>
      <c r="O37" s="431"/>
      <c r="P37" s="591" t="str">
        <f t="shared" si="2"/>
        <v xml:space="preserve">  </v>
      </c>
      <c r="Q37" s="431"/>
      <c r="R37" s="431"/>
      <c r="S37" s="431"/>
      <c r="T37" s="591" t="str">
        <f t="shared" si="16"/>
        <v xml:space="preserve">  </v>
      </c>
      <c r="U37" s="431"/>
      <c r="V37" s="431"/>
      <c r="W37" s="591" t="str">
        <f t="shared" si="3"/>
        <v xml:space="preserve">  </v>
      </c>
      <c r="X37" s="422">
        <f t="shared" si="17"/>
        <v>0</v>
      </c>
      <c r="Y37" s="422">
        <f t="shared" si="18"/>
        <v>0</v>
      </c>
      <c r="Z37" s="422">
        <f t="shared" si="19"/>
        <v>0</v>
      </c>
      <c r="AA37" s="422">
        <f t="shared" si="20"/>
        <v>0</v>
      </c>
      <c r="AB37" s="422">
        <f t="shared" si="21"/>
        <v>0</v>
      </c>
      <c r="AC37" s="422">
        <f t="shared" si="22"/>
        <v>0</v>
      </c>
      <c r="AD37" s="423">
        <f t="shared" si="4"/>
        <v>0</v>
      </c>
      <c r="AE37" s="424">
        <f t="shared" si="23"/>
        <v>0</v>
      </c>
      <c r="AF37" s="424">
        <f t="shared" si="24"/>
        <v>0</v>
      </c>
      <c r="AG37" s="424">
        <f t="shared" si="25"/>
        <v>0</v>
      </c>
      <c r="AH37" s="424">
        <f t="shared" si="26"/>
        <v>0</v>
      </c>
      <c r="AI37" s="424">
        <f t="shared" si="27"/>
        <v>0</v>
      </c>
      <c r="AJ37" s="424">
        <f t="shared" si="28"/>
        <v>0</v>
      </c>
      <c r="AK37" s="425">
        <f t="shared" si="29"/>
        <v>0</v>
      </c>
      <c r="AL37" s="425">
        <f t="shared" si="30"/>
        <v>0</v>
      </c>
      <c r="AM37" s="425">
        <f t="shared" si="31"/>
        <v>0</v>
      </c>
      <c r="AN37" s="423">
        <f t="shared" si="6"/>
        <v>0</v>
      </c>
      <c r="AO37" s="429">
        <f t="shared" si="32"/>
        <v>0</v>
      </c>
      <c r="AP37" s="429">
        <f t="shared" si="33"/>
        <v>0</v>
      </c>
      <c r="AQ37" s="429">
        <f t="shared" si="34"/>
        <v>0</v>
      </c>
      <c r="AR37" s="429">
        <f t="shared" si="35"/>
        <v>0</v>
      </c>
      <c r="AS37" s="429">
        <f t="shared" si="36"/>
        <v>0</v>
      </c>
      <c r="AT37" s="429">
        <f t="shared" si="37"/>
        <v>0</v>
      </c>
      <c r="AU37" s="423">
        <f t="shared" si="7"/>
        <v>0</v>
      </c>
      <c r="AV37" s="427">
        <f t="shared" si="8"/>
        <v>0</v>
      </c>
      <c r="AW37" s="427">
        <f t="shared" si="38"/>
        <v>0</v>
      </c>
      <c r="AX37" s="427">
        <f t="shared" si="39"/>
        <v>0</v>
      </c>
      <c r="AY37" s="1075">
        <f t="shared" si="40"/>
        <v>0</v>
      </c>
      <c r="AZ37" s="427">
        <f t="shared" si="11"/>
        <v>0</v>
      </c>
      <c r="BA37" s="427">
        <f t="shared" si="12"/>
        <v>0</v>
      </c>
      <c r="BB37" s="427">
        <f t="shared" si="13"/>
        <v>0</v>
      </c>
      <c r="BC37" s="1075">
        <f t="shared" si="41"/>
        <v>0</v>
      </c>
      <c r="BD37" s="428">
        <f t="shared" si="14"/>
        <v>0</v>
      </c>
      <c r="BE37" s="428">
        <f t="shared" si="15"/>
        <v>0</v>
      </c>
      <c r="BF37" s="1075">
        <f t="shared" si="42"/>
        <v>0</v>
      </c>
      <c r="BG37" s="428">
        <f t="shared" si="43"/>
        <v>0</v>
      </c>
      <c r="BH37" s="974">
        <f t="shared" si="44"/>
        <v>0</v>
      </c>
      <c r="BI37" s="974">
        <f t="shared" si="45"/>
        <v>0</v>
      </c>
      <c r="BJ37" s="974">
        <f t="shared" si="46"/>
        <v>0</v>
      </c>
      <c r="BK37" s="974">
        <f t="shared" si="47"/>
        <v>0</v>
      </c>
      <c r="BL37" s="1075">
        <f t="shared" si="48"/>
        <v>0</v>
      </c>
      <c r="BM37" s="1051">
        <f t="shared" si="49"/>
        <v>0</v>
      </c>
      <c r="BN37" s="1051">
        <f t="shared" si="50"/>
        <v>0</v>
      </c>
    </row>
    <row r="38" spans="1:66" ht="24.95" customHeight="1" x14ac:dyDescent="0.2">
      <c r="A38" s="416">
        <v>30</v>
      </c>
      <c r="B38" s="413">
        <f>dtsiswa!D36</f>
        <v>0</v>
      </c>
      <c r="C38" s="431"/>
      <c r="D38" s="431"/>
      <c r="E38" s="431"/>
      <c r="F38" s="431"/>
      <c r="G38" s="431"/>
      <c r="H38" s="591" t="str">
        <f t="shared" si="0"/>
        <v xml:space="preserve">  </v>
      </c>
      <c r="I38" s="431"/>
      <c r="J38" s="431"/>
      <c r="K38" s="591" t="str">
        <f t="shared" si="1"/>
        <v xml:space="preserve">  </v>
      </c>
      <c r="L38" s="431"/>
      <c r="M38" s="431"/>
      <c r="N38" s="431"/>
      <c r="O38" s="431"/>
      <c r="P38" s="591" t="str">
        <f t="shared" si="2"/>
        <v xml:space="preserve">  </v>
      </c>
      <c r="Q38" s="431"/>
      <c r="R38" s="431"/>
      <c r="S38" s="431"/>
      <c r="T38" s="591" t="str">
        <f t="shared" si="16"/>
        <v xml:space="preserve">  </v>
      </c>
      <c r="U38" s="431"/>
      <c r="V38" s="431"/>
      <c r="W38" s="591" t="str">
        <f t="shared" si="3"/>
        <v xml:space="preserve">  </v>
      </c>
      <c r="X38" s="422">
        <f t="shared" si="17"/>
        <v>0</v>
      </c>
      <c r="Y38" s="422">
        <f t="shared" si="18"/>
        <v>0</v>
      </c>
      <c r="Z38" s="422">
        <f t="shared" si="19"/>
        <v>0</v>
      </c>
      <c r="AA38" s="422">
        <f t="shared" si="20"/>
        <v>0</v>
      </c>
      <c r="AB38" s="422">
        <f t="shared" si="21"/>
        <v>0</v>
      </c>
      <c r="AC38" s="422">
        <f t="shared" si="22"/>
        <v>0</v>
      </c>
      <c r="AD38" s="423">
        <f t="shared" si="4"/>
        <v>0</v>
      </c>
      <c r="AE38" s="424">
        <f t="shared" si="23"/>
        <v>0</v>
      </c>
      <c r="AF38" s="424">
        <f t="shared" si="24"/>
        <v>0</v>
      </c>
      <c r="AG38" s="424">
        <f t="shared" si="25"/>
        <v>0</v>
      </c>
      <c r="AH38" s="424">
        <f t="shared" si="26"/>
        <v>0</v>
      </c>
      <c r="AI38" s="424">
        <f t="shared" si="27"/>
        <v>0</v>
      </c>
      <c r="AJ38" s="424">
        <f t="shared" si="28"/>
        <v>0</v>
      </c>
      <c r="AK38" s="425">
        <f t="shared" si="29"/>
        <v>0</v>
      </c>
      <c r="AL38" s="425">
        <f t="shared" si="30"/>
        <v>0</v>
      </c>
      <c r="AM38" s="425">
        <f t="shared" si="31"/>
        <v>0</v>
      </c>
      <c r="AN38" s="423">
        <f t="shared" si="6"/>
        <v>0</v>
      </c>
      <c r="AO38" s="429">
        <f t="shared" si="32"/>
        <v>0</v>
      </c>
      <c r="AP38" s="429">
        <f t="shared" si="33"/>
        <v>0</v>
      </c>
      <c r="AQ38" s="429">
        <f t="shared" si="34"/>
        <v>0</v>
      </c>
      <c r="AR38" s="429">
        <f t="shared" si="35"/>
        <v>0</v>
      </c>
      <c r="AS38" s="429">
        <f t="shared" si="36"/>
        <v>0</v>
      </c>
      <c r="AT38" s="429">
        <f t="shared" si="37"/>
        <v>0</v>
      </c>
      <c r="AU38" s="423">
        <f t="shared" si="7"/>
        <v>0</v>
      </c>
      <c r="AV38" s="427">
        <f t="shared" si="8"/>
        <v>0</v>
      </c>
      <c r="AW38" s="427">
        <f t="shared" si="38"/>
        <v>0</v>
      </c>
      <c r="AX38" s="427">
        <f t="shared" si="39"/>
        <v>0</v>
      </c>
      <c r="AY38" s="1075">
        <f t="shared" si="40"/>
        <v>0</v>
      </c>
      <c r="AZ38" s="427">
        <f t="shared" si="11"/>
        <v>0</v>
      </c>
      <c r="BA38" s="427">
        <f t="shared" si="12"/>
        <v>0</v>
      </c>
      <c r="BB38" s="427">
        <f t="shared" si="13"/>
        <v>0</v>
      </c>
      <c r="BC38" s="1075">
        <f t="shared" si="41"/>
        <v>0</v>
      </c>
      <c r="BD38" s="428">
        <f t="shared" si="14"/>
        <v>0</v>
      </c>
      <c r="BE38" s="428">
        <f t="shared" si="15"/>
        <v>0</v>
      </c>
      <c r="BF38" s="1075">
        <f t="shared" si="42"/>
        <v>0</v>
      </c>
      <c r="BG38" s="428">
        <f t="shared" si="43"/>
        <v>0</v>
      </c>
      <c r="BH38" s="974">
        <f t="shared" si="44"/>
        <v>0</v>
      </c>
      <c r="BI38" s="974">
        <f t="shared" si="45"/>
        <v>0</v>
      </c>
      <c r="BJ38" s="974">
        <f t="shared" si="46"/>
        <v>0</v>
      </c>
      <c r="BK38" s="974">
        <f t="shared" si="47"/>
        <v>0</v>
      </c>
      <c r="BL38" s="1075">
        <f t="shared" si="48"/>
        <v>0</v>
      </c>
      <c r="BM38" s="1051">
        <f t="shared" si="49"/>
        <v>0</v>
      </c>
      <c r="BN38" s="1051">
        <f t="shared" si="50"/>
        <v>0</v>
      </c>
    </row>
    <row r="39" spans="1:66" ht="24.95" customHeight="1" x14ac:dyDescent="0.2">
      <c r="A39" s="416">
        <v>31</v>
      </c>
      <c r="B39" s="413">
        <f>dtsiswa!D37</f>
        <v>0</v>
      </c>
      <c r="C39" s="430"/>
      <c r="D39" s="430"/>
      <c r="E39" s="430"/>
      <c r="F39" s="430"/>
      <c r="G39" s="430"/>
      <c r="H39" s="591"/>
      <c r="I39" s="430"/>
      <c r="J39" s="430"/>
      <c r="K39" s="591" t="str">
        <f t="shared" si="1"/>
        <v xml:space="preserve">  </v>
      </c>
      <c r="L39" s="430"/>
      <c r="M39" s="430"/>
      <c r="N39" s="430"/>
      <c r="O39" s="430"/>
      <c r="P39" s="591" t="str">
        <f t="shared" si="2"/>
        <v xml:space="preserve">  </v>
      </c>
      <c r="Q39" s="430"/>
      <c r="R39" s="430"/>
      <c r="S39" s="430"/>
      <c r="T39" s="591" t="str">
        <f t="shared" si="16"/>
        <v xml:space="preserve">  </v>
      </c>
      <c r="U39" s="430"/>
      <c r="V39" s="430"/>
      <c r="W39" s="591" t="str">
        <f t="shared" si="3"/>
        <v xml:space="preserve">  </v>
      </c>
      <c r="X39" s="422">
        <f t="shared" si="17"/>
        <v>0</v>
      </c>
      <c r="Y39" s="422">
        <f t="shared" si="18"/>
        <v>0</v>
      </c>
      <c r="Z39" s="422">
        <f t="shared" si="19"/>
        <v>0</v>
      </c>
      <c r="AA39" s="422">
        <f t="shared" si="20"/>
        <v>0</v>
      </c>
      <c r="AB39" s="422">
        <f t="shared" si="21"/>
        <v>0</v>
      </c>
      <c r="AC39" s="422">
        <f t="shared" si="22"/>
        <v>0</v>
      </c>
      <c r="AD39" s="423">
        <f t="shared" si="4"/>
        <v>0</v>
      </c>
      <c r="AE39" s="424">
        <f t="shared" si="23"/>
        <v>0</v>
      </c>
      <c r="AF39" s="424">
        <f t="shared" si="24"/>
        <v>0</v>
      </c>
      <c r="AG39" s="424">
        <f t="shared" si="25"/>
        <v>0</v>
      </c>
      <c r="AH39" s="424">
        <f t="shared" si="26"/>
        <v>0</v>
      </c>
      <c r="AI39" s="424">
        <f t="shared" si="27"/>
        <v>0</v>
      </c>
      <c r="AJ39" s="424">
        <f t="shared" si="28"/>
        <v>0</v>
      </c>
      <c r="AK39" s="425">
        <f t="shared" si="29"/>
        <v>0</v>
      </c>
      <c r="AL39" s="425">
        <f t="shared" si="30"/>
        <v>0</v>
      </c>
      <c r="AM39" s="425">
        <f t="shared" si="31"/>
        <v>0</v>
      </c>
      <c r="AN39" s="423">
        <f t="shared" si="6"/>
        <v>0</v>
      </c>
      <c r="AO39" s="429">
        <f t="shared" si="32"/>
        <v>0</v>
      </c>
      <c r="AP39" s="429">
        <f t="shared" si="33"/>
        <v>0</v>
      </c>
      <c r="AQ39" s="429">
        <f t="shared" si="34"/>
        <v>0</v>
      </c>
      <c r="AR39" s="429">
        <f t="shared" si="35"/>
        <v>0</v>
      </c>
      <c r="AS39" s="429">
        <f t="shared" si="36"/>
        <v>0</v>
      </c>
      <c r="AT39" s="429">
        <f t="shared" si="37"/>
        <v>0</v>
      </c>
      <c r="AU39" s="423">
        <f t="shared" si="7"/>
        <v>0</v>
      </c>
      <c r="AV39" s="427">
        <f t="shared" si="8"/>
        <v>0</v>
      </c>
      <c r="AW39" s="427">
        <f t="shared" si="38"/>
        <v>0</v>
      </c>
      <c r="AX39" s="427">
        <f t="shared" si="39"/>
        <v>0</v>
      </c>
      <c r="AY39" s="1075">
        <f t="shared" si="40"/>
        <v>0</v>
      </c>
      <c r="AZ39" s="427">
        <f t="shared" si="11"/>
        <v>0</v>
      </c>
      <c r="BA39" s="427">
        <f t="shared" si="12"/>
        <v>0</v>
      </c>
      <c r="BB39" s="427">
        <f t="shared" si="13"/>
        <v>0</v>
      </c>
      <c r="BC39" s="1075">
        <f t="shared" si="41"/>
        <v>0</v>
      </c>
      <c r="BD39" s="428">
        <f t="shared" si="14"/>
        <v>0</v>
      </c>
      <c r="BE39" s="428">
        <f t="shared" si="15"/>
        <v>0</v>
      </c>
      <c r="BF39" s="1075">
        <f t="shared" si="42"/>
        <v>0</v>
      </c>
      <c r="BG39" s="428">
        <f t="shared" si="43"/>
        <v>0</v>
      </c>
      <c r="BH39" s="974">
        <f t="shared" si="44"/>
        <v>0</v>
      </c>
      <c r="BI39" s="974">
        <f t="shared" si="45"/>
        <v>0</v>
      </c>
      <c r="BJ39" s="974">
        <f t="shared" si="46"/>
        <v>0</v>
      </c>
      <c r="BK39" s="974">
        <f t="shared" si="47"/>
        <v>0</v>
      </c>
      <c r="BL39" s="1075">
        <f t="shared" si="48"/>
        <v>0</v>
      </c>
      <c r="BM39" s="1051">
        <f t="shared" si="49"/>
        <v>0</v>
      </c>
      <c r="BN39" s="1051">
        <f t="shared" si="50"/>
        <v>0</v>
      </c>
    </row>
    <row r="40" spans="1:66" ht="24.95" customHeight="1" x14ac:dyDescent="0.2">
      <c r="A40" s="416">
        <v>32</v>
      </c>
      <c r="B40" s="413">
        <f>dtsiswa!D38</f>
        <v>0</v>
      </c>
      <c r="C40" s="430"/>
      <c r="D40" s="430"/>
      <c r="E40" s="430"/>
      <c r="F40" s="430"/>
      <c r="G40" s="430"/>
      <c r="H40" s="591"/>
      <c r="I40" s="430"/>
      <c r="J40" s="430"/>
      <c r="K40" s="591" t="str">
        <f t="shared" si="1"/>
        <v xml:space="preserve">  </v>
      </c>
      <c r="L40" s="430"/>
      <c r="M40" s="430"/>
      <c r="N40" s="430"/>
      <c r="O40" s="430"/>
      <c r="P40" s="591" t="str">
        <f t="shared" si="2"/>
        <v xml:space="preserve">  </v>
      </c>
      <c r="Q40" s="430"/>
      <c r="R40" s="430"/>
      <c r="S40" s="430"/>
      <c r="T40" s="591" t="str">
        <f t="shared" si="16"/>
        <v xml:space="preserve">  </v>
      </c>
      <c r="U40" s="430"/>
      <c r="V40" s="430"/>
      <c r="W40" s="591" t="str">
        <f t="shared" si="3"/>
        <v xml:space="preserve">  </v>
      </c>
      <c r="X40" s="422">
        <f t="shared" si="17"/>
        <v>0</v>
      </c>
      <c r="Y40" s="422">
        <f t="shared" si="18"/>
        <v>0</v>
      </c>
      <c r="Z40" s="422">
        <f t="shared" si="19"/>
        <v>0</v>
      </c>
      <c r="AA40" s="422">
        <f t="shared" si="20"/>
        <v>0</v>
      </c>
      <c r="AB40" s="422">
        <f t="shared" si="21"/>
        <v>0</v>
      </c>
      <c r="AC40" s="422">
        <f t="shared" si="22"/>
        <v>0</v>
      </c>
      <c r="AD40" s="423">
        <f t="shared" si="4"/>
        <v>0</v>
      </c>
      <c r="AE40" s="424">
        <f t="shared" si="23"/>
        <v>0</v>
      </c>
      <c r="AF40" s="424">
        <f t="shared" si="24"/>
        <v>0</v>
      </c>
      <c r="AG40" s="424">
        <f t="shared" si="25"/>
        <v>0</v>
      </c>
      <c r="AH40" s="424">
        <f t="shared" si="26"/>
        <v>0</v>
      </c>
      <c r="AI40" s="424">
        <f t="shared" si="27"/>
        <v>0</v>
      </c>
      <c r="AJ40" s="424">
        <f t="shared" si="28"/>
        <v>0</v>
      </c>
      <c r="AK40" s="425">
        <f t="shared" si="29"/>
        <v>0</v>
      </c>
      <c r="AL40" s="425">
        <f t="shared" si="30"/>
        <v>0</v>
      </c>
      <c r="AM40" s="425">
        <f t="shared" si="31"/>
        <v>0</v>
      </c>
      <c r="AN40" s="423">
        <f t="shared" si="6"/>
        <v>0</v>
      </c>
      <c r="AO40" s="429">
        <f t="shared" si="32"/>
        <v>0</v>
      </c>
      <c r="AP40" s="429">
        <f t="shared" si="33"/>
        <v>0</v>
      </c>
      <c r="AQ40" s="429">
        <f t="shared" si="34"/>
        <v>0</v>
      </c>
      <c r="AR40" s="429">
        <f t="shared" si="35"/>
        <v>0</v>
      </c>
      <c r="AS40" s="429">
        <f t="shared" si="36"/>
        <v>0</v>
      </c>
      <c r="AT40" s="429">
        <f t="shared" si="37"/>
        <v>0</v>
      </c>
      <c r="AU40" s="423">
        <f t="shared" si="7"/>
        <v>0</v>
      </c>
      <c r="AV40" s="427">
        <f t="shared" si="8"/>
        <v>0</v>
      </c>
      <c r="AW40" s="427">
        <f t="shared" si="38"/>
        <v>0</v>
      </c>
      <c r="AX40" s="427">
        <f t="shared" si="39"/>
        <v>0</v>
      </c>
      <c r="AY40" s="1075">
        <f t="shared" si="40"/>
        <v>0</v>
      </c>
      <c r="AZ40" s="427">
        <f t="shared" si="11"/>
        <v>0</v>
      </c>
      <c r="BA40" s="427">
        <f t="shared" si="12"/>
        <v>0</v>
      </c>
      <c r="BB40" s="427">
        <f t="shared" si="13"/>
        <v>0</v>
      </c>
      <c r="BC40" s="1075">
        <f t="shared" si="41"/>
        <v>0</v>
      </c>
      <c r="BD40" s="428">
        <f t="shared" si="14"/>
        <v>0</v>
      </c>
      <c r="BE40" s="428">
        <f t="shared" si="15"/>
        <v>0</v>
      </c>
      <c r="BF40" s="1075">
        <f t="shared" si="42"/>
        <v>0</v>
      </c>
      <c r="BG40" s="428">
        <f t="shared" si="43"/>
        <v>0</v>
      </c>
      <c r="BH40" s="974">
        <f t="shared" si="44"/>
        <v>0</v>
      </c>
      <c r="BI40" s="974">
        <f t="shared" si="45"/>
        <v>0</v>
      </c>
      <c r="BJ40" s="974">
        <f t="shared" si="46"/>
        <v>0</v>
      </c>
      <c r="BK40" s="974">
        <f t="shared" si="47"/>
        <v>0</v>
      </c>
      <c r="BL40" s="1075">
        <f t="shared" si="48"/>
        <v>0</v>
      </c>
      <c r="BM40" s="1051">
        <f t="shared" si="49"/>
        <v>0</v>
      </c>
      <c r="BN40" s="1051">
        <f t="shared" si="50"/>
        <v>0</v>
      </c>
    </row>
    <row r="41" spans="1:66" ht="24.95" customHeight="1" x14ac:dyDescent="0.2">
      <c r="A41" s="571">
        <v>33</v>
      </c>
      <c r="B41" s="413">
        <f>dtsiswa!D39</f>
        <v>0</v>
      </c>
      <c r="C41" s="431"/>
      <c r="D41" s="431"/>
      <c r="E41" s="431"/>
      <c r="F41" s="431"/>
      <c r="G41" s="431"/>
      <c r="H41" s="591"/>
      <c r="I41" s="431"/>
      <c r="J41" s="431"/>
      <c r="K41" s="591" t="str">
        <f t="shared" si="1"/>
        <v xml:space="preserve">  </v>
      </c>
      <c r="L41" s="431"/>
      <c r="M41" s="431"/>
      <c r="N41" s="431"/>
      <c r="O41" s="431"/>
      <c r="P41" s="591" t="str">
        <f t="shared" si="2"/>
        <v xml:space="preserve">  </v>
      </c>
      <c r="Q41" s="431"/>
      <c r="R41" s="431"/>
      <c r="S41" s="431"/>
      <c r="T41" s="591" t="str">
        <f t="shared" si="16"/>
        <v xml:space="preserve">  </v>
      </c>
      <c r="U41" s="431"/>
      <c r="V41" s="431"/>
      <c r="W41" s="591" t="str">
        <f t="shared" si="3"/>
        <v xml:space="preserve">  </v>
      </c>
      <c r="X41" s="422">
        <f t="shared" si="17"/>
        <v>0</v>
      </c>
      <c r="Y41" s="422">
        <f t="shared" si="18"/>
        <v>0</v>
      </c>
      <c r="Z41" s="422">
        <f t="shared" si="19"/>
        <v>0</v>
      </c>
      <c r="AA41" s="422">
        <f t="shared" si="20"/>
        <v>0</v>
      </c>
      <c r="AB41" s="422">
        <f t="shared" si="21"/>
        <v>0</v>
      </c>
      <c r="AC41" s="422">
        <f t="shared" si="22"/>
        <v>0</v>
      </c>
      <c r="AD41" s="423">
        <f t="shared" si="4"/>
        <v>0</v>
      </c>
      <c r="AE41" s="424">
        <f t="shared" si="23"/>
        <v>0</v>
      </c>
      <c r="AF41" s="424">
        <f t="shared" si="24"/>
        <v>0</v>
      </c>
      <c r="AG41" s="424">
        <f t="shared" si="25"/>
        <v>0</v>
      </c>
      <c r="AH41" s="424">
        <f t="shared" si="26"/>
        <v>0</v>
      </c>
      <c r="AI41" s="424">
        <f t="shared" si="27"/>
        <v>0</v>
      </c>
      <c r="AJ41" s="424">
        <f t="shared" si="28"/>
        <v>0</v>
      </c>
      <c r="AK41" s="425">
        <f t="shared" si="29"/>
        <v>0</v>
      </c>
      <c r="AL41" s="425">
        <f t="shared" si="30"/>
        <v>0</v>
      </c>
      <c r="AM41" s="425">
        <f t="shared" si="31"/>
        <v>0</v>
      </c>
      <c r="AN41" s="423">
        <f t="shared" si="6"/>
        <v>0</v>
      </c>
      <c r="AO41" s="429">
        <f t="shared" si="32"/>
        <v>0</v>
      </c>
      <c r="AP41" s="429">
        <f t="shared" si="33"/>
        <v>0</v>
      </c>
      <c r="AQ41" s="429">
        <f t="shared" si="34"/>
        <v>0</v>
      </c>
      <c r="AR41" s="429">
        <f t="shared" si="35"/>
        <v>0</v>
      </c>
      <c r="AS41" s="429">
        <f t="shared" si="36"/>
        <v>0</v>
      </c>
      <c r="AT41" s="429">
        <f t="shared" si="37"/>
        <v>0</v>
      </c>
      <c r="AU41" s="423">
        <f t="shared" si="7"/>
        <v>0</v>
      </c>
      <c r="AV41" s="427">
        <f t="shared" si="8"/>
        <v>0</v>
      </c>
      <c r="AW41" s="427">
        <f t="shared" si="38"/>
        <v>0</v>
      </c>
      <c r="AX41" s="427">
        <f t="shared" si="39"/>
        <v>0</v>
      </c>
      <c r="AY41" s="1075">
        <f t="shared" si="40"/>
        <v>0</v>
      </c>
      <c r="AZ41" s="427">
        <f t="shared" si="11"/>
        <v>0</v>
      </c>
      <c r="BA41" s="427">
        <f t="shared" si="12"/>
        <v>0</v>
      </c>
      <c r="BB41" s="427">
        <f t="shared" si="13"/>
        <v>0</v>
      </c>
      <c r="BC41" s="1075">
        <f t="shared" si="41"/>
        <v>0</v>
      </c>
      <c r="BD41" s="428">
        <f t="shared" si="14"/>
        <v>0</v>
      </c>
      <c r="BE41" s="428">
        <f t="shared" si="15"/>
        <v>0</v>
      </c>
      <c r="BF41" s="1075">
        <f t="shared" si="42"/>
        <v>0</v>
      </c>
      <c r="BG41" s="428">
        <f t="shared" si="43"/>
        <v>0</v>
      </c>
      <c r="BH41" s="974">
        <f t="shared" si="44"/>
        <v>0</v>
      </c>
      <c r="BI41" s="974">
        <f t="shared" si="45"/>
        <v>0</v>
      </c>
      <c r="BJ41" s="974">
        <f t="shared" si="46"/>
        <v>0</v>
      </c>
      <c r="BK41" s="974">
        <f t="shared" si="47"/>
        <v>0</v>
      </c>
      <c r="BL41" s="1075">
        <f t="shared" si="48"/>
        <v>0</v>
      </c>
      <c r="BM41" s="1051">
        <f t="shared" si="49"/>
        <v>0</v>
      </c>
      <c r="BN41" s="1051">
        <f t="shared" si="50"/>
        <v>0</v>
      </c>
    </row>
    <row r="42" spans="1:66" ht="24.95" customHeight="1" x14ac:dyDescent="0.2">
      <c r="A42" s="571">
        <v>34</v>
      </c>
      <c r="B42" s="413">
        <f>dtsiswa!D40</f>
        <v>0</v>
      </c>
      <c r="C42" s="431"/>
      <c r="D42" s="431"/>
      <c r="E42" s="431"/>
      <c r="F42" s="431"/>
      <c r="G42" s="431"/>
      <c r="H42" s="591"/>
      <c r="I42" s="431"/>
      <c r="J42" s="431"/>
      <c r="K42" s="591" t="str">
        <f t="shared" si="1"/>
        <v xml:space="preserve">  </v>
      </c>
      <c r="L42" s="431"/>
      <c r="M42" s="431"/>
      <c r="N42" s="431"/>
      <c r="O42" s="431"/>
      <c r="P42" s="591" t="str">
        <f t="shared" si="2"/>
        <v xml:space="preserve">  </v>
      </c>
      <c r="Q42" s="431"/>
      <c r="R42" s="431"/>
      <c r="S42" s="431"/>
      <c r="T42" s="591" t="str">
        <f t="shared" si="16"/>
        <v xml:space="preserve">  </v>
      </c>
      <c r="U42" s="431"/>
      <c r="V42" s="431"/>
      <c r="W42" s="591" t="str">
        <f t="shared" si="3"/>
        <v xml:space="preserve">  </v>
      </c>
      <c r="X42" s="422">
        <f t="shared" si="17"/>
        <v>0</v>
      </c>
      <c r="Y42" s="422">
        <f t="shared" si="18"/>
        <v>0</v>
      </c>
      <c r="Z42" s="422">
        <f t="shared" si="19"/>
        <v>0</v>
      </c>
      <c r="AA42" s="422">
        <f t="shared" si="20"/>
        <v>0</v>
      </c>
      <c r="AB42" s="422">
        <f t="shared" si="21"/>
        <v>0</v>
      </c>
      <c r="AC42" s="422">
        <f t="shared" si="22"/>
        <v>0</v>
      </c>
      <c r="AD42" s="423">
        <f t="shared" si="4"/>
        <v>0</v>
      </c>
      <c r="AE42" s="424">
        <f t="shared" si="23"/>
        <v>0</v>
      </c>
      <c r="AF42" s="424">
        <f t="shared" si="24"/>
        <v>0</v>
      </c>
      <c r="AG42" s="424">
        <f t="shared" si="25"/>
        <v>0</v>
      </c>
      <c r="AH42" s="424">
        <f t="shared" si="26"/>
        <v>0</v>
      </c>
      <c r="AI42" s="424">
        <f t="shared" si="27"/>
        <v>0</v>
      </c>
      <c r="AJ42" s="424">
        <f t="shared" si="28"/>
        <v>0</v>
      </c>
      <c r="AK42" s="425">
        <f t="shared" si="29"/>
        <v>0</v>
      </c>
      <c r="AL42" s="425">
        <f t="shared" si="30"/>
        <v>0</v>
      </c>
      <c r="AM42" s="425">
        <f t="shared" si="31"/>
        <v>0</v>
      </c>
      <c r="AN42" s="423">
        <f t="shared" si="6"/>
        <v>0</v>
      </c>
      <c r="AO42" s="429">
        <f t="shared" si="32"/>
        <v>0</v>
      </c>
      <c r="AP42" s="429">
        <f t="shared" si="33"/>
        <v>0</v>
      </c>
      <c r="AQ42" s="429">
        <f t="shared" si="34"/>
        <v>0</v>
      </c>
      <c r="AR42" s="429">
        <f t="shared" si="35"/>
        <v>0</v>
      </c>
      <c r="AS42" s="429">
        <f t="shared" si="36"/>
        <v>0</v>
      </c>
      <c r="AT42" s="429">
        <f t="shared" si="37"/>
        <v>0</v>
      </c>
      <c r="AU42" s="423">
        <f t="shared" si="7"/>
        <v>0</v>
      </c>
      <c r="AV42" s="427">
        <f t="shared" si="8"/>
        <v>0</v>
      </c>
      <c r="AW42" s="427">
        <f t="shared" si="38"/>
        <v>0</v>
      </c>
      <c r="AX42" s="427">
        <f t="shared" si="39"/>
        <v>0</v>
      </c>
      <c r="AY42" s="1075">
        <f t="shared" si="40"/>
        <v>0</v>
      </c>
      <c r="AZ42" s="427">
        <f t="shared" si="11"/>
        <v>0</v>
      </c>
      <c r="BA42" s="427">
        <f t="shared" si="12"/>
        <v>0</v>
      </c>
      <c r="BB42" s="427">
        <f t="shared" si="13"/>
        <v>0</v>
      </c>
      <c r="BC42" s="1075">
        <f t="shared" si="41"/>
        <v>0</v>
      </c>
      <c r="BD42" s="428">
        <f t="shared" si="14"/>
        <v>0</v>
      </c>
      <c r="BE42" s="428">
        <f t="shared" si="15"/>
        <v>0</v>
      </c>
      <c r="BF42" s="1075">
        <f t="shared" si="42"/>
        <v>0</v>
      </c>
      <c r="BG42" s="428">
        <f t="shared" si="43"/>
        <v>0</v>
      </c>
      <c r="BH42" s="974">
        <f t="shared" si="44"/>
        <v>0</v>
      </c>
      <c r="BI42" s="974">
        <f t="shared" si="45"/>
        <v>0</v>
      </c>
      <c r="BJ42" s="974">
        <f t="shared" si="46"/>
        <v>0</v>
      </c>
      <c r="BK42" s="974">
        <f t="shared" si="47"/>
        <v>0</v>
      </c>
      <c r="BL42" s="1075">
        <f t="shared" si="48"/>
        <v>0</v>
      </c>
      <c r="BM42" s="1051">
        <f t="shared" si="49"/>
        <v>0</v>
      </c>
      <c r="BN42" s="1051">
        <f t="shared" si="50"/>
        <v>0</v>
      </c>
    </row>
    <row r="43" spans="1:66" ht="24.95" customHeight="1" x14ac:dyDescent="0.2">
      <c r="A43" s="571">
        <v>35</v>
      </c>
      <c r="B43" s="413">
        <f>dtsiswa!D41</f>
        <v>0</v>
      </c>
      <c r="C43" s="431"/>
      <c r="D43" s="431"/>
      <c r="E43" s="431"/>
      <c r="F43" s="431"/>
      <c r="G43" s="431"/>
      <c r="H43" s="591" t="str">
        <f t="shared" ref="H43:H48" si="51">IFERROR(AVERAGE(D43:G43),"  ")</f>
        <v xml:space="preserve">  </v>
      </c>
      <c r="I43" s="431"/>
      <c r="J43" s="431"/>
      <c r="K43" s="591" t="str">
        <f t="shared" si="1"/>
        <v xml:space="preserve">  </v>
      </c>
      <c r="L43" s="431"/>
      <c r="M43" s="431"/>
      <c r="N43" s="431"/>
      <c r="O43" s="431"/>
      <c r="P43" s="591" t="str">
        <f t="shared" si="2"/>
        <v xml:space="preserve">  </v>
      </c>
      <c r="Q43" s="431"/>
      <c r="R43" s="431"/>
      <c r="S43" s="431"/>
      <c r="T43" s="591" t="str">
        <f t="shared" si="16"/>
        <v xml:space="preserve">  </v>
      </c>
      <c r="U43" s="431"/>
      <c r="V43" s="431"/>
      <c r="W43" s="591" t="str">
        <f t="shared" si="3"/>
        <v xml:space="preserve">  </v>
      </c>
      <c r="X43" s="422">
        <f t="shared" si="17"/>
        <v>0</v>
      </c>
      <c r="Y43" s="422">
        <f t="shared" si="18"/>
        <v>0</v>
      </c>
      <c r="Z43" s="422">
        <f t="shared" si="19"/>
        <v>0</v>
      </c>
      <c r="AA43" s="422">
        <f t="shared" si="20"/>
        <v>0</v>
      </c>
      <c r="AB43" s="422">
        <f t="shared" si="21"/>
        <v>0</v>
      </c>
      <c r="AC43" s="422">
        <f t="shared" si="22"/>
        <v>0</v>
      </c>
      <c r="AD43" s="423">
        <f t="shared" si="4"/>
        <v>0</v>
      </c>
      <c r="AE43" s="424">
        <f t="shared" si="23"/>
        <v>0</v>
      </c>
      <c r="AF43" s="424">
        <f t="shared" si="24"/>
        <v>0</v>
      </c>
      <c r="AG43" s="424">
        <f t="shared" si="25"/>
        <v>0</v>
      </c>
      <c r="AH43" s="424">
        <f t="shared" si="26"/>
        <v>0</v>
      </c>
      <c r="AI43" s="424">
        <f t="shared" si="27"/>
        <v>0</v>
      </c>
      <c r="AJ43" s="424">
        <f t="shared" si="28"/>
        <v>0</v>
      </c>
      <c r="AK43" s="425">
        <f t="shared" si="29"/>
        <v>0</v>
      </c>
      <c r="AL43" s="425">
        <f t="shared" si="30"/>
        <v>0</v>
      </c>
      <c r="AM43" s="425">
        <f t="shared" si="31"/>
        <v>0</v>
      </c>
      <c r="AN43" s="423">
        <f t="shared" si="6"/>
        <v>0</v>
      </c>
      <c r="AO43" s="429">
        <f t="shared" si="32"/>
        <v>0</v>
      </c>
      <c r="AP43" s="429">
        <f t="shared" si="33"/>
        <v>0</v>
      </c>
      <c r="AQ43" s="429">
        <f t="shared" si="34"/>
        <v>0</v>
      </c>
      <c r="AR43" s="429">
        <f t="shared" si="35"/>
        <v>0</v>
      </c>
      <c r="AS43" s="429">
        <f t="shared" si="36"/>
        <v>0</v>
      </c>
      <c r="AT43" s="429">
        <f t="shared" si="37"/>
        <v>0</v>
      </c>
      <c r="AU43" s="423">
        <f t="shared" si="7"/>
        <v>0</v>
      </c>
      <c r="AV43" s="427">
        <f t="shared" si="8"/>
        <v>0</v>
      </c>
      <c r="AW43" s="427">
        <f t="shared" si="38"/>
        <v>0</v>
      </c>
      <c r="AX43" s="427">
        <f t="shared" si="39"/>
        <v>0</v>
      </c>
      <c r="AY43" s="1075">
        <f t="shared" si="40"/>
        <v>0</v>
      </c>
      <c r="AZ43" s="427">
        <f t="shared" si="11"/>
        <v>0</v>
      </c>
      <c r="BA43" s="427">
        <f t="shared" si="12"/>
        <v>0</v>
      </c>
      <c r="BB43" s="427">
        <f t="shared" si="13"/>
        <v>0</v>
      </c>
      <c r="BC43" s="1075">
        <f t="shared" si="41"/>
        <v>0</v>
      </c>
      <c r="BD43" s="428">
        <f t="shared" si="14"/>
        <v>0</v>
      </c>
      <c r="BE43" s="428">
        <f t="shared" si="15"/>
        <v>0</v>
      </c>
      <c r="BF43" s="1075">
        <f t="shared" si="42"/>
        <v>0</v>
      </c>
      <c r="BG43" s="428">
        <f t="shared" si="43"/>
        <v>0</v>
      </c>
      <c r="BH43" s="974">
        <f t="shared" si="44"/>
        <v>0</v>
      </c>
      <c r="BI43" s="974">
        <f t="shared" si="45"/>
        <v>0</v>
      </c>
      <c r="BJ43" s="974">
        <f t="shared" si="46"/>
        <v>0</v>
      </c>
      <c r="BK43" s="974">
        <f t="shared" si="47"/>
        <v>0</v>
      </c>
      <c r="BL43" s="1075">
        <f t="shared" si="48"/>
        <v>0</v>
      </c>
      <c r="BM43" s="1051">
        <f t="shared" si="49"/>
        <v>0</v>
      </c>
      <c r="BN43" s="1051">
        <f t="shared" si="50"/>
        <v>0</v>
      </c>
    </row>
    <row r="44" spans="1:66" ht="24.95" customHeight="1" x14ac:dyDescent="0.2">
      <c r="A44" s="571">
        <v>36</v>
      </c>
      <c r="B44" s="413">
        <f>dtsiswa!D42</f>
        <v>0</v>
      </c>
      <c r="C44" s="431"/>
      <c r="D44" s="431"/>
      <c r="E44" s="431"/>
      <c r="F44" s="431"/>
      <c r="G44" s="431"/>
      <c r="H44" s="591" t="str">
        <f t="shared" si="51"/>
        <v xml:space="preserve">  </v>
      </c>
      <c r="I44" s="431"/>
      <c r="J44" s="431"/>
      <c r="K44" s="591" t="str">
        <f t="shared" si="1"/>
        <v xml:space="preserve">  </v>
      </c>
      <c r="L44" s="431"/>
      <c r="M44" s="431"/>
      <c r="N44" s="431"/>
      <c r="O44" s="431"/>
      <c r="P44" s="591" t="str">
        <f t="shared" si="2"/>
        <v xml:space="preserve">  </v>
      </c>
      <c r="Q44" s="431"/>
      <c r="R44" s="431"/>
      <c r="S44" s="431"/>
      <c r="T44" s="591" t="str">
        <f t="shared" si="16"/>
        <v xml:space="preserve">  </v>
      </c>
      <c r="U44" s="431"/>
      <c r="V44" s="431"/>
      <c r="W44" s="591" t="str">
        <f t="shared" si="3"/>
        <v xml:space="preserve">  </v>
      </c>
      <c r="X44" s="422">
        <f t="shared" si="17"/>
        <v>0</v>
      </c>
      <c r="Y44" s="422">
        <f t="shared" si="18"/>
        <v>0</v>
      </c>
      <c r="Z44" s="422">
        <f t="shared" si="19"/>
        <v>0</v>
      </c>
      <c r="AA44" s="422">
        <f t="shared" si="20"/>
        <v>0</v>
      </c>
      <c r="AB44" s="422">
        <f t="shared" si="21"/>
        <v>0</v>
      </c>
      <c r="AC44" s="422">
        <f t="shared" si="22"/>
        <v>0</v>
      </c>
      <c r="AD44" s="423">
        <f t="shared" si="4"/>
        <v>0</v>
      </c>
      <c r="AE44" s="424">
        <f t="shared" si="23"/>
        <v>0</v>
      </c>
      <c r="AF44" s="424">
        <f t="shared" si="24"/>
        <v>0</v>
      </c>
      <c r="AG44" s="424">
        <f t="shared" si="25"/>
        <v>0</v>
      </c>
      <c r="AH44" s="424">
        <f t="shared" si="26"/>
        <v>0</v>
      </c>
      <c r="AI44" s="424">
        <f t="shared" si="27"/>
        <v>0</v>
      </c>
      <c r="AJ44" s="424">
        <f t="shared" si="28"/>
        <v>0</v>
      </c>
      <c r="AK44" s="425">
        <f t="shared" si="29"/>
        <v>0</v>
      </c>
      <c r="AL44" s="425">
        <f t="shared" si="30"/>
        <v>0</v>
      </c>
      <c r="AM44" s="425">
        <f t="shared" si="31"/>
        <v>0</v>
      </c>
      <c r="AN44" s="423">
        <f t="shared" si="6"/>
        <v>0</v>
      </c>
      <c r="AO44" s="429">
        <f t="shared" si="32"/>
        <v>0</v>
      </c>
      <c r="AP44" s="429">
        <f t="shared" si="33"/>
        <v>0</v>
      </c>
      <c r="AQ44" s="429">
        <f t="shared" si="34"/>
        <v>0</v>
      </c>
      <c r="AR44" s="429">
        <f t="shared" si="35"/>
        <v>0</v>
      </c>
      <c r="AS44" s="429">
        <f t="shared" si="36"/>
        <v>0</v>
      </c>
      <c r="AT44" s="429">
        <f t="shared" si="37"/>
        <v>0</v>
      </c>
      <c r="AU44" s="423">
        <f t="shared" si="7"/>
        <v>0</v>
      </c>
      <c r="AV44" s="427">
        <f t="shared" si="8"/>
        <v>0</v>
      </c>
      <c r="AW44" s="427">
        <f t="shared" si="38"/>
        <v>0</v>
      </c>
      <c r="AX44" s="427">
        <f t="shared" si="39"/>
        <v>0</v>
      </c>
      <c r="AY44" s="1075">
        <f t="shared" si="40"/>
        <v>0</v>
      </c>
      <c r="AZ44" s="427">
        <f t="shared" si="11"/>
        <v>0</v>
      </c>
      <c r="BA44" s="427">
        <f t="shared" si="12"/>
        <v>0</v>
      </c>
      <c r="BB44" s="427">
        <f t="shared" si="13"/>
        <v>0</v>
      </c>
      <c r="BC44" s="1075">
        <f t="shared" si="41"/>
        <v>0</v>
      </c>
      <c r="BD44" s="428">
        <f t="shared" si="14"/>
        <v>0</v>
      </c>
      <c r="BE44" s="428">
        <f t="shared" si="15"/>
        <v>0</v>
      </c>
      <c r="BF44" s="1075">
        <f t="shared" si="42"/>
        <v>0</v>
      </c>
      <c r="BG44" s="428">
        <f t="shared" si="43"/>
        <v>0</v>
      </c>
      <c r="BH44" s="974">
        <f t="shared" si="44"/>
        <v>0</v>
      </c>
      <c r="BI44" s="974">
        <f t="shared" si="45"/>
        <v>0</v>
      </c>
      <c r="BJ44" s="974">
        <f t="shared" si="46"/>
        <v>0</v>
      </c>
      <c r="BK44" s="974">
        <f t="shared" si="47"/>
        <v>0</v>
      </c>
      <c r="BL44" s="1075">
        <f t="shared" si="48"/>
        <v>0</v>
      </c>
      <c r="BM44" s="1051">
        <f t="shared" si="49"/>
        <v>0</v>
      </c>
      <c r="BN44" s="1051">
        <f t="shared" si="50"/>
        <v>0</v>
      </c>
    </row>
    <row r="45" spans="1:66" ht="24.95" customHeight="1" x14ac:dyDescent="0.2">
      <c r="A45" s="571">
        <v>37</v>
      </c>
      <c r="B45" s="413">
        <f>dtsiswa!D43</f>
        <v>0</v>
      </c>
      <c r="C45" s="431"/>
      <c r="D45" s="431"/>
      <c r="E45" s="431"/>
      <c r="F45" s="431"/>
      <c r="G45" s="431"/>
      <c r="H45" s="591" t="str">
        <f t="shared" si="51"/>
        <v xml:space="preserve">  </v>
      </c>
      <c r="I45" s="431"/>
      <c r="J45" s="431"/>
      <c r="K45" s="591" t="str">
        <f t="shared" si="1"/>
        <v xml:space="preserve">  </v>
      </c>
      <c r="L45" s="431"/>
      <c r="M45" s="431"/>
      <c r="N45" s="431"/>
      <c r="O45" s="431"/>
      <c r="P45" s="591" t="str">
        <f t="shared" si="2"/>
        <v xml:space="preserve">  </v>
      </c>
      <c r="Q45" s="431"/>
      <c r="R45" s="431"/>
      <c r="S45" s="431"/>
      <c r="T45" s="591" t="str">
        <f t="shared" si="16"/>
        <v xml:space="preserve">  </v>
      </c>
      <c r="U45" s="431"/>
      <c r="V45" s="431"/>
      <c r="W45" s="591" t="str">
        <f t="shared" si="3"/>
        <v xml:space="preserve">  </v>
      </c>
      <c r="X45" s="422">
        <f t="shared" si="17"/>
        <v>0</v>
      </c>
      <c r="Y45" s="422">
        <f t="shared" si="18"/>
        <v>0</v>
      </c>
      <c r="Z45" s="422">
        <f t="shared" si="19"/>
        <v>0</v>
      </c>
      <c r="AA45" s="422">
        <f t="shared" si="20"/>
        <v>0</v>
      </c>
      <c r="AB45" s="422">
        <f t="shared" si="21"/>
        <v>0</v>
      </c>
      <c r="AC45" s="422">
        <f t="shared" si="22"/>
        <v>0</v>
      </c>
      <c r="AD45" s="423">
        <f t="shared" si="4"/>
        <v>0</v>
      </c>
      <c r="AE45" s="424">
        <f t="shared" si="23"/>
        <v>0</v>
      </c>
      <c r="AF45" s="424">
        <f t="shared" si="24"/>
        <v>0</v>
      </c>
      <c r="AG45" s="424">
        <f t="shared" si="25"/>
        <v>0</v>
      </c>
      <c r="AH45" s="424">
        <f t="shared" si="26"/>
        <v>0</v>
      </c>
      <c r="AI45" s="424">
        <f t="shared" si="27"/>
        <v>0</v>
      </c>
      <c r="AJ45" s="424">
        <f t="shared" si="28"/>
        <v>0</v>
      </c>
      <c r="AK45" s="425">
        <f t="shared" si="29"/>
        <v>0</v>
      </c>
      <c r="AL45" s="425">
        <f t="shared" si="30"/>
        <v>0</v>
      </c>
      <c r="AM45" s="425">
        <f t="shared" si="31"/>
        <v>0</v>
      </c>
      <c r="AN45" s="423">
        <f t="shared" si="6"/>
        <v>0</v>
      </c>
      <c r="AO45" s="429">
        <f t="shared" si="32"/>
        <v>0</v>
      </c>
      <c r="AP45" s="429">
        <f t="shared" si="33"/>
        <v>0</v>
      </c>
      <c r="AQ45" s="429">
        <f t="shared" si="34"/>
        <v>0</v>
      </c>
      <c r="AR45" s="429">
        <f t="shared" si="35"/>
        <v>0</v>
      </c>
      <c r="AS45" s="429">
        <f t="shared" si="36"/>
        <v>0</v>
      </c>
      <c r="AT45" s="429">
        <f t="shared" si="37"/>
        <v>0</v>
      </c>
      <c r="AU45" s="423">
        <f t="shared" si="7"/>
        <v>0</v>
      </c>
      <c r="AV45" s="427">
        <f t="shared" si="8"/>
        <v>0</v>
      </c>
      <c r="AW45" s="427">
        <f t="shared" si="38"/>
        <v>0</v>
      </c>
      <c r="AX45" s="427">
        <f t="shared" si="39"/>
        <v>0</v>
      </c>
      <c r="AY45" s="1075">
        <f t="shared" si="40"/>
        <v>0</v>
      </c>
      <c r="AZ45" s="427">
        <f t="shared" si="11"/>
        <v>0</v>
      </c>
      <c r="BA45" s="427">
        <f t="shared" si="12"/>
        <v>0</v>
      </c>
      <c r="BB45" s="427">
        <f t="shared" si="13"/>
        <v>0</v>
      </c>
      <c r="BC45" s="1075">
        <f t="shared" si="41"/>
        <v>0</v>
      </c>
      <c r="BD45" s="428">
        <f t="shared" si="14"/>
        <v>0</v>
      </c>
      <c r="BE45" s="428">
        <f t="shared" si="15"/>
        <v>0</v>
      </c>
      <c r="BF45" s="1075">
        <f t="shared" si="42"/>
        <v>0</v>
      </c>
      <c r="BG45" s="428">
        <f t="shared" si="43"/>
        <v>0</v>
      </c>
      <c r="BH45" s="974">
        <f t="shared" si="44"/>
        <v>0</v>
      </c>
      <c r="BI45" s="974">
        <f t="shared" si="45"/>
        <v>0</v>
      </c>
      <c r="BJ45" s="974">
        <f t="shared" si="46"/>
        <v>0</v>
      </c>
      <c r="BK45" s="974">
        <f t="shared" si="47"/>
        <v>0</v>
      </c>
      <c r="BL45" s="1075">
        <f t="shared" si="48"/>
        <v>0</v>
      </c>
      <c r="BM45" s="1051">
        <f t="shared" si="49"/>
        <v>0</v>
      </c>
      <c r="BN45" s="1051">
        <f t="shared" si="50"/>
        <v>0</v>
      </c>
    </row>
    <row r="46" spans="1:66" ht="24.95" customHeight="1" x14ac:dyDescent="0.2">
      <c r="A46" s="571">
        <v>38</v>
      </c>
      <c r="B46" s="413">
        <f>dtsiswa!D44</f>
        <v>0</v>
      </c>
      <c r="C46" s="431"/>
      <c r="D46" s="431"/>
      <c r="E46" s="431"/>
      <c r="F46" s="431"/>
      <c r="G46" s="431"/>
      <c r="H46" s="591" t="str">
        <f t="shared" si="51"/>
        <v xml:space="preserve">  </v>
      </c>
      <c r="I46" s="431"/>
      <c r="J46" s="431"/>
      <c r="K46" s="591" t="str">
        <f t="shared" si="1"/>
        <v xml:space="preserve">  </v>
      </c>
      <c r="L46" s="431"/>
      <c r="M46" s="431"/>
      <c r="N46" s="431"/>
      <c r="O46" s="431"/>
      <c r="P46" s="591" t="str">
        <f t="shared" si="2"/>
        <v xml:space="preserve">  </v>
      </c>
      <c r="Q46" s="431"/>
      <c r="R46" s="431"/>
      <c r="S46" s="431"/>
      <c r="T46" s="591" t="str">
        <f t="shared" si="16"/>
        <v xml:space="preserve">  </v>
      </c>
      <c r="U46" s="431"/>
      <c r="V46" s="431"/>
      <c r="W46" s="591" t="str">
        <f t="shared" si="3"/>
        <v xml:space="preserve">  </v>
      </c>
      <c r="X46" s="422">
        <f t="shared" si="17"/>
        <v>0</v>
      </c>
      <c r="Y46" s="422">
        <f t="shared" si="18"/>
        <v>0</v>
      </c>
      <c r="Z46" s="422">
        <f t="shared" si="19"/>
        <v>0</v>
      </c>
      <c r="AA46" s="422">
        <f t="shared" si="20"/>
        <v>0</v>
      </c>
      <c r="AB46" s="422">
        <f t="shared" si="21"/>
        <v>0</v>
      </c>
      <c r="AC46" s="422">
        <f t="shared" si="22"/>
        <v>0</v>
      </c>
      <c r="AD46" s="423">
        <f t="shared" si="4"/>
        <v>0</v>
      </c>
      <c r="AE46" s="424">
        <f t="shared" si="23"/>
        <v>0</v>
      </c>
      <c r="AF46" s="424">
        <f t="shared" si="24"/>
        <v>0</v>
      </c>
      <c r="AG46" s="424">
        <f t="shared" si="25"/>
        <v>0</v>
      </c>
      <c r="AH46" s="424">
        <f t="shared" si="26"/>
        <v>0</v>
      </c>
      <c r="AI46" s="424">
        <f t="shared" si="27"/>
        <v>0</v>
      </c>
      <c r="AJ46" s="424">
        <f t="shared" si="28"/>
        <v>0</v>
      </c>
      <c r="AK46" s="425">
        <f t="shared" si="29"/>
        <v>0</v>
      </c>
      <c r="AL46" s="425">
        <f t="shared" si="30"/>
        <v>0</v>
      </c>
      <c r="AM46" s="425">
        <f t="shared" si="31"/>
        <v>0</v>
      </c>
      <c r="AN46" s="423">
        <f t="shared" si="6"/>
        <v>0</v>
      </c>
      <c r="AO46" s="429">
        <f t="shared" si="32"/>
        <v>0</v>
      </c>
      <c r="AP46" s="429">
        <f t="shared" si="33"/>
        <v>0</v>
      </c>
      <c r="AQ46" s="429">
        <f t="shared" si="34"/>
        <v>0</v>
      </c>
      <c r="AR46" s="429">
        <f t="shared" si="35"/>
        <v>0</v>
      </c>
      <c r="AS46" s="429">
        <f t="shared" si="36"/>
        <v>0</v>
      </c>
      <c r="AT46" s="429">
        <f t="shared" si="37"/>
        <v>0</v>
      </c>
      <c r="AU46" s="423">
        <f t="shared" si="7"/>
        <v>0</v>
      </c>
      <c r="AV46" s="427">
        <f t="shared" si="8"/>
        <v>0</v>
      </c>
      <c r="AW46" s="427">
        <f t="shared" si="38"/>
        <v>0</v>
      </c>
      <c r="AX46" s="427">
        <f t="shared" si="39"/>
        <v>0</v>
      </c>
      <c r="AY46" s="1075">
        <f t="shared" si="40"/>
        <v>0</v>
      </c>
      <c r="AZ46" s="427">
        <f t="shared" si="11"/>
        <v>0</v>
      </c>
      <c r="BA46" s="427">
        <f t="shared" si="12"/>
        <v>0</v>
      </c>
      <c r="BB46" s="427">
        <f t="shared" si="13"/>
        <v>0</v>
      </c>
      <c r="BC46" s="1075">
        <f t="shared" si="41"/>
        <v>0</v>
      </c>
      <c r="BD46" s="428">
        <f t="shared" si="14"/>
        <v>0</v>
      </c>
      <c r="BE46" s="428">
        <f t="shared" si="15"/>
        <v>0</v>
      </c>
      <c r="BF46" s="1075">
        <f t="shared" si="42"/>
        <v>0</v>
      </c>
      <c r="BG46" s="428">
        <f t="shared" si="43"/>
        <v>0</v>
      </c>
      <c r="BH46" s="974">
        <f t="shared" si="44"/>
        <v>0</v>
      </c>
      <c r="BI46" s="974">
        <f t="shared" si="45"/>
        <v>0</v>
      </c>
      <c r="BJ46" s="974">
        <f t="shared" si="46"/>
        <v>0</v>
      </c>
      <c r="BK46" s="974">
        <f t="shared" si="47"/>
        <v>0</v>
      </c>
      <c r="BL46" s="1075">
        <f t="shared" si="48"/>
        <v>0</v>
      </c>
      <c r="BM46" s="1051">
        <f t="shared" si="49"/>
        <v>0</v>
      </c>
      <c r="BN46" s="1051">
        <f t="shared" si="50"/>
        <v>0</v>
      </c>
    </row>
    <row r="47" spans="1:66" ht="24.95" customHeight="1" x14ac:dyDescent="0.2">
      <c r="A47" s="571">
        <v>39</v>
      </c>
      <c r="B47" s="413">
        <f>dtsiswa!D45</f>
        <v>0</v>
      </c>
      <c r="C47" s="431"/>
      <c r="D47" s="431"/>
      <c r="E47" s="431"/>
      <c r="F47" s="431"/>
      <c r="G47" s="431"/>
      <c r="H47" s="591" t="str">
        <f t="shared" si="51"/>
        <v xml:space="preserve">  </v>
      </c>
      <c r="I47" s="431"/>
      <c r="J47" s="431"/>
      <c r="K47" s="591" t="str">
        <f t="shared" si="1"/>
        <v xml:space="preserve">  </v>
      </c>
      <c r="L47" s="431"/>
      <c r="M47" s="431"/>
      <c r="N47" s="431"/>
      <c r="O47" s="431"/>
      <c r="P47" s="591" t="str">
        <f t="shared" si="2"/>
        <v xml:space="preserve">  </v>
      </c>
      <c r="Q47" s="431"/>
      <c r="R47" s="431"/>
      <c r="S47" s="431"/>
      <c r="T47" s="591" t="str">
        <f t="shared" si="16"/>
        <v xml:space="preserve">  </v>
      </c>
      <c r="U47" s="431"/>
      <c r="V47" s="431"/>
      <c r="W47" s="591" t="str">
        <f t="shared" si="3"/>
        <v xml:space="preserve">  </v>
      </c>
      <c r="X47" s="422">
        <f t="shared" si="17"/>
        <v>0</v>
      </c>
      <c r="Y47" s="422">
        <f t="shared" si="18"/>
        <v>0</v>
      </c>
      <c r="Z47" s="422">
        <f t="shared" si="19"/>
        <v>0</v>
      </c>
      <c r="AA47" s="422">
        <f t="shared" si="20"/>
        <v>0</v>
      </c>
      <c r="AB47" s="422">
        <f t="shared" si="21"/>
        <v>0</v>
      </c>
      <c r="AC47" s="422">
        <f t="shared" si="22"/>
        <v>0</v>
      </c>
      <c r="AD47" s="423">
        <f t="shared" si="4"/>
        <v>0</v>
      </c>
      <c r="AE47" s="424">
        <f t="shared" si="23"/>
        <v>0</v>
      </c>
      <c r="AF47" s="424">
        <f t="shared" si="24"/>
        <v>0</v>
      </c>
      <c r="AG47" s="424">
        <f t="shared" si="25"/>
        <v>0</v>
      </c>
      <c r="AH47" s="424">
        <f t="shared" si="26"/>
        <v>0</v>
      </c>
      <c r="AI47" s="424">
        <f t="shared" si="27"/>
        <v>0</v>
      </c>
      <c r="AJ47" s="424">
        <f t="shared" si="28"/>
        <v>0</v>
      </c>
      <c r="AK47" s="425">
        <f t="shared" si="29"/>
        <v>0</v>
      </c>
      <c r="AL47" s="425">
        <f t="shared" si="30"/>
        <v>0</v>
      </c>
      <c r="AM47" s="425">
        <f t="shared" si="31"/>
        <v>0</v>
      </c>
      <c r="AN47" s="423">
        <f t="shared" si="6"/>
        <v>0</v>
      </c>
      <c r="AO47" s="429">
        <f t="shared" si="32"/>
        <v>0</v>
      </c>
      <c r="AP47" s="429">
        <f t="shared" si="33"/>
        <v>0</v>
      </c>
      <c r="AQ47" s="429">
        <f t="shared" si="34"/>
        <v>0</v>
      </c>
      <c r="AR47" s="429">
        <f t="shared" si="35"/>
        <v>0</v>
      </c>
      <c r="AS47" s="429">
        <f t="shared" si="36"/>
        <v>0</v>
      </c>
      <c r="AT47" s="429">
        <f t="shared" si="37"/>
        <v>0</v>
      </c>
      <c r="AU47" s="423">
        <f t="shared" si="7"/>
        <v>0</v>
      </c>
      <c r="AV47" s="427">
        <f t="shared" si="8"/>
        <v>0</v>
      </c>
      <c r="AW47" s="427">
        <f t="shared" si="38"/>
        <v>0</v>
      </c>
      <c r="AX47" s="427">
        <f t="shared" si="39"/>
        <v>0</v>
      </c>
      <c r="AY47" s="1075">
        <f t="shared" si="40"/>
        <v>0</v>
      </c>
      <c r="AZ47" s="427">
        <f t="shared" si="11"/>
        <v>0</v>
      </c>
      <c r="BA47" s="427">
        <f t="shared" si="12"/>
        <v>0</v>
      </c>
      <c r="BB47" s="427">
        <f t="shared" si="13"/>
        <v>0</v>
      </c>
      <c r="BC47" s="1075">
        <f t="shared" si="41"/>
        <v>0</v>
      </c>
      <c r="BD47" s="428">
        <f t="shared" si="14"/>
        <v>0</v>
      </c>
      <c r="BE47" s="428">
        <f t="shared" si="15"/>
        <v>0</v>
      </c>
      <c r="BF47" s="1075">
        <f t="shared" si="42"/>
        <v>0</v>
      </c>
      <c r="BG47" s="428">
        <f t="shared" si="43"/>
        <v>0</v>
      </c>
      <c r="BH47" s="974">
        <f t="shared" si="44"/>
        <v>0</v>
      </c>
      <c r="BI47" s="974">
        <f t="shared" si="45"/>
        <v>0</v>
      </c>
      <c r="BJ47" s="974">
        <f t="shared" si="46"/>
        <v>0</v>
      </c>
      <c r="BK47" s="974">
        <f t="shared" si="47"/>
        <v>0</v>
      </c>
      <c r="BL47" s="1075">
        <f t="shared" si="48"/>
        <v>0</v>
      </c>
      <c r="BM47" s="1051">
        <f t="shared" si="49"/>
        <v>0</v>
      </c>
      <c r="BN47" s="1051">
        <f t="shared" si="50"/>
        <v>0</v>
      </c>
    </row>
    <row r="48" spans="1:66" ht="24.95" customHeight="1" x14ac:dyDescent="0.2">
      <c r="A48" s="571">
        <v>40</v>
      </c>
      <c r="B48" s="413">
        <f>dtsiswa!D46</f>
        <v>0</v>
      </c>
      <c r="C48" s="431"/>
      <c r="D48" s="431"/>
      <c r="E48" s="431"/>
      <c r="F48" s="431"/>
      <c r="G48" s="431"/>
      <c r="H48" s="591" t="str">
        <f t="shared" si="51"/>
        <v xml:space="preserve">  </v>
      </c>
      <c r="I48" s="431"/>
      <c r="J48" s="431"/>
      <c r="K48" s="591" t="str">
        <f t="shared" si="1"/>
        <v xml:space="preserve">  </v>
      </c>
      <c r="L48" s="431"/>
      <c r="M48" s="431"/>
      <c r="N48" s="431"/>
      <c r="O48" s="431"/>
      <c r="P48" s="591" t="str">
        <f t="shared" si="2"/>
        <v xml:space="preserve">  </v>
      </c>
      <c r="Q48" s="431"/>
      <c r="R48" s="431"/>
      <c r="S48" s="431"/>
      <c r="T48" s="591" t="str">
        <f t="shared" si="16"/>
        <v xml:space="preserve">  </v>
      </c>
      <c r="U48" s="431"/>
      <c r="V48" s="431"/>
      <c r="W48" s="591" t="str">
        <f t="shared" si="3"/>
        <v xml:space="preserve">  </v>
      </c>
      <c r="X48" s="422">
        <f t="shared" si="17"/>
        <v>0</v>
      </c>
      <c r="Y48" s="422">
        <f t="shared" si="18"/>
        <v>0</v>
      </c>
      <c r="Z48" s="422">
        <f t="shared" si="19"/>
        <v>0</v>
      </c>
      <c r="AA48" s="422">
        <f t="shared" si="20"/>
        <v>0</v>
      </c>
      <c r="AB48" s="422">
        <f t="shared" si="21"/>
        <v>0</v>
      </c>
      <c r="AC48" s="422">
        <f t="shared" si="22"/>
        <v>0</v>
      </c>
      <c r="AD48" s="423">
        <f t="shared" si="4"/>
        <v>0</v>
      </c>
      <c r="AE48" s="424">
        <f t="shared" si="23"/>
        <v>0</v>
      </c>
      <c r="AF48" s="424">
        <f t="shared" si="24"/>
        <v>0</v>
      </c>
      <c r="AG48" s="424">
        <f t="shared" si="25"/>
        <v>0</v>
      </c>
      <c r="AH48" s="424">
        <f t="shared" si="26"/>
        <v>0</v>
      </c>
      <c r="AI48" s="424">
        <f t="shared" si="27"/>
        <v>0</v>
      </c>
      <c r="AJ48" s="424">
        <f t="shared" si="28"/>
        <v>0</v>
      </c>
      <c r="AK48" s="425">
        <f t="shared" si="29"/>
        <v>0</v>
      </c>
      <c r="AL48" s="425">
        <f t="shared" si="30"/>
        <v>0</v>
      </c>
      <c r="AM48" s="425">
        <f t="shared" si="31"/>
        <v>0</v>
      </c>
      <c r="AN48" s="423">
        <f t="shared" si="6"/>
        <v>0</v>
      </c>
      <c r="AO48" s="429">
        <f t="shared" si="32"/>
        <v>0</v>
      </c>
      <c r="AP48" s="429">
        <f t="shared" si="33"/>
        <v>0</v>
      </c>
      <c r="AQ48" s="429">
        <f t="shared" si="34"/>
        <v>0</v>
      </c>
      <c r="AR48" s="429">
        <f t="shared" si="35"/>
        <v>0</v>
      </c>
      <c r="AS48" s="429">
        <f t="shared" si="36"/>
        <v>0</v>
      </c>
      <c r="AT48" s="429">
        <f t="shared" si="37"/>
        <v>0</v>
      </c>
      <c r="AU48" s="423">
        <f t="shared" si="7"/>
        <v>0</v>
      </c>
      <c r="AV48" s="427">
        <f t="shared" si="8"/>
        <v>0</v>
      </c>
      <c r="AW48" s="427">
        <f t="shared" si="38"/>
        <v>0</v>
      </c>
      <c r="AX48" s="427">
        <f t="shared" si="39"/>
        <v>0</v>
      </c>
      <c r="AY48" s="1075">
        <f t="shared" si="40"/>
        <v>0</v>
      </c>
      <c r="AZ48" s="427">
        <f t="shared" si="11"/>
        <v>0</v>
      </c>
      <c r="BA48" s="427">
        <f t="shared" si="12"/>
        <v>0</v>
      </c>
      <c r="BB48" s="427">
        <f t="shared" si="13"/>
        <v>0</v>
      </c>
      <c r="BC48" s="1075">
        <f t="shared" si="41"/>
        <v>0</v>
      </c>
      <c r="BD48" s="428">
        <f t="shared" si="14"/>
        <v>0</v>
      </c>
      <c r="BE48" s="428">
        <f t="shared" si="15"/>
        <v>0</v>
      </c>
      <c r="BF48" s="1075">
        <f t="shared" si="42"/>
        <v>0</v>
      </c>
      <c r="BG48" s="428">
        <f t="shared" si="43"/>
        <v>0</v>
      </c>
      <c r="BH48" s="974">
        <f t="shared" si="44"/>
        <v>0</v>
      </c>
      <c r="BI48" s="974">
        <f t="shared" si="45"/>
        <v>0</v>
      </c>
      <c r="BJ48" s="974">
        <f t="shared" si="46"/>
        <v>0</v>
      </c>
      <c r="BK48" s="974">
        <f t="shared" si="47"/>
        <v>0</v>
      </c>
      <c r="BL48" s="1075">
        <f t="shared" si="48"/>
        <v>0</v>
      </c>
      <c r="BM48" s="1051">
        <f t="shared" si="49"/>
        <v>0</v>
      </c>
      <c r="BN48" s="1051">
        <f t="shared" si="50"/>
        <v>0</v>
      </c>
    </row>
  </sheetData>
  <mergeCells count="35">
    <mergeCell ref="W6:W8"/>
    <mergeCell ref="AV7:AY7"/>
    <mergeCell ref="H6:H8"/>
    <mergeCell ref="K6:K8"/>
    <mergeCell ref="P6:P8"/>
    <mergeCell ref="T6:T8"/>
    <mergeCell ref="I6:J6"/>
    <mergeCell ref="L6:O6"/>
    <mergeCell ref="Q7:R7"/>
    <mergeCell ref="N7:O7"/>
    <mergeCell ref="Q6:S6"/>
    <mergeCell ref="U6:V6"/>
    <mergeCell ref="AU6:AU8"/>
    <mergeCell ref="AO6:AT7"/>
    <mergeCell ref="AN6:AN8"/>
    <mergeCell ref="AF3:AM3"/>
    <mergeCell ref="X3:Y3"/>
    <mergeCell ref="Z3:AC3"/>
    <mergeCell ref="AD6:AD8"/>
    <mergeCell ref="X6:AC6"/>
    <mergeCell ref="AE7:AM7"/>
    <mergeCell ref="AE6:AM6"/>
    <mergeCell ref="X7:AC7"/>
    <mergeCell ref="A6:A8"/>
    <mergeCell ref="B6:B8"/>
    <mergeCell ref="C6:C8"/>
    <mergeCell ref="D7:F7"/>
    <mergeCell ref="D6:G6"/>
    <mergeCell ref="BJ7:BL7"/>
    <mergeCell ref="BH6:BN6"/>
    <mergeCell ref="BA7:BB7"/>
    <mergeCell ref="BD7:BE7"/>
    <mergeCell ref="AV6:BG6"/>
    <mergeCell ref="BC7:BC8"/>
    <mergeCell ref="BF7:BF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3:AU48"/>
  <sheetViews>
    <sheetView showGridLines="0" workbookViewId="0">
      <pane xSplit="2" ySplit="8" topLeftCell="C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404" customWidth="1"/>
    <col min="2" max="2" width="34.5703125" style="404" customWidth="1"/>
    <col min="3" max="3" width="5.140625" style="404" customWidth="1"/>
    <col min="4" max="4" width="7" style="404" customWidth="1"/>
    <col min="5" max="5" width="6.5703125" style="404" customWidth="1"/>
    <col min="6" max="15" width="4.7109375" style="404" customWidth="1"/>
    <col min="16" max="16" width="5.85546875" style="404" customWidth="1"/>
    <col min="17" max="17" width="6.28515625" style="404" customWidth="1"/>
    <col min="18" max="20" width="5.7109375" style="404" customWidth="1"/>
    <col min="21" max="21" width="6.28515625" style="404" customWidth="1"/>
    <col min="22" max="29" width="5.7109375" style="404" customWidth="1"/>
    <col min="30" max="30" width="6" style="404" customWidth="1"/>
    <col min="31" max="37" width="5.7109375" style="404" customWidth="1"/>
    <col min="38" max="38" width="6.42578125" style="404" customWidth="1"/>
    <col min="39" max="39" width="6.85546875" style="404" customWidth="1"/>
    <col min="40" max="40" width="6.7109375" style="404" customWidth="1"/>
    <col min="41" max="41" width="6.42578125" style="404" customWidth="1"/>
    <col min="42" max="42" width="6.85546875" style="404" customWidth="1"/>
    <col min="43" max="43" width="6.7109375" style="404" customWidth="1"/>
    <col min="44" max="45" width="5.7109375" style="404" customWidth="1"/>
    <col min="46" max="46" width="6.85546875" style="404" customWidth="1"/>
    <col min="47" max="47" width="7" style="404" customWidth="1"/>
    <col min="48" max="16384" width="9.140625" style="404"/>
  </cols>
  <sheetData>
    <row r="3" spans="1:47" s="407" customFormat="1" ht="18" customHeight="1" x14ac:dyDescent="0.2">
      <c r="A3" s="733" t="s">
        <v>41</v>
      </c>
      <c r="C3" s="405"/>
      <c r="D3" s="405"/>
      <c r="E3" s="10"/>
      <c r="F3" s="10"/>
      <c r="G3" s="10"/>
      <c r="H3" s="10"/>
      <c r="I3" s="10"/>
      <c r="J3" s="10"/>
      <c r="K3" s="10"/>
      <c r="L3" s="10"/>
      <c r="M3" s="10"/>
      <c r="N3" s="10"/>
      <c r="O3" s="10"/>
      <c r="P3" s="10"/>
      <c r="Q3" s="10"/>
      <c r="R3" s="2279"/>
      <c r="S3" s="2279"/>
      <c r="T3" s="862"/>
      <c r="U3" s="663"/>
      <c r="V3" s="663"/>
      <c r="W3" s="2279"/>
      <c r="X3" s="2279"/>
      <c r="Y3" s="663"/>
      <c r="Z3" s="663"/>
      <c r="AA3" s="663"/>
      <c r="AB3" s="663"/>
    </row>
    <row r="4" spans="1:47" s="407" customFormat="1" ht="18" customHeight="1" x14ac:dyDescent="0.2">
      <c r="A4" s="408" t="s">
        <v>563</v>
      </c>
      <c r="D4" s="405"/>
      <c r="E4" s="665"/>
      <c r="F4" s="665"/>
      <c r="G4" s="865"/>
      <c r="H4" s="865"/>
      <c r="I4" s="665"/>
      <c r="J4" s="865"/>
      <c r="K4" s="865"/>
      <c r="L4" s="665"/>
      <c r="M4" s="665"/>
      <c r="N4" s="665"/>
      <c r="O4" s="665"/>
      <c r="P4" s="10"/>
      <c r="Q4" s="10"/>
      <c r="W4" s="663"/>
      <c r="X4" s="663"/>
      <c r="Y4" s="663"/>
      <c r="Z4" s="663"/>
      <c r="AA4" s="663"/>
      <c r="AB4" s="663"/>
    </row>
    <row r="5" spans="1:47" s="735" customFormat="1" ht="18.75" customHeight="1" thickBot="1" x14ac:dyDescent="0.25">
      <c r="A5" s="734">
        <v>1</v>
      </c>
      <c r="B5" s="734">
        <v>2</v>
      </c>
      <c r="C5" s="734">
        <v>3</v>
      </c>
      <c r="D5" s="734">
        <v>4</v>
      </c>
      <c r="E5" s="734">
        <v>5</v>
      </c>
      <c r="F5" s="734">
        <v>6</v>
      </c>
      <c r="G5" s="734">
        <v>7</v>
      </c>
      <c r="H5" s="734">
        <v>8</v>
      </c>
      <c r="I5" s="734">
        <v>9</v>
      </c>
      <c r="J5" s="734">
        <v>10</v>
      </c>
      <c r="K5" s="734">
        <v>11</v>
      </c>
      <c r="L5" s="734">
        <v>12</v>
      </c>
      <c r="M5" s="734">
        <v>13</v>
      </c>
      <c r="N5" s="734">
        <v>14</v>
      </c>
      <c r="O5" s="734">
        <v>15</v>
      </c>
      <c r="P5" s="734">
        <v>16</v>
      </c>
      <c r="Q5" s="734">
        <v>17</v>
      </c>
      <c r="R5" s="1078">
        <v>18</v>
      </c>
      <c r="S5" s="1078">
        <v>19</v>
      </c>
      <c r="T5" s="1078">
        <v>20</v>
      </c>
      <c r="U5" s="734">
        <v>21</v>
      </c>
      <c r="V5" s="1078">
        <v>22</v>
      </c>
      <c r="W5" s="1078">
        <v>23</v>
      </c>
      <c r="X5" s="1078">
        <v>24</v>
      </c>
      <c r="Y5" s="734">
        <v>25</v>
      </c>
      <c r="Z5" s="1078">
        <v>26</v>
      </c>
      <c r="AA5" s="1078">
        <v>27</v>
      </c>
      <c r="AB5" s="1078">
        <v>28</v>
      </c>
      <c r="AC5" s="734">
        <v>29</v>
      </c>
      <c r="AD5" s="734">
        <v>30</v>
      </c>
      <c r="AE5" s="734">
        <v>31</v>
      </c>
      <c r="AF5" s="734">
        <v>32</v>
      </c>
      <c r="AG5" s="734">
        <v>33</v>
      </c>
      <c r="AH5" s="734"/>
      <c r="AI5" s="734">
        <v>34</v>
      </c>
      <c r="AJ5" s="734">
        <v>35</v>
      </c>
      <c r="AK5" s="734"/>
      <c r="AL5" s="734">
        <v>36</v>
      </c>
      <c r="AM5" s="734">
        <v>37</v>
      </c>
      <c r="AN5" s="734">
        <v>38</v>
      </c>
      <c r="AO5" s="734">
        <v>39</v>
      </c>
      <c r="AP5" s="734">
        <v>40</v>
      </c>
      <c r="AQ5" s="734">
        <v>41</v>
      </c>
      <c r="AR5" s="734">
        <v>42</v>
      </c>
      <c r="AS5" s="734">
        <v>43</v>
      </c>
      <c r="AT5" s="734">
        <v>44</v>
      </c>
      <c r="AU5" s="734">
        <v>45</v>
      </c>
    </row>
    <row r="6" spans="1:47" s="409" customFormat="1" ht="24" customHeight="1" x14ac:dyDescent="0.25">
      <c r="A6" s="2268" t="s">
        <v>0</v>
      </c>
      <c r="B6" s="2271" t="s">
        <v>1</v>
      </c>
      <c r="C6" s="2313" t="s">
        <v>3</v>
      </c>
      <c r="D6" s="2316" t="s">
        <v>44</v>
      </c>
      <c r="E6" s="2317"/>
      <c r="F6" s="2319" t="s">
        <v>45</v>
      </c>
      <c r="G6" s="2320"/>
      <c r="H6" s="2320"/>
      <c r="I6" s="2320"/>
      <c r="J6" s="2320"/>
      <c r="K6" s="2321"/>
      <c r="L6" s="2298" t="s">
        <v>46</v>
      </c>
      <c r="M6" s="2298"/>
      <c r="N6" s="2298"/>
      <c r="O6" s="2298"/>
      <c r="P6" s="2297" t="s">
        <v>47</v>
      </c>
      <c r="Q6" s="2297"/>
      <c r="R6" s="2318" t="s">
        <v>15</v>
      </c>
      <c r="S6" s="2318"/>
      <c r="T6" s="2318"/>
      <c r="U6" s="2280" t="s">
        <v>161</v>
      </c>
      <c r="V6" s="2318" t="s">
        <v>6</v>
      </c>
      <c r="W6" s="2318"/>
      <c r="X6" s="2318"/>
      <c r="Y6" s="2304" t="s">
        <v>40</v>
      </c>
      <c r="Z6" s="2327" t="s">
        <v>162</v>
      </c>
      <c r="AA6" s="2328"/>
      <c r="AB6" s="2328"/>
      <c r="AC6" s="2300" t="s">
        <v>24</v>
      </c>
      <c r="AD6" s="2263" t="s">
        <v>25</v>
      </c>
      <c r="AE6" s="2264"/>
      <c r="AF6" s="2264"/>
      <c r="AG6" s="2264"/>
      <c r="AH6" s="2264"/>
      <c r="AI6" s="2264"/>
      <c r="AJ6" s="2264"/>
      <c r="AK6" s="2264"/>
      <c r="AL6" s="2264"/>
      <c r="AM6" s="2332" t="s">
        <v>164</v>
      </c>
      <c r="AN6" s="2333"/>
      <c r="AO6" s="2333"/>
      <c r="AP6" s="2333"/>
      <c r="AQ6" s="2333"/>
      <c r="AR6" s="2333"/>
      <c r="AS6" s="2333"/>
      <c r="AT6" s="2333"/>
      <c r="AU6" s="2333"/>
    </row>
    <row r="7" spans="1:47" s="411" customFormat="1" ht="25.5" customHeight="1" x14ac:dyDescent="0.25">
      <c r="A7" s="2269"/>
      <c r="B7" s="2272"/>
      <c r="C7" s="2314"/>
      <c r="D7" s="861" t="s">
        <v>42</v>
      </c>
      <c r="E7" s="883" t="s">
        <v>49</v>
      </c>
      <c r="F7" s="2307" t="s">
        <v>42</v>
      </c>
      <c r="G7" s="2308"/>
      <c r="H7" s="2309"/>
      <c r="I7" s="2307" t="s">
        <v>43</v>
      </c>
      <c r="J7" s="2308"/>
      <c r="K7" s="2309"/>
      <c r="L7" s="2325" t="s">
        <v>42</v>
      </c>
      <c r="M7" s="2325"/>
      <c r="N7" s="2326" t="s">
        <v>43</v>
      </c>
      <c r="O7" s="2326"/>
      <c r="P7" s="863" t="s">
        <v>42</v>
      </c>
      <c r="Q7" s="884" t="s">
        <v>43</v>
      </c>
      <c r="R7" s="2322" t="s">
        <v>140</v>
      </c>
      <c r="S7" s="2323"/>
      <c r="T7" s="2323"/>
      <c r="U7" s="2281"/>
      <c r="V7" s="2322" t="s">
        <v>141</v>
      </c>
      <c r="W7" s="2323"/>
      <c r="X7" s="2324"/>
      <c r="Y7" s="2305"/>
      <c r="Z7" s="2329" t="s">
        <v>163</v>
      </c>
      <c r="AA7" s="2330"/>
      <c r="AB7" s="2330"/>
      <c r="AC7" s="2301"/>
      <c r="AD7" s="864" t="s">
        <v>157</v>
      </c>
      <c r="AE7" s="2310" t="s">
        <v>466</v>
      </c>
      <c r="AF7" s="2311"/>
      <c r="AG7" s="2312"/>
      <c r="AH7" s="2337"/>
      <c r="AI7" s="2331" t="s">
        <v>51</v>
      </c>
      <c r="AJ7" s="2331"/>
      <c r="AK7" s="1051"/>
      <c r="AL7" s="859" t="s">
        <v>507</v>
      </c>
      <c r="AM7" s="864" t="s">
        <v>157</v>
      </c>
      <c r="AN7" s="2331" t="s">
        <v>50</v>
      </c>
      <c r="AO7" s="2331"/>
      <c r="AP7" s="2331"/>
      <c r="AQ7" s="2334"/>
      <c r="AR7" s="2331" t="s">
        <v>51</v>
      </c>
      <c r="AS7" s="2331"/>
      <c r="AT7" s="2331" t="s">
        <v>159</v>
      </c>
      <c r="AU7" s="859" t="s">
        <v>507</v>
      </c>
    </row>
    <row r="8" spans="1:47" ht="19.5" customHeight="1" thickBot="1" x14ac:dyDescent="0.25">
      <c r="A8" s="2270"/>
      <c r="B8" s="2273"/>
      <c r="C8" s="2315"/>
      <c r="D8" s="143" t="s">
        <v>154</v>
      </c>
      <c r="E8" s="144" t="s">
        <v>12</v>
      </c>
      <c r="F8" s="145" t="s">
        <v>154</v>
      </c>
      <c r="G8" s="145" t="s">
        <v>155</v>
      </c>
      <c r="H8" s="145" t="s">
        <v>9</v>
      </c>
      <c r="I8" s="144" t="s">
        <v>12</v>
      </c>
      <c r="J8" s="144" t="s">
        <v>7</v>
      </c>
      <c r="K8" s="144" t="s">
        <v>10</v>
      </c>
      <c r="L8" s="143" t="s">
        <v>155</v>
      </c>
      <c r="M8" s="143" t="s">
        <v>9</v>
      </c>
      <c r="N8" s="144" t="s">
        <v>7</v>
      </c>
      <c r="O8" s="144" t="s">
        <v>10</v>
      </c>
      <c r="P8" s="143" t="s">
        <v>154</v>
      </c>
      <c r="Q8" s="144" t="s">
        <v>12</v>
      </c>
      <c r="R8" s="67" t="s">
        <v>12</v>
      </c>
      <c r="S8" s="67" t="s">
        <v>7</v>
      </c>
      <c r="T8" s="67" t="s">
        <v>10</v>
      </c>
      <c r="U8" s="2282"/>
      <c r="V8" s="68" t="s">
        <v>154</v>
      </c>
      <c r="W8" s="68" t="s">
        <v>155</v>
      </c>
      <c r="X8" s="68" t="s">
        <v>9</v>
      </c>
      <c r="Y8" s="2306"/>
      <c r="Z8" s="67" t="s">
        <v>12</v>
      </c>
      <c r="AA8" s="67" t="s">
        <v>7</v>
      </c>
      <c r="AB8" s="67" t="s">
        <v>10</v>
      </c>
      <c r="AC8" s="2302"/>
      <c r="AD8" s="199" t="s">
        <v>154</v>
      </c>
      <c r="AE8" s="736" t="s">
        <v>154</v>
      </c>
      <c r="AF8" s="736" t="s">
        <v>155</v>
      </c>
      <c r="AG8" s="736" t="s">
        <v>9</v>
      </c>
      <c r="AH8" s="2338"/>
      <c r="AI8" s="143" t="s">
        <v>155</v>
      </c>
      <c r="AJ8" s="143" t="s">
        <v>9</v>
      </c>
      <c r="AK8" s="143"/>
      <c r="AL8" s="736" t="s">
        <v>155</v>
      </c>
      <c r="AM8" s="159" t="s">
        <v>12</v>
      </c>
      <c r="AN8" s="143" t="s">
        <v>12</v>
      </c>
      <c r="AO8" s="143" t="s">
        <v>7</v>
      </c>
      <c r="AP8" s="143" t="s">
        <v>10</v>
      </c>
      <c r="AQ8" s="2335"/>
      <c r="AR8" s="144" t="s">
        <v>7</v>
      </c>
      <c r="AS8" s="144" t="s">
        <v>10</v>
      </c>
      <c r="AT8" s="2336"/>
      <c r="AU8" s="144" t="s">
        <v>12</v>
      </c>
    </row>
    <row r="9" spans="1:47" ht="24.95" customHeight="1" x14ac:dyDescent="0.2">
      <c r="A9" s="412">
        <v>1</v>
      </c>
      <c r="B9" s="737" t="str">
        <f>dtsiswa!D7</f>
        <v>Achmad Zacky</v>
      </c>
      <c r="C9" s="414" t="s">
        <v>4</v>
      </c>
      <c r="D9" s="27">
        <v>76</v>
      </c>
      <c r="E9" s="27">
        <v>76</v>
      </c>
      <c r="F9" s="27">
        <v>54</v>
      </c>
      <c r="G9" s="27">
        <v>67</v>
      </c>
      <c r="H9" s="27">
        <v>68</v>
      </c>
      <c r="I9" s="27">
        <v>75</v>
      </c>
      <c r="J9" s="27">
        <v>65</v>
      </c>
      <c r="K9" s="27">
        <v>70</v>
      </c>
      <c r="L9" s="27">
        <v>76</v>
      </c>
      <c r="M9" s="27">
        <v>70</v>
      </c>
      <c r="N9" s="27">
        <v>78</v>
      </c>
      <c r="O9" s="27">
        <v>80</v>
      </c>
      <c r="P9" s="27">
        <v>63</v>
      </c>
      <c r="Q9" s="27">
        <v>71</v>
      </c>
      <c r="R9" s="422">
        <f>(E9+I9+Q9)/3</f>
        <v>74</v>
      </c>
      <c r="S9" s="422">
        <f>(J9+N9)/2</f>
        <v>71.5</v>
      </c>
      <c r="T9" s="422">
        <f>(K9+O9)/2</f>
        <v>75</v>
      </c>
      <c r="U9" s="423">
        <f>IFERROR(AVERAGE(R9:T9),"  ")</f>
        <v>73.5</v>
      </c>
      <c r="V9" s="424">
        <f>(D9+F9+P9)/3</f>
        <v>64.333333333333329</v>
      </c>
      <c r="W9" s="424">
        <f>(G9+L9)/2</f>
        <v>71.5</v>
      </c>
      <c r="X9" s="424">
        <f>(H9+M90/2)</f>
        <v>68</v>
      </c>
      <c r="Y9" s="423">
        <f>IFERROR(AVERAGE(V9:X9),"  ")</f>
        <v>67.944444444444443</v>
      </c>
      <c r="Z9" s="426">
        <f>(R9+V9)/2</f>
        <v>69.166666666666657</v>
      </c>
      <c r="AA9" s="426">
        <f t="shared" ref="AA9:AB9" si="0">(S9+W9)/2</f>
        <v>71.5</v>
      </c>
      <c r="AB9" s="426">
        <f t="shared" si="0"/>
        <v>71.5</v>
      </c>
      <c r="AC9" s="423">
        <f t="shared" ref="AC9:AC48" si="1">IFERROR(AVERAGE(Z9:AB9),"  ")</f>
        <v>70.722222222222214</v>
      </c>
      <c r="AD9" s="738">
        <f>D9</f>
        <v>76</v>
      </c>
      <c r="AE9" s="738">
        <f>F9</f>
        <v>54</v>
      </c>
      <c r="AF9" s="738">
        <f t="shared" ref="AF9:AG9" si="2">G9</f>
        <v>67</v>
      </c>
      <c r="AG9" s="738">
        <f t="shared" si="2"/>
        <v>68</v>
      </c>
      <c r="AH9" s="1077">
        <f t="shared" ref="AH9:AH48" si="3">IFERROR(AVERAGE(AE9:AG9),"  ")</f>
        <v>63</v>
      </c>
      <c r="AI9" s="738">
        <f>L9</f>
        <v>76</v>
      </c>
      <c r="AJ9" s="738">
        <f>M9</f>
        <v>70</v>
      </c>
      <c r="AK9" s="1077">
        <f>IFERROR(AVERAGE(AI9:AJ9),"  ")</f>
        <v>73</v>
      </c>
      <c r="AL9" s="738">
        <f>P9</f>
        <v>63</v>
      </c>
      <c r="AM9" s="739">
        <f>E9</f>
        <v>76</v>
      </c>
      <c r="AN9" s="885">
        <f>I9</f>
        <v>75</v>
      </c>
      <c r="AO9" s="885">
        <f t="shared" ref="AO9:AP9" si="4">J9</f>
        <v>65</v>
      </c>
      <c r="AP9" s="885">
        <f t="shared" si="4"/>
        <v>70</v>
      </c>
      <c r="AQ9" s="1077">
        <f t="shared" ref="AQ9" si="5">IFERROR(AVERAGE(AN9:AP9),"  ")</f>
        <v>70</v>
      </c>
      <c r="AR9" s="739">
        <f>N9</f>
        <v>78</v>
      </c>
      <c r="AS9" s="739">
        <f>O9</f>
        <v>80</v>
      </c>
      <c r="AT9" s="1077">
        <f>IFERROR(AVERAGE(AR9:AS9),"  ")</f>
        <v>79</v>
      </c>
      <c r="AU9" s="739">
        <f>Q9</f>
        <v>71</v>
      </c>
    </row>
    <row r="10" spans="1:47" ht="24.95" customHeight="1" x14ac:dyDescent="0.2">
      <c r="A10" s="664">
        <v>2</v>
      </c>
      <c r="B10" s="737" t="str">
        <f>dtsiswa!D8</f>
        <v>Angelia Vabel R</v>
      </c>
      <c r="C10" s="417" t="s">
        <v>4</v>
      </c>
      <c r="D10" s="27">
        <v>74</v>
      </c>
      <c r="E10" s="27">
        <v>65</v>
      </c>
      <c r="F10" s="27">
        <v>56</v>
      </c>
      <c r="G10" s="27">
        <v>75</v>
      </c>
      <c r="H10" s="27">
        <v>78</v>
      </c>
      <c r="I10" s="27">
        <v>65</v>
      </c>
      <c r="J10" s="27">
        <v>66</v>
      </c>
      <c r="K10" s="27">
        <v>78</v>
      </c>
      <c r="L10" s="27">
        <v>80</v>
      </c>
      <c r="M10" s="27">
        <v>68</v>
      </c>
      <c r="N10" s="27">
        <v>69</v>
      </c>
      <c r="O10" s="27">
        <v>67</v>
      </c>
      <c r="P10" s="27">
        <v>75</v>
      </c>
      <c r="Q10" s="27">
        <v>65</v>
      </c>
      <c r="R10" s="422">
        <f t="shared" ref="R10:R48" si="6">(E10+I10+Q10)/3</f>
        <v>65</v>
      </c>
      <c r="S10" s="422">
        <f t="shared" ref="S10:S48" si="7">(J10+N10)/2</f>
        <v>67.5</v>
      </c>
      <c r="T10" s="422">
        <f t="shared" ref="T10:T48" si="8">(K10+O10)/2</f>
        <v>72.5</v>
      </c>
      <c r="U10" s="423">
        <f t="shared" ref="U10:U48" si="9">IFERROR(AVERAGE(R10:T10),"  ")</f>
        <v>68.333333333333329</v>
      </c>
      <c r="V10" s="424">
        <f t="shared" ref="V10:V48" si="10">(D10+F10+P10)/3</f>
        <v>68.333333333333329</v>
      </c>
      <c r="W10" s="424">
        <f t="shared" ref="W10:W48" si="11">(G10+L10)/2</f>
        <v>77.5</v>
      </c>
      <c r="X10" s="424">
        <f t="shared" ref="X10:X48" si="12">(H10+M91/2)</f>
        <v>78</v>
      </c>
      <c r="Y10" s="423">
        <f t="shared" ref="Y10:Y48" si="13">IFERROR(AVERAGE(V10:X10),"  ")</f>
        <v>74.6111111111111</v>
      </c>
      <c r="Z10" s="426">
        <f t="shared" ref="Z10:Z48" si="14">(R10+V10)/2</f>
        <v>66.666666666666657</v>
      </c>
      <c r="AA10" s="426">
        <f t="shared" ref="AA10:AA48" si="15">(S10+W10)/2</f>
        <v>72.5</v>
      </c>
      <c r="AB10" s="426">
        <f t="shared" ref="AB10:AB48" si="16">(T10+X10)/2</f>
        <v>75.25</v>
      </c>
      <c r="AC10" s="423">
        <f t="shared" si="1"/>
        <v>71.472222222222214</v>
      </c>
      <c r="AD10" s="738">
        <f t="shared" ref="AD10:AD48" si="17">D10</f>
        <v>74</v>
      </c>
      <c r="AE10" s="738">
        <f t="shared" ref="AE10:AE48" si="18">F10</f>
        <v>56</v>
      </c>
      <c r="AF10" s="738">
        <f t="shared" ref="AF10:AF48" si="19">G10</f>
        <v>75</v>
      </c>
      <c r="AG10" s="738">
        <f t="shared" ref="AG10:AG48" si="20">H10</f>
        <v>78</v>
      </c>
      <c r="AH10" s="1077">
        <f t="shared" si="3"/>
        <v>69.666666666666671</v>
      </c>
      <c r="AI10" s="738">
        <f t="shared" ref="AI10:AI48" si="21">L10</f>
        <v>80</v>
      </c>
      <c r="AJ10" s="738">
        <f t="shared" ref="AJ10:AJ48" si="22">M10</f>
        <v>68</v>
      </c>
      <c r="AK10" s="1077">
        <f t="shared" ref="AK10:AK48" si="23">IFERROR(AVERAGE(AI10:AJ10),"  ")</f>
        <v>74</v>
      </c>
      <c r="AL10" s="738">
        <f t="shared" ref="AL10:AL48" si="24">P10</f>
        <v>75</v>
      </c>
      <c r="AM10" s="739">
        <f t="shared" ref="AM10:AM48" si="25">E10</f>
        <v>65</v>
      </c>
      <c r="AN10" s="885">
        <f t="shared" ref="AN10:AN48" si="26">I10</f>
        <v>65</v>
      </c>
      <c r="AO10" s="885">
        <f t="shared" ref="AO10:AO48" si="27">J10</f>
        <v>66</v>
      </c>
      <c r="AP10" s="885">
        <f t="shared" ref="AP10:AP48" si="28">K10</f>
        <v>78</v>
      </c>
      <c r="AQ10" s="1077">
        <f t="shared" ref="AQ10:AQ48" si="29">IFERROR(AVERAGE(AN10:AP10),"  ")</f>
        <v>69.666666666666671</v>
      </c>
      <c r="AR10" s="739">
        <f t="shared" ref="AR10:AR48" si="30">N10</f>
        <v>69</v>
      </c>
      <c r="AS10" s="739">
        <f t="shared" ref="AS10:AS48" si="31">O10</f>
        <v>67</v>
      </c>
      <c r="AT10" s="1077">
        <f t="shared" ref="AT10:AT48" si="32">IFERROR(AVERAGE(AR10:AS10),"  ")</f>
        <v>68</v>
      </c>
      <c r="AU10" s="739">
        <f t="shared" ref="AU10:AU48" si="33">Q10</f>
        <v>65</v>
      </c>
    </row>
    <row r="11" spans="1:47" ht="24.95" customHeight="1" x14ac:dyDescent="0.2">
      <c r="A11" s="664">
        <v>3</v>
      </c>
      <c r="B11" s="737" t="str">
        <f>dtsiswa!D9</f>
        <v>Anggun Dwi P.I</v>
      </c>
      <c r="C11" s="417" t="s">
        <v>4</v>
      </c>
      <c r="D11" s="27"/>
      <c r="E11" s="27"/>
      <c r="F11" s="27"/>
      <c r="G11" s="27"/>
      <c r="H11" s="27"/>
      <c r="I11" s="27"/>
      <c r="J11" s="27"/>
      <c r="K11" s="27"/>
      <c r="L11" s="27"/>
      <c r="M11" s="27"/>
      <c r="N11" s="27"/>
      <c r="O11" s="27"/>
      <c r="P11" s="27"/>
      <c r="Q11" s="27"/>
      <c r="R11" s="422">
        <f t="shared" si="6"/>
        <v>0</v>
      </c>
      <c r="S11" s="422">
        <f t="shared" si="7"/>
        <v>0</v>
      </c>
      <c r="T11" s="422">
        <f t="shared" si="8"/>
        <v>0</v>
      </c>
      <c r="U11" s="423">
        <f t="shared" si="9"/>
        <v>0</v>
      </c>
      <c r="V11" s="424">
        <f t="shared" si="10"/>
        <v>0</v>
      </c>
      <c r="W11" s="424">
        <f t="shared" si="11"/>
        <v>0</v>
      </c>
      <c r="X11" s="424">
        <f t="shared" si="12"/>
        <v>0</v>
      </c>
      <c r="Y11" s="423">
        <f t="shared" si="13"/>
        <v>0</v>
      </c>
      <c r="Z11" s="426">
        <f t="shared" si="14"/>
        <v>0</v>
      </c>
      <c r="AA11" s="426">
        <f t="shared" si="15"/>
        <v>0</v>
      </c>
      <c r="AB11" s="426">
        <f t="shared" si="16"/>
        <v>0</v>
      </c>
      <c r="AC11" s="423">
        <f t="shared" si="1"/>
        <v>0</v>
      </c>
      <c r="AD11" s="738">
        <f t="shared" si="17"/>
        <v>0</v>
      </c>
      <c r="AE11" s="738">
        <f t="shared" si="18"/>
        <v>0</v>
      </c>
      <c r="AF11" s="738">
        <f t="shared" si="19"/>
        <v>0</v>
      </c>
      <c r="AG11" s="738">
        <f t="shared" si="20"/>
        <v>0</v>
      </c>
      <c r="AH11" s="1077">
        <f t="shared" si="3"/>
        <v>0</v>
      </c>
      <c r="AI11" s="738">
        <f t="shared" si="21"/>
        <v>0</v>
      </c>
      <c r="AJ11" s="738">
        <f t="shared" si="22"/>
        <v>0</v>
      </c>
      <c r="AK11" s="1077">
        <f t="shared" si="23"/>
        <v>0</v>
      </c>
      <c r="AL11" s="738">
        <f t="shared" si="24"/>
        <v>0</v>
      </c>
      <c r="AM11" s="739">
        <f t="shared" si="25"/>
        <v>0</v>
      </c>
      <c r="AN11" s="885">
        <f t="shared" si="26"/>
        <v>0</v>
      </c>
      <c r="AO11" s="885">
        <f t="shared" si="27"/>
        <v>0</v>
      </c>
      <c r="AP11" s="885">
        <f t="shared" si="28"/>
        <v>0</v>
      </c>
      <c r="AQ11" s="1077">
        <f t="shared" si="29"/>
        <v>0</v>
      </c>
      <c r="AR11" s="739">
        <f t="shared" si="30"/>
        <v>0</v>
      </c>
      <c r="AS11" s="739">
        <f t="shared" si="31"/>
        <v>0</v>
      </c>
      <c r="AT11" s="1077">
        <f t="shared" si="32"/>
        <v>0</v>
      </c>
      <c r="AU11" s="739">
        <f t="shared" si="33"/>
        <v>0</v>
      </c>
    </row>
    <row r="12" spans="1:47" ht="24.95" customHeight="1" x14ac:dyDescent="0.2">
      <c r="A12" s="664">
        <v>4</v>
      </c>
      <c r="B12" s="737" t="str">
        <f>dtsiswa!D10</f>
        <v>Antonio Permata A</v>
      </c>
      <c r="C12" s="418" t="s">
        <v>4</v>
      </c>
      <c r="D12" s="27"/>
      <c r="E12" s="27"/>
      <c r="F12" s="27"/>
      <c r="G12" s="27"/>
      <c r="H12" s="27"/>
      <c r="I12" s="27"/>
      <c r="J12" s="27"/>
      <c r="K12" s="27"/>
      <c r="L12" s="27"/>
      <c r="M12" s="27"/>
      <c r="N12" s="27"/>
      <c r="O12" s="27"/>
      <c r="P12" s="27"/>
      <c r="Q12" s="27"/>
      <c r="R12" s="422">
        <f t="shared" si="6"/>
        <v>0</v>
      </c>
      <c r="S12" s="422">
        <f t="shared" si="7"/>
        <v>0</v>
      </c>
      <c r="T12" s="422">
        <f t="shared" si="8"/>
        <v>0</v>
      </c>
      <c r="U12" s="423">
        <f t="shared" si="9"/>
        <v>0</v>
      </c>
      <c r="V12" s="424">
        <f t="shared" si="10"/>
        <v>0</v>
      </c>
      <c r="W12" s="424">
        <f t="shared" si="11"/>
        <v>0</v>
      </c>
      <c r="X12" s="424">
        <f t="shared" si="12"/>
        <v>0</v>
      </c>
      <c r="Y12" s="423">
        <f t="shared" si="13"/>
        <v>0</v>
      </c>
      <c r="Z12" s="426">
        <f t="shared" si="14"/>
        <v>0</v>
      </c>
      <c r="AA12" s="426">
        <f t="shared" si="15"/>
        <v>0</v>
      </c>
      <c r="AB12" s="426">
        <f t="shared" si="16"/>
        <v>0</v>
      </c>
      <c r="AC12" s="423">
        <f t="shared" si="1"/>
        <v>0</v>
      </c>
      <c r="AD12" s="738">
        <f t="shared" si="17"/>
        <v>0</v>
      </c>
      <c r="AE12" s="738">
        <f t="shared" si="18"/>
        <v>0</v>
      </c>
      <c r="AF12" s="738">
        <f t="shared" si="19"/>
        <v>0</v>
      </c>
      <c r="AG12" s="738">
        <f t="shared" si="20"/>
        <v>0</v>
      </c>
      <c r="AH12" s="1077">
        <f t="shared" si="3"/>
        <v>0</v>
      </c>
      <c r="AI12" s="738">
        <f t="shared" si="21"/>
        <v>0</v>
      </c>
      <c r="AJ12" s="738">
        <f t="shared" si="22"/>
        <v>0</v>
      </c>
      <c r="AK12" s="1077">
        <f t="shared" si="23"/>
        <v>0</v>
      </c>
      <c r="AL12" s="738">
        <f t="shared" si="24"/>
        <v>0</v>
      </c>
      <c r="AM12" s="739">
        <f t="shared" si="25"/>
        <v>0</v>
      </c>
      <c r="AN12" s="885">
        <f t="shared" si="26"/>
        <v>0</v>
      </c>
      <c r="AO12" s="885">
        <f t="shared" si="27"/>
        <v>0</v>
      </c>
      <c r="AP12" s="885">
        <f t="shared" si="28"/>
        <v>0</v>
      </c>
      <c r="AQ12" s="1077">
        <f t="shared" si="29"/>
        <v>0</v>
      </c>
      <c r="AR12" s="739">
        <f t="shared" si="30"/>
        <v>0</v>
      </c>
      <c r="AS12" s="739">
        <f t="shared" si="31"/>
        <v>0</v>
      </c>
      <c r="AT12" s="1077">
        <f t="shared" si="32"/>
        <v>0</v>
      </c>
      <c r="AU12" s="739">
        <f t="shared" si="33"/>
        <v>0</v>
      </c>
    </row>
    <row r="13" spans="1:47" ht="24.95" customHeight="1" x14ac:dyDescent="0.2">
      <c r="A13" s="664">
        <v>5</v>
      </c>
      <c r="B13" s="737" t="str">
        <f>dtsiswa!D11</f>
        <v>Arya Pratama G</v>
      </c>
      <c r="C13" s="417" t="s">
        <v>5</v>
      </c>
      <c r="D13" s="27"/>
      <c r="E13" s="27"/>
      <c r="F13" s="27"/>
      <c r="G13" s="27"/>
      <c r="H13" s="27"/>
      <c r="I13" s="27"/>
      <c r="J13" s="27"/>
      <c r="K13" s="27"/>
      <c r="L13" s="27"/>
      <c r="M13" s="27"/>
      <c r="N13" s="27"/>
      <c r="O13" s="27"/>
      <c r="P13" s="27"/>
      <c r="Q13" s="27"/>
      <c r="R13" s="422">
        <f t="shared" si="6"/>
        <v>0</v>
      </c>
      <c r="S13" s="422">
        <f t="shared" si="7"/>
        <v>0</v>
      </c>
      <c r="T13" s="422">
        <f t="shared" si="8"/>
        <v>0</v>
      </c>
      <c r="U13" s="423">
        <f t="shared" si="9"/>
        <v>0</v>
      </c>
      <c r="V13" s="424">
        <f t="shared" si="10"/>
        <v>0</v>
      </c>
      <c r="W13" s="424">
        <f t="shared" si="11"/>
        <v>0</v>
      </c>
      <c r="X13" s="424">
        <f t="shared" si="12"/>
        <v>0</v>
      </c>
      <c r="Y13" s="423">
        <f t="shared" si="13"/>
        <v>0</v>
      </c>
      <c r="Z13" s="426">
        <f t="shared" si="14"/>
        <v>0</v>
      </c>
      <c r="AA13" s="426">
        <f t="shared" si="15"/>
        <v>0</v>
      </c>
      <c r="AB13" s="426">
        <f t="shared" si="16"/>
        <v>0</v>
      </c>
      <c r="AC13" s="423">
        <f t="shared" si="1"/>
        <v>0</v>
      </c>
      <c r="AD13" s="738">
        <f t="shared" si="17"/>
        <v>0</v>
      </c>
      <c r="AE13" s="738">
        <f t="shared" si="18"/>
        <v>0</v>
      </c>
      <c r="AF13" s="738">
        <f t="shared" si="19"/>
        <v>0</v>
      </c>
      <c r="AG13" s="738">
        <f t="shared" si="20"/>
        <v>0</v>
      </c>
      <c r="AH13" s="1077">
        <f t="shared" si="3"/>
        <v>0</v>
      </c>
      <c r="AI13" s="738">
        <f t="shared" si="21"/>
        <v>0</v>
      </c>
      <c r="AJ13" s="738">
        <f t="shared" si="22"/>
        <v>0</v>
      </c>
      <c r="AK13" s="1077">
        <f t="shared" si="23"/>
        <v>0</v>
      </c>
      <c r="AL13" s="738">
        <f t="shared" si="24"/>
        <v>0</v>
      </c>
      <c r="AM13" s="739">
        <f t="shared" si="25"/>
        <v>0</v>
      </c>
      <c r="AN13" s="885">
        <f t="shared" si="26"/>
        <v>0</v>
      </c>
      <c r="AO13" s="885">
        <f t="shared" si="27"/>
        <v>0</v>
      </c>
      <c r="AP13" s="885">
        <f t="shared" si="28"/>
        <v>0</v>
      </c>
      <c r="AQ13" s="1077">
        <f t="shared" si="29"/>
        <v>0</v>
      </c>
      <c r="AR13" s="739">
        <f t="shared" si="30"/>
        <v>0</v>
      </c>
      <c r="AS13" s="739">
        <f t="shared" si="31"/>
        <v>0</v>
      </c>
      <c r="AT13" s="1077">
        <f t="shared" si="32"/>
        <v>0</v>
      </c>
      <c r="AU13" s="739">
        <f t="shared" si="33"/>
        <v>0</v>
      </c>
    </row>
    <row r="14" spans="1:47" ht="24.95" customHeight="1" x14ac:dyDescent="0.2">
      <c r="A14" s="664">
        <v>6</v>
      </c>
      <c r="B14" s="737" t="str">
        <f>dtsiswa!D12</f>
        <v>Asyam Hanif Ihsan H</v>
      </c>
      <c r="C14" s="417" t="s">
        <v>5</v>
      </c>
      <c r="D14" s="22"/>
      <c r="E14" s="22"/>
      <c r="F14" s="23"/>
      <c r="G14" s="23"/>
      <c r="H14" s="23"/>
      <c r="I14" s="23"/>
      <c r="J14" s="23"/>
      <c r="K14" s="23"/>
      <c r="L14" s="23"/>
      <c r="M14" s="23"/>
      <c r="N14" s="22"/>
      <c r="O14" s="22"/>
      <c r="P14" s="22"/>
      <c r="Q14" s="27"/>
      <c r="R14" s="422">
        <f t="shared" si="6"/>
        <v>0</v>
      </c>
      <c r="S14" s="422">
        <f t="shared" si="7"/>
        <v>0</v>
      </c>
      <c r="T14" s="422">
        <f t="shared" si="8"/>
        <v>0</v>
      </c>
      <c r="U14" s="423">
        <f t="shared" si="9"/>
        <v>0</v>
      </c>
      <c r="V14" s="424">
        <f t="shared" si="10"/>
        <v>0</v>
      </c>
      <c r="W14" s="424">
        <f t="shared" si="11"/>
        <v>0</v>
      </c>
      <c r="X14" s="424">
        <f t="shared" si="12"/>
        <v>0</v>
      </c>
      <c r="Y14" s="423">
        <f t="shared" si="13"/>
        <v>0</v>
      </c>
      <c r="Z14" s="426">
        <f t="shared" si="14"/>
        <v>0</v>
      </c>
      <c r="AA14" s="426">
        <f t="shared" si="15"/>
        <v>0</v>
      </c>
      <c r="AB14" s="426">
        <f t="shared" si="16"/>
        <v>0</v>
      </c>
      <c r="AC14" s="423">
        <f t="shared" si="1"/>
        <v>0</v>
      </c>
      <c r="AD14" s="738">
        <f t="shared" si="17"/>
        <v>0</v>
      </c>
      <c r="AE14" s="738">
        <f t="shared" si="18"/>
        <v>0</v>
      </c>
      <c r="AF14" s="738">
        <f t="shared" si="19"/>
        <v>0</v>
      </c>
      <c r="AG14" s="738">
        <f t="shared" si="20"/>
        <v>0</v>
      </c>
      <c r="AH14" s="1077">
        <f t="shared" si="3"/>
        <v>0</v>
      </c>
      <c r="AI14" s="738">
        <f t="shared" si="21"/>
        <v>0</v>
      </c>
      <c r="AJ14" s="738">
        <f t="shared" si="22"/>
        <v>0</v>
      </c>
      <c r="AK14" s="1077">
        <f t="shared" si="23"/>
        <v>0</v>
      </c>
      <c r="AL14" s="738">
        <f t="shared" si="24"/>
        <v>0</v>
      </c>
      <c r="AM14" s="739">
        <f t="shared" si="25"/>
        <v>0</v>
      </c>
      <c r="AN14" s="885">
        <f t="shared" si="26"/>
        <v>0</v>
      </c>
      <c r="AO14" s="885">
        <f t="shared" si="27"/>
        <v>0</v>
      </c>
      <c r="AP14" s="885">
        <f t="shared" si="28"/>
        <v>0</v>
      </c>
      <c r="AQ14" s="1077">
        <f t="shared" si="29"/>
        <v>0</v>
      </c>
      <c r="AR14" s="739">
        <f t="shared" si="30"/>
        <v>0</v>
      </c>
      <c r="AS14" s="739">
        <f t="shared" si="31"/>
        <v>0</v>
      </c>
      <c r="AT14" s="1077">
        <f t="shared" si="32"/>
        <v>0</v>
      </c>
      <c r="AU14" s="739">
        <f t="shared" si="33"/>
        <v>0</v>
      </c>
    </row>
    <row r="15" spans="1:47" ht="24.95" customHeight="1" x14ac:dyDescent="0.2">
      <c r="A15" s="664">
        <v>7</v>
      </c>
      <c r="B15" s="737" t="str">
        <f>dtsiswa!D13</f>
        <v>Athaya Salsabilla Z</v>
      </c>
      <c r="C15" s="417" t="s">
        <v>4</v>
      </c>
      <c r="D15" s="22"/>
      <c r="E15" s="22"/>
      <c r="F15" s="23"/>
      <c r="G15" s="23"/>
      <c r="H15" s="23"/>
      <c r="I15" s="23"/>
      <c r="J15" s="23"/>
      <c r="K15" s="23"/>
      <c r="L15" s="23"/>
      <c r="M15" s="23"/>
      <c r="N15" s="22"/>
      <c r="O15" s="22"/>
      <c r="P15" s="22"/>
      <c r="Q15" s="27"/>
      <c r="R15" s="422">
        <f t="shared" si="6"/>
        <v>0</v>
      </c>
      <c r="S15" s="422">
        <f t="shared" si="7"/>
        <v>0</v>
      </c>
      <c r="T15" s="422">
        <f t="shared" si="8"/>
        <v>0</v>
      </c>
      <c r="U15" s="423">
        <f t="shared" si="9"/>
        <v>0</v>
      </c>
      <c r="V15" s="424">
        <f t="shared" si="10"/>
        <v>0</v>
      </c>
      <c r="W15" s="424">
        <f t="shared" si="11"/>
        <v>0</v>
      </c>
      <c r="X15" s="424">
        <f t="shared" si="12"/>
        <v>0</v>
      </c>
      <c r="Y15" s="423">
        <f t="shared" si="13"/>
        <v>0</v>
      </c>
      <c r="Z15" s="426">
        <f t="shared" si="14"/>
        <v>0</v>
      </c>
      <c r="AA15" s="426">
        <f t="shared" si="15"/>
        <v>0</v>
      </c>
      <c r="AB15" s="426">
        <f t="shared" si="16"/>
        <v>0</v>
      </c>
      <c r="AC15" s="423">
        <f t="shared" si="1"/>
        <v>0</v>
      </c>
      <c r="AD15" s="738">
        <f t="shared" si="17"/>
        <v>0</v>
      </c>
      <c r="AE15" s="738">
        <f t="shared" si="18"/>
        <v>0</v>
      </c>
      <c r="AF15" s="738">
        <f t="shared" si="19"/>
        <v>0</v>
      </c>
      <c r="AG15" s="738">
        <f t="shared" si="20"/>
        <v>0</v>
      </c>
      <c r="AH15" s="1077">
        <f t="shared" si="3"/>
        <v>0</v>
      </c>
      <c r="AI15" s="738">
        <f t="shared" si="21"/>
        <v>0</v>
      </c>
      <c r="AJ15" s="738">
        <f t="shared" si="22"/>
        <v>0</v>
      </c>
      <c r="AK15" s="1077">
        <f t="shared" si="23"/>
        <v>0</v>
      </c>
      <c r="AL15" s="738">
        <f t="shared" si="24"/>
        <v>0</v>
      </c>
      <c r="AM15" s="739">
        <f t="shared" si="25"/>
        <v>0</v>
      </c>
      <c r="AN15" s="885">
        <f t="shared" si="26"/>
        <v>0</v>
      </c>
      <c r="AO15" s="885">
        <f t="shared" si="27"/>
        <v>0</v>
      </c>
      <c r="AP15" s="885">
        <f t="shared" si="28"/>
        <v>0</v>
      </c>
      <c r="AQ15" s="1077">
        <f t="shared" si="29"/>
        <v>0</v>
      </c>
      <c r="AR15" s="739">
        <f t="shared" si="30"/>
        <v>0</v>
      </c>
      <c r="AS15" s="739">
        <f t="shared" si="31"/>
        <v>0</v>
      </c>
      <c r="AT15" s="1077">
        <f t="shared" si="32"/>
        <v>0</v>
      </c>
      <c r="AU15" s="739">
        <f t="shared" si="33"/>
        <v>0</v>
      </c>
    </row>
    <row r="16" spans="1:47" ht="24.95" customHeight="1" x14ac:dyDescent="0.2">
      <c r="A16" s="664">
        <v>8</v>
      </c>
      <c r="B16" s="737" t="str">
        <f>dtsiswa!D14</f>
        <v>Aulia Dea Rosalinda</v>
      </c>
      <c r="C16" s="417" t="s">
        <v>4</v>
      </c>
      <c r="D16" s="22"/>
      <c r="E16" s="22"/>
      <c r="F16" s="23"/>
      <c r="G16" s="23"/>
      <c r="H16" s="23"/>
      <c r="I16" s="23"/>
      <c r="J16" s="23"/>
      <c r="K16" s="23"/>
      <c r="L16" s="23"/>
      <c r="M16" s="23"/>
      <c r="N16" s="22"/>
      <c r="O16" s="22"/>
      <c r="P16" s="22"/>
      <c r="Q16" s="27"/>
      <c r="R16" s="422">
        <f t="shared" si="6"/>
        <v>0</v>
      </c>
      <c r="S16" s="422">
        <f t="shared" si="7"/>
        <v>0</v>
      </c>
      <c r="T16" s="422">
        <f t="shared" si="8"/>
        <v>0</v>
      </c>
      <c r="U16" s="423">
        <f t="shared" si="9"/>
        <v>0</v>
      </c>
      <c r="V16" s="424">
        <f t="shared" si="10"/>
        <v>0</v>
      </c>
      <c r="W16" s="424">
        <f t="shared" si="11"/>
        <v>0</v>
      </c>
      <c r="X16" s="424">
        <f t="shared" si="12"/>
        <v>0</v>
      </c>
      <c r="Y16" s="423">
        <f t="shared" si="13"/>
        <v>0</v>
      </c>
      <c r="Z16" s="426">
        <f t="shared" si="14"/>
        <v>0</v>
      </c>
      <c r="AA16" s="426">
        <f t="shared" si="15"/>
        <v>0</v>
      </c>
      <c r="AB16" s="426">
        <f t="shared" si="16"/>
        <v>0</v>
      </c>
      <c r="AC16" s="423">
        <f t="shared" si="1"/>
        <v>0</v>
      </c>
      <c r="AD16" s="738">
        <f t="shared" si="17"/>
        <v>0</v>
      </c>
      <c r="AE16" s="738">
        <f t="shared" si="18"/>
        <v>0</v>
      </c>
      <c r="AF16" s="738">
        <f t="shared" si="19"/>
        <v>0</v>
      </c>
      <c r="AG16" s="738">
        <f t="shared" si="20"/>
        <v>0</v>
      </c>
      <c r="AH16" s="1077">
        <f t="shared" si="3"/>
        <v>0</v>
      </c>
      <c r="AI16" s="738">
        <f t="shared" si="21"/>
        <v>0</v>
      </c>
      <c r="AJ16" s="738">
        <f t="shared" si="22"/>
        <v>0</v>
      </c>
      <c r="AK16" s="1077">
        <f t="shared" si="23"/>
        <v>0</v>
      </c>
      <c r="AL16" s="738">
        <f t="shared" si="24"/>
        <v>0</v>
      </c>
      <c r="AM16" s="739">
        <f t="shared" si="25"/>
        <v>0</v>
      </c>
      <c r="AN16" s="885">
        <f t="shared" si="26"/>
        <v>0</v>
      </c>
      <c r="AO16" s="885">
        <f t="shared" si="27"/>
        <v>0</v>
      </c>
      <c r="AP16" s="885">
        <f t="shared" si="28"/>
        <v>0</v>
      </c>
      <c r="AQ16" s="1077">
        <f t="shared" si="29"/>
        <v>0</v>
      </c>
      <c r="AR16" s="739">
        <f t="shared" si="30"/>
        <v>0</v>
      </c>
      <c r="AS16" s="739">
        <f t="shared" si="31"/>
        <v>0</v>
      </c>
      <c r="AT16" s="1077">
        <f t="shared" si="32"/>
        <v>0</v>
      </c>
      <c r="AU16" s="739">
        <f t="shared" si="33"/>
        <v>0</v>
      </c>
    </row>
    <row r="17" spans="1:47" ht="24.95" customHeight="1" x14ac:dyDescent="0.2">
      <c r="A17" s="664">
        <v>9</v>
      </c>
      <c r="B17" s="737" t="str">
        <f>dtsiswa!D15</f>
        <v>Claudia Gabriella L</v>
      </c>
      <c r="C17" s="417" t="s">
        <v>4</v>
      </c>
      <c r="D17" s="22"/>
      <c r="E17" s="22"/>
      <c r="F17" s="23"/>
      <c r="G17" s="23"/>
      <c r="H17" s="23"/>
      <c r="I17" s="23"/>
      <c r="J17" s="23"/>
      <c r="K17" s="23"/>
      <c r="L17" s="23"/>
      <c r="M17" s="23"/>
      <c r="N17" s="22"/>
      <c r="O17" s="22"/>
      <c r="P17" s="22"/>
      <c r="Q17" s="27"/>
      <c r="R17" s="422">
        <f t="shared" si="6"/>
        <v>0</v>
      </c>
      <c r="S17" s="422">
        <f t="shared" si="7"/>
        <v>0</v>
      </c>
      <c r="T17" s="422">
        <f t="shared" si="8"/>
        <v>0</v>
      </c>
      <c r="U17" s="423">
        <f t="shared" si="9"/>
        <v>0</v>
      </c>
      <c r="V17" s="424">
        <f t="shared" si="10"/>
        <v>0</v>
      </c>
      <c r="W17" s="424">
        <f t="shared" si="11"/>
        <v>0</v>
      </c>
      <c r="X17" s="424">
        <f t="shared" si="12"/>
        <v>0</v>
      </c>
      <c r="Y17" s="423">
        <f t="shared" si="13"/>
        <v>0</v>
      </c>
      <c r="Z17" s="426">
        <f t="shared" si="14"/>
        <v>0</v>
      </c>
      <c r="AA17" s="426">
        <f t="shared" si="15"/>
        <v>0</v>
      </c>
      <c r="AB17" s="426">
        <f t="shared" si="16"/>
        <v>0</v>
      </c>
      <c r="AC17" s="423">
        <f t="shared" si="1"/>
        <v>0</v>
      </c>
      <c r="AD17" s="738">
        <f t="shared" si="17"/>
        <v>0</v>
      </c>
      <c r="AE17" s="738">
        <f t="shared" si="18"/>
        <v>0</v>
      </c>
      <c r="AF17" s="738">
        <f t="shared" si="19"/>
        <v>0</v>
      </c>
      <c r="AG17" s="738">
        <f t="shared" si="20"/>
        <v>0</v>
      </c>
      <c r="AH17" s="1077">
        <f t="shared" si="3"/>
        <v>0</v>
      </c>
      <c r="AI17" s="738">
        <f t="shared" si="21"/>
        <v>0</v>
      </c>
      <c r="AJ17" s="738">
        <f t="shared" si="22"/>
        <v>0</v>
      </c>
      <c r="AK17" s="1077">
        <f t="shared" si="23"/>
        <v>0</v>
      </c>
      <c r="AL17" s="738">
        <f t="shared" si="24"/>
        <v>0</v>
      </c>
      <c r="AM17" s="739">
        <f t="shared" si="25"/>
        <v>0</v>
      </c>
      <c r="AN17" s="885">
        <f t="shared" si="26"/>
        <v>0</v>
      </c>
      <c r="AO17" s="885">
        <f t="shared" si="27"/>
        <v>0</v>
      </c>
      <c r="AP17" s="885">
        <f t="shared" si="28"/>
        <v>0</v>
      </c>
      <c r="AQ17" s="1077">
        <f t="shared" si="29"/>
        <v>0</v>
      </c>
      <c r="AR17" s="739">
        <f t="shared" si="30"/>
        <v>0</v>
      </c>
      <c r="AS17" s="739">
        <f t="shared" si="31"/>
        <v>0</v>
      </c>
      <c r="AT17" s="1077">
        <f t="shared" si="32"/>
        <v>0</v>
      </c>
      <c r="AU17" s="739">
        <f t="shared" si="33"/>
        <v>0</v>
      </c>
    </row>
    <row r="18" spans="1:47" ht="24.95" customHeight="1" x14ac:dyDescent="0.2">
      <c r="A18" s="664">
        <v>10</v>
      </c>
      <c r="B18" s="737" t="str">
        <f>dtsiswa!D16</f>
        <v xml:space="preserve">Deco Badarus Zaman </v>
      </c>
      <c r="C18" s="417" t="s">
        <v>4</v>
      </c>
      <c r="D18" s="22"/>
      <c r="E18" s="22"/>
      <c r="F18" s="23"/>
      <c r="G18" s="23"/>
      <c r="H18" s="23"/>
      <c r="I18" s="23"/>
      <c r="J18" s="23"/>
      <c r="K18" s="23"/>
      <c r="L18" s="23"/>
      <c r="M18" s="23"/>
      <c r="N18" s="22"/>
      <c r="O18" s="22"/>
      <c r="P18" s="22"/>
      <c r="Q18" s="27"/>
      <c r="R18" s="422">
        <f t="shared" si="6"/>
        <v>0</v>
      </c>
      <c r="S18" s="422">
        <f t="shared" si="7"/>
        <v>0</v>
      </c>
      <c r="T18" s="422">
        <f t="shared" si="8"/>
        <v>0</v>
      </c>
      <c r="U18" s="423">
        <f t="shared" si="9"/>
        <v>0</v>
      </c>
      <c r="V18" s="424">
        <f t="shared" si="10"/>
        <v>0</v>
      </c>
      <c r="W18" s="424">
        <f t="shared" si="11"/>
        <v>0</v>
      </c>
      <c r="X18" s="424">
        <f t="shared" si="12"/>
        <v>0</v>
      </c>
      <c r="Y18" s="423">
        <f t="shared" si="13"/>
        <v>0</v>
      </c>
      <c r="Z18" s="426">
        <f t="shared" si="14"/>
        <v>0</v>
      </c>
      <c r="AA18" s="426">
        <f t="shared" si="15"/>
        <v>0</v>
      </c>
      <c r="AB18" s="426">
        <f t="shared" si="16"/>
        <v>0</v>
      </c>
      <c r="AC18" s="423">
        <f t="shared" si="1"/>
        <v>0</v>
      </c>
      <c r="AD18" s="738">
        <f t="shared" si="17"/>
        <v>0</v>
      </c>
      <c r="AE18" s="738">
        <f t="shared" si="18"/>
        <v>0</v>
      </c>
      <c r="AF18" s="738">
        <f t="shared" si="19"/>
        <v>0</v>
      </c>
      <c r="AG18" s="738">
        <f t="shared" si="20"/>
        <v>0</v>
      </c>
      <c r="AH18" s="1077">
        <f t="shared" si="3"/>
        <v>0</v>
      </c>
      <c r="AI18" s="738">
        <f t="shared" si="21"/>
        <v>0</v>
      </c>
      <c r="AJ18" s="738">
        <f t="shared" si="22"/>
        <v>0</v>
      </c>
      <c r="AK18" s="1077">
        <f t="shared" si="23"/>
        <v>0</v>
      </c>
      <c r="AL18" s="738">
        <f t="shared" si="24"/>
        <v>0</v>
      </c>
      <c r="AM18" s="739">
        <f t="shared" si="25"/>
        <v>0</v>
      </c>
      <c r="AN18" s="885">
        <f t="shared" si="26"/>
        <v>0</v>
      </c>
      <c r="AO18" s="885">
        <f t="shared" si="27"/>
        <v>0</v>
      </c>
      <c r="AP18" s="885">
        <f t="shared" si="28"/>
        <v>0</v>
      </c>
      <c r="AQ18" s="1077">
        <f t="shared" si="29"/>
        <v>0</v>
      </c>
      <c r="AR18" s="739">
        <f t="shared" si="30"/>
        <v>0</v>
      </c>
      <c r="AS18" s="739">
        <f t="shared" si="31"/>
        <v>0</v>
      </c>
      <c r="AT18" s="1077">
        <f t="shared" si="32"/>
        <v>0</v>
      </c>
      <c r="AU18" s="739">
        <f t="shared" si="33"/>
        <v>0</v>
      </c>
    </row>
    <row r="19" spans="1:47" ht="24.95" customHeight="1" x14ac:dyDescent="0.2">
      <c r="A19" s="664">
        <v>11</v>
      </c>
      <c r="B19" s="737" t="str">
        <f>dtsiswa!D17</f>
        <v>Fania Mutiara Felichia</v>
      </c>
      <c r="C19" s="417" t="s">
        <v>4</v>
      </c>
      <c r="D19" s="22"/>
      <c r="E19" s="22"/>
      <c r="F19" s="23"/>
      <c r="G19" s="23"/>
      <c r="H19" s="23"/>
      <c r="I19" s="23"/>
      <c r="J19" s="23"/>
      <c r="K19" s="23"/>
      <c r="L19" s="23"/>
      <c r="M19" s="23"/>
      <c r="N19" s="22"/>
      <c r="O19" s="22"/>
      <c r="P19" s="22"/>
      <c r="Q19" s="27"/>
      <c r="R19" s="422">
        <f t="shared" si="6"/>
        <v>0</v>
      </c>
      <c r="S19" s="422">
        <f t="shared" si="7"/>
        <v>0</v>
      </c>
      <c r="T19" s="422">
        <f t="shared" si="8"/>
        <v>0</v>
      </c>
      <c r="U19" s="423">
        <f t="shared" si="9"/>
        <v>0</v>
      </c>
      <c r="V19" s="424">
        <f t="shared" si="10"/>
        <v>0</v>
      </c>
      <c r="W19" s="424">
        <f t="shared" si="11"/>
        <v>0</v>
      </c>
      <c r="X19" s="424">
        <f t="shared" si="12"/>
        <v>0</v>
      </c>
      <c r="Y19" s="423">
        <f t="shared" si="13"/>
        <v>0</v>
      </c>
      <c r="Z19" s="426">
        <f t="shared" si="14"/>
        <v>0</v>
      </c>
      <c r="AA19" s="426">
        <f t="shared" si="15"/>
        <v>0</v>
      </c>
      <c r="AB19" s="426">
        <f t="shared" si="16"/>
        <v>0</v>
      </c>
      <c r="AC19" s="423">
        <f t="shared" si="1"/>
        <v>0</v>
      </c>
      <c r="AD19" s="738">
        <f t="shared" si="17"/>
        <v>0</v>
      </c>
      <c r="AE19" s="738">
        <f t="shared" si="18"/>
        <v>0</v>
      </c>
      <c r="AF19" s="738">
        <f t="shared" si="19"/>
        <v>0</v>
      </c>
      <c r="AG19" s="738">
        <f t="shared" si="20"/>
        <v>0</v>
      </c>
      <c r="AH19" s="1077">
        <f t="shared" si="3"/>
        <v>0</v>
      </c>
      <c r="AI19" s="738">
        <f t="shared" si="21"/>
        <v>0</v>
      </c>
      <c r="AJ19" s="738">
        <f t="shared" si="22"/>
        <v>0</v>
      </c>
      <c r="AK19" s="1077">
        <f t="shared" si="23"/>
        <v>0</v>
      </c>
      <c r="AL19" s="738">
        <f t="shared" si="24"/>
        <v>0</v>
      </c>
      <c r="AM19" s="739">
        <f t="shared" si="25"/>
        <v>0</v>
      </c>
      <c r="AN19" s="885">
        <f t="shared" si="26"/>
        <v>0</v>
      </c>
      <c r="AO19" s="885">
        <f t="shared" si="27"/>
        <v>0</v>
      </c>
      <c r="AP19" s="885">
        <f t="shared" si="28"/>
        <v>0</v>
      </c>
      <c r="AQ19" s="1077">
        <f t="shared" si="29"/>
        <v>0</v>
      </c>
      <c r="AR19" s="739">
        <f t="shared" si="30"/>
        <v>0</v>
      </c>
      <c r="AS19" s="739">
        <f t="shared" si="31"/>
        <v>0</v>
      </c>
      <c r="AT19" s="1077">
        <f t="shared" si="32"/>
        <v>0</v>
      </c>
      <c r="AU19" s="739">
        <f t="shared" si="33"/>
        <v>0</v>
      </c>
    </row>
    <row r="20" spans="1:47" ht="24.95" customHeight="1" x14ac:dyDescent="0.2">
      <c r="A20" s="664">
        <v>12</v>
      </c>
      <c r="B20" s="737" t="str">
        <f>dtsiswa!D18</f>
        <v>Intan Dyah Nowari</v>
      </c>
      <c r="C20" s="417" t="s">
        <v>4</v>
      </c>
      <c r="D20" s="22"/>
      <c r="E20" s="22"/>
      <c r="F20" s="23"/>
      <c r="G20" s="23"/>
      <c r="H20" s="23"/>
      <c r="I20" s="23"/>
      <c r="J20" s="23"/>
      <c r="K20" s="23"/>
      <c r="L20" s="23"/>
      <c r="M20" s="23"/>
      <c r="N20" s="22"/>
      <c r="O20" s="22"/>
      <c r="P20" s="22"/>
      <c r="Q20" s="27"/>
      <c r="R20" s="422">
        <f t="shared" si="6"/>
        <v>0</v>
      </c>
      <c r="S20" s="422">
        <f t="shared" si="7"/>
        <v>0</v>
      </c>
      <c r="T20" s="422">
        <f t="shared" si="8"/>
        <v>0</v>
      </c>
      <c r="U20" s="423">
        <f t="shared" si="9"/>
        <v>0</v>
      </c>
      <c r="V20" s="424">
        <f t="shared" si="10"/>
        <v>0</v>
      </c>
      <c r="W20" s="424">
        <f t="shared" si="11"/>
        <v>0</v>
      </c>
      <c r="X20" s="424">
        <f t="shared" si="12"/>
        <v>0</v>
      </c>
      <c r="Y20" s="423">
        <f t="shared" si="13"/>
        <v>0</v>
      </c>
      <c r="Z20" s="426">
        <f t="shared" si="14"/>
        <v>0</v>
      </c>
      <c r="AA20" s="426">
        <f t="shared" si="15"/>
        <v>0</v>
      </c>
      <c r="AB20" s="426">
        <f t="shared" si="16"/>
        <v>0</v>
      </c>
      <c r="AC20" s="423">
        <f t="shared" si="1"/>
        <v>0</v>
      </c>
      <c r="AD20" s="738">
        <f t="shared" si="17"/>
        <v>0</v>
      </c>
      <c r="AE20" s="738">
        <f t="shared" si="18"/>
        <v>0</v>
      </c>
      <c r="AF20" s="738">
        <f t="shared" si="19"/>
        <v>0</v>
      </c>
      <c r="AG20" s="738">
        <f t="shared" si="20"/>
        <v>0</v>
      </c>
      <c r="AH20" s="1077">
        <f t="shared" si="3"/>
        <v>0</v>
      </c>
      <c r="AI20" s="738">
        <f t="shared" si="21"/>
        <v>0</v>
      </c>
      <c r="AJ20" s="738">
        <f t="shared" si="22"/>
        <v>0</v>
      </c>
      <c r="AK20" s="1077">
        <f t="shared" si="23"/>
        <v>0</v>
      </c>
      <c r="AL20" s="738">
        <f t="shared" si="24"/>
        <v>0</v>
      </c>
      <c r="AM20" s="739">
        <f t="shared" si="25"/>
        <v>0</v>
      </c>
      <c r="AN20" s="885">
        <f t="shared" si="26"/>
        <v>0</v>
      </c>
      <c r="AO20" s="885">
        <f t="shared" si="27"/>
        <v>0</v>
      </c>
      <c r="AP20" s="885">
        <f t="shared" si="28"/>
        <v>0</v>
      </c>
      <c r="AQ20" s="1077">
        <f t="shared" si="29"/>
        <v>0</v>
      </c>
      <c r="AR20" s="739">
        <f t="shared" si="30"/>
        <v>0</v>
      </c>
      <c r="AS20" s="739">
        <f t="shared" si="31"/>
        <v>0</v>
      </c>
      <c r="AT20" s="1077">
        <f t="shared" si="32"/>
        <v>0</v>
      </c>
      <c r="AU20" s="739">
        <f t="shared" si="33"/>
        <v>0</v>
      </c>
    </row>
    <row r="21" spans="1:47" ht="24.95" customHeight="1" x14ac:dyDescent="0.2">
      <c r="A21" s="664">
        <v>13</v>
      </c>
      <c r="B21" s="737" t="str">
        <f>dtsiswa!D19</f>
        <v>Misyanita Nurfitri S</v>
      </c>
      <c r="C21" s="417" t="s">
        <v>5</v>
      </c>
      <c r="D21" s="22"/>
      <c r="E21" s="22"/>
      <c r="F21" s="23"/>
      <c r="G21" s="23"/>
      <c r="H21" s="23"/>
      <c r="I21" s="23"/>
      <c r="J21" s="23"/>
      <c r="K21" s="23"/>
      <c r="L21" s="23"/>
      <c r="M21" s="23"/>
      <c r="N21" s="22"/>
      <c r="O21" s="22"/>
      <c r="P21" s="22"/>
      <c r="Q21" s="27"/>
      <c r="R21" s="422">
        <f t="shared" si="6"/>
        <v>0</v>
      </c>
      <c r="S21" s="422">
        <f t="shared" si="7"/>
        <v>0</v>
      </c>
      <c r="T21" s="422">
        <f t="shared" si="8"/>
        <v>0</v>
      </c>
      <c r="U21" s="423">
        <f t="shared" si="9"/>
        <v>0</v>
      </c>
      <c r="V21" s="424">
        <f t="shared" si="10"/>
        <v>0</v>
      </c>
      <c r="W21" s="424">
        <f t="shared" si="11"/>
        <v>0</v>
      </c>
      <c r="X21" s="424">
        <f t="shared" si="12"/>
        <v>0</v>
      </c>
      <c r="Y21" s="423">
        <f t="shared" si="13"/>
        <v>0</v>
      </c>
      <c r="Z21" s="426">
        <f t="shared" si="14"/>
        <v>0</v>
      </c>
      <c r="AA21" s="426">
        <f t="shared" si="15"/>
        <v>0</v>
      </c>
      <c r="AB21" s="426">
        <f t="shared" si="16"/>
        <v>0</v>
      </c>
      <c r="AC21" s="423">
        <f t="shared" si="1"/>
        <v>0</v>
      </c>
      <c r="AD21" s="738">
        <f t="shared" si="17"/>
        <v>0</v>
      </c>
      <c r="AE21" s="738">
        <f t="shared" si="18"/>
        <v>0</v>
      </c>
      <c r="AF21" s="738">
        <f t="shared" si="19"/>
        <v>0</v>
      </c>
      <c r="AG21" s="738">
        <f t="shared" si="20"/>
        <v>0</v>
      </c>
      <c r="AH21" s="1077">
        <f t="shared" si="3"/>
        <v>0</v>
      </c>
      <c r="AI21" s="738">
        <f t="shared" si="21"/>
        <v>0</v>
      </c>
      <c r="AJ21" s="738">
        <f t="shared" si="22"/>
        <v>0</v>
      </c>
      <c r="AK21" s="1077">
        <f t="shared" si="23"/>
        <v>0</v>
      </c>
      <c r="AL21" s="738">
        <f t="shared" si="24"/>
        <v>0</v>
      </c>
      <c r="AM21" s="739">
        <f t="shared" si="25"/>
        <v>0</v>
      </c>
      <c r="AN21" s="885">
        <f t="shared" si="26"/>
        <v>0</v>
      </c>
      <c r="AO21" s="885">
        <f t="shared" si="27"/>
        <v>0</v>
      </c>
      <c r="AP21" s="885">
        <f t="shared" si="28"/>
        <v>0</v>
      </c>
      <c r="AQ21" s="1077">
        <f t="shared" si="29"/>
        <v>0</v>
      </c>
      <c r="AR21" s="739">
        <f t="shared" si="30"/>
        <v>0</v>
      </c>
      <c r="AS21" s="739">
        <f t="shared" si="31"/>
        <v>0</v>
      </c>
      <c r="AT21" s="1077">
        <f t="shared" si="32"/>
        <v>0</v>
      </c>
      <c r="AU21" s="739">
        <f t="shared" si="33"/>
        <v>0</v>
      </c>
    </row>
    <row r="22" spans="1:47" ht="24.95" customHeight="1" x14ac:dyDescent="0.2">
      <c r="A22" s="664">
        <v>14</v>
      </c>
      <c r="B22" s="737" t="str">
        <f>dtsiswa!D20</f>
        <v>Moch Zidane Hita L. U</v>
      </c>
      <c r="C22" s="417" t="s">
        <v>4</v>
      </c>
      <c r="D22" s="22"/>
      <c r="E22" s="22"/>
      <c r="F22" s="23"/>
      <c r="G22" s="23"/>
      <c r="H22" s="23"/>
      <c r="I22" s="23"/>
      <c r="J22" s="23"/>
      <c r="K22" s="23"/>
      <c r="L22" s="23"/>
      <c r="M22" s="23"/>
      <c r="N22" s="22"/>
      <c r="O22" s="22"/>
      <c r="P22" s="22"/>
      <c r="Q22" s="27"/>
      <c r="R22" s="422">
        <f t="shared" si="6"/>
        <v>0</v>
      </c>
      <c r="S22" s="422">
        <f t="shared" si="7"/>
        <v>0</v>
      </c>
      <c r="T22" s="422">
        <f t="shared" si="8"/>
        <v>0</v>
      </c>
      <c r="U22" s="423">
        <f t="shared" si="9"/>
        <v>0</v>
      </c>
      <c r="V22" s="424">
        <f t="shared" si="10"/>
        <v>0</v>
      </c>
      <c r="W22" s="424">
        <f t="shared" si="11"/>
        <v>0</v>
      </c>
      <c r="X22" s="424">
        <f t="shared" si="12"/>
        <v>0</v>
      </c>
      <c r="Y22" s="423">
        <f t="shared" si="13"/>
        <v>0</v>
      </c>
      <c r="Z22" s="426">
        <f t="shared" si="14"/>
        <v>0</v>
      </c>
      <c r="AA22" s="426">
        <f t="shared" si="15"/>
        <v>0</v>
      </c>
      <c r="AB22" s="426">
        <f t="shared" si="16"/>
        <v>0</v>
      </c>
      <c r="AC22" s="423">
        <f t="shared" si="1"/>
        <v>0</v>
      </c>
      <c r="AD22" s="738">
        <f t="shared" si="17"/>
        <v>0</v>
      </c>
      <c r="AE22" s="738">
        <f t="shared" si="18"/>
        <v>0</v>
      </c>
      <c r="AF22" s="738">
        <f t="shared" si="19"/>
        <v>0</v>
      </c>
      <c r="AG22" s="738">
        <f t="shared" si="20"/>
        <v>0</v>
      </c>
      <c r="AH22" s="1077">
        <f t="shared" si="3"/>
        <v>0</v>
      </c>
      <c r="AI22" s="738">
        <f t="shared" si="21"/>
        <v>0</v>
      </c>
      <c r="AJ22" s="738">
        <f t="shared" si="22"/>
        <v>0</v>
      </c>
      <c r="AK22" s="1077">
        <f t="shared" si="23"/>
        <v>0</v>
      </c>
      <c r="AL22" s="738">
        <f t="shared" si="24"/>
        <v>0</v>
      </c>
      <c r="AM22" s="739">
        <f t="shared" si="25"/>
        <v>0</v>
      </c>
      <c r="AN22" s="885">
        <f t="shared" si="26"/>
        <v>0</v>
      </c>
      <c r="AO22" s="885">
        <f t="shared" si="27"/>
        <v>0</v>
      </c>
      <c r="AP22" s="885">
        <f t="shared" si="28"/>
        <v>0</v>
      </c>
      <c r="AQ22" s="1077">
        <f t="shared" si="29"/>
        <v>0</v>
      </c>
      <c r="AR22" s="739">
        <f t="shared" si="30"/>
        <v>0</v>
      </c>
      <c r="AS22" s="739">
        <f t="shared" si="31"/>
        <v>0</v>
      </c>
      <c r="AT22" s="1077">
        <f t="shared" si="32"/>
        <v>0</v>
      </c>
      <c r="AU22" s="739">
        <f t="shared" si="33"/>
        <v>0</v>
      </c>
    </row>
    <row r="23" spans="1:47" ht="24.95" customHeight="1" x14ac:dyDescent="0.2">
      <c r="A23" s="664">
        <v>15</v>
      </c>
      <c r="B23" s="737" t="str">
        <f>dtsiswa!D21</f>
        <v>Muhammad Ibra Maulana</v>
      </c>
      <c r="C23" s="417" t="s">
        <v>4</v>
      </c>
      <c r="D23" s="22"/>
      <c r="E23" s="22"/>
      <c r="F23" s="23"/>
      <c r="G23" s="23"/>
      <c r="H23" s="23"/>
      <c r="I23" s="23"/>
      <c r="J23" s="23"/>
      <c r="K23" s="23"/>
      <c r="L23" s="23"/>
      <c r="M23" s="23"/>
      <c r="N23" s="22"/>
      <c r="O23" s="22"/>
      <c r="P23" s="22"/>
      <c r="Q23" s="27"/>
      <c r="R23" s="422">
        <f t="shared" si="6"/>
        <v>0</v>
      </c>
      <c r="S23" s="422">
        <f t="shared" si="7"/>
        <v>0</v>
      </c>
      <c r="T23" s="422">
        <f t="shared" si="8"/>
        <v>0</v>
      </c>
      <c r="U23" s="423">
        <f t="shared" si="9"/>
        <v>0</v>
      </c>
      <c r="V23" s="424">
        <f t="shared" si="10"/>
        <v>0</v>
      </c>
      <c r="W23" s="424">
        <f t="shared" si="11"/>
        <v>0</v>
      </c>
      <c r="X23" s="424">
        <f t="shared" si="12"/>
        <v>0</v>
      </c>
      <c r="Y23" s="423">
        <f t="shared" si="13"/>
        <v>0</v>
      </c>
      <c r="Z23" s="426">
        <f t="shared" si="14"/>
        <v>0</v>
      </c>
      <c r="AA23" s="426">
        <f t="shared" si="15"/>
        <v>0</v>
      </c>
      <c r="AB23" s="426">
        <f t="shared" si="16"/>
        <v>0</v>
      </c>
      <c r="AC23" s="423">
        <f t="shared" si="1"/>
        <v>0</v>
      </c>
      <c r="AD23" s="738">
        <f t="shared" si="17"/>
        <v>0</v>
      </c>
      <c r="AE23" s="738">
        <f t="shared" si="18"/>
        <v>0</v>
      </c>
      <c r="AF23" s="738">
        <f t="shared" si="19"/>
        <v>0</v>
      </c>
      <c r="AG23" s="738">
        <f t="shared" si="20"/>
        <v>0</v>
      </c>
      <c r="AH23" s="1077">
        <f t="shared" si="3"/>
        <v>0</v>
      </c>
      <c r="AI23" s="738">
        <f t="shared" si="21"/>
        <v>0</v>
      </c>
      <c r="AJ23" s="738">
        <f t="shared" si="22"/>
        <v>0</v>
      </c>
      <c r="AK23" s="1077">
        <f t="shared" si="23"/>
        <v>0</v>
      </c>
      <c r="AL23" s="738">
        <f t="shared" si="24"/>
        <v>0</v>
      </c>
      <c r="AM23" s="739">
        <f t="shared" si="25"/>
        <v>0</v>
      </c>
      <c r="AN23" s="885">
        <f t="shared" si="26"/>
        <v>0</v>
      </c>
      <c r="AO23" s="885">
        <f t="shared" si="27"/>
        <v>0</v>
      </c>
      <c r="AP23" s="885">
        <f t="shared" si="28"/>
        <v>0</v>
      </c>
      <c r="AQ23" s="1077">
        <f t="shared" si="29"/>
        <v>0</v>
      </c>
      <c r="AR23" s="739">
        <f t="shared" si="30"/>
        <v>0</v>
      </c>
      <c r="AS23" s="739">
        <f t="shared" si="31"/>
        <v>0</v>
      </c>
      <c r="AT23" s="1077">
        <f t="shared" si="32"/>
        <v>0</v>
      </c>
      <c r="AU23" s="739">
        <f t="shared" si="33"/>
        <v>0</v>
      </c>
    </row>
    <row r="24" spans="1:47" ht="24.95" customHeight="1" x14ac:dyDescent="0.2">
      <c r="A24" s="664">
        <v>16</v>
      </c>
      <c r="B24" s="737" t="str">
        <f>dtsiswa!D22</f>
        <v>Nabilla Shiva Putri</v>
      </c>
      <c r="C24" s="417" t="s">
        <v>4</v>
      </c>
      <c r="D24" s="22"/>
      <c r="E24" s="22"/>
      <c r="F24" s="23"/>
      <c r="G24" s="23"/>
      <c r="H24" s="23"/>
      <c r="I24" s="23"/>
      <c r="J24" s="23"/>
      <c r="K24" s="23"/>
      <c r="L24" s="23"/>
      <c r="M24" s="23"/>
      <c r="N24" s="22"/>
      <c r="O24" s="22"/>
      <c r="P24" s="22"/>
      <c r="Q24" s="27"/>
      <c r="R24" s="422">
        <f t="shared" si="6"/>
        <v>0</v>
      </c>
      <c r="S24" s="422">
        <f t="shared" si="7"/>
        <v>0</v>
      </c>
      <c r="T24" s="422">
        <f t="shared" si="8"/>
        <v>0</v>
      </c>
      <c r="U24" s="423">
        <f t="shared" si="9"/>
        <v>0</v>
      </c>
      <c r="V24" s="424">
        <f t="shared" si="10"/>
        <v>0</v>
      </c>
      <c r="W24" s="424">
        <f t="shared" si="11"/>
        <v>0</v>
      </c>
      <c r="X24" s="424">
        <f t="shared" si="12"/>
        <v>0</v>
      </c>
      <c r="Y24" s="423">
        <f t="shared" si="13"/>
        <v>0</v>
      </c>
      <c r="Z24" s="426">
        <f t="shared" si="14"/>
        <v>0</v>
      </c>
      <c r="AA24" s="426">
        <f t="shared" si="15"/>
        <v>0</v>
      </c>
      <c r="AB24" s="426">
        <f t="shared" si="16"/>
        <v>0</v>
      </c>
      <c r="AC24" s="423">
        <f t="shared" si="1"/>
        <v>0</v>
      </c>
      <c r="AD24" s="738">
        <f t="shared" si="17"/>
        <v>0</v>
      </c>
      <c r="AE24" s="738">
        <f t="shared" si="18"/>
        <v>0</v>
      </c>
      <c r="AF24" s="738">
        <f t="shared" si="19"/>
        <v>0</v>
      </c>
      <c r="AG24" s="738">
        <f t="shared" si="20"/>
        <v>0</v>
      </c>
      <c r="AH24" s="1077">
        <f t="shared" si="3"/>
        <v>0</v>
      </c>
      <c r="AI24" s="738">
        <f t="shared" si="21"/>
        <v>0</v>
      </c>
      <c r="AJ24" s="738">
        <f t="shared" si="22"/>
        <v>0</v>
      </c>
      <c r="AK24" s="1077">
        <f t="shared" si="23"/>
        <v>0</v>
      </c>
      <c r="AL24" s="738">
        <f t="shared" si="24"/>
        <v>0</v>
      </c>
      <c r="AM24" s="739">
        <f t="shared" si="25"/>
        <v>0</v>
      </c>
      <c r="AN24" s="885">
        <f t="shared" si="26"/>
        <v>0</v>
      </c>
      <c r="AO24" s="885">
        <f t="shared" si="27"/>
        <v>0</v>
      </c>
      <c r="AP24" s="885">
        <f t="shared" si="28"/>
        <v>0</v>
      </c>
      <c r="AQ24" s="1077">
        <f t="shared" si="29"/>
        <v>0</v>
      </c>
      <c r="AR24" s="739">
        <f t="shared" si="30"/>
        <v>0</v>
      </c>
      <c r="AS24" s="739">
        <f t="shared" si="31"/>
        <v>0</v>
      </c>
      <c r="AT24" s="1077">
        <f t="shared" si="32"/>
        <v>0</v>
      </c>
      <c r="AU24" s="739">
        <f t="shared" si="33"/>
        <v>0</v>
      </c>
    </row>
    <row r="25" spans="1:47" ht="24.95" customHeight="1" x14ac:dyDescent="0.2">
      <c r="A25" s="664">
        <v>17</v>
      </c>
      <c r="B25" s="737" t="str">
        <f>dtsiswa!D23</f>
        <v>Naufal Falih F</v>
      </c>
      <c r="C25" s="417" t="s">
        <v>5</v>
      </c>
      <c r="D25" s="22"/>
      <c r="E25" s="22"/>
      <c r="F25" s="23"/>
      <c r="G25" s="23"/>
      <c r="H25" s="23"/>
      <c r="I25" s="23"/>
      <c r="J25" s="23"/>
      <c r="K25" s="23"/>
      <c r="L25" s="23"/>
      <c r="M25" s="23"/>
      <c r="N25" s="22"/>
      <c r="O25" s="22"/>
      <c r="P25" s="22"/>
      <c r="Q25" s="27"/>
      <c r="R25" s="422">
        <f t="shared" si="6"/>
        <v>0</v>
      </c>
      <c r="S25" s="422">
        <f t="shared" si="7"/>
        <v>0</v>
      </c>
      <c r="T25" s="422">
        <f t="shared" si="8"/>
        <v>0</v>
      </c>
      <c r="U25" s="423">
        <f t="shared" si="9"/>
        <v>0</v>
      </c>
      <c r="V25" s="424">
        <f t="shared" si="10"/>
        <v>0</v>
      </c>
      <c r="W25" s="424">
        <f t="shared" si="11"/>
        <v>0</v>
      </c>
      <c r="X25" s="424">
        <f t="shared" si="12"/>
        <v>0</v>
      </c>
      <c r="Y25" s="423">
        <f t="shared" si="13"/>
        <v>0</v>
      </c>
      <c r="Z25" s="426">
        <f t="shared" si="14"/>
        <v>0</v>
      </c>
      <c r="AA25" s="426">
        <f t="shared" si="15"/>
        <v>0</v>
      </c>
      <c r="AB25" s="426">
        <f t="shared" si="16"/>
        <v>0</v>
      </c>
      <c r="AC25" s="423">
        <f t="shared" si="1"/>
        <v>0</v>
      </c>
      <c r="AD25" s="738">
        <f t="shared" si="17"/>
        <v>0</v>
      </c>
      <c r="AE25" s="738">
        <f t="shared" si="18"/>
        <v>0</v>
      </c>
      <c r="AF25" s="738">
        <f t="shared" si="19"/>
        <v>0</v>
      </c>
      <c r="AG25" s="738">
        <f t="shared" si="20"/>
        <v>0</v>
      </c>
      <c r="AH25" s="1077">
        <f t="shared" si="3"/>
        <v>0</v>
      </c>
      <c r="AI25" s="738">
        <f t="shared" si="21"/>
        <v>0</v>
      </c>
      <c r="AJ25" s="738">
        <f t="shared" si="22"/>
        <v>0</v>
      </c>
      <c r="AK25" s="1077">
        <f t="shared" si="23"/>
        <v>0</v>
      </c>
      <c r="AL25" s="738">
        <f t="shared" si="24"/>
        <v>0</v>
      </c>
      <c r="AM25" s="739">
        <f t="shared" si="25"/>
        <v>0</v>
      </c>
      <c r="AN25" s="885">
        <f t="shared" si="26"/>
        <v>0</v>
      </c>
      <c r="AO25" s="885">
        <f t="shared" si="27"/>
        <v>0</v>
      </c>
      <c r="AP25" s="885">
        <f t="shared" si="28"/>
        <v>0</v>
      </c>
      <c r="AQ25" s="1077">
        <f t="shared" si="29"/>
        <v>0</v>
      </c>
      <c r="AR25" s="739">
        <f t="shared" si="30"/>
        <v>0</v>
      </c>
      <c r="AS25" s="739">
        <f t="shared" si="31"/>
        <v>0</v>
      </c>
      <c r="AT25" s="1077">
        <f t="shared" si="32"/>
        <v>0</v>
      </c>
      <c r="AU25" s="739">
        <f t="shared" si="33"/>
        <v>0</v>
      </c>
    </row>
    <row r="26" spans="1:47" ht="24.95" customHeight="1" x14ac:dyDescent="0.2">
      <c r="A26" s="664">
        <v>18</v>
      </c>
      <c r="B26" s="737" t="str">
        <f>dtsiswa!D24</f>
        <v>Nayla Annora Nobel W</v>
      </c>
      <c r="C26" s="417" t="s">
        <v>4</v>
      </c>
      <c r="D26" s="22"/>
      <c r="E26" s="22"/>
      <c r="F26" s="23"/>
      <c r="G26" s="23"/>
      <c r="H26" s="23"/>
      <c r="I26" s="23"/>
      <c r="J26" s="23"/>
      <c r="K26" s="23"/>
      <c r="L26" s="23"/>
      <c r="M26" s="23"/>
      <c r="N26" s="22"/>
      <c r="O26" s="22"/>
      <c r="P26" s="22"/>
      <c r="Q26" s="27"/>
      <c r="R26" s="422">
        <f t="shared" si="6"/>
        <v>0</v>
      </c>
      <c r="S26" s="422">
        <f t="shared" si="7"/>
        <v>0</v>
      </c>
      <c r="T26" s="422">
        <f t="shared" si="8"/>
        <v>0</v>
      </c>
      <c r="U26" s="423">
        <f t="shared" si="9"/>
        <v>0</v>
      </c>
      <c r="V26" s="424">
        <f t="shared" si="10"/>
        <v>0</v>
      </c>
      <c r="W26" s="424">
        <f t="shared" si="11"/>
        <v>0</v>
      </c>
      <c r="X26" s="424">
        <f t="shared" si="12"/>
        <v>0</v>
      </c>
      <c r="Y26" s="423">
        <f t="shared" si="13"/>
        <v>0</v>
      </c>
      <c r="Z26" s="426">
        <f t="shared" si="14"/>
        <v>0</v>
      </c>
      <c r="AA26" s="426">
        <f t="shared" si="15"/>
        <v>0</v>
      </c>
      <c r="AB26" s="426">
        <f t="shared" si="16"/>
        <v>0</v>
      </c>
      <c r="AC26" s="423">
        <f t="shared" si="1"/>
        <v>0</v>
      </c>
      <c r="AD26" s="738">
        <f t="shared" si="17"/>
        <v>0</v>
      </c>
      <c r="AE26" s="738">
        <f t="shared" si="18"/>
        <v>0</v>
      </c>
      <c r="AF26" s="738">
        <f t="shared" si="19"/>
        <v>0</v>
      </c>
      <c r="AG26" s="738">
        <f t="shared" si="20"/>
        <v>0</v>
      </c>
      <c r="AH26" s="1077">
        <f t="shared" si="3"/>
        <v>0</v>
      </c>
      <c r="AI26" s="738">
        <f t="shared" si="21"/>
        <v>0</v>
      </c>
      <c r="AJ26" s="738">
        <f t="shared" si="22"/>
        <v>0</v>
      </c>
      <c r="AK26" s="1077">
        <f t="shared" si="23"/>
        <v>0</v>
      </c>
      <c r="AL26" s="738">
        <f t="shared" si="24"/>
        <v>0</v>
      </c>
      <c r="AM26" s="739">
        <f t="shared" si="25"/>
        <v>0</v>
      </c>
      <c r="AN26" s="885">
        <f t="shared" si="26"/>
        <v>0</v>
      </c>
      <c r="AO26" s="885">
        <f t="shared" si="27"/>
        <v>0</v>
      </c>
      <c r="AP26" s="885">
        <f t="shared" si="28"/>
        <v>0</v>
      </c>
      <c r="AQ26" s="1077">
        <f t="shared" si="29"/>
        <v>0</v>
      </c>
      <c r="AR26" s="739">
        <f t="shared" si="30"/>
        <v>0</v>
      </c>
      <c r="AS26" s="739">
        <f t="shared" si="31"/>
        <v>0</v>
      </c>
      <c r="AT26" s="1077">
        <f t="shared" si="32"/>
        <v>0</v>
      </c>
      <c r="AU26" s="739">
        <f t="shared" si="33"/>
        <v>0</v>
      </c>
    </row>
    <row r="27" spans="1:47" ht="24.95" customHeight="1" x14ac:dyDescent="0.2">
      <c r="A27" s="664">
        <v>19</v>
      </c>
      <c r="B27" s="737" t="str">
        <f>dtsiswa!D25</f>
        <v>Raihan Danang P</v>
      </c>
      <c r="C27" s="417" t="s">
        <v>5</v>
      </c>
      <c r="D27" s="22"/>
      <c r="E27" s="22"/>
      <c r="F27" s="23"/>
      <c r="G27" s="23"/>
      <c r="H27" s="23"/>
      <c r="I27" s="23"/>
      <c r="J27" s="23"/>
      <c r="K27" s="23"/>
      <c r="L27" s="23"/>
      <c r="M27" s="23"/>
      <c r="N27" s="22"/>
      <c r="O27" s="22"/>
      <c r="P27" s="22"/>
      <c r="Q27" s="27"/>
      <c r="R27" s="422">
        <f t="shared" si="6"/>
        <v>0</v>
      </c>
      <c r="S27" s="422">
        <f t="shared" si="7"/>
        <v>0</v>
      </c>
      <c r="T27" s="422">
        <f t="shared" si="8"/>
        <v>0</v>
      </c>
      <c r="U27" s="423">
        <f t="shared" si="9"/>
        <v>0</v>
      </c>
      <c r="V27" s="424">
        <f t="shared" si="10"/>
        <v>0</v>
      </c>
      <c r="W27" s="424">
        <f t="shared" si="11"/>
        <v>0</v>
      </c>
      <c r="X27" s="424">
        <f t="shared" si="12"/>
        <v>0</v>
      </c>
      <c r="Y27" s="423">
        <f t="shared" si="13"/>
        <v>0</v>
      </c>
      <c r="Z27" s="426">
        <f t="shared" si="14"/>
        <v>0</v>
      </c>
      <c r="AA27" s="426">
        <f t="shared" si="15"/>
        <v>0</v>
      </c>
      <c r="AB27" s="426">
        <f t="shared" si="16"/>
        <v>0</v>
      </c>
      <c r="AC27" s="423">
        <f t="shared" si="1"/>
        <v>0</v>
      </c>
      <c r="AD27" s="738">
        <f t="shared" si="17"/>
        <v>0</v>
      </c>
      <c r="AE27" s="738">
        <f t="shared" si="18"/>
        <v>0</v>
      </c>
      <c r="AF27" s="738">
        <f t="shared" si="19"/>
        <v>0</v>
      </c>
      <c r="AG27" s="738">
        <f t="shared" si="20"/>
        <v>0</v>
      </c>
      <c r="AH27" s="1077">
        <f t="shared" si="3"/>
        <v>0</v>
      </c>
      <c r="AI27" s="738">
        <f t="shared" si="21"/>
        <v>0</v>
      </c>
      <c r="AJ27" s="738">
        <f t="shared" si="22"/>
        <v>0</v>
      </c>
      <c r="AK27" s="1077">
        <f t="shared" si="23"/>
        <v>0</v>
      </c>
      <c r="AL27" s="738">
        <f t="shared" si="24"/>
        <v>0</v>
      </c>
      <c r="AM27" s="739">
        <f t="shared" si="25"/>
        <v>0</v>
      </c>
      <c r="AN27" s="885">
        <f t="shared" si="26"/>
        <v>0</v>
      </c>
      <c r="AO27" s="885">
        <f t="shared" si="27"/>
        <v>0</v>
      </c>
      <c r="AP27" s="885">
        <f t="shared" si="28"/>
        <v>0</v>
      </c>
      <c r="AQ27" s="1077">
        <f t="shared" si="29"/>
        <v>0</v>
      </c>
      <c r="AR27" s="739">
        <f t="shared" si="30"/>
        <v>0</v>
      </c>
      <c r="AS27" s="739">
        <f t="shared" si="31"/>
        <v>0</v>
      </c>
      <c r="AT27" s="1077">
        <f t="shared" si="32"/>
        <v>0</v>
      </c>
      <c r="AU27" s="739">
        <f t="shared" si="33"/>
        <v>0</v>
      </c>
    </row>
    <row r="28" spans="1:47" ht="24.95" customHeight="1" x14ac:dyDescent="0.2">
      <c r="A28" s="664">
        <v>20</v>
      </c>
      <c r="B28" s="737" t="str">
        <f>dtsiswa!D26</f>
        <v>Roby Ardiyansyah</v>
      </c>
      <c r="C28" s="417" t="s">
        <v>5</v>
      </c>
      <c r="D28" s="22"/>
      <c r="E28" s="22"/>
      <c r="F28" s="23"/>
      <c r="G28" s="23"/>
      <c r="H28" s="23"/>
      <c r="I28" s="23"/>
      <c r="J28" s="23"/>
      <c r="K28" s="23"/>
      <c r="L28" s="23"/>
      <c r="M28" s="23"/>
      <c r="N28" s="22"/>
      <c r="O28" s="22"/>
      <c r="P28" s="22"/>
      <c r="Q28" s="27"/>
      <c r="R28" s="422">
        <f t="shared" si="6"/>
        <v>0</v>
      </c>
      <c r="S28" s="422">
        <f t="shared" si="7"/>
        <v>0</v>
      </c>
      <c r="T28" s="422">
        <f t="shared" si="8"/>
        <v>0</v>
      </c>
      <c r="U28" s="423">
        <f t="shared" si="9"/>
        <v>0</v>
      </c>
      <c r="V28" s="424">
        <f t="shared" si="10"/>
        <v>0</v>
      </c>
      <c r="W28" s="424">
        <f t="shared" si="11"/>
        <v>0</v>
      </c>
      <c r="X28" s="424">
        <f t="shared" si="12"/>
        <v>0</v>
      </c>
      <c r="Y28" s="423">
        <f t="shared" si="13"/>
        <v>0</v>
      </c>
      <c r="Z28" s="426">
        <f t="shared" si="14"/>
        <v>0</v>
      </c>
      <c r="AA28" s="426">
        <f t="shared" si="15"/>
        <v>0</v>
      </c>
      <c r="AB28" s="426">
        <f t="shared" si="16"/>
        <v>0</v>
      </c>
      <c r="AC28" s="423">
        <f t="shared" si="1"/>
        <v>0</v>
      </c>
      <c r="AD28" s="738">
        <f t="shared" si="17"/>
        <v>0</v>
      </c>
      <c r="AE28" s="738">
        <f t="shared" si="18"/>
        <v>0</v>
      </c>
      <c r="AF28" s="738">
        <f t="shared" si="19"/>
        <v>0</v>
      </c>
      <c r="AG28" s="738">
        <f t="shared" si="20"/>
        <v>0</v>
      </c>
      <c r="AH28" s="1077">
        <f t="shared" si="3"/>
        <v>0</v>
      </c>
      <c r="AI28" s="738">
        <f t="shared" si="21"/>
        <v>0</v>
      </c>
      <c r="AJ28" s="738">
        <f t="shared" si="22"/>
        <v>0</v>
      </c>
      <c r="AK28" s="1077">
        <f t="shared" si="23"/>
        <v>0</v>
      </c>
      <c r="AL28" s="738">
        <f t="shared" si="24"/>
        <v>0</v>
      </c>
      <c r="AM28" s="739">
        <f t="shared" si="25"/>
        <v>0</v>
      </c>
      <c r="AN28" s="885">
        <f t="shared" si="26"/>
        <v>0</v>
      </c>
      <c r="AO28" s="885">
        <f t="shared" si="27"/>
        <v>0</v>
      </c>
      <c r="AP28" s="885">
        <f t="shared" si="28"/>
        <v>0</v>
      </c>
      <c r="AQ28" s="1077">
        <f t="shared" si="29"/>
        <v>0</v>
      </c>
      <c r="AR28" s="739">
        <f t="shared" si="30"/>
        <v>0</v>
      </c>
      <c r="AS28" s="739">
        <f t="shared" si="31"/>
        <v>0</v>
      </c>
      <c r="AT28" s="1077">
        <f t="shared" si="32"/>
        <v>0</v>
      </c>
      <c r="AU28" s="739">
        <f t="shared" si="33"/>
        <v>0</v>
      </c>
    </row>
    <row r="29" spans="1:47" ht="24.95" customHeight="1" x14ac:dyDescent="0.2">
      <c r="A29" s="664">
        <v>21</v>
      </c>
      <c r="B29" s="737" t="str">
        <f>dtsiswa!D27</f>
        <v>Rojalingga Prana A</v>
      </c>
      <c r="C29" s="419" t="s">
        <v>4</v>
      </c>
      <c r="D29" s="22"/>
      <c r="E29" s="22"/>
      <c r="F29" s="23"/>
      <c r="G29" s="23"/>
      <c r="H29" s="23"/>
      <c r="I29" s="23"/>
      <c r="J29" s="23"/>
      <c r="K29" s="23"/>
      <c r="L29" s="23"/>
      <c r="M29" s="23"/>
      <c r="N29" s="22"/>
      <c r="O29" s="22"/>
      <c r="P29" s="22"/>
      <c r="Q29" s="27"/>
      <c r="R29" s="422">
        <f t="shared" si="6"/>
        <v>0</v>
      </c>
      <c r="S29" s="422">
        <f t="shared" si="7"/>
        <v>0</v>
      </c>
      <c r="T29" s="422">
        <f t="shared" si="8"/>
        <v>0</v>
      </c>
      <c r="U29" s="423">
        <f t="shared" si="9"/>
        <v>0</v>
      </c>
      <c r="V29" s="424">
        <f t="shared" si="10"/>
        <v>0</v>
      </c>
      <c r="W29" s="424">
        <f t="shared" si="11"/>
        <v>0</v>
      </c>
      <c r="X29" s="424">
        <f t="shared" si="12"/>
        <v>0</v>
      </c>
      <c r="Y29" s="423">
        <f t="shared" si="13"/>
        <v>0</v>
      </c>
      <c r="Z29" s="426">
        <f t="shared" si="14"/>
        <v>0</v>
      </c>
      <c r="AA29" s="426">
        <f t="shared" si="15"/>
        <v>0</v>
      </c>
      <c r="AB29" s="426">
        <f t="shared" si="16"/>
        <v>0</v>
      </c>
      <c r="AC29" s="423">
        <f t="shared" si="1"/>
        <v>0</v>
      </c>
      <c r="AD29" s="738">
        <f t="shared" si="17"/>
        <v>0</v>
      </c>
      <c r="AE29" s="738">
        <f t="shared" si="18"/>
        <v>0</v>
      </c>
      <c r="AF29" s="738">
        <f t="shared" si="19"/>
        <v>0</v>
      </c>
      <c r="AG29" s="738">
        <f t="shared" si="20"/>
        <v>0</v>
      </c>
      <c r="AH29" s="1077">
        <f t="shared" si="3"/>
        <v>0</v>
      </c>
      <c r="AI29" s="738">
        <f t="shared" si="21"/>
        <v>0</v>
      </c>
      <c r="AJ29" s="738">
        <f t="shared" si="22"/>
        <v>0</v>
      </c>
      <c r="AK29" s="1077">
        <f t="shared" si="23"/>
        <v>0</v>
      </c>
      <c r="AL29" s="738">
        <f t="shared" si="24"/>
        <v>0</v>
      </c>
      <c r="AM29" s="739">
        <f t="shared" si="25"/>
        <v>0</v>
      </c>
      <c r="AN29" s="885">
        <f t="shared" si="26"/>
        <v>0</v>
      </c>
      <c r="AO29" s="885">
        <f t="shared" si="27"/>
        <v>0</v>
      </c>
      <c r="AP29" s="885">
        <f t="shared" si="28"/>
        <v>0</v>
      </c>
      <c r="AQ29" s="1077">
        <f t="shared" si="29"/>
        <v>0</v>
      </c>
      <c r="AR29" s="739">
        <f t="shared" si="30"/>
        <v>0</v>
      </c>
      <c r="AS29" s="739">
        <f t="shared" si="31"/>
        <v>0</v>
      </c>
      <c r="AT29" s="1077">
        <f t="shared" si="32"/>
        <v>0</v>
      </c>
      <c r="AU29" s="739">
        <f t="shared" si="33"/>
        <v>0</v>
      </c>
    </row>
    <row r="30" spans="1:47" ht="24.95" customHeight="1" x14ac:dyDescent="0.25">
      <c r="A30" s="664">
        <v>22</v>
      </c>
      <c r="B30" s="413" t="str">
        <f>dtsiswa!D28</f>
        <v>Sally Savista A</v>
      </c>
      <c r="C30" s="420"/>
      <c r="D30" s="14"/>
      <c r="E30" s="14"/>
      <c r="F30" s="14"/>
      <c r="G30" s="14"/>
      <c r="H30" s="14"/>
      <c r="I30" s="14"/>
      <c r="J30" s="14"/>
      <c r="K30" s="14"/>
      <c r="L30" s="16"/>
      <c r="M30" s="16"/>
      <c r="N30" s="14"/>
      <c r="O30" s="14"/>
      <c r="P30" s="14"/>
      <c r="Q30" s="421"/>
      <c r="R30" s="422">
        <f t="shared" si="6"/>
        <v>0</v>
      </c>
      <c r="S30" s="422">
        <f t="shared" si="7"/>
        <v>0</v>
      </c>
      <c r="T30" s="422">
        <f t="shared" si="8"/>
        <v>0</v>
      </c>
      <c r="U30" s="423">
        <f t="shared" si="9"/>
        <v>0</v>
      </c>
      <c r="V30" s="424">
        <f t="shared" si="10"/>
        <v>0</v>
      </c>
      <c r="W30" s="424">
        <f t="shared" si="11"/>
        <v>0</v>
      </c>
      <c r="X30" s="424">
        <f t="shared" si="12"/>
        <v>0</v>
      </c>
      <c r="Y30" s="423">
        <f t="shared" si="13"/>
        <v>0</v>
      </c>
      <c r="Z30" s="426">
        <f t="shared" si="14"/>
        <v>0</v>
      </c>
      <c r="AA30" s="426">
        <f t="shared" si="15"/>
        <v>0</v>
      </c>
      <c r="AB30" s="426">
        <f t="shared" si="16"/>
        <v>0</v>
      </c>
      <c r="AC30" s="423">
        <f t="shared" si="1"/>
        <v>0</v>
      </c>
      <c r="AD30" s="738">
        <f t="shared" si="17"/>
        <v>0</v>
      </c>
      <c r="AE30" s="738">
        <f t="shared" si="18"/>
        <v>0</v>
      </c>
      <c r="AF30" s="738">
        <f t="shared" si="19"/>
        <v>0</v>
      </c>
      <c r="AG30" s="738">
        <f t="shared" si="20"/>
        <v>0</v>
      </c>
      <c r="AH30" s="1077">
        <f t="shared" si="3"/>
        <v>0</v>
      </c>
      <c r="AI30" s="738">
        <f t="shared" si="21"/>
        <v>0</v>
      </c>
      <c r="AJ30" s="738">
        <f t="shared" si="22"/>
        <v>0</v>
      </c>
      <c r="AK30" s="1077">
        <f t="shared" si="23"/>
        <v>0</v>
      </c>
      <c r="AL30" s="738">
        <f t="shared" si="24"/>
        <v>0</v>
      </c>
      <c r="AM30" s="739">
        <f t="shared" si="25"/>
        <v>0</v>
      </c>
      <c r="AN30" s="885">
        <f t="shared" si="26"/>
        <v>0</v>
      </c>
      <c r="AO30" s="885">
        <f t="shared" si="27"/>
        <v>0</v>
      </c>
      <c r="AP30" s="885">
        <f t="shared" si="28"/>
        <v>0</v>
      </c>
      <c r="AQ30" s="1077">
        <f t="shared" si="29"/>
        <v>0</v>
      </c>
      <c r="AR30" s="739">
        <f t="shared" si="30"/>
        <v>0</v>
      </c>
      <c r="AS30" s="739">
        <f t="shared" si="31"/>
        <v>0</v>
      </c>
      <c r="AT30" s="1077">
        <f t="shared" si="32"/>
        <v>0</v>
      </c>
      <c r="AU30" s="739">
        <f t="shared" si="33"/>
        <v>0</v>
      </c>
    </row>
    <row r="31" spans="1:47" ht="24.95" customHeight="1" x14ac:dyDescent="0.25">
      <c r="A31" s="664">
        <v>23</v>
      </c>
      <c r="B31" s="413" t="str">
        <f>dtsiswa!D29</f>
        <v xml:space="preserve">Tania Kaori Angelita </v>
      </c>
      <c r="C31" s="420"/>
      <c r="D31" s="14"/>
      <c r="E31" s="14"/>
      <c r="F31" s="14"/>
      <c r="G31" s="14"/>
      <c r="H31" s="14"/>
      <c r="I31" s="14"/>
      <c r="J31" s="14"/>
      <c r="K31" s="14"/>
      <c r="L31" s="16"/>
      <c r="M31" s="16"/>
      <c r="N31" s="14"/>
      <c r="O31" s="14"/>
      <c r="P31" s="14"/>
      <c r="Q31" s="421"/>
      <c r="R31" s="422">
        <f t="shared" si="6"/>
        <v>0</v>
      </c>
      <c r="S31" s="422">
        <f t="shared" si="7"/>
        <v>0</v>
      </c>
      <c r="T31" s="422">
        <f t="shared" si="8"/>
        <v>0</v>
      </c>
      <c r="U31" s="423">
        <f t="shared" si="9"/>
        <v>0</v>
      </c>
      <c r="V31" s="424">
        <f t="shared" si="10"/>
        <v>0</v>
      </c>
      <c r="W31" s="424">
        <f t="shared" si="11"/>
        <v>0</v>
      </c>
      <c r="X31" s="424">
        <f t="shared" si="12"/>
        <v>0</v>
      </c>
      <c r="Y31" s="423">
        <f t="shared" si="13"/>
        <v>0</v>
      </c>
      <c r="Z31" s="426">
        <f t="shared" si="14"/>
        <v>0</v>
      </c>
      <c r="AA31" s="426">
        <f t="shared" si="15"/>
        <v>0</v>
      </c>
      <c r="AB31" s="426">
        <f t="shared" si="16"/>
        <v>0</v>
      </c>
      <c r="AC31" s="423">
        <f t="shared" si="1"/>
        <v>0</v>
      </c>
      <c r="AD31" s="738">
        <f t="shared" si="17"/>
        <v>0</v>
      </c>
      <c r="AE31" s="738">
        <f t="shared" si="18"/>
        <v>0</v>
      </c>
      <c r="AF31" s="738">
        <f t="shared" si="19"/>
        <v>0</v>
      </c>
      <c r="AG31" s="738">
        <f t="shared" si="20"/>
        <v>0</v>
      </c>
      <c r="AH31" s="1077">
        <f t="shared" si="3"/>
        <v>0</v>
      </c>
      <c r="AI31" s="738">
        <f t="shared" si="21"/>
        <v>0</v>
      </c>
      <c r="AJ31" s="738">
        <f t="shared" si="22"/>
        <v>0</v>
      </c>
      <c r="AK31" s="1077">
        <f t="shared" si="23"/>
        <v>0</v>
      </c>
      <c r="AL31" s="738">
        <f t="shared" si="24"/>
        <v>0</v>
      </c>
      <c r="AM31" s="739">
        <f t="shared" si="25"/>
        <v>0</v>
      </c>
      <c r="AN31" s="885">
        <f t="shared" si="26"/>
        <v>0</v>
      </c>
      <c r="AO31" s="885">
        <f t="shared" si="27"/>
        <v>0</v>
      </c>
      <c r="AP31" s="885">
        <f t="shared" si="28"/>
        <v>0</v>
      </c>
      <c r="AQ31" s="1077">
        <f t="shared" si="29"/>
        <v>0</v>
      </c>
      <c r="AR31" s="739">
        <f t="shared" si="30"/>
        <v>0</v>
      </c>
      <c r="AS31" s="739">
        <f t="shared" si="31"/>
        <v>0</v>
      </c>
      <c r="AT31" s="1077">
        <f t="shared" si="32"/>
        <v>0</v>
      </c>
      <c r="AU31" s="739">
        <f t="shared" si="33"/>
        <v>0</v>
      </c>
    </row>
    <row r="32" spans="1:47" ht="24.95" customHeight="1" x14ac:dyDescent="0.25">
      <c r="A32" s="664">
        <v>24</v>
      </c>
      <c r="B32" s="413" t="str">
        <f>dtsiswa!D30</f>
        <v>Romzy Oka Ramadhani P</v>
      </c>
      <c r="C32" s="420"/>
      <c r="D32" s="14"/>
      <c r="E32" s="14"/>
      <c r="F32" s="14"/>
      <c r="G32" s="14"/>
      <c r="H32" s="14"/>
      <c r="I32" s="14"/>
      <c r="J32" s="14"/>
      <c r="K32" s="14"/>
      <c r="L32" s="16"/>
      <c r="M32" s="16"/>
      <c r="N32" s="14"/>
      <c r="O32" s="14"/>
      <c r="P32" s="14"/>
      <c r="Q32" s="421"/>
      <c r="R32" s="422">
        <f t="shared" si="6"/>
        <v>0</v>
      </c>
      <c r="S32" s="422">
        <f t="shared" si="7"/>
        <v>0</v>
      </c>
      <c r="T32" s="422">
        <f t="shared" si="8"/>
        <v>0</v>
      </c>
      <c r="U32" s="423">
        <f t="shared" si="9"/>
        <v>0</v>
      </c>
      <c r="V32" s="424">
        <f t="shared" si="10"/>
        <v>0</v>
      </c>
      <c r="W32" s="424">
        <f t="shared" si="11"/>
        <v>0</v>
      </c>
      <c r="X32" s="424">
        <f t="shared" si="12"/>
        <v>0</v>
      </c>
      <c r="Y32" s="423">
        <f t="shared" si="13"/>
        <v>0</v>
      </c>
      <c r="Z32" s="426">
        <f t="shared" si="14"/>
        <v>0</v>
      </c>
      <c r="AA32" s="426">
        <f t="shared" si="15"/>
        <v>0</v>
      </c>
      <c r="AB32" s="426">
        <f t="shared" si="16"/>
        <v>0</v>
      </c>
      <c r="AC32" s="423">
        <f t="shared" si="1"/>
        <v>0</v>
      </c>
      <c r="AD32" s="738">
        <f t="shared" si="17"/>
        <v>0</v>
      </c>
      <c r="AE32" s="738">
        <f t="shared" si="18"/>
        <v>0</v>
      </c>
      <c r="AF32" s="738">
        <f t="shared" si="19"/>
        <v>0</v>
      </c>
      <c r="AG32" s="738">
        <f t="shared" si="20"/>
        <v>0</v>
      </c>
      <c r="AH32" s="1077">
        <f t="shared" si="3"/>
        <v>0</v>
      </c>
      <c r="AI32" s="738">
        <f t="shared" si="21"/>
        <v>0</v>
      </c>
      <c r="AJ32" s="738">
        <f t="shared" si="22"/>
        <v>0</v>
      </c>
      <c r="AK32" s="1077">
        <f t="shared" si="23"/>
        <v>0</v>
      </c>
      <c r="AL32" s="738">
        <f t="shared" si="24"/>
        <v>0</v>
      </c>
      <c r="AM32" s="739">
        <f t="shared" si="25"/>
        <v>0</v>
      </c>
      <c r="AN32" s="885">
        <f t="shared" si="26"/>
        <v>0</v>
      </c>
      <c r="AO32" s="885">
        <f t="shared" si="27"/>
        <v>0</v>
      </c>
      <c r="AP32" s="885">
        <f t="shared" si="28"/>
        <v>0</v>
      </c>
      <c r="AQ32" s="1077">
        <f t="shared" si="29"/>
        <v>0</v>
      </c>
      <c r="AR32" s="739">
        <f t="shared" si="30"/>
        <v>0</v>
      </c>
      <c r="AS32" s="739">
        <f t="shared" si="31"/>
        <v>0</v>
      </c>
      <c r="AT32" s="1077">
        <f t="shared" si="32"/>
        <v>0</v>
      </c>
      <c r="AU32" s="739">
        <f t="shared" si="33"/>
        <v>0</v>
      </c>
    </row>
    <row r="33" spans="1:47" ht="24.95" customHeight="1" x14ac:dyDescent="0.2">
      <c r="A33" s="664">
        <v>25</v>
      </c>
      <c r="B33" s="430" t="str">
        <f>dtsiswa!D31</f>
        <v>Larasati Jagadhita P</v>
      </c>
      <c r="C33" s="662"/>
      <c r="D33" s="662"/>
      <c r="E33" s="662"/>
      <c r="F33" s="662"/>
      <c r="G33" s="859"/>
      <c r="H33" s="859"/>
      <c r="I33" s="662"/>
      <c r="J33" s="859"/>
      <c r="K33" s="859"/>
      <c r="L33" s="662"/>
      <c r="M33" s="662"/>
      <c r="N33" s="662"/>
      <c r="O33" s="662"/>
      <c r="P33" s="662"/>
      <c r="Q33" s="662"/>
      <c r="R33" s="422">
        <f t="shared" si="6"/>
        <v>0</v>
      </c>
      <c r="S33" s="422">
        <f t="shared" si="7"/>
        <v>0</v>
      </c>
      <c r="T33" s="422">
        <f t="shared" si="8"/>
        <v>0</v>
      </c>
      <c r="U33" s="423">
        <f t="shared" si="9"/>
        <v>0</v>
      </c>
      <c r="V33" s="424">
        <f t="shared" si="10"/>
        <v>0</v>
      </c>
      <c r="W33" s="424">
        <f t="shared" si="11"/>
        <v>0</v>
      </c>
      <c r="X33" s="424">
        <f t="shared" si="12"/>
        <v>0</v>
      </c>
      <c r="Y33" s="423">
        <f t="shared" si="13"/>
        <v>0</v>
      </c>
      <c r="Z33" s="426">
        <f t="shared" si="14"/>
        <v>0</v>
      </c>
      <c r="AA33" s="426">
        <f t="shared" si="15"/>
        <v>0</v>
      </c>
      <c r="AB33" s="426">
        <f t="shared" si="16"/>
        <v>0</v>
      </c>
      <c r="AC33" s="423">
        <f t="shared" si="1"/>
        <v>0</v>
      </c>
      <c r="AD33" s="738">
        <f t="shared" si="17"/>
        <v>0</v>
      </c>
      <c r="AE33" s="738">
        <f t="shared" si="18"/>
        <v>0</v>
      </c>
      <c r="AF33" s="738">
        <f t="shared" si="19"/>
        <v>0</v>
      </c>
      <c r="AG33" s="738">
        <f t="shared" si="20"/>
        <v>0</v>
      </c>
      <c r="AH33" s="1077">
        <f t="shared" si="3"/>
        <v>0</v>
      </c>
      <c r="AI33" s="738">
        <f t="shared" si="21"/>
        <v>0</v>
      </c>
      <c r="AJ33" s="738">
        <f t="shared" si="22"/>
        <v>0</v>
      </c>
      <c r="AK33" s="1077">
        <f t="shared" si="23"/>
        <v>0</v>
      </c>
      <c r="AL33" s="738">
        <f t="shared" si="24"/>
        <v>0</v>
      </c>
      <c r="AM33" s="739">
        <f t="shared" si="25"/>
        <v>0</v>
      </c>
      <c r="AN33" s="885">
        <f t="shared" si="26"/>
        <v>0</v>
      </c>
      <c r="AO33" s="885">
        <f t="shared" si="27"/>
        <v>0</v>
      </c>
      <c r="AP33" s="885">
        <f t="shared" si="28"/>
        <v>0</v>
      </c>
      <c r="AQ33" s="1077">
        <f t="shared" si="29"/>
        <v>0</v>
      </c>
      <c r="AR33" s="739">
        <f t="shared" si="30"/>
        <v>0</v>
      </c>
      <c r="AS33" s="739">
        <f t="shared" si="31"/>
        <v>0</v>
      </c>
      <c r="AT33" s="1077">
        <f t="shared" si="32"/>
        <v>0</v>
      </c>
      <c r="AU33" s="739">
        <f t="shared" si="33"/>
        <v>0</v>
      </c>
    </row>
    <row r="34" spans="1:47" ht="24.95" customHeight="1" x14ac:dyDescent="0.2">
      <c r="A34" s="664">
        <v>26</v>
      </c>
      <c r="B34" s="430" t="str">
        <f>dtsiswa!D32</f>
        <v>Meliana Citra A</v>
      </c>
      <c r="C34" s="431"/>
      <c r="D34" s="431"/>
      <c r="E34" s="431"/>
      <c r="F34" s="431"/>
      <c r="G34" s="431"/>
      <c r="H34" s="431"/>
      <c r="I34" s="431"/>
      <c r="J34" s="431"/>
      <c r="K34" s="431"/>
      <c r="L34" s="431"/>
      <c r="M34" s="431"/>
      <c r="N34" s="431"/>
      <c r="O34" s="431"/>
      <c r="P34" s="431"/>
      <c r="Q34" s="431"/>
      <c r="R34" s="422">
        <f t="shared" si="6"/>
        <v>0</v>
      </c>
      <c r="S34" s="422">
        <f t="shared" si="7"/>
        <v>0</v>
      </c>
      <c r="T34" s="422">
        <f t="shared" si="8"/>
        <v>0</v>
      </c>
      <c r="U34" s="423">
        <f t="shared" si="9"/>
        <v>0</v>
      </c>
      <c r="V34" s="424">
        <f t="shared" si="10"/>
        <v>0</v>
      </c>
      <c r="W34" s="424">
        <f t="shared" si="11"/>
        <v>0</v>
      </c>
      <c r="X34" s="424">
        <f t="shared" si="12"/>
        <v>0</v>
      </c>
      <c r="Y34" s="423">
        <f t="shared" si="13"/>
        <v>0</v>
      </c>
      <c r="Z34" s="426">
        <f t="shared" si="14"/>
        <v>0</v>
      </c>
      <c r="AA34" s="426">
        <f t="shared" si="15"/>
        <v>0</v>
      </c>
      <c r="AB34" s="426">
        <f t="shared" si="16"/>
        <v>0</v>
      </c>
      <c r="AC34" s="423">
        <f t="shared" si="1"/>
        <v>0</v>
      </c>
      <c r="AD34" s="738">
        <f t="shared" si="17"/>
        <v>0</v>
      </c>
      <c r="AE34" s="738">
        <f t="shared" si="18"/>
        <v>0</v>
      </c>
      <c r="AF34" s="738">
        <f t="shared" si="19"/>
        <v>0</v>
      </c>
      <c r="AG34" s="738">
        <f t="shared" si="20"/>
        <v>0</v>
      </c>
      <c r="AH34" s="1077">
        <f t="shared" si="3"/>
        <v>0</v>
      </c>
      <c r="AI34" s="738">
        <f t="shared" si="21"/>
        <v>0</v>
      </c>
      <c r="AJ34" s="738">
        <f t="shared" si="22"/>
        <v>0</v>
      </c>
      <c r="AK34" s="1077">
        <f t="shared" si="23"/>
        <v>0</v>
      </c>
      <c r="AL34" s="738">
        <f t="shared" si="24"/>
        <v>0</v>
      </c>
      <c r="AM34" s="739">
        <f t="shared" si="25"/>
        <v>0</v>
      </c>
      <c r="AN34" s="885">
        <f t="shared" si="26"/>
        <v>0</v>
      </c>
      <c r="AO34" s="885">
        <f t="shared" si="27"/>
        <v>0</v>
      </c>
      <c r="AP34" s="885">
        <f t="shared" si="28"/>
        <v>0</v>
      </c>
      <c r="AQ34" s="1077">
        <f t="shared" si="29"/>
        <v>0</v>
      </c>
      <c r="AR34" s="739">
        <f t="shared" si="30"/>
        <v>0</v>
      </c>
      <c r="AS34" s="739">
        <f t="shared" si="31"/>
        <v>0</v>
      </c>
      <c r="AT34" s="1077">
        <f t="shared" si="32"/>
        <v>0</v>
      </c>
      <c r="AU34" s="739">
        <f t="shared" si="33"/>
        <v>0</v>
      </c>
    </row>
    <row r="35" spans="1:47" ht="24.95" customHeight="1" x14ac:dyDescent="0.2">
      <c r="A35" s="664">
        <v>27</v>
      </c>
      <c r="B35" s="430" t="str">
        <f>dtsiswa!D33</f>
        <v>Mohammad Rizky</v>
      </c>
      <c r="C35" s="431"/>
      <c r="D35" s="431"/>
      <c r="E35" s="431"/>
      <c r="F35" s="431"/>
      <c r="G35" s="431"/>
      <c r="H35" s="431"/>
      <c r="I35" s="431"/>
      <c r="J35" s="431"/>
      <c r="K35" s="431"/>
      <c r="L35" s="431"/>
      <c r="M35" s="431"/>
      <c r="N35" s="431"/>
      <c r="O35" s="431"/>
      <c r="P35" s="431"/>
      <c r="Q35" s="431"/>
      <c r="R35" s="422">
        <f t="shared" si="6"/>
        <v>0</v>
      </c>
      <c r="S35" s="422">
        <f t="shared" si="7"/>
        <v>0</v>
      </c>
      <c r="T35" s="422">
        <f t="shared" si="8"/>
        <v>0</v>
      </c>
      <c r="U35" s="423">
        <f t="shared" si="9"/>
        <v>0</v>
      </c>
      <c r="V35" s="424">
        <f t="shared" si="10"/>
        <v>0</v>
      </c>
      <c r="W35" s="424">
        <f t="shared" si="11"/>
        <v>0</v>
      </c>
      <c r="X35" s="424">
        <f t="shared" si="12"/>
        <v>0</v>
      </c>
      <c r="Y35" s="423">
        <f t="shared" si="13"/>
        <v>0</v>
      </c>
      <c r="Z35" s="426">
        <f t="shared" si="14"/>
        <v>0</v>
      </c>
      <c r="AA35" s="426">
        <f t="shared" si="15"/>
        <v>0</v>
      </c>
      <c r="AB35" s="426">
        <f t="shared" si="16"/>
        <v>0</v>
      </c>
      <c r="AC35" s="423">
        <f t="shared" si="1"/>
        <v>0</v>
      </c>
      <c r="AD35" s="738">
        <f t="shared" si="17"/>
        <v>0</v>
      </c>
      <c r="AE35" s="738">
        <f t="shared" si="18"/>
        <v>0</v>
      </c>
      <c r="AF35" s="738">
        <f t="shared" si="19"/>
        <v>0</v>
      </c>
      <c r="AG35" s="738">
        <f t="shared" si="20"/>
        <v>0</v>
      </c>
      <c r="AH35" s="1077">
        <f t="shared" si="3"/>
        <v>0</v>
      </c>
      <c r="AI35" s="738">
        <f t="shared" si="21"/>
        <v>0</v>
      </c>
      <c r="AJ35" s="738">
        <f t="shared" si="22"/>
        <v>0</v>
      </c>
      <c r="AK35" s="1077">
        <f t="shared" si="23"/>
        <v>0</v>
      </c>
      <c r="AL35" s="738">
        <f t="shared" si="24"/>
        <v>0</v>
      </c>
      <c r="AM35" s="739">
        <f t="shared" si="25"/>
        <v>0</v>
      </c>
      <c r="AN35" s="885">
        <f t="shared" si="26"/>
        <v>0</v>
      </c>
      <c r="AO35" s="885">
        <f t="shared" si="27"/>
        <v>0</v>
      </c>
      <c r="AP35" s="885">
        <f t="shared" si="28"/>
        <v>0</v>
      </c>
      <c r="AQ35" s="1077">
        <f t="shared" si="29"/>
        <v>0</v>
      </c>
      <c r="AR35" s="739">
        <f t="shared" si="30"/>
        <v>0</v>
      </c>
      <c r="AS35" s="739">
        <f t="shared" si="31"/>
        <v>0</v>
      </c>
      <c r="AT35" s="1077">
        <f t="shared" si="32"/>
        <v>0</v>
      </c>
      <c r="AU35" s="739">
        <f t="shared" si="33"/>
        <v>0</v>
      </c>
    </row>
    <row r="36" spans="1:47" ht="24.95" customHeight="1" x14ac:dyDescent="0.2">
      <c r="A36" s="664">
        <v>28</v>
      </c>
      <c r="B36" s="430">
        <f>dtsiswa!D34</f>
        <v>0</v>
      </c>
      <c r="C36" s="431"/>
      <c r="D36" s="431"/>
      <c r="E36" s="431"/>
      <c r="F36" s="431"/>
      <c r="G36" s="431"/>
      <c r="H36" s="431"/>
      <c r="I36" s="431"/>
      <c r="J36" s="431"/>
      <c r="K36" s="431"/>
      <c r="L36" s="431"/>
      <c r="M36" s="431"/>
      <c r="N36" s="431"/>
      <c r="O36" s="431"/>
      <c r="P36" s="431"/>
      <c r="Q36" s="431"/>
      <c r="R36" s="422">
        <f t="shared" si="6"/>
        <v>0</v>
      </c>
      <c r="S36" s="422">
        <f t="shared" si="7"/>
        <v>0</v>
      </c>
      <c r="T36" s="422">
        <f t="shared" si="8"/>
        <v>0</v>
      </c>
      <c r="U36" s="423">
        <f t="shared" si="9"/>
        <v>0</v>
      </c>
      <c r="V36" s="424">
        <f t="shared" si="10"/>
        <v>0</v>
      </c>
      <c r="W36" s="424">
        <f t="shared" si="11"/>
        <v>0</v>
      </c>
      <c r="X36" s="424">
        <f t="shared" si="12"/>
        <v>0</v>
      </c>
      <c r="Y36" s="423">
        <f t="shared" si="13"/>
        <v>0</v>
      </c>
      <c r="Z36" s="426">
        <f t="shared" si="14"/>
        <v>0</v>
      </c>
      <c r="AA36" s="426">
        <f t="shared" si="15"/>
        <v>0</v>
      </c>
      <c r="AB36" s="426">
        <f t="shared" si="16"/>
        <v>0</v>
      </c>
      <c r="AC36" s="423">
        <f t="shared" si="1"/>
        <v>0</v>
      </c>
      <c r="AD36" s="738">
        <f t="shared" si="17"/>
        <v>0</v>
      </c>
      <c r="AE36" s="738">
        <f t="shared" si="18"/>
        <v>0</v>
      </c>
      <c r="AF36" s="738">
        <f t="shared" si="19"/>
        <v>0</v>
      </c>
      <c r="AG36" s="738">
        <f t="shared" si="20"/>
        <v>0</v>
      </c>
      <c r="AH36" s="1077">
        <f t="shared" si="3"/>
        <v>0</v>
      </c>
      <c r="AI36" s="738">
        <f t="shared" si="21"/>
        <v>0</v>
      </c>
      <c r="AJ36" s="738">
        <f t="shared" si="22"/>
        <v>0</v>
      </c>
      <c r="AK36" s="1077">
        <f t="shared" si="23"/>
        <v>0</v>
      </c>
      <c r="AL36" s="738">
        <f t="shared" si="24"/>
        <v>0</v>
      </c>
      <c r="AM36" s="739">
        <f t="shared" si="25"/>
        <v>0</v>
      </c>
      <c r="AN36" s="885">
        <f t="shared" si="26"/>
        <v>0</v>
      </c>
      <c r="AO36" s="885">
        <f t="shared" si="27"/>
        <v>0</v>
      </c>
      <c r="AP36" s="885">
        <f t="shared" si="28"/>
        <v>0</v>
      </c>
      <c r="AQ36" s="1077">
        <f t="shared" si="29"/>
        <v>0</v>
      </c>
      <c r="AR36" s="739">
        <f t="shared" si="30"/>
        <v>0</v>
      </c>
      <c r="AS36" s="739">
        <f t="shared" si="31"/>
        <v>0</v>
      </c>
      <c r="AT36" s="1077">
        <f t="shared" si="32"/>
        <v>0</v>
      </c>
      <c r="AU36" s="739">
        <f t="shared" si="33"/>
        <v>0</v>
      </c>
    </row>
    <row r="37" spans="1:47" ht="24.95" customHeight="1" x14ac:dyDescent="0.2">
      <c r="A37" s="664">
        <v>29</v>
      </c>
      <c r="B37" s="430">
        <f>dtsiswa!D35</f>
        <v>0</v>
      </c>
      <c r="C37" s="431"/>
      <c r="D37" s="431"/>
      <c r="E37" s="431"/>
      <c r="F37" s="431"/>
      <c r="G37" s="431"/>
      <c r="H37" s="431"/>
      <c r="I37" s="431"/>
      <c r="J37" s="431"/>
      <c r="K37" s="431"/>
      <c r="L37" s="431"/>
      <c r="M37" s="431"/>
      <c r="N37" s="431"/>
      <c r="O37" s="431"/>
      <c r="P37" s="431"/>
      <c r="Q37" s="431"/>
      <c r="R37" s="422">
        <f t="shared" si="6"/>
        <v>0</v>
      </c>
      <c r="S37" s="422">
        <f t="shared" si="7"/>
        <v>0</v>
      </c>
      <c r="T37" s="422">
        <f t="shared" si="8"/>
        <v>0</v>
      </c>
      <c r="U37" s="423">
        <f t="shared" si="9"/>
        <v>0</v>
      </c>
      <c r="V37" s="424">
        <f t="shared" si="10"/>
        <v>0</v>
      </c>
      <c r="W37" s="424">
        <f t="shared" si="11"/>
        <v>0</v>
      </c>
      <c r="X37" s="424">
        <f t="shared" si="12"/>
        <v>0</v>
      </c>
      <c r="Y37" s="423">
        <f t="shared" si="13"/>
        <v>0</v>
      </c>
      <c r="Z37" s="426">
        <f t="shared" si="14"/>
        <v>0</v>
      </c>
      <c r="AA37" s="426">
        <f t="shared" si="15"/>
        <v>0</v>
      </c>
      <c r="AB37" s="426">
        <f t="shared" si="16"/>
        <v>0</v>
      </c>
      <c r="AC37" s="423">
        <f t="shared" si="1"/>
        <v>0</v>
      </c>
      <c r="AD37" s="738">
        <f t="shared" si="17"/>
        <v>0</v>
      </c>
      <c r="AE37" s="738">
        <f t="shared" si="18"/>
        <v>0</v>
      </c>
      <c r="AF37" s="738">
        <f t="shared" si="19"/>
        <v>0</v>
      </c>
      <c r="AG37" s="738">
        <f t="shared" si="20"/>
        <v>0</v>
      </c>
      <c r="AH37" s="1077">
        <f t="shared" si="3"/>
        <v>0</v>
      </c>
      <c r="AI37" s="738">
        <f t="shared" si="21"/>
        <v>0</v>
      </c>
      <c r="AJ37" s="738">
        <f t="shared" si="22"/>
        <v>0</v>
      </c>
      <c r="AK37" s="1077">
        <f t="shared" si="23"/>
        <v>0</v>
      </c>
      <c r="AL37" s="738">
        <f t="shared" si="24"/>
        <v>0</v>
      </c>
      <c r="AM37" s="739">
        <f t="shared" si="25"/>
        <v>0</v>
      </c>
      <c r="AN37" s="885">
        <f t="shared" si="26"/>
        <v>0</v>
      </c>
      <c r="AO37" s="885">
        <f t="shared" si="27"/>
        <v>0</v>
      </c>
      <c r="AP37" s="885">
        <f t="shared" si="28"/>
        <v>0</v>
      </c>
      <c r="AQ37" s="1077">
        <f t="shared" si="29"/>
        <v>0</v>
      </c>
      <c r="AR37" s="739">
        <f t="shared" si="30"/>
        <v>0</v>
      </c>
      <c r="AS37" s="739">
        <f t="shared" si="31"/>
        <v>0</v>
      </c>
      <c r="AT37" s="1077">
        <f t="shared" si="32"/>
        <v>0</v>
      </c>
      <c r="AU37" s="739">
        <f t="shared" si="33"/>
        <v>0</v>
      </c>
    </row>
    <row r="38" spans="1:47" ht="24.95" customHeight="1" x14ac:dyDescent="0.2">
      <c r="A38" s="664">
        <v>30</v>
      </c>
      <c r="B38" s="430">
        <f>dtsiswa!D36</f>
        <v>0</v>
      </c>
      <c r="C38" s="431"/>
      <c r="D38" s="431"/>
      <c r="E38" s="431"/>
      <c r="F38" s="431"/>
      <c r="G38" s="431"/>
      <c r="H38" s="431"/>
      <c r="I38" s="431"/>
      <c r="J38" s="431"/>
      <c r="K38" s="431"/>
      <c r="L38" s="431"/>
      <c r="M38" s="431"/>
      <c r="N38" s="431"/>
      <c r="O38" s="431"/>
      <c r="P38" s="431"/>
      <c r="Q38" s="431"/>
      <c r="R38" s="422">
        <f t="shared" si="6"/>
        <v>0</v>
      </c>
      <c r="S38" s="422">
        <f t="shared" si="7"/>
        <v>0</v>
      </c>
      <c r="T38" s="422">
        <f t="shared" si="8"/>
        <v>0</v>
      </c>
      <c r="U38" s="423">
        <f t="shared" si="9"/>
        <v>0</v>
      </c>
      <c r="V38" s="424">
        <f t="shared" si="10"/>
        <v>0</v>
      </c>
      <c r="W38" s="424">
        <f t="shared" si="11"/>
        <v>0</v>
      </c>
      <c r="X38" s="424">
        <f t="shared" si="12"/>
        <v>0</v>
      </c>
      <c r="Y38" s="423">
        <f t="shared" si="13"/>
        <v>0</v>
      </c>
      <c r="Z38" s="426">
        <f t="shared" si="14"/>
        <v>0</v>
      </c>
      <c r="AA38" s="426">
        <f t="shared" si="15"/>
        <v>0</v>
      </c>
      <c r="AB38" s="426">
        <f t="shared" si="16"/>
        <v>0</v>
      </c>
      <c r="AC38" s="423">
        <f t="shared" si="1"/>
        <v>0</v>
      </c>
      <c r="AD38" s="738">
        <f t="shared" si="17"/>
        <v>0</v>
      </c>
      <c r="AE38" s="738">
        <f t="shared" si="18"/>
        <v>0</v>
      </c>
      <c r="AF38" s="738">
        <f t="shared" si="19"/>
        <v>0</v>
      </c>
      <c r="AG38" s="738">
        <f t="shared" si="20"/>
        <v>0</v>
      </c>
      <c r="AH38" s="1077">
        <f t="shared" si="3"/>
        <v>0</v>
      </c>
      <c r="AI38" s="738">
        <f t="shared" si="21"/>
        <v>0</v>
      </c>
      <c r="AJ38" s="738">
        <f t="shared" si="22"/>
        <v>0</v>
      </c>
      <c r="AK38" s="1077">
        <f t="shared" si="23"/>
        <v>0</v>
      </c>
      <c r="AL38" s="738">
        <f t="shared" si="24"/>
        <v>0</v>
      </c>
      <c r="AM38" s="739">
        <f t="shared" si="25"/>
        <v>0</v>
      </c>
      <c r="AN38" s="885">
        <f t="shared" si="26"/>
        <v>0</v>
      </c>
      <c r="AO38" s="885">
        <f t="shared" si="27"/>
        <v>0</v>
      </c>
      <c r="AP38" s="885">
        <f t="shared" si="28"/>
        <v>0</v>
      </c>
      <c r="AQ38" s="1077">
        <f t="shared" si="29"/>
        <v>0</v>
      </c>
      <c r="AR38" s="739">
        <f t="shared" si="30"/>
        <v>0</v>
      </c>
      <c r="AS38" s="739">
        <f t="shared" si="31"/>
        <v>0</v>
      </c>
      <c r="AT38" s="1077">
        <f t="shared" si="32"/>
        <v>0</v>
      </c>
      <c r="AU38" s="739">
        <f t="shared" si="33"/>
        <v>0</v>
      </c>
    </row>
    <row r="39" spans="1:47" ht="24.95" customHeight="1" x14ac:dyDescent="0.2">
      <c r="A39" s="664">
        <v>31</v>
      </c>
      <c r="B39" s="430">
        <f>dtsiswa!D37</f>
        <v>0</v>
      </c>
      <c r="C39" s="431"/>
      <c r="D39" s="431"/>
      <c r="E39" s="431"/>
      <c r="F39" s="431"/>
      <c r="G39" s="431"/>
      <c r="H39" s="431"/>
      <c r="I39" s="431"/>
      <c r="J39" s="431"/>
      <c r="K39" s="431"/>
      <c r="L39" s="431"/>
      <c r="M39" s="431"/>
      <c r="N39" s="431"/>
      <c r="O39" s="431"/>
      <c r="P39" s="431"/>
      <c r="Q39" s="431"/>
      <c r="R39" s="422">
        <f t="shared" si="6"/>
        <v>0</v>
      </c>
      <c r="S39" s="422">
        <f t="shared" si="7"/>
        <v>0</v>
      </c>
      <c r="T39" s="422">
        <f t="shared" si="8"/>
        <v>0</v>
      </c>
      <c r="U39" s="423">
        <f t="shared" si="9"/>
        <v>0</v>
      </c>
      <c r="V39" s="424">
        <f t="shared" si="10"/>
        <v>0</v>
      </c>
      <c r="W39" s="424">
        <f t="shared" si="11"/>
        <v>0</v>
      </c>
      <c r="X39" s="424">
        <f t="shared" si="12"/>
        <v>0</v>
      </c>
      <c r="Y39" s="423">
        <f t="shared" si="13"/>
        <v>0</v>
      </c>
      <c r="Z39" s="426">
        <f t="shared" si="14"/>
        <v>0</v>
      </c>
      <c r="AA39" s="426">
        <f t="shared" si="15"/>
        <v>0</v>
      </c>
      <c r="AB39" s="426">
        <f t="shared" si="16"/>
        <v>0</v>
      </c>
      <c r="AC39" s="423">
        <f t="shared" si="1"/>
        <v>0</v>
      </c>
      <c r="AD39" s="738">
        <f t="shared" si="17"/>
        <v>0</v>
      </c>
      <c r="AE39" s="738">
        <f t="shared" si="18"/>
        <v>0</v>
      </c>
      <c r="AF39" s="738">
        <f t="shared" si="19"/>
        <v>0</v>
      </c>
      <c r="AG39" s="738">
        <f t="shared" si="20"/>
        <v>0</v>
      </c>
      <c r="AH39" s="1077">
        <f t="shared" si="3"/>
        <v>0</v>
      </c>
      <c r="AI39" s="738">
        <f t="shared" si="21"/>
        <v>0</v>
      </c>
      <c r="AJ39" s="738">
        <f t="shared" si="22"/>
        <v>0</v>
      </c>
      <c r="AK39" s="1077">
        <f t="shared" si="23"/>
        <v>0</v>
      </c>
      <c r="AL39" s="738">
        <f t="shared" si="24"/>
        <v>0</v>
      </c>
      <c r="AM39" s="739">
        <f t="shared" si="25"/>
        <v>0</v>
      </c>
      <c r="AN39" s="885">
        <f t="shared" si="26"/>
        <v>0</v>
      </c>
      <c r="AO39" s="885">
        <f t="shared" si="27"/>
        <v>0</v>
      </c>
      <c r="AP39" s="885">
        <f t="shared" si="28"/>
        <v>0</v>
      </c>
      <c r="AQ39" s="1077">
        <f t="shared" si="29"/>
        <v>0</v>
      </c>
      <c r="AR39" s="739">
        <f t="shared" si="30"/>
        <v>0</v>
      </c>
      <c r="AS39" s="739">
        <f t="shared" si="31"/>
        <v>0</v>
      </c>
      <c r="AT39" s="1077">
        <f t="shared" si="32"/>
        <v>0</v>
      </c>
      <c r="AU39" s="739">
        <f t="shared" si="33"/>
        <v>0</v>
      </c>
    </row>
    <row r="40" spans="1:47" ht="24.95" customHeight="1" x14ac:dyDescent="0.2">
      <c r="A40" s="664">
        <v>32</v>
      </c>
      <c r="B40" s="430">
        <f>dtsiswa!D38</f>
        <v>0</v>
      </c>
      <c r="C40" s="431"/>
      <c r="D40" s="431"/>
      <c r="E40" s="431"/>
      <c r="F40" s="431"/>
      <c r="G40" s="431"/>
      <c r="H40" s="431"/>
      <c r="I40" s="431"/>
      <c r="J40" s="431"/>
      <c r="K40" s="431"/>
      <c r="L40" s="431"/>
      <c r="M40" s="431"/>
      <c r="N40" s="431"/>
      <c r="O40" s="431"/>
      <c r="P40" s="431"/>
      <c r="Q40" s="431"/>
      <c r="R40" s="422">
        <f t="shared" si="6"/>
        <v>0</v>
      </c>
      <c r="S40" s="422">
        <f t="shared" si="7"/>
        <v>0</v>
      </c>
      <c r="T40" s="422">
        <f t="shared" si="8"/>
        <v>0</v>
      </c>
      <c r="U40" s="423">
        <f t="shared" si="9"/>
        <v>0</v>
      </c>
      <c r="V40" s="424">
        <f t="shared" si="10"/>
        <v>0</v>
      </c>
      <c r="W40" s="424">
        <f t="shared" si="11"/>
        <v>0</v>
      </c>
      <c r="X40" s="424">
        <f t="shared" si="12"/>
        <v>0</v>
      </c>
      <c r="Y40" s="423">
        <f t="shared" si="13"/>
        <v>0</v>
      </c>
      <c r="Z40" s="426">
        <f t="shared" si="14"/>
        <v>0</v>
      </c>
      <c r="AA40" s="426">
        <f t="shared" si="15"/>
        <v>0</v>
      </c>
      <c r="AB40" s="426">
        <f t="shared" si="16"/>
        <v>0</v>
      </c>
      <c r="AC40" s="423">
        <f t="shared" si="1"/>
        <v>0</v>
      </c>
      <c r="AD40" s="738">
        <f t="shared" si="17"/>
        <v>0</v>
      </c>
      <c r="AE40" s="738">
        <f t="shared" si="18"/>
        <v>0</v>
      </c>
      <c r="AF40" s="738">
        <f t="shared" si="19"/>
        <v>0</v>
      </c>
      <c r="AG40" s="738">
        <f t="shared" si="20"/>
        <v>0</v>
      </c>
      <c r="AH40" s="1077">
        <f t="shared" si="3"/>
        <v>0</v>
      </c>
      <c r="AI40" s="738">
        <f t="shared" si="21"/>
        <v>0</v>
      </c>
      <c r="AJ40" s="738">
        <f t="shared" si="22"/>
        <v>0</v>
      </c>
      <c r="AK40" s="1077">
        <f t="shared" si="23"/>
        <v>0</v>
      </c>
      <c r="AL40" s="738">
        <f t="shared" si="24"/>
        <v>0</v>
      </c>
      <c r="AM40" s="739">
        <f t="shared" si="25"/>
        <v>0</v>
      </c>
      <c r="AN40" s="885">
        <f t="shared" si="26"/>
        <v>0</v>
      </c>
      <c r="AO40" s="885">
        <f t="shared" si="27"/>
        <v>0</v>
      </c>
      <c r="AP40" s="885">
        <f t="shared" si="28"/>
        <v>0</v>
      </c>
      <c r="AQ40" s="1077">
        <f t="shared" si="29"/>
        <v>0</v>
      </c>
      <c r="AR40" s="739">
        <f t="shared" si="30"/>
        <v>0</v>
      </c>
      <c r="AS40" s="739">
        <f t="shared" si="31"/>
        <v>0</v>
      </c>
      <c r="AT40" s="1077">
        <f t="shared" si="32"/>
        <v>0</v>
      </c>
      <c r="AU40" s="739">
        <f t="shared" si="33"/>
        <v>0</v>
      </c>
    </row>
    <row r="41" spans="1:47" ht="24.95" customHeight="1" x14ac:dyDescent="0.2">
      <c r="A41" s="664">
        <v>33</v>
      </c>
      <c r="B41" s="430">
        <f>dtsiswa!D39</f>
        <v>0</v>
      </c>
      <c r="C41" s="431"/>
      <c r="D41" s="431"/>
      <c r="E41" s="431"/>
      <c r="F41" s="431"/>
      <c r="G41" s="431"/>
      <c r="H41" s="431"/>
      <c r="I41" s="431"/>
      <c r="J41" s="431"/>
      <c r="K41" s="431"/>
      <c r="L41" s="431"/>
      <c r="M41" s="431"/>
      <c r="N41" s="431"/>
      <c r="O41" s="431"/>
      <c r="P41" s="431"/>
      <c r="Q41" s="431"/>
      <c r="R41" s="422">
        <f t="shared" si="6"/>
        <v>0</v>
      </c>
      <c r="S41" s="422">
        <f t="shared" si="7"/>
        <v>0</v>
      </c>
      <c r="T41" s="422">
        <f t="shared" si="8"/>
        <v>0</v>
      </c>
      <c r="U41" s="423">
        <f t="shared" si="9"/>
        <v>0</v>
      </c>
      <c r="V41" s="424">
        <f t="shared" si="10"/>
        <v>0</v>
      </c>
      <c r="W41" s="424">
        <f t="shared" si="11"/>
        <v>0</v>
      </c>
      <c r="X41" s="424">
        <f t="shared" si="12"/>
        <v>0</v>
      </c>
      <c r="Y41" s="423">
        <f t="shared" si="13"/>
        <v>0</v>
      </c>
      <c r="Z41" s="426">
        <f t="shared" si="14"/>
        <v>0</v>
      </c>
      <c r="AA41" s="426">
        <f t="shared" si="15"/>
        <v>0</v>
      </c>
      <c r="AB41" s="426">
        <f t="shared" si="16"/>
        <v>0</v>
      </c>
      <c r="AC41" s="423">
        <f t="shared" si="1"/>
        <v>0</v>
      </c>
      <c r="AD41" s="738">
        <f t="shared" si="17"/>
        <v>0</v>
      </c>
      <c r="AE41" s="738">
        <f t="shared" si="18"/>
        <v>0</v>
      </c>
      <c r="AF41" s="738">
        <f t="shared" si="19"/>
        <v>0</v>
      </c>
      <c r="AG41" s="738">
        <f t="shared" si="20"/>
        <v>0</v>
      </c>
      <c r="AH41" s="1077">
        <f t="shared" si="3"/>
        <v>0</v>
      </c>
      <c r="AI41" s="738">
        <f t="shared" si="21"/>
        <v>0</v>
      </c>
      <c r="AJ41" s="738">
        <f t="shared" si="22"/>
        <v>0</v>
      </c>
      <c r="AK41" s="1077">
        <f t="shared" si="23"/>
        <v>0</v>
      </c>
      <c r="AL41" s="738">
        <f t="shared" si="24"/>
        <v>0</v>
      </c>
      <c r="AM41" s="739">
        <f t="shared" si="25"/>
        <v>0</v>
      </c>
      <c r="AN41" s="885">
        <f t="shared" si="26"/>
        <v>0</v>
      </c>
      <c r="AO41" s="885">
        <f t="shared" si="27"/>
        <v>0</v>
      </c>
      <c r="AP41" s="885">
        <f t="shared" si="28"/>
        <v>0</v>
      </c>
      <c r="AQ41" s="1077">
        <f t="shared" si="29"/>
        <v>0</v>
      </c>
      <c r="AR41" s="739">
        <f t="shared" si="30"/>
        <v>0</v>
      </c>
      <c r="AS41" s="739">
        <f t="shared" si="31"/>
        <v>0</v>
      </c>
      <c r="AT41" s="1077">
        <f t="shared" si="32"/>
        <v>0</v>
      </c>
      <c r="AU41" s="739">
        <f t="shared" si="33"/>
        <v>0</v>
      </c>
    </row>
    <row r="42" spans="1:47" ht="24.95" customHeight="1" x14ac:dyDescent="0.2">
      <c r="A42" s="664">
        <v>34</v>
      </c>
      <c r="B42" s="430">
        <f>dtsiswa!D40</f>
        <v>0</v>
      </c>
      <c r="C42" s="431"/>
      <c r="D42" s="431"/>
      <c r="E42" s="431"/>
      <c r="F42" s="431"/>
      <c r="G42" s="431"/>
      <c r="H42" s="431"/>
      <c r="I42" s="431"/>
      <c r="J42" s="431"/>
      <c r="K42" s="431"/>
      <c r="L42" s="431"/>
      <c r="M42" s="431"/>
      <c r="N42" s="431"/>
      <c r="O42" s="431"/>
      <c r="P42" s="431"/>
      <c r="Q42" s="431"/>
      <c r="R42" s="422">
        <f t="shared" si="6"/>
        <v>0</v>
      </c>
      <c r="S42" s="422">
        <f t="shared" si="7"/>
        <v>0</v>
      </c>
      <c r="T42" s="422">
        <f t="shared" si="8"/>
        <v>0</v>
      </c>
      <c r="U42" s="423">
        <f t="shared" si="9"/>
        <v>0</v>
      </c>
      <c r="V42" s="424">
        <f t="shared" si="10"/>
        <v>0</v>
      </c>
      <c r="W42" s="424">
        <f t="shared" si="11"/>
        <v>0</v>
      </c>
      <c r="X42" s="424">
        <f t="shared" si="12"/>
        <v>0</v>
      </c>
      <c r="Y42" s="423">
        <f t="shared" si="13"/>
        <v>0</v>
      </c>
      <c r="Z42" s="426">
        <f t="shared" si="14"/>
        <v>0</v>
      </c>
      <c r="AA42" s="426">
        <f t="shared" si="15"/>
        <v>0</v>
      </c>
      <c r="AB42" s="426">
        <f t="shared" si="16"/>
        <v>0</v>
      </c>
      <c r="AC42" s="423">
        <f t="shared" si="1"/>
        <v>0</v>
      </c>
      <c r="AD42" s="738">
        <f t="shared" si="17"/>
        <v>0</v>
      </c>
      <c r="AE42" s="738">
        <f t="shared" si="18"/>
        <v>0</v>
      </c>
      <c r="AF42" s="738">
        <f t="shared" si="19"/>
        <v>0</v>
      </c>
      <c r="AG42" s="738">
        <f t="shared" si="20"/>
        <v>0</v>
      </c>
      <c r="AH42" s="1077">
        <f t="shared" si="3"/>
        <v>0</v>
      </c>
      <c r="AI42" s="738">
        <f t="shared" si="21"/>
        <v>0</v>
      </c>
      <c r="AJ42" s="738">
        <f t="shared" si="22"/>
        <v>0</v>
      </c>
      <c r="AK42" s="1077">
        <f t="shared" si="23"/>
        <v>0</v>
      </c>
      <c r="AL42" s="738">
        <f t="shared" si="24"/>
        <v>0</v>
      </c>
      <c r="AM42" s="739">
        <f t="shared" si="25"/>
        <v>0</v>
      </c>
      <c r="AN42" s="885">
        <f t="shared" si="26"/>
        <v>0</v>
      </c>
      <c r="AO42" s="885">
        <f t="shared" si="27"/>
        <v>0</v>
      </c>
      <c r="AP42" s="885">
        <f t="shared" si="28"/>
        <v>0</v>
      </c>
      <c r="AQ42" s="1077">
        <f t="shared" si="29"/>
        <v>0</v>
      </c>
      <c r="AR42" s="739">
        <f t="shared" si="30"/>
        <v>0</v>
      </c>
      <c r="AS42" s="739">
        <f t="shared" si="31"/>
        <v>0</v>
      </c>
      <c r="AT42" s="1077">
        <f t="shared" si="32"/>
        <v>0</v>
      </c>
      <c r="AU42" s="739">
        <f t="shared" si="33"/>
        <v>0</v>
      </c>
    </row>
    <row r="43" spans="1:47" ht="24.95" customHeight="1" x14ac:dyDescent="0.2">
      <c r="A43" s="664">
        <v>35</v>
      </c>
      <c r="B43" s="430">
        <f>dtsiswa!D41</f>
        <v>0</v>
      </c>
      <c r="C43" s="431"/>
      <c r="D43" s="431"/>
      <c r="E43" s="431"/>
      <c r="F43" s="431"/>
      <c r="G43" s="431"/>
      <c r="H43" s="431"/>
      <c r="I43" s="431"/>
      <c r="J43" s="431"/>
      <c r="K43" s="431"/>
      <c r="L43" s="431"/>
      <c r="M43" s="431"/>
      <c r="N43" s="431"/>
      <c r="O43" s="431"/>
      <c r="P43" s="431"/>
      <c r="Q43" s="431"/>
      <c r="R43" s="422">
        <f t="shared" si="6"/>
        <v>0</v>
      </c>
      <c r="S43" s="422">
        <f t="shared" si="7"/>
        <v>0</v>
      </c>
      <c r="T43" s="422">
        <f t="shared" si="8"/>
        <v>0</v>
      </c>
      <c r="U43" s="423">
        <f t="shared" si="9"/>
        <v>0</v>
      </c>
      <c r="V43" s="424">
        <f t="shared" si="10"/>
        <v>0</v>
      </c>
      <c r="W43" s="424">
        <f t="shared" si="11"/>
        <v>0</v>
      </c>
      <c r="X43" s="424">
        <f t="shared" si="12"/>
        <v>0</v>
      </c>
      <c r="Y43" s="423">
        <f t="shared" si="13"/>
        <v>0</v>
      </c>
      <c r="Z43" s="426">
        <f t="shared" si="14"/>
        <v>0</v>
      </c>
      <c r="AA43" s="426">
        <f t="shared" si="15"/>
        <v>0</v>
      </c>
      <c r="AB43" s="426">
        <f t="shared" si="16"/>
        <v>0</v>
      </c>
      <c r="AC43" s="423">
        <f t="shared" si="1"/>
        <v>0</v>
      </c>
      <c r="AD43" s="738">
        <f t="shared" si="17"/>
        <v>0</v>
      </c>
      <c r="AE43" s="738">
        <f t="shared" si="18"/>
        <v>0</v>
      </c>
      <c r="AF43" s="738">
        <f t="shared" si="19"/>
        <v>0</v>
      </c>
      <c r="AG43" s="738">
        <f t="shared" si="20"/>
        <v>0</v>
      </c>
      <c r="AH43" s="1077">
        <f t="shared" si="3"/>
        <v>0</v>
      </c>
      <c r="AI43" s="738">
        <f t="shared" si="21"/>
        <v>0</v>
      </c>
      <c r="AJ43" s="738">
        <f t="shared" si="22"/>
        <v>0</v>
      </c>
      <c r="AK43" s="1077">
        <f t="shared" si="23"/>
        <v>0</v>
      </c>
      <c r="AL43" s="738">
        <f t="shared" si="24"/>
        <v>0</v>
      </c>
      <c r="AM43" s="739">
        <f t="shared" si="25"/>
        <v>0</v>
      </c>
      <c r="AN43" s="885">
        <f t="shared" si="26"/>
        <v>0</v>
      </c>
      <c r="AO43" s="885">
        <f t="shared" si="27"/>
        <v>0</v>
      </c>
      <c r="AP43" s="885">
        <f t="shared" si="28"/>
        <v>0</v>
      </c>
      <c r="AQ43" s="1077">
        <f t="shared" si="29"/>
        <v>0</v>
      </c>
      <c r="AR43" s="739">
        <f t="shared" si="30"/>
        <v>0</v>
      </c>
      <c r="AS43" s="739">
        <f t="shared" si="31"/>
        <v>0</v>
      </c>
      <c r="AT43" s="1077">
        <f t="shared" si="32"/>
        <v>0</v>
      </c>
      <c r="AU43" s="739">
        <f t="shared" si="33"/>
        <v>0</v>
      </c>
    </row>
    <row r="44" spans="1:47" ht="24.95" customHeight="1" x14ac:dyDescent="0.2">
      <c r="A44" s="664">
        <v>36</v>
      </c>
      <c r="B44" s="430">
        <f>dtsiswa!D42</f>
        <v>0</v>
      </c>
      <c r="C44" s="431"/>
      <c r="D44" s="431"/>
      <c r="E44" s="431"/>
      <c r="F44" s="431"/>
      <c r="G44" s="431"/>
      <c r="H44" s="431"/>
      <c r="I44" s="431"/>
      <c r="J44" s="431"/>
      <c r="K44" s="431"/>
      <c r="L44" s="431"/>
      <c r="M44" s="431"/>
      <c r="N44" s="431"/>
      <c r="O44" s="431"/>
      <c r="P44" s="431"/>
      <c r="Q44" s="431"/>
      <c r="R44" s="422">
        <f t="shared" si="6"/>
        <v>0</v>
      </c>
      <c r="S44" s="422">
        <f t="shared" si="7"/>
        <v>0</v>
      </c>
      <c r="T44" s="422">
        <f t="shared" si="8"/>
        <v>0</v>
      </c>
      <c r="U44" s="423">
        <f t="shared" si="9"/>
        <v>0</v>
      </c>
      <c r="V44" s="424">
        <f t="shared" si="10"/>
        <v>0</v>
      </c>
      <c r="W44" s="424">
        <f t="shared" si="11"/>
        <v>0</v>
      </c>
      <c r="X44" s="424">
        <f t="shared" si="12"/>
        <v>0</v>
      </c>
      <c r="Y44" s="423">
        <f t="shared" si="13"/>
        <v>0</v>
      </c>
      <c r="Z44" s="426">
        <f t="shared" si="14"/>
        <v>0</v>
      </c>
      <c r="AA44" s="426">
        <f t="shared" si="15"/>
        <v>0</v>
      </c>
      <c r="AB44" s="426">
        <f t="shared" si="16"/>
        <v>0</v>
      </c>
      <c r="AC44" s="423">
        <f t="shared" si="1"/>
        <v>0</v>
      </c>
      <c r="AD44" s="738">
        <f t="shared" si="17"/>
        <v>0</v>
      </c>
      <c r="AE44" s="738">
        <f t="shared" si="18"/>
        <v>0</v>
      </c>
      <c r="AF44" s="738">
        <f t="shared" si="19"/>
        <v>0</v>
      </c>
      <c r="AG44" s="738">
        <f t="shared" si="20"/>
        <v>0</v>
      </c>
      <c r="AH44" s="1077">
        <f t="shared" si="3"/>
        <v>0</v>
      </c>
      <c r="AI44" s="738">
        <f t="shared" si="21"/>
        <v>0</v>
      </c>
      <c r="AJ44" s="738">
        <f t="shared" si="22"/>
        <v>0</v>
      </c>
      <c r="AK44" s="1077">
        <f t="shared" si="23"/>
        <v>0</v>
      </c>
      <c r="AL44" s="738">
        <f t="shared" si="24"/>
        <v>0</v>
      </c>
      <c r="AM44" s="739">
        <f t="shared" si="25"/>
        <v>0</v>
      </c>
      <c r="AN44" s="885">
        <f t="shared" si="26"/>
        <v>0</v>
      </c>
      <c r="AO44" s="885">
        <f t="shared" si="27"/>
        <v>0</v>
      </c>
      <c r="AP44" s="885">
        <f t="shared" si="28"/>
        <v>0</v>
      </c>
      <c r="AQ44" s="1077">
        <f t="shared" si="29"/>
        <v>0</v>
      </c>
      <c r="AR44" s="739">
        <f t="shared" si="30"/>
        <v>0</v>
      </c>
      <c r="AS44" s="739">
        <f t="shared" si="31"/>
        <v>0</v>
      </c>
      <c r="AT44" s="1077">
        <f t="shared" si="32"/>
        <v>0</v>
      </c>
      <c r="AU44" s="739">
        <f t="shared" si="33"/>
        <v>0</v>
      </c>
    </row>
    <row r="45" spans="1:47" ht="24.95" customHeight="1" x14ac:dyDescent="0.2">
      <c r="A45" s="664">
        <v>37</v>
      </c>
      <c r="B45" s="430">
        <f>dtsiswa!D43</f>
        <v>0</v>
      </c>
      <c r="C45" s="431"/>
      <c r="D45" s="431"/>
      <c r="E45" s="431"/>
      <c r="F45" s="431"/>
      <c r="G45" s="431"/>
      <c r="H45" s="431"/>
      <c r="I45" s="431"/>
      <c r="J45" s="431"/>
      <c r="K45" s="431"/>
      <c r="L45" s="431"/>
      <c r="M45" s="431"/>
      <c r="N45" s="431"/>
      <c r="O45" s="431"/>
      <c r="P45" s="431"/>
      <c r="Q45" s="431"/>
      <c r="R45" s="422">
        <f t="shared" si="6"/>
        <v>0</v>
      </c>
      <c r="S45" s="422">
        <f t="shared" si="7"/>
        <v>0</v>
      </c>
      <c r="T45" s="422">
        <f t="shared" si="8"/>
        <v>0</v>
      </c>
      <c r="U45" s="423">
        <f t="shared" si="9"/>
        <v>0</v>
      </c>
      <c r="V45" s="424">
        <f t="shared" si="10"/>
        <v>0</v>
      </c>
      <c r="W45" s="424">
        <f t="shared" si="11"/>
        <v>0</v>
      </c>
      <c r="X45" s="424">
        <f t="shared" si="12"/>
        <v>0</v>
      </c>
      <c r="Y45" s="423">
        <f t="shared" si="13"/>
        <v>0</v>
      </c>
      <c r="Z45" s="426">
        <f t="shared" si="14"/>
        <v>0</v>
      </c>
      <c r="AA45" s="426">
        <f t="shared" si="15"/>
        <v>0</v>
      </c>
      <c r="AB45" s="426">
        <f t="shared" si="16"/>
        <v>0</v>
      </c>
      <c r="AC45" s="423">
        <f t="shared" si="1"/>
        <v>0</v>
      </c>
      <c r="AD45" s="738">
        <f t="shared" si="17"/>
        <v>0</v>
      </c>
      <c r="AE45" s="738">
        <f t="shared" si="18"/>
        <v>0</v>
      </c>
      <c r="AF45" s="738">
        <f t="shared" si="19"/>
        <v>0</v>
      </c>
      <c r="AG45" s="738">
        <f t="shared" si="20"/>
        <v>0</v>
      </c>
      <c r="AH45" s="1077">
        <f t="shared" si="3"/>
        <v>0</v>
      </c>
      <c r="AI45" s="738">
        <f t="shared" si="21"/>
        <v>0</v>
      </c>
      <c r="AJ45" s="738">
        <f t="shared" si="22"/>
        <v>0</v>
      </c>
      <c r="AK45" s="1077">
        <f t="shared" si="23"/>
        <v>0</v>
      </c>
      <c r="AL45" s="738">
        <f t="shared" si="24"/>
        <v>0</v>
      </c>
      <c r="AM45" s="739">
        <f t="shared" si="25"/>
        <v>0</v>
      </c>
      <c r="AN45" s="885">
        <f t="shared" si="26"/>
        <v>0</v>
      </c>
      <c r="AO45" s="885">
        <f t="shared" si="27"/>
        <v>0</v>
      </c>
      <c r="AP45" s="885">
        <f t="shared" si="28"/>
        <v>0</v>
      </c>
      <c r="AQ45" s="1077">
        <f t="shared" si="29"/>
        <v>0</v>
      </c>
      <c r="AR45" s="739">
        <f t="shared" si="30"/>
        <v>0</v>
      </c>
      <c r="AS45" s="739">
        <f t="shared" si="31"/>
        <v>0</v>
      </c>
      <c r="AT45" s="1077">
        <f t="shared" si="32"/>
        <v>0</v>
      </c>
      <c r="AU45" s="739">
        <f t="shared" si="33"/>
        <v>0</v>
      </c>
    </row>
    <row r="46" spans="1:47" ht="24.95" customHeight="1" x14ac:dyDescent="0.2">
      <c r="A46" s="664">
        <v>38</v>
      </c>
      <c r="B46" s="430">
        <f>dtsiswa!D44</f>
        <v>0</v>
      </c>
      <c r="C46" s="431"/>
      <c r="D46" s="431"/>
      <c r="E46" s="431"/>
      <c r="F46" s="431"/>
      <c r="G46" s="431"/>
      <c r="H46" s="431"/>
      <c r="I46" s="431"/>
      <c r="J46" s="431"/>
      <c r="K46" s="431"/>
      <c r="L46" s="431"/>
      <c r="M46" s="431"/>
      <c r="N46" s="431"/>
      <c r="O46" s="431"/>
      <c r="P46" s="431"/>
      <c r="Q46" s="431"/>
      <c r="R46" s="422">
        <f t="shared" si="6"/>
        <v>0</v>
      </c>
      <c r="S46" s="422">
        <f t="shared" si="7"/>
        <v>0</v>
      </c>
      <c r="T46" s="422">
        <f t="shared" si="8"/>
        <v>0</v>
      </c>
      <c r="U46" s="423">
        <f t="shared" si="9"/>
        <v>0</v>
      </c>
      <c r="V46" s="424">
        <f t="shared" si="10"/>
        <v>0</v>
      </c>
      <c r="W46" s="424">
        <f t="shared" si="11"/>
        <v>0</v>
      </c>
      <c r="X46" s="424">
        <f t="shared" si="12"/>
        <v>0</v>
      </c>
      <c r="Y46" s="423">
        <f t="shared" si="13"/>
        <v>0</v>
      </c>
      <c r="Z46" s="426">
        <f t="shared" si="14"/>
        <v>0</v>
      </c>
      <c r="AA46" s="426">
        <f t="shared" si="15"/>
        <v>0</v>
      </c>
      <c r="AB46" s="426">
        <f t="shared" si="16"/>
        <v>0</v>
      </c>
      <c r="AC46" s="423">
        <f t="shared" si="1"/>
        <v>0</v>
      </c>
      <c r="AD46" s="738">
        <f t="shared" si="17"/>
        <v>0</v>
      </c>
      <c r="AE46" s="738">
        <f t="shared" si="18"/>
        <v>0</v>
      </c>
      <c r="AF46" s="738">
        <f t="shared" si="19"/>
        <v>0</v>
      </c>
      <c r="AG46" s="738">
        <f t="shared" si="20"/>
        <v>0</v>
      </c>
      <c r="AH46" s="1077">
        <f t="shared" si="3"/>
        <v>0</v>
      </c>
      <c r="AI46" s="738">
        <f t="shared" si="21"/>
        <v>0</v>
      </c>
      <c r="AJ46" s="738">
        <f t="shared" si="22"/>
        <v>0</v>
      </c>
      <c r="AK46" s="1077">
        <f t="shared" si="23"/>
        <v>0</v>
      </c>
      <c r="AL46" s="738">
        <f t="shared" si="24"/>
        <v>0</v>
      </c>
      <c r="AM46" s="739">
        <f t="shared" si="25"/>
        <v>0</v>
      </c>
      <c r="AN46" s="885">
        <f t="shared" si="26"/>
        <v>0</v>
      </c>
      <c r="AO46" s="885">
        <f t="shared" si="27"/>
        <v>0</v>
      </c>
      <c r="AP46" s="885">
        <f t="shared" si="28"/>
        <v>0</v>
      </c>
      <c r="AQ46" s="1077">
        <f t="shared" si="29"/>
        <v>0</v>
      </c>
      <c r="AR46" s="739">
        <f t="shared" si="30"/>
        <v>0</v>
      </c>
      <c r="AS46" s="739">
        <f t="shared" si="31"/>
        <v>0</v>
      </c>
      <c r="AT46" s="1077">
        <f t="shared" si="32"/>
        <v>0</v>
      </c>
      <c r="AU46" s="739">
        <f t="shared" si="33"/>
        <v>0</v>
      </c>
    </row>
    <row r="47" spans="1:47" ht="24.95" customHeight="1" x14ac:dyDescent="0.2">
      <c r="A47" s="664">
        <v>39</v>
      </c>
      <c r="B47" s="430">
        <f>dtsiswa!D45</f>
        <v>0</v>
      </c>
      <c r="C47" s="431"/>
      <c r="D47" s="431"/>
      <c r="E47" s="431"/>
      <c r="F47" s="431"/>
      <c r="G47" s="431"/>
      <c r="H47" s="431"/>
      <c r="I47" s="431"/>
      <c r="J47" s="431"/>
      <c r="K47" s="431"/>
      <c r="L47" s="431"/>
      <c r="M47" s="431"/>
      <c r="N47" s="431"/>
      <c r="O47" s="431"/>
      <c r="P47" s="431"/>
      <c r="Q47" s="431"/>
      <c r="R47" s="422">
        <f t="shared" si="6"/>
        <v>0</v>
      </c>
      <c r="S47" s="422">
        <f t="shared" si="7"/>
        <v>0</v>
      </c>
      <c r="T47" s="422">
        <f t="shared" si="8"/>
        <v>0</v>
      </c>
      <c r="U47" s="423">
        <f t="shared" si="9"/>
        <v>0</v>
      </c>
      <c r="V47" s="424">
        <f t="shared" si="10"/>
        <v>0</v>
      </c>
      <c r="W47" s="424">
        <f t="shared" si="11"/>
        <v>0</v>
      </c>
      <c r="X47" s="424">
        <f t="shared" si="12"/>
        <v>0</v>
      </c>
      <c r="Y47" s="423">
        <f t="shared" si="13"/>
        <v>0</v>
      </c>
      <c r="Z47" s="426">
        <f t="shared" si="14"/>
        <v>0</v>
      </c>
      <c r="AA47" s="426">
        <f t="shared" si="15"/>
        <v>0</v>
      </c>
      <c r="AB47" s="426">
        <f t="shared" si="16"/>
        <v>0</v>
      </c>
      <c r="AC47" s="423">
        <f t="shared" si="1"/>
        <v>0</v>
      </c>
      <c r="AD47" s="738">
        <f t="shared" si="17"/>
        <v>0</v>
      </c>
      <c r="AE47" s="738">
        <f t="shared" si="18"/>
        <v>0</v>
      </c>
      <c r="AF47" s="738">
        <f t="shared" si="19"/>
        <v>0</v>
      </c>
      <c r="AG47" s="738">
        <f t="shared" si="20"/>
        <v>0</v>
      </c>
      <c r="AH47" s="1077">
        <f t="shared" si="3"/>
        <v>0</v>
      </c>
      <c r="AI47" s="738">
        <f t="shared" si="21"/>
        <v>0</v>
      </c>
      <c r="AJ47" s="738">
        <f t="shared" si="22"/>
        <v>0</v>
      </c>
      <c r="AK47" s="1077">
        <f t="shared" si="23"/>
        <v>0</v>
      </c>
      <c r="AL47" s="738">
        <f t="shared" si="24"/>
        <v>0</v>
      </c>
      <c r="AM47" s="739">
        <f t="shared" si="25"/>
        <v>0</v>
      </c>
      <c r="AN47" s="885">
        <f t="shared" si="26"/>
        <v>0</v>
      </c>
      <c r="AO47" s="885">
        <f t="shared" si="27"/>
        <v>0</v>
      </c>
      <c r="AP47" s="885">
        <f t="shared" si="28"/>
        <v>0</v>
      </c>
      <c r="AQ47" s="1077">
        <f t="shared" si="29"/>
        <v>0</v>
      </c>
      <c r="AR47" s="739">
        <f t="shared" si="30"/>
        <v>0</v>
      </c>
      <c r="AS47" s="739">
        <f t="shared" si="31"/>
        <v>0</v>
      </c>
      <c r="AT47" s="1077">
        <f t="shared" si="32"/>
        <v>0</v>
      </c>
      <c r="AU47" s="739">
        <f t="shared" si="33"/>
        <v>0</v>
      </c>
    </row>
    <row r="48" spans="1:47" ht="24.95" customHeight="1" x14ac:dyDescent="0.2">
      <c r="A48" s="664">
        <v>40</v>
      </c>
      <c r="B48" s="430">
        <f>dtsiswa!D46</f>
        <v>0</v>
      </c>
      <c r="C48" s="431"/>
      <c r="D48" s="431"/>
      <c r="E48" s="431"/>
      <c r="F48" s="431"/>
      <c r="G48" s="431"/>
      <c r="H48" s="431"/>
      <c r="I48" s="431"/>
      <c r="J48" s="431"/>
      <c r="K48" s="431"/>
      <c r="L48" s="431"/>
      <c r="M48" s="431"/>
      <c r="N48" s="431"/>
      <c r="O48" s="431"/>
      <c r="P48" s="431"/>
      <c r="Q48" s="431"/>
      <c r="R48" s="422">
        <f t="shared" si="6"/>
        <v>0</v>
      </c>
      <c r="S48" s="422">
        <f t="shared" si="7"/>
        <v>0</v>
      </c>
      <c r="T48" s="422">
        <f t="shared" si="8"/>
        <v>0</v>
      </c>
      <c r="U48" s="423">
        <f t="shared" si="9"/>
        <v>0</v>
      </c>
      <c r="V48" s="424">
        <f t="shared" si="10"/>
        <v>0</v>
      </c>
      <c r="W48" s="424">
        <f t="shared" si="11"/>
        <v>0</v>
      </c>
      <c r="X48" s="424">
        <f t="shared" si="12"/>
        <v>0</v>
      </c>
      <c r="Y48" s="423">
        <f t="shared" si="13"/>
        <v>0</v>
      </c>
      <c r="Z48" s="426">
        <f t="shared" si="14"/>
        <v>0</v>
      </c>
      <c r="AA48" s="426">
        <f t="shared" si="15"/>
        <v>0</v>
      </c>
      <c r="AB48" s="426">
        <f t="shared" si="16"/>
        <v>0</v>
      </c>
      <c r="AC48" s="423">
        <f t="shared" si="1"/>
        <v>0</v>
      </c>
      <c r="AD48" s="738">
        <f t="shared" si="17"/>
        <v>0</v>
      </c>
      <c r="AE48" s="738">
        <f t="shared" si="18"/>
        <v>0</v>
      </c>
      <c r="AF48" s="738">
        <f t="shared" si="19"/>
        <v>0</v>
      </c>
      <c r="AG48" s="738">
        <f t="shared" si="20"/>
        <v>0</v>
      </c>
      <c r="AH48" s="1077">
        <f t="shared" si="3"/>
        <v>0</v>
      </c>
      <c r="AI48" s="738">
        <f t="shared" si="21"/>
        <v>0</v>
      </c>
      <c r="AJ48" s="738">
        <f t="shared" si="22"/>
        <v>0</v>
      </c>
      <c r="AK48" s="1077">
        <f t="shared" si="23"/>
        <v>0</v>
      </c>
      <c r="AL48" s="738">
        <f t="shared" si="24"/>
        <v>0</v>
      </c>
      <c r="AM48" s="739">
        <f t="shared" si="25"/>
        <v>0</v>
      </c>
      <c r="AN48" s="885">
        <f t="shared" si="26"/>
        <v>0</v>
      </c>
      <c r="AO48" s="885">
        <f t="shared" si="27"/>
        <v>0</v>
      </c>
      <c r="AP48" s="885">
        <f t="shared" si="28"/>
        <v>0</v>
      </c>
      <c r="AQ48" s="1077">
        <f t="shared" si="29"/>
        <v>0</v>
      </c>
      <c r="AR48" s="739">
        <f t="shared" si="30"/>
        <v>0</v>
      </c>
      <c r="AS48" s="739">
        <f t="shared" si="31"/>
        <v>0</v>
      </c>
      <c r="AT48" s="1077">
        <f t="shared" si="32"/>
        <v>0</v>
      </c>
      <c r="AU48" s="739">
        <f t="shared" si="33"/>
        <v>0</v>
      </c>
    </row>
  </sheetData>
  <mergeCells count="31">
    <mergeCell ref="Z6:AB6"/>
    <mergeCell ref="Z7:AB7"/>
    <mergeCell ref="AI7:AJ7"/>
    <mergeCell ref="AD6:AL6"/>
    <mergeCell ref="AM6:AU6"/>
    <mergeCell ref="AR7:AS7"/>
    <mergeCell ref="AQ7:AQ8"/>
    <mergeCell ref="AT7:AT8"/>
    <mergeCell ref="AN7:AP7"/>
    <mergeCell ref="AH7:AH8"/>
    <mergeCell ref="R7:T7"/>
    <mergeCell ref="V7:X7"/>
    <mergeCell ref="L7:M7"/>
    <mergeCell ref="N7:O7"/>
    <mergeCell ref="R6:T6"/>
    <mergeCell ref="I7:K7"/>
    <mergeCell ref="AE7:AG7"/>
    <mergeCell ref="W3:X3"/>
    <mergeCell ref="A6:A8"/>
    <mergeCell ref="B6:B8"/>
    <mergeCell ref="C6:C8"/>
    <mergeCell ref="L6:O6"/>
    <mergeCell ref="P6:Q6"/>
    <mergeCell ref="R3:S3"/>
    <mergeCell ref="D6:E6"/>
    <mergeCell ref="U6:U8"/>
    <mergeCell ref="V6:X6"/>
    <mergeCell ref="F6:K6"/>
    <mergeCell ref="F7:H7"/>
    <mergeCell ref="Y6:Y8"/>
    <mergeCell ref="AC6:AC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BE48"/>
  <sheetViews>
    <sheetView showGridLines="0" workbookViewId="0">
      <pane xSplit="2" ySplit="8" topLeftCell="AF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4.85546875" style="1" customWidth="1"/>
    <col min="3" max="3" width="5" style="1" customWidth="1"/>
    <col min="4" max="4" width="6.140625" style="1" customWidth="1"/>
    <col min="5" max="6" width="5.7109375" style="1" customWidth="1"/>
    <col min="7" max="14" width="6.5703125" style="1" customWidth="1"/>
    <col min="15" max="16" width="5.7109375" style="1" customWidth="1"/>
    <col min="17" max="17" width="5.85546875" style="1" customWidth="1"/>
    <col min="18" max="18" width="4.85546875" style="1" customWidth="1"/>
    <col min="19" max="20" width="7.140625" style="1" customWidth="1"/>
    <col min="21" max="25" width="5.7109375" style="1" customWidth="1"/>
    <col min="26" max="26" width="6.28515625" style="1" customWidth="1"/>
    <col min="27" max="30" width="5.7109375" style="1" customWidth="1"/>
    <col min="31" max="31" width="6.42578125" style="1" customWidth="1"/>
    <col min="32" max="36" width="5.7109375" style="1" customWidth="1"/>
    <col min="37" max="37" width="7.5703125" style="1" customWidth="1"/>
    <col min="38" max="38" width="8" style="1" customWidth="1"/>
    <col min="39" max="43" width="5.7109375" style="1" customWidth="1"/>
    <col min="44" max="44" width="5.85546875" style="1" customWidth="1"/>
    <col min="45" max="46" width="6" style="1" customWidth="1"/>
    <col min="47" max="47" width="7.5703125" style="1" customWidth="1"/>
    <col min="48" max="53" width="5.7109375" style="1" customWidth="1"/>
    <col min="54" max="54" width="5.85546875" style="1" customWidth="1"/>
    <col min="55" max="56" width="6" style="1" customWidth="1"/>
    <col min="57" max="57" width="5.7109375" style="1" customWidth="1"/>
    <col min="58" max="16384" width="9.140625" style="1"/>
  </cols>
  <sheetData>
    <row r="1" spans="1:57" x14ac:dyDescent="0.2">
      <c r="C1" s="9"/>
      <c r="D1" s="9"/>
      <c r="E1" s="9"/>
      <c r="F1" s="9"/>
      <c r="G1" s="9"/>
      <c r="H1" s="9"/>
      <c r="I1" s="9"/>
      <c r="J1" s="9"/>
      <c r="K1" s="9"/>
      <c r="L1" s="9"/>
      <c r="M1" s="9"/>
      <c r="N1" s="9"/>
      <c r="O1" s="9"/>
      <c r="P1" s="9"/>
      <c r="Q1" s="9"/>
      <c r="R1" s="9"/>
      <c r="S1" s="9"/>
      <c r="T1" s="9"/>
      <c r="U1" s="9"/>
      <c r="V1" s="9"/>
      <c r="W1" s="9"/>
      <c r="X1" s="9"/>
      <c r="Y1" s="9"/>
    </row>
    <row r="2" spans="1:57" ht="21" x14ac:dyDescent="0.2">
      <c r="C2" s="9"/>
      <c r="D2" s="181"/>
      <c r="E2" s="860"/>
      <c r="F2" s="860"/>
      <c r="G2" s="61"/>
      <c r="H2" s="61"/>
      <c r="I2" s="1052"/>
      <c r="J2" s="2343"/>
      <c r="K2" s="2343"/>
      <c r="L2" s="61"/>
      <c r="M2" s="865"/>
      <c r="N2" s="865"/>
      <c r="O2" s="2343"/>
      <c r="P2" s="2343"/>
      <c r="Q2" s="2343"/>
      <c r="R2" s="2343"/>
      <c r="S2" s="2343"/>
      <c r="T2" s="62"/>
      <c r="U2" s="62"/>
      <c r="V2" s="62"/>
      <c r="W2" s="62"/>
      <c r="X2" s="62"/>
      <c r="Y2" s="9"/>
      <c r="Z2" s="9"/>
      <c r="AA2" s="9"/>
    </row>
    <row r="3" spans="1:57" s="6" customFormat="1" ht="18" customHeight="1" x14ac:dyDescent="0.2">
      <c r="A3" s="196" t="s">
        <v>41</v>
      </c>
      <c r="C3" s="9"/>
      <c r="D3" s="9"/>
      <c r="E3" s="10"/>
      <c r="F3" s="10"/>
      <c r="G3" s="211"/>
      <c r="H3" s="211"/>
      <c r="I3" s="1055"/>
      <c r="J3" s="211"/>
      <c r="K3" s="211"/>
      <c r="L3" s="211"/>
      <c r="M3" s="860"/>
      <c r="N3" s="860"/>
      <c r="O3" s="211"/>
      <c r="P3" s="211"/>
      <c r="Q3" s="211"/>
      <c r="R3" s="211"/>
      <c r="S3" s="211"/>
      <c r="T3" s="10"/>
      <c r="U3" s="211"/>
      <c r="V3" s="211"/>
      <c r="W3" s="211"/>
      <c r="X3" s="211"/>
      <c r="Y3" s="211"/>
      <c r="Z3" s="211"/>
      <c r="AA3" s="211"/>
      <c r="AB3" s="2279"/>
      <c r="AC3" s="2279"/>
      <c r="AD3" s="2279"/>
      <c r="AE3" s="179"/>
      <c r="AF3" s="179"/>
      <c r="AG3" s="179"/>
      <c r="AH3" s="179"/>
      <c r="AI3" s="179"/>
      <c r="AJ3" s="179"/>
    </row>
    <row r="4" spans="1:57" s="6" customFormat="1" ht="18" customHeight="1" x14ac:dyDescent="0.2">
      <c r="A4" s="193" t="s">
        <v>565</v>
      </c>
      <c r="D4" s="9"/>
      <c r="E4" s="61"/>
      <c r="F4" s="865"/>
      <c r="G4" s="61"/>
      <c r="H4" s="61"/>
      <c r="I4" s="1052"/>
      <c r="J4" s="61"/>
      <c r="K4" s="61"/>
      <c r="L4" s="61"/>
      <c r="M4" s="865"/>
      <c r="N4" s="865"/>
      <c r="O4" s="61"/>
      <c r="P4" s="61"/>
      <c r="Q4" s="61"/>
      <c r="R4" s="10"/>
      <c r="S4" s="10"/>
      <c r="T4" s="10"/>
      <c r="U4" s="9"/>
      <c r="V4" s="9"/>
      <c r="W4" s="9"/>
      <c r="X4" s="9"/>
      <c r="Y4" s="9"/>
      <c r="Z4" s="9"/>
      <c r="AA4" s="237"/>
      <c r="AB4" s="238"/>
      <c r="AC4" s="238"/>
      <c r="AD4" s="238"/>
      <c r="AE4" s="179"/>
      <c r="AF4" s="179"/>
      <c r="AG4" s="179"/>
      <c r="AH4" s="179"/>
      <c r="AI4" s="179"/>
      <c r="AJ4" s="179"/>
    </row>
    <row r="5" spans="1:57" s="194" customFormat="1" ht="18" customHeight="1" x14ac:dyDescent="0.2">
      <c r="A5" s="893">
        <v>1</v>
      </c>
      <c r="B5" s="893">
        <v>2</v>
      </c>
      <c r="C5" s="893">
        <v>3</v>
      </c>
      <c r="D5" s="893">
        <v>4</v>
      </c>
      <c r="E5" s="893">
        <v>5</v>
      </c>
      <c r="F5" s="893">
        <v>6</v>
      </c>
      <c r="G5" s="893">
        <v>7</v>
      </c>
      <c r="H5" s="893">
        <v>8</v>
      </c>
      <c r="I5" s="893">
        <v>9</v>
      </c>
      <c r="J5" s="893">
        <v>10</v>
      </c>
      <c r="K5" s="893">
        <v>11</v>
      </c>
      <c r="L5" s="893">
        <v>12</v>
      </c>
      <c r="M5" s="893">
        <v>13</v>
      </c>
      <c r="N5" s="893">
        <v>14</v>
      </c>
      <c r="O5" s="893">
        <v>15</v>
      </c>
      <c r="P5" s="893">
        <v>16</v>
      </c>
      <c r="Q5" s="893">
        <v>17</v>
      </c>
      <c r="R5" s="893">
        <v>18</v>
      </c>
      <c r="S5" s="893">
        <v>19</v>
      </c>
      <c r="T5" s="893">
        <v>20</v>
      </c>
      <c r="U5" s="893">
        <v>21</v>
      </c>
      <c r="V5" s="893">
        <v>22</v>
      </c>
      <c r="W5" s="893">
        <v>23</v>
      </c>
      <c r="X5" s="893">
        <v>24</v>
      </c>
      <c r="Y5" s="893">
        <v>25</v>
      </c>
      <c r="Z5" s="893">
        <v>26</v>
      </c>
      <c r="AA5" s="893">
        <v>27</v>
      </c>
      <c r="AB5" s="893">
        <v>28</v>
      </c>
      <c r="AC5" s="893">
        <v>29</v>
      </c>
      <c r="AD5" s="893">
        <v>30</v>
      </c>
      <c r="AE5" s="893">
        <v>31</v>
      </c>
      <c r="AF5" s="1085">
        <v>32</v>
      </c>
      <c r="AG5" s="1085">
        <v>33</v>
      </c>
      <c r="AH5" s="1085">
        <v>34</v>
      </c>
      <c r="AI5" s="1085">
        <v>35</v>
      </c>
      <c r="AJ5" s="1085">
        <v>36</v>
      </c>
      <c r="AK5" s="893">
        <v>37</v>
      </c>
      <c r="AL5" s="893">
        <v>38</v>
      </c>
      <c r="AM5" s="893">
        <v>39</v>
      </c>
      <c r="AN5" s="893">
        <v>40</v>
      </c>
      <c r="AO5" s="893">
        <v>41</v>
      </c>
      <c r="AP5" s="893">
        <v>42</v>
      </c>
      <c r="AQ5" s="893">
        <v>43</v>
      </c>
      <c r="AR5" s="893">
        <v>44</v>
      </c>
      <c r="AS5" s="893">
        <v>45</v>
      </c>
      <c r="AT5" s="893">
        <v>46</v>
      </c>
      <c r="AU5" s="893">
        <v>47</v>
      </c>
      <c r="AV5" s="893">
        <v>48</v>
      </c>
      <c r="AW5" s="893">
        <v>49</v>
      </c>
      <c r="AX5" s="893">
        <v>50</v>
      </c>
      <c r="AY5" s="893">
        <v>51</v>
      </c>
      <c r="AZ5" s="893">
        <v>52</v>
      </c>
      <c r="BA5" s="893">
        <v>53</v>
      </c>
      <c r="BB5" s="893">
        <v>54</v>
      </c>
      <c r="BC5" s="893">
        <v>55</v>
      </c>
      <c r="BD5" s="893">
        <v>56</v>
      </c>
      <c r="BE5" s="893">
        <v>57</v>
      </c>
    </row>
    <row r="6" spans="1:57" s="5" customFormat="1" ht="19.5" customHeight="1" x14ac:dyDescent="0.25">
      <c r="A6" s="2353" t="s">
        <v>0</v>
      </c>
      <c r="B6" s="2354" t="s">
        <v>1</v>
      </c>
      <c r="C6" s="2353" t="s">
        <v>3</v>
      </c>
      <c r="D6" s="2361" t="s">
        <v>44</v>
      </c>
      <c r="E6" s="2362"/>
      <c r="F6" s="2363"/>
      <c r="G6" s="2364" t="s">
        <v>45</v>
      </c>
      <c r="H6" s="2365"/>
      <c r="I6" s="2365"/>
      <c r="J6" s="2365"/>
      <c r="K6" s="2365"/>
      <c r="L6" s="2365"/>
      <c r="M6" s="2365"/>
      <c r="N6" s="2366"/>
      <c r="O6" s="2355" t="s">
        <v>46</v>
      </c>
      <c r="P6" s="2355"/>
      <c r="Q6" s="2355"/>
      <c r="R6" s="2355"/>
      <c r="S6" s="2356" t="s">
        <v>47</v>
      </c>
      <c r="T6" s="2356"/>
      <c r="U6" s="2351" t="s">
        <v>15</v>
      </c>
      <c r="V6" s="2351"/>
      <c r="W6" s="2351"/>
      <c r="X6" s="2351"/>
      <c r="Y6" s="2351"/>
      <c r="Z6" s="2352" t="s">
        <v>2</v>
      </c>
      <c r="AA6" s="2347" t="s">
        <v>6</v>
      </c>
      <c r="AB6" s="2347"/>
      <c r="AC6" s="2347"/>
      <c r="AD6" s="2347"/>
      <c r="AE6" s="2346" t="s">
        <v>40</v>
      </c>
      <c r="AF6" s="2347" t="s">
        <v>142</v>
      </c>
      <c r="AG6" s="2347"/>
      <c r="AH6" s="2347"/>
      <c r="AI6" s="2347"/>
      <c r="AJ6" s="2347"/>
      <c r="AK6" s="2348" t="s">
        <v>24</v>
      </c>
      <c r="AL6" s="2345" t="s">
        <v>25</v>
      </c>
      <c r="AM6" s="2345"/>
      <c r="AN6" s="2345"/>
      <c r="AO6" s="2345"/>
      <c r="AP6" s="2345"/>
      <c r="AQ6" s="2345"/>
      <c r="AR6" s="2345"/>
      <c r="AS6" s="2345"/>
      <c r="AT6" s="2345"/>
      <c r="AU6" s="2345"/>
      <c r="AV6" s="2348" t="s">
        <v>203</v>
      </c>
      <c r="AW6" s="2348"/>
      <c r="AX6" s="2348"/>
      <c r="AY6" s="2348"/>
      <c r="AZ6" s="2348"/>
      <c r="BA6" s="2348"/>
      <c r="BB6" s="2348"/>
      <c r="BC6" s="2348"/>
      <c r="BD6" s="2348"/>
      <c r="BE6" s="2348"/>
    </row>
    <row r="7" spans="1:57" s="4" customFormat="1" ht="18" customHeight="1" x14ac:dyDescent="0.25">
      <c r="A7" s="2353"/>
      <c r="B7" s="2354"/>
      <c r="C7" s="2353"/>
      <c r="D7" s="869" t="s">
        <v>42</v>
      </c>
      <c r="E7" s="2357" t="s">
        <v>49</v>
      </c>
      <c r="F7" s="2358"/>
      <c r="G7" s="2359" t="s">
        <v>42</v>
      </c>
      <c r="H7" s="2359"/>
      <c r="I7" s="2359"/>
      <c r="J7" s="2359"/>
      <c r="K7" s="2367" t="s">
        <v>43</v>
      </c>
      <c r="L7" s="2368"/>
      <c r="M7" s="2368"/>
      <c r="N7" s="2369"/>
      <c r="O7" s="2360" t="s">
        <v>42</v>
      </c>
      <c r="P7" s="2360"/>
      <c r="Q7" s="2344" t="s">
        <v>43</v>
      </c>
      <c r="R7" s="2344"/>
      <c r="S7" s="868" t="s">
        <v>42</v>
      </c>
      <c r="T7" s="868" t="s">
        <v>43</v>
      </c>
      <c r="U7" s="2344" t="s">
        <v>140</v>
      </c>
      <c r="V7" s="2344"/>
      <c r="W7" s="2344"/>
      <c r="X7" s="2344"/>
      <c r="Y7" s="2344"/>
      <c r="Z7" s="2352"/>
      <c r="AA7" s="2344" t="s">
        <v>141</v>
      </c>
      <c r="AB7" s="2344"/>
      <c r="AC7" s="2344"/>
      <c r="AD7" s="2344"/>
      <c r="AE7" s="2346"/>
      <c r="AF7" s="2347"/>
      <c r="AG7" s="2347"/>
      <c r="AH7" s="2347"/>
      <c r="AI7" s="2347"/>
      <c r="AJ7" s="2347"/>
      <c r="AK7" s="2348"/>
      <c r="AL7" s="870" t="s">
        <v>157</v>
      </c>
      <c r="AM7" s="2349" t="s">
        <v>466</v>
      </c>
      <c r="AN7" s="2350"/>
      <c r="AO7" s="2350"/>
      <c r="AP7" s="2350"/>
      <c r="AQ7" s="2341" t="s">
        <v>64</v>
      </c>
      <c r="AR7" s="2351" t="s">
        <v>467</v>
      </c>
      <c r="AS7" s="2351"/>
      <c r="AT7" s="2339" t="s">
        <v>64</v>
      </c>
      <c r="AU7" s="870" t="s">
        <v>507</v>
      </c>
      <c r="AV7" s="2351" t="s">
        <v>157</v>
      </c>
      <c r="AW7" s="2351"/>
      <c r="AX7" s="2351" t="s">
        <v>64</v>
      </c>
      <c r="AY7" s="2351" t="s">
        <v>466</v>
      </c>
      <c r="AZ7" s="2351"/>
      <c r="BA7" s="2351" t="s">
        <v>64</v>
      </c>
      <c r="BB7" s="2351" t="s">
        <v>467</v>
      </c>
      <c r="BC7" s="2351"/>
      <c r="BD7" s="2351" t="s">
        <v>64</v>
      </c>
      <c r="BE7" s="1053" t="s">
        <v>507</v>
      </c>
    </row>
    <row r="8" spans="1:57" ht="19.5" customHeight="1" x14ac:dyDescent="0.2">
      <c r="A8" s="2353"/>
      <c r="B8" s="2354"/>
      <c r="C8" s="2353"/>
      <c r="D8" s="218" t="s">
        <v>11</v>
      </c>
      <c r="E8" s="220" t="s">
        <v>8</v>
      </c>
      <c r="F8" s="220" t="s">
        <v>18</v>
      </c>
      <c r="G8" s="217" t="s">
        <v>154</v>
      </c>
      <c r="H8" s="217" t="s">
        <v>155</v>
      </c>
      <c r="I8" s="217" t="s">
        <v>9</v>
      </c>
      <c r="J8" s="217" t="s">
        <v>11</v>
      </c>
      <c r="K8" s="220" t="s">
        <v>12</v>
      </c>
      <c r="L8" s="220" t="s">
        <v>7</v>
      </c>
      <c r="M8" s="220" t="s">
        <v>10</v>
      </c>
      <c r="N8" s="220" t="s">
        <v>8</v>
      </c>
      <c r="O8" s="219" t="s">
        <v>155</v>
      </c>
      <c r="P8" s="219" t="s">
        <v>9</v>
      </c>
      <c r="Q8" s="220" t="s">
        <v>7</v>
      </c>
      <c r="R8" s="220" t="s">
        <v>10</v>
      </c>
      <c r="S8" s="218" t="s">
        <v>155</v>
      </c>
      <c r="T8" s="221" t="s">
        <v>7</v>
      </c>
      <c r="U8" s="222" t="s">
        <v>12</v>
      </c>
      <c r="V8" s="222" t="s">
        <v>7</v>
      </c>
      <c r="W8" s="222" t="s">
        <v>10</v>
      </c>
      <c r="X8" s="222" t="s">
        <v>8</v>
      </c>
      <c r="Y8" s="222" t="s">
        <v>18</v>
      </c>
      <c r="Z8" s="2352"/>
      <c r="AA8" s="223" t="s">
        <v>154</v>
      </c>
      <c r="AB8" s="223" t="s">
        <v>155</v>
      </c>
      <c r="AC8" s="223" t="s">
        <v>9</v>
      </c>
      <c r="AD8" s="223" t="s">
        <v>11</v>
      </c>
      <c r="AE8" s="2346"/>
      <c r="AF8" s="222" t="s">
        <v>12</v>
      </c>
      <c r="AG8" s="222" t="s">
        <v>7</v>
      </c>
      <c r="AH8" s="222" t="s">
        <v>10</v>
      </c>
      <c r="AI8" s="222" t="s">
        <v>8</v>
      </c>
      <c r="AJ8" s="222" t="s">
        <v>18</v>
      </c>
      <c r="AK8" s="2348"/>
      <c r="AL8" s="218" t="s">
        <v>155</v>
      </c>
      <c r="AM8" s="891" t="s">
        <v>154</v>
      </c>
      <c r="AN8" s="891" t="s">
        <v>155</v>
      </c>
      <c r="AO8" s="891" t="s">
        <v>9</v>
      </c>
      <c r="AP8" s="892" t="s">
        <v>11</v>
      </c>
      <c r="AQ8" s="2342"/>
      <c r="AR8" s="219" t="s">
        <v>155</v>
      </c>
      <c r="AS8" s="219" t="s">
        <v>9</v>
      </c>
      <c r="AT8" s="2340"/>
      <c r="AU8" s="218" t="s">
        <v>154</v>
      </c>
      <c r="AV8" s="220" t="s">
        <v>8</v>
      </c>
      <c r="AW8" s="220" t="s">
        <v>18</v>
      </c>
      <c r="AX8" s="2351"/>
      <c r="AY8" s="220" t="s">
        <v>12</v>
      </c>
      <c r="AZ8" s="220" t="s">
        <v>7</v>
      </c>
      <c r="BA8" s="2351"/>
      <c r="BB8" s="220" t="s">
        <v>12</v>
      </c>
      <c r="BC8" s="220" t="s">
        <v>10</v>
      </c>
      <c r="BD8" s="2351"/>
      <c r="BE8" s="221" t="s">
        <v>12</v>
      </c>
    </row>
    <row r="9" spans="1:57" ht="18" customHeight="1" x14ac:dyDescent="0.2">
      <c r="A9" s="58">
        <v>1</v>
      </c>
      <c r="B9" s="63" t="str">
        <f>dtsiswa!D7</f>
        <v>Achmad Zacky</v>
      </c>
      <c r="C9" s="64" t="s">
        <v>4</v>
      </c>
      <c r="D9" s="27">
        <v>76</v>
      </c>
      <c r="E9" s="27">
        <v>70</v>
      </c>
      <c r="F9" s="27">
        <v>65</v>
      </c>
      <c r="G9" s="25">
        <v>56</v>
      </c>
      <c r="H9" s="25">
        <v>56</v>
      </c>
      <c r="I9" s="25">
        <v>76</v>
      </c>
      <c r="J9" s="25">
        <v>78</v>
      </c>
      <c r="K9" s="25">
        <v>78</v>
      </c>
      <c r="L9" s="25">
        <v>76</v>
      </c>
      <c r="M9" s="25">
        <v>82</v>
      </c>
      <c r="N9" s="25">
        <v>76</v>
      </c>
      <c r="O9" s="25">
        <v>90</v>
      </c>
      <c r="P9" s="25">
        <v>80</v>
      </c>
      <c r="Q9" s="25">
        <v>81</v>
      </c>
      <c r="R9" s="25">
        <v>79</v>
      </c>
      <c r="S9" s="25">
        <v>56</v>
      </c>
      <c r="T9" s="25">
        <v>78</v>
      </c>
      <c r="U9" s="19">
        <f>K9</f>
        <v>78</v>
      </c>
      <c r="V9" s="19">
        <f>(L9+Q9+T9)/3</f>
        <v>78.333333333333329</v>
      </c>
      <c r="W9" s="19">
        <f>(L9+Q9)/2</f>
        <v>78.5</v>
      </c>
      <c r="X9" s="19">
        <f>(E9+N9)/2</f>
        <v>73</v>
      </c>
      <c r="Y9" s="19">
        <f>F9</f>
        <v>65</v>
      </c>
      <c r="Z9" s="20">
        <f t="shared" ref="Z9" si="0">IFERROR(AVERAGE(U9:Y9),"  ")</f>
        <v>74.566666666666663</v>
      </c>
      <c r="AA9" s="18">
        <f>G9</f>
        <v>56</v>
      </c>
      <c r="AB9" s="18">
        <f>(H9+O9+S9)/3</f>
        <v>67.333333333333329</v>
      </c>
      <c r="AC9" s="18">
        <f>(P9)</f>
        <v>80</v>
      </c>
      <c r="AD9" s="18">
        <f>(D9+J9)/2</f>
        <v>77</v>
      </c>
      <c r="AE9" s="20">
        <f t="shared" ref="AE9" si="1">IFERROR(AVERAGE(AA9:AD9),"  ")</f>
        <v>70.083333333333329</v>
      </c>
      <c r="AF9" s="65">
        <f>(U9+AA9)/2</f>
        <v>67</v>
      </c>
      <c r="AG9" s="65">
        <f t="shared" ref="AG9:AJ9" si="2">(V9+AB9)/2</f>
        <v>72.833333333333329</v>
      </c>
      <c r="AH9" s="65">
        <f t="shared" si="2"/>
        <v>79.25</v>
      </c>
      <c r="AI9" s="65">
        <f t="shared" si="2"/>
        <v>75</v>
      </c>
      <c r="AJ9" s="65">
        <f t="shared" si="2"/>
        <v>67.541666666666657</v>
      </c>
      <c r="AK9" s="20">
        <f t="shared" ref="AK9" si="3">IFERROR(AVERAGE(AF9:AJ9),"  ")</f>
        <v>72.325000000000003</v>
      </c>
      <c r="AL9" s="39">
        <f>D9</f>
        <v>76</v>
      </c>
      <c r="AM9" s="39">
        <f>G9</f>
        <v>56</v>
      </c>
      <c r="AN9" s="39">
        <f t="shared" ref="AN9:AO9" si="4">H9</f>
        <v>56</v>
      </c>
      <c r="AO9" s="39">
        <f t="shared" si="4"/>
        <v>76</v>
      </c>
      <c r="AP9" s="39">
        <f>J9</f>
        <v>78</v>
      </c>
      <c r="AQ9" s="20">
        <f>IFERROR(AVERAGE(AM9:AP9),"  ")</f>
        <v>66.5</v>
      </c>
      <c r="AR9" s="39">
        <f>O9</f>
        <v>90</v>
      </c>
      <c r="AS9" s="39">
        <f>P9</f>
        <v>80</v>
      </c>
      <c r="AT9" s="20">
        <f>IFERROR(AVERAGE(AR9:AS9),"  ")</f>
        <v>85</v>
      </c>
      <c r="AU9" s="28">
        <f>T9</f>
        <v>78</v>
      </c>
      <c r="AV9" s="39">
        <f>E9</f>
        <v>70</v>
      </c>
      <c r="AW9" s="39">
        <f>F9</f>
        <v>65</v>
      </c>
      <c r="AX9" s="579">
        <f>IFERROR(AVERAGE(AV9:AW9),"  ")</f>
        <v>67.5</v>
      </c>
      <c r="AY9" s="39">
        <f>K9</f>
        <v>78</v>
      </c>
      <c r="AZ9" s="39">
        <f>L9</f>
        <v>76</v>
      </c>
      <c r="BA9" s="579">
        <f>IFERROR(AVERAGE(AY9:AZ9),"  ")</f>
        <v>77</v>
      </c>
      <c r="BB9" s="39">
        <f>Q9</f>
        <v>81</v>
      </c>
      <c r="BC9" s="39">
        <f>R9</f>
        <v>79</v>
      </c>
      <c r="BD9" s="579">
        <f>IFERROR(AVERAGE(BB9:BC9),"  ")</f>
        <v>80</v>
      </c>
      <c r="BE9" s="28">
        <f>T9</f>
        <v>78</v>
      </c>
    </row>
    <row r="10" spans="1:57" ht="18" customHeight="1" x14ac:dyDescent="0.2">
      <c r="A10" s="180">
        <v>2</v>
      </c>
      <c r="B10" s="63" t="str">
        <f>dtsiswa!D8</f>
        <v>Angelia Vabel R</v>
      </c>
      <c r="C10" s="11" t="s">
        <v>4</v>
      </c>
      <c r="D10" s="22"/>
      <c r="E10" s="22"/>
      <c r="F10" s="22"/>
      <c r="G10" s="23"/>
      <c r="H10" s="23"/>
      <c r="I10" s="23"/>
      <c r="J10" s="23"/>
      <c r="K10" s="23"/>
      <c r="L10" s="23"/>
      <c r="M10" s="23"/>
      <c r="N10" s="23"/>
      <c r="O10" s="23"/>
      <c r="P10" s="23"/>
      <c r="Q10" s="24"/>
      <c r="R10" s="24"/>
      <c r="S10" s="24"/>
      <c r="T10" s="25"/>
      <c r="U10" s="19">
        <f t="shared" ref="U10:U48" si="5">K10</f>
        <v>0</v>
      </c>
      <c r="V10" s="19">
        <f t="shared" ref="V10:V48" si="6">(L10+Q10+T10)/3</f>
        <v>0</v>
      </c>
      <c r="W10" s="19">
        <f t="shared" ref="W10:W48" si="7">(L10+Q10)/2</f>
        <v>0</v>
      </c>
      <c r="X10" s="19">
        <f t="shared" ref="X10:X48" si="8">(E10+N10)/2</f>
        <v>0</v>
      </c>
      <c r="Y10" s="19">
        <f t="shared" ref="Y10:Y48" si="9">F10</f>
        <v>0</v>
      </c>
      <c r="Z10" s="20">
        <f t="shared" ref="Z10:Z48" si="10">IFERROR(AVERAGE(U10:Y10),"  ")</f>
        <v>0</v>
      </c>
      <c r="AA10" s="18">
        <f t="shared" ref="AA10:AA48" si="11">G10</f>
        <v>0</v>
      </c>
      <c r="AB10" s="18">
        <f t="shared" ref="AB10:AB48" si="12">(H10+O10+S10)/3</f>
        <v>0</v>
      </c>
      <c r="AC10" s="18">
        <f t="shared" ref="AC10:AC48" si="13">(P10)</f>
        <v>0</v>
      </c>
      <c r="AD10" s="18">
        <f t="shared" ref="AD10:AD48" si="14">(D10+J10)/2</f>
        <v>0</v>
      </c>
      <c r="AE10" s="20">
        <f t="shared" ref="AE10:AE48" si="15">IFERROR(AVERAGE(AA10:AD10),"  ")</f>
        <v>0</v>
      </c>
      <c r="AF10" s="65">
        <f t="shared" ref="AF10:AF48" si="16">(U10+AA10)/2</f>
        <v>0</v>
      </c>
      <c r="AG10" s="65">
        <f t="shared" ref="AG10:AG48" si="17">(V10+AB10)/2</f>
        <v>0</v>
      </c>
      <c r="AH10" s="65">
        <f t="shared" ref="AH10:AH48" si="18">(W10+AC10)/2</f>
        <v>0</v>
      </c>
      <c r="AI10" s="65">
        <f t="shared" ref="AI10:AI48" si="19">(X10+AD10)/2</f>
        <v>0</v>
      </c>
      <c r="AJ10" s="65">
        <f t="shared" ref="AJ10:AJ48" si="20">(Y10+AE10)/2</f>
        <v>0</v>
      </c>
      <c r="AK10" s="20">
        <f t="shared" ref="AK10:AK48" si="21">IFERROR(AVERAGE(AF10:AJ10),"  ")</f>
        <v>0</v>
      </c>
      <c r="AL10" s="39">
        <f t="shared" ref="AL10:AL47" si="22">D10</f>
        <v>0</v>
      </c>
      <c r="AM10" s="39">
        <f t="shared" ref="AM10:AM47" si="23">G10</f>
        <v>0</v>
      </c>
      <c r="AN10" s="39">
        <f t="shared" ref="AN10:AN48" si="24">H10</f>
        <v>0</v>
      </c>
      <c r="AO10" s="39">
        <f t="shared" ref="AO10:AO48" si="25">I10</f>
        <v>0</v>
      </c>
      <c r="AP10" s="39">
        <f t="shared" ref="AP10:AP47" si="26">J10</f>
        <v>0</v>
      </c>
      <c r="AQ10" s="20">
        <f t="shared" ref="AQ10:AQ47" si="27">IFERROR(AVERAGE(AM10:AP10),"  ")</f>
        <v>0</v>
      </c>
      <c r="AR10" s="39">
        <f t="shared" ref="AR10:AR48" si="28">O10</f>
        <v>0</v>
      </c>
      <c r="AS10" s="39">
        <f t="shared" ref="AS10:AS48" si="29">P10</f>
        <v>0</v>
      </c>
      <c r="AT10" s="20">
        <f t="shared" ref="AT10:AT48" si="30">IFERROR(AVERAGE(AR10:AS10),"  ")</f>
        <v>0</v>
      </c>
      <c r="AU10" s="28">
        <f t="shared" ref="AU10:AU48" si="31">T10</f>
        <v>0</v>
      </c>
      <c r="AV10" s="39">
        <f t="shared" ref="AV10:AV47" si="32">E10</f>
        <v>0</v>
      </c>
      <c r="AW10" s="39">
        <f t="shared" ref="AW10:AW47" si="33">F10</f>
        <v>0</v>
      </c>
      <c r="AX10" s="579">
        <f t="shared" ref="AX10:AX48" si="34">IFERROR(AVERAGE(AV10:AW10),"  ")</f>
        <v>0</v>
      </c>
      <c r="AY10" s="39">
        <f t="shared" ref="AY10:AY48" si="35">K10</f>
        <v>0</v>
      </c>
      <c r="AZ10" s="39">
        <f t="shared" ref="AZ10:AZ48" si="36">L10</f>
        <v>0</v>
      </c>
      <c r="BA10" s="579">
        <f t="shared" ref="BA10:BA48" si="37">IFERROR(AVERAGE(AY10:AZ10),"  ")</f>
        <v>0</v>
      </c>
      <c r="BB10" s="39">
        <f t="shared" ref="BB10:BB48" si="38">Q10</f>
        <v>0</v>
      </c>
      <c r="BC10" s="39">
        <f t="shared" ref="BC10:BC48" si="39">R10</f>
        <v>0</v>
      </c>
      <c r="BD10" s="579">
        <f t="shared" ref="BD10:BD48" si="40">IFERROR(AVERAGE(BB10:BC10),"  ")</f>
        <v>0</v>
      </c>
      <c r="BE10" s="28">
        <f t="shared" ref="BE10:BE48" si="41">T10</f>
        <v>0</v>
      </c>
    </row>
    <row r="11" spans="1:57" ht="18" customHeight="1" x14ac:dyDescent="0.2">
      <c r="A11" s="180">
        <v>3</v>
      </c>
      <c r="B11" s="63" t="str">
        <f>dtsiswa!D9</f>
        <v>Anggun Dwi P.I</v>
      </c>
      <c r="C11" s="11" t="s">
        <v>4</v>
      </c>
      <c r="D11" s="22"/>
      <c r="E11" s="22"/>
      <c r="F11" s="22"/>
      <c r="G11" s="23"/>
      <c r="H11" s="23"/>
      <c r="I11" s="23"/>
      <c r="J11" s="23"/>
      <c r="K11" s="23"/>
      <c r="L11" s="23"/>
      <c r="M11" s="23"/>
      <c r="N11" s="23"/>
      <c r="O11" s="23"/>
      <c r="P11" s="23"/>
      <c r="Q11" s="24"/>
      <c r="R11" s="24"/>
      <c r="S11" s="24"/>
      <c r="T11" s="25"/>
      <c r="U11" s="19">
        <f t="shared" si="5"/>
        <v>0</v>
      </c>
      <c r="V11" s="19">
        <f t="shared" si="6"/>
        <v>0</v>
      </c>
      <c r="W11" s="19">
        <f t="shared" si="7"/>
        <v>0</v>
      </c>
      <c r="X11" s="19">
        <f t="shared" si="8"/>
        <v>0</v>
      </c>
      <c r="Y11" s="19">
        <f t="shared" si="9"/>
        <v>0</v>
      </c>
      <c r="Z11" s="20">
        <f t="shared" si="10"/>
        <v>0</v>
      </c>
      <c r="AA11" s="18">
        <f t="shared" si="11"/>
        <v>0</v>
      </c>
      <c r="AB11" s="18">
        <f t="shared" si="12"/>
        <v>0</v>
      </c>
      <c r="AC11" s="18">
        <f t="shared" si="13"/>
        <v>0</v>
      </c>
      <c r="AD11" s="18">
        <f t="shared" si="14"/>
        <v>0</v>
      </c>
      <c r="AE11" s="20">
        <f t="shared" si="15"/>
        <v>0</v>
      </c>
      <c r="AF11" s="65">
        <f t="shared" si="16"/>
        <v>0</v>
      </c>
      <c r="AG11" s="65">
        <f t="shared" si="17"/>
        <v>0</v>
      </c>
      <c r="AH11" s="65">
        <f t="shared" si="18"/>
        <v>0</v>
      </c>
      <c r="AI11" s="65">
        <f t="shared" si="19"/>
        <v>0</v>
      </c>
      <c r="AJ11" s="65">
        <f t="shared" si="20"/>
        <v>0</v>
      </c>
      <c r="AK11" s="20">
        <f t="shared" si="21"/>
        <v>0</v>
      </c>
      <c r="AL11" s="39">
        <f t="shared" si="22"/>
        <v>0</v>
      </c>
      <c r="AM11" s="39">
        <f t="shared" si="23"/>
        <v>0</v>
      </c>
      <c r="AN11" s="39">
        <f t="shared" si="24"/>
        <v>0</v>
      </c>
      <c r="AO11" s="39">
        <f t="shared" si="25"/>
        <v>0</v>
      </c>
      <c r="AP11" s="39">
        <f t="shared" si="26"/>
        <v>0</v>
      </c>
      <c r="AQ11" s="20">
        <f t="shared" si="27"/>
        <v>0</v>
      </c>
      <c r="AR11" s="39">
        <f t="shared" si="28"/>
        <v>0</v>
      </c>
      <c r="AS11" s="39">
        <f t="shared" si="29"/>
        <v>0</v>
      </c>
      <c r="AT11" s="20">
        <f t="shared" si="30"/>
        <v>0</v>
      </c>
      <c r="AU11" s="28">
        <f t="shared" si="31"/>
        <v>0</v>
      </c>
      <c r="AV11" s="39">
        <f t="shared" si="32"/>
        <v>0</v>
      </c>
      <c r="AW11" s="39">
        <f t="shared" si="33"/>
        <v>0</v>
      </c>
      <c r="AX11" s="579">
        <f t="shared" si="34"/>
        <v>0</v>
      </c>
      <c r="AY11" s="39">
        <f t="shared" si="35"/>
        <v>0</v>
      </c>
      <c r="AZ11" s="39">
        <f t="shared" si="36"/>
        <v>0</v>
      </c>
      <c r="BA11" s="579">
        <f t="shared" si="37"/>
        <v>0</v>
      </c>
      <c r="BB11" s="39">
        <f t="shared" si="38"/>
        <v>0</v>
      </c>
      <c r="BC11" s="39">
        <f t="shared" si="39"/>
        <v>0</v>
      </c>
      <c r="BD11" s="579">
        <f t="shared" si="40"/>
        <v>0</v>
      </c>
      <c r="BE11" s="28">
        <f t="shared" si="41"/>
        <v>0</v>
      </c>
    </row>
    <row r="12" spans="1:57" ht="18" customHeight="1" x14ac:dyDescent="0.2">
      <c r="A12" s="180">
        <v>4</v>
      </c>
      <c r="B12" s="63" t="str">
        <f>dtsiswa!D10</f>
        <v>Antonio Permata A</v>
      </c>
      <c r="C12" s="12" t="s">
        <v>4</v>
      </c>
      <c r="D12" s="22"/>
      <c r="E12" s="22"/>
      <c r="F12" s="22"/>
      <c r="G12" s="23"/>
      <c r="H12" s="23"/>
      <c r="I12" s="23"/>
      <c r="J12" s="23"/>
      <c r="K12" s="23"/>
      <c r="L12" s="23"/>
      <c r="M12" s="23"/>
      <c r="N12" s="23"/>
      <c r="O12" s="23"/>
      <c r="P12" s="23"/>
      <c r="Q12" s="24"/>
      <c r="R12" s="24"/>
      <c r="S12" s="24"/>
      <c r="T12" s="25"/>
      <c r="U12" s="19">
        <f t="shared" si="5"/>
        <v>0</v>
      </c>
      <c r="V12" s="19">
        <f t="shared" si="6"/>
        <v>0</v>
      </c>
      <c r="W12" s="19">
        <f t="shared" si="7"/>
        <v>0</v>
      </c>
      <c r="X12" s="19">
        <f t="shared" si="8"/>
        <v>0</v>
      </c>
      <c r="Y12" s="19">
        <f t="shared" si="9"/>
        <v>0</v>
      </c>
      <c r="Z12" s="20">
        <f t="shared" si="10"/>
        <v>0</v>
      </c>
      <c r="AA12" s="18">
        <f t="shared" si="11"/>
        <v>0</v>
      </c>
      <c r="AB12" s="18">
        <f t="shared" si="12"/>
        <v>0</v>
      </c>
      <c r="AC12" s="18">
        <f t="shared" si="13"/>
        <v>0</v>
      </c>
      <c r="AD12" s="18">
        <f t="shared" si="14"/>
        <v>0</v>
      </c>
      <c r="AE12" s="20">
        <f t="shared" si="15"/>
        <v>0</v>
      </c>
      <c r="AF12" s="65">
        <f t="shared" si="16"/>
        <v>0</v>
      </c>
      <c r="AG12" s="65">
        <f t="shared" si="17"/>
        <v>0</v>
      </c>
      <c r="AH12" s="65">
        <f t="shared" si="18"/>
        <v>0</v>
      </c>
      <c r="AI12" s="65">
        <f t="shared" si="19"/>
        <v>0</v>
      </c>
      <c r="AJ12" s="65">
        <f t="shared" si="20"/>
        <v>0</v>
      </c>
      <c r="AK12" s="20">
        <f t="shared" si="21"/>
        <v>0</v>
      </c>
      <c r="AL12" s="39">
        <f t="shared" si="22"/>
        <v>0</v>
      </c>
      <c r="AM12" s="39">
        <f t="shared" si="23"/>
        <v>0</v>
      </c>
      <c r="AN12" s="39">
        <f t="shared" si="24"/>
        <v>0</v>
      </c>
      <c r="AO12" s="39">
        <f t="shared" si="25"/>
        <v>0</v>
      </c>
      <c r="AP12" s="39">
        <f t="shared" si="26"/>
        <v>0</v>
      </c>
      <c r="AQ12" s="20">
        <f t="shared" si="27"/>
        <v>0</v>
      </c>
      <c r="AR12" s="39">
        <f t="shared" si="28"/>
        <v>0</v>
      </c>
      <c r="AS12" s="39">
        <f t="shared" si="29"/>
        <v>0</v>
      </c>
      <c r="AT12" s="20">
        <f t="shared" si="30"/>
        <v>0</v>
      </c>
      <c r="AU12" s="28">
        <f t="shared" si="31"/>
        <v>0</v>
      </c>
      <c r="AV12" s="39">
        <f t="shared" si="32"/>
        <v>0</v>
      </c>
      <c r="AW12" s="39">
        <f t="shared" si="33"/>
        <v>0</v>
      </c>
      <c r="AX12" s="579">
        <f t="shared" si="34"/>
        <v>0</v>
      </c>
      <c r="AY12" s="39">
        <f t="shared" si="35"/>
        <v>0</v>
      </c>
      <c r="AZ12" s="39">
        <f t="shared" si="36"/>
        <v>0</v>
      </c>
      <c r="BA12" s="579">
        <f t="shared" si="37"/>
        <v>0</v>
      </c>
      <c r="BB12" s="39">
        <f t="shared" si="38"/>
        <v>0</v>
      </c>
      <c r="BC12" s="39">
        <f t="shared" si="39"/>
        <v>0</v>
      </c>
      <c r="BD12" s="579">
        <f t="shared" si="40"/>
        <v>0</v>
      </c>
      <c r="BE12" s="28">
        <f t="shared" si="41"/>
        <v>0</v>
      </c>
    </row>
    <row r="13" spans="1:57" ht="18" customHeight="1" x14ac:dyDescent="0.2">
      <c r="A13" s="180">
        <v>5</v>
      </c>
      <c r="B13" s="63" t="str">
        <f>dtsiswa!D11</f>
        <v>Arya Pratama G</v>
      </c>
      <c r="C13" s="11" t="s">
        <v>5</v>
      </c>
      <c r="D13" s="22"/>
      <c r="E13" s="22"/>
      <c r="F13" s="22"/>
      <c r="G13" s="23"/>
      <c r="H13" s="23"/>
      <c r="I13" s="23"/>
      <c r="J13" s="23"/>
      <c r="K13" s="23"/>
      <c r="L13" s="23"/>
      <c r="M13" s="23"/>
      <c r="N13" s="23"/>
      <c r="O13" s="23"/>
      <c r="P13" s="23"/>
      <c r="Q13" s="24"/>
      <c r="R13" s="24"/>
      <c r="S13" s="24"/>
      <c r="T13" s="25"/>
      <c r="U13" s="19">
        <f t="shared" si="5"/>
        <v>0</v>
      </c>
      <c r="V13" s="19">
        <f t="shared" si="6"/>
        <v>0</v>
      </c>
      <c r="W13" s="19">
        <f t="shared" si="7"/>
        <v>0</v>
      </c>
      <c r="X13" s="19">
        <f t="shared" si="8"/>
        <v>0</v>
      </c>
      <c r="Y13" s="19">
        <f t="shared" si="9"/>
        <v>0</v>
      </c>
      <c r="Z13" s="20">
        <f t="shared" si="10"/>
        <v>0</v>
      </c>
      <c r="AA13" s="18">
        <f t="shared" si="11"/>
        <v>0</v>
      </c>
      <c r="AB13" s="18">
        <f t="shared" si="12"/>
        <v>0</v>
      </c>
      <c r="AC13" s="18">
        <f t="shared" si="13"/>
        <v>0</v>
      </c>
      <c r="AD13" s="18">
        <f t="shared" si="14"/>
        <v>0</v>
      </c>
      <c r="AE13" s="20">
        <f t="shared" si="15"/>
        <v>0</v>
      </c>
      <c r="AF13" s="65">
        <f t="shared" si="16"/>
        <v>0</v>
      </c>
      <c r="AG13" s="65">
        <f t="shared" si="17"/>
        <v>0</v>
      </c>
      <c r="AH13" s="65">
        <f t="shared" si="18"/>
        <v>0</v>
      </c>
      <c r="AI13" s="65">
        <f t="shared" si="19"/>
        <v>0</v>
      </c>
      <c r="AJ13" s="65">
        <f t="shared" si="20"/>
        <v>0</v>
      </c>
      <c r="AK13" s="20">
        <f t="shared" si="21"/>
        <v>0</v>
      </c>
      <c r="AL13" s="39">
        <f t="shared" si="22"/>
        <v>0</v>
      </c>
      <c r="AM13" s="39">
        <f t="shared" si="23"/>
        <v>0</v>
      </c>
      <c r="AN13" s="39">
        <f t="shared" si="24"/>
        <v>0</v>
      </c>
      <c r="AO13" s="39">
        <f t="shared" si="25"/>
        <v>0</v>
      </c>
      <c r="AP13" s="39">
        <f t="shared" si="26"/>
        <v>0</v>
      </c>
      <c r="AQ13" s="20">
        <f t="shared" si="27"/>
        <v>0</v>
      </c>
      <c r="AR13" s="39">
        <f t="shared" si="28"/>
        <v>0</v>
      </c>
      <c r="AS13" s="39">
        <f t="shared" si="29"/>
        <v>0</v>
      </c>
      <c r="AT13" s="20">
        <f t="shared" si="30"/>
        <v>0</v>
      </c>
      <c r="AU13" s="28">
        <f t="shared" si="31"/>
        <v>0</v>
      </c>
      <c r="AV13" s="39">
        <f t="shared" si="32"/>
        <v>0</v>
      </c>
      <c r="AW13" s="39">
        <f t="shared" si="33"/>
        <v>0</v>
      </c>
      <c r="AX13" s="579">
        <f t="shared" si="34"/>
        <v>0</v>
      </c>
      <c r="AY13" s="39">
        <f t="shared" si="35"/>
        <v>0</v>
      </c>
      <c r="AZ13" s="39">
        <f t="shared" si="36"/>
        <v>0</v>
      </c>
      <c r="BA13" s="579">
        <f t="shared" si="37"/>
        <v>0</v>
      </c>
      <c r="BB13" s="39">
        <f t="shared" si="38"/>
        <v>0</v>
      </c>
      <c r="BC13" s="39">
        <f t="shared" si="39"/>
        <v>0</v>
      </c>
      <c r="BD13" s="579">
        <f t="shared" si="40"/>
        <v>0</v>
      </c>
      <c r="BE13" s="28">
        <f t="shared" si="41"/>
        <v>0</v>
      </c>
    </row>
    <row r="14" spans="1:57" ht="18" customHeight="1" x14ac:dyDescent="0.2">
      <c r="A14" s="180">
        <v>6</v>
      </c>
      <c r="B14" s="63" t="str">
        <f>dtsiswa!D12</f>
        <v>Asyam Hanif Ihsan H</v>
      </c>
      <c r="C14" s="11" t="s">
        <v>5</v>
      </c>
      <c r="D14" s="22"/>
      <c r="E14" s="22"/>
      <c r="F14" s="22"/>
      <c r="G14" s="23"/>
      <c r="H14" s="23"/>
      <c r="I14" s="23"/>
      <c r="J14" s="23"/>
      <c r="K14" s="23"/>
      <c r="L14" s="23"/>
      <c r="M14" s="23"/>
      <c r="N14" s="23"/>
      <c r="O14" s="23"/>
      <c r="P14" s="23"/>
      <c r="Q14" s="24"/>
      <c r="R14" s="24"/>
      <c r="S14" s="24"/>
      <c r="T14" s="25"/>
      <c r="U14" s="19">
        <f t="shared" si="5"/>
        <v>0</v>
      </c>
      <c r="V14" s="19">
        <f t="shared" si="6"/>
        <v>0</v>
      </c>
      <c r="W14" s="19">
        <f t="shared" si="7"/>
        <v>0</v>
      </c>
      <c r="X14" s="19">
        <f t="shared" si="8"/>
        <v>0</v>
      </c>
      <c r="Y14" s="19">
        <f t="shared" si="9"/>
        <v>0</v>
      </c>
      <c r="Z14" s="20">
        <f t="shared" si="10"/>
        <v>0</v>
      </c>
      <c r="AA14" s="18">
        <f t="shared" si="11"/>
        <v>0</v>
      </c>
      <c r="AB14" s="18">
        <f t="shared" si="12"/>
        <v>0</v>
      </c>
      <c r="AC14" s="18">
        <f t="shared" si="13"/>
        <v>0</v>
      </c>
      <c r="AD14" s="18">
        <f t="shared" si="14"/>
        <v>0</v>
      </c>
      <c r="AE14" s="20">
        <f t="shared" si="15"/>
        <v>0</v>
      </c>
      <c r="AF14" s="65">
        <f t="shared" si="16"/>
        <v>0</v>
      </c>
      <c r="AG14" s="65">
        <f t="shared" si="17"/>
        <v>0</v>
      </c>
      <c r="AH14" s="65">
        <f t="shared" si="18"/>
        <v>0</v>
      </c>
      <c r="AI14" s="65">
        <f t="shared" si="19"/>
        <v>0</v>
      </c>
      <c r="AJ14" s="65">
        <f t="shared" si="20"/>
        <v>0</v>
      </c>
      <c r="AK14" s="20">
        <f t="shared" si="21"/>
        <v>0</v>
      </c>
      <c r="AL14" s="39">
        <f t="shared" si="22"/>
        <v>0</v>
      </c>
      <c r="AM14" s="39">
        <f t="shared" si="23"/>
        <v>0</v>
      </c>
      <c r="AN14" s="39">
        <f t="shared" si="24"/>
        <v>0</v>
      </c>
      <c r="AO14" s="39">
        <f t="shared" si="25"/>
        <v>0</v>
      </c>
      <c r="AP14" s="39">
        <f t="shared" si="26"/>
        <v>0</v>
      </c>
      <c r="AQ14" s="20">
        <f t="shared" si="27"/>
        <v>0</v>
      </c>
      <c r="AR14" s="39">
        <f t="shared" si="28"/>
        <v>0</v>
      </c>
      <c r="AS14" s="39">
        <f t="shared" si="29"/>
        <v>0</v>
      </c>
      <c r="AT14" s="20">
        <f t="shared" si="30"/>
        <v>0</v>
      </c>
      <c r="AU14" s="28">
        <f t="shared" si="31"/>
        <v>0</v>
      </c>
      <c r="AV14" s="39">
        <f t="shared" si="32"/>
        <v>0</v>
      </c>
      <c r="AW14" s="39">
        <f t="shared" si="33"/>
        <v>0</v>
      </c>
      <c r="AX14" s="579">
        <f t="shared" si="34"/>
        <v>0</v>
      </c>
      <c r="AY14" s="39">
        <f t="shared" si="35"/>
        <v>0</v>
      </c>
      <c r="AZ14" s="39">
        <f t="shared" si="36"/>
        <v>0</v>
      </c>
      <c r="BA14" s="579">
        <f t="shared" si="37"/>
        <v>0</v>
      </c>
      <c r="BB14" s="39">
        <f t="shared" si="38"/>
        <v>0</v>
      </c>
      <c r="BC14" s="39">
        <f t="shared" si="39"/>
        <v>0</v>
      </c>
      <c r="BD14" s="579">
        <f t="shared" si="40"/>
        <v>0</v>
      </c>
      <c r="BE14" s="28">
        <f t="shared" si="41"/>
        <v>0</v>
      </c>
    </row>
    <row r="15" spans="1:57" ht="18" customHeight="1" x14ac:dyDescent="0.2">
      <c r="A15" s="180">
        <v>7</v>
      </c>
      <c r="B15" s="63" t="str">
        <f>dtsiswa!D13</f>
        <v>Athaya Salsabilla Z</v>
      </c>
      <c r="C15" s="11" t="s">
        <v>4</v>
      </c>
      <c r="D15" s="22"/>
      <c r="E15" s="22"/>
      <c r="F15" s="22"/>
      <c r="G15" s="23"/>
      <c r="H15" s="23"/>
      <c r="I15" s="23"/>
      <c r="J15" s="23"/>
      <c r="K15" s="23"/>
      <c r="L15" s="23"/>
      <c r="M15" s="23"/>
      <c r="N15" s="23"/>
      <c r="O15" s="23"/>
      <c r="P15" s="23"/>
      <c r="Q15" s="24"/>
      <c r="R15" s="24"/>
      <c r="S15" s="24"/>
      <c r="T15" s="25"/>
      <c r="U15" s="19">
        <f t="shared" si="5"/>
        <v>0</v>
      </c>
      <c r="V15" s="19">
        <f t="shared" si="6"/>
        <v>0</v>
      </c>
      <c r="W15" s="19">
        <f t="shared" si="7"/>
        <v>0</v>
      </c>
      <c r="X15" s="19">
        <f t="shared" si="8"/>
        <v>0</v>
      </c>
      <c r="Y15" s="19">
        <f t="shared" si="9"/>
        <v>0</v>
      </c>
      <c r="Z15" s="20">
        <f t="shared" si="10"/>
        <v>0</v>
      </c>
      <c r="AA15" s="18">
        <f t="shared" si="11"/>
        <v>0</v>
      </c>
      <c r="AB15" s="18">
        <f t="shared" si="12"/>
        <v>0</v>
      </c>
      <c r="AC15" s="18">
        <f t="shared" si="13"/>
        <v>0</v>
      </c>
      <c r="AD15" s="18">
        <f t="shared" si="14"/>
        <v>0</v>
      </c>
      <c r="AE15" s="20">
        <f t="shared" si="15"/>
        <v>0</v>
      </c>
      <c r="AF15" s="65">
        <f t="shared" si="16"/>
        <v>0</v>
      </c>
      <c r="AG15" s="65">
        <f t="shared" si="17"/>
        <v>0</v>
      </c>
      <c r="AH15" s="65">
        <f t="shared" si="18"/>
        <v>0</v>
      </c>
      <c r="AI15" s="65">
        <f t="shared" si="19"/>
        <v>0</v>
      </c>
      <c r="AJ15" s="65">
        <f t="shared" si="20"/>
        <v>0</v>
      </c>
      <c r="AK15" s="20">
        <f t="shared" si="21"/>
        <v>0</v>
      </c>
      <c r="AL15" s="39">
        <f t="shared" si="22"/>
        <v>0</v>
      </c>
      <c r="AM15" s="39">
        <f t="shared" si="23"/>
        <v>0</v>
      </c>
      <c r="AN15" s="39">
        <f t="shared" si="24"/>
        <v>0</v>
      </c>
      <c r="AO15" s="39">
        <f t="shared" si="25"/>
        <v>0</v>
      </c>
      <c r="AP15" s="39">
        <f t="shared" si="26"/>
        <v>0</v>
      </c>
      <c r="AQ15" s="20">
        <f t="shared" si="27"/>
        <v>0</v>
      </c>
      <c r="AR15" s="39">
        <f t="shared" si="28"/>
        <v>0</v>
      </c>
      <c r="AS15" s="39">
        <f t="shared" si="29"/>
        <v>0</v>
      </c>
      <c r="AT15" s="20">
        <f t="shared" si="30"/>
        <v>0</v>
      </c>
      <c r="AU15" s="28">
        <f t="shared" si="31"/>
        <v>0</v>
      </c>
      <c r="AV15" s="39">
        <f t="shared" si="32"/>
        <v>0</v>
      </c>
      <c r="AW15" s="39">
        <f t="shared" si="33"/>
        <v>0</v>
      </c>
      <c r="AX15" s="579">
        <f t="shared" si="34"/>
        <v>0</v>
      </c>
      <c r="AY15" s="39">
        <f t="shared" si="35"/>
        <v>0</v>
      </c>
      <c r="AZ15" s="39">
        <f t="shared" si="36"/>
        <v>0</v>
      </c>
      <c r="BA15" s="579">
        <f t="shared" si="37"/>
        <v>0</v>
      </c>
      <c r="BB15" s="39">
        <f t="shared" si="38"/>
        <v>0</v>
      </c>
      <c r="BC15" s="39">
        <f t="shared" si="39"/>
        <v>0</v>
      </c>
      <c r="BD15" s="579">
        <f t="shared" si="40"/>
        <v>0</v>
      </c>
      <c r="BE15" s="28">
        <f t="shared" si="41"/>
        <v>0</v>
      </c>
    </row>
    <row r="16" spans="1:57" ht="18" customHeight="1" x14ac:dyDescent="0.2">
      <c r="A16" s="180">
        <v>8</v>
      </c>
      <c r="B16" s="63" t="str">
        <f>dtsiswa!D14</f>
        <v>Aulia Dea Rosalinda</v>
      </c>
      <c r="C16" s="11" t="s">
        <v>4</v>
      </c>
      <c r="D16" s="22"/>
      <c r="E16" s="22"/>
      <c r="F16" s="22"/>
      <c r="G16" s="23"/>
      <c r="H16" s="23"/>
      <c r="I16" s="23"/>
      <c r="J16" s="23"/>
      <c r="K16" s="23"/>
      <c r="L16" s="23"/>
      <c r="M16" s="23"/>
      <c r="N16" s="23"/>
      <c r="O16" s="23"/>
      <c r="P16" s="23"/>
      <c r="Q16" s="24"/>
      <c r="R16" s="24"/>
      <c r="S16" s="24"/>
      <c r="T16" s="25"/>
      <c r="U16" s="19">
        <f t="shared" si="5"/>
        <v>0</v>
      </c>
      <c r="V16" s="19">
        <f t="shared" si="6"/>
        <v>0</v>
      </c>
      <c r="W16" s="19">
        <f t="shared" si="7"/>
        <v>0</v>
      </c>
      <c r="X16" s="19">
        <f t="shared" si="8"/>
        <v>0</v>
      </c>
      <c r="Y16" s="19">
        <f t="shared" si="9"/>
        <v>0</v>
      </c>
      <c r="Z16" s="20">
        <f t="shared" si="10"/>
        <v>0</v>
      </c>
      <c r="AA16" s="18">
        <f t="shared" si="11"/>
        <v>0</v>
      </c>
      <c r="AB16" s="18">
        <f t="shared" si="12"/>
        <v>0</v>
      </c>
      <c r="AC16" s="18">
        <f t="shared" si="13"/>
        <v>0</v>
      </c>
      <c r="AD16" s="18">
        <f t="shared" si="14"/>
        <v>0</v>
      </c>
      <c r="AE16" s="20">
        <f t="shared" si="15"/>
        <v>0</v>
      </c>
      <c r="AF16" s="65">
        <f t="shared" si="16"/>
        <v>0</v>
      </c>
      <c r="AG16" s="65">
        <f t="shared" si="17"/>
        <v>0</v>
      </c>
      <c r="AH16" s="65">
        <f t="shared" si="18"/>
        <v>0</v>
      </c>
      <c r="AI16" s="65">
        <f t="shared" si="19"/>
        <v>0</v>
      </c>
      <c r="AJ16" s="65">
        <f t="shared" si="20"/>
        <v>0</v>
      </c>
      <c r="AK16" s="20">
        <f t="shared" si="21"/>
        <v>0</v>
      </c>
      <c r="AL16" s="39">
        <f t="shared" si="22"/>
        <v>0</v>
      </c>
      <c r="AM16" s="39">
        <f t="shared" si="23"/>
        <v>0</v>
      </c>
      <c r="AN16" s="39">
        <f t="shared" si="24"/>
        <v>0</v>
      </c>
      <c r="AO16" s="39">
        <f t="shared" si="25"/>
        <v>0</v>
      </c>
      <c r="AP16" s="39">
        <f t="shared" si="26"/>
        <v>0</v>
      </c>
      <c r="AQ16" s="20">
        <f t="shared" si="27"/>
        <v>0</v>
      </c>
      <c r="AR16" s="39">
        <f t="shared" si="28"/>
        <v>0</v>
      </c>
      <c r="AS16" s="39">
        <f t="shared" si="29"/>
        <v>0</v>
      </c>
      <c r="AT16" s="20">
        <f t="shared" si="30"/>
        <v>0</v>
      </c>
      <c r="AU16" s="28">
        <f t="shared" si="31"/>
        <v>0</v>
      </c>
      <c r="AV16" s="39">
        <f t="shared" si="32"/>
        <v>0</v>
      </c>
      <c r="AW16" s="39">
        <f t="shared" si="33"/>
        <v>0</v>
      </c>
      <c r="AX16" s="579">
        <f t="shared" si="34"/>
        <v>0</v>
      </c>
      <c r="AY16" s="39">
        <f t="shared" si="35"/>
        <v>0</v>
      </c>
      <c r="AZ16" s="39">
        <f t="shared" si="36"/>
        <v>0</v>
      </c>
      <c r="BA16" s="579">
        <f t="shared" si="37"/>
        <v>0</v>
      </c>
      <c r="BB16" s="39">
        <f t="shared" si="38"/>
        <v>0</v>
      </c>
      <c r="BC16" s="39">
        <f t="shared" si="39"/>
        <v>0</v>
      </c>
      <c r="BD16" s="579">
        <f t="shared" si="40"/>
        <v>0</v>
      </c>
      <c r="BE16" s="28">
        <f t="shared" si="41"/>
        <v>0</v>
      </c>
    </row>
    <row r="17" spans="1:57" ht="18" customHeight="1" x14ac:dyDescent="0.2">
      <c r="A17" s="180">
        <v>9</v>
      </c>
      <c r="B17" s="63" t="str">
        <f>dtsiswa!D15</f>
        <v>Claudia Gabriella L</v>
      </c>
      <c r="C17" s="11" t="s">
        <v>4</v>
      </c>
      <c r="D17" s="22"/>
      <c r="E17" s="22"/>
      <c r="F17" s="22"/>
      <c r="G17" s="23"/>
      <c r="H17" s="23"/>
      <c r="I17" s="23"/>
      <c r="J17" s="23"/>
      <c r="K17" s="23"/>
      <c r="L17" s="23"/>
      <c r="M17" s="23"/>
      <c r="N17" s="23"/>
      <c r="O17" s="23"/>
      <c r="P17" s="23"/>
      <c r="Q17" s="24"/>
      <c r="R17" s="24"/>
      <c r="S17" s="24"/>
      <c r="T17" s="25"/>
      <c r="U17" s="19">
        <f t="shared" si="5"/>
        <v>0</v>
      </c>
      <c r="V17" s="19">
        <f t="shared" si="6"/>
        <v>0</v>
      </c>
      <c r="W17" s="19">
        <f t="shared" si="7"/>
        <v>0</v>
      </c>
      <c r="X17" s="19">
        <f t="shared" si="8"/>
        <v>0</v>
      </c>
      <c r="Y17" s="19">
        <f t="shared" si="9"/>
        <v>0</v>
      </c>
      <c r="Z17" s="20">
        <f t="shared" si="10"/>
        <v>0</v>
      </c>
      <c r="AA17" s="18">
        <f t="shared" si="11"/>
        <v>0</v>
      </c>
      <c r="AB17" s="18">
        <f t="shared" si="12"/>
        <v>0</v>
      </c>
      <c r="AC17" s="18">
        <f t="shared" si="13"/>
        <v>0</v>
      </c>
      <c r="AD17" s="18">
        <f t="shared" si="14"/>
        <v>0</v>
      </c>
      <c r="AE17" s="20">
        <f t="shared" si="15"/>
        <v>0</v>
      </c>
      <c r="AF17" s="65">
        <f t="shared" si="16"/>
        <v>0</v>
      </c>
      <c r="AG17" s="65">
        <f t="shared" si="17"/>
        <v>0</v>
      </c>
      <c r="AH17" s="65">
        <f t="shared" si="18"/>
        <v>0</v>
      </c>
      <c r="AI17" s="65">
        <f t="shared" si="19"/>
        <v>0</v>
      </c>
      <c r="AJ17" s="65">
        <f t="shared" si="20"/>
        <v>0</v>
      </c>
      <c r="AK17" s="20">
        <f t="shared" si="21"/>
        <v>0</v>
      </c>
      <c r="AL17" s="39">
        <f t="shared" si="22"/>
        <v>0</v>
      </c>
      <c r="AM17" s="39">
        <f t="shared" si="23"/>
        <v>0</v>
      </c>
      <c r="AN17" s="39">
        <f t="shared" si="24"/>
        <v>0</v>
      </c>
      <c r="AO17" s="39">
        <f t="shared" si="25"/>
        <v>0</v>
      </c>
      <c r="AP17" s="39">
        <f t="shared" si="26"/>
        <v>0</v>
      </c>
      <c r="AQ17" s="20">
        <f t="shared" si="27"/>
        <v>0</v>
      </c>
      <c r="AR17" s="39">
        <f t="shared" si="28"/>
        <v>0</v>
      </c>
      <c r="AS17" s="39">
        <f t="shared" si="29"/>
        <v>0</v>
      </c>
      <c r="AT17" s="20">
        <f t="shared" si="30"/>
        <v>0</v>
      </c>
      <c r="AU17" s="28">
        <f t="shared" si="31"/>
        <v>0</v>
      </c>
      <c r="AV17" s="39">
        <f t="shared" si="32"/>
        <v>0</v>
      </c>
      <c r="AW17" s="39">
        <f t="shared" si="33"/>
        <v>0</v>
      </c>
      <c r="AX17" s="579">
        <f t="shared" si="34"/>
        <v>0</v>
      </c>
      <c r="AY17" s="39">
        <f t="shared" si="35"/>
        <v>0</v>
      </c>
      <c r="AZ17" s="39">
        <f t="shared" si="36"/>
        <v>0</v>
      </c>
      <c r="BA17" s="579">
        <f t="shared" si="37"/>
        <v>0</v>
      </c>
      <c r="BB17" s="39">
        <f t="shared" si="38"/>
        <v>0</v>
      </c>
      <c r="BC17" s="39">
        <f t="shared" si="39"/>
        <v>0</v>
      </c>
      <c r="BD17" s="579">
        <f t="shared" si="40"/>
        <v>0</v>
      </c>
      <c r="BE17" s="28">
        <f t="shared" si="41"/>
        <v>0</v>
      </c>
    </row>
    <row r="18" spans="1:57" ht="18" customHeight="1" x14ac:dyDescent="0.2">
      <c r="A18" s="180">
        <v>10</v>
      </c>
      <c r="B18" s="63" t="str">
        <f>dtsiswa!D16</f>
        <v xml:space="preserve">Deco Badarus Zaman </v>
      </c>
      <c r="C18" s="11" t="s">
        <v>4</v>
      </c>
      <c r="D18" s="22"/>
      <c r="E18" s="22"/>
      <c r="F18" s="22"/>
      <c r="G18" s="23"/>
      <c r="H18" s="23"/>
      <c r="I18" s="23"/>
      <c r="J18" s="23"/>
      <c r="K18" s="23"/>
      <c r="L18" s="23"/>
      <c r="M18" s="23"/>
      <c r="N18" s="23"/>
      <c r="O18" s="23"/>
      <c r="P18" s="23"/>
      <c r="Q18" s="24"/>
      <c r="R18" s="24"/>
      <c r="S18" s="24"/>
      <c r="T18" s="25"/>
      <c r="U18" s="19">
        <f t="shared" si="5"/>
        <v>0</v>
      </c>
      <c r="V18" s="19">
        <f t="shared" si="6"/>
        <v>0</v>
      </c>
      <c r="W18" s="19">
        <f t="shared" si="7"/>
        <v>0</v>
      </c>
      <c r="X18" s="19">
        <f t="shared" si="8"/>
        <v>0</v>
      </c>
      <c r="Y18" s="19">
        <f t="shared" si="9"/>
        <v>0</v>
      </c>
      <c r="Z18" s="20">
        <f t="shared" si="10"/>
        <v>0</v>
      </c>
      <c r="AA18" s="18">
        <f t="shared" si="11"/>
        <v>0</v>
      </c>
      <c r="AB18" s="18">
        <f t="shared" si="12"/>
        <v>0</v>
      </c>
      <c r="AC18" s="18">
        <f t="shared" si="13"/>
        <v>0</v>
      </c>
      <c r="AD18" s="18">
        <f t="shared" si="14"/>
        <v>0</v>
      </c>
      <c r="AE18" s="20">
        <f t="shared" si="15"/>
        <v>0</v>
      </c>
      <c r="AF18" s="65">
        <f t="shared" si="16"/>
        <v>0</v>
      </c>
      <c r="AG18" s="65">
        <f t="shared" si="17"/>
        <v>0</v>
      </c>
      <c r="AH18" s="65">
        <f t="shared" si="18"/>
        <v>0</v>
      </c>
      <c r="AI18" s="65">
        <f t="shared" si="19"/>
        <v>0</v>
      </c>
      <c r="AJ18" s="65">
        <f t="shared" si="20"/>
        <v>0</v>
      </c>
      <c r="AK18" s="20">
        <f t="shared" si="21"/>
        <v>0</v>
      </c>
      <c r="AL18" s="39">
        <f t="shared" si="22"/>
        <v>0</v>
      </c>
      <c r="AM18" s="39">
        <f t="shared" si="23"/>
        <v>0</v>
      </c>
      <c r="AN18" s="39">
        <f t="shared" si="24"/>
        <v>0</v>
      </c>
      <c r="AO18" s="39">
        <f t="shared" si="25"/>
        <v>0</v>
      </c>
      <c r="AP18" s="39">
        <f t="shared" si="26"/>
        <v>0</v>
      </c>
      <c r="AQ18" s="20">
        <f t="shared" si="27"/>
        <v>0</v>
      </c>
      <c r="AR18" s="39">
        <f t="shared" si="28"/>
        <v>0</v>
      </c>
      <c r="AS18" s="39">
        <f t="shared" si="29"/>
        <v>0</v>
      </c>
      <c r="AT18" s="20">
        <f t="shared" si="30"/>
        <v>0</v>
      </c>
      <c r="AU18" s="28">
        <f t="shared" si="31"/>
        <v>0</v>
      </c>
      <c r="AV18" s="39">
        <f t="shared" si="32"/>
        <v>0</v>
      </c>
      <c r="AW18" s="39">
        <f t="shared" si="33"/>
        <v>0</v>
      </c>
      <c r="AX18" s="579">
        <f t="shared" si="34"/>
        <v>0</v>
      </c>
      <c r="AY18" s="39">
        <f t="shared" si="35"/>
        <v>0</v>
      </c>
      <c r="AZ18" s="39">
        <f t="shared" si="36"/>
        <v>0</v>
      </c>
      <c r="BA18" s="579">
        <f t="shared" si="37"/>
        <v>0</v>
      </c>
      <c r="BB18" s="39">
        <f t="shared" si="38"/>
        <v>0</v>
      </c>
      <c r="BC18" s="39">
        <f t="shared" si="39"/>
        <v>0</v>
      </c>
      <c r="BD18" s="579">
        <f t="shared" si="40"/>
        <v>0</v>
      </c>
      <c r="BE18" s="28">
        <f t="shared" si="41"/>
        <v>0</v>
      </c>
    </row>
    <row r="19" spans="1:57" ht="18" customHeight="1" x14ac:dyDescent="0.2">
      <c r="A19" s="180">
        <v>11</v>
      </c>
      <c r="B19" s="63" t="str">
        <f>dtsiswa!D17</f>
        <v>Fania Mutiara Felichia</v>
      </c>
      <c r="C19" s="11" t="s">
        <v>4</v>
      </c>
      <c r="D19" s="22"/>
      <c r="E19" s="22"/>
      <c r="F19" s="22"/>
      <c r="G19" s="23"/>
      <c r="H19" s="23"/>
      <c r="I19" s="23"/>
      <c r="J19" s="23"/>
      <c r="K19" s="23"/>
      <c r="L19" s="23"/>
      <c r="M19" s="23"/>
      <c r="N19" s="23"/>
      <c r="O19" s="23"/>
      <c r="P19" s="23"/>
      <c r="Q19" s="24"/>
      <c r="R19" s="24"/>
      <c r="S19" s="24"/>
      <c r="T19" s="25"/>
      <c r="U19" s="19">
        <f t="shared" si="5"/>
        <v>0</v>
      </c>
      <c r="V19" s="19">
        <f t="shared" si="6"/>
        <v>0</v>
      </c>
      <c r="W19" s="19">
        <f t="shared" si="7"/>
        <v>0</v>
      </c>
      <c r="X19" s="19">
        <f t="shared" si="8"/>
        <v>0</v>
      </c>
      <c r="Y19" s="19">
        <f t="shared" si="9"/>
        <v>0</v>
      </c>
      <c r="Z19" s="20">
        <f t="shared" si="10"/>
        <v>0</v>
      </c>
      <c r="AA19" s="18">
        <f t="shared" si="11"/>
        <v>0</v>
      </c>
      <c r="AB19" s="18">
        <f t="shared" si="12"/>
        <v>0</v>
      </c>
      <c r="AC19" s="18">
        <f t="shared" si="13"/>
        <v>0</v>
      </c>
      <c r="AD19" s="18">
        <f t="shared" si="14"/>
        <v>0</v>
      </c>
      <c r="AE19" s="20">
        <f t="shared" si="15"/>
        <v>0</v>
      </c>
      <c r="AF19" s="65">
        <f t="shared" si="16"/>
        <v>0</v>
      </c>
      <c r="AG19" s="65">
        <f t="shared" si="17"/>
        <v>0</v>
      </c>
      <c r="AH19" s="65">
        <f t="shared" si="18"/>
        <v>0</v>
      </c>
      <c r="AI19" s="65">
        <f t="shared" si="19"/>
        <v>0</v>
      </c>
      <c r="AJ19" s="65">
        <f t="shared" si="20"/>
        <v>0</v>
      </c>
      <c r="AK19" s="20">
        <f t="shared" si="21"/>
        <v>0</v>
      </c>
      <c r="AL19" s="39">
        <f t="shared" si="22"/>
        <v>0</v>
      </c>
      <c r="AM19" s="39">
        <f t="shared" si="23"/>
        <v>0</v>
      </c>
      <c r="AN19" s="39">
        <f t="shared" si="24"/>
        <v>0</v>
      </c>
      <c r="AO19" s="39">
        <f t="shared" si="25"/>
        <v>0</v>
      </c>
      <c r="AP19" s="39">
        <f t="shared" si="26"/>
        <v>0</v>
      </c>
      <c r="AQ19" s="20">
        <f t="shared" si="27"/>
        <v>0</v>
      </c>
      <c r="AR19" s="39">
        <f t="shared" si="28"/>
        <v>0</v>
      </c>
      <c r="AS19" s="39">
        <f t="shared" si="29"/>
        <v>0</v>
      </c>
      <c r="AT19" s="20">
        <f t="shared" si="30"/>
        <v>0</v>
      </c>
      <c r="AU19" s="28">
        <f t="shared" si="31"/>
        <v>0</v>
      </c>
      <c r="AV19" s="39">
        <f t="shared" si="32"/>
        <v>0</v>
      </c>
      <c r="AW19" s="39">
        <f t="shared" si="33"/>
        <v>0</v>
      </c>
      <c r="AX19" s="579">
        <f t="shared" si="34"/>
        <v>0</v>
      </c>
      <c r="AY19" s="39">
        <f t="shared" si="35"/>
        <v>0</v>
      </c>
      <c r="AZ19" s="39">
        <f t="shared" si="36"/>
        <v>0</v>
      </c>
      <c r="BA19" s="579">
        <f t="shared" si="37"/>
        <v>0</v>
      </c>
      <c r="BB19" s="39">
        <f t="shared" si="38"/>
        <v>0</v>
      </c>
      <c r="BC19" s="39">
        <f t="shared" si="39"/>
        <v>0</v>
      </c>
      <c r="BD19" s="579">
        <f t="shared" si="40"/>
        <v>0</v>
      </c>
      <c r="BE19" s="28">
        <f t="shared" si="41"/>
        <v>0</v>
      </c>
    </row>
    <row r="20" spans="1:57" ht="18" customHeight="1" x14ac:dyDescent="0.2">
      <c r="A20" s="180">
        <v>12</v>
      </c>
      <c r="B20" s="63" t="str">
        <f>dtsiswa!D18</f>
        <v>Intan Dyah Nowari</v>
      </c>
      <c r="C20" s="11" t="s">
        <v>4</v>
      </c>
      <c r="D20" s="22"/>
      <c r="E20" s="22"/>
      <c r="F20" s="22"/>
      <c r="G20" s="23"/>
      <c r="H20" s="23"/>
      <c r="I20" s="23"/>
      <c r="J20" s="23"/>
      <c r="K20" s="23"/>
      <c r="L20" s="23"/>
      <c r="M20" s="23"/>
      <c r="N20" s="23"/>
      <c r="O20" s="23"/>
      <c r="P20" s="23"/>
      <c r="Q20" s="24"/>
      <c r="R20" s="24"/>
      <c r="S20" s="24"/>
      <c r="T20" s="25"/>
      <c r="U20" s="19">
        <f t="shared" si="5"/>
        <v>0</v>
      </c>
      <c r="V20" s="19">
        <f t="shared" si="6"/>
        <v>0</v>
      </c>
      <c r="W20" s="19">
        <f t="shared" si="7"/>
        <v>0</v>
      </c>
      <c r="X20" s="19">
        <f t="shared" si="8"/>
        <v>0</v>
      </c>
      <c r="Y20" s="19">
        <f t="shared" si="9"/>
        <v>0</v>
      </c>
      <c r="Z20" s="20">
        <f t="shared" si="10"/>
        <v>0</v>
      </c>
      <c r="AA20" s="18">
        <f t="shared" si="11"/>
        <v>0</v>
      </c>
      <c r="AB20" s="18">
        <f t="shared" si="12"/>
        <v>0</v>
      </c>
      <c r="AC20" s="18">
        <f t="shared" si="13"/>
        <v>0</v>
      </c>
      <c r="AD20" s="18">
        <f t="shared" si="14"/>
        <v>0</v>
      </c>
      <c r="AE20" s="20">
        <f t="shared" si="15"/>
        <v>0</v>
      </c>
      <c r="AF20" s="65">
        <f t="shared" si="16"/>
        <v>0</v>
      </c>
      <c r="AG20" s="65">
        <f t="shared" si="17"/>
        <v>0</v>
      </c>
      <c r="AH20" s="65">
        <f t="shared" si="18"/>
        <v>0</v>
      </c>
      <c r="AI20" s="65">
        <f t="shared" si="19"/>
        <v>0</v>
      </c>
      <c r="AJ20" s="65">
        <f t="shared" si="20"/>
        <v>0</v>
      </c>
      <c r="AK20" s="20">
        <f t="shared" si="21"/>
        <v>0</v>
      </c>
      <c r="AL20" s="39">
        <f t="shared" si="22"/>
        <v>0</v>
      </c>
      <c r="AM20" s="39">
        <f t="shared" si="23"/>
        <v>0</v>
      </c>
      <c r="AN20" s="39">
        <f t="shared" si="24"/>
        <v>0</v>
      </c>
      <c r="AO20" s="39">
        <f t="shared" si="25"/>
        <v>0</v>
      </c>
      <c r="AP20" s="39">
        <f t="shared" si="26"/>
        <v>0</v>
      </c>
      <c r="AQ20" s="20">
        <f t="shared" si="27"/>
        <v>0</v>
      </c>
      <c r="AR20" s="39">
        <f t="shared" si="28"/>
        <v>0</v>
      </c>
      <c r="AS20" s="39">
        <f t="shared" si="29"/>
        <v>0</v>
      </c>
      <c r="AT20" s="20">
        <f t="shared" si="30"/>
        <v>0</v>
      </c>
      <c r="AU20" s="28">
        <f t="shared" si="31"/>
        <v>0</v>
      </c>
      <c r="AV20" s="39">
        <f t="shared" si="32"/>
        <v>0</v>
      </c>
      <c r="AW20" s="39">
        <f t="shared" si="33"/>
        <v>0</v>
      </c>
      <c r="AX20" s="579">
        <f t="shared" si="34"/>
        <v>0</v>
      </c>
      <c r="AY20" s="39">
        <f t="shared" si="35"/>
        <v>0</v>
      </c>
      <c r="AZ20" s="39">
        <f t="shared" si="36"/>
        <v>0</v>
      </c>
      <c r="BA20" s="579">
        <f t="shared" si="37"/>
        <v>0</v>
      </c>
      <c r="BB20" s="39">
        <f t="shared" si="38"/>
        <v>0</v>
      </c>
      <c r="BC20" s="39">
        <f t="shared" si="39"/>
        <v>0</v>
      </c>
      <c r="BD20" s="579">
        <f t="shared" si="40"/>
        <v>0</v>
      </c>
      <c r="BE20" s="28">
        <f t="shared" si="41"/>
        <v>0</v>
      </c>
    </row>
    <row r="21" spans="1:57" ht="18" customHeight="1" x14ac:dyDescent="0.2">
      <c r="A21" s="180">
        <v>13</v>
      </c>
      <c r="B21" s="63" t="str">
        <f>dtsiswa!D19</f>
        <v>Misyanita Nurfitri S</v>
      </c>
      <c r="C21" s="11" t="s">
        <v>5</v>
      </c>
      <c r="D21" s="22"/>
      <c r="E21" s="22"/>
      <c r="F21" s="22"/>
      <c r="G21" s="23"/>
      <c r="H21" s="23"/>
      <c r="I21" s="23"/>
      <c r="J21" s="23"/>
      <c r="K21" s="23"/>
      <c r="L21" s="23"/>
      <c r="M21" s="23"/>
      <c r="N21" s="23"/>
      <c r="O21" s="23"/>
      <c r="P21" s="23"/>
      <c r="Q21" s="24"/>
      <c r="R21" s="24"/>
      <c r="S21" s="24"/>
      <c r="T21" s="25"/>
      <c r="U21" s="19">
        <f t="shared" si="5"/>
        <v>0</v>
      </c>
      <c r="V21" s="19">
        <f t="shared" si="6"/>
        <v>0</v>
      </c>
      <c r="W21" s="19">
        <f t="shared" si="7"/>
        <v>0</v>
      </c>
      <c r="X21" s="19">
        <f t="shared" si="8"/>
        <v>0</v>
      </c>
      <c r="Y21" s="19">
        <f t="shared" si="9"/>
        <v>0</v>
      </c>
      <c r="Z21" s="20">
        <f t="shared" si="10"/>
        <v>0</v>
      </c>
      <c r="AA21" s="18">
        <f t="shared" si="11"/>
        <v>0</v>
      </c>
      <c r="AB21" s="18">
        <f t="shared" si="12"/>
        <v>0</v>
      </c>
      <c r="AC21" s="18">
        <f t="shared" si="13"/>
        <v>0</v>
      </c>
      <c r="AD21" s="18">
        <f t="shared" si="14"/>
        <v>0</v>
      </c>
      <c r="AE21" s="20">
        <f t="shared" si="15"/>
        <v>0</v>
      </c>
      <c r="AF21" s="65">
        <f t="shared" si="16"/>
        <v>0</v>
      </c>
      <c r="AG21" s="65">
        <f t="shared" si="17"/>
        <v>0</v>
      </c>
      <c r="AH21" s="65">
        <f t="shared" si="18"/>
        <v>0</v>
      </c>
      <c r="AI21" s="65">
        <f t="shared" si="19"/>
        <v>0</v>
      </c>
      <c r="AJ21" s="65">
        <f t="shared" si="20"/>
        <v>0</v>
      </c>
      <c r="AK21" s="20">
        <f t="shared" si="21"/>
        <v>0</v>
      </c>
      <c r="AL21" s="39">
        <f t="shared" si="22"/>
        <v>0</v>
      </c>
      <c r="AM21" s="39">
        <f t="shared" si="23"/>
        <v>0</v>
      </c>
      <c r="AN21" s="39">
        <f t="shared" si="24"/>
        <v>0</v>
      </c>
      <c r="AO21" s="39">
        <f t="shared" si="25"/>
        <v>0</v>
      </c>
      <c r="AP21" s="39">
        <f t="shared" si="26"/>
        <v>0</v>
      </c>
      <c r="AQ21" s="20">
        <f t="shared" si="27"/>
        <v>0</v>
      </c>
      <c r="AR21" s="39">
        <f t="shared" si="28"/>
        <v>0</v>
      </c>
      <c r="AS21" s="39">
        <f t="shared" si="29"/>
        <v>0</v>
      </c>
      <c r="AT21" s="20">
        <f t="shared" si="30"/>
        <v>0</v>
      </c>
      <c r="AU21" s="28">
        <f t="shared" si="31"/>
        <v>0</v>
      </c>
      <c r="AV21" s="39">
        <f t="shared" si="32"/>
        <v>0</v>
      </c>
      <c r="AW21" s="39">
        <f t="shared" si="33"/>
        <v>0</v>
      </c>
      <c r="AX21" s="579">
        <f t="shared" si="34"/>
        <v>0</v>
      </c>
      <c r="AY21" s="39">
        <f t="shared" si="35"/>
        <v>0</v>
      </c>
      <c r="AZ21" s="39">
        <f t="shared" si="36"/>
        <v>0</v>
      </c>
      <c r="BA21" s="579">
        <f t="shared" si="37"/>
        <v>0</v>
      </c>
      <c r="BB21" s="39">
        <f t="shared" si="38"/>
        <v>0</v>
      </c>
      <c r="BC21" s="39">
        <f t="shared" si="39"/>
        <v>0</v>
      </c>
      <c r="BD21" s="579">
        <f t="shared" si="40"/>
        <v>0</v>
      </c>
      <c r="BE21" s="28">
        <f t="shared" si="41"/>
        <v>0</v>
      </c>
    </row>
    <row r="22" spans="1:57" ht="18" customHeight="1" x14ac:dyDescent="0.2">
      <c r="A22" s="180">
        <v>14</v>
      </c>
      <c r="B22" s="63" t="str">
        <f>dtsiswa!D20</f>
        <v>Moch Zidane Hita L. U</v>
      </c>
      <c r="C22" s="11" t="s">
        <v>4</v>
      </c>
      <c r="D22" s="22"/>
      <c r="E22" s="22"/>
      <c r="F22" s="22"/>
      <c r="G22" s="23"/>
      <c r="H22" s="23"/>
      <c r="I22" s="23"/>
      <c r="J22" s="23"/>
      <c r="K22" s="23"/>
      <c r="L22" s="23"/>
      <c r="M22" s="23"/>
      <c r="N22" s="23"/>
      <c r="O22" s="23"/>
      <c r="P22" s="23"/>
      <c r="Q22" s="24"/>
      <c r="R22" s="24"/>
      <c r="S22" s="24"/>
      <c r="T22" s="25"/>
      <c r="U22" s="19">
        <f t="shared" si="5"/>
        <v>0</v>
      </c>
      <c r="V22" s="19">
        <f t="shared" si="6"/>
        <v>0</v>
      </c>
      <c r="W22" s="19">
        <f t="shared" si="7"/>
        <v>0</v>
      </c>
      <c r="X22" s="19">
        <f t="shared" si="8"/>
        <v>0</v>
      </c>
      <c r="Y22" s="19">
        <f t="shared" si="9"/>
        <v>0</v>
      </c>
      <c r="Z22" s="20">
        <f t="shared" si="10"/>
        <v>0</v>
      </c>
      <c r="AA22" s="18">
        <f t="shared" si="11"/>
        <v>0</v>
      </c>
      <c r="AB22" s="18">
        <f t="shared" si="12"/>
        <v>0</v>
      </c>
      <c r="AC22" s="18">
        <f t="shared" si="13"/>
        <v>0</v>
      </c>
      <c r="AD22" s="18">
        <f t="shared" si="14"/>
        <v>0</v>
      </c>
      <c r="AE22" s="20">
        <f t="shared" si="15"/>
        <v>0</v>
      </c>
      <c r="AF22" s="65">
        <f t="shared" si="16"/>
        <v>0</v>
      </c>
      <c r="AG22" s="65">
        <f t="shared" si="17"/>
        <v>0</v>
      </c>
      <c r="AH22" s="65">
        <f t="shared" si="18"/>
        <v>0</v>
      </c>
      <c r="AI22" s="65">
        <f t="shared" si="19"/>
        <v>0</v>
      </c>
      <c r="AJ22" s="65">
        <f t="shared" si="20"/>
        <v>0</v>
      </c>
      <c r="AK22" s="20">
        <f t="shared" si="21"/>
        <v>0</v>
      </c>
      <c r="AL22" s="39">
        <f t="shared" si="22"/>
        <v>0</v>
      </c>
      <c r="AM22" s="39">
        <f t="shared" si="23"/>
        <v>0</v>
      </c>
      <c r="AN22" s="39">
        <f t="shared" si="24"/>
        <v>0</v>
      </c>
      <c r="AO22" s="39">
        <f t="shared" si="25"/>
        <v>0</v>
      </c>
      <c r="AP22" s="39">
        <f t="shared" si="26"/>
        <v>0</v>
      </c>
      <c r="AQ22" s="20">
        <f t="shared" si="27"/>
        <v>0</v>
      </c>
      <c r="AR22" s="39">
        <f t="shared" si="28"/>
        <v>0</v>
      </c>
      <c r="AS22" s="39">
        <f t="shared" si="29"/>
        <v>0</v>
      </c>
      <c r="AT22" s="20">
        <f t="shared" si="30"/>
        <v>0</v>
      </c>
      <c r="AU22" s="28">
        <f t="shared" si="31"/>
        <v>0</v>
      </c>
      <c r="AV22" s="39">
        <f t="shared" si="32"/>
        <v>0</v>
      </c>
      <c r="AW22" s="39">
        <f t="shared" si="33"/>
        <v>0</v>
      </c>
      <c r="AX22" s="579">
        <f t="shared" si="34"/>
        <v>0</v>
      </c>
      <c r="AY22" s="39">
        <f t="shared" si="35"/>
        <v>0</v>
      </c>
      <c r="AZ22" s="39">
        <f t="shared" si="36"/>
        <v>0</v>
      </c>
      <c r="BA22" s="579">
        <f t="shared" si="37"/>
        <v>0</v>
      </c>
      <c r="BB22" s="39">
        <f t="shared" si="38"/>
        <v>0</v>
      </c>
      <c r="BC22" s="39">
        <f t="shared" si="39"/>
        <v>0</v>
      </c>
      <c r="BD22" s="579">
        <f t="shared" si="40"/>
        <v>0</v>
      </c>
      <c r="BE22" s="28">
        <f t="shared" si="41"/>
        <v>0</v>
      </c>
    </row>
    <row r="23" spans="1:57" ht="18" customHeight="1" x14ac:dyDescent="0.2">
      <c r="A23" s="180">
        <v>15</v>
      </c>
      <c r="B23" s="63" t="str">
        <f>dtsiswa!D21</f>
        <v>Muhammad Ibra Maulana</v>
      </c>
      <c r="C23" s="11" t="s">
        <v>4</v>
      </c>
      <c r="D23" s="22"/>
      <c r="E23" s="22"/>
      <c r="F23" s="22"/>
      <c r="G23" s="23"/>
      <c r="H23" s="23"/>
      <c r="I23" s="23"/>
      <c r="J23" s="23"/>
      <c r="K23" s="23"/>
      <c r="L23" s="23"/>
      <c r="M23" s="23"/>
      <c r="N23" s="23"/>
      <c r="O23" s="23"/>
      <c r="P23" s="23"/>
      <c r="Q23" s="24"/>
      <c r="R23" s="24"/>
      <c r="S23" s="24"/>
      <c r="T23" s="25"/>
      <c r="U23" s="19">
        <f t="shared" si="5"/>
        <v>0</v>
      </c>
      <c r="V23" s="19">
        <f t="shared" si="6"/>
        <v>0</v>
      </c>
      <c r="W23" s="19">
        <f t="shared" si="7"/>
        <v>0</v>
      </c>
      <c r="X23" s="19">
        <f t="shared" si="8"/>
        <v>0</v>
      </c>
      <c r="Y23" s="19">
        <f t="shared" si="9"/>
        <v>0</v>
      </c>
      <c r="Z23" s="20">
        <f t="shared" si="10"/>
        <v>0</v>
      </c>
      <c r="AA23" s="18">
        <f t="shared" si="11"/>
        <v>0</v>
      </c>
      <c r="AB23" s="18">
        <f t="shared" si="12"/>
        <v>0</v>
      </c>
      <c r="AC23" s="18">
        <f t="shared" si="13"/>
        <v>0</v>
      </c>
      <c r="AD23" s="18">
        <f t="shared" si="14"/>
        <v>0</v>
      </c>
      <c r="AE23" s="20">
        <f t="shared" si="15"/>
        <v>0</v>
      </c>
      <c r="AF23" s="65">
        <f t="shared" si="16"/>
        <v>0</v>
      </c>
      <c r="AG23" s="65">
        <f t="shared" si="17"/>
        <v>0</v>
      </c>
      <c r="AH23" s="65">
        <f t="shared" si="18"/>
        <v>0</v>
      </c>
      <c r="AI23" s="65">
        <f t="shared" si="19"/>
        <v>0</v>
      </c>
      <c r="AJ23" s="65">
        <f t="shared" si="20"/>
        <v>0</v>
      </c>
      <c r="AK23" s="20">
        <f t="shared" si="21"/>
        <v>0</v>
      </c>
      <c r="AL23" s="39">
        <f t="shared" si="22"/>
        <v>0</v>
      </c>
      <c r="AM23" s="39">
        <f t="shared" si="23"/>
        <v>0</v>
      </c>
      <c r="AN23" s="39">
        <f t="shared" si="24"/>
        <v>0</v>
      </c>
      <c r="AO23" s="39">
        <f t="shared" si="25"/>
        <v>0</v>
      </c>
      <c r="AP23" s="39">
        <f t="shared" si="26"/>
        <v>0</v>
      </c>
      <c r="AQ23" s="20">
        <f t="shared" si="27"/>
        <v>0</v>
      </c>
      <c r="AR23" s="39">
        <f t="shared" si="28"/>
        <v>0</v>
      </c>
      <c r="AS23" s="39">
        <f t="shared" si="29"/>
        <v>0</v>
      </c>
      <c r="AT23" s="20">
        <f t="shared" si="30"/>
        <v>0</v>
      </c>
      <c r="AU23" s="28">
        <f t="shared" si="31"/>
        <v>0</v>
      </c>
      <c r="AV23" s="39">
        <f t="shared" si="32"/>
        <v>0</v>
      </c>
      <c r="AW23" s="39">
        <f t="shared" si="33"/>
        <v>0</v>
      </c>
      <c r="AX23" s="579">
        <f t="shared" si="34"/>
        <v>0</v>
      </c>
      <c r="AY23" s="39">
        <f t="shared" si="35"/>
        <v>0</v>
      </c>
      <c r="AZ23" s="39">
        <f t="shared" si="36"/>
        <v>0</v>
      </c>
      <c r="BA23" s="579">
        <f t="shared" si="37"/>
        <v>0</v>
      </c>
      <c r="BB23" s="39">
        <f t="shared" si="38"/>
        <v>0</v>
      </c>
      <c r="BC23" s="39">
        <f t="shared" si="39"/>
        <v>0</v>
      </c>
      <c r="BD23" s="579">
        <f t="shared" si="40"/>
        <v>0</v>
      </c>
      <c r="BE23" s="28">
        <f t="shared" si="41"/>
        <v>0</v>
      </c>
    </row>
    <row r="24" spans="1:57" ht="18" customHeight="1" x14ac:dyDescent="0.2">
      <c r="A24" s="180">
        <v>16</v>
      </c>
      <c r="B24" s="63" t="str">
        <f>dtsiswa!D22</f>
        <v>Nabilla Shiva Putri</v>
      </c>
      <c r="C24" s="11" t="s">
        <v>4</v>
      </c>
      <c r="D24" s="22"/>
      <c r="E24" s="22"/>
      <c r="F24" s="22"/>
      <c r="G24" s="23"/>
      <c r="H24" s="23"/>
      <c r="I24" s="23"/>
      <c r="J24" s="23"/>
      <c r="K24" s="23"/>
      <c r="L24" s="23"/>
      <c r="M24" s="23"/>
      <c r="N24" s="23"/>
      <c r="O24" s="23"/>
      <c r="P24" s="23"/>
      <c r="Q24" s="24"/>
      <c r="R24" s="24"/>
      <c r="S24" s="24"/>
      <c r="T24" s="25"/>
      <c r="U24" s="19">
        <f t="shared" si="5"/>
        <v>0</v>
      </c>
      <c r="V24" s="19">
        <f t="shared" si="6"/>
        <v>0</v>
      </c>
      <c r="W24" s="19">
        <f t="shared" si="7"/>
        <v>0</v>
      </c>
      <c r="X24" s="19">
        <f t="shared" si="8"/>
        <v>0</v>
      </c>
      <c r="Y24" s="19">
        <f t="shared" si="9"/>
        <v>0</v>
      </c>
      <c r="Z24" s="20">
        <f t="shared" si="10"/>
        <v>0</v>
      </c>
      <c r="AA24" s="18">
        <f t="shared" si="11"/>
        <v>0</v>
      </c>
      <c r="AB24" s="18">
        <f t="shared" si="12"/>
        <v>0</v>
      </c>
      <c r="AC24" s="18">
        <f t="shared" si="13"/>
        <v>0</v>
      </c>
      <c r="AD24" s="18">
        <f t="shared" si="14"/>
        <v>0</v>
      </c>
      <c r="AE24" s="20">
        <f t="shared" si="15"/>
        <v>0</v>
      </c>
      <c r="AF24" s="65">
        <f t="shared" si="16"/>
        <v>0</v>
      </c>
      <c r="AG24" s="65">
        <f t="shared" si="17"/>
        <v>0</v>
      </c>
      <c r="AH24" s="65">
        <f t="shared" si="18"/>
        <v>0</v>
      </c>
      <c r="AI24" s="65">
        <f t="shared" si="19"/>
        <v>0</v>
      </c>
      <c r="AJ24" s="65">
        <f t="shared" si="20"/>
        <v>0</v>
      </c>
      <c r="AK24" s="20">
        <f t="shared" si="21"/>
        <v>0</v>
      </c>
      <c r="AL24" s="39">
        <f t="shared" si="22"/>
        <v>0</v>
      </c>
      <c r="AM24" s="39">
        <f t="shared" si="23"/>
        <v>0</v>
      </c>
      <c r="AN24" s="39">
        <f t="shared" si="24"/>
        <v>0</v>
      </c>
      <c r="AO24" s="39">
        <f t="shared" si="25"/>
        <v>0</v>
      </c>
      <c r="AP24" s="39">
        <f t="shared" si="26"/>
        <v>0</v>
      </c>
      <c r="AQ24" s="20">
        <f t="shared" si="27"/>
        <v>0</v>
      </c>
      <c r="AR24" s="39">
        <f t="shared" si="28"/>
        <v>0</v>
      </c>
      <c r="AS24" s="39">
        <f t="shared" si="29"/>
        <v>0</v>
      </c>
      <c r="AT24" s="20">
        <f t="shared" si="30"/>
        <v>0</v>
      </c>
      <c r="AU24" s="28">
        <f t="shared" si="31"/>
        <v>0</v>
      </c>
      <c r="AV24" s="39">
        <f t="shared" si="32"/>
        <v>0</v>
      </c>
      <c r="AW24" s="39">
        <f t="shared" si="33"/>
        <v>0</v>
      </c>
      <c r="AX24" s="579">
        <f t="shared" si="34"/>
        <v>0</v>
      </c>
      <c r="AY24" s="39">
        <f t="shared" si="35"/>
        <v>0</v>
      </c>
      <c r="AZ24" s="39">
        <f t="shared" si="36"/>
        <v>0</v>
      </c>
      <c r="BA24" s="579">
        <f t="shared" si="37"/>
        <v>0</v>
      </c>
      <c r="BB24" s="39">
        <f t="shared" si="38"/>
        <v>0</v>
      </c>
      <c r="BC24" s="39">
        <f t="shared" si="39"/>
        <v>0</v>
      </c>
      <c r="BD24" s="579">
        <f t="shared" si="40"/>
        <v>0</v>
      </c>
      <c r="BE24" s="28">
        <f t="shared" si="41"/>
        <v>0</v>
      </c>
    </row>
    <row r="25" spans="1:57" ht="18" customHeight="1" x14ac:dyDescent="0.2">
      <c r="A25" s="180">
        <v>17</v>
      </c>
      <c r="B25" s="63" t="str">
        <f>dtsiswa!D23</f>
        <v>Naufal Falih F</v>
      </c>
      <c r="C25" s="11" t="s">
        <v>5</v>
      </c>
      <c r="D25" s="22"/>
      <c r="E25" s="22"/>
      <c r="F25" s="22"/>
      <c r="G25" s="23"/>
      <c r="H25" s="23"/>
      <c r="I25" s="23"/>
      <c r="J25" s="23"/>
      <c r="K25" s="23"/>
      <c r="L25" s="23"/>
      <c r="M25" s="23"/>
      <c r="N25" s="23"/>
      <c r="O25" s="23"/>
      <c r="P25" s="23"/>
      <c r="Q25" s="24"/>
      <c r="R25" s="24"/>
      <c r="S25" s="24"/>
      <c r="T25" s="25"/>
      <c r="U25" s="19">
        <f t="shared" si="5"/>
        <v>0</v>
      </c>
      <c r="V25" s="19">
        <f t="shared" si="6"/>
        <v>0</v>
      </c>
      <c r="W25" s="19">
        <f t="shared" si="7"/>
        <v>0</v>
      </c>
      <c r="X25" s="19">
        <f t="shared" si="8"/>
        <v>0</v>
      </c>
      <c r="Y25" s="19">
        <f t="shared" si="9"/>
        <v>0</v>
      </c>
      <c r="Z25" s="20">
        <f t="shared" si="10"/>
        <v>0</v>
      </c>
      <c r="AA25" s="18">
        <f t="shared" si="11"/>
        <v>0</v>
      </c>
      <c r="AB25" s="18">
        <f t="shared" si="12"/>
        <v>0</v>
      </c>
      <c r="AC25" s="18">
        <f t="shared" si="13"/>
        <v>0</v>
      </c>
      <c r="AD25" s="18">
        <f t="shared" si="14"/>
        <v>0</v>
      </c>
      <c r="AE25" s="20">
        <f t="shared" si="15"/>
        <v>0</v>
      </c>
      <c r="AF25" s="65">
        <f t="shared" si="16"/>
        <v>0</v>
      </c>
      <c r="AG25" s="65">
        <f t="shared" si="17"/>
        <v>0</v>
      </c>
      <c r="AH25" s="65">
        <f t="shared" si="18"/>
        <v>0</v>
      </c>
      <c r="AI25" s="65">
        <f t="shared" si="19"/>
        <v>0</v>
      </c>
      <c r="AJ25" s="65">
        <f t="shared" si="20"/>
        <v>0</v>
      </c>
      <c r="AK25" s="20">
        <f t="shared" si="21"/>
        <v>0</v>
      </c>
      <c r="AL25" s="39">
        <f t="shared" si="22"/>
        <v>0</v>
      </c>
      <c r="AM25" s="39">
        <f t="shared" si="23"/>
        <v>0</v>
      </c>
      <c r="AN25" s="39">
        <f t="shared" si="24"/>
        <v>0</v>
      </c>
      <c r="AO25" s="39">
        <f t="shared" si="25"/>
        <v>0</v>
      </c>
      <c r="AP25" s="39">
        <f t="shared" si="26"/>
        <v>0</v>
      </c>
      <c r="AQ25" s="20">
        <f t="shared" si="27"/>
        <v>0</v>
      </c>
      <c r="AR25" s="39">
        <f t="shared" si="28"/>
        <v>0</v>
      </c>
      <c r="AS25" s="39">
        <f t="shared" si="29"/>
        <v>0</v>
      </c>
      <c r="AT25" s="20">
        <f t="shared" si="30"/>
        <v>0</v>
      </c>
      <c r="AU25" s="28">
        <f t="shared" si="31"/>
        <v>0</v>
      </c>
      <c r="AV25" s="39">
        <f t="shared" si="32"/>
        <v>0</v>
      </c>
      <c r="AW25" s="39">
        <f t="shared" si="33"/>
        <v>0</v>
      </c>
      <c r="AX25" s="579">
        <f t="shared" si="34"/>
        <v>0</v>
      </c>
      <c r="AY25" s="39">
        <f t="shared" si="35"/>
        <v>0</v>
      </c>
      <c r="AZ25" s="39">
        <f t="shared" si="36"/>
        <v>0</v>
      </c>
      <c r="BA25" s="579">
        <f t="shared" si="37"/>
        <v>0</v>
      </c>
      <c r="BB25" s="39">
        <f t="shared" si="38"/>
        <v>0</v>
      </c>
      <c r="BC25" s="39">
        <f t="shared" si="39"/>
        <v>0</v>
      </c>
      <c r="BD25" s="579">
        <f t="shared" si="40"/>
        <v>0</v>
      </c>
      <c r="BE25" s="28">
        <f t="shared" si="41"/>
        <v>0</v>
      </c>
    </row>
    <row r="26" spans="1:57" ht="18" customHeight="1" x14ac:dyDescent="0.2">
      <c r="A26" s="180">
        <v>18</v>
      </c>
      <c r="B26" s="63" t="str">
        <f>dtsiswa!D24</f>
        <v>Nayla Annora Nobel W</v>
      </c>
      <c r="C26" s="11" t="s">
        <v>4</v>
      </c>
      <c r="D26" s="22"/>
      <c r="E26" s="22"/>
      <c r="F26" s="22"/>
      <c r="G26" s="23"/>
      <c r="H26" s="23"/>
      <c r="I26" s="23"/>
      <c r="J26" s="23"/>
      <c r="K26" s="23"/>
      <c r="L26" s="23"/>
      <c r="M26" s="23"/>
      <c r="N26" s="23"/>
      <c r="O26" s="23"/>
      <c r="P26" s="23"/>
      <c r="Q26" s="24"/>
      <c r="R26" s="24"/>
      <c r="S26" s="24"/>
      <c r="T26" s="25"/>
      <c r="U26" s="19">
        <f t="shared" si="5"/>
        <v>0</v>
      </c>
      <c r="V26" s="19">
        <f t="shared" si="6"/>
        <v>0</v>
      </c>
      <c r="W26" s="19">
        <f t="shared" si="7"/>
        <v>0</v>
      </c>
      <c r="X26" s="19">
        <f t="shared" si="8"/>
        <v>0</v>
      </c>
      <c r="Y26" s="19">
        <f t="shared" si="9"/>
        <v>0</v>
      </c>
      <c r="Z26" s="20">
        <f t="shared" si="10"/>
        <v>0</v>
      </c>
      <c r="AA26" s="18">
        <f t="shared" si="11"/>
        <v>0</v>
      </c>
      <c r="AB26" s="18">
        <f t="shared" si="12"/>
        <v>0</v>
      </c>
      <c r="AC26" s="18">
        <f t="shared" si="13"/>
        <v>0</v>
      </c>
      <c r="AD26" s="18">
        <f t="shared" si="14"/>
        <v>0</v>
      </c>
      <c r="AE26" s="20">
        <f t="shared" si="15"/>
        <v>0</v>
      </c>
      <c r="AF26" s="65">
        <f t="shared" si="16"/>
        <v>0</v>
      </c>
      <c r="AG26" s="65">
        <f t="shared" si="17"/>
        <v>0</v>
      </c>
      <c r="AH26" s="65">
        <f t="shared" si="18"/>
        <v>0</v>
      </c>
      <c r="AI26" s="65">
        <f t="shared" si="19"/>
        <v>0</v>
      </c>
      <c r="AJ26" s="65">
        <f t="shared" si="20"/>
        <v>0</v>
      </c>
      <c r="AK26" s="20">
        <f t="shared" si="21"/>
        <v>0</v>
      </c>
      <c r="AL26" s="39">
        <f t="shared" si="22"/>
        <v>0</v>
      </c>
      <c r="AM26" s="39">
        <f t="shared" si="23"/>
        <v>0</v>
      </c>
      <c r="AN26" s="39">
        <f t="shared" si="24"/>
        <v>0</v>
      </c>
      <c r="AO26" s="39">
        <f t="shared" si="25"/>
        <v>0</v>
      </c>
      <c r="AP26" s="39">
        <f t="shared" si="26"/>
        <v>0</v>
      </c>
      <c r="AQ26" s="20">
        <f t="shared" si="27"/>
        <v>0</v>
      </c>
      <c r="AR26" s="39">
        <f t="shared" si="28"/>
        <v>0</v>
      </c>
      <c r="AS26" s="39">
        <f t="shared" si="29"/>
        <v>0</v>
      </c>
      <c r="AT26" s="20">
        <f t="shared" si="30"/>
        <v>0</v>
      </c>
      <c r="AU26" s="28">
        <f t="shared" si="31"/>
        <v>0</v>
      </c>
      <c r="AV26" s="39">
        <f t="shared" si="32"/>
        <v>0</v>
      </c>
      <c r="AW26" s="39">
        <f t="shared" si="33"/>
        <v>0</v>
      </c>
      <c r="AX26" s="579">
        <f t="shared" si="34"/>
        <v>0</v>
      </c>
      <c r="AY26" s="39">
        <f t="shared" si="35"/>
        <v>0</v>
      </c>
      <c r="AZ26" s="39">
        <f t="shared" si="36"/>
        <v>0</v>
      </c>
      <c r="BA26" s="579">
        <f t="shared" si="37"/>
        <v>0</v>
      </c>
      <c r="BB26" s="39">
        <f t="shared" si="38"/>
        <v>0</v>
      </c>
      <c r="BC26" s="39">
        <f t="shared" si="39"/>
        <v>0</v>
      </c>
      <c r="BD26" s="579">
        <f t="shared" si="40"/>
        <v>0</v>
      </c>
      <c r="BE26" s="28">
        <f t="shared" si="41"/>
        <v>0</v>
      </c>
    </row>
    <row r="27" spans="1:57" ht="18" customHeight="1" x14ac:dyDescent="0.2">
      <c r="A27" s="180">
        <v>19</v>
      </c>
      <c r="B27" s="63" t="str">
        <f>dtsiswa!D25</f>
        <v>Raihan Danang P</v>
      </c>
      <c r="C27" s="11" t="s">
        <v>5</v>
      </c>
      <c r="D27" s="22"/>
      <c r="E27" s="22"/>
      <c r="F27" s="22"/>
      <c r="G27" s="23"/>
      <c r="H27" s="23"/>
      <c r="I27" s="23"/>
      <c r="J27" s="23"/>
      <c r="K27" s="23"/>
      <c r="L27" s="23"/>
      <c r="M27" s="23"/>
      <c r="N27" s="23"/>
      <c r="O27" s="23"/>
      <c r="P27" s="23"/>
      <c r="Q27" s="24"/>
      <c r="R27" s="24"/>
      <c r="S27" s="24"/>
      <c r="T27" s="25"/>
      <c r="U27" s="19">
        <f t="shared" si="5"/>
        <v>0</v>
      </c>
      <c r="V27" s="19">
        <f t="shared" si="6"/>
        <v>0</v>
      </c>
      <c r="W27" s="19">
        <f t="shared" si="7"/>
        <v>0</v>
      </c>
      <c r="X27" s="19">
        <f t="shared" si="8"/>
        <v>0</v>
      </c>
      <c r="Y27" s="19">
        <f t="shared" si="9"/>
        <v>0</v>
      </c>
      <c r="Z27" s="20">
        <f t="shared" si="10"/>
        <v>0</v>
      </c>
      <c r="AA27" s="18">
        <f t="shared" si="11"/>
        <v>0</v>
      </c>
      <c r="AB27" s="18">
        <f t="shared" si="12"/>
        <v>0</v>
      </c>
      <c r="AC27" s="18">
        <f t="shared" si="13"/>
        <v>0</v>
      </c>
      <c r="AD27" s="18">
        <f t="shared" si="14"/>
        <v>0</v>
      </c>
      <c r="AE27" s="20">
        <f t="shared" si="15"/>
        <v>0</v>
      </c>
      <c r="AF27" s="65">
        <f t="shared" si="16"/>
        <v>0</v>
      </c>
      <c r="AG27" s="65">
        <f t="shared" si="17"/>
        <v>0</v>
      </c>
      <c r="AH27" s="65">
        <f t="shared" si="18"/>
        <v>0</v>
      </c>
      <c r="AI27" s="65">
        <f t="shared" si="19"/>
        <v>0</v>
      </c>
      <c r="AJ27" s="65">
        <f t="shared" si="20"/>
        <v>0</v>
      </c>
      <c r="AK27" s="20">
        <f t="shared" si="21"/>
        <v>0</v>
      </c>
      <c r="AL27" s="39">
        <f t="shared" si="22"/>
        <v>0</v>
      </c>
      <c r="AM27" s="39">
        <f t="shared" si="23"/>
        <v>0</v>
      </c>
      <c r="AN27" s="39">
        <f t="shared" si="24"/>
        <v>0</v>
      </c>
      <c r="AO27" s="39">
        <f t="shared" si="25"/>
        <v>0</v>
      </c>
      <c r="AP27" s="39">
        <f t="shared" si="26"/>
        <v>0</v>
      </c>
      <c r="AQ27" s="20">
        <f t="shared" si="27"/>
        <v>0</v>
      </c>
      <c r="AR27" s="39">
        <f t="shared" si="28"/>
        <v>0</v>
      </c>
      <c r="AS27" s="39">
        <f t="shared" si="29"/>
        <v>0</v>
      </c>
      <c r="AT27" s="20">
        <f t="shared" si="30"/>
        <v>0</v>
      </c>
      <c r="AU27" s="28">
        <f t="shared" si="31"/>
        <v>0</v>
      </c>
      <c r="AV27" s="39">
        <f t="shared" si="32"/>
        <v>0</v>
      </c>
      <c r="AW27" s="39">
        <f t="shared" si="33"/>
        <v>0</v>
      </c>
      <c r="AX27" s="579">
        <f t="shared" si="34"/>
        <v>0</v>
      </c>
      <c r="AY27" s="39">
        <f t="shared" si="35"/>
        <v>0</v>
      </c>
      <c r="AZ27" s="39">
        <f t="shared" si="36"/>
        <v>0</v>
      </c>
      <c r="BA27" s="579">
        <f t="shared" si="37"/>
        <v>0</v>
      </c>
      <c r="BB27" s="39">
        <f t="shared" si="38"/>
        <v>0</v>
      </c>
      <c r="BC27" s="39">
        <f t="shared" si="39"/>
        <v>0</v>
      </c>
      <c r="BD27" s="579">
        <f t="shared" si="40"/>
        <v>0</v>
      </c>
      <c r="BE27" s="28">
        <f t="shared" si="41"/>
        <v>0</v>
      </c>
    </row>
    <row r="28" spans="1:57" ht="18" customHeight="1" x14ac:dyDescent="0.2">
      <c r="A28" s="180">
        <v>20</v>
      </c>
      <c r="B28" s="63" t="str">
        <f>dtsiswa!D26</f>
        <v>Roby Ardiyansyah</v>
      </c>
      <c r="C28" s="11" t="s">
        <v>5</v>
      </c>
      <c r="D28" s="22"/>
      <c r="E28" s="22"/>
      <c r="F28" s="22"/>
      <c r="G28" s="23"/>
      <c r="H28" s="23"/>
      <c r="I28" s="23"/>
      <c r="J28" s="23"/>
      <c r="K28" s="23"/>
      <c r="L28" s="23"/>
      <c r="M28" s="23"/>
      <c r="N28" s="23"/>
      <c r="O28" s="23"/>
      <c r="P28" s="23"/>
      <c r="Q28" s="24"/>
      <c r="R28" s="24"/>
      <c r="S28" s="24"/>
      <c r="T28" s="25"/>
      <c r="U28" s="19">
        <f t="shared" si="5"/>
        <v>0</v>
      </c>
      <c r="V28" s="19">
        <f t="shared" si="6"/>
        <v>0</v>
      </c>
      <c r="W28" s="19">
        <f t="shared" si="7"/>
        <v>0</v>
      </c>
      <c r="X28" s="19">
        <f t="shared" si="8"/>
        <v>0</v>
      </c>
      <c r="Y28" s="19">
        <f t="shared" si="9"/>
        <v>0</v>
      </c>
      <c r="Z28" s="20">
        <f t="shared" si="10"/>
        <v>0</v>
      </c>
      <c r="AA28" s="18">
        <f t="shared" si="11"/>
        <v>0</v>
      </c>
      <c r="AB28" s="18">
        <f t="shared" si="12"/>
        <v>0</v>
      </c>
      <c r="AC28" s="18">
        <f t="shared" si="13"/>
        <v>0</v>
      </c>
      <c r="AD28" s="18">
        <f t="shared" si="14"/>
        <v>0</v>
      </c>
      <c r="AE28" s="20">
        <f t="shared" si="15"/>
        <v>0</v>
      </c>
      <c r="AF28" s="65">
        <f t="shared" si="16"/>
        <v>0</v>
      </c>
      <c r="AG28" s="65">
        <f t="shared" si="17"/>
        <v>0</v>
      </c>
      <c r="AH28" s="65">
        <f t="shared" si="18"/>
        <v>0</v>
      </c>
      <c r="AI28" s="65">
        <f t="shared" si="19"/>
        <v>0</v>
      </c>
      <c r="AJ28" s="65">
        <f t="shared" si="20"/>
        <v>0</v>
      </c>
      <c r="AK28" s="20">
        <f t="shared" si="21"/>
        <v>0</v>
      </c>
      <c r="AL28" s="39">
        <f t="shared" si="22"/>
        <v>0</v>
      </c>
      <c r="AM28" s="39">
        <f t="shared" si="23"/>
        <v>0</v>
      </c>
      <c r="AN28" s="39">
        <f t="shared" si="24"/>
        <v>0</v>
      </c>
      <c r="AO28" s="39">
        <f t="shared" si="25"/>
        <v>0</v>
      </c>
      <c r="AP28" s="39">
        <f t="shared" si="26"/>
        <v>0</v>
      </c>
      <c r="AQ28" s="20">
        <f t="shared" si="27"/>
        <v>0</v>
      </c>
      <c r="AR28" s="39">
        <f t="shared" si="28"/>
        <v>0</v>
      </c>
      <c r="AS28" s="39">
        <f t="shared" si="29"/>
        <v>0</v>
      </c>
      <c r="AT28" s="20">
        <f t="shared" si="30"/>
        <v>0</v>
      </c>
      <c r="AU28" s="28">
        <f t="shared" si="31"/>
        <v>0</v>
      </c>
      <c r="AV28" s="39">
        <f t="shared" si="32"/>
        <v>0</v>
      </c>
      <c r="AW28" s="39">
        <f t="shared" si="33"/>
        <v>0</v>
      </c>
      <c r="AX28" s="579">
        <f t="shared" si="34"/>
        <v>0</v>
      </c>
      <c r="AY28" s="39">
        <f t="shared" si="35"/>
        <v>0</v>
      </c>
      <c r="AZ28" s="39">
        <f t="shared" si="36"/>
        <v>0</v>
      </c>
      <c r="BA28" s="579">
        <f t="shared" si="37"/>
        <v>0</v>
      </c>
      <c r="BB28" s="39">
        <f t="shared" si="38"/>
        <v>0</v>
      </c>
      <c r="BC28" s="39">
        <f t="shared" si="39"/>
        <v>0</v>
      </c>
      <c r="BD28" s="579">
        <f t="shared" si="40"/>
        <v>0</v>
      </c>
      <c r="BE28" s="28">
        <f t="shared" si="41"/>
        <v>0</v>
      </c>
    </row>
    <row r="29" spans="1:57" ht="18" customHeight="1" x14ac:dyDescent="0.2">
      <c r="A29" s="180">
        <v>21</v>
      </c>
      <c r="B29" s="63" t="str">
        <f>dtsiswa!D27</f>
        <v>Rojalingga Prana A</v>
      </c>
      <c r="C29" s="13" t="s">
        <v>4</v>
      </c>
      <c r="D29" s="22"/>
      <c r="E29" s="22"/>
      <c r="F29" s="22"/>
      <c r="G29" s="23"/>
      <c r="H29" s="23"/>
      <c r="I29" s="23"/>
      <c r="J29" s="23"/>
      <c r="K29" s="23"/>
      <c r="L29" s="23"/>
      <c r="M29" s="23"/>
      <c r="N29" s="23"/>
      <c r="O29" s="23"/>
      <c r="P29" s="23"/>
      <c r="Q29" s="24"/>
      <c r="R29" s="24"/>
      <c r="S29" s="24"/>
      <c r="T29" s="25"/>
      <c r="U29" s="19">
        <f t="shared" si="5"/>
        <v>0</v>
      </c>
      <c r="V29" s="19">
        <f t="shared" si="6"/>
        <v>0</v>
      </c>
      <c r="W29" s="19">
        <f t="shared" si="7"/>
        <v>0</v>
      </c>
      <c r="X29" s="19">
        <f t="shared" si="8"/>
        <v>0</v>
      </c>
      <c r="Y29" s="19">
        <f t="shared" si="9"/>
        <v>0</v>
      </c>
      <c r="Z29" s="20">
        <f t="shared" si="10"/>
        <v>0</v>
      </c>
      <c r="AA29" s="18">
        <f t="shared" si="11"/>
        <v>0</v>
      </c>
      <c r="AB29" s="18">
        <f t="shared" si="12"/>
        <v>0</v>
      </c>
      <c r="AC29" s="18">
        <f t="shared" si="13"/>
        <v>0</v>
      </c>
      <c r="AD29" s="18">
        <f t="shared" si="14"/>
        <v>0</v>
      </c>
      <c r="AE29" s="20">
        <f t="shared" si="15"/>
        <v>0</v>
      </c>
      <c r="AF29" s="65">
        <f t="shared" si="16"/>
        <v>0</v>
      </c>
      <c r="AG29" s="65">
        <f t="shared" si="17"/>
        <v>0</v>
      </c>
      <c r="AH29" s="65">
        <f t="shared" si="18"/>
        <v>0</v>
      </c>
      <c r="AI29" s="65">
        <f t="shared" si="19"/>
        <v>0</v>
      </c>
      <c r="AJ29" s="65">
        <f t="shared" si="20"/>
        <v>0</v>
      </c>
      <c r="AK29" s="20">
        <f t="shared" si="21"/>
        <v>0</v>
      </c>
      <c r="AL29" s="39">
        <f t="shared" si="22"/>
        <v>0</v>
      </c>
      <c r="AM29" s="39">
        <f t="shared" si="23"/>
        <v>0</v>
      </c>
      <c r="AN29" s="39">
        <f t="shared" si="24"/>
        <v>0</v>
      </c>
      <c r="AO29" s="39">
        <f t="shared" si="25"/>
        <v>0</v>
      </c>
      <c r="AP29" s="39">
        <f t="shared" si="26"/>
        <v>0</v>
      </c>
      <c r="AQ29" s="20">
        <f t="shared" si="27"/>
        <v>0</v>
      </c>
      <c r="AR29" s="39">
        <f t="shared" si="28"/>
        <v>0</v>
      </c>
      <c r="AS29" s="39">
        <f t="shared" si="29"/>
        <v>0</v>
      </c>
      <c r="AT29" s="20">
        <f t="shared" si="30"/>
        <v>0</v>
      </c>
      <c r="AU29" s="28">
        <f t="shared" si="31"/>
        <v>0</v>
      </c>
      <c r="AV29" s="39">
        <f t="shared" si="32"/>
        <v>0</v>
      </c>
      <c r="AW29" s="39">
        <f t="shared" si="33"/>
        <v>0</v>
      </c>
      <c r="AX29" s="579">
        <f t="shared" si="34"/>
        <v>0</v>
      </c>
      <c r="AY29" s="39">
        <f t="shared" si="35"/>
        <v>0</v>
      </c>
      <c r="AZ29" s="39">
        <f t="shared" si="36"/>
        <v>0</v>
      </c>
      <c r="BA29" s="579">
        <f t="shared" si="37"/>
        <v>0</v>
      </c>
      <c r="BB29" s="39">
        <f t="shared" si="38"/>
        <v>0</v>
      </c>
      <c r="BC29" s="39">
        <f t="shared" si="39"/>
        <v>0</v>
      </c>
      <c r="BD29" s="579">
        <f t="shared" si="40"/>
        <v>0</v>
      </c>
      <c r="BE29" s="28">
        <f t="shared" si="41"/>
        <v>0</v>
      </c>
    </row>
    <row r="30" spans="1:57" ht="18" customHeight="1" x14ac:dyDescent="0.25">
      <c r="A30" s="574">
        <v>22</v>
      </c>
      <c r="B30" s="63" t="str">
        <f>dtsiswa!D28</f>
        <v>Sally Savista A</v>
      </c>
      <c r="C30" s="3"/>
      <c r="D30" s="14"/>
      <c r="E30" s="14"/>
      <c r="F30" s="14"/>
      <c r="G30" s="17"/>
      <c r="H30" s="17"/>
      <c r="I30" s="1054"/>
      <c r="J30" s="17"/>
      <c r="K30" s="17"/>
      <c r="L30" s="17"/>
      <c r="M30" s="867"/>
      <c r="N30" s="867"/>
      <c r="O30" s="16"/>
      <c r="P30" s="17"/>
      <c r="Q30" s="17"/>
      <c r="R30" s="17"/>
      <c r="S30" s="17"/>
      <c r="T30" s="15"/>
      <c r="U30" s="19">
        <f t="shared" si="5"/>
        <v>0</v>
      </c>
      <c r="V30" s="19">
        <f t="shared" si="6"/>
        <v>0</v>
      </c>
      <c r="W30" s="19">
        <f t="shared" si="7"/>
        <v>0</v>
      </c>
      <c r="X30" s="19">
        <f t="shared" si="8"/>
        <v>0</v>
      </c>
      <c r="Y30" s="19">
        <f t="shared" si="9"/>
        <v>0</v>
      </c>
      <c r="Z30" s="20">
        <f t="shared" si="10"/>
        <v>0</v>
      </c>
      <c r="AA30" s="18">
        <f t="shared" si="11"/>
        <v>0</v>
      </c>
      <c r="AB30" s="18">
        <f t="shared" si="12"/>
        <v>0</v>
      </c>
      <c r="AC30" s="18">
        <f t="shared" si="13"/>
        <v>0</v>
      </c>
      <c r="AD30" s="18">
        <f t="shared" si="14"/>
        <v>0</v>
      </c>
      <c r="AE30" s="20">
        <f t="shared" si="15"/>
        <v>0</v>
      </c>
      <c r="AF30" s="65">
        <f t="shared" si="16"/>
        <v>0</v>
      </c>
      <c r="AG30" s="65">
        <f t="shared" si="17"/>
        <v>0</v>
      </c>
      <c r="AH30" s="65">
        <f t="shared" si="18"/>
        <v>0</v>
      </c>
      <c r="AI30" s="65">
        <f t="shared" si="19"/>
        <v>0</v>
      </c>
      <c r="AJ30" s="65">
        <f t="shared" si="20"/>
        <v>0</v>
      </c>
      <c r="AK30" s="20">
        <f t="shared" si="21"/>
        <v>0</v>
      </c>
      <c r="AL30" s="39">
        <f t="shared" si="22"/>
        <v>0</v>
      </c>
      <c r="AM30" s="39">
        <f t="shared" si="23"/>
        <v>0</v>
      </c>
      <c r="AN30" s="39">
        <f t="shared" si="24"/>
        <v>0</v>
      </c>
      <c r="AO30" s="39">
        <f t="shared" si="25"/>
        <v>0</v>
      </c>
      <c r="AP30" s="39">
        <f t="shared" si="26"/>
        <v>0</v>
      </c>
      <c r="AQ30" s="20">
        <f t="shared" si="27"/>
        <v>0</v>
      </c>
      <c r="AR30" s="39">
        <f t="shared" si="28"/>
        <v>0</v>
      </c>
      <c r="AS30" s="39">
        <f t="shared" si="29"/>
        <v>0</v>
      </c>
      <c r="AT30" s="20">
        <f t="shared" si="30"/>
        <v>0</v>
      </c>
      <c r="AU30" s="28">
        <f t="shared" si="31"/>
        <v>0</v>
      </c>
      <c r="AV30" s="39">
        <f t="shared" si="32"/>
        <v>0</v>
      </c>
      <c r="AW30" s="39">
        <f t="shared" si="33"/>
        <v>0</v>
      </c>
      <c r="AX30" s="579">
        <f t="shared" si="34"/>
        <v>0</v>
      </c>
      <c r="AY30" s="39">
        <f t="shared" si="35"/>
        <v>0</v>
      </c>
      <c r="AZ30" s="39">
        <f t="shared" si="36"/>
        <v>0</v>
      </c>
      <c r="BA30" s="579">
        <f t="shared" si="37"/>
        <v>0</v>
      </c>
      <c r="BB30" s="39">
        <f t="shared" si="38"/>
        <v>0</v>
      </c>
      <c r="BC30" s="39">
        <f t="shared" si="39"/>
        <v>0</v>
      </c>
      <c r="BD30" s="579">
        <f t="shared" si="40"/>
        <v>0</v>
      </c>
      <c r="BE30" s="28">
        <f t="shared" si="41"/>
        <v>0</v>
      </c>
    </row>
    <row r="31" spans="1:57" ht="18" customHeight="1" x14ac:dyDescent="0.25">
      <c r="A31" s="574">
        <v>23</v>
      </c>
      <c r="B31" s="63" t="str">
        <f>dtsiswa!D29</f>
        <v xml:space="preserve">Tania Kaori Angelita </v>
      </c>
      <c r="C31" s="3"/>
      <c r="D31" s="14"/>
      <c r="E31" s="14"/>
      <c r="F31" s="14"/>
      <c r="G31" s="17"/>
      <c r="H31" s="17"/>
      <c r="I31" s="1054"/>
      <c r="J31" s="17"/>
      <c r="K31" s="17"/>
      <c r="L31" s="17"/>
      <c r="M31" s="867"/>
      <c r="N31" s="867"/>
      <c r="O31" s="16"/>
      <c r="P31" s="17"/>
      <c r="Q31" s="17"/>
      <c r="R31" s="17"/>
      <c r="S31" s="17"/>
      <c r="T31" s="15"/>
      <c r="U31" s="19">
        <f t="shared" si="5"/>
        <v>0</v>
      </c>
      <c r="V31" s="19">
        <f t="shared" si="6"/>
        <v>0</v>
      </c>
      <c r="W31" s="19">
        <f t="shared" si="7"/>
        <v>0</v>
      </c>
      <c r="X31" s="19">
        <f t="shared" si="8"/>
        <v>0</v>
      </c>
      <c r="Y31" s="19">
        <f t="shared" si="9"/>
        <v>0</v>
      </c>
      <c r="Z31" s="20">
        <f t="shared" si="10"/>
        <v>0</v>
      </c>
      <c r="AA31" s="18">
        <f t="shared" si="11"/>
        <v>0</v>
      </c>
      <c r="AB31" s="18">
        <f t="shared" si="12"/>
        <v>0</v>
      </c>
      <c r="AC31" s="18">
        <f t="shared" si="13"/>
        <v>0</v>
      </c>
      <c r="AD31" s="18">
        <f t="shared" si="14"/>
        <v>0</v>
      </c>
      <c r="AE31" s="20">
        <f t="shared" si="15"/>
        <v>0</v>
      </c>
      <c r="AF31" s="65">
        <f t="shared" si="16"/>
        <v>0</v>
      </c>
      <c r="AG31" s="65">
        <f t="shared" si="17"/>
        <v>0</v>
      </c>
      <c r="AH31" s="65">
        <f t="shared" si="18"/>
        <v>0</v>
      </c>
      <c r="AI31" s="65">
        <f t="shared" si="19"/>
        <v>0</v>
      </c>
      <c r="AJ31" s="65">
        <f t="shared" si="20"/>
        <v>0</v>
      </c>
      <c r="AK31" s="20">
        <f t="shared" si="21"/>
        <v>0</v>
      </c>
      <c r="AL31" s="39">
        <f t="shared" si="22"/>
        <v>0</v>
      </c>
      <c r="AM31" s="39">
        <f t="shared" si="23"/>
        <v>0</v>
      </c>
      <c r="AN31" s="39">
        <f t="shared" si="24"/>
        <v>0</v>
      </c>
      <c r="AO31" s="39">
        <f t="shared" si="25"/>
        <v>0</v>
      </c>
      <c r="AP31" s="39">
        <f t="shared" si="26"/>
        <v>0</v>
      </c>
      <c r="AQ31" s="20">
        <f t="shared" si="27"/>
        <v>0</v>
      </c>
      <c r="AR31" s="39">
        <f t="shared" si="28"/>
        <v>0</v>
      </c>
      <c r="AS31" s="39">
        <f t="shared" si="29"/>
        <v>0</v>
      </c>
      <c r="AT31" s="20">
        <f t="shared" si="30"/>
        <v>0</v>
      </c>
      <c r="AU31" s="28">
        <f t="shared" si="31"/>
        <v>0</v>
      </c>
      <c r="AV31" s="39">
        <f t="shared" si="32"/>
        <v>0</v>
      </c>
      <c r="AW31" s="39">
        <f t="shared" si="33"/>
        <v>0</v>
      </c>
      <c r="AX31" s="579">
        <f t="shared" si="34"/>
        <v>0</v>
      </c>
      <c r="AY31" s="39">
        <f t="shared" si="35"/>
        <v>0</v>
      </c>
      <c r="AZ31" s="39">
        <f t="shared" si="36"/>
        <v>0</v>
      </c>
      <c r="BA31" s="579">
        <f t="shared" si="37"/>
        <v>0</v>
      </c>
      <c r="BB31" s="39">
        <f t="shared" si="38"/>
        <v>0</v>
      </c>
      <c r="BC31" s="39">
        <f t="shared" si="39"/>
        <v>0</v>
      </c>
      <c r="BD31" s="579">
        <f t="shared" si="40"/>
        <v>0</v>
      </c>
      <c r="BE31" s="28">
        <f t="shared" si="41"/>
        <v>0</v>
      </c>
    </row>
    <row r="32" spans="1:57" ht="18" customHeight="1" x14ac:dyDescent="0.25">
      <c r="A32" s="574">
        <v>24</v>
      </c>
      <c r="B32" s="63" t="str">
        <f>dtsiswa!D30</f>
        <v>Romzy Oka Ramadhani P</v>
      </c>
      <c r="C32" s="3"/>
      <c r="D32" s="14"/>
      <c r="E32" s="14"/>
      <c r="F32" s="14"/>
      <c r="G32" s="17"/>
      <c r="H32" s="17"/>
      <c r="I32" s="1054"/>
      <c r="J32" s="17"/>
      <c r="K32" s="17"/>
      <c r="L32" s="17"/>
      <c r="M32" s="867"/>
      <c r="N32" s="867"/>
      <c r="O32" s="16"/>
      <c r="P32" s="17"/>
      <c r="Q32" s="17"/>
      <c r="R32" s="17"/>
      <c r="S32" s="17"/>
      <c r="T32" s="15"/>
      <c r="U32" s="19">
        <f t="shared" si="5"/>
        <v>0</v>
      </c>
      <c r="V32" s="19">
        <f t="shared" si="6"/>
        <v>0</v>
      </c>
      <c r="W32" s="19">
        <f t="shared" si="7"/>
        <v>0</v>
      </c>
      <c r="X32" s="19">
        <f t="shared" si="8"/>
        <v>0</v>
      </c>
      <c r="Y32" s="19">
        <f t="shared" si="9"/>
        <v>0</v>
      </c>
      <c r="Z32" s="20">
        <f t="shared" si="10"/>
        <v>0</v>
      </c>
      <c r="AA32" s="18">
        <f t="shared" si="11"/>
        <v>0</v>
      </c>
      <c r="AB32" s="18">
        <f t="shared" si="12"/>
        <v>0</v>
      </c>
      <c r="AC32" s="18">
        <f t="shared" si="13"/>
        <v>0</v>
      </c>
      <c r="AD32" s="18">
        <f t="shared" si="14"/>
        <v>0</v>
      </c>
      <c r="AE32" s="20">
        <f t="shared" si="15"/>
        <v>0</v>
      </c>
      <c r="AF32" s="65">
        <f t="shared" si="16"/>
        <v>0</v>
      </c>
      <c r="AG32" s="65">
        <f t="shared" si="17"/>
        <v>0</v>
      </c>
      <c r="AH32" s="65">
        <f t="shared" si="18"/>
        <v>0</v>
      </c>
      <c r="AI32" s="65">
        <f t="shared" si="19"/>
        <v>0</v>
      </c>
      <c r="AJ32" s="65">
        <f t="shared" si="20"/>
        <v>0</v>
      </c>
      <c r="AK32" s="20">
        <f t="shared" si="21"/>
        <v>0</v>
      </c>
      <c r="AL32" s="39">
        <f t="shared" si="22"/>
        <v>0</v>
      </c>
      <c r="AM32" s="39">
        <f t="shared" si="23"/>
        <v>0</v>
      </c>
      <c r="AN32" s="39">
        <f t="shared" si="24"/>
        <v>0</v>
      </c>
      <c r="AO32" s="39">
        <f t="shared" si="25"/>
        <v>0</v>
      </c>
      <c r="AP32" s="39">
        <f t="shared" si="26"/>
        <v>0</v>
      </c>
      <c r="AQ32" s="20">
        <f t="shared" si="27"/>
        <v>0</v>
      </c>
      <c r="AR32" s="39">
        <f t="shared" si="28"/>
        <v>0</v>
      </c>
      <c r="AS32" s="39">
        <f t="shared" si="29"/>
        <v>0</v>
      </c>
      <c r="AT32" s="20">
        <f t="shared" si="30"/>
        <v>0</v>
      </c>
      <c r="AU32" s="28">
        <f t="shared" si="31"/>
        <v>0</v>
      </c>
      <c r="AV32" s="39">
        <f t="shared" si="32"/>
        <v>0</v>
      </c>
      <c r="AW32" s="39">
        <f t="shared" si="33"/>
        <v>0</v>
      </c>
      <c r="AX32" s="579">
        <f t="shared" si="34"/>
        <v>0</v>
      </c>
      <c r="AY32" s="39">
        <f t="shared" si="35"/>
        <v>0</v>
      </c>
      <c r="AZ32" s="39">
        <f t="shared" si="36"/>
        <v>0</v>
      </c>
      <c r="BA32" s="579">
        <f t="shared" si="37"/>
        <v>0</v>
      </c>
      <c r="BB32" s="39">
        <f t="shared" si="38"/>
        <v>0</v>
      </c>
      <c r="BC32" s="39">
        <f t="shared" si="39"/>
        <v>0</v>
      </c>
      <c r="BD32" s="579">
        <f t="shared" si="40"/>
        <v>0</v>
      </c>
      <c r="BE32" s="28">
        <f t="shared" si="41"/>
        <v>0</v>
      </c>
    </row>
    <row r="33" spans="1:57" ht="18" customHeight="1" x14ac:dyDescent="0.2">
      <c r="A33" s="574">
        <v>25</v>
      </c>
      <c r="B33" s="518" t="str">
        <f>dtsiswa!D31</f>
        <v>Larasati Jagadhita P</v>
      </c>
      <c r="C33" s="572"/>
      <c r="D33" s="572"/>
      <c r="E33" s="572"/>
      <c r="F33" s="870"/>
      <c r="G33" s="572"/>
      <c r="H33" s="572"/>
      <c r="I33" s="1053"/>
      <c r="J33" s="572"/>
      <c r="K33" s="572"/>
      <c r="L33" s="572"/>
      <c r="M33" s="870"/>
      <c r="N33" s="870"/>
      <c r="O33" s="572"/>
      <c r="P33" s="572"/>
      <c r="Q33" s="572"/>
      <c r="R33" s="572"/>
      <c r="S33" s="572"/>
      <c r="T33" s="572"/>
      <c r="U33" s="19">
        <f t="shared" si="5"/>
        <v>0</v>
      </c>
      <c r="V33" s="19">
        <f t="shared" si="6"/>
        <v>0</v>
      </c>
      <c r="W33" s="19">
        <f t="shared" si="7"/>
        <v>0</v>
      </c>
      <c r="X33" s="19">
        <f t="shared" si="8"/>
        <v>0</v>
      </c>
      <c r="Y33" s="19">
        <f t="shared" si="9"/>
        <v>0</v>
      </c>
      <c r="Z33" s="20">
        <f t="shared" si="10"/>
        <v>0</v>
      </c>
      <c r="AA33" s="18">
        <f t="shared" si="11"/>
        <v>0</v>
      </c>
      <c r="AB33" s="18">
        <f t="shared" si="12"/>
        <v>0</v>
      </c>
      <c r="AC33" s="18">
        <f t="shared" si="13"/>
        <v>0</v>
      </c>
      <c r="AD33" s="18">
        <f t="shared" si="14"/>
        <v>0</v>
      </c>
      <c r="AE33" s="20">
        <f t="shared" si="15"/>
        <v>0</v>
      </c>
      <c r="AF33" s="65">
        <f t="shared" si="16"/>
        <v>0</v>
      </c>
      <c r="AG33" s="65">
        <f t="shared" si="17"/>
        <v>0</v>
      </c>
      <c r="AH33" s="65">
        <f t="shared" si="18"/>
        <v>0</v>
      </c>
      <c r="AI33" s="65">
        <f t="shared" si="19"/>
        <v>0</v>
      </c>
      <c r="AJ33" s="65">
        <f t="shared" si="20"/>
        <v>0</v>
      </c>
      <c r="AK33" s="20">
        <f t="shared" si="21"/>
        <v>0</v>
      </c>
      <c r="AL33" s="39">
        <f t="shared" si="22"/>
        <v>0</v>
      </c>
      <c r="AM33" s="39">
        <f t="shared" si="23"/>
        <v>0</v>
      </c>
      <c r="AN33" s="39">
        <f t="shared" si="24"/>
        <v>0</v>
      </c>
      <c r="AO33" s="39">
        <f t="shared" si="25"/>
        <v>0</v>
      </c>
      <c r="AP33" s="39">
        <f t="shared" si="26"/>
        <v>0</v>
      </c>
      <c r="AQ33" s="20">
        <f t="shared" si="27"/>
        <v>0</v>
      </c>
      <c r="AR33" s="39">
        <f t="shared" si="28"/>
        <v>0</v>
      </c>
      <c r="AS33" s="39">
        <f t="shared" si="29"/>
        <v>0</v>
      </c>
      <c r="AT33" s="20">
        <f t="shared" si="30"/>
        <v>0</v>
      </c>
      <c r="AU33" s="28">
        <f t="shared" si="31"/>
        <v>0</v>
      </c>
      <c r="AV33" s="39">
        <f t="shared" si="32"/>
        <v>0</v>
      </c>
      <c r="AW33" s="39">
        <f t="shared" si="33"/>
        <v>0</v>
      </c>
      <c r="AX33" s="579">
        <f t="shared" si="34"/>
        <v>0</v>
      </c>
      <c r="AY33" s="39">
        <f t="shared" si="35"/>
        <v>0</v>
      </c>
      <c r="AZ33" s="39">
        <f t="shared" si="36"/>
        <v>0</v>
      </c>
      <c r="BA33" s="579">
        <f t="shared" si="37"/>
        <v>0</v>
      </c>
      <c r="BB33" s="39">
        <f t="shared" si="38"/>
        <v>0</v>
      </c>
      <c r="BC33" s="39">
        <f t="shared" si="39"/>
        <v>0</v>
      </c>
      <c r="BD33" s="579">
        <f t="shared" si="40"/>
        <v>0</v>
      </c>
      <c r="BE33" s="28">
        <f t="shared" si="41"/>
        <v>0</v>
      </c>
    </row>
    <row r="34" spans="1:57" ht="18" customHeight="1" x14ac:dyDescent="0.2">
      <c r="A34" s="574">
        <v>26</v>
      </c>
      <c r="B34" s="518" t="str">
        <f>dtsiswa!D32</f>
        <v>Meliana Citra A</v>
      </c>
      <c r="C34" s="8"/>
      <c r="D34" s="8"/>
      <c r="E34" s="8"/>
      <c r="F34" s="8"/>
      <c r="G34" s="8"/>
      <c r="H34" s="8"/>
      <c r="I34" s="8"/>
      <c r="J34" s="8"/>
      <c r="K34" s="8"/>
      <c r="L34" s="8"/>
      <c r="M34" s="8"/>
      <c r="N34" s="8"/>
      <c r="O34" s="8"/>
      <c r="P34" s="8"/>
      <c r="Q34" s="8"/>
      <c r="R34" s="8"/>
      <c r="S34" s="8"/>
      <c r="T34" s="8"/>
      <c r="U34" s="19">
        <f t="shared" si="5"/>
        <v>0</v>
      </c>
      <c r="V34" s="19">
        <f t="shared" si="6"/>
        <v>0</v>
      </c>
      <c r="W34" s="19">
        <f t="shared" si="7"/>
        <v>0</v>
      </c>
      <c r="X34" s="19">
        <f t="shared" si="8"/>
        <v>0</v>
      </c>
      <c r="Y34" s="19">
        <f t="shared" si="9"/>
        <v>0</v>
      </c>
      <c r="Z34" s="20">
        <f t="shared" si="10"/>
        <v>0</v>
      </c>
      <c r="AA34" s="18">
        <f t="shared" si="11"/>
        <v>0</v>
      </c>
      <c r="AB34" s="18">
        <f t="shared" si="12"/>
        <v>0</v>
      </c>
      <c r="AC34" s="18">
        <f t="shared" si="13"/>
        <v>0</v>
      </c>
      <c r="AD34" s="18">
        <f t="shared" si="14"/>
        <v>0</v>
      </c>
      <c r="AE34" s="20">
        <f t="shared" si="15"/>
        <v>0</v>
      </c>
      <c r="AF34" s="65">
        <f t="shared" si="16"/>
        <v>0</v>
      </c>
      <c r="AG34" s="65">
        <f t="shared" si="17"/>
        <v>0</v>
      </c>
      <c r="AH34" s="65">
        <f t="shared" si="18"/>
        <v>0</v>
      </c>
      <c r="AI34" s="65">
        <f t="shared" si="19"/>
        <v>0</v>
      </c>
      <c r="AJ34" s="65">
        <f t="shared" si="20"/>
        <v>0</v>
      </c>
      <c r="AK34" s="20">
        <f t="shared" si="21"/>
        <v>0</v>
      </c>
      <c r="AL34" s="39">
        <f t="shared" si="22"/>
        <v>0</v>
      </c>
      <c r="AM34" s="39">
        <f t="shared" si="23"/>
        <v>0</v>
      </c>
      <c r="AN34" s="39">
        <f t="shared" si="24"/>
        <v>0</v>
      </c>
      <c r="AO34" s="39">
        <f t="shared" si="25"/>
        <v>0</v>
      </c>
      <c r="AP34" s="39">
        <f t="shared" si="26"/>
        <v>0</v>
      </c>
      <c r="AQ34" s="20">
        <f t="shared" si="27"/>
        <v>0</v>
      </c>
      <c r="AR34" s="39">
        <f t="shared" si="28"/>
        <v>0</v>
      </c>
      <c r="AS34" s="39">
        <f t="shared" si="29"/>
        <v>0</v>
      </c>
      <c r="AT34" s="20">
        <f t="shared" si="30"/>
        <v>0</v>
      </c>
      <c r="AU34" s="28">
        <f t="shared" si="31"/>
        <v>0</v>
      </c>
      <c r="AV34" s="39">
        <f t="shared" si="32"/>
        <v>0</v>
      </c>
      <c r="AW34" s="39">
        <f t="shared" si="33"/>
        <v>0</v>
      </c>
      <c r="AX34" s="579">
        <f t="shared" si="34"/>
        <v>0</v>
      </c>
      <c r="AY34" s="39">
        <f t="shared" si="35"/>
        <v>0</v>
      </c>
      <c r="AZ34" s="39">
        <f t="shared" si="36"/>
        <v>0</v>
      </c>
      <c r="BA34" s="579">
        <f t="shared" si="37"/>
        <v>0</v>
      </c>
      <c r="BB34" s="39">
        <f t="shared" si="38"/>
        <v>0</v>
      </c>
      <c r="BC34" s="39">
        <f t="shared" si="39"/>
        <v>0</v>
      </c>
      <c r="BD34" s="579">
        <f t="shared" si="40"/>
        <v>0</v>
      </c>
      <c r="BE34" s="28">
        <f t="shared" si="41"/>
        <v>0</v>
      </c>
    </row>
    <row r="35" spans="1:57" ht="18" customHeight="1" x14ac:dyDescent="0.2">
      <c r="A35" s="574">
        <v>27</v>
      </c>
      <c r="B35" s="518" t="str">
        <f>dtsiswa!D33</f>
        <v>Mohammad Rizky</v>
      </c>
      <c r="C35" s="8"/>
      <c r="D35" s="8"/>
      <c r="E35" s="8"/>
      <c r="F35" s="8"/>
      <c r="G35" s="8"/>
      <c r="H35" s="8"/>
      <c r="I35" s="8"/>
      <c r="J35" s="8"/>
      <c r="K35" s="8"/>
      <c r="L35" s="8"/>
      <c r="M35" s="8"/>
      <c r="N35" s="8"/>
      <c r="O35" s="8"/>
      <c r="P35" s="8"/>
      <c r="Q35" s="8"/>
      <c r="R35" s="8"/>
      <c r="S35" s="8"/>
      <c r="T35" s="8"/>
      <c r="U35" s="19">
        <f t="shared" si="5"/>
        <v>0</v>
      </c>
      <c r="V35" s="19">
        <f t="shared" si="6"/>
        <v>0</v>
      </c>
      <c r="W35" s="19">
        <f t="shared" si="7"/>
        <v>0</v>
      </c>
      <c r="X35" s="19">
        <f t="shared" si="8"/>
        <v>0</v>
      </c>
      <c r="Y35" s="19">
        <f t="shared" si="9"/>
        <v>0</v>
      </c>
      <c r="Z35" s="20">
        <f t="shared" si="10"/>
        <v>0</v>
      </c>
      <c r="AA35" s="18">
        <f t="shared" si="11"/>
        <v>0</v>
      </c>
      <c r="AB35" s="18">
        <f t="shared" si="12"/>
        <v>0</v>
      </c>
      <c r="AC35" s="18">
        <f t="shared" si="13"/>
        <v>0</v>
      </c>
      <c r="AD35" s="18">
        <f t="shared" si="14"/>
        <v>0</v>
      </c>
      <c r="AE35" s="20">
        <f t="shared" si="15"/>
        <v>0</v>
      </c>
      <c r="AF35" s="65">
        <f t="shared" si="16"/>
        <v>0</v>
      </c>
      <c r="AG35" s="65">
        <f t="shared" si="17"/>
        <v>0</v>
      </c>
      <c r="AH35" s="65">
        <f t="shared" si="18"/>
        <v>0</v>
      </c>
      <c r="AI35" s="65">
        <f t="shared" si="19"/>
        <v>0</v>
      </c>
      <c r="AJ35" s="65">
        <f t="shared" si="20"/>
        <v>0</v>
      </c>
      <c r="AK35" s="20">
        <f t="shared" si="21"/>
        <v>0</v>
      </c>
      <c r="AL35" s="39">
        <f t="shared" si="22"/>
        <v>0</v>
      </c>
      <c r="AM35" s="39">
        <f t="shared" si="23"/>
        <v>0</v>
      </c>
      <c r="AN35" s="39">
        <f t="shared" si="24"/>
        <v>0</v>
      </c>
      <c r="AO35" s="39">
        <f t="shared" si="25"/>
        <v>0</v>
      </c>
      <c r="AP35" s="39">
        <f t="shared" si="26"/>
        <v>0</v>
      </c>
      <c r="AQ35" s="20">
        <f t="shared" si="27"/>
        <v>0</v>
      </c>
      <c r="AR35" s="39">
        <f t="shared" si="28"/>
        <v>0</v>
      </c>
      <c r="AS35" s="39">
        <f t="shared" si="29"/>
        <v>0</v>
      </c>
      <c r="AT35" s="20">
        <f t="shared" si="30"/>
        <v>0</v>
      </c>
      <c r="AU35" s="28">
        <f t="shared" si="31"/>
        <v>0</v>
      </c>
      <c r="AV35" s="39">
        <f t="shared" si="32"/>
        <v>0</v>
      </c>
      <c r="AW35" s="39">
        <f t="shared" si="33"/>
        <v>0</v>
      </c>
      <c r="AX35" s="579">
        <f t="shared" si="34"/>
        <v>0</v>
      </c>
      <c r="AY35" s="39">
        <f t="shared" si="35"/>
        <v>0</v>
      </c>
      <c r="AZ35" s="39">
        <f t="shared" si="36"/>
        <v>0</v>
      </c>
      <c r="BA35" s="579">
        <f t="shared" si="37"/>
        <v>0</v>
      </c>
      <c r="BB35" s="39">
        <f t="shared" si="38"/>
        <v>0</v>
      </c>
      <c r="BC35" s="39">
        <f t="shared" si="39"/>
        <v>0</v>
      </c>
      <c r="BD35" s="579">
        <f t="shared" si="40"/>
        <v>0</v>
      </c>
      <c r="BE35" s="28">
        <f t="shared" si="41"/>
        <v>0</v>
      </c>
    </row>
    <row r="36" spans="1:57" ht="18" customHeight="1" x14ac:dyDescent="0.2">
      <c r="A36" s="574">
        <v>28</v>
      </c>
      <c r="B36" s="518">
        <f>dtsiswa!D34</f>
        <v>0</v>
      </c>
      <c r="C36" s="8"/>
      <c r="D36" s="8"/>
      <c r="E36" s="8"/>
      <c r="F36" s="8"/>
      <c r="G36" s="8"/>
      <c r="H36" s="8"/>
      <c r="I36" s="8"/>
      <c r="J36" s="8"/>
      <c r="K36" s="8"/>
      <c r="L36" s="8"/>
      <c r="M36" s="8"/>
      <c r="N36" s="8"/>
      <c r="O36" s="8"/>
      <c r="P36" s="8"/>
      <c r="Q36" s="8"/>
      <c r="R36" s="8"/>
      <c r="S36" s="8"/>
      <c r="T36" s="8"/>
      <c r="U36" s="19">
        <f t="shared" si="5"/>
        <v>0</v>
      </c>
      <c r="V36" s="19">
        <f t="shared" si="6"/>
        <v>0</v>
      </c>
      <c r="W36" s="19">
        <f t="shared" si="7"/>
        <v>0</v>
      </c>
      <c r="X36" s="19">
        <f t="shared" si="8"/>
        <v>0</v>
      </c>
      <c r="Y36" s="19">
        <f t="shared" si="9"/>
        <v>0</v>
      </c>
      <c r="Z36" s="20">
        <f t="shared" si="10"/>
        <v>0</v>
      </c>
      <c r="AA36" s="18">
        <f t="shared" si="11"/>
        <v>0</v>
      </c>
      <c r="AB36" s="18">
        <f t="shared" si="12"/>
        <v>0</v>
      </c>
      <c r="AC36" s="18">
        <f t="shared" si="13"/>
        <v>0</v>
      </c>
      <c r="AD36" s="18">
        <f t="shared" si="14"/>
        <v>0</v>
      </c>
      <c r="AE36" s="20">
        <f t="shared" si="15"/>
        <v>0</v>
      </c>
      <c r="AF36" s="65">
        <f t="shared" si="16"/>
        <v>0</v>
      </c>
      <c r="AG36" s="65">
        <f t="shared" si="17"/>
        <v>0</v>
      </c>
      <c r="AH36" s="65">
        <f t="shared" si="18"/>
        <v>0</v>
      </c>
      <c r="AI36" s="65">
        <f t="shared" si="19"/>
        <v>0</v>
      </c>
      <c r="AJ36" s="65">
        <f t="shared" si="20"/>
        <v>0</v>
      </c>
      <c r="AK36" s="20">
        <f t="shared" si="21"/>
        <v>0</v>
      </c>
      <c r="AL36" s="39">
        <f t="shared" si="22"/>
        <v>0</v>
      </c>
      <c r="AM36" s="39">
        <f t="shared" si="23"/>
        <v>0</v>
      </c>
      <c r="AN36" s="39">
        <f t="shared" si="24"/>
        <v>0</v>
      </c>
      <c r="AO36" s="39">
        <f t="shared" si="25"/>
        <v>0</v>
      </c>
      <c r="AP36" s="39">
        <f t="shared" si="26"/>
        <v>0</v>
      </c>
      <c r="AQ36" s="20">
        <f t="shared" si="27"/>
        <v>0</v>
      </c>
      <c r="AR36" s="39">
        <f t="shared" si="28"/>
        <v>0</v>
      </c>
      <c r="AS36" s="39">
        <f t="shared" si="29"/>
        <v>0</v>
      </c>
      <c r="AT36" s="20">
        <f t="shared" si="30"/>
        <v>0</v>
      </c>
      <c r="AU36" s="28">
        <f t="shared" si="31"/>
        <v>0</v>
      </c>
      <c r="AV36" s="39">
        <f t="shared" si="32"/>
        <v>0</v>
      </c>
      <c r="AW36" s="39">
        <f t="shared" si="33"/>
        <v>0</v>
      </c>
      <c r="AX36" s="579">
        <f t="shared" si="34"/>
        <v>0</v>
      </c>
      <c r="AY36" s="39">
        <f t="shared" si="35"/>
        <v>0</v>
      </c>
      <c r="AZ36" s="39">
        <f t="shared" si="36"/>
        <v>0</v>
      </c>
      <c r="BA36" s="579">
        <f t="shared" si="37"/>
        <v>0</v>
      </c>
      <c r="BB36" s="39">
        <f t="shared" si="38"/>
        <v>0</v>
      </c>
      <c r="BC36" s="39">
        <f t="shared" si="39"/>
        <v>0</v>
      </c>
      <c r="BD36" s="579">
        <f t="shared" si="40"/>
        <v>0</v>
      </c>
      <c r="BE36" s="28">
        <f t="shared" si="41"/>
        <v>0</v>
      </c>
    </row>
    <row r="37" spans="1:57" ht="18" customHeight="1" x14ac:dyDescent="0.2">
      <c r="A37" s="574">
        <v>29</v>
      </c>
      <c r="B37" s="518">
        <f>dtsiswa!D35</f>
        <v>0</v>
      </c>
      <c r="C37" s="8"/>
      <c r="D37" s="8"/>
      <c r="E37" s="8"/>
      <c r="F37" s="8"/>
      <c r="G37" s="8"/>
      <c r="H37" s="8"/>
      <c r="I37" s="8"/>
      <c r="J37" s="8"/>
      <c r="K37" s="8"/>
      <c r="L37" s="8"/>
      <c r="M37" s="8"/>
      <c r="N37" s="8"/>
      <c r="O37" s="8"/>
      <c r="P37" s="8"/>
      <c r="Q37" s="8"/>
      <c r="R37" s="8"/>
      <c r="S37" s="8"/>
      <c r="T37" s="8"/>
      <c r="U37" s="19">
        <f t="shared" si="5"/>
        <v>0</v>
      </c>
      <c r="V37" s="19">
        <f t="shared" si="6"/>
        <v>0</v>
      </c>
      <c r="W37" s="19">
        <f t="shared" si="7"/>
        <v>0</v>
      </c>
      <c r="X37" s="19">
        <f t="shared" si="8"/>
        <v>0</v>
      </c>
      <c r="Y37" s="19">
        <f t="shared" si="9"/>
        <v>0</v>
      </c>
      <c r="Z37" s="20">
        <f t="shared" si="10"/>
        <v>0</v>
      </c>
      <c r="AA37" s="18">
        <f t="shared" si="11"/>
        <v>0</v>
      </c>
      <c r="AB37" s="18">
        <f t="shared" si="12"/>
        <v>0</v>
      </c>
      <c r="AC37" s="18">
        <f t="shared" si="13"/>
        <v>0</v>
      </c>
      <c r="AD37" s="18">
        <f t="shared" si="14"/>
        <v>0</v>
      </c>
      <c r="AE37" s="20">
        <f t="shared" si="15"/>
        <v>0</v>
      </c>
      <c r="AF37" s="65">
        <f t="shared" si="16"/>
        <v>0</v>
      </c>
      <c r="AG37" s="65">
        <f t="shared" si="17"/>
        <v>0</v>
      </c>
      <c r="AH37" s="65">
        <f t="shared" si="18"/>
        <v>0</v>
      </c>
      <c r="AI37" s="65">
        <f t="shared" si="19"/>
        <v>0</v>
      </c>
      <c r="AJ37" s="65">
        <f t="shared" si="20"/>
        <v>0</v>
      </c>
      <c r="AK37" s="20">
        <f t="shared" si="21"/>
        <v>0</v>
      </c>
      <c r="AL37" s="39">
        <f t="shared" si="22"/>
        <v>0</v>
      </c>
      <c r="AM37" s="39">
        <f t="shared" si="23"/>
        <v>0</v>
      </c>
      <c r="AN37" s="39">
        <f t="shared" si="24"/>
        <v>0</v>
      </c>
      <c r="AO37" s="39">
        <f t="shared" si="25"/>
        <v>0</v>
      </c>
      <c r="AP37" s="39">
        <f t="shared" si="26"/>
        <v>0</v>
      </c>
      <c r="AQ37" s="20">
        <f t="shared" si="27"/>
        <v>0</v>
      </c>
      <c r="AR37" s="39">
        <f t="shared" si="28"/>
        <v>0</v>
      </c>
      <c r="AS37" s="39">
        <f t="shared" si="29"/>
        <v>0</v>
      </c>
      <c r="AT37" s="20">
        <f t="shared" si="30"/>
        <v>0</v>
      </c>
      <c r="AU37" s="28">
        <f t="shared" si="31"/>
        <v>0</v>
      </c>
      <c r="AV37" s="39">
        <f t="shared" si="32"/>
        <v>0</v>
      </c>
      <c r="AW37" s="39">
        <f t="shared" si="33"/>
        <v>0</v>
      </c>
      <c r="AX37" s="579">
        <f t="shared" si="34"/>
        <v>0</v>
      </c>
      <c r="AY37" s="39">
        <f t="shared" si="35"/>
        <v>0</v>
      </c>
      <c r="AZ37" s="39">
        <f t="shared" si="36"/>
        <v>0</v>
      </c>
      <c r="BA37" s="579">
        <f t="shared" si="37"/>
        <v>0</v>
      </c>
      <c r="BB37" s="39">
        <f t="shared" si="38"/>
        <v>0</v>
      </c>
      <c r="BC37" s="39">
        <f t="shared" si="39"/>
        <v>0</v>
      </c>
      <c r="BD37" s="579">
        <f t="shared" si="40"/>
        <v>0</v>
      </c>
      <c r="BE37" s="28">
        <f t="shared" si="41"/>
        <v>0</v>
      </c>
    </row>
    <row r="38" spans="1:57" ht="18" customHeight="1" x14ac:dyDescent="0.2">
      <c r="A38" s="574">
        <v>30</v>
      </c>
      <c r="B38" s="518">
        <f>dtsiswa!D36</f>
        <v>0</v>
      </c>
      <c r="C38" s="8"/>
      <c r="D38" s="8"/>
      <c r="E38" s="8"/>
      <c r="F38" s="8"/>
      <c r="G38" s="8"/>
      <c r="H38" s="8"/>
      <c r="I38" s="8"/>
      <c r="J38" s="8"/>
      <c r="K38" s="8"/>
      <c r="L38" s="8"/>
      <c r="M38" s="8"/>
      <c r="N38" s="8"/>
      <c r="O38" s="8"/>
      <c r="P38" s="8"/>
      <c r="Q38" s="8"/>
      <c r="R38" s="8"/>
      <c r="S38" s="8"/>
      <c r="T38" s="8"/>
      <c r="U38" s="19">
        <f t="shared" si="5"/>
        <v>0</v>
      </c>
      <c r="V38" s="19">
        <f t="shared" si="6"/>
        <v>0</v>
      </c>
      <c r="W38" s="19">
        <f t="shared" si="7"/>
        <v>0</v>
      </c>
      <c r="X38" s="19">
        <f t="shared" si="8"/>
        <v>0</v>
      </c>
      <c r="Y38" s="19">
        <f t="shared" si="9"/>
        <v>0</v>
      </c>
      <c r="Z38" s="20">
        <f t="shared" si="10"/>
        <v>0</v>
      </c>
      <c r="AA38" s="18">
        <f t="shared" si="11"/>
        <v>0</v>
      </c>
      <c r="AB38" s="18">
        <f t="shared" si="12"/>
        <v>0</v>
      </c>
      <c r="AC38" s="18">
        <f t="shared" si="13"/>
        <v>0</v>
      </c>
      <c r="AD38" s="18">
        <f t="shared" si="14"/>
        <v>0</v>
      </c>
      <c r="AE38" s="20">
        <f t="shared" si="15"/>
        <v>0</v>
      </c>
      <c r="AF38" s="65">
        <f t="shared" si="16"/>
        <v>0</v>
      </c>
      <c r="AG38" s="65">
        <f t="shared" si="17"/>
        <v>0</v>
      </c>
      <c r="AH38" s="65">
        <f t="shared" si="18"/>
        <v>0</v>
      </c>
      <c r="AI38" s="65">
        <f t="shared" si="19"/>
        <v>0</v>
      </c>
      <c r="AJ38" s="65">
        <f t="shared" si="20"/>
        <v>0</v>
      </c>
      <c r="AK38" s="20">
        <f t="shared" si="21"/>
        <v>0</v>
      </c>
      <c r="AL38" s="39">
        <f t="shared" si="22"/>
        <v>0</v>
      </c>
      <c r="AM38" s="39">
        <f t="shared" si="23"/>
        <v>0</v>
      </c>
      <c r="AN38" s="39">
        <f t="shared" si="24"/>
        <v>0</v>
      </c>
      <c r="AO38" s="39">
        <f t="shared" si="25"/>
        <v>0</v>
      </c>
      <c r="AP38" s="39">
        <f t="shared" si="26"/>
        <v>0</v>
      </c>
      <c r="AQ38" s="20">
        <f t="shared" si="27"/>
        <v>0</v>
      </c>
      <c r="AR38" s="39">
        <f t="shared" si="28"/>
        <v>0</v>
      </c>
      <c r="AS38" s="39">
        <f t="shared" si="29"/>
        <v>0</v>
      </c>
      <c r="AT38" s="20">
        <f t="shared" si="30"/>
        <v>0</v>
      </c>
      <c r="AU38" s="28">
        <f t="shared" si="31"/>
        <v>0</v>
      </c>
      <c r="AV38" s="39">
        <f t="shared" si="32"/>
        <v>0</v>
      </c>
      <c r="AW38" s="39">
        <f t="shared" si="33"/>
        <v>0</v>
      </c>
      <c r="AX38" s="579">
        <f t="shared" si="34"/>
        <v>0</v>
      </c>
      <c r="AY38" s="39">
        <f t="shared" si="35"/>
        <v>0</v>
      </c>
      <c r="AZ38" s="39">
        <f t="shared" si="36"/>
        <v>0</v>
      </c>
      <c r="BA38" s="579">
        <f t="shared" si="37"/>
        <v>0</v>
      </c>
      <c r="BB38" s="39">
        <f t="shared" si="38"/>
        <v>0</v>
      </c>
      <c r="BC38" s="39">
        <f t="shared" si="39"/>
        <v>0</v>
      </c>
      <c r="BD38" s="579">
        <f t="shared" si="40"/>
        <v>0</v>
      </c>
      <c r="BE38" s="28">
        <f t="shared" si="41"/>
        <v>0</v>
      </c>
    </row>
    <row r="39" spans="1:57" ht="18" customHeight="1" x14ac:dyDescent="0.2">
      <c r="A39" s="574">
        <v>31</v>
      </c>
      <c r="B39" s="518">
        <f>dtsiswa!D37</f>
        <v>0</v>
      </c>
      <c r="C39" s="8"/>
      <c r="D39" s="8"/>
      <c r="E39" s="8"/>
      <c r="F39" s="8"/>
      <c r="G39" s="8"/>
      <c r="H39" s="8"/>
      <c r="I39" s="8"/>
      <c r="J39" s="8"/>
      <c r="K39" s="8"/>
      <c r="L39" s="8"/>
      <c r="M39" s="8"/>
      <c r="N39" s="8"/>
      <c r="O39" s="8"/>
      <c r="P39" s="8"/>
      <c r="Q39" s="8"/>
      <c r="R39" s="8"/>
      <c r="S39" s="8"/>
      <c r="T39" s="8"/>
      <c r="U39" s="19">
        <f t="shared" si="5"/>
        <v>0</v>
      </c>
      <c r="V39" s="19">
        <f t="shared" si="6"/>
        <v>0</v>
      </c>
      <c r="W39" s="19">
        <f t="shared" si="7"/>
        <v>0</v>
      </c>
      <c r="X39" s="19">
        <f t="shared" si="8"/>
        <v>0</v>
      </c>
      <c r="Y39" s="19">
        <f t="shared" si="9"/>
        <v>0</v>
      </c>
      <c r="Z39" s="20">
        <f t="shared" si="10"/>
        <v>0</v>
      </c>
      <c r="AA39" s="18">
        <f t="shared" si="11"/>
        <v>0</v>
      </c>
      <c r="AB39" s="18">
        <f t="shared" si="12"/>
        <v>0</v>
      </c>
      <c r="AC39" s="18">
        <f t="shared" si="13"/>
        <v>0</v>
      </c>
      <c r="AD39" s="18">
        <f t="shared" si="14"/>
        <v>0</v>
      </c>
      <c r="AE39" s="20">
        <f t="shared" si="15"/>
        <v>0</v>
      </c>
      <c r="AF39" s="65">
        <f t="shared" si="16"/>
        <v>0</v>
      </c>
      <c r="AG39" s="65">
        <f t="shared" si="17"/>
        <v>0</v>
      </c>
      <c r="AH39" s="65">
        <f t="shared" si="18"/>
        <v>0</v>
      </c>
      <c r="AI39" s="65">
        <f t="shared" si="19"/>
        <v>0</v>
      </c>
      <c r="AJ39" s="65">
        <f t="shared" si="20"/>
        <v>0</v>
      </c>
      <c r="AK39" s="20">
        <f t="shared" si="21"/>
        <v>0</v>
      </c>
      <c r="AL39" s="39">
        <f t="shared" si="22"/>
        <v>0</v>
      </c>
      <c r="AM39" s="39">
        <f t="shared" si="23"/>
        <v>0</v>
      </c>
      <c r="AN39" s="39">
        <f t="shared" si="24"/>
        <v>0</v>
      </c>
      <c r="AO39" s="39">
        <f t="shared" si="25"/>
        <v>0</v>
      </c>
      <c r="AP39" s="39">
        <f t="shared" si="26"/>
        <v>0</v>
      </c>
      <c r="AQ39" s="20">
        <f t="shared" si="27"/>
        <v>0</v>
      </c>
      <c r="AR39" s="39">
        <f t="shared" si="28"/>
        <v>0</v>
      </c>
      <c r="AS39" s="39">
        <f t="shared" si="29"/>
        <v>0</v>
      </c>
      <c r="AT39" s="20">
        <f t="shared" si="30"/>
        <v>0</v>
      </c>
      <c r="AU39" s="28">
        <f t="shared" si="31"/>
        <v>0</v>
      </c>
      <c r="AV39" s="39">
        <f t="shared" si="32"/>
        <v>0</v>
      </c>
      <c r="AW39" s="39">
        <f t="shared" si="33"/>
        <v>0</v>
      </c>
      <c r="AX39" s="579">
        <f t="shared" si="34"/>
        <v>0</v>
      </c>
      <c r="AY39" s="39">
        <f t="shared" si="35"/>
        <v>0</v>
      </c>
      <c r="AZ39" s="39">
        <f t="shared" si="36"/>
        <v>0</v>
      </c>
      <c r="BA39" s="579">
        <f t="shared" si="37"/>
        <v>0</v>
      </c>
      <c r="BB39" s="39">
        <f t="shared" si="38"/>
        <v>0</v>
      </c>
      <c r="BC39" s="39">
        <f t="shared" si="39"/>
        <v>0</v>
      </c>
      <c r="BD39" s="579">
        <f t="shared" si="40"/>
        <v>0</v>
      </c>
      <c r="BE39" s="28">
        <f t="shared" si="41"/>
        <v>0</v>
      </c>
    </row>
    <row r="40" spans="1:57" ht="18" customHeight="1" x14ac:dyDescent="0.2">
      <c r="A40" s="574">
        <v>32</v>
      </c>
      <c r="B40" s="518">
        <f>dtsiswa!D38</f>
        <v>0</v>
      </c>
      <c r="C40" s="8"/>
      <c r="D40" s="8"/>
      <c r="E40" s="8"/>
      <c r="F40" s="8"/>
      <c r="G40" s="8"/>
      <c r="H40" s="8"/>
      <c r="I40" s="8"/>
      <c r="J40" s="8"/>
      <c r="K40" s="8"/>
      <c r="L40" s="8"/>
      <c r="M40" s="8"/>
      <c r="N40" s="8"/>
      <c r="O40" s="8"/>
      <c r="P40" s="8"/>
      <c r="Q40" s="8"/>
      <c r="R40" s="8"/>
      <c r="S40" s="8"/>
      <c r="T40" s="8"/>
      <c r="U40" s="19">
        <f t="shared" si="5"/>
        <v>0</v>
      </c>
      <c r="V40" s="19">
        <f t="shared" si="6"/>
        <v>0</v>
      </c>
      <c r="W40" s="19">
        <f t="shared" si="7"/>
        <v>0</v>
      </c>
      <c r="X40" s="19">
        <f t="shared" si="8"/>
        <v>0</v>
      </c>
      <c r="Y40" s="19">
        <f t="shared" si="9"/>
        <v>0</v>
      </c>
      <c r="Z40" s="20">
        <f t="shared" si="10"/>
        <v>0</v>
      </c>
      <c r="AA40" s="18">
        <f t="shared" si="11"/>
        <v>0</v>
      </c>
      <c r="AB40" s="18">
        <f t="shared" si="12"/>
        <v>0</v>
      </c>
      <c r="AC40" s="18">
        <f t="shared" si="13"/>
        <v>0</v>
      </c>
      <c r="AD40" s="18">
        <f t="shared" si="14"/>
        <v>0</v>
      </c>
      <c r="AE40" s="20">
        <f t="shared" si="15"/>
        <v>0</v>
      </c>
      <c r="AF40" s="65">
        <f t="shared" si="16"/>
        <v>0</v>
      </c>
      <c r="AG40" s="65">
        <f t="shared" si="17"/>
        <v>0</v>
      </c>
      <c r="AH40" s="65">
        <f t="shared" si="18"/>
        <v>0</v>
      </c>
      <c r="AI40" s="65">
        <f t="shared" si="19"/>
        <v>0</v>
      </c>
      <c r="AJ40" s="65">
        <f t="shared" si="20"/>
        <v>0</v>
      </c>
      <c r="AK40" s="20">
        <f t="shared" si="21"/>
        <v>0</v>
      </c>
      <c r="AL40" s="39">
        <f t="shared" si="22"/>
        <v>0</v>
      </c>
      <c r="AM40" s="39">
        <f t="shared" si="23"/>
        <v>0</v>
      </c>
      <c r="AN40" s="39">
        <f t="shared" si="24"/>
        <v>0</v>
      </c>
      <c r="AO40" s="39">
        <f t="shared" si="25"/>
        <v>0</v>
      </c>
      <c r="AP40" s="39">
        <f t="shared" si="26"/>
        <v>0</v>
      </c>
      <c r="AQ40" s="20">
        <f t="shared" si="27"/>
        <v>0</v>
      </c>
      <c r="AR40" s="39">
        <f t="shared" si="28"/>
        <v>0</v>
      </c>
      <c r="AS40" s="39">
        <f t="shared" si="29"/>
        <v>0</v>
      </c>
      <c r="AT40" s="20">
        <f t="shared" si="30"/>
        <v>0</v>
      </c>
      <c r="AU40" s="28">
        <f t="shared" si="31"/>
        <v>0</v>
      </c>
      <c r="AV40" s="39">
        <f t="shared" si="32"/>
        <v>0</v>
      </c>
      <c r="AW40" s="39">
        <f t="shared" si="33"/>
        <v>0</v>
      </c>
      <c r="AX40" s="579">
        <f t="shared" si="34"/>
        <v>0</v>
      </c>
      <c r="AY40" s="39">
        <f t="shared" si="35"/>
        <v>0</v>
      </c>
      <c r="AZ40" s="39">
        <f t="shared" si="36"/>
        <v>0</v>
      </c>
      <c r="BA40" s="579">
        <f t="shared" si="37"/>
        <v>0</v>
      </c>
      <c r="BB40" s="39">
        <f t="shared" si="38"/>
        <v>0</v>
      </c>
      <c r="BC40" s="39">
        <f t="shared" si="39"/>
        <v>0</v>
      </c>
      <c r="BD40" s="579">
        <f t="shared" si="40"/>
        <v>0</v>
      </c>
      <c r="BE40" s="28">
        <f t="shared" si="41"/>
        <v>0</v>
      </c>
    </row>
    <row r="41" spans="1:57" ht="18" customHeight="1" x14ac:dyDescent="0.2">
      <c r="A41" s="574">
        <v>33</v>
      </c>
      <c r="B41" s="518">
        <f>dtsiswa!D39</f>
        <v>0</v>
      </c>
      <c r="C41" s="8"/>
      <c r="D41" s="8"/>
      <c r="E41" s="8"/>
      <c r="F41" s="8"/>
      <c r="G41" s="8"/>
      <c r="H41" s="8"/>
      <c r="I41" s="8"/>
      <c r="J41" s="8"/>
      <c r="K41" s="8"/>
      <c r="L41" s="8"/>
      <c r="M41" s="8"/>
      <c r="N41" s="8"/>
      <c r="O41" s="8"/>
      <c r="P41" s="8"/>
      <c r="Q41" s="8"/>
      <c r="R41" s="8"/>
      <c r="S41" s="8"/>
      <c r="T41" s="8"/>
      <c r="U41" s="19">
        <f t="shared" si="5"/>
        <v>0</v>
      </c>
      <c r="V41" s="19">
        <f t="shared" si="6"/>
        <v>0</v>
      </c>
      <c r="W41" s="19">
        <f t="shared" si="7"/>
        <v>0</v>
      </c>
      <c r="X41" s="19">
        <f t="shared" si="8"/>
        <v>0</v>
      </c>
      <c r="Y41" s="19">
        <f t="shared" si="9"/>
        <v>0</v>
      </c>
      <c r="Z41" s="20">
        <f t="shared" si="10"/>
        <v>0</v>
      </c>
      <c r="AA41" s="18">
        <f t="shared" si="11"/>
        <v>0</v>
      </c>
      <c r="AB41" s="18">
        <f t="shared" si="12"/>
        <v>0</v>
      </c>
      <c r="AC41" s="18">
        <f t="shared" si="13"/>
        <v>0</v>
      </c>
      <c r="AD41" s="18">
        <f t="shared" si="14"/>
        <v>0</v>
      </c>
      <c r="AE41" s="20">
        <f t="shared" si="15"/>
        <v>0</v>
      </c>
      <c r="AF41" s="65">
        <f t="shared" si="16"/>
        <v>0</v>
      </c>
      <c r="AG41" s="65">
        <f t="shared" si="17"/>
        <v>0</v>
      </c>
      <c r="AH41" s="65">
        <f t="shared" si="18"/>
        <v>0</v>
      </c>
      <c r="AI41" s="65">
        <f t="shared" si="19"/>
        <v>0</v>
      </c>
      <c r="AJ41" s="65">
        <f t="shared" si="20"/>
        <v>0</v>
      </c>
      <c r="AK41" s="20">
        <f t="shared" si="21"/>
        <v>0</v>
      </c>
      <c r="AL41" s="39">
        <f t="shared" si="22"/>
        <v>0</v>
      </c>
      <c r="AM41" s="39">
        <f t="shared" si="23"/>
        <v>0</v>
      </c>
      <c r="AN41" s="39">
        <f t="shared" si="24"/>
        <v>0</v>
      </c>
      <c r="AO41" s="39">
        <f t="shared" si="25"/>
        <v>0</v>
      </c>
      <c r="AP41" s="39">
        <f t="shared" si="26"/>
        <v>0</v>
      </c>
      <c r="AQ41" s="20">
        <f t="shared" si="27"/>
        <v>0</v>
      </c>
      <c r="AR41" s="39">
        <f t="shared" si="28"/>
        <v>0</v>
      </c>
      <c r="AS41" s="39">
        <f t="shared" si="29"/>
        <v>0</v>
      </c>
      <c r="AT41" s="20">
        <f t="shared" si="30"/>
        <v>0</v>
      </c>
      <c r="AU41" s="28">
        <f t="shared" si="31"/>
        <v>0</v>
      </c>
      <c r="AV41" s="39">
        <f t="shared" si="32"/>
        <v>0</v>
      </c>
      <c r="AW41" s="39">
        <f t="shared" si="33"/>
        <v>0</v>
      </c>
      <c r="AX41" s="579">
        <f t="shared" si="34"/>
        <v>0</v>
      </c>
      <c r="AY41" s="39">
        <f t="shared" si="35"/>
        <v>0</v>
      </c>
      <c r="AZ41" s="39">
        <f t="shared" si="36"/>
        <v>0</v>
      </c>
      <c r="BA41" s="579">
        <f t="shared" si="37"/>
        <v>0</v>
      </c>
      <c r="BB41" s="39">
        <f t="shared" si="38"/>
        <v>0</v>
      </c>
      <c r="BC41" s="39">
        <f t="shared" si="39"/>
        <v>0</v>
      </c>
      <c r="BD41" s="579">
        <f t="shared" si="40"/>
        <v>0</v>
      </c>
      <c r="BE41" s="28">
        <f t="shared" si="41"/>
        <v>0</v>
      </c>
    </row>
    <row r="42" spans="1:57" ht="18" customHeight="1" x14ac:dyDescent="0.2">
      <c r="A42" s="574">
        <v>34</v>
      </c>
      <c r="B42" s="518">
        <f>dtsiswa!D40</f>
        <v>0</v>
      </c>
      <c r="C42" s="8"/>
      <c r="D42" s="8"/>
      <c r="E42" s="8"/>
      <c r="F42" s="8"/>
      <c r="G42" s="8"/>
      <c r="H42" s="8"/>
      <c r="I42" s="8"/>
      <c r="J42" s="8"/>
      <c r="K42" s="8"/>
      <c r="L42" s="8"/>
      <c r="M42" s="8"/>
      <c r="N42" s="8"/>
      <c r="O42" s="8"/>
      <c r="P42" s="8"/>
      <c r="Q42" s="8"/>
      <c r="R42" s="8"/>
      <c r="S42" s="8"/>
      <c r="T42" s="8"/>
      <c r="U42" s="19">
        <f t="shared" si="5"/>
        <v>0</v>
      </c>
      <c r="V42" s="19">
        <f t="shared" si="6"/>
        <v>0</v>
      </c>
      <c r="W42" s="19">
        <f t="shared" si="7"/>
        <v>0</v>
      </c>
      <c r="X42" s="19">
        <f t="shared" si="8"/>
        <v>0</v>
      </c>
      <c r="Y42" s="19">
        <f t="shared" si="9"/>
        <v>0</v>
      </c>
      <c r="Z42" s="20">
        <f t="shared" si="10"/>
        <v>0</v>
      </c>
      <c r="AA42" s="18">
        <f t="shared" si="11"/>
        <v>0</v>
      </c>
      <c r="AB42" s="18">
        <f t="shared" si="12"/>
        <v>0</v>
      </c>
      <c r="AC42" s="18">
        <f t="shared" si="13"/>
        <v>0</v>
      </c>
      <c r="AD42" s="18">
        <f t="shared" si="14"/>
        <v>0</v>
      </c>
      <c r="AE42" s="20">
        <f t="shared" si="15"/>
        <v>0</v>
      </c>
      <c r="AF42" s="65">
        <f t="shared" si="16"/>
        <v>0</v>
      </c>
      <c r="AG42" s="65">
        <f t="shared" si="17"/>
        <v>0</v>
      </c>
      <c r="AH42" s="65">
        <f t="shared" si="18"/>
        <v>0</v>
      </c>
      <c r="AI42" s="65">
        <f t="shared" si="19"/>
        <v>0</v>
      </c>
      <c r="AJ42" s="65">
        <f t="shared" si="20"/>
        <v>0</v>
      </c>
      <c r="AK42" s="20">
        <f t="shared" si="21"/>
        <v>0</v>
      </c>
      <c r="AL42" s="39">
        <f t="shared" si="22"/>
        <v>0</v>
      </c>
      <c r="AM42" s="39">
        <f t="shared" si="23"/>
        <v>0</v>
      </c>
      <c r="AN42" s="39">
        <f t="shared" si="24"/>
        <v>0</v>
      </c>
      <c r="AO42" s="39">
        <f t="shared" si="25"/>
        <v>0</v>
      </c>
      <c r="AP42" s="39">
        <f t="shared" si="26"/>
        <v>0</v>
      </c>
      <c r="AQ42" s="20">
        <f t="shared" si="27"/>
        <v>0</v>
      </c>
      <c r="AR42" s="39">
        <f t="shared" si="28"/>
        <v>0</v>
      </c>
      <c r="AS42" s="39">
        <f t="shared" si="29"/>
        <v>0</v>
      </c>
      <c r="AT42" s="20">
        <f t="shared" si="30"/>
        <v>0</v>
      </c>
      <c r="AU42" s="28">
        <f t="shared" si="31"/>
        <v>0</v>
      </c>
      <c r="AV42" s="39">
        <f t="shared" si="32"/>
        <v>0</v>
      </c>
      <c r="AW42" s="39">
        <f t="shared" si="33"/>
        <v>0</v>
      </c>
      <c r="AX42" s="579">
        <f t="shared" si="34"/>
        <v>0</v>
      </c>
      <c r="AY42" s="39">
        <f t="shared" si="35"/>
        <v>0</v>
      </c>
      <c r="AZ42" s="39">
        <f t="shared" si="36"/>
        <v>0</v>
      </c>
      <c r="BA42" s="579">
        <f t="shared" si="37"/>
        <v>0</v>
      </c>
      <c r="BB42" s="39">
        <f t="shared" si="38"/>
        <v>0</v>
      </c>
      <c r="BC42" s="39">
        <f t="shared" si="39"/>
        <v>0</v>
      </c>
      <c r="BD42" s="579">
        <f t="shared" si="40"/>
        <v>0</v>
      </c>
      <c r="BE42" s="28">
        <f t="shared" si="41"/>
        <v>0</v>
      </c>
    </row>
    <row r="43" spans="1:57" ht="18" customHeight="1" x14ac:dyDescent="0.2">
      <c r="A43" s="574">
        <v>35</v>
      </c>
      <c r="B43" s="518">
        <f>dtsiswa!D41</f>
        <v>0</v>
      </c>
      <c r="C43" s="8"/>
      <c r="D43" s="8"/>
      <c r="E43" s="8"/>
      <c r="F43" s="8"/>
      <c r="G43" s="8"/>
      <c r="H43" s="8"/>
      <c r="I43" s="8"/>
      <c r="J43" s="8"/>
      <c r="K43" s="8"/>
      <c r="L43" s="8"/>
      <c r="M43" s="8"/>
      <c r="N43" s="8"/>
      <c r="O43" s="8"/>
      <c r="P43" s="8"/>
      <c r="Q43" s="8"/>
      <c r="R43" s="8"/>
      <c r="S43" s="8"/>
      <c r="T43" s="8"/>
      <c r="U43" s="19">
        <f t="shared" si="5"/>
        <v>0</v>
      </c>
      <c r="V43" s="19">
        <f t="shared" si="6"/>
        <v>0</v>
      </c>
      <c r="W43" s="19">
        <f t="shared" si="7"/>
        <v>0</v>
      </c>
      <c r="X43" s="19">
        <f t="shared" si="8"/>
        <v>0</v>
      </c>
      <c r="Y43" s="19">
        <f t="shared" si="9"/>
        <v>0</v>
      </c>
      <c r="Z43" s="20">
        <f t="shared" si="10"/>
        <v>0</v>
      </c>
      <c r="AA43" s="18">
        <f t="shared" si="11"/>
        <v>0</v>
      </c>
      <c r="AB43" s="18">
        <f t="shared" si="12"/>
        <v>0</v>
      </c>
      <c r="AC43" s="18">
        <f t="shared" si="13"/>
        <v>0</v>
      </c>
      <c r="AD43" s="18">
        <f t="shared" si="14"/>
        <v>0</v>
      </c>
      <c r="AE43" s="20">
        <f t="shared" si="15"/>
        <v>0</v>
      </c>
      <c r="AF43" s="65">
        <f t="shared" si="16"/>
        <v>0</v>
      </c>
      <c r="AG43" s="65">
        <f t="shared" si="17"/>
        <v>0</v>
      </c>
      <c r="AH43" s="65">
        <f t="shared" si="18"/>
        <v>0</v>
      </c>
      <c r="AI43" s="65">
        <f t="shared" si="19"/>
        <v>0</v>
      </c>
      <c r="AJ43" s="65">
        <f t="shared" si="20"/>
        <v>0</v>
      </c>
      <c r="AK43" s="20">
        <f t="shared" si="21"/>
        <v>0</v>
      </c>
      <c r="AL43" s="39">
        <f t="shared" si="22"/>
        <v>0</v>
      </c>
      <c r="AM43" s="39">
        <f t="shared" si="23"/>
        <v>0</v>
      </c>
      <c r="AN43" s="39">
        <f t="shared" si="24"/>
        <v>0</v>
      </c>
      <c r="AO43" s="39">
        <f t="shared" si="25"/>
        <v>0</v>
      </c>
      <c r="AP43" s="39">
        <f t="shared" si="26"/>
        <v>0</v>
      </c>
      <c r="AQ43" s="20">
        <f t="shared" si="27"/>
        <v>0</v>
      </c>
      <c r="AR43" s="39">
        <f t="shared" si="28"/>
        <v>0</v>
      </c>
      <c r="AS43" s="39">
        <f t="shared" si="29"/>
        <v>0</v>
      </c>
      <c r="AT43" s="20">
        <f t="shared" si="30"/>
        <v>0</v>
      </c>
      <c r="AU43" s="28">
        <f t="shared" si="31"/>
        <v>0</v>
      </c>
      <c r="AV43" s="39">
        <f t="shared" si="32"/>
        <v>0</v>
      </c>
      <c r="AW43" s="39">
        <f t="shared" si="33"/>
        <v>0</v>
      </c>
      <c r="AX43" s="579">
        <f t="shared" si="34"/>
        <v>0</v>
      </c>
      <c r="AY43" s="39">
        <f t="shared" si="35"/>
        <v>0</v>
      </c>
      <c r="AZ43" s="39">
        <f t="shared" si="36"/>
        <v>0</v>
      </c>
      <c r="BA43" s="579">
        <f t="shared" si="37"/>
        <v>0</v>
      </c>
      <c r="BB43" s="39">
        <f t="shared" si="38"/>
        <v>0</v>
      </c>
      <c r="BC43" s="39">
        <f t="shared" si="39"/>
        <v>0</v>
      </c>
      <c r="BD43" s="579">
        <f t="shared" si="40"/>
        <v>0</v>
      </c>
      <c r="BE43" s="28">
        <f t="shared" si="41"/>
        <v>0</v>
      </c>
    </row>
    <row r="44" spans="1:57" ht="18" customHeight="1" x14ac:dyDescent="0.2">
      <c r="A44" s="574">
        <v>36</v>
      </c>
      <c r="B44" s="518">
        <f>dtsiswa!D42</f>
        <v>0</v>
      </c>
      <c r="C44" s="8"/>
      <c r="D44" s="8"/>
      <c r="E44" s="8"/>
      <c r="F44" s="8"/>
      <c r="G44" s="8"/>
      <c r="H44" s="8"/>
      <c r="I44" s="8"/>
      <c r="J44" s="8"/>
      <c r="K44" s="8"/>
      <c r="L44" s="8"/>
      <c r="M44" s="8"/>
      <c r="N44" s="8"/>
      <c r="O44" s="8"/>
      <c r="P44" s="8"/>
      <c r="Q44" s="8"/>
      <c r="R44" s="8"/>
      <c r="S44" s="8"/>
      <c r="T44" s="8"/>
      <c r="U44" s="19">
        <f t="shared" si="5"/>
        <v>0</v>
      </c>
      <c r="V44" s="19">
        <f t="shared" si="6"/>
        <v>0</v>
      </c>
      <c r="W44" s="19">
        <f t="shared" si="7"/>
        <v>0</v>
      </c>
      <c r="X44" s="19">
        <f t="shared" si="8"/>
        <v>0</v>
      </c>
      <c r="Y44" s="19">
        <f t="shared" si="9"/>
        <v>0</v>
      </c>
      <c r="Z44" s="20">
        <f t="shared" si="10"/>
        <v>0</v>
      </c>
      <c r="AA44" s="18">
        <f t="shared" si="11"/>
        <v>0</v>
      </c>
      <c r="AB44" s="18">
        <f t="shared" si="12"/>
        <v>0</v>
      </c>
      <c r="AC44" s="18">
        <f t="shared" si="13"/>
        <v>0</v>
      </c>
      <c r="AD44" s="18">
        <f t="shared" si="14"/>
        <v>0</v>
      </c>
      <c r="AE44" s="20">
        <f t="shared" si="15"/>
        <v>0</v>
      </c>
      <c r="AF44" s="65">
        <f t="shared" si="16"/>
        <v>0</v>
      </c>
      <c r="AG44" s="65">
        <f t="shared" si="17"/>
        <v>0</v>
      </c>
      <c r="AH44" s="65">
        <f t="shared" si="18"/>
        <v>0</v>
      </c>
      <c r="AI44" s="65">
        <f t="shared" si="19"/>
        <v>0</v>
      </c>
      <c r="AJ44" s="65">
        <f t="shared" si="20"/>
        <v>0</v>
      </c>
      <c r="AK44" s="20">
        <f t="shared" si="21"/>
        <v>0</v>
      </c>
      <c r="AL44" s="39">
        <f t="shared" si="22"/>
        <v>0</v>
      </c>
      <c r="AM44" s="39">
        <f t="shared" si="23"/>
        <v>0</v>
      </c>
      <c r="AN44" s="39">
        <f t="shared" si="24"/>
        <v>0</v>
      </c>
      <c r="AO44" s="39">
        <f t="shared" si="25"/>
        <v>0</v>
      </c>
      <c r="AP44" s="39">
        <f t="shared" si="26"/>
        <v>0</v>
      </c>
      <c r="AQ44" s="20">
        <f t="shared" si="27"/>
        <v>0</v>
      </c>
      <c r="AR44" s="39">
        <f t="shared" si="28"/>
        <v>0</v>
      </c>
      <c r="AS44" s="39">
        <f t="shared" si="29"/>
        <v>0</v>
      </c>
      <c r="AT44" s="20">
        <f t="shared" si="30"/>
        <v>0</v>
      </c>
      <c r="AU44" s="28">
        <f t="shared" si="31"/>
        <v>0</v>
      </c>
      <c r="AV44" s="39">
        <f t="shared" si="32"/>
        <v>0</v>
      </c>
      <c r="AW44" s="39">
        <f t="shared" si="33"/>
        <v>0</v>
      </c>
      <c r="AX44" s="579">
        <f t="shared" si="34"/>
        <v>0</v>
      </c>
      <c r="AY44" s="39">
        <f t="shared" si="35"/>
        <v>0</v>
      </c>
      <c r="AZ44" s="39">
        <f t="shared" si="36"/>
        <v>0</v>
      </c>
      <c r="BA44" s="579">
        <f t="shared" si="37"/>
        <v>0</v>
      </c>
      <c r="BB44" s="39">
        <f t="shared" si="38"/>
        <v>0</v>
      </c>
      <c r="BC44" s="39">
        <f t="shared" si="39"/>
        <v>0</v>
      </c>
      <c r="BD44" s="579">
        <f t="shared" si="40"/>
        <v>0</v>
      </c>
      <c r="BE44" s="28">
        <f t="shared" si="41"/>
        <v>0</v>
      </c>
    </row>
    <row r="45" spans="1:57" ht="18" customHeight="1" x14ac:dyDescent="0.2">
      <c r="A45" s="574">
        <v>37</v>
      </c>
      <c r="B45" s="518">
        <f>dtsiswa!D43</f>
        <v>0</v>
      </c>
      <c r="C45" s="8"/>
      <c r="D45" s="8"/>
      <c r="E45" s="8"/>
      <c r="F45" s="8"/>
      <c r="G45" s="8"/>
      <c r="H45" s="8"/>
      <c r="I45" s="8"/>
      <c r="J45" s="8"/>
      <c r="K45" s="8"/>
      <c r="L45" s="8"/>
      <c r="M45" s="8"/>
      <c r="N45" s="8"/>
      <c r="O45" s="8"/>
      <c r="P45" s="8"/>
      <c r="Q45" s="8"/>
      <c r="R45" s="8"/>
      <c r="S45" s="8"/>
      <c r="T45" s="8"/>
      <c r="U45" s="19">
        <f t="shared" si="5"/>
        <v>0</v>
      </c>
      <c r="V45" s="19">
        <f t="shared" si="6"/>
        <v>0</v>
      </c>
      <c r="W45" s="19">
        <f t="shared" si="7"/>
        <v>0</v>
      </c>
      <c r="X45" s="19">
        <f t="shared" si="8"/>
        <v>0</v>
      </c>
      <c r="Y45" s="19">
        <f t="shared" si="9"/>
        <v>0</v>
      </c>
      <c r="Z45" s="20">
        <f t="shared" si="10"/>
        <v>0</v>
      </c>
      <c r="AA45" s="18">
        <f t="shared" si="11"/>
        <v>0</v>
      </c>
      <c r="AB45" s="18">
        <f t="shared" si="12"/>
        <v>0</v>
      </c>
      <c r="AC45" s="18">
        <f t="shared" si="13"/>
        <v>0</v>
      </c>
      <c r="AD45" s="18">
        <f t="shared" si="14"/>
        <v>0</v>
      </c>
      <c r="AE45" s="20">
        <f t="shared" si="15"/>
        <v>0</v>
      </c>
      <c r="AF45" s="65">
        <f t="shared" si="16"/>
        <v>0</v>
      </c>
      <c r="AG45" s="65">
        <f t="shared" si="17"/>
        <v>0</v>
      </c>
      <c r="AH45" s="65">
        <f t="shared" si="18"/>
        <v>0</v>
      </c>
      <c r="AI45" s="65">
        <f t="shared" si="19"/>
        <v>0</v>
      </c>
      <c r="AJ45" s="65">
        <f t="shared" si="20"/>
        <v>0</v>
      </c>
      <c r="AK45" s="20">
        <f t="shared" si="21"/>
        <v>0</v>
      </c>
      <c r="AL45" s="39">
        <f t="shared" si="22"/>
        <v>0</v>
      </c>
      <c r="AM45" s="39">
        <f t="shared" si="23"/>
        <v>0</v>
      </c>
      <c r="AN45" s="39">
        <f t="shared" si="24"/>
        <v>0</v>
      </c>
      <c r="AO45" s="39">
        <f t="shared" si="25"/>
        <v>0</v>
      </c>
      <c r="AP45" s="39">
        <f t="shared" si="26"/>
        <v>0</v>
      </c>
      <c r="AQ45" s="20">
        <f t="shared" si="27"/>
        <v>0</v>
      </c>
      <c r="AR45" s="39">
        <f t="shared" si="28"/>
        <v>0</v>
      </c>
      <c r="AS45" s="39">
        <f t="shared" si="29"/>
        <v>0</v>
      </c>
      <c r="AT45" s="20">
        <f t="shared" si="30"/>
        <v>0</v>
      </c>
      <c r="AU45" s="28">
        <f t="shared" si="31"/>
        <v>0</v>
      </c>
      <c r="AV45" s="39">
        <f t="shared" si="32"/>
        <v>0</v>
      </c>
      <c r="AW45" s="39">
        <f t="shared" si="33"/>
        <v>0</v>
      </c>
      <c r="AX45" s="579">
        <f t="shared" si="34"/>
        <v>0</v>
      </c>
      <c r="AY45" s="39">
        <f t="shared" si="35"/>
        <v>0</v>
      </c>
      <c r="AZ45" s="39">
        <f t="shared" si="36"/>
        <v>0</v>
      </c>
      <c r="BA45" s="579">
        <f t="shared" si="37"/>
        <v>0</v>
      </c>
      <c r="BB45" s="39">
        <f t="shared" si="38"/>
        <v>0</v>
      </c>
      <c r="BC45" s="39">
        <f t="shared" si="39"/>
        <v>0</v>
      </c>
      <c r="BD45" s="579">
        <f t="shared" si="40"/>
        <v>0</v>
      </c>
      <c r="BE45" s="28">
        <f t="shared" si="41"/>
        <v>0</v>
      </c>
    </row>
    <row r="46" spans="1:57" ht="18" customHeight="1" x14ac:dyDescent="0.2">
      <c r="A46" s="574">
        <v>38</v>
      </c>
      <c r="B46" s="518">
        <f>dtsiswa!D44</f>
        <v>0</v>
      </c>
      <c r="C46" s="8"/>
      <c r="D46" s="8"/>
      <c r="E46" s="8"/>
      <c r="F46" s="8"/>
      <c r="G46" s="8"/>
      <c r="H46" s="8"/>
      <c r="I46" s="8"/>
      <c r="J46" s="8"/>
      <c r="K46" s="8"/>
      <c r="L46" s="8"/>
      <c r="M46" s="8"/>
      <c r="N46" s="8"/>
      <c r="O46" s="8"/>
      <c r="P46" s="8"/>
      <c r="Q46" s="8"/>
      <c r="R46" s="8"/>
      <c r="S46" s="8"/>
      <c r="T46" s="8"/>
      <c r="U46" s="19">
        <f t="shared" si="5"/>
        <v>0</v>
      </c>
      <c r="V46" s="19">
        <f t="shared" si="6"/>
        <v>0</v>
      </c>
      <c r="W46" s="19">
        <f t="shared" si="7"/>
        <v>0</v>
      </c>
      <c r="X46" s="19">
        <f t="shared" si="8"/>
        <v>0</v>
      </c>
      <c r="Y46" s="19">
        <f t="shared" si="9"/>
        <v>0</v>
      </c>
      <c r="Z46" s="20">
        <f t="shared" si="10"/>
        <v>0</v>
      </c>
      <c r="AA46" s="18">
        <f t="shared" si="11"/>
        <v>0</v>
      </c>
      <c r="AB46" s="18">
        <f t="shared" si="12"/>
        <v>0</v>
      </c>
      <c r="AC46" s="18">
        <f t="shared" si="13"/>
        <v>0</v>
      </c>
      <c r="AD46" s="18">
        <f t="shared" si="14"/>
        <v>0</v>
      </c>
      <c r="AE46" s="20">
        <f t="shared" si="15"/>
        <v>0</v>
      </c>
      <c r="AF46" s="65">
        <f t="shared" si="16"/>
        <v>0</v>
      </c>
      <c r="AG46" s="65">
        <f t="shared" si="17"/>
        <v>0</v>
      </c>
      <c r="AH46" s="65">
        <f t="shared" si="18"/>
        <v>0</v>
      </c>
      <c r="AI46" s="65">
        <f t="shared" si="19"/>
        <v>0</v>
      </c>
      <c r="AJ46" s="65">
        <f t="shared" si="20"/>
        <v>0</v>
      </c>
      <c r="AK46" s="20">
        <f t="shared" si="21"/>
        <v>0</v>
      </c>
      <c r="AL46" s="39">
        <f t="shared" si="22"/>
        <v>0</v>
      </c>
      <c r="AM46" s="39">
        <f t="shared" si="23"/>
        <v>0</v>
      </c>
      <c r="AN46" s="39">
        <f t="shared" si="24"/>
        <v>0</v>
      </c>
      <c r="AO46" s="39">
        <f t="shared" si="25"/>
        <v>0</v>
      </c>
      <c r="AP46" s="39">
        <f t="shared" si="26"/>
        <v>0</v>
      </c>
      <c r="AQ46" s="20">
        <f t="shared" si="27"/>
        <v>0</v>
      </c>
      <c r="AR46" s="39">
        <f t="shared" si="28"/>
        <v>0</v>
      </c>
      <c r="AS46" s="39">
        <f t="shared" si="29"/>
        <v>0</v>
      </c>
      <c r="AT46" s="20">
        <f t="shared" si="30"/>
        <v>0</v>
      </c>
      <c r="AU46" s="28">
        <f t="shared" si="31"/>
        <v>0</v>
      </c>
      <c r="AV46" s="39">
        <f t="shared" si="32"/>
        <v>0</v>
      </c>
      <c r="AW46" s="39">
        <f t="shared" si="33"/>
        <v>0</v>
      </c>
      <c r="AX46" s="579">
        <f t="shared" si="34"/>
        <v>0</v>
      </c>
      <c r="AY46" s="39">
        <f t="shared" si="35"/>
        <v>0</v>
      </c>
      <c r="AZ46" s="39">
        <f t="shared" si="36"/>
        <v>0</v>
      </c>
      <c r="BA46" s="579">
        <f t="shared" si="37"/>
        <v>0</v>
      </c>
      <c r="BB46" s="39">
        <f t="shared" si="38"/>
        <v>0</v>
      </c>
      <c r="BC46" s="39">
        <f t="shared" si="39"/>
        <v>0</v>
      </c>
      <c r="BD46" s="579">
        <f t="shared" si="40"/>
        <v>0</v>
      </c>
      <c r="BE46" s="28">
        <f t="shared" si="41"/>
        <v>0</v>
      </c>
    </row>
    <row r="47" spans="1:57" ht="18" customHeight="1" x14ac:dyDescent="0.2">
      <c r="A47" s="58">
        <v>39</v>
      </c>
      <c r="B47" s="63">
        <f>dtsiswa!D45</f>
        <v>0</v>
      </c>
      <c r="C47" s="8"/>
      <c r="D47" s="8"/>
      <c r="E47" s="8"/>
      <c r="F47" s="8"/>
      <c r="G47" s="8"/>
      <c r="H47" s="8"/>
      <c r="I47" s="8"/>
      <c r="J47" s="8"/>
      <c r="K47" s="8"/>
      <c r="L47" s="8"/>
      <c r="M47" s="8"/>
      <c r="N47" s="8"/>
      <c r="O47" s="8"/>
      <c r="P47" s="8"/>
      <c r="Q47" s="8"/>
      <c r="R47" s="8"/>
      <c r="S47" s="8"/>
      <c r="T47" s="8"/>
      <c r="U47" s="19">
        <f t="shared" si="5"/>
        <v>0</v>
      </c>
      <c r="V47" s="19">
        <f t="shared" si="6"/>
        <v>0</v>
      </c>
      <c r="W47" s="19">
        <f t="shared" si="7"/>
        <v>0</v>
      </c>
      <c r="X47" s="19">
        <f t="shared" si="8"/>
        <v>0</v>
      </c>
      <c r="Y47" s="19">
        <f t="shared" si="9"/>
        <v>0</v>
      </c>
      <c r="Z47" s="20">
        <f t="shared" si="10"/>
        <v>0</v>
      </c>
      <c r="AA47" s="18">
        <f t="shared" si="11"/>
        <v>0</v>
      </c>
      <c r="AB47" s="18">
        <f t="shared" si="12"/>
        <v>0</v>
      </c>
      <c r="AC47" s="18">
        <f t="shared" si="13"/>
        <v>0</v>
      </c>
      <c r="AD47" s="18">
        <f t="shared" si="14"/>
        <v>0</v>
      </c>
      <c r="AE47" s="20">
        <f t="shared" si="15"/>
        <v>0</v>
      </c>
      <c r="AF47" s="65">
        <f t="shared" si="16"/>
        <v>0</v>
      </c>
      <c r="AG47" s="65">
        <f t="shared" si="17"/>
        <v>0</v>
      </c>
      <c r="AH47" s="65">
        <f t="shared" si="18"/>
        <v>0</v>
      </c>
      <c r="AI47" s="65">
        <f t="shared" si="19"/>
        <v>0</v>
      </c>
      <c r="AJ47" s="65">
        <f t="shared" si="20"/>
        <v>0</v>
      </c>
      <c r="AK47" s="20">
        <f t="shared" si="21"/>
        <v>0</v>
      </c>
      <c r="AL47" s="39">
        <f t="shared" si="22"/>
        <v>0</v>
      </c>
      <c r="AM47" s="39">
        <f t="shared" si="23"/>
        <v>0</v>
      </c>
      <c r="AN47" s="39">
        <f t="shared" si="24"/>
        <v>0</v>
      </c>
      <c r="AO47" s="39">
        <f t="shared" si="25"/>
        <v>0</v>
      </c>
      <c r="AP47" s="39">
        <f t="shared" si="26"/>
        <v>0</v>
      </c>
      <c r="AQ47" s="20">
        <f t="shared" si="27"/>
        <v>0</v>
      </c>
      <c r="AR47" s="39">
        <f t="shared" si="28"/>
        <v>0</v>
      </c>
      <c r="AS47" s="39">
        <f t="shared" si="29"/>
        <v>0</v>
      </c>
      <c r="AT47" s="20">
        <f t="shared" si="30"/>
        <v>0</v>
      </c>
      <c r="AU47" s="28">
        <f t="shared" si="31"/>
        <v>0</v>
      </c>
      <c r="AV47" s="39">
        <f t="shared" si="32"/>
        <v>0</v>
      </c>
      <c r="AW47" s="39">
        <f t="shared" si="33"/>
        <v>0</v>
      </c>
      <c r="AX47" s="579">
        <f t="shared" si="34"/>
        <v>0</v>
      </c>
      <c r="AY47" s="39">
        <f t="shared" si="35"/>
        <v>0</v>
      </c>
      <c r="AZ47" s="39">
        <f t="shared" si="36"/>
        <v>0</v>
      </c>
      <c r="BA47" s="579">
        <f t="shared" si="37"/>
        <v>0</v>
      </c>
      <c r="BB47" s="39">
        <f t="shared" si="38"/>
        <v>0</v>
      </c>
      <c r="BC47" s="39">
        <f t="shared" si="39"/>
        <v>0</v>
      </c>
      <c r="BD47" s="579">
        <f t="shared" si="40"/>
        <v>0</v>
      </c>
      <c r="BE47" s="28">
        <f t="shared" si="41"/>
        <v>0</v>
      </c>
    </row>
    <row r="48" spans="1:57" ht="18" customHeight="1" x14ac:dyDescent="0.2">
      <c r="A48" s="866">
        <v>40</v>
      </c>
      <c r="B48" s="518">
        <f>dtsiswa!D46</f>
        <v>0</v>
      </c>
      <c r="C48" s="8"/>
      <c r="D48" s="8"/>
      <c r="E48" s="8"/>
      <c r="F48" s="8"/>
      <c r="G48" s="8"/>
      <c r="H48" s="8"/>
      <c r="I48" s="8"/>
      <c r="J48" s="8"/>
      <c r="K48" s="8"/>
      <c r="L48" s="8"/>
      <c r="M48" s="8"/>
      <c r="N48" s="8"/>
      <c r="O48" s="8"/>
      <c r="P48" s="8"/>
      <c r="Q48" s="8"/>
      <c r="R48" s="8"/>
      <c r="S48" s="8"/>
      <c r="T48" s="8"/>
      <c r="U48" s="19">
        <f t="shared" si="5"/>
        <v>0</v>
      </c>
      <c r="V48" s="19">
        <f t="shared" si="6"/>
        <v>0</v>
      </c>
      <c r="W48" s="19">
        <f t="shared" si="7"/>
        <v>0</v>
      </c>
      <c r="X48" s="19">
        <f t="shared" si="8"/>
        <v>0</v>
      </c>
      <c r="Y48" s="19">
        <f t="shared" si="9"/>
        <v>0</v>
      </c>
      <c r="Z48" s="20">
        <f t="shared" si="10"/>
        <v>0</v>
      </c>
      <c r="AA48" s="18">
        <f t="shared" si="11"/>
        <v>0</v>
      </c>
      <c r="AB48" s="18">
        <f t="shared" si="12"/>
        <v>0</v>
      </c>
      <c r="AC48" s="18">
        <f t="shared" si="13"/>
        <v>0</v>
      </c>
      <c r="AD48" s="18">
        <f t="shared" si="14"/>
        <v>0</v>
      </c>
      <c r="AE48" s="20">
        <f t="shared" si="15"/>
        <v>0</v>
      </c>
      <c r="AF48" s="65">
        <f t="shared" si="16"/>
        <v>0</v>
      </c>
      <c r="AG48" s="65">
        <f t="shared" si="17"/>
        <v>0</v>
      </c>
      <c r="AH48" s="65">
        <f t="shared" si="18"/>
        <v>0</v>
      </c>
      <c r="AI48" s="65">
        <f t="shared" si="19"/>
        <v>0</v>
      </c>
      <c r="AJ48" s="65">
        <f t="shared" si="20"/>
        <v>0</v>
      </c>
      <c r="AK48" s="20">
        <f t="shared" si="21"/>
        <v>0</v>
      </c>
      <c r="AL48" s="39">
        <f>D48</f>
        <v>0</v>
      </c>
      <c r="AM48" s="39">
        <f>G48</f>
        <v>0</v>
      </c>
      <c r="AN48" s="39">
        <f t="shared" si="24"/>
        <v>0</v>
      </c>
      <c r="AO48" s="39">
        <f t="shared" si="25"/>
        <v>0</v>
      </c>
      <c r="AP48" s="39">
        <f>J48</f>
        <v>0</v>
      </c>
      <c r="AQ48" s="20">
        <f>IFERROR(AVERAGE(AM48:AP48),"  ")</f>
        <v>0</v>
      </c>
      <c r="AR48" s="39">
        <f t="shared" si="28"/>
        <v>0</v>
      </c>
      <c r="AS48" s="39">
        <f t="shared" si="29"/>
        <v>0</v>
      </c>
      <c r="AT48" s="20">
        <f t="shared" si="30"/>
        <v>0</v>
      </c>
      <c r="AU48" s="28">
        <f t="shared" si="31"/>
        <v>0</v>
      </c>
      <c r="AV48" s="39">
        <f t="shared" ref="AV48" si="42">E48</f>
        <v>0</v>
      </c>
      <c r="AW48" s="39">
        <f t="shared" ref="AW48" si="43">F48</f>
        <v>0</v>
      </c>
      <c r="AX48" s="579">
        <f t="shared" si="34"/>
        <v>0</v>
      </c>
      <c r="AY48" s="39">
        <f t="shared" si="35"/>
        <v>0</v>
      </c>
      <c r="AZ48" s="39">
        <f t="shared" si="36"/>
        <v>0</v>
      </c>
      <c r="BA48" s="579">
        <f t="shared" si="37"/>
        <v>0</v>
      </c>
      <c r="BB48" s="39">
        <f t="shared" si="38"/>
        <v>0</v>
      </c>
      <c r="BC48" s="39">
        <f t="shared" si="39"/>
        <v>0</v>
      </c>
      <c r="BD48" s="579">
        <f t="shared" si="40"/>
        <v>0</v>
      </c>
      <c r="BE48" s="28">
        <f t="shared" si="41"/>
        <v>0</v>
      </c>
    </row>
  </sheetData>
  <mergeCells count="36">
    <mergeCell ref="AV6:BE6"/>
    <mergeCell ref="AV7:AW7"/>
    <mergeCell ref="BB7:BC7"/>
    <mergeCell ref="AX7:AX8"/>
    <mergeCell ref="AY7:AZ7"/>
    <mergeCell ref="BA7:BA8"/>
    <mergeCell ref="BD7:BD8"/>
    <mergeCell ref="AA6:AD6"/>
    <mergeCell ref="A6:A8"/>
    <mergeCell ref="B6:B8"/>
    <mergeCell ref="C6:C8"/>
    <mergeCell ref="O6:R6"/>
    <mergeCell ref="S6:T6"/>
    <mergeCell ref="E7:F7"/>
    <mergeCell ref="G7:J7"/>
    <mergeCell ref="O7:P7"/>
    <mergeCell ref="Q7:R7"/>
    <mergeCell ref="D6:F6"/>
    <mergeCell ref="G6:N6"/>
    <mergeCell ref="K7:N7"/>
    <mergeCell ref="AT7:AT8"/>
    <mergeCell ref="AQ7:AQ8"/>
    <mergeCell ref="J2:K2"/>
    <mergeCell ref="O2:P2"/>
    <mergeCell ref="Q2:S2"/>
    <mergeCell ref="U7:Y7"/>
    <mergeCell ref="AL6:AU6"/>
    <mergeCell ref="AE6:AE8"/>
    <mergeCell ref="AF6:AJ7"/>
    <mergeCell ref="AK6:AK8"/>
    <mergeCell ref="AM7:AP7"/>
    <mergeCell ref="AR7:AS7"/>
    <mergeCell ref="AA7:AD7"/>
    <mergeCell ref="AB3:AD3"/>
    <mergeCell ref="U6:Y6"/>
    <mergeCell ref="Z6:Z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1:CG48"/>
  <sheetViews>
    <sheetView showGridLines="0" workbookViewId="0">
      <pane xSplit="2" ySplit="8" topLeftCell="C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4.85546875" style="1" customWidth="1"/>
    <col min="3" max="3" width="5" style="1" customWidth="1"/>
    <col min="4" max="18" width="4.7109375" style="1" customWidth="1"/>
    <col min="19" max="19" width="6.140625" style="1" customWidth="1"/>
    <col min="20" max="20" width="6.42578125" style="1" customWidth="1"/>
    <col min="21" max="35" width="4.7109375" style="1" customWidth="1"/>
    <col min="36" max="36" width="6.5703125" style="1" customWidth="1"/>
    <col min="37" max="47" width="4.7109375" style="1" customWidth="1"/>
    <col min="48" max="48" width="6.42578125" style="1" customWidth="1"/>
    <col min="49" max="55" width="4.7109375" style="1" customWidth="1"/>
    <col min="56" max="56" width="7.5703125" style="1" customWidth="1"/>
    <col min="57" max="63" width="4.7109375" style="1" customWidth="1"/>
    <col min="64" max="65" width="5.42578125" style="1" customWidth="1"/>
    <col min="66" max="72" width="4.7109375" style="1" customWidth="1"/>
    <col min="73" max="74" width="4.28515625" style="1" customWidth="1"/>
    <col min="75" max="75" width="5.140625" style="1" customWidth="1"/>
    <col min="76" max="80" width="4.28515625" style="1" customWidth="1"/>
    <col min="81" max="81" width="9" style="1" customWidth="1"/>
    <col min="82" max="84" width="4.28515625" style="1" customWidth="1"/>
    <col min="85" max="85" width="5.42578125" style="1" customWidth="1"/>
    <col min="86" max="16384" width="9.140625" style="1"/>
  </cols>
  <sheetData>
    <row r="1" spans="1:85" x14ac:dyDescent="0.2">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row>
    <row r="2" spans="1:85" ht="21" x14ac:dyDescent="0.2">
      <c r="C2" s="9"/>
      <c r="D2" s="181"/>
      <c r="E2" s="249"/>
      <c r="F2" s="2382"/>
      <c r="G2" s="2382"/>
      <c r="H2" s="2382"/>
      <c r="I2" s="2382"/>
      <c r="J2" s="249"/>
      <c r="K2" s="249"/>
      <c r="L2" s="860"/>
      <c r="M2" s="181"/>
      <c r="N2" s="249"/>
      <c r="O2" s="249"/>
      <c r="P2" s="249"/>
      <c r="Q2" s="249"/>
      <c r="R2" s="2382"/>
      <c r="S2" s="2382"/>
      <c r="T2" s="249"/>
      <c r="U2" s="2382"/>
      <c r="V2" s="2382"/>
      <c r="W2" s="249"/>
      <c r="X2" s="249"/>
      <c r="Y2" s="62"/>
      <c r="Z2" s="62"/>
      <c r="AA2" s="62"/>
      <c r="AB2" s="62"/>
      <c r="AC2" s="62"/>
      <c r="AD2" s="62"/>
      <c r="AE2" s="62"/>
      <c r="AF2" s="62"/>
      <c r="AG2" s="9"/>
      <c r="AH2" s="9"/>
      <c r="AI2" s="9"/>
    </row>
    <row r="3" spans="1:85" s="6" customFormat="1" ht="18" customHeight="1" x14ac:dyDescent="0.2">
      <c r="A3" s="196" t="s">
        <v>41</v>
      </c>
      <c r="C3" s="9"/>
      <c r="D3" s="9"/>
      <c r="E3" s="9"/>
      <c r="F3" s="10"/>
      <c r="G3" s="10"/>
      <c r="H3" s="10"/>
      <c r="I3" s="10"/>
      <c r="J3" s="10"/>
      <c r="K3" s="10"/>
      <c r="L3" s="10"/>
      <c r="M3" s="10"/>
      <c r="N3" s="10"/>
      <c r="O3" s="10"/>
      <c r="P3" s="10"/>
      <c r="Q3" s="10"/>
      <c r="R3" s="10"/>
      <c r="S3" s="10"/>
      <c r="T3" s="10"/>
      <c r="U3" s="10"/>
      <c r="V3" s="10"/>
      <c r="W3" s="10"/>
      <c r="X3" s="10"/>
      <c r="Y3" s="10"/>
      <c r="Z3" s="10"/>
      <c r="AA3" s="10"/>
      <c r="AB3" s="9"/>
      <c r="AC3" s="2279"/>
      <c r="AD3" s="2279"/>
      <c r="AE3" s="2279"/>
      <c r="AF3" s="2279"/>
      <c r="AG3" s="2279"/>
      <c r="AH3" s="2279"/>
      <c r="AI3" s="2279"/>
      <c r="AJ3" s="179"/>
      <c r="AK3" s="179"/>
      <c r="AL3" s="2279"/>
      <c r="AM3" s="2279"/>
      <c r="AN3" s="2279"/>
      <c r="AO3" s="2279"/>
      <c r="AP3" s="2279"/>
      <c r="AQ3" s="2279"/>
      <c r="AR3" s="2279"/>
      <c r="AS3" s="2279"/>
      <c r="AT3" s="2279"/>
      <c r="AU3" s="2279"/>
      <c r="AV3" s="179"/>
      <c r="AW3" s="179"/>
      <c r="AX3" s="179"/>
      <c r="AY3" s="179"/>
      <c r="AZ3" s="179"/>
      <c r="BA3" s="179"/>
      <c r="BB3" s="179"/>
      <c r="BC3" s="179"/>
    </row>
    <row r="4" spans="1:85" s="6" customFormat="1" ht="18" customHeight="1" x14ac:dyDescent="0.2">
      <c r="A4" s="195" t="s">
        <v>571</v>
      </c>
      <c r="D4" s="9"/>
      <c r="E4" s="9"/>
      <c r="F4" s="61"/>
      <c r="G4" s="61"/>
      <c r="H4" s="576"/>
      <c r="I4" s="61"/>
      <c r="J4" s="250"/>
      <c r="K4" s="250"/>
      <c r="L4" s="865"/>
      <c r="M4" s="61"/>
      <c r="N4" s="250"/>
      <c r="O4" s="250"/>
      <c r="P4" s="250"/>
      <c r="Q4" s="250"/>
      <c r="R4" s="576"/>
      <c r="S4" s="61"/>
      <c r="T4" s="250"/>
      <c r="U4" s="10"/>
      <c r="V4" s="10"/>
      <c r="W4" s="10"/>
      <c r="X4" s="10"/>
      <c r="Y4" s="10"/>
      <c r="Z4" s="10"/>
      <c r="AA4" s="10"/>
      <c r="AB4" s="10"/>
      <c r="AI4" s="179"/>
      <c r="AL4" s="179"/>
      <c r="AM4" s="179"/>
      <c r="AN4" s="179"/>
      <c r="AO4" s="252"/>
      <c r="AP4" s="179"/>
      <c r="AQ4" s="179"/>
      <c r="AR4" s="179"/>
      <c r="AS4" s="862"/>
      <c r="AT4" s="862"/>
      <c r="AU4" s="179"/>
      <c r="AV4" s="179"/>
      <c r="AW4" s="179"/>
      <c r="AX4" s="179"/>
      <c r="AY4" s="179"/>
      <c r="AZ4" s="179"/>
      <c r="BA4" s="179"/>
      <c r="BB4" s="179"/>
      <c r="BC4" s="179"/>
    </row>
    <row r="5" spans="1:85" s="267" customFormat="1" ht="18" customHeight="1" thickBot="1" x14ac:dyDescent="0.3">
      <c r="A5" s="265">
        <v>1</v>
      </c>
      <c r="B5" s="266">
        <v>2</v>
      </c>
      <c r="C5" s="265">
        <v>3</v>
      </c>
      <c r="D5" s="266">
        <v>4</v>
      </c>
      <c r="E5" s="265">
        <v>5</v>
      </c>
      <c r="F5" s="266">
        <v>6</v>
      </c>
      <c r="G5" s="265">
        <v>7</v>
      </c>
      <c r="H5" s="266">
        <v>8</v>
      </c>
      <c r="I5" s="265">
        <v>9</v>
      </c>
      <c r="J5" s="266">
        <v>10</v>
      </c>
      <c r="K5" s="265">
        <v>11</v>
      </c>
      <c r="L5" s="266">
        <v>12</v>
      </c>
      <c r="M5" s="265">
        <v>13</v>
      </c>
      <c r="N5" s="266">
        <v>14</v>
      </c>
      <c r="O5" s="265">
        <v>15</v>
      </c>
      <c r="P5" s="266">
        <v>16</v>
      </c>
      <c r="Q5" s="265">
        <v>17</v>
      </c>
      <c r="R5" s="266">
        <v>18</v>
      </c>
      <c r="S5" s="265">
        <v>19</v>
      </c>
      <c r="T5" s="266">
        <v>20</v>
      </c>
      <c r="U5" s="265">
        <v>21</v>
      </c>
      <c r="V5" s="266">
        <v>22</v>
      </c>
      <c r="W5" s="265">
        <v>23</v>
      </c>
      <c r="X5" s="266">
        <v>24</v>
      </c>
      <c r="Y5" s="265">
        <v>25</v>
      </c>
      <c r="Z5" s="266">
        <v>26</v>
      </c>
      <c r="AA5" s="265">
        <v>27</v>
      </c>
      <c r="AB5" s="266">
        <v>28</v>
      </c>
      <c r="AC5" s="265">
        <v>29</v>
      </c>
      <c r="AD5" s="266">
        <v>30</v>
      </c>
      <c r="AE5" s="265">
        <v>31</v>
      </c>
      <c r="AF5" s="266">
        <v>32</v>
      </c>
      <c r="AG5" s="265">
        <v>33</v>
      </c>
      <c r="AH5" s="266">
        <v>34</v>
      </c>
      <c r="AI5" s="265">
        <v>35</v>
      </c>
      <c r="AJ5" s="266">
        <v>36</v>
      </c>
      <c r="AK5" s="265">
        <v>37</v>
      </c>
      <c r="AL5" s="266">
        <v>38</v>
      </c>
      <c r="AM5" s="265">
        <v>39</v>
      </c>
      <c r="AN5" s="266">
        <v>40</v>
      </c>
      <c r="AO5" s="265">
        <v>41</v>
      </c>
      <c r="AP5" s="266">
        <v>42</v>
      </c>
      <c r="AQ5" s="265">
        <v>43</v>
      </c>
      <c r="AR5" s="266">
        <v>44</v>
      </c>
      <c r="AS5" s="265">
        <v>45</v>
      </c>
      <c r="AT5" s="266">
        <v>46</v>
      </c>
      <c r="AU5" s="265">
        <v>47</v>
      </c>
      <c r="AV5" s="266">
        <v>48</v>
      </c>
      <c r="AW5" s="1083">
        <v>49</v>
      </c>
      <c r="AX5" s="1084">
        <v>50</v>
      </c>
      <c r="AY5" s="1083">
        <v>51</v>
      </c>
      <c r="AZ5" s="1084">
        <v>52</v>
      </c>
      <c r="BA5" s="1083">
        <v>53</v>
      </c>
      <c r="BB5" s="1084">
        <v>54</v>
      </c>
      <c r="BC5" s="1083">
        <v>55</v>
      </c>
      <c r="BD5" s="266">
        <v>56</v>
      </c>
      <c r="BE5" s="265">
        <v>57</v>
      </c>
      <c r="BF5" s="266">
        <v>58</v>
      </c>
      <c r="BG5" s="265">
        <v>59</v>
      </c>
      <c r="BH5" s="266">
        <v>60</v>
      </c>
      <c r="BI5" s="265">
        <v>61</v>
      </c>
      <c r="BJ5" s="266">
        <v>62</v>
      </c>
      <c r="BK5" s="265">
        <v>63</v>
      </c>
      <c r="BL5" s="266">
        <v>64</v>
      </c>
      <c r="BM5" s="265">
        <v>65</v>
      </c>
      <c r="BN5" s="266">
        <v>66</v>
      </c>
      <c r="BO5" s="265">
        <v>67</v>
      </c>
      <c r="BP5" s="266">
        <v>68</v>
      </c>
      <c r="BQ5" s="265">
        <v>69</v>
      </c>
      <c r="BR5" s="266">
        <v>70</v>
      </c>
      <c r="BS5" s="265">
        <v>71</v>
      </c>
      <c r="BT5" s="266">
        <v>72</v>
      </c>
      <c r="BU5" s="265">
        <v>73</v>
      </c>
      <c r="BV5" s="266">
        <v>74</v>
      </c>
      <c r="BW5" s="265">
        <v>75</v>
      </c>
      <c r="BX5" s="266">
        <v>76</v>
      </c>
      <c r="BY5" s="265">
        <v>77</v>
      </c>
      <c r="BZ5" s="266">
        <v>78</v>
      </c>
      <c r="CA5" s="265">
        <v>79</v>
      </c>
      <c r="CB5" s="266">
        <v>80</v>
      </c>
      <c r="CC5" s="265">
        <v>81</v>
      </c>
      <c r="CD5" s="266">
        <v>82</v>
      </c>
      <c r="CE5" s="265">
        <v>83</v>
      </c>
      <c r="CF5" s="266">
        <v>84</v>
      </c>
      <c r="CG5" s="265">
        <v>85</v>
      </c>
    </row>
    <row r="6" spans="1:85" s="5" customFormat="1" ht="19.5" customHeight="1" x14ac:dyDescent="0.25">
      <c r="A6" s="2384" t="s">
        <v>0</v>
      </c>
      <c r="B6" s="2387" t="s">
        <v>1</v>
      </c>
      <c r="C6" s="2389" t="s">
        <v>3</v>
      </c>
      <c r="D6" s="2392" t="s">
        <v>44</v>
      </c>
      <c r="E6" s="2393"/>
      <c r="F6" s="2393"/>
      <c r="G6" s="2393"/>
      <c r="H6" s="2396"/>
      <c r="I6" s="2372" t="s">
        <v>45</v>
      </c>
      <c r="J6" s="2374"/>
      <c r="K6" s="2374"/>
      <c r="L6" s="2374"/>
      <c r="M6" s="2374"/>
      <c r="N6" s="2374"/>
      <c r="O6" s="2374"/>
      <c r="P6" s="2374"/>
      <c r="Q6" s="2394"/>
      <c r="R6" s="2376"/>
      <c r="S6" s="2370" t="s">
        <v>46</v>
      </c>
      <c r="T6" s="2371"/>
      <c r="U6" s="2376"/>
      <c r="V6" s="2372" t="s">
        <v>47</v>
      </c>
      <c r="W6" s="2373"/>
      <c r="X6" s="2373"/>
      <c r="Y6" s="2374"/>
      <c r="Z6" s="2374"/>
      <c r="AA6" s="2375"/>
      <c r="AB6" s="2379"/>
      <c r="AC6" s="2401" t="s">
        <v>15</v>
      </c>
      <c r="AD6" s="2402"/>
      <c r="AE6" s="2402"/>
      <c r="AF6" s="2402"/>
      <c r="AG6" s="2402"/>
      <c r="AH6" s="2402"/>
      <c r="AI6" s="2402"/>
      <c r="AJ6" s="2403" t="s">
        <v>2</v>
      </c>
      <c r="AK6" s="2393" t="s">
        <v>6</v>
      </c>
      <c r="AL6" s="2393"/>
      <c r="AM6" s="2393"/>
      <c r="AN6" s="2393"/>
      <c r="AO6" s="2393"/>
      <c r="AP6" s="2393"/>
      <c r="AQ6" s="2393"/>
      <c r="AR6" s="2393"/>
      <c r="AS6" s="2393"/>
      <c r="AT6" s="2393"/>
      <c r="AU6" s="2393"/>
      <c r="AV6" s="2405" t="s">
        <v>40</v>
      </c>
      <c r="AW6" s="2410" t="s">
        <v>142</v>
      </c>
      <c r="AX6" s="2411"/>
      <c r="AY6" s="2411"/>
      <c r="AZ6" s="2411"/>
      <c r="BA6" s="2411"/>
      <c r="BB6" s="2411"/>
      <c r="BC6" s="2411"/>
      <c r="BD6" s="2407" t="s">
        <v>24</v>
      </c>
      <c r="BE6" s="2345" t="s">
        <v>25</v>
      </c>
      <c r="BF6" s="2345"/>
      <c r="BG6" s="2345"/>
      <c r="BH6" s="2345"/>
      <c r="BI6" s="2345"/>
      <c r="BJ6" s="2345"/>
      <c r="BK6" s="2345"/>
      <c r="BL6" s="2345"/>
      <c r="BM6" s="2345"/>
      <c r="BN6" s="2345"/>
      <c r="BO6" s="2345"/>
      <c r="BP6" s="2345"/>
      <c r="BQ6" s="2345"/>
      <c r="BR6" s="2345"/>
      <c r="BS6" s="2345"/>
      <c r="BT6" s="2345"/>
      <c r="BU6" s="2348" t="s">
        <v>185</v>
      </c>
      <c r="BV6" s="2348"/>
      <c r="BW6" s="2348"/>
      <c r="BX6" s="2348"/>
      <c r="BY6" s="2348"/>
      <c r="BZ6" s="2348"/>
      <c r="CA6" s="2348"/>
      <c r="CB6" s="2348"/>
      <c r="CC6" s="2348"/>
      <c r="CD6" s="2348"/>
      <c r="CE6" s="2348"/>
      <c r="CF6" s="2348"/>
      <c r="CG6" s="2348"/>
    </row>
    <row r="7" spans="1:85" s="4" customFormat="1" ht="18" customHeight="1" x14ac:dyDescent="0.25">
      <c r="A7" s="2385"/>
      <c r="B7" s="2354"/>
      <c r="C7" s="2390"/>
      <c r="D7" s="2399" t="s">
        <v>42</v>
      </c>
      <c r="E7" s="2360"/>
      <c r="F7" s="2360" t="s">
        <v>49</v>
      </c>
      <c r="G7" s="2360"/>
      <c r="H7" s="2397"/>
      <c r="I7" s="2400" t="s">
        <v>42</v>
      </c>
      <c r="J7" s="2359"/>
      <c r="K7" s="2359"/>
      <c r="L7" s="2359"/>
      <c r="M7" s="2359"/>
      <c r="N7" s="2367" t="s">
        <v>43</v>
      </c>
      <c r="O7" s="2368"/>
      <c r="P7" s="2368"/>
      <c r="Q7" s="2395"/>
      <c r="R7" s="2377"/>
      <c r="S7" s="2399" t="s">
        <v>42</v>
      </c>
      <c r="T7" s="2360"/>
      <c r="U7" s="2377"/>
      <c r="V7" s="2400" t="s">
        <v>42</v>
      </c>
      <c r="W7" s="2369"/>
      <c r="X7" s="2369"/>
      <c r="Y7" s="2367" t="s">
        <v>43</v>
      </c>
      <c r="Z7" s="2368"/>
      <c r="AA7" s="2368"/>
      <c r="AB7" s="2380"/>
      <c r="AC7" s="2383" t="s">
        <v>140</v>
      </c>
      <c r="AD7" s="2344"/>
      <c r="AE7" s="2344"/>
      <c r="AF7" s="2344"/>
      <c r="AG7" s="2344"/>
      <c r="AH7" s="2344"/>
      <c r="AI7" s="2344"/>
      <c r="AJ7" s="2352"/>
      <c r="AK7" s="2344" t="s">
        <v>141</v>
      </c>
      <c r="AL7" s="2344"/>
      <c r="AM7" s="2344"/>
      <c r="AN7" s="2344"/>
      <c r="AO7" s="2344"/>
      <c r="AP7" s="2344"/>
      <c r="AQ7" s="2344"/>
      <c r="AR7" s="2344"/>
      <c r="AS7" s="2344"/>
      <c r="AT7" s="2344"/>
      <c r="AU7" s="2344"/>
      <c r="AV7" s="2346"/>
      <c r="AW7" s="2412"/>
      <c r="AX7" s="2413"/>
      <c r="AY7" s="2413"/>
      <c r="AZ7" s="2413"/>
      <c r="BA7" s="2413"/>
      <c r="BB7" s="2413"/>
      <c r="BC7" s="2413"/>
      <c r="BD7" s="2408"/>
      <c r="BE7" s="2351" t="s">
        <v>157</v>
      </c>
      <c r="BF7" s="2351"/>
      <c r="BG7" s="572"/>
      <c r="BH7" s="2351" t="s">
        <v>466</v>
      </c>
      <c r="BI7" s="2351"/>
      <c r="BJ7" s="2351"/>
      <c r="BK7" s="2351"/>
      <c r="BL7" s="2351"/>
      <c r="BM7" s="572"/>
      <c r="BN7" s="2351" t="s">
        <v>467</v>
      </c>
      <c r="BO7" s="2351"/>
      <c r="BP7" s="572"/>
      <c r="BQ7" s="2351" t="s">
        <v>570</v>
      </c>
      <c r="BR7" s="2351"/>
      <c r="BS7" s="2351"/>
      <c r="BT7" s="2345"/>
      <c r="BU7" s="2351" t="s">
        <v>153</v>
      </c>
      <c r="BV7" s="2351"/>
      <c r="BW7" s="572"/>
      <c r="BX7" s="2351" t="s">
        <v>44</v>
      </c>
      <c r="BY7" s="2351"/>
      <c r="BZ7" s="2351"/>
      <c r="CA7" s="2351"/>
      <c r="CB7" s="572"/>
      <c r="CC7" s="870" t="s">
        <v>45</v>
      </c>
      <c r="CD7" s="2351" t="s">
        <v>46</v>
      </c>
      <c r="CE7" s="2351"/>
      <c r="CF7" s="2351"/>
      <c r="CG7" s="2414"/>
    </row>
    <row r="8" spans="1:85" ht="26.25" customHeight="1" thickBot="1" x14ac:dyDescent="0.25">
      <c r="A8" s="2386"/>
      <c r="B8" s="2388"/>
      <c r="C8" s="2391"/>
      <c r="D8" s="199" t="s">
        <v>154</v>
      </c>
      <c r="E8" s="143" t="s">
        <v>17</v>
      </c>
      <c r="F8" s="144" t="s">
        <v>20</v>
      </c>
      <c r="G8" s="144" t="s">
        <v>181</v>
      </c>
      <c r="H8" s="2398"/>
      <c r="I8" s="254" t="s">
        <v>16</v>
      </c>
      <c r="J8" s="145" t="s">
        <v>189</v>
      </c>
      <c r="K8" s="145" t="s">
        <v>186</v>
      </c>
      <c r="L8" s="145" t="s">
        <v>17</v>
      </c>
      <c r="M8" s="145" t="s">
        <v>188</v>
      </c>
      <c r="N8" s="144" t="s">
        <v>19</v>
      </c>
      <c r="O8" s="144" t="s">
        <v>181</v>
      </c>
      <c r="P8" s="144" t="s">
        <v>182</v>
      </c>
      <c r="Q8" s="253" t="s">
        <v>566</v>
      </c>
      <c r="R8" s="2378"/>
      <c r="S8" s="199" t="s">
        <v>187</v>
      </c>
      <c r="T8" s="143" t="s">
        <v>569</v>
      </c>
      <c r="U8" s="2378"/>
      <c r="V8" s="257" t="s">
        <v>155</v>
      </c>
      <c r="W8" s="255" t="s">
        <v>209</v>
      </c>
      <c r="X8" s="255" t="s">
        <v>210</v>
      </c>
      <c r="Y8" s="256" t="s">
        <v>10</v>
      </c>
      <c r="Z8" s="256" t="s">
        <v>20</v>
      </c>
      <c r="AA8" s="1082" t="s">
        <v>567</v>
      </c>
      <c r="AB8" s="2381"/>
      <c r="AC8" s="894" t="s">
        <v>10</v>
      </c>
      <c r="AD8" s="894" t="s">
        <v>20</v>
      </c>
      <c r="AE8" s="894" t="s">
        <v>19</v>
      </c>
      <c r="AF8" s="894" t="s">
        <v>181</v>
      </c>
      <c r="AG8" s="894" t="s">
        <v>182</v>
      </c>
      <c r="AH8" s="894" t="s">
        <v>566</v>
      </c>
      <c r="AI8" s="894" t="s">
        <v>567</v>
      </c>
      <c r="AJ8" s="2404"/>
      <c r="AK8" s="68" t="s">
        <v>154</v>
      </c>
      <c r="AL8" s="68" t="s">
        <v>155</v>
      </c>
      <c r="AM8" s="68" t="s">
        <v>16</v>
      </c>
      <c r="AN8" s="68" t="s">
        <v>189</v>
      </c>
      <c r="AO8" s="68" t="s">
        <v>186</v>
      </c>
      <c r="AP8" s="68" t="s">
        <v>187</v>
      </c>
      <c r="AQ8" s="68" t="s">
        <v>17</v>
      </c>
      <c r="AR8" s="68" t="s">
        <v>188</v>
      </c>
      <c r="AS8" s="68" t="s">
        <v>569</v>
      </c>
      <c r="AT8" s="68" t="s">
        <v>209</v>
      </c>
      <c r="AU8" s="68" t="s">
        <v>210</v>
      </c>
      <c r="AV8" s="2406"/>
      <c r="AW8" s="894" t="s">
        <v>10</v>
      </c>
      <c r="AX8" s="894" t="s">
        <v>20</v>
      </c>
      <c r="AY8" s="894" t="s">
        <v>19</v>
      </c>
      <c r="AZ8" s="894" t="s">
        <v>181</v>
      </c>
      <c r="BA8" s="894" t="s">
        <v>182</v>
      </c>
      <c r="BB8" s="894" t="s">
        <v>566</v>
      </c>
      <c r="BC8" s="894" t="s">
        <v>567</v>
      </c>
      <c r="BD8" s="2409"/>
      <c r="BE8" s="199" t="s">
        <v>154</v>
      </c>
      <c r="BF8" s="143" t="s">
        <v>17</v>
      </c>
      <c r="BG8" s="289" t="s">
        <v>159</v>
      </c>
      <c r="BH8" s="254" t="s">
        <v>16</v>
      </c>
      <c r="BI8" s="145" t="s">
        <v>189</v>
      </c>
      <c r="BJ8" s="145" t="s">
        <v>186</v>
      </c>
      <c r="BK8" s="145" t="s">
        <v>17</v>
      </c>
      <c r="BL8" s="145" t="s">
        <v>188</v>
      </c>
      <c r="BM8" s="289" t="s">
        <v>159</v>
      </c>
      <c r="BN8" s="199" t="s">
        <v>187</v>
      </c>
      <c r="BO8" s="143" t="s">
        <v>569</v>
      </c>
      <c r="BP8" s="289" t="s">
        <v>159</v>
      </c>
      <c r="BQ8" s="257" t="s">
        <v>155</v>
      </c>
      <c r="BR8" s="255" t="s">
        <v>209</v>
      </c>
      <c r="BS8" s="255" t="s">
        <v>210</v>
      </c>
      <c r="BT8" s="2345"/>
      <c r="BU8" s="144" t="s">
        <v>20</v>
      </c>
      <c r="BV8" s="144" t="s">
        <v>181</v>
      </c>
      <c r="BW8" s="582" t="s">
        <v>159</v>
      </c>
      <c r="BX8" s="144" t="s">
        <v>19</v>
      </c>
      <c r="BY8" s="144" t="s">
        <v>181</v>
      </c>
      <c r="BZ8" s="144" t="s">
        <v>182</v>
      </c>
      <c r="CA8" s="253" t="s">
        <v>566</v>
      </c>
      <c r="CB8" s="582" t="s">
        <v>159</v>
      </c>
      <c r="CC8" s="514" t="s">
        <v>7</v>
      </c>
      <c r="CD8" s="256" t="s">
        <v>10</v>
      </c>
      <c r="CE8" s="256" t="s">
        <v>20</v>
      </c>
      <c r="CF8" s="256" t="s">
        <v>567</v>
      </c>
      <c r="CG8" s="2415"/>
    </row>
    <row r="9" spans="1:85" ht="15.95" customHeight="1" x14ac:dyDescent="0.2">
      <c r="A9" s="58">
        <v>1</v>
      </c>
      <c r="B9" s="63" t="str">
        <f>dtsiswa!D7</f>
        <v>Achmad Zacky</v>
      </c>
      <c r="C9" s="64" t="s">
        <v>4</v>
      </c>
      <c r="D9" s="27">
        <v>65</v>
      </c>
      <c r="E9" s="27">
        <v>70</v>
      </c>
      <c r="F9" s="27">
        <v>80</v>
      </c>
      <c r="G9" s="27">
        <v>75</v>
      </c>
      <c r="H9" s="580">
        <f t="shared" ref="H9:H48" si="0">IFERROR(AVERAGE(D9:G9),"  ")</f>
        <v>72.5</v>
      </c>
      <c r="I9" s="27">
        <v>84</v>
      </c>
      <c r="J9" s="27">
        <v>90</v>
      </c>
      <c r="K9" s="27">
        <v>80</v>
      </c>
      <c r="L9" s="27">
        <v>67</v>
      </c>
      <c r="M9" s="27">
        <v>75</v>
      </c>
      <c r="N9" s="27">
        <v>84</v>
      </c>
      <c r="O9" s="27">
        <v>90</v>
      </c>
      <c r="P9" s="27">
        <v>80</v>
      </c>
      <c r="Q9" s="27">
        <v>75</v>
      </c>
      <c r="R9" s="580">
        <f t="shared" ref="R9:R48" si="1">IFERROR(AVERAGE(I9:Q9),"  ")</f>
        <v>80.555555555555557</v>
      </c>
      <c r="S9" s="27">
        <v>80</v>
      </c>
      <c r="T9" s="27">
        <v>65</v>
      </c>
      <c r="U9" s="580">
        <f t="shared" ref="U9:U48" si="2">IFERROR(AVERAGE(S9:T9),"  ")</f>
        <v>72.5</v>
      </c>
      <c r="V9" s="27">
        <v>74</v>
      </c>
      <c r="W9" s="27">
        <v>80</v>
      </c>
      <c r="X9" s="27">
        <v>65</v>
      </c>
      <c r="Y9" s="27">
        <v>74</v>
      </c>
      <c r="Z9" s="27">
        <v>45</v>
      </c>
      <c r="AA9" s="27">
        <v>80</v>
      </c>
      <c r="AB9" s="580">
        <f t="shared" ref="AB9:AB48" si="3">IFERROR(AVERAGE(U9:AA9),"  ")</f>
        <v>70.071428571428569</v>
      </c>
      <c r="AC9" s="19">
        <f>Y9</f>
        <v>74</v>
      </c>
      <c r="AD9" s="19">
        <f>(F9+Z9)/2</f>
        <v>62.5</v>
      </c>
      <c r="AE9" s="19">
        <f>N9</f>
        <v>84</v>
      </c>
      <c r="AF9" s="19">
        <f>(O9+G9)/2</f>
        <v>82.5</v>
      </c>
      <c r="AG9" s="19">
        <f>P9</f>
        <v>80</v>
      </c>
      <c r="AH9" s="19">
        <f>Q9</f>
        <v>75</v>
      </c>
      <c r="AI9" s="19">
        <f>AA9</f>
        <v>80</v>
      </c>
      <c r="AJ9" s="20">
        <f t="shared" ref="AJ9" si="4">IFERROR(AVERAGE(AC9:AI9),"  ")</f>
        <v>76.857142857142861</v>
      </c>
      <c r="AK9" s="18">
        <f>D9</f>
        <v>65</v>
      </c>
      <c r="AL9" s="18">
        <f>V9</f>
        <v>74</v>
      </c>
      <c r="AM9" s="18">
        <f>I9</f>
        <v>84</v>
      </c>
      <c r="AN9" s="18">
        <f t="shared" ref="AN9:AO9" si="5">J9</f>
        <v>90</v>
      </c>
      <c r="AO9" s="18">
        <f t="shared" si="5"/>
        <v>80</v>
      </c>
      <c r="AP9" s="2">
        <f>S9</f>
        <v>80</v>
      </c>
      <c r="AQ9" s="2">
        <f>(E9+L9)/2</f>
        <v>68.5</v>
      </c>
      <c r="AR9" s="2">
        <f>M9</f>
        <v>75</v>
      </c>
      <c r="AS9" s="2">
        <f>T9</f>
        <v>65</v>
      </c>
      <c r="AT9" s="2">
        <f>W9</f>
        <v>80</v>
      </c>
      <c r="AU9" s="2">
        <f>X9</f>
        <v>65</v>
      </c>
      <c r="AV9" s="20">
        <f>IFERROR(AVERAGE(AK9:AU9),"  ")</f>
        <v>75.13636363636364</v>
      </c>
      <c r="AW9" s="65">
        <f>(AC9+AK9+AL9)/3</f>
        <v>71</v>
      </c>
      <c r="AX9" s="65">
        <f>(AD9+AM9+AN9)/3</f>
        <v>78.833333333333329</v>
      </c>
      <c r="AY9" s="65">
        <f>(AE9+AO9+AP9)/3</f>
        <v>81.333333333333329</v>
      </c>
      <c r="AZ9" s="65">
        <f>(AF9+AQ9+AR9)/3</f>
        <v>75.333333333333329</v>
      </c>
      <c r="BA9" s="65">
        <f>(AG9+AS9+AT9)/3</f>
        <v>75</v>
      </c>
      <c r="BB9" s="65">
        <f>(AH9+AU9)/2</f>
        <v>70</v>
      </c>
      <c r="BC9" s="65">
        <f>AI9</f>
        <v>80</v>
      </c>
      <c r="BD9" s="528">
        <f t="shared" ref="BD9" si="6">IFERROR(AVERAGE(AW9:BC9),"  ")</f>
        <v>75.928571428571431</v>
      </c>
      <c r="BE9" s="268">
        <f t="shared" ref="BE9:BE48" si="7">D9</f>
        <v>65</v>
      </c>
      <c r="BF9" s="268">
        <f t="shared" ref="BF9:BF48" si="8">E9</f>
        <v>70</v>
      </c>
      <c r="BG9" s="581">
        <f t="shared" ref="BG9:BG48" si="9">IFERROR(AVERAGE(BE9:BF9),"  ")</f>
        <v>67.5</v>
      </c>
      <c r="BH9" s="268">
        <f t="shared" ref="BH9" si="10">I9</f>
        <v>84</v>
      </c>
      <c r="BI9" s="268">
        <f t="shared" ref="BI9" si="11">J9</f>
        <v>90</v>
      </c>
      <c r="BJ9" s="268">
        <f t="shared" ref="BJ9" si="12">K9</f>
        <v>80</v>
      </c>
      <c r="BK9" s="268">
        <f t="shared" ref="BK9" si="13">L9</f>
        <v>67</v>
      </c>
      <c r="BL9" s="268">
        <f t="shared" ref="BL9" si="14">M9</f>
        <v>75</v>
      </c>
      <c r="BM9" s="581">
        <f>IFERROR(AVERAGE(BH9:BL9),"  ")</f>
        <v>79.2</v>
      </c>
      <c r="BN9" s="268">
        <f t="shared" ref="BN9:BN48" si="15">S9</f>
        <v>80</v>
      </c>
      <c r="BO9" s="268">
        <f t="shared" ref="BO9:BO48" si="16">T9</f>
        <v>65</v>
      </c>
      <c r="BP9" s="581">
        <f t="shared" ref="BP9:BP48" si="17">IFERROR(AVERAGE(BN9:BO9),"  ")</f>
        <v>72.5</v>
      </c>
      <c r="BQ9" s="73">
        <f t="shared" ref="BQ9:BQ48" si="18">V9</f>
        <v>74</v>
      </c>
      <c r="BR9" s="73">
        <f t="shared" ref="BR9:BR48" si="19">W9</f>
        <v>80</v>
      </c>
      <c r="BS9" s="73">
        <f t="shared" ref="BS9:BS48" si="20">X9</f>
        <v>65</v>
      </c>
      <c r="BT9" s="581">
        <f t="shared" ref="BT9:BT48" si="21">IFERROR(AVERAGE(BQ9:BS9),"  ")</f>
        <v>73</v>
      </c>
      <c r="BU9" s="572">
        <f t="shared" ref="BU9:BU48" si="22">F9</f>
        <v>80</v>
      </c>
      <c r="BV9" s="572">
        <f t="shared" ref="BV9:BV48" si="23">G9</f>
        <v>75</v>
      </c>
      <c r="BW9" s="581">
        <f t="shared" ref="BW9:BW48" si="24">IFERROR(AVERAGE(BU9:BV9),"  ")</f>
        <v>77.5</v>
      </c>
      <c r="BX9" s="572">
        <f t="shared" ref="BX9:BX48" si="25">N9</f>
        <v>84</v>
      </c>
      <c r="BY9" s="572">
        <f t="shared" ref="BY9:BY48" si="26">O9</f>
        <v>90</v>
      </c>
      <c r="BZ9" s="572">
        <f t="shared" ref="BZ9:BZ48" si="27">P9</f>
        <v>80</v>
      </c>
      <c r="CA9" s="572">
        <f t="shared" ref="CA9:CA48" si="28">Q9</f>
        <v>75</v>
      </c>
      <c r="CB9" s="581">
        <f t="shared" ref="CB9:CB48" si="29">IFERROR(AVERAGE(BX9:CA9),"  ")</f>
        <v>82.25</v>
      </c>
      <c r="CC9" s="572">
        <v>0</v>
      </c>
      <c r="CD9" s="572">
        <f t="shared" ref="CD9:CD48" si="30">Y9</f>
        <v>74</v>
      </c>
      <c r="CE9" s="572">
        <f t="shared" ref="CE9:CE48" si="31">Z9</f>
        <v>45</v>
      </c>
      <c r="CF9" s="572">
        <f t="shared" ref="CF9:CF48" si="32">AA9</f>
        <v>80</v>
      </c>
      <c r="CG9" s="581">
        <f t="shared" ref="CG9:CG48" si="33">IFERROR(AVERAGE(CD9:CF9),"  ")</f>
        <v>66.333333333333329</v>
      </c>
    </row>
    <row r="10" spans="1:85" ht="15.95" customHeight="1" x14ac:dyDescent="0.2">
      <c r="A10" s="180">
        <v>2</v>
      </c>
      <c r="B10" s="63" t="str">
        <f>dtsiswa!D8</f>
        <v>Angelia Vabel R</v>
      </c>
      <c r="C10" s="11" t="s">
        <v>4</v>
      </c>
      <c r="D10" s="22"/>
      <c r="E10" s="22"/>
      <c r="F10" s="22"/>
      <c r="G10" s="22"/>
      <c r="H10" s="580" t="str">
        <f t="shared" si="0"/>
        <v xml:space="preserve">  </v>
      </c>
      <c r="I10" s="23"/>
      <c r="J10" s="23"/>
      <c r="K10" s="23"/>
      <c r="L10" s="23"/>
      <c r="M10" s="23"/>
      <c r="N10" s="23"/>
      <c r="O10" s="23"/>
      <c r="P10" s="23"/>
      <c r="Q10" s="23"/>
      <c r="R10" s="580" t="str">
        <f t="shared" si="1"/>
        <v xml:space="preserve">  </v>
      </c>
      <c r="S10" s="23"/>
      <c r="T10" s="23"/>
      <c r="U10" s="580" t="str">
        <f t="shared" si="2"/>
        <v xml:space="preserve">  </v>
      </c>
      <c r="V10" s="24"/>
      <c r="W10" s="25"/>
      <c r="X10" s="25"/>
      <c r="Y10" s="25"/>
      <c r="Z10" s="25"/>
      <c r="AA10" s="25"/>
      <c r="AB10" s="580" t="str">
        <f t="shared" si="3"/>
        <v xml:space="preserve">  </v>
      </c>
      <c r="AC10" s="19">
        <f t="shared" ref="AC10:AC48" si="34">Y10</f>
        <v>0</v>
      </c>
      <c r="AD10" s="19">
        <f t="shared" ref="AD10:AD48" si="35">(F10+Z10)/2</f>
        <v>0</v>
      </c>
      <c r="AE10" s="19">
        <f t="shared" ref="AE10:AE48" si="36">N10</f>
        <v>0</v>
      </c>
      <c r="AF10" s="19">
        <f t="shared" ref="AF10:AF48" si="37">(O10+G10)/2</f>
        <v>0</v>
      </c>
      <c r="AG10" s="19">
        <f t="shared" ref="AG10:AG48" si="38">P10</f>
        <v>0</v>
      </c>
      <c r="AH10" s="19">
        <f t="shared" ref="AH10:AH48" si="39">Q10</f>
        <v>0</v>
      </c>
      <c r="AI10" s="19">
        <f t="shared" ref="AI10:AI48" si="40">AA10</f>
        <v>0</v>
      </c>
      <c r="AJ10" s="20">
        <f t="shared" ref="AJ10:AJ48" si="41">IFERROR(AVERAGE(AC10:AI10),"  ")</f>
        <v>0</v>
      </c>
      <c r="AK10" s="18">
        <f t="shared" ref="AK10:AK48" si="42">D10</f>
        <v>0</v>
      </c>
      <c r="AL10" s="18">
        <f t="shared" ref="AL10:AL48" si="43">V10</f>
        <v>0</v>
      </c>
      <c r="AM10" s="18">
        <f t="shared" ref="AM10:AM48" si="44">I10</f>
        <v>0</v>
      </c>
      <c r="AN10" s="18">
        <f t="shared" ref="AN10:AN48" si="45">J10</f>
        <v>0</v>
      </c>
      <c r="AO10" s="18">
        <f t="shared" ref="AO10:AO48" si="46">K10</f>
        <v>0</v>
      </c>
      <c r="AP10" s="2">
        <f t="shared" ref="AP10:AP48" si="47">S10</f>
        <v>0</v>
      </c>
      <c r="AQ10" s="2">
        <f t="shared" ref="AQ10:AQ48" si="48">(E10+L10)/2</f>
        <v>0</v>
      </c>
      <c r="AR10" s="2">
        <f t="shared" ref="AR10:AR48" si="49">M10</f>
        <v>0</v>
      </c>
      <c r="AS10" s="2">
        <f t="shared" ref="AS10:AS48" si="50">T10</f>
        <v>0</v>
      </c>
      <c r="AT10" s="2">
        <f t="shared" ref="AT10:AT48" si="51">W10</f>
        <v>0</v>
      </c>
      <c r="AU10" s="2">
        <f t="shared" ref="AU10:AU48" si="52">X10</f>
        <v>0</v>
      </c>
      <c r="AV10" s="20">
        <f t="shared" ref="AV10:AV48" si="53">IFERROR(AVERAGE(AK10:AU10),"  ")</f>
        <v>0</v>
      </c>
      <c r="AW10" s="65">
        <f t="shared" ref="AW10:AW48" si="54">(AC10+AK10+AL10)/3</f>
        <v>0</v>
      </c>
      <c r="AX10" s="65">
        <f t="shared" ref="AX10:AX48" si="55">(AD10+AM10+AN10)/3</f>
        <v>0</v>
      </c>
      <c r="AY10" s="65">
        <f t="shared" ref="AY10:AY48" si="56">(AE10+AO10+AP10)/3</f>
        <v>0</v>
      </c>
      <c r="AZ10" s="65">
        <f t="shared" ref="AZ10:AZ48" si="57">(AF10+AQ10+AR10)/3</f>
        <v>0</v>
      </c>
      <c r="BA10" s="65">
        <f t="shared" ref="BA10:BA48" si="58">(AG10+AS10+AT10)/3</f>
        <v>0</v>
      </c>
      <c r="BB10" s="65">
        <f t="shared" ref="BB10:BB48" si="59">(AH10+AU10)/2</f>
        <v>0</v>
      </c>
      <c r="BC10" s="65">
        <f t="shared" ref="BC10:BC48" si="60">AI10</f>
        <v>0</v>
      </c>
      <c r="BD10" s="528">
        <f t="shared" ref="BD10:BD48" si="61">IFERROR(AVERAGE(AW10:BC10),"  ")</f>
        <v>0</v>
      </c>
      <c r="BE10" s="268">
        <f t="shared" si="7"/>
        <v>0</v>
      </c>
      <c r="BF10" s="268">
        <f t="shared" si="8"/>
        <v>0</v>
      </c>
      <c r="BG10" s="581">
        <f t="shared" si="9"/>
        <v>0</v>
      </c>
      <c r="BH10" s="268">
        <f t="shared" ref="BH10:BH48" si="62">I10</f>
        <v>0</v>
      </c>
      <c r="BI10" s="268">
        <f t="shared" ref="BI10:BI48" si="63">J10</f>
        <v>0</v>
      </c>
      <c r="BJ10" s="268">
        <f t="shared" ref="BJ10:BJ48" si="64">K10</f>
        <v>0</v>
      </c>
      <c r="BK10" s="268">
        <f t="shared" ref="BK10:BK48" si="65">L10</f>
        <v>0</v>
      </c>
      <c r="BL10" s="268">
        <f t="shared" ref="BL10:BL48" si="66">M10</f>
        <v>0</v>
      </c>
      <c r="BM10" s="581">
        <f t="shared" ref="BM10:BM48" si="67">IFERROR(AVERAGE(BH10:BL10),"  ")</f>
        <v>0</v>
      </c>
      <c r="BN10" s="268">
        <f t="shared" si="15"/>
        <v>0</v>
      </c>
      <c r="BO10" s="268">
        <f t="shared" si="16"/>
        <v>0</v>
      </c>
      <c r="BP10" s="581">
        <f t="shared" si="17"/>
        <v>0</v>
      </c>
      <c r="BQ10" s="73">
        <f t="shared" si="18"/>
        <v>0</v>
      </c>
      <c r="BR10" s="73">
        <f t="shared" si="19"/>
        <v>0</v>
      </c>
      <c r="BS10" s="73">
        <f t="shared" si="20"/>
        <v>0</v>
      </c>
      <c r="BT10" s="581">
        <f t="shared" si="21"/>
        <v>0</v>
      </c>
      <c r="BU10" s="572">
        <f t="shared" si="22"/>
        <v>0</v>
      </c>
      <c r="BV10" s="572">
        <f t="shared" si="23"/>
        <v>0</v>
      </c>
      <c r="BW10" s="581">
        <f t="shared" si="24"/>
        <v>0</v>
      </c>
      <c r="BX10" s="572">
        <f t="shared" si="25"/>
        <v>0</v>
      </c>
      <c r="BY10" s="572">
        <f t="shared" si="26"/>
        <v>0</v>
      </c>
      <c r="BZ10" s="572">
        <f t="shared" si="27"/>
        <v>0</v>
      </c>
      <c r="CA10" s="572">
        <f t="shared" si="28"/>
        <v>0</v>
      </c>
      <c r="CB10" s="581">
        <f t="shared" si="29"/>
        <v>0</v>
      </c>
      <c r="CC10" s="870">
        <v>0</v>
      </c>
      <c r="CD10" s="572">
        <f t="shared" si="30"/>
        <v>0</v>
      </c>
      <c r="CE10" s="572">
        <f t="shared" si="31"/>
        <v>0</v>
      </c>
      <c r="CF10" s="572">
        <f t="shared" si="32"/>
        <v>0</v>
      </c>
      <c r="CG10" s="581">
        <f t="shared" si="33"/>
        <v>0</v>
      </c>
    </row>
    <row r="11" spans="1:85" ht="15.95" customHeight="1" x14ac:dyDescent="0.2">
      <c r="A11" s="180">
        <v>3</v>
      </c>
      <c r="B11" s="63" t="str">
        <f>dtsiswa!D9</f>
        <v>Anggun Dwi P.I</v>
      </c>
      <c r="C11" s="11" t="s">
        <v>4</v>
      </c>
      <c r="D11" s="22"/>
      <c r="E11" s="22"/>
      <c r="F11" s="22"/>
      <c r="G11" s="22"/>
      <c r="H11" s="580" t="str">
        <f t="shared" si="0"/>
        <v xml:space="preserve">  </v>
      </c>
      <c r="I11" s="23"/>
      <c r="J11" s="23"/>
      <c r="K11" s="23"/>
      <c r="L11" s="23"/>
      <c r="M11" s="23"/>
      <c r="N11" s="23"/>
      <c r="O11" s="23"/>
      <c r="P11" s="23"/>
      <c r="Q11" s="23"/>
      <c r="R11" s="580" t="str">
        <f t="shared" si="1"/>
        <v xml:space="preserve">  </v>
      </c>
      <c r="S11" s="23"/>
      <c r="T11" s="23"/>
      <c r="U11" s="580" t="str">
        <f t="shared" si="2"/>
        <v xml:space="preserve">  </v>
      </c>
      <c r="V11" s="24"/>
      <c r="W11" s="25"/>
      <c r="X11" s="25"/>
      <c r="Y11" s="25"/>
      <c r="Z11" s="25"/>
      <c r="AA11" s="25"/>
      <c r="AB11" s="580" t="str">
        <f t="shared" si="3"/>
        <v xml:space="preserve">  </v>
      </c>
      <c r="AC11" s="19">
        <f t="shared" si="34"/>
        <v>0</v>
      </c>
      <c r="AD11" s="19">
        <f t="shared" si="35"/>
        <v>0</v>
      </c>
      <c r="AE11" s="19">
        <f t="shared" si="36"/>
        <v>0</v>
      </c>
      <c r="AF11" s="19">
        <f t="shared" si="37"/>
        <v>0</v>
      </c>
      <c r="AG11" s="19">
        <f t="shared" si="38"/>
        <v>0</v>
      </c>
      <c r="AH11" s="19">
        <f t="shared" si="39"/>
        <v>0</v>
      </c>
      <c r="AI11" s="19">
        <f t="shared" si="40"/>
        <v>0</v>
      </c>
      <c r="AJ11" s="20">
        <f t="shared" si="41"/>
        <v>0</v>
      </c>
      <c r="AK11" s="18">
        <f t="shared" si="42"/>
        <v>0</v>
      </c>
      <c r="AL11" s="18">
        <f t="shared" si="43"/>
        <v>0</v>
      </c>
      <c r="AM11" s="18">
        <f t="shared" si="44"/>
        <v>0</v>
      </c>
      <c r="AN11" s="18">
        <f t="shared" si="45"/>
        <v>0</v>
      </c>
      <c r="AO11" s="18">
        <f t="shared" si="46"/>
        <v>0</v>
      </c>
      <c r="AP11" s="2">
        <f t="shared" si="47"/>
        <v>0</v>
      </c>
      <c r="AQ11" s="2">
        <f t="shared" si="48"/>
        <v>0</v>
      </c>
      <c r="AR11" s="2">
        <f t="shared" si="49"/>
        <v>0</v>
      </c>
      <c r="AS11" s="2">
        <f t="shared" si="50"/>
        <v>0</v>
      </c>
      <c r="AT11" s="2">
        <f t="shared" si="51"/>
        <v>0</v>
      </c>
      <c r="AU11" s="2">
        <f t="shared" si="52"/>
        <v>0</v>
      </c>
      <c r="AV11" s="20">
        <f t="shared" si="53"/>
        <v>0</v>
      </c>
      <c r="AW11" s="65">
        <f t="shared" si="54"/>
        <v>0</v>
      </c>
      <c r="AX11" s="65">
        <f t="shared" si="55"/>
        <v>0</v>
      </c>
      <c r="AY11" s="65">
        <f t="shared" si="56"/>
        <v>0</v>
      </c>
      <c r="AZ11" s="65">
        <f t="shared" si="57"/>
        <v>0</v>
      </c>
      <c r="BA11" s="65">
        <f t="shared" si="58"/>
        <v>0</v>
      </c>
      <c r="BB11" s="65">
        <f t="shared" si="59"/>
        <v>0</v>
      </c>
      <c r="BC11" s="65">
        <f t="shared" si="60"/>
        <v>0</v>
      </c>
      <c r="BD11" s="528">
        <f t="shared" si="61"/>
        <v>0</v>
      </c>
      <c r="BE11" s="268">
        <f t="shared" si="7"/>
        <v>0</v>
      </c>
      <c r="BF11" s="268">
        <f t="shared" si="8"/>
        <v>0</v>
      </c>
      <c r="BG11" s="581">
        <f t="shared" si="9"/>
        <v>0</v>
      </c>
      <c r="BH11" s="268">
        <f t="shared" si="62"/>
        <v>0</v>
      </c>
      <c r="BI11" s="268">
        <f t="shared" si="63"/>
        <v>0</v>
      </c>
      <c r="BJ11" s="268">
        <f t="shared" si="64"/>
        <v>0</v>
      </c>
      <c r="BK11" s="268">
        <f t="shared" si="65"/>
        <v>0</v>
      </c>
      <c r="BL11" s="268">
        <f t="shared" si="66"/>
        <v>0</v>
      </c>
      <c r="BM11" s="581">
        <f t="shared" si="67"/>
        <v>0</v>
      </c>
      <c r="BN11" s="268">
        <f t="shared" si="15"/>
        <v>0</v>
      </c>
      <c r="BO11" s="268">
        <f t="shared" si="16"/>
        <v>0</v>
      </c>
      <c r="BP11" s="581">
        <f t="shared" si="17"/>
        <v>0</v>
      </c>
      <c r="BQ11" s="73">
        <f t="shared" si="18"/>
        <v>0</v>
      </c>
      <c r="BR11" s="73">
        <f t="shared" si="19"/>
        <v>0</v>
      </c>
      <c r="BS11" s="73">
        <f t="shared" si="20"/>
        <v>0</v>
      </c>
      <c r="BT11" s="581">
        <f t="shared" si="21"/>
        <v>0</v>
      </c>
      <c r="BU11" s="572">
        <f t="shared" si="22"/>
        <v>0</v>
      </c>
      <c r="BV11" s="572">
        <f t="shared" si="23"/>
        <v>0</v>
      </c>
      <c r="BW11" s="581">
        <f t="shared" si="24"/>
        <v>0</v>
      </c>
      <c r="BX11" s="572">
        <f t="shared" si="25"/>
        <v>0</v>
      </c>
      <c r="BY11" s="572">
        <f t="shared" si="26"/>
        <v>0</v>
      </c>
      <c r="BZ11" s="572">
        <f t="shared" si="27"/>
        <v>0</v>
      </c>
      <c r="CA11" s="572">
        <f t="shared" si="28"/>
        <v>0</v>
      </c>
      <c r="CB11" s="581">
        <f t="shared" si="29"/>
        <v>0</v>
      </c>
      <c r="CC11" s="870">
        <v>0</v>
      </c>
      <c r="CD11" s="572">
        <f t="shared" si="30"/>
        <v>0</v>
      </c>
      <c r="CE11" s="572">
        <f t="shared" si="31"/>
        <v>0</v>
      </c>
      <c r="CF11" s="572">
        <f t="shared" si="32"/>
        <v>0</v>
      </c>
      <c r="CG11" s="581">
        <f t="shared" si="33"/>
        <v>0</v>
      </c>
    </row>
    <row r="12" spans="1:85" ht="15.95" customHeight="1" x14ac:dyDescent="0.2">
      <c r="A12" s="180">
        <v>4</v>
      </c>
      <c r="B12" s="63" t="str">
        <f>dtsiswa!D10</f>
        <v>Antonio Permata A</v>
      </c>
      <c r="C12" s="12" t="s">
        <v>4</v>
      </c>
      <c r="D12" s="22"/>
      <c r="E12" s="22"/>
      <c r="F12" s="22"/>
      <c r="G12" s="22"/>
      <c r="H12" s="580" t="str">
        <f t="shared" si="0"/>
        <v xml:space="preserve">  </v>
      </c>
      <c r="I12" s="23"/>
      <c r="J12" s="23"/>
      <c r="K12" s="23"/>
      <c r="L12" s="23"/>
      <c r="M12" s="23"/>
      <c r="N12" s="23"/>
      <c r="O12" s="23"/>
      <c r="P12" s="23"/>
      <c r="Q12" s="23"/>
      <c r="R12" s="580" t="str">
        <f t="shared" si="1"/>
        <v xml:space="preserve">  </v>
      </c>
      <c r="S12" s="23"/>
      <c r="T12" s="23"/>
      <c r="U12" s="580" t="str">
        <f t="shared" si="2"/>
        <v xml:space="preserve">  </v>
      </c>
      <c r="V12" s="24"/>
      <c r="W12" s="25"/>
      <c r="X12" s="25"/>
      <c r="Y12" s="25"/>
      <c r="Z12" s="25"/>
      <c r="AA12" s="25"/>
      <c r="AB12" s="580" t="str">
        <f t="shared" si="3"/>
        <v xml:space="preserve">  </v>
      </c>
      <c r="AC12" s="19">
        <f t="shared" si="34"/>
        <v>0</v>
      </c>
      <c r="AD12" s="19">
        <f t="shared" si="35"/>
        <v>0</v>
      </c>
      <c r="AE12" s="19">
        <f t="shared" si="36"/>
        <v>0</v>
      </c>
      <c r="AF12" s="19">
        <f t="shared" si="37"/>
        <v>0</v>
      </c>
      <c r="AG12" s="19">
        <f t="shared" si="38"/>
        <v>0</v>
      </c>
      <c r="AH12" s="19">
        <f t="shared" si="39"/>
        <v>0</v>
      </c>
      <c r="AI12" s="19">
        <f t="shared" si="40"/>
        <v>0</v>
      </c>
      <c r="AJ12" s="20">
        <f t="shared" si="41"/>
        <v>0</v>
      </c>
      <c r="AK12" s="18">
        <f t="shared" si="42"/>
        <v>0</v>
      </c>
      <c r="AL12" s="18">
        <f t="shared" si="43"/>
        <v>0</v>
      </c>
      <c r="AM12" s="18">
        <f t="shared" si="44"/>
        <v>0</v>
      </c>
      <c r="AN12" s="18">
        <f t="shared" si="45"/>
        <v>0</v>
      </c>
      <c r="AO12" s="18">
        <f t="shared" si="46"/>
        <v>0</v>
      </c>
      <c r="AP12" s="2">
        <f t="shared" si="47"/>
        <v>0</v>
      </c>
      <c r="AQ12" s="2">
        <f t="shared" si="48"/>
        <v>0</v>
      </c>
      <c r="AR12" s="2">
        <f t="shared" si="49"/>
        <v>0</v>
      </c>
      <c r="AS12" s="2">
        <f t="shared" si="50"/>
        <v>0</v>
      </c>
      <c r="AT12" s="2">
        <f t="shared" si="51"/>
        <v>0</v>
      </c>
      <c r="AU12" s="2">
        <f t="shared" si="52"/>
        <v>0</v>
      </c>
      <c r="AV12" s="20">
        <f t="shared" si="53"/>
        <v>0</v>
      </c>
      <c r="AW12" s="65">
        <f t="shared" si="54"/>
        <v>0</v>
      </c>
      <c r="AX12" s="65">
        <f t="shared" si="55"/>
        <v>0</v>
      </c>
      <c r="AY12" s="65">
        <f t="shared" si="56"/>
        <v>0</v>
      </c>
      <c r="AZ12" s="65">
        <f t="shared" si="57"/>
        <v>0</v>
      </c>
      <c r="BA12" s="65">
        <f t="shared" si="58"/>
        <v>0</v>
      </c>
      <c r="BB12" s="65">
        <f t="shared" si="59"/>
        <v>0</v>
      </c>
      <c r="BC12" s="65">
        <f t="shared" si="60"/>
        <v>0</v>
      </c>
      <c r="BD12" s="528">
        <f t="shared" si="61"/>
        <v>0</v>
      </c>
      <c r="BE12" s="268">
        <f t="shared" si="7"/>
        <v>0</v>
      </c>
      <c r="BF12" s="268">
        <f t="shared" si="8"/>
        <v>0</v>
      </c>
      <c r="BG12" s="581">
        <f t="shared" si="9"/>
        <v>0</v>
      </c>
      <c r="BH12" s="268">
        <f t="shared" si="62"/>
        <v>0</v>
      </c>
      <c r="BI12" s="268">
        <f t="shared" si="63"/>
        <v>0</v>
      </c>
      <c r="BJ12" s="268">
        <f t="shared" si="64"/>
        <v>0</v>
      </c>
      <c r="BK12" s="268">
        <f t="shared" si="65"/>
        <v>0</v>
      </c>
      <c r="BL12" s="268">
        <f t="shared" si="66"/>
        <v>0</v>
      </c>
      <c r="BM12" s="581">
        <f t="shared" si="67"/>
        <v>0</v>
      </c>
      <c r="BN12" s="268">
        <f t="shared" si="15"/>
        <v>0</v>
      </c>
      <c r="BO12" s="268">
        <f t="shared" si="16"/>
        <v>0</v>
      </c>
      <c r="BP12" s="581">
        <f t="shared" si="17"/>
        <v>0</v>
      </c>
      <c r="BQ12" s="73">
        <f t="shared" si="18"/>
        <v>0</v>
      </c>
      <c r="BR12" s="73">
        <f t="shared" si="19"/>
        <v>0</v>
      </c>
      <c r="BS12" s="73">
        <f t="shared" si="20"/>
        <v>0</v>
      </c>
      <c r="BT12" s="581">
        <f t="shared" si="21"/>
        <v>0</v>
      </c>
      <c r="BU12" s="572">
        <f t="shared" si="22"/>
        <v>0</v>
      </c>
      <c r="BV12" s="572">
        <f t="shared" si="23"/>
        <v>0</v>
      </c>
      <c r="BW12" s="581">
        <f t="shared" si="24"/>
        <v>0</v>
      </c>
      <c r="BX12" s="572">
        <f t="shared" si="25"/>
        <v>0</v>
      </c>
      <c r="BY12" s="572">
        <f t="shared" si="26"/>
        <v>0</v>
      </c>
      <c r="BZ12" s="572">
        <f t="shared" si="27"/>
        <v>0</v>
      </c>
      <c r="CA12" s="572">
        <f t="shared" si="28"/>
        <v>0</v>
      </c>
      <c r="CB12" s="581">
        <f t="shared" si="29"/>
        <v>0</v>
      </c>
      <c r="CC12" s="870">
        <v>0</v>
      </c>
      <c r="CD12" s="572">
        <f t="shared" si="30"/>
        <v>0</v>
      </c>
      <c r="CE12" s="572">
        <f t="shared" si="31"/>
        <v>0</v>
      </c>
      <c r="CF12" s="572">
        <f t="shared" si="32"/>
        <v>0</v>
      </c>
      <c r="CG12" s="581">
        <f t="shared" si="33"/>
        <v>0</v>
      </c>
    </row>
    <row r="13" spans="1:85" ht="15.95" customHeight="1" x14ac:dyDescent="0.2">
      <c r="A13" s="180">
        <v>5</v>
      </c>
      <c r="B13" s="63" t="str">
        <f>dtsiswa!D11</f>
        <v>Arya Pratama G</v>
      </c>
      <c r="C13" s="11" t="s">
        <v>5</v>
      </c>
      <c r="D13" s="22"/>
      <c r="E13" s="22"/>
      <c r="F13" s="22"/>
      <c r="G13" s="22"/>
      <c r="H13" s="580" t="str">
        <f t="shared" si="0"/>
        <v xml:space="preserve">  </v>
      </c>
      <c r="I13" s="23"/>
      <c r="J13" s="23"/>
      <c r="K13" s="23"/>
      <c r="L13" s="23"/>
      <c r="M13" s="23"/>
      <c r="N13" s="23"/>
      <c r="O13" s="23"/>
      <c r="P13" s="23"/>
      <c r="Q13" s="23"/>
      <c r="R13" s="580" t="str">
        <f t="shared" si="1"/>
        <v xml:space="preserve">  </v>
      </c>
      <c r="S13" s="23"/>
      <c r="T13" s="23"/>
      <c r="U13" s="580" t="str">
        <f t="shared" si="2"/>
        <v xml:space="preserve">  </v>
      </c>
      <c r="V13" s="24"/>
      <c r="W13" s="25"/>
      <c r="X13" s="25"/>
      <c r="Y13" s="25"/>
      <c r="Z13" s="25"/>
      <c r="AA13" s="25"/>
      <c r="AB13" s="580" t="str">
        <f t="shared" si="3"/>
        <v xml:space="preserve">  </v>
      </c>
      <c r="AC13" s="19">
        <f t="shared" si="34"/>
        <v>0</v>
      </c>
      <c r="AD13" s="19">
        <f t="shared" si="35"/>
        <v>0</v>
      </c>
      <c r="AE13" s="19">
        <f t="shared" si="36"/>
        <v>0</v>
      </c>
      <c r="AF13" s="19">
        <f t="shared" si="37"/>
        <v>0</v>
      </c>
      <c r="AG13" s="19">
        <f t="shared" si="38"/>
        <v>0</v>
      </c>
      <c r="AH13" s="19">
        <f t="shared" si="39"/>
        <v>0</v>
      </c>
      <c r="AI13" s="19">
        <f t="shared" si="40"/>
        <v>0</v>
      </c>
      <c r="AJ13" s="20">
        <f t="shared" si="41"/>
        <v>0</v>
      </c>
      <c r="AK13" s="18">
        <f t="shared" si="42"/>
        <v>0</v>
      </c>
      <c r="AL13" s="18">
        <f t="shared" si="43"/>
        <v>0</v>
      </c>
      <c r="AM13" s="18">
        <f t="shared" si="44"/>
        <v>0</v>
      </c>
      <c r="AN13" s="18">
        <f t="shared" si="45"/>
        <v>0</v>
      </c>
      <c r="AO13" s="18">
        <f t="shared" si="46"/>
        <v>0</v>
      </c>
      <c r="AP13" s="2">
        <f t="shared" si="47"/>
        <v>0</v>
      </c>
      <c r="AQ13" s="2">
        <f t="shared" si="48"/>
        <v>0</v>
      </c>
      <c r="AR13" s="2">
        <f t="shared" si="49"/>
        <v>0</v>
      </c>
      <c r="AS13" s="2">
        <f t="shared" si="50"/>
        <v>0</v>
      </c>
      <c r="AT13" s="2">
        <f t="shared" si="51"/>
        <v>0</v>
      </c>
      <c r="AU13" s="2">
        <f t="shared" si="52"/>
        <v>0</v>
      </c>
      <c r="AV13" s="20">
        <f t="shared" si="53"/>
        <v>0</v>
      </c>
      <c r="AW13" s="65">
        <f t="shared" si="54"/>
        <v>0</v>
      </c>
      <c r="AX13" s="65">
        <f t="shared" si="55"/>
        <v>0</v>
      </c>
      <c r="AY13" s="65">
        <f t="shared" si="56"/>
        <v>0</v>
      </c>
      <c r="AZ13" s="65">
        <f t="shared" si="57"/>
        <v>0</v>
      </c>
      <c r="BA13" s="65">
        <f t="shared" si="58"/>
        <v>0</v>
      </c>
      <c r="BB13" s="65">
        <f t="shared" si="59"/>
        <v>0</v>
      </c>
      <c r="BC13" s="65">
        <f t="shared" si="60"/>
        <v>0</v>
      </c>
      <c r="BD13" s="528">
        <f t="shared" si="61"/>
        <v>0</v>
      </c>
      <c r="BE13" s="268">
        <f t="shared" si="7"/>
        <v>0</v>
      </c>
      <c r="BF13" s="268">
        <f t="shared" si="8"/>
        <v>0</v>
      </c>
      <c r="BG13" s="581">
        <f t="shared" si="9"/>
        <v>0</v>
      </c>
      <c r="BH13" s="268">
        <f t="shared" si="62"/>
        <v>0</v>
      </c>
      <c r="BI13" s="268">
        <f t="shared" si="63"/>
        <v>0</v>
      </c>
      <c r="BJ13" s="268">
        <f t="shared" si="64"/>
        <v>0</v>
      </c>
      <c r="BK13" s="268">
        <f t="shared" si="65"/>
        <v>0</v>
      </c>
      <c r="BL13" s="268">
        <f t="shared" si="66"/>
        <v>0</v>
      </c>
      <c r="BM13" s="581">
        <f t="shared" si="67"/>
        <v>0</v>
      </c>
      <c r="BN13" s="268">
        <f t="shared" si="15"/>
        <v>0</v>
      </c>
      <c r="BO13" s="268">
        <f t="shared" si="16"/>
        <v>0</v>
      </c>
      <c r="BP13" s="581">
        <f t="shared" si="17"/>
        <v>0</v>
      </c>
      <c r="BQ13" s="73">
        <f t="shared" si="18"/>
        <v>0</v>
      </c>
      <c r="BR13" s="73">
        <f t="shared" si="19"/>
        <v>0</v>
      </c>
      <c r="BS13" s="73">
        <f t="shared" si="20"/>
        <v>0</v>
      </c>
      <c r="BT13" s="581">
        <f t="shared" si="21"/>
        <v>0</v>
      </c>
      <c r="BU13" s="572">
        <f t="shared" si="22"/>
        <v>0</v>
      </c>
      <c r="BV13" s="572">
        <f t="shared" si="23"/>
        <v>0</v>
      </c>
      <c r="BW13" s="581">
        <f t="shared" si="24"/>
        <v>0</v>
      </c>
      <c r="BX13" s="572">
        <f t="shared" si="25"/>
        <v>0</v>
      </c>
      <c r="BY13" s="572">
        <f t="shared" si="26"/>
        <v>0</v>
      </c>
      <c r="BZ13" s="572">
        <f t="shared" si="27"/>
        <v>0</v>
      </c>
      <c r="CA13" s="572">
        <f t="shared" si="28"/>
        <v>0</v>
      </c>
      <c r="CB13" s="581">
        <f t="shared" si="29"/>
        <v>0</v>
      </c>
      <c r="CC13" s="870">
        <v>0</v>
      </c>
      <c r="CD13" s="572">
        <f t="shared" si="30"/>
        <v>0</v>
      </c>
      <c r="CE13" s="572">
        <f t="shared" si="31"/>
        <v>0</v>
      </c>
      <c r="CF13" s="572">
        <f t="shared" si="32"/>
        <v>0</v>
      </c>
      <c r="CG13" s="581">
        <f t="shared" si="33"/>
        <v>0</v>
      </c>
    </row>
    <row r="14" spans="1:85" ht="15.95" customHeight="1" x14ac:dyDescent="0.2">
      <c r="A14" s="180">
        <v>6</v>
      </c>
      <c r="B14" s="63" t="str">
        <f>dtsiswa!D12</f>
        <v>Asyam Hanif Ihsan H</v>
      </c>
      <c r="C14" s="11" t="s">
        <v>5</v>
      </c>
      <c r="D14" s="22"/>
      <c r="E14" s="22"/>
      <c r="F14" s="22"/>
      <c r="G14" s="22"/>
      <c r="H14" s="580" t="str">
        <f t="shared" si="0"/>
        <v xml:space="preserve">  </v>
      </c>
      <c r="I14" s="23"/>
      <c r="J14" s="23"/>
      <c r="K14" s="23"/>
      <c r="L14" s="23"/>
      <c r="M14" s="23"/>
      <c r="N14" s="23"/>
      <c r="O14" s="23"/>
      <c r="P14" s="23"/>
      <c r="Q14" s="23"/>
      <c r="R14" s="580" t="str">
        <f t="shared" si="1"/>
        <v xml:space="preserve">  </v>
      </c>
      <c r="S14" s="23"/>
      <c r="T14" s="23"/>
      <c r="U14" s="580" t="str">
        <f t="shared" si="2"/>
        <v xml:space="preserve">  </v>
      </c>
      <c r="V14" s="24"/>
      <c r="W14" s="25"/>
      <c r="X14" s="25"/>
      <c r="Y14" s="25"/>
      <c r="Z14" s="25"/>
      <c r="AA14" s="25"/>
      <c r="AB14" s="580" t="str">
        <f t="shared" si="3"/>
        <v xml:space="preserve">  </v>
      </c>
      <c r="AC14" s="19">
        <f t="shared" si="34"/>
        <v>0</v>
      </c>
      <c r="AD14" s="19">
        <f t="shared" si="35"/>
        <v>0</v>
      </c>
      <c r="AE14" s="19">
        <f t="shared" si="36"/>
        <v>0</v>
      </c>
      <c r="AF14" s="19">
        <f t="shared" si="37"/>
        <v>0</v>
      </c>
      <c r="AG14" s="19">
        <f t="shared" si="38"/>
        <v>0</v>
      </c>
      <c r="AH14" s="19">
        <f t="shared" si="39"/>
        <v>0</v>
      </c>
      <c r="AI14" s="19">
        <f t="shared" si="40"/>
        <v>0</v>
      </c>
      <c r="AJ14" s="20">
        <f t="shared" si="41"/>
        <v>0</v>
      </c>
      <c r="AK14" s="18">
        <f t="shared" si="42"/>
        <v>0</v>
      </c>
      <c r="AL14" s="18">
        <f t="shared" si="43"/>
        <v>0</v>
      </c>
      <c r="AM14" s="18">
        <f t="shared" si="44"/>
        <v>0</v>
      </c>
      <c r="AN14" s="18">
        <f t="shared" si="45"/>
        <v>0</v>
      </c>
      <c r="AO14" s="18">
        <f t="shared" si="46"/>
        <v>0</v>
      </c>
      <c r="AP14" s="2">
        <f t="shared" si="47"/>
        <v>0</v>
      </c>
      <c r="AQ14" s="2">
        <f t="shared" si="48"/>
        <v>0</v>
      </c>
      <c r="AR14" s="2">
        <f t="shared" si="49"/>
        <v>0</v>
      </c>
      <c r="AS14" s="2">
        <f t="shared" si="50"/>
        <v>0</v>
      </c>
      <c r="AT14" s="2">
        <f t="shared" si="51"/>
        <v>0</v>
      </c>
      <c r="AU14" s="2">
        <f t="shared" si="52"/>
        <v>0</v>
      </c>
      <c r="AV14" s="20">
        <f t="shared" si="53"/>
        <v>0</v>
      </c>
      <c r="AW14" s="65">
        <f t="shared" si="54"/>
        <v>0</v>
      </c>
      <c r="AX14" s="65">
        <f t="shared" si="55"/>
        <v>0</v>
      </c>
      <c r="AY14" s="65">
        <f t="shared" si="56"/>
        <v>0</v>
      </c>
      <c r="AZ14" s="65">
        <f t="shared" si="57"/>
        <v>0</v>
      </c>
      <c r="BA14" s="65">
        <f t="shared" si="58"/>
        <v>0</v>
      </c>
      <c r="BB14" s="65">
        <f t="shared" si="59"/>
        <v>0</v>
      </c>
      <c r="BC14" s="65">
        <f t="shared" si="60"/>
        <v>0</v>
      </c>
      <c r="BD14" s="528">
        <f t="shared" si="61"/>
        <v>0</v>
      </c>
      <c r="BE14" s="268">
        <f t="shared" si="7"/>
        <v>0</v>
      </c>
      <c r="BF14" s="268">
        <f t="shared" si="8"/>
        <v>0</v>
      </c>
      <c r="BG14" s="581">
        <f t="shared" si="9"/>
        <v>0</v>
      </c>
      <c r="BH14" s="268">
        <f t="shared" si="62"/>
        <v>0</v>
      </c>
      <c r="BI14" s="268">
        <f t="shared" si="63"/>
        <v>0</v>
      </c>
      <c r="BJ14" s="268">
        <f t="shared" si="64"/>
        <v>0</v>
      </c>
      <c r="BK14" s="268">
        <f t="shared" si="65"/>
        <v>0</v>
      </c>
      <c r="BL14" s="268">
        <f t="shared" si="66"/>
        <v>0</v>
      </c>
      <c r="BM14" s="581">
        <f t="shared" si="67"/>
        <v>0</v>
      </c>
      <c r="BN14" s="268">
        <f t="shared" si="15"/>
        <v>0</v>
      </c>
      <c r="BO14" s="268">
        <f t="shared" si="16"/>
        <v>0</v>
      </c>
      <c r="BP14" s="581">
        <f t="shared" si="17"/>
        <v>0</v>
      </c>
      <c r="BQ14" s="73">
        <f t="shared" si="18"/>
        <v>0</v>
      </c>
      <c r="BR14" s="73">
        <f t="shared" si="19"/>
        <v>0</v>
      </c>
      <c r="BS14" s="73">
        <f t="shared" si="20"/>
        <v>0</v>
      </c>
      <c r="BT14" s="581">
        <f t="shared" si="21"/>
        <v>0</v>
      </c>
      <c r="BU14" s="572">
        <f t="shared" si="22"/>
        <v>0</v>
      </c>
      <c r="BV14" s="572">
        <f t="shared" si="23"/>
        <v>0</v>
      </c>
      <c r="BW14" s="581">
        <f t="shared" si="24"/>
        <v>0</v>
      </c>
      <c r="BX14" s="572">
        <f t="shared" si="25"/>
        <v>0</v>
      </c>
      <c r="BY14" s="572">
        <f t="shared" si="26"/>
        <v>0</v>
      </c>
      <c r="BZ14" s="572">
        <f t="shared" si="27"/>
        <v>0</v>
      </c>
      <c r="CA14" s="572">
        <f t="shared" si="28"/>
        <v>0</v>
      </c>
      <c r="CB14" s="581">
        <f t="shared" si="29"/>
        <v>0</v>
      </c>
      <c r="CC14" s="870">
        <v>0</v>
      </c>
      <c r="CD14" s="572">
        <f t="shared" si="30"/>
        <v>0</v>
      </c>
      <c r="CE14" s="572">
        <f t="shared" si="31"/>
        <v>0</v>
      </c>
      <c r="CF14" s="572">
        <f t="shared" si="32"/>
        <v>0</v>
      </c>
      <c r="CG14" s="581">
        <f t="shared" si="33"/>
        <v>0</v>
      </c>
    </row>
    <row r="15" spans="1:85" ht="15.95" customHeight="1" x14ac:dyDescent="0.2">
      <c r="A15" s="180">
        <v>7</v>
      </c>
      <c r="B15" s="63" t="str">
        <f>dtsiswa!D13</f>
        <v>Athaya Salsabilla Z</v>
      </c>
      <c r="C15" s="11" t="s">
        <v>4</v>
      </c>
      <c r="D15" s="22"/>
      <c r="E15" s="22"/>
      <c r="F15" s="22"/>
      <c r="G15" s="22"/>
      <c r="H15" s="580" t="str">
        <f t="shared" si="0"/>
        <v xml:space="preserve">  </v>
      </c>
      <c r="I15" s="23"/>
      <c r="J15" s="23"/>
      <c r="K15" s="23"/>
      <c r="L15" s="23"/>
      <c r="M15" s="23"/>
      <c r="N15" s="23"/>
      <c r="O15" s="23"/>
      <c r="P15" s="23"/>
      <c r="Q15" s="23"/>
      <c r="R15" s="580" t="str">
        <f t="shared" si="1"/>
        <v xml:space="preserve">  </v>
      </c>
      <c r="S15" s="23"/>
      <c r="T15" s="23"/>
      <c r="U15" s="580" t="str">
        <f t="shared" si="2"/>
        <v xml:space="preserve">  </v>
      </c>
      <c r="V15" s="24"/>
      <c r="W15" s="25"/>
      <c r="X15" s="25"/>
      <c r="Y15" s="25"/>
      <c r="Z15" s="25"/>
      <c r="AA15" s="25"/>
      <c r="AB15" s="580" t="str">
        <f t="shared" si="3"/>
        <v xml:space="preserve">  </v>
      </c>
      <c r="AC15" s="19">
        <f t="shared" si="34"/>
        <v>0</v>
      </c>
      <c r="AD15" s="19">
        <f t="shared" si="35"/>
        <v>0</v>
      </c>
      <c r="AE15" s="19">
        <f t="shared" si="36"/>
        <v>0</v>
      </c>
      <c r="AF15" s="19">
        <f t="shared" si="37"/>
        <v>0</v>
      </c>
      <c r="AG15" s="19">
        <f t="shared" si="38"/>
        <v>0</v>
      </c>
      <c r="AH15" s="19">
        <f t="shared" si="39"/>
        <v>0</v>
      </c>
      <c r="AI15" s="19">
        <f t="shared" si="40"/>
        <v>0</v>
      </c>
      <c r="AJ15" s="20">
        <f t="shared" si="41"/>
        <v>0</v>
      </c>
      <c r="AK15" s="18">
        <f t="shared" si="42"/>
        <v>0</v>
      </c>
      <c r="AL15" s="18">
        <f t="shared" si="43"/>
        <v>0</v>
      </c>
      <c r="AM15" s="18">
        <f t="shared" si="44"/>
        <v>0</v>
      </c>
      <c r="AN15" s="18">
        <f t="shared" si="45"/>
        <v>0</v>
      </c>
      <c r="AO15" s="18">
        <f t="shared" si="46"/>
        <v>0</v>
      </c>
      <c r="AP15" s="2">
        <f t="shared" si="47"/>
        <v>0</v>
      </c>
      <c r="AQ15" s="2">
        <f t="shared" si="48"/>
        <v>0</v>
      </c>
      <c r="AR15" s="2">
        <f t="shared" si="49"/>
        <v>0</v>
      </c>
      <c r="AS15" s="2">
        <f t="shared" si="50"/>
        <v>0</v>
      </c>
      <c r="AT15" s="2">
        <f t="shared" si="51"/>
        <v>0</v>
      </c>
      <c r="AU15" s="2">
        <f t="shared" si="52"/>
        <v>0</v>
      </c>
      <c r="AV15" s="20">
        <f t="shared" si="53"/>
        <v>0</v>
      </c>
      <c r="AW15" s="65">
        <f t="shared" si="54"/>
        <v>0</v>
      </c>
      <c r="AX15" s="65">
        <f t="shared" si="55"/>
        <v>0</v>
      </c>
      <c r="AY15" s="65">
        <f t="shared" si="56"/>
        <v>0</v>
      </c>
      <c r="AZ15" s="65">
        <f t="shared" si="57"/>
        <v>0</v>
      </c>
      <c r="BA15" s="65">
        <f t="shared" si="58"/>
        <v>0</v>
      </c>
      <c r="BB15" s="65">
        <f t="shared" si="59"/>
        <v>0</v>
      </c>
      <c r="BC15" s="65">
        <f t="shared" si="60"/>
        <v>0</v>
      </c>
      <c r="BD15" s="528">
        <f t="shared" si="61"/>
        <v>0</v>
      </c>
      <c r="BE15" s="268">
        <f t="shared" si="7"/>
        <v>0</v>
      </c>
      <c r="BF15" s="268">
        <f t="shared" si="8"/>
        <v>0</v>
      </c>
      <c r="BG15" s="581">
        <f t="shared" si="9"/>
        <v>0</v>
      </c>
      <c r="BH15" s="268">
        <f t="shared" si="62"/>
        <v>0</v>
      </c>
      <c r="BI15" s="268">
        <f t="shared" si="63"/>
        <v>0</v>
      </c>
      <c r="BJ15" s="268">
        <f t="shared" si="64"/>
        <v>0</v>
      </c>
      <c r="BK15" s="268">
        <f t="shared" si="65"/>
        <v>0</v>
      </c>
      <c r="BL15" s="268">
        <f t="shared" si="66"/>
        <v>0</v>
      </c>
      <c r="BM15" s="581">
        <f t="shared" si="67"/>
        <v>0</v>
      </c>
      <c r="BN15" s="268">
        <f t="shared" si="15"/>
        <v>0</v>
      </c>
      <c r="BO15" s="268">
        <f t="shared" si="16"/>
        <v>0</v>
      </c>
      <c r="BP15" s="581">
        <f t="shared" si="17"/>
        <v>0</v>
      </c>
      <c r="BQ15" s="73">
        <f t="shared" si="18"/>
        <v>0</v>
      </c>
      <c r="BR15" s="73">
        <f t="shared" si="19"/>
        <v>0</v>
      </c>
      <c r="BS15" s="73">
        <f t="shared" si="20"/>
        <v>0</v>
      </c>
      <c r="BT15" s="581">
        <f t="shared" si="21"/>
        <v>0</v>
      </c>
      <c r="BU15" s="572">
        <f t="shared" si="22"/>
        <v>0</v>
      </c>
      <c r="BV15" s="572">
        <f t="shared" si="23"/>
        <v>0</v>
      </c>
      <c r="BW15" s="581">
        <f t="shared" si="24"/>
        <v>0</v>
      </c>
      <c r="BX15" s="572">
        <f t="shared" si="25"/>
        <v>0</v>
      </c>
      <c r="BY15" s="572">
        <f t="shared" si="26"/>
        <v>0</v>
      </c>
      <c r="BZ15" s="572">
        <f t="shared" si="27"/>
        <v>0</v>
      </c>
      <c r="CA15" s="572">
        <f t="shared" si="28"/>
        <v>0</v>
      </c>
      <c r="CB15" s="581">
        <f t="shared" si="29"/>
        <v>0</v>
      </c>
      <c r="CC15" s="870">
        <v>0</v>
      </c>
      <c r="CD15" s="572">
        <f t="shared" si="30"/>
        <v>0</v>
      </c>
      <c r="CE15" s="572">
        <f t="shared" si="31"/>
        <v>0</v>
      </c>
      <c r="CF15" s="572">
        <f t="shared" si="32"/>
        <v>0</v>
      </c>
      <c r="CG15" s="581">
        <f t="shared" si="33"/>
        <v>0</v>
      </c>
    </row>
    <row r="16" spans="1:85" ht="15.95" customHeight="1" x14ac:dyDescent="0.2">
      <c r="A16" s="180">
        <v>8</v>
      </c>
      <c r="B16" s="63" t="str">
        <f>dtsiswa!D14</f>
        <v>Aulia Dea Rosalinda</v>
      </c>
      <c r="C16" s="11" t="s">
        <v>4</v>
      </c>
      <c r="D16" s="22"/>
      <c r="E16" s="22"/>
      <c r="F16" s="22"/>
      <c r="G16" s="22"/>
      <c r="H16" s="580" t="str">
        <f t="shared" si="0"/>
        <v xml:space="preserve">  </v>
      </c>
      <c r="I16" s="23"/>
      <c r="J16" s="23"/>
      <c r="K16" s="23"/>
      <c r="L16" s="23"/>
      <c r="M16" s="23"/>
      <c r="N16" s="23"/>
      <c r="O16" s="23"/>
      <c r="P16" s="23"/>
      <c r="Q16" s="23"/>
      <c r="R16" s="580" t="str">
        <f t="shared" si="1"/>
        <v xml:space="preserve">  </v>
      </c>
      <c r="S16" s="23"/>
      <c r="T16" s="23"/>
      <c r="U16" s="580" t="str">
        <f t="shared" si="2"/>
        <v xml:space="preserve">  </v>
      </c>
      <c r="V16" s="24"/>
      <c r="W16" s="25"/>
      <c r="X16" s="25"/>
      <c r="Y16" s="25"/>
      <c r="Z16" s="25"/>
      <c r="AA16" s="25"/>
      <c r="AB16" s="580" t="str">
        <f t="shared" si="3"/>
        <v xml:space="preserve">  </v>
      </c>
      <c r="AC16" s="19">
        <f t="shared" si="34"/>
        <v>0</v>
      </c>
      <c r="AD16" s="19">
        <f t="shared" si="35"/>
        <v>0</v>
      </c>
      <c r="AE16" s="19">
        <f t="shared" si="36"/>
        <v>0</v>
      </c>
      <c r="AF16" s="19">
        <f t="shared" si="37"/>
        <v>0</v>
      </c>
      <c r="AG16" s="19">
        <f t="shared" si="38"/>
        <v>0</v>
      </c>
      <c r="AH16" s="19">
        <f t="shared" si="39"/>
        <v>0</v>
      </c>
      <c r="AI16" s="19">
        <f t="shared" si="40"/>
        <v>0</v>
      </c>
      <c r="AJ16" s="20">
        <f t="shared" si="41"/>
        <v>0</v>
      </c>
      <c r="AK16" s="18">
        <f t="shared" si="42"/>
        <v>0</v>
      </c>
      <c r="AL16" s="18">
        <f t="shared" si="43"/>
        <v>0</v>
      </c>
      <c r="AM16" s="18">
        <f t="shared" si="44"/>
        <v>0</v>
      </c>
      <c r="AN16" s="18">
        <f t="shared" si="45"/>
        <v>0</v>
      </c>
      <c r="AO16" s="18">
        <f t="shared" si="46"/>
        <v>0</v>
      </c>
      <c r="AP16" s="2">
        <f t="shared" si="47"/>
        <v>0</v>
      </c>
      <c r="AQ16" s="2">
        <f t="shared" si="48"/>
        <v>0</v>
      </c>
      <c r="AR16" s="2">
        <f t="shared" si="49"/>
        <v>0</v>
      </c>
      <c r="AS16" s="2">
        <f t="shared" si="50"/>
        <v>0</v>
      </c>
      <c r="AT16" s="2">
        <f t="shared" si="51"/>
        <v>0</v>
      </c>
      <c r="AU16" s="2">
        <f t="shared" si="52"/>
        <v>0</v>
      </c>
      <c r="AV16" s="20">
        <f t="shared" si="53"/>
        <v>0</v>
      </c>
      <c r="AW16" s="65">
        <f t="shared" si="54"/>
        <v>0</v>
      </c>
      <c r="AX16" s="65">
        <f t="shared" si="55"/>
        <v>0</v>
      </c>
      <c r="AY16" s="65">
        <f t="shared" si="56"/>
        <v>0</v>
      </c>
      <c r="AZ16" s="65">
        <f t="shared" si="57"/>
        <v>0</v>
      </c>
      <c r="BA16" s="65">
        <f t="shared" si="58"/>
        <v>0</v>
      </c>
      <c r="BB16" s="65">
        <f t="shared" si="59"/>
        <v>0</v>
      </c>
      <c r="BC16" s="65">
        <f t="shared" si="60"/>
        <v>0</v>
      </c>
      <c r="BD16" s="528">
        <f t="shared" si="61"/>
        <v>0</v>
      </c>
      <c r="BE16" s="268">
        <f t="shared" si="7"/>
        <v>0</v>
      </c>
      <c r="BF16" s="268">
        <f t="shared" si="8"/>
        <v>0</v>
      </c>
      <c r="BG16" s="581">
        <f t="shared" si="9"/>
        <v>0</v>
      </c>
      <c r="BH16" s="268">
        <f t="shared" si="62"/>
        <v>0</v>
      </c>
      <c r="BI16" s="268">
        <f t="shared" si="63"/>
        <v>0</v>
      </c>
      <c r="BJ16" s="268">
        <f t="shared" si="64"/>
        <v>0</v>
      </c>
      <c r="BK16" s="268">
        <f t="shared" si="65"/>
        <v>0</v>
      </c>
      <c r="BL16" s="268">
        <f t="shared" si="66"/>
        <v>0</v>
      </c>
      <c r="BM16" s="581">
        <f t="shared" si="67"/>
        <v>0</v>
      </c>
      <c r="BN16" s="268">
        <f t="shared" si="15"/>
        <v>0</v>
      </c>
      <c r="BO16" s="268">
        <f t="shared" si="16"/>
        <v>0</v>
      </c>
      <c r="BP16" s="581">
        <f t="shared" si="17"/>
        <v>0</v>
      </c>
      <c r="BQ16" s="73">
        <f t="shared" si="18"/>
        <v>0</v>
      </c>
      <c r="BR16" s="73">
        <f t="shared" si="19"/>
        <v>0</v>
      </c>
      <c r="BS16" s="73">
        <f t="shared" si="20"/>
        <v>0</v>
      </c>
      <c r="BT16" s="581">
        <f t="shared" si="21"/>
        <v>0</v>
      </c>
      <c r="BU16" s="572">
        <f t="shared" si="22"/>
        <v>0</v>
      </c>
      <c r="BV16" s="572">
        <f t="shared" si="23"/>
        <v>0</v>
      </c>
      <c r="BW16" s="581">
        <f t="shared" si="24"/>
        <v>0</v>
      </c>
      <c r="BX16" s="572">
        <f t="shared" si="25"/>
        <v>0</v>
      </c>
      <c r="BY16" s="572">
        <f t="shared" si="26"/>
        <v>0</v>
      </c>
      <c r="BZ16" s="572">
        <f t="shared" si="27"/>
        <v>0</v>
      </c>
      <c r="CA16" s="572">
        <f t="shared" si="28"/>
        <v>0</v>
      </c>
      <c r="CB16" s="581">
        <f t="shared" si="29"/>
        <v>0</v>
      </c>
      <c r="CC16" s="870">
        <v>0</v>
      </c>
      <c r="CD16" s="572">
        <f t="shared" si="30"/>
        <v>0</v>
      </c>
      <c r="CE16" s="572">
        <f t="shared" si="31"/>
        <v>0</v>
      </c>
      <c r="CF16" s="572">
        <f t="shared" si="32"/>
        <v>0</v>
      </c>
      <c r="CG16" s="581">
        <f t="shared" si="33"/>
        <v>0</v>
      </c>
    </row>
    <row r="17" spans="1:85" ht="15.95" customHeight="1" x14ac:dyDescent="0.2">
      <c r="A17" s="180">
        <v>9</v>
      </c>
      <c r="B17" s="63" t="str">
        <f>dtsiswa!D15</f>
        <v>Claudia Gabriella L</v>
      </c>
      <c r="C17" s="11" t="s">
        <v>4</v>
      </c>
      <c r="D17" s="22"/>
      <c r="E17" s="22"/>
      <c r="F17" s="22"/>
      <c r="G17" s="22"/>
      <c r="H17" s="580" t="str">
        <f t="shared" si="0"/>
        <v xml:space="preserve">  </v>
      </c>
      <c r="I17" s="23"/>
      <c r="J17" s="23"/>
      <c r="K17" s="23"/>
      <c r="L17" s="23"/>
      <c r="M17" s="23"/>
      <c r="N17" s="23"/>
      <c r="O17" s="23"/>
      <c r="P17" s="23"/>
      <c r="Q17" s="23"/>
      <c r="R17" s="580" t="str">
        <f t="shared" si="1"/>
        <v xml:space="preserve">  </v>
      </c>
      <c r="S17" s="23"/>
      <c r="T17" s="23"/>
      <c r="U17" s="580" t="str">
        <f t="shared" si="2"/>
        <v xml:space="preserve">  </v>
      </c>
      <c r="V17" s="24"/>
      <c r="W17" s="25"/>
      <c r="X17" s="25"/>
      <c r="Y17" s="25"/>
      <c r="Z17" s="25"/>
      <c r="AA17" s="25"/>
      <c r="AB17" s="580" t="str">
        <f t="shared" si="3"/>
        <v xml:space="preserve">  </v>
      </c>
      <c r="AC17" s="19">
        <f t="shared" si="34"/>
        <v>0</v>
      </c>
      <c r="AD17" s="19">
        <f t="shared" si="35"/>
        <v>0</v>
      </c>
      <c r="AE17" s="19">
        <f t="shared" si="36"/>
        <v>0</v>
      </c>
      <c r="AF17" s="19">
        <f t="shared" si="37"/>
        <v>0</v>
      </c>
      <c r="AG17" s="19">
        <f t="shared" si="38"/>
        <v>0</v>
      </c>
      <c r="AH17" s="19">
        <f t="shared" si="39"/>
        <v>0</v>
      </c>
      <c r="AI17" s="19">
        <f t="shared" si="40"/>
        <v>0</v>
      </c>
      <c r="AJ17" s="20">
        <f t="shared" si="41"/>
        <v>0</v>
      </c>
      <c r="AK17" s="18">
        <f t="shared" si="42"/>
        <v>0</v>
      </c>
      <c r="AL17" s="18">
        <f t="shared" si="43"/>
        <v>0</v>
      </c>
      <c r="AM17" s="18">
        <f t="shared" si="44"/>
        <v>0</v>
      </c>
      <c r="AN17" s="18">
        <f t="shared" si="45"/>
        <v>0</v>
      </c>
      <c r="AO17" s="18">
        <f t="shared" si="46"/>
        <v>0</v>
      </c>
      <c r="AP17" s="2">
        <f t="shared" si="47"/>
        <v>0</v>
      </c>
      <c r="AQ17" s="2">
        <f t="shared" si="48"/>
        <v>0</v>
      </c>
      <c r="AR17" s="2">
        <f t="shared" si="49"/>
        <v>0</v>
      </c>
      <c r="AS17" s="2">
        <f t="shared" si="50"/>
        <v>0</v>
      </c>
      <c r="AT17" s="2">
        <f t="shared" si="51"/>
        <v>0</v>
      </c>
      <c r="AU17" s="2">
        <f t="shared" si="52"/>
        <v>0</v>
      </c>
      <c r="AV17" s="20">
        <f t="shared" si="53"/>
        <v>0</v>
      </c>
      <c r="AW17" s="65">
        <f t="shared" si="54"/>
        <v>0</v>
      </c>
      <c r="AX17" s="65">
        <f t="shared" si="55"/>
        <v>0</v>
      </c>
      <c r="AY17" s="65">
        <f t="shared" si="56"/>
        <v>0</v>
      </c>
      <c r="AZ17" s="65">
        <f t="shared" si="57"/>
        <v>0</v>
      </c>
      <c r="BA17" s="65">
        <f t="shared" si="58"/>
        <v>0</v>
      </c>
      <c r="BB17" s="65">
        <f t="shared" si="59"/>
        <v>0</v>
      </c>
      <c r="BC17" s="65">
        <f t="shared" si="60"/>
        <v>0</v>
      </c>
      <c r="BD17" s="528">
        <f t="shared" si="61"/>
        <v>0</v>
      </c>
      <c r="BE17" s="268">
        <f t="shared" si="7"/>
        <v>0</v>
      </c>
      <c r="BF17" s="268">
        <f t="shared" si="8"/>
        <v>0</v>
      </c>
      <c r="BG17" s="581">
        <f t="shared" si="9"/>
        <v>0</v>
      </c>
      <c r="BH17" s="268">
        <f t="shared" si="62"/>
        <v>0</v>
      </c>
      <c r="BI17" s="268">
        <f t="shared" si="63"/>
        <v>0</v>
      </c>
      <c r="BJ17" s="268">
        <f t="shared" si="64"/>
        <v>0</v>
      </c>
      <c r="BK17" s="268">
        <f t="shared" si="65"/>
        <v>0</v>
      </c>
      <c r="BL17" s="268">
        <f t="shared" si="66"/>
        <v>0</v>
      </c>
      <c r="BM17" s="581">
        <f t="shared" si="67"/>
        <v>0</v>
      </c>
      <c r="BN17" s="268">
        <f t="shared" si="15"/>
        <v>0</v>
      </c>
      <c r="BO17" s="268">
        <f t="shared" si="16"/>
        <v>0</v>
      </c>
      <c r="BP17" s="581">
        <f t="shared" si="17"/>
        <v>0</v>
      </c>
      <c r="BQ17" s="73">
        <f t="shared" si="18"/>
        <v>0</v>
      </c>
      <c r="BR17" s="73">
        <f t="shared" si="19"/>
        <v>0</v>
      </c>
      <c r="BS17" s="73">
        <f t="shared" si="20"/>
        <v>0</v>
      </c>
      <c r="BT17" s="581">
        <f t="shared" si="21"/>
        <v>0</v>
      </c>
      <c r="BU17" s="572">
        <f t="shared" si="22"/>
        <v>0</v>
      </c>
      <c r="BV17" s="572">
        <f t="shared" si="23"/>
        <v>0</v>
      </c>
      <c r="BW17" s="581">
        <f t="shared" si="24"/>
        <v>0</v>
      </c>
      <c r="BX17" s="572">
        <f t="shared" si="25"/>
        <v>0</v>
      </c>
      <c r="BY17" s="572">
        <f t="shared" si="26"/>
        <v>0</v>
      </c>
      <c r="BZ17" s="572">
        <f t="shared" si="27"/>
        <v>0</v>
      </c>
      <c r="CA17" s="572">
        <f t="shared" si="28"/>
        <v>0</v>
      </c>
      <c r="CB17" s="581">
        <f t="shared" si="29"/>
        <v>0</v>
      </c>
      <c r="CC17" s="870">
        <v>0</v>
      </c>
      <c r="CD17" s="572">
        <f t="shared" si="30"/>
        <v>0</v>
      </c>
      <c r="CE17" s="572">
        <f t="shared" si="31"/>
        <v>0</v>
      </c>
      <c r="CF17" s="572">
        <f t="shared" si="32"/>
        <v>0</v>
      </c>
      <c r="CG17" s="581">
        <f t="shared" si="33"/>
        <v>0</v>
      </c>
    </row>
    <row r="18" spans="1:85" ht="15.95" customHeight="1" x14ac:dyDescent="0.2">
      <c r="A18" s="180">
        <v>10</v>
      </c>
      <c r="B18" s="63" t="str">
        <f>dtsiswa!D16</f>
        <v xml:space="preserve">Deco Badarus Zaman </v>
      </c>
      <c r="C18" s="11" t="s">
        <v>4</v>
      </c>
      <c r="D18" s="22"/>
      <c r="E18" s="22"/>
      <c r="F18" s="22"/>
      <c r="G18" s="22"/>
      <c r="H18" s="580" t="str">
        <f t="shared" si="0"/>
        <v xml:space="preserve">  </v>
      </c>
      <c r="I18" s="23"/>
      <c r="J18" s="23"/>
      <c r="K18" s="23"/>
      <c r="L18" s="23"/>
      <c r="M18" s="23"/>
      <c r="N18" s="23"/>
      <c r="O18" s="23"/>
      <c r="P18" s="23"/>
      <c r="Q18" s="23"/>
      <c r="R18" s="580" t="str">
        <f t="shared" si="1"/>
        <v xml:space="preserve">  </v>
      </c>
      <c r="S18" s="23"/>
      <c r="T18" s="23"/>
      <c r="U18" s="580" t="str">
        <f t="shared" si="2"/>
        <v xml:space="preserve">  </v>
      </c>
      <c r="V18" s="24"/>
      <c r="W18" s="25"/>
      <c r="X18" s="25"/>
      <c r="Y18" s="25"/>
      <c r="Z18" s="25"/>
      <c r="AA18" s="25"/>
      <c r="AB18" s="580" t="str">
        <f t="shared" si="3"/>
        <v xml:space="preserve">  </v>
      </c>
      <c r="AC18" s="19">
        <f t="shared" si="34"/>
        <v>0</v>
      </c>
      <c r="AD18" s="19">
        <f t="shared" si="35"/>
        <v>0</v>
      </c>
      <c r="AE18" s="19">
        <f t="shared" si="36"/>
        <v>0</v>
      </c>
      <c r="AF18" s="19">
        <f t="shared" si="37"/>
        <v>0</v>
      </c>
      <c r="AG18" s="19">
        <f t="shared" si="38"/>
        <v>0</v>
      </c>
      <c r="AH18" s="19">
        <f t="shared" si="39"/>
        <v>0</v>
      </c>
      <c r="AI18" s="19">
        <f t="shared" si="40"/>
        <v>0</v>
      </c>
      <c r="AJ18" s="20">
        <f t="shared" si="41"/>
        <v>0</v>
      </c>
      <c r="AK18" s="18">
        <f t="shared" si="42"/>
        <v>0</v>
      </c>
      <c r="AL18" s="18">
        <f t="shared" si="43"/>
        <v>0</v>
      </c>
      <c r="AM18" s="18">
        <f t="shared" si="44"/>
        <v>0</v>
      </c>
      <c r="AN18" s="18">
        <f t="shared" si="45"/>
        <v>0</v>
      </c>
      <c r="AO18" s="18">
        <f t="shared" si="46"/>
        <v>0</v>
      </c>
      <c r="AP18" s="2">
        <f t="shared" si="47"/>
        <v>0</v>
      </c>
      <c r="AQ18" s="2">
        <f t="shared" si="48"/>
        <v>0</v>
      </c>
      <c r="AR18" s="2">
        <f t="shared" si="49"/>
        <v>0</v>
      </c>
      <c r="AS18" s="2">
        <f t="shared" si="50"/>
        <v>0</v>
      </c>
      <c r="AT18" s="2">
        <f t="shared" si="51"/>
        <v>0</v>
      </c>
      <c r="AU18" s="2">
        <f t="shared" si="52"/>
        <v>0</v>
      </c>
      <c r="AV18" s="20">
        <f t="shared" si="53"/>
        <v>0</v>
      </c>
      <c r="AW18" s="65">
        <f t="shared" si="54"/>
        <v>0</v>
      </c>
      <c r="AX18" s="65">
        <f t="shared" si="55"/>
        <v>0</v>
      </c>
      <c r="AY18" s="65">
        <f t="shared" si="56"/>
        <v>0</v>
      </c>
      <c r="AZ18" s="65">
        <f t="shared" si="57"/>
        <v>0</v>
      </c>
      <c r="BA18" s="65">
        <f t="shared" si="58"/>
        <v>0</v>
      </c>
      <c r="BB18" s="65">
        <f t="shared" si="59"/>
        <v>0</v>
      </c>
      <c r="BC18" s="65">
        <f t="shared" si="60"/>
        <v>0</v>
      </c>
      <c r="BD18" s="528">
        <f t="shared" si="61"/>
        <v>0</v>
      </c>
      <c r="BE18" s="268">
        <f t="shared" si="7"/>
        <v>0</v>
      </c>
      <c r="BF18" s="268">
        <f t="shared" si="8"/>
        <v>0</v>
      </c>
      <c r="BG18" s="581">
        <f t="shared" si="9"/>
        <v>0</v>
      </c>
      <c r="BH18" s="268">
        <f t="shared" si="62"/>
        <v>0</v>
      </c>
      <c r="BI18" s="268">
        <f t="shared" si="63"/>
        <v>0</v>
      </c>
      <c r="BJ18" s="268">
        <f t="shared" si="64"/>
        <v>0</v>
      </c>
      <c r="BK18" s="268">
        <f t="shared" si="65"/>
        <v>0</v>
      </c>
      <c r="BL18" s="268">
        <f t="shared" si="66"/>
        <v>0</v>
      </c>
      <c r="BM18" s="581">
        <f t="shared" si="67"/>
        <v>0</v>
      </c>
      <c r="BN18" s="268">
        <f t="shared" si="15"/>
        <v>0</v>
      </c>
      <c r="BO18" s="268">
        <f t="shared" si="16"/>
        <v>0</v>
      </c>
      <c r="BP18" s="581">
        <f t="shared" si="17"/>
        <v>0</v>
      </c>
      <c r="BQ18" s="73">
        <f t="shared" si="18"/>
        <v>0</v>
      </c>
      <c r="BR18" s="73">
        <f t="shared" si="19"/>
        <v>0</v>
      </c>
      <c r="BS18" s="73">
        <f t="shared" si="20"/>
        <v>0</v>
      </c>
      <c r="BT18" s="581">
        <f t="shared" si="21"/>
        <v>0</v>
      </c>
      <c r="BU18" s="572">
        <f t="shared" si="22"/>
        <v>0</v>
      </c>
      <c r="BV18" s="572">
        <f t="shared" si="23"/>
        <v>0</v>
      </c>
      <c r="BW18" s="581">
        <f t="shared" si="24"/>
        <v>0</v>
      </c>
      <c r="BX18" s="572">
        <f t="shared" si="25"/>
        <v>0</v>
      </c>
      <c r="BY18" s="572">
        <f t="shared" si="26"/>
        <v>0</v>
      </c>
      <c r="BZ18" s="572">
        <f t="shared" si="27"/>
        <v>0</v>
      </c>
      <c r="CA18" s="572">
        <f t="shared" si="28"/>
        <v>0</v>
      </c>
      <c r="CB18" s="581">
        <f t="shared" si="29"/>
        <v>0</v>
      </c>
      <c r="CC18" s="870">
        <v>0</v>
      </c>
      <c r="CD18" s="572">
        <f t="shared" si="30"/>
        <v>0</v>
      </c>
      <c r="CE18" s="572">
        <f t="shared" si="31"/>
        <v>0</v>
      </c>
      <c r="CF18" s="572">
        <f t="shared" si="32"/>
        <v>0</v>
      </c>
      <c r="CG18" s="581">
        <f t="shared" si="33"/>
        <v>0</v>
      </c>
    </row>
    <row r="19" spans="1:85" ht="15.95" customHeight="1" x14ac:dyDescent="0.2">
      <c r="A19" s="180">
        <v>11</v>
      </c>
      <c r="B19" s="63" t="str">
        <f>dtsiswa!D17</f>
        <v>Fania Mutiara Felichia</v>
      </c>
      <c r="C19" s="11" t="s">
        <v>4</v>
      </c>
      <c r="D19" s="22"/>
      <c r="E19" s="22"/>
      <c r="F19" s="22"/>
      <c r="G19" s="22"/>
      <c r="H19" s="580" t="str">
        <f t="shared" si="0"/>
        <v xml:space="preserve">  </v>
      </c>
      <c r="I19" s="23"/>
      <c r="J19" s="23"/>
      <c r="K19" s="23"/>
      <c r="L19" s="23"/>
      <c r="M19" s="23"/>
      <c r="N19" s="23"/>
      <c r="O19" s="23"/>
      <c r="P19" s="23"/>
      <c r="Q19" s="23"/>
      <c r="R19" s="580" t="str">
        <f t="shared" si="1"/>
        <v xml:space="preserve">  </v>
      </c>
      <c r="S19" s="23"/>
      <c r="T19" s="23"/>
      <c r="U19" s="580" t="str">
        <f t="shared" si="2"/>
        <v xml:space="preserve">  </v>
      </c>
      <c r="V19" s="24"/>
      <c r="W19" s="25"/>
      <c r="X19" s="25"/>
      <c r="Y19" s="25"/>
      <c r="Z19" s="25"/>
      <c r="AA19" s="25"/>
      <c r="AB19" s="580" t="str">
        <f t="shared" si="3"/>
        <v xml:space="preserve">  </v>
      </c>
      <c r="AC19" s="19">
        <f t="shared" si="34"/>
        <v>0</v>
      </c>
      <c r="AD19" s="19">
        <f t="shared" si="35"/>
        <v>0</v>
      </c>
      <c r="AE19" s="19">
        <f t="shared" si="36"/>
        <v>0</v>
      </c>
      <c r="AF19" s="19">
        <f t="shared" si="37"/>
        <v>0</v>
      </c>
      <c r="AG19" s="19">
        <f t="shared" si="38"/>
        <v>0</v>
      </c>
      <c r="AH19" s="19">
        <f t="shared" si="39"/>
        <v>0</v>
      </c>
      <c r="AI19" s="19">
        <f t="shared" si="40"/>
        <v>0</v>
      </c>
      <c r="AJ19" s="20">
        <f t="shared" si="41"/>
        <v>0</v>
      </c>
      <c r="AK19" s="18">
        <f t="shared" si="42"/>
        <v>0</v>
      </c>
      <c r="AL19" s="18">
        <f t="shared" si="43"/>
        <v>0</v>
      </c>
      <c r="AM19" s="18">
        <f t="shared" si="44"/>
        <v>0</v>
      </c>
      <c r="AN19" s="18">
        <f t="shared" si="45"/>
        <v>0</v>
      </c>
      <c r="AO19" s="18">
        <f t="shared" si="46"/>
        <v>0</v>
      </c>
      <c r="AP19" s="2">
        <f t="shared" si="47"/>
        <v>0</v>
      </c>
      <c r="AQ19" s="2">
        <f t="shared" si="48"/>
        <v>0</v>
      </c>
      <c r="AR19" s="2">
        <f t="shared" si="49"/>
        <v>0</v>
      </c>
      <c r="AS19" s="2">
        <f t="shared" si="50"/>
        <v>0</v>
      </c>
      <c r="AT19" s="2">
        <f t="shared" si="51"/>
        <v>0</v>
      </c>
      <c r="AU19" s="2">
        <f t="shared" si="52"/>
        <v>0</v>
      </c>
      <c r="AV19" s="20">
        <f t="shared" si="53"/>
        <v>0</v>
      </c>
      <c r="AW19" s="65">
        <f t="shared" si="54"/>
        <v>0</v>
      </c>
      <c r="AX19" s="65">
        <f t="shared" si="55"/>
        <v>0</v>
      </c>
      <c r="AY19" s="65">
        <f t="shared" si="56"/>
        <v>0</v>
      </c>
      <c r="AZ19" s="65">
        <f t="shared" si="57"/>
        <v>0</v>
      </c>
      <c r="BA19" s="65">
        <f t="shared" si="58"/>
        <v>0</v>
      </c>
      <c r="BB19" s="65">
        <f t="shared" si="59"/>
        <v>0</v>
      </c>
      <c r="BC19" s="65">
        <f t="shared" si="60"/>
        <v>0</v>
      </c>
      <c r="BD19" s="528">
        <f t="shared" si="61"/>
        <v>0</v>
      </c>
      <c r="BE19" s="268">
        <f t="shared" si="7"/>
        <v>0</v>
      </c>
      <c r="BF19" s="268">
        <f t="shared" si="8"/>
        <v>0</v>
      </c>
      <c r="BG19" s="581">
        <f t="shared" si="9"/>
        <v>0</v>
      </c>
      <c r="BH19" s="268">
        <f t="shared" si="62"/>
        <v>0</v>
      </c>
      <c r="BI19" s="268">
        <f t="shared" si="63"/>
        <v>0</v>
      </c>
      <c r="BJ19" s="268">
        <f t="shared" si="64"/>
        <v>0</v>
      </c>
      <c r="BK19" s="268">
        <f t="shared" si="65"/>
        <v>0</v>
      </c>
      <c r="BL19" s="268">
        <f t="shared" si="66"/>
        <v>0</v>
      </c>
      <c r="BM19" s="581">
        <f t="shared" si="67"/>
        <v>0</v>
      </c>
      <c r="BN19" s="268">
        <f t="shared" si="15"/>
        <v>0</v>
      </c>
      <c r="BO19" s="268">
        <f t="shared" si="16"/>
        <v>0</v>
      </c>
      <c r="BP19" s="581">
        <f t="shared" si="17"/>
        <v>0</v>
      </c>
      <c r="BQ19" s="73">
        <f t="shared" si="18"/>
        <v>0</v>
      </c>
      <c r="BR19" s="73">
        <f t="shared" si="19"/>
        <v>0</v>
      </c>
      <c r="BS19" s="73">
        <f t="shared" si="20"/>
        <v>0</v>
      </c>
      <c r="BT19" s="581">
        <f t="shared" si="21"/>
        <v>0</v>
      </c>
      <c r="BU19" s="572">
        <f t="shared" si="22"/>
        <v>0</v>
      </c>
      <c r="BV19" s="572">
        <f t="shared" si="23"/>
        <v>0</v>
      </c>
      <c r="BW19" s="581">
        <f t="shared" si="24"/>
        <v>0</v>
      </c>
      <c r="BX19" s="572">
        <f t="shared" si="25"/>
        <v>0</v>
      </c>
      <c r="BY19" s="572">
        <f t="shared" si="26"/>
        <v>0</v>
      </c>
      <c r="BZ19" s="572">
        <f t="shared" si="27"/>
        <v>0</v>
      </c>
      <c r="CA19" s="572">
        <f t="shared" si="28"/>
        <v>0</v>
      </c>
      <c r="CB19" s="581">
        <f t="shared" si="29"/>
        <v>0</v>
      </c>
      <c r="CC19" s="870">
        <v>0</v>
      </c>
      <c r="CD19" s="572">
        <f t="shared" si="30"/>
        <v>0</v>
      </c>
      <c r="CE19" s="572">
        <f t="shared" si="31"/>
        <v>0</v>
      </c>
      <c r="CF19" s="572">
        <f t="shared" si="32"/>
        <v>0</v>
      </c>
      <c r="CG19" s="581">
        <f t="shared" si="33"/>
        <v>0</v>
      </c>
    </row>
    <row r="20" spans="1:85" ht="15.95" customHeight="1" x14ac:dyDescent="0.2">
      <c r="A20" s="180">
        <v>12</v>
      </c>
      <c r="B20" s="63" t="str">
        <f>dtsiswa!D18</f>
        <v>Intan Dyah Nowari</v>
      </c>
      <c r="C20" s="11" t="s">
        <v>4</v>
      </c>
      <c r="D20" s="22"/>
      <c r="E20" s="22"/>
      <c r="F20" s="22"/>
      <c r="G20" s="22"/>
      <c r="H20" s="580" t="str">
        <f t="shared" si="0"/>
        <v xml:space="preserve">  </v>
      </c>
      <c r="I20" s="23"/>
      <c r="J20" s="23"/>
      <c r="K20" s="23"/>
      <c r="L20" s="23"/>
      <c r="M20" s="23"/>
      <c r="N20" s="23"/>
      <c r="O20" s="23"/>
      <c r="P20" s="23"/>
      <c r="Q20" s="23"/>
      <c r="R20" s="580" t="str">
        <f t="shared" si="1"/>
        <v xml:space="preserve">  </v>
      </c>
      <c r="S20" s="23"/>
      <c r="T20" s="23"/>
      <c r="U20" s="580" t="str">
        <f t="shared" si="2"/>
        <v xml:space="preserve">  </v>
      </c>
      <c r="V20" s="24"/>
      <c r="W20" s="25"/>
      <c r="X20" s="25"/>
      <c r="Y20" s="25"/>
      <c r="Z20" s="25"/>
      <c r="AA20" s="25"/>
      <c r="AB20" s="580" t="str">
        <f t="shared" si="3"/>
        <v xml:space="preserve">  </v>
      </c>
      <c r="AC20" s="19">
        <f t="shared" si="34"/>
        <v>0</v>
      </c>
      <c r="AD20" s="19">
        <f t="shared" si="35"/>
        <v>0</v>
      </c>
      <c r="AE20" s="19">
        <f t="shared" si="36"/>
        <v>0</v>
      </c>
      <c r="AF20" s="19">
        <f t="shared" si="37"/>
        <v>0</v>
      </c>
      <c r="AG20" s="19">
        <f t="shared" si="38"/>
        <v>0</v>
      </c>
      <c r="AH20" s="19">
        <f t="shared" si="39"/>
        <v>0</v>
      </c>
      <c r="AI20" s="19">
        <f t="shared" si="40"/>
        <v>0</v>
      </c>
      <c r="AJ20" s="20">
        <f t="shared" si="41"/>
        <v>0</v>
      </c>
      <c r="AK20" s="18">
        <f t="shared" si="42"/>
        <v>0</v>
      </c>
      <c r="AL20" s="18">
        <f t="shared" si="43"/>
        <v>0</v>
      </c>
      <c r="AM20" s="18">
        <f t="shared" si="44"/>
        <v>0</v>
      </c>
      <c r="AN20" s="18">
        <f t="shared" si="45"/>
        <v>0</v>
      </c>
      <c r="AO20" s="18">
        <f t="shared" si="46"/>
        <v>0</v>
      </c>
      <c r="AP20" s="2">
        <f t="shared" si="47"/>
        <v>0</v>
      </c>
      <c r="AQ20" s="2">
        <f t="shared" si="48"/>
        <v>0</v>
      </c>
      <c r="AR20" s="2">
        <f t="shared" si="49"/>
        <v>0</v>
      </c>
      <c r="AS20" s="2">
        <f t="shared" si="50"/>
        <v>0</v>
      </c>
      <c r="AT20" s="2">
        <f t="shared" si="51"/>
        <v>0</v>
      </c>
      <c r="AU20" s="2">
        <f t="shared" si="52"/>
        <v>0</v>
      </c>
      <c r="AV20" s="20">
        <f t="shared" si="53"/>
        <v>0</v>
      </c>
      <c r="AW20" s="65">
        <f t="shared" si="54"/>
        <v>0</v>
      </c>
      <c r="AX20" s="65">
        <f t="shared" si="55"/>
        <v>0</v>
      </c>
      <c r="AY20" s="65">
        <f t="shared" si="56"/>
        <v>0</v>
      </c>
      <c r="AZ20" s="65">
        <f t="shared" si="57"/>
        <v>0</v>
      </c>
      <c r="BA20" s="65">
        <f t="shared" si="58"/>
        <v>0</v>
      </c>
      <c r="BB20" s="65">
        <f t="shared" si="59"/>
        <v>0</v>
      </c>
      <c r="BC20" s="65">
        <f t="shared" si="60"/>
        <v>0</v>
      </c>
      <c r="BD20" s="528">
        <f t="shared" si="61"/>
        <v>0</v>
      </c>
      <c r="BE20" s="268">
        <f t="shared" si="7"/>
        <v>0</v>
      </c>
      <c r="BF20" s="268">
        <f t="shared" si="8"/>
        <v>0</v>
      </c>
      <c r="BG20" s="581">
        <f t="shared" si="9"/>
        <v>0</v>
      </c>
      <c r="BH20" s="268">
        <f t="shared" si="62"/>
        <v>0</v>
      </c>
      <c r="BI20" s="268">
        <f t="shared" si="63"/>
        <v>0</v>
      </c>
      <c r="BJ20" s="268">
        <f t="shared" si="64"/>
        <v>0</v>
      </c>
      <c r="BK20" s="268">
        <f t="shared" si="65"/>
        <v>0</v>
      </c>
      <c r="BL20" s="268">
        <f t="shared" si="66"/>
        <v>0</v>
      </c>
      <c r="BM20" s="581">
        <f t="shared" si="67"/>
        <v>0</v>
      </c>
      <c r="BN20" s="268">
        <f t="shared" si="15"/>
        <v>0</v>
      </c>
      <c r="BO20" s="268">
        <f t="shared" si="16"/>
        <v>0</v>
      </c>
      <c r="BP20" s="581">
        <f t="shared" si="17"/>
        <v>0</v>
      </c>
      <c r="BQ20" s="73">
        <f t="shared" si="18"/>
        <v>0</v>
      </c>
      <c r="BR20" s="73">
        <f t="shared" si="19"/>
        <v>0</v>
      </c>
      <c r="BS20" s="73">
        <f t="shared" si="20"/>
        <v>0</v>
      </c>
      <c r="BT20" s="581">
        <f t="shared" si="21"/>
        <v>0</v>
      </c>
      <c r="BU20" s="572">
        <f t="shared" si="22"/>
        <v>0</v>
      </c>
      <c r="BV20" s="572">
        <f t="shared" si="23"/>
        <v>0</v>
      </c>
      <c r="BW20" s="581">
        <f t="shared" si="24"/>
        <v>0</v>
      </c>
      <c r="BX20" s="572">
        <f t="shared" si="25"/>
        <v>0</v>
      </c>
      <c r="BY20" s="572">
        <f t="shared" si="26"/>
        <v>0</v>
      </c>
      <c r="BZ20" s="572">
        <f t="shared" si="27"/>
        <v>0</v>
      </c>
      <c r="CA20" s="572">
        <f t="shared" si="28"/>
        <v>0</v>
      </c>
      <c r="CB20" s="581">
        <f t="shared" si="29"/>
        <v>0</v>
      </c>
      <c r="CC20" s="870">
        <v>0</v>
      </c>
      <c r="CD20" s="572">
        <f t="shared" si="30"/>
        <v>0</v>
      </c>
      <c r="CE20" s="572">
        <f t="shared" si="31"/>
        <v>0</v>
      </c>
      <c r="CF20" s="572">
        <f t="shared" si="32"/>
        <v>0</v>
      </c>
      <c r="CG20" s="581">
        <f t="shared" si="33"/>
        <v>0</v>
      </c>
    </row>
    <row r="21" spans="1:85" ht="15.95" customHeight="1" x14ac:dyDescent="0.2">
      <c r="A21" s="180">
        <v>13</v>
      </c>
      <c r="B21" s="63" t="str">
        <f>dtsiswa!D19</f>
        <v>Misyanita Nurfitri S</v>
      </c>
      <c r="C21" s="11" t="s">
        <v>5</v>
      </c>
      <c r="D21" s="22"/>
      <c r="E21" s="22"/>
      <c r="F21" s="22"/>
      <c r="G21" s="22"/>
      <c r="H21" s="580" t="str">
        <f t="shared" si="0"/>
        <v xml:space="preserve">  </v>
      </c>
      <c r="I21" s="23"/>
      <c r="J21" s="23"/>
      <c r="K21" s="23"/>
      <c r="L21" s="23"/>
      <c r="M21" s="23"/>
      <c r="N21" s="23"/>
      <c r="O21" s="23"/>
      <c r="P21" s="23"/>
      <c r="Q21" s="23"/>
      <c r="R21" s="580" t="str">
        <f t="shared" si="1"/>
        <v xml:space="preserve">  </v>
      </c>
      <c r="S21" s="23"/>
      <c r="T21" s="23"/>
      <c r="U21" s="580" t="str">
        <f t="shared" si="2"/>
        <v xml:space="preserve">  </v>
      </c>
      <c r="V21" s="24"/>
      <c r="W21" s="25"/>
      <c r="X21" s="25"/>
      <c r="Y21" s="25"/>
      <c r="Z21" s="25"/>
      <c r="AA21" s="25"/>
      <c r="AB21" s="580" t="str">
        <f t="shared" si="3"/>
        <v xml:space="preserve">  </v>
      </c>
      <c r="AC21" s="19">
        <f t="shared" si="34"/>
        <v>0</v>
      </c>
      <c r="AD21" s="19">
        <f t="shared" si="35"/>
        <v>0</v>
      </c>
      <c r="AE21" s="19">
        <f t="shared" si="36"/>
        <v>0</v>
      </c>
      <c r="AF21" s="19">
        <f t="shared" si="37"/>
        <v>0</v>
      </c>
      <c r="AG21" s="19">
        <f t="shared" si="38"/>
        <v>0</v>
      </c>
      <c r="AH21" s="19">
        <f t="shared" si="39"/>
        <v>0</v>
      </c>
      <c r="AI21" s="19">
        <f t="shared" si="40"/>
        <v>0</v>
      </c>
      <c r="AJ21" s="20">
        <f t="shared" si="41"/>
        <v>0</v>
      </c>
      <c r="AK21" s="18">
        <f t="shared" si="42"/>
        <v>0</v>
      </c>
      <c r="AL21" s="18">
        <f t="shared" si="43"/>
        <v>0</v>
      </c>
      <c r="AM21" s="18">
        <f t="shared" si="44"/>
        <v>0</v>
      </c>
      <c r="AN21" s="18">
        <f t="shared" si="45"/>
        <v>0</v>
      </c>
      <c r="AO21" s="18">
        <f t="shared" si="46"/>
        <v>0</v>
      </c>
      <c r="AP21" s="2">
        <f t="shared" si="47"/>
        <v>0</v>
      </c>
      <c r="AQ21" s="2">
        <f t="shared" si="48"/>
        <v>0</v>
      </c>
      <c r="AR21" s="2">
        <f t="shared" si="49"/>
        <v>0</v>
      </c>
      <c r="AS21" s="2">
        <f t="shared" si="50"/>
        <v>0</v>
      </c>
      <c r="AT21" s="2">
        <f t="shared" si="51"/>
        <v>0</v>
      </c>
      <c r="AU21" s="2">
        <f t="shared" si="52"/>
        <v>0</v>
      </c>
      <c r="AV21" s="20">
        <f t="shared" si="53"/>
        <v>0</v>
      </c>
      <c r="AW21" s="65">
        <f t="shared" si="54"/>
        <v>0</v>
      </c>
      <c r="AX21" s="65">
        <f t="shared" si="55"/>
        <v>0</v>
      </c>
      <c r="AY21" s="65">
        <f t="shared" si="56"/>
        <v>0</v>
      </c>
      <c r="AZ21" s="65">
        <f t="shared" si="57"/>
        <v>0</v>
      </c>
      <c r="BA21" s="65">
        <f t="shared" si="58"/>
        <v>0</v>
      </c>
      <c r="BB21" s="65">
        <f t="shared" si="59"/>
        <v>0</v>
      </c>
      <c r="BC21" s="65">
        <f t="shared" si="60"/>
        <v>0</v>
      </c>
      <c r="BD21" s="528">
        <f t="shared" si="61"/>
        <v>0</v>
      </c>
      <c r="BE21" s="268">
        <f t="shared" si="7"/>
        <v>0</v>
      </c>
      <c r="BF21" s="268">
        <f t="shared" si="8"/>
        <v>0</v>
      </c>
      <c r="BG21" s="581">
        <f t="shared" si="9"/>
        <v>0</v>
      </c>
      <c r="BH21" s="268">
        <f t="shared" si="62"/>
        <v>0</v>
      </c>
      <c r="BI21" s="268">
        <f t="shared" si="63"/>
        <v>0</v>
      </c>
      <c r="BJ21" s="268">
        <f t="shared" si="64"/>
        <v>0</v>
      </c>
      <c r="BK21" s="268">
        <f t="shared" si="65"/>
        <v>0</v>
      </c>
      <c r="BL21" s="268">
        <f t="shared" si="66"/>
        <v>0</v>
      </c>
      <c r="BM21" s="581">
        <f t="shared" si="67"/>
        <v>0</v>
      </c>
      <c r="BN21" s="268">
        <f t="shared" si="15"/>
        <v>0</v>
      </c>
      <c r="BO21" s="268">
        <f t="shared" si="16"/>
        <v>0</v>
      </c>
      <c r="BP21" s="581">
        <f t="shared" si="17"/>
        <v>0</v>
      </c>
      <c r="BQ21" s="73">
        <f t="shared" si="18"/>
        <v>0</v>
      </c>
      <c r="BR21" s="73">
        <f t="shared" si="19"/>
        <v>0</v>
      </c>
      <c r="BS21" s="73">
        <f t="shared" si="20"/>
        <v>0</v>
      </c>
      <c r="BT21" s="581">
        <f t="shared" si="21"/>
        <v>0</v>
      </c>
      <c r="BU21" s="572">
        <f t="shared" si="22"/>
        <v>0</v>
      </c>
      <c r="BV21" s="572">
        <f t="shared" si="23"/>
        <v>0</v>
      </c>
      <c r="BW21" s="581">
        <f t="shared" si="24"/>
        <v>0</v>
      </c>
      <c r="BX21" s="572">
        <f t="shared" si="25"/>
        <v>0</v>
      </c>
      <c r="BY21" s="572">
        <f t="shared" si="26"/>
        <v>0</v>
      </c>
      <c r="BZ21" s="572">
        <f t="shared" si="27"/>
        <v>0</v>
      </c>
      <c r="CA21" s="572">
        <f t="shared" si="28"/>
        <v>0</v>
      </c>
      <c r="CB21" s="581">
        <f t="shared" si="29"/>
        <v>0</v>
      </c>
      <c r="CC21" s="870">
        <v>0</v>
      </c>
      <c r="CD21" s="572">
        <f t="shared" si="30"/>
        <v>0</v>
      </c>
      <c r="CE21" s="572">
        <f t="shared" si="31"/>
        <v>0</v>
      </c>
      <c r="CF21" s="572">
        <f t="shared" si="32"/>
        <v>0</v>
      </c>
      <c r="CG21" s="581">
        <f t="shared" si="33"/>
        <v>0</v>
      </c>
    </row>
    <row r="22" spans="1:85" ht="15.95" customHeight="1" x14ac:dyDescent="0.2">
      <c r="A22" s="180">
        <v>14</v>
      </c>
      <c r="B22" s="63" t="str">
        <f>dtsiswa!D20</f>
        <v>Moch Zidane Hita L. U</v>
      </c>
      <c r="C22" s="11" t="s">
        <v>4</v>
      </c>
      <c r="D22" s="22"/>
      <c r="E22" s="22"/>
      <c r="F22" s="22"/>
      <c r="G22" s="22"/>
      <c r="H22" s="580" t="str">
        <f t="shared" si="0"/>
        <v xml:space="preserve">  </v>
      </c>
      <c r="I22" s="23"/>
      <c r="J22" s="23"/>
      <c r="K22" s="23"/>
      <c r="L22" s="23"/>
      <c r="M22" s="23"/>
      <c r="N22" s="23"/>
      <c r="O22" s="23"/>
      <c r="P22" s="23"/>
      <c r="Q22" s="23"/>
      <c r="R22" s="580" t="str">
        <f t="shared" si="1"/>
        <v xml:space="preserve">  </v>
      </c>
      <c r="S22" s="23"/>
      <c r="T22" s="23"/>
      <c r="U22" s="580" t="str">
        <f t="shared" si="2"/>
        <v xml:space="preserve">  </v>
      </c>
      <c r="V22" s="24"/>
      <c r="W22" s="25"/>
      <c r="X22" s="25"/>
      <c r="Y22" s="25"/>
      <c r="Z22" s="25"/>
      <c r="AA22" s="25"/>
      <c r="AB22" s="580" t="str">
        <f t="shared" si="3"/>
        <v xml:space="preserve">  </v>
      </c>
      <c r="AC22" s="19">
        <f t="shared" si="34"/>
        <v>0</v>
      </c>
      <c r="AD22" s="19">
        <f t="shared" si="35"/>
        <v>0</v>
      </c>
      <c r="AE22" s="19">
        <f t="shared" si="36"/>
        <v>0</v>
      </c>
      <c r="AF22" s="19">
        <f t="shared" si="37"/>
        <v>0</v>
      </c>
      <c r="AG22" s="19">
        <f t="shared" si="38"/>
        <v>0</v>
      </c>
      <c r="AH22" s="19">
        <f t="shared" si="39"/>
        <v>0</v>
      </c>
      <c r="AI22" s="19">
        <f t="shared" si="40"/>
        <v>0</v>
      </c>
      <c r="AJ22" s="20">
        <f t="shared" si="41"/>
        <v>0</v>
      </c>
      <c r="AK22" s="18">
        <f t="shared" si="42"/>
        <v>0</v>
      </c>
      <c r="AL22" s="18">
        <f t="shared" si="43"/>
        <v>0</v>
      </c>
      <c r="AM22" s="18">
        <f t="shared" si="44"/>
        <v>0</v>
      </c>
      <c r="AN22" s="18">
        <f t="shared" si="45"/>
        <v>0</v>
      </c>
      <c r="AO22" s="18">
        <f t="shared" si="46"/>
        <v>0</v>
      </c>
      <c r="AP22" s="2">
        <f t="shared" si="47"/>
        <v>0</v>
      </c>
      <c r="AQ22" s="2">
        <f t="shared" si="48"/>
        <v>0</v>
      </c>
      <c r="AR22" s="2">
        <f t="shared" si="49"/>
        <v>0</v>
      </c>
      <c r="AS22" s="2">
        <f t="shared" si="50"/>
        <v>0</v>
      </c>
      <c r="AT22" s="2">
        <f t="shared" si="51"/>
        <v>0</v>
      </c>
      <c r="AU22" s="2">
        <f t="shared" si="52"/>
        <v>0</v>
      </c>
      <c r="AV22" s="20">
        <f t="shared" si="53"/>
        <v>0</v>
      </c>
      <c r="AW22" s="65">
        <f t="shared" si="54"/>
        <v>0</v>
      </c>
      <c r="AX22" s="65">
        <f t="shared" si="55"/>
        <v>0</v>
      </c>
      <c r="AY22" s="65">
        <f t="shared" si="56"/>
        <v>0</v>
      </c>
      <c r="AZ22" s="65">
        <f t="shared" si="57"/>
        <v>0</v>
      </c>
      <c r="BA22" s="65">
        <f t="shared" si="58"/>
        <v>0</v>
      </c>
      <c r="BB22" s="65">
        <f t="shared" si="59"/>
        <v>0</v>
      </c>
      <c r="BC22" s="65">
        <f t="shared" si="60"/>
        <v>0</v>
      </c>
      <c r="BD22" s="528">
        <f t="shared" si="61"/>
        <v>0</v>
      </c>
      <c r="BE22" s="268">
        <f t="shared" si="7"/>
        <v>0</v>
      </c>
      <c r="BF22" s="268">
        <f t="shared" si="8"/>
        <v>0</v>
      </c>
      <c r="BG22" s="581">
        <f t="shared" si="9"/>
        <v>0</v>
      </c>
      <c r="BH22" s="268">
        <f t="shared" si="62"/>
        <v>0</v>
      </c>
      <c r="BI22" s="268">
        <f t="shared" si="63"/>
        <v>0</v>
      </c>
      <c r="BJ22" s="268">
        <f t="shared" si="64"/>
        <v>0</v>
      </c>
      <c r="BK22" s="268">
        <f t="shared" si="65"/>
        <v>0</v>
      </c>
      <c r="BL22" s="268">
        <f t="shared" si="66"/>
        <v>0</v>
      </c>
      <c r="BM22" s="581">
        <f t="shared" si="67"/>
        <v>0</v>
      </c>
      <c r="BN22" s="268">
        <f t="shared" si="15"/>
        <v>0</v>
      </c>
      <c r="BO22" s="268">
        <f t="shared" si="16"/>
        <v>0</v>
      </c>
      <c r="BP22" s="581">
        <f t="shared" si="17"/>
        <v>0</v>
      </c>
      <c r="BQ22" s="73">
        <f t="shared" si="18"/>
        <v>0</v>
      </c>
      <c r="BR22" s="73">
        <f t="shared" si="19"/>
        <v>0</v>
      </c>
      <c r="BS22" s="73">
        <f t="shared" si="20"/>
        <v>0</v>
      </c>
      <c r="BT22" s="581">
        <f t="shared" si="21"/>
        <v>0</v>
      </c>
      <c r="BU22" s="572">
        <f t="shared" si="22"/>
        <v>0</v>
      </c>
      <c r="BV22" s="572">
        <f t="shared" si="23"/>
        <v>0</v>
      </c>
      <c r="BW22" s="581">
        <f t="shared" si="24"/>
        <v>0</v>
      </c>
      <c r="BX22" s="572">
        <f t="shared" si="25"/>
        <v>0</v>
      </c>
      <c r="BY22" s="572">
        <f t="shared" si="26"/>
        <v>0</v>
      </c>
      <c r="BZ22" s="572">
        <f t="shared" si="27"/>
        <v>0</v>
      </c>
      <c r="CA22" s="572">
        <f t="shared" si="28"/>
        <v>0</v>
      </c>
      <c r="CB22" s="581">
        <f t="shared" si="29"/>
        <v>0</v>
      </c>
      <c r="CC22" s="870">
        <v>0</v>
      </c>
      <c r="CD22" s="572">
        <f t="shared" si="30"/>
        <v>0</v>
      </c>
      <c r="CE22" s="572">
        <f t="shared" si="31"/>
        <v>0</v>
      </c>
      <c r="CF22" s="572">
        <f t="shared" si="32"/>
        <v>0</v>
      </c>
      <c r="CG22" s="581">
        <f t="shared" si="33"/>
        <v>0</v>
      </c>
    </row>
    <row r="23" spans="1:85" ht="15.95" customHeight="1" x14ac:dyDescent="0.2">
      <c r="A23" s="180">
        <v>15</v>
      </c>
      <c r="B23" s="63" t="str">
        <f>dtsiswa!D21</f>
        <v>Muhammad Ibra Maulana</v>
      </c>
      <c r="C23" s="11" t="s">
        <v>4</v>
      </c>
      <c r="D23" s="22"/>
      <c r="E23" s="22"/>
      <c r="F23" s="22"/>
      <c r="G23" s="22"/>
      <c r="H23" s="580" t="str">
        <f t="shared" si="0"/>
        <v xml:space="preserve">  </v>
      </c>
      <c r="I23" s="23"/>
      <c r="J23" s="23"/>
      <c r="K23" s="23"/>
      <c r="L23" s="23"/>
      <c r="M23" s="23"/>
      <c r="N23" s="23"/>
      <c r="O23" s="23"/>
      <c r="P23" s="23"/>
      <c r="Q23" s="23"/>
      <c r="R23" s="580" t="str">
        <f t="shared" si="1"/>
        <v xml:space="preserve">  </v>
      </c>
      <c r="S23" s="23"/>
      <c r="T23" s="23"/>
      <c r="U23" s="580" t="str">
        <f t="shared" si="2"/>
        <v xml:space="preserve">  </v>
      </c>
      <c r="V23" s="24"/>
      <c r="W23" s="25"/>
      <c r="X23" s="25"/>
      <c r="Y23" s="25"/>
      <c r="Z23" s="25"/>
      <c r="AA23" s="25"/>
      <c r="AB23" s="580" t="str">
        <f t="shared" si="3"/>
        <v xml:space="preserve">  </v>
      </c>
      <c r="AC23" s="19">
        <f t="shared" si="34"/>
        <v>0</v>
      </c>
      <c r="AD23" s="19">
        <f t="shared" si="35"/>
        <v>0</v>
      </c>
      <c r="AE23" s="19">
        <f t="shared" si="36"/>
        <v>0</v>
      </c>
      <c r="AF23" s="19">
        <f t="shared" si="37"/>
        <v>0</v>
      </c>
      <c r="AG23" s="19">
        <f t="shared" si="38"/>
        <v>0</v>
      </c>
      <c r="AH23" s="19">
        <f t="shared" si="39"/>
        <v>0</v>
      </c>
      <c r="AI23" s="19">
        <f t="shared" si="40"/>
        <v>0</v>
      </c>
      <c r="AJ23" s="20">
        <f t="shared" si="41"/>
        <v>0</v>
      </c>
      <c r="AK23" s="18">
        <f t="shared" si="42"/>
        <v>0</v>
      </c>
      <c r="AL23" s="18">
        <f t="shared" si="43"/>
        <v>0</v>
      </c>
      <c r="AM23" s="18">
        <f t="shared" si="44"/>
        <v>0</v>
      </c>
      <c r="AN23" s="18">
        <f t="shared" si="45"/>
        <v>0</v>
      </c>
      <c r="AO23" s="18">
        <f t="shared" si="46"/>
        <v>0</v>
      </c>
      <c r="AP23" s="2">
        <f t="shared" si="47"/>
        <v>0</v>
      </c>
      <c r="AQ23" s="2">
        <f t="shared" si="48"/>
        <v>0</v>
      </c>
      <c r="AR23" s="2">
        <f t="shared" si="49"/>
        <v>0</v>
      </c>
      <c r="AS23" s="2">
        <f t="shared" si="50"/>
        <v>0</v>
      </c>
      <c r="AT23" s="2">
        <f t="shared" si="51"/>
        <v>0</v>
      </c>
      <c r="AU23" s="2">
        <f t="shared" si="52"/>
        <v>0</v>
      </c>
      <c r="AV23" s="20">
        <f t="shared" si="53"/>
        <v>0</v>
      </c>
      <c r="AW23" s="65">
        <f t="shared" si="54"/>
        <v>0</v>
      </c>
      <c r="AX23" s="65">
        <f t="shared" si="55"/>
        <v>0</v>
      </c>
      <c r="AY23" s="65">
        <f t="shared" si="56"/>
        <v>0</v>
      </c>
      <c r="AZ23" s="65">
        <f t="shared" si="57"/>
        <v>0</v>
      </c>
      <c r="BA23" s="65">
        <f t="shared" si="58"/>
        <v>0</v>
      </c>
      <c r="BB23" s="65">
        <f t="shared" si="59"/>
        <v>0</v>
      </c>
      <c r="BC23" s="65">
        <f t="shared" si="60"/>
        <v>0</v>
      </c>
      <c r="BD23" s="528">
        <f t="shared" si="61"/>
        <v>0</v>
      </c>
      <c r="BE23" s="268">
        <f t="shared" si="7"/>
        <v>0</v>
      </c>
      <c r="BF23" s="268">
        <f t="shared" si="8"/>
        <v>0</v>
      </c>
      <c r="BG23" s="581">
        <f t="shared" si="9"/>
        <v>0</v>
      </c>
      <c r="BH23" s="268">
        <f t="shared" si="62"/>
        <v>0</v>
      </c>
      <c r="BI23" s="268">
        <f t="shared" si="63"/>
        <v>0</v>
      </c>
      <c r="BJ23" s="268">
        <f t="shared" si="64"/>
        <v>0</v>
      </c>
      <c r="BK23" s="268">
        <f t="shared" si="65"/>
        <v>0</v>
      </c>
      <c r="BL23" s="268">
        <f t="shared" si="66"/>
        <v>0</v>
      </c>
      <c r="BM23" s="581">
        <f t="shared" si="67"/>
        <v>0</v>
      </c>
      <c r="BN23" s="268">
        <f t="shared" si="15"/>
        <v>0</v>
      </c>
      <c r="BO23" s="268">
        <f t="shared" si="16"/>
        <v>0</v>
      </c>
      <c r="BP23" s="581">
        <f t="shared" si="17"/>
        <v>0</v>
      </c>
      <c r="BQ23" s="73">
        <f t="shared" si="18"/>
        <v>0</v>
      </c>
      <c r="BR23" s="73">
        <f t="shared" si="19"/>
        <v>0</v>
      </c>
      <c r="BS23" s="73">
        <f t="shared" si="20"/>
        <v>0</v>
      </c>
      <c r="BT23" s="581">
        <f t="shared" si="21"/>
        <v>0</v>
      </c>
      <c r="BU23" s="572">
        <f t="shared" si="22"/>
        <v>0</v>
      </c>
      <c r="BV23" s="572">
        <f t="shared" si="23"/>
        <v>0</v>
      </c>
      <c r="BW23" s="581">
        <f t="shared" si="24"/>
        <v>0</v>
      </c>
      <c r="BX23" s="572">
        <f t="shared" si="25"/>
        <v>0</v>
      </c>
      <c r="BY23" s="572">
        <f t="shared" si="26"/>
        <v>0</v>
      </c>
      <c r="BZ23" s="572">
        <f t="shared" si="27"/>
        <v>0</v>
      </c>
      <c r="CA23" s="572">
        <f t="shared" si="28"/>
        <v>0</v>
      </c>
      <c r="CB23" s="581">
        <f t="shared" si="29"/>
        <v>0</v>
      </c>
      <c r="CC23" s="870">
        <v>0</v>
      </c>
      <c r="CD23" s="572">
        <f t="shared" si="30"/>
        <v>0</v>
      </c>
      <c r="CE23" s="572">
        <f t="shared" si="31"/>
        <v>0</v>
      </c>
      <c r="CF23" s="572">
        <f t="shared" si="32"/>
        <v>0</v>
      </c>
      <c r="CG23" s="581">
        <f t="shared" si="33"/>
        <v>0</v>
      </c>
    </row>
    <row r="24" spans="1:85" ht="15.95" customHeight="1" x14ac:dyDescent="0.2">
      <c r="A24" s="180">
        <v>16</v>
      </c>
      <c r="B24" s="63" t="str">
        <f>dtsiswa!D22</f>
        <v>Nabilla Shiva Putri</v>
      </c>
      <c r="C24" s="11" t="s">
        <v>4</v>
      </c>
      <c r="D24" s="22"/>
      <c r="E24" s="22"/>
      <c r="F24" s="22"/>
      <c r="G24" s="22"/>
      <c r="H24" s="580" t="str">
        <f t="shared" si="0"/>
        <v xml:space="preserve">  </v>
      </c>
      <c r="I24" s="23"/>
      <c r="J24" s="23"/>
      <c r="K24" s="23"/>
      <c r="L24" s="23"/>
      <c r="M24" s="23"/>
      <c r="N24" s="23"/>
      <c r="O24" s="23"/>
      <c r="P24" s="23"/>
      <c r="Q24" s="23"/>
      <c r="R24" s="580" t="str">
        <f t="shared" si="1"/>
        <v xml:space="preserve">  </v>
      </c>
      <c r="S24" s="23"/>
      <c r="T24" s="23"/>
      <c r="U24" s="580" t="str">
        <f t="shared" si="2"/>
        <v xml:space="preserve">  </v>
      </c>
      <c r="V24" s="24"/>
      <c r="W24" s="25"/>
      <c r="X24" s="25"/>
      <c r="Y24" s="25"/>
      <c r="Z24" s="25"/>
      <c r="AA24" s="25"/>
      <c r="AB24" s="580" t="str">
        <f t="shared" si="3"/>
        <v xml:space="preserve">  </v>
      </c>
      <c r="AC24" s="19">
        <f t="shared" si="34"/>
        <v>0</v>
      </c>
      <c r="AD24" s="19">
        <f t="shared" si="35"/>
        <v>0</v>
      </c>
      <c r="AE24" s="19">
        <f t="shared" si="36"/>
        <v>0</v>
      </c>
      <c r="AF24" s="19">
        <f t="shared" si="37"/>
        <v>0</v>
      </c>
      <c r="AG24" s="19">
        <f t="shared" si="38"/>
        <v>0</v>
      </c>
      <c r="AH24" s="19">
        <f t="shared" si="39"/>
        <v>0</v>
      </c>
      <c r="AI24" s="19">
        <f t="shared" si="40"/>
        <v>0</v>
      </c>
      <c r="AJ24" s="20">
        <f t="shared" si="41"/>
        <v>0</v>
      </c>
      <c r="AK24" s="18">
        <f t="shared" si="42"/>
        <v>0</v>
      </c>
      <c r="AL24" s="18">
        <f t="shared" si="43"/>
        <v>0</v>
      </c>
      <c r="AM24" s="18">
        <f t="shared" si="44"/>
        <v>0</v>
      </c>
      <c r="AN24" s="18">
        <f t="shared" si="45"/>
        <v>0</v>
      </c>
      <c r="AO24" s="18">
        <f t="shared" si="46"/>
        <v>0</v>
      </c>
      <c r="AP24" s="2">
        <f t="shared" si="47"/>
        <v>0</v>
      </c>
      <c r="AQ24" s="2">
        <f t="shared" si="48"/>
        <v>0</v>
      </c>
      <c r="AR24" s="2">
        <f t="shared" si="49"/>
        <v>0</v>
      </c>
      <c r="AS24" s="2">
        <f t="shared" si="50"/>
        <v>0</v>
      </c>
      <c r="AT24" s="2">
        <f t="shared" si="51"/>
        <v>0</v>
      </c>
      <c r="AU24" s="2">
        <f t="shared" si="52"/>
        <v>0</v>
      </c>
      <c r="AV24" s="20">
        <f t="shared" si="53"/>
        <v>0</v>
      </c>
      <c r="AW24" s="65">
        <f t="shared" si="54"/>
        <v>0</v>
      </c>
      <c r="AX24" s="65">
        <f t="shared" si="55"/>
        <v>0</v>
      </c>
      <c r="AY24" s="65">
        <f t="shared" si="56"/>
        <v>0</v>
      </c>
      <c r="AZ24" s="65">
        <f t="shared" si="57"/>
        <v>0</v>
      </c>
      <c r="BA24" s="65">
        <f t="shared" si="58"/>
        <v>0</v>
      </c>
      <c r="BB24" s="65">
        <f t="shared" si="59"/>
        <v>0</v>
      </c>
      <c r="BC24" s="65">
        <f t="shared" si="60"/>
        <v>0</v>
      </c>
      <c r="BD24" s="528">
        <f t="shared" si="61"/>
        <v>0</v>
      </c>
      <c r="BE24" s="268">
        <f t="shared" si="7"/>
        <v>0</v>
      </c>
      <c r="BF24" s="268">
        <f t="shared" si="8"/>
        <v>0</v>
      </c>
      <c r="BG24" s="581">
        <f t="shared" si="9"/>
        <v>0</v>
      </c>
      <c r="BH24" s="268">
        <f t="shared" si="62"/>
        <v>0</v>
      </c>
      <c r="BI24" s="268">
        <f t="shared" si="63"/>
        <v>0</v>
      </c>
      <c r="BJ24" s="268">
        <f t="shared" si="64"/>
        <v>0</v>
      </c>
      <c r="BK24" s="268">
        <f t="shared" si="65"/>
        <v>0</v>
      </c>
      <c r="BL24" s="268">
        <f t="shared" si="66"/>
        <v>0</v>
      </c>
      <c r="BM24" s="581">
        <f t="shared" si="67"/>
        <v>0</v>
      </c>
      <c r="BN24" s="268">
        <f t="shared" si="15"/>
        <v>0</v>
      </c>
      <c r="BO24" s="268">
        <f t="shared" si="16"/>
        <v>0</v>
      </c>
      <c r="BP24" s="581">
        <f t="shared" si="17"/>
        <v>0</v>
      </c>
      <c r="BQ24" s="73">
        <f t="shared" si="18"/>
        <v>0</v>
      </c>
      <c r="BR24" s="73">
        <f t="shared" si="19"/>
        <v>0</v>
      </c>
      <c r="BS24" s="73">
        <f t="shared" si="20"/>
        <v>0</v>
      </c>
      <c r="BT24" s="581">
        <f t="shared" si="21"/>
        <v>0</v>
      </c>
      <c r="BU24" s="572">
        <f t="shared" si="22"/>
        <v>0</v>
      </c>
      <c r="BV24" s="572">
        <f t="shared" si="23"/>
        <v>0</v>
      </c>
      <c r="BW24" s="581">
        <f t="shared" si="24"/>
        <v>0</v>
      </c>
      <c r="BX24" s="572">
        <f t="shared" si="25"/>
        <v>0</v>
      </c>
      <c r="BY24" s="572">
        <f t="shared" si="26"/>
        <v>0</v>
      </c>
      <c r="BZ24" s="572">
        <f t="shared" si="27"/>
        <v>0</v>
      </c>
      <c r="CA24" s="572">
        <f t="shared" si="28"/>
        <v>0</v>
      </c>
      <c r="CB24" s="581">
        <f t="shared" si="29"/>
        <v>0</v>
      </c>
      <c r="CC24" s="870">
        <v>0</v>
      </c>
      <c r="CD24" s="572">
        <f t="shared" si="30"/>
        <v>0</v>
      </c>
      <c r="CE24" s="572">
        <f t="shared" si="31"/>
        <v>0</v>
      </c>
      <c r="CF24" s="572">
        <f t="shared" si="32"/>
        <v>0</v>
      </c>
      <c r="CG24" s="581">
        <f t="shared" si="33"/>
        <v>0</v>
      </c>
    </row>
    <row r="25" spans="1:85" ht="15.95" customHeight="1" x14ac:dyDescent="0.2">
      <c r="A25" s="180">
        <v>17</v>
      </c>
      <c r="B25" s="63" t="str">
        <f>dtsiswa!D23</f>
        <v>Naufal Falih F</v>
      </c>
      <c r="C25" s="11" t="s">
        <v>5</v>
      </c>
      <c r="D25" s="22"/>
      <c r="E25" s="22"/>
      <c r="F25" s="22"/>
      <c r="G25" s="22"/>
      <c r="H25" s="580" t="str">
        <f t="shared" si="0"/>
        <v xml:space="preserve">  </v>
      </c>
      <c r="I25" s="23"/>
      <c r="J25" s="23"/>
      <c r="K25" s="23"/>
      <c r="L25" s="23"/>
      <c r="M25" s="23"/>
      <c r="N25" s="23"/>
      <c r="O25" s="23"/>
      <c r="P25" s="23"/>
      <c r="Q25" s="23"/>
      <c r="R25" s="580" t="str">
        <f t="shared" si="1"/>
        <v xml:space="preserve">  </v>
      </c>
      <c r="S25" s="23"/>
      <c r="T25" s="23"/>
      <c r="U25" s="580" t="str">
        <f t="shared" si="2"/>
        <v xml:space="preserve">  </v>
      </c>
      <c r="V25" s="24"/>
      <c r="W25" s="25"/>
      <c r="X25" s="25"/>
      <c r="Y25" s="25"/>
      <c r="Z25" s="25"/>
      <c r="AA25" s="25"/>
      <c r="AB25" s="580" t="str">
        <f t="shared" si="3"/>
        <v xml:space="preserve">  </v>
      </c>
      <c r="AC25" s="19">
        <f t="shared" si="34"/>
        <v>0</v>
      </c>
      <c r="AD25" s="19">
        <f t="shared" si="35"/>
        <v>0</v>
      </c>
      <c r="AE25" s="19">
        <f t="shared" si="36"/>
        <v>0</v>
      </c>
      <c r="AF25" s="19">
        <f t="shared" si="37"/>
        <v>0</v>
      </c>
      <c r="AG25" s="19">
        <f t="shared" si="38"/>
        <v>0</v>
      </c>
      <c r="AH25" s="19">
        <f t="shared" si="39"/>
        <v>0</v>
      </c>
      <c r="AI25" s="19">
        <f t="shared" si="40"/>
        <v>0</v>
      </c>
      <c r="AJ25" s="20">
        <f t="shared" si="41"/>
        <v>0</v>
      </c>
      <c r="AK25" s="18">
        <f t="shared" si="42"/>
        <v>0</v>
      </c>
      <c r="AL25" s="18">
        <f t="shared" si="43"/>
        <v>0</v>
      </c>
      <c r="AM25" s="18">
        <f t="shared" si="44"/>
        <v>0</v>
      </c>
      <c r="AN25" s="18">
        <f t="shared" si="45"/>
        <v>0</v>
      </c>
      <c r="AO25" s="18">
        <f t="shared" si="46"/>
        <v>0</v>
      </c>
      <c r="AP25" s="2">
        <f t="shared" si="47"/>
        <v>0</v>
      </c>
      <c r="AQ25" s="2">
        <f t="shared" si="48"/>
        <v>0</v>
      </c>
      <c r="AR25" s="2">
        <f t="shared" si="49"/>
        <v>0</v>
      </c>
      <c r="AS25" s="2">
        <f t="shared" si="50"/>
        <v>0</v>
      </c>
      <c r="AT25" s="2">
        <f t="shared" si="51"/>
        <v>0</v>
      </c>
      <c r="AU25" s="2">
        <f t="shared" si="52"/>
        <v>0</v>
      </c>
      <c r="AV25" s="20">
        <f t="shared" si="53"/>
        <v>0</v>
      </c>
      <c r="AW25" s="65">
        <f t="shared" si="54"/>
        <v>0</v>
      </c>
      <c r="AX25" s="65">
        <f t="shared" si="55"/>
        <v>0</v>
      </c>
      <c r="AY25" s="65">
        <f t="shared" si="56"/>
        <v>0</v>
      </c>
      <c r="AZ25" s="65">
        <f t="shared" si="57"/>
        <v>0</v>
      </c>
      <c r="BA25" s="65">
        <f t="shared" si="58"/>
        <v>0</v>
      </c>
      <c r="BB25" s="65">
        <f t="shared" si="59"/>
        <v>0</v>
      </c>
      <c r="BC25" s="65">
        <f t="shared" si="60"/>
        <v>0</v>
      </c>
      <c r="BD25" s="528">
        <f t="shared" si="61"/>
        <v>0</v>
      </c>
      <c r="BE25" s="268">
        <f t="shared" si="7"/>
        <v>0</v>
      </c>
      <c r="BF25" s="268">
        <f t="shared" si="8"/>
        <v>0</v>
      </c>
      <c r="BG25" s="581">
        <f t="shared" si="9"/>
        <v>0</v>
      </c>
      <c r="BH25" s="268">
        <f t="shared" si="62"/>
        <v>0</v>
      </c>
      <c r="BI25" s="268">
        <f t="shared" si="63"/>
        <v>0</v>
      </c>
      <c r="BJ25" s="268">
        <f t="shared" si="64"/>
        <v>0</v>
      </c>
      <c r="BK25" s="268">
        <f t="shared" si="65"/>
        <v>0</v>
      </c>
      <c r="BL25" s="268">
        <f t="shared" si="66"/>
        <v>0</v>
      </c>
      <c r="BM25" s="581">
        <f t="shared" si="67"/>
        <v>0</v>
      </c>
      <c r="BN25" s="268">
        <f t="shared" si="15"/>
        <v>0</v>
      </c>
      <c r="BO25" s="268">
        <f t="shared" si="16"/>
        <v>0</v>
      </c>
      <c r="BP25" s="581">
        <f t="shared" si="17"/>
        <v>0</v>
      </c>
      <c r="BQ25" s="73">
        <f t="shared" si="18"/>
        <v>0</v>
      </c>
      <c r="BR25" s="73">
        <f t="shared" si="19"/>
        <v>0</v>
      </c>
      <c r="BS25" s="73">
        <f t="shared" si="20"/>
        <v>0</v>
      </c>
      <c r="BT25" s="581">
        <f t="shared" si="21"/>
        <v>0</v>
      </c>
      <c r="BU25" s="572">
        <f t="shared" si="22"/>
        <v>0</v>
      </c>
      <c r="BV25" s="572">
        <f t="shared" si="23"/>
        <v>0</v>
      </c>
      <c r="BW25" s="581">
        <f t="shared" si="24"/>
        <v>0</v>
      </c>
      <c r="BX25" s="572">
        <f t="shared" si="25"/>
        <v>0</v>
      </c>
      <c r="BY25" s="572">
        <f t="shared" si="26"/>
        <v>0</v>
      </c>
      <c r="BZ25" s="572">
        <f t="shared" si="27"/>
        <v>0</v>
      </c>
      <c r="CA25" s="572">
        <f t="shared" si="28"/>
        <v>0</v>
      </c>
      <c r="CB25" s="581">
        <f t="shared" si="29"/>
        <v>0</v>
      </c>
      <c r="CC25" s="870">
        <v>0</v>
      </c>
      <c r="CD25" s="572">
        <f t="shared" si="30"/>
        <v>0</v>
      </c>
      <c r="CE25" s="572">
        <f t="shared" si="31"/>
        <v>0</v>
      </c>
      <c r="CF25" s="572">
        <f t="shared" si="32"/>
        <v>0</v>
      </c>
      <c r="CG25" s="581">
        <f t="shared" si="33"/>
        <v>0</v>
      </c>
    </row>
    <row r="26" spans="1:85" ht="15.95" customHeight="1" x14ac:dyDescent="0.2">
      <c r="A26" s="180">
        <v>18</v>
      </c>
      <c r="B26" s="63" t="str">
        <f>dtsiswa!D24</f>
        <v>Nayla Annora Nobel W</v>
      </c>
      <c r="C26" s="11" t="s">
        <v>4</v>
      </c>
      <c r="D26" s="22"/>
      <c r="E26" s="22"/>
      <c r="F26" s="22"/>
      <c r="G26" s="22"/>
      <c r="H26" s="580" t="str">
        <f t="shared" si="0"/>
        <v xml:space="preserve">  </v>
      </c>
      <c r="I26" s="23"/>
      <c r="J26" s="23"/>
      <c r="K26" s="23"/>
      <c r="L26" s="23"/>
      <c r="M26" s="23"/>
      <c r="N26" s="23"/>
      <c r="O26" s="23"/>
      <c r="P26" s="23"/>
      <c r="Q26" s="23"/>
      <c r="R26" s="580" t="str">
        <f t="shared" si="1"/>
        <v xml:space="preserve">  </v>
      </c>
      <c r="S26" s="23"/>
      <c r="T26" s="23"/>
      <c r="U26" s="580" t="str">
        <f t="shared" si="2"/>
        <v xml:space="preserve">  </v>
      </c>
      <c r="V26" s="24"/>
      <c r="W26" s="25"/>
      <c r="X26" s="25"/>
      <c r="Y26" s="25"/>
      <c r="Z26" s="25"/>
      <c r="AA26" s="25"/>
      <c r="AB26" s="580" t="str">
        <f t="shared" si="3"/>
        <v xml:space="preserve">  </v>
      </c>
      <c r="AC26" s="19">
        <f t="shared" si="34"/>
        <v>0</v>
      </c>
      <c r="AD26" s="19">
        <f t="shared" si="35"/>
        <v>0</v>
      </c>
      <c r="AE26" s="19">
        <f t="shared" si="36"/>
        <v>0</v>
      </c>
      <c r="AF26" s="19">
        <f t="shared" si="37"/>
        <v>0</v>
      </c>
      <c r="AG26" s="19">
        <f t="shared" si="38"/>
        <v>0</v>
      </c>
      <c r="AH26" s="19">
        <f t="shared" si="39"/>
        <v>0</v>
      </c>
      <c r="AI26" s="19">
        <f t="shared" si="40"/>
        <v>0</v>
      </c>
      <c r="AJ26" s="20">
        <f t="shared" si="41"/>
        <v>0</v>
      </c>
      <c r="AK26" s="18">
        <f t="shared" si="42"/>
        <v>0</v>
      </c>
      <c r="AL26" s="18">
        <f t="shared" si="43"/>
        <v>0</v>
      </c>
      <c r="AM26" s="18">
        <f t="shared" si="44"/>
        <v>0</v>
      </c>
      <c r="AN26" s="18">
        <f t="shared" si="45"/>
        <v>0</v>
      </c>
      <c r="AO26" s="18">
        <f t="shared" si="46"/>
        <v>0</v>
      </c>
      <c r="AP26" s="2">
        <f t="shared" si="47"/>
        <v>0</v>
      </c>
      <c r="AQ26" s="2">
        <f t="shared" si="48"/>
        <v>0</v>
      </c>
      <c r="AR26" s="2">
        <f t="shared" si="49"/>
        <v>0</v>
      </c>
      <c r="AS26" s="2">
        <f t="shared" si="50"/>
        <v>0</v>
      </c>
      <c r="AT26" s="2">
        <f t="shared" si="51"/>
        <v>0</v>
      </c>
      <c r="AU26" s="2">
        <f t="shared" si="52"/>
        <v>0</v>
      </c>
      <c r="AV26" s="20">
        <f t="shared" si="53"/>
        <v>0</v>
      </c>
      <c r="AW26" s="65">
        <f t="shared" si="54"/>
        <v>0</v>
      </c>
      <c r="AX26" s="65">
        <f t="shared" si="55"/>
        <v>0</v>
      </c>
      <c r="AY26" s="65">
        <f t="shared" si="56"/>
        <v>0</v>
      </c>
      <c r="AZ26" s="65">
        <f t="shared" si="57"/>
        <v>0</v>
      </c>
      <c r="BA26" s="65">
        <f t="shared" si="58"/>
        <v>0</v>
      </c>
      <c r="BB26" s="65">
        <f t="shared" si="59"/>
        <v>0</v>
      </c>
      <c r="BC26" s="65">
        <f t="shared" si="60"/>
        <v>0</v>
      </c>
      <c r="BD26" s="528">
        <f t="shared" si="61"/>
        <v>0</v>
      </c>
      <c r="BE26" s="268">
        <f t="shared" si="7"/>
        <v>0</v>
      </c>
      <c r="BF26" s="268">
        <f t="shared" si="8"/>
        <v>0</v>
      </c>
      <c r="BG26" s="581">
        <f t="shared" si="9"/>
        <v>0</v>
      </c>
      <c r="BH26" s="268">
        <f t="shared" si="62"/>
        <v>0</v>
      </c>
      <c r="BI26" s="268">
        <f t="shared" si="63"/>
        <v>0</v>
      </c>
      <c r="BJ26" s="268">
        <f t="shared" si="64"/>
        <v>0</v>
      </c>
      <c r="BK26" s="268">
        <f t="shared" si="65"/>
        <v>0</v>
      </c>
      <c r="BL26" s="268">
        <f t="shared" si="66"/>
        <v>0</v>
      </c>
      <c r="BM26" s="581">
        <f t="shared" si="67"/>
        <v>0</v>
      </c>
      <c r="BN26" s="268">
        <f t="shared" si="15"/>
        <v>0</v>
      </c>
      <c r="BO26" s="268">
        <f t="shared" si="16"/>
        <v>0</v>
      </c>
      <c r="BP26" s="581">
        <f t="shared" si="17"/>
        <v>0</v>
      </c>
      <c r="BQ26" s="73">
        <f t="shared" si="18"/>
        <v>0</v>
      </c>
      <c r="BR26" s="73">
        <f t="shared" si="19"/>
        <v>0</v>
      </c>
      <c r="BS26" s="73">
        <f t="shared" si="20"/>
        <v>0</v>
      </c>
      <c r="BT26" s="581">
        <f t="shared" si="21"/>
        <v>0</v>
      </c>
      <c r="BU26" s="572">
        <f t="shared" si="22"/>
        <v>0</v>
      </c>
      <c r="BV26" s="572">
        <f t="shared" si="23"/>
        <v>0</v>
      </c>
      <c r="BW26" s="581">
        <f t="shared" si="24"/>
        <v>0</v>
      </c>
      <c r="BX26" s="572">
        <f t="shared" si="25"/>
        <v>0</v>
      </c>
      <c r="BY26" s="572">
        <f t="shared" si="26"/>
        <v>0</v>
      </c>
      <c r="BZ26" s="572">
        <f t="shared" si="27"/>
        <v>0</v>
      </c>
      <c r="CA26" s="572">
        <f t="shared" si="28"/>
        <v>0</v>
      </c>
      <c r="CB26" s="581">
        <f t="shared" si="29"/>
        <v>0</v>
      </c>
      <c r="CC26" s="870">
        <v>0</v>
      </c>
      <c r="CD26" s="572">
        <f t="shared" si="30"/>
        <v>0</v>
      </c>
      <c r="CE26" s="572">
        <f t="shared" si="31"/>
        <v>0</v>
      </c>
      <c r="CF26" s="572">
        <f t="shared" si="32"/>
        <v>0</v>
      </c>
      <c r="CG26" s="581">
        <f t="shared" si="33"/>
        <v>0</v>
      </c>
    </row>
    <row r="27" spans="1:85" ht="15.95" customHeight="1" x14ac:dyDescent="0.2">
      <c r="A27" s="180">
        <v>19</v>
      </c>
      <c r="B27" s="63" t="str">
        <f>dtsiswa!D25</f>
        <v>Raihan Danang P</v>
      </c>
      <c r="C27" s="11" t="s">
        <v>5</v>
      </c>
      <c r="D27" s="22"/>
      <c r="E27" s="22"/>
      <c r="F27" s="22"/>
      <c r="G27" s="22"/>
      <c r="H27" s="580" t="str">
        <f t="shared" si="0"/>
        <v xml:space="preserve">  </v>
      </c>
      <c r="I27" s="23"/>
      <c r="J27" s="23"/>
      <c r="K27" s="23"/>
      <c r="L27" s="23"/>
      <c r="M27" s="23"/>
      <c r="N27" s="23"/>
      <c r="O27" s="23"/>
      <c r="P27" s="23"/>
      <c r="Q27" s="23"/>
      <c r="R27" s="580" t="str">
        <f t="shared" si="1"/>
        <v xml:space="preserve">  </v>
      </c>
      <c r="S27" s="23"/>
      <c r="T27" s="23"/>
      <c r="U27" s="580" t="str">
        <f t="shared" si="2"/>
        <v xml:space="preserve">  </v>
      </c>
      <c r="V27" s="24"/>
      <c r="W27" s="25"/>
      <c r="X27" s="25"/>
      <c r="Y27" s="25"/>
      <c r="Z27" s="25"/>
      <c r="AA27" s="25"/>
      <c r="AB27" s="580" t="str">
        <f t="shared" si="3"/>
        <v xml:space="preserve">  </v>
      </c>
      <c r="AC27" s="19">
        <f t="shared" si="34"/>
        <v>0</v>
      </c>
      <c r="AD27" s="19">
        <f t="shared" si="35"/>
        <v>0</v>
      </c>
      <c r="AE27" s="19">
        <f t="shared" si="36"/>
        <v>0</v>
      </c>
      <c r="AF27" s="19">
        <f t="shared" si="37"/>
        <v>0</v>
      </c>
      <c r="AG27" s="19">
        <f t="shared" si="38"/>
        <v>0</v>
      </c>
      <c r="AH27" s="19">
        <f t="shared" si="39"/>
        <v>0</v>
      </c>
      <c r="AI27" s="19">
        <f t="shared" si="40"/>
        <v>0</v>
      </c>
      <c r="AJ27" s="20">
        <f t="shared" si="41"/>
        <v>0</v>
      </c>
      <c r="AK27" s="18">
        <f t="shared" si="42"/>
        <v>0</v>
      </c>
      <c r="AL27" s="18">
        <f t="shared" si="43"/>
        <v>0</v>
      </c>
      <c r="AM27" s="18">
        <f t="shared" si="44"/>
        <v>0</v>
      </c>
      <c r="AN27" s="18">
        <f t="shared" si="45"/>
        <v>0</v>
      </c>
      <c r="AO27" s="18">
        <f t="shared" si="46"/>
        <v>0</v>
      </c>
      <c r="AP27" s="2">
        <f t="shared" si="47"/>
        <v>0</v>
      </c>
      <c r="AQ27" s="2">
        <f t="shared" si="48"/>
        <v>0</v>
      </c>
      <c r="AR27" s="2">
        <f t="shared" si="49"/>
        <v>0</v>
      </c>
      <c r="AS27" s="2">
        <f t="shared" si="50"/>
        <v>0</v>
      </c>
      <c r="AT27" s="2">
        <f t="shared" si="51"/>
        <v>0</v>
      </c>
      <c r="AU27" s="2">
        <f t="shared" si="52"/>
        <v>0</v>
      </c>
      <c r="AV27" s="20">
        <f t="shared" si="53"/>
        <v>0</v>
      </c>
      <c r="AW27" s="65">
        <f t="shared" si="54"/>
        <v>0</v>
      </c>
      <c r="AX27" s="65">
        <f t="shared" si="55"/>
        <v>0</v>
      </c>
      <c r="AY27" s="65">
        <f t="shared" si="56"/>
        <v>0</v>
      </c>
      <c r="AZ27" s="65">
        <f t="shared" si="57"/>
        <v>0</v>
      </c>
      <c r="BA27" s="65">
        <f t="shared" si="58"/>
        <v>0</v>
      </c>
      <c r="BB27" s="65">
        <f t="shared" si="59"/>
        <v>0</v>
      </c>
      <c r="BC27" s="65">
        <f t="shared" si="60"/>
        <v>0</v>
      </c>
      <c r="BD27" s="528">
        <f t="shared" si="61"/>
        <v>0</v>
      </c>
      <c r="BE27" s="268">
        <f t="shared" si="7"/>
        <v>0</v>
      </c>
      <c r="BF27" s="268">
        <f t="shared" si="8"/>
        <v>0</v>
      </c>
      <c r="BG27" s="581">
        <f t="shared" si="9"/>
        <v>0</v>
      </c>
      <c r="BH27" s="268">
        <f t="shared" si="62"/>
        <v>0</v>
      </c>
      <c r="BI27" s="268">
        <f t="shared" si="63"/>
        <v>0</v>
      </c>
      <c r="BJ27" s="268">
        <f t="shared" si="64"/>
        <v>0</v>
      </c>
      <c r="BK27" s="268">
        <f t="shared" si="65"/>
        <v>0</v>
      </c>
      <c r="BL27" s="268">
        <f t="shared" si="66"/>
        <v>0</v>
      </c>
      <c r="BM27" s="581">
        <f t="shared" si="67"/>
        <v>0</v>
      </c>
      <c r="BN27" s="268">
        <f t="shared" si="15"/>
        <v>0</v>
      </c>
      <c r="BO27" s="268">
        <f t="shared" si="16"/>
        <v>0</v>
      </c>
      <c r="BP27" s="581">
        <f t="shared" si="17"/>
        <v>0</v>
      </c>
      <c r="BQ27" s="73">
        <f t="shared" si="18"/>
        <v>0</v>
      </c>
      <c r="BR27" s="73">
        <f t="shared" si="19"/>
        <v>0</v>
      </c>
      <c r="BS27" s="73">
        <f t="shared" si="20"/>
        <v>0</v>
      </c>
      <c r="BT27" s="581">
        <f t="shared" si="21"/>
        <v>0</v>
      </c>
      <c r="BU27" s="572">
        <f t="shared" si="22"/>
        <v>0</v>
      </c>
      <c r="BV27" s="572">
        <f t="shared" si="23"/>
        <v>0</v>
      </c>
      <c r="BW27" s="581">
        <f t="shared" si="24"/>
        <v>0</v>
      </c>
      <c r="BX27" s="572">
        <f t="shared" si="25"/>
        <v>0</v>
      </c>
      <c r="BY27" s="572">
        <f t="shared" si="26"/>
        <v>0</v>
      </c>
      <c r="BZ27" s="572">
        <f t="shared" si="27"/>
        <v>0</v>
      </c>
      <c r="CA27" s="572">
        <f t="shared" si="28"/>
        <v>0</v>
      </c>
      <c r="CB27" s="581">
        <f t="shared" si="29"/>
        <v>0</v>
      </c>
      <c r="CC27" s="870">
        <v>0</v>
      </c>
      <c r="CD27" s="572">
        <f t="shared" si="30"/>
        <v>0</v>
      </c>
      <c r="CE27" s="572">
        <f t="shared" si="31"/>
        <v>0</v>
      </c>
      <c r="CF27" s="572">
        <f t="shared" si="32"/>
        <v>0</v>
      </c>
      <c r="CG27" s="581">
        <f t="shared" si="33"/>
        <v>0</v>
      </c>
    </row>
    <row r="28" spans="1:85" ht="15.95" customHeight="1" x14ac:dyDescent="0.2">
      <c r="A28" s="180">
        <v>20</v>
      </c>
      <c r="B28" s="63" t="str">
        <f>dtsiswa!D26</f>
        <v>Roby Ardiyansyah</v>
      </c>
      <c r="C28" s="11" t="s">
        <v>5</v>
      </c>
      <c r="D28" s="22"/>
      <c r="E28" s="22"/>
      <c r="F28" s="22"/>
      <c r="G28" s="22"/>
      <c r="H28" s="580" t="str">
        <f t="shared" si="0"/>
        <v xml:space="preserve">  </v>
      </c>
      <c r="I28" s="23"/>
      <c r="J28" s="23"/>
      <c r="K28" s="23"/>
      <c r="L28" s="23"/>
      <c r="M28" s="23"/>
      <c r="N28" s="23"/>
      <c r="O28" s="23"/>
      <c r="P28" s="23"/>
      <c r="Q28" s="23"/>
      <c r="R28" s="580" t="str">
        <f t="shared" si="1"/>
        <v xml:space="preserve">  </v>
      </c>
      <c r="S28" s="23"/>
      <c r="T28" s="23"/>
      <c r="U28" s="580" t="str">
        <f t="shared" si="2"/>
        <v xml:space="preserve">  </v>
      </c>
      <c r="V28" s="24"/>
      <c r="W28" s="25"/>
      <c r="X28" s="25"/>
      <c r="Y28" s="25"/>
      <c r="Z28" s="25"/>
      <c r="AA28" s="25"/>
      <c r="AB28" s="580" t="str">
        <f t="shared" si="3"/>
        <v xml:space="preserve">  </v>
      </c>
      <c r="AC28" s="19">
        <f t="shared" si="34"/>
        <v>0</v>
      </c>
      <c r="AD28" s="19">
        <f t="shared" si="35"/>
        <v>0</v>
      </c>
      <c r="AE28" s="19">
        <f t="shared" si="36"/>
        <v>0</v>
      </c>
      <c r="AF28" s="19">
        <f t="shared" si="37"/>
        <v>0</v>
      </c>
      <c r="AG28" s="19">
        <f t="shared" si="38"/>
        <v>0</v>
      </c>
      <c r="AH28" s="19">
        <f t="shared" si="39"/>
        <v>0</v>
      </c>
      <c r="AI28" s="19">
        <f t="shared" si="40"/>
        <v>0</v>
      </c>
      <c r="AJ28" s="20">
        <f t="shared" si="41"/>
        <v>0</v>
      </c>
      <c r="AK28" s="18">
        <f t="shared" si="42"/>
        <v>0</v>
      </c>
      <c r="AL28" s="18">
        <f t="shared" si="43"/>
        <v>0</v>
      </c>
      <c r="AM28" s="18">
        <f t="shared" si="44"/>
        <v>0</v>
      </c>
      <c r="AN28" s="18">
        <f t="shared" si="45"/>
        <v>0</v>
      </c>
      <c r="AO28" s="18">
        <f t="shared" si="46"/>
        <v>0</v>
      </c>
      <c r="AP28" s="2">
        <f t="shared" si="47"/>
        <v>0</v>
      </c>
      <c r="AQ28" s="2">
        <f t="shared" si="48"/>
        <v>0</v>
      </c>
      <c r="AR28" s="2">
        <f t="shared" si="49"/>
        <v>0</v>
      </c>
      <c r="AS28" s="2">
        <f t="shared" si="50"/>
        <v>0</v>
      </c>
      <c r="AT28" s="2">
        <f t="shared" si="51"/>
        <v>0</v>
      </c>
      <c r="AU28" s="2">
        <f t="shared" si="52"/>
        <v>0</v>
      </c>
      <c r="AV28" s="20">
        <f t="shared" si="53"/>
        <v>0</v>
      </c>
      <c r="AW28" s="65">
        <f t="shared" si="54"/>
        <v>0</v>
      </c>
      <c r="AX28" s="65">
        <f t="shared" si="55"/>
        <v>0</v>
      </c>
      <c r="AY28" s="65">
        <f t="shared" si="56"/>
        <v>0</v>
      </c>
      <c r="AZ28" s="65">
        <f t="shared" si="57"/>
        <v>0</v>
      </c>
      <c r="BA28" s="65">
        <f t="shared" si="58"/>
        <v>0</v>
      </c>
      <c r="BB28" s="65">
        <f t="shared" si="59"/>
        <v>0</v>
      </c>
      <c r="BC28" s="65">
        <f t="shared" si="60"/>
        <v>0</v>
      </c>
      <c r="BD28" s="528">
        <f t="shared" si="61"/>
        <v>0</v>
      </c>
      <c r="BE28" s="268">
        <f t="shared" si="7"/>
        <v>0</v>
      </c>
      <c r="BF28" s="268">
        <f t="shared" si="8"/>
        <v>0</v>
      </c>
      <c r="BG28" s="581">
        <f t="shared" si="9"/>
        <v>0</v>
      </c>
      <c r="BH28" s="268">
        <f t="shared" si="62"/>
        <v>0</v>
      </c>
      <c r="BI28" s="268">
        <f t="shared" si="63"/>
        <v>0</v>
      </c>
      <c r="BJ28" s="268">
        <f t="shared" si="64"/>
        <v>0</v>
      </c>
      <c r="BK28" s="268">
        <f t="shared" si="65"/>
        <v>0</v>
      </c>
      <c r="BL28" s="268">
        <f t="shared" si="66"/>
        <v>0</v>
      </c>
      <c r="BM28" s="581">
        <f t="shared" si="67"/>
        <v>0</v>
      </c>
      <c r="BN28" s="268">
        <f t="shared" si="15"/>
        <v>0</v>
      </c>
      <c r="BO28" s="268">
        <f t="shared" si="16"/>
        <v>0</v>
      </c>
      <c r="BP28" s="581">
        <f t="shared" si="17"/>
        <v>0</v>
      </c>
      <c r="BQ28" s="73">
        <f t="shared" si="18"/>
        <v>0</v>
      </c>
      <c r="BR28" s="73">
        <f t="shared" si="19"/>
        <v>0</v>
      </c>
      <c r="BS28" s="73">
        <f t="shared" si="20"/>
        <v>0</v>
      </c>
      <c r="BT28" s="581">
        <f t="shared" si="21"/>
        <v>0</v>
      </c>
      <c r="BU28" s="572">
        <f t="shared" si="22"/>
        <v>0</v>
      </c>
      <c r="BV28" s="572">
        <f t="shared" si="23"/>
        <v>0</v>
      </c>
      <c r="BW28" s="581">
        <f t="shared" si="24"/>
        <v>0</v>
      </c>
      <c r="BX28" s="572">
        <f t="shared" si="25"/>
        <v>0</v>
      </c>
      <c r="BY28" s="572">
        <f t="shared" si="26"/>
        <v>0</v>
      </c>
      <c r="BZ28" s="572">
        <f t="shared" si="27"/>
        <v>0</v>
      </c>
      <c r="CA28" s="572">
        <f t="shared" si="28"/>
        <v>0</v>
      </c>
      <c r="CB28" s="581">
        <f t="shared" si="29"/>
        <v>0</v>
      </c>
      <c r="CC28" s="870">
        <v>0</v>
      </c>
      <c r="CD28" s="572">
        <f t="shared" si="30"/>
        <v>0</v>
      </c>
      <c r="CE28" s="572">
        <f t="shared" si="31"/>
        <v>0</v>
      </c>
      <c r="CF28" s="572">
        <f t="shared" si="32"/>
        <v>0</v>
      </c>
      <c r="CG28" s="581">
        <f t="shared" si="33"/>
        <v>0</v>
      </c>
    </row>
    <row r="29" spans="1:85" ht="15.95" customHeight="1" x14ac:dyDescent="0.2">
      <c r="A29" s="180">
        <v>21</v>
      </c>
      <c r="B29" s="63" t="str">
        <f>dtsiswa!D27</f>
        <v>Rojalingga Prana A</v>
      </c>
      <c r="C29" s="13" t="s">
        <v>4</v>
      </c>
      <c r="D29" s="22"/>
      <c r="E29" s="22"/>
      <c r="F29" s="22"/>
      <c r="G29" s="22"/>
      <c r="H29" s="580" t="str">
        <f t="shared" si="0"/>
        <v xml:space="preserve">  </v>
      </c>
      <c r="I29" s="23"/>
      <c r="J29" s="23"/>
      <c r="K29" s="23"/>
      <c r="L29" s="23"/>
      <c r="M29" s="23"/>
      <c r="N29" s="23"/>
      <c r="O29" s="23"/>
      <c r="P29" s="23"/>
      <c r="Q29" s="23"/>
      <c r="R29" s="580" t="str">
        <f t="shared" si="1"/>
        <v xml:space="preserve">  </v>
      </c>
      <c r="S29" s="23"/>
      <c r="T29" s="23"/>
      <c r="U29" s="580" t="str">
        <f t="shared" si="2"/>
        <v xml:space="preserve">  </v>
      </c>
      <c r="V29" s="24"/>
      <c r="W29" s="25"/>
      <c r="X29" s="25"/>
      <c r="Y29" s="25"/>
      <c r="Z29" s="25"/>
      <c r="AA29" s="25"/>
      <c r="AB29" s="580" t="str">
        <f t="shared" si="3"/>
        <v xml:space="preserve">  </v>
      </c>
      <c r="AC29" s="19">
        <f t="shared" si="34"/>
        <v>0</v>
      </c>
      <c r="AD29" s="19">
        <f t="shared" si="35"/>
        <v>0</v>
      </c>
      <c r="AE29" s="19">
        <f t="shared" si="36"/>
        <v>0</v>
      </c>
      <c r="AF29" s="19">
        <f t="shared" si="37"/>
        <v>0</v>
      </c>
      <c r="AG29" s="19">
        <f t="shared" si="38"/>
        <v>0</v>
      </c>
      <c r="AH29" s="19">
        <f t="shared" si="39"/>
        <v>0</v>
      </c>
      <c r="AI29" s="19">
        <f t="shared" si="40"/>
        <v>0</v>
      </c>
      <c r="AJ29" s="20">
        <f t="shared" si="41"/>
        <v>0</v>
      </c>
      <c r="AK29" s="18">
        <f t="shared" si="42"/>
        <v>0</v>
      </c>
      <c r="AL29" s="18">
        <f t="shared" si="43"/>
        <v>0</v>
      </c>
      <c r="AM29" s="18">
        <f t="shared" si="44"/>
        <v>0</v>
      </c>
      <c r="AN29" s="18">
        <f t="shared" si="45"/>
        <v>0</v>
      </c>
      <c r="AO29" s="18">
        <f t="shared" si="46"/>
        <v>0</v>
      </c>
      <c r="AP29" s="2">
        <f t="shared" si="47"/>
        <v>0</v>
      </c>
      <c r="AQ29" s="2">
        <f t="shared" si="48"/>
        <v>0</v>
      </c>
      <c r="AR29" s="2">
        <f t="shared" si="49"/>
        <v>0</v>
      </c>
      <c r="AS29" s="2">
        <f t="shared" si="50"/>
        <v>0</v>
      </c>
      <c r="AT29" s="2">
        <f t="shared" si="51"/>
        <v>0</v>
      </c>
      <c r="AU29" s="2">
        <f t="shared" si="52"/>
        <v>0</v>
      </c>
      <c r="AV29" s="20">
        <f t="shared" si="53"/>
        <v>0</v>
      </c>
      <c r="AW29" s="65">
        <f t="shared" si="54"/>
        <v>0</v>
      </c>
      <c r="AX29" s="65">
        <f t="shared" si="55"/>
        <v>0</v>
      </c>
      <c r="AY29" s="65">
        <f t="shared" si="56"/>
        <v>0</v>
      </c>
      <c r="AZ29" s="65">
        <f t="shared" si="57"/>
        <v>0</v>
      </c>
      <c r="BA29" s="65">
        <f t="shared" si="58"/>
        <v>0</v>
      </c>
      <c r="BB29" s="65">
        <f t="shared" si="59"/>
        <v>0</v>
      </c>
      <c r="BC29" s="65">
        <f t="shared" si="60"/>
        <v>0</v>
      </c>
      <c r="BD29" s="528">
        <f t="shared" si="61"/>
        <v>0</v>
      </c>
      <c r="BE29" s="268">
        <f t="shared" si="7"/>
        <v>0</v>
      </c>
      <c r="BF29" s="268">
        <f t="shared" si="8"/>
        <v>0</v>
      </c>
      <c r="BG29" s="581">
        <f t="shared" si="9"/>
        <v>0</v>
      </c>
      <c r="BH29" s="268">
        <f t="shared" si="62"/>
        <v>0</v>
      </c>
      <c r="BI29" s="268">
        <f t="shared" si="63"/>
        <v>0</v>
      </c>
      <c r="BJ29" s="268">
        <f t="shared" si="64"/>
        <v>0</v>
      </c>
      <c r="BK29" s="268">
        <f t="shared" si="65"/>
        <v>0</v>
      </c>
      <c r="BL29" s="268">
        <f t="shared" si="66"/>
        <v>0</v>
      </c>
      <c r="BM29" s="581">
        <f t="shared" si="67"/>
        <v>0</v>
      </c>
      <c r="BN29" s="268">
        <f t="shared" si="15"/>
        <v>0</v>
      </c>
      <c r="BO29" s="268">
        <f t="shared" si="16"/>
        <v>0</v>
      </c>
      <c r="BP29" s="581">
        <f t="shared" si="17"/>
        <v>0</v>
      </c>
      <c r="BQ29" s="73">
        <f t="shared" si="18"/>
        <v>0</v>
      </c>
      <c r="BR29" s="73">
        <f t="shared" si="19"/>
        <v>0</v>
      </c>
      <c r="BS29" s="73">
        <f t="shared" si="20"/>
        <v>0</v>
      </c>
      <c r="BT29" s="581">
        <f t="shared" si="21"/>
        <v>0</v>
      </c>
      <c r="BU29" s="572">
        <f t="shared" si="22"/>
        <v>0</v>
      </c>
      <c r="BV29" s="572">
        <f t="shared" si="23"/>
        <v>0</v>
      </c>
      <c r="BW29" s="581">
        <f t="shared" si="24"/>
        <v>0</v>
      </c>
      <c r="BX29" s="572">
        <f t="shared" si="25"/>
        <v>0</v>
      </c>
      <c r="BY29" s="572">
        <f t="shared" si="26"/>
        <v>0</v>
      </c>
      <c r="BZ29" s="572">
        <f t="shared" si="27"/>
        <v>0</v>
      </c>
      <c r="CA29" s="572">
        <f t="shared" si="28"/>
        <v>0</v>
      </c>
      <c r="CB29" s="581">
        <f t="shared" si="29"/>
        <v>0</v>
      </c>
      <c r="CC29" s="870">
        <v>0</v>
      </c>
      <c r="CD29" s="572">
        <f t="shared" si="30"/>
        <v>0</v>
      </c>
      <c r="CE29" s="572">
        <f t="shared" si="31"/>
        <v>0</v>
      </c>
      <c r="CF29" s="572">
        <f t="shared" si="32"/>
        <v>0</v>
      </c>
      <c r="CG29" s="581">
        <f t="shared" si="33"/>
        <v>0</v>
      </c>
    </row>
    <row r="30" spans="1:85" ht="15.95" customHeight="1" x14ac:dyDescent="0.25">
      <c r="A30" s="248">
        <v>22</v>
      </c>
      <c r="B30" s="63" t="str">
        <f>dtsiswa!D28</f>
        <v>Sally Savista A</v>
      </c>
      <c r="C30" s="3"/>
      <c r="D30" s="14"/>
      <c r="E30" s="14"/>
      <c r="F30" s="14"/>
      <c r="G30" s="14"/>
      <c r="H30" s="580" t="str">
        <f t="shared" si="0"/>
        <v xml:space="preserve">  </v>
      </c>
      <c r="I30" s="17"/>
      <c r="J30" s="251"/>
      <c r="K30" s="251"/>
      <c r="L30" s="867"/>
      <c r="M30" s="17"/>
      <c r="N30" s="251"/>
      <c r="O30" s="251"/>
      <c r="P30" s="251"/>
      <c r="Q30" s="251"/>
      <c r="R30" s="580" t="str">
        <f t="shared" si="1"/>
        <v xml:space="preserve">  </v>
      </c>
      <c r="S30" s="16"/>
      <c r="T30" s="16"/>
      <c r="U30" s="580" t="str">
        <f t="shared" si="2"/>
        <v xml:space="preserve">  </v>
      </c>
      <c r="V30" s="17"/>
      <c r="W30" s="15"/>
      <c r="X30" s="15"/>
      <c r="Y30" s="15"/>
      <c r="Z30" s="15"/>
      <c r="AA30" s="15"/>
      <c r="AB30" s="580" t="str">
        <f t="shared" si="3"/>
        <v xml:space="preserve">  </v>
      </c>
      <c r="AC30" s="19">
        <f t="shared" si="34"/>
        <v>0</v>
      </c>
      <c r="AD30" s="19">
        <f t="shared" si="35"/>
        <v>0</v>
      </c>
      <c r="AE30" s="19">
        <f t="shared" si="36"/>
        <v>0</v>
      </c>
      <c r="AF30" s="19">
        <f t="shared" si="37"/>
        <v>0</v>
      </c>
      <c r="AG30" s="19">
        <f t="shared" si="38"/>
        <v>0</v>
      </c>
      <c r="AH30" s="19">
        <f t="shared" si="39"/>
        <v>0</v>
      </c>
      <c r="AI30" s="19">
        <f t="shared" si="40"/>
        <v>0</v>
      </c>
      <c r="AJ30" s="20">
        <f t="shared" si="41"/>
        <v>0</v>
      </c>
      <c r="AK30" s="18">
        <f t="shared" si="42"/>
        <v>0</v>
      </c>
      <c r="AL30" s="18">
        <f t="shared" si="43"/>
        <v>0</v>
      </c>
      <c r="AM30" s="18">
        <f t="shared" si="44"/>
        <v>0</v>
      </c>
      <c r="AN30" s="18">
        <f t="shared" si="45"/>
        <v>0</v>
      </c>
      <c r="AO30" s="18">
        <f t="shared" si="46"/>
        <v>0</v>
      </c>
      <c r="AP30" s="2">
        <f t="shared" si="47"/>
        <v>0</v>
      </c>
      <c r="AQ30" s="2">
        <f t="shared" si="48"/>
        <v>0</v>
      </c>
      <c r="AR30" s="2">
        <f t="shared" si="49"/>
        <v>0</v>
      </c>
      <c r="AS30" s="2">
        <f t="shared" si="50"/>
        <v>0</v>
      </c>
      <c r="AT30" s="2">
        <f t="shared" si="51"/>
        <v>0</v>
      </c>
      <c r="AU30" s="2">
        <f t="shared" si="52"/>
        <v>0</v>
      </c>
      <c r="AV30" s="20">
        <f t="shared" si="53"/>
        <v>0</v>
      </c>
      <c r="AW30" s="65">
        <f t="shared" si="54"/>
        <v>0</v>
      </c>
      <c r="AX30" s="65">
        <f t="shared" si="55"/>
        <v>0</v>
      </c>
      <c r="AY30" s="65">
        <f t="shared" si="56"/>
        <v>0</v>
      </c>
      <c r="AZ30" s="65">
        <f t="shared" si="57"/>
        <v>0</v>
      </c>
      <c r="BA30" s="65">
        <f t="shared" si="58"/>
        <v>0</v>
      </c>
      <c r="BB30" s="65">
        <f t="shared" si="59"/>
        <v>0</v>
      </c>
      <c r="BC30" s="65">
        <f t="shared" si="60"/>
        <v>0</v>
      </c>
      <c r="BD30" s="528">
        <f t="shared" si="61"/>
        <v>0</v>
      </c>
      <c r="BE30" s="268">
        <f t="shared" si="7"/>
        <v>0</v>
      </c>
      <c r="BF30" s="268">
        <f t="shared" si="8"/>
        <v>0</v>
      </c>
      <c r="BG30" s="581">
        <f t="shared" si="9"/>
        <v>0</v>
      </c>
      <c r="BH30" s="268">
        <f t="shared" si="62"/>
        <v>0</v>
      </c>
      <c r="BI30" s="268">
        <f t="shared" si="63"/>
        <v>0</v>
      </c>
      <c r="BJ30" s="268">
        <f t="shared" si="64"/>
        <v>0</v>
      </c>
      <c r="BK30" s="268">
        <f t="shared" si="65"/>
        <v>0</v>
      </c>
      <c r="BL30" s="268">
        <f t="shared" si="66"/>
        <v>0</v>
      </c>
      <c r="BM30" s="581">
        <f t="shared" si="67"/>
        <v>0</v>
      </c>
      <c r="BN30" s="268">
        <f t="shared" si="15"/>
        <v>0</v>
      </c>
      <c r="BO30" s="268">
        <f t="shared" si="16"/>
        <v>0</v>
      </c>
      <c r="BP30" s="581">
        <f t="shared" si="17"/>
        <v>0</v>
      </c>
      <c r="BQ30" s="73">
        <f t="shared" si="18"/>
        <v>0</v>
      </c>
      <c r="BR30" s="73">
        <f t="shared" si="19"/>
        <v>0</v>
      </c>
      <c r="BS30" s="73">
        <f t="shared" si="20"/>
        <v>0</v>
      </c>
      <c r="BT30" s="581">
        <f t="shared" si="21"/>
        <v>0</v>
      </c>
      <c r="BU30" s="572">
        <f t="shared" si="22"/>
        <v>0</v>
      </c>
      <c r="BV30" s="572">
        <f t="shared" si="23"/>
        <v>0</v>
      </c>
      <c r="BW30" s="581">
        <f t="shared" si="24"/>
        <v>0</v>
      </c>
      <c r="BX30" s="572">
        <f t="shared" si="25"/>
        <v>0</v>
      </c>
      <c r="BY30" s="572">
        <f t="shared" si="26"/>
        <v>0</v>
      </c>
      <c r="BZ30" s="572">
        <f t="shared" si="27"/>
        <v>0</v>
      </c>
      <c r="CA30" s="572">
        <f t="shared" si="28"/>
        <v>0</v>
      </c>
      <c r="CB30" s="581">
        <f t="shared" si="29"/>
        <v>0</v>
      </c>
      <c r="CC30" s="870">
        <v>0</v>
      </c>
      <c r="CD30" s="572">
        <f t="shared" si="30"/>
        <v>0</v>
      </c>
      <c r="CE30" s="572">
        <f t="shared" si="31"/>
        <v>0</v>
      </c>
      <c r="CF30" s="572">
        <f t="shared" si="32"/>
        <v>0</v>
      </c>
      <c r="CG30" s="581">
        <f t="shared" si="33"/>
        <v>0</v>
      </c>
    </row>
    <row r="31" spans="1:85" ht="15.95" customHeight="1" x14ac:dyDescent="0.25">
      <c r="A31" s="248">
        <v>23</v>
      </c>
      <c r="B31" s="63" t="str">
        <f>dtsiswa!D29</f>
        <v xml:space="preserve">Tania Kaori Angelita </v>
      </c>
      <c r="C31" s="3"/>
      <c r="D31" s="14"/>
      <c r="E31" s="14"/>
      <c r="F31" s="14"/>
      <c r="G31" s="14"/>
      <c r="H31" s="580" t="str">
        <f t="shared" si="0"/>
        <v xml:space="preserve">  </v>
      </c>
      <c r="I31" s="17"/>
      <c r="J31" s="251"/>
      <c r="K31" s="251"/>
      <c r="L31" s="867"/>
      <c r="M31" s="17"/>
      <c r="N31" s="251"/>
      <c r="O31" s="251"/>
      <c r="P31" s="251"/>
      <c r="Q31" s="251"/>
      <c r="R31" s="580" t="str">
        <f t="shared" si="1"/>
        <v xml:space="preserve">  </v>
      </c>
      <c r="S31" s="16"/>
      <c r="T31" s="16"/>
      <c r="U31" s="580" t="str">
        <f t="shared" si="2"/>
        <v xml:space="preserve">  </v>
      </c>
      <c r="V31" s="17"/>
      <c r="W31" s="15"/>
      <c r="X31" s="15"/>
      <c r="Y31" s="15"/>
      <c r="Z31" s="15"/>
      <c r="AA31" s="15"/>
      <c r="AB31" s="580" t="str">
        <f t="shared" si="3"/>
        <v xml:space="preserve">  </v>
      </c>
      <c r="AC31" s="19">
        <f t="shared" si="34"/>
        <v>0</v>
      </c>
      <c r="AD31" s="19">
        <f t="shared" si="35"/>
        <v>0</v>
      </c>
      <c r="AE31" s="19">
        <f t="shared" si="36"/>
        <v>0</v>
      </c>
      <c r="AF31" s="19">
        <f t="shared" si="37"/>
        <v>0</v>
      </c>
      <c r="AG31" s="19">
        <f t="shared" si="38"/>
        <v>0</v>
      </c>
      <c r="AH31" s="19">
        <f t="shared" si="39"/>
        <v>0</v>
      </c>
      <c r="AI31" s="19">
        <f t="shared" si="40"/>
        <v>0</v>
      </c>
      <c r="AJ31" s="20">
        <f t="shared" si="41"/>
        <v>0</v>
      </c>
      <c r="AK31" s="18">
        <f t="shared" si="42"/>
        <v>0</v>
      </c>
      <c r="AL31" s="18">
        <f t="shared" si="43"/>
        <v>0</v>
      </c>
      <c r="AM31" s="18">
        <f t="shared" si="44"/>
        <v>0</v>
      </c>
      <c r="AN31" s="18">
        <f t="shared" si="45"/>
        <v>0</v>
      </c>
      <c r="AO31" s="18">
        <f t="shared" si="46"/>
        <v>0</v>
      </c>
      <c r="AP31" s="2">
        <f t="shared" si="47"/>
        <v>0</v>
      </c>
      <c r="AQ31" s="2">
        <f t="shared" si="48"/>
        <v>0</v>
      </c>
      <c r="AR31" s="2">
        <f t="shared" si="49"/>
        <v>0</v>
      </c>
      <c r="AS31" s="2">
        <f t="shared" si="50"/>
        <v>0</v>
      </c>
      <c r="AT31" s="2">
        <f t="shared" si="51"/>
        <v>0</v>
      </c>
      <c r="AU31" s="2">
        <f t="shared" si="52"/>
        <v>0</v>
      </c>
      <c r="AV31" s="20">
        <f t="shared" si="53"/>
        <v>0</v>
      </c>
      <c r="AW31" s="65">
        <f t="shared" si="54"/>
        <v>0</v>
      </c>
      <c r="AX31" s="65">
        <f t="shared" si="55"/>
        <v>0</v>
      </c>
      <c r="AY31" s="65">
        <f t="shared" si="56"/>
        <v>0</v>
      </c>
      <c r="AZ31" s="65">
        <f t="shared" si="57"/>
        <v>0</v>
      </c>
      <c r="BA31" s="65">
        <f t="shared" si="58"/>
        <v>0</v>
      </c>
      <c r="BB31" s="65">
        <f t="shared" si="59"/>
        <v>0</v>
      </c>
      <c r="BC31" s="65">
        <f t="shared" si="60"/>
        <v>0</v>
      </c>
      <c r="BD31" s="528">
        <f t="shared" si="61"/>
        <v>0</v>
      </c>
      <c r="BE31" s="268">
        <f t="shared" si="7"/>
        <v>0</v>
      </c>
      <c r="BF31" s="268">
        <f t="shared" si="8"/>
        <v>0</v>
      </c>
      <c r="BG31" s="581">
        <f t="shared" si="9"/>
        <v>0</v>
      </c>
      <c r="BH31" s="268">
        <f t="shared" si="62"/>
        <v>0</v>
      </c>
      <c r="BI31" s="268">
        <f t="shared" si="63"/>
        <v>0</v>
      </c>
      <c r="BJ31" s="268">
        <f t="shared" si="64"/>
        <v>0</v>
      </c>
      <c r="BK31" s="268">
        <f t="shared" si="65"/>
        <v>0</v>
      </c>
      <c r="BL31" s="268">
        <f t="shared" si="66"/>
        <v>0</v>
      </c>
      <c r="BM31" s="581">
        <f t="shared" si="67"/>
        <v>0</v>
      </c>
      <c r="BN31" s="268">
        <f t="shared" si="15"/>
        <v>0</v>
      </c>
      <c r="BO31" s="268">
        <f t="shared" si="16"/>
        <v>0</v>
      </c>
      <c r="BP31" s="581">
        <f t="shared" si="17"/>
        <v>0</v>
      </c>
      <c r="BQ31" s="73">
        <f t="shared" si="18"/>
        <v>0</v>
      </c>
      <c r="BR31" s="73">
        <f t="shared" si="19"/>
        <v>0</v>
      </c>
      <c r="BS31" s="73">
        <f t="shared" si="20"/>
        <v>0</v>
      </c>
      <c r="BT31" s="581">
        <f t="shared" si="21"/>
        <v>0</v>
      </c>
      <c r="BU31" s="572">
        <f t="shared" si="22"/>
        <v>0</v>
      </c>
      <c r="BV31" s="572">
        <f t="shared" si="23"/>
        <v>0</v>
      </c>
      <c r="BW31" s="581">
        <f t="shared" si="24"/>
        <v>0</v>
      </c>
      <c r="BX31" s="572">
        <f t="shared" si="25"/>
        <v>0</v>
      </c>
      <c r="BY31" s="572">
        <f t="shared" si="26"/>
        <v>0</v>
      </c>
      <c r="BZ31" s="572">
        <f t="shared" si="27"/>
        <v>0</v>
      </c>
      <c r="CA31" s="572">
        <f t="shared" si="28"/>
        <v>0</v>
      </c>
      <c r="CB31" s="581">
        <f t="shared" si="29"/>
        <v>0</v>
      </c>
      <c r="CC31" s="870">
        <v>0</v>
      </c>
      <c r="CD31" s="572">
        <f t="shared" si="30"/>
        <v>0</v>
      </c>
      <c r="CE31" s="572">
        <f t="shared" si="31"/>
        <v>0</v>
      </c>
      <c r="CF31" s="572">
        <f t="shared" si="32"/>
        <v>0</v>
      </c>
      <c r="CG31" s="581">
        <f t="shared" si="33"/>
        <v>0</v>
      </c>
    </row>
    <row r="32" spans="1:85" ht="15.95" customHeight="1" x14ac:dyDescent="0.25">
      <c r="A32" s="258">
        <v>24</v>
      </c>
      <c r="B32" s="63" t="str">
        <f>dtsiswa!D30</f>
        <v>Romzy Oka Ramadhani P</v>
      </c>
      <c r="C32" s="259"/>
      <c r="D32" s="260"/>
      <c r="E32" s="260"/>
      <c r="F32" s="260"/>
      <c r="G32" s="260"/>
      <c r="H32" s="580" t="str">
        <f t="shared" si="0"/>
        <v xml:space="preserve">  </v>
      </c>
      <c r="I32" s="261"/>
      <c r="J32" s="261"/>
      <c r="K32" s="261"/>
      <c r="L32" s="261"/>
      <c r="M32" s="261"/>
      <c r="N32" s="261"/>
      <c r="O32" s="261"/>
      <c r="P32" s="261"/>
      <c r="Q32" s="261"/>
      <c r="R32" s="580" t="str">
        <f t="shared" si="1"/>
        <v xml:space="preserve">  </v>
      </c>
      <c r="S32" s="262"/>
      <c r="T32" s="262"/>
      <c r="U32" s="580" t="str">
        <f t="shared" si="2"/>
        <v xml:space="preserve">  </v>
      </c>
      <c r="V32" s="261"/>
      <c r="W32" s="263"/>
      <c r="X32" s="263"/>
      <c r="Y32" s="263"/>
      <c r="Z32" s="263"/>
      <c r="AA32" s="263"/>
      <c r="AB32" s="580" t="str">
        <f t="shared" si="3"/>
        <v xml:space="preserve">  </v>
      </c>
      <c r="AC32" s="19">
        <f t="shared" si="34"/>
        <v>0</v>
      </c>
      <c r="AD32" s="19">
        <f t="shared" si="35"/>
        <v>0</v>
      </c>
      <c r="AE32" s="19">
        <f t="shared" si="36"/>
        <v>0</v>
      </c>
      <c r="AF32" s="19">
        <f t="shared" si="37"/>
        <v>0</v>
      </c>
      <c r="AG32" s="19">
        <f t="shared" si="38"/>
        <v>0</v>
      </c>
      <c r="AH32" s="19">
        <f t="shared" si="39"/>
        <v>0</v>
      </c>
      <c r="AI32" s="19">
        <f t="shared" si="40"/>
        <v>0</v>
      </c>
      <c r="AJ32" s="20">
        <f t="shared" si="41"/>
        <v>0</v>
      </c>
      <c r="AK32" s="18">
        <f t="shared" si="42"/>
        <v>0</v>
      </c>
      <c r="AL32" s="18">
        <f t="shared" si="43"/>
        <v>0</v>
      </c>
      <c r="AM32" s="18">
        <f t="shared" si="44"/>
        <v>0</v>
      </c>
      <c r="AN32" s="18">
        <f t="shared" si="45"/>
        <v>0</v>
      </c>
      <c r="AO32" s="18">
        <f t="shared" si="46"/>
        <v>0</v>
      </c>
      <c r="AP32" s="2">
        <f t="shared" si="47"/>
        <v>0</v>
      </c>
      <c r="AQ32" s="2">
        <f t="shared" si="48"/>
        <v>0</v>
      </c>
      <c r="AR32" s="2">
        <f t="shared" si="49"/>
        <v>0</v>
      </c>
      <c r="AS32" s="2">
        <f t="shared" si="50"/>
        <v>0</v>
      </c>
      <c r="AT32" s="2">
        <f t="shared" si="51"/>
        <v>0</v>
      </c>
      <c r="AU32" s="2">
        <f t="shared" si="52"/>
        <v>0</v>
      </c>
      <c r="AV32" s="20">
        <f t="shared" si="53"/>
        <v>0</v>
      </c>
      <c r="AW32" s="65">
        <f t="shared" si="54"/>
        <v>0</v>
      </c>
      <c r="AX32" s="65">
        <f t="shared" si="55"/>
        <v>0</v>
      </c>
      <c r="AY32" s="65">
        <f t="shared" si="56"/>
        <v>0</v>
      </c>
      <c r="AZ32" s="65">
        <f t="shared" si="57"/>
        <v>0</v>
      </c>
      <c r="BA32" s="65">
        <f t="shared" si="58"/>
        <v>0</v>
      </c>
      <c r="BB32" s="65">
        <f t="shared" si="59"/>
        <v>0</v>
      </c>
      <c r="BC32" s="65">
        <f t="shared" si="60"/>
        <v>0</v>
      </c>
      <c r="BD32" s="528">
        <f t="shared" si="61"/>
        <v>0</v>
      </c>
      <c r="BE32" s="268">
        <f t="shared" si="7"/>
        <v>0</v>
      </c>
      <c r="BF32" s="268">
        <f t="shared" si="8"/>
        <v>0</v>
      </c>
      <c r="BG32" s="581">
        <f t="shared" si="9"/>
        <v>0</v>
      </c>
      <c r="BH32" s="268">
        <f t="shared" si="62"/>
        <v>0</v>
      </c>
      <c r="BI32" s="268">
        <f t="shared" si="63"/>
        <v>0</v>
      </c>
      <c r="BJ32" s="268">
        <f t="shared" si="64"/>
        <v>0</v>
      </c>
      <c r="BK32" s="268">
        <f t="shared" si="65"/>
        <v>0</v>
      </c>
      <c r="BL32" s="268">
        <f t="shared" si="66"/>
        <v>0</v>
      </c>
      <c r="BM32" s="581">
        <f t="shared" si="67"/>
        <v>0</v>
      </c>
      <c r="BN32" s="268">
        <f t="shared" si="15"/>
        <v>0</v>
      </c>
      <c r="BO32" s="268">
        <f t="shared" si="16"/>
        <v>0</v>
      </c>
      <c r="BP32" s="581">
        <f t="shared" si="17"/>
        <v>0</v>
      </c>
      <c r="BQ32" s="73">
        <f t="shared" si="18"/>
        <v>0</v>
      </c>
      <c r="BR32" s="73">
        <f t="shared" si="19"/>
        <v>0</v>
      </c>
      <c r="BS32" s="73">
        <f t="shared" si="20"/>
        <v>0</v>
      </c>
      <c r="BT32" s="581">
        <f t="shared" si="21"/>
        <v>0</v>
      </c>
      <c r="BU32" s="572">
        <f t="shared" si="22"/>
        <v>0</v>
      </c>
      <c r="BV32" s="572">
        <f t="shared" si="23"/>
        <v>0</v>
      </c>
      <c r="BW32" s="581">
        <f t="shared" si="24"/>
        <v>0</v>
      </c>
      <c r="BX32" s="572">
        <f t="shared" si="25"/>
        <v>0</v>
      </c>
      <c r="BY32" s="572">
        <f t="shared" si="26"/>
        <v>0</v>
      </c>
      <c r="BZ32" s="572">
        <f t="shared" si="27"/>
        <v>0</v>
      </c>
      <c r="CA32" s="572">
        <f t="shared" si="28"/>
        <v>0</v>
      </c>
      <c r="CB32" s="581">
        <f t="shared" si="29"/>
        <v>0</v>
      </c>
      <c r="CC32" s="870">
        <v>0</v>
      </c>
      <c r="CD32" s="572">
        <f t="shared" si="30"/>
        <v>0</v>
      </c>
      <c r="CE32" s="572">
        <f t="shared" si="31"/>
        <v>0</v>
      </c>
      <c r="CF32" s="572">
        <f t="shared" si="32"/>
        <v>0</v>
      </c>
      <c r="CG32" s="581">
        <f t="shared" si="33"/>
        <v>0</v>
      </c>
    </row>
    <row r="33" spans="1:85" ht="15.95" customHeight="1" x14ac:dyDescent="0.2">
      <c r="A33" s="248">
        <v>25</v>
      </c>
      <c r="B33" s="63" t="str">
        <f>dtsiswa!D31</f>
        <v>Larasati Jagadhita P</v>
      </c>
      <c r="C33" s="247"/>
      <c r="D33" s="247"/>
      <c r="E33" s="247"/>
      <c r="F33" s="247"/>
      <c r="G33" s="247"/>
      <c r="H33" s="580" t="str">
        <f t="shared" si="0"/>
        <v xml:space="preserve">  </v>
      </c>
      <c r="I33" s="247"/>
      <c r="J33" s="247"/>
      <c r="K33" s="247"/>
      <c r="L33" s="870"/>
      <c r="M33" s="247"/>
      <c r="N33" s="247"/>
      <c r="O33" s="247"/>
      <c r="P33" s="247"/>
      <c r="Q33" s="247"/>
      <c r="R33" s="580" t="str">
        <f t="shared" si="1"/>
        <v xml:space="preserve">  </v>
      </c>
      <c r="S33" s="247"/>
      <c r="T33" s="247"/>
      <c r="U33" s="580" t="str">
        <f t="shared" si="2"/>
        <v xml:space="preserve">  </v>
      </c>
      <c r="V33" s="247"/>
      <c r="W33" s="247"/>
      <c r="X33" s="247"/>
      <c r="Y33" s="247"/>
      <c r="Z33" s="247"/>
      <c r="AA33" s="247"/>
      <c r="AB33" s="580" t="str">
        <f t="shared" si="3"/>
        <v xml:space="preserve">  </v>
      </c>
      <c r="AC33" s="19">
        <f t="shared" si="34"/>
        <v>0</v>
      </c>
      <c r="AD33" s="19">
        <f t="shared" si="35"/>
        <v>0</v>
      </c>
      <c r="AE33" s="19">
        <f t="shared" si="36"/>
        <v>0</v>
      </c>
      <c r="AF33" s="19">
        <f t="shared" si="37"/>
        <v>0</v>
      </c>
      <c r="AG33" s="19">
        <f t="shared" si="38"/>
        <v>0</v>
      </c>
      <c r="AH33" s="19">
        <f t="shared" si="39"/>
        <v>0</v>
      </c>
      <c r="AI33" s="19">
        <f t="shared" si="40"/>
        <v>0</v>
      </c>
      <c r="AJ33" s="20">
        <f t="shared" si="41"/>
        <v>0</v>
      </c>
      <c r="AK33" s="18">
        <f t="shared" si="42"/>
        <v>0</v>
      </c>
      <c r="AL33" s="18">
        <f t="shared" si="43"/>
        <v>0</v>
      </c>
      <c r="AM33" s="18">
        <f t="shared" si="44"/>
        <v>0</v>
      </c>
      <c r="AN33" s="18">
        <f t="shared" si="45"/>
        <v>0</v>
      </c>
      <c r="AO33" s="18">
        <f t="shared" si="46"/>
        <v>0</v>
      </c>
      <c r="AP33" s="2">
        <f t="shared" si="47"/>
        <v>0</v>
      </c>
      <c r="AQ33" s="2">
        <f t="shared" si="48"/>
        <v>0</v>
      </c>
      <c r="AR33" s="2">
        <f t="shared" si="49"/>
        <v>0</v>
      </c>
      <c r="AS33" s="2">
        <f t="shared" si="50"/>
        <v>0</v>
      </c>
      <c r="AT33" s="2">
        <f t="shared" si="51"/>
        <v>0</v>
      </c>
      <c r="AU33" s="2">
        <f t="shared" si="52"/>
        <v>0</v>
      </c>
      <c r="AV33" s="20">
        <f t="shared" si="53"/>
        <v>0</v>
      </c>
      <c r="AW33" s="65">
        <f t="shared" si="54"/>
        <v>0</v>
      </c>
      <c r="AX33" s="65">
        <f t="shared" si="55"/>
        <v>0</v>
      </c>
      <c r="AY33" s="65">
        <f t="shared" si="56"/>
        <v>0</v>
      </c>
      <c r="AZ33" s="65">
        <f t="shared" si="57"/>
        <v>0</v>
      </c>
      <c r="BA33" s="65">
        <f t="shared" si="58"/>
        <v>0</v>
      </c>
      <c r="BB33" s="65">
        <f t="shared" si="59"/>
        <v>0</v>
      </c>
      <c r="BC33" s="65">
        <f t="shared" si="60"/>
        <v>0</v>
      </c>
      <c r="BD33" s="528">
        <f t="shared" si="61"/>
        <v>0</v>
      </c>
      <c r="BE33" s="268">
        <f t="shared" si="7"/>
        <v>0</v>
      </c>
      <c r="BF33" s="268">
        <f t="shared" si="8"/>
        <v>0</v>
      </c>
      <c r="BG33" s="581">
        <f t="shared" si="9"/>
        <v>0</v>
      </c>
      <c r="BH33" s="268">
        <f t="shared" si="62"/>
        <v>0</v>
      </c>
      <c r="BI33" s="268">
        <f t="shared" si="63"/>
        <v>0</v>
      </c>
      <c r="BJ33" s="268">
        <f t="shared" si="64"/>
        <v>0</v>
      </c>
      <c r="BK33" s="268">
        <f t="shared" si="65"/>
        <v>0</v>
      </c>
      <c r="BL33" s="268">
        <f t="shared" si="66"/>
        <v>0</v>
      </c>
      <c r="BM33" s="581">
        <f t="shared" si="67"/>
        <v>0</v>
      </c>
      <c r="BN33" s="268">
        <f t="shared" si="15"/>
        <v>0</v>
      </c>
      <c r="BO33" s="268">
        <f t="shared" si="16"/>
        <v>0</v>
      </c>
      <c r="BP33" s="581">
        <f t="shared" si="17"/>
        <v>0</v>
      </c>
      <c r="BQ33" s="73">
        <f t="shared" si="18"/>
        <v>0</v>
      </c>
      <c r="BR33" s="73">
        <f t="shared" si="19"/>
        <v>0</v>
      </c>
      <c r="BS33" s="73">
        <f t="shared" si="20"/>
        <v>0</v>
      </c>
      <c r="BT33" s="581">
        <f t="shared" si="21"/>
        <v>0</v>
      </c>
      <c r="BU33" s="572">
        <f t="shared" si="22"/>
        <v>0</v>
      </c>
      <c r="BV33" s="572">
        <f t="shared" si="23"/>
        <v>0</v>
      </c>
      <c r="BW33" s="581">
        <f t="shared" si="24"/>
        <v>0</v>
      </c>
      <c r="BX33" s="572">
        <f t="shared" si="25"/>
        <v>0</v>
      </c>
      <c r="BY33" s="572">
        <f t="shared" si="26"/>
        <v>0</v>
      </c>
      <c r="BZ33" s="572">
        <f t="shared" si="27"/>
        <v>0</v>
      </c>
      <c r="CA33" s="572">
        <f t="shared" si="28"/>
        <v>0</v>
      </c>
      <c r="CB33" s="581">
        <f t="shared" si="29"/>
        <v>0</v>
      </c>
      <c r="CC33" s="870">
        <v>0</v>
      </c>
      <c r="CD33" s="572">
        <f t="shared" si="30"/>
        <v>0</v>
      </c>
      <c r="CE33" s="572">
        <f t="shared" si="31"/>
        <v>0</v>
      </c>
      <c r="CF33" s="572">
        <f t="shared" si="32"/>
        <v>0</v>
      </c>
      <c r="CG33" s="581">
        <f t="shared" si="33"/>
        <v>0</v>
      </c>
    </row>
    <row r="34" spans="1:85" ht="15.95" customHeight="1" x14ac:dyDescent="0.2">
      <c r="A34" s="248">
        <v>26</v>
      </c>
      <c r="B34" s="63" t="str">
        <f>dtsiswa!D32</f>
        <v>Meliana Citra A</v>
      </c>
      <c r="C34" s="8"/>
      <c r="D34" s="8"/>
      <c r="E34" s="8"/>
      <c r="F34" s="8"/>
      <c r="G34" s="8"/>
      <c r="H34" s="580" t="str">
        <f t="shared" si="0"/>
        <v xml:space="preserve">  </v>
      </c>
      <c r="I34" s="8"/>
      <c r="J34" s="8"/>
      <c r="K34" s="8"/>
      <c r="L34" s="8"/>
      <c r="M34" s="8"/>
      <c r="N34" s="8"/>
      <c r="O34" s="8"/>
      <c r="P34" s="8"/>
      <c r="Q34" s="8"/>
      <c r="R34" s="580" t="str">
        <f t="shared" si="1"/>
        <v xml:space="preserve">  </v>
      </c>
      <c r="S34" s="8"/>
      <c r="T34" s="8"/>
      <c r="U34" s="580" t="str">
        <f t="shared" si="2"/>
        <v xml:space="preserve">  </v>
      </c>
      <c r="V34" s="8"/>
      <c r="W34" s="8"/>
      <c r="X34" s="8"/>
      <c r="Y34" s="8"/>
      <c r="Z34" s="8"/>
      <c r="AA34" s="8"/>
      <c r="AB34" s="580" t="str">
        <f t="shared" si="3"/>
        <v xml:space="preserve">  </v>
      </c>
      <c r="AC34" s="19">
        <f t="shared" si="34"/>
        <v>0</v>
      </c>
      <c r="AD34" s="19">
        <f t="shared" si="35"/>
        <v>0</v>
      </c>
      <c r="AE34" s="19">
        <f t="shared" si="36"/>
        <v>0</v>
      </c>
      <c r="AF34" s="19">
        <f t="shared" si="37"/>
        <v>0</v>
      </c>
      <c r="AG34" s="19">
        <f t="shared" si="38"/>
        <v>0</v>
      </c>
      <c r="AH34" s="19">
        <f t="shared" si="39"/>
        <v>0</v>
      </c>
      <c r="AI34" s="19">
        <f t="shared" si="40"/>
        <v>0</v>
      </c>
      <c r="AJ34" s="20">
        <f t="shared" si="41"/>
        <v>0</v>
      </c>
      <c r="AK34" s="18">
        <f t="shared" si="42"/>
        <v>0</v>
      </c>
      <c r="AL34" s="18">
        <f t="shared" si="43"/>
        <v>0</v>
      </c>
      <c r="AM34" s="18">
        <f t="shared" si="44"/>
        <v>0</v>
      </c>
      <c r="AN34" s="18">
        <f t="shared" si="45"/>
        <v>0</v>
      </c>
      <c r="AO34" s="18">
        <f t="shared" si="46"/>
        <v>0</v>
      </c>
      <c r="AP34" s="2">
        <f t="shared" si="47"/>
        <v>0</v>
      </c>
      <c r="AQ34" s="2">
        <f t="shared" si="48"/>
        <v>0</v>
      </c>
      <c r="AR34" s="2">
        <f t="shared" si="49"/>
        <v>0</v>
      </c>
      <c r="AS34" s="2">
        <f t="shared" si="50"/>
        <v>0</v>
      </c>
      <c r="AT34" s="2">
        <f t="shared" si="51"/>
        <v>0</v>
      </c>
      <c r="AU34" s="2">
        <f t="shared" si="52"/>
        <v>0</v>
      </c>
      <c r="AV34" s="20">
        <f t="shared" si="53"/>
        <v>0</v>
      </c>
      <c r="AW34" s="65">
        <f t="shared" si="54"/>
        <v>0</v>
      </c>
      <c r="AX34" s="65">
        <f t="shared" si="55"/>
        <v>0</v>
      </c>
      <c r="AY34" s="65">
        <f t="shared" si="56"/>
        <v>0</v>
      </c>
      <c r="AZ34" s="65">
        <f t="shared" si="57"/>
        <v>0</v>
      </c>
      <c r="BA34" s="65">
        <f t="shared" si="58"/>
        <v>0</v>
      </c>
      <c r="BB34" s="65">
        <f t="shared" si="59"/>
        <v>0</v>
      </c>
      <c r="BC34" s="65">
        <f t="shared" si="60"/>
        <v>0</v>
      </c>
      <c r="BD34" s="528">
        <f t="shared" si="61"/>
        <v>0</v>
      </c>
      <c r="BE34" s="268">
        <f t="shared" si="7"/>
        <v>0</v>
      </c>
      <c r="BF34" s="268">
        <f t="shared" si="8"/>
        <v>0</v>
      </c>
      <c r="BG34" s="581">
        <f t="shared" si="9"/>
        <v>0</v>
      </c>
      <c r="BH34" s="268">
        <f t="shared" si="62"/>
        <v>0</v>
      </c>
      <c r="BI34" s="268">
        <f t="shared" si="63"/>
        <v>0</v>
      </c>
      <c r="BJ34" s="268">
        <f t="shared" si="64"/>
        <v>0</v>
      </c>
      <c r="BK34" s="268">
        <f t="shared" si="65"/>
        <v>0</v>
      </c>
      <c r="BL34" s="268">
        <f t="shared" si="66"/>
        <v>0</v>
      </c>
      <c r="BM34" s="581">
        <f t="shared" si="67"/>
        <v>0</v>
      </c>
      <c r="BN34" s="268">
        <f t="shared" si="15"/>
        <v>0</v>
      </c>
      <c r="BO34" s="268">
        <f t="shared" si="16"/>
        <v>0</v>
      </c>
      <c r="BP34" s="581">
        <f t="shared" si="17"/>
        <v>0</v>
      </c>
      <c r="BQ34" s="73">
        <f t="shared" si="18"/>
        <v>0</v>
      </c>
      <c r="BR34" s="73">
        <f t="shared" si="19"/>
        <v>0</v>
      </c>
      <c r="BS34" s="73">
        <f t="shared" si="20"/>
        <v>0</v>
      </c>
      <c r="BT34" s="581">
        <f t="shared" si="21"/>
        <v>0</v>
      </c>
      <c r="BU34" s="572">
        <f t="shared" si="22"/>
        <v>0</v>
      </c>
      <c r="BV34" s="572">
        <f t="shared" si="23"/>
        <v>0</v>
      </c>
      <c r="BW34" s="581">
        <f t="shared" si="24"/>
        <v>0</v>
      </c>
      <c r="BX34" s="572">
        <f t="shared" si="25"/>
        <v>0</v>
      </c>
      <c r="BY34" s="572">
        <f t="shared" si="26"/>
        <v>0</v>
      </c>
      <c r="BZ34" s="572">
        <f t="shared" si="27"/>
        <v>0</v>
      </c>
      <c r="CA34" s="572">
        <f t="shared" si="28"/>
        <v>0</v>
      </c>
      <c r="CB34" s="581">
        <f t="shared" si="29"/>
        <v>0</v>
      </c>
      <c r="CC34" s="870">
        <v>0</v>
      </c>
      <c r="CD34" s="572">
        <f t="shared" si="30"/>
        <v>0</v>
      </c>
      <c r="CE34" s="572">
        <f t="shared" si="31"/>
        <v>0</v>
      </c>
      <c r="CF34" s="572">
        <f t="shared" si="32"/>
        <v>0</v>
      </c>
      <c r="CG34" s="581">
        <f t="shared" si="33"/>
        <v>0</v>
      </c>
    </row>
    <row r="35" spans="1:85" ht="15.95" customHeight="1" x14ac:dyDescent="0.2">
      <c r="A35" s="248">
        <v>27</v>
      </c>
      <c r="B35" s="63" t="str">
        <f>dtsiswa!D33</f>
        <v>Mohammad Rizky</v>
      </c>
      <c r="C35" s="8"/>
      <c r="D35" s="8"/>
      <c r="E35" s="8"/>
      <c r="F35" s="8"/>
      <c r="G35" s="8"/>
      <c r="H35" s="580" t="str">
        <f t="shared" si="0"/>
        <v xml:space="preserve">  </v>
      </c>
      <c r="I35" s="8"/>
      <c r="J35" s="8"/>
      <c r="K35" s="8"/>
      <c r="L35" s="8"/>
      <c r="M35" s="8"/>
      <c r="N35" s="8"/>
      <c r="O35" s="8"/>
      <c r="P35" s="8"/>
      <c r="Q35" s="8"/>
      <c r="R35" s="580" t="str">
        <f t="shared" si="1"/>
        <v xml:space="preserve">  </v>
      </c>
      <c r="S35" s="8"/>
      <c r="T35" s="8"/>
      <c r="U35" s="580" t="str">
        <f t="shared" si="2"/>
        <v xml:space="preserve">  </v>
      </c>
      <c r="V35" s="8"/>
      <c r="W35" s="8"/>
      <c r="X35" s="8"/>
      <c r="Y35" s="8"/>
      <c r="Z35" s="8"/>
      <c r="AA35" s="8"/>
      <c r="AB35" s="580" t="str">
        <f t="shared" si="3"/>
        <v xml:space="preserve">  </v>
      </c>
      <c r="AC35" s="19">
        <f t="shared" si="34"/>
        <v>0</v>
      </c>
      <c r="AD35" s="19">
        <f t="shared" si="35"/>
        <v>0</v>
      </c>
      <c r="AE35" s="19">
        <f t="shared" si="36"/>
        <v>0</v>
      </c>
      <c r="AF35" s="19">
        <f t="shared" si="37"/>
        <v>0</v>
      </c>
      <c r="AG35" s="19">
        <f t="shared" si="38"/>
        <v>0</v>
      </c>
      <c r="AH35" s="19">
        <f t="shared" si="39"/>
        <v>0</v>
      </c>
      <c r="AI35" s="19">
        <f t="shared" si="40"/>
        <v>0</v>
      </c>
      <c r="AJ35" s="20">
        <f t="shared" si="41"/>
        <v>0</v>
      </c>
      <c r="AK35" s="18">
        <f t="shared" si="42"/>
        <v>0</v>
      </c>
      <c r="AL35" s="18">
        <f t="shared" si="43"/>
        <v>0</v>
      </c>
      <c r="AM35" s="18">
        <f t="shared" si="44"/>
        <v>0</v>
      </c>
      <c r="AN35" s="18">
        <f t="shared" si="45"/>
        <v>0</v>
      </c>
      <c r="AO35" s="18">
        <f t="shared" si="46"/>
        <v>0</v>
      </c>
      <c r="AP35" s="2">
        <f t="shared" si="47"/>
        <v>0</v>
      </c>
      <c r="AQ35" s="2">
        <f t="shared" si="48"/>
        <v>0</v>
      </c>
      <c r="AR35" s="2">
        <f t="shared" si="49"/>
        <v>0</v>
      </c>
      <c r="AS35" s="2">
        <f t="shared" si="50"/>
        <v>0</v>
      </c>
      <c r="AT35" s="2">
        <f t="shared" si="51"/>
        <v>0</v>
      </c>
      <c r="AU35" s="2">
        <f t="shared" si="52"/>
        <v>0</v>
      </c>
      <c r="AV35" s="20">
        <f t="shared" si="53"/>
        <v>0</v>
      </c>
      <c r="AW35" s="65">
        <f t="shared" si="54"/>
        <v>0</v>
      </c>
      <c r="AX35" s="65">
        <f t="shared" si="55"/>
        <v>0</v>
      </c>
      <c r="AY35" s="65">
        <f t="shared" si="56"/>
        <v>0</v>
      </c>
      <c r="AZ35" s="65">
        <f t="shared" si="57"/>
        <v>0</v>
      </c>
      <c r="BA35" s="65">
        <f t="shared" si="58"/>
        <v>0</v>
      </c>
      <c r="BB35" s="65">
        <f t="shared" si="59"/>
        <v>0</v>
      </c>
      <c r="BC35" s="65">
        <f t="shared" si="60"/>
        <v>0</v>
      </c>
      <c r="BD35" s="528">
        <f t="shared" si="61"/>
        <v>0</v>
      </c>
      <c r="BE35" s="268">
        <f t="shared" si="7"/>
        <v>0</v>
      </c>
      <c r="BF35" s="268">
        <f t="shared" si="8"/>
        <v>0</v>
      </c>
      <c r="BG35" s="581">
        <f t="shared" si="9"/>
        <v>0</v>
      </c>
      <c r="BH35" s="268">
        <f t="shared" si="62"/>
        <v>0</v>
      </c>
      <c r="BI35" s="268">
        <f t="shared" si="63"/>
        <v>0</v>
      </c>
      <c r="BJ35" s="268">
        <f t="shared" si="64"/>
        <v>0</v>
      </c>
      <c r="BK35" s="268">
        <f t="shared" si="65"/>
        <v>0</v>
      </c>
      <c r="BL35" s="268">
        <f t="shared" si="66"/>
        <v>0</v>
      </c>
      <c r="BM35" s="581">
        <f t="shared" si="67"/>
        <v>0</v>
      </c>
      <c r="BN35" s="268">
        <f t="shared" si="15"/>
        <v>0</v>
      </c>
      <c r="BO35" s="268">
        <f t="shared" si="16"/>
        <v>0</v>
      </c>
      <c r="BP35" s="581">
        <f t="shared" si="17"/>
        <v>0</v>
      </c>
      <c r="BQ35" s="73">
        <f t="shared" si="18"/>
        <v>0</v>
      </c>
      <c r="BR35" s="73">
        <f t="shared" si="19"/>
        <v>0</v>
      </c>
      <c r="BS35" s="73">
        <f t="shared" si="20"/>
        <v>0</v>
      </c>
      <c r="BT35" s="581">
        <f t="shared" si="21"/>
        <v>0</v>
      </c>
      <c r="BU35" s="572">
        <f t="shared" si="22"/>
        <v>0</v>
      </c>
      <c r="BV35" s="572">
        <f t="shared" si="23"/>
        <v>0</v>
      </c>
      <c r="BW35" s="581">
        <f t="shared" si="24"/>
        <v>0</v>
      </c>
      <c r="BX35" s="572">
        <f t="shared" si="25"/>
        <v>0</v>
      </c>
      <c r="BY35" s="572">
        <f t="shared" si="26"/>
        <v>0</v>
      </c>
      <c r="BZ35" s="572">
        <f t="shared" si="27"/>
        <v>0</v>
      </c>
      <c r="CA35" s="572">
        <f t="shared" si="28"/>
        <v>0</v>
      </c>
      <c r="CB35" s="581">
        <f t="shared" si="29"/>
        <v>0</v>
      </c>
      <c r="CC35" s="870">
        <v>0</v>
      </c>
      <c r="CD35" s="572">
        <f t="shared" si="30"/>
        <v>0</v>
      </c>
      <c r="CE35" s="572">
        <f t="shared" si="31"/>
        <v>0</v>
      </c>
      <c r="CF35" s="572">
        <f t="shared" si="32"/>
        <v>0</v>
      </c>
      <c r="CG35" s="581">
        <f t="shared" si="33"/>
        <v>0</v>
      </c>
    </row>
    <row r="36" spans="1:85" ht="15.95" customHeight="1" x14ac:dyDescent="0.2">
      <c r="A36" s="248">
        <v>28</v>
      </c>
      <c r="B36" s="63">
        <f>dtsiswa!D34</f>
        <v>0</v>
      </c>
      <c r="C36" s="8"/>
      <c r="D36" s="8"/>
      <c r="E36" s="8"/>
      <c r="F36" s="8"/>
      <c r="G36" s="8"/>
      <c r="H36" s="580" t="str">
        <f t="shared" si="0"/>
        <v xml:space="preserve">  </v>
      </c>
      <c r="I36" s="8"/>
      <c r="J36" s="8"/>
      <c r="K36" s="8"/>
      <c r="L36" s="8"/>
      <c r="M36" s="8"/>
      <c r="N36" s="8"/>
      <c r="O36" s="8"/>
      <c r="P36" s="8"/>
      <c r="Q36" s="8"/>
      <c r="R36" s="580" t="str">
        <f t="shared" si="1"/>
        <v xml:space="preserve">  </v>
      </c>
      <c r="S36" s="8"/>
      <c r="T36" s="8"/>
      <c r="U36" s="580" t="str">
        <f t="shared" si="2"/>
        <v xml:space="preserve">  </v>
      </c>
      <c r="V36" s="8"/>
      <c r="W36" s="8"/>
      <c r="X36" s="8"/>
      <c r="Y36" s="8"/>
      <c r="Z36" s="8"/>
      <c r="AA36" s="8"/>
      <c r="AB36" s="580" t="str">
        <f t="shared" si="3"/>
        <v xml:space="preserve">  </v>
      </c>
      <c r="AC36" s="19">
        <f t="shared" si="34"/>
        <v>0</v>
      </c>
      <c r="AD36" s="19">
        <f t="shared" si="35"/>
        <v>0</v>
      </c>
      <c r="AE36" s="19">
        <f t="shared" si="36"/>
        <v>0</v>
      </c>
      <c r="AF36" s="19">
        <f t="shared" si="37"/>
        <v>0</v>
      </c>
      <c r="AG36" s="19">
        <f t="shared" si="38"/>
        <v>0</v>
      </c>
      <c r="AH36" s="19">
        <f t="shared" si="39"/>
        <v>0</v>
      </c>
      <c r="AI36" s="19">
        <f t="shared" si="40"/>
        <v>0</v>
      </c>
      <c r="AJ36" s="20">
        <f t="shared" si="41"/>
        <v>0</v>
      </c>
      <c r="AK36" s="18">
        <f t="shared" si="42"/>
        <v>0</v>
      </c>
      <c r="AL36" s="18">
        <f t="shared" si="43"/>
        <v>0</v>
      </c>
      <c r="AM36" s="18">
        <f t="shared" si="44"/>
        <v>0</v>
      </c>
      <c r="AN36" s="18">
        <f t="shared" si="45"/>
        <v>0</v>
      </c>
      <c r="AO36" s="18">
        <f t="shared" si="46"/>
        <v>0</v>
      </c>
      <c r="AP36" s="2">
        <f t="shared" si="47"/>
        <v>0</v>
      </c>
      <c r="AQ36" s="2">
        <f t="shared" si="48"/>
        <v>0</v>
      </c>
      <c r="AR36" s="2">
        <f t="shared" si="49"/>
        <v>0</v>
      </c>
      <c r="AS36" s="2">
        <f t="shared" si="50"/>
        <v>0</v>
      </c>
      <c r="AT36" s="2">
        <f t="shared" si="51"/>
        <v>0</v>
      </c>
      <c r="AU36" s="2">
        <f t="shared" si="52"/>
        <v>0</v>
      </c>
      <c r="AV36" s="20">
        <f t="shared" si="53"/>
        <v>0</v>
      </c>
      <c r="AW36" s="65">
        <f t="shared" si="54"/>
        <v>0</v>
      </c>
      <c r="AX36" s="65">
        <f t="shared" si="55"/>
        <v>0</v>
      </c>
      <c r="AY36" s="65">
        <f t="shared" si="56"/>
        <v>0</v>
      </c>
      <c r="AZ36" s="65">
        <f t="shared" si="57"/>
        <v>0</v>
      </c>
      <c r="BA36" s="65">
        <f t="shared" si="58"/>
        <v>0</v>
      </c>
      <c r="BB36" s="65">
        <f t="shared" si="59"/>
        <v>0</v>
      </c>
      <c r="BC36" s="65">
        <f t="shared" si="60"/>
        <v>0</v>
      </c>
      <c r="BD36" s="528">
        <f t="shared" si="61"/>
        <v>0</v>
      </c>
      <c r="BE36" s="268">
        <f t="shared" si="7"/>
        <v>0</v>
      </c>
      <c r="BF36" s="268">
        <f t="shared" si="8"/>
        <v>0</v>
      </c>
      <c r="BG36" s="581">
        <f t="shared" si="9"/>
        <v>0</v>
      </c>
      <c r="BH36" s="268">
        <f t="shared" si="62"/>
        <v>0</v>
      </c>
      <c r="BI36" s="268">
        <f t="shared" si="63"/>
        <v>0</v>
      </c>
      <c r="BJ36" s="268">
        <f t="shared" si="64"/>
        <v>0</v>
      </c>
      <c r="BK36" s="268">
        <f t="shared" si="65"/>
        <v>0</v>
      </c>
      <c r="BL36" s="268">
        <f t="shared" si="66"/>
        <v>0</v>
      </c>
      <c r="BM36" s="581">
        <f t="shared" si="67"/>
        <v>0</v>
      </c>
      <c r="BN36" s="268">
        <f t="shared" si="15"/>
        <v>0</v>
      </c>
      <c r="BO36" s="268">
        <f t="shared" si="16"/>
        <v>0</v>
      </c>
      <c r="BP36" s="581">
        <f t="shared" si="17"/>
        <v>0</v>
      </c>
      <c r="BQ36" s="73">
        <f t="shared" si="18"/>
        <v>0</v>
      </c>
      <c r="BR36" s="73">
        <f t="shared" si="19"/>
        <v>0</v>
      </c>
      <c r="BS36" s="73">
        <f t="shared" si="20"/>
        <v>0</v>
      </c>
      <c r="BT36" s="581">
        <f t="shared" si="21"/>
        <v>0</v>
      </c>
      <c r="BU36" s="572">
        <f t="shared" si="22"/>
        <v>0</v>
      </c>
      <c r="BV36" s="572">
        <f t="shared" si="23"/>
        <v>0</v>
      </c>
      <c r="BW36" s="581">
        <f t="shared" si="24"/>
        <v>0</v>
      </c>
      <c r="BX36" s="572">
        <f t="shared" si="25"/>
        <v>0</v>
      </c>
      <c r="BY36" s="572">
        <f t="shared" si="26"/>
        <v>0</v>
      </c>
      <c r="BZ36" s="572">
        <f t="shared" si="27"/>
        <v>0</v>
      </c>
      <c r="CA36" s="572">
        <f t="shared" si="28"/>
        <v>0</v>
      </c>
      <c r="CB36" s="581">
        <f t="shared" si="29"/>
        <v>0</v>
      </c>
      <c r="CC36" s="870">
        <v>0</v>
      </c>
      <c r="CD36" s="572">
        <f t="shared" si="30"/>
        <v>0</v>
      </c>
      <c r="CE36" s="572">
        <f t="shared" si="31"/>
        <v>0</v>
      </c>
      <c r="CF36" s="572">
        <f t="shared" si="32"/>
        <v>0</v>
      </c>
      <c r="CG36" s="581">
        <f t="shared" si="33"/>
        <v>0</v>
      </c>
    </row>
    <row r="37" spans="1:85" ht="15.95" customHeight="1" x14ac:dyDescent="0.2">
      <c r="A37" s="248">
        <v>29</v>
      </c>
      <c r="B37" s="63">
        <f>dtsiswa!D35</f>
        <v>0</v>
      </c>
      <c r="C37" s="8"/>
      <c r="D37" s="8"/>
      <c r="E37" s="8"/>
      <c r="F37" s="8"/>
      <c r="G37" s="8"/>
      <c r="H37" s="580" t="str">
        <f t="shared" si="0"/>
        <v xml:space="preserve">  </v>
      </c>
      <c r="I37" s="8"/>
      <c r="J37" s="8"/>
      <c r="K37" s="8"/>
      <c r="L37" s="8"/>
      <c r="M37" s="8"/>
      <c r="N37" s="8"/>
      <c r="O37" s="8"/>
      <c r="P37" s="8"/>
      <c r="Q37" s="8"/>
      <c r="R37" s="580" t="str">
        <f t="shared" si="1"/>
        <v xml:space="preserve">  </v>
      </c>
      <c r="S37" s="8"/>
      <c r="T37" s="8"/>
      <c r="U37" s="580" t="str">
        <f t="shared" si="2"/>
        <v xml:space="preserve">  </v>
      </c>
      <c r="V37" s="8"/>
      <c r="W37" s="8"/>
      <c r="X37" s="8"/>
      <c r="Y37" s="8"/>
      <c r="Z37" s="8"/>
      <c r="AA37" s="8"/>
      <c r="AB37" s="580" t="str">
        <f t="shared" si="3"/>
        <v xml:space="preserve">  </v>
      </c>
      <c r="AC37" s="19">
        <f t="shared" si="34"/>
        <v>0</v>
      </c>
      <c r="AD37" s="19">
        <f t="shared" si="35"/>
        <v>0</v>
      </c>
      <c r="AE37" s="19">
        <f t="shared" si="36"/>
        <v>0</v>
      </c>
      <c r="AF37" s="19">
        <f t="shared" si="37"/>
        <v>0</v>
      </c>
      <c r="AG37" s="19">
        <f t="shared" si="38"/>
        <v>0</v>
      </c>
      <c r="AH37" s="19">
        <f t="shared" si="39"/>
        <v>0</v>
      </c>
      <c r="AI37" s="19">
        <f t="shared" si="40"/>
        <v>0</v>
      </c>
      <c r="AJ37" s="20">
        <f t="shared" si="41"/>
        <v>0</v>
      </c>
      <c r="AK37" s="18">
        <f t="shared" si="42"/>
        <v>0</v>
      </c>
      <c r="AL37" s="18">
        <f t="shared" si="43"/>
        <v>0</v>
      </c>
      <c r="AM37" s="18">
        <f t="shared" si="44"/>
        <v>0</v>
      </c>
      <c r="AN37" s="18">
        <f t="shared" si="45"/>
        <v>0</v>
      </c>
      <c r="AO37" s="18">
        <f t="shared" si="46"/>
        <v>0</v>
      </c>
      <c r="AP37" s="2">
        <f t="shared" si="47"/>
        <v>0</v>
      </c>
      <c r="AQ37" s="2">
        <f t="shared" si="48"/>
        <v>0</v>
      </c>
      <c r="AR37" s="2">
        <f t="shared" si="49"/>
        <v>0</v>
      </c>
      <c r="AS37" s="2">
        <f t="shared" si="50"/>
        <v>0</v>
      </c>
      <c r="AT37" s="2">
        <f t="shared" si="51"/>
        <v>0</v>
      </c>
      <c r="AU37" s="2">
        <f t="shared" si="52"/>
        <v>0</v>
      </c>
      <c r="AV37" s="20">
        <f t="shared" si="53"/>
        <v>0</v>
      </c>
      <c r="AW37" s="65">
        <f t="shared" si="54"/>
        <v>0</v>
      </c>
      <c r="AX37" s="65">
        <f t="shared" si="55"/>
        <v>0</v>
      </c>
      <c r="AY37" s="65">
        <f t="shared" si="56"/>
        <v>0</v>
      </c>
      <c r="AZ37" s="65">
        <f t="shared" si="57"/>
        <v>0</v>
      </c>
      <c r="BA37" s="65">
        <f t="shared" si="58"/>
        <v>0</v>
      </c>
      <c r="BB37" s="65">
        <f t="shared" si="59"/>
        <v>0</v>
      </c>
      <c r="BC37" s="65">
        <f t="shared" si="60"/>
        <v>0</v>
      </c>
      <c r="BD37" s="528">
        <f t="shared" si="61"/>
        <v>0</v>
      </c>
      <c r="BE37" s="268">
        <f t="shared" si="7"/>
        <v>0</v>
      </c>
      <c r="BF37" s="268">
        <f t="shared" si="8"/>
        <v>0</v>
      </c>
      <c r="BG37" s="581">
        <f t="shared" si="9"/>
        <v>0</v>
      </c>
      <c r="BH37" s="268">
        <f t="shared" si="62"/>
        <v>0</v>
      </c>
      <c r="BI37" s="268">
        <f t="shared" si="63"/>
        <v>0</v>
      </c>
      <c r="BJ37" s="268">
        <f t="shared" si="64"/>
        <v>0</v>
      </c>
      <c r="BK37" s="268">
        <f t="shared" si="65"/>
        <v>0</v>
      </c>
      <c r="BL37" s="268">
        <f t="shared" si="66"/>
        <v>0</v>
      </c>
      <c r="BM37" s="581">
        <f t="shared" si="67"/>
        <v>0</v>
      </c>
      <c r="BN37" s="268">
        <f t="shared" si="15"/>
        <v>0</v>
      </c>
      <c r="BO37" s="268">
        <f t="shared" si="16"/>
        <v>0</v>
      </c>
      <c r="BP37" s="581">
        <f t="shared" si="17"/>
        <v>0</v>
      </c>
      <c r="BQ37" s="73">
        <f t="shared" si="18"/>
        <v>0</v>
      </c>
      <c r="BR37" s="73">
        <f t="shared" si="19"/>
        <v>0</v>
      </c>
      <c r="BS37" s="73">
        <f t="shared" si="20"/>
        <v>0</v>
      </c>
      <c r="BT37" s="581">
        <f t="shared" si="21"/>
        <v>0</v>
      </c>
      <c r="BU37" s="572">
        <f t="shared" si="22"/>
        <v>0</v>
      </c>
      <c r="BV37" s="572">
        <f t="shared" si="23"/>
        <v>0</v>
      </c>
      <c r="BW37" s="581">
        <f t="shared" si="24"/>
        <v>0</v>
      </c>
      <c r="BX37" s="572">
        <f t="shared" si="25"/>
        <v>0</v>
      </c>
      <c r="BY37" s="572">
        <f t="shared" si="26"/>
        <v>0</v>
      </c>
      <c r="BZ37" s="572">
        <f t="shared" si="27"/>
        <v>0</v>
      </c>
      <c r="CA37" s="572">
        <f t="shared" si="28"/>
        <v>0</v>
      </c>
      <c r="CB37" s="581">
        <f t="shared" si="29"/>
        <v>0</v>
      </c>
      <c r="CC37" s="870">
        <v>0</v>
      </c>
      <c r="CD37" s="572">
        <f t="shared" si="30"/>
        <v>0</v>
      </c>
      <c r="CE37" s="572">
        <f t="shared" si="31"/>
        <v>0</v>
      </c>
      <c r="CF37" s="572">
        <f t="shared" si="32"/>
        <v>0</v>
      </c>
      <c r="CG37" s="581">
        <f t="shared" si="33"/>
        <v>0</v>
      </c>
    </row>
    <row r="38" spans="1:85" ht="15.95" customHeight="1" x14ac:dyDescent="0.2">
      <c r="A38" s="574">
        <v>30</v>
      </c>
      <c r="B38" s="63">
        <f>dtsiswa!D36</f>
        <v>0</v>
      </c>
      <c r="C38" s="8"/>
      <c r="D38" s="8"/>
      <c r="E38" s="8"/>
      <c r="F38" s="8"/>
      <c r="G38" s="8"/>
      <c r="H38" s="580" t="str">
        <f t="shared" si="0"/>
        <v xml:space="preserve">  </v>
      </c>
      <c r="I38" s="8"/>
      <c r="J38" s="8"/>
      <c r="K38" s="8"/>
      <c r="L38" s="8"/>
      <c r="M38" s="8"/>
      <c r="N38" s="8"/>
      <c r="O38" s="8"/>
      <c r="P38" s="8"/>
      <c r="Q38" s="8"/>
      <c r="R38" s="580" t="str">
        <f t="shared" si="1"/>
        <v xml:space="preserve">  </v>
      </c>
      <c r="S38" s="8"/>
      <c r="T38" s="8"/>
      <c r="U38" s="580" t="str">
        <f t="shared" si="2"/>
        <v xml:space="preserve">  </v>
      </c>
      <c r="V38" s="8"/>
      <c r="W38" s="8"/>
      <c r="X38" s="8"/>
      <c r="Y38" s="8"/>
      <c r="Z38" s="8"/>
      <c r="AA38" s="8"/>
      <c r="AB38" s="580" t="str">
        <f t="shared" si="3"/>
        <v xml:space="preserve">  </v>
      </c>
      <c r="AC38" s="19">
        <f t="shared" si="34"/>
        <v>0</v>
      </c>
      <c r="AD38" s="19">
        <f t="shared" si="35"/>
        <v>0</v>
      </c>
      <c r="AE38" s="19">
        <f t="shared" si="36"/>
        <v>0</v>
      </c>
      <c r="AF38" s="19">
        <f t="shared" si="37"/>
        <v>0</v>
      </c>
      <c r="AG38" s="19">
        <f t="shared" si="38"/>
        <v>0</v>
      </c>
      <c r="AH38" s="19">
        <f t="shared" si="39"/>
        <v>0</v>
      </c>
      <c r="AI38" s="19">
        <f t="shared" si="40"/>
        <v>0</v>
      </c>
      <c r="AJ38" s="20">
        <f t="shared" si="41"/>
        <v>0</v>
      </c>
      <c r="AK38" s="18">
        <f t="shared" si="42"/>
        <v>0</v>
      </c>
      <c r="AL38" s="18">
        <f t="shared" si="43"/>
        <v>0</v>
      </c>
      <c r="AM38" s="18">
        <f t="shared" si="44"/>
        <v>0</v>
      </c>
      <c r="AN38" s="18">
        <f t="shared" si="45"/>
        <v>0</v>
      </c>
      <c r="AO38" s="18">
        <f t="shared" si="46"/>
        <v>0</v>
      </c>
      <c r="AP38" s="2">
        <f t="shared" si="47"/>
        <v>0</v>
      </c>
      <c r="AQ38" s="2">
        <f t="shared" si="48"/>
        <v>0</v>
      </c>
      <c r="AR38" s="2">
        <f t="shared" si="49"/>
        <v>0</v>
      </c>
      <c r="AS38" s="2">
        <f t="shared" si="50"/>
        <v>0</v>
      </c>
      <c r="AT38" s="2">
        <f t="shared" si="51"/>
        <v>0</v>
      </c>
      <c r="AU38" s="2">
        <f t="shared" si="52"/>
        <v>0</v>
      </c>
      <c r="AV38" s="20">
        <f t="shared" si="53"/>
        <v>0</v>
      </c>
      <c r="AW38" s="65">
        <f t="shared" si="54"/>
        <v>0</v>
      </c>
      <c r="AX38" s="65">
        <f t="shared" si="55"/>
        <v>0</v>
      </c>
      <c r="AY38" s="65">
        <f t="shared" si="56"/>
        <v>0</v>
      </c>
      <c r="AZ38" s="65">
        <f t="shared" si="57"/>
        <v>0</v>
      </c>
      <c r="BA38" s="65">
        <f t="shared" si="58"/>
        <v>0</v>
      </c>
      <c r="BB38" s="65">
        <f t="shared" si="59"/>
        <v>0</v>
      </c>
      <c r="BC38" s="65">
        <f t="shared" si="60"/>
        <v>0</v>
      </c>
      <c r="BD38" s="528">
        <f t="shared" si="61"/>
        <v>0</v>
      </c>
      <c r="BE38" s="268">
        <f t="shared" si="7"/>
        <v>0</v>
      </c>
      <c r="BF38" s="268">
        <f t="shared" si="8"/>
        <v>0</v>
      </c>
      <c r="BG38" s="581">
        <f t="shared" si="9"/>
        <v>0</v>
      </c>
      <c r="BH38" s="268">
        <f t="shared" si="62"/>
        <v>0</v>
      </c>
      <c r="BI38" s="268">
        <f t="shared" si="63"/>
        <v>0</v>
      </c>
      <c r="BJ38" s="268">
        <f t="shared" si="64"/>
        <v>0</v>
      </c>
      <c r="BK38" s="268">
        <f t="shared" si="65"/>
        <v>0</v>
      </c>
      <c r="BL38" s="268">
        <f t="shared" si="66"/>
        <v>0</v>
      </c>
      <c r="BM38" s="581">
        <f t="shared" si="67"/>
        <v>0</v>
      </c>
      <c r="BN38" s="268">
        <f t="shared" si="15"/>
        <v>0</v>
      </c>
      <c r="BO38" s="268">
        <f t="shared" si="16"/>
        <v>0</v>
      </c>
      <c r="BP38" s="581">
        <f t="shared" si="17"/>
        <v>0</v>
      </c>
      <c r="BQ38" s="73">
        <f t="shared" si="18"/>
        <v>0</v>
      </c>
      <c r="BR38" s="73">
        <f t="shared" si="19"/>
        <v>0</v>
      </c>
      <c r="BS38" s="73">
        <f t="shared" si="20"/>
        <v>0</v>
      </c>
      <c r="BT38" s="581">
        <f t="shared" si="21"/>
        <v>0</v>
      </c>
      <c r="BU38" s="572">
        <f t="shared" si="22"/>
        <v>0</v>
      </c>
      <c r="BV38" s="572">
        <f t="shared" si="23"/>
        <v>0</v>
      </c>
      <c r="BW38" s="581">
        <f t="shared" si="24"/>
        <v>0</v>
      </c>
      <c r="BX38" s="572">
        <f t="shared" si="25"/>
        <v>0</v>
      </c>
      <c r="BY38" s="572">
        <f t="shared" si="26"/>
        <v>0</v>
      </c>
      <c r="BZ38" s="572">
        <f t="shared" si="27"/>
        <v>0</v>
      </c>
      <c r="CA38" s="572">
        <f t="shared" si="28"/>
        <v>0</v>
      </c>
      <c r="CB38" s="581">
        <f t="shared" si="29"/>
        <v>0</v>
      </c>
      <c r="CC38" s="870">
        <v>0</v>
      </c>
      <c r="CD38" s="572">
        <f t="shared" si="30"/>
        <v>0</v>
      </c>
      <c r="CE38" s="572">
        <f t="shared" si="31"/>
        <v>0</v>
      </c>
      <c r="CF38" s="572">
        <f t="shared" si="32"/>
        <v>0</v>
      </c>
      <c r="CG38" s="581">
        <f t="shared" si="33"/>
        <v>0</v>
      </c>
    </row>
    <row r="39" spans="1:85" ht="15.95" customHeight="1" x14ac:dyDescent="0.2">
      <c r="A39" s="574">
        <v>31</v>
      </c>
      <c r="B39" s="63">
        <f>dtsiswa!D37</f>
        <v>0</v>
      </c>
      <c r="C39" s="8"/>
      <c r="D39" s="8"/>
      <c r="E39" s="8"/>
      <c r="F39" s="8"/>
      <c r="G39" s="8"/>
      <c r="H39" s="580" t="str">
        <f t="shared" si="0"/>
        <v xml:space="preserve">  </v>
      </c>
      <c r="I39" s="8"/>
      <c r="J39" s="8"/>
      <c r="K39" s="8"/>
      <c r="L39" s="8"/>
      <c r="M39" s="8"/>
      <c r="N39" s="8"/>
      <c r="O39" s="8"/>
      <c r="P39" s="8"/>
      <c r="Q39" s="8"/>
      <c r="R39" s="580" t="str">
        <f t="shared" si="1"/>
        <v xml:space="preserve">  </v>
      </c>
      <c r="S39" s="8"/>
      <c r="T39" s="8"/>
      <c r="U39" s="580" t="str">
        <f t="shared" si="2"/>
        <v xml:space="preserve">  </v>
      </c>
      <c r="V39" s="8"/>
      <c r="W39" s="8"/>
      <c r="X39" s="8"/>
      <c r="Y39" s="8"/>
      <c r="Z39" s="8"/>
      <c r="AA39" s="8"/>
      <c r="AB39" s="580" t="str">
        <f t="shared" si="3"/>
        <v xml:space="preserve">  </v>
      </c>
      <c r="AC39" s="19">
        <f t="shared" si="34"/>
        <v>0</v>
      </c>
      <c r="AD39" s="19">
        <f t="shared" si="35"/>
        <v>0</v>
      </c>
      <c r="AE39" s="19">
        <f t="shared" si="36"/>
        <v>0</v>
      </c>
      <c r="AF39" s="19">
        <f t="shared" si="37"/>
        <v>0</v>
      </c>
      <c r="AG39" s="19">
        <f t="shared" si="38"/>
        <v>0</v>
      </c>
      <c r="AH39" s="19">
        <f t="shared" si="39"/>
        <v>0</v>
      </c>
      <c r="AI39" s="19">
        <f t="shared" si="40"/>
        <v>0</v>
      </c>
      <c r="AJ39" s="20">
        <f t="shared" si="41"/>
        <v>0</v>
      </c>
      <c r="AK39" s="18">
        <f t="shared" si="42"/>
        <v>0</v>
      </c>
      <c r="AL39" s="18">
        <f t="shared" si="43"/>
        <v>0</v>
      </c>
      <c r="AM39" s="18">
        <f t="shared" si="44"/>
        <v>0</v>
      </c>
      <c r="AN39" s="18">
        <f t="shared" si="45"/>
        <v>0</v>
      </c>
      <c r="AO39" s="18">
        <f t="shared" si="46"/>
        <v>0</v>
      </c>
      <c r="AP39" s="2">
        <f t="shared" si="47"/>
        <v>0</v>
      </c>
      <c r="AQ39" s="2">
        <f t="shared" si="48"/>
        <v>0</v>
      </c>
      <c r="AR39" s="2">
        <f t="shared" si="49"/>
        <v>0</v>
      </c>
      <c r="AS39" s="2">
        <f t="shared" si="50"/>
        <v>0</v>
      </c>
      <c r="AT39" s="2">
        <f t="shared" si="51"/>
        <v>0</v>
      </c>
      <c r="AU39" s="2">
        <f t="shared" si="52"/>
        <v>0</v>
      </c>
      <c r="AV39" s="20">
        <f t="shared" si="53"/>
        <v>0</v>
      </c>
      <c r="AW39" s="65">
        <f t="shared" si="54"/>
        <v>0</v>
      </c>
      <c r="AX39" s="65">
        <f t="shared" si="55"/>
        <v>0</v>
      </c>
      <c r="AY39" s="65">
        <f t="shared" si="56"/>
        <v>0</v>
      </c>
      <c r="AZ39" s="65">
        <f t="shared" si="57"/>
        <v>0</v>
      </c>
      <c r="BA39" s="65">
        <f t="shared" si="58"/>
        <v>0</v>
      </c>
      <c r="BB39" s="65">
        <f t="shared" si="59"/>
        <v>0</v>
      </c>
      <c r="BC39" s="65">
        <f t="shared" si="60"/>
        <v>0</v>
      </c>
      <c r="BD39" s="528">
        <f t="shared" si="61"/>
        <v>0</v>
      </c>
      <c r="BE39" s="268">
        <f t="shared" si="7"/>
        <v>0</v>
      </c>
      <c r="BF39" s="268">
        <f t="shared" si="8"/>
        <v>0</v>
      </c>
      <c r="BG39" s="581">
        <f t="shared" si="9"/>
        <v>0</v>
      </c>
      <c r="BH39" s="268">
        <f t="shared" si="62"/>
        <v>0</v>
      </c>
      <c r="BI39" s="268">
        <f t="shared" si="63"/>
        <v>0</v>
      </c>
      <c r="BJ39" s="268">
        <f t="shared" si="64"/>
        <v>0</v>
      </c>
      <c r="BK39" s="268">
        <f t="shared" si="65"/>
        <v>0</v>
      </c>
      <c r="BL39" s="268">
        <f t="shared" si="66"/>
        <v>0</v>
      </c>
      <c r="BM39" s="581">
        <f t="shared" si="67"/>
        <v>0</v>
      </c>
      <c r="BN39" s="268">
        <f t="shared" si="15"/>
        <v>0</v>
      </c>
      <c r="BO39" s="268">
        <f t="shared" si="16"/>
        <v>0</v>
      </c>
      <c r="BP39" s="581">
        <f t="shared" si="17"/>
        <v>0</v>
      </c>
      <c r="BQ39" s="73">
        <f t="shared" si="18"/>
        <v>0</v>
      </c>
      <c r="BR39" s="73">
        <f t="shared" si="19"/>
        <v>0</v>
      </c>
      <c r="BS39" s="73">
        <f t="shared" si="20"/>
        <v>0</v>
      </c>
      <c r="BT39" s="581">
        <f t="shared" si="21"/>
        <v>0</v>
      </c>
      <c r="BU39" s="572">
        <f t="shared" si="22"/>
        <v>0</v>
      </c>
      <c r="BV39" s="572">
        <f t="shared" si="23"/>
        <v>0</v>
      </c>
      <c r="BW39" s="581">
        <f t="shared" si="24"/>
        <v>0</v>
      </c>
      <c r="BX39" s="572">
        <f t="shared" si="25"/>
        <v>0</v>
      </c>
      <c r="BY39" s="572">
        <f t="shared" si="26"/>
        <v>0</v>
      </c>
      <c r="BZ39" s="572">
        <f t="shared" si="27"/>
        <v>0</v>
      </c>
      <c r="CA39" s="572">
        <f t="shared" si="28"/>
        <v>0</v>
      </c>
      <c r="CB39" s="581">
        <f t="shared" si="29"/>
        <v>0</v>
      </c>
      <c r="CC39" s="870">
        <v>0</v>
      </c>
      <c r="CD39" s="572">
        <f t="shared" si="30"/>
        <v>0</v>
      </c>
      <c r="CE39" s="572">
        <f t="shared" si="31"/>
        <v>0</v>
      </c>
      <c r="CF39" s="572">
        <f t="shared" si="32"/>
        <v>0</v>
      </c>
      <c r="CG39" s="581">
        <f t="shared" si="33"/>
        <v>0</v>
      </c>
    </row>
    <row r="40" spans="1:85" ht="15.95" customHeight="1" x14ac:dyDescent="0.2">
      <c r="A40" s="574">
        <v>32</v>
      </c>
      <c r="B40" s="63">
        <f>dtsiswa!D38</f>
        <v>0</v>
      </c>
      <c r="C40" s="8"/>
      <c r="D40" s="8"/>
      <c r="E40" s="8"/>
      <c r="F40" s="8"/>
      <c r="G40" s="8"/>
      <c r="H40" s="580" t="str">
        <f t="shared" si="0"/>
        <v xml:space="preserve">  </v>
      </c>
      <c r="I40" s="8"/>
      <c r="J40" s="8"/>
      <c r="K40" s="8"/>
      <c r="L40" s="8"/>
      <c r="M40" s="8"/>
      <c r="N40" s="8"/>
      <c r="O40" s="8"/>
      <c r="P40" s="8"/>
      <c r="Q40" s="8"/>
      <c r="R40" s="580" t="str">
        <f t="shared" si="1"/>
        <v xml:space="preserve">  </v>
      </c>
      <c r="S40" s="8"/>
      <c r="T40" s="8"/>
      <c r="U40" s="580" t="str">
        <f t="shared" si="2"/>
        <v xml:space="preserve">  </v>
      </c>
      <c r="V40" s="8"/>
      <c r="W40" s="8"/>
      <c r="X40" s="8"/>
      <c r="Y40" s="8"/>
      <c r="Z40" s="8"/>
      <c r="AA40" s="8"/>
      <c r="AB40" s="580" t="str">
        <f t="shared" si="3"/>
        <v xml:space="preserve">  </v>
      </c>
      <c r="AC40" s="19">
        <f t="shared" si="34"/>
        <v>0</v>
      </c>
      <c r="AD40" s="19">
        <f t="shared" si="35"/>
        <v>0</v>
      </c>
      <c r="AE40" s="19">
        <f t="shared" si="36"/>
        <v>0</v>
      </c>
      <c r="AF40" s="19">
        <f t="shared" si="37"/>
        <v>0</v>
      </c>
      <c r="AG40" s="19">
        <f t="shared" si="38"/>
        <v>0</v>
      </c>
      <c r="AH40" s="19">
        <f t="shared" si="39"/>
        <v>0</v>
      </c>
      <c r="AI40" s="19">
        <f t="shared" si="40"/>
        <v>0</v>
      </c>
      <c r="AJ40" s="20">
        <f t="shared" si="41"/>
        <v>0</v>
      </c>
      <c r="AK40" s="18">
        <f t="shared" si="42"/>
        <v>0</v>
      </c>
      <c r="AL40" s="18">
        <f t="shared" si="43"/>
        <v>0</v>
      </c>
      <c r="AM40" s="18">
        <f t="shared" si="44"/>
        <v>0</v>
      </c>
      <c r="AN40" s="18">
        <f t="shared" si="45"/>
        <v>0</v>
      </c>
      <c r="AO40" s="18">
        <f t="shared" si="46"/>
        <v>0</v>
      </c>
      <c r="AP40" s="2">
        <f t="shared" si="47"/>
        <v>0</v>
      </c>
      <c r="AQ40" s="2">
        <f t="shared" si="48"/>
        <v>0</v>
      </c>
      <c r="AR40" s="2">
        <f t="shared" si="49"/>
        <v>0</v>
      </c>
      <c r="AS40" s="2">
        <f t="shared" si="50"/>
        <v>0</v>
      </c>
      <c r="AT40" s="2">
        <f t="shared" si="51"/>
        <v>0</v>
      </c>
      <c r="AU40" s="2">
        <f t="shared" si="52"/>
        <v>0</v>
      </c>
      <c r="AV40" s="20">
        <f t="shared" si="53"/>
        <v>0</v>
      </c>
      <c r="AW40" s="65">
        <f t="shared" si="54"/>
        <v>0</v>
      </c>
      <c r="AX40" s="65">
        <f t="shared" si="55"/>
        <v>0</v>
      </c>
      <c r="AY40" s="65">
        <f t="shared" si="56"/>
        <v>0</v>
      </c>
      <c r="AZ40" s="65">
        <f t="shared" si="57"/>
        <v>0</v>
      </c>
      <c r="BA40" s="65">
        <f t="shared" si="58"/>
        <v>0</v>
      </c>
      <c r="BB40" s="65">
        <f t="shared" si="59"/>
        <v>0</v>
      </c>
      <c r="BC40" s="65">
        <f t="shared" si="60"/>
        <v>0</v>
      </c>
      <c r="BD40" s="528">
        <f t="shared" si="61"/>
        <v>0</v>
      </c>
      <c r="BE40" s="268">
        <f t="shared" si="7"/>
        <v>0</v>
      </c>
      <c r="BF40" s="268">
        <f t="shared" si="8"/>
        <v>0</v>
      </c>
      <c r="BG40" s="581">
        <f t="shared" si="9"/>
        <v>0</v>
      </c>
      <c r="BH40" s="268">
        <f t="shared" si="62"/>
        <v>0</v>
      </c>
      <c r="BI40" s="268">
        <f t="shared" si="63"/>
        <v>0</v>
      </c>
      <c r="BJ40" s="268">
        <f t="shared" si="64"/>
        <v>0</v>
      </c>
      <c r="BK40" s="268">
        <f t="shared" si="65"/>
        <v>0</v>
      </c>
      <c r="BL40" s="268">
        <f t="shared" si="66"/>
        <v>0</v>
      </c>
      <c r="BM40" s="581">
        <f t="shared" si="67"/>
        <v>0</v>
      </c>
      <c r="BN40" s="268">
        <f t="shared" si="15"/>
        <v>0</v>
      </c>
      <c r="BO40" s="268">
        <f t="shared" si="16"/>
        <v>0</v>
      </c>
      <c r="BP40" s="581">
        <f t="shared" si="17"/>
        <v>0</v>
      </c>
      <c r="BQ40" s="73">
        <f t="shared" si="18"/>
        <v>0</v>
      </c>
      <c r="BR40" s="73">
        <f t="shared" si="19"/>
        <v>0</v>
      </c>
      <c r="BS40" s="73">
        <f t="shared" si="20"/>
        <v>0</v>
      </c>
      <c r="BT40" s="581">
        <f t="shared" si="21"/>
        <v>0</v>
      </c>
      <c r="BU40" s="572">
        <f t="shared" si="22"/>
        <v>0</v>
      </c>
      <c r="BV40" s="572">
        <f t="shared" si="23"/>
        <v>0</v>
      </c>
      <c r="BW40" s="581">
        <f t="shared" si="24"/>
        <v>0</v>
      </c>
      <c r="BX40" s="572">
        <f t="shared" si="25"/>
        <v>0</v>
      </c>
      <c r="BY40" s="572">
        <f t="shared" si="26"/>
        <v>0</v>
      </c>
      <c r="BZ40" s="572">
        <f t="shared" si="27"/>
        <v>0</v>
      </c>
      <c r="CA40" s="572">
        <f t="shared" si="28"/>
        <v>0</v>
      </c>
      <c r="CB40" s="581">
        <f t="shared" si="29"/>
        <v>0</v>
      </c>
      <c r="CC40" s="870">
        <v>0</v>
      </c>
      <c r="CD40" s="572">
        <f t="shared" si="30"/>
        <v>0</v>
      </c>
      <c r="CE40" s="572">
        <f t="shared" si="31"/>
        <v>0</v>
      </c>
      <c r="CF40" s="572">
        <f t="shared" si="32"/>
        <v>0</v>
      </c>
      <c r="CG40" s="581">
        <f t="shared" si="33"/>
        <v>0</v>
      </c>
    </row>
    <row r="41" spans="1:85" ht="15.95" customHeight="1" x14ac:dyDescent="0.2">
      <c r="A41" s="574">
        <v>33</v>
      </c>
      <c r="B41" s="63">
        <f>dtsiswa!D39</f>
        <v>0</v>
      </c>
      <c r="C41" s="8"/>
      <c r="D41" s="8"/>
      <c r="E41" s="8"/>
      <c r="F41" s="8"/>
      <c r="G41" s="8"/>
      <c r="H41" s="580" t="str">
        <f t="shared" si="0"/>
        <v xml:space="preserve">  </v>
      </c>
      <c r="I41" s="8"/>
      <c r="J41" s="8"/>
      <c r="K41" s="8"/>
      <c r="L41" s="8"/>
      <c r="M41" s="8"/>
      <c r="N41" s="8"/>
      <c r="O41" s="8"/>
      <c r="P41" s="8"/>
      <c r="Q41" s="8"/>
      <c r="R41" s="580" t="str">
        <f t="shared" si="1"/>
        <v xml:space="preserve">  </v>
      </c>
      <c r="S41" s="8"/>
      <c r="T41" s="8"/>
      <c r="U41" s="580" t="str">
        <f t="shared" si="2"/>
        <v xml:space="preserve">  </v>
      </c>
      <c r="V41" s="8"/>
      <c r="W41" s="8"/>
      <c r="X41" s="8"/>
      <c r="Y41" s="8"/>
      <c r="Z41" s="8"/>
      <c r="AA41" s="8"/>
      <c r="AB41" s="580" t="str">
        <f t="shared" si="3"/>
        <v xml:space="preserve">  </v>
      </c>
      <c r="AC41" s="19">
        <f t="shared" si="34"/>
        <v>0</v>
      </c>
      <c r="AD41" s="19">
        <f t="shared" si="35"/>
        <v>0</v>
      </c>
      <c r="AE41" s="19">
        <f t="shared" si="36"/>
        <v>0</v>
      </c>
      <c r="AF41" s="19">
        <f t="shared" si="37"/>
        <v>0</v>
      </c>
      <c r="AG41" s="19">
        <f t="shared" si="38"/>
        <v>0</v>
      </c>
      <c r="AH41" s="19">
        <f t="shared" si="39"/>
        <v>0</v>
      </c>
      <c r="AI41" s="19">
        <f t="shared" si="40"/>
        <v>0</v>
      </c>
      <c r="AJ41" s="20">
        <f t="shared" si="41"/>
        <v>0</v>
      </c>
      <c r="AK41" s="18">
        <f t="shared" si="42"/>
        <v>0</v>
      </c>
      <c r="AL41" s="18">
        <f t="shared" si="43"/>
        <v>0</v>
      </c>
      <c r="AM41" s="18">
        <f t="shared" si="44"/>
        <v>0</v>
      </c>
      <c r="AN41" s="18">
        <f t="shared" si="45"/>
        <v>0</v>
      </c>
      <c r="AO41" s="18">
        <f t="shared" si="46"/>
        <v>0</v>
      </c>
      <c r="AP41" s="2">
        <f t="shared" si="47"/>
        <v>0</v>
      </c>
      <c r="AQ41" s="2">
        <f t="shared" si="48"/>
        <v>0</v>
      </c>
      <c r="AR41" s="2">
        <f t="shared" si="49"/>
        <v>0</v>
      </c>
      <c r="AS41" s="2">
        <f t="shared" si="50"/>
        <v>0</v>
      </c>
      <c r="AT41" s="2">
        <f t="shared" si="51"/>
        <v>0</v>
      </c>
      <c r="AU41" s="2">
        <f t="shared" si="52"/>
        <v>0</v>
      </c>
      <c r="AV41" s="20">
        <f t="shared" si="53"/>
        <v>0</v>
      </c>
      <c r="AW41" s="65">
        <f t="shared" si="54"/>
        <v>0</v>
      </c>
      <c r="AX41" s="65">
        <f t="shared" si="55"/>
        <v>0</v>
      </c>
      <c r="AY41" s="65">
        <f t="shared" si="56"/>
        <v>0</v>
      </c>
      <c r="AZ41" s="65">
        <f t="shared" si="57"/>
        <v>0</v>
      </c>
      <c r="BA41" s="65">
        <f t="shared" si="58"/>
        <v>0</v>
      </c>
      <c r="BB41" s="65">
        <f t="shared" si="59"/>
        <v>0</v>
      </c>
      <c r="BC41" s="65">
        <f t="shared" si="60"/>
        <v>0</v>
      </c>
      <c r="BD41" s="528">
        <f t="shared" si="61"/>
        <v>0</v>
      </c>
      <c r="BE41" s="268">
        <f t="shared" si="7"/>
        <v>0</v>
      </c>
      <c r="BF41" s="268">
        <f t="shared" si="8"/>
        <v>0</v>
      </c>
      <c r="BG41" s="581">
        <f t="shared" si="9"/>
        <v>0</v>
      </c>
      <c r="BH41" s="268">
        <f t="shared" si="62"/>
        <v>0</v>
      </c>
      <c r="BI41" s="268">
        <f t="shared" si="63"/>
        <v>0</v>
      </c>
      <c r="BJ41" s="268">
        <f t="shared" si="64"/>
        <v>0</v>
      </c>
      <c r="BK41" s="268">
        <f t="shared" si="65"/>
        <v>0</v>
      </c>
      <c r="BL41" s="268">
        <f t="shared" si="66"/>
        <v>0</v>
      </c>
      <c r="BM41" s="581">
        <f t="shared" si="67"/>
        <v>0</v>
      </c>
      <c r="BN41" s="268">
        <f t="shared" si="15"/>
        <v>0</v>
      </c>
      <c r="BO41" s="268">
        <f t="shared" si="16"/>
        <v>0</v>
      </c>
      <c r="BP41" s="581">
        <f t="shared" si="17"/>
        <v>0</v>
      </c>
      <c r="BQ41" s="73">
        <f t="shared" si="18"/>
        <v>0</v>
      </c>
      <c r="BR41" s="73">
        <f t="shared" si="19"/>
        <v>0</v>
      </c>
      <c r="BS41" s="73">
        <f t="shared" si="20"/>
        <v>0</v>
      </c>
      <c r="BT41" s="581">
        <f t="shared" si="21"/>
        <v>0</v>
      </c>
      <c r="BU41" s="572">
        <f t="shared" si="22"/>
        <v>0</v>
      </c>
      <c r="BV41" s="572">
        <f t="shared" si="23"/>
        <v>0</v>
      </c>
      <c r="BW41" s="581">
        <f t="shared" si="24"/>
        <v>0</v>
      </c>
      <c r="BX41" s="572">
        <f t="shared" si="25"/>
        <v>0</v>
      </c>
      <c r="BY41" s="572">
        <f t="shared" si="26"/>
        <v>0</v>
      </c>
      <c r="BZ41" s="572">
        <f t="shared" si="27"/>
        <v>0</v>
      </c>
      <c r="CA41" s="572">
        <f t="shared" si="28"/>
        <v>0</v>
      </c>
      <c r="CB41" s="581">
        <f t="shared" si="29"/>
        <v>0</v>
      </c>
      <c r="CC41" s="870">
        <v>0</v>
      </c>
      <c r="CD41" s="572">
        <f t="shared" si="30"/>
        <v>0</v>
      </c>
      <c r="CE41" s="572">
        <f t="shared" si="31"/>
        <v>0</v>
      </c>
      <c r="CF41" s="572">
        <f t="shared" si="32"/>
        <v>0</v>
      </c>
      <c r="CG41" s="581">
        <f t="shared" si="33"/>
        <v>0</v>
      </c>
    </row>
    <row r="42" spans="1:85" ht="15.95" customHeight="1" x14ac:dyDescent="0.2">
      <c r="A42" s="574">
        <v>34</v>
      </c>
      <c r="B42" s="63">
        <f>dtsiswa!D40</f>
        <v>0</v>
      </c>
      <c r="C42" s="8"/>
      <c r="D42" s="8"/>
      <c r="E42" s="8"/>
      <c r="F42" s="8"/>
      <c r="G42" s="8"/>
      <c r="H42" s="580" t="str">
        <f t="shared" si="0"/>
        <v xml:space="preserve">  </v>
      </c>
      <c r="I42" s="8"/>
      <c r="J42" s="8"/>
      <c r="K42" s="8"/>
      <c r="L42" s="8"/>
      <c r="M42" s="8"/>
      <c r="N42" s="8"/>
      <c r="O42" s="8"/>
      <c r="P42" s="8"/>
      <c r="Q42" s="8"/>
      <c r="R42" s="580" t="str">
        <f t="shared" si="1"/>
        <v xml:space="preserve">  </v>
      </c>
      <c r="S42" s="8"/>
      <c r="T42" s="8"/>
      <c r="U42" s="580" t="str">
        <f t="shared" si="2"/>
        <v xml:space="preserve">  </v>
      </c>
      <c r="V42" s="8"/>
      <c r="W42" s="8"/>
      <c r="X42" s="8"/>
      <c r="Y42" s="8"/>
      <c r="Z42" s="8"/>
      <c r="AA42" s="8"/>
      <c r="AB42" s="580" t="str">
        <f t="shared" si="3"/>
        <v xml:space="preserve">  </v>
      </c>
      <c r="AC42" s="19">
        <f t="shared" si="34"/>
        <v>0</v>
      </c>
      <c r="AD42" s="19">
        <f t="shared" si="35"/>
        <v>0</v>
      </c>
      <c r="AE42" s="19">
        <f t="shared" si="36"/>
        <v>0</v>
      </c>
      <c r="AF42" s="19">
        <f t="shared" si="37"/>
        <v>0</v>
      </c>
      <c r="AG42" s="19">
        <f t="shared" si="38"/>
        <v>0</v>
      </c>
      <c r="AH42" s="19">
        <f t="shared" si="39"/>
        <v>0</v>
      </c>
      <c r="AI42" s="19">
        <f t="shared" si="40"/>
        <v>0</v>
      </c>
      <c r="AJ42" s="20">
        <f t="shared" si="41"/>
        <v>0</v>
      </c>
      <c r="AK42" s="18">
        <f t="shared" si="42"/>
        <v>0</v>
      </c>
      <c r="AL42" s="18">
        <f t="shared" si="43"/>
        <v>0</v>
      </c>
      <c r="AM42" s="18">
        <f t="shared" si="44"/>
        <v>0</v>
      </c>
      <c r="AN42" s="18">
        <f t="shared" si="45"/>
        <v>0</v>
      </c>
      <c r="AO42" s="18">
        <f t="shared" si="46"/>
        <v>0</v>
      </c>
      <c r="AP42" s="2">
        <f t="shared" si="47"/>
        <v>0</v>
      </c>
      <c r="AQ42" s="2">
        <f t="shared" si="48"/>
        <v>0</v>
      </c>
      <c r="AR42" s="2">
        <f t="shared" si="49"/>
        <v>0</v>
      </c>
      <c r="AS42" s="2">
        <f t="shared" si="50"/>
        <v>0</v>
      </c>
      <c r="AT42" s="2">
        <f t="shared" si="51"/>
        <v>0</v>
      </c>
      <c r="AU42" s="2">
        <f t="shared" si="52"/>
        <v>0</v>
      </c>
      <c r="AV42" s="20">
        <f t="shared" si="53"/>
        <v>0</v>
      </c>
      <c r="AW42" s="65">
        <f t="shared" si="54"/>
        <v>0</v>
      </c>
      <c r="AX42" s="65">
        <f t="shared" si="55"/>
        <v>0</v>
      </c>
      <c r="AY42" s="65">
        <f t="shared" si="56"/>
        <v>0</v>
      </c>
      <c r="AZ42" s="65">
        <f t="shared" si="57"/>
        <v>0</v>
      </c>
      <c r="BA42" s="65">
        <f t="shared" si="58"/>
        <v>0</v>
      </c>
      <c r="BB42" s="65">
        <f t="shared" si="59"/>
        <v>0</v>
      </c>
      <c r="BC42" s="65">
        <f t="shared" si="60"/>
        <v>0</v>
      </c>
      <c r="BD42" s="528">
        <f t="shared" si="61"/>
        <v>0</v>
      </c>
      <c r="BE42" s="268">
        <f t="shared" si="7"/>
        <v>0</v>
      </c>
      <c r="BF42" s="268">
        <f t="shared" si="8"/>
        <v>0</v>
      </c>
      <c r="BG42" s="581">
        <f t="shared" si="9"/>
        <v>0</v>
      </c>
      <c r="BH42" s="268">
        <f t="shared" si="62"/>
        <v>0</v>
      </c>
      <c r="BI42" s="268">
        <f t="shared" si="63"/>
        <v>0</v>
      </c>
      <c r="BJ42" s="268">
        <f t="shared" si="64"/>
        <v>0</v>
      </c>
      <c r="BK42" s="268">
        <f t="shared" si="65"/>
        <v>0</v>
      </c>
      <c r="BL42" s="268">
        <f t="shared" si="66"/>
        <v>0</v>
      </c>
      <c r="BM42" s="581">
        <f t="shared" si="67"/>
        <v>0</v>
      </c>
      <c r="BN42" s="268">
        <f t="shared" si="15"/>
        <v>0</v>
      </c>
      <c r="BO42" s="268">
        <f t="shared" si="16"/>
        <v>0</v>
      </c>
      <c r="BP42" s="581">
        <f t="shared" si="17"/>
        <v>0</v>
      </c>
      <c r="BQ42" s="73">
        <f t="shared" si="18"/>
        <v>0</v>
      </c>
      <c r="BR42" s="73">
        <f t="shared" si="19"/>
        <v>0</v>
      </c>
      <c r="BS42" s="73">
        <f t="shared" si="20"/>
        <v>0</v>
      </c>
      <c r="BT42" s="581">
        <f t="shared" si="21"/>
        <v>0</v>
      </c>
      <c r="BU42" s="572">
        <f t="shared" si="22"/>
        <v>0</v>
      </c>
      <c r="BV42" s="572">
        <f t="shared" si="23"/>
        <v>0</v>
      </c>
      <c r="BW42" s="581">
        <f t="shared" si="24"/>
        <v>0</v>
      </c>
      <c r="BX42" s="572">
        <f t="shared" si="25"/>
        <v>0</v>
      </c>
      <c r="BY42" s="572">
        <f t="shared" si="26"/>
        <v>0</v>
      </c>
      <c r="BZ42" s="572">
        <f t="shared" si="27"/>
        <v>0</v>
      </c>
      <c r="CA42" s="572">
        <f t="shared" si="28"/>
        <v>0</v>
      </c>
      <c r="CB42" s="581">
        <f t="shared" si="29"/>
        <v>0</v>
      </c>
      <c r="CC42" s="870">
        <v>0</v>
      </c>
      <c r="CD42" s="572">
        <f t="shared" si="30"/>
        <v>0</v>
      </c>
      <c r="CE42" s="572">
        <f t="shared" si="31"/>
        <v>0</v>
      </c>
      <c r="CF42" s="572">
        <f t="shared" si="32"/>
        <v>0</v>
      </c>
      <c r="CG42" s="581">
        <f t="shared" si="33"/>
        <v>0</v>
      </c>
    </row>
    <row r="43" spans="1:85" ht="15.95" customHeight="1" x14ac:dyDescent="0.2">
      <c r="A43" s="574">
        <v>35</v>
      </c>
      <c r="B43" s="63">
        <f>dtsiswa!D41</f>
        <v>0</v>
      </c>
      <c r="C43" s="8"/>
      <c r="D43" s="8"/>
      <c r="E43" s="8"/>
      <c r="F43" s="8"/>
      <c r="G43" s="8"/>
      <c r="H43" s="580" t="str">
        <f t="shared" si="0"/>
        <v xml:space="preserve">  </v>
      </c>
      <c r="I43" s="8"/>
      <c r="J43" s="8"/>
      <c r="K43" s="8"/>
      <c r="L43" s="8"/>
      <c r="M43" s="8"/>
      <c r="N43" s="8"/>
      <c r="O43" s="8"/>
      <c r="P43" s="8"/>
      <c r="Q43" s="8"/>
      <c r="R43" s="580" t="str">
        <f t="shared" si="1"/>
        <v xml:space="preserve">  </v>
      </c>
      <c r="S43" s="8"/>
      <c r="T43" s="8"/>
      <c r="U43" s="580" t="str">
        <f t="shared" si="2"/>
        <v xml:space="preserve">  </v>
      </c>
      <c r="V43" s="8"/>
      <c r="W43" s="8"/>
      <c r="X43" s="8"/>
      <c r="Y43" s="8"/>
      <c r="Z43" s="8"/>
      <c r="AA43" s="8"/>
      <c r="AB43" s="580" t="str">
        <f t="shared" si="3"/>
        <v xml:space="preserve">  </v>
      </c>
      <c r="AC43" s="19">
        <f t="shared" si="34"/>
        <v>0</v>
      </c>
      <c r="AD43" s="19">
        <f t="shared" si="35"/>
        <v>0</v>
      </c>
      <c r="AE43" s="19">
        <f t="shared" si="36"/>
        <v>0</v>
      </c>
      <c r="AF43" s="19">
        <f t="shared" si="37"/>
        <v>0</v>
      </c>
      <c r="AG43" s="19">
        <f t="shared" si="38"/>
        <v>0</v>
      </c>
      <c r="AH43" s="19">
        <f t="shared" si="39"/>
        <v>0</v>
      </c>
      <c r="AI43" s="19">
        <f t="shared" si="40"/>
        <v>0</v>
      </c>
      <c r="AJ43" s="20">
        <f t="shared" si="41"/>
        <v>0</v>
      </c>
      <c r="AK43" s="18">
        <f t="shared" si="42"/>
        <v>0</v>
      </c>
      <c r="AL43" s="18">
        <f t="shared" si="43"/>
        <v>0</v>
      </c>
      <c r="AM43" s="18">
        <f t="shared" si="44"/>
        <v>0</v>
      </c>
      <c r="AN43" s="18">
        <f t="shared" si="45"/>
        <v>0</v>
      </c>
      <c r="AO43" s="18">
        <f t="shared" si="46"/>
        <v>0</v>
      </c>
      <c r="AP43" s="2">
        <f t="shared" si="47"/>
        <v>0</v>
      </c>
      <c r="AQ43" s="2">
        <f t="shared" si="48"/>
        <v>0</v>
      </c>
      <c r="AR43" s="2">
        <f t="shared" si="49"/>
        <v>0</v>
      </c>
      <c r="AS43" s="2">
        <f t="shared" si="50"/>
        <v>0</v>
      </c>
      <c r="AT43" s="2">
        <f t="shared" si="51"/>
        <v>0</v>
      </c>
      <c r="AU43" s="2">
        <f t="shared" si="52"/>
        <v>0</v>
      </c>
      <c r="AV43" s="20">
        <f t="shared" si="53"/>
        <v>0</v>
      </c>
      <c r="AW43" s="65">
        <f t="shared" si="54"/>
        <v>0</v>
      </c>
      <c r="AX43" s="65">
        <f t="shared" si="55"/>
        <v>0</v>
      </c>
      <c r="AY43" s="65">
        <f t="shared" si="56"/>
        <v>0</v>
      </c>
      <c r="AZ43" s="65">
        <f t="shared" si="57"/>
        <v>0</v>
      </c>
      <c r="BA43" s="65">
        <f t="shared" si="58"/>
        <v>0</v>
      </c>
      <c r="BB43" s="65">
        <f t="shared" si="59"/>
        <v>0</v>
      </c>
      <c r="BC43" s="65">
        <f t="shared" si="60"/>
        <v>0</v>
      </c>
      <c r="BD43" s="528">
        <f t="shared" si="61"/>
        <v>0</v>
      </c>
      <c r="BE43" s="268">
        <f t="shared" si="7"/>
        <v>0</v>
      </c>
      <c r="BF43" s="268">
        <f t="shared" si="8"/>
        <v>0</v>
      </c>
      <c r="BG43" s="581">
        <f t="shared" si="9"/>
        <v>0</v>
      </c>
      <c r="BH43" s="268">
        <f t="shared" si="62"/>
        <v>0</v>
      </c>
      <c r="BI43" s="268">
        <f t="shared" si="63"/>
        <v>0</v>
      </c>
      <c r="BJ43" s="268">
        <f t="shared" si="64"/>
        <v>0</v>
      </c>
      <c r="BK43" s="268">
        <f t="shared" si="65"/>
        <v>0</v>
      </c>
      <c r="BL43" s="268">
        <f t="shared" si="66"/>
        <v>0</v>
      </c>
      <c r="BM43" s="581">
        <f t="shared" si="67"/>
        <v>0</v>
      </c>
      <c r="BN43" s="268">
        <f t="shared" si="15"/>
        <v>0</v>
      </c>
      <c r="BO43" s="268">
        <f t="shared" si="16"/>
        <v>0</v>
      </c>
      <c r="BP43" s="581">
        <f t="shared" si="17"/>
        <v>0</v>
      </c>
      <c r="BQ43" s="73">
        <f t="shared" si="18"/>
        <v>0</v>
      </c>
      <c r="BR43" s="73">
        <f t="shared" si="19"/>
        <v>0</v>
      </c>
      <c r="BS43" s="73">
        <f t="shared" si="20"/>
        <v>0</v>
      </c>
      <c r="BT43" s="581">
        <f t="shared" si="21"/>
        <v>0</v>
      </c>
      <c r="BU43" s="572">
        <f t="shared" si="22"/>
        <v>0</v>
      </c>
      <c r="BV43" s="572">
        <f t="shared" si="23"/>
        <v>0</v>
      </c>
      <c r="BW43" s="581">
        <f t="shared" si="24"/>
        <v>0</v>
      </c>
      <c r="BX43" s="572">
        <f t="shared" si="25"/>
        <v>0</v>
      </c>
      <c r="BY43" s="572">
        <f t="shared" si="26"/>
        <v>0</v>
      </c>
      <c r="BZ43" s="572">
        <f t="shared" si="27"/>
        <v>0</v>
      </c>
      <c r="CA43" s="572">
        <f t="shared" si="28"/>
        <v>0</v>
      </c>
      <c r="CB43" s="581">
        <f t="shared" si="29"/>
        <v>0</v>
      </c>
      <c r="CC43" s="870">
        <v>0</v>
      </c>
      <c r="CD43" s="572">
        <f t="shared" si="30"/>
        <v>0</v>
      </c>
      <c r="CE43" s="572">
        <f t="shared" si="31"/>
        <v>0</v>
      </c>
      <c r="CF43" s="572">
        <f t="shared" si="32"/>
        <v>0</v>
      </c>
      <c r="CG43" s="581">
        <f t="shared" si="33"/>
        <v>0</v>
      </c>
    </row>
    <row r="44" spans="1:85" ht="15.95" customHeight="1" x14ac:dyDescent="0.2">
      <c r="A44" s="574">
        <v>36</v>
      </c>
      <c r="B44" s="63">
        <f>dtsiswa!D42</f>
        <v>0</v>
      </c>
      <c r="C44" s="8"/>
      <c r="D44" s="8"/>
      <c r="E44" s="8"/>
      <c r="F44" s="8"/>
      <c r="G44" s="8"/>
      <c r="H44" s="580" t="str">
        <f t="shared" si="0"/>
        <v xml:space="preserve">  </v>
      </c>
      <c r="I44" s="8"/>
      <c r="J44" s="8"/>
      <c r="K44" s="8"/>
      <c r="L44" s="8"/>
      <c r="M44" s="8"/>
      <c r="N44" s="8"/>
      <c r="O44" s="8"/>
      <c r="P44" s="8"/>
      <c r="Q44" s="8"/>
      <c r="R44" s="580" t="str">
        <f t="shared" si="1"/>
        <v xml:space="preserve">  </v>
      </c>
      <c r="S44" s="8"/>
      <c r="T44" s="8"/>
      <c r="U44" s="580" t="str">
        <f t="shared" si="2"/>
        <v xml:space="preserve">  </v>
      </c>
      <c r="V44" s="8"/>
      <c r="W44" s="8"/>
      <c r="X44" s="8"/>
      <c r="Y44" s="8"/>
      <c r="Z44" s="8"/>
      <c r="AA44" s="8"/>
      <c r="AB44" s="580" t="str">
        <f t="shared" si="3"/>
        <v xml:space="preserve">  </v>
      </c>
      <c r="AC44" s="19">
        <f t="shared" si="34"/>
        <v>0</v>
      </c>
      <c r="AD44" s="19">
        <f t="shared" si="35"/>
        <v>0</v>
      </c>
      <c r="AE44" s="19">
        <f t="shared" si="36"/>
        <v>0</v>
      </c>
      <c r="AF44" s="19">
        <f t="shared" si="37"/>
        <v>0</v>
      </c>
      <c r="AG44" s="19">
        <f t="shared" si="38"/>
        <v>0</v>
      </c>
      <c r="AH44" s="19">
        <f t="shared" si="39"/>
        <v>0</v>
      </c>
      <c r="AI44" s="19">
        <f t="shared" si="40"/>
        <v>0</v>
      </c>
      <c r="AJ44" s="20">
        <f t="shared" si="41"/>
        <v>0</v>
      </c>
      <c r="AK44" s="18">
        <f t="shared" si="42"/>
        <v>0</v>
      </c>
      <c r="AL44" s="18">
        <f t="shared" si="43"/>
        <v>0</v>
      </c>
      <c r="AM44" s="18">
        <f t="shared" si="44"/>
        <v>0</v>
      </c>
      <c r="AN44" s="18">
        <f t="shared" si="45"/>
        <v>0</v>
      </c>
      <c r="AO44" s="18">
        <f t="shared" si="46"/>
        <v>0</v>
      </c>
      <c r="AP44" s="2">
        <f t="shared" si="47"/>
        <v>0</v>
      </c>
      <c r="AQ44" s="2">
        <f t="shared" si="48"/>
        <v>0</v>
      </c>
      <c r="AR44" s="2">
        <f t="shared" si="49"/>
        <v>0</v>
      </c>
      <c r="AS44" s="2">
        <f t="shared" si="50"/>
        <v>0</v>
      </c>
      <c r="AT44" s="2">
        <f t="shared" si="51"/>
        <v>0</v>
      </c>
      <c r="AU44" s="2">
        <f t="shared" si="52"/>
        <v>0</v>
      </c>
      <c r="AV44" s="20">
        <f t="shared" si="53"/>
        <v>0</v>
      </c>
      <c r="AW44" s="65">
        <f t="shared" si="54"/>
        <v>0</v>
      </c>
      <c r="AX44" s="65">
        <f t="shared" si="55"/>
        <v>0</v>
      </c>
      <c r="AY44" s="65">
        <f t="shared" si="56"/>
        <v>0</v>
      </c>
      <c r="AZ44" s="65">
        <f t="shared" si="57"/>
        <v>0</v>
      </c>
      <c r="BA44" s="65">
        <f t="shared" si="58"/>
        <v>0</v>
      </c>
      <c r="BB44" s="65">
        <f t="shared" si="59"/>
        <v>0</v>
      </c>
      <c r="BC44" s="65">
        <f t="shared" si="60"/>
        <v>0</v>
      </c>
      <c r="BD44" s="528">
        <f t="shared" si="61"/>
        <v>0</v>
      </c>
      <c r="BE44" s="268">
        <f t="shared" si="7"/>
        <v>0</v>
      </c>
      <c r="BF44" s="268">
        <f t="shared" si="8"/>
        <v>0</v>
      </c>
      <c r="BG44" s="581">
        <f t="shared" si="9"/>
        <v>0</v>
      </c>
      <c r="BH44" s="268">
        <f t="shared" si="62"/>
        <v>0</v>
      </c>
      <c r="BI44" s="268">
        <f t="shared" si="63"/>
        <v>0</v>
      </c>
      <c r="BJ44" s="268">
        <f t="shared" si="64"/>
        <v>0</v>
      </c>
      <c r="BK44" s="268">
        <f t="shared" si="65"/>
        <v>0</v>
      </c>
      <c r="BL44" s="268">
        <f t="shared" si="66"/>
        <v>0</v>
      </c>
      <c r="BM44" s="581">
        <f t="shared" si="67"/>
        <v>0</v>
      </c>
      <c r="BN44" s="268">
        <f t="shared" si="15"/>
        <v>0</v>
      </c>
      <c r="BO44" s="268">
        <f t="shared" si="16"/>
        <v>0</v>
      </c>
      <c r="BP44" s="581">
        <f t="shared" si="17"/>
        <v>0</v>
      </c>
      <c r="BQ44" s="73">
        <f t="shared" si="18"/>
        <v>0</v>
      </c>
      <c r="BR44" s="73">
        <f t="shared" si="19"/>
        <v>0</v>
      </c>
      <c r="BS44" s="73">
        <f t="shared" si="20"/>
        <v>0</v>
      </c>
      <c r="BT44" s="581">
        <f t="shared" si="21"/>
        <v>0</v>
      </c>
      <c r="BU44" s="572">
        <f t="shared" si="22"/>
        <v>0</v>
      </c>
      <c r="BV44" s="572">
        <f t="shared" si="23"/>
        <v>0</v>
      </c>
      <c r="BW44" s="581">
        <f t="shared" si="24"/>
        <v>0</v>
      </c>
      <c r="BX44" s="572">
        <f t="shared" si="25"/>
        <v>0</v>
      </c>
      <c r="BY44" s="572">
        <f t="shared" si="26"/>
        <v>0</v>
      </c>
      <c r="BZ44" s="572">
        <f t="shared" si="27"/>
        <v>0</v>
      </c>
      <c r="CA44" s="572">
        <f t="shared" si="28"/>
        <v>0</v>
      </c>
      <c r="CB44" s="581">
        <f t="shared" si="29"/>
        <v>0</v>
      </c>
      <c r="CC44" s="870">
        <v>0</v>
      </c>
      <c r="CD44" s="572">
        <f t="shared" si="30"/>
        <v>0</v>
      </c>
      <c r="CE44" s="572">
        <f t="shared" si="31"/>
        <v>0</v>
      </c>
      <c r="CF44" s="572">
        <f t="shared" si="32"/>
        <v>0</v>
      </c>
      <c r="CG44" s="581">
        <f t="shared" si="33"/>
        <v>0</v>
      </c>
    </row>
    <row r="45" spans="1:85" ht="15.95" customHeight="1" x14ac:dyDescent="0.2">
      <c r="A45" s="574">
        <v>37</v>
      </c>
      <c r="B45" s="63">
        <f>dtsiswa!D43</f>
        <v>0</v>
      </c>
      <c r="C45" s="8"/>
      <c r="D45" s="8"/>
      <c r="E45" s="8"/>
      <c r="F45" s="8"/>
      <c r="G45" s="8"/>
      <c r="H45" s="580" t="str">
        <f t="shared" si="0"/>
        <v xml:space="preserve">  </v>
      </c>
      <c r="I45" s="8"/>
      <c r="J45" s="8"/>
      <c r="K45" s="8"/>
      <c r="L45" s="8"/>
      <c r="M45" s="8"/>
      <c r="N45" s="8"/>
      <c r="O45" s="8"/>
      <c r="P45" s="8"/>
      <c r="Q45" s="8"/>
      <c r="R45" s="580" t="str">
        <f t="shared" si="1"/>
        <v xml:space="preserve">  </v>
      </c>
      <c r="S45" s="8"/>
      <c r="T45" s="8"/>
      <c r="U45" s="580" t="str">
        <f t="shared" si="2"/>
        <v xml:space="preserve">  </v>
      </c>
      <c r="V45" s="8"/>
      <c r="W45" s="8"/>
      <c r="X45" s="8"/>
      <c r="Y45" s="8"/>
      <c r="Z45" s="8"/>
      <c r="AA45" s="8"/>
      <c r="AB45" s="580" t="str">
        <f t="shared" si="3"/>
        <v xml:space="preserve">  </v>
      </c>
      <c r="AC45" s="19">
        <f t="shared" si="34"/>
        <v>0</v>
      </c>
      <c r="AD45" s="19">
        <f t="shared" si="35"/>
        <v>0</v>
      </c>
      <c r="AE45" s="19">
        <f t="shared" si="36"/>
        <v>0</v>
      </c>
      <c r="AF45" s="19">
        <f t="shared" si="37"/>
        <v>0</v>
      </c>
      <c r="AG45" s="19">
        <f t="shared" si="38"/>
        <v>0</v>
      </c>
      <c r="AH45" s="19">
        <f t="shared" si="39"/>
        <v>0</v>
      </c>
      <c r="AI45" s="19">
        <f t="shared" si="40"/>
        <v>0</v>
      </c>
      <c r="AJ45" s="20">
        <f t="shared" si="41"/>
        <v>0</v>
      </c>
      <c r="AK45" s="18">
        <f t="shared" si="42"/>
        <v>0</v>
      </c>
      <c r="AL45" s="18">
        <f t="shared" si="43"/>
        <v>0</v>
      </c>
      <c r="AM45" s="18">
        <f t="shared" si="44"/>
        <v>0</v>
      </c>
      <c r="AN45" s="18">
        <f t="shared" si="45"/>
        <v>0</v>
      </c>
      <c r="AO45" s="18">
        <f t="shared" si="46"/>
        <v>0</v>
      </c>
      <c r="AP45" s="2">
        <f t="shared" si="47"/>
        <v>0</v>
      </c>
      <c r="AQ45" s="2">
        <f t="shared" si="48"/>
        <v>0</v>
      </c>
      <c r="AR45" s="2">
        <f t="shared" si="49"/>
        <v>0</v>
      </c>
      <c r="AS45" s="2">
        <f t="shared" si="50"/>
        <v>0</v>
      </c>
      <c r="AT45" s="2">
        <f t="shared" si="51"/>
        <v>0</v>
      </c>
      <c r="AU45" s="2">
        <f t="shared" si="52"/>
        <v>0</v>
      </c>
      <c r="AV45" s="20">
        <f t="shared" si="53"/>
        <v>0</v>
      </c>
      <c r="AW45" s="65">
        <f t="shared" si="54"/>
        <v>0</v>
      </c>
      <c r="AX45" s="65">
        <f t="shared" si="55"/>
        <v>0</v>
      </c>
      <c r="AY45" s="65">
        <f t="shared" si="56"/>
        <v>0</v>
      </c>
      <c r="AZ45" s="65">
        <f t="shared" si="57"/>
        <v>0</v>
      </c>
      <c r="BA45" s="65">
        <f t="shared" si="58"/>
        <v>0</v>
      </c>
      <c r="BB45" s="65">
        <f t="shared" si="59"/>
        <v>0</v>
      </c>
      <c r="BC45" s="65">
        <f t="shared" si="60"/>
        <v>0</v>
      </c>
      <c r="BD45" s="528">
        <f t="shared" si="61"/>
        <v>0</v>
      </c>
      <c r="BE45" s="268">
        <f t="shared" si="7"/>
        <v>0</v>
      </c>
      <c r="BF45" s="268">
        <f t="shared" si="8"/>
        <v>0</v>
      </c>
      <c r="BG45" s="581">
        <f t="shared" si="9"/>
        <v>0</v>
      </c>
      <c r="BH45" s="268">
        <f t="shared" si="62"/>
        <v>0</v>
      </c>
      <c r="BI45" s="268">
        <f t="shared" si="63"/>
        <v>0</v>
      </c>
      <c r="BJ45" s="268">
        <f t="shared" si="64"/>
        <v>0</v>
      </c>
      <c r="BK45" s="268">
        <f t="shared" si="65"/>
        <v>0</v>
      </c>
      <c r="BL45" s="268">
        <f t="shared" si="66"/>
        <v>0</v>
      </c>
      <c r="BM45" s="581">
        <f t="shared" si="67"/>
        <v>0</v>
      </c>
      <c r="BN45" s="268">
        <f t="shared" si="15"/>
        <v>0</v>
      </c>
      <c r="BO45" s="268">
        <f t="shared" si="16"/>
        <v>0</v>
      </c>
      <c r="BP45" s="581">
        <f t="shared" si="17"/>
        <v>0</v>
      </c>
      <c r="BQ45" s="73">
        <f t="shared" si="18"/>
        <v>0</v>
      </c>
      <c r="BR45" s="73">
        <f t="shared" si="19"/>
        <v>0</v>
      </c>
      <c r="BS45" s="73">
        <f t="shared" si="20"/>
        <v>0</v>
      </c>
      <c r="BT45" s="581">
        <f t="shared" si="21"/>
        <v>0</v>
      </c>
      <c r="BU45" s="572">
        <f t="shared" si="22"/>
        <v>0</v>
      </c>
      <c r="BV45" s="572">
        <f t="shared" si="23"/>
        <v>0</v>
      </c>
      <c r="BW45" s="581">
        <f t="shared" si="24"/>
        <v>0</v>
      </c>
      <c r="BX45" s="572">
        <f t="shared" si="25"/>
        <v>0</v>
      </c>
      <c r="BY45" s="572">
        <f t="shared" si="26"/>
        <v>0</v>
      </c>
      <c r="BZ45" s="572">
        <f t="shared" si="27"/>
        <v>0</v>
      </c>
      <c r="CA45" s="572">
        <f t="shared" si="28"/>
        <v>0</v>
      </c>
      <c r="CB45" s="581">
        <f t="shared" si="29"/>
        <v>0</v>
      </c>
      <c r="CC45" s="870">
        <v>0</v>
      </c>
      <c r="CD45" s="572">
        <f t="shared" si="30"/>
        <v>0</v>
      </c>
      <c r="CE45" s="572">
        <f t="shared" si="31"/>
        <v>0</v>
      </c>
      <c r="CF45" s="572">
        <f t="shared" si="32"/>
        <v>0</v>
      </c>
      <c r="CG45" s="581">
        <f t="shared" si="33"/>
        <v>0</v>
      </c>
    </row>
    <row r="46" spans="1:85" ht="15.95" customHeight="1" x14ac:dyDescent="0.2">
      <c r="A46" s="574">
        <v>38</v>
      </c>
      <c r="B46" s="63">
        <f>dtsiswa!D44</f>
        <v>0</v>
      </c>
      <c r="C46" s="8"/>
      <c r="D46" s="8"/>
      <c r="E46" s="8"/>
      <c r="F46" s="8"/>
      <c r="G46" s="8"/>
      <c r="H46" s="580" t="str">
        <f t="shared" si="0"/>
        <v xml:space="preserve">  </v>
      </c>
      <c r="I46" s="8"/>
      <c r="J46" s="8"/>
      <c r="K46" s="8"/>
      <c r="L46" s="8"/>
      <c r="M46" s="8"/>
      <c r="N46" s="8"/>
      <c r="O46" s="8"/>
      <c r="P46" s="8"/>
      <c r="Q46" s="8"/>
      <c r="R46" s="580" t="str">
        <f t="shared" si="1"/>
        <v xml:space="preserve">  </v>
      </c>
      <c r="S46" s="8"/>
      <c r="T46" s="8"/>
      <c r="U46" s="580" t="str">
        <f t="shared" si="2"/>
        <v xml:space="preserve">  </v>
      </c>
      <c r="V46" s="8"/>
      <c r="W46" s="8"/>
      <c r="X46" s="8"/>
      <c r="Y46" s="8"/>
      <c r="Z46" s="8"/>
      <c r="AA46" s="8"/>
      <c r="AB46" s="580" t="str">
        <f t="shared" si="3"/>
        <v xml:space="preserve">  </v>
      </c>
      <c r="AC46" s="19">
        <f t="shared" si="34"/>
        <v>0</v>
      </c>
      <c r="AD46" s="19">
        <f t="shared" si="35"/>
        <v>0</v>
      </c>
      <c r="AE46" s="19">
        <f t="shared" si="36"/>
        <v>0</v>
      </c>
      <c r="AF46" s="19">
        <f t="shared" si="37"/>
        <v>0</v>
      </c>
      <c r="AG46" s="19">
        <f t="shared" si="38"/>
        <v>0</v>
      </c>
      <c r="AH46" s="19">
        <f t="shared" si="39"/>
        <v>0</v>
      </c>
      <c r="AI46" s="19">
        <f t="shared" si="40"/>
        <v>0</v>
      </c>
      <c r="AJ46" s="20">
        <f t="shared" si="41"/>
        <v>0</v>
      </c>
      <c r="AK46" s="18">
        <f t="shared" si="42"/>
        <v>0</v>
      </c>
      <c r="AL46" s="18">
        <f t="shared" si="43"/>
        <v>0</v>
      </c>
      <c r="AM46" s="18">
        <f t="shared" si="44"/>
        <v>0</v>
      </c>
      <c r="AN46" s="18">
        <f t="shared" si="45"/>
        <v>0</v>
      </c>
      <c r="AO46" s="18">
        <f t="shared" si="46"/>
        <v>0</v>
      </c>
      <c r="AP46" s="2">
        <f t="shared" si="47"/>
        <v>0</v>
      </c>
      <c r="AQ46" s="2">
        <f t="shared" si="48"/>
        <v>0</v>
      </c>
      <c r="AR46" s="2">
        <f t="shared" si="49"/>
        <v>0</v>
      </c>
      <c r="AS46" s="2">
        <f t="shared" si="50"/>
        <v>0</v>
      </c>
      <c r="AT46" s="2">
        <f t="shared" si="51"/>
        <v>0</v>
      </c>
      <c r="AU46" s="2">
        <f t="shared" si="52"/>
        <v>0</v>
      </c>
      <c r="AV46" s="20">
        <f t="shared" si="53"/>
        <v>0</v>
      </c>
      <c r="AW46" s="65">
        <f t="shared" si="54"/>
        <v>0</v>
      </c>
      <c r="AX46" s="65">
        <f t="shared" si="55"/>
        <v>0</v>
      </c>
      <c r="AY46" s="65">
        <f t="shared" si="56"/>
        <v>0</v>
      </c>
      <c r="AZ46" s="65">
        <f t="shared" si="57"/>
        <v>0</v>
      </c>
      <c r="BA46" s="65">
        <f t="shared" si="58"/>
        <v>0</v>
      </c>
      <c r="BB46" s="65">
        <f t="shared" si="59"/>
        <v>0</v>
      </c>
      <c r="BC46" s="65">
        <f t="shared" si="60"/>
        <v>0</v>
      </c>
      <c r="BD46" s="528">
        <f t="shared" si="61"/>
        <v>0</v>
      </c>
      <c r="BE46" s="268">
        <f t="shared" si="7"/>
        <v>0</v>
      </c>
      <c r="BF46" s="268">
        <f t="shared" si="8"/>
        <v>0</v>
      </c>
      <c r="BG46" s="581">
        <f t="shared" si="9"/>
        <v>0</v>
      </c>
      <c r="BH46" s="268">
        <f t="shared" si="62"/>
        <v>0</v>
      </c>
      <c r="BI46" s="268">
        <f t="shared" si="63"/>
        <v>0</v>
      </c>
      <c r="BJ46" s="268">
        <f t="shared" si="64"/>
        <v>0</v>
      </c>
      <c r="BK46" s="268">
        <f t="shared" si="65"/>
        <v>0</v>
      </c>
      <c r="BL46" s="268">
        <f t="shared" si="66"/>
        <v>0</v>
      </c>
      <c r="BM46" s="581">
        <f t="shared" si="67"/>
        <v>0</v>
      </c>
      <c r="BN46" s="268">
        <f t="shared" si="15"/>
        <v>0</v>
      </c>
      <c r="BO46" s="268">
        <f t="shared" si="16"/>
        <v>0</v>
      </c>
      <c r="BP46" s="581">
        <f t="shared" si="17"/>
        <v>0</v>
      </c>
      <c r="BQ46" s="73">
        <f t="shared" si="18"/>
        <v>0</v>
      </c>
      <c r="BR46" s="73">
        <f t="shared" si="19"/>
        <v>0</v>
      </c>
      <c r="BS46" s="73">
        <f t="shared" si="20"/>
        <v>0</v>
      </c>
      <c r="BT46" s="581">
        <f t="shared" si="21"/>
        <v>0</v>
      </c>
      <c r="BU46" s="572">
        <f t="shared" si="22"/>
        <v>0</v>
      </c>
      <c r="BV46" s="572">
        <f t="shared" si="23"/>
        <v>0</v>
      </c>
      <c r="BW46" s="581">
        <f t="shared" si="24"/>
        <v>0</v>
      </c>
      <c r="BX46" s="572">
        <f t="shared" si="25"/>
        <v>0</v>
      </c>
      <c r="BY46" s="572">
        <f t="shared" si="26"/>
        <v>0</v>
      </c>
      <c r="BZ46" s="572">
        <f t="shared" si="27"/>
        <v>0</v>
      </c>
      <c r="CA46" s="572">
        <f t="shared" si="28"/>
        <v>0</v>
      </c>
      <c r="CB46" s="581">
        <f t="shared" si="29"/>
        <v>0</v>
      </c>
      <c r="CC46" s="870">
        <v>0</v>
      </c>
      <c r="CD46" s="572">
        <f t="shared" si="30"/>
        <v>0</v>
      </c>
      <c r="CE46" s="572">
        <f t="shared" si="31"/>
        <v>0</v>
      </c>
      <c r="CF46" s="572">
        <f t="shared" si="32"/>
        <v>0</v>
      </c>
      <c r="CG46" s="581">
        <f t="shared" si="33"/>
        <v>0</v>
      </c>
    </row>
    <row r="47" spans="1:85" ht="15.95" customHeight="1" x14ac:dyDescent="0.2">
      <c r="A47" s="574">
        <v>39</v>
      </c>
      <c r="B47" s="63">
        <f>dtsiswa!D45</f>
        <v>0</v>
      </c>
      <c r="C47" s="8"/>
      <c r="D47" s="8"/>
      <c r="E47" s="8"/>
      <c r="F47" s="8"/>
      <c r="G47" s="8"/>
      <c r="H47" s="580" t="str">
        <f t="shared" si="0"/>
        <v xml:space="preserve">  </v>
      </c>
      <c r="I47" s="8"/>
      <c r="J47" s="8"/>
      <c r="K47" s="8"/>
      <c r="L47" s="8"/>
      <c r="M47" s="8"/>
      <c r="N47" s="8"/>
      <c r="O47" s="8"/>
      <c r="P47" s="8"/>
      <c r="Q47" s="8"/>
      <c r="R47" s="580" t="str">
        <f t="shared" si="1"/>
        <v xml:space="preserve">  </v>
      </c>
      <c r="S47" s="8"/>
      <c r="T47" s="8"/>
      <c r="U47" s="580" t="str">
        <f t="shared" si="2"/>
        <v xml:space="preserve">  </v>
      </c>
      <c r="V47" s="8"/>
      <c r="W47" s="8"/>
      <c r="X47" s="8"/>
      <c r="Y47" s="8"/>
      <c r="Z47" s="8"/>
      <c r="AA47" s="8"/>
      <c r="AB47" s="580" t="str">
        <f t="shared" si="3"/>
        <v xml:space="preserve">  </v>
      </c>
      <c r="AC47" s="19">
        <f t="shared" si="34"/>
        <v>0</v>
      </c>
      <c r="AD47" s="19">
        <f t="shared" si="35"/>
        <v>0</v>
      </c>
      <c r="AE47" s="19">
        <f t="shared" si="36"/>
        <v>0</v>
      </c>
      <c r="AF47" s="19">
        <f t="shared" si="37"/>
        <v>0</v>
      </c>
      <c r="AG47" s="19">
        <f t="shared" si="38"/>
        <v>0</v>
      </c>
      <c r="AH47" s="19">
        <f t="shared" si="39"/>
        <v>0</v>
      </c>
      <c r="AI47" s="19">
        <f t="shared" si="40"/>
        <v>0</v>
      </c>
      <c r="AJ47" s="20">
        <f t="shared" si="41"/>
        <v>0</v>
      </c>
      <c r="AK47" s="18">
        <f t="shared" si="42"/>
        <v>0</v>
      </c>
      <c r="AL47" s="18">
        <f t="shared" si="43"/>
        <v>0</v>
      </c>
      <c r="AM47" s="18">
        <f t="shared" si="44"/>
        <v>0</v>
      </c>
      <c r="AN47" s="18">
        <f t="shared" si="45"/>
        <v>0</v>
      </c>
      <c r="AO47" s="18">
        <f t="shared" si="46"/>
        <v>0</v>
      </c>
      <c r="AP47" s="2">
        <f t="shared" si="47"/>
        <v>0</v>
      </c>
      <c r="AQ47" s="2">
        <f t="shared" si="48"/>
        <v>0</v>
      </c>
      <c r="AR47" s="2">
        <f t="shared" si="49"/>
        <v>0</v>
      </c>
      <c r="AS47" s="2">
        <f t="shared" si="50"/>
        <v>0</v>
      </c>
      <c r="AT47" s="2">
        <f t="shared" si="51"/>
        <v>0</v>
      </c>
      <c r="AU47" s="2">
        <f t="shared" si="52"/>
        <v>0</v>
      </c>
      <c r="AV47" s="20">
        <f t="shared" si="53"/>
        <v>0</v>
      </c>
      <c r="AW47" s="65">
        <f t="shared" si="54"/>
        <v>0</v>
      </c>
      <c r="AX47" s="65">
        <f t="shared" si="55"/>
        <v>0</v>
      </c>
      <c r="AY47" s="65">
        <f t="shared" si="56"/>
        <v>0</v>
      </c>
      <c r="AZ47" s="65">
        <f t="shared" si="57"/>
        <v>0</v>
      </c>
      <c r="BA47" s="65">
        <f t="shared" si="58"/>
        <v>0</v>
      </c>
      <c r="BB47" s="65">
        <f t="shared" si="59"/>
        <v>0</v>
      </c>
      <c r="BC47" s="65">
        <f t="shared" si="60"/>
        <v>0</v>
      </c>
      <c r="BD47" s="528">
        <f t="shared" si="61"/>
        <v>0</v>
      </c>
      <c r="BE47" s="268">
        <f t="shared" si="7"/>
        <v>0</v>
      </c>
      <c r="BF47" s="268">
        <f t="shared" si="8"/>
        <v>0</v>
      </c>
      <c r="BG47" s="581">
        <f t="shared" si="9"/>
        <v>0</v>
      </c>
      <c r="BH47" s="268">
        <f t="shared" si="62"/>
        <v>0</v>
      </c>
      <c r="BI47" s="268">
        <f t="shared" si="63"/>
        <v>0</v>
      </c>
      <c r="BJ47" s="268">
        <f t="shared" si="64"/>
        <v>0</v>
      </c>
      <c r="BK47" s="268">
        <f t="shared" si="65"/>
        <v>0</v>
      </c>
      <c r="BL47" s="268">
        <f t="shared" si="66"/>
        <v>0</v>
      </c>
      <c r="BM47" s="581">
        <f t="shared" si="67"/>
        <v>0</v>
      </c>
      <c r="BN47" s="268">
        <f t="shared" si="15"/>
        <v>0</v>
      </c>
      <c r="BO47" s="268">
        <f t="shared" si="16"/>
        <v>0</v>
      </c>
      <c r="BP47" s="581">
        <f t="shared" si="17"/>
        <v>0</v>
      </c>
      <c r="BQ47" s="73">
        <f t="shared" si="18"/>
        <v>0</v>
      </c>
      <c r="BR47" s="73">
        <f t="shared" si="19"/>
        <v>0</v>
      </c>
      <c r="BS47" s="73">
        <f t="shared" si="20"/>
        <v>0</v>
      </c>
      <c r="BT47" s="581">
        <f t="shared" si="21"/>
        <v>0</v>
      </c>
      <c r="BU47" s="572">
        <f t="shared" si="22"/>
        <v>0</v>
      </c>
      <c r="BV47" s="572">
        <f t="shared" si="23"/>
        <v>0</v>
      </c>
      <c r="BW47" s="581">
        <f t="shared" si="24"/>
        <v>0</v>
      </c>
      <c r="BX47" s="572">
        <f t="shared" si="25"/>
        <v>0</v>
      </c>
      <c r="BY47" s="572">
        <f t="shared" si="26"/>
        <v>0</v>
      </c>
      <c r="BZ47" s="572">
        <f t="shared" si="27"/>
        <v>0</v>
      </c>
      <c r="CA47" s="572">
        <f t="shared" si="28"/>
        <v>0</v>
      </c>
      <c r="CB47" s="581">
        <f t="shared" si="29"/>
        <v>0</v>
      </c>
      <c r="CC47" s="870">
        <v>0</v>
      </c>
      <c r="CD47" s="572">
        <f t="shared" si="30"/>
        <v>0</v>
      </c>
      <c r="CE47" s="572">
        <f t="shared" si="31"/>
        <v>0</v>
      </c>
      <c r="CF47" s="572">
        <f t="shared" si="32"/>
        <v>0</v>
      </c>
      <c r="CG47" s="581">
        <f t="shared" si="33"/>
        <v>0</v>
      </c>
    </row>
    <row r="48" spans="1:85" ht="15.95" customHeight="1" x14ac:dyDescent="0.2">
      <c r="A48" s="574">
        <v>40</v>
      </c>
      <c r="B48" s="63">
        <f>dtsiswa!D46</f>
        <v>0</v>
      </c>
      <c r="C48" s="8"/>
      <c r="D48" s="8"/>
      <c r="E48" s="8"/>
      <c r="F48" s="8"/>
      <c r="G48" s="8"/>
      <c r="H48" s="580" t="str">
        <f t="shared" si="0"/>
        <v xml:space="preserve">  </v>
      </c>
      <c r="I48" s="8"/>
      <c r="J48" s="8"/>
      <c r="K48" s="8"/>
      <c r="L48" s="8"/>
      <c r="M48" s="8"/>
      <c r="N48" s="8"/>
      <c r="O48" s="8"/>
      <c r="P48" s="8"/>
      <c r="Q48" s="8"/>
      <c r="R48" s="580" t="str">
        <f t="shared" si="1"/>
        <v xml:space="preserve">  </v>
      </c>
      <c r="S48" s="8"/>
      <c r="T48" s="8"/>
      <c r="U48" s="580" t="str">
        <f t="shared" si="2"/>
        <v xml:space="preserve">  </v>
      </c>
      <c r="V48" s="8"/>
      <c r="W48" s="8"/>
      <c r="X48" s="8"/>
      <c r="Y48" s="8"/>
      <c r="Z48" s="8"/>
      <c r="AA48" s="8"/>
      <c r="AB48" s="580" t="str">
        <f t="shared" si="3"/>
        <v xml:space="preserve">  </v>
      </c>
      <c r="AC48" s="19">
        <f t="shared" si="34"/>
        <v>0</v>
      </c>
      <c r="AD48" s="19">
        <f t="shared" si="35"/>
        <v>0</v>
      </c>
      <c r="AE48" s="19">
        <f t="shared" si="36"/>
        <v>0</v>
      </c>
      <c r="AF48" s="19">
        <f t="shared" si="37"/>
        <v>0</v>
      </c>
      <c r="AG48" s="19">
        <f t="shared" si="38"/>
        <v>0</v>
      </c>
      <c r="AH48" s="19">
        <f t="shared" si="39"/>
        <v>0</v>
      </c>
      <c r="AI48" s="19">
        <f t="shared" si="40"/>
        <v>0</v>
      </c>
      <c r="AJ48" s="20">
        <f t="shared" si="41"/>
        <v>0</v>
      </c>
      <c r="AK48" s="18">
        <f t="shared" si="42"/>
        <v>0</v>
      </c>
      <c r="AL48" s="18">
        <f t="shared" si="43"/>
        <v>0</v>
      </c>
      <c r="AM48" s="18">
        <f t="shared" si="44"/>
        <v>0</v>
      </c>
      <c r="AN48" s="18">
        <f t="shared" si="45"/>
        <v>0</v>
      </c>
      <c r="AO48" s="18">
        <f t="shared" si="46"/>
        <v>0</v>
      </c>
      <c r="AP48" s="2">
        <f t="shared" si="47"/>
        <v>0</v>
      </c>
      <c r="AQ48" s="2">
        <f t="shared" si="48"/>
        <v>0</v>
      </c>
      <c r="AR48" s="2">
        <f t="shared" si="49"/>
        <v>0</v>
      </c>
      <c r="AS48" s="2">
        <f t="shared" si="50"/>
        <v>0</v>
      </c>
      <c r="AT48" s="2">
        <f t="shared" si="51"/>
        <v>0</v>
      </c>
      <c r="AU48" s="2">
        <f t="shared" si="52"/>
        <v>0</v>
      </c>
      <c r="AV48" s="20">
        <f t="shared" si="53"/>
        <v>0</v>
      </c>
      <c r="AW48" s="65">
        <f t="shared" si="54"/>
        <v>0</v>
      </c>
      <c r="AX48" s="65">
        <f t="shared" si="55"/>
        <v>0</v>
      </c>
      <c r="AY48" s="65">
        <f t="shared" si="56"/>
        <v>0</v>
      </c>
      <c r="AZ48" s="65">
        <f t="shared" si="57"/>
        <v>0</v>
      </c>
      <c r="BA48" s="65">
        <f t="shared" si="58"/>
        <v>0</v>
      </c>
      <c r="BB48" s="65">
        <f t="shared" si="59"/>
        <v>0</v>
      </c>
      <c r="BC48" s="65">
        <f t="shared" si="60"/>
        <v>0</v>
      </c>
      <c r="BD48" s="528">
        <f t="shared" si="61"/>
        <v>0</v>
      </c>
      <c r="BE48" s="268">
        <f t="shared" si="7"/>
        <v>0</v>
      </c>
      <c r="BF48" s="268">
        <f t="shared" si="8"/>
        <v>0</v>
      </c>
      <c r="BG48" s="581">
        <f t="shared" si="9"/>
        <v>0</v>
      </c>
      <c r="BH48" s="268">
        <f t="shared" si="62"/>
        <v>0</v>
      </c>
      <c r="BI48" s="268">
        <f t="shared" si="63"/>
        <v>0</v>
      </c>
      <c r="BJ48" s="268">
        <f t="shared" si="64"/>
        <v>0</v>
      </c>
      <c r="BK48" s="268">
        <f t="shared" si="65"/>
        <v>0</v>
      </c>
      <c r="BL48" s="268">
        <f t="shared" si="66"/>
        <v>0</v>
      </c>
      <c r="BM48" s="581">
        <f t="shared" si="67"/>
        <v>0</v>
      </c>
      <c r="BN48" s="268">
        <f t="shared" si="15"/>
        <v>0</v>
      </c>
      <c r="BO48" s="268">
        <f t="shared" si="16"/>
        <v>0</v>
      </c>
      <c r="BP48" s="581">
        <f t="shared" si="17"/>
        <v>0</v>
      </c>
      <c r="BQ48" s="73">
        <f t="shared" si="18"/>
        <v>0</v>
      </c>
      <c r="BR48" s="73">
        <f t="shared" si="19"/>
        <v>0</v>
      </c>
      <c r="BS48" s="73">
        <f t="shared" si="20"/>
        <v>0</v>
      </c>
      <c r="BT48" s="581">
        <f t="shared" si="21"/>
        <v>0</v>
      </c>
      <c r="BU48" s="572">
        <f t="shared" si="22"/>
        <v>0</v>
      </c>
      <c r="BV48" s="572">
        <f t="shared" si="23"/>
        <v>0</v>
      </c>
      <c r="BW48" s="581">
        <f t="shared" si="24"/>
        <v>0</v>
      </c>
      <c r="BX48" s="572">
        <f t="shared" si="25"/>
        <v>0</v>
      </c>
      <c r="BY48" s="572">
        <f t="shared" si="26"/>
        <v>0</v>
      </c>
      <c r="BZ48" s="572">
        <f t="shared" si="27"/>
        <v>0</v>
      </c>
      <c r="CA48" s="572">
        <f t="shared" si="28"/>
        <v>0</v>
      </c>
      <c r="CB48" s="581">
        <f t="shared" si="29"/>
        <v>0</v>
      </c>
      <c r="CC48" s="870">
        <v>0</v>
      </c>
      <c r="CD48" s="572">
        <f t="shared" si="30"/>
        <v>0</v>
      </c>
      <c r="CE48" s="572">
        <f t="shared" si="31"/>
        <v>0</v>
      </c>
      <c r="CF48" s="572">
        <f t="shared" si="32"/>
        <v>0</v>
      </c>
      <c r="CG48" s="581">
        <f t="shared" si="33"/>
        <v>0</v>
      </c>
    </row>
  </sheetData>
  <mergeCells count="44">
    <mergeCell ref="CG7:CG8"/>
    <mergeCell ref="BU6:CG6"/>
    <mergeCell ref="BT6:BT8"/>
    <mergeCell ref="CD7:CF7"/>
    <mergeCell ref="BU7:BV7"/>
    <mergeCell ref="BX7:CA7"/>
    <mergeCell ref="BE6:BS6"/>
    <mergeCell ref="D7:E7"/>
    <mergeCell ref="F7:G7"/>
    <mergeCell ref="I7:M7"/>
    <mergeCell ref="S7:T7"/>
    <mergeCell ref="V7:X7"/>
    <mergeCell ref="AC6:AI6"/>
    <mergeCell ref="AJ6:AJ8"/>
    <mergeCell ref="AK6:AU6"/>
    <mergeCell ref="AV6:AV8"/>
    <mergeCell ref="BD6:BD8"/>
    <mergeCell ref="BE7:BF7"/>
    <mergeCell ref="BH7:BL7"/>
    <mergeCell ref="BN7:BO7"/>
    <mergeCell ref="BQ7:BS7"/>
    <mergeCell ref="AW6:BC7"/>
    <mergeCell ref="A6:A8"/>
    <mergeCell ref="B6:B8"/>
    <mergeCell ref="C6:C8"/>
    <mergeCell ref="D6:G6"/>
    <mergeCell ref="I6:Q6"/>
    <mergeCell ref="N7:Q7"/>
    <mergeCell ref="H6:H8"/>
    <mergeCell ref="F2:G2"/>
    <mergeCell ref="H2:I2"/>
    <mergeCell ref="R2:S2"/>
    <mergeCell ref="U2:V2"/>
    <mergeCell ref="AC7:AI7"/>
    <mergeCell ref="R6:R8"/>
    <mergeCell ref="AK7:AU7"/>
    <mergeCell ref="AE3:AI3"/>
    <mergeCell ref="AL3:AU3"/>
    <mergeCell ref="S6:T6"/>
    <mergeCell ref="V6:AA6"/>
    <mergeCell ref="AC3:AD3"/>
    <mergeCell ref="Y7:AA7"/>
    <mergeCell ref="U6:U8"/>
    <mergeCell ref="AB6:AB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rgb="FFFF0000"/>
  </sheetPr>
  <dimension ref="A1:AR48"/>
  <sheetViews>
    <sheetView showGridLines="0" workbookViewId="0">
      <pane xSplit="2" ySplit="8" topLeftCell="C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7.5703125" style="1" customWidth="1"/>
    <col min="3" max="3" width="5" style="1" customWidth="1"/>
    <col min="4" max="4" width="6.140625" style="1" customWidth="1"/>
    <col min="5" max="10" width="4.7109375" style="1" customWidth="1"/>
    <col min="11" max="12" width="5.7109375" style="1" customWidth="1"/>
    <col min="13" max="16" width="5.85546875" style="1" customWidth="1"/>
    <col min="17" max="18" width="7.7109375" style="1" customWidth="1"/>
    <col min="19" max="21" width="6" style="1" customWidth="1"/>
    <col min="22" max="22" width="6.42578125" style="1" customWidth="1"/>
    <col min="23" max="23" width="5.28515625" style="1" customWidth="1"/>
    <col min="24" max="25" width="7.7109375" style="1" customWidth="1"/>
    <col min="26" max="26" width="6.140625" style="1" customWidth="1"/>
    <col min="27" max="32" width="5.7109375" style="1" customWidth="1"/>
    <col min="33" max="33" width="5.85546875" style="1" customWidth="1"/>
    <col min="34" max="35" width="6" style="1" customWidth="1"/>
    <col min="36" max="39" width="5.7109375" style="1" customWidth="1"/>
    <col min="40" max="40" width="5.5703125" style="1" customWidth="1"/>
    <col min="41" max="42" width="5.28515625" style="1" customWidth="1"/>
    <col min="43" max="43" width="5.85546875" style="1" customWidth="1"/>
    <col min="44" max="44" width="8.7109375" style="1" customWidth="1"/>
    <col min="45" max="16384" width="9.140625" style="1"/>
  </cols>
  <sheetData>
    <row r="1" spans="1:44" x14ac:dyDescent="0.2">
      <c r="C1" s="9"/>
      <c r="D1" s="9"/>
      <c r="E1" s="9"/>
      <c r="F1" s="9"/>
      <c r="G1" s="9"/>
      <c r="H1" s="9"/>
      <c r="I1" s="9"/>
      <c r="J1" s="9"/>
      <c r="K1" s="9"/>
      <c r="L1" s="9"/>
      <c r="M1" s="9"/>
      <c r="N1" s="9"/>
      <c r="O1" s="9"/>
      <c r="P1" s="9"/>
      <c r="Q1" s="9"/>
      <c r="R1" s="9"/>
    </row>
    <row r="2" spans="1:44" ht="21" x14ac:dyDescent="0.2">
      <c r="C2" s="9"/>
      <c r="D2" s="873"/>
      <c r="E2" s="873"/>
      <c r="F2" s="873"/>
      <c r="G2" s="873"/>
      <c r="H2" s="873"/>
      <c r="I2" s="873"/>
      <c r="J2" s="873"/>
      <c r="K2" s="2382"/>
      <c r="L2" s="2382"/>
      <c r="M2" s="2382"/>
      <c r="N2" s="873"/>
      <c r="O2" s="873"/>
      <c r="P2" s="873"/>
      <c r="Q2" s="62"/>
      <c r="R2" s="62"/>
    </row>
    <row r="3" spans="1:44" s="6" customFormat="1" ht="18" customHeight="1" x14ac:dyDescent="0.2">
      <c r="A3" s="193" t="s">
        <v>41</v>
      </c>
      <c r="C3" s="9"/>
      <c r="D3" s="10"/>
      <c r="E3" s="10"/>
      <c r="F3" s="10"/>
      <c r="G3" s="10"/>
      <c r="H3" s="10"/>
      <c r="I3" s="10"/>
      <c r="J3" s="10"/>
      <c r="K3" s="10"/>
      <c r="L3" s="10"/>
      <c r="M3" s="10"/>
      <c r="N3" s="10"/>
      <c r="O3" s="10"/>
      <c r="P3" s="10"/>
      <c r="Q3" s="2279"/>
      <c r="R3" s="2279"/>
      <c r="S3" s="872"/>
      <c r="T3" s="872"/>
      <c r="U3" s="872"/>
      <c r="V3" s="872"/>
      <c r="W3" s="872"/>
      <c r="X3" s="872"/>
      <c r="Y3" s="872"/>
    </row>
    <row r="4" spans="1:44" s="6" customFormat="1" ht="18" customHeight="1" x14ac:dyDescent="0.2">
      <c r="A4" s="195" t="s">
        <v>573</v>
      </c>
      <c r="D4" s="877"/>
      <c r="E4" s="877"/>
      <c r="F4" s="877"/>
      <c r="G4" s="877"/>
      <c r="H4" s="877"/>
      <c r="I4" s="877"/>
      <c r="J4" s="877"/>
      <c r="K4" s="877"/>
      <c r="L4" s="877"/>
      <c r="M4" s="877"/>
      <c r="N4" s="877"/>
      <c r="O4" s="877"/>
      <c r="P4" s="877"/>
      <c r="V4" s="872"/>
      <c r="W4" s="872"/>
      <c r="X4" s="872"/>
      <c r="Y4" s="872"/>
    </row>
    <row r="5" spans="1:44" s="194" customFormat="1" ht="18" customHeight="1" thickBot="1" x14ac:dyDescent="0.25">
      <c r="A5" s="224">
        <v>1</v>
      </c>
      <c r="B5" s="564">
        <v>2</v>
      </c>
      <c r="C5" s="224">
        <v>3</v>
      </c>
      <c r="D5" s="564">
        <v>4</v>
      </c>
      <c r="E5" s="224">
        <v>5</v>
      </c>
      <c r="F5" s="564">
        <v>6</v>
      </c>
      <c r="G5" s="224">
        <v>7</v>
      </c>
      <c r="H5" s="564">
        <v>8</v>
      </c>
      <c r="I5" s="224">
        <v>9</v>
      </c>
      <c r="J5" s="564">
        <v>10</v>
      </c>
      <c r="K5" s="224">
        <v>11</v>
      </c>
      <c r="L5" s="564">
        <v>12</v>
      </c>
      <c r="M5" s="224">
        <v>13</v>
      </c>
      <c r="N5" s="564">
        <v>14</v>
      </c>
      <c r="O5" s="224">
        <v>15</v>
      </c>
      <c r="P5" s="564">
        <v>16</v>
      </c>
      <c r="Q5" s="224">
        <v>17</v>
      </c>
      <c r="R5" s="564">
        <v>18</v>
      </c>
      <c r="S5" s="224">
        <v>19</v>
      </c>
      <c r="T5" s="564">
        <v>20</v>
      </c>
      <c r="U5" s="224">
        <v>21</v>
      </c>
      <c r="V5" s="564">
        <v>22</v>
      </c>
      <c r="W5" s="224">
        <v>23</v>
      </c>
      <c r="X5" s="990">
        <v>24</v>
      </c>
      <c r="Y5" s="935">
        <v>25</v>
      </c>
      <c r="Z5" s="564">
        <v>26</v>
      </c>
      <c r="AA5" s="909">
        <v>27</v>
      </c>
      <c r="AB5" s="910">
        <v>28</v>
      </c>
      <c r="AC5" s="909">
        <v>29</v>
      </c>
      <c r="AD5" s="910">
        <v>30</v>
      </c>
      <c r="AE5" s="909">
        <v>31</v>
      </c>
      <c r="AF5" s="910">
        <v>32</v>
      </c>
      <c r="AG5" s="909">
        <v>33</v>
      </c>
      <c r="AH5" s="910">
        <v>34</v>
      </c>
      <c r="AI5" s="909">
        <v>35</v>
      </c>
      <c r="AJ5" s="910">
        <v>36</v>
      </c>
      <c r="AK5" s="909">
        <v>37</v>
      </c>
      <c r="AL5" s="910">
        <v>38</v>
      </c>
      <c r="AM5" s="911">
        <v>39</v>
      </c>
      <c r="AN5" s="912">
        <v>40</v>
      </c>
      <c r="AO5" s="911">
        <v>41</v>
      </c>
      <c r="AP5" s="912">
        <v>42</v>
      </c>
      <c r="AQ5" s="911">
        <v>43</v>
      </c>
      <c r="AR5" s="912">
        <v>44</v>
      </c>
    </row>
    <row r="6" spans="1:44" s="5" customFormat="1" ht="19.5" customHeight="1" x14ac:dyDescent="0.25">
      <c r="A6" s="2384" t="s">
        <v>0</v>
      </c>
      <c r="B6" s="2387" t="s">
        <v>1</v>
      </c>
      <c r="C6" s="2416" t="s">
        <v>3</v>
      </c>
      <c r="D6" s="2420" t="s">
        <v>26</v>
      </c>
      <c r="E6" s="2421"/>
      <c r="F6" s="2422"/>
      <c r="G6" s="2374" t="s">
        <v>45</v>
      </c>
      <c r="H6" s="2374"/>
      <c r="I6" s="2374"/>
      <c r="J6" s="2374"/>
      <c r="K6" s="2371" t="s">
        <v>51</v>
      </c>
      <c r="L6" s="2371"/>
      <c r="M6" s="2371"/>
      <c r="N6" s="2375" t="s">
        <v>52</v>
      </c>
      <c r="O6" s="2419"/>
      <c r="P6" s="2373"/>
      <c r="Q6" s="2418" t="s">
        <v>15</v>
      </c>
      <c r="R6" s="2418"/>
      <c r="S6" s="2403" t="s">
        <v>2</v>
      </c>
      <c r="T6" s="2418" t="s">
        <v>6</v>
      </c>
      <c r="U6" s="2418"/>
      <c r="V6" s="2418"/>
      <c r="W6" s="2405" t="s">
        <v>40</v>
      </c>
      <c r="X6" s="2434" t="s">
        <v>142</v>
      </c>
      <c r="Y6" s="2435"/>
      <c r="Z6" s="2438" t="s">
        <v>24</v>
      </c>
      <c r="AA6" s="2440" t="s">
        <v>25</v>
      </c>
      <c r="AB6" s="2441"/>
      <c r="AC6" s="2441"/>
      <c r="AD6" s="2441"/>
      <c r="AE6" s="2441"/>
      <c r="AF6" s="2441"/>
      <c r="AG6" s="2441"/>
      <c r="AH6" s="2441"/>
      <c r="AI6" s="2441"/>
      <c r="AJ6" s="2441"/>
      <c r="AK6" s="2441"/>
      <c r="AL6" s="2442"/>
      <c r="AM6" s="2424" t="s">
        <v>139</v>
      </c>
      <c r="AN6" s="2425"/>
      <c r="AO6" s="2426"/>
      <c r="AP6" s="2426"/>
      <c r="AQ6" s="2426"/>
      <c r="AR6" s="2426"/>
    </row>
    <row r="7" spans="1:44" s="4" customFormat="1" ht="23.25" customHeight="1" x14ac:dyDescent="0.25">
      <c r="A7" s="2385"/>
      <c r="B7" s="2354"/>
      <c r="C7" s="2353"/>
      <c r="D7" s="2357" t="s">
        <v>49</v>
      </c>
      <c r="E7" s="2423"/>
      <c r="F7" s="1088"/>
      <c r="G7" s="2367" t="s">
        <v>42</v>
      </c>
      <c r="H7" s="2369"/>
      <c r="I7" s="2367" t="s">
        <v>43</v>
      </c>
      <c r="J7" s="2369"/>
      <c r="K7" s="2357" t="s">
        <v>42</v>
      </c>
      <c r="L7" s="2358"/>
      <c r="M7" s="876" t="s">
        <v>43</v>
      </c>
      <c r="N7" s="2446" t="s">
        <v>42</v>
      </c>
      <c r="O7" s="2383"/>
      <c r="P7" s="876" t="s">
        <v>43</v>
      </c>
      <c r="Q7" s="2427" t="s">
        <v>140</v>
      </c>
      <c r="R7" s="2428"/>
      <c r="S7" s="2352"/>
      <c r="T7" s="2429" t="s">
        <v>141</v>
      </c>
      <c r="U7" s="2430"/>
      <c r="V7" s="2431"/>
      <c r="W7" s="2346"/>
      <c r="X7" s="2436"/>
      <c r="Y7" s="2437"/>
      <c r="Z7" s="2348"/>
      <c r="AA7" s="2351" t="s">
        <v>26</v>
      </c>
      <c r="AB7" s="2351"/>
      <c r="AC7" s="2432"/>
      <c r="AD7" s="2351" t="s">
        <v>50</v>
      </c>
      <c r="AE7" s="2351"/>
      <c r="AF7" s="2432"/>
      <c r="AG7" s="2351" t="s">
        <v>51</v>
      </c>
      <c r="AH7" s="2351"/>
      <c r="AI7" s="2432"/>
      <c r="AJ7" s="2351" t="s">
        <v>52</v>
      </c>
      <c r="AK7" s="2351"/>
      <c r="AL7" s="2447"/>
      <c r="AM7" s="878" t="s">
        <v>157</v>
      </c>
      <c r="AN7" s="2349" t="s">
        <v>466</v>
      </c>
      <c r="AO7" s="2443"/>
      <c r="AP7" s="2444"/>
      <c r="AQ7" s="879" t="s">
        <v>467</v>
      </c>
      <c r="AR7" s="874" t="s">
        <v>52</v>
      </c>
    </row>
    <row r="8" spans="1:44" ht="19.5" customHeight="1" thickBot="1" x14ac:dyDescent="0.25">
      <c r="A8" s="2386"/>
      <c r="B8" s="2388"/>
      <c r="C8" s="2417"/>
      <c r="D8" s="143" t="s">
        <v>189</v>
      </c>
      <c r="E8" s="143" t="s">
        <v>186</v>
      </c>
      <c r="F8" s="144" t="s">
        <v>20</v>
      </c>
      <c r="G8" s="145" t="s">
        <v>11</v>
      </c>
      <c r="H8" s="145" t="s">
        <v>189</v>
      </c>
      <c r="I8" s="144" t="s">
        <v>18</v>
      </c>
      <c r="J8" s="144" t="s">
        <v>20</v>
      </c>
      <c r="K8" s="143" t="s">
        <v>189</v>
      </c>
      <c r="L8" s="143" t="s">
        <v>186</v>
      </c>
      <c r="M8" s="144" t="s">
        <v>20</v>
      </c>
      <c r="N8" s="143" t="s">
        <v>189</v>
      </c>
      <c r="O8" s="143" t="s">
        <v>186</v>
      </c>
      <c r="P8" s="144" t="s">
        <v>20</v>
      </c>
      <c r="Q8" s="67" t="s">
        <v>18</v>
      </c>
      <c r="R8" s="67" t="s">
        <v>20</v>
      </c>
      <c r="S8" s="2404"/>
      <c r="T8" s="68" t="s">
        <v>11</v>
      </c>
      <c r="U8" s="68" t="s">
        <v>189</v>
      </c>
      <c r="V8" s="68" t="s">
        <v>186</v>
      </c>
      <c r="W8" s="2406"/>
      <c r="X8" s="67" t="s">
        <v>18</v>
      </c>
      <c r="Y8" s="67" t="s">
        <v>20</v>
      </c>
      <c r="Z8" s="2439"/>
      <c r="AA8" s="144" t="s">
        <v>189</v>
      </c>
      <c r="AB8" s="144" t="s">
        <v>186</v>
      </c>
      <c r="AC8" s="2433"/>
      <c r="AD8" s="144" t="s">
        <v>11</v>
      </c>
      <c r="AE8" s="144" t="s">
        <v>189</v>
      </c>
      <c r="AF8" s="2433"/>
      <c r="AG8" s="144" t="s">
        <v>189</v>
      </c>
      <c r="AH8" s="144" t="s">
        <v>186</v>
      </c>
      <c r="AI8" s="2433"/>
      <c r="AJ8" s="144" t="s">
        <v>189</v>
      </c>
      <c r="AK8" s="144" t="s">
        <v>186</v>
      </c>
      <c r="AL8" s="2448"/>
      <c r="AM8" s="159" t="s">
        <v>20</v>
      </c>
      <c r="AN8" s="144" t="s">
        <v>18</v>
      </c>
      <c r="AO8" s="144" t="s">
        <v>20</v>
      </c>
      <c r="AP8" s="2445"/>
      <c r="AQ8" s="144" t="s">
        <v>20</v>
      </c>
      <c r="AR8" s="147" t="s">
        <v>20</v>
      </c>
    </row>
    <row r="9" spans="1:44" ht="20.100000000000001" customHeight="1" x14ac:dyDescent="0.2">
      <c r="A9" s="58">
        <v>1</v>
      </c>
      <c r="B9" s="63" t="str">
        <f>dtsiswa!D7</f>
        <v>Achmad Zacky</v>
      </c>
      <c r="C9" s="64" t="s">
        <v>4</v>
      </c>
      <c r="D9" s="27">
        <v>70</v>
      </c>
      <c r="E9" s="27">
        <v>65</v>
      </c>
      <c r="F9" s="27">
        <v>70</v>
      </c>
      <c r="G9" s="25">
        <v>56</v>
      </c>
      <c r="H9" s="25">
        <v>67</v>
      </c>
      <c r="I9" s="25">
        <v>81</v>
      </c>
      <c r="J9" s="25">
        <v>78</v>
      </c>
      <c r="K9" s="25">
        <v>80</v>
      </c>
      <c r="L9" s="25">
        <v>73</v>
      </c>
      <c r="M9" s="25">
        <v>81</v>
      </c>
      <c r="N9" s="25">
        <v>56</v>
      </c>
      <c r="O9" s="25">
        <v>60</v>
      </c>
      <c r="P9" s="25">
        <v>72</v>
      </c>
      <c r="Q9" s="19">
        <f>I9</f>
        <v>81</v>
      </c>
      <c r="R9" s="19">
        <f>(F9+J9+M9+P9)/4</f>
        <v>75.25</v>
      </c>
      <c r="S9" s="20">
        <f t="shared" ref="S9" si="0">IFERROR(AVERAGE(Q9:R9),"  ")</f>
        <v>78.125</v>
      </c>
      <c r="T9" s="18">
        <f>G9</f>
        <v>56</v>
      </c>
      <c r="U9" s="18">
        <f>(D9+H9+K9+N9)/4</f>
        <v>68.25</v>
      </c>
      <c r="V9" s="18">
        <f>(E9+L9+O9)/3</f>
        <v>66</v>
      </c>
      <c r="W9" s="20">
        <f t="shared" ref="W9" si="1">IFERROR(AVERAGE(T9:V9),"  ")</f>
        <v>63.416666666666664</v>
      </c>
      <c r="X9" s="65">
        <f>(Q9+T9+U9)/3</f>
        <v>68.416666666666671</v>
      </c>
      <c r="Y9" s="65">
        <f>(R9+U9+V9)/3</f>
        <v>69.833333333333329</v>
      </c>
      <c r="Z9" s="20">
        <f t="shared" ref="Z9" si="2">IFERROR(AVERAGE(X9:Y9),"  ")</f>
        <v>69.125</v>
      </c>
      <c r="AA9" s="39">
        <f>D9</f>
        <v>70</v>
      </c>
      <c r="AB9" s="39">
        <f>E9</f>
        <v>65</v>
      </c>
      <c r="AC9" s="20">
        <f t="shared" ref="AC9" si="3">IFERROR(AVERAGE(AA9:AB9),"  ")</f>
        <v>67.5</v>
      </c>
      <c r="AD9" s="39">
        <f>G9</f>
        <v>56</v>
      </c>
      <c r="AE9" s="39">
        <f>H9</f>
        <v>67</v>
      </c>
      <c r="AF9" s="20">
        <f t="shared" ref="AF9" si="4">IFERROR(AVERAGE(AD9:AE9),"  ")</f>
        <v>61.5</v>
      </c>
      <c r="AG9" s="39">
        <f>K9</f>
        <v>80</v>
      </c>
      <c r="AH9" s="39">
        <f>L9</f>
        <v>73</v>
      </c>
      <c r="AI9" s="20">
        <f t="shared" ref="AI9" si="5">IFERROR(AVERAGE(AG9:AH9),"  ")</f>
        <v>76.5</v>
      </c>
      <c r="AJ9" s="28">
        <f>N9</f>
        <v>56</v>
      </c>
      <c r="AK9" s="28">
        <f>O9</f>
        <v>60</v>
      </c>
      <c r="AL9" s="20">
        <f t="shared" ref="AL9" si="6">IFERROR(AVERAGE(AJ9:AK9),"  ")</f>
        <v>58</v>
      </c>
      <c r="AM9" s="1090">
        <f>F9</f>
        <v>70</v>
      </c>
      <c r="AN9" s="1071">
        <f>I9</f>
        <v>81</v>
      </c>
      <c r="AO9" s="1071">
        <f>J9</f>
        <v>78</v>
      </c>
      <c r="AP9" s="20">
        <f t="shared" ref="AP9" si="7">IFERROR(AVERAGE(AN9:AO9),"  ")</f>
        <v>79.5</v>
      </c>
      <c r="AQ9" s="826">
        <f>M9</f>
        <v>81</v>
      </c>
      <c r="AR9" s="826">
        <f>P9</f>
        <v>72</v>
      </c>
    </row>
    <row r="10" spans="1:44" ht="20.100000000000001" customHeight="1" x14ac:dyDescent="0.2">
      <c r="A10" s="876">
        <v>2</v>
      </c>
      <c r="B10" s="63" t="str">
        <f>dtsiswa!D8</f>
        <v>Angelia Vabel R</v>
      </c>
      <c r="C10" s="11" t="s">
        <v>4</v>
      </c>
      <c r="D10" s="22"/>
      <c r="E10" s="22"/>
      <c r="F10" s="22"/>
      <c r="G10" s="23"/>
      <c r="H10" s="23"/>
      <c r="I10" s="23"/>
      <c r="J10" s="23"/>
      <c r="K10" s="23"/>
      <c r="L10" s="23"/>
      <c r="M10" s="283"/>
      <c r="N10" s="25"/>
      <c r="O10" s="25"/>
      <c r="P10" s="25"/>
      <c r="Q10" s="19">
        <f t="shared" ref="Q10:Q48" si="8">I10</f>
        <v>0</v>
      </c>
      <c r="R10" s="19">
        <f t="shared" ref="R10:R48" si="9">(F10+J10+M10+P10)/4</f>
        <v>0</v>
      </c>
      <c r="S10" s="20">
        <f t="shared" ref="S10:S48" si="10">IFERROR(AVERAGE(Q10:R10),"  ")</f>
        <v>0</v>
      </c>
      <c r="T10" s="18">
        <f t="shared" ref="T10:T48" si="11">G10</f>
        <v>0</v>
      </c>
      <c r="U10" s="18">
        <f t="shared" ref="U10:U48" si="12">(D10+H10+K10+N10)/4</f>
        <v>0</v>
      </c>
      <c r="V10" s="18">
        <f t="shared" ref="V10:V48" si="13">(E10+L10+O10)/3</f>
        <v>0</v>
      </c>
      <c r="W10" s="20">
        <f t="shared" ref="W10:W48" si="14">IFERROR(AVERAGE(T10:V10),"  ")</f>
        <v>0</v>
      </c>
      <c r="X10" s="65">
        <f t="shared" ref="X10:X48" si="15">(Q10+T10+U10)/3</f>
        <v>0</v>
      </c>
      <c r="Y10" s="65">
        <f t="shared" ref="Y10:Y48" si="16">(R10+U10+V10)/3</f>
        <v>0</v>
      </c>
      <c r="Z10" s="20">
        <f t="shared" ref="Z10:Z48" si="17">IFERROR(AVERAGE(X10:Y10),"  ")</f>
        <v>0</v>
      </c>
      <c r="AA10" s="39">
        <f t="shared" ref="AA10:AA48" si="18">D10</f>
        <v>0</v>
      </c>
      <c r="AB10" s="39">
        <f t="shared" ref="AB10:AB48" si="19">E10</f>
        <v>0</v>
      </c>
      <c r="AC10" s="20">
        <f t="shared" ref="AC10:AC48" si="20">IFERROR(AVERAGE(AA10:AB10),"  ")</f>
        <v>0</v>
      </c>
      <c r="AD10" s="39">
        <f t="shared" ref="AD10:AD48" si="21">G10</f>
        <v>0</v>
      </c>
      <c r="AE10" s="39">
        <f t="shared" ref="AE10:AE48" si="22">H10</f>
        <v>0</v>
      </c>
      <c r="AF10" s="20">
        <f t="shared" ref="AF10:AF48" si="23">IFERROR(AVERAGE(AD10:AE10),"  ")</f>
        <v>0</v>
      </c>
      <c r="AG10" s="39">
        <f t="shared" ref="AG10:AG48" si="24">K10</f>
        <v>0</v>
      </c>
      <c r="AH10" s="39">
        <f t="shared" ref="AH10:AH48" si="25">L10</f>
        <v>0</v>
      </c>
      <c r="AI10" s="20">
        <f t="shared" ref="AI10:AI48" si="26">IFERROR(AVERAGE(AG10:AH10),"  ")</f>
        <v>0</v>
      </c>
      <c r="AJ10" s="28">
        <f t="shared" ref="AJ10:AJ48" si="27">N10</f>
        <v>0</v>
      </c>
      <c r="AK10" s="28">
        <f t="shared" ref="AK10:AK48" si="28">O10</f>
        <v>0</v>
      </c>
      <c r="AL10" s="20">
        <f t="shared" ref="AL10:AL48" si="29">IFERROR(AVERAGE(AJ10:AK10),"  ")</f>
        <v>0</v>
      </c>
      <c r="AM10" s="1090">
        <f t="shared" ref="AM10:AM48" si="30">F10</f>
        <v>0</v>
      </c>
      <c r="AN10" s="1071">
        <f t="shared" ref="AN10:AN48" si="31">I10</f>
        <v>0</v>
      </c>
      <c r="AO10" s="1071">
        <f t="shared" ref="AO10:AO48" si="32">J10</f>
        <v>0</v>
      </c>
      <c r="AP10" s="20">
        <f t="shared" ref="AP10:AP48" si="33">IFERROR(AVERAGE(AN10:AO10),"  ")</f>
        <v>0</v>
      </c>
      <c r="AQ10" s="826">
        <f t="shared" ref="AQ10:AQ48" si="34">M10</f>
        <v>0</v>
      </c>
      <c r="AR10" s="826">
        <f t="shared" ref="AR10:AR48" si="35">P10</f>
        <v>0</v>
      </c>
    </row>
    <row r="11" spans="1:44" ht="20.100000000000001" customHeight="1" x14ac:dyDescent="0.2">
      <c r="A11" s="876">
        <v>3</v>
      </c>
      <c r="B11" s="63" t="str">
        <f>dtsiswa!D9</f>
        <v>Anggun Dwi P.I</v>
      </c>
      <c r="C11" s="11" t="s">
        <v>4</v>
      </c>
      <c r="D11" s="22"/>
      <c r="E11" s="22"/>
      <c r="F11" s="22"/>
      <c r="G11" s="23"/>
      <c r="H11" s="23"/>
      <c r="I11" s="23"/>
      <c r="J11" s="23"/>
      <c r="K11" s="23"/>
      <c r="L11" s="23"/>
      <c r="M11" s="283"/>
      <c r="N11" s="25"/>
      <c r="O11" s="25"/>
      <c r="P11" s="25"/>
      <c r="Q11" s="19">
        <f t="shared" si="8"/>
        <v>0</v>
      </c>
      <c r="R11" s="19">
        <f t="shared" si="9"/>
        <v>0</v>
      </c>
      <c r="S11" s="20">
        <f t="shared" si="10"/>
        <v>0</v>
      </c>
      <c r="T11" s="18">
        <f t="shared" si="11"/>
        <v>0</v>
      </c>
      <c r="U11" s="18">
        <f t="shared" si="12"/>
        <v>0</v>
      </c>
      <c r="V11" s="18">
        <f t="shared" si="13"/>
        <v>0</v>
      </c>
      <c r="W11" s="20">
        <f t="shared" si="14"/>
        <v>0</v>
      </c>
      <c r="X11" s="65">
        <f t="shared" si="15"/>
        <v>0</v>
      </c>
      <c r="Y11" s="65">
        <f t="shared" si="16"/>
        <v>0</v>
      </c>
      <c r="Z11" s="20">
        <f t="shared" si="17"/>
        <v>0</v>
      </c>
      <c r="AA11" s="39">
        <f t="shared" si="18"/>
        <v>0</v>
      </c>
      <c r="AB11" s="39">
        <f t="shared" si="19"/>
        <v>0</v>
      </c>
      <c r="AC11" s="20">
        <f t="shared" si="20"/>
        <v>0</v>
      </c>
      <c r="AD11" s="39">
        <f t="shared" si="21"/>
        <v>0</v>
      </c>
      <c r="AE11" s="39">
        <f t="shared" si="22"/>
        <v>0</v>
      </c>
      <c r="AF11" s="20">
        <f t="shared" si="23"/>
        <v>0</v>
      </c>
      <c r="AG11" s="39">
        <f t="shared" si="24"/>
        <v>0</v>
      </c>
      <c r="AH11" s="39">
        <f t="shared" si="25"/>
        <v>0</v>
      </c>
      <c r="AI11" s="20">
        <f t="shared" si="26"/>
        <v>0</v>
      </c>
      <c r="AJ11" s="28">
        <f t="shared" si="27"/>
        <v>0</v>
      </c>
      <c r="AK11" s="28">
        <f t="shared" si="28"/>
        <v>0</v>
      </c>
      <c r="AL11" s="20">
        <f t="shared" si="29"/>
        <v>0</v>
      </c>
      <c r="AM11" s="1090">
        <f t="shared" si="30"/>
        <v>0</v>
      </c>
      <c r="AN11" s="1071">
        <f t="shared" si="31"/>
        <v>0</v>
      </c>
      <c r="AO11" s="1071">
        <f t="shared" si="32"/>
        <v>0</v>
      </c>
      <c r="AP11" s="20">
        <f t="shared" si="33"/>
        <v>0</v>
      </c>
      <c r="AQ11" s="826">
        <f t="shared" si="34"/>
        <v>0</v>
      </c>
      <c r="AR11" s="826">
        <f t="shared" si="35"/>
        <v>0</v>
      </c>
    </row>
    <row r="12" spans="1:44" ht="20.100000000000001" customHeight="1" x14ac:dyDescent="0.2">
      <c r="A12" s="876">
        <v>4</v>
      </c>
      <c r="B12" s="63" t="str">
        <f>dtsiswa!D10</f>
        <v>Antonio Permata A</v>
      </c>
      <c r="C12" s="12" t="s">
        <v>4</v>
      </c>
      <c r="D12" s="22"/>
      <c r="E12" s="22"/>
      <c r="F12" s="22"/>
      <c r="G12" s="23"/>
      <c r="H12" s="23"/>
      <c r="I12" s="23"/>
      <c r="J12" s="23"/>
      <c r="K12" s="23"/>
      <c r="L12" s="23"/>
      <c r="M12" s="283"/>
      <c r="N12" s="25"/>
      <c r="O12" s="25"/>
      <c r="P12" s="25"/>
      <c r="Q12" s="19">
        <f t="shared" si="8"/>
        <v>0</v>
      </c>
      <c r="R12" s="19">
        <f t="shared" si="9"/>
        <v>0</v>
      </c>
      <c r="S12" s="20">
        <f t="shared" si="10"/>
        <v>0</v>
      </c>
      <c r="T12" s="18">
        <f t="shared" si="11"/>
        <v>0</v>
      </c>
      <c r="U12" s="18">
        <f t="shared" si="12"/>
        <v>0</v>
      </c>
      <c r="V12" s="18">
        <f t="shared" si="13"/>
        <v>0</v>
      </c>
      <c r="W12" s="20">
        <f t="shared" si="14"/>
        <v>0</v>
      </c>
      <c r="X12" s="65">
        <f t="shared" si="15"/>
        <v>0</v>
      </c>
      <c r="Y12" s="65">
        <f t="shared" si="16"/>
        <v>0</v>
      </c>
      <c r="Z12" s="20">
        <f t="shared" si="17"/>
        <v>0</v>
      </c>
      <c r="AA12" s="39">
        <f t="shared" si="18"/>
        <v>0</v>
      </c>
      <c r="AB12" s="39">
        <f t="shared" si="19"/>
        <v>0</v>
      </c>
      <c r="AC12" s="20">
        <f t="shared" si="20"/>
        <v>0</v>
      </c>
      <c r="AD12" s="39">
        <f t="shared" si="21"/>
        <v>0</v>
      </c>
      <c r="AE12" s="39">
        <f t="shared" si="22"/>
        <v>0</v>
      </c>
      <c r="AF12" s="20">
        <f t="shared" si="23"/>
        <v>0</v>
      </c>
      <c r="AG12" s="39">
        <f t="shared" si="24"/>
        <v>0</v>
      </c>
      <c r="AH12" s="39">
        <f t="shared" si="25"/>
        <v>0</v>
      </c>
      <c r="AI12" s="20">
        <f t="shared" si="26"/>
        <v>0</v>
      </c>
      <c r="AJ12" s="28">
        <f t="shared" si="27"/>
        <v>0</v>
      </c>
      <c r="AK12" s="28">
        <f t="shared" si="28"/>
        <v>0</v>
      </c>
      <c r="AL12" s="20">
        <f t="shared" si="29"/>
        <v>0</v>
      </c>
      <c r="AM12" s="1090">
        <f t="shared" si="30"/>
        <v>0</v>
      </c>
      <c r="AN12" s="1071">
        <f t="shared" si="31"/>
        <v>0</v>
      </c>
      <c r="AO12" s="1071">
        <f t="shared" si="32"/>
        <v>0</v>
      </c>
      <c r="AP12" s="20">
        <f t="shared" si="33"/>
        <v>0</v>
      </c>
      <c r="AQ12" s="826">
        <f t="shared" si="34"/>
        <v>0</v>
      </c>
      <c r="AR12" s="826">
        <f t="shared" si="35"/>
        <v>0</v>
      </c>
    </row>
    <row r="13" spans="1:44" ht="20.100000000000001" customHeight="1" x14ac:dyDescent="0.2">
      <c r="A13" s="876">
        <v>5</v>
      </c>
      <c r="B13" s="63" t="str">
        <f>dtsiswa!D11</f>
        <v>Arya Pratama G</v>
      </c>
      <c r="C13" s="11" t="s">
        <v>5</v>
      </c>
      <c r="D13" s="22"/>
      <c r="E13" s="22"/>
      <c r="F13" s="22"/>
      <c r="G13" s="23"/>
      <c r="H13" s="23"/>
      <c r="I13" s="23"/>
      <c r="J13" s="23"/>
      <c r="K13" s="23"/>
      <c r="L13" s="23"/>
      <c r="M13" s="283"/>
      <c r="N13" s="25"/>
      <c r="O13" s="25"/>
      <c r="P13" s="25"/>
      <c r="Q13" s="19">
        <f t="shared" si="8"/>
        <v>0</v>
      </c>
      <c r="R13" s="19">
        <f t="shared" si="9"/>
        <v>0</v>
      </c>
      <c r="S13" s="20">
        <f t="shared" si="10"/>
        <v>0</v>
      </c>
      <c r="T13" s="18">
        <f t="shared" si="11"/>
        <v>0</v>
      </c>
      <c r="U13" s="18">
        <f t="shared" si="12"/>
        <v>0</v>
      </c>
      <c r="V13" s="18">
        <f t="shared" si="13"/>
        <v>0</v>
      </c>
      <c r="W13" s="20">
        <f t="shared" si="14"/>
        <v>0</v>
      </c>
      <c r="X13" s="65">
        <f t="shared" si="15"/>
        <v>0</v>
      </c>
      <c r="Y13" s="65">
        <f t="shared" si="16"/>
        <v>0</v>
      </c>
      <c r="Z13" s="20">
        <f t="shared" si="17"/>
        <v>0</v>
      </c>
      <c r="AA13" s="39">
        <f t="shared" si="18"/>
        <v>0</v>
      </c>
      <c r="AB13" s="39">
        <f t="shared" si="19"/>
        <v>0</v>
      </c>
      <c r="AC13" s="20">
        <f t="shared" si="20"/>
        <v>0</v>
      </c>
      <c r="AD13" s="39">
        <f t="shared" si="21"/>
        <v>0</v>
      </c>
      <c r="AE13" s="39">
        <f t="shared" si="22"/>
        <v>0</v>
      </c>
      <c r="AF13" s="20">
        <f t="shared" si="23"/>
        <v>0</v>
      </c>
      <c r="AG13" s="39">
        <f t="shared" si="24"/>
        <v>0</v>
      </c>
      <c r="AH13" s="39">
        <f t="shared" si="25"/>
        <v>0</v>
      </c>
      <c r="AI13" s="20">
        <f t="shared" si="26"/>
        <v>0</v>
      </c>
      <c r="AJ13" s="28">
        <f t="shared" si="27"/>
        <v>0</v>
      </c>
      <c r="AK13" s="28">
        <f t="shared" si="28"/>
        <v>0</v>
      </c>
      <c r="AL13" s="20">
        <f t="shared" si="29"/>
        <v>0</v>
      </c>
      <c r="AM13" s="1090">
        <f t="shared" si="30"/>
        <v>0</v>
      </c>
      <c r="AN13" s="1071">
        <f t="shared" si="31"/>
        <v>0</v>
      </c>
      <c r="AO13" s="1071">
        <f t="shared" si="32"/>
        <v>0</v>
      </c>
      <c r="AP13" s="20">
        <f t="shared" si="33"/>
        <v>0</v>
      </c>
      <c r="AQ13" s="826">
        <f t="shared" si="34"/>
        <v>0</v>
      </c>
      <c r="AR13" s="826">
        <f t="shared" si="35"/>
        <v>0</v>
      </c>
    </row>
    <row r="14" spans="1:44" ht="20.100000000000001" customHeight="1" x14ac:dyDescent="0.2">
      <c r="A14" s="876">
        <v>6</v>
      </c>
      <c r="B14" s="63" t="str">
        <f>dtsiswa!D12</f>
        <v>Asyam Hanif Ihsan H</v>
      </c>
      <c r="C14" s="11" t="s">
        <v>5</v>
      </c>
      <c r="D14" s="22"/>
      <c r="E14" s="22"/>
      <c r="F14" s="22"/>
      <c r="G14" s="23"/>
      <c r="H14" s="23"/>
      <c r="I14" s="23"/>
      <c r="J14" s="23"/>
      <c r="K14" s="23"/>
      <c r="L14" s="23"/>
      <c r="M14" s="283"/>
      <c r="N14" s="25"/>
      <c r="O14" s="25"/>
      <c r="P14" s="25"/>
      <c r="Q14" s="19">
        <f t="shared" si="8"/>
        <v>0</v>
      </c>
      <c r="R14" s="19">
        <f t="shared" si="9"/>
        <v>0</v>
      </c>
      <c r="S14" s="20">
        <f t="shared" si="10"/>
        <v>0</v>
      </c>
      <c r="T14" s="18">
        <f t="shared" si="11"/>
        <v>0</v>
      </c>
      <c r="U14" s="18">
        <f t="shared" si="12"/>
        <v>0</v>
      </c>
      <c r="V14" s="18">
        <f t="shared" si="13"/>
        <v>0</v>
      </c>
      <c r="W14" s="20">
        <f t="shared" si="14"/>
        <v>0</v>
      </c>
      <c r="X14" s="65">
        <f t="shared" si="15"/>
        <v>0</v>
      </c>
      <c r="Y14" s="65">
        <f t="shared" si="16"/>
        <v>0</v>
      </c>
      <c r="Z14" s="20">
        <f t="shared" si="17"/>
        <v>0</v>
      </c>
      <c r="AA14" s="39">
        <f t="shared" si="18"/>
        <v>0</v>
      </c>
      <c r="AB14" s="39">
        <f t="shared" si="19"/>
        <v>0</v>
      </c>
      <c r="AC14" s="20">
        <f t="shared" si="20"/>
        <v>0</v>
      </c>
      <c r="AD14" s="39">
        <f t="shared" si="21"/>
        <v>0</v>
      </c>
      <c r="AE14" s="39">
        <f t="shared" si="22"/>
        <v>0</v>
      </c>
      <c r="AF14" s="20">
        <f t="shared" si="23"/>
        <v>0</v>
      </c>
      <c r="AG14" s="39">
        <f t="shared" si="24"/>
        <v>0</v>
      </c>
      <c r="AH14" s="39">
        <f t="shared" si="25"/>
        <v>0</v>
      </c>
      <c r="AI14" s="20">
        <f t="shared" si="26"/>
        <v>0</v>
      </c>
      <c r="AJ14" s="28">
        <f t="shared" si="27"/>
        <v>0</v>
      </c>
      <c r="AK14" s="28">
        <f t="shared" si="28"/>
        <v>0</v>
      </c>
      <c r="AL14" s="20">
        <f t="shared" si="29"/>
        <v>0</v>
      </c>
      <c r="AM14" s="1090">
        <f t="shared" si="30"/>
        <v>0</v>
      </c>
      <c r="AN14" s="1071">
        <f t="shared" si="31"/>
        <v>0</v>
      </c>
      <c r="AO14" s="1071">
        <f t="shared" si="32"/>
        <v>0</v>
      </c>
      <c r="AP14" s="20">
        <f t="shared" si="33"/>
        <v>0</v>
      </c>
      <c r="AQ14" s="826">
        <f t="shared" si="34"/>
        <v>0</v>
      </c>
      <c r="AR14" s="826">
        <f t="shared" si="35"/>
        <v>0</v>
      </c>
    </row>
    <row r="15" spans="1:44" ht="20.100000000000001" customHeight="1" x14ac:dyDescent="0.2">
      <c r="A15" s="876">
        <v>7</v>
      </c>
      <c r="B15" s="63" t="str">
        <f>dtsiswa!D13</f>
        <v>Athaya Salsabilla Z</v>
      </c>
      <c r="C15" s="11" t="s">
        <v>4</v>
      </c>
      <c r="D15" s="22"/>
      <c r="E15" s="22"/>
      <c r="F15" s="22"/>
      <c r="G15" s="23"/>
      <c r="H15" s="23"/>
      <c r="I15" s="23"/>
      <c r="J15" s="23"/>
      <c r="K15" s="23"/>
      <c r="L15" s="23"/>
      <c r="M15" s="283"/>
      <c r="N15" s="25"/>
      <c r="O15" s="25"/>
      <c r="P15" s="25"/>
      <c r="Q15" s="19">
        <f t="shared" si="8"/>
        <v>0</v>
      </c>
      <c r="R15" s="19">
        <f t="shared" si="9"/>
        <v>0</v>
      </c>
      <c r="S15" s="20">
        <f t="shared" si="10"/>
        <v>0</v>
      </c>
      <c r="T15" s="18">
        <f t="shared" si="11"/>
        <v>0</v>
      </c>
      <c r="U15" s="18">
        <f t="shared" si="12"/>
        <v>0</v>
      </c>
      <c r="V15" s="18">
        <f t="shared" si="13"/>
        <v>0</v>
      </c>
      <c r="W15" s="20">
        <f t="shared" si="14"/>
        <v>0</v>
      </c>
      <c r="X15" s="65">
        <f t="shared" si="15"/>
        <v>0</v>
      </c>
      <c r="Y15" s="65">
        <f t="shared" si="16"/>
        <v>0</v>
      </c>
      <c r="Z15" s="20">
        <f t="shared" si="17"/>
        <v>0</v>
      </c>
      <c r="AA15" s="39">
        <f t="shared" si="18"/>
        <v>0</v>
      </c>
      <c r="AB15" s="39">
        <f t="shared" si="19"/>
        <v>0</v>
      </c>
      <c r="AC15" s="20">
        <f t="shared" si="20"/>
        <v>0</v>
      </c>
      <c r="AD15" s="39">
        <f t="shared" si="21"/>
        <v>0</v>
      </c>
      <c r="AE15" s="39">
        <f t="shared" si="22"/>
        <v>0</v>
      </c>
      <c r="AF15" s="20">
        <f t="shared" si="23"/>
        <v>0</v>
      </c>
      <c r="AG15" s="39">
        <f t="shared" si="24"/>
        <v>0</v>
      </c>
      <c r="AH15" s="39">
        <f t="shared" si="25"/>
        <v>0</v>
      </c>
      <c r="AI15" s="20">
        <f t="shared" si="26"/>
        <v>0</v>
      </c>
      <c r="AJ15" s="28">
        <f t="shared" si="27"/>
        <v>0</v>
      </c>
      <c r="AK15" s="28">
        <f t="shared" si="28"/>
        <v>0</v>
      </c>
      <c r="AL15" s="20">
        <f t="shared" si="29"/>
        <v>0</v>
      </c>
      <c r="AM15" s="1090">
        <f t="shared" si="30"/>
        <v>0</v>
      </c>
      <c r="AN15" s="1071">
        <f t="shared" si="31"/>
        <v>0</v>
      </c>
      <c r="AO15" s="1071">
        <f t="shared" si="32"/>
        <v>0</v>
      </c>
      <c r="AP15" s="20">
        <f t="shared" si="33"/>
        <v>0</v>
      </c>
      <c r="AQ15" s="826">
        <f t="shared" si="34"/>
        <v>0</v>
      </c>
      <c r="AR15" s="826">
        <f t="shared" si="35"/>
        <v>0</v>
      </c>
    </row>
    <row r="16" spans="1:44" ht="20.100000000000001" customHeight="1" x14ac:dyDescent="0.2">
      <c r="A16" s="876">
        <v>8</v>
      </c>
      <c r="B16" s="63" t="str">
        <f>dtsiswa!D14</f>
        <v>Aulia Dea Rosalinda</v>
      </c>
      <c r="C16" s="11" t="s">
        <v>4</v>
      </c>
      <c r="D16" s="22"/>
      <c r="E16" s="22"/>
      <c r="F16" s="22"/>
      <c r="G16" s="23"/>
      <c r="H16" s="23"/>
      <c r="I16" s="23"/>
      <c r="J16" s="23"/>
      <c r="K16" s="23"/>
      <c r="L16" s="23"/>
      <c r="M16" s="283"/>
      <c r="N16" s="25"/>
      <c r="O16" s="25"/>
      <c r="P16" s="25"/>
      <c r="Q16" s="19">
        <f t="shared" si="8"/>
        <v>0</v>
      </c>
      <c r="R16" s="19">
        <f t="shared" si="9"/>
        <v>0</v>
      </c>
      <c r="S16" s="20">
        <f t="shared" si="10"/>
        <v>0</v>
      </c>
      <c r="T16" s="18">
        <f t="shared" si="11"/>
        <v>0</v>
      </c>
      <c r="U16" s="18">
        <f t="shared" si="12"/>
        <v>0</v>
      </c>
      <c r="V16" s="18">
        <f t="shared" si="13"/>
        <v>0</v>
      </c>
      <c r="W16" s="20">
        <f t="shared" si="14"/>
        <v>0</v>
      </c>
      <c r="X16" s="65">
        <f t="shared" si="15"/>
        <v>0</v>
      </c>
      <c r="Y16" s="65">
        <f t="shared" si="16"/>
        <v>0</v>
      </c>
      <c r="Z16" s="20">
        <f t="shared" si="17"/>
        <v>0</v>
      </c>
      <c r="AA16" s="39">
        <f t="shared" si="18"/>
        <v>0</v>
      </c>
      <c r="AB16" s="39">
        <f t="shared" si="19"/>
        <v>0</v>
      </c>
      <c r="AC16" s="20">
        <f t="shared" si="20"/>
        <v>0</v>
      </c>
      <c r="AD16" s="39">
        <f t="shared" si="21"/>
        <v>0</v>
      </c>
      <c r="AE16" s="39">
        <f t="shared" si="22"/>
        <v>0</v>
      </c>
      <c r="AF16" s="20">
        <f t="shared" si="23"/>
        <v>0</v>
      </c>
      <c r="AG16" s="39">
        <f t="shared" si="24"/>
        <v>0</v>
      </c>
      <c r="AH16" s="39">
        <f t="shared" si="25"/>
        <v>0</v>
      </c>
      <c r="AI16" s="20">
        <f t="shared" si="26"/>
        <v>0</v>
      </c>
      <c r="AJ16" s="28">
        <f t="shared" si="27"/>
        <v>0</v>
      </c>
      <c r="AK16" s="28">
        <f t="shared" si="28"/>
        <v>0</v>
      </c>
      <c r="AL16" s="20">
        <f t="shared" si="29"/>
        <v>0</v>
      </c>
      <c r="AM16" s="1090">
        <f t="shared" si="30"/>
        <v>0</v>
      </c>
      <c r="AN16" s="1071">
        <f t="shared" si="31"/>
        <v>0</v>
      </c>
      <c r="AO16" s="1071">
        <f t="shared" si="32"/>
        <v>0</v>
      </c>
      <c r="AP16" s="20">
        <f t="shared" si="33"/>
        <v>0</v>
      </c>
      <c r="AQ16" s="826">
        <f t="shared" si="34"/>
        <v>0</v>
      </c>
      <c r="AR16" s="826">
        <f t="shared" si="35"/>
        <v>0</v>
      </c>
    </row>
    <row r="17" spans="1:44" ht="20.100000000000001" customHeight="1" x14ac:dyDescent="0.2">
      <c r="A17" s="876">
        <v>9</v>
      </c>
      <c r="B17" s="63" t="str">
        <f>dtsiswa!D15</f>
        <v>Claudia Gabriella L</v>
      </c>
      <c r="C17" s="11" t="s">
        <v>4</v>
      </c>
      <c r="D17" s="22"/>
      <c r="E17" s="22"/>
      <c r="F17" s="22"/>
      <c r="G17" s="23"/>
      <c r="H17" s="23"/>
      <c r="I17" s="23"/>
      <c r="J17" s="23"/>
      <c r="K17" s="23"/>
      <c r="L17" s="23"/>
      <c r="M17" s="283"/>
      <c r="N17" s="25"/>
      <c r="O17" s="25"/>
      <c r="P17" s="25"/>
      <c r="Q17" s="19">
        <f t="shared" si="8"/>
        <v>0</v>
      </c>
      <c r="R17" s="19">
        <f t="shared" si="9"/>
        <v>0</v>
      </c>
      <c r="S17" s="20">
        <f t="shared" si="10"/>
        <v>0</v>
      </c>
      <c r="T17" s="18">
        <f t="shared" si="11"/>
        <v>0</v>
      </c>
      <c r="U17" s="18">
        <f t="shared" si="12"/>
        <v>0</v>
      </c>
      <c r="V17" s="18">
        <f t="shared" si="13"/>
        <v>0</v>
      </c>
      <c r="W17" s="20">
        <f t="shared" si="14"/>
        <v>0</v>
      </c>
      <c r="X17" s="65">
        <f t="shared" si="15"/>
        <v>0</v>
      </c>
      <c r="Y17" s="65">
        <f t="shared" si="16"/>
        <v>0</v>
      </c>
      <c r="Z17" s="20">
        <f t="shared" si="17"/>
        <v>0</v>
      </c>
      <c r="AA17" s="39">
        <f t="shared" si="18"/>
        <v>0</v>
      </c>
      <c r="AB17" s="39">
        <f t="shared" si="19"/>
        <v>0</v>
      </c>
      <c r="AC17" s="20">
        <f t="shared" si="20"/>
        <v>0</v>
      </c>
      <c r="AD17" s="39">
        <f t="shared" si="21"/>
        <v>0</v>
      </c>
      <c r="AE17" s="39">
        <f t="shared" si="22"/>
        <v>0</v>
      </c>
      <c r="AF17" s="20">
        <f t="shared" si="23"/>
        <v>0</v>
      </c>
      <c r="AG17" s="39">
        <f t="shared" si="24"/>
        <v>0</v>
      </c>
      <c r="AH17" s="39">
        <f t="shared" si="25"/>
        <v>0</v>
      </c>
      <c r="AI17" s="20">
        <f t="shared" si="26"/>
        <v>0</v>
      </c>
      <c r="AJ17" s="28">
        <f t="shared" si="27"/>
        <v>0</v>
      </c>
      <c r="AK17" s="28">
        <f t="shared" si="28"/>
        <v>0</v>
      </c>
      <c r="AL17" s="20">
        <f t="shared" si="29"/>
        <v>0</v>
      </c>
      <c r="AM17" s="1090">
        <f t="shared" si="30"/>
        <v>0</v>
      </c>
      <c r="AN17" s="1071">
        <f t="shared" si="31"/>
        <v>0</v>
      </c>
      <c r="AO17" s="1071">
        <f t="shared" si="32"/>
        <v>0</v>
      </c>
      <c r="AP17" s="20">
        <f t="shared" si="33"/>
        <v>0</v>
      </c>
      <c r="AQ17" s="826">
        <f t="shared" si="34"/>
        <v>0</v>
      </c>
      <c r="AR17" s="826">
        <f t="shared" si="35"/>
        <v>0</v>
      </c>
    </row>
    <row r="18" spans="1:44" ht="20.100000000000001" customHeight="1" x14ac:dyDescent="0.2">
      <c r="A18" s="876">
        <v>10</v>
      </c>
      <c r="B18" s="63" t="str">
        <f>dtsiswa!D16</f>
        <v xml:space="preserve">Deco Badarus Zaman </v>
      </c>
      <c r="C18" s="11" t="s">
        <v>4</v>
      </c>
      <c r="D18" s="22"/>
      <c r="E18" s="22"/>
      <c r="F18" s="22"/>
      <c r="G18" s="23"/>
      <c r="H18" s="23"/>
      <c r="I18" s="23"/>
      <c r="J18" s="23"/>
      <c r="K18" s="23"/>
      <c r="L18" s="23"/>
      <c r="M18" s="283"/>
      <c r="N18" s="25"/>
      <c r="O18" s="25"/>
      <c r="P18" s="25"/>
      <c r="Q18" s="19">
        <f t="shared" si="8"/>
        <v>0</v>
      </c>
      <c r="R18" s="19">
        <f t="shared" si="9"/>
        <v>0</v>
      </c>
      <c r="S18" s="20">
        <f t="shared" si="10"/>
        <v>0</v>
      </c>
      <c r="T18" s="18">
        <f t="shared" si="11"/>
        <v>0</v>
      </c>
      <c r="U18" s="18">
        <f t="shared" si="12"/>
        <v>0</v>
      </c>
      <c r="V18" s="18">
        <f t="shared" si="13"/>
        <v>0</v>
      </c>
      <c r="W18" s="20">
        <f t="shared" si="14"/>
        <v>0</v>
      </c>
      <c r="X18" s="65">
        <f t="shared" si="15"/>
        <v>0</v>
      </c>
      <c r="Y18" s="65">
        <f t="shared" si="16"/>
        <v>0</v>
      </c>
      <c r="Z18" s="20">
        <f t="shared" si="17"/>
        <v>0</v>
      </c>
      <c r="AA18" s="39">
        <f t="shared" si="18"/>
        <v>0</v>
      </c>
      <c r="AB18" s="39">
        <f t="shared" si="19"/>
        <v>0</v>
      </c>
      <c r="AC18" s="20">
        <f t="shared" si="20"/>
        <v>0</v>
      </c>
      <c r="AD18" s="39">
        <f t="shared" si="21"/>
        <v>0</v>
      </c>
      <c r="AE18" s="39">
        <f t="shared" si="22"/>
        <v>0</v>
      </c>
      <c r="AF18" s="20">
        <f t="shared" si="23"/>
        <v>0</v>
      </c>
      <c r="AG18" s="39">
        <f t="shared" si="24"/>
        <v>0</v>
      </c>
      <c r="AH18" s="39">
        <f t="shared" si="25"/>
        <v>0</v>
      </c>
      <c r="AI18" s="20">
        <f t="shared" si="26"/>
        <v>0</v>
      </c>
      <c r="AJ18" s="28">
        <f t="shared" si="27"/>
        <v>0</v>
      </c>
      <c r="AK18" s="28">
        <f t="shared" si="28"/>
        <v>0</v>
      </c>
      <c r="AL18" s="20">
        <f t="shared" si="29"/>
        <v>0</v>
      </c>
      <c r="AM18" s="1090">
        <f t="shared" si="30"/>
        <v>0</v>
      </c>
      <c r="AN18" s="1071">
        <f t="shared" si="31"/>
        <v>0</v>
      </c>
      <c r="AO18" s="1071">
        <f t="shared" si="32"/>
        <v>0</v>
      </c>
      <c r="AP18" s="20">
        <f t="shared" si="33"/>
        <v>0</v>
      </c>
      <c r="AQ18" s="826">
        <f t="shared" si="34"/>
        <v>0</v>
      </c>
      <c r="AR18" s="826">
        <f t="shared" si="35"/>
        <v>0</v>
      </c>
    </row>
    <row r="19" spans="1:44" ht="20.100000000000001" customHeight="1" x14ac:dyDescent="0.2">
      <c r="A19" s="876">
        <v>11</v>
      </c>
      <c r="B19" s="63" t="str">
        <f>dtsiswa!D17</f>
        <v>Fania Mutiara Felichia</v>
      </c>
      <c r="C19" s="11" t="s">
        <v>4</v>
      </c>
      <c r="D19" s="22"/>
      <c r="E19" s="22"/>
      <c r="F19" s="22"/>
      <c r="G19" s="23"/>
      <c r="H19" s="23"/>
      <c r="I19" s="23"/>
      <c r="J19" s="23"/>
      <c r="K19" s="23"/>
      <c r="L19" s="23"/>
      <c r="M19" s="283"/>
      <c r="N19" s="25"/>
      <c r="O19" s="25"/>
      <c r="P19" s="25"/>
      <c r="Q19" s="19">
        <f t="shared" si="8"/>
        <v>0</v>
      </c>
      <c r="R19" s="19">
        <f t="shared" si="9"/>
        <v>0</v>
      </c>
      <c r="S19" s="20">
        <f t="shared" si="10"/>
        <v>0</v>
      </c>
      <c r="T19" s="18">
        <f t="shared" si="11"/>
        <v>0</v>
      </c>
      <c r="U19" s="18">
        <f t="shared" si="12"/>
        <v>0</v>
      </c>
      <c r="V19" s="18">
        <f t="shared" si="13"/>
        <v>0</v>
      </c>
      <c r="W19" s="20">
        <f t="shared" si="14"/>
        <v>0</v>
      </c>
      <c r="X19" s="65">
        <f t="shared" si="15"/>
        <v>0</v>
      </c>
      <c r="Y19" s="65">
        <f t="shared" si="16"/>
        <v>0</v>
      </c>
      <c r="Z19" s="20">
        <f t="shared" si="17"/>
        <v>0</v>
      </c>
      <c r="AA19" s="39">
        <f t="shared" si="18"/>
        <v>0</v>
      </c>
      <c r="AB19" s="39">
        <f t="shared" si="19"/>
        <v>0</v>
      </c>
      <c r="AC19" s="20">
        <f t="shared" si="20"/>
        <v>0</v>
      </c>
      <c r="AD19" s="39">
        <f t="shared" si="21"/>
        <v>0</v>
      </c>
      <c r="AE19" s="39">
        <f t="shared" si="22"/>
        <v>0</v>
      </c>
      <c r="AF19" s="20">
        <f t="shared" si="23"/>
        <v>0</v>
      </c>
      <c r="AG19" s="39">
        <f t="shared" si="24"/>
        <v>0</v>
      </c>
      <c r="AH19" s="39">
        <f t="shared" si="25"/>
        <v>0</v>
      </c>
      <c r="AI19" s="20">
        <f t="shared" si="26"/>
        <v>0</v>
      </c>
      <c r="AJ19" s="28">
        <f t="shared" si="27"/>
        <v>0</v>
      </c>
      <c r="AK19" s="28">
        <f t="shared" si="28"/>
        <v>0</v>
      </c>
      <c r="AL19" s="20">
        <f t="shared" si="29"/>
        <v>0</v>
      </c>
      <c r="AM19" s="1090">
        <f t="shared" si="30"/>
        <v>0</v>
      </c>
      <c r="AN19" s="1071">
        <f t="shared" si="31"/>
        <v>0</v>
      </c>
      <c r="AO19" s="1071">
        <f t="shared" si="32"/>
        <v>0</v>
      </c>
      <c r="AP19" s="20">
        <f t="shared" si="33"/>
        <v>0</v>
      </c>
      <c r="AQ19" s="826">
        <f t="shared" si="34"/>
        <v>0</v>
      </c>
      <c r="AR19" s="826">
        <f t="shared" si="35"/>
        <v>0</v>
      </c>
    </row>
    <row r="20" spans="1:44" ht="20.100000000000001" customHeight="1" x14ac:dyDescent="0.2">
      <c r="A20" s="876">
        <v>12</v>
      </c>
      <c r="B20" s="63" t="str">
        <f>dtsiswa!D18</f>
        <v>Intan Dyah Nowari</v>
      </c>
      <c r="C20" s="11" t="s">
        <v>4</v>
      </c>
      <c r="D20" s="22"/>
      <c r="E20" s="22"/>
      <c r="F20" s="22"/>
      <c r="G20" s="23"/>
      <c r="H20" s="23"/>
      <c r="I20" s="23"/>
      <c r="J20" s="23"/>
      <c r="K20" s="23"/>
      <c r="L20" s="23"/>
      <c r="M20" s="283"/>
      <c r="N20" s="25"/>
      <c r="O20" s="25"/>
      <c r="P20" s="25"/>
      <c r="Q20" s="19">
        <f t="shared" si="8"/>
        <v>0</v>
      </c>
      <c r="R20" s="19">
        <f t="shared" si="9"/>
        <v>0</v>
      </c>
      <c r="S20" s="20">
        <f t="shared" si="10"/>
        <v>0</v>
      </c>
      <c r="T20" s="18">
        <f t="shared" si="11"/>
        <v>0</v>
      </c>
      <c r="U20" s="18">
        <f t="shared" si="12"/>
        <v>0</v>
      </c>
      <c r="V20" s="18">
        <f t="shared" si="13"/>
        <v>0</v>
      </c>
      <c r="W20" s="20">
        <f t="shared" si="14"/>
        <v>0</v>
      </c>
      <c r="X20" s="65">
        <f t="shared" si="15"/>
        <v>0</v>
      </c>
      <c r="Y20" s="65">
        <f t="shared" si="16"/>
        <v>0</v>
      </c>
      <c r="Z20" s="20">
        <f t="shared" si="17"/>
        <v>0</v>
      </c>
      <c r="AA20" s="39">
        <f t="shared" si="18"/>
        <v>0</v>
      </c>
      <c r="AB20" s="39">
        <f t="shared" si="19"/>
        <v>0</v>
      </c>
      <c r="AC20" s="20">
        <f t="shared" si="20"/>
        <v>0</v>
      </c>
      <c r="AD20" s="39">
        <f t="shared" si="21"/>
        <v>0</v>
      </c>
      <c r="AE20" s="39">
        <f t="shared" si="22"/>
        <v>0</v>
      </c>
      <c r="AF20" s="20">
        <f t="shared" si="23"/>
        <v>0</v>
      </c>
      <c r="AG20" s="39">
        <f t="shared" si="24"/>
        <v>0</v>
      </c>
      <c r="AH20" s="39">
        <f t="shared" si="25"/>
        <v>0</v>
      </c>
      <c r="AI20" s="20">
        <f t="shared" si="26"/>
        <v>0</v>
      </c>
      <c r="AJ20" s="28">
        <f t="shared" si="27"/>
        <v>0</v>
      </c>
      <c r="AK20" s="28">
        <f t="shared" si="28"/>
        <v>0</v>
      </c>
      <c r="AL20" s="20">
        <f t="shared" si="29"/>
        <v>0</v>
      </c>
      <c r="AM20" s="1090">
        <f t="shared" si="30"/>
        <v>0</v>
      </c>
      <c r="AN20" s="1071">
        <f t="shared" si="31"/>
        <v>0</v>
      </c>
      <c r="AO20" s="1071">
        <f t="shared" si="32"/>
        <v>0</v>
      </c>
      <c r="AP20" s="20">
        <f t="shared" si="33"/>
        <v>0</v>
      </c>
      <c r="AQ20" s="826">
        <f t="shared" si="34"/>
        <v>0</v>
      </c>
      <c r="AR20" s="826">
        <f t="shared" si="35"/>
        <v>0</v>
      </c>
    </row>
    <row r="21" spans="1:44" ht="20.100000000000001" customHeight="1" x14ac:dyDescent="0.2">
      <c r="A21" s="876">
        <v>13</v>
      </c>
      <c r="B21" s="63" t="str">
        <f>dtsiswa!D19</f>
        <v>Misyanita Nurfitri S</v>
      </c>
      <c r="C21" s="11" t="s">
        <v>5</v>
      </c>
      <c r="D21" s="22"/>
      <c r="E21" s="22"/>
      <c r="F21" s="22"/>
      <c r="G21" s="23"/>
      <c r="H21" s="23"/>
      <c r="I21" s="23"/>
      <c r="J21" s="23"/>
      <c r="K21" s="23"/>
      <c r="L21" s="23"/>
      <c r="M21" s="283"/>
      <c r="N21" s="25"/>
      <c r="O21" s="25"/>
      <c r="P21" s="25"/>
      <c r="Q21" s="19">
        <f t="shared" si="8"/>
        <v>0</v>
      </c>
      <c r="R21" s="19">
        <f t="shared" si="9"/>
        <v>0</v>
      </c>
      <c r="S21" s="20">
        <f t="shared" si="10"/>
        <v>0</v>
      </c>
      <c r="T21" s="18">
        <f t="shared" si="11"/>
        <v>0</v>
      </c>
      <c r="U21" s="18">
        <f t="shared" si="12"/>
        <v>0</v>
      </c>
      <c r="V21" s="18">
        <f t="shared" si="13"/>
        <v>0</v>
      </c>
      <c r="W21" s="20">
        <f t="shared" si="14"/>
        <v>0</v>
      </c>
      <c r="X21" s="65">
        <f t="shared" si="15"/>
        <v>0</v>
      </c>
      <c r="Y21" s="65">
        <f t="shared" si="16"/>
        <v>0</v>
      </c>
      <c r="Z21" s="20">
        <f t="shared" si="17"/>
        <v>0</v>
      </c>
      <c r="AA21" s="39">
        <f t="shared" si="18"/>
        <v>0</v>
      </c>
      <c r="AB21" s="39">
        <f t="shared" si="19"/>
        <v>0</v>
      </c>
      <c r="AC21" s="20">
        <f t="shared" si="20"/>
        <v>0</v>
      </c>
      <c r="AD21" s="39">
        <f t="shared" si="21"/>
        <v>0</v>
      </c>
      <c r="AE21" s="39">
        <f t="shared" si="22"/>
        <v>0</v>
      </c>
      <c r="AF21" s="20">
        <f t="shared" si="23"/>
        <v>0</v>
      </c>
      <c r="AG21" s="39">
        <f t="shared" si="24"/>
        <v>0</v>
      </c>
      <c r="AH21" s="39">
        <f t="shared" si="25"/>
        <v>0</v>
      </c>
      <c r="AI21" s="20">
        <f t="shared" si="26"/>
        <v>0</v>
      </c>
      <c r="AJ21" s="28">
        <f t="shared" si="27"/>
        <v>0</v>
      </c>
      <c r="AK21" s="28">
        <f t="shared" si="28"/>
        <v>0</v>
      </c>
      <c r="AL21" s="20">
        <f t="shared" si="29"/>
        <v>0</v>
      </c>
      <c r="AM21" s="1090">
        <f t="shared" si="30"/>
        <v>0</v>
      </c>
      <c r="AN21" s="1071">
        <f t="shared" si="31"/>
        <v>0</v>
      </c>
      <c r="AO21" s="1071">
        <f t="shared" si="32"/>
        <v>0</v>
      </c>
      <c r="AP21" s="20">
        <f t="shared" si="33"/>
        <v>0</v>
      </c>
      <c r="AQ21" s="826">
        <f t="shared" si="34"/>
        <v>0</v>
      </c>
      <c r="AR21" s="826">
        <f t="shared" si="35"/>
        <v>0</v>
      </c>
    </row>
    <row r="22" spans="1:44" ht="20.100000000000001" customHeight="1" x14ac:dyDescent="0.2">
      <c r="A22" s="876">
        <v>14</v>
      </c>
      <c r="B22" s="63" t="str">
        <f>dtsiswa!D20</f>
        <v>Moch Zidane Hita L. U</v>
      </c>
      <c r="C22" s="11" t="s">
        <v>4</v>
      </c>
      <c r="D22" s="22"/>
      <c r="E22" s="22"/>
      <c r="F22" s="22"/>
      <c r="G22" s="23"/>
      <c r="H22" s="23"/>
      <c r="I22" s="23"/>
      <c r="J22" s="23"/>
      <c r="K22" s="23"/>
      <c r="L22" s="23"/>
      <c r="M22" s="283"/>
      <c r="N22" s="25"/>
      <c r="O22" s="25"/>
      <c r="P22" s="25"/>
      <c r="Q22" s="19">
        <f t="shared" si="8"/>
        <v>0</v>
      </c>
      <c r="R22" s="19">
        <f t="shared" si="9"/>
        <v>0</v>
      </c>
      <c r="S22" s="20">
        <f t="shared" si="10"/>
        <v>0</v>
      </c>
      <c r="T22" s="18">
        <f t="shared" si="11"/>
        <v>0</v>
      </c>
      <c r="U22" s="18">
        <f t="shared" si="12"/>
        <v>0</v>
      </c>
      <c r="V22" s="18">
        <f t="shared" si="13"/>
        <v>0</v>
      </c>
      <c r="W22" s="20">
        <f t="shared" si="14"/>
        <v>0</v>
      </c>
      <c r="X22" s="65">
        <f t="shared" si="15"/>
        <v>0</v>
      </c>
      <c r="Y22" s="65">
        <f t="shared" si="16"/>
        <v>0</v>
      </c>
      <c r="Z22" s="20">
        <f t="shared" si="17"/>
        <v>0</v>
      </c>
      <c r="AA22" s="39">
        <f t="shared" si="18"/>
        <v>0</v>
      </c>
      <c r="AB22" s="39">
        <f t="shared" si="19"/>
        <v>0</v>
      </c>
      <c r="AC22" s="20">
        <f t="shared" si="20"/>
        <v>0</v>
      </c>
      <c r="AD22" s="39">
        <f t="shared" si="21"/>
        <v>0</v>
      </c>
      <c r="AE22" s="39">
        <f t="shared" si="22"/>
        <v>0</v>
      </c>
      <c r="AF22" s="20">
        <f t="shared" si="23"/>
        <v>0</v>
      </c>
      <c r="AG22" s="39">
        <f t="shared" si="24"/>
        <v>0</v>
      </c>
      <c r="AH22" s="39">
        <f t="shared" si="25"/>
        <v>0</v>
      </c>
      <c r="AI22" s="20">
        <f t="shared" si="26"/>
        <v>0</v>
      </c>
      <c r="AJ22" s="28">
        <f t="shared" si="27"/>
        <v>0</v>
      </c>
      <c r="AK22" s="28">
        <f t="shared" si="28"/>
        <v>0</v>
      </c>
      <c r="AL22" s="20">
        <f t="shared" si="29"/>
        <v>0</v>
      </c>
      <c r="AM22" s="1090">
        <f t="shared" si="30"/>
        <v>0</v>
      </c>
      <c r="AN22" s="1071">
        <f t="shared" si="31"/>
        <v>0</v>
      </c>
      <c r="AO22" s="1071">
        <f t="shared" si="32"/>
        <v>0</v>
      </c>
      <c r="AP22" s="20">
        <f t="shared" si="33"/>
        <v>0</v>
      </c>
      <c r="AQ22" s="826">
        <f t="shared" si="34"/>
        <v>0</v>
      </c>
      <c r="AR22" s="826">
        <f t="shared" si="35"/>
        <v>0</v>
      </c>
    </row>
    <row r="23" spans="1:44" ht="20.100000000000001" customHeight="1" x14ac:dyDescent="0.2">
      <c r="A23" s="876">
        <v>15</v>
      </c>
      <c r="B23" s="63" t="str">
        <f>dtsiswa!D21</f>
        <v>Muhammad Ibra Maulana</v>
      </c>
      <c r="C23" s="11" t="s">
        <v>4</v>
      </c>
      <c r="D23" s="22"/>
      <c r="E23" s="22"/>
      <c r="F23" s="22"/>
      <c r="G23" s="23"/>
      <c r="H23" s="23"/>
      <c r="I23" s="23"/>
      <c r="J23" s="23"/>
      <c r="K23" s="23"/>
      <c r="L23" s="23"/>
      <c r="M23" s="283"/>
      <c r="N23" s="25"/>
      <c r="O23" s="25"/>
      <c r="P23" s="25"/>
      <c r="Q23" s="19">
        <f t="shared" si="8"/>
        <v>0</v>
      </c>
      <c r="R23" s="19">
        <f t="shared" si="9"/>
        <v>0</v>
      </c>
      <c r="S23" s="20">
        <f t="shared" si="10"/>
        <v>0</v>
      </c>
      <c r="T23" s="18">
        <f t="shared" si="11"/>
        <v>0</v>
      </c>
      <c r="U23" s="18">
        <f t="shared" si="12"/>
        <v>0</v>
      </c>
      <c r="V23" s="18">
        <f t="shared" si="13"/>
        <v>0</v>
      </c>
      <c r="W23" s="20">
        <f t="shared" si="14"/>
        <v>0</v>
      </c>
      <c r="X23" s="65">
        <f t="shared" si="15"/>
        <v>0</v>
      </c>
      <c r="Y23" s="65">
        <f t="shared" si="16"/>
        <v>0</v>
      </c>
      <c r="Z23" s="20">
        <f t="shared" si="17"/>
        <v>0</v>
      </c>
      <c r="AA23" s="39">
        <f t="shared" si="18"/>
        <v>0</v>
      </c>
      <c r="AB23" s="39">
        <f t="shared" si="19"/>
        <v>0</v>
      </c>
      <c r="AC23" s="20">
        <f t="shared" si="20"/>
        <v>0</v>
      </c>
      <c r="AD23" s="39">
        <f t="shared" si="21"/>
        <v>0</v>
      </c>
      <c r="AE23" s="39">
        <f t="shared" si="22"/>
        <v>0</v>
      </c>
      <c r="AF23" s="20">
        <f t="shared" si="23"/>
        <v>0</v>
      </c>
      <c r="AG23" s="39">
        <f t="shared" si="24"/>
        <v>0</v>
      </c>
      <c r="AH23" s="39">
        <f t="shared" si="25"/>
        <v>0</v>
      </c>
      <c r="AI23" s="20">
        <f t="shared" si="26"/>
        <v>0</v>
      </c>
      <c r="AJ23" s="28">
        <f t="shared" si="27"/>
        <v>0</v>
      </c>
      <c r="AK23" s="28">
        <f t="shared" si="28"/>
        <v>0</v>
      </c>
      <c r="AL23" s="20">
        <f t="shared" si="29"/>
        <v>0</v>
      </c>
      <c r="AM23" s="1090">
        <f t="shared" si="30"/>
        <v>0</v>
      </c>
      <c r="AN23" s="1071">
        <f t="shared" si="31"/>
        <v>0</v>
      </c>
      <c r="AO23" s="1071">
        <f t="shared" si="32"/>
        <v>0</v>
      </c>
      <c r="AP23" s="20">
        <f t="shared" si="33"/>
        <v>0</v>
      </c>
      <c r="AQ23" s="826">
        <f t="shared" si="34"/>
        <v>0</v>
      </c>
      <c r="AR23" s="826">
        <f t="shared" si="35"/>
        <v>0</v>
      </c>
    </row>
    <row r="24" spans="1:44" ht="20.100000000000001" customHeight="1" x14ac:dyDescent="0.2">
      <c r="A24" s="876">
        <v>16</v>
      </c>
      <c r="B24" s="63" t="str">
        <f>dtsiswa!D22</f>
        <v>Nabilla Shiva Putri</v>
      </c>
      <c r="C24" s="11" t="s">
        <v>4</v>
      </c>
      <c r="D24" s="22"/>
      <c r="E24" s="22"/>
      <c r="F24" s="22"/>
      <c r="G24" s="23"/>
      <c r="H24" s="23"/>
      <c r="I24" s="23"/>
      <c r="J24" s="23"/>
      <c r="K24" s="23"/>
      <c r="L24" s="23"/>
      <c r="M24" s="283"/>
      <c r="N24" s="25"/>
      <c r="O24" s="25"/>
      <c r="P24" s="25"/>
      <c r="Q24" s="19">
        <f t="shared" si="8"/>
        <v>0</v>
      </c>
      <c r="R24" s="19">
        <f t="shared" si="9"/>
        <v>0</v>
      </c>
      <c r="S24" s="20">
        <f t="shared" si="10"/>
        <v>0</v>
      </c>
      <c r="T24" s="18">
        <f t="shared" si="11"/>
        <v>0</v>
      </c>
      <c r="U24" s="18">
        <f t="shared" si="12"/>
        <v>0</v>
      </c>
      <c r="V24" s="18">
        <f t="shared" si="13"/>
        <v>0</v>
      </c>
      <c r="W24" s="20">
        <f t="shared" si="14"/>
        <v>0</v>
      </c>
      <c r="X24" s="65">
        <f t="shared" si="15"/>
        <v>0</v>
      </c>
      <c r="Y24" s="65">
        <f t="shared" si="16"/>
        <v>0</v>
      </c>
      <c r="Z24" s="20">
        <f t="shared" si="17"/>
        <v>0</v>
      </c>
      <c r="AA24" s="39">
        <f t="shared" si="18"/>
        <v>0</v>
      </c>
      <c r="AB24" s="39">
        <f t="shared" si="19"/>
        <v>0</v>
      </c>
      <c r="AC24" s="20">
        <f t="shared" si="20"/>
        <v>0</v>
      </c>
      <c r="AD24" s="39">
        <f t="shared" si="21"/>
        <v>0</v>
      </c>
      <c r="AE24" s="39">
        <f t="shared" si="22"/>
        <v>0</v>
      </c>
      <c r="AF24" s="20">
        <f t="shared" si="23"/>
        <v>0</v>
      </c>
      <c r="AG24" s="39">
        <f t="shared" si="24"/>
        <v>0</v>
      </c>
      <c r="AH24" s="39">
        <f t="shared" si="25"/>
        <v>0</v>
      </c>
      <c r="AI24" s="20">
        <f t="shared" si="26"/>
        <v>0</v>
      </c>
      <c r="AJ24" s="28">
        <f t="shared" si="27"/>
        <v>0</v>
      </c>
      <c r="AK24" s="28">
        <f t="shared" si="28"/>
        <v>0</v>
      </c>
      <c r="AL24" s="20">
        <f t="shared" si="29"/>
        <v>0</v>
      </c>
      <c r="AM24" s="1090">
        <f t="shared" si="30"/>
        <v>0</v>
      </c>
      <c r="AN24" s="1071">
        <f t="shared" si="31"/>
        <v>0</v>
      </c>
      <c r="AO24" s="1071">
        <f t="shared" si="32"/>
        <v>0</v>
      </c>
      <c r="AP24" s="20">
        <f t="shared" si="33"/>
        <v>0</v>
      </c>
      <c r="AQ24" s="826">
        <f t="shared" si="34"/>
        <v>0</v>
      </c>
      <c r="AR24" s="826">
        <f t="shared" si="35"/>
        <v>0</v>
      </c>
    </row>
    <row r="25" spans="1:44" ht="20.100000000000001" customHeight="1" x14ac:dyDescent="0.2">
      <c r="A25" s="876">
        <v>17</v>
      </c>
      <c r="B25" s="63" t="str">
        <f>dtsiswa!D23</f>
        <v>Naufal Falih F</v>
      </c>
      <c r="C25" s="11" t="s">
        <v>5</v>
      </c>
      <c r="D25" s="22"/>
      <c r="E25" s="22"/>
      <c r="F25" s="22"/>
      <c r="G25" s="23"/>
      <c r="H25" s="23"/>
      <c r="I25" s="23"/>
      <c r="J25" s="23"/>
      <c r="K25" s="23"/>
      <c r="L25" s="23"/>
      <c r="M25" s="283"/>
      <c r="N25" s="25"/>
      <c r="O25" s="25"/>
      <c r="P25" s="25"/>
      <c r="Q25" s="19">
        <f t="shared" si="8"/>
        <v>0</v>
      </c>
      <c r="R25" s="19">
        <f t="shared" si="9"/>
        <v>0</v>
      </c>
      <c r="S25" s="20">
        <f t="shared" si="10"/>
        <v>0</v>
      </c>
      <c r="T25" s="18">
        <f t="shared" si="11"/>
        <v>0</v>
      </c>
      <c r="U25" s="18">
        <f t="shared" si="12"/>
        <v>0</v>
      </c>
      <c r="V25" s="18">
        <f t="shared" si="13"/>
        <v>0</v>
      </c>
      <c r="W25" s="20">
        <f t="shared" si="14"/>
        <v>0</v>
      </c>
      <c r="X25" s="65">
        <f t="shared" si="15"/>
        <v>0</v>
      </c>
      <c r="Y25" s="65">
        <f t="shared" si="16"/>
        <v>0</v>
      </c>
      <c r="Z25" s="20">
        <f t="shared" si="17"/>
        <v>0</v>
      </c>
      <c r="AA25" s="39">
        <f t="shared" si="18"/>
        <v>0</v>
      </c>
      <c r="AB25" s="39">
        <f t="shared" si="19"/>
        <v>0</v>
      </c>
      <c r="AC25" s="20">
        <f t="shared" si="20"/>
        <v>0</v>
      </c>
      <c r="AD25" s="39">
        <f t="shared" si="21"/>
        <v>0</v>
      </c>
      <c r="AE25" s="39">
        <f t="shared" si="22"/>
        <v>0</v>
      </c>
      <c r="AF25" s="20">
        <f t="shared" si="23"/>
        <v>0</v>
      </c>
      <c r="AG25" s="39">
        <f t="shared" si="24"/>
        <v>0</v>
      </c>
      <c r="AH25" s="39">
        <f t="shared" si="25"/>
        <v>0</v>
      </c>
      <c r="AI25" s="20">
        <f t="shared" si="26"/>
        <v>0</v>
      </c>
      <c r="AJ25" s="28">
        <f t="shared" si="27"/>
        <v>0</v>
      </c>
      <c r="AK25" s="28">
        <f t="shared" si="28"/>
        <v>0</v>
      </c>
      <c r="AL25" s="20">
        <f t="shared" si="29"/>
        <v>0</v>
      </c>
      <c r="AM25" s="1090">
        <f t="shared" si="30"/>
        <v>0</v>
      </c>
      <c r="AN25" s="1071">
        <f t="shared" si="31"/>
        <v>0</v>
      </c>
      <c r="AO25" s="1071">
        <f t="shared" si="32"/>
        <v>0</v>
      </c>
      <c r="AP25" s="20">
        <f t="shared" si="33"/>
        <v>0</v>
      </c>
      <c r="AQ25" s="826">
        <f t="shared" si="34"/>
        <v>0</v>
      </c>
      <c r="AR25" s="826">
        <f t="shared" si="35"/>
        <v>0</v>
      </c>
    </row>
    <row r="26" spans="1:44" ht="20.100000000000001" customHeight="1" x14ac:dyDescent="0.2">
      <c r="A26" s="876">
        <v>18</v>
      </c>
      <c r="B26" s="63" t="str">
        <f>dtsiswa!D24</f>
        <v>Nayla Annora Nobel W</v>
      </c>
      <c r="C26" s="11" t="s">
        <v>4</v>
      </c>
      <c r="D26" s="22"/>
      <c r="E26" s="22"/>
      <c r="F26" s="22"/>
      <c r="G26" s="23"/>
      <c r="H26" s="23"/>
      <c r="I26" s="23"/>
      <c r="J26" s="23"/>
      <c r="K26" s="23"/>
      <c r="L26" s="23"/>
      <c r="M26" s="283"/>
      <c r="N26" s="25"/>
      <c r="O26" s="25"/>
      <c r="P26" s="25"/>
      <c r="Q26" s="19">
        <f t="shared" si="8"/>
        <v>0</v>
      </c>
      <c r="R26" s="19">
        <f t="shared" si="9"/>
        <v>0</v>
      </c>
      <c r="S26" s="20">
        <f t="shared" si="10"/>
        <v>0</v>
      </c>
      <c r="T26" s="18">
        <f t="shared" si="11"/>
        <v>0</v>
      </c>
      <c r="U26" s="18">
        <f t="shared" si="12"/>
        <v>0</v>
      </c>
      <c r="V26" s="18">
        <f t="shared" si="13"/>
        <v>0</v>
      </c>
      <c r="W26" s="20">
        <f t="shared" si="14"/>
        <v>0</v>
      </c>
      <c r="X26" s="65">
        <f t="shared" si="15"/>
        <v>0</v>
      </c>
      <c r="Y26" s="65">
        <f t="shared" si="16"/>
        <v>0</v>
      </c>
      <c r="Z26" s="20">
        <f t="shared" si="17"/>
        <v>0</v>
      </c>
      <c r="AA26" s="39">
        <f t="shared" si="18"/>
        <v>0</v>
      </c>
      <c r="AB26" s="39">
        <f t="shared" si="19"/>
        <v>0</v>
      </c>
      <c r="AC26" s="20">
        <f t="shared" si="20"/>
        <v>0</v>
      </c>
      <c r="AD26" s="39">
        <f t="shared" si="21"/>
        <v>0</v>
      </c>
      <c r="AE26" s="39">
        <f t="shared" si="22"/>
        <v>0</v>
      </c>
      <c r="AF26" s="20">
        <f t="shared" si="23"/>
        <v>0</v>
      </c>
      <c r="AG26" s="39">
        <f t="shared" si="24"/>
        <v>0</v>
      </c>
      <c r="AH26" s="39">
        <f t="shared" si="25"/>
        <v>0</v>
      </c>
      <c r="AI26" s="20">
        <f t="shared" si="26"/>
        <v>0</v>
      </c>
      <c r="AJ26" s="28">
        <f t="shared" si="27"/>
        <v>0</v>
      </c>
      <c r="AK26" s="28">
        <f t="shared" si="28"/>
        <v>0</v>
      </c>
      <c r="AL26" s="20">
        <f t="shared" si="29"/>
        <v>0</v>
      </c>
      <c r="AM26" s="1090">
        <f t="shared" si="30"/>
        <v>0</v>
      </c>
      <c r="AN26" s="1071">
        <f t="shared" si="31"/>
        <v>0</v>
      </c>
      <c r="AO26" s="1071">
        <f t="shared" si="32"/>
        <v>0</v>
      </c>
      <c r="AP26" s="20">
        <f t="shared" si="33"/>
        <v>0</v>
      </c>
      <c r="AQ26" s="826">
        <f t="shared" si="34"/>
        <v>0</v>
      </c>
      <c r="AR26" s="826">
        <f t="shared" si="35"/>
        <v>0</v>
      </c>
    </row>
    <row r="27" spans="1:44" ht="20.100000000000001" customHeight="1" x14ac:dyDescent="0.2">
      <c r="A27" s="876">
        <v>19</v>
      </c>
      <c r="B27" s="63" t="str">
        <f>dtsiswa!D25</f>
        <v>Raihan Danang P</v>
      </c>
      <c r="C27" s="11" t="s">
        <v>5</v>
      </c>
      <c r="D27" s="22"/>
      <c r="E27" s="22"/>
      <c r="F27" s="22"/>
      <c r="G27" s="23"/>
      <c r="H27" s="23"/>
      <c r="I27" s="23"/>
      <c r="J27" s="23"/>
      <c r="K27" s="23"/>
      <c r="L27" s="23"/>
      <c r="M27" s="283"/>
      <c r="N27" s="25"/>
      <c r="O27" s="25"/>
      <c r="P27" s="25"/>
      <c r="Q27" s="19">
        <f t="shared" si="8"/>
        <v>0</v>
      </c>
      <c r="R27" s="19">
        <f t="shared" si="9"/>
        <v>0</v>
      </c>
      <c r="S27" s="20">
        <f t="shared" si="10"/>
        <v>0</v>
      </c>
      <c r="T27" s="18">
        <f t="shared" si="11"/>
        <v>0</v>
      </c>
      <c r="U27" s="18">
        <f t="shared" si="12"/>
        <v>0</v>
      </c>
      <c r="V27" s="18">
        <f t="shared" si="13"/>
        <v>0</v>
      </c>
      <c r="W27" s="20">
        <f t="shared" si="14"/>
        <v>0</v>
      </c>
      <c r="X27" s="65">
        <f t="shared" si="15"/>
        <v>0</v>
      </c>
      <c r="Y27" s="65">
        <f t="shared" si="16"/>
        <v>0</v>
      </c>
      <c r="Z27" s="20">
        <f t="shared" si="17"/>
        <v>0</v>
      </c>
      <c r="AA27" s="39">
        <f t="shared" si="18"/>
        <v>0</v>
      </c>
      <c r="AB27" s="39">
        <f t="shared" si="19"/>
        <v>0</v>
      </c>
      <c r="AC27" s="20">
        <f t="shared" si="20"/>
        <v>0</v>
      </c>
      <c r="AD27" s="39">
        <f t="shared" si="21"/>
        <v>0</v>
      </c>
      <c r="AE27" s="39">
        <f t="shared" si="22"/>
        <v>0</v>
      </c>
      <c r="AF27" s="20">
        <f t="shared" si="23"/>
        <v>0</v>
      </c>
      <c r="AG27" s="39">
        <f t="shared" si="24"/>
        <v>0</v>
      </c>
      <c r="AH27" s="39">
        <f t="shared" si="25"/>
        <v>0</v>
      </c>
      <c r="AI27" s="20">
        <f t="shared" si="26"/>
        <v>0</v>
      </c>
      <c r="AJ27" s="28">
        <f t="shared" si="27"/>
        <v>0</v>
      </c>
      <c r="AK27" s="28">
        <f t="shared" si="28"/>
        <v>0</v>
      </c>
      <c r="AL27" s="20">
        <f t="shared" si="29"/>
        <v>0</v>
      </c>
      <c r="AM27" s="1090">
        <f t="shared" si="30"/>
        <v>0</v>
      </c>
      <c r="AN27" s="1071">
        <f t="shared" si="31"/>
        <v>0</v>
      </c>
      <c r="AO27" s="1071">
        <f t="shared" si="32"/>
        <v>0</v>
      </c>
      <c r="AP27" s="20">
        <f t="shared" si="33"/>
        <v>0</v>
      </c>
      <c r="AQ27" s="826">
        <f t="shared" si="34"/>
        <v>0</v>
      </c>
      <c r="AR27" s="826">
        <f t="shared" si="35"/>
        <v>0</v>
      </c>
    </row>
    <row r="28" spans="1:44" ht="20.100000000000001" customHeight="1" x14ac:dyDescent="0.2">
      <c r="A28" s="876">
        <v>20</v>
      </c>
      <c r="B28" s="63" t="str">
        <f>dtsiswa!D26</f>
        <v>Roby Ardiyansyah</v>
      </c>
      <c r="C28" s="11" t="s">
        <v>5</v>
      </c>
      <c r="D28" s="22"/>
      <c r="E28" s="22"/>
      <c r="F28" s="22"/>
      <c r="G28" s="23"/>
      <c r="H28" s="23"/>
      <c r="I28" s="23"/>
      <c r="J28" s="23"/>
      <c r="K28" s="23"/>
      <c r="L28" s="23"/>
      <c r="M28" s="283"/>
      <c r="N28" s="25"/>
      <c r="O28" s="25"/>
      <c r="P28" s="25"/>
      <c r="Q28" s="19">
        <f t="shared" si="8"/>
        <v>0</v>
      </c>
      <c r="R28" s="19">
        <f t="shared" si="9"/>
        <v>0</v>
      </c>
      <c r="S28" s="20">
        <f t="shared" si="10"/>
        <v>0</v>
      </c>
      <c r="T28" s="18">
        <f t="shared" si="11"/>
        <v>0</v>
      </c>
      <c r="U28" s="18">
        <f t="shared" si="12"/>
        <v>0</v>
      </c>
      <c r="V28" s="18">
        <f t="shared" si="13"/>
        <v>0</v>
      </c>
      <c r="W28" s="20">
        <f t="shared" si="14"/>
        <v>0</v>
      </c>
      <c r="X28" s="65">
        <f t="shared" si="15"/>
        <v>0</v>
      </c>
      <c r="Y28" s="65">
        <f t="shared" si="16"/>
        <v>0</v>
      </c>
      <c r="Z28" s="20">
        <f t="shared" si="17"/>
        <v>0</v>
      </c>
      <c r="AA28" s="39">
        <f t="shared" si="18"/>
        <v>0</v>
      </c>
      <c r="AB28" s="39">
        <f t="shared" si="19"/>
        <v>0</v>
      </c>
      <c r="AC28" s="20">
        <f t="shared" si="20"/>
        <v>0</v>
      </c>
      <c r="AD28" s="39">
        <f t="shared" si="21"/>
        <v>0</v>
      </c>
      <c r="AE28" s="39">
        <f t="shared" si="22"/>
        <v>0</v>
      </c>
      <c r="AF28" s="20">
        <f t="shared" si="23"/>
        <v>0</v>
      </c>
      <c r="AG28" s="39">
        <f t="shared" si="24"/>
        <v>0</v>
      </c>
      <c r="AH28" s="39">
        <f t="shared" si="25"/>
        <v>0</v>
      </c>
      <c r="AI28" s="20">
        <f t="shared" si="26"/>
        <v>0</v>
      </c>
      <c r="AJ28" s="28">
        <f t="shared" si="27"/>
        <v>0</v>
      </c>
      <c r="AK28" s="28">
        <f t="shared" si="28"/>
        <v>0</v>
      </c>
      <c r="AL28" s="20">
        <f t="shared" si="29"/>
        <v>0</v>
      </c>
      <c r="AM28" s="1090">
        <f t="shared" si="30"/>
        <v>0</v>
      </c>
      <c r="AN28" s="1071">
        <f t="shared" si="31"/>
        <v>0</v>
      </c>
      <c r="AO28" s="1071">
        <f t="shared" si="32"/>
        <v>0</v>
      </c>
      <c r="AP28" s="20">
        <f t="shared" si="33"/>
        <v>0</v>
      </c>
      <c r="AQ28" s="826">
        <f t="shared" si="34"/>
        <v>0</v>
      </c>
      <c r="AR28" s="826">
        <f t="shared" si="35"/>
        <v>0</v>
      </c>
    </row>
    <row r="29" spans="1:44" ht="20.100000000000001" customHeight="1" x14ac:dyDescent="0.2">
      <c r="A29" s="876">
        <v>21</v>
      </c>
      <c r="B29" s="63" t="str">
        <f>dtsiswa!D27</f>
        <v>Rojalingga Prana A</v>
      </c>
      <c r="C29" s="13" t="s">
        <v>4</v>
      </c>
      <c r="D29" s="22"/>
      <c r="E29" s="22"/>
      <c r="F29" s="22"/>
      <c r="G29" s="23"/>
      <c r="H29" s="23"/>
      <c r="I29" s="23"/>
      <c r="J29" s="23"/>
      <c r="K29" s="23"/>
      <c r="L29" s="23"/>
      <c r="M29" s="283"/>
      <c r="N29" s="25"/>
      <c r="O29" s="25"/>
      <c r="P29" s="25"/>
      <c r="Q29" s="19">
        <f t="shared" si="8"/>
        <v>0</v>
      </c>
      <c r="R29" s="19">
        <f t="shared" si="9"/>
        <v>0</v>
      </c>
      <c r="S29" s="20">
        <f t="shared" si="10"/>
        <v>0</v>
      </c>
      <c r="T29" s="18">
        <f t="shared" si="11"/>
        <v>0</v>
      </c>
      <c r="U29" s="18">
        <f t="shared" si="12"/>
        <v>0</v>
      </c>
      <c r="V29" s="18">
        <f t="shared" si="13"/>
        <v>0</v>
      </c>
      <c r="W29" s="20">
        <f t="shared" si="14"/>
        <v>0</v>
      </c>
      <c r="X29" s="65">
        <f t="shared" si="15"/>
        <v>0</v>
      </c>
      <c r="Y29" s="65">
        <f t="shared" si="16"/>
        <v>0</v>
      </c>
      <c r="Z29" s="20">
        <f t="shared" si="17"/>
        <v>0</v>
      </c>
      <c r="AA29" s="39">
        <f t="shared" si="18"/>
        <v>0</v>
      </c>
      <c r="AB29" s="39">
        <f t="shared" si="19"/>
        <v>0</v>
      </c>
      <c r="AC29" s="20">
        <f t="shared" si="20"/>
        <v>0</v>
      </c>
      <c r="AD29" s="39">
        <f t="shared" si="21"/>
        <v>0</v>
      </c>
      <c r="AE29" s="39">
        <f t="shared" si="22"/>
        <v>0</v>
      </c>
      <c r="AF29" s="20">
        <f t="shared" si="23"/>
        <v>0</v>
      </c>
      <c r="AG29" s="39">
        <f t="shared" si="24"/>
        <v>0</v>
      </c>
      <c r="AH29" s="39">
        <f t="shared" si="25"/>
        <v>0</v>
      </c>
      <c r="AI29" s="20">
        <f t="shared" si="26"/>
        <v>0</v>
      </c>
      <c r="AJ29" s="28">
        <f t="shared" si="27"/>
        <v>0</v>
      </c>
      <c r="AK29" s="28">
        <f t="shared" si="28"/>
        <v>0</v>
      </c>
      <c r="AL29" s="20">
        <f t="shared" si="29"/>
        <v>0</v>
      </c>
      <c r="AM29" s="1090">
        <f t="shared" si="30"/>
        <v>0</v>
      </c>
      <c r="AN29" s="1071">
        <f t="shared" si="31"/>
        <v>0</v>
      </c>
      <c r="AO29" s="1071">
        <f t="shared" si="32"/>
        <v>0</v>
      </c>
      <c r="AP29" s="20">
        <f t="shared" si="33"/>
        <v>0</v>
      </c>
      <c r="AQ29" s="826">
        <f t="shared" si="34"/>
        <v>0</v>
      </c>
      <c r="AR29" s="826">
        <f t="shared" si="35"/>
        <v>0</v>
      </c>
    </row>
    <row r="30" spans="1:44" ht="20.100000000000001" customHeight="1" x14ac:dyDescent="0.2">
      <c r="A30" s="876">
        <v>22</v>
      </c>
      <c r="B30" s="63" t="str">
        <f>dtsiswa!D28</f>
        <v>Sally Savista A</v>
      </c>
      <c r="C30" s="11" t="s">
        <v>5</v>
      </c>
      <c r="D30" s="22"/>
      <c r="E30" s="22"/>
      <c r="F30" s="22"/>
      <c r="G30" s="23"/>
      <c r="H30" s="23"/>
      <c r="I30" s="23"/>
      <c r="J30" s="23"/>
      <c r="K30" s="23"/>
      <c r="L30" s="23"/>
      <c r="M30" s="283"/>
      <c r="N30" s="25"/>
      <c r="O30" s="25"/>
      <c r="P30" s="25"/>
      <c r="Q30" s="19">
        <f t="shared" si="8"/>
        <v>0</v>
      </c>
      <c r="R30" s="19">
        <f t="shared" si="9"/>
        <v>0</v>
      </c>
      <c r="S30" s="20">
        <f t="shared" si="10"/>
        <v>0</v>
      </c>
      <c r="T30" s="18">
        <f t="shared" si="11"/>
        <v>0</v>
      </c>
      <c r="U30" s="18">
        <f t="shared" si="12"/>
        <v>0</v>
      </c>
      <c r="V30" s="18">
        <f t="shared" si="13"/>
        <v>0</v>
      </c>
      <c r="W30" s="20">
        <f t="shared" si="14"/>
        <v>0</v>
      </c>
      <c r="X30" s="65">
        <f t="shared" si="15"/>
        <v>0</v>
      </c>
      <c r="Y30" s="65">
        <f t="shared" si="16"/>
        <v>0</v>
      </c>
      <c r="Z30" s="20">
        <f t="shared" si="17"/>
        <v>0</v>
      </c>
      <c r="AA30" s="39">
        <f t="shared" si="18"/>
        <v>0</v>
      </c>
      <c r="AB30" s="39">
        <f t="shared" si="19"/>
        <v>0</v>
      </c>
      <c r="AC30" s="20">
        <f t="shared" si="20"/>
        <v>0</v>
      </c>
      <c r="AD30" s="39">
        <f t="shared" si="21"/>
        <v>0</v>
      </c>
      <c r="AE30" s="39">
        <f t="shared" si="22"/>
        <v>0</v>
      </c>
      <c r="AF30" s="20">
        <f t="shared" si="23"/>
        <v>0</v>
      </c>
      <c r="AG30" s="39">
        <f t="shared" si="24"/>
        <v>0</v>
      </c>
      <c r="AH30" s="39">
        <f t="shared" si="25"/>
        <v>0</v>
      </c>
      <c r="AI30" s="20">
        <f t="shared" si="26"/>
        <v>0</v>
      </c>
      <c r="AJ30" s="28">
        <f t="shared" si="27"/>
        <v>0</v>
      </c>
      <c r="AK30" s="28">
        <f t="shared" si="28"/>
        <v>0</v>
      </c>
      <c r="AL30" s="20">
        <f t="shared" si="29"/>
        <v>0</v>
      </c>
      <c r="AM30" s="1090">
        <f t="shared" si="30"/>
        <v>0</v>
      </c>
      <c r="AN30" s="1071">
        <f t="shared" si="31"/>
        <v>0</v>
      </c>
      <c r="AO30" s="1071">
        <f t="shared" si="32"/>
        <v>0</v>
      </c>
      <c r="AP30" s="20">
        <f t="shared" si="33"/>
        <v>0</v>
      </c>
      <c r="AQ30" s="826">
        <f t="shared" si="34"/>
        <v>0</v>
      </c>
      <c r="AR30" s="826">
        <f t="shared" si="35"/>
        <v>0</v>
      </c>
    </row>
    <row r="31" spans="1:44" ht="20.100000000000001" customHeight="1" x14ac:dyDescent="0.2">
      <c r="A31" s="876">
        <v>23</v>
      </c>
      <c r="B31" s="63" t="str">
        <f>dtsiswa!D29</f>
        <v xml:space="preserve">Tania Kaori Angelita </v>
      </c>
      <c r="C31" s="13" t="s">
        <v>4</v>
      </c>
      <c r="D31" s="22"/>
      <c r="E31" s="22"/>
      <c r="F31" s="22"/>
      <c r="G31" s="23"/>
      <c r="H31" s="23"/>
      <c r="I31" s="23"/>
      <c r="J31" s="23"/>
      <c r="K31" s="23"/>
      <c r="L31" s="23"/>
      <c r="M31" s="283"/>
      <c r="N31" s="25"/>
      <c r="O31" s="25"/>
      <c r="P31" s="25"/>
      <c r="Q31" s="19">
        <f t="shared" si="8"/>
        <v>0</v>
      </c>
      <c r="R31" s="19">
        <f t="shared" si="9"/>
        <v>0</v>
      </c>
      <c r="S31" s="20">
        <f t="shared" si="10"/>
        <v>0</v>
      </c>
      <c r="T31" s="18">
        <f t="shared" si="11"/>
        <v>0</v>
      </c>
      <c r="U31" s="18">
        <f t="shared" si="12"/>
        <v>0</v>
      </c>
      <c r="V31" s="18">
        <f t="shared" si="13"/>
        <v>0</v>
      </c>
      <c r="W31" s="20">
        <f t="shared" si="14"/>
        <v>0</v>
      </c>
      <c r="X31" s="65">
        <f t="shared" si="15"/>
        <v>0</v>
      </c>
      <c r="Y31" s="65">
        <f t="shared" si="16"/>
        <v>0</v>
      </c>
      <c r="Z31" s="20">
        <f t="shared" si="17"/>
        <v>0</v>
      </c>
      <c r="AA31" s="39">
        <f t="shared" si="18"/>
        <v>0</v>
      </c>
      <c r="AB31" s="39">
        <f t="shared" si="19"/>
        <v>0</v>
      </c>
      <c r="AC31" s="20">
        <f t="shared" si="20"/>
        <v>0</v>
      </c>
      <c r="AD31" s="39">
        <f t="shared" si="21"/>
        <v>0</v>
      </c>
      <c r="AE31" s="39">
        <f t="shared" si="22"/>
        <v>0</v>
      </c>
      <c r="AF31" s="20">
        <f t="shared" si="23"/>
        <v>0</v>
      </c>
      <c r="AG31" s="39">
        <f t="shared" si="24"/>
        <v>0</v>
      </c>
      <c r="AH31" s="39">
        <f t="shared" si="25"/>
        <v>0</v>
      </c>
      <c r="AI31" s="20">
        <f t="shared" si="26"/>
        <v>0</v>
      </c>
      <c r="AJ31" s="28">
        <f t="shared" si="27"/>
        <v>0</v>
      </c>
      <c r="AK31" s="28">
        <f t="shared" si="28"/>
        <v>0</v>
      </c>
      <c r="AL31" s="20">
        <f t="shared" si="29"/>
        <v>0</v>
      </c>
      <c r="AM31" s="1090">
        <f t="shared" si="30"/>
        <v>0</v>
      </c>
      <c r="AN31" s="1071">
        <f t="shared" si="31"/>
        <v>0</v>
      </c>
      <c r="AO31" s="1071">
        <f t="shared" si="32"/>
        <v>0</v>
      </c>
      <c r="AP31" s="20">
        <f t="shared" si="33"/>
        <v>0</v>
      </c>
      <c r="AQ31" s="826">
        <f t="shared" si="34"/>
        <v>0</v>
      </c>
      <c r="AR31" s="826">
        <f t="shared" si="35"/>
        <v>0</v>
      </c>
    </row>
    <row r="32" spans="1:44" ht="20.100000000000001" customHeight="1" x14ac:dyDescent="0.2">
      <c r="A32" s="876">
        <v>24</v>
      </c>
      <c r="B32" s="63" t="str">
        <f>dtsiswa!D30</f>
        <v>Romzy Oka Ramadhani P</v>
      </c>
      <c r="C32" s="11" t="s">
        <v>5</v>
      </c>
      <c r="D32" s="22"/>
      <c r="E32" s="22"/>
      <c r="F32" s="22"/>
      <c r="G32" s="23"/>
      <c r="H32" s="23"/>
      <c r="I32" s="23"/>
      <c r="J32" s="23"/>
      <c r="K32" s="23"/>
      <c r="L32" s="23"/>
      <c r="M32" s="283"/>
      <c r="N32" s="25"/>
      <c r="O32" s="25"/>
      <c r="P32" s="25"/>
      <c r="Q32" s="19">
        <f t="shared" si="8"/>
        <v>0</v>
      </c>
      <c r="R32" s="19">
        <f t="shared" si="9"/>
        <v>0</v>
      </c>
      <c r="S32" s="20">
        <f t="shared" si="10"/>
        <v>0</v>
      </c>
      <c r="T32" s="18">
        <f t="shared" si="11"/>
        <v>0</v>
      </c>
      <c r="U32" s="18">
        <f t="shared" si="12"/>
        <v>0</v>
      </c>
      <c r="V32" s="18">
        <f t="shared" si="13"/>
        <v>0</v>
      </c>
      <c r="W32" s="20">
        <f t="shared" si="14"/>
        <v>0</v>
      </c>
      <c r="X32" s="65">
        <f t="shared" si="15"/>
        <v>0</v>
      </c>
      <c r="Y32" s="65">
        <f t="shared" si="16"/>
        <v>0</v>
      </c>
      <c r="Z32" s="20">
        <f t="shared" si="17"/>
        <v>0</v>
      </c>
      <c r="AA32" s="39">
        <f t="shared" si="18"/>
        <v>0</v>
      </c>
      <c r="AB32" s="39">
        <f t="shared" si="19"/>
        <v>0</v>
      </c>
      <c r="AC32" s="20">
        <f t="shared" si="20"/>
        <v>0</v>
      </c>
      <c r="AD32" s="39">
        <f t="shared" si="21"/>
        <v>0</v>
      </c>
      <c r="AE32" s="39">
        <f t="shared" si="22"/>
        <v>0</v>
      </c>
      <c r="AF32" s="20">
        <f t="shared" si="23"/>
        <v>0</v>
      </c>
      <c r="AG32" s="39">
        <f t="shared" si="24"/>
        <v>0</v>
      </c>
      <c r="AH32" s="39">
        <f t="shared" si="25"/>
        <v>0</v>
      </c>
      <c r="AI32" s="20">
        <f t="shared" si="26"/>
        <v>0</v>
      </c>
      <c r="AJ32" s="28">
        <f t="shared" si="27"/>
        <v>0</v>
      </c>
      <c r="AK32" s="28">
        <f t="shared" si="28"/>
        <v>0</v>
      </c>
      <c r="AL32" s="20">
        <f t="shared" si="29"/>
        <v>0</v>
      </c>
      <c r="AM32" s="1090">
        <f t="shared" si="30"/>
        <v>0</v>
      </c>
      <c r="AN32" s="1071">
        <f t="shared" si="31"/>
        <v>0</v>
      </c>
      <c r="AO32" s="1071">
        <f t="shared" si="32"/>
        <v>0</v>
      </c>
      <c r="AP32" s="20">
        <f t="shared" si="33"/>
        <v>0</v>
      </c>
      <c r="AQ32" s="826">
        <f t="shared" si="34"/>
        <v>0</v>
      </c>
      <c r="AR32" s="826">
        <f t="shared" si="35"/>
        <v>0</v>
      </c>
    </row>
    <row r="33" spans="1:44" ht="20.100000000000001" customHeight="1" x14ac:dyDescent="0.2">
      <c r="A33" s="876">
        <v>25</v>
      </c>
      <c r="B33" s="63" t="str">
        <f>dtsiswa!D31</f>
        <v>Larasati Jagadhita P</v>
      </c>
      <c r="C33" s="13" t="s">
        <v>4</v>
      </c>
      <c r="D33" s="22"/>
      <c r="E33" s="22"/>
      <c r="F33" s="22"/>
      <c r="G33" s="23"/>
      <c r="H33" s="23"/>
      <c r="I33" s="23"/>
      <c r="J33" s="23"/>
      <c r="K33" s="23"/>
      <c r="L33" s="23"/>
      <c r="M33" s="283"/>
      <c r="N33" s="25"/>
      <c r="O33" s="25"/>
      <c r="P33" s="25"/>
      <c r="Q33" s="19">
        <f t="shared" si="8"/>
        <v>0</v>
      </c>
      <c r="R33" s="19">
        <f t="shared" si="9"/>
        <v>0</v>
      </c>
      <c r="S33" s="20">
        <f t="shared" si="10"/>
        <v>0</v>
      </c>
      <c r="T33" s="18">
        <f t="shared" si="11"/>
        <v>0</v>
      </c>
      <c r="U33" s="18">
        <f t="shared" si="12"/>
        <v>0</v>
      </c>
      <c r="V33" s="18">
        <f t="shared" si="13"/>
        <v>0</v>
      </c>
      <c r="W33" s="20">
        <f t="shared" si="14"/>
        <v>0</v>
      </c>
      <c r="X33" s="65">
        <f t="shared" si="15"/>
        <v>0</v>
      </c>
      <c r="Y33" s="65">
        <f t="shared" si="16"/>
        <v>0</v>
      </c>
      <c r="Z33" s="20">
        <f t="shared" si="17"/>
        <v>0</v>
      </c>
      <c r="AA33" s="39">
        <f t="shared" si="18"/>
        <v>0</v>
      </c>
      <c r="AB33" s="39">
        <f t="shared" si="19"/>
        <v>0</v>
      </c>
      <c r="AC33" s="20">
        <f t="shared" si="20"/>
        <v>0</v>
      </c>
      <c r="AD33" s="39">
        <f t="shared" si="21"/>
        <v>0</v>
      </c>
      <c r="AE33" s="39">
        <f t="shared" si="22"/>
        <v>0</v>
      </c>
      <c r="AF33" s="20">
        <f t="shared" si="23"/>
        <v>0</v>
      </c>
      <c r="AG33" s="39">
        <f t="shared" si="24"/>
        <v>0</v>
      </c>
      <c r="AH33" s="39">
        <f t="shared" si="25"/>
        <v>0</v>
      </c>
      <c r="AI33" s="20">
        <f t="shared" si="26"/>
        <v>0</v>
      </c>
      <c r="AJ33" s="28">
        <f t="shared" si="27"/>
        <v>0</v>
      </c>
      <c r="AK33" s="28">
        <f t="shared" si="28"/>
        <v>0</v>
      </c>
      <c r="AL33" s="20">
        <f t="shared" si="29"/>
        <v>0</v>
      </c>
      <c r="AM33" s="1090">
        <f t="shared" si="30"/>
        <v>0</v>
      </c>
      <c r="AN33" s="1071">
        <f t="shared" si="31"/>
        <v>0</v>
      </c>
      <c r="AO33" s="1071">
        <f t="shared" si="32"/>
        <v>0</v>
      </c>
      <c r="AP33" s="20">
        <f t="shared" si="33"/>
        <v>0</v>
      </c>
      <c r="AQ33" s="826">
        <f t="shared" si="34"/>
        <v>0</v>
      </c>
      <c r="AR33" s="826">
        <f t="shared" si="35"/>
        <v>0</v>
      </c>
    </row>
    <row r="34" spans="1:44" ht="20.100000000000001" customHeight="1" x14ac:dyDescent="0.2">
      <c r="A34" s="876">
        <v>26</v>
      </c>
      <c r="B34" s="63" t="str">
        <f>dtsiswa!D32</f>
        <v>Meliana Citra A</v>
      </c>
      <c r="C34" s="11" t="s">
        <v>5</v>
      </c>
      <c r="D34" s="22"/>
      <c r="E34" s="22"/>
      <c r="F34" s="22"/>
      <c r="G34" s="23"/>
      <c r="H34" s="23"/>
      <c r="I34" s="23"/>
      <c r="J34" s="23"/>
      <c r="K34" s="23"/>
      <c r="L34" s="23"/>
      <c r="M34" s="283"/>
      <c r="N34" s="25"/>
      <c r="O34" s="25"/>
      <c r="P34" s="25"/>
      <c r="Q34" s="19">
        <f t="shared" si="8"/>
        <v>0</v>
      </c>
      <c r="R34" s="19">
        <f t="shared" si="9"/>
        <v>0</v>
      </c>
      <c r="S34" s="20">
        <f t="shared" si="10"/>
        <v>0</v>
      </c>
      <c r="T34" s="18">
        <f t="shared" si="11"/>
        <v>0</v>
      </c>
      <c r="U34" s="18">
        <f t="shared" si="12"/>
        <v>0</v>
      </c>
      <c r="V34" s="18">
        <f t="shared" si="13"/>
        <v>0</v>
      </c>
      <c r="W34" s="20">
        <f t="shared" si="14"/>
        <v>0</v>
      </c>
      <c r="X34" s="65">
        <f t="shared" si="15"/>
        <v>0</v>
      </c>
      <c r="Y34" s="65">
        <f t="shared" si="16"/>
        <v>0</v>
      </c>
      <c r="Z34" s="20">
        <f t="shared" si="17"/>
        <v>0</v>
      </c>
      <c r="AA34" s="39">
        <f t="shared" si="18"/>
        <v>0</v>
      </c>
      <c r="AB34" s="39">
        <f t="shared" si="19"/>
        <v>0</v>
      </c>
      <c r="AC34" s="20">
        <f t="shared" si="20"/>
        <v>0</v>
      </c>
      <c r="AD34" s="39">
        <f t="shared" si="21"/>
        <v>0</v>
      </c>
      <c r="AE34" s="39">
        <f t="shared" si="22"/>
        <v>0</v>
      </c>
      <c r="AF34" s="20">
        <f t="shared" si="23"/>
        <v>0</v>
      </c>
      <c r="AG34" s="39">
        <f t="shared" si="24"/>
        <v>0</v>
      </c>
      <c r="AH34" s="39">
        <f t="shared" si="25"/>
        <v>0</v>
      </c>
      <c r="AI34" s="20">
        <f t="shared" si="26"/>
        <v>0</v>
      </c>
      <c r="AJ34" s="28">
        <f t="shared" si="27"/>
        <v>0</v>
      </c>
      <c r="AK34" s="28">
        <f t="shared" si="28"/>
        <v>0</v>
      </c>
      <c r="AL34" s="20">
        <f t="shared" si="29"/>
        <v>0</v>
      </c>
      <c r="AM34" s="1090">
        <f t="shared" si="30"/>
        <v>0</v>
      </c>
      <c r="AN34" s="1071">
        <f t="shared" si="31"/>
        <v>0</v>
      </c>
      <c r="AO34" s="1071">
        <f t="shared" si="32"/>
        <v>0</v>
      </c>
      <c r="AP34" s="20">
        <f t="shared" si="33"/>
        <v>0</v>
      </c>
      <c r="AQ34" s="826">
        <f t="shared" si="34"/>
        <v>0</v>
      </c>
      <c r="AR34" s="826">
        <f t="shared" si="35"/>
        <v>0</v>
      </c>
    </row>
    <row r="35" spans="1:44" ht="20.100000000000001" customHeight="1" x14ac:dyDescent="0.2">
      <c r="A35" s="876">
        <v>27</v>
      </c>
      <c r="B35" s="63" t="str">
        <f>dtsiswa!D33</f>
        <v>Mohammad Rizky</v>
      </c>
      <c r="C35" s="13" t="s">
        <v>4</v>
      </c>
      <c r="D35" s="22"/>
      <c r="E35" s="22"/>
      <c r="F35" s="22"/>
      <c r="G35" s="23"/>
      <c r="H35" s="23"/>
      <c r="I35" s="23"/>
      <c r="J35" s="23"/>
      <c r="K35" s="23"/>
      <c r="L35" s="23"/>
      <c r="M35" s="283"/>
      <c r="N35" s="25"/>
      <c r="O35" s="25"/>
      <c r="P35" s="25"/>
      <c r="Q35" s="19">
        <f t="shared" si="8"/>
        <v>0</v>
      </c>
      <c r="R35" s="19">
        <f t="shared" si="9"/>
        <v>0</v>
      </c>
      <c r="S35" s="20">
        <f t="shared" si="10"/>
        <v>0</v>
      </c>
      <c r="T35" s="18">
        <f t="shared" si="11"/>
        <v>0</v>
      </c>
      <c r="U35" s="18">
        <f t="shared" si="12"/>
        <v>0</v>
      </c>
      <c r="V35" s="18">
        <f t="shared" si="13"/>
        <v>0</v>
      </c>
      <c r="W35" s="20">
        <f t="shared" si="14"/>
        <v>0</v>
      </c>
      <c r="X35" s="65">
        <f t="shared" si="15"/>
        <v>0</v>
      </c>
      <c r="Y35" s="65">
        <f t="shared" si="16"/>
        <v>0</v>
      </c>
      <c r="Z35" s="20">
        <f t="shared" si="17"/>
        <v>0</v>
      </c>
      <c r="AA35" s="39">
        <f t="shared" si="18"/>
        <v>0</v>
      </c>
      <c r="AB35" s="39">
        <f t="shared" si="19"/>
        <v>0</v>
      </c>
      <c r="AC35" s="20">
        <f t="shared" si="20"/>
        <v>0</v>
      </c>
      <c r="AD35" s="39">
        <f t="shared" si="21"/>
        <v>0</v>
      </c>
      <c r="AE35" s="39">
        <f t="shared" si="22"/>
        <v>0</v>
      </c>
      <c r="AF35" s="20">
        <f t="shared" si="23"/>
        <v>0</v>
      </c>
      <c r="AG35" s="39">
        <f t="shared" si="24"/>
        <v>0</v>
      </c>
      <c r="AH35" s="39">
        <f t="shared" si="25"/>
        <v>0</v>
      </c>
      <c r="AI35" s="20">
        <f t="shared" si="26"/>
        <v>0</v>
      </c>
      <c r="AJ35" s="28">
        <f t="shared" si="27"/>
        <v>0</v>
      </c>
      <c r="AK35" s="28">
        <f t="shared" si="28"/>
        <v>0</v>
      </c>
      <c r="AL35" s="20">
        <f t="shared" si="29"/>
        <v>0</v>
      </c>
      <c r="AM35" s="1090">
        <f t="shared" si="30"/>
        <v>0</v>
      </c>
      <c r="AN35" s="1071">
        <f t="shared" si="31"/>
        <v>0</v>
      </c>
      <c r="AO35" s="1071">
        <f t="shared" si="32"/>
        <v>0</v>
      </c>
      <c r="AP35" s="20">
        <f t="shared" si="33"/>
        <v>0</v>
      </c>
      <c r="AQ35" s="826">
        <f t="shared" si="34"/>
        <v>0</v>
      </c>
      <c r="AR35" s="826">
        <f t="shared" si="35"/>
        <v>0</v>
      </c>
    </row>
    <row r="36" spans="1:44" ht="20.100000000000001" customHeight="1" x14ac:dyDescent="0.2">
      <c r="A36" s="876">
        <v>28</v>
      </c>
      <c r="B36" s="63">
        <f>dtsiswa!D34</f>
        <v>0</v>
      </c>
      <c r="C36" s="11" t="s">
        <v>5</v>
      </c>
      <c r="D36" s="22"/>
      <c r="E36" s="22"/>
      <c r="F36" s="22"/>
      <c r="G36" s="23"/>
      <c r="H36" s="23"/>
      <c r="I36" s="23"/>
      <c r="J36" s="23"/>
      <c r="K36" s="23"/>
      <c r="L36" s="23"/>
      <c r="M36" s="283"/>
      <c r="N36" s="25"/>
      <c r="O36" s="25"/>
      <c r="P36" s="25"/>
      <c r="Q36" s="19">
        <f t="shared" si="8"/>
        <v>0</v>
      </c>
      <c r="R36" s="19">
        <f t="shared" si="9"/>
        <v>0</v>
      </c>
      <c r="S36" s="20">
        <f t="shared" si="10"/>
        <v>0</v>
      </c>
      <c r="T36" s="18">
        <f t="shared" si="11"/>
        <v>0</v>
      </c>
      <c r="U36" s="18">
        <f t="shared" si="12"/>
        <v>0</v>
      </c>
      <c r="V36" s="18">
        <f t="shared" si="13"/>
        <v>0</v>
      </c>
      <c r="W36" s="20">
        <f t="shared" si="14"/>
        <v>0</v>
      </c>
      <c r="X36" s="65">
        <f t="shared" si="15"/>
        <v>0</v>
      </c>
      <c r="Y36" s="65">
        <f t="shared" si="16"/>
        <v>0</v>
      </c>
      <c r="Z36" s="20">
        <f t="shared" si="17"/>
        <v>0</v>
      </c>
      <c r="AA36" s="39">
        <f t="shared" si="18"/>
        <v>0</v>
      </c>
      <c r="AB36" s="39">
        <f t="shared" si="19"/>
        <v>0</v>
      </c>
      <c r="AC36" s="20">
        <f t="shared" si="20"/>
        <v>0</v>
      </c>
      <c r="AD36" s="39">
        <f t="shared" si="21"/>
        <v>0</v>
      </c>
      <c r="AE36" s="39">
        <f t="shared" si="22"/>
        <v>0</v>
      </c>
      <c r="AF36" s="20">
        <f t="shared" si="23"/>
        <v>0</v>
      </c>
      <c r="AG36" s="39">
        <f t="shared" si="24"/>
        <v>0</v>
      </c>
      <c r="AH36" s="39">
        <f t="shared" si="25"/>
        <v>0</v>
      </c>
      <c r="AI36" s="20">
        <f t="shared" si="26"/>
        <v>0</v>
      </c>
      <c r="AJ36" s="28">
        <f t="shared" si="27"/>
        <v>0</v>
      </c>
      <c r="AK36" s="28">
        <f t="shared" si="28"/>
        <v>0</v>
      </c>
      <c r="AL36" s="20">
        <f t="shared" si="29"/>
        <v>0</v>
      </c>
      <c r="AM36" s="1090">
        <f t="shared" si="30"/>
        <v>0</v>
      </c>
      <c r="AN36" s="1071">
        <f t="shared" si="31"/>
        <v>0</v>
      </c>
      <c r="AO36" s="1071">
        <f t="shared" si="32"/>
        <v>0</v>
      </c>
      <c r="AP36" s="20">
        <f t="shared" si="33"/>
        <v>0</v>
      </c>
      <c r="AQ36" s="826">
        <f t="shared" si="34"/>
        <v>0</v>
      </c>
      <c r="AR36" s="826">
        <f t="shared" si="35"/>
        <v>0</v>
      </c>
    </row>
    <row r="37" spans="1:44" ht="20.100000000000001" customHeight="1" x14ac:dyDescent="0.2">
      <c r="A37" s="876">
        <v>29</v>
      </c>
      <c r="B37" s="63">
        <f>dtsiswa!D35</f>
        <v>0</v>
      </c>
      <c r="C37" s="11" t="s">
        <v>5</v>
      </c>
      <c r="D37" s="22"/>
      <c r="E37" s="22"/>
      <c r="F37" s="22"/>
      <c r="G37" s="23"/>
      <c r="H37" s="23"/>
      <c r="I37" s="23"/>
      <c r="J37" s="23"/>
      <c r="K37" s="23"/>
      <c r="L37" s="23"/>
      <c r="M37" s="283"/>
      <c r="N37" s="25"/>
      <c r="O37" s="25"/>
      <c r="P37" s="25"/>
      <c r="Q37" s="19">
        <f t="shared" si="8"/>
        <v>0</v>
      </c>
      <c r="R37" s="19">
        <f t="shared" si="9"/>
        <v>0</v>
      </c>
      <c r="S37" s="20">
        <f t="shared" si="10"/>
        <v>0</v>
      </c>
      <c r="T37" s="18">
        <f t="shared" si="11"/>
        <v>0</v>
      </c>
      <c r="U37" s="18">
        <f t="shared" si="12"/>
        <v>0</v>
      </c>
      <c r="V37" s="18">
        <f t="shared" si="13"/>
        <v>0</v>
      </c>
      <c r="W37" s="20">
        <f t="shared" si="14"/>
        <v>0</v>
      </c>
      <c r="X37" s="65">
        <f t="shared" si="15"/>
        <v>0</v>
      </c>
      <c r="Y37" s="65">
        <f t="shared" si="16"/>
        <v>0</v>
      </c>
      <c r="Z37" s="20">
        <f t="shared" si="17"/>
        <v>0</v>
      </c>
      <c r="AA37" s="39">
        <f t="shared" si="18"/>
        <v>0</v>
      </c>
      <c r="AB37" s="39">
        <f t="shared" si="19"/>
        <v>0</v>
      </c>
      <c r="AC37" s="20">
        <f t="shared" si="20"/>
        <v>0</v>
      </c>
      <c r="AD37" s="39">
        <f t="shared" si="21"/>
        <v>0</v>
      </c>
      <c r="AE37" s="39">
        <f t="shared" si="22"/>
        <v>0</v>
      </c>
      <c r="AF37" s="20">
        <f t="shared" si="23"/>
        <v>0</v>
      </c>
      <c r="AG37" s="39">
        <f t="shared" si="24"/>
        <v>0</v>
      </c>
      <c r="AH37" s="39">
        <f t="shared" si="25"/>
        <v>0</v>
      </c>
      <c r="AI37" s="20">
        <f t="shared" si="26"/>
        <v>0</v>
      </c>
      <c r="AJ37" s="28">
        <f t="shared" si="27"/>
        <v>0</v>
      </c>
      <c r="AK37" s="28">
        <f t="shared" si="28"/>
        <v>0</v>
      </c>
      <c r="AL37" s="20">
        <f t="shared" si="29"/>
        <v>0</v>
      </c>
      <c r="AM37" s="1090">
        <f t="shared" si="30"/>
        <v>0</v>
      </c>
      <c r="AN37" s="1071">
        <f t="shared" si="31"/>
        <v>0</v>
      </c>
      <c r="AO37" s="1071">
        <f t="shared" si="32"/>
        <v>0</v>
      </c>
      <c r="AP37" s="20">
        <f t="shared" si="33"/>
        <v>0</v>
      </c>
      <c r="AQ37" s="826">
        <f t="shared" si="34"/>
        <v>0</v>
      </c>
      <c r="AR37" s="826">
        <f t="shared" si="35"/>
        <v>0</v>
      </c>
    </row>
    <row r="38" spans="1:44" ht="20.100000000000001" customHeight="1" x14ac:dyDescent="0.2">
      <c r="A38" s="876">
        <v>30</v>
      </c>
      <c r="B38" s="63">
        <f>dtsiswa!D36</f>
        <v>0</v>
      </c>
      <c r="C38" s="13" t="s">
        <v>4</v>
      </c>
      <c r="D38" s="22"/>
      <c r="E38" s="22"/>
      <c r="F38" s="22"/>
      <c r="G38" s="23"/>
      <c r="H38" s="23"/>
      <c r="I38" s="23"/>
      <c r="J38" s="23"/>
      <c r="K38" s="23"/>
      <c r="L38" s="23"/>
      <c r="M38" s="283"/>
      <c r="N38" s="25"/>
      <c r="O38" s="25"/>
      <c r="P38" s="25"/>
      <c r="Q38" s="19">
        <f t="shared" si="8"/>
        <v>0</v>
      </c>
      <c r="R38" s="19">
        <f t="shared" si="9"/>
        <v>0</v>
      </c>
      <c r="S38" s="20">
        <f t="shared" si="10"/>
        <v>0</v>
      </c>
      <c r="T38" s="18">
        <f t="shared" si="11"/>
        <v>0</v>
      </c>
      <c r="U38" s="18">
        <f t="shared" si="12"/>
        <v>0</v>
      </c>
      <c r="V38" s="18">
        <f t="shared" si="13"/>
        <v>0</v>
      </c>
      <c r="W38" s="20">
        <f t="shared" si="14"/>
        <v>0</v>
      </c>
      <c r="X38" s="65">
        <f t="shared" si="15"/>
        <v>0</v>
      </c>
      <c r="Y38" s="65">
        <f t="shared" si="16"/>
        <v>0</v>
      </c>
      <c r="Z38" s="20">
        <f t="shared" si="17"/>
        <v>0</v>
      </c>
      <c r="AA38" s="39">
        <f t="shared" si="18"/>
        <v>0</v>
      </c>
      <c r="AB38" s="39">
        <f t="shared" si="19"/>
        <v>0</v>
      </c>
      <c r="AC38" s="20">
        <f t="shared" si="20"/>
        <v>0</v>
      </c>
      <c r="AD38" s="39">
        <f t="shared" si="21"/>
        <v>0</v>
      </c>
      <c r="AE38" s="39">
        <f t="shared" si="22"/>
        <v>0</v>
      </c>
      <c r="AF38" s="20">
        <f t="shared" si="23"/>
        <v>0</v>
      </c>
      <c r="AG38" s="39">
        <f t="shared" si="24"/>
        <v>0</v>
      </c>
      <c r="AH38" s="39">
        <f t="shared" si="25"/>
        <v>0</v>
      </c>
      <c r="AI38" s="20">
        <f t="shared" si="26"/>
        <v>0</v>
      </c>
      <c r="AJ38" s="28">
        <f t="shared" si="27"/>
        <v>0</v>
      </c>
      <c r="AK38" s="28">
        <f t="shared" si="28"/>
        <v>0</v>
      </c>
      <c r="AL38" s="20">
        <f t="shared" si="29"/>
        <v>0</v>
      </c>
      <c r="AM38" s="1090">
        <f t="shared" si="30"/>
        <v>0</v>
      </c>
      <c r="AN38" s="1071">
        <f t="shared" si="31"/>
        <v>0</v>
      </c>
      <c r="AO38" s="1071">
        <f t="shared" si="32"/>
        <v>0</v>
      </c>
      <c r="AP38" s="20">
        <f t="shared" si="33"/>
        <v>0</v>
      </c>
      <c r="AQ38" s="826">
        <f t="shared" si="34"/>
        <v>0</v>
      </c>
      <c r="AR38" s="826">
        <f t="shared" si="35"/>
        <v>0</v>
      </c>
    </row>
    <row r="39" spans="1:44" ht="20.100000000000001" customHeight="1" x14ac:dyDescent="0.2">
      <c r="A39" s="876">
        <v>31</v>
      </c>
      <c r="B39" s="63">
        <f>dtsiswa!D37</f>
        <v>0</v>
      </c>
      <c r="C39" s="11" t="s">
        <v>5</v>
      </c>
      <c r="D39" s="22"/>
      <c r="E39" s="22"/>
      <c r="F39" s="22"/>
      <c r="G39" s="23"/>
      <c r="H39" s="23"/>
      <c r="I39" s="23"/>
      <c r="J39" s="23"/>
      <c r="K39" s="23"/>
      <c r="L39" s="23"/>
      <c r="M39" s="283"/>
      <c r="N39" s="25"/>
      <c r="O39" s="25"/>
      <c r="P39" s="25"/>
      <c r="Q39" s="19">
        <f t="shared" si="8"/>
        <v>0</v>
      </c>
      <c r="R39" s="19">
        <f t="shared" si="9"/>
        <v>0</v>
      </c>
      <c r="S39" s="20">
        <f t="shared" si="10"/>
        <v>0</v>
      </c>
      <c r="T39" s="18">
        <f t="shared" si="11"/>
        <v>0</v>
      </c>
      <c r="U39" s="18">
        <f t="shared" si="12"/>
        <v>0</v>
      </c>
      <c r="V39" s="18">
        <f t="shared" si="13"/>
        <v>0</v>
      </c>
      <c r="W39" s="20">
        <f t="shared" si="14"/>
        <v>0</v>
      </c>
      <c r="X39" s="65">
        <f t="shared" si="15"/>
        <v>0</v>
      </c>
      <c r="Y39" s="65">
        <f t="shared" si="16"/>
        <v>0</v>
      </c>
      <c r="Z39" s="20">
        <f t="shared" si="17"/>
        <v>0</v>
      </c>
      <c r="AA39" s="39">
        <f t="shared" si="18"/>
        <v>0</v>
      </c>
      <c r="AB39" s="39">
        <f t="shared" si="19"/>
        <v>0</v>
      </c>
      <c r="AC39" s="20">
        <f t="shared" si="20"/>
        <v>0</v>
      </c>
      <c r="AD39" s="39">
        <f t="shared" si="21"/>
        <v>0</v>
      </c>
      <c r="AE39" s="39">
        <f t="shared" si="22"/>
        <v>0</v>
      </c>
      <c r="AF39" s="20">
        <f t="shared" si="23"/>
        <v>0</v>
      </c>
      <c r="AG39" s="39">
        <f t="shared" si="24"/>
        <v>0</v>
      </c>
      <c r="AH39" s="39">
        <f t="shared" si="25"/>
        <v>0</v>
      </c>
      <c r="AI39" s="20">
        <f t="shared" si="26"/>
        <v>0</v>
      </c>
      <c r="AJ39" s="28">
        <f t="shared" si="27"/>
        <v>0</v>
      </c>
      <c r="AK39" s="28">
        <f t="shared" si="28"/>
        <v>0</v>
      </c>
      <c r="AL39" s="20">
        <f t="shared" si="29"/>
        <v>0</v>
      </c>
      <c r="AM39" s="1090">
        <f t="shared" si="30"/>
        <v>0</v>
      </c>
      <c r="AN39" s="1071">
        <f t="shared" si="31"/>
        <v>0</v>
      </c>
      <c r="AO39" s="1071">
        <f t="shared" si="32"/>
        <v>0</v>
      </c>
      <c r="AP39" s="20">
        <f t="shared" si="33"/>
        <v>0</v>
      </c>
      <c r="AQ39" s="826">
        <f t="shared" si="34"/>
        <v>0</v>
      </c>
      <c r="AR39" s="826">
        <f t="shared" si="35"/>
        <v>0</v>
      </c>
    </row>
    <row r="40" spans="1:44" ht="20.100000000000001" customHeight="1" x14ac:dyDescent="0.2">
      <c r="A40" s="876">
        <v>32</v>
      </c>
      <c r="B40" s="63">
        <f>dtsiswa!D38</f>
        <v>0</v>
      </c>
      <c r="C40" s="13" t="s">
        <v>4</v>
      </c>
      <c r="D40" s="22"/>
      <c r="E40" s="22"/>
      <c r="F40" s="22"/>
      <c r="G40" s="23"/>
      <c r="H40" s="23"/>
      <c r="I40" s="23"/>
      <c r="J40" s="23"/>
      <c r="K40" s="23"/>
      <c r="L40" s="23"/>
      <c r="M40" s="283"/>
      <c r="N40" s="25"/>
      <c r="O40" s="25"/>
      <c r="P40" s="25"/>
      <c r="Q40" s="19">
        <f t="shared" si="8"/>
        <v>0</v>
      </c>
      <c r="R40" s="19">
        <f t="shared" si="9"/>
        <v>0</v>
      </c>
      <c r="S40" s="20">
        <f t="shared" si="10"/>
        <v>0</v>
      </c>
      <c r="T40" s="18">
        <f t="shared" si="11"/>
        <v>0</v>
      </c>
      <c r="U40" s="18">
        <f t="shared" si="12"/>
        <v>0</v>
      </c>
      <c r="V40" s="18">
        <f t="shared" si="13"/>
        <v>0</v>
      </c>
      <c r="W40" s="20">
        <f t="shared" si="14"/>
        <v>0</v>
      </c>
      <c r="X40" s="65">
        <f t="shared" si="15"/>
        <v>0</v>
      </c>
      <c r="Y40" s="65">
        <f t="shared" si="16"/>
        <v>0</v>
      </c>
      <c r="Z40" s="20">
        <f t="shared" si="17"/>
        <v>0</v>
      </c>
      <c r="AA40" s="39">
        <f t="shared" si="18"/>
        <v>0</v>
      </c>
      <c r="AB40" s="39">
        <f t="shared" si="19"/>
        <v>0</v>
      </c>
      <c r="AC40" s="20">
        <f t="shared" si="20"/>
        <v>0</v>
      </c>
      <c r="AD40" s="39">
        <f t="shared" si="21"/>
        <v>0</v>
      </c>
      <c r="AE40" s="39">
        <f t="shared" si="22"/>
        <v>0</v>
      </c>
      <c r="AF40" s="20">
        <f t="shared" si="23"/>
        <v>0</v>
      </c>
      <c r="AG40" s="39">
        <f t="shared" si="24"/>
        <v>0</v>
      </c>
      <c r="AH40" s="39">
        <f t="shared" si="25"/>
        <v>0</v>
      </c>
      <c r="AI40" s="20">
        <f t="shared" si="26"/>
        <v>0</v>
      </c>
      <c r="AJ40" s="28">
        <f t="shared" si="27"/>
        <v>0</v>
      </c>
      <c r="AK40" s="28">
        <f t="shared" si="28"/>
        <v>0</v>
      </c>
      <c r="AL40" s="20">
        <f t="shared" si="29"/>
        <v>0</v>
      </c>
      <c r="AM40" s="1090">
        <f t="shared" si="30"/>
        <v>0</v>
      </c>
      <c r="AN40" s="1071">
        <f t="shared" si="31"/>
        <v>0</v>
      </c>
      <c r="AO40" s="1071">
        <f t="shared" si="32"/>
        <v>0</v>
      </c>
      <c r="AP40" s="20">
        <f t="shared" si="33"/>
        <v>0</v>
      </c>
      <c r="AQ40" s="826">
        <f t="shared" si="34"/>
        <v>0</v>
      </c>
      <c r="AR40" s="826">
        <f t="shared" si="35"/>
        <v>0</v>
      </c>
    </row>
    <row r="41" spans="1:44" ht="20.100000000000001" customHeight="1" x14ac:dyDescent="0.2">
      <c r="A41" s="876">
        <v>33</v>
      </c>
      <c r="B41" s="63">
        <f>dtsiswa!D39</f>
        <v>0</v>
      </c>
      <c r="C41" s="11" t="s">
        <v>5</v>
      </c>
      <c r="D41" s="22"/>
      <c r="E41" s="22"/>
      <c r="F41" s="22"/>
      <c r="G41" s="23"/>
      <c r="H41" s="23"/>
      <c r="I41" s="23"/>
      <c r="J41" s="23"/>
      <c r="K41" s="23"/>
      <c r="L41" s="23"/>
      <c r="M41" s="283"/>
      <c r="N41" s="25"/>
      <c r="O41" s="25"/>
      <c r="P41" s="25"/>
      <c r="Q41" s="19">
        <f t="shared" si="8"/>
        <v>0</v>
      </c>
      <c r="R41" s="19">
        <f t="shared" si="9"/>
        <v>0</v>
      </c>
      <c r="S41" s="20">
        <f t="shared" si="10"/>
        <v>0</v>
      </c>
      <c r="T41" s="18">
        <f t="shared" si="11"/>
        <v>0</v>
      </c>
      <c r="U41" s="18">
        <f t="shared" si="12"/>
        <v>0</v>
      </c>
      <c r="V41" s="18">
        <f t="shared" si="13"/>
        <v>0</v>
      </c>
      <c r="W41" s="20">
        <f t="shared" si="14"/>
        <v>0</v>
      </c>
      <c r="X41" s="65">
        <f t="shared" si="15"/>
        <v>0</v>
      </c>
      <c r="Y41" s="65">
        <f t="shared" si="16"/>
        <v>0</v>
      </c>
      <c r="Z41" s="20">
        <f t="shared" si="17"/>
        <v>0</v>
      </c>
      <c r="AA41" s="39">
        <f t="shared" si="18"/>
        <v>0</v>
      </c>
      <c r="AB41" s="39">
        <f t="shared" si="19"/>
        <v>0</v>
      </c>
      <c r="AC41" s="20">
        <f t="shared" si="20"/>
        <v>0</v>
      </c>
      <c r="AD41" s="39">
        <f t="shared" si="21"/>
        <v>0</v>
      </c>
      <c r="AE41" s="39">
        <f t="shared" si="22"/>
        <v>0</v>
      </c>
      <c r="AF41" s="20">
        <f t="shared" si="23"/>
        <v>0</v>
      </c>
      <c r="AG41" s="39">
        <f t="shared" si="24"/>
        <v>0</v>
      </c>
      <c r="AH41" s="39">
        <f t="shared" si="25"/>
        <v>0</v>
      </c>
      <c r="AI41" s="20">
        <f t="shared" si="26"/>
        <v>0</v>
      </c>
      <c r="AJ41" s="28">
        <f t="shared" si="27"/>
        <v>0</v>
      </c>
      <c r="AK41" s="28">
        <f t="shared" si="28"/>
        <v>0</v>
      </c>
      <c r="AL41" s="20">
        <f t="shared" si="29"/>
        <v>0</v>
      </c>
      <c r="AM41" s="1090">
        <f t="shared" si="30"/>
        <v>0</v>
      </c>
      <c r="AN41" s="1071">
        <f t="shared" si="31"/>
        <v>0</v>
      </c>
      <c r="AO41" s="1071">
        <f t="shared" si="32"/>
        <v>0</v>
      </c>
      <c r="AP41" s="20">
        <f t="shared" si="33"/>
        <v>0</v>
      </c>
      <c r="AQ41" s="826">
        <f t="shared" si="34"/>
        <v>0</v>
      </c>
      <c r="AR41" s="826">
        <f t="shared" si="35"/>
        <v>0</v>
      </c>
    </row>
    <row r="42" spans="1:44" ht="20.100000000000001" customHeight="1" x14ac:dyDescent="0.2">
      <c r="A42" s="876">
        <v>34</v>
      </c>
      <c r="B42" s="63">
        <f>dtsiswa!D40</f>
        <v>0</v>
      </c>
      <c r="C42" s="13" t="s">
        <v>4</v>
      </c>
      <c r="D42" s="22"/>
      <c r="E42" s="22"/>
      <c r="F42" s="22"/>
      <c r="G42" s="23"/>
      <c r="H42" s="23"/>
      <c r="I42" s="23"/>
      <c r="J42" s="23"/>
      <c r="K42" s="23"/>
      <c r="L42" s="23"/>
      <c r="M42" s="283"/>
      <c r="N42" s="25"/>
      <c r="O42" s="25"/>
      <c r="P42" s="25"/>
      <c r="Q42" s="19">
        <f t="shared" si="8"/>
        <v>0</v>
      </c>
      <c r="R42" s="19">
        <f t="shared" si="9"/>
        <v>0</v>
      </c>
      <c r="S42" s="20">
        <f t="shared" si="10"/>
        <v>0</v>
      </c>
      <c r="T42" s="18">
        <f t="shared" si="11"/>
        <v>0</v>
      </c>
      <c r="U42" s="18">
        <f t="shared" si="12"/>
        <v>0</v>
      </c>
      <c r="V42" s="18">
        <f t="shared" si="13"/>
        <v>0</v>
      </c>
      <c r="W42" s="20">
        <f t="shared" si="14"/>
        <v>0</v>
      </c>
      <c r="X42" s="65">
        <f t="shared" si="15"/>
        <v>0</v>
      </c>
      <c r="Y42" s="65">
        <f t="shared" si="16"/>
        <v>0</v>
      </c>
      <c r="Z42" s="20">
        <f t="shared" si="17"/>
        <v>0</v>
      </c>
      <c r="AA42" s="39">
        <f t="shared" si="18"/>
        <v>0</v>
      </c>
      <c r="AB42" s="39">
        <f t="shared" si="19"/>
        <v>0</v>
      </c>
      <c r="AC42" s="20">
        <f t="shared" si="20"/>
        <v>0</v>
      </c>
      <c r="AD42" s="39">
        <f t="shared" si="21"/>
        <v>0</v>
      </c>
      <c r="AE42" s="39">
        <f t="shared" si="22"/>
        <v>0</v>
      </c>
      <c r="AF42" s="20">
        <f t="shared" si="23"/>
        <v>0</v>
      </c>
      <c r="AG42" s="39">
        <f t="shared" si="24"/>
        <v>0</v>
      </c>
      <c r="AH42" s="39">
        <f t="shared" si="25"/>
        <v>0</v>
      </c>
      <c r="AI42" s="20">
        <f t="shared" si="26"/>
        <v>0</v>
      </c>
      <c r="AJ42" s="28">
        <f t="shared" si="27"/>
        <v>0</v>
      </c>
      <c r="AK42" s="28">
        <f t="shared" si="28"/>
        <v>0</v>
      </c>
      <c r="AL42" s="20">
        <f t="shared" si="29"/>
        <v>0</v>
      </c>
      <c r="AM42" s="1090">
        <f t="shared" si="30"/>
        <v>0</v>
      </c>
      <c r="AN42" s="1071">
        <f t="shared" si="31"/>
        <v>0</v>
      </c>
      <c r="AO42" s="1071">
        <f t="shared" si="32"/>
        <v>0</v>
      </c>
      <c r="AP42" s="20">
        <f t="shared" si="33"/>
        <v>0</v>
      </c>
      <c r="AQ42" s="826">
        <f t="shared" si="34"/>
        <v>0</v>
      </c>
      <c r="AR42" s="826">
        <f t="shared" si="35"/>
        <v>0</v>
      </c>
    </row>
    <row r="43" spans="1:44" ht="20.100000000000001" customHeight="1" x14ac:dyDescent="0.2">
      <c r="A43" s="876">
        <v>35</v>
      </c>
      <c r="B43" s="63">
        <f>dtsiswa!D41</f>
        <v>0</v>
      </c>
      <c r="C43" s="11" t="s">
        <v>5</v>
      </c>
      <c r="D43" s="22"/>
      <c r="E43" s="22"/>
      <c r="F43" s="22"/>
      <c r="G43" s="23"/>
      <c r="H43" s="23"/>
      <c r="I43" s="23"/>
      <c r="J43" s="23"/>
      <c r="K43" s="23"/>
      <c r="L43" s="23"/>
      <c r="M43" s="283"/>
      <c r="N43" s="25"/>
      <c r="O43" s="25"/>
      <c r="P43" s="25"/>
      <c r="Q43" s="19">
        <f t="shared" si="8"/>
        <v>0</v>
      </c>
      <c r="R43" s="19">
        <f t="shared" si="9"/>
        <v>0</v>
      </c>
      <c r="S43" s="20">
        <f t="shared" si="10"/>
        <v>0</v>
      </c>
      <c r="T43" s="18">
        <f t="shared" si="11"/>
        <v>0</v>
      </c>
      <c r="U43" s="18">
        <f t="shared" si="12"/>
        <v>0</v>
      </c>
      <c r="V43" s="18">
        <f t="shared" si="13"/>
        <v>0</v>
      </c>
      <c r="W43" s="20">
        <f t="shared" si="14"/>
        <v>0</v>
      </c>
      <c r="X43" s="65">
        <f t="shared" si="15"/>
        <v>0</v>
      </c>
      <c r="Y43" s="65">
        <f t="shared" si="16"/>
        <v>0</v>
      </c>
      <c r="Z43" s="20">
        <f t="shared" si="17"/>
        <v>0</v>
      </c>
      <c r="AA43" s="39">
        <f t="shared" si="18"/>
        <v>0</v>
      </c>
      <c r="AB43" s="39">
        <f t="shared" si="19"/>
        <v>0</v>
      </c>
      <c r="AC43" s="20">
        <f t="shared" si="20"/>
        <v>0</v>
      </c>
      <c r="AD43" s="39">
        <f t="shared" si="21"/>
        <v>0</v>
      </c>
      <c r="AE43" s="39">
        <f t="shared" si="22"/>
        <v>0</v>
      </c>
      <c r="AF43" s="20">
        <f t="shared" si="23"/>
        <v>0</v>
      </c>
      <c r="AG43" s="39">
        <f t="shared" si="24"/>
        <v>0</v>
      </c>
      <c r="AH43" s="39">
        <f t="shared" si="25"/>
        <v>0</v>
      </c>
      <c r="AI43" s="20">
        <f t="shared" si="26"/>
        <v>0</v>
      </c>
      <c r="AJ43" s="28">
        <f t="shared" si="27"/>
        <v>0</v>
      </c>
      <c r="AK43" s="28">
        <f t="shared" si="28"/>
        <v>0</v>
      </c>
      <c r="AL43" s="20">
        <f t="shared" si="29"/>
        <v>0</v>
      </c>
      <c r="AM43" s="1090">
        <f t="shared" si="30"/>
        <v>0</v>
      </c>
      <c r="AN43" s="1071">
        <f t="shared" si="31"/>
        <v>0</v>
      </c>
      <c r="AO43" s="1071">
        <f t="shared" si="32"/>
        <v>0</v>
      </c>
      <c r="AP43" s="20">
        <f t="shared" si="33"/>
        <v>0</v>
      </c>
      <c r="AQ43" s="826">
        <f t="shared" si="34"/>
        <v>0</v>
      </c>
      <c r="AR43" s="826">
        <f t="shared" si="35"/>
        <v>0</v>
      </c>
    </row>
    <row r="44" spans="1:44" ht="20.100000000000001" customHeight="1" x14ac:dyDescent="0.2">
      <c r="A44" s="876">
        <v>36</v>
      </c>
      <c r="B44" s="8"/>
      <c r="C44" s="8"/>
      <c r="D44" s="8"/>
      <c r="E44" s="8"/>
      <c r="F44" s="8"/>
      <c r="G44" s="8"/>
      <c r="H44" s="8"/>
      <c r="I44" s="8"/>
      <c r="J44" s="8"/>
      <c r="K44" s="8"/>
      <c r="L44" s="8"/>
      <c r="M44" s="8"/>
      <c r="N44" s="908"/>
      <c r="O44" s="908"/>
      <c r="P44" s="908"/>
      <c r="Q44" s="19">
        <f t="shared" si="8"/>
        <v>0</v>
      </c>
      <c r="R44" s="19">
        <f t="shared" si="9"/>
        <v>0</v>
      </c>
      <c r="S44" s="20">
        <f t="shared" si="10"/>
        <v>0</v>
      </c>
      <c r="T44" s="18">
        <f t="shared" si="11"/>
        <v>0</v>
      </c>
      <c r="U44" s="18">
        <f t="shared" si="12"/>
        <v>0</v>
      </c>
      <c r="V44" s="18">
        <f t="shared" si="13"/>
        <v>0</v>
      </c>
      <c r="W44" s="20">
        <f t="shared" si="14"/>
        <v>0</v>
      </c>
      <c r="X44" s="65">
        <f t="shared" si="15"/>
        <v>0</v>
      </c>
      <c r="Y44" s="65">
        <f t="shared" si="16"/>
        <v>0</v>
      </c>
      <c r="Z44" s="20">
        <f t="shared" si="17"/>
        <v>0</v>
      </c>
      <c r="AA44" s="39">
        <f t="shared" si="18"/>
        <v>0</v>
      </c>
      <c r="AB44" s="39">
        <f t="shared" si="19"/>
        <v>0</v>
      </c>
      <c r="AC44" s="20">
        <f t="shared" si="20"/>
        <v>0</v>
      </c>
      <c r="AD44" s="39">
        <f t="shared" si="21"/>
        <v>0</v>
      </c>
      <c r="AE44" s="39">
        <f t="shared" si="22"/>
        <v>0</v>
      </c>
      <c r="AF44" s="20">
        <f t="shared" si="23"/>
        <v>0</v>
      </c>
      <c r="AG44" s="39">
        <f t="shared" si="24"/>
        <v>0</v>
      </c>
      <c r="AH44" s="39">
        <f t="shared" si="25"/>
        <v>0</v>
      </c>
      <c r="AI44" s="20">
        <f t="shared" si="26"/>
        <v>0</v>
      </c>
      <c r="AJ44" s="28">
        <f t="shared" si="27"/>
        <v>0</v>
      </c>
      <c r="AK44" s="28">
        <f t="shared" si="28"/>
        <v>0</v>
      </c>
      <c r="AL44" s="20">
        <f t="shared" si="29"/>
        <v>0</v>
      </c>
      <c r="AM44" s="1090">
        <f t="shared" si="30"/>
        <v>0</v>
      </c>
      <c r="AN44" s="1071">
        <f t="shared" si="31"/>
        <v>0</v>
      </c>
      <c r="AO44" s="1071">
        <f t="shared" si="32"/>
        <v>0</v>
      </c>
      <c r="AP44" s="20">
        <f t="shared" si="33"/>
        <v>0</v>
      </c>
      <c r="AQ44" s="826">
        <f t="shared" si="34"/>
        <v>0</v>
      </c>
      <c r="AR44" s="826">
        <f t="shared" si="35"/>
        <v>0</v>
      </c>
    </row>
    <row r="45" spans="1:44" ht="20.100000000000001" customHeight="1" x14ac:dyDescent="0.2">
      <c r="A45" s="876">
        <v>37</v>
      </c>
      <c r="B45" s="8"/>
      <c r="C45" s="8"/>
      <c r="D45" s="8"/>
      <c r="E45" s="8"/>
      <c r="F45" s="8"/>
      <c r="G45" s="8"/>
      <c r="H45" s="8"/>
      <c r="I45" s="8"/>
      <c r="J45" s="8"/>
      <c r="K45" s="8"/>
      <c r="L45" s="8"/>
      <c r="M45" s="8"/>
      <c r="N45" s="908"/>
      <c r="O45" s="908"/>
      <c r="P45" s="908"/>
      <c r="Q45" s="19">
        <f t="shared" si="8"/>
        <v>0</v>
      </c>
      <c r="R45" s="19">
        <f t="shared" si="9"/>
        <v>0</v>
      </c>
      <c r="S45" s="20">
        <f t="shared" si="10"/>
        <v>0</v>
      </c>
      <c r="T45" s="18">
        <f t="shared" si="11"/>
        <v>0</v>
      </c>
      <c r="U45" s="18">
        <f t="shared" si="12"/>
        <v>0</v>
      </c>
      <c r="V45" s="18">
        <f t="shared" si="13"/>
        <v>0</v>
      </c>
      <c r="W45" s="20">
        <f t="shared" si="14"/>
        <v>0</v>
      </c>
      <c r="X45" s="65">
        <f t="shared" si="15"/>
        <v>0</v>
      </c>
      <c r="Y45" s="65">
        <f t="shared" si="16"/>
        <v>0</v>
      </c>
      <c r="Z45" s="20">
        <f t="shared" si="17"/>
        <v>0</v>
      </c>
      <c r="AA45" s="39">
        <f t="shared" si="18"/>
        <v>0</v>
      </c>
      <c r="AB45" s="39">
        <f t="shared" si="19"/>
        <v>0</v>
      </c>
      <c r="AC45" s="20">
        <f t="shared" si="20"/>
        <v>0</v>
      </c>
      <c r="AD45" s="39">
        <f t="shared" si="21"/>
        <v>0</v>
      </c>
      <c r="AE45" s="39">
        <f t="shared" si="22"/>
        <v>0</v>
      </c>
      <c r="AF45" s="20">
        <f t="shared" si="23"/>
        <v>0</v>
      </c>
      <c r="AG45" s="39">
        <f t="shared" si="24"/>
        <v>0</v>
      </c>
      <c r="AH45" s="39">
        <f t="shared" si="25"/>
        <v>0</v>
      </c>
      <c r="AI45" s="20">
        <f t="shared" si="26"/>
        <v>0</v>
      </c>
      <c r="AJ45" s="28">
        <f t="shared" si="27"/>
        <v>0</v>
      </c>
      <c r="AK45" s="28">
        <f t="shared" si="28"/>
        <v>0</v>
      </c>
      <c r="AL45" s="20">
        <f t="shared" si="29"/>
        <v>0</v>
      </c>
      <c r="AM45" s="1090">
        <f t="shared" si="30"/>
        <v>0</v>
      </c>
      <c r="AN45" s="1071">
        <f t="shared" si="31"/>
        <v>0</v>
      </c>
      <c r="AO45" s="1071">
        <f t="shared" si="32"/>
        <v>0</v>
      </c>
      <c r="AP45" s="20">
        <f t="shared" si="33"/>
        <v>0</v>
      </c>
      <c r="AQ45" s="826">
        <f t="shared" si="34"/>
        <v>0</v>
      </c>
      <c r="AR45" s="826">
        <f t="shared" si="35"/>
        <v>0</v>
      </c>
    </row>
    <row r="46" spans="1:44" ht="20.100000000000001" customHeight="1" x14ac:dyDescent="0.2">
      <c r="A46" s="876">
        <v>38</v>
      </c>
      <c r="B46" s="8"/>
      <c r="C46" s="8"/>
      <c r="D46" s="8"/>
      <c r="E46" s="8"/>
      <c r="F46" s="8"/>
      <c r="G46" s="8"/>
      <c r="H46" s="8"/>
      <c r="I46" s="8"/>
      <c r="J46" s="8"/>
      <c r="K46" s="8"/>
      <c r="L46" s="8"/>
      <c r="M46" s="8"/>
      <c r="N46" s="908"/>
      <c r="O46" s="908"/>
      <c r="P46" s="908"/>
      <c r="Q46" s="19">
        <f t="shared" si="8"/>
        <v>0</v>
      </c>
      <c r="R46" s="19">
        <f t="shared" si="9"/>
        <v>0</v>
      </c>
      <c r="S46" s="20">
        <f t="shared" si="10"/>
        <v>0</v>
      </c>
      <c r="T46" s="18">
        <f t="shared" si="11"/>
        <v>0</v>
      </c>
      <c r="U46" s="18">
        <f t="shared" si="12"/>
        <v>0</v>
      </c>
      <c r="V46" s="18">
        <f t="shared" si="13"/>
        <v>0</v>
      </c>
      <c r="W46" s="20">
        <f t="shared" si="14"/>
        <v>0</v>
      </c>
      <c r="X46" s="65">
        <f t="shared" si="15"/>
        <v>0</v>
      </c>
      <c r="Y46" s="65">
        <f t="shared" si="16"/>
        <v>0</v>
      </c>
      <c r="Z46" s="20">
        <f t="shared" si="17"/>
        <v>0</v>
      </c>
      <c r="AA46" s="39">
        <f t="shared" si="18"/>
        <v>0</v>
      </c>
      <c r="AB46" s="39">
        <f t="shared" si="19"/>
        <v>0</v>
      </c>
      <c r="AC46" s="20">
        <f t="shared" si="20"/>
        <v>0</v>
      </c>
      <c r="AD46" s="39">
        <f t="shared" si="21"/>
        <v>0</v>
      </c>
      <c r="AE46" s="39">
        <f t="shared" si="22"/>
        <v>0</v>
      </c>
      <c r="AF46" s="20">
        <f t="shared" si="23"/>
        <v>0</v>
      </c>
      <c r="AG46" s="39">
        <f t="shared" si="24"/>
        <v>0</v>
      </c>
      <c r="AH46" s="39">
        <f t="shared" si="25"/>
        <v>0</v>
      </c>
      <c r="AI46" s="20">
        <f t="shared" si="26"/>
        <v>0</v>
      </c>
      <c r="AJ46" s="28">
        <f t="shared" si="27"/>
        <v>0</v>
      </c>
      <c r="AK46" s="28">
        <f t="shared" si="28"/>
        <v>0</v>
      </c>
      <c r="AL46" s="20">
        <f t="shared" si="29"/>
        <v>0</v>
      </c>
      <c r="AM46" s="1090">
        <f t="shared" si="30"/>
        <v>0</v>
      </c>
      <c r="AN46" s="1071">
        <f t="shared" si="31"/>
        <v>0</v>
      </c>
      <c r="AO46" s="1071">
        <f t="shared" si="32"/>
        <v>0</v>
      </c>
      <c r="AP46" s="20">
        <f t="shared" si="33"/>
        <v>0</v>
      </c>
      <c r="AQ46" s="826">
        <f t="shared" si="34"/>
        <v>0</v>
      </c>
      <c r="AR46" s="826">
        <f t="shared" si="35"/>
        <v>0</v>
      </c>
    </row>
    <row r="47" spans="1:44" ht="20.100000000000001" customHeight="1" x14ac:dyDescent="0.2">
      <c r="A47" s="876">
        <v>39</v>
      </c>
      <c r="B47" s="8"/>
      <c r="C47" s="8"/>
      <c r="D47" s="8"/>
      <c r="E47" s="8"/>
      <c r="F47" s="8"/>
      <c r="G47" s="8"/>
      <c r="H47" s="8"/>
      <c r="I47" s="8"/>
      <c r="J47" s="8"/>
      <c r="K47" s="8"/>
      <c r="L47" s="8"/>
      <c r="M47" s="8"/>
      <c r="N47" s="908"/>
      <c r="O47" s="908"/>
      <c r="P47" s="908"/>
      <c r="Q47" s="19">
        <f t="shared" si="8"/>
        <v>0</v>
      </c>
      <c r="R47" s="19">
        <f t="shared" si="9"/>
        <v>0</v>
      </c>
      <c r="S47" s="20">
        <f t="shared" si="10"/>
        <v>0</v>
      </c>
      <c r="T47" s="18">
        <f t="shared" si="11"/>
        <v>0</v>
      </c>
      <c r="U47" s="18">
        <f t="shared" si="12"/>
        <v>0</v>
      </c>
      <c r="V47" s="18">
        <f t="shared" si="13"/>
        <v>0</v>
      </c>
      <c r="W47" s="20">
        <f t="shared" si="14"/>
        <v>0</v>
      </c>
      <c r="X47" s="65">
        <f t="shared" si="15"/>
        <v>0</v>
      </c>
      <c r="Y47" s="65">
        <f t="shared" si="16"/>
        <v>0</v>
      </c>
      <c r="Z47" s="20">
        <f t="shared" si="17"/>
        <v>0</v>
      </c>
      <c r="AA47" s="39">
        <f t="shared" si="18"/>
        <v>0</v>
      </c>
      <c r="AB47" s="39">
        <f t="shared" si="19"/>
        <v>0</v>
      </c>
      <c r="AC47" s="20">
        <f t="shared" si="20"/>
        <v>0</v>
      </c>
      <c r="AD47" s="39">
        <f t="shared" si="21"/>
        <v>0</v>
      </c>
      <c r="AE47" s="39">
        <f t="shared" si="22"/>
        <v>0</v>
      </c>
      <c r="AF47" s="20">
        <f t="shared" si="23"/>
        <v>0</v>
      </c>
      <c r="AG47" s="39">
        <f t="shared" si="24"/>
        <v>0</v>
      </c>
      <c r="AH47" s="39">
        <f t="shared" si="25"/>
        <v>0</v>
      </c>
      <c r="AI47" s="20">
        <f t="shared" si="26"/>
        <v>0</v>
      </c>
      <c r="AJ47" s="28">
        <f t="shared" si="27"/>
        <v>0</v>
      </c>
      <c r="AK47" s="28">
        <f t="shared" si="28"/>
        <v>0</v>
      </c>
      <c r="AL47" s="20">
        <f t="shared" si="29"/>
        <v>0</v>
      </c>
      <c r="AM47" s="1090">
        <f t="shared" si="30"/>
        <v>0</v>
      </c>
      <c r="AN47" s="1071">
        <f t="shared" si="31"/>
        <v>0</v>
      </c>
      <c r="AO47" s="1071">
        <f t="shared" si="32"/>
        <v>0</v>
      </c>
      <c r="AP47" s="20">
        <f t="shared" si="33"/>
        <v>0</v>
      </c>
      <c r="AQ47" s="826">
        <f t="shared" si="34"/>
        <v>0</v>
      </c>
      <c r="AR47" s="826">
        <f t="shared" si="35"/>
        <v>0</v>
      </c>
    </row>
    <row r="48" spans="1:44" ht="20.100000000000001" customHeight="1" x14ac:dyDescent="0.2">
      <c r="A48" s="876">
        <v>40</v>
      </c>
      <c r="B48" s="8"/>
      <c r="C48" s="8"/>
      <c r="D48" s="8"/>
      <c r="E48" s="8"/>
      <c r="F48" s="8"/>
      <c r="G48" s="8"/>
      <c r="H48" s="8"/>
      <c r="I48" s="8"/>
      <c r="J48" s="8"/>
      <c r="K48" s="8"/>
      <c r="L48" s="8"/>
      <c r="M48" s="8"/>
      <c r="N48" s="908"/>
      <c r="O48" s="908"/>
      <c r="P48" s="908"/>
      <c r="Q48" s="19">
        <f t="shared" si="8"/>
        <v>0</v>
      </c>
      <c r="R48" s="19">
        <f t="shared" si="9"/>
        <v>0</v>
      </c>
      <c r="S48" s="20">
        <f t="shared" si="10"/>
        <v>0</v>
      </c>
      <c r="T48" s="18">
        <f t="shared" si="11"/>
        <v>0</v>
      </c>
      <c r="U48" s="18">
        <f t="shared" si="12"/>
        <v>0</v>
      </c>
      <c r="V48" s="18">
        <f t="shared" si="13"/>
        <v>0</v>
      </c>
      <c r="W48" s="20">
        <f t="shared" si="14"/>
        <v>0</v>
      </c>
      <c r="X48" s="65">
        <f t="shared" si="15"/>
        <v>0</v>
      </c>
      <c r="Y48" s="65">
        <f t="shared" si="16"/>
        <v>0</v>
      </c>
      <c r="Z48" s="20">
        <f t="shared" si="17"/>
        <v>0</v>
      </c>
      <c r="AA48" s="39">
        <f t="shared" si="18"/>
        <v>0</v>
      </c>
      <c r="AB48" s="39">
        <f t="shared" si="19"/>
        <v>0</v>
      </c>
      <c r="AC48" s="20">
        <f t="shared" si="20"/>
        <v>0</v>
      </c>
      <c r="AD48" s="39">
        <f t="shared" si="21"/>
        <v>0</v>
      </c>
      <c r="AE48" s="39">
        <f t="shared" si="22"/>
        <v>0</v>
      </c>
      <c r="AF48" s="20">
        <f t="shared" si="23"/>
        <v>0</v>
      </c>
      <c r="AG48" s="39">
        <f t="shared" si="24"/>
        <v>0</v>
      </c>
      <c r="AH48" s="39">
        <f t="shared" si="25"/>
        <v>0</v>
      </c>
      <c r="AI48" s="20">
        <f t="shared" si="26"/>
        <v>0</v>
      </c>
      <c r="AJ48" s="28">
        <f t="shared" si="27"/>
        <v>0</v>
      </c>
      <c r="AK48" s="28">
        <f t="shared" si="28"/>
        <v>0</v>
      </c>
      <c r="AL48" s="20">
        <f t="shared" si="29"/>
        <v>0</v>
      </c>
      <c r="AM48" s="1090">
        <f t="shared" si="30"/>
        <v>0</v>
      </c>
      <c r="AN48" s="1071">
        <f t="shared" si="31"/>
        <v>0</v>
      </c>
      <c r="AO48" s="1071">
        <f t="shared" si="32"/>
        <v>0</v>
      </c>
      <c r="AP48" s="20">
        <f t="shared" si="33"/>
        <v>0</v>
      </c>
      <c r="AQ48" s="826">
        <f t="shared" si="34"/>
        <v>0</v>
      </c>
      <c r="AR48" s="826">
        <f t="shared" si="35"/>
        <v>0</v>
      </c>
    </row>
  </sheetData>
  <mergeCells count="34">
    <mergeCell ref="AP7:AP8"/>
    <mergeCell ref="G7:H7"/>
    <mergeCell ref="I7:J7"/>
    <mergeCell ref="K7:L7"/>
    <mergeCell ref="N7:O7"/>
    <mergeCell ref="AC7:AC8"/>
    <mergeCell ref="AL7:AL8"/>
    <mergeCell ref="AM6:AR6"/>
    <mergeCell ref="Q7:R7"/>
    <mergeCell ref="T7:V7"/>
    <mergeCell ref="AA7:AB7"/>
    <mergeCell ref="AD7:AE7"/>
    <mergeCell ref="AG7:AH7"/>
    <mergeCell ref="AJ7:AK7"/>
    <mergeCell ref="AF7:AF8"/>
    <mergeCell ref="AI7:AI8"/>
    <mergeCell ref="S6:S8"/>
    <mergeCell ref="T6:V6"/>
    <mergeCell ref="W6:W8"/>
    <mergeCell ref="X6:Y7"/>
    <mergeCell ref="Z6:Z8"/>
    <mergeCell ref="AA6:AL6"/>
    <mergeCell ref="AN7:AO7"/>
    <mergeCell ref="K2:M2"/>
    <mergeCell ref="Q3:R3"/>
    <mergeCell ref="A6:A8"/>
    <mergeCell ref="B6:B8"/>
    <mergeCell ref="C6:C8"/>
    <mergeCell ref="G6:J6"/>
    <mergeCell ref="K6:M6"/>
    <mergeCell ref="Q6:R6"/>
    <mergeCell ref="N6:P6"/>
    <mergeCell ref="D6:F6"/>
    <mergeCell ref="D7:E7"/>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rgb="FFFF0000"/>
  </sheetPr>
  <dimension ref="A1:BH48"/>
  <sheetViews>
    <sheetView showGridLines="0" workbookViewId="0">
      <pane xSplit="2" ySplit="8" topLeftCell="C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7.5703125" style="1" customWidth="1"/>
    <col min="3" max="3" width="5" style="1" customWidth="1"/>
    <col min="4" max="4" width="6.140625" style="1" customWidth="1"/>
    <col min="5" max="5" width="6" style="1" customWidth="1"/>
    <col min="6" max="12" width="4.7109375" style="1" customWidth="1"/>
    <col min="13" max="15" width="5.7109375" style="1" customWidth="1"/>
    <col min="16" max="22" width="5.85546875" style="1" customWidth="1"/>
    <col min="23" max="25" width="7.7109375" style="1" customWidth="1"/>
    <col min="26" max="29" width="6" style="1" customWidth="1"/>
    <col min="30" max="30" width="6.42578125" style="1" customWidth="1"/>
    <col min="31" max="31" width="5.28515625" style="1" customWidth="1"/>
    <col min="32" max="34" width="7.7109375" style="1" customWidth="1"/>
    <col min="35" max="35" width="6.140625" style="1" customWidth="1"/>
    <col min="36" max="41" width="5.7109375" style="1" customWidth="1"/>
    <col min="42" max="43" width="5.85546875" style="1" customWidth="1"/>
    <col min="44" max="45" width="6" style="1" customWidth="1"/>
    <col min="46" max="48" width="5.7109375" style="1" customWidth="1"/>
    <col min="49" max="51" width="5.5703125" style="1" customWidth="1"/>
    <col min="52" max="53" width="5.28515625" style="1" customWidth="1"/>
    <col min="54" max="57" width="5.85546875" style="1" customWidth="1"/>
    <col min="58" max="60" width="6.42578125" style="1" customWidth="1"/>
    <col min="61" max="16384" width="9.140625" style="1"/>
  </cols>
  <sheetData>
    <row r="1" spans="1:60" x14ac:dyDescent="0.2">
      <c r="C1" s="9"/>
      <c r="D1" s="9"/>
      <c r="E1" s="9"/>
      <c r="F1" s="9"/>
      <c r="G1" s="9"/>
      <c r="H1" s="9"/>
      <c r="I1" s="9"/>
      <c r="J1" s="9"/>
      <c r="K1" s="9"/>
      <c r="L1" s="9"/>
      <c r="M1" s="9"/>
      <c r="N1" s="9"/>
      <c r="O1" s="9"/>
      <c r="P1" s="9"/>
      <c r="Q1" s="9"/>
      <c r="R1" s="9"/>
      <c r="S1" s="9"/>
      <c r="T1" s="9"/>
      <c r="U1" s="9"/>
      <c r="V1" s="9"/>
      <c r="W1" s="9"/>
      <c r="X1" s="9"/>
      <c r="Y1" s="9"/>
    </row>
    <row r="2" spans="1:60" ht="21" x14ac:dyDescent="0.2">
      <c r="C2" s="9"/>
      <c r="D2" s="873"/>
      <c r="E2" s="873"/>
      <c r="F2" s="873"/>
      <c r="G2" s="873"/>
      <c r="H2" s="873"/>
      <c r="I2" s="873"/>
      <c r="J2" s="873"/>
      <c r="K2" s="873"/>
      <c r="L2" s="873"/>
      <c r="M2" s="2382"/>
      <c r="N2" s="2382"/>
      <c r="O2" s="2382"/>
      <c r="P2" s="2382"/>
      <c r="Q2" s="873"/>
      <c r="R2" s="873"/>
      <c r="S2" s="873"/>
      <c r="T2" s="873"/>
      <c r="U2" s="873"/>
      <c r="V2" s="873"/>
      <c r="W2" s="62"/>
      <c r="X2" s="62"/>
      <c r="Y2" s="62"/>
    </row>
    <row r="3" spans="1:60" s="6" customFormat="1" ht="18" customHeight="1" x14ac:dyDescent="0.2">
      <c r="A3" s="193" t="s">
        <v>41</v>
      </c>
      <c r="C3" s="9"/>
      <c r="D3" s="10"/>
      <c r="E3" s="10"/>
      <c r="F3" s="10"/>
      <c r="G3" s="10"/>
      <c r="H3" s="10"/>
      <c r="I3" s="10"/>
      <c r="J3" s="10"/>
      <c r="K3" s="10"/>
      <c r="L3" s="10"/>
      <c r="M3" s="10"/>
      <c r="N3" s="10"/>
      <c r="O3" s="10"/>
      <c r="P3" s="10"/>
      <c r="Q3" s="10"/>
      <c r="R3" s="10"/>
      <c r="S3" s="10"/>
      <c r="T3" s="10"/>
      <c r="U3" s="10"/>
      <c r="V3" s="10"/>
      <c r="W3" s="2279"/>
      <c r="X3" s="2279"/>
      <c r="Y3" s="2279"/>
      <c r="Z3" s="872"/>
      <c r="AA3" s="872"/>
      <c r="AB3" s="872"/>
      <c r="AC3" s="872"/>
      <c r="AD3" s="872"/>
      <c r="AE3" s="872"/>
      <c r="AF3" s="872"/>
      <c r="AG3" s="872"/>
      <c r="AH3" s="872"/>
    </row>
    <row r="4" spans="1:60" s="6" customFormat="1" ht="18" customHeight="1" x14ac:dyDescent="0.2">
      <c r="A4" s="195" t="s">
        <v>574</v>
      </c>
      <c r="D4" s="877"/>
      <c r="E4" s="877"/>
      <c r="F4" s="877"/>
      <c r="G4" s="877"/>
      <c r="H4" s="877"/>
      <c r="I4" s="877"/>
      <c r="J4" s="877"/>
      <c r="K4" s="877"/>
      <c r="L4" s="877"/>
      <c r="M4" s="877"/>
      <c r="N4" s="877"/>
      <c r="O4" s="877"/>
      <c r="P4" s="877"/>
      <c r="Q4" s="877"/>
      <c r="R4" s="877"/>
      <c r="S4" s="877"/>
      <c r="T4" s="877"/>
      <c r="U4" s="877"/>
      <c r="V4" s="877"/>
      <c r="AD4" s="872"/>
      <c r="AE4" s="872"/>
      <c r="AF4" s="872"/>
      <c r="AG4" s="872"/>
      <c r="AH4" s="872"/>
    </row>
    <row r="5" spans="1:60" s="194" customFormat="1" ht="18" customHeight="1" thickBot="1" x14ac:dyDescent="0.25">
      <c r="A5" s="224">
        <v>1</v>
      </c>
      <c r="B5" s="564">
        <v>2</v>
      </c>
      <c r="C5" s="224">
        <v>3</v>
      </c>
      <c r="D5" s="564">
        <v>4</v>
      </c>
      <c r="E5" s="224">
        <v>5</v>
      </c>
      <c r="F5" s="564">
        <v>6</v>
      </c>
      <c r="G5" s="224">
        <v>7</v>
      </c>
      <c r="H5" s="564">
        <v>8</v>
      </c>
      <c r="I5" s="224">
        <v>9</v>
      </c>
      <c r="J5" s="564">
        <v>10</v>
      </c>
      <c r="K5" s="224">
        <v>11</v>
      </c>
      <c r="L5" s="564">
        <v>12</v>
      </c>
      <c r="M5" s="224">
        <v>13</v>
      </c>
      <c r="N5" s="564">
        <v>14</v>
      </c>
      <c r="O5" s="224">
        <v>15</v>
      </c>
      <c r="P5" s="564">
        <v>16</v>
      </c>
      <c r="Q5" s="224">
        <v>17</v>
      </c>
      <c r="R5" s="564">
        <v>18</v>
      </c>
      <c r="S5" s="224">
        <v>19</v>
      </c>
      <c r="T5" s="564">
        <v>20</v>
      </c>
      <c r="U5" s="224">
        <v>21</v>
      </c>
      <c r="V5" s="564">
        <v>22</v>
      </c>
      <c r="W5" s="224">
        <v>23</v>
      </c>
      <c r="X5" s="564">
        <v>24</v>
      </c>
      <c r="Y5" s="224">
        <v>25</v>
      </c>
      <c r="Z5" s="564">
        <v>26</v>
      </c>
      <c r="AA5" s="224">
        <v>27</v>
      </c>
      <c r="AB5" s="564">
        <v>28</v>
      </c>
      <c r="AC5" s="224">
        <v>29</v>
      </c>
      <c r="AD5" s="564">
        <v>30</v>
      </c>
      <c r="AE5" s="224">
        <v>31</v>
      </c>
      <c r="AF5" s="990">
        <v>32</v>
      </c>
      <c r="AG5" s="935">
        <v>33</v>
      </c>
      <c r="AH5" s="990">
        <v>34</v>
      </c>
      <c r="AI5" s="224">
        <v>35</v>
      </c>
      <c r="AJ5" s="564">
        <v>36</v>
      </c>
      <c r="AK5" s="224">
        <v>37</v>
      </c>
      <c r="AL5" s="564">
        <v>38</v>
      </c>
      <c r="AM5" s="224">
        <v>39</v>
      </c>
      <c r="AN5" s="564">
        <v>40</v>
      </c>
      <c r="AO5" s="224">
        <v>41</v>
      </c>
      <c r="AP5" s="564">
        <v>42</v>
      </c>
      <c r="AQ5" s="224">
        <v>43</v>
      </c>
      <c r="AR5" s="564">
        <v>44</v>
      </c>
      <c r="AS5" s="224">
        <v>45</v>
      </c>
      <c r="AT5" s="564">
        <v>46</v>
      </c>
      <c r="AU5" s="224">
        <v>47</v>
      </c>
      <c r="AV5" s="564">
        <v>48</v>
      </c>
      <c r="AW5" s="922">
        <v>49</v>
      </c>
      <c r="AX5" s="923">
        <v>50</v>
      </c>
      <c r="AY5" s="922">
        <v>51</v>
      </c>
      <c r="AZ5" s="923">
        <v>52</v>
      </c>
      <c r="BA5" s="922">
        <v>53</v>
      </c>
      <c r="BB5" s="923">
        <v>54</v>
      </c>
      <c r="BC5" s="922">
        <v>55</v>
      </c>
      <c r="BD5" s="923">
        <v>56</v>
      </c>
      <c r="BE5" s="922">
        <v>57</v>
      </c>
      <c r="BF5" s="923">
        <v>58</v>
      </c>
      <c r="BG5" s="922">
        <v>59</v>
      </c>
      <c r="BH5" s="923">
        <v>60</v>
      </c>
    </row>
    <row r="6" spans="1:60" s="5" customFormat="1" ht="19.5" customHeight="1" x14ac:dyDescent="0.25">
      <c r="A6" s="2384" t="s">
        <v>0</v>
      </c>
      <c r="B6" s="2387" t="s">
        <v>1</v>
      </c>
      <c r="C6" s="2416" t="s">
        <v>3</v>
      </c>
      <c r="D6" s="2420" t="s">
        <v>26</v>
      </c>
      <c r="E6" s="2421"/>
      <c r="F6" s="2375" t="s">
        <v>45</v>
      </c>
      <c r="G6" s="2419"/>
      <c r="H6" s="2419"/>
      <c r="I6" s="2419"/>
      <c r="J6" s="2419"/>
      <c r="K6" s="2419"/>
      <c r="L6" s="2373"/>
      <c r="M6" s="2459" t="s">
        <v>51</v>
      </c>
      <c r="N6" s="2460"/>
      <c r="O6" s="2460"/>
      <c r="P6" s="2460"/>
      <c r="Q6" s="2460"/>
      <c r="R6" s="2461"/>
      <c r="S6" s="2375" t="s">
        <v>52</v>
      </c>
      <c r="T6" s="2419"/>
      <c r="U6" s="2419"/>
      <c r="V6" s="2373"/>
      <c r="W6" s="2418" t="s">
        <v>15</v>
      </c>
      <c r="X6" s="2418"/>
      <c r="Y6" s="2418"/>
      <c r="Z6" s="2403" t="s">
        <v>2</v>
      </c>
      <c r="AA6" s="2418" t="s">
        <v>6</v>
      </c>
      <c r="AB6" s="2418"/>
      <c r="AC6" s="2418"/>
      <c r="AD6" s="2418"/>
      <c r="AE6" s="2405" t="s">
        <v>40</v>
      </c>
      <c r="AF6" s="2434" t="s">
        <v>142</v>
      </c>
      <c r="AG6" s="2435"/>
      <c r="AH6" s="2435"/>
      <c r="AI6" s="2438" t="s">
        <v>24</v>
      </c>
      <c r="AJ6" s="2440" t="s">
        <v>25</v>
      </c>
      <c r="AK6" s="2441"/>
      <c r="AL6" s="2441"/>
      <c r="AM6" s="2441"/>
      <c r="AN6" s="2441"/>
      <c r="AO6" s="2441"/>
      <c r="AP6" s="2441"/>
      <c r="AQ6" s="2441"/>
      <c r="AR6" s="2441"/>
      <c r="AS6" s="2441"/>
      <c r="AT6" s="2441"/>
      <c r="AU6" s="2441"/>
      <c r="AV6" s="2441"/>
      <c r="AW6" s="2454" t="s">
        <v>139</v>
      </c>
      <c r="AX6" s="2455"/>
      <c r="AY6" s="2455"/>
      <c r="AZ6" s="2455"/>
      <c r="BA6" s="2455"/>
      <c r="BB6" s="2455"/>
      <c r="BC6" s="2455"/>
      <c r="BD6" s="2455"/>
      <c r="BE6" s="2455"/>
      <c r="BF6" s="2455"/>
      <c r="BG6" s="2455"/>
      <c r="BH6" s="2456"/>
    </row>
    <row r="7" spans="1:60" s="4" customFormat="1" ht="23.25" customHeight="1" x14ac:dyDescent="0.25">
      <c r="A7" s="2385"/>
      <c r="B7" s="2354"/>
      <c r="C7" s="2353"/>
      <c r="D7" s="875" t="s">
        <v>42</v>
      </c>
      <c r="E7" s="890" t="s">
        <v>43</v>
      </c>
      <c r="F7" s="2367" t="s">
        <v>42</v>
      </c>
      <c r="G7" s="2368"/>
      <c r="H7" s="2368"/>
      <c r="I7" s="2369"/>
      <c r="J7" s="2367" t="s">
        <v>43</v>
      </c>
      <c r="K7" s="2368"/>
      <c r="L7" s="2369"/>
      <c r="M7" s="2357" t="s">
        <v>42</v>
      </c>
      <c r="N7" s="2423"/>
      <c r="O7" s="2358"/>
      <c r="P7" s="2446" t="s">
        <v>43</v>
      </c>
      <c r="Q7" s="2458"/>
      <c r="R7" s="2383"/>
      <c r="S7" s="2446" t="s">
        <v>42</v>
      </c>
      <c r="T7" s="2383"/>
      <c r="U7" s="2446" t="s">
        <v>43</v>
      </c>
      <c r="V7" s="2383"/>
      <c r="W7" s="2427" t="s">
        <v>140</v>
      </c>
      <c r="X7" s="2457"/>
      <c r="Y7" s="2428"/>
      <c r="Z7" s="2352"/>
      <c r="AA7" s="2429" t="s">
        <v>141</v>
      </c>
      <c r="AB7" s="2430"/>
      <c r="AC7" s="2430"/>
      <c r="AD7" s="2431"/>
      <c r="AE7" s="2346"/>
      <c r="AF7" s="2436"/>
      <c r="AG7" s="2437"/>
      <c r="AH7" s="2437"/>
      <c r="AI7" s="2348"/>
      <c r="AJ7" s="901" t="s">
        <v>157</v>
      </c>
      <c r="AK7" s="2351" t="s">
        <v>50</v>
      </c>
      <c r="AL7" s="2351"/>
      <c r="AM7" s="2351"/>
      <c r="AN7" s="2351"/>
      <c r="AO7" s="2432"/>
      <c r="AP7" s="2351" t="s">
        <v>51</v>
      </c>
      <c r="AQ7" s="2351"/>
      <c r="AR7" s="2351"/>
      <c r="AS7" s="2432"/>
      <c r="AT7" s="2351" t="s">
        <v>52</v>
      </c>
      <c r="AU7" s="2351"/>
      <c r="AV7" s="2447"/>
      <c r="AW7" s="920" t="s">
        <v>157</v>
      </c>
      <c r="AX7" s="2449" t="s">
        <v>466</v>
      </c>
      <c r="AY7" s="2450"/>
      <c r="AZ7" s="2453"/>
      <c r="BA7" s="2451"/>
      <c r="BB7" s="2449" t="s">
        <v>467</v>
      </c>
      <c r="BC7" s="2450"/>
      <c r="BD7" s="2450"/>
      <c r="BE7" s="2451"/>
      <c r="BF7" s="2449" t="s">
        <v>52</v>
      </c>
      <c r="BG7" s="2453"/>
      <c r="BH7" s="2444"/>
    </row>
    <row r="8" spans="1:60" ht="19.5" customHeight="1" thickBot="1" x14ac:dyDescent="0.25">
      <c r="A8" s="2386"/>
      <c r="B8" s="2388"/>
      <c r="C8" s="2417"/>
      <c r="D8" s="143" t="s">
        <v>16</v>
      </c>
      <c r="E8" s="144" t="s">
        <v>18</v>
      </c>
      <c r="F8" s="145" t="s">
        <v>154</v>
      </c>
      <c r="G8" s="145" t="s">
        <v>9</v>
      </c>
      <c r="H8" s="145" t="s">
        <v>11</v>
      </c>
      <c r="I8" s="145" t="s">
        <v>16</v>
      </c>
      <c r="J8" s="144" t="s">
        <v>10</v>
      </c>
      <c r="K8" s="144" t="s">
        <v>8</v>
      </c>
      <c r="L8" s="144" t="s">
        <v>18</v>
      </c>
      <c r="M8" s="145" t="s">
        <v>9</v>
      </c>
      <c r="N8" s="145" t="s">
        <v>11</v>
      </c>
      <c r="O8" s="145" t="s">
        <v>16</v>
      </c>
      <c r="P8" s="144" t="s">
        <v>10</v>
      </c>
      <c r="Q8" s="144" t="s">
        <v>8</v>
      </c>
      <c r="R8" s="144" t="s">
        <v>18</v>
      </c>
      <c r="S8" s="145" t="s">
        <v>9</v>
      </c>
      <c r="T8" s="145" t="s">
        <v>11</v>
      </c>
      <c r="U8" s="144" t="s">
        <v>10</v>
      </c>
      <c r="V8" s="144" t="s">
        <v>18</v>
      </c>
      <c r="W8" s="880" t="s">
        <v>10</v>
      </c>
      <c r="X8" s="880" t="s">
        <v>8</v>
      </c>
      <c r="Y8" s="880" t="s">
        <v>18</v>
      </c>
      <c r="Z8" s="2404"/>
      <c r="AA8" s="68" t="s">
        <v>154</v>
      </c>
      <c r="AB8" s="67" t="s">
        <v>9</v>
      </c>
      <c r="AC8" s="67" t="s">
        <v>11</v>
      </c>
      <c r="AD8" s="67" t="s">
        <v>16</v>
      </c>
      <c r="AE8" s="2406"/>
      <c r="AF8" s="880" t="s">
        <v>10</v>
      </c>
      <c r="AG8" s="880" t="s">
        <v>8</v>
      </c>
      <c r="AH8" s="880" t="s">
        <v>18</v>
      </c>
      <c r="AI8" s="2439"/>
      <c r="AJ8" s="144" t="s">
        <v>16</v>
      </c>
      <c r="AK8" s="918" t="s">
        <v>154</v>
      </c>
      <c r="AL8" s="918" t="s">
        <v>9</v>
      </c>
      <c r="AM8" s="918" t="s">
        <v>11</v>
      </c>
      <c r="AN8" s="918" t="s">
        <v>16</v>
      </c>
      <c r="AO8" s="2433"/>
      <c r="AP8" s="918" t="s">
        <v>9</v>
      </c>
      <c r="AQ8" s="918" t="s">
        <v>11</v>
      </c>
      <c r="AR8" s="918" t="s">
        <v>16</v>
      </c>
      <c r="AS8" s="2433"/>
      <c r="AT8" s="918" t="s">
        <v>9</v>
      </c>
      <c r="AU8" s="918" t="s">
        <v>11</v>
      </c>
      <c r="AV8" s="2448"/>
      <c r="AW8" s="921" t="s">
        <v>18</v>
      </c>
      <c r="AX8" s="144" t="s">
        <v>10</v>
      </c>
      <c r="AY8" s="144" t="s">
        <v>8</v>
      </c>
      <c r="AZ8" s="144" t="s">
        <v>18</v>
      </c>
      <c r="BA8" s="2445"/>
      <c r="BB8" s="144" t="s">
        <v>10</v>
      </c>
      <c r="BC8" s="144" t="s">
        <v>8</v>
      </c>
      <c r="BD8" s="919" t="s">
        <v>18</v>
      </c>
      <c r="BE8" s="2452"/>
      <c r="BF8" s="144" t="s">
        <v>10</v>
      </c>
      <c r="BG8" s="514" t="s">
        <v>18</v>
      </c>
      <c r="BH8" s="2451"/>
    </row>
    <row r="9" spans="1:60" ht="20.100000000000001" customHeight="1" x14ac:dyDescent="0.2">
      <c r="A9" s="58">
        <v>1</v>
      </c>
      <c r="B9" s="63" t="str">
        <f>dtsiswa!D7</f>
        <v>Achmad Zacky</v>
      </c>
      <c r="C9" s="64" t="s">
        <v>4</v>
      </c>
      <c r="D9" s="27">
        <v>70</v>
      </c>
      <c r="E9" s="27">
        <v>65</v>
      </c>
      <c r="F9" s="25">
        <v>56</v>
      </c>
      <c r="G9" s="25">
        <v>65</v>
      </c>
      <c r="H9" s="25">
        <v>78</v>
      </c>
      <c r="I9" s="25">
        <v>67</v>
      </c>
      <c r="J9" s="25">
        <v>81</v>
      </c>
      <c r="K9" s="25">
        <v>78</v>
      </c>
      <c r="L9" s="25">
        <v>73</v>
      </c>
      <c r="M9" s="25">
        <v>80</v>
      </c>
      <c r="N9" s="25">
        <v>73</v>
      </c>
      <c r="O9" s="25">
        <v>56</v>
      </c>
      <c r="P9" s="25">
        <v>81</v>
      </c>
      <c r="Q9" s="25">
        <v>67</v>
      </c>
      <c r="R9" s="25">
        <v>70</v>
      </c>
      <c r="S9" s="25">
        <v>56</v>
      </c>
      <c r="T9" s="25">
        <v>60</v>
      </c>
      <c r="U9" s="25">
        <v>65</v>
      </c>
      <c r="V9" s="25">
        <v>72</v>
      </c>
      <c r="W9" s="19">
        <f>(J9+P9+U9)/3</f>
        <v>75.666666666666671</v>
      </c>
      <c r="X9" s="19">
        <f>(K9+Q9)/2</f>
        <v>72.5</v>
      </c>
      <c r="Y9" s="19">
        <f>(E9+L9+R9+V9)/4</f>
        <v>70</v>
      </c>
      <c r="Z9" s="20">
        <f t="shared" ref="Z9" si="0">IFERROR(AVERAGE(W9:Y9),"  ")</f>
        <v>72.722222222222229</v>
      </c>
      <c r="AA9" s="18">
        <f>F9</f>
        <v>56</v>
      </c>
      <c r="AB9" s="18">
        <f>(G9+M9+S9)/3</f>
        <v>67</v>
      </c>
      <c r="AC9" s="18">
        <f>(H9+N9+T9)/3</f>
        <v>70.333333333333329</v>
      </c>
      <c r="AD9" s="18">
        <f>(I9+O9)/2</f>
        <v>61.5</v>
      </c>
      <c r="AE9" s="20">
        <f t="shared" ref="AE9" si="1">IFERROR(AVERAGE(AA9:AD9),"  ")</f>
        <v>63.708333333333329</v>
      </c>
      <c r="AF9" s="65">
        <f>(W9+AB9+AA9)/3</f>
        <v>66.222222222222229</v>
      </c>
      <c r="AG9" s="65">
        <f t="shared" ref="AG9:AH9" si="2">(X9+AC9)/2</f>
        <v>71.416666666666657</v>
      </c>
      <c r="AH9" s="65">
        <f t="shared" si="2"/>
        <v>65.75</v>
      </c>
      <c r="AI9" s="20">
        <f t="shared" ref="AI9" si="3">IFERROR(AVERAGE(AF9:AH9),"  ")</f>
        <v>67.796296296296291</v>
      </c>
      <c r="AJ9" s="39">
        <f>D9</f>
        <v>70</v>
      </c>
      <c r="AK9" s="39">
        <f>F9</f>
        <v>56</v>
      </c>
      <c r="AL9" s="39">
        <f t="shared" ref="AL9:AN9" si="4">G9</f>
        <v>65</v>
      </c>
      <c r="AM9" s="39">
        <f t="shared" si="4"/>
        <v>78</v>
      </c>
      <c r="AN9" s="39">
        <f t="shared" si="4"/>
        <v>67</v>
      </c>
      <c r="AO9" s="20">
        <f t="shared" ref="AO9" si="5">IFERROR(AVERAGE(AK9:AN9),"  ")</f>
        <v>66.5</v>
      </c>
      <c r="AP9" s="39">
        <f>M9</f>
        <v>80</v>
      </c>
      <c r="AQ9" s="39">
        <f t="shared" ref="AQ9:AR9" si="6">N9</f>
        <v>73</v>
      </c>
      <c r="AR9" s="39">
        <f t="shared" si="6"/>
        <v>56</v>
      </c>
      <c r="AS9" s="20">
        <f>IFERROR(AVERAGE(AP9:AR9),"  ")</f>
        <v>69.666666666666671</v>
      </c>
      <c r="AT9" s="28">
        <f>S9</f>
        <v>56</v>
      </c>
      <c r="AU9" s="28">
        <f>T9</f>
        <v>60</v>
      </c>
      <c r="AV9" s="20">
        <f>IFERROR(AVERAGE(AT9:AU9),"  ")</f>
        <v>58</v>
      </c>
      <c r="AW9" s="1089">
        <f>E9</f>
        <v>65</v>
      </c>
      <c r="AX9" s="1072">
        <f>J9</f>
        <v>81</v>
      </c>
      <c r="AY9" s="1072">
        <f t="shared" ref="AY9:AZ9" si="7">K9</f>
        <v>78</v>
      </c>
      <c r="AZ9" s="1072">
        <f t="shared" si="7"/>
        <v>73</v>
      </c>
      <c r="BA9" s="20">
        <f>IFERROR(AVERAGE(AX9:AZ9),"  ")</f>
        <v>77.333333333333329</v>
      </c>
      <c r="BB9" s="852">
        <f>P9</f>
        <v>81</v>
      </c>
      <c r="BC9" s="852">
        <f t="shared" ref="BC9:BD9" si="8">Q9</f>
        <v>67</v>
      </c>
      <c r="BD9" s="852">
        <f t="shared" si="8"/>
        <v>70</v>
      </c>
      <c r="BE9" s="20">
        <f>IFERROR(AVERAGE(BB9:BD9),"  ")</f>
        <v>72.666666666666671</v>
      </c>
      <c r="BF9" s="852">
        <f>U9</f>
        <v>65</v>
      </c>
      <c r="BG9" s="852">
        <f>V9</f>
        <v>72</v>
      </c>
      <c r="BH9" s="20">
        <f>IFERROR(AVERAGE(BF9:BG9),"  ")</f>
        <v>68.5</v>
      </c>
    </row>
    <row r="10" spans="1:60" ht="20.100000000000001" customHeight="1" x14ac:dyDescent="0.2">
      <c r="A10" s="876">
        <v>2</v>
      </c>
      <c r="B10" s="63" t="str">
        <f>dtsiswa!D8</f>
        <v>Angelia Vabel R</v>
      </c>
      <c r="C10" s="11" t="s">
        <v>4</v>
      </c>
      <c r="D10" s="22"/>
      <c r="E10" s="22"/>
      <c r="F10" s="23"/>
      <c r="G10" s="23"/>
      <c r="H10" s="23"/>
      <c r="I10" s="23"/>
      <c r="J10" s="23"/>
      <c r="K10" s="23"/>
      <c r="L10" s="23"/>
      <c r="M10" s="23"/>
      <c r="N10" s="23"/>
      <c r="O10" s="23"/>
      <c r="P10" s="283"/>
      <c r="Q10" s="25"/>
      <c r="R10" s="25"/>
      <c r="S10" s="25"/>
      <c r="T10" s="25"/>
      <c r="U10" s="25"/>
      <c r="V10" s="25"/>
      <c r="W10" s="19">
        <f t="shared" ref="W10:W48" si="9">(J10+P10+U10)/3</f>
        <v>0</v>
      </c>
      <c r="X10" s="19">
        <f t="shared" ref="X10:X48" si="10">(K10+Q10)/2</f>
        <v>0</v>
      </c>
      <c r="Y10" s="19">
        <f t="shared" ref="Y10:Y48" si="11">(E10+L10+R10+V10)/4</f>
        <v>0</v>
      </c>
      <c r="Z10" s="20">
        <f t="shared" ref="Z10:Z48" si="12">IFERROR(AVERAGE(W10:Y10),"  ")</f>
        <v>0</v>
      </c>
      <c r="AA10" s="18">
        <f t="shared" ref="AA10:AA48" si="13">F10</f>
        <v>0</v>
      </c>
      <c r="AB10" s="18">
        <f t="shared" ref="AB10:AB48" si="14">(G10+M10+S10)/3</f>
        <v>0</v>
      </c>
      <c r="AC10" s="18">
        <f t="shared" ref="AC10:AC48" si="15">(H10+N10+T10)/3</f>
        <v>0</v>
      </c>
      <c r="AD10" s="18">
        <f t="shared" ref="AD10:AD48" si="16">(I10+O10)/2</f>
        <v>0</v>
      </c>
      <c r="AE10" s="20">
        <f t="shared" ref="AE10:AE48" si="17">IFERROR(AVERAGE(AA10:AD10),"  ")</f>
        <v>0</v>
      </c>
      <c r="AF10" s="65">
        <f t="shared" ref="AF10:AF48" si="18">(W10+AB10+AA10)/3</f>
        <v>0</v>
      </c>
      <c r="AG10" s="65">
        <f t="shared" ref="AG10:AG48" si="19">(X10+AC10)/2</f>
        <v>0</v>
      </c>
      <c r="AH10" s="65">
        <f t="shared" ref="AH10:AH48" si="20">(Y10+AD10)/2</f>
        <v>0</v>
      </c>
      <c r="AI10" s="20">
        <f t="shared" ref="AI10:AI48" si="21">IFERROR(AVERAGE(AF10:AH10),"  ")</f>
        <v>0</v>
      </c>
      <c r="AJ10" s="39">
        <f t="shared" ref="AJ10:AJ48" si="22">D10</f>
        <v>0</v>
      </c>
      <c r="AK10" s="39">
        <f t="shared" ref="AK10:AK48" si="23">F10</f>
        <v>0</v>
      </c>
      <c r="AL10" s="39">
        <f t="shared" ref="AL10:AL48" si="24">G10</f>
        <v>0</v>
      </c>
      <c r="AM10" s="39">
        <f t="shared" ref="AM10:AM48" si="25">H10</f>
        <v>0</v>
      </c>
      <c r="AN10" s="39">
        <f t="shared" ref="AN10:AN48" si="26">I10</f>
        <v>0</v>
      </c>
      <c r="AO10" s="20">
        <f t="shared" ref="AO10:AO48" si="27">IFERROR(AVERAGE(AK10:AN10),"  ")</f>
        <v>0</v>
      </c>
      <c r="AP10" s="39">
        <f t="shared" ref="AP10:AP48" si="28">M10</f>
        <v>0</v>
      </c>
      <c r="AQ10" s="39">
        <f t="shared" ref="AQ10:AQ48" si="29">N10</f>
        <v>0</v>
      </c>
      <c r="AR10" s="39">
        <f t="shared" ref="AR10:AR48" si="30">O10</f>
        <v>0</v>
      </c>
      <c r="AS10" s="20">
        <f t="shared" ref="AS10:AS48" si="31">IFERROR(AVERAGE(AP10:AR10),"  ")</f>
        <v>0</v>
      </c>
      <c r="AT10" s="28">
        <f t="shared" ref="AT10:AT48" si="32">S10</f>
        <v>0</v>
      </c>
      <c r="AU10" s="28">
        <f t="shared" ref="AU10:AU48" si="33">T10</f>
        <v>0</v>
      </c>
      <c r="AV10" s="20">
        <f t="shared" ref="AV10:AV48" si="34">IFERROR(AVERAGE(AT10:AU10),"  ")</f>
        <v>0</v>
      </c>
      <c r="AW10" s="1089">
        <f t="shared" ref="AW10:AW48" si="35">E10</f>
        <v>0</v>
      </c>
      <c r="AX10" s="1072">
        <f t="shared" ref="AX10:AX48" si="36">J10</f>
        <v>0</v>
      </c>
      <c r="AY10" s="1072">
        <f t="shared" ref="AY10:AY48" si="37">K10</f>
        <v>0</v>
      </c>
      <c r="AZ10" s="1072">
        <f t="shared" ref="AZ10:AZ48" si="38">L10</f>
        <v>0</v>
      </c>
      <c r="BA10" s="20">
        <f t="shared" ref="BA10:BA48" si="39">IFERROR(AVERAGE(AX10:AZ10),"  ")</f>
        <v>0</v>
      </c>
      <c r="BB10" s="852">
        <f t="shared" ref="BB10:BB48" si="40">P10</f>
        <v>0</v>
      </c>
      <c r="BC10" s="852">
        <f t="shared" ref="BC10:BC48" si="41">Q10</f>
        <v>0</v>
      </c>
      <c r="BD10" s="852">
        <f t="shared" ref="BD10:BD48" si="42">R10</f>
        <v>0</v>
      </c>
      <c r="BE10" s="20">
        <f t="shared" ref="BE10:BE48" si="43">IFERROR(AVERAGE(BB10:BD10),"  ")</f>
        <v>0</v>
      </c>
      <c r="BF10" s="852">
        <f t="shared" ref="BF10:BF48" si="44">U10</f>
        <v>0</v>
      </c>
      <c r="BG10" s="852">
        <f t="shared" ref="BG10:BG48" si="45">V10</f>
        <v>0</v>
      </c>
      <c r="BH10" s="20">
        <f t="shared" ref="BH10:BH48" si="46">IFERROR(AVERAGE(BF10:BG10),"  ")</f>
        <v>0</v>
      </c>
    </row>
    <row r="11" spans="1:60" ht="20.100000000000001" customHeight="1" x14ac:dyDescent="0.2">
      <c r="A11" s="876">
        <v>3</v>
      </c>
      <c r="B11" s="63" t="str">
        <f>dtsiswa!D9</f>
        <v>Anggun Dwi P.I</v>
      </c>
      <c r="C11" s="11" t="s">
        <v>4</v>
      </c>
      <c r="D11" s="22"/>
      <c r="E11" s="22"/>
      <c r="F11" s="23"/>
      <c r="G11" s="23"/>
      <c r="H11" s="23"/>
      <c r="I11" s="23"/>
      <c r="J11" s="23"/>
      <c r="K11" s="23"/>
      <c r="L11" s="23"/>
      <c r="M11" s="23"/>
      <c r="N11" s="23"/>
      <c r="O11" s="23"/>
      <c r="P11" s="283"/>
      <c r="Q11" s="25"/>
      <c r="R11" s="25"/>
      <c r="S11" s="25"/>
      <c r="T11" s="25"/>
      <c r="U11" s="25"/>
      <c r="V11" s="25"/>
      <c r="W11" s="19">
        <f t="shared" si="9"/>
        <v>0</v>
      </c>
      <c r="X11" s="19">
        <f t="shared" si="10"/>
        <v>0</v>
      </c>
      <c r="Y11" s="19">
        <f t="shared" si="11"/>
        <v>0</v>
      </c>
      <c r="Z11" s="20">
        <f t="shared" si="12"/>
        <v>0</v>
      </c>
      <c r="AA11" s="18">
        <f t="shared" si="13"/>
        <v>0</v>
      </c>
      <c r="AB11" s="18">
        <f t="shared" si="14"/>
        <v>0</v>
      </c>
      <c r="AC11" s="18">
        <f t="shared" si="15"/>
        <v>0</v>
      </c>
      <c r="AD11" s="18">
        <f t="shared" si="16"/>
        <v>0</v>
      </c>
      <c r="AE11" s="20">
        <f t="shared" si="17"/>
        <v>0</v>
      </c>
      <c r="AF11" s="65">
        <f t="shared" si="18"/>
        <v>0</v>
      </c>
      <c r="AG11" s="65">
        <f t="shared" si="19"/>
        <v>0</v>
      </c>
      <c r="AH11" s="65">
        <f t="shared" si="20"/>
        <v>0</v>
      </c>
      <c r="AI11" s="20">
        <f t="shared" si="21"/>
        <v>0</v>
      </c>
      <c r="AJ11" s="39">
        <f t="shared" si="22"/>
        <v>0</v>
      </c>
      <c r="AK11" s="39">
        <f t="shared" si="23"/>
        <v>0</v>
      </c>
      <c r="AL11" s="39">
        <f t="shared" si="24"/>
        <v>0</v>
      </c>
      <c r="AM11" s="39">
        <f t="shared" si="25"/>
        <v>0</v>
      </c>
      <c r="AN11" s="39">
        <f t="shared" si="26"/>
        <v>0</v>
      </c>
      <c r="AO11" s="20">
        <f t="shared" si="27"/>
        <v>0</v>
      </c>
      <c r="AP11" s="39">
        <f t="shared" si="28"/>
        <v>0</v>
      </c>
      <c r="AQ11" s="39">
        <f t="shared" si="29"/>
        <v>0</v>
      </c>
      <c r="AR11" s="39">
        <f t="shared" si="30"/>
        <v>0</v>
      </c>
      <c r="AS11" s="20">
        <f t="shared" si="31"/>
        <v>0</v>
      </c>
      <c r="AT11" s="28">
        <f t="shared" si="32"/>
        <v>0</v>
      </c>
      <c r="AU11" s="28">
        <f t="shared" si="33"/>
        <v>0</v>
      </c>
      <c r="AV11" s="20">
        <f t="shared" si="34"/>
        <v>0</v>
      </c>
      <c r="AW11" s="1089">
        <f t="shared" si="35"/>
        <v>0</v>
      </c>
      <c r="AX11" s="1072">
        <f t="shared" si="36"/>
        <v>0</v>
      </c>
      <c r="AY11" s="1072">
        <f t="shared" si="37"/>
        <v>0</v>
      </c>
      <c r="AZ11" s="1072">
        <f t="shared" si="38"/>
        <v>0</v>
      </c>
      <c r="BA11" s="20">
        <f t="shared" si="39"/>
        <v>0</v>
      </c>
      <c r="BB11" s="852">
        <f t="shared" si="40"/>
        <v>0</v>
      </c>
      <c r="BC11" s="852">
        <f t="shared" si="41"/>
        <v>0</v>
      </c>
      <c r="BD11" s="852">
        <f t="shared" si="42"/>
        <v>0</v>
      </c>
      <c r="BE11" s="20">
        <f t="shared" si="43"/>
        <v>0</v>
      </c>
      <c r="BF11" s="852">
        <f t="shared" si="44"/>
        <v>0</v>
      </c>
      <c r="BG11" s="852">
        <f t="shared" si="45"/>
        <v>0</v>
      </c>
      <c r="BH11" s="20">
        <f t="shared" si="46"/>
        <v>0</v>
      </c>
    </row>
    <row r="12" spans="1:60" ht="20.100000000000001" customHeight="1" x14ac:dyDescent="0.2">
      <c r="A12" s="876">
        <v>4</v>
      </c>
      <c r="B12" s="63" t="str">
        <f>dtsiswa!D10</f>
        <v>Antonio Permata A</v>
      </c>
      <c r="C12" s="12" t="s">
        <v>4</v>
      </c>
      <c r="D12" s="22"/>
      <c r="E12" s="22"/>
      <c r="F12" s="23"/>
      <c r="G12" s="23"/>
      <c r="H12" s="23"/>
      <c r="I12" s="23"/>
      <c r="J12" s="23"/>
      <c r="K12" s="23"/>
      <c r="L12" s="23"/>
      <c r="M12" s="23"/>
      <c r="N12" s="23"/>
      <c r="O12" s="23"/>
      <c r="P12" s="283"/>
      <c r="Q12" s="25"/>
      <c r="R12" s="25"/>
      <c r="S12" s="25"/>
      <c r="T12" s="25"/>
      <c r="U12" s="25"/>
      <c r="V12" s="25"/>
      <c r="W12" s="19">
        <f t="shared" si="9"/>
        <v>0</v>
      </c>
      <c r="X12" s="19">
        <f t="shared" si="10"/>
        <v>0</v>
      </c>
      <c r="Y12" s="19">
        <f t="shared" si="11"/>
        <v>0</v>
      </c>
      <c r="Z12" s="20">
        <f t="shared" si="12"/>
        <v>0</v>
      </c>
      <c r="AA12" s="18">
        <f t="shared" si="13"/>
        <v>0</v>
      </c>
      <c r="AB12" s="18">
        <f t="shared" si="14"/>
        <v>0</v>
      </c>
      <c r="AC12" s="18">
        <f t="shared" si="15"/>
        <v>0</v>
      </c>
      <c r="AD12" s="18">
        <f t="shared" si="16"/>
        <v>0</v>
      </c>
      <c r="AE12" s="20">
        <f t="shared" si="17"/>
        <v>0</v>
      </c>
      <c r="AF12" s="65">
        <f t="shared" si="18"/>
        <v>0</v>
      </c>
      <c r="AG12" s="65">
        <f t="shared" si="19"/>
        <v>0</v>
      </c>
      <c r="AH12" s="65">
        <f t="shared" si="20"/>
        <v>0</v>
      </c>
      <c r="AI12" s="20">
        <f t="shared" si="21"/>
        <v>0</v>
      </c>
      <c r="AJ12" s="39">
        <f t="shared" si="22"/>
        <v>0</v>
      </c>
      <c r="AK12" s="39">
        <f t="shared" si="23"/>
        <v>0</v>
      </c>
      <c r="AL12" s="39">
        <f t="shared" si="24"/>
        <v>0</v>
      </c>
      <c r="AM12" s="39">
        <f t="shared" si="25"/>
        <v>0</v>
      </c>
      <c r="AN12" s="39">
        <f t="shared" si="26"/>
        <v>0</v>
      </c>
      <c r="AO12" s="20">
        <f t="shared" si="27"/>
        <v>0</v>
      </c>
      <c r="AP12" s="39">
        <f t="shared" si="28"/>
        <v>0</v>
      </c>
      <c r="AQ12" s="39">
        <f t="shared" si="29"/>
        <v>0</v>
      </c>
      <c r="AR12" s="39">
        <f t="shared" si="30"/>
        <v>0</v>
      </c>
      <c r="AS12" s="20">
        <f t="shared" si="31"/>
        <v>0</v>
      </c>
      <c r="AT12" s="28">
        <f t="shared" si="32"/>
        <v>0</v>
      </c>
      <c r="AU12" s="28">
        <f t="shared" si="33"/>
        <v>0</v>
      </c>
      <c r="AV12" s="20">
        <f t="shared" si="34"/>
        <v>0</v>
      </c>
      <c r="AW12" s="1089">
        <f t="shared" si="35"/>
        <v>0</v>
      </c>
      <c r="AX12" s="1072">
        <f t="shared" si="36"/>
        <v>0</v>
      </c>
      <c r="AY12" s="1072">
        <f t="shared" si="37"/>
        <v>0</v>
      </c>
      <c r="AZ12" s="1072">
        <f t="shared" si="38"/>
        <v>0</v>
      </c>
      <c r="BA12" s="20">
        <f t="shared" si="39"/>
        <v>0</v>
      </c>
      <c r="BB12" s="852">
        <f t="shared" si="40"/>
        <v>0</v>
      </c>
      <c r="BC12" s="852">
        <f t="shared" si="41"/>
        <v>0</v>
      </c>
      <c r="BD12" s="852">
        <f t="shared" si="42"/>
        <v>0</v>
      </c>
      <c r="BE12" s="20">
        <f t="shared" si="43"/>
        <v>0</v>
      </c>
      <c r="BF12" s="852">
        <f t="shared" si="44"/>
        <v>0</v>
      </c>
      <c r="BG12" s="852">
        <f t="shared" si="45"/>
        <v>0</v>
      </c>
      <c r="BH12" s="20">
        <f t="shared" si="46"/>
        <v>0</v>
      </c>
    </row>
    <row r="13" spans="1:60" ht="20.100000000000001" customHeight="1" x14ac:dyDescent="0.2">
      <c r="A13" s="876">
        <v>5</v>
      </c>
      <c r="B13" s="63" t="str">
        <f>dtsiswa!D11</f>
        <v>Arya Pratama G</v>
      </c>
      <c r="C13" s="11" t="s">
        <v>5</v>
      </c>
      <c r="D13" s="22"/>
      <c r="E13" s="22"/>
      <c r="F13" s="23"/>
      <c r="G13" s="23"/>
      <c r="H13" s="23"/>
      <c r="I13" s="23"/>
      <c r="J13" s="23"/>
      <c r="K13" s="23"/>
      <c r="L13" s="23"/>
      <c r="M13" s="23"/>
      <c r="N13" s="23"/>
      <c r="O13" s="23"/>
      <c r="P13" s="283"/>
      <c r="Q13" s="25"/>
      <c r="R13" s="25"/>
      <c r="S13" s="25"/>
      <c r="T13" s="25"/>
      <c r="U13" s="25"/>
      <c r="V13" s="25"/>
      <c r="W13" s="19">
        <f t="shared" si="9"/>
        <v>0</v>
      </c>
      <c r="X13" s="19">
        <f t="shared" si="10"/>
        <v>0</v>
      </c>
      <c r="Y13" s="19">
        <f t="shared" si="11"/>
        <v>0</v>
      </c>
      <c r="Z13" s="20">
        <f t="shared" si="12"/>
        <v>0</v>
      </c>
      <c r="AA13" s="18">
        <f t="shared" si="13"/>
        <v>0</v>
      </c>
      <c r="AB13" s="18">
        <f t="shared" si="14"/>
        <v>0</v>
      </c>
      <c r="AC13" s="18">
        <f t="shared" si="15"/>
        <v>0</v>
      </c>
      <c r="AD13" s="18">
        <f t="shared" si="16"/>
        <v>0</v>
      </c>
      <c r="AE13" s="20">
        <f t="shared" si="17"/>
        <v>0</v>
      </c>
      <c r="AF13" s="65">
        <f t="shared" si="18"/>
        <v>0</v>
      </c>
      <c r="AG13" s="65">
        <f t="shared" si="19"/>
        <v>0</v>
      </c>
      <c r="AH13" s="65">
        <f t="shared" si="20"/>
        <v>0</v>
      </c>
      <c r="AI13" s="20">
        <f t="shared" si="21"/>
        <v>0</v>
      </c>
      <c r="AJ13" s="39">
        <f t="shared" si="22"/>
        <v>0</v>
      </c>
      <c r="AK13" s="39">
        <f t="shared" si="23"/>
        <v>0</v>
      </c>
      <c r="AL13" s="39">
        <f t="shared" si="24"/>
        <v>0</v>
      </c>
      <c r="AM13" s="39">
        <f t="shared" si="25"/>
        <v>0</v>
      </c>
      <c r="AN13" s="39">
        <f t="shared" si="26"/>
        <v>0</v>
      </c>
      <c r="AO13" s="20">
        <f t="shared" si="27"/>
        <v>0</v>
      </c>
      <c r="AP13" s="39">
        <f t="shared" si="28"/>
        <v>0</v>
      </c>
      <c r="AQ13" s="39">
        <f t="shared" si="29"/>
        <v>0</v>
      </c>
      <c r="AR13" s="39">
        <f t="shared" si="30"/>
        <v>0</v>
      </c>
      <c r="AS13" s="20">
        <f t="shared" si="31"/>
        <v>0</v>
      </c>
      <c r="AT13" s="28">
        <f t="shared" si="32"/>
        <v>0</v>
      </c>
      <c r="AU13" s="28">
        <f t="shared" si="33"/>
        <v>0</v>
      </c>
      <c r="AV13" s="20">
        <f t="shared" si="34"/>
        <v>0</v>
      </c>
      <c r="AW13" s="1089">
        <f t="shared" si="35"/>
        <v>0</v>
      </c>
      <c r="AX13" s="1072">
        <f t="shared" si="36"/>
        <v>0</v>
      </c>
      <c r="AY13" s="1072">
        <f t="shared" si="37"/>
        <v>0</v>
      </c>
      <c r="AZ13" s="1072">
        <f t="shared" si="38"/>
        <v>0</v>
      </c>
      <c r="BA13" s="20">
        <f t="shared" si="39"/>
        <v>0</v>
      </c>
      <c r="BB13" s="852">
        <f t="shared" si="40"/>
        <v>0</v>
      </c>
      <c r="BC13" s="852">
        <f t="shared" si="41"/>
        <v>0</v>
      </c>
      <c r="BD13" s="852">
        <f t="shared" si="42"/>
        <v>0</v>
      </c>
      <c r="BE13" s="20">
        <f t="shared" si="43"/>
        <v>0</v>
      </c>
      <c r="BF13" s="852">
        <f t="shared" si="44"/>
        <v>0</v>
      </c>
      <c r="BG13" s="852">
        <f t="shared" si="45"/>
        <v>0</v>
      </c>
      <c r="BH13" s="20">
        <f t="shared" si="46"/>
        <v>0</v>
      </c>
    </row>
    <row r="14" spans="1:60" ht="20.100000000000001" customHeight="1" x14ac:dyDescent="0.2">
      <c r="A14" s="876">
        <v>6</v>
      </c>
      <c r="B14" s="63" t="str">
        <f>dtsiswa!D12</f>
        <v>Asyam Hanif Ihsan H</v>
      </c>
      <c r="C14" s="11" t="s">
        <v>5</v>
      </c>
      <c r="D14" s="22"/>
      <c r="E14" s="22"/>
      <c r="F14" s="23"/>
      <c r="G14" s="23"/>
      <c r="H14" s="23"/>
      <c r="I14" s="23"/>
      <c r="J14" s="23"/>
      <c r="K14" s="23"/>
      <c r="L14" s="23"/>
      <c r="M14" s="23"/>
      <c r="N14" s="23"/>
      <c r="O14" s="23"/>
      <c r="P14" s="283"/>
      <c r="Q14" s="25"/>
      <c r="R14" s="25"/>
      <c r="S14" s="25"/>
      <c r="T14" s="25"/>
      <c r="U14" s="25"/>
      <c r="V14" s="25"/>
      <c r="W14" s="19">
        <f t="shared" si="9"/>
        <v>0</v>
      </c>
      <c r="X14" s="19">
        <f t="shared" si="10"/>
        <v>0</v>
      </c>
      <c r="Y14" s="19">
        <f t="shared" si="11"/>
        <v>0</v>
      </c>
      <c r="Z14" s="20">
        <f t="shared" si="12"/>
        <v>0</v>
      </c>
      <c r="AA14" s="18">
        <f t="shared" si="13"/>
        <v>0</v>
      </c>
      <c r="AB14" s="18">
        <f t="shared" si="14"/>
        <v>0</v>
      </c>
      <c r="AC14" s="18">
        <f t="shared" si="15"/>
        <v>0</v>
      </c>
      <c r="AD14" s="18">
        <f t="shared" si="16"/>
        <v>0</v>
      </c>
      <c r="AE14" s="20">
        <f t="shared" si="17"/>
        <v>0</v>
      </c>
      <c r="AF14" s="65">
        <f t="shared" si="18"/>
        <v>0</v>
      </c>
      <c r="AG14" s="65">
        <f t="shared" si="19"/>
        <v>0</v>
      </c>
      <c r="AH14" s="65">
        <f t="shared" si="20"/>
        <v>0</v>
      </c>
      <c r="AI14" s="20">
        <f t="shared" si="21"/>
        <v>0</v>
      </c>
      <c r="AJ14" s="39">
        <f t="shared" si="22"/>
        <v>0</v>
      </c>
      <c r="AK14" s="39">
        <f t="shared" si="23"/>
        <v>0</v>
      </c>
      <c r="AL14" s="39">
        <f t="shared" si="24"/>
        <v>0</v>
      </c>
      <c r="AM14" s="39">
        <f t="shared" si="25"/>
        <v>0</v>
      </c>
      <c r="AN14" s="39">
        <f t="shared" si="26"/>
        <v>0</v>
      </c>
      <c r="AO14" s="20">
        <f t="shared" si="27"/>
        <v>0</v>
      </c>
      <c r="AP14" s="39">
        <f t="shared" si="28"/>
        <v>0</v>
      </c>
      <c r="AQ14" s="39">
        <f t="shared" si="29"/>
        <v>0</v>
      </c>
      <c r="AR14" s="39">
        <f t="shared" si="30"/>
        <v>0</v>
      </c>
      <c r="AS14" s="20">
        <f t="shared" si="31"/>
        <v>0</v>
      </c>
      <c r="AT14" s="28">
        <f t="shared" si="32"/>
        <v>0</v>
      </c>
      <c r="AU14" s="28">
        <f t="shared" si="33"/>
        <v>0</v>
      </c>
      <c r="AV14" s="20">
        <f t="shared" si="34"/>
        <v>0</v>
      </c>
      <c r="AW14" s="1089">
        <f t="shared" si="35"/>
        <v>0</v>
      </c>
      <c r="AX14" s="1072">
        <f t="shared" si="36"/>
        <v>0</v>
      </c>
      <c r="AY14" s="1072">
        <f t="shared" si="37"/>
        <v>0</v>
      </c>
      <c r="AZ14" s="1072">
        <f t="shared" si="38"/>
        <v>0</v>
      </c>
      <c r="BA14" s="20">
        <f t="shared" si="39"/>
        <v>0</v>
      </c>
      <c r="BB14" s="852">
        <f t="shared" si="40"/>
        <v>0</v>
      </c>
      <c r="BC14" s="852">
        <f t="shared" si="41"/>
        <v>0</v>
      </c>
      <c r="BD14" s="852">
        <f t="shared" si="42"/>
        <v>0</v>
      </c>
      <c r="BE14" s="20">
        <f t="shared" si="43"/>
        <v>0</v>
      </c>
      <c r="BF14" s="852">
        <f t="shared" si="44"/>
        <v>0</v>
      </c>
      <c r="BG14" s="852">
        <f t="shared" si="45"/>
        <v>0</v>
      </c>
      <c r="BH14" s="20">
        <f t="shared" si="46"/>
        <v>0</v>
      </c>
    </row>
    <row r="15" spans="1:60" ht="20.100000000000001" customHeight="1" x14ac:dyDescent="0.2">
      <c r="A15" s="876">
        <v>7</v>
      </c>
      <c r="B15" s="63" t="str">
        <f>dtsiswa!D13</f>
        <v>Athaya Salsabilla Z</v>
      </c>
      <c r="C15" s="11" t="s">
        <v>4</v>
      </c>
      <c r="D15" s="22"/>
      <c r="E15" s="22"/>
      <c r="F15" s="23"/>
      <c r="G15" s="23"/>
      <c r="H15" s="23"/>
      <c r="I15" s="23"/>
      <c r="J15" s="23"/>
      <c r="K15" s="23"/>
      <c r="L15" s="23"/>
      <c r="M15" s="23"/>
      <c r="N15" s="23"/>
      <c r="O15" s="23"/>
      <c r="P15" s="283"/>
      <c r="Q15" s="25"/>
      <c r="R15" s="25"/>
      <c r="S15" s="25"/>
      <c r="T15" s="25"/>
      <c r="U15" s="25"/>
      <c r="V15" s="25"/>
      <c r="W15" s="19">
        <f t="shared" si="9"/>
        <v>0</v>
      </c>
      <c r="X15" s="19">
        <f t="shared" si="10"/>
        <v>0</v>
      </c>
      <c r="Y15" s="19">
        <f t="shared" si="11"/>
        <v>0</v>
      </c>
      <c r="Z15" s="20">
        <f t="shared" si="12"/>
        <v>0</v>
      </c>
      <c r="AA15" s="18">
        <f t="shared" si="13"/>
        <v>0</v>
      </c>
      <c r="AB15" s="18">
        <f t="shared" si="14"/>
        <v>0</v>
      </c>
      <c r="AC15" s="18">
        <f t="shared" si="15"/>
        <v>0</v>
      </c>
      <c r="AD15" s="18">
        <f t="shared" si="16"/>
        <v>0</v>
      </c>
      <c r="AE15" s="20">
        <f t="shared" si="17"/>
        <v>0</v>
      </c>
      <c r="AF15" s="65">
        <f t="shared" si="18"/>
        <v>0</v>
      </c>
      <c r="AG15" s="65">
        <f t="shared" si="19"/>
        <v>0</v>
      </c>
      <c r="AH15" s="65">
        <f t="shared" si="20"/>
        <v>0</v>
      </c>
      <c r="AI15" s="20">
        <f t="shared" si="21"/>
        <v>0</v>
      </c>
      <c r="AJ15" s="39">
        <f t="shared" si="22"/>
        <v>0</v>
      </c>
      <c r="AK15" s="39">
        <f t="shared" si="23"/>
        <v>0</v>
      </c>
      <c r="AL15" s="39">
        <f t="shared" si="24"/>
        <v>0</v>
      </c>
      <c r="AM15" s="39">
        <f t="shared" si="25"/>
        <v>0</v>
      </c>
      <c r="AN15" s="39">
        <f t="shared" si="26"/>
        <v>0</v>
      </c>
      <c r="AO15" s="20">
        <f t="shared" si="27"/>
        <v>0</v>
      </c>
      <c r="AP15" s="39">
        <f t="shared" si="28"/>
        <v>0</v>
      </c>
      <c r="AQ15" s="39">
        <f t="shared" si="29"/>
        <v>0</v>
      </c>
      <c r="AR15" s="39">
        <f t="shared" si="30"/>
        <v>0</v>
      </c>
      <c r="AS15" s="20">
        <f t="shared" si="31"/>
        <v>0</v>
      </c>
      <c r="AT15" s="28">
        <f t="shared" si="32"/>
        <v>0</v>
      </c>
      <c r="AU15" s="28">
        <f t="shared" si="33"/>
        <v>0</v>
      </c>
      <c r="AV15" s="20">
        <f t="shared" si="34"/>
        <v>0</v>
      </c>
      <c r="AW15" s="1089">
        <f t="shared" si="35"/>
        <v>0</v>
      </c>
      <c r="AX15" s="1072">
        <f t="shared" si="36"/>
        <v>0</v>
      </c>
      <c r="AY15" s="1072">
        <f t="shared" si="37"/>
        <v>0</v>
      </c>
      <c r="AZ15" s="1072">
        <f t="shared" si="38"/>
        <v>0</v>
      </c>
      <c r="BA15" s="20">
        <f t="shared" si="39"/>
        <v>0</v>
      </c>
      <c r="BB15" s="852">
        <f t="shared" si="40"/>
        <v>0</v>
      </c>
      <c r="BC15" s="852">
        <f t="shared" si="41"/>
        <v>0</v>
      </c>
      <c r="BD15" s="852">
        <f t="shared" si="42"/>
        <v>0</v>
      </c>
      <c r="BE15" s="20">
        <f t="shared" si="43"/>
        <v>0</v>
      </c>
      <c r="BF15" s="852">
        <f t="shared" si="44"/>
        <v>0</v>
      </c>
      <c r="BG15" s="852">
        <f t="shared" si="45"/>
        <v>0</v>
      </c>
      <c r="BH15" s="20">
        <f t="shared" si="46"/>
        <v>0</v>
      </c>
    </row>
    <row r="16" spans="1:60" ht="20.100000000000001" customHeight="1" x14ac:dyDescent="0.2">
      <c r="A16" s="876">
        <v>8</v>
      </c>
      <c r="B16" s="63" t="str">
        <f>dtsiswa!D14</f>
        <v>Aulia Dea Rosalinda</v>
      </c>
      <c r="C16" s="11" t="s">
        <v>4</v>
      </c>
      <c r="D16" s="22"/>
      <c r="E16" s="22"/>
      <c r="F16" s="23"/>
      <c r="G16" s="23"/>
      <c r="H16" s="23"/>
      <c r="I16" s="23"/>
      <c r="J16" s="23"/>
      <c r="K16" s="23"/>
      <c r="L16" s="23"/>
      <c r="M16" s="23"/>
      <c r="N16" s="23"/>
      <c r="O16" s="23"/>
      <c r="P16" s="283"/>
      <c r="Q16" s="25"/>
      <c r="R16" s="25"/>
      <c r="S16" s="25"/>
      <c r="T16" s="25"/>
      <c r="U16" s="25"/>
      <c r="V16" s="25"/>
      <c r="W16" s="19">
        <f t="shared" si="9"/>
        <v>0</v>
      </c>
      <c r="X16" s="19">
        <f t="shared" si="10"/>
        <v>0</v>
      </c>
      <c r="Y16" s="19">
        <f t="shared" si="11"/>
        <v>0</v>
      </c>
      <c r="Z16" s="20">
        <f t="shared" si="12"/>
        <v>0</v>
      </c>
      <c r="AA16" s="18">
        <f t="shared" si="13"/>
        <v>0</v>
      </c>
      <c r="AB16" s="18">
        <f t="shared" si="14"/>
        <v>0</v>
      </c>
      <c r="AC16" s="18">
        <f t="shared" si="15"/>
        <v>0</v>
      </c>
      <c r="AD16" s="18">
        <f t="shared" si="16"/>
        <v>0</v>
      </c>
      <c r="AE16" s="20">
        <f t="shared" si="17"/>
        <v>0</v>
      </c>
      <c r="AF16" s="65">
        <f t="shared" si="18"/>
        <v>0</v>
      </c>
      <c r="AG16" s="65">
        <f t="shared" si="19"/>
        <v>0</v>
      </c>
      <c r="AH16" s="65">
        <f t="shared" si="20"/>
        <v>0</v>
      </c>
      <c r="AI16" s="20">
        <f t="shared" si="21"/>
        <v>0</v>
      </c>
      <c r="AJ16" s="39">
        <f t="shared" si="22"/>
        <v>0</v>
      </c>
      <c r="AK16" s="39">
        <f t="shared" si="23"/>
        <v>0</v>
      </c>
      <c r="AL16" s="39">
        <f t="shared" si="24"/>
        <v>0</v>
      </c>
      <c r="AM16" s="39">
        <f t="shared" si="25"/>
        <v>0</v>
      </c>
      <c r="AN16" s="39">
        <f t="shared" si="26"/>
        <v>0</v>
      </c>
      <c r="AO16" s="20">
        <f t="shared" si="27"/>
        <v>0</v>
      </c>
      <c r="AP16" s="39">
        <f t="shared" si="28"/>
        <v>0</v>
      </c>
      <c r="AQ16" s="39">
        <f t="shared" si="29"/>
        <v>0</v>
      </c>
      <c r="AR16" s="39">
        <f t="shared" si="30"/>
        <v>0</v>
      </c>
      <c r="AS16" s="20">
        <f t="shared" si="31"/>
        <v>0</v>
      </c>
      <c r="AT16" s="28">
        <f t="shared" si="32"/>
        <v>0</v>
      </c>
      <c r="AU16" s="28">
        <f t="shared" si="33"/>
        <v>0</v>
      </c>
      <c r="AV16" s="20">
        <f t="shared" si="34"/>
        <v>0</v>
      </c>
      <c r="AW16" s="1089">
        <f t="shared" si="35"/>
        <v>0</v>
      </c>
      <c r="AX16" s="1072">
        <f t="shared" si="36"/>
        <v>0</v>
      </c>
      <c r="AY16" s="1072">
        <f t="shared" si="37"/>
        <v>0</v>
      </c>
      <c r="AZ16" s="1072">
        <f t="shared" si="38"/>
        <v>0</v>
      </c>
      <c r="BA16" s="20">
        <f t="shared" si="39"/>
        <v>0</v>
      </c>
      <c r="BB16" s="852">
        <f t="shared" si="40"/>
        <v>0</v>
      </c>
      <c r="BC16" s="852">
        <f t="shared" si="41"/>
        <v>0</v>
      </c>
      <c r="BD16" s="852">
        <f t="shared" si="42"/>
        <v>0</v>
      </c>
      <c r="BE16" s="20">
        <f t="shared" si="43"/>
        <v>0</v>
      </c>
      <c r="BF16" s="852">
        <f t="shared" si="44"/>
        <v>0</v>
      </c>
      <c r="BG16" s="852">
        <f t="shared" si="45"/>
        <v>0</v>
      </c>
      <c r="BH16" s="20">
        <f t="shared" si="46"/>
        <v>0</v>
      </c>
    </row>
    <row r="17" spans="1:60" ht="20.100000000000001" customHeight="1" x14ac:dyDescent="0.2">
      <c r="A17" s="876">
        <v>9</v>
      </c>
      <c r="B17" s="63" t="str">
        <f>dtsiswa!D15</f>
        <v>Claudia Gabriella L</v>
      </c>
      <c r="C17" s="11" t="s">
        <v>4</v>
      </c>
      <c r="D17" s="22"/>
      <c r="E17" s="22"/>
      <c r="F17" s="23"/>
      <c r="G17" s="23"/>
      <c r="H17" s="23"/>
      <c r="I17" s="23"/>
      <c r="J17" s="23"/>
      <c r="K17" s="23"/>
      <c r="L17" s="23"/>
      <c r="M17" s="23"/>
      <c r="N17" s="23"/>
      <c r="O17" s="23"/>
      <c r="P17" s="283"/>
      <c r="Q17" s="25"/>
      <c r="R17" s="25"/>
      <c r="S17" s="25"/>
      <c r="T17" s="25"/>
      <c r="U17" s="25"/>
      <c r="V17" s="25"/>
      <c r="W17" s="19">
        <f t="shared" si="9"/>
        <v>0</v>
      </c>
      <c r="X17" s="19">
        <f t="shared" si="10"/>
        <v>0</v>
      </c>
      <c r="Y17" s="19">
        <f t="shared" si="11"/>
        <v>0</v>
      </c>
      <c r="Z17" s="20">
        <f t="shared" si="12"/>
        <v>0</v>
      </c>
      <c r="AA17" s="18">
        <f t="shared" si="13"/>
        <v>0</v>
      </c>
      <c r="AB17" s="18">
        <f t="shared" si="14"/>
        <v>0</v>
      </c>
      <c r="AC17" s="18">
        <f t="shared" si="15"/>
        <v>0</v>
      </c>
      <c r="AD17" s="18">
        <f t="shared" si="16"/>
        <v>0</v>
      </c>
      <c r="AE17" s="20">
        <f t="shared" si="17"/>
        <v>0</v>
      </c>
      <c r="AF17" s="65">
        <f t="shared" si="18"/>
        <v>0</v>
      </c>
      <c r="AG17" s="65">
        <f t="shared" si="19"/>
        <v>0</v>
      </c>
      <c r="AH17" s="65">
        <f t="shared" si="20"/>
        <v>0</v>
      </c>
      <c r="AI17" s="20">
        <f t="shared" si="21"/>
        <v>0</v>
      </c>
      <c r="AJ17" s="39">
        <f t="shared" si="22"/>
        <v>0</v>
      </c>
      <c r="AK17" s="39">
        <f t="shared" si="23"/>
        <v>0</v>
      </c>
      <c r="AL17" s="39">
        <f t="shared" si="24"/>
        <v>0</v>
      </c>
      <c r="AM17" s="39">
        <f t="shared" si="25"/>
        <v>0</v>
      </c>
      <c r="AN17" s="39">
        <f t="shared" si="26"/>
        <v>0</v>
      </c>
      <c r="AO17" s="20">
        <f t="shared" si="27"/>
        <v>0</v>
      </c>
      <c r="AP17" s="39">
        <f t="shared" si="28"/>
        <v>0</v>
      </c>
      <c r="AQ17" s="39">
        <f t="shared" si="29"/>
        <v>0</v>
      </c>
      <c r="AR17" s="39">
        <f t="shared" si="30"/>
        <v>0</v>
      </c>
      <c r="AS17" s="20">
        <f t="shared" si="31"/>
        <v>0</v>
      </c>
      <c r="AT17" s="28">
        <f t="shared" si="32"/>
        <v>0</v>
      </c>
      <c r="AU17" s="28">
        <f t="shared" si="33"/>
        <v>0</v>
      </c>
      <c r="AV17" s="20">
        <f t="shared" si="34"/>
        <v>0</v>
      </c>
      <c r="AW17" s="1089">
        <f t="shared" si="35"/>
        <v>0</v>
      </c>
      <c r="AX17" s="1072">
        <f t="shared" si="36"/>
        <v>0</v>
      </c>
      <c r="AY17" s="1072">
        <f t="shared" si="37"/>
        <v>0</v>
      </c>
      <c r="AZ17" s="1072">
        <f t="shared" si="38"/>
        <v>0</v>
      </c>
      <c r="BA17" s="20">
        <f t="shared" si="39"/>
        <v>0</v>
      </c>
      <c r="BB17" s="852">
        <f t="shared" si="40"/>
        <v>0</v>
      </c>
      <c r="BC17" s="852">
        <f t="shared" si="41"/>
        <v>0</v>
      </c>
      <c r="BD17" s="852">
        <f t="shared" si="42"/>
        <v>0</v>
      </c>
      <c r="BE17" s="20">
        <f t="shared" si="43"/>
        <v>0</v>
      </c>
      <c r="BF17" s="852">
        <f t="shared" si="44"/>
        <v>0</v>
      </c>
      <c r="BG17" s="852">
        <f t="shared" si="45"/>
        <v>0</v>
      </c>
      <c r="BH17" s="20">
        <f t="shared" si="46"/>
        <v>0</v>
      </c>
    </row>
    <row r="18" spans="1:60" ht="20.100000000000001" customHeight="1" x14ac:dyDescent="0.2">
      <c r="A18" s="876">
        <v>10</v>
      </c>
      <c r="B18" s="63" t="str">
        <f>dtsiswa!D16</f>
        <v xml:space="preserve">Deco Badarus Zaman </v>
      </c>
      <c r="C18" s="11" t="s">
        <v>4</v>
      </c>
      <c r="D18" s="22"/>
      <c r="E18" s="22"/>
      <c r="F18" s="23"/>
      <c r="G18" s="23"/>
      <c r="H18" s="23"/>
      <c r="I18" s="23"/>
      <c r="J18" s="23"/>
      <c r="K18" s="23"/>
      <c r="L18" s="23"/>
      <c r="M18" s="23"/>
      <c r="N18" s="23"/>
      <c r="O18" s="23"/>
      <c r="P18" s="283"/>
      <c r="Q18" s="25"/>
      <c r="R18" s="25"/>
      <c r="S18" s="25"/>
      <c r="T18" s="25"/>
      <c r="U18" s="25"/>
      <c r="V18" s="25"/>
      <c r="W18" s="19">
        <f t="shared" si="9"/>
        <v>0</v>
      </c>
      <c r="X18" s="19">
        <f t="shared" si="10"/>
        <v>0</v>
      </c>
      <c r="Y18" s="19">
        <f t="shared" si="11"/>
        <v>0</v>
      </c>
      <c r="Z18" s="20">
        <f t="shared" si="12"/>
        <v>0</v>
      </c>
      <c r="AA18" s="18">
        <f t="shared" si="13"/>
        <v>0</v>
      </c>
      <c r="AB18" s="18">
        <f t="shared" si="14"/>
        <v>0</v>
      </c>
      <c r="AC18" s="18">
        <f t="shared" si="15"/>
        <v>0</v>
      </c>
      <c r="AD18" s="18">
        <f t="shared" si="16"/>
        <v>0</v>
      </c>
      <c r="AE18" s="20">
        <f t="shared" si="17"/>
        <v>0</v>
      </c>
      <c r="AF18" s="65">
        <f t="shared" si="18"/>
        <v>0</v>
      </c>
      <c r="AG18" s="65">
        <f t="shared" si="19"/>
        <v>0</v>
      </c>
      <c r="AH18" s="65">
        <f t="shared" si="20"/>
        <v>0</v>
      </c>
      <c r="AI18" s="20">
        <f t="shared" si="21"/>
        <v>0</v>
      </c>
      <c r="AJ18" s="39">
        <f t="shared" si="22"/>
        <v>0</v>
      </c>
      <c r="AK18" s="39">
        <f t="shared" si="23"/>
        <v>0</v>
      </c>
      <c r="AL18" s="39">
        <f t="shared" si="24"/>
        <v>0</v>
      </c>
      <c r="AM18" s="39">
        <f t="shared" si="25"/>
        <v>0</v>
      </c>
      <c r="AN18" s="39">
        <f t="shared" si="26"/>
        <v>0</v>
      </c>
      <c r="AO18" s="20">
        <f t="shared" si="27"/>
        <v>0</v>
      </c>
      <c r="AP18" s="39">
        <f t="shared" si="28"/>
        <v>0</v>
      </c>
      <c r="AQ18" s="39">
        <f t="shared" si="29"/>
        <v>0</v>
      </c>
      <c r="AR18" s="39">
        <f t="shared" si="30"/>
        <v>0</v>
      </c>
      <c r="AS18" s="20">
        <f t="shared" si="31"/>
        <v>0</v>
      </c>
      <c r="AT18" s="28">
        <f t="shared" si="32"/>
        <v>0</v>
      </c>
      <c r="AU18" s="28">
        <f t="shared" si="33"/>
        <v>0</v>
      </c>
      <c r="AV18" s="20">
        <f t="shared" si="34"/>
        <v>0</v>
      </c>
      <c r="AW18" s="1089">
        <f t="shared" si="35"/>
        <v>0</v>
      </c>
      <c r="AX18" s="1072">
        <f t="shared" si="36"/>
        <v>0</v>
      </c>
      <c r="AY18" s="1072">
        <f t="shared" si="37"/>
        <v>0</v>
      </c>
      <c r="AZ18" s="1072">
        <f t="shared" si="38"/>
        <v>0</v>
      </c>
      <c r="BA18" s="20">
        <f t="shared" si="39"/>
        <v>0</v>
      </c>
      <c r="BB18" s="852">
        <f t="shared" si="40"/>
        <v>0</v>
      </c>
      <c r="BC18" s="852">
        <f t="shared" si="41"/>
        <v>0</v>
      </c>
      <c r="BD18" s="852">
        <f t="shared" si="42"/>
        <v>0</v>
      </c>
      <c r="BE18" s="20">
        <f t="shared" si="43"/>
        <v>0</v>
      </c>
      <c r="BF18" s="852">
        <f t="shared" si="44"/>
        <v>0</v>
      </c>
      <c r="BG18" s="852">
        <f t="shared" si="45"/>
        <v>0</v>
      </c>
      <c r="BH18" s="20">
        <f t="shared" si="46"/>
        <v>0</v>
      </c>
    </row>
    <row r="19" spans="1:60" ht="20.100000000000001" customHeight="1" x14ac:dyDescent="0.2">
      <c r="A19" s="876">
        <v>11</v>
      </c>
      <c r="B19" s="63" t="str">
        <f>dtsiswa!D17</f>
        <v>Fania Mutiara Felichia</v>
      </c>
      <c r="C19" s="11" t="s">
        <v>4</v>
      </c>
      <c r="D19" s="22"/>
      <c r="E19" s="22"/>
      <c r="F19" s="23"/>
      <c r="G19" s="23"/>
      <c r="H19" s="23"/>
      <c r="I19" s="23"/>
      <c r="J19" s="23"/>
      <c r="K19" s="23"/>
      <c r="L19" s="23"/>
      <c r="M19" s="23"/>
      <c r="N19" s="23"/>
      <c r="O19" s="23"/>
      <c r="P19" s="283"/>
      <c r="Q19" s="25"/>
      <c r="R19" s="25"/>
      <c r="S19" s="25"/>
      <c r="T19" s="25"/>
      <c r="U19" s="25"/>
      <c r="V19" s="25"/>
      <c r="W19" s="19">
        <f t="shared" si="9"/>
        <v>0</v>
      </c>
      <c r="X19" s="19">
        <f t="shared" si="10"/>
        <v>0</v>
      </c>
      <c r="Y19" s="19">
        <f t="shared" si="11"/>
        <v>0</v>
      </c>
      <c r="Z19" s="20">
        <f t="shared" si="12"/>
        <v>0</v>
      </c>
      <c r="AA19" s="18">
        <f t="shared" si="13"/>
        <v>0</v>
      </c>
      <c r="AB19" s="18">
        <f t="shared" si="14"/>
        <v>0</v>
      </c>
      <c r="AC19" s="18">
        <f t="shared" si="15"/>
        <v>0</v>
      </c>
      <c r="AD19" s="18">
        <f t="shared" si="16"/>
        <v>0</v>
      </c>
      <c r="AE19" s="20">
        <f t="shared" si="17"/>
        <v>0</v>
      </c>
      <c r="AF19" s="65">
        <f t="shared" si="18"/>
        <v>0</v>
      </c>
      <c r="AG19" s="65">
        <f t="shared" si="19"/>
        <v>0</v>
      </c>
      <c r="AH19" s="65">
        <f t="shared" si="20"/>
        <v>0</v>
      </c>
      <c r="AI19" s="20">
        <f t="shared" si="21"/>
        <v>0</v>
      </c>
      <c r="AJ19" s="39">
        <f t="shared" si="22"/>
        <v>0</v>
      </c>
      <c r="AK19" s="39">
        <f t="shared" si="23"/>
        <v>0</v>
      </c>
      <c r="AL19" s="39">
        <f t="shared" si="24"/>
        <v>0</v>
      </c>
      <c r="AM19" s="39">
        <f t="shared" si="25"/>
        <v>0</v>
      </c>
      <c r="AN19" s="39">
        <f t="shared" si="26"/>
        <v>0</v>
      </c>
      <c r="AO19" s="20">
        <f t="shared" si="27"/>
        <v>0</v>
      </c>
      <c r="AP19" s="39">
        <f t="shared" si="28"/>
        <v>0</v>
      </c>
      <c r="AQ19" s="39">
        <f t="shared" si="29"/>
        <v>0</v>
      </c>
      <c r="AR19" s="39">
        <f t="shared" si="30"/>
        <v>0</v>
      </c>
      <c r="AS19" s="20">
        <f t="shared" si="31"/>
        <v>0</v>
      </c>
      <c r="AT19" s="28">
        <f t="shared" si="32"/>
        <v>0</v>
      </c>
      <c r="AU19" s="28">
        <f t="shared" si="33"/>
        <v>0</v>
      </c>
      <c r="AV19" s="20">
        <f t="shared" si="34"/>
        <v>0</v>
      </c>
      <c r="AW19" s="1089">
        <f t="shared" si="35"/>
        <v>0</v>
      </c>
      <c r="AX19" s="1072">
        <f t="shared" si="36"/>
        <v>0</v>
      </c>
      <c r="AY19" s="1072">
        <f t="shared" si="37"/>
        <v>0</v>
      </c>
      <c r="AZ19" s="1072">
        <f t="shared" si="38"/>
        <v>0</v>
      </c>
      <c r="BA19" s="20">
        <f t="shared" si="39"/>
        <v>0</v>
      </c>
      <c r="BB19" s="852">
        <f t="shared" si="40"/>
        <v>0</v>
      </c>
      <c r="BC19" s="852">
        <f t="shared" si="41"/>
        <v>0</v>
      </c>
      <c r="BD19" s="852">
        <f t="shared" si="42"/>
        <v>0</v>
      </c>
      <c r="BE19" s="20">
        <f t="shared" si="43"/>
        <v>0</v>
      </c>
      <c r="BF19" s="852">
        <f t="shared" si="44"/>
        <v>0</v>
      </c>
      <c r="BG19" s="852">
        <f t="shared" si="45"/>
        <v>0</v>
      </c>
      <c r="BH19" s="20">
        <f t="shared" si="46"/>
        <v>0</v>
      </c>
    </row>
    <row r="20" spans="1:60" ht="20.100000000000001" customHeight="1" x14ac:dyDescent="0.2">
      <c r="A20" s="876">
        <v>12</v>
      </c>
      <c r="B20" s="63" t="str">
        <f>dtsiswa!D18</f>
        <v>Intan Dyah Nowari</v>
      </c>
      <c r="C20" s="11" t="s">
        <v>4</v>
      </c>
      <c r="D20" s="22"/>
      <c r="E20" s="22"/>
      <c r="F20" s="23"/>
      <c r="G20" s="23"/>
      <c r="H20" s="23"/>
      <c r="I20" s="23"/>
      <c r="J20" s="23"/>
      <c r="K20" s="23"/>
      <c r="L20" s="23"/>
      <c r="M20" s="23"/>
      <c r="N20" s="23"/>
      <c r="O20" s="23"/>
      <c r="P20" s="283"/>
      <c r="Q20" s="25"/>
      <c r="R20" s="25"/>
      <c r="S20" s="25"/>
      <c r="T20" s="25"/>
      <c r="U20" s="25"/>
      <c r="V20" s="25"/>
      <c r="W20" s="19">
        <f t="shared" si="9"/>
        <v>0</v>
      </c>
      <c r="X20" s="19">
        <f t="shared" si="10"/>
        <v>0</v>
      </c>
      <c r="Y20" s="19">
        <f t="shared" si="11"/>
        <v>0</v>
      </c>
      <c r="Z20" s="20">
        <f t="shared" si="12"/>
        <v>0</v>
      </c>
      <c r="AA20" s="18">
        <f t="shared" si="13"/>
        <v>0</v>
      </c>
      <c r="AB20" s="18">
        <f t="shared" si="14"/>
        <v>0</v>
      </c>
      <c r="AC20" s="18">
        <f t="shared" si="15"/>
        <v>0</v>
      </c>
      <c r="AD20" s="18">
        <f t="shared" si="16"/>
        <v>0</v>
      </c>
      <c r="AE20" s="20">
        <f t="shared" si="17"/>
        <v>0</v>
      </c>
      <c r="AF20" s="65">
        <f t="shared" si="18"/>
        <v>0</v>
      </c>
      <c r="AG20" s="65">
        <f t="shared" si="19"/>
        <v>0</v>
      </c>
      <c r="AH20" s="65">
        <f t="shared" si="20"/>
        <v>0</v>
      </c>
      <c r="AI20" s="20">
        <f t="shared" si="21"/>
        <v>0</v>
      </c>
      <c r="AJ20" s="39">
        <f t="shared" si="22"/>
        <v>0</v>
      </c>
      <c r="AK20" s="39">
        <f t="shared" si="23"/>
        <v>0</v>
      </c>
      <c r="AL20" s="39">
        <f t="shared" si="24"/>
        <v>0</v>
      </c>
      <c r="AM20" s="39">
        <f t="shared" si="25"/>
        <v>0</v>
      </c>
      <c r="AN20" s="39">
        <f t="shared" si="26"/>
        <v>0</v>
      </c>
      <c r="AO20" s="20">
        <f t="shared" si="27"/>
        <v>0</v>
      </c>
      <c r="AP20" s="39">
        <f t="shared" si="28"/>
        <v>0</v>
      </c>
      <c r="AQ20" s="39">
        <f t="shared" si="29"/>
        <v>0</v>
      </c>
      <c r="AR20" s="39">
        <f t="shared" si="30"/>
        <v>0</v>
      </c>
      <c r="AS20" s="20">
        <f t="shared" si="31"/>
        <v>0</v>
      </c>
      <c r="AT20" s="28">
        <f t="shared" si="32"/>
        <v>0</v>
      </c>
      <c r="AU20" s="28">
        <f t="shared" si="33"/>
        <v>0</v>
      </c>
      <c r="AV20" s="20">
        <f t="shared" si="34"/>
        <v>0</v>
      </c>
      <c r="AW20" s="1089">
        <f t="shared" si="35"/>
        <v>0</v>
      </c>
      <c r="AX20" s="1072">
        <f t="shared" si="36"/>
        <v>0</v>
      </c>
      <c r="AY20" s="1072">
        <f t="shared" si="37"/>
        <v>0</v>
      </c>
      <c r="AZ20" s="1072">
        <f t="shared" si="38"/>
        <v>0</v>
      </c>
      <c r="BA20" s="20">
        <f t="shared" si="39"/>
        <v>0</v>
      </c>
      <c r="BB20" s="852">
        <f t="shared" si="40"/>
        <v>0</v>
      </c>
      <c r="BC20" s="852">
        <f t="shared" si="41"/>
        <v>0</v>
      </c>
      <c r="BD20" s="852">
        <f t="shared" si="42"/>
        <v>0</v>
      </c>
      <c r="BE20" s="20">
        <f t="shared" si="43"/>
        <v>0</v>
      </c>
      <c r="BF20" s="852">
        <f t="shared" si="44"/>
        <v>0</v>
      </c>
      <c r="BG20" s="852">
        <f t="shared" si="45"/>
        <v>0</v>
      </c>
      <c r="BH20" s="20">
        <f t="shared" si="46"/>
        <v>0</v>
      </c>
    </row>
    <row r="21" spans="1:60" ht="20.100000000000001" customHeight="1" x14ac:dyDescent="0.2">
      <c r="A21" s="876">
        <v>13</v>
      </c>
      <c r="B21" s="63" t="str">
        <f>dtsiswa!D19</f>
        <v>Misyanita Nurfitri S</v>
      </c>
      <c r="C21" s="11" t="s">
        <v>5</v>
      </c>
      <c r="D21" s="22"/>
      <c r="E21" s="22"/>
      <c r="F21" s="23"/>
      <c r="G21" s="23"/>
      <c r="H21" s="23"/>
      <c r="I21" s="23"/>
      <c r="J21" s="23"/>
      <c r="K21" s="23"/>
      <c r="L21" s="23"/>
      <c r="M21" s="23"/>
      <c r="N21" s="23"/>
      <c r="O21" s="23"/>
      <c r="P21" s="283"/>
      <c r="Q21" s="25"/>
      <c r="R21" s="25"/>
      <c r="S21" s="25"/>
      <c r="T21" s="25"/>
      <c r="U21" s="25"/>
      <c r="V21" s="25"/>
      <c r="W21" s="19">
        <f t="shared" si="9"/>
        <v>0</v>
      </c>
      <c r="X21" s="19">
        <f t="shared" si="10"/>
        <v>0</v>
      </c>
      <c r="Y21" s="19">
        <f t="shared" si="11"/>
        <v>0</v>
      </c>
      <c r="Z21" s="20">
        <f t="shared" si="12"/>
        <v>0</v>
      </c>
      <c r="AA21" s="18">
        <f t="shared" si="13"/>
        <v>0</v>
      </c>
      <c r="AB21" s="18">
        <f t="shared" si="14"/>
        <v>0</v>
      </c>
      <c r="AC21" s="18">
        <f t="shared" si="15"/>
        <v>0</v>
      </c>
      <c r="AD21" s="18">
        <f t="shared" si="16"/>
        <v>0</v>
      </c>
      <c r="AE21" s="20">
        <f t="shared" si="17"/>
        <v>0</v>
      </c>
      <c r="AF21" s="65">
        <f t="shared" si="18"/>
        <v>0</v>
      </c>
      <c r="AG21" s="65">
        <f t="shared" si="19"/>
        <v>0</v>
      </c>
      <c r="AH21" s="65">
        <f t="shared" si="20"/>
        <v>0</v>
      </c>
      <c r="AI21" s="20">
        <f t="shared" si="21"/>
        <v>0</v>
      </c>
      <c r="AJ21" s="39">
        <f t="shared" si="22"/>
        <v>0</v>
      </c>
      <c r="AK21" s="39">
        <f t="shared" si="23"/>
        <v>0</v>
      </c>
      <c r="AL21" s="39">
        <f t="shared" si="24"/>
        <v>0</v>
      </c>
      <c r="AM21" s="39">
        <f t="shared" si="25"/>
        <v>0</v>
      </c>
      <c r="AN21" s="39">
        <f t="shared" si="26"/>
        <v>0</v>
      </c>
      <c r="AO21" s="20">
        <f t="shared" si="27"/>
        <v>0</v>
      </c>
      <c r="AP21" s="39">
        <f t="shared" si="28"/>
        <v>0</v>
      </c>
      <c r="AQ21" s="39">
        <f t="shared" si="29"/>
        <v>0</v>
      </c>
      <c r="AR21" s="39">
        <f t="shared" si="30"/>
        <v>0</v>
      </c>
      <c r="AS21" s="20">
        <f t="shared" si="31"/>
        <v>0</v>
      </c>
      <c r="AT21" s="28">
        <f t="shared" si="32"/>
        <v>0</v>
      </c>
      <c r="AU21" s="28">
        <f t="shared" si="33"/>
        <v>0</v>
      </c>
      <c r="AV21" s="20">
        <f t="shared" si="34"/>
        <v>0</v>
      </c>
      <c r="AW21" s="1089">
        <f t="shared" si="35"/>
        <v>0</v>
      </c>
      <c r="AX21" s="1072">
        <f t="shared" si="36"/>
        <v>0</v>
      </c>
      <c r="AY21" s="1072">
        <f t="shared" si="37"/>
        <v>0</v>
      </c>
      <c r="AZ21" s="1072">
        <f t="shared" si="38"/>
        <v>0</v>
      </c>
      <c r="BA21" s="20">
        <f t="shared" si="39"/>
        <v>0</v>
      </c>
      <c r="BB21" s="852">
        <f t="shared" si="40"/>
        <v>0</v>
      </c>
      <c r="BC21" s="852">
        <f t="shared" si="41"/>
        <v>0</v>
      </c>
      <c r="BD21" s="852">
        <f t="shared" si="42"/>
        <v>0</v>
      </c>
      <c r="BE21" s="20">
        <f t="shared" si="43"/>
        <v>0</v>
      </c>
      <c r="BF21" s="852">
        <f t="shared" si="44"/>
        <v>0</v>
      </c>
      <c r="BG21" s="852">
        <f t="shared" si="45"/>
        <v>0</v>
      </c>
      <c r="BH21" s="20">
        <f t="shared" si="46"/>
        <v>0</v>
      </c>
    </row>
    <row r="22" spans="1:60" ht="20.100000000000001" customHeight="1" x14ac:dyDescent="0.2">
      <c r="A22" s="876">
        <v>14</v>
      </c>
      <c r="B22" s="63" t="str">
        <f>dtsiswa!D20</f>
        <v>Moch Zidane Hita L. U</v>
      </c>
      <c r="C22" s="11" t="s">
        <v>4</v>
      </c>
      <c r="D22" s="22"/>
      <c r="E22" s="22"/>
      <c r="F22" s="23"/>
      <c r="G22" s="23"/>
      <c r="H22" s="23"/>
      <c r="I22" s="23"/>
      <c r="J22" s="23"/>
      <c r="K22" s="23"/>
      <c r="L22" s="23"/>
      <c r="M22" s="23"/>
      <c r="N22" s="23"/>
      <c r="O22" s="23"/>
      <c r="P22" s="283"/>
      <c r="Q22" s="25"/>
      <c r="R22" s="25"/>
      <c r="S22" s="25"/>
      <c r="T22" s="25"/>
      <c r="U22" s="25"/>
      <c r="V22" s="25"/>
      <c r="W22" s="19">
        <f t="shared" si="9"/>
        <v>0</v>
      </c>
      <c r="X22" s="19">
        <f t="shared" si="10"/>
        <v>0</v>
      </c>
      <c r="Y22" s="19">
        <f t="shared" si="11"/>
        <v>0</v>
      </c>
      <c r="Z22" s="20">
        <f t="shared" si="12"/>
        <v>0</v>
      </c>
      <c r="AA22" s="18">
        <f t="shared" si="13"/>
        <v>0</v>
      </c>
      <c r="AB22" s="18">
        <f t="shared" si="14"/>
        <v>0</v>
      </c>
      <c r="AC22" s="18">
        <f t="shared" si="15"/>
        <v>0</v>
      </c>
      <c r="AD22" s="18">
        <f t="shared" si="16"/>
        <v>0</v>
      </c>
      <c r="AE22" s="20">
        <f t="shared" si="17"/>
        <v>0</v>
      </c>
      <c r="AF22" s="65">
        <f t="shared" si="18"/>
        <v>0</v>
      </c>
      <c r="AG22" s="65">
        <f t="shared" si="19"/>
        <v>0</v>
      </c>
      <c r="AH22" s="65">
        <f t="shared" si="20"/>
        <v>0</v>
      </c>
      <c r="AI22" s="20">
        <f t="shared" si="21"/>
        <v>0</v>
      </c>
      <c r="AJ22" s="39">
        <f t="shared" si="22"/>
        <v>0</v>
      </c>
      <c r="AK22" s="39">
        <f t="shared" si="23"/>
        <v>0</v>
      </c>
      <c r="AL22" s="39">
        <f t="shared" si="24"/>
        <v>0</v>
      </c>
      <c r="AM22" s="39">
        <f t="shared" si="25"/>
        <v>0</v>
      </c>
      <c r="AN22" s="39">
        <f t="shared" si="26"/>
        <v>0</v>
      </c>
      <c r="AO22" s="20">
        <f t="shared" si="27"/>
        <v>0</v>
      </c>
      <c r="AP22" s="39">
        <f t="shared" si="28"/>
        <v>0</v>
      </c>
      <c r="AQ22" s="39">
        <f t="shared" si="29"/>
        <v>0</v>
      </c>
      <c r="AR22" s="39">
        <f t="shared" si="30"/>
        <v>0</v>
      </c>
      <c r="AS22" s="20">
        <f t="shared" si="31"/>
        <v>0</v>
      </c>
      <c r="AT22" s="28">
        <f t="shared" si="32"/>
        <v>0</v>
      </c>
      <c r="AU22" s="28">
        <f t="shared" si="33"/>
        <v>0</v>
      </c>
      <c r="AV22" s="20">
        <f t="shared" si="34"/>
        <v>0</v>
      </c>
      <c r="AW22" s="1089">
        <f t="shared" si="35"/>
        <v>0</v>
      </c>
      <c r="AX22" s="1072">
        <f t="shared" si="36"/>
        <v>0</v>
      </c>
      <c r="AY22" s="1072">
        <f t="shared" si="37"/>
        <v>0</v>
      </c>
      <c r="AZ22" s="1072">
        <f t="shared" si="38"/>
        <v>0</v>
      </c>
      <c r="BA22" s="20">
        <f t="shared" si="39"/>
        <v>0</v>
      </c>
      <c r="BB22" s="852">
        <f t="shared" si="40"/>
        <v>0</v>
      </c>
      <c r="BC22" s="852">
        <f t="shared" si="41"/>
        <v>0</v>
      </c>
      <c r="BD22" s="852">
        <f t="shared" si="42"/>
        <v>0</v>
      </c>
      <c r="BE22" s="20">
        <f t="shared" si="43"/>
        <v>0</v>
      </c>
      <c r="BF22" s="852">
        <f t="shared" si="44"/>
        <v>0</v>
      </c>
      <c r="BG22" s="852">
        <f t="shared" si="45"/>
        <v>0</v>
      </c>
      <c r="BH22" s="20">
        <f t="shared" si="46"/>
        <v>0</v>
      </c>
    </row>
    <row r="23" spans="1:60" ht="20.100000000000001" customHeight="1" x14ac:dyDescent="0.2">
      <c r="A23" s="876">
        <v>15</v>
      </c>
      <c r="B23" s="63" t="str">
        <f>dtsiswa!D21</f>
        <v>Muhammad Ibra Maulana</v>
      </c>
      <c r="C23" s="11" t="s">
        <v>4</v>
      </c>
      <c r="D23" s="22"/>
      <c r="E23" s="22"/>
      <c r="F23" s="23"/>
      <c r="G23" s="23"/>
      <c r="H23" s="23"/>
      <c r="I23" s="23"/>
      <c r="J23" s="23"/>
      <c r="K23" s="23"/>
      <c r="L23" s="23"/>
      <c r="M23" s="23"/>
      <c r="N23" s="23"/>
      <c r="O23" s="23"/>
      <c r="P23" s="283"/>
      <c r="Q23" s="25"/>
      <c r="R23" s="25"/>
      <c r="S23" s="25"/>
      <c r="T23" s="25"/>
      <c r="U23" s="25"/>
      <c r="V23" s="25"/>
      <c r="W23" s="19">
        <f t="shared" si="9"/>
        <v>0</v>
      </c>
      <c r="X23" s="19">
        <f t="shared" si="10"/>
        <v>0</v>
      </c>
      <c r="Y23" s="19">
        <f t="shared" si="11"/>
        <v>0</v>
      </c>
      <c r="Z23" s="20">
        <f t="shared" si="12"/>
        <v>0</v>
      </c>
      <c r="AA23" s="18">
        <f t="shared" si="13"/>
        <v>0</v>
      </c>
      <c r="AB23" s="18">
        <f t="shared" si="14"/>
        <v>0</v>
      </c>
      <c r="AC23" s="18">
        <f t="shared" si="15"/>
        <v>0</v>
      </c>
      <c r="AD23" s="18">
        <f t="shared" si="16"/>
        <v>0</v>
      </c>
      <c r="AE23" s="20">
        <f t="shared" si="17"/>
        <v>0</v>
      </c>
      <c r="AF23" s="65">
        <f t="shared" si="18"/>
        <v>0</v>
      </c>
      <c r="AG23" s="65">
        <f t="shared" si="19"/>
        <v>0</v>
      </c>
      <c r="AH23" s="65">
        <f t="shared" si="20"/>
        <v>0</v>
      </c>
      <c r="AI23" s="20">
        <f t="shared" si="21"/>
        <v>0</v>
      </c>
      <c r="AJ23" s="39">
        <f t="shared" si="22"/>
        <v>0</v>
      </c>
      <c r="AK23" s="39">
        <f t="shared" si="23"/>
        <v>0</v>
      </c>
      <c r="AL23" s="39">
        <f t="shared" si="24"/>
        <v>0</v>
      </c>
      <c r="AM23" s="39">
        <f t="shared" si="25"/>
        <v>0</v>
      </c>
      <c r="AN23" s="39">
        <f t="shared" si="26"/>
        <v>0</v>
      </c>
      <c r="AO23" s="20">
        <f t="shared" si="27"/>
        <v>0</v>
      </c>
      <c r="AP23" s="39">
        <f t="shared" si="28"/>
        <v>0</v>
      </c>
      <c r="AQ23" s="39">
        <f t="shared" si="29"/>
        <v>0</v>
      </c>
      <c r="AR23" s="39">
        <f t="shared" si="30"/>
        <v>0</v>
      </c>
      <c r="AS23" s="20">
        <f t="shared" si="31"/>
        <v>0</v>
      </c>
      <c r="AT23" s="28">
        <f t="shared" si="32"/>
        <v>0</v>
      </c>
      <c r="AU23" s="28">
        <f t="shared" si="33"/>
        <v>0</v>
      </c>
      <c r="AV23" s="20">
        <f t="shared" si="34"/>
        <v>0</v>
      </c>
      <c r="AW23" s="1089">
        <f t="shared" si="35"/>
        <v>0</v>
      </c>
      <c r="AX23" s="1072">
        <f t="shared" si="36"/>
        <v>0</v>
      </c>
      <c r="AY23" s="1072">
        <f t="shared" si="37"/>
        <v>0</v>
      </c>
      <c r="AZ23" s="1072">
        <f t="shared" si="38"/>
        <v>0</v>
      </c>
      <c r="BA23" s="20">
        <f t="shared" si="39"/>
        <v>0</v>
      </c>
      <c r="BB23" s="852">
        <f t="shared" si="40"/>
        <v>0</v>
      </c>
      <c r="BC23" s="852">
        <f t="shared" si="41"/>
        <v>0</v>
      </c>
      <c r="BD23" s="852">
        <f t="shared" si="42"/>
        <v>0</v>
      </c>
      <c r="BE23" s="20">
        <f t="shared" si="43"/>
        <v>0</v>
      </c>
      <c r="BF23" s="852">
        <f t="shared" si="44"/>
        <v>0</v>
      </c>
      <c r="BG23" s="852">
        <f t="shared" si="45"/>
        <v>0</v>
      </c>
      <c r="BH23" s="20">
        <f t="shared" si="46"/>
        <v>0</v>
      </c>
    </row>
    <row r="24" spans="1:60" ht="20.100000000000001" customHeight="1" x14ac:dyDescent="0.2">
      <c r="A24" s="876">
        <v>16</v>
      </c>
      <c r="B24" s="63" t="str">
        <f>dtsiswa!D22</f>
        <v>Nabilla Shiva Putri</v>
      </c>
      <c r="C24" s="11" t="s">
        <v>4</v>
      </c>
      <c r="D24" s="22"/>
      <c r="E24" s="22"/>
      <c r="F24" s="23"/>
      <c r="G24" s="23"/>
      <c r="H24" s="23"/>
      <c r="I24" s="23"/>
      <c r="J24" s="23"/>
      <c r="K24" s="23"/>
      <c r="L24" s="23"/>
      <c r="M24" s="23"/>
      <c r="N24" s="23"/>
      <c r="O24" s="23"/>
      <c r="P24" s="283"/>
      <c r="Q24" s="25"/>
      <c r="R24" s="25"/>
      <c r="S24" s="25"/>
      <c r="T24" s="25"/>
      <c r="U24" s="25"/>
      <c r="V24" s="25"/>
      <c r="W24" s="19">
        <f t="shared" si="9"/>
        <v>0</v>
      </c>
      <c r="X24" s="19">
        <f t="shared" si="10"/>
        <v>0</v>
      </c>
      <c r="Y24" s="19">
        <f t="shared" si="11"/>
        <v>0</v>
      </c>
      <c r="Z24" s="20">
        <f t="shared" si="12"/>
        <v>0</v>
      </c>
      <c r="AA24" s="18">
        <f t="shared" si="13"/>
        <v>0</v>
      </c>
      <c r="AB24" s="18">
        <f t="shared" si="14"/>
        <v>0</v>
      </c>
      <c r="AC24" s="18">
        <f t="shared" si="15"/>
        <v>0</v>
      </c>
      <c r="AD24" s="18">
        <f t="shared" si="16"/>
        <v>0</v>
      </c>
      <c r="AE24" s="20">
        <f t="shared" si="17"/>
        <v>0</v>
      </c>
      <c r="AF24" s="65">
        <f t="shared" si="18"/>
        <v>0</v>
      </c>
      <c r="AG24" s="65">
        <f t="shared" si="19"/>
        <v>0</v>
      </c>
      <c r="AH24" s="65">
        <f t="shared" si="20"/>
        <v>0</v>
      </c>
      <c r="AI24" s="20">
        <f t="shared" si="21"/>
        <v>0</v>
      </c>
      <c r="AJ24" s="39">
        <f t="shared" si="22"/>
        <v>0</v>
      </c>
      <c r="AK24" s="39">
        <f t="shared" si="23"/>
        <v>0</v>
      </c>
      <c r="AL24" s="39">
        <f t="shared" si="24"/>
        <v>0</v>
      </c>
      <c r="AM24" s="39">
        <f t="shared" si="25"/>
        <v>0</v>
      </c>
      <c r="AN24" s="39">
        <f t="shared" si="26"/>
        <v>0</v>
      </c>
      <c r="AO24" s="20">
        <f t="shared" si="27"/>
        <v>0</v>
      </c>
      <c r="AP24" s="39">
        <f t="shared" si="28"/>
        <v>0</v>
      </c>
      <c r="AQ24" s="39">
        <f t="shared" si="29"/>
        <v>0</v>
      </c>
      <c r="AR24" s="39">
        <f t="shared" si="30"/>
        <v>0</v>
      </c>
      <c r="AS24" s="20">
        <f t="shared" si="31"/>
        <v>0</v>
      </c>
      <c r="AT24" s="28">
        <f t="shared" si="32"/>
        <v>0</v>
      </c>
      <c r="AU24" s="28">
        <f t="shared" si="33"/>
        <v>0</v>
      </c>
      <c r="AV24" s="20">
        <f t="shared" si="34"/>
        <v>0</v>
      </c>
      <c r="AW24" s="1089">
        <f t="shared" si="35"/>
        <v>0</v>
      </c>
      <c r="AX24" s="1072">
        <f t="shared" si="36"/>
        <v>0</v>
      </c>
      <c r="AY24" s="1072">
        <f t="shared" si="37"/>
        <v>0</v>
      </c>
      <c r="AZ24" s="1072">
        <f t="shared" si="38"/>
        <v>0</v>
      </c>
      <c r="BA24" s="20">
        <f t="shared" si="39"/>
        <v>0</v>
      </c>
      <c r="BB24" s="852">
        <f t="shared" si="40"/>
        <v>0</v>
      </c>
      <c r="BC24" s="852">
        <f t="shared" si="41"/>
        <v>0</v>
      </c>
      <c r="BD24" s="852">
        <f t="shared" si="42"/>
        <v>0</v>
      </c>
      <c r="BE24" s="20">
        <f t="shared" si="43"/>
        <v>0</v>
      </c>
      <c r="BF24" s="852">
        <f t="shared" si="44"/>
        <v>0</v>
      </c>
      <c r="BG24" s="852">
        <f t="shared" si="45"/>
        <v>0</v>
      </c>
      <c r="BH24" s="20">
        <f t="shared" si="46"/>
        <v>0</v>
      </c>
    </row>
    <row r="25" spans="1:60" ht="20.100000000000001" customHeight="1" x14ac:dyDescent="0.2">
      <c r="A25" s="876">
        <v>17</v>
      </c>
      <c r="B25" s="63" t="str">
        <f>dtsiswa!D23</f>
        <v>Naufal Falih F</v>
      </c>
      <c r="C25" s="11" t="s">
        <v>5</v>
      </c>
      <c r="D25" s="22"/>
      <c r="E25" s="22"/>
      <c r="F25" s="23"/>
      <c r="G25" s="23"/>
      <c r="H25" s="23"/>
      <c r="I25" s="23"/>
      <c r="J25" s="23"/>
      <c r="K25" s="23"/>
      <c r="L25" s="23"/>
      <c r="M25" s="23"/>
      <c r="N25" s="23"/>
      <c r="O25" s="23"/>
      <c r="P25" s="283"/>
      <c r="Q25" s="25"/>
      <c r="R25" s="25"/>
      <c r="S25" s="25"/>
      <c r="T25" s="25"/>
      <c r="U25" s="25"/>
      <c r="V25" s="25"/>
      <c r="W25" s="19">
        <f t="shared" si="9"/>
        <v>0</v>
      </c>
      <c r="X25" s="19">
        <f t="shared" si="10"/>
        <v>0</v>
      </c>
      <c r="Y25" s="19">
        <f t="shared" si="11"/>
        <v>0</v>
      </c>
      <c r="Z25" s="20">
        <f t="shared" si="12"/>
        <v>0</v>
      </c>
      <c r="AA25" s="18">
        <f t="shared" si="13"/>
        <v>0</v>
      </c>
      <c r="AB25" s="18">
        <f t="shared" si="14"/>
        <v>0</v>
      </c>
      <c r="AC25" s="18">
        <f t="shared" si="15"/>
        <v>0</v>
      </c>
      <c r="AD25" s="18">
        <f t="shared" si="16"/>
        <v>0</v>
      </c>
      <c r="AE25" s="20">
        <f t="shared" si="17"/>
        <v>0</v>
      </c>
      <c r="AF25" s="65">
        <f t="shared" si="18"/>
        <v>0</v>
      </c>
      <c r="AG25" s="65">
        <f t="shared" si="19"/>
        <v>0</v>
      </c>
      <c r="AH25" s="65">
        <f t="shared" si="20"/>
        <v>0</v>
      </c>
      <c r="AI25" s="20">
        <f t="shared" si="21"/>
        <v>0</v>
      </c>
      <c r="AJ25" s="39">
        <f t="shared" si="22"/>
        <v>0</v>
      </c>
      <c r="AK25" s="39">
        <f t="shared" si="23"/>
        <v>0</v>
      </c>
      <c r="AL25" s="39">
        <f t="shared" si="24"/>
        <v>0</v>
      </c>
      <c r="AM25" s="39">
        <f t="shared" si="25"/>
        <v>0</v>
      </c>
      <c r="AN25" s="39">
        <f t="shared" si="26"/>
        <v>0</v>
      </c>
      <c r="AO25" s="20">
        <f t="shared" si="27"/>
        <v>0</v>
      </c>
      <c r="AP25" s="39">
        <f t="shared" si="28"/>
        <v>0</v>
      </c>
      <c r="AQ25" s="39">
        <f t="shared" si="29"/>
        <v>0</v>
      </c>
      <c r="AR25" s="39">
        <f t="shared" si="30"/>
        <v>0</v>
      </c>
      <c r="AS25" s="20">
        <f t="shared" si="31"/>
        <v>0</v>
      </c>
      <c r="AT25" s="28">
        <f t="shared" si="32"/>
        <v>0</v>
      </c>
      <c r="AU25" s="28">
        <f t="shared" si="33"/>
        <v>0</v>
      </c>
      <c r="AV25" s="20">
        <f t="shared" si="34"/>
        <v>0</v>
      </c>
      <c r="AW25" s="1089">
        <f t="shared" si="35"/>
        <v>0</v>
      </c>
      <c r="AX25" s="1072">
        <f t="shared" si="36"/>
        <v>0</v>
      </c>
      <c r="AY25" s="1072">
        <f t="shared" si="37"/>
        <v>0</v>
      </c>
      <c r="AZ25" s="1072">
        <f t="shared" si="38"/>
        <v>0</v>
      </c>
      <c r="BA25" s="20">
        <f t="shared" si="39"/>
        <v>0</v>
      </c>
      <c r="BB25" s="852">
        <f t="shared" si="40"/>
        <v>0</v>
      </c>
      <c r="BC25" s="852">
        <f t="shared" si="41"/>
        <v>0</v>
      </c>
      <c r="BD25" s="852">
        <f t="shared" si="42"/>
        <v>0</v>
      </c>
      <c r="BE25" s="20">
        <f t="shared" si="43"/>
        <v>0</v>
      </c>
      <c r="BF25" s="852">
        <f t="shared" si="44"/>
        <v>0</v>
      </c>
      <c r="BG25" s="852">
        <f t="shared" si="45"/>
        <v>0</v>
      </c>
      <c r="BH25" s="20">
        <f t="shared" si="46"/>
        <v>0</v>
      </c>
    </row>
    <row r="26" spans="1:60" ht="20.100000000000001" customHeight="1" x14ac:dyDescent="0.2">
      <c r="A26" s="876">
        <v>18</v>
      </c>
      <c r="B26" s="63" t="str">
        <f>dtsiswa!D24</f>
        <v>Nayla Annora Nobel W</v>
      </c>
      <c r="C26" s="11" t="s">
        <v>4</v>
      </c>
      <c r="D26" s="22"/>
      <c r="E26" s="22"/>
      <c r="F26" s="23"/>
      <c r="G26" s="23"/>
      <c r="H26" s="23"/>
      <c r="I26" s="23"/>
      <c r="J26" s="23"/>
      <c r="K26" s="23"/>
      <c r="L26" s="23"/>
      <c r="M26" s="23"/>
      <c r="N26" s="23"/>
      <c r="O26" s="23"/>
      <c r="P26" s="283"/>
      <c r="Q26" s="25"/>
      <c r="R26" s="25"/>
      <c r="S26" s="25"/>
      <c r="T26" s="25"/>
      <c r="U26" s="25"/>
      <c r="V26" s="25"/>
      <c r="W26" s="19">
        <f t="shared" si="9"/>
        <v>0</v>
      </c>
      <c r="X26" s="19">
        <f t="shared" si="10"/>
        <v>0</v>
      </c>
      <c r="Y26" s="19">
        <f t="shared" si="11"/>
        <v>0</v>
      </c>
      <c r="Z26" s="20">
        <f t="shared" si="12"/>
        <v>0</v>
      </c>
      <c r="AA26" s="18">
        <f t="shared" si="13"/>
        <v>0</v>
      </c>
      <c r="AB26" s="18">
        <f t="shared" si="14"/>
        <v>0</v>
      </c>
      <c r="AC26" s="18">
        <f t="shared" si="15"/>
        <v>0</v>
      </c>
      <c r="AD26" s="18">
        <f t="shared" si="16"/>
        <v>0</v>
      </c>
      <c r="AE26" s="20">
        <f t="shared" si="17"/>
        <v>0</v>
      </c>
      <c r="AF26" s="65">
        <f t="shared" si="18"/>
        <v>0</v>
      </c>
      <c r="AG26" s="65">
        <f t="shared" si="19"/>
        <v>0</v>
      </c>
      <c r="AH26" s="65">
        <f t="shared" si="20"/>
        <v>0</v>
      </c>
      <c r="AI26" s="20">
        <f t="shared" si="21"/>
        <v>0</v>
      </c>
      <c r="AJ26" s="39">
        <f t="shared" si="22"/>
        <v>0</v>
      </c>
      <c r="AK26" s="39">
        <f t="shared" si="23"/>
        <v>0</v>
      </c>
      <c r="AL26" s="39">
        <f t="shared" si="24"/>
        <v>0</v>
      </c>
      <c r="AM26" s="39">
        <f t="shared" si="25"/>
        <v>0</v>
      </c>
      <c r="AN26" s="39">
        <f t="shared" si="26"/>
        <v>0</v>
      </c>
      <c r="AO26" s="20">
        <f t="shared" si="27"/>
        <v>0</v>
      </c>
      <c r="AP26" s="39">
        <f t="shared" si="28"/>
        <v>0</v>
      </c>
      <c r="AQ26" s="39">
        <f t="shared" si="29"/>
        <v>0</v>
      </c>
      <c r="AR26" s="39">
        <f t="shared" si="30"/>
        <v>0</v>
      </c>
      <c r="AS26" s="20">
        <f t="shared" si="31"/>
        <v>0</v>
      </c>
      <c r="AT26" s="28">
        <f t="shared" si="32"/>
        <v>0</v>
      </c>
      <c r="AU26" s="28">
        <f t="shared" si="33"/>
        <v>0</v>
      </c>
      <c r="AV26" s="20">
        <f t="shared" si="34"/>
        <v>0</v>
      </c>
      <c r="AW26" s="1089">
        <f t="shared" si="35"/>
        <v>0</v>
      </c>
      <c r="AX26" s="1072">
        <f t="shared" si="36"/>
        <v>0</v>
      </c>
      <c r="AY26" s="1072">
        <f t="shared" si="37"/>
        <v>0</v>
      </c>
      <c r="AZ26" s="1072">
        <f t="shared" si="38"/>
        <v>0</v>
      </c>
      <c r="BA26" s="20">
        <f t="shared" si="39"/>
        <v>0</v>
      </c>
      <c r="BB26" s="852">
        <f t="shared" si="40"/>
        <v>0</v>
      </c>
      <c r="BC26" s="852">
        <f t="shared" si="41"/>
        <v>0</v>
      </c>
      <c r="BD26" s="852">
        <f t="shared" si="42"/>
        <v>0</v>
      </c>
      <c r="BE26" s="20">
        <f t="shared" si="43"/>
        <v>0</v>
      </c>
      <c r="BF26" s="852">
        <f t="shared" si="44"/>
        <v>0</v>
      </c>
      <c r="BG26" s="852">
        <f t="shared" si="45"/>
        <v>0</v>
      </c>
      <c r="BH26" s="20">
        <f t="shared" si="46"/>
        <v>0</v>
      </c>
    </row>
    <row r="27" spans="1:60" ht="20.100000000000001" customHeight="1" x14ac:dyDescent="0.2">
      <c r="A27" s="876">
        <v>19</v>
      </c>
      <c r="B27" s="63" t="str">
        <f>dtsiswa!D25</f>
        <v>Raihan Danang P</v>
      </c>
      <c r="C27" s="11" t="s">
        <v>5</v>
      </c>
      <c r="D27" s="22"/>
      <c r="E27" s="22"/>
      <c r="F27" s="23"/>
      <c r="G27" s="23"/>
      <c r="H27" s="23"/>
      <c r="I27" s="23"/>
      <c r="J27" s="23"/>
      <c r="K27" s="23"/>
      <c r="L27" s="23"/>
      <c r="M27" s="23"/>
      <c r="N27" s="23"/>
      <c r="O27" s="23"/>
      <c r="P27" s="283"/>
      <c r="Q27" s="25"/>
      <c r="R27" s="25"/>
      <c r="S27" s="25"/>
      <c r="T27" s="25"/>
      <c r="U27" s="25"/>
      <c r="V27" s="25"/>
      <c r="W27" s="19">
        <f t="shared" si="9"/>
        <v>0</v>
      </c>
      <c r="X27" s="19">
        <f t="shared" si="10"/>
        <v>0</v>
      </c>
      <c r="Y27" s="19">
        <f t="shared" si="11"/>
        <v>0</v>
      </c>
      <c r="Z27" s="20">
        <f t="shared" si="12"/>
        <v>0</v>
      </c>
      <c r="AA27" s="18">
        <f t="shared" si="13"/>
        <v>0</v>
      </c>
      <c r="AB27" s="18">
        <f t="shared" si="14"/>
        <v>0</v>
      </c>
      <c r="AC27" s="18">
        <f t="shared" si="15"/>
        <v>0</v>
      </c>
      <c r="AD27" s="18">
        <f t="shared" si="16"/>
        <v>0</v>
      </c>
      <c r="AE27" s="20">
        <f t="shared" si="17"/>
        <v>0</v>
      </c>
      <c r="AF27" s="65">
        <f t="shared" si="18"/>
        <v>0</v>
      </c>
      <c r="AG27" s="65">
        <f t="shared" si="19"/>
        <v>0</v>
      </c>
      <c r="AH27" s="65">
        <f t="shared" si="20"/>
        <v>0</v>
      </c>
      <c r="AI27" s="20">
        <f t="shared" si="21"/>
        <v>0</v>
      </c>
      <c r="AJ27" s="39">
        <f t="shared" si="22"/>
        <v>0</v>
      </c>
      <c r="AK27" s="39">
        <f t="shared" si="23"/>
        <v>0</v>
      </c>
      <c r="AL27" s="39">
        <f t="shared" si="24"/>
        <v>0</v>
      </c>
      <c r="AM27" s="39">
        <f t="shared" si="25"/>
        <v>0</v>
      </c>
      <c r="AN27" s="39">
        <f t="shared" si="26"/>
        <v>0</v>
      </c>
      <c r="AO27" s="20">
        <f t="shared" si="27"/>
        <v>0</v>
      </c>
      <c r="AP27" s="39">
        <f t="shared" si="28"/>
        <v>0</v>
      </c>
      <c r="AQ27" s="39">
        <f t="shared" si="29"/>
        <v>0</v>
      </c>
      <c r="AR27" s="39">
        <f t="shared" si="30"/>
        <v>0</v>
      </c>
      <c r="AS27" s="20">
        <f t="shared" si="31"/>
        <v>0</v>
      </c>
      <c r="AT27" s="28">
        <f t="shared" si="32"/>
        <v>0</v>
      </c>
      <c r="AU27" s="28">
        <f t="shared" si="33"/>
        <v>0</v>
      </c>
      <c r="AV27" s="20">
        <f t="shared" si="34"/>
        <v>0</v>
      </c>
      <c r="AW27" s="1089">
        <f t="shared" si="35"/>
        <v>0</v>
      </c>
      <c r="AX27" s="1072">
        <f t="shared" si="36"/>
        <v>0</v>
      </c>
      <c r="AY27" s="1072">
        <f t="shared" si="37"/>
        <v>0</v>
      </c>
      <c r="AZ27" s="1072">
        <f t="shared" si="38"/>
        <v>0</v>
      </c>
      <c r="BA27" s="20">
        <f t="shared" si="39"/>
        <v>0</v>
      </c>
      <c r="BB27" s="852">
        <f t="shared" si="40"/>
        <v>0</v>
      </c>
      <c r="BC27" s="852">
        <f t="shared" si="41"/>
        <v>0</v>
      </c>
      <c r="BD27" s="852">
        <f t="shared" si="42"/>
        <v>0</v>
      </c>
      <c r="BE27" s="20">
        <f t="shared" si="43"/>
        <v>0</v>
      </c>
      <c r="BF27" s="852">
        <f t="shared" si="44"/>
        <v>0</v>
      </c>
      <c r="BG27" s="852">
        <f t="shared" si="45"/>
        <v>0</v>
      </c>
      <c r="BH27" s="20">
        <f t="shared" si="46"/>
        <v>0</v>
      </c>
    </row>
    <row r="28" spans="1:60" ht="20.100000000000001" customHeight="1" x14ac:dyDescent="0.2">
      <c r="A28" s="876">
        <v>20</v>
      </c>
      <c r="B28" s="63" t="str">
        <f>dtsiswa!D26</f>
        <v>Roby Ardiyansyah</v>
      </c>
      <c r="C28" s="11" t="s">
        <v>5</v>
      </c>
      <c r="D28" s="22"/>
      <c r="E28" s="22"/>
      <c r="F28" s="23"/>
      <c r="G28" s="23"/>
      <c r="H28" s="23"/>
      <c r="I28" s="23"/>
      <c r="J28" s="23"/>
      <c r="K28" s="23"/>
      <c r="L28" s="23"/>
      <c r="M28" s="23"/>
      <c r="N28" s="23"/>
      <c r="O28" s="23"/>
      <c r="P28" s="283"/>
      <c r="Q28" s="25"/>
      <c r="R28" s="25"/>
      <c r="S28" s="25"/>
      <c r="T28" s="25"/>
      <c r="U28" s="25"/>
      <c r="V28" s="25"/>
      <c r="W28" s="19">
        <f t="shared" si="9"/>
        <v>0</v>
      </c>
      <c r="X28" s="19">
        <f t="shared" si="10"/>
        <v>0</v>
      </c>
      <c r="Y28" s="19">
        <f t="shared" si="11"/>
        <v>0</v>
      </c>
      <c r="Z28" s="20">
        <f t="shared" si="12"/>
        <v>0</v>
      </c>
      <c r="AA28" s="18">
        <f t="shared" si="13"/>
        <v>0</v>
      </c>
      <c r="AB28" s="18">
        <f t="shared" si="14"/>
        <v>0</v>
      </c>
      <c r="AC28" s="18">
        <f t="shared" si="15"/>
        <v>0</v>
      </c>
      <c r="AD28" s="18">
        <f t="shared" si="16"/>
        <v>0</v>
      </c>
      <c r="AE28" s="20">
        <f t="shared" si="17"/>
        <v>0</v>
      </c>
      <c r="AF28" s="65">
        <f t="shared" si="18"/>
        <v>0</v>
      </c>
      <c r="AG28" s="65">
        <f t="shared" si="19"/>
        <v>0</v>
      </c>
      <c r="AH28" s="65">
        <f t="shared" si="20"/>
        <v>0</v>
      </c>
      <c r="AI28" s="20">
        <f t="shared" si="21"/>
        <v>0</v>
      </c>
      <c r="AJ28" s="39">
        <f t="shared" si="22"/>
        <v>0</v>
      </c>
      <c r="AK28" s="39">
        <f t="shared" si="23"/>
        <v>0</v>
      </c>
      <c r="AL28" s="39">
        <f t="shared" si="24"/>
        <v>0</v>
      </c>
      <c r="AM28" s="39">
        <f t="shared" si="25"/>
        <v>0</v>
      </c>
      <c r="AN28" s="39">
        <f t="shared" si="26"/>
        <v>0</v>
      </c>
      <c r="AO28" s="20">
        <f t="shared" si="27"/>
        <v>0</v>
      </c>
      <c r="AP28" s="39">
        <f t="shared" si="28"/>
        <v>0</v>
      </c>
      <c r="AQ28" s="39">
        <f t="shared" si="29"/>
        <v>0</v>
      </c>
      <c r="AR28" s="39">
        <f t="shared" si="30"/>
        <v>0</v>
      </c>
      <c r="AS28" s="20">
        <f t="shared" si="31"/>
        <v>0</v>
      </c>
      <c r="AT28" s="28">
        <f t="shared" si="32"/>
        <v>0</v>
      </c>
      <c r="AU28" s="28">
        <f t="shared" si="33"/>
        <v>0</v>
      </c>
      <c r="AV28" s="20">
        <f t="shared" si="34"/>
        <v>0</v>
      </c>
      <c r="AW28" s="1089">
        <f t="shared" si="35"/>
        <v>0</v>
      </c>
      <c r="AX28" s="1072">
        <f t="shared" si="36"/>
        <v>0</v>
      </c>
      <c r="AY28" s="1072">
        <f t="shared" si="37"/>
        <v>0</v>
      </c>
      <c r="AZ28" s="1072">
        <f t="shared" si="38"/>
        <v>0</v>
      </c>
      <c r="BA28" s="20">
        <f t="shared" si="39"/>
        <v>0</v>
      </c>
      <c r="BB28" s="852">
        <f t="shared" si="40"/>
        <v>0</v>
      </c>
      <c r="BC28" s="852">
        <f t="shared" si="41"/>
        <v>0</v>
      </c>
      <c r="BD28" s="852">
        <f t="shared" si="42"/>
        <v>0</v>
      </c>
      <c r="BE28" s="20">
        <f t="shared" si="43"/>
        <v>0</v>
      </c>
      <c r="BF28" s="852">
        <f t="shared" si="44"/>
        <v>0</v>
      </c>
      <c r="BG28" s="852">
        <f t="shared" si="45"/>
        <v>0</v>
      </c>
      <c r="BH28" s="20">
        <f t="shared" si="46"/>
        <v>0</v>
      </c>
    </row>
    <row r="29" spans="1:60" ht="20.100000000000001" customHeight="1" x14ac:dyDescent="0.2">
      <c r="A29" s="876">
        <v>21</v>
      </c>
      <c r="B29" s="63" t="str">
        <f>dtsiswa!D27</f>
        <v>Rojalingga Prana A</v>
      </c>
      <c r="C29" s="13" t="s">
        <v>4</v>
      </c>
      <c r="D29" s="22"/>
      <c r="E29" s="22"/>
      <c r="F29" s="23"/>
      <c r="G29" s="23"/>
      <c r="H29" s="23"/>
      <c r="I29" s="23"/>
      <c r="J29" s="23"/>
      <c r="K29" s="23"/>
      <c r="L29" s="23"/>
      <c r="M29" s="23"/>
      <c r="N29" s="23"/>
      <c r="O29" s="23"/>
      <c r="P29" s="283"/>
      <c r="Q29" s="25"/>
      <c r="R29" s="25"/>
      <c r="S29" s="25"/>
      <c r="T29" s="25"/>
      <c r="U29" s="25"/>
      <c r="V29" s="25"/>
      <c r="W29" s="19">
        <f t="shared" si="9"/>
        <v>0</v>
      </c>
      <c r="X29" s="19">
        <f t="shared" si="10"/>
        <v>0</v>
      </c>
      <c r="Y29" s="19">
        <f t="shared" si="11"/>
        <v>0</v>
      </c>
      <c r="Z29" s="20">
        <f t="shared" si="12"/>
        <v>0</v>
      </c>
      <c r="AA29" s="18">
        <f t="shared" si="13"/>
        <v>0</v>
      </c>
      <c r="AB29" s="18">
        <f t="shared" si="14"/>
        <v>0</v>
      </c>
      <c r="AC29" s="18">
        <f t="shared" si="15"/>
        <v>0</v>
      </c>
      <c r="AD29" s="18">
        <f t="shared" si="16"/>
        <v>0</v>
      </c>
      <c r="AE29" s="20">
        <f t="shared" si="17"/>
        <v>0</v>
      </c>
      <c r="AF29" s="65">
        <f t="shared" si="18"/>
        <v>0</v>
      </c>
      <c r="AG29" s="65">
        <f t="shared" si="19"/>
        <v>0</v>
      </c>
      <c r="AH29" s="65">
        <f t="shared" si="20"/>
        <v>0</v>
      </c>
      <c r="AI29" s="20">
        <f t="shared" si="21"/>
        <v>0</v>
      </c>
      <c r="AJ29" s="39">
        <f t="shared" si="22"/>
        <v>0</v>
      </c>
      <c r="AK29" s="39">
        <f t="shared" si="23"/>
        <v>0</v>
      </c>
      <c r="AL29" s="39">
        <f t="shared" si="24"/>
        <v>0</v>
      </c>
      <c r="AM29" s="39">
        <f t="shared" si="25"/>
        <v>0</v>
      </c>
      <c r="AN29" s="39">
        <f t="shared" si="26"/>
        <v>0</v>
      </c>
      <c r="AO29" s="20">
        <f t="shared" si="27"/>
        <v>0</v>
      </c>
      <c r="AP29" s="39">
        <f t="shared" si="28"/>
        <v>0</v>
      </c>
      <c r="AQ29" s="39">
        <f t="shared" si="29"/>
        <v>0</v>
      </c>
      <c r="AR29" s="39">
        <f t="shared" si="30"/>
        <v>0</v>
      </c>
      <c r="AS29" s="20">
        <f t="shared" si="31"/>
        <v>0</v>
      </c>
      <c r="AT29" s="28">
        <f t="shared" si="32"/>
        <v>0</v>
      </c>
      <c r="AU29" s="28">
        <f t="shared" si="33"/>
        <v>0</v>
      </c>
      <c r="AV29" s="20">
        <f t="shared" si="34"/>
        <v>0</v>
      </c>
      <c r="AW29" s="1089">
        <f t="shared" si="35"/>
        <v>0</v>
      </c>
      <c r="AX29" s="1072">
        <f t="shared" si="36"/>
        <v>0</v>
      </c>
      <c r="AY29" s="1072">
        <f t="shared" si="37"/>
        <v>0</v>
      </c>
      <c r="AZ29" s="1072">
        <f t="shared" si="38"/>
        <v>0</v>
      </c>
      <c r="BA29" s="20">
        <f t="shared" si="39"/>
        <v>0</v>
      </c>
      <c r="BB29" s="852">
        <f t="shared" si="40"/>
        <v>0</v>
      </c>
      <c r="BC29" s="852">
        <f t="shared" si="41"/>
        <v>0</v>
      </c>
      <c r="BD29" s="852">
        <f t="shared" si="42"/>
        <v>0</v>
      </c>
      <c r="BE29" s="20">
        <f t="shared" si="43"/>
        <v>0</v>
      </c>
      <c r="BF29" s="852">
        <f t="shared" si="44"/>
        <v>0</v>
      </c>
      <c r="BG29" s="852">
        <f t="shared" si="45"/>
        <v>0</v>
      </c>
      <c r="BH29" s="20">
        <f t="shared" si="46"/>
        <v>0</v>
      </c>
    </row>
    <row r="30" spans="1:60" ht="20.100000000000001" customHeight="1" x14ac:dyDescent="0.2">
      <c r="A30" s="876">
        <v>22</v>
      </c>
      <c r="B30" s="63" t="str">
        <f>dtsiswa!D28</f>
        <v>Sally Savista A</v>
      </c>
      <c r="C30" s="11" t="s">
        <v>5</v>
      </c>
      <c r="D30" s="22"/>
      <c r="E30" s="22"/>
      <c r="F30" s="23"/>
      <c r="G30" s="23"/>
      <c r="H30" s="23"/>
      <c r="I30" s="23"/>
      <c r="J30" s="23"/>
      <c r="K30" s="23"/>
      <c r="L30" s="23"/>
      <c r="M30" s="23"/>
      <c r="N30" s="23"/>
      <c r="O30" s="23"/>
      <c r="P30" s="283"/>
      <c r="Q30" s="25"/>
      <c r="R30" s="25"/>
      <c r="S30" s="25"/>
      <c r="T30" s="25"/>
      <c r="U30" s="25"/>
      <c r="V30" s="25"/>
      <c r="W30" s="19">
        <f t="shared" si="9"/>
        <v>0</v>
      </c>
      <c r="X30" s="19">
        <f t="shared" si="10"/>
        <v>0</v>
      </c>
      <c r="Y30" s="19">
        <f t="shared" si="11"/>
        <v>0</v>
      </c>
      <c r="Z30" s="20">
        <f t="shared" si="12"/>
        <v>0</v>
      </c>
      <c r="AA30" s="18">
        <f t="shared" si="13"/>
        <v>0</v>
      </c>
      <c r="AB30" s="18">
        <f t="shared" si="14"/>
        <v>0</v>
      </c>
      <c r="AC30" s="18">
        <f t="shared" si="15"/>
        <v>0</v>
      </c>
      <c r="AD30" s="18">
        <f t="shared" si="16"/>
        <v>0</v>
      </c>
      <c r="AE30" s="20">
        <f t="shared" si="17"/>
        <v>0</v>
      </c>
      <c r="AF30" s="65">
        <f t="shared" si="18"/>
        <v>0</v>
      </c>
      <c r="AG30" s="65">
        <f t="shared" si="19"/>
        <v>0</v>
      </c>
      <c r="AH30" s="65">
        <f t="shared" si="20"/>
        <v>0</v>
      </c>
      <c r="AI30" s="20">
        <f t="shared" si="21"/>
        <v>0</v>
      </c>
      <c r="AJ30" s="39">
        <f t="shared" si="22"/>
        <v>0</v>
      </c>
      <c r="AK30" s="39">
        <f t="shared" si="23"/>
        <v>0</v>
      </c>
      <c r="AL30" s="39">
        <f t="shared" si="24"/>
        <v>0</v>
      </c>
      <c r="AM30" s="39">
        <f t="shared" si="25"/>
        <v>0</v>
      </c>
      <c r="AN30" s="39">
        <f t="shared" si="26"/>
        <v>0</v>
      </c>
      <c r="AO30" s="20">
        <f t="shared" si="27"/>
        <v>0</v>
      </c>
      <c r="AP30" s="39">
        <f t="shared" si="28"/>
        <v>0</v>
      </c>
      <c r="AQ30" s="39">
        <f t="shared" si="29"/>
        <v>0</v>
      </c>
      <c r="AR30" s="39">
        <f t="shared" si="30"/>
        <v>0</v>
      </c>
      <c r="AS30" s="20">
        <f t="shared" si="31"/>
        <v>0</v>
      </c>
      <c r="AT30" s="28">
        <f t="shared" si="32"/>
        <v>0</v>
      </c>
      <c r="AU30" s="28">
        <f t="shared" si="33"/>
        <v>0</v>
      </c>
      <c r="AV30" s="20">
        <f t="shared" si="34"/>
        <v>0</v>
      </c>
      <c r="AW30" s="1089">
        <f t="shared" si="35"/>
        <v>0</v>
      </c>
      <c r="AX30" s="1072">
        <f t="shared" si="36"/>
        <v>0</v>
      </c>
      <c r="AY30" s="1072">
        <f t="shared" si="37"/>
        <v>0</v>
      </c>
      <c r="AZ30" s="1072">
        <f t="shared" si="38"/>
        <v>0</v>
      </c>
      <c r="BA30" s="20">
        <f t="shared" si="39"/>
        <v>0</v>
      </c>
      <c r="BB30" s="852">
        <f t="shared" si="40"/>
        <v>0</v>
      </c>
      <c r="BC30" s="852">
        <f t="shared" si="41"/>
        <v>0</v>
      </c>
      <c r="BD30" s="852">
        <f t="shared" si="42"/>
        <v>0</v>
      </c>
      <c r="BE30" s="20">
        <f t="shared" si="43"/>
        <v>0</v>
      </c>
      <c r="BF30" s="852">
        <f t="shared" si="44"/>
        <v>0</v>
      </c>
      <c r="BG30" s="852">
        <f t="shared" si="45"/>
        <v>0</v>
      </c>
      <c r="BH30" s="20">
        <f t="shared" si="46"/>
        <v>0</v>
      </c>
    </row>
    <row r="31" spans="1:60" ht="20.100000000000001" customHeight="1" x14ac:dyDescent="0.2">
      <c r="A31" s="876">
        <v>23</v>
      </c>
      <c r="B31" s="63" t="str">
        <f>dtsiswa!D29</f>
        <v xml:space="preserve">Tania Kaori Angelita </v>
      </c>
      <c r="C31" s="13" t="s">
        <v>4</v>
      </c>
      <c r="D31" s="22"/>
      <c r="E31" s="22"/>
      <c r="F31" s="23"/>
      <c r="G31" s="23"/>
      <c r="H31" s="23"/>
      <c r="I31" s="23"/>
      <c r="J31" s="23"/>
      <c r="K31" s="23"/>
      <c r="L31" s="23"/>
      <c r="M31" s="23"/>
      <c r="N31" s="23"/>
      <c r="O31" s="23"/>
      <c r="P31" s="283"/>
      <c r="Q31" s="25"/>
      <c r="R31" s="25"/>
      <c r="S31" s="25"/>
      <c r="T31" s="25"/>
      <c r="U31" s="25"/>
      <c r="V31" s="25"/>
      <c r="W31" s="19">
        <f t="shared" si="9"/>
        <v>0</v>
      </c>
      <c r="X31" s="19">
        <f t="shared" si="10"/>
        <v>0</v>
      </c>
      <c r="Y31" s="19">
        <f t="shared" si="11"/>
        <v>0</v>
      </c>
      <c r="Z31" s="20">
        <f t="shared" si="12"/>
        <v>0</v>
      </c>
      <c r="AA31" s="18">
        <f t="shared" si="13"/>
        <v>0</v>
      </c>
      <c r="AB31" s="18">
        <f t="shared" si="14"/>
        <v>0</v>
      </c>
      <c r="AC31" s="18">
        <f t="shared" si="15"/>
        <v>0</v>
      </c>
      <c r="AD31" s="18">
        <f t="shared" si="16"/>
        <v>0</v>
      </c>
      <c r="AE31" s="20">
        <f t="shared" si="17"/>
        <v>0</v>
      </c>
      <c r="AF31" s="65">
        <f t="shared" si="18"/>
        <v>0</v>
      </c>
      <c r="AG31" s="65">
        <f t="shared" si="19"/>
        <v>0</v>
      </c>
      <c r="AH31" s="65">
        <f t="shared" si="20"/>
        <v>0</v>
      </c>
      <c r="AI31" s="20">
        <f t="shared" si="21"/>
        <v>0</v>
      </c>
      <c r="AJ31" s="39">
        <f t="shared" si="22"/>
        <v>0</v>
      </c>
      <c r="AK31" s="39">
        <f t="shared" si="23"/>
        <v>0</v>
      </c>
      <c r="AL31" s="39">
        <f t="shared" si="24"/>
        <v>0</v>
      </c>
      <c r="AM31" s="39">
        <f t="shared" si="25"/>
        <v>0</v>
      </c>
      <c r="AN31" s="39">
        <f t="shared" si="26"/>
        <v>0</v>
      </c>
      <c r="AO31" s="20">
        <f t="shared" si="27"/>
        <v>0</v>
      </c>
      <c r="AP31" s="39">
        <f t="shared" si="28"/>
        <v>0</v>
      </c>
      <c r="AQ31" s="39">
        <f t="shared" si="29"/>
        <v>0</v>
      </c>
      <c r="AR31" s="39">
        <f t="shared" si="30"/>
        <v>0</v>
      </c>
      <c r="AS31" s="20">
        <f t="shared" si="31"/>
        <v>0</v>
      </c>
      <c r="AT31" s="28">
        <f t="shared" si="32"/>
        <v>0</v>
      </c>
      <c r="AU31" s="28">
        <f t="shared" si="33"/>
        <v>0</v>
      </c>
      <c r="AV31" s="20">
        <f t="shared" si="34"/>
        <v>0</v>
      </c>
      <c r="AW31" s="1089">
        <f t="shared" si="35"/>
        <v>0</v>
      </c>
      <c r="AX31" s="1072">
        <f t="shared" si="36"/>
        <v>0</v>
      </c>
      <c r="AY31" s="1072">
        <f t="shared" si="37"/>
        <v>0</v>
      </c>
      <c r="AZ31" s="1072">
        <f t="shared" si="38"/>
        <v>0</v>
      </c>
      <c r="BA31" s="20">
        <f t="shared" si="39"/>
        <v>0</v>
      </c>
      <c r="BB31" s="852">
        <f t="shared" si="40"/>
        <v>0</v>
      </c>
      <c r="BC31" s="852">
        <f t="shared" si="41"/>
        <v>0</v>
      </c>
      <c r="BD31" s="852">
        <f t="shared" si="42"/>
        <v>0</v>
      </c>
      <c r="BE31" s="20">
        <f t="shared" si="43"/>
        <v>0</v>
      </c>
      <c r="BF31" s="852">
        <f t="shared" si="44"/>
        <v>0</v>
      </c>
      <c r="BG31" s="852">
        <f t="shared" si="45"/>
        <v>0</v>
      </c>
      <c r="BH31" s="20">
        <f t="shared" si="46"/>
        <v>0</v>
      </c>
    </row>
    <row r="32" spans="1:60" ht="20.100000000000001" customHeight="1" x14ac:dyDescent="0.2">
      <c r="A32" s="876">
        <v>24</v>
      </c>
      <c r="B32" s="63" t="str">
        <f>dtsiswa!D30</f>
        <v>Romzy Oka Ramadhani P</v>
      </c>
      <c r="C32" s="11" t="s">
        <v>5</v>
      </c>
      <c r="D32" s="22"/>
      <c r="E32" s="22"/>
      <c r="F32" s="23"/>
      <c r="G32" s="23"/>
      <c r="H32" s="23"/>
      <c r="I32" s="23"/>
      <c r="J32" s="23"/>
      <c r="K32" s="23"/>
      <c r="L32" s="23"/>
      <c r="M32" s="23"/>
      <c r="N32" s="23"/>
      <c r="O32" s="23"/>
      <c r="P32" s="283"/>
      <c r="Q32" s="25"/>
      <c r="R32" s="25"/>
      <c r="S32" s="25"/>
      <c r="T32" s="25"/>
      <c r="U32" s="25"/>
      <c r="V32" s="25"/>
      <c r="W32" s="19">
        <f t="shared" si="9"/>
        <v>0</v>
      </c>
      <c r="X32" s="19">
        <f t="shared" si="10"/>
        <v>0</v>
      </c>
      <c r="Y32" s="19">
        <f t="shared" si="11"/>
        <v>0</v>
      </c>
      <c r="Z32" s="20">
        <f t="shared" si="12"/>
        <v>0</v>
      </c>
      <c r="AA32" s="18">
        <f t="shared" si="13"/>
        <v>0</v>
      </c>
      <c r="AB32" s="18">
        <f t="shared" si="14"/>
        <v>0</v>
      </c>
      <c r="AC32" s="18">
        <f t="shared" si="15"/>
        <v>0</v>
      </c>
      <c r="AD32" s="18">
        <f t="shared" si="16"/>
        <v>0</v>
      </c>
      <c r="AE32" s="20">
        <f t="shared" si="17"/>
        <v>0</v>
      </c>
      <c r="AF32" s="65">
        <f t="shared" si="18"/>
        <v>0</v>
      </c>
      <c r="AG32" s="65">
        <f t="shared" si="19"/>
        <v>0</v>
      </c>
      <c r="AH32" s="65">
        <f t="shared" si="20"/>
        <v>0</v>
      </c>
      <c r="AI32" s="20">
        <f t="shared" si="21"/>
        <v>0</v>
      </c>
      <c r="AJ32" s="39">
        <f t="shared" si="22"/>
        <v>0</v>
      </c>
      <c r="AK32" s="39">
        <f t="shared" si="23"/>
        <v>0</v>
      </c>
      <c r="AL32" s="39">
        <f t="shared" si="24"/>
        <v>0</v>
      </c>
      <c r="AM32" s="39">
        <f t="shared" si="25"/>
        <v>0</v>
      </c>
      <c r="AN32" s="39">
        <f t="shared" si="26"/>
        <v>0</v>
      </c>
      <c r="AO32" s="20">
        <f t="shared" si="27"/>
        <v>0</v>
      </c>
      <c r="AP32" s="39">
        <f t="shared" si="28"/>
        <v>0</v>
      </c>
      <c r="AQ32" s="39">
        <f t="shared" si="29"/>
        <v>0</v>
      </c>
      <c r="AR32" s="39">
        <f t="shared" si="30"/>
        <v>0</v>
      </c>
      <c r="AS32" s="20">
        <f t="shared" si="31"/>
        <v>0</v>
      </c>
      <c r="AT32" s="28">
        <f t="shared" si="32"/>
        <v>0</v>
      </c>
      <c r="AU32" s="28">
        <f t="shared" si="33"/>
        <v>0</v>
      </c>
      <c r="AV32" s="20">
        <f t="shared" si="34"/>
        <v>0</v>
      </c>
      <c r="AW32" s="1089">
        <f t="shared" si="35"/>
        <v>0</v>
      </c>
      <c r="AX32" s="1072">
        <f t="shared" si="36"/>
        <v>0</v>
      </c>
      <c r="AY32" s="1072">
        <f t="shared" si="37"/>
        <v>0</v>
      </c>
      <c r="AZ32" s="1072">
        <f t="shared" si="38"/>
        <v>0</v>
      </c>
      <c r="BA32" s="20">
        <f t="shared" si="39"/>
        <v>0</v>
      </c>
      <c r="BB32" s="852">
        <f t="shared" si="40"/>
        <v>0</v>
      </c>
      <c r="BC32" s="852">
        <f t="shared" si="41"/>
        <v>0</v>
      </c>
      <c r="BD32" s="852">
        <f t="shared" si="42"/>
        <v>0</v>
      </c>
      <c r="BE32" s="20">
        <f t="shared" si="43"/>
        <v>0</v>
      </c>
      <c r="BF32" s="852">
        <f t="shared" si="44"/>
        <v>0</v>
      </c>
      <c r="BG32" s="852">
        <f t="shared" si="45"/>
        <v>0</v>
      </c>
      <c r="BH32" s="20">
        <f t="shared" si="46"/>
        <v>0</v>
      </c>
    </row>
    <row r="33" spans="1:60" ht="20.100000000000001" customHeight="1" x14ac:dyDescent="0.2">
      <c r="A33" s="876">
        <v>25</v>
      </c>
      <c r="B33" s="63" t="str">
        <f>dtsiswa!D31</f>
        <v>Larasati Jagadhita P</v>
      </c>
      <c r="C33" s="13" t="s">
        <v>4</v>
      </c>
      <c r="D33" s="22"/>
      <c r="E33" s="22"/>
      <c r="F33" s="23"/>
      <c r="G33" s="23"/>
      <c r="H33" s="23"/>
      <c r="I33" s="23"/>
      <c r="J33" s="23"/>
      <c r="K33" s="23"/>
      <c r="L33" s="23"/>
      <c r="M33" s="23"/>
      <c r="N33" s="23"/>
      <c r="O33" s="23"/>
      <c r="P33" s="283"/>
      <c r="Q33" s="25"/>
      <c r="R33" s="25"/>
      <c r="S33" s="25"/>
      <c r="T33" s="25"/>
      <c r="U33" s="25"/>
      <c r="V33" s="25"/>
      <c r="W33" s="19">
        <f t="shared" si="9"/>
        <v>0</v>
      </c>
      <c r="X33" s="19">
        <f t="shared" si="10"/>
        <v>0</v>
      </c>
      <c r="Y33" s="19">
        <f t="shared" si="11"/>
        <v>0</v>
      </c>
      <c r="Z33" s="20">
        <f t="shared" si="12"/>
        <v>0</v>
      </c>
      <c r="AA33" s="18">
        <f t="shared" si="13"/>
        <v>0</v>
      </c>
      <c r="AB33" s="18">
        <f t="shared" si="14"/>
        <v>0</v>
      </c>
      <c r="AC33" s="18">
        <f t="shared" si="15"/>
        <v>0</v>
      </c>
      <c r="AD33" s="18">
        <f t="shared" si="16"/>
        <v>0</v>
      </c>
      <c r="AE33" s="20">
        <f t="shared" si="17"/>
        <v>0</v>
      </c>
      <c r="AF33" s="65">
        <f t="shared" si="18"/>
        <v>0</v>
      </c>
      <c r="AG33" s="65">
        <f t="shared" si="19"/>
        <v>0</v>
      </c>
      <c r="AH33" s="65">
        <f t="shared" si="20"/>
        <v>0</v>
      </c>
      <c r="AI33" s="20">
        <f t="shared" si="21"/>
        <v>0</v>
      </c>
      <c r="AJ33" s="39">
        <f t="shared" si="22"/>
        <v>0</v>
      </c>
      <c r="AK33" s="39">
        <f t="shared" si="23"/>
        <v>0</v>
      </c>
      <c r="AL33" s="39">
        <f t="shared" si="24"/>
        <v>0</v>
      </c>
      <c r="AM33" s="39">
        <f t="shared" si="25"/>
        <v>0</v>
      </c>
      <c r="AN33" s="39">
        <f t="shared" si="26"/>
        <v>0</v>
      </c>
      <c r="AO33" s="20">
        <f t="shared" si="27"/>
        <v>0</v>
      </c>
      <c r="AP33" s="39">
        <f t="shared" si="28"/>
        <v>0</v>
      </c>
      <c r="AQ33" s="39">
        <f t="shared" si="29"/>
        <v>0</v>
      </c>
      <c r="AR33" s="39">
        <f t="shared" si="30"/>
        <v>0</v>
      </c>
      <c r="AS33" s="20">
        <f t="shared" si="31"/>
        <v>0</v>
      </c>
      <c r="AT33" s="28">
        <f t="shared" si="32"/>
        <v>0</v>
      </c>
      <c r="AU33" s="28">
        <f t="shared" si="33"/>
        <v>0</v>
      </c>
      <c r="AV33" s="20">
        <f t="shared" si="34"/>
        <v>0</v>
      </c>
      <c r="AW33" s="1089">
        <f t="shared" si="35"/>
        <v>0</v>
      </c>
      <c r="AX33" s="1072">
        <f t="shared" si="36"/>
        <v>0</v>
      </c>
      <c r="AY33" s="1072">
        <f t="shared" si="37"/>
        <v>0</v>
      </c>
      <c r="AZ33" s="1072">
        <f t="shared" si="38"/>
        <v>0</v>
      </c>
      <c r="BA33" s="20">
        <f t="shared" si="39"/>
        <v>0</v>
      </c>
      <c r="BB33" s="852">
        <f t="shared" si="40"/>
        <v>0</v>
      </c>
      <c r="BC33" s="852">
        <f t="shared" si="41"/>
        <v>0</v>
      </c>
      <c r="BD33" s="852">
        <f t="shared" si="42"/>
        <v>0</v>
      </c>
      <c r="BE33" s="20">
        <f t="shared" si="43"/>
        <v>0</v>
      </c>
      <c r="BF33" s="852">
        <f t="shared" si="44"/>
        <v>0</v>
      </c>
      <c r="BG33" s="852">
        <f t="shared" si="45"/>
        <v>0</v>
      </c>
      <c r="BH33" s="20">
        <f t="shared" si="46"/>
        <v>0</v>
      </c>
    </row>
    <row r="34" spans="1:60" ht="20.100000000000001" customHeight="1" x14ac:dyDescent="0.2">
      <c r="A34" s="876">
        <v>26</v>
      </c>
      <c r="B34" s="63" t="str">
        <f>dtsiswa!D32</f>
        <v>Meliana Citra A</v>
      </c>
      <c r="C34" s="11" t="s">
        <v>5</v>
      </c>
      <c r="D34" s="22"/>
      <c r="E34" s="22"/>
      <c r="F34" s="23"/>
      <c r="G34" s="23"/>
      <c r="H34" s="23"/>
      <c r="I34" s="23"/>
      <c r="J34" s="23"/>
      <c r="K34" s="23"/>
      <c r="L34" s="23"/>
      <c r="M34" s="23"/>
      <c r="N34" s="23"/>
      <c r="O34" s="23"/>
      <c r="P34" s="283"/>
      <c r="Q34" s="25"/>
      <c r="R34" s="25"/>
      <c r="S34" s="25"/>
      <c r="T34" s="25"/>
      <c r="U34" s="25"/>
      <c r="V34" s="25"/>
      <c r="W34" s="19">
        <f t="shared" si="9"/>
        <v>0</v>
      </c>
      <c r="X34" s="19">
        <f t="shared" si="10"/>
        <v>0</v>
      </c>
      <c r="Y34" s="19">
        <f t="shared" si="11"/>
        <v>0</v>
      </c>
      <c r="Z34" s="20">
        <f t="shared" si="12"/>
        <v>0</v>
      </c>
      <c r="AA34" s="18">
        <f t="shared" si="13"/>
        <v>0</v>
      </c>
      <c r="AB34" s="18">
        <f t="shared" si="14"/>
        <v>0</v>
      </c>
      <c r="AC34" s="18">
        <f t="shared" si="15"/>
        <v>0</v>
      </c>
      <c r="AD34" s="18">
        <f t="shared" si="16"/>
        <v>0</v>
      </c>
      <c r="AE34" s="20">
        <f t="shared" si="17"/>
        <v>0</v>
      </c>
      <c r="AF34" s="65">
        <f t="shared" si="18"/>
        <v>0</v>
      </c>
      <c r="AG34" s="65">
        <f t="shared" si="19"/>
        <v>0</v>
      </c>
      <c r="AH34" s="65">
        <f t="shared" si="20"/>
        <v>0</v>
      </c>
      <c r="AI34" s="20">
        <f t="shared" si="21"/>
        <v>0</v>
      </c>
      <c r="AJ34" s="39">
        <f t="shared" si="22"/>
        <v>0</v>
      </c>
      <c r="AK34" s="39">
        <f t="shared" si="23"/>
        <v>0</v>
      </c>
      <c r="AL34" s="39">
        <f t="shared" si="24"/>
        <v>0</v>
      </c>
      <c r="AM34" s="39">
        <f t="shared" si="25"/>
        <v>0</v>
      </c>
      <c r="AN34" s="39">
        <f t="shared" si="26"/>
        <v>0</v>
      </c>
      <c r="AO34" s="20">
        <f t="shared" si="27"/>
        <v>0</v>
      </c>
      <c r="AP34" s="39">
        <f t="shared" si="28"/>
        <v>0</v>
      </c>
      <c r="AQ34" s="39">
        <f t="shared" si="29"/>
        <v>0</v>
      </c>
      <c r="AR34" s="39">
        <f t="shared" si="30"/>
        <v>0</v>
      </c>
      <c r="AS34" s="20">
        <f t="shared" si="31"/>
        <v>0</v>
      </c>
      <c r="AT34" s="28">
        <f t="shared" si="32"/>
        <v>0</v>
      </c>
      <c r="AU34" s="28">
        <f t="shared" si="33"/>
        <v>0</v>
      </c>
      <c r="AV34" s="20">
        <f t="shared" si="34"/>
        <v>0</v>
      </c>
      <c r="AW34" s="1089">
        <f t="shared" si="35"/>
        <v>0</v>
      </c>
      <c r="AX34" s="1072">
        <f t="shared" si="36"/>
        <v>0</v>
      </c>
      <c r="AY34" s="1072">
        <f t="shared" si="37"/>
        <v>0</v>
      </c>
      <c r="AZ34" s="1072">
        <f t="shared" si="38"/>
        <v>0</v>
      </c>
      <c r="BA34" s="20">
        <f t="shared" si="39"/>
        <v>0</v>
      </c>
      <c r="BB34" s="852">
        <f t="shared" si="40"/>
        <v>0</v>
      </c>
      <c r="BC34" s="852">
        <f t="shared" si="41"/>
        <v>0</v>
      </c>
      <c r="BD34" s="852">
        <f t="shared" si="42"/>
        <v>0</v>
      </c>
      <c r="BE34" s="20">
        <f t="shared" si="43"/>
        <v>0</v>
      </c>
      <c r="BF34" s="852">
        <f t="shared" si="44"/>
        <v>0</v>
      </c>
      <c r="BG34" s="852">
        <f t="shared" si="45"/>
        <v>0</v>
      </c>
      <c r="BH34" s="20">
        <f t="shared" si="46"/>
        <v>0</v>
      </c>
    </row>
    <row r="35" spans="1:60" ht="20.100000000000001" customHeight="1" x14ac:dyDescent="0.2">
      <c r="A35" s="876">
        <v>27</v>
      </c>
      <c r="B35" s="63" t="str">
        <f>dtsiswa!D33</f>
        <v>Mohammad Rizky</v>
      </c>
      <c r="C35" s="13" t="s">
        <v>4</v>
      </c>
      <c r="D35" s="22"/>
      <c r="E35" s="22"/>
      <c r="F35" s="23"/>
      <c r="G35" s="23"/>
      <c r="H35" s="23"/>
      <c r="I35" s="23"/>
      <c r="J35" s="23"/>
      <c r="K35" s="23"/>
      <c r="L35" s="23"/>
      <c r="M35" s="23"/>
      <c r="N35" s="23"/>
      <c r="O35" s="23"/>
      <c r="P35" s="283"/>
      <c r="Q35" s="25"/>
      <c r="R35" s="25"/>
      <c r="S35" s="25"/>
      <c r="T35" s="25"/>
      <c r="U35" s="25"/>
      <c r="V35" s="25"/>
      <c r="W35" s="19">
        <f t="shared" si="9"/>
        <v>0</v>
      </c>
      <c r="X35" s="19">
        <f t="shared" si="10"/>
        <v>0</v>
      </c>
      <c r="Y35" s="19">
        <f t="shared" si="11"/>
        <v>0</v>
      </c>
      <c r="Z35" s="20">
        <f t="shared" si="12"/>
        <v>0</v>
      </c>
      <c r="AA35" s="18">
        <f t="shared" si="13"/>
        <v>0</v>
      </c>
      <c r="AB35" s="18">
        <f t="shared" si="14"/>
        <v>0</v>
      </c>
      <c r="AC35" s="18">
        <f t="shared" si="15"/>
        <v>0</v>
      </c>
      <c r="AD35" s="18">
        <f t="shared" si="16"/>
        <v>0</v>
      </c>
      <c r="AE35" s="20">
        <f t="shared" si="17"/>
        <v>0</v>
      </c>
      <c r="AF35" s="65">
        <f t="shared" si="18"/>
        <v>0</v>
      </c>
      <c r="AG35" s="65">
        <f t="shared" si="19"/>
        <v>0</v>
      </c>
      <c r="AH35" s="65">
        <f t="shared" si="20"/>
        <v>0</v>
      </c>
      <c r="AI35" s="20">
        <f t="shared" si="21"/>
        <v>0</v>
      </c>
      <c r="AJ35" s="39">
        <f t="shared" si="22"/>
        <v>0</v>
      </c>
      <c r="AK35" s="39">
        <f t="shared" si="23"/>
        <v>0</v>
      </c>
      <c r="AL35" s="39">
        <f t="shared" si="24"/>
        <v>0</v>
      </c>
      <c r="AM35" s="39">
        <f t="shared" si="25"/>
        <v>0</v>
      </c>
      <c r="AN35" s="39">
        <f t="shared" si="26"/>
        <v>0</v>
      </c>
      <c r="AO35" s="20">
        <f t="shared" si="27"/>
        <v>0</v>
      </c>
      <c r="AP35" s="39">
        <f t="shared" si="28"/>
        <v>0</v>
      </c>
      <c r="AQ35" s="39">
        <f t="shared" si="29"/>
        <v>0</v>
      </c>
      <c r="AR35" s="39">
        <f t="shared" si="30"/>
        <v>0</v>
      </c>
      <c r="AS35" s="20">
        <f t="shared" si="31"/>
        <v>0</v>
      </c>
      <c r="AT35" s="28">
        <f t="shared" si="32"/>
        <v>0</v>
      </c>
      <c r="AU35" s="28">
        <f t="shared" si="33"/>
        <v>0</v>
      </c>
      <c r="AV35" s="20">
        <f t="shared" si="34"/>
        <v>0</v>
      </c>
      <c r="AW35" s="1089">
        <f t="shared" si="35"/>
        <v>0</v>
      </c>
      <c r="AX35" s="1072">
        <f t="shared" si="36"/>
        <v>0</v>
      </c>
      <c r="AY35" s="1072">
        <f t="shared" si="37"/>
        <v>0</v>
      </c>
      <c r="AZ35" s="1072">
        <f t="shared" si="38"/>
        <v>0</v>
      </c>
      <c r="BA35" s="20">
        <f t="shared" si="39"/>
        <v>0</v>
      </c>
      <c r="BB35" s="852">
        <f t="shared" si="40"/>
        <v>0</v>
      </c>
      <c r="BC35" s="852">
        <f t="shared" si="41"/>
        <v>0</v>
      </c>
      <c r="BD35" s="852">
        <f t="shared" si="42"/>
        <v>0</v>
      </c>
      <c r="BE35" s="20">
        <f t="shared" si="43"/>
        <v>0</v>
      </c>
      <c r="BF35" s="852">
        <f t="shared" si="44"/>
        <v>0</v>
      </c>
      <c r="BG35" s="852">
        <f t="shared" si="45"/>
        <v>0</v>
      </c>
      <c r="BH35" s="20">
        <f t="shared" si="46"/>
        <v>0</v>
      </c>
    </row>
    <row r="36" spans="1:60" ht="20.100000000000001" customHeight="1" x14ac:dyDescent="0.2">
      <c r="A36" s="876">
        <v>28</v>
      </c>
      <c r="B36" s="63">
        <f>dtsiswa!D34</f>
        <v>0</v>
      </c>
      <c r="C36" s="11" t="s">
        <v>5</v>
      </c>
      <c r="D36" s="22"/>
      <c r="E36" s="22"/>
      <c r="F36" s="23"/>
      <c r="G36" s="23"/>
      <c r="H36" s="23"/>
      <c r="I36" s="23"/>
      <c r="J36" s="23"/>
      <c r="K36" s="23"/>
      <c r="L36" s="23"/>
      <c r="M36" s="23"/>
      <c r="N36" s="23"/>
      <c r="O36" s="23"/>
      <c r="P36" s="283"/>
      <c r="Q36" s="25"/>
      <c r="R36" s="25"/>
      <c r="S36" s="25"/>
      <c r="T36" s="25"/>
      <c r="U36" s="25"/>
      <c r="V36" s="25"/>
      <c r="W36" s="19">
        <f t="shared" si="9"/>
        <v>0</v>
      </c>
      <c r="X36" s="19">
        <f t="shared" si="10"/>
        <v>0</v>
      </c>
      <c r="Y36" s="19">
        <f t="shared" si="11"/>
        <v>0</v>
      </c>
      <c r="Z36" s="20">
        <f t="shared" si="12"/>
        <v>0</v>
      </c>
      <c r="AA36" s="18">
        <f t="shared" si="13"/>
        <v>0</v>
      </c>
      <c r="AB36" s="18">
        <f t="shared" si="14"/>
        <v>0</v>
      </c>
      <c r="AC36" s="18">
        <f t="shared" si="15"/>
        <v>0</v>
      </c>
      <c r="AD36" s="18">
        <f t="shared" si="16"/>
        <v>0</v>
      </c>
      <c r="AE36" s="20">
        <f t="shared" si="17"/>
        <v>0</v>
      </c>
      <c r="AF36" s="65">
        <f t="shared" si="18"/>
        <v>0</v>
      </c>
      <c r="AG36" s="65">
        <f t="shared" si="19"/>
        <v>0</v>
      </c>
      <c r="AH36" s="65">
        <f t="shared" si="20"/>
        <v>0</v>
      </c>
      <c r="AI36" s="20">
        <f t="shared" si="21"/>
        <v>0</v>
      </c>
      <c r="AJ36" s="39">
        <f t="shared" si="22"/>
        <v>0</v>
      </c>
      <c r="AK36" s="39">
        <f t="shared" si="23"/>
        <v>0</v>
      </c>
      <c r="AL36" s="39">
        <f t="shared" si="24"/>
        <v>0</v>
      </c>
      <c r="AM36" s="39">
        <f t="shared" si="25"/>
        <v>0</v>
      </c>
      <c r="AN36" s="39">
        <f t="shared" si="26"/>
        <v>0</v>
      </c>
      <c r="AO36" s="20">
        <f t="shared" si="27"/>
        <v>0</v>
      </c>
      <c r="AP36" s="39">
        <f t="shared" si="28"/>
        <v>0</v>
      </c>
      <c r="AQ36" s="39">
        <f t="shared" si="29"/>
        <v>0</v>
      </c>
      <c r="AR36" s="39">
        <f t="shared" si="30"/>
        <v>0</v>
      </c>
      <c r="AS36" s="20">
        <f t="shared" si="31"/>
        <v>0</v>
      </c>
      <c r="AT36" s="28">
        <f t="shared" si="32"/>
        <v>0</v>
      </c>
      <c r="AU36" s="28">
        <f t="shared" si="33"/>
        <v>0</v>
      </c>
      <c r="AV36" s="20">
        <f t="shared" si="34"/>
        <v>0</v>
      </c>
      <c r="AW36" s="1089">
        <f t="shared" si="35"/>
        <v>0</v>
      </c>
      <c r="AX36" s="1072">
        <f t="shared" si="36"/>
        <v>0</v>
      </c>
      <c r="AY36" s="1072">
        <f t="shared" si="37"/>
        <v>0</v>
      </c>
      <c r="AZ36" s="1072">
        <f t="shared" si="38"/>
        <v>0</v>
      </c>
      <c r="BA36" s="20">
        <f t="shared" si="39"/>
        <v>0</v>
      </c>
      <c r="BB36" s="852">
        <f t="shared" si="40"/>
        <v>0</v>
      </c>
      <c r="BC36" s="852">
        <f t="shared" si="41"/>
        <v>0</v>
      </c>
      <c r="BD36" s="852">
        <f t="shared" si="42"/>
        <v>0</v>
      </c>
      <c r="BE36" s="20">
        <f t="shared" si="43"/>
        <v>0</v>
      </c>
      <c r="BF36" s="852">
        <f t="shared" si="44"/>
        <v>0</v>
      </c>
      <c r="BG36" s="852">
        <f t="shared" si="45"/>
        <v>0</v>
      </c>
      <c r="BH36" s="20">
        <f t="shared" si="46"/>
        <v>0</v>
      </c>
    </row>
    <row r="37" spans="1:60" ht="20.100000000000001" customHeight="1" x14ac:dyDescent="0.2">
      <c r="A37" s="876">
        <v>29</v>
      </c>
      <c r="B37" s="63">
        <f>dtsiswa!D35</f>
        <v>0</v>
      </c>
      <c r="C37" s="11" t="s">
        <v>5</v>
      </c>
      <c r="D37" s="22"/>
      <c r="E37" s="22"/>
      <c r="F37" s="23"/>
      <c r="G37" s="23"/>
      <c r="H37" s="23"/>
      <c r="I37" s="23"/>
      <c r="J37" s="23"/>
      <c r="K37" s="23"/>
      <c r="L37" s="23"/>
      <c r="M37" s="23"/>
      <c r="N37" s="23"/>
      <c r="O37" s="23"/>
      <c r="P37" s="283"/>
      <c r="Q37" s="25"/>
      <c r="R37" s="25"/>
      <c r="S37" s="25"/>
      <c r="T37" s="25"/>
      <c r="U37" s="25"/>
      <c r="V37" s="25"/>
      <c r="W37" s="19">
        <f t="shared" si="9"/>
        <v>0</v>
      </c>
      <c r="X37" s="19">
        <f t="shared" si="10"/>
        <v>0</v>
      </c>
      <c r="Y37" s="19">
        <f t="shared" si="11"/>
        <v>0</v>
      </c>
      <c r="Z37" s="20">
        <f t="shared" si="12"/>
        <v>0</v>
      </c>
      <c r="AA37" s="18">
        <f t="shared" si="13"/>
        <v>0</v>
      </c>
      <c r="AB37" s="18">
        <f t="shared" si="14"/>
        <v>0</v>
      </c>
      <c r="AC37" s="18">
        <f t="shared" si="15"/>
        <v>0</v>
      </c>
      <c r="AD37" s="18">
        <f t="shared" si="16"/>
        <v>0</v>
      </c>
      <c r="AE37" s="20">
        <f t="shared" si="17"/>
        <v>0</v>
      </c>
      <c r="AF37" s="65">
        <f t="shared" si="18"/>
        <v>0</v>
      </c>
      <c r="AG37" s="65">
        <f t="shared" si="19"/>
        <v>0</v>
      </c>
      <c r="AH37" s="65">
        <f t="shared" si="20"/>
        <v>0</v>
      </c>
      <c r="AI37" s="20">
        <f t="shared" si="21"/>
        <v>0</v>
      </c>
      <c r="AJ37" s="39">
        <f t="shared" si="22"/>
        <v>0</v>
      </c>
      <c r="AK37" s="39">
        <f t="shared" si="23"/>
        <v>0</v>
      </c>
      <c r="AL37" s="39">
        <f t="shared" si="24"/>
        <v>0</v>
      </c>
      <c r="AM37" s="39">
        <f t="shared" si="25"/>
        <v>0</v>
      </c>
      <c r="AN37" s="39">
        <f t="shared" si="26"/>
        <v>0</v>
      </c>
      <c r="AO37" s="20">
        <f t="shared" si="27"/>
        <v>0</v>
      </c>
      <c r="AP37" s="39">
        <f t="shared" si="28"/>
        <v>0</v>
      </c>
      <c r="AQ37" s="39">
        <f t="shared" si="29"/>
        <v>0</v>
      </c>
      <c r="AR37" s="39">
        <f t="shared" si="30"/>
        <v>0</v>
      </c>
      <c r="AS37" s="20">
        <f t="shared" si="31"/>
        <v>0</v>
      </c>
      <c r="AT37" s="28">
        <f t="shared" si="32"/>
        <v>0</v>
      </c>
      <c r="AU37" s="28">
        <f t="shared" si="33"/>
        <v>0</v>
      </c>
      <c r="AV37" s="20">
        <f t="shared" si="34"/>
        <v>0</v>
      </c>
      <c r="AW37" s="1089">
        <f t="shared" si="35"/>
        <v>0</v>
      </c>
      <c r="AX37" s="1072">
        <f t="shared" si="36"/>
        <v>0</v>
      </c>
      <c r="AY37" s="1072">
        <f t="shared" si="37"/>
        <v>0</v>
      </c>
      <c r="AZ37" s="1072">
        <f t="shared" si="38"/>
        <v>0</v>
      </c>
      <c r="BA37" s="20">
        <f t="shared" si="39"/>
        <v>0</v>
      </c>
      <c r="BB37" s="852">
        <f t="shared" si="40"/>
        <v>0</v>
      </c>
      <c r="BC37" s="852">
        <f t="shared" si="41"/>
        <v>0</v>
      </c>
      <c r="BD37" s="852">
        <f t="shared" si="42"/>
        <v>0</v>
      </c>
      <c r="BE37" s="20">
        <f t="shared" si="43"/>
        <v>0</v>
      </c>
      <c r="BF37" s="852">
        <f t="shared" si="44"/>
        <v>0</v>
      </c>
      <c r="BG37" s="852">
        <f t="shared" si="45"/>
        <v>0</v>
      </c>
      <c r="BH37" s="20">
        <f t="shared" si="46"/>
        <v>0</v>
      </c>
    </row>
    <row r="38" spans="1:60" ht="20.100000000000001" customHeight="1" x14ac:dyDescent="0.2">
      <c r="A38" s="876">
        <v>30</v>
      </c>
      <c r="B38" s="63">
        <f>dtsiswa!D36</f>
        <v>0</v>
      </c>
      <c r="C38" s="13" t="s">
        <v>4</v>
      </c>
      <c r="D38" s="22"/>
      <c r="E38" s="22"/>
      <c r="F38" s="23"/>
      <c r="G38" s="23"/>
      <c r="H38" s="23"/>
      <c r="I38" s="23"/>
      <c r="J38" s="23"/>
      <c r="K38" s="23"/>
      <c r="L38" s="23"/>
      <c r="M38" s="23"/>
      <c r="N38" s="23"/>
      <c r="O38" s="23"/>
      <c r="P38" s="283"/>
      <c r="Q38" s="25"/>
      <c r="R38" s="25"/>
      <c r="S38" s="25"/>
      <c r="T38" s="25"/>
      <c r="U38" s="25"/>
      <c r="V38" s="25"/>
      <c r="W38" s="19">
        <f t="shared" si="9"/>
        <v>0</v>
      </c>
      <c r="X38" s="19">
        <f t="shared" si="10"/>
        <v>0</v>
      </c>
      <c r="Y38" s="19">
        <f t="shared" si="11"/>
        <v>0</v>
      </c>
      <c r="Z38" s="20">
        <f t="shared" si="12"/>
        <v>0</v>
      </c>
      <c r="AA38" s="18">
        <f t="shared" si="13"/>
        <v>0</v>
      </c>
      <c r="AB38" s="18">
        <f t="shared" si="14"/>
        <v>0</v>
      </c>
      <c r="AC38" s="18">
        <f t="shared" si="15"/>
        <v>0</v>
      </c>
      <c r="AD38" s="18">
        <f t="shared" si="16"/>
        <v>0</v>
      </c>
      <c r="AE38" s="20">
        <f t="shared" si="17"/>
        <v>0</v>
      </c>
      <c r="AF38" s="65">
        <f t="shared" si="18"/>
        <v>0</v>
      </c>
      <c r="AG38" s="65">
        <f t="shared" si="19"/>
        <v>0</v>
      </c>
      <c r="AH38" s="65">
        <f t="shared" si="20"/>
        <v>0</v>
      </c>
      <c r="AI38" s="20">
        <f t="shared" si="21"/>
        <v>0</v>
      </c>
      <c r="AJ38" s="39">
        <f t="shared" si="22"/>
        <v>0</v>
      </c>
      <c r="AK38" s="39">
        <f t="shared" si="23"/>
        <v>0</v>
      </c>
      <c r="AL38" s="39">
        <f t="shared" si="24"/>
        <v>0</v>
      </c>
      <c r="AM38" s="39">
        <f t="shared" si="25"/>
        <v>0</v>
      </c>
      <c r="AN38" s="39">
        <f t="shared" si="26"/>
        <v>0</v>
      </c>
      <c r="AO38" s="20">
        <f t="shared" si="27"/>
        <v>0</v>
      </c>
      <c r="AP38" s="39">
        <f t="shared" si="28"/>
        <v>0</v>
      </c>
      <c r="AQ38" s="39">
        <f t="shared" si="29"/>
        <v>0</v>
      </c>
      <c r="AR38" s="39">
        <f t="shared" si="30"/>
        <v>0</v>
      </c>
      <c r="AS38" s="20">
        <f t="shared" si="31"/>
        <v>0</v>
      </c>
      <c r="AT38" s="28">
        <f t="shared" si="32"/>
        <v>0</v>
      </c>
      <c r="AU38" s="28">
        <f t="shared" si="33"/>
        <v>0</v>
      </c>
      <c r="AV38" s="20">
        <f t="shared" si="34"/>
        <v>0</v>
      </c>
      <c r="AW38" s="1089">
        <f t="shared" si="35"/>
        <v>0</v>
      </c>
      <c r="AX38" s="1072">
        <f t="shared" si="36"/>
        <v>0</v>
      </c>
      <c r="AY38" s="1072">
        <f t="shared" si="37"/>
        <v>0</v>
      </c>
      <c r="AZ38" s="1072">
        <f t="shared" si="38"/>
        <v>0</v>
      </c>
      <c r="BA38" s="20">
        <f t="shared" si="39"/>
        <v>0</v>
      </c>
      <c r="BB38" s="852">
        <f t="shared" si="40"/>
        <v>0</v>
      </c>
      <c r="BC38" s="852">
        <f t="shared" si="41"/>
        <v>0</v>
      </c>
      <c r="BD38" s="852">
        <f t="shared" si="42"/>
        <v>0</v>
      </c>
      <c r="BE38" s="20">
        <f t="shared" si="43"/>
        <v>0</v>
      </c>
      <c r="BF38" s="852">
        <f t="shared" si="44"/>
        <v>0</v>
      </c>
      <c r="BG38" s="852">
        <f t="shared" si="45"/>
        <v>0</v>
      </c>
      <c r="BH38" s="20">
        <f t="shared" si="46"/>
        <v>0</v>
      </c>
    </row>
    <row r="39" spans="1:60" ht="20.100000000000001" customHeight="1" x14ac:dyDescent="0.2">
      <c r="A39" s="876">
        <v>31</v>
      </c>
      <c r="B39" s="63">
        <f>dtsiswa!D37</f>
        <v>0</v>
      </c>
      <c r="C39" s="11" t="s">
        <v>5</v>
      </c>
      <c r="D39" s="22"/>
      <c r="E39" s="22"/>
      <c r="F39" s="23"/>
      <c r="G39" s="23"/>
      <c r="H39" s="23"/>
      <c r="I39" s="23"/>
      <c r="J39" s="23"/>
      <c r="K39" s="23"/>
      <c r="L39" s="23"/>
      <c r="M39" s="23"/>
      <c r="N39" s="23"/>
      <c r="O39" s="23"/>
      <c r="P39" s="283"/>
      <c r="Q39" s="25"/>
      <c r="R39" s="25"/>
      <c r="S39" s="25"/>
      <c r="T39" s="25"/>
      <c r="U39" s="25"/>
      <c r="V39" s="25"/>
      <c r="W39" s="19">
        <f t="shared" si="9"/>
        <v>0</v>
      </c>
      <c r="X39" s="19">
        <f t="shared" si="10"/>
        <v>0</v>
      </c>
      <c r="Y39" s="19">
        <f t="shared" si="11"/>
        <v>0</v>
      </c>
      <c r="Z39" s="20">
        <f t="shared" si="12"/>
        <v>0</v>
      </c>
      <c r="AA39" s="18">
        <f t="shared" si="13"/>
        <v>0</v>
      </c>
      <c r="AB39" s="18">
        <f t="shared" si="14"/>
        <v>0</v>
      </c>
      <c r="AC39" s="18">
        <f t="shared" si="15"/>
        <v>0</v>
      </c>
      <c r="AD39" s="18">
        <f t="shared" si="16"/>
        <v>0</v>
      </c>
      <c r="AE39" s="20">
        <f t="shared" si="17"/>
        <v>0</v>
      </c>
      <c r="AF39" s="65">
        <f t="shared" si="18"/>
        <v>0</v>
      </c>
      <c r="AG39" s="65">
        <f t="shared" si="19"/>
        <v>0</v>
      </c>
      <c r="AH39" s="65">
        <f t="shared" si="20"/>
        <v>0</v>
      </c>
      <c r="AI39" s="20">
        <f t="shared" si="21"/>
        <v>0</v>
      </c>
      <c r="AJ39" s="39">
        <f t="shared" si="22"/>
        <v>0</v>
      </c>
      <c r="AK39" s="39">
        <f t="shared" si="23"/>
        <v>0</v>
      </c>
      <c r="AL39" s="39">
        <f t="shared" si="24"/>
        <v>0</v>
      </c>
      <c r="AM39" s="39">
        <f t="shared" si="25"/>
        <v>0</v>
      </c>
      <c r="AN39" s="39">
        <f t="shared" si="26"/>
        <v>0</v>
      </c>
      <c r="AO39" s="20">
        <f t="shared" si="27"/>
        <v>0</v>
      </c>
      <c r="AP39" s="39">
        <f t="shared" si="28"/>
        <v>0</v>
      </c>
      <c r="AQ39" s="39">
        <f t="shared" si="29"/>
        <v>0</v>
      </c>
      <c r="AR39" s="39">
        <f t="shared" si="30"/>
        <v>0</v>
      </c>
      <c r="AS39" s="20">
        <f t="shared" si="31"/>
        <v>0</v>
      </c>
      <c r="AT39" s="28">
        <f t="shared" si="32"/>
        <v>0</v>
      </c>
      <c r="AU39" s="28">
        <f t="shared" si="33"/>
        <v>0</v>
      </c>
      <c r="AV39" s="20">
        <f t="shared" si="34"/>
        <v>0</v>
      </c>
      <c r="AW39" s="1089">
        <f t="shared" si="35"/>
        <v>0</v>
      </c>
      <c r="AX39" s="1072">
        <f t="shared" si="36"/>
        <v>0</v>
      </c>
      <c r="AY39" s="1072">
        <f t="shared" si="37"/>
        <v>0</v>
      </c>
      <c r="AZ39" s="1072">
        <f t="shared" si="38"/>
        <v>0</v>
      </c>
      <c r="BA39" s="20">
        <f t="shared" si="39"/>
        <v>0</v>
      </c>
      <c r="BB39" s="852">
        <f t="shared" si="40"/>
        <v>0</v>
      </c>
      <c r="BC39" s="852">
        <f t="shared" si="41"/>
        <v>0</v>
      </c>
      <c r="BD39" s="852">
        <f t="shared" si="42"/>
        <v>0</v>
      </c>
      <c r="BE39" s="20">
        <f t="shared" si="43"/>
        <v>0</v>
      </c>
      <c r="BF39" s="852">
        <f t="shared" si="44"/>
        <v>0</v>
      </c>
      <c r="BG39" s="852">
        <f t="shared" si="45"/>
        <v>0</v>
      </c>
      <c r="BH39" s="20">
        <f t="shared" si="46"/>
        <v>0</v>
      </c>
    </row>
    <row r="40" spans="1:60" ht="20.100000000000001" customHeight="1" x14ac:dyDescent="0.2">
      <c r="A40" s="876">
        <v>32</v>
      </c>
      <c r="B40" s="63">
        <f>dtsiswa!D38</f>
        <v>0</v>
      </c>
      <c r="C40" s="13" t="s">
        <v>4</v>
      </c>
      <c r="D40" s="22"/>
      <c r="E40" s="22"/>
      <c r="F40" s="23"/>
      <c r="G40" s="23"/>
      <c r="H40" s="23"/>
      <c r="I40" s="23"/>
      <c r="J40" s="23"/>
      <c r="K40" s="23"/>
      <c r="L40" s="23"/>
      <c r="M40" s="23"/>
      <c r="N40" s="23"/>
      <c r="O40" s="23"/>
      <c r="P40" s="283"/>
      <c r="Q40" s="25"/>
      <c r="R40" s="25"/>
      <c r="S40" s="25"/>
      <c r="T40" s="25"/>
      <c r="U40" s="25"/>
      <c r="V40" s="25"/>
      <c r="W40" s="19">
        <f t="shared" si="9"/>
        <v>0</v>
      </c>
      <c r="X40" s="19">
        <f t="shared" si="10"/>
        <v>0</v>
      </c>
      <c r="Y40" s="19">
        <f t="shared" si="11"/>
        <v>0</v>
      </c>
      <c r="Z40" s="20">
        <f t="shared" si="12"/>
        <v>0</v>
      </c>
      <c r="AA40" s="18">
        <f t="shared" si="13"/>
        <v>0</v>
      </c>
      <c r="AB40" s="18">
        <f t="shared" si="14"/>
        <v>0</v>
      </c>
      <c r="AC40" s="18">
        <f t="shared" si="15"/>
        <v>0</v>
      </c>
      <c r="AD40" s="18">
        <f t="shared" si="16"/>
        <v>0</v>
      </c>
      <c r="AE40" s="20">
        <f t="shared" si="17"/>
        <v>0</v>
      </c>
      <c r="AF40" s="65">
        <f t="shared" si="18"/>
        <v>0</v>
      </c>
      <c r="AG40" s="65">
        <f t="shared" si="19"/>
        <v>0</v>
      </c>
      <c r="AH40" s="65">
        <f t="shared" si="20"/>
        <v>0</v>
      </c>
      <c r="AI40" s="20">
        <f t="shared" si="21"/>
        <v>0</v>
      </c>
      <c r="AJ40" s="39">
        <f t="shared" si="22"/>
        <v>0</v>
      </c>
      <c r="AK40" s="39">
        <f t="shared" si="23"/>
        <v>0</v>
      </c>
      <c r="AL40" s="39">
        <f t="shared" si="24"/>
        <v>0</v>
      </c>
      <c r="AM40" s="39">
        <f t="shared" si="25"/>
        <v>0</v>
      </c>
      <c r="AN40" s="39">
        <f t="shared" si="26"/>
        <v>0</v>
      </c>
      <c r="AO40" s="20">
        <f t="shared" si="27"/>
        <v>0</v>
      </c>
      <c r="AP40" s="39">
        <f t="shared" si="28"/>
        <v>0</v>
      </c>
      <c r="AQ40" s="39">
        <f t="shared" si="29"/>
        <v>0</v>
      </c>
      <c r="AR40" s="39">
        <f t="shared" si="30"/>
        <v>0</v>
      </c>
      <c r="AS40" s="20">
        <f t="shared" si="31"/>
        <v>0</v>
      </c>
      <c r="AT40" s="28">
        <f t="shared" si="32"/>
        <v>0</v>
      </c>
      <c r="AU40" s="28">
        <f t="shared" si="33"/>
        <v>0</v>
      </c>
      <c r="AV40" s="20">
        <f t="shared" si="34"/>
        <v>0</v>
      </c>
      <c r="AW40" s="1089">
        <f t="shared" si="35"/>
        <v>0</v>
      </c>
      <c r="AX40" s="1072">
        <f t="shared" si="36"/>
        <v>0</v>
      </c>
      <c r="AY40" s="1072">
        <f t="shared" si="37"/>
        <v>0</v>
      </c>
      <c r="AZ40" s="1072">
        <f t="shared" si="38"/>
        <v>0</v>
      </c>
      <c r="BA40" s="20">
        <f t="shared" si="39"/>
        <v>0</v>
      </c>
      <c r="BB40" s="852">
        <f t="shared" si="40"/>
        <v>0</v>
      </c>
      <c r="BC40" s="852">
        <f t="shared" si="41"/>
        <v>0</v>
      </c>
      <c r="BD40" s="852">
        <f t="shared" si="42"/>
        <v>0</v>
      </c>
      <c r="BE40" s="20">
        <f t="shared" si="43"/>
        <v>0</v>
      </c>
      <c r="BF40" s="852">
        <f t="shared" si="44"/>
        <v>0</v>
      </c>
      <c r="BG40" s="852">
        <f t="shared" si="45"/>
        <v>0</v>
      </c>
      <c r="BH40" s="20">
        <f t="shared" si="46"/>
        <v>0</v>
      </c>
    </row>
    <row r="41" spans="1:60" ht="20.100000000000001" customHeight="1" x14ac:dyDescent="0.2">
      <c r="A41" s="876">
        <v>33</v>
      </c>
      <c r="B41" s="63">
        <f>dtsiswa!D39</f>
        <v>0</v>
      </c>
      <c r="C41" s="11" t="s">
        <v>5</v>
      </c>
      <c r="D41" s="22"/>
      <c r="E41" s="22"/>
      <c r="F41" s="23"/>
      <c r="G41" s="23"/>
      <c r="H41" s="23"/>
      <c r="I41" s="23"/>
      <c r="J41" s="23"/>
      <c r="K41" s="23"/>
      <c r="L41" s="23"/>
      <c r="M41" s="23"/>
      <c r="N41" s="23"/>
      <c r="O41" s="23"/>
      <c r="P41" s="283"/>
      <c r="Q41" s="25"/>
      <c r="R41" s="25"/>
      <c r="S41" s="25"/>
      <c r="T41" s="25"/>
      <c r="U41" s="25"/>
      <c r="V41" s="25"/>
      <c r="W41" s="19">
        <f t="shared" si="9"/>
        <v>0</v>
      </c>
      <c r="X41" s="19">
        <f t="shared" si="10"/>
        <v>0</v>
      </c>
      <c r="Y41" s="19">
        <f t="shared" si="11"/>
        <v>0</v>
      </c>
      <c r="Z41" s="20">
        <f t="shared" si="12"/>
        <v>0</v>
      </c>
      <c r="AA41" s="18">
        <f t="shared" si="13"/>
        <v>0</v>
      </c>
      <c r="AB41" s="18">
        <f t="shared" si="14"/>
        <v>0</v>
      </c>
      <c r="AC41" s="18">
        <f t="shared" si="15"/>
        <v>0</v>
      </c>
      <c r="AD41" s="18">
        <f t="shared" si="16"/>
        <v>0</v>
      </c>
      <c r="AE41" s="20">
        <f t="shared" si="17"/>
        <v>0</v>
      </c>
      <c r="AF41" s="65">
        <f t="shared" si="18"/>
        <v>0</v>
      </c>
      <c r="AG41" s="65">
        <f t="shared" si="19"/>
        <v>0</v>
      </c>
      <c r="AH41" s="65">
        <f t="shared" si="20"/>
        <v>0</v>
      </c>
      <c r="AI41" s="20">
        <f t="shared" si="21"/>
        <v>0</v>
      </c>
      <c r="AJ41" s="39">
        <f t="shared" si="22"/>
        <v>0</v>
      </c>
      <c r="AK41" s="39">
        <f t="shared" si="23"/>
        <v>0</v>
      </c>
      <c r="AL41" s="39">
        <f t="shared" si="24"/>
        <v>0</v>
      </c>
      <c r="AM41" s="39">
        <f t="shared" si="25"/>
        <v>0</v>
      </c>
      <c r="AN41" s="39">
        <f t="shared" si="26"/>
        <v>0</v>
      </c>
      <c r="AO41" s="20">
        <f t="shared" si="27"/>
        <v>0</v>
      </c>
      <c r="AP41" s="39">
        <f t="shared" si="28"/>
        <v>0</v>
      </c>
      <c r="AQ41" s="39">
        <f t="shared" si="29"/>
        <v>0</v>
      </c>
      <c r="AR41" s="39">
        <f t="shared" si="30"/>
        <v>0</v>
      </c>
      <c r="AS41" s="20">
        <f t="shared" si="31"/>
        <v>0</v>
      </c>
      <c r="AT41" s="28">
        <f t="shared" si="32"/>
        <v>0</v>
      </c>
      <c r="AU41" s="28">
        <f t="shared" si="33"/>
        <v>0</v>
      </c>
      <c r="AV41" s="20">
        <f t="shared" si="34"/>
        <v>0</v>
      </c>
      <c r="AW41" s="1089">
        <f t="shared" si="35"/>
        <v>0</v>
      </c>
      <c r="AX41" s="1072">
        <f t="shared" si="36"/>
        <v>0</v>
      </c>
      <c r="AY41" s="1072">
        <f t="shared" si="37"/>
        <v>0</v>
      </c>
      <c r="AZ41" s="1072">
        <f t="shared" si="38"/>
        <v>0</v>
      </c>
      <c r="BA41" s="20">
        <f t="shared" si="39"/>
        <v>0</v>
      </c>
      <c r="BB41" s="852">
        <f t="shared" si="40"/>
        <v>0</v>
      </c>
      <c r="BC41" s="852">
        <f t="shared" si="41"/>
        <v>0</v>
      </c>
      <c r="BD41" s="852">
        <f t="shared" si="42"/>
        <v>0</v>
      </c>
      <c r="BE41" s="20">
        <f t="shared" si="43"/>
        <v>0</v>
      </c>
      <c r="BF41" s="852">
        <f t="shared" si="44"/>
        <v>0</v>
      </c>
      <c r="BG41" s="852">
        <f t="shared" si="45"/>
        <v>0</v>
      </c>
      <c r="BH41" s="20">
        <f t="shared" si="46"/>
        <v>0</v>
      </c>
    </row>
    <row r="42" spans="1:60" ht="20.100000000000001" customHeight="1" x14ac:dyDescent="0.2">
      <c r="A42" s="876">
        <v>34</v>
      </c>
      <c r="B42" s="63">
        <f>dtsiswa!D40</f>
        <v>0</v>
      </c>
      <c r="C42" s="13" t="s">
        <v>4</v>
      </c>
      <c r="D42" s="22"/>
      <c r="E42" s="22"/>
      <c r="F42" s="23"/>
      <c r="G42" s="23"/>
      <c r="H42" s="23"/>
      <c r="I42" s="23"/>
      <c r="J42" s="23"/>
      <c r="K42" s="23"/>
      <c r="L42" s="23"/>
      <c r="M42" s="23"/>
      <c r="N42" s="23"/>
      <c r="O42" s="23"/>
      <c r="P42" s="283"/>
      <c r="Q42" s="25"/>
      <c r="R42" s="25"/>
      <c r="S42" s="25"/>
      <c r="T42" s="25"/>
      <c r="U42" s="25"/>
      <c r="V42" s="25"/>
      <c r="W42" s="19">
        <f t="shared" si="9"/>
        <v>0</v>
      </c>
      <c r="X42" s="19">
        <f t="shared" si="10"/>
        <v>0</v>
      </c>
      <c r="Y42" s="19">
        <f t="shared" si="11"/>
        <v>0</v>
      </c>
      <c r="Z42" s="20">
        <f t="shared" si="12"/>
        <v>0</v>
      </c>
      <c r="AA42" s="18">
        <f t="shared" si="13"/>
        <v>0</v>
      </c>
      <c r="AB42" s="18">
        <f t="shared" si="14"/>
        <v>0</v>
      </c>
      <c r="AC42" s="18">
        <f t="shared" si="15"/>
        <v>0</v>
      </c>
      <c r="AD42" s="18">
        <f t="shared" si="16"/>
        <v>0</v>
      </c>
      <c r="AE42" s="20">
        <f t="shared" si="17"/>
        <v>0</v>
      </c>
      <c r="AF42" s="65">
        <f t="shared" si="18"/>
        <v>0</v>
      </c>
      <c r="AG42" s="65">
        <f t="shared" si="19"/>
        <v>0</v>
      </c>
      <c r="AH42" s="65">
        <f t="shared" si="20"/>
        <v>0</v>
      </c>
      <c r="AI42" s="20">
        <f t="shared" si="21"/>
        <v>0</v>
      </c>
      <c r="AJ42" s="39">
        <f t="shared" si="22"/>
        <v>0</v>
      </c>
      <c r="AK42" s="39">
        <f t="shared" si="23"/>
        <v>0</v>
      </c>
      <c r="AL42" s="39">
        <f t="shared" si="24"/>
        <v>0</v>
      </c>
      <c r="AM42" s="39">
        <f t="shared" si="25"/>
        <v>0</v>
      </c>
      <c r="AN42" s="39">
        <f t="shared" si="26"/>
        <v>0</v>
      </c>
      <c r="AO42" s="20">
        <f t="shared" si="27"/>
        <v>0</v>
      </c>
      <c r="AP42" s="39">
        <f t="shared" si="28"/>
        <v>0</v>
      </c>
      <c r="AQ42" s="39">
        <f t="shared" si="29"/>
        <v>0</v>
      </c>
      <c r="AR42" s="39">
        <f t="shared" si="30"/>
        <v>0</v>
      </c>
      <c r="AS42" s="20">
        <f t="shared" si="31"/>
        <v>0</v>
      </c>
      <c r="AT42" s="28">
        <f t="shared" si="32"/>
        <v>0</v>
      </c>
      <c r="AU42" s="28">
        <f t="shared" si="33"/>
        <v>0</v>
      </c>
      <c r="AV42" s="20">
        <f t="shared" si="34"/>
        <v>0</v>
      </c>
      <c r="AW42" s="1089">
        <f t="shared" si="35"/>
        <v>0</v>
      </c>
      <c r="AX42" s="1072">
        <f t="shared" si="36"/>
        <v>0</v>
      </c>
      <c r="AY42" s="1072">
        <f t="shared" si="37"/>
        <v>0</v>
      </c>
      <c r="AZ42" s="1072">
        <f t="shared" si="38"/>
        <v>0</v>
      </c>
      <c r="BA42" s="20">
        <f t="shared" si="39"/>
        <v>0</v>
      </c>
      <c r="BB42" s="852">
        <f t="shared" si="40"/>
        <v>0</v>
      </c>
      <c r="BC42" s="852">
        <f t="shared" si="41"/>
        <v>0</v>
      </c>
      <c r="BD42" s="852">
        <f t="shared" si="42"/>
        <v>0</v>
      </c>
      <c r="BE42" s="20">
        <f t="shared" si="43"/>
        <v>0</v>
      </c>
      <c r="BF42" s="852">
        <f t="shared" si="44"/>
        <v>0</v>
      </c>
      <c r="BG42" s="852">
        <f t="shared" si="45"/>
        <v>0</v>
      </c>
      <c r="BH42" s="20">
        <f t="shared" si="46"/>
        <v>0</v>
      </c>
    </row>
    <row r="43" spans="1:60" ht="20.100000000000001" customHeight="1" x14ac:dyDescent="0.2">
      <c r="A43" s="876">
        <v>35</v>
      </c>
      <c r="B43" s="63">
        <f>dtsiswa!D41</f>
        <v>0</v>
      </c>
      <c r="C43" s="11" t="s">
        <v>5</v>
      </c>
      <c r="D43" s="22"/>
      <c r="E43" s="22"/>
      <c r="F43" s="23"/>
      <c r="G43" s="23"/>
      <c r="H43" s="23"/>
      <c r="I43" s="23"/>
      <c r="J43" s="23"/>
      <c r="K43" s="23"/>
      <c r="L43" s="23"/>
      <c r="M43" s="23"/>
      <c r="N43" s="23"/>
      <c r="O43" s="23"/>
      <c r="P43" s="283"/>
      <c r="Q43" s="25"/>
      <c r="R43" s="25"/>
      <c r="S43" s="25"/>
      <c r="T43" s="25"/>
      <c r="U43" s="25"/>
      <c r="V43" s="25"/>
      <c r="W43" s="19">
        <f t="shared" si="9"/>
        <v>0</v>
      </c>
      <c r="X43" s="19">
        <f t="shared" si="10"/>
        <v>0</v>
      </c>
      <c r="Y43" s="19">
        <f t="shared" si="11"/>
        <v>0</v>
      </c>
      <c r="Z43" s="20">
        <f t="shared" si="12"/>
        <v>0</v>
      </c>
      <c r="AA43" s="18">
        <f t="shared" si="13"/>
        <v>0</v>
      </c>
      <c r="AB43" s="18">
        <f t="shared" si="14"/>
        <v>0</v>
      </c>
      <c r="AC43" s="18">
        <f t="shared" si="15"/>
        <v>0</v>
      </c>
      <c r="AD43" s="18">
        <f t="shared" si="16"/>
        <v>0</v>
      </c>
      <c r="AE43" s="20">
        <f t="shared" si="17"/>
        <v>0</v>
      </c>
      <c r="AF43" s="65">
        <f t="shared" si="18"/>
        <v>0</v>
      </c>
      <c r="AG43" s="65">
        <f t="shared" si="19"/>
        <v>0</v>
      </c>
      <c r="AH43" s="65">
        <f t="shared" si="20"/>
        <v>0</v>
      </c>
      <c r="AI43" s="20">
        <f t="shared" si="21"/>
        <v>0</v>
      </c>
      <c r="AJ43" s="39">
        <f t="shared" si="22"/>
        <v>0</v>
      </c>
      <c r="AK43" s="39">
        <f t="shared" si="23"/>
        <v>0</v>
      </c>
      <c r="AL43" s="39">
        <f t="shared" si="24"/>
        <v>0</v>
      </c>
      <c r="AM43" s="39">
        <f t="shared" si="25"/>
        <v>0</v>
      </c>
      <c r="AN43" s="39">
        <f t="shared" si="26"/>
        <v>0</v>
      </c>
      <c r="AO43" s="20">
        <f t="shared" si="27"/>
        <v>0</v>
      </c>
      <c r="AP43" s="39">
        <f t="shared" si="28"/>
        <v>0</v>
      </c>
      <c r="AQ43" s="39">
        <f t="shared" si="29"/>
        <v>0</v>
      </c>
      <c r="AR43" s="39">
        <f t="shared" si="30"/>
        <v>0</v>
      </c>
      <c r="AS43" s="20">
        <f t="shared" si="31"/>
        <v>0</v>
      </c>
      <c r="AT43" s="28">
        <f t="shared" si="32"/>
        <v>0</v>
      </c>
      <c r="AU43" s="28">
        <f t="shared" si="33"/>
        <v>0</v>
      </c>
      <c r="AV43" s="20">
        <f t="shared" si="34"/>
        <v>0</v>
      </c>
      <c r="AW43" s="1089">
        <f t="shared" si="35"/>
        <v>0</v>
      </c>
      <c r="AX43" s="1072">
        <f t="shared" si="36"/>
        <v>0</v>
      </c>
      <c r="AY43" s="1072">
        <f t="shared" si="37"/>
        <v>0</v>
      </c>
      <c r="AZ43" s="1072">
        <f t="shared" si="38"/>
        <v>0</v>
      </c>
      <c r="BA43" s="20">
        <f t="shared" si="39"/>
        <v>0</v>
      </c>
      <c r="BB43" s="852">
        <f t="shared" si="40"/>
        <v>0</v>
      </c>
      <c r="BC43" s="852">
        <f t="shared" si="41"/>
        <v>0</v>
      </c>
      <c r="BD43" s="852">
        <f t="shared" si="42"/>
        <v>0</v>
      </c>
      <c r="BE43" s="20">
        <f t="shared" si="43"/>
        <v>0</v>
      </c>
      <c r="BF43" s="852">
        <f t="shared" si="44"/>
        <v>0</v>
      </c>
      <c r="BG43" s="852">
        <f t="shared" si="45"/>
        <v>0</v>
      </c>
      <c r="BH43" s="20">
        <f t="shared" si="46"/>
        <v>0</v>
      </c>
    </row>
    <row r="44" spans="1:60" ht="20.100000000000001" customHeight="1" x14ac:dyDescent="0.2">
      <c r="A44" s="876">
        <v>36</v>
      </c>
      <c r="B44" s="8"/>
      <c r="C44" s="8"/>
      <c r="D44" s="8"/>
      <c r="E44" s="8"/>
      <c r="F44" s="8"/>
      <c r="G44" s="8"/>
      <c r="H44" s="8"/>
      <c r="I44" s="8"/>
      <c r="J44" s="8"/>
      <c r="K44" s="8"/>
      <c r="L44" s="8"/>
      <c r="M44" s="8"/>
      <c r="N44" s="8"/>
      <c r="O44" s="8"/>
      <c r="P44" s="8"/>
      <c r="Q44" s="908"/>
      <c r="R44" s="908"/>
      <c r="S44" s="908"/>
      <c r="T44" s="908"/>
      <c r="U44" s="908"/>
      <c r="V44" s="908"/>
      <c r="W44" s="19">
        <f t="shared" si="9"/>
        <v>0</v>
      </c>
      <c r="X44" s="19">
        <f t="shared" si="10"/>
        <v>0</v>
      </c>
      <c r="Y44" s="19">
        <f t="shared" si="11"/>
        <v>0</v>
      </c>
      <c r="Z44" s="20">
        <f t="shared" si="12"/>
        <v>0</v>
      </c>
      <c r="AA44" s="18">
        <f t="shared" si="13"/>
        <v>0</v>
      </c>
      <c r="AB44" s="18">
        <f t="shared" si="14"/>
        <v>0</v>
      </c>
      <c r="AC44" s="18">
        <f t="shared" si="15"/>
        <v>0</v>
      </c>
      <c r="AD44" s="18">
        <f t="shared" si="16"/>
        <v>0</v>
      </c>
      <c r="AE44" s="20">
        <f t="shared" si="17"/>
        <v>0</v>
      </c>
      <c r="AF44" s="65">
        <f t="shared" si="18"/>
        <v>0</v>
      </c>
      <c r="AG44" s="65">
        <f t="shared" si="19"/>
        <v>0</v>
      </c>
      <c r="AH44" s="65">
        <f t="shared" si="20"/>
        <v>0</v>
      </c>
      <c r="AI44" s="20">
        <f t="shared" si="21"/>
        <v>0</v>
      </c>
      <c r="AJ44" s="39">
        <f t="shared" si="22"/>
        <v>0</v>
      </c>
      <c r="AK44" s="39">
        <f t="shared" si="23"/>
        <v>0</v>
      </c>
      <c r="AL44" s="39">
        <f t="shared" si="24"/>
        <v>0</v>
      </c>
      <c r="AM44" s="39">
        <f t="shared" si="25"/>
        <v>0</v>
      </c>
      <c r="AN44" s="39">
        <f t="shared" si="26"/>
        <v>0</v>
      </c>
      <c r="AO44" s="20">
        <f t="shared" si="27"/>
        <v>0</v>
      </c>
      <c r="AP44" s="39">
        <f t="shared" si="28"/>
        <v>0</v>
      </c>
      <c r="AQ44" s="39">
        <f t="shared" si="29"/>
        <v>0</v>
      </c>
      <c r="AR44" s="39">
        <f t="shared" si="30"/>
        <v>0</v>
      </c>
      <c r="AS44" s="20">
        <f t="shared" si="31"/>
        <v>0</v>
      </c>
      <c r="AT44" s="28">
        <f t="shared" si="32"/>
        <v>0</v>
      </c>
      <c r="AU44" s="28">
        <f t="shared" si="33"/>
        <v>0</v>
      </c>
      <c r="AV44" s="20">
        <f t="shared" si="34"/>
        <v>0</v>
      </c>
      <c r="AW44" s="1089">
        <f t="shared" si="35"/>
        <v>0</v>
      </c>
      <c r="AX44" s="1072">
        <f t="shared" si="36"/>
        <v>0</v>
      </c>
      <c r="AY44" s="1072">
        <f t="shared" si="37"/>
        <v>0</v>
      </c>
      <c r="AZ44" s="1072">
        <f t="shared" si="38"/>
        <v>0</v>
      </c>
      <c r="BA44" s="20">
        <f t="shared" si="39"/>
        <v>0</v>
      </c>
      <c r="BB44" s="852">
        <f t="shared" si="40"/>
        <v>0</v>
      </c>
      <c r="BC44" s="852">
        <f t="shared" si="41"/>
        <v>0</v>
      </c>
      <c r="BD44" s="852">
        <f t="shared" si="42"/>
        <v>0</v>
      </c>
      <c r="BE44" s="20">
        <f t="shared" si="43"/>
        <v>0</v>
      </c>
      <c r="BF44" s="852">
        <f t="shared" si="44"/>
        <v>0</v>
      </c>
      <c r="BG44" s="852">
        <f t="shared" si="45"/>
        <v>0</v>
      </c>
      <c r="BH44" s="20">
        <f t="shared" si="46"/>
        <v>0</v>
      </c>
    </row>
    <row r="45" spans="1:60" ht="20.100000000000001" customHeight="1" x14ac:dyDescent="0.2">
      <c r="A45" s="876">
        <v>37</v>
      </c>
      <c r="B45" s="8"/>
      <c r="C45" s="8"/>
      <c r="D45" s="8"/>
      <c r="E45" s="8"/>
      <c r="F45" s="8"/>
      <c r="G45" s="8"/>
      <c r="H45" s="8"/>
      <c r="I45" s="8"/>
      <c r="J45" s="8"/>
      <c r="K45" s="8"/>
      <c r="L45" s="8"/>
      <c r="M45" s="8"/>
      <c r="N45" s="8"/>
      <c r="O45" s="8"/>
      <c r="P45" s="8"/>
      <c r="Q45" s="908"/>
      <c r="R45" s="908"/>
      <c r="S45" s="908"/>
      <c r="T45" s="908"/>
      <c r="U45" s="908"/>
      <c r="V45" s="908"/>
      <c r="W45" s="19">
        <f t="shared" si="9"/>
        <v>0</v>
      </c>
      <c r="X45" s="19">
        <f t="shared" si="10"/>
        <v>0</v>
      </c>
      <c r="Y45" s="19">
        <f t="shared" si="11"/>
        <v>0</v>
      </c>
      <c r="Z45" s="20">
        <f t="shared" si="12"/>
        <v>0</v>
      </c>
      <c r="AA45" s="18">
        <f t="shared" si="13"/>
        <v>0</v>
      </c>
      <c r="AB45" s="18">
        <f t="shared" si="14"/>
        <v>0</v>
      </c>
      <c r="AC45" s="18">
        <f t="shared" si="15"/>
        <v>0</v>
      </c>
      <c r="AD45" s="18">
        <f t="shared" si="16"/>
        <v>0</v>
      </c>
      <c r="AE45" s="20">
        <f t="shared" si="17"/>
        <v>0</v>
      </c>
      <c r="AF45" s="65">
        <f t="shared" si="18"/>
        <v>0</v>
      </c>
      <c r="AG45" s="65">
        <f t="shared" si="19"/>
        <v>0</v>
      </c>
      <c r="AH45" s="65">
        <f t="shared" si="20"/>
        <v>0</v>
      </c>
      <c r="AI45" s="20">
        <f t="shared" si="21"/>
        <v>0</v>
      </c>
      <c r="AJ45" s="39">
        <f t="shared" si="22"/>
        <v>0</v>
      </c>
      <c r="AK45" s="39">
        <f t="shared" si="23"/>
        <v>0</v>
      </c>
      <c r="AL45" s="39">
        <f t="shared" si="24"/>
        <v>0</v>
      </c>
      <c r="AM45" s="39">
        <f t="shared" si="25"/>
        <v>0</v>
      </c>
      <c r="AN45" s="39">
        <f t="shared" si="26"/>
        <v>0</v>
      </c>
      <c r="AO45" s="20">
        <f t="shared" si="27"/>
        <v>0</v>
      </c>
      <c r="AP45" s="39">
        <f t="shared" si="28"/>
        <v>0</v>
      </c>
      <c r="AQ45" s="39">
        <f t="shared" si="29"/>
        <v>0</v>
      </c>
      <c r="AR45" s="39">
        <f t="shared" si="30"/>
        <v>0</v>
      </c>
      <c r="AS45" s="20">
        <f t="shared" si="31"/>
        <v>0</v>
      </c>
      <c r="AT45" s="28">
        <f t="shared" si="32"/>
        <v>0</v>
      </c>
      <c r="AU45" s="28">
        <f t="shared" si="33"/>
        <v>0</v>
      </c>
      <c r="AV45" s="20">
        <f t="shared" si="34"/>
        <v>0</v>
      </c>
      <c r="AW45" s="1089">
        <f t="shared" si="35"/>
        <v>0</v>
      </c>
      <c r="AX45" s="1072">
        <f t="shared" si="36"/>
        <v>0</v>
      </c>
      <c r="AY45" s="1072">
        <f t="shared" si="37"/>
        <v>0</v>
      </c>
      <c r="AZ45" s="1072">
        <f t="shared" si="38"/>
        <v>0</v>
      </c>
      <c r="BA45" s="20">
        <f t="shared" si="39"/>
        <v>0</v>
      </c>
      <c r="BB45" s="852">
        <f t="shared" si="40"/>
        <v>0</v>
      </c>
      <c r="BC45" s="852">
        <f t="shared" si="41"/>
        <v>0</v>
      </c>
      <c r="BD45" s="852">
        <f t="shared" si="42"/>
        <v>0</v>
      </c>
      <c r="BE45" s="20">
        <f t="shared" si="43"/>
        <v>0</v>
      </c>
      <c r="BF45" s="852">
        <f t="shared" si="44"/>
        <v>0</v>
      </c>
      <c r="BG45" s="852">
        <f t="shared" si="45"/>
        <v>0</v>
      </c>
      <c r="BH45" s="20">
        <f t="shared" si="46"/>
        <v>0</v>
      </c>
    </row>
    <row r="46" spans="1:60" ht="20.100000000000001" customHeight="1" x14ac:dyDescent="0.2">
      <c r="A46" s="876">
        <v>38</v>
      </c>
      <c r="B46" s="8"/>
      <c r="C46" s="8"/>
      <c r="D46" s="8"/>
      <c r="E46" s="8"/>
      <c r="F46" s="8"/>
      <c r="G46" s="8"/>
      <c r="H46" s="8"/>
      <c r="I46" s="8"/>
      <c r="J46" s="8"/>
      <c r="K46" s="8"/>
      <c r="L46" s="8"/>
      <c r="M46" s="8"/>
      <c r="N46" s="8"/>
      <c r="O46" s="8"/>
      <c r="P46" s="8"/>
      <c r="Q46" s="908"/>
      <c r="R46" s="908"/>
      <c r="S46" s="908"/>
      <c r="T46" s="908"/>
      <c r="U46" s="908"/>
      <c r="V46" s="908"/>
      <c r="W46" s="19">
        <f t="shared" si="9"/>
        <v>0</v>
      </c>
      <c r="X46" s="19">
        <f t="shared" si="10"/>
        <v>0</v>
      </c>
      <c r="Y46" s="19">
        <f t="shared" si="11"/>
        <v>0</v>
      </c>
      <c r="Z46" s="20">
        <f t="shared" si="12"/>
        <v>0</v>
      </c>
      <c r="AA46" s="18">
        <f t="shared" si="13"/>
        <v>0</v>
      </c>
      <c r="AB46" s="18">
        <f t="shared" si="14"/>
        <v>0</v>
      </c>
      <c r="AC46" s="18">
        <f t="shared" si="15"/>
        <v>0</v>
      </c>
      <c r="AD46" s="18">
        <f t="shared" si="16"/>
        <v>0</v>
      </c>
      <c r="AE46" s="20">
        <f t="shared" si="17"/>
        <v>0</v>
      </c>
      <c r="AF46" s="65">
        <f t="shared" si="18"/>
        <v>0</v>
      </c>
      <c r="AG46" s="65">
        <f t="shared" si="19"/>
        <v>0</v>
      </c>
      <c r="AH46" s="65">
        <f t="shared" si="20"/>
        <v>0</v>
      </c>
      <c r="AI46" s="20">
        <f t="shared" si="21"/>
        <v>0</v>
      </c>
      <c r="AJ46" s="39">
        <f t="shared" si="22"/>
        <v>0</v>
      </c>
      <c r="AK46" s="39">
        <f t="shared" si="23"/>
        <v>0</v>
      </c>
      <c r="AL46" s="39">
        <f t="shared" si="24"/>
        <v>0</v>
      </c>
      <c r="AM46" s="39">
        <f t="shared" si="25"/>
        <v>0</v>
      </c>
      <c r="AN46" s="39">
        <f t="shared" si="26"/>
        <v>0</v>
      </c>
      <c r="AO46" s="20">
        <f t="shared" si="27"/>
        <v>0</v>
      </c>
      <c r="AP46" s="39">
        <f t="shared" si="28"/>
        <v>0</v>
      </c>
      <c r="AQ46" s="39">
        <f t="shared" si="29"/>
        <v>0</v>
      </c>
      <c r="AR46" s="39">
        <f t="shared" si="30"/>
        <v>0</v>
      </c>
      <c r="AS46" s="20">
        <f t="shared" si="31"/>
        <v>0</v>
      </c>
      <c r="AT46" s="28">
        <f t="shared" si="32"/>
        <v>0</v>
      </c>
      <c r="AU46" s="28">
        <f t="shared" si="33"/>
        <v>0</v>
      </c>
      <c r="AV46" s="20">
        <f t="shared" si="34"/>
        <v>0</v>
      </c>
      <c r="AW46" s="1089">
        <f t="shared" si="35"/>
        <v>0</v>
      </c>
      <c r="AX46" s="1072">
        <f t="shared" si="36"/>
        <v>0</v>
      </c>
      <c r="AY46" s="1072">
        <f t="shared" si="37"/>
        <v>0</v>
      </c>
      <c r="AZ46" s="1072">
        <f t="shared" si="38"/>
        <v>0</v>
      </c>
      <c r="BA46" s="20">
        <f t="shared" si="39"/>
        <v>0</v>
      </c>
      <c r="BB46" s="852">
        <f t="shared" si="40"/>
        <v>0</v>
      </c>
      <c r="BC46" s="852">
        <f t="shared" si="41"/>
        <v>0</v>
      </c>
      <c r="BD46" s="852">
        <f t="shared" si="42"/>
        <v>0</v>
      </c>
      <c r="BE46" s="20">
        <f t="shared" si="43"/>
        <v>0</v>
      </c>
      <c r="BF46" s="852">
        <f t="shared" si="44"/>
        <v>0</v>
      </c>
      <c r="BG46" s="852">
        <f t="shared" si="45"/>
        <v>0</v>
      </c>
      <c r="BH46" s="20">
        <f t="shared" si="46"/>
        <v>0</v>
      </c>
    </row>
    <row r="47" spans="1:60" ht="20.100000000000001" customHeight="1" x14ac:dyDescent="0.2">
      <c r="A47" s="876">
        <v>39</v>
      </c>
      <c r="B47" s="8"/>
      <c r="C47" s="8"/>
      <c r="D47" s="8"/>
      <c r="E47" s="8"/>
      <c r="F47" s="8"/>
      <c r="G47" s="8"/>
      <c r="H47" s="8"/>
      <c r="I47" s="8"/>
      <c r="J47" s="8"/>
      <c r="K47" s="8"/>
      <c r="L47" s="8"/>
      <c r="M47" s="8"/>
      <c r="N47" s="8"/>
      <c r="O47" s="8"/>
      <c r="P47" s="8"/>
      <c r="Q47" s="908"/>
      <c r="R47" s="908"/>
      <c r="S47" s="908"/>
      <c r="T47" s="908"/>
      <c r="U47" s="908"/>
      <c r="V47" s="908"/>
      <c r="W47" s="19">
        <f t="shared" si="9"/>
        <v>0</v>
      </c>
      <c r="X47" s="19">
        <f t="shared" si="10"/>
        <v>0</v>
      </c>
      <c r="Y47" s="19">
        <f t="shared" si="11"/>
        <v>0</v>
      </c>
      <c r="Z47" s="20">
        <f t="shared" si="12"/>
        <v>0</v>
      </c>
      <c r="AA47" s="18">
        <f t="shared" si="13"/>
        <v>0</v>
      </c>
      <c r="AB47" s="18">
        <f t="shared" si="14"/>
        <v>0</v>
      </c>
      <c r="AC47" s="18">
        <f t="shared" si="15"/>
        <v>0</v>
      </c>
      <c r="AD47" s="18">
        <f t="shared" si="16"/>
        <v>0</v>
      </c>
      <c r="AE47" s="20">
        <f t="shared" si="17"/>
        <v>0</v>
      </c>
      <c r="AF47" s="65">
        <f t="shared" si="18"/>
        <v>0</v>
      </c>
      <c r="AG47" s="65">
        <f t="shared" si="19"/>
        <v>0</v>
      </c>
      <c r="AH47" s="65">
        <f t="shared" si="20"/>
        <v>0</v>
      </c>
      <c r="AI47" s="20">
        <f t="shared" si="21"/>
        <v>0</v>
      </c>
      <c r="AJ47" s="39">
        <f t="shared" si="22"/>
        <v>0</v>
      </c>
      <c r="AK47" s="39">
        <f t="shared" si="23"/>
        <v>0</v>
      </c>
      <c r="AL47" s="39">
        <f t="shared" si="24"/>
        <v>0</v>
      </c>
      <c r="AM47" s="39">
        <f t="shared" si="25"/>
        <v>0</v>
      </c>
      <c r="AN47" s="39">
        <f t="shared" si="26"/>
        <v>0</v>
      </c>
      <c r="AO47" s="20">
        <f t="shared" si="27"/>
        <v>0</v>
      </c>
      <c r="AP47" s="39">
        <f t="shared" si="28"/>
        <v>0</v>
      </c>
      <c r="AQ47" s="39">
        <f t="shared" si="29"/>
        <v>0</v>
      </c>
      <c r="AR47" s="39">
        <f t="shared" si="30"/>
        <v>0</v>
      </c>
      <c r="AS47" s="20">
        <f t="shared" si="31"/>
        <v>0</v>
      </c>
      <c r="AT47" s="28">
        <f t="shared" si="32"/>
        <v>0</v>
      </c>
      <c r="AU47" s="28">
        <f t="shared" si="33"/>
        <v>0</v>
      </c>
      <c r="AV47" s="20">
        <f t="shared" si="34"/>
        <v>0</v>
      </c>
      <c r="AW47" s="1089">
        <f t="shared" si="35"/>
        <v>0</v>
      </c>
      <c r="AX47" s="1072">
        <f t="shared" si="36"/>
        <v>0</v>
      </c>
      <c r="AY47" s="1072">
        <f t="shared" si="37"/>
        <v>0</v>
      </c>
      <c r="AZ47" s="1072">
        <f t="shared" si="38"/>
        <v>0</v>
      </c>
      <c r="BA47" s="20">
        <f t="shared" si="39"/>
        <v>0</v>
      </c>
      <c r="BB47" s="852">
        <f t="shared" si="40"/>
        <v>0</v>
      </c>
      <c r="BC47" s="852">
        <f t="shared" si="41"/>
        <v>0</v>
      </c>
      <c r="BD47" s="852">
        <f t="shared" si="42"/>
        <v>0</v>
      </c>
      <c r="BE47" s="20">
        <f t="shared" si="43"/>
        <v>0</v>
      </c>
      <c r="BF47" s="852">
        <f t="shared" si="44"/>
        <v>0</v>
      </c>
      <c r="BG47" s="852">
        <f t="shared" si="45"/>
        <v>0</v>
      </c>
      <c r="BH47" s="20">
        <f t="shared" si="46"/>
        <v>0</v>
      </c>
    </row>
    <row r="48" spans="1:60" ht="20.100000000000001" customHeight="1" x14ac:dyDescent="0.2">
      <c r="A48" s="876">
        <v>40</v>
      </c>
      <c r="B48" s="8"/>
      <c r="C48" s="8"/>
      <c r="D48" s="8"/>
      <c r="E48" s="8"/>
      <c r="F48" s="8"/>
      <c r="G48" s="8"/>
      <c r="H48" s="8"/>
      <c r="I48" s="8"/>
      <c r="J48" s="8"/>
      <c r="K48" s="8"/>
      <c r="L48" s="8"/>
      <c r="M48" s="8"/>
      <c r="N48" s="8"/>
      <c r="O48" s="8"/>
      <c r="P48" s="8"/>
      <c r="Q48" s="908"/>
      <c r="R48" s="908"/>
      <c r="S48" s="908"/>
      <c r="T48" s="908"/>
      <c r="U48" s="908"/>
      <c r="V48" s="908"/>
      <c r="W48" s="19">
        <f t="shared" si="9"/>
        <v>0</v>
      </c>
      <c r="X48" s="19">
        <f t="shared" si="10"/>
        <v>0</v>
      </c>
      <c r="Y48" s="19">
        <f t="shared" si="11"/>
        <v>0</v>
      </c>
      <c r="Z48" s="20">
        <f t="shared" si="12"/>
        <v>0</v>
      </c>
      <c r="AA48" s="18">
        <f t="shared" si="13"/>
        <v>0</v>
      </c>
      <c r="AB48" s="18">
        <f t="shared" si="14"/>
        <v>0</v>
      </c>
      <c r="AC48" s="18">
        <f t="shared" si="15"/>
        <v>0</v>
      </c>
      <c r="AD48" s="18">
        <f t="shared" si="16"/>
        <v>0</v>
      </c>
      <c r="AE48" s="20">
        <f t="shared" si="17"/>
        <v>0</v>
      </c>
      <c r="AF48" s="65">
        <f t="shared" si="18"/>
        <v>0</v>
      </c>
      <c r="AG48" s="65">
        <f t="shared" si="19"/>
        <v>0</v>
      </c>
      <c r="AH48" s="65">
        <f t="shared" si="20"/>
        <v>0</v>
      </c>
      <c r="AI48" s="20">
        <f t="shared" si="21"/>
        <v>0</v>
      </c>
      <c r="AJ48" s="39">
        <f t="shared" si="22"/>
        <v>0</v>
      </c>
      <c r="AK48" s="39">
        <f t="shared" si="23"/>
        <v>0</v>
      </c>
      <c r="AL48" s="39">
        <f t="shared" si="24"/>
        <v>0</v>
      </c>
      <c r="AM48" s="39">
        <f t="shared" si="25"/>
        <v>0</v>
      </c>
      <c r="AN48" s="39">
        <f t="shared" si="26"/>
        <v>0</v>
      </c>
      <c r="AO48" s="20">
        <f t="shared" si="27"/>
        <v>0</v>
      </c>
      <c r="AP48" s="39">
        <f t="shared" si="28"/>
        <v>0</v>
      </c>
      <c r="AQ48" s="39">
        <f t="shared" si="29"/>
        <v>0</v>
      </c>
      <c r="AR48" s="39">
        <f t="shared" si="30"/>
        <v>0</v>
      </c>
      <c r="AS48" s="20">
        <f t="shared" si="31"/>
        <v>0</v>
      </c>
      <c r="AT48" s="28">
        <f t="shared" si="32"/>
        <v>0</v>
      </c>
      <c r="AU48" s="28">
        <f t="shared" si="33"/>
        <v>0</v>
      </c>
      <c r="AV48" s="20">
        <f t="shared" si="34"/>
        <v>0</v>
      </c>
      <c r="AW48" s="1089">
        <f t="shared" si="35"/>
        <v>0</v>
      </c>
      <c r="AX48" s="1072">
        <f t="shared" si="36"/>
        <v>0</v>
      </c>
      <c r="AY48" s="1072">
        <f t="shared" si="37"/>
        <v>0</v>
      </c>
      <c r="AZ48" s="1072">
        <f t="shared" si="38"/>
        <v>0</v>
      </c>
      <c r="BA48" s="20">
        <f t="shared" si="39"/>
        <v>0</v>
      </c>
      <c r="BB48" s="852">
        <f t="shared" si="40"/>
        <v>0</v>
      </c>
      <c r="BC48" s="852">
        <f t="shared" si="41"/>
        <v>0</v>
      </c>
      <c r="BD48" s="852">
        <f t="shared" si="42"/>
        <v>0</v>
      </c>
      <c r="BE48" s="20">
        <f t="shared" si="43"/>
        <v>0</v>
      </c>
      <c r="BF48" s="852">
        <f t="shared" si="44"/>
        <v>0</v>
      </c>
      <c r="BG48" s="852">
        <f t="shared" si="45"/>
        <v>0</v>
      </c>
      <c r="BH48" s="20">
        <f t="shared" si="46"/>
        <v>0</v>
      </c>
    </row>
  </sheetData>
  <mergeCells count="37">
    <mergeCell ref="J7:L7"/>
    <mergeCell ref="AS7:AS8"/>
    <mergeCell ref="AI6:AI8"/>
    <mergeCell ref="AJ6:AV6"/>
    <mergeCell ref="AK7:AN7"/>
    <mergeCell ref="AO7:AO8"/>
    <mergeCell ref="AP7:AR7"/>
    <mergeCell ref="AT7:AU7"/>
    <mergeCell ref="AV7:AV8"/>
    <mergeCell ref="AA7:AD7"/>
    <mergeCell ref="Z6:Z8"/>
    <mergeCell ref="AA6:AD6"/>
    <mergeCell ref="AE6:AE8"/>
    <mergeCell ref="AF6:AH7"/>
    <mergeCell ref="M2:P2"/>
    <mergeCell ref="W3:Y3"/>
    <mergeCell ref="A6:A8"/>
    <mergeCell ref="B6:B8"/>
    <mergeCell ref="C6:C8"/>
    <mergeCell ref="D6:E6"/>
    <mergeCell ref="S6:V6"/>
    <mergeCell ref="W6:Y6"/>
    <mergeCell ref="F7:I7"/>
    <mergeCell ref="S7:T7"/>
    <mergeCell ref="W7:Y7"/>
    <mergeCell ref="F6:L6"/>
    <mergeCell ref="P7:R7"/>
    <mergeCell ref="M6:R6"/>
    <mergeCell ref="M7:O7"/>
    <mergeCell ref="U7:V7"/>
    <mergeCell ref="BB7:BD7"/>
    <mergeCell ref="BE7:BE8"/>
    <mergeCell ref="BF7:BG7"/>
    <mergeCell ref="AW6:BH6"/>
    <mergeCell ref="BH7:BH8"/>
    <mergeCell ref="AX7:AZ7"/>
    <mergeCell ref="BA7:BA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BU48"/>
  <sheetViews>
    <sheetView showGridLines="0" workbookViewId="0">
      <pane xSplit="2" ySplit="8" topLeftCell="AP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4.85546875" style="1" customWidth="1"/>
    <col min="3" max="3" width="5" style="1" customWidth="1"/>
    <col min="4" max="6" width="4.7109375" style="1" customWidth="1"/>
    <col min="7" max="7" width="6.140625" style="1" customWidth="1"/>
    <col min="8" max="8" width="5.85546875" style="1" customWidth="1"/>
    <col min="9" max="14" width="4.7109375" style="1" customWidth="1"/>
    <col min="15" max="15" width="5.7109375" style="1" customWidth="1"/>
    <col min="16" max="20" width="4.7109375" style="1" customWidth="1"/>
    <col min="21" max="21" width="5.85546875" style="1" customWidth="1"/>
    <col min="22" max="27" width="4.7109375" style="1" customWidth="1"/>
    <col min="28" max="28" width="5.42578125" style="1" customWidth="1"/>
    <col min="29" max="32" width="5.7109375" style="1" customWidth="1"/>
    <col min="33" max="33" width="6.28515625" style="1" customWidth="1"/>
    <col min="34" max="39" width="5.7109375" style="1" customWidth="1"/>
    <col min="40" max="40" width="6.42578125" style="1" customWidth="1"/>
    <col min="41" max="44" width="5.7109375" style="1" customWidth="1"/>
    <col min="45" max="45" width="6" style="1" customWidth="1"/>
    <col min="46" max="61" width="4.7109375" style="1" customWidth="1"/>
    <col min="62" max="62" width="8.28515625" style="1" customWidth="1"/>
    <col min="63" max="66" width="4.7109375" style="1" customWidth="1"/>
    <col min="67" max="67" width="5.5703125" style="1" customWidth="1"/>
    <col min="68" max="68" width="6.140625" style="1" customWidth="1"/>
    <col min="69" max="73" width="4.7109375" style="1" customWidth="1"/>
    <col min="74" max="16384" width="9.140625" style="1"/>
  </cols>
  <sheetData>
    <row r="1" spans="1:73" x14ac:dyDescent="0.2">
      <c r="C1" s="9"/>
      <c r="D1" s="9"/>
      <c r="E1" s="9"/>
      <c r="F1" s="9"/>
      <c r="G1" s="9"/>
      <c r="H1" s="9"/>
      <c r="I1" s="9"/>
      <c r="J1" s="9"/>
      <c r="K1" s="9"/>
      <c r="L1" s="9"/>
      <c r="M1" s="9"/>
      <c r="N1" s="9"/>
      <c r="O1" s="9"/>
      <c r="P1" s="9"/>
      <c r="Q1" s="9"/>
      <c r="R1" s="9"/>
      <c r="S1" s="9"/>
      <c r="T1" s="9"/>
      <c r="U1" s="9"/>
      <c r="V1" s="9"/>
      <c r="W1" s="9"/>
      <c r="X1" s="9"/>
      <c r="Y1" s="9"/>
      <c r="Z1" s="9"/>
      <c r="AA1" s="9"/>
      <c r="AB1" s="9"/>
      <c r="AC1" s="9"/>
      <c r="AD1" s="9"/>
      <c r="AE1" s="9"/>
      <c r="AF1" s="9"/>
    </row>
    <row r="2" spans="1:73" ht="21" x14ac:dyDescent="0.2">
      <c r="C2" s="9"/>
      <c r="D2" s="181"/>
      <c r="E2" s="281"/>
      <c r="F2" s="281"/>
      <c r="G2" s="896"/>
      <c r="H2" s="2382"/>
      <c r="I2" s="2382"/>
      <c r="J2" s="281"/>
      <c r="K2" s="181"/>
      <c r="L2" s="281"/>
      <c r="M2" s="896"/>
      <c r="N2" s="2382"/>
      <c r="O2" s="2382"/>
      <c r="P2" s="2382"/>
      <c r="Q2" s="281"/>
      <c r="R2" s="2382"/>
      <c r="S2" s="2382"/>
      <c r="T2" s="281"/>
      <c r="U2" s="2382"/>
      <c r="V2" s="2382"/>
      <c r="W2" s="281"/>
      <c r="X2" s="281"/>
      <c r="Y2" s="62"/>
      <c r="Z2" s="62"/>
      <c r="AA2" s="62"/>
      <c r="AB2" s="62"/>
      <c r="AC2" s="62"/>
      <c r="AD2" s="62"/>
      <c r="AE2" s="62"/>
      <c r="AF2" s="62"/>
    </row>
    <row r="3" spans="1:73" s="6" customFormat="1" ht="18" customHeight="1" x14ac:dyDescent="0.2">
      <c r="A3" s="60" t="s">
        <v>41</v>
      </c>
      <c r="C3" s="9"/>
      <c r="D3" s="9"/>
      <c r="E3" s="9"/>
      <c r="F3" s="9"/>
      <c r="G3" s="10"/>
      <c r="H3" s="10"/>
      <c r="I3" s="10"/>
      <c r="J3" s="10"/>
      <c r="K3" s="10"/>
      <c r="L3" s="10"/>
      <c r="M3" s="10"/>
      <c r="N3" s="10"/>
      <c r="O3" s="10"/>
      <c r="P3" s="10"/>
      <c r="Q3" s="10"/>
      <c r="R3" s="10"/>
      <c r="S3" s="10"/>
      <c r="T3" s="10"/>
      <c r="U3" s="10"/>
      <c r="V3" s="10"/>
      <c r="W3" s="10"/>
      <c r="X3" s="10"/>
      <c r="Y3" s="10"/>
      <c r="Z3" s="10"/>
      <c r="AA3" s="10"/>
      <c r="AB3" s="9"/>
      <c r="AC3" s="2279"/>
      <c r="AD3" s="2279"/>
      <c r="AE3" s="2279"/>
      <c r="AF3" s="2279"/>
      <c r="AG3" s="179"/>
      <c r="AH3" s="179"/>
      <c r="AI3" s="2279"/>
      <c r="AJ3" s="2279"/>
      <c r="AK3" s="2279"/>
      <c r="AL3" s="2279"/>
      <c r="AM3" s="280"/>
      <c r="AN3" s="179"/>
      <c r="AO3" s="179"/>
      <c r="AP3" s="179"/>
      <c r="AQ3" s="179"/>
      <c r="AR3" s="179"/>
    </row>
    <row r="4" spans="1:73" s="6" customFormat="1" ht="18" customHeight="1" x14ac:dyDescent="0.2">
      <c r="A4" s="195" t="s">
        <v>152</v>
      </c>
      <c r="D4" s="9"/>
      <c r="E4" s="9"/>
      <c r="F4" s="9"/>
      <c r="G4" s="61"/>
      <c r="H4" s="403"/>
      <c r="I4" s="61"/>
      <c r="J4" s="282"/>
      <c r="K4" s="61"/>
      <c r="L4" s="282"/>
      <c r="M4" s="897"/>
      <c r="N4" s="61"/>
      <c r="O4" s="403"/>
      <c r="P4" s="61"/>
      <c r="Q4" s="282"/>
      <c r="R4" s="61"/>
      <c r="S4" s="61"/>
      <c r="T4" s="282"/>
      <c r="U4" s="10"/>
      <c r="V4" s="10"/>
      <c r="W4" s="10"/>
      <c r="X4" s="10"/>
      <c r="Y4" s="10"/>
      <c r="Z4" s="10"/>
      <c r="AA4" s="10"/>
      <c r="AB4" s="10"/>
      <c r="AI4" s="179"/>
      <c r="AJ4" s="179"/>
      <c r="AK4" s="179"/>
      <c r="AL4" s="179"/>
      <c r="AM4" s="280"/>
      <c r="AN4" s="179"/>
      <c r="AO4" s="179"/>
      <c r="AP4" s="179"/>
      <c r="AQ4" s="179"/>
      <c r="AR4" s="179"/>
    </row>
    <row r="5" spans="1:73" s="936" customFormat="1" ht="18" customHeight="1" thickBot="1" x14ac:dyDescent="0.3">
      <c r="A5" s="224">
        <v>1</v>
      </c>
      <c r="B5" s="224">
        <v>2</v>
      </c>
      <c r="C5" s="224">
        <v>3</v>
      </c>
      <c r="D5" s="224">
        <v>4</v>
      </c>
      <c r="E5" s="224">
        <v>5</v>
      </c>
      <c r="F5" s="224">
        <v>6</v>
      </c>
      <c r="G5" s="224">
        <v>7</v>
      </c>
      <c r="H5" s="224">
        <v>8</v>
      </c>
      <c r="I5" s="224">
        <v>9</v>
      </c>
      <c r="J5" s="224">
        <v>10</v>
      </c>
      <c r="K5" s="224">
        <v>11</v>
      </c>
      <c r="L5" s="224">
        <v>12</v>
      </c>
      <c r="M5" s="224">
        <v>13</v>
      </c>
      <c r="N5" s="224">
        <v>14</v>
      </c>
      <c r="O5" s="224">
        <v>15</v>
      </c>
      <c r="P5" s="224">
        <v>16</v>
      </c>
      <c r="Q5" s="224">
        <v>17</v>
      </c>
      <c r="R5" s="224">
        <v>18</v>
      </c>
      <c r="S5" s="224">
        <v>19</v>
      </c>
      <c r="T5" s="224">
        <v>20</v>
      </c>
      <c r="U5" s="224">
        <v>21</v>
      </c>
      <c r="V5" s="224">
        <v>22</v>
      </c>
      <c r="W5" s="224">
        <v>23</v>
      </c>
      <c r="X5" s="224">
        <v>24</v>
      </c>
      <c r="Y5" s="224">
        <v>25</v>
      </c>
      <c r="Z5" s="224">
        <v>26</v>
      </c>
      <c r="AA5" s="224">
        <v>27</v>
      </c>
      <c r="AB5" s="224">
        <v>28</v>
      </c>
      <c r="AC5" s="224">
        <v>29</v>
      </c>
      <c r="AD5" s="224">
        <v>30</v>
      </c>
      <c r="AE5" s="224">
        <v>31</v>
      </c>
      <c r="AF5" s="224">
        <v>32</v>
      </c>
      <c r="AG5" s="224">
        <v>33</v>
      </c>
      <c r="AH5" s="224">
        <v>34</v>
      </c>
      <c r="AI5" s="224">
        <v>35</v>
      </c>
      <c r="AJ5" s="224">
        <v>36</v>
      </c>
      <c r="AK5" s="224">
        <v>37</v>
      </c>
      <c r="AL5" s="224">
        <v>38</v>
      </c>
      <c r="AM5" s="224">
        <v>39</v>
      </c>
      <c r="AN5" s="224">
        <v>40</v>
      </c>
      <c r="AO5" s="935">
        <v>41</v>
      </c>
      <c r="AP5" s="935">
        <v>42</v>
      </c>
      <c r="AQ5" s="935">
        <v>43</v>
      </c>
      <c r="AR5" s="935">
        <v>44</v>
      </c>
      <c r="AS5" s="933">
        <v>45</v>
      </c>
      <c r="AT5" s="934">
        <v>46</v>
      </c>
      <c r="AU5" s="934">
        <v>47</v>
      </c>
      <c r="AV5" s="934">
        <v>48</v>
      </c>
      <c r="AW5" s="934">
        <v>49</v>
      </c>
      <c r="AX5" s="934">
        <v>50</v>
      </c>
      <c r="AY5" s="934">
        <v>51</v>
      </c>
      <c r="AZ5" s="934">
        <v>52</v>
      </c>
      <c r="BA5" s="934">
        <v>53</v>
      </c>
      <c r="BB5" s="934">
        <v>54</v>
      </c>
      <c r="BC5" s="934">
        <v>55</v>
      </c>
      <c r="BD5" s="934">
        <v>56</v>
      </c>
      <c r="BE5" s="934">
        <v>57</v>
      </c>
      <c r="BF5" s="934">
        <v>58</v>
      </c>
      <c r="BG5" s="934">
        <v>59</v>
      </c>
      <c r="BH5" s="934">
        <v>60</v>
      </c>
      <c r="BI5" s="934">
        <v>61</v>
      </c>
      <c r="BJ5" s="935">
        <v>62</v>
      </c>
      <c r="BK5" s="935">
        <v>63</v>
      </c>
      <c r="BL5" s="935">
        <v>64</v>
      </c>
      <c r="BM5" s="935">
        <v>65</v>
      </c>
      <c r="BN5" s="935">
        <v>66</v>
      </c>
      <c r="BO5" s="935">
        <v>67</v>
      </c>
      <c r="BP5" s="935">
        <v>68</v>
      </c>
      <c r="BQ5" s="935">
        <v>69</v>
      </c>
      <c r="BR5" s="935">
        <v>70</v>
      </c>
      <c r="BS5" s="935">
        <v>71</v>
      </c>
      <c r="BT5" s="935">
        <v>72</v>
      </c>
      <c r="BU5" s="935">
        <v>73</v>
      </c>
    </row>
    <row r="6" spans="1:73" s="5" customFormat="1" ht="19.5" customHeight="1" x14ac:dyDescent="0.25">
      <c r="A6" s="2353" t="s">
        <v>0</v>
      </c>
      <c r="B6" s="2354" t="s">
        <v>1</v>
      </c>
      <c r="C6" s="2390" t="s">
        <v>3</v>
      </c>
      <c r="D6" s="2392" t="s">
        <v>44</v>
      </c>
      <c r="E6" s="2393"/>
      <c r="F6" s="2393"/>
      <c r="G6" s="2393"/>
      <c r="H6" s="2462" t="s">
        <v>446</v>
      </c>
      <c r="I6" s="2374" t="s">
        <v>45</v>
      </c>
      <c r="J6" s="2374"/>
      <c r="K6" s="2374"/>
      <c r="L6" s="2374"/>
      <c r="M6" s="2374"/>
      <c r="N6" s="2374"/>
      <c r="O6" s="2462" t="s">
        <v>446</v>
      </c>
      <c r="P6" s="2371" t="s">
        <v>46</v>
      </c>
      <c r="Q6" s="2371"/>
      <c r="R6" s="2371"/>
      <c r="S6" s="2371"/>
      <c r="T6" s="2371"/>
      <c r="U6" s="2462" t="s">
        <v>446</v>
      </c>
      <c r="V6" s="2374" t="s">
        <v>47</v>
      </c>
      <c r="W6" s="2374"/>
      <c r="X6" s="2374"/>
      <c r="Y6" s="2374"/>
      <c r="Z6" s="2374"/>
      <c r="AA6" s="2374"/>
      <c r="AB6" s="2465" t="s">
        <v>446</v>
      </c>
      <c r="AC6" s="2469" t="s">
        <v>15</v>
      </c>
      <c r="AD6" s="2402"/>
      <c r="AE6" s="2402"/>
      <c r="AF6" s="2402"/>
      <c r="AG6" s="2403" t="s">
        <v>2</v>
      </c>
      <c r="AH6" s="2393" t="s">
        <v>6</v>
      </c>
      <c r="AI6" s="2393"/>
      <c r="AJ6" s="2393"/>
      <c r="AK6" s="2393"/>
      <c r="AL6" s="2393"/>
      <c r="AM6" s="2393"/>
      <c r="AN6" s="2470" t="s">
        <v>40</v>
      </c>
      <c r="AO6" s="2473" t="s">
        <v>142</v>
      </c>
      <c r="AP6" s="2474"/>
      <c r="AQ6" s="2474"/>
      <c r="AR6" s="2475"/>
      <c r="AS6" s="2479" t="s">
        <v>24</v>
      </c>
      <c r="AT6" s="2483" t="s">
        <v>25</v>
      </c>
      <c r="AU6" s="2441"/>
      <c r="AV6" s="2441"/>
      <c r="AW6" s="2441"/>
      <c r="AX6" s="2441"/>
      <c r="AY6" s="2441"/>
      <c r="AZ6" s="2441"/>
      <c r="BA6" s="2441"/>
      <c r="BB6" s="2441"/>
      <c r="BC6" s="2441"/>
      <c r="BD6" s="2441"/>
      <c r="BE6" s="2441"/>
      <c r="BF6" s="2441"/>
      <c r="BG6" s="2441"/>
      <c r="BH6" s="2441"/>
      <c r="BI6" s="2442"/>
      <c r="BJ6" s="2491" t="s">
        <v>185</v>
      </c>
      <c r="BK6" s="2492"/>
      <c r="BL6" s="2492"/>
      <c r="BM6" s="2492"/>
      <c r="BN6" s="2492"/>
      <c r="BO6" s="2492"/>
      <c r="BP6" s="2492"/>
      <c r="BQ6" s="2492"/>
      <c r="BR6" s="2492"/>
      <c r="BS6" s="2492"/>
      <c r="BT6" s="2493"/>
      <c r="BU6" s="2484"/>
    </row>
    <row r="7" spans="1:73" s="4" customFormat="1" ht="18" customHeight="1" x14ac:dyDescent="0.25">
      <c r="A7" s="2353"/>
      <c r="B7" s="2354"/>
      <c r="C7" s="2390"/>
      <c r="D7" s="2399" t="s">
        <v>42</v>
      </c>
      <c r="E7" s="2360"/>
      <c r="F7" s="2360"/>
      <c r="G7" s="900" t="s">
        <v>49</v>
      </c>
      <c r="H7" s="2463"/>
      <c r="I7" s="2359" t="s">
        <v>42</v>
      </c>
      <c r="J7" s="2359"/>
      <c r="K7" s="2359"/>
      <c r="L7" s="2359" t="s">
        <v>43</v>
      </c>
      <c r="M7" s="2359"/>
      <c r="N7" s="2359"/>
      <c r="O7" s="2463"/>
      <c r="P7" s="2360" t="s">
        <v>42</v>
      </c>
      <c r="Q7" s="2360"/>
      <c r="R7" s="2360"/>
      <c r="S7" s="2344" t="s">
        <v>43</v>
      </c>
      <c r="T7" s="2344"/>
      <c r="U7" s="2463"/>
      <c r="V7" s="2359" t="s">
        <v>42</v>
      </c>
      <c r="W7" s="2359"/>
      <c r="X7" s="2359"/>
      <c r="Y7" s="2359" t="s">
        <v>43</v>
      </c>
      <c r="Z7" s="2359"/>
      <c r="AA7" s="2359"/>
      <c r="AB7" s="2466"/>
      <c r="AC7" s="2482" t="s">
        <v>140</v>
      </c>
      <c r="AD7" s="2344"/>
      <c r="AE7" s="2344"/>
      <c r="AF7" s="2344"/>
      <c r="AG7" s="2352"/>
      <c r="AH7" s="2344" t="s">
        <v>141</v>
      </c>
      <c r="AI7" s="2344"/>
      <c r="AJ7" s="2344"/>
      <c r="AK7" s="2344"/>
      <c r="AL7" s="2344"/>
      <c r="AM7" s="2344"/>
      <c r="AN7" s="2471"/>
      <c r="AO7" s="2476"/>
      <c r="AP7" s="2477"/>
      <c r="AQ7" s="2477"/>
      <c r="AR7" s="2478"/>
      <c r="AS7" s="2480"/>
      <c r="AT7" s="2468" t="s">
        <v>26</v>
      </c>
      <c r="AU7" s="2351"/>
      <c r="AV7" s="2351"/>
      <c r="AW7" s="2487"/>
      <c r="AX7" s="2349" t="s">
        <v>50</v>
      </c>
      <c r="AY7" s="2350"/>
      <c r="AZ7" s="2443"/>
      <c r="BA7" s="2487"/>
      <c r="BB7" s="2349" t="s">
        <v>51</v>
      </c>
      <c r="BC7" s="2350"/>
      <c r="BD7" s="2443"/>
      <c r="BE7" s="2487"/>
      <c r="BF7" s="2349" t="s">
        <v>52</v>
      </c>
      <c r="BG7" s="2350"/>
      <c r="BH7" s="2350"/>
      <c r="BI7" s="2489"/>
      <c r="BJ7" s="904" t="s">
        <v>26</v>
      </c>
      <c r="BK7" s="2349" t="s">
        <v>50</v>
      </c>
      <c r="BL7" s="2350"/>
      <c r="BM7" s="2350"/>
      <c r="BN7" s="2432"/>
      <c r="BO7" s="2349" t="s">
        <v>51</v>
      </c>
      <c r="BP7" s="2350"/>
      <c r="BQ7" s="2432"/>
      <c r="BR7" s="2349" t="s">
        <v>51</v>
      </c>
      <c r="BS7" s="2350"/>
      <c r="BT7" s="2350"/>
      <c r="BU7" s="2485"/>
    </row>
    <row r="8" spans="1:73" ht="19.5" customHeight="1" thickBot="1" x14ac:dyDescent="0.25">
      <c r="A8" s="2353"/>
      <c r="B8" s="2354"/>
      <c r="C8" s="2390"/>
      <c r="D8" s="199" t="s">
        <v>154</v>
      </c>
      <c r="E8" s="143" t="s">
        <v>155</v>
      </c>
      <c r="F8" s="143" t="s">
        <v>11</v>
      </c>
      <c r="G8" s="144" t="s">
        <v>8</v>
      </c>
      <c r="H8" s="2464"/>
      <c r="I8" s="145" t="s">
        <v>154</v>
      </c>
      <c r="J8" s="145" t="s">
        <v>155</v>
      </c>
      <c r="K8" s="145" t="s">
        <v>11</v>
      </c>
      <c r="L8" s="144" t="s">
        <v>12</v>
      </c>
      <c r="M8" s="144" t="s">
        <v>7</v>
      </c>
      <c r="N8" s="144" t="s">
        <v>8</v>
      </c>
      <c r="O8" s="2464"/>
      <c r="P8" s="143" t="s">
        <v>155</v>
      </c>
      <c r="Q8" s="143" t="s">
        <v>11</v>
      </c>
      <c r="R8" s="143" t="s">
        <v>186</v>
      </c>
      <c r="S8" s="144" t="s">
        <v>7</v>
      </c>
      <c r="T8" s="144" t="s">
        <v>8</v>
      </c>
      <c r="U8" s="2464"/>
      <c r="V8" s="146" t="s">
        <v>11</v>
      </c>
      <c r="W8" s="146" t="s">
        <v>16</v>
      </c>
      <c r="X8" s="146" t="s">
        <v>22</v>
      </c>
      <c r="Y8" s="147" t="s">
        <v>7</v>
      </c>
      <c r="Z8" s="147" t="s">
        <v>10</v>
      </c>
      <c r="AA8" s="147" t="s">
        <v>8</v>
      </c>
      <c r="AB8" s="2467"/>
      <c r="AC8" s="524" t="s">
        <v>12</v>
      </c>
      <c r="AD8" s="67" t="s">
        <v>7</v>
      </c>
      <c r="AE8" s="67" t="s">
        <v>10</v>
      </c>
      <c r="AF8" s="67" t="s">
        <v>8</v>
      </c>
      <c r="AG8" s="2404"/>
      <c r="AH8" s="68" t="s">
        <v>154</v>
      </c>
      <c r="AI8" s="68" t="s">
        <v>155</v>
      </c>
      <c r="AJ8" s="68" t="s">
        <v>11</v>
      </c>
      <c r="AK8" s="68" t="s">
        <v>16</v>
      </c>
      <c r="AL8" s="68" t="s">
        <v>186</v>
      </c>
      <c r="AM8" s="68" t="s">
        <v>22</v>
      </c>
      <c r="AN8" s="2472"/>
      <c r="AO8" s="524" t="s">
        <v>12</v>
      </c>
      <c r="AP8" s="67" t="s">
        <v>7</v>
      </c>
      <c r="AQ8" s="67" t="s">
        <v>10</v>
      </c>
      <c r="AR8" s="67" t="s">
        <v>8</v>
      </c>
      <c r="AS8" s="2481"/>
      <c r="AT8" s="199" t="s">
        <v>154</v>
      </c>
      <c r="AU8" s="143" t="s">
        <v>155</v>
      </c>
      <c r="AV8" s="143" t="s">
        <v>11</v>
      </c>
      <c r="AW8" s="2488"/>
      <c r="AX8" s="145" t="s">
        <v>154</v>
      </c>
      <c r="AY8" s="145" t="s">
        <v>155</v>
      </c>
      <c r="AZ8" s="145" t="s">
        <v>11</v>
      </c>
      <c r="BA8" s="2488"/>
      <c r="BB8" s="143" t="s">
        <v>155</v>
      </c>
      <c r="BC8" s="143" t="s">
        <v>11</v>
      </c>
      <c r="BD8" s="143" t="s">
        <v>186</v>
      </c>
      <c r="BE8" s="2488"/>
      <c r="BF8" s="146" t="s">
        <v>11</v>
      </c>
      <c r="BG8" s="146" t="s">
        <v>16</v>
      </c>
      <c r="BH8" s="146" t="s">
        <v>22</v>
      </c>
      <c r="BI8" s="2490"/>
      <c r="BJ8" s="527" t="s">
        <v>8</v>
      </c>
      <c r="BK8" s="514" t="s">
        <v>12</v>
      </c>
      <c r="BL8" s="521" t="s">
        <v>7</v>
      </c>
      <c r="BM8" s="521" t="s">
        <v>8</v>
      </c>
      <c r="BN8" s="2494"/>
      <c r="BO8" s="514" t="s">
        <v>7</v>
      </c>
      <c r="BP8" s="514" t="s">
        <v>8</v>
      </c>
      <c r="BQ8" s="2494"/>
      <c r="BR8" s="517" t="s">
        <v>7</v>
      </c>
      <c r="BS8" s="517" t="s">
        <v>10</v>
      </c>
      <c r="BT8" s="932" t="s">
        <v>8</v>
      </c>
      <c r="BU8" s="2486"/>
    </row>
    <row r="9" spans="1:73" ht="24.95" customHeight="1" x14ac:dyDescent="0.2">
      <c r="A9" s="402">
        <v>1</v>
      </c>
      <c r="B9" s="518" t="str">
        <f>dtsiswa!D7</f>
        <v>Achmad Zacky</v>
      </c>
      <c r="C9" s="534" t="s">
        <v>4</v>
      </c>
      <c r="D9" s="539">
        <v>87</v>
      </c>
      <c r="E9" s="540">
        <v>90</v>
      </c>
      <c r="F9" s="540">
        <v>75</v>
      </c>
      <c r="G9" s="540">
        <v>85</v>
      </c>
      <c r="H9" s="525">
        <f t="shared" ref="H9:H43" si="0">IFERROR(AVERAGE(D9:G9),"  ")</f>
        <v>84.25</v>
      </c>
      <c r="I9" s="540">
        <v>75</v>
      </c>
      <c r="J9" s="540">
        <v>80</v>
      </c>
      <c r="K9" s="540">
        <v>89</v>
      </c>
      <c r="L9" s="540">
        <v>73</v>
      </c>
      <c r="M9" s="540">
        <v>76</v>
      </c>
      <c r="N9" s="540">
        <v>85</v>
      </c>
      <c r="O9" s="525">
        <f>IFERROR(AVERAGE(I9:N9),"  ")</f>
        <v>79.666666666666671</v>
      </c>
      <c r="P9" s="541">
        <v>73</v>
      </c>
      <c r="Q9" s="541">
        <v>86</v>
      </c>
      <c r="R9" s="540">
        <v>75</v>
      </c>
      <c r="S9" s="540">
        <v>80</v>
      </c>
      <c r="T9" s="540">
        <v>73</v>
      </c>
      <c r="U9" s="525">
        <f t="shared" ref="U9:U43" si="1">IFERROR(AVERAGE(P9:T9),"  ")</f>
        <v>77.400000000000006</v>
      </c>
      <c r="V9" s="540">
        <v>80</v>
      </c>
      <c r="W9" s="540">
        <v>89</v>
      </c>
      <c r="X9" s="540">
        <v>73</v>
      </c>
      <c r="Y9" s="541">
        <v>76</v>
      </c>
      <c r="Z9" s="540">
        <v>75</v>
      </c>
      <c r="AA9" s="541">
        <v>68</v>
      </c>
      <c r="AB9" s="538">
        <f t="shared" ref="AB9:AB43" si="2">IFERROR(AVERAGE(V9:AA9),"  ")</f>
        <v>76.833333333333329</v>
      </c>
      <c r="AC9" s="19">
        <f>L9</f>
        <v>73</v>
      </c>
      <c r="AD9" s="19">
        <f>(M9+S9+Y9)/3</f>
        <v>77.333333333333329</v>
      </c>
      <c r="AE9" s="19">
        <f>(Z9)</f>
        <v>75</v>
      </c>
      <c r="AF9" s="19">
        <f>(G9+N9+T9+AA9)/4</f>
        <v>77.75</v>
      </c>
      <c r="AG9" s="20">
        <f t="shared" ref="AG9" si="3">IFERROR(AVERAGE(AC9:AF9),"  ")</f>
        <v>75.770833333333329</v>
      </c>
      <c r="AH9" s="523">
        <f>(D9+I9)/2</f>
        <v>81</v>
      </c>
      <c r="AI9" s="523">
        <f>(E9+J9+P9)/3</f>
        <v>81</v>
      </c>
      <c r="AJ9" s="523">
        <f>(F9+K9+Q9+V9)/4</f>
        <v>82.5</v>
      </c>
      <c r="AK9" s="523">
        <f>(W9)</f>
        <v>89</v>
      </c>
      <c r="AL9" s="523">
        <f>(R9)</f>
        <v>75</v>
      </c>
      <c r="AM9" s="523">
        <f>X9</f>
        <v>73</v>
      </c>
      <c r="AN9" s="20">
        <f t="shared" ref="AN9" si="4">IFERROR(AVERAGE(AH9:AM9),"  ")</f>
        <v>80.25</v>
      </c>
      <c r="AO9" s="65">
        <f>(AC9+AH9)/2</f>
        <v>77</v>
      </c>
      <c r="AP9" s="65">
        <f t="shared" ref="AP9:AQ9" si="5">(AD9+AI9)/2</f>
        <v>79.166666666666657</v>
      </c>
      <c r="AQ9" s="65">
        <f t="shared" si="5"/>
        <v>78.75</v>
      </c>
      <c r="AR9" s="65">
        <f>(AF9+AK9+AL9+AM9)/4</f>
        <v>78.6875</v>
      </c>
      <c r="AS9" s="528">
        <f t="shared" ref="AS9" si="6">IFERROR(AVERAGE(AO9:AR9),"  ")</f>
        <v>78.401041666666657</v>
      </c>
      <c r="AT9" s="530">
        <f t="shared" ref="AT9:AT43" si="7">D9</f>
        <v>87</v>
      </c>
      <c r="AU9" s="531">
        <f t="shared" ref="AU9:AU43" si="8">E9</f>
        <v>90</v>
      </c>
      <c r="AV9" s="531">
        <f t="shared" ref="AV9:AV43" si="9">F9</f>
        <v>75</v>
      </c>
      <c r="AW9" s="525">
        <f t="shared" ref="AW9:AW48" si="10">IFERROR(AVERAGE(AT9:AV9),"  ")</f>
        <v>84</v>
      </c>
      <c r="AX9" s="531">
        <f t="shared" ref="AX9:AX43" si="11">I9</f>
        <v>75</v>
      </c>
      <c r="AY9" s="531">
        <f t="shared" ref="AY9:AY43" si="12">J9</f>
        <v>80</v>
      </c>
      <c r="AZ9" s="531">
        <f t="shared" ref="AZ9:AZ43" si="13">K9</f>
        <v>89</v>
      </c>
      <c r="BA9" s="525">
        <f>IFERROR(AVERAGE(AX9:AZ9),"  ")</f>
        <v>81.333333333333329</v>
      </c>
      <c r="BB9" s="531">
        <f t="shared" ref="BB9:BB43" si="14">P9</f>
        <v>73</v>
      </c>
      <c r="BC9" s="531">
        <f t="shared" ref="BC9:BC43" si="15">Q9</f>
        <v>86</v>
      </c>
      <c r="BD9" s="531">
        <f t="shared" ref="BD9:BD43" si="16">R9</f>
        <v>75</v>
      </c>
      <c r="BE9" s="525">
        <f t="shared" ref="BE9:BE43" si="17">IFERROR(AVERAGE(BB9:BD9),"  ")</f>
        <v>78</v>
      </c>
      <c r="BF9" s="903">
        <f t="shared" ref="BF9:BF43" si="18">V9</f>
        <v>80</v>
      </c>
      <c r="BG9" s="903">
        <f t="shared" ref="BG9:BG43" si="19">W9</f>
        <v>89</v>
      </c>
      <c r="BH9" s="903">
        <f t="shared" ref="BH9:BH43" si="20">X9</f>
        <v>73</v>
      </c>
      <c r="BI9" s="526">
        <f t="shared" ref="BI9:BI48" si="21">IFERROR(AVERAGE(BF9:BH9),"  ")</f>
        <v>80.666666666666671</v>
      </c>
      <c r="BJ9" s="902">
        <f t="shared" ref="BJ9:BJ43" si="22">G9</f>
        <v>85</v>
      </c>
      <c r="BK9" s="903">
        <f t="shared" ref="BK9:BK43" si="23">L9</f>
        <v>73</v>
      </c>
      <c r="BL9" s="903"/>
      <c r="BM9" s="903">
        <f t="shared" ref="BM9:BM43" si="24">N9</f>
        <v>85</v>
      </c>
      <c r="BN9" s="525">
        <f t="shared" ref="BN9:BN48" si="25">IFERROR(AVERAGE(BK9:BM9),"  ")</f>
        <v>79</v>
      </c>
      <c r="BO9" s="903">
        <f t="shared" ref="BO9:BO43" si="26">S9</f>
        <v>80</v>
      </c>
      <c r="BP9" s="903">
        <f t="shared" ref="BP9:BP43" si="27">T9</f>
        <v>73</v>
      </c>
      <c r="BQ9" s="525">
        <f t="shared" ref="BQ9:BQ48" si="28">IFERROR(AVERAGE(BP9:BP9),"  ")</f>
        <v>73</v>
      </c>
      <c r="BR9" s="903">
        <f t="shared" ref="BR9:BR43" si="29">Y9</f>
        <v>76</v>
      </c>
      <c r="BS9" s="903">
        <f t="shared" ref="BS9:BS43" si="30">Z9</f>
        <v>75</v>
      </c>
      <c r="BT9" s="903">
        <f t="shared" ref="BT9:BT43" si="31">AA9</f>
        <v>68</v>
      </c>
      <c r="BU9" s="925">
        <f t="shared" ref="BU9:BU48" si="32">IFERROR(AVERAGE(BR9:BT9),"  ")</f>
        <v>73</v>
      </c>
    </row>
    <row r="10" spans="1:73" ht="24.95" customHeight="1" x14ac:dyDescent="0.2">
      <c r="A10" s="402">
        <v>2</v>
      </c>
      <c r="B10" s="518" t="str">
        <f>dtsiswa!D8</f>
        <v>Angelia Vabel R</v>
      </c>
      <c r="C10" s="534" t="s">
        <v>4</v>
      </c>
      <c r="D10" s="542"/>
      <c r="E10" s="22"/>
      <c r="F10" s="22"/>
      <c r="G10" s="22"/>
      <c r="H10" s="522" t="str">
        <f t="shared" si="0"/>
        <v xml:space="preserve">  </v>
      </c>
      <c r="I10" s="22"/>
      <c r="J10" s="22"/>
      <c r="K10" s="22"/>
      <c r="L10" s="22"/>
      <c r="M10" s="22"/>
      <c r="N10" s="22"/>
      <c r="O10" s="522" t="str">
        <f t="shared" ref="O10:O42" si="33">IFERROR(AVERAGE(I10:N10),"  ")</f>
        <v xml:space="preserve">  </v>
      </c>
      <c r="P10" s="283"/>
      <c r="Q10" s="283"/>
      <c r="R10" s="22"/>
      <c r="S10" s="22"/>
      <c r="T10" s="22"/>
      <c r="U10" s="522" t="str">
        <f t="shared" si="1"/>
        <v xml:space="preserve">  </v>
      </c>
      <c r="V10" s="22"/>
      <c r="W10" s="22"/>
      <c r="X10" s="22"/>
      <c r="Y10" s="283"/>
      <c r="Z10" s="22"/>
      <c r="AA10" s="283"/>
      <c r="AB10" s="538" t="str">
        <f t="shared" si="2"/>
        <v xml:space="preserve">  </v>
      </c>
      <c r="AC10" s="19">
        <f t="shared" ref="AC10:AC48" si="34">L10</f>
        <v>0</v>
      </c>
      <c r="AD10" s="19">
        <f t="shared" ref="AD10:AD48" si="35">(M10+S10+Y10)/3</f>
        <v>0</v>
      </c>
      <c r="AE10" s="19">
        <f t="shared" ref="AE10:AE48" si="36">(Z10)</f>
        <v>0</v>
      </c>
      <c r="AF10" s="19">
        <f t="shared" ref="AF10:AF48" si="37">(G10+N10+T10+AA10)/4</f>
        <v>0</v>
      </c>
      <c r="AG10" s="20">
        <f t="shared" ref="AG10:AG48" si="38">IFERROR(AVERAGE(AC10:AF10),"  ")</f>
        <v>0</v>
      </c>
      <c r="AH10" s="523">
        <f t="shared" ref="AH10:AH48" si="39">(D10+I10)/2</f>
        <v>0</v>
      </c>
      <c r="AI10" s="523">
        <f t="shared" ref="AI10:AI48" si="40">(E10+J10+P10)/3</f>
        <v>0</v>
      </c>
      <c r="AJ10" s="523">
        <f t="shared" ref="AJ10:AJ48" si="41">(F10+K10+Q10+V10)/4</f>
        <v>0</v>
      </c>
      <c r="AK10" s="523">
        <f t="shared" ref="AK10:AK48" si="42">(W10)</f>
        <v>0</v>
      </c>
      <c r="AL10" s="523">
        <f t="shared" ref="AL10:AL48" si="43">(R10)</f>
        <v>0</v>
      </c>
      <c r="AM10" s="523">
        <f t="shared" ref="AM10:AM48" si="44">X10</f>
        <v>0</v>
      </c>
      <c r="AN10" s="20">
        <f t="shared" ref="AN10:AN48" si="45">IFERROR(AVERAGE(AH10:AM10),"  ")</f>
        <v>0</v>
      </c>
      <c r="AO10" s="65">
        <f t="shared" ref="AO10:AO48" si="46">(AC10+AH10)/2</f>
        <v>0</v>
      </c>
      <c r="AP10" s="65">
        <f t="shared" ref="AP10:AP48" si="47">(AD10+AI10)/2</f>
        <v>0</v>
      </c>
      <c r="AQ10" s="65">
        <f t="shared" ref="AQ10:AQ48" si="48">(AE10+AJ10)/2</f>
        <v>0</v>
      </c>
      <c r="AR10" s="65">
        <f t="shared" ref="AR10:AR48" si="49">(AF10+AK10+AL10+AM10)/4</f>
        <v>0</v>
      </c>
      <c r="AS10" s="528">
        <f t="shared" ref="AS10:AS48" si="50">IFERROR(AVERAGE(AO10:AR10),"  ")</f>
        <v>0</v>
      </c>
      <c r="AT10" s="532">
        <f t="shared" si="7"/>
        <v>0</v>
      </c>
      <c r="AU10" s="26">
        <f t="shared" si="8"/>
        <v>0</v>
      </c>
      <c r="AV10" s="26">
        <f t="shared" si="9"/>
        <v>0</v>
      </c>
      <c r="AW10" s="520">
        <f t="shared" si="10"/>
        <v>0</v>
      </c>
      <c r="AX10" s="26">
        <f t="shared" si="11"/>
        <v>0</v>
      </c>
      <c r="AY10" s="26">
        <f t="shared" si="12"/>
        <v>0</v>
      </c>
      <c r="AZ10" s="26">
        <f t="shared" si="13"/>
        <v>0</v>
      </c>
      <c r="BA10" s="520">
        <f t="shared" ref="BA10:BA43" si="51">IFERROR(AVERAGE(AX10:AZ10),"  ")</f>
        <v>0</v>
      </c>
      <c r="BB10" s="26">
        <f t="shared" si="14"/>
        <v>0</v>
      </c>
      <c r="BC10" s="26">
        <f t="shared" si="15"/>
        <v>0</v>
      </c>
      <c r="BD10" s="26">
        <f t="shared" si="16"/>
        <v>0</v>
      </c>
      <c r="BE10" s="520">
        <f t="shared" si="17"/>
        <v>0</v>
      </c>
      <c r="BF10" s="901">
        <f t="shared" si="18"/>
        <v>0</v>
      </c>
      <c r="BG10" s="901">
        <f t="shared" si="19"/>
        <v>0</v>
      </c>
      <c r="BH10" s="901">
        <f t="shared" si="20"/>
        <v>0</v>
      </c>
      <c r="BI10" s="533">
        <f t="shared" si="21"/>
        <v>0</v>
      </c>
      <c r="BJ10" s="905">
        <f t="shared" si="22"/>
        <v>0</v>
      </c>
      <c r="BK10" s="28">
        <f t="shared" si="23"/>
        <v>0</v>
      </c>
      <c r="BL10" s="28"/>
      <c r="BM10" s="28">
        <f t="shared" si="24"/>
        <v>0</v>
      </c>
      <c r="BN10" s="522">
        <f t="shared" si="25"/>
        <v>0</v>
      </c>
      <c r="BO10" s="28">
        <f t="shared" si="26"/>
        <v>0</v>
      </c>
      <c r="BP10" s="28">
        <f t="shared" si="27"/>
        <v>0</v>
      </c>
      <c r="BQ10" s="522">
        <f t="shared" si="28"/>
        <v>0</v>
      </c>
      <c r="BR10" s="28">
        <f t="shared" si="29"/>
        <v>0</v>
      </c>
      <c r="BS10" s="28">
        <f t="shared" si="30"/>
        <v>0</v>
      </c>
      <c r="BT10" s="28">
        <f t="shared" si="31"/>
        <v>0</v>
      </c>
      <c r="BU10" s="925">
        <f t="shared" si="32"/>
        <v>0</v>
      </c>
    </row>
    <row r="11" spans="1:73" ht="24.95" customHeight="1" x14ac:dyDescent="0.2">
      <c r="A11" s="402">
        <v>3</v>
      </c>
      <c r="B11" s="518" t="str">
        <f>dtsiswa!D9</f>
        <v>Anggun Dwi P.I</v>
      </c>
      <c r="C11" s="534" t="s">
        <v>4</v>
      </c>
      <c r="D11" s="542"/>
      <c r="E11" s="22"/>
      <c r="F11" s="22"/>
      <c r="G11" s="22"/>
      <c r="H11" s="522" t="str">
        <f t="shared" si="0"/>
        <v xml:space="preserve">  </v>
      </c>
      <c r="I11" s="22"/>
      <c r="J11" s="22"/>
      <c r="K11" s="22"/>
      <c r="L11" s="22"/>
      <c r="M11" s="22"/>
      <c r="N11" s="22"/>
      <c r="O11" s="522" t="str">
        <f t="shared" si="33"/>
        <v xml:space="preserve">  </v>
      </c>
      <c r="P11" s="283"/>
      <c r="Q11" s="283"/>
      <c r="R11" s="22"/>
      <c r="S11" s="22"/>
      <c r="T11" s="22"/>
      <c r="U11" s="522" t="str">
        <f t="shared" si="1"/>
        <v xml:space="preserve">  </v>
      </c>
      <c r="V11" s="22"/>
      <c r="W11" s="22"/>
      <c r="X11" s="22"/>
      <c r="Y11" s="283"/>
      <c r="Z11" s="22"/>
      <c r="AA11" s="283"/>
      <c r="AB11" s="538" t="str">
        <f t="shared" si="2"/>
        <v xml:space="preserve">  </v>
      </c>
      <c r="AC11" s="19">
        <f t="shared" si="34"/>
        <v>0</v>
      </c>
      <c r="AD11" s="19">
        <f t="shared" si="35"/>
        <v>0</v>
      </c>
      <c r="AE11" s="19">
        <f t="shared" si="36"/>
        <v>0</v>
      </c>
      <c r="AF11" s="19">
        <f t="shared" si="37"/>
        <v>0</v>
      </c>
      <c r="AG11" s="20">
        <f t="shared" si="38"/>
        <v>0</v>
      </c>
      <c r="AH11" s="523">
        <f t="shared" si="39"/>
        <v>0</v>
      </c>
      <c r="AI11" s="523">
        <f t="shared" si="40"/>
        <v>0</v>
      </c>
      <c r="AJ11" s="523">
        <f t="shared" si="41"/>
        <v>0</v>
      </c>
      <c r="AK11" s="523">
        <f t="shared" si="42"/>
        <v>0</v>
      </c>
      <c r="AL11" s="523">
        <f t="shared" si="43"/>
        <v>0</v>
      </c>
      <c r="AM11" s="523">
        <f t="shared" si="44"/>
        <v>0</v>
      </c>
      <c r="AN11" s="20">
        <f t="shared" si="45"/>
        <v>0</v>
      </c>
      <c r="AO11" s="65">
        <f t="shared" si="46"/>
        <v>0</v>
      </c>
      <c r="AP11" s="65">
        <f t="shared" si="47"/>
        <v>0</v>
      </c>
      <c r="AQ11" s="65">
        <f t="shared" si="48"/>
        <v>0</v>
      </c>
      <c r="AR11" s="65">
        <f t="shared" si="49"/>
        <v>0</v>
      </c>
      <c r="AS11" s="528">
        <f t="shared" si="50"/>
        <v>0</v>
      </c>
      <c r="AT11" s="532">
        <f t="shared" si="7"/>
        <v>0</v>
      </c>
      <c r="AU11" s="26">
        <f t="shared" si="8"/>
        <v>0</v>
      </c>
      <c r="AV11" s="26">
        <f t="shared" si="9"/>
        <v>0</v>
      </c>
      <c r="AW11" s="520">
        <f t="shared" si="10"/>
        <v>0</v>
      </c>
      <c r="AX11" s="26">
        <f t="shared" si="11"/>
        <v>0</v>
      </c>
      <c r="AY11" s="26">
        <f t="shared" si="12"/>
        <v>0</v>
      </c>
      <c r="AZ11" s="26">
        <f t="shared" si="13"/>
        <v>0</v>
      </c>
      <c r="BA11" s="520">
        <f t="shared" si="51"/>
        <v>0</v>
      </c>
      <c r="BB11" s="26">
        <f t="shared" si="14"/>
        <v>0</v>
      </c>
      <c r="BC11" s="26">
        <f t="shared" si="15"/>
        <v>0</v>
      </c>
      <c r="BD11" s="26">
        <f t="shared" si="16"/>
        <v>0</v>
      </c>
      <c r="BE11" s="520">
        <f t="shared" si="17"/>
        <v>0</v>
      </c>
      <c r="BF11" s="901">
        <f t="shared" si="18"/>
        <v>0</v>
      </c>
      <c r="BG11" s="901">
        <f t="shared" si="19"/>
        <v>0</v>
      </c>
      <c r="BH11" s="901">
        <f t="shared" si="20"/>
        <v>0</v>
      </c>
      <c r="BI11" s="533">
        <f t="shared" si="21"/>
        <v>0</v>
      </c>
      <c r="BJ11" s="905">
        <f t="shared" si="22"/>
        <v>0</v>
      </c>
      <c r="BK11" s="28">
        <f t="shared" si="23"/>
        <v>0</v>
      </c>
      <c r="BL11" s="28"/>
      <c r="BM11" s="28">
        <f t="shared" si="24"/>
        <v>0</v>
      </c>
      <c r="BN11" s="522">
        <f t="shared" si="25"/>
        <v>0</v>
      </c>
      <c r="BO11" s="28">
        <f t="shared" si="26"/>
        <v>0</v>
      </c>
      <c r="BP11" s="28">
        <f t="shared" si="27"/>
        <v>0</v>
      </c>
      <c r="BQ11" s="522">
        <f t="shared" si="28"/>
        <v>0</v>
      </c>
      <c r="BR11" s="28">
        <f t="shared" si="29"/>
        <v>0</v>
      </c>
      <c r="BS11" s="28">
        <f t="shared" si="30"/>
        <v>0</v>
      </c>
      <c r="BT11" s="28">
        <f t="shared" si="31"/>
        <v>0</v>
      </c>
      <c r="BU11" s="925">
        <f t="shared" si="32"/>
        <v>0</v>
      </c>
    </row>
    <row r="12" spans="1:73" ht="24.95" customHeight="1" x14ac:dyDescent="0.2">
      <c r="A12" s="402">
        <v>4</v>
      </c>
      <c r="B12" s="518" t="str">
        <f>dtsiswa!D10</f>
        <v>Antonio Permata A</v>
      </c>
      <c r="C12" s="535" t="s">
        <v>4</v>
      </c>
      <c r="D12" s="542"/>
      <c r="E12" s="22"/>
      <c r="F12" s="22"/>
      <c r="G12" s="22"/>
      <c r="H12" s="522" t="str">
        <f t="shared" si="0"/>
        <v xml:space="preserve">  </v>
      </c>
      <c r="I12" s="23"/>
      <c r="J12" s="23"/>
      <c r="K12" s="23"/>
      <c r="L12" s="23"/>
      <c r="M12" s="23"/>
      <c r="N12" s="23"/>
      <c r="O12" s="522" t="str">
        <f t="shared" si="33"/>
        <v xml:space="preserve">  </v>
      </c>
      <c r="P12" s="23"/>
      <c r="Q12" s="23"/>
      <c r="R12" s="23"/>
      <c r="S12" s="283"/>
      <c r="T12" s="283"/>
      <c r="U12" s="522" t="str">
        <f t="shared" si="1"/>
        <v xml:space="preserve">  </v>
      </c>
      <c r="V12" s="283"/>
      <c r="W12" s="283"/>
      <c r="X12" s="283"/>
      <c r="Y12" s="283"/>
      <c r="Z12" s="283"/>
      <c r="AA12" s="283"/>
      <c r="AB12" s="538" t="str">
        <f t="shared" si="2"/>
        <v xml:space="preserve">  </v>
      </c>
      <c r="AC12" s="19">
        <f t="shared" si="34"/>
        <v>0</v>
      </c>
      <c r="AD12" s="19">
        <f t="shared" si="35"/>
        <v>0</v>
      </c>
      <c r="AE12" s="19">
        <f t="shared" si="36"/>
        <v>0</v>
      </c>
      <c r="AF12" s="19">
        <f t="shared" si="37"/>
        <v>0</v>
      </c>
      <c r="AG12" s="20">
        <f t="shared" si="38"/>
        <v>0</v>
      </c>
      <c r="AH12" s="523">
        <f t="shared" si="39"/>
        <v>0</v>
      </c>
      <c r="AI12" s="523">
        <f t="shared" si="40"/>
        <v>0</v>
      </c>
      <c r="AJ12" s="523">
        <f t="shared" si="41"/>
        <v>0</v>
      </c>
      <c r="AK12" s="523">
        <f t="shared" si="42"/>
        <v>0</v>
      </c>
      <c r="AL12" s="523">
        <f t="shared" si="43"/>
        <v>0</v>
      </c>
      <c r="AM12" s="523">
        <f t="shared" si="44"/>
        <v>0</v>
      </c>
      <c r="AN12" s="20">
        <f t="shared" si="45"/>
        <v>0</v>
      </c>
      <c r="AO12" s="65">
        <f t="shared" si="46"/>
        <v>0</v>
      </c>
      <c r="AP12" s="65">
        <f t="shared" si="47"/>
        <v>0</v>
      </c>
      <c r="AQ12" s="65">
        <f t="shared" si="48"/>
        <v>0</v>
      </c>
      <c r="AR12" s="65">
        <f t="shared" si="49"/>
        <v>0</v>
      </c>
      <c r="AS12" s="528">
        <f t="shared" si="50"/>
        <v>0</v>
      </c>
      <c r="AT12" s="532">
        <f t="shared" si="7"/>
        <v>0</v>
      </c>
      <c r="AU12" s="26">
        <f t="shared" si="8"/>
        <v>0</v>
      </c>
      <c r="AV12" s="26">
        <f t="shared" si="9"/>
        <v>0</v>
      </c>
      <c r="AW12" s="520">
        <f t="shared" si="10"/>
        <v>0</v>
      </c>
      <c r="AX12" s="26">
        <f t="shared" si="11"/>
        <v>0</v>
      </c>
      <c r="AY12" s="26">
        <f t="shared" si="12"/>
        <v>0</v>
      </c>
      <c r="AZ12" s="26">
        <f t="shared" si="13"/>
        <v>0</v>
      </c>
      <c r="BA12" s="520">
        <f t="shared" si="51"/>
        <v>0</v>
      </c>
      <c r="BB12" s="26">
        <f t="shared" si="14"/>
        <v>0</v>
      </c>
      <c r="BC12" s="26">
        <f t="shared" si="15"/>
        <v>0</v>
      </c>
      <c r="BD12" s="26">
        <f t="shared" si="16"/>
        <v>0</v>
      </c>
      <c r="BE12" s="520">
        <f t="shared" si="17"/>
        <v>0</v>
      </c>
      <c r="BF12" s="901">
        <f t="shared" si="18"/>
        <v>0</v>
      </c>
      <c r="BG12" s="901">
        <f t="shared" si="19"/>
        <v>0</v>
      </c>
      <c r="BH12" s="901">
        <f t="shared" si="20"/>
        <v>0</v>
      </c>
      <c r="BI12" s="533">
        <f t="shared" si="21"/>
        <v>0</v>
      </c>
      <c r="BJ12" s="905">
        <f t="shared" si="22"/>
        <v>0</v>
      </c>
      <c r="BK12" s="28">
        <f t="shared" si="23"/>
        <v>0</v>
      </c>
      <c r="BL12" s="28"/>
      <c r="BM12" s="28">
        <f t="shared" si="24"/>
        <v>0</v>
      </c>
      <c r="BN12" s="522">
        <f t="shared" si="25"/>
        <v>0</v>
      </c>
      <c r="BO12" s="28">
        <f t="shared" si="26"/>
        <v>0</v>
      </c>
      <c r="BP12" s="28">
        <f t="shared" si="27"/>
        <v>0</v>
      </c>
      <c r="BQ12" s="522">
        <f t="shared" si="28"/>
        <v>0</v>
      </c>
      <c r="BR12" s="28">
        <f t="shared" si="29"/>
        <v>0</v>
      </c>
      <c r="BS12" s="28">
        <f t="shared" si="30"/>
        <v>0</v>
      </c>
      <c r="BT12" s="28">
        <f t="shared" si="31"/>
        <v>0</v>
      </c>
      <c r="BU12" s="925">
        <f t="shared" si="32"/>
        <v>0</v>
      </c>
    </row>
    <row r="13" spans="1:73" ht="24.95" customHeight="1" x14ac:dyDescent="0.2">
      <c r="A13" s="402">
        <v>5</v>
      </c>
      <c r="B13" s="518" t="str">
        <f>dtsiswa!D11</f>
        <v>Arya Pratama G</v>
      </c>
      <c r="C13" s="534" t="s">
        <v>5</v>
      </c>
      <c r="D13" s="542"/>
      <c r="E13" s="22"/>
      <c r="F13" s="22"/>
      <c r="G13" s="22"/>
      <c r="H13" s="522" t="str">
        <f t="shared" si="0"/>
        <v xml:space="preserve">  </v>
      </c>
      <c r="I13" s="23"/>
      <c r="J13" s="23"/>
      <c r="K13" s="23"/>
      <c r="L13" s="23"/>
      <c r="M13" s="23"/>
      <c r="N13" s="23"/>
      <c r="O13" s="522" t="str">
        <f t="shared" si="33"/>
        <v xml:space="preserve">  </v>
      </c>
      <c r="P13" s="23"/>
      <c r="Q13" s="23"/>
      <c r="R13" s="23"/>
      <c r="S13" s="283"/>
      <c r="T13" s="283"/>
      <c r="U13" s="522" t="str">
        <f t="shared" si="1"/>
        <v xml:space="preserve">  </v>
      </c>
      <c r="V13" s="283"/>
      <c r="W13" s="283"/>
      <c r="X13" s="283"/>
      <c r="Y13" s="283"/>
      <c r="Z13" s="283"/>
      <c r="AA13" s="283"/>
      <c r="AB13" s="538" t="str">
        <f t="shared" si="2"/>
        <v xml:space="preserve">  </v>
      </c>
      <c r="AC13" s="19">
        <f t="shared" si="34"/>
        <v>0</v>
      </c>
      <c r="AD13" s="19">
        <f t="shared" si="35"/>
        <v>0</v>
      </c>
      <c r="AE13" s="19">
        <f t="shared" si="36"/>
        <v>0</v>
      </c>
      <c r="AF13" s="19">
        <f t="shared" si="37"/>
        <v>0</v>
      </c>
      <c r="AG13" s="20">
        <f t="shared" si="38"/>
        <v>0</v>
      </c>
      <c r="AH13" s="523">
        <f t="shared" si="39"/>
        <v>0</v>
      </c>
      <c r="AI13" s="523">
        <f t="shared" si="40"/>
        <v>0</v>
      </c>
      <c r="AJ13" s="523">
        <f t="shared" si="41"/>
        <v>0</v>
      </c>
      <c r="AK13" s="523">
        <f t="shared" si="42"/>
        <v>0</v>
      </c>
      <c r="AL13" s="523">
        <f t="shared" si="43"/>
        <v>0</v>
      </c>
      <c r="AM13" s="523">
        <f t="shared" si="44"/>
        <v>0</v>
      </c>
      <c r="AN13" s="20">
        <f t="shared" si="45"/>
        <v>0</v>
      </c>
      <c r="AO13" s="65">
        <f t="shared" si="46"/>
        <v>0</v>
      </c>
      <c r="AP13" s="65">
        <f t="shared" si="47"/>
        <v>0</v>
      </c>
      <c r="AQ13" s="65">
        <f t="shared" si="48"/>
        <v>0</v>
      </c>
      <c r="AR13" s="65">
        <f t="shared" si="49"/>
        <v>0</v>
      </c>
      <c r="AS13" s="528">
        <f t="shared" si="50"/>
        <v>0</v>
      </c>
      <c r="AT13" s="532">
        <f t="shared" si="7"/>
        <v>0</v>
      </c>
      <c r="AU13" s="26">
        <f t="shared" si="8"/>
        <v>0</v>
      </c>
      <c r="AV13" s="26">
        <f t="shared" si="9"/>
        <v>0</v>
      </c>
      <c r="AW13" s="520">
        <f t="shared" si="10"/>
        <v>0</v>
      </c>
      <c r="AX13" s="26">
        <f t="shared" si="11"/>
        <v>0</v>
      </c>
      <c r="AY13" s="26">
        <f t="shared" si="12"/>
        <v>0</v>
      </c>
      <c r="AZ13" s="26">
        <f t="shared" si="13"/>
        <v>0</v>
      </c>
      <c r="BA13" s="520">
        <f t="shared" si="51"/>
        <v>0</v>
      </c>
      <c r="BB13" s="26">
        <f t="shared" si="14"/>
        <v>0</v>
      </c>
      <c r="BC13" s="26">
        <f t="shared" si="15"/>
        <v>0</v>
      </c>
      <c r="BD13" s="26">
        <f t="shared" si="16"/>
        <v>0</v>
      </c>
      <c r="BE13" s="520">
        <f t="shared" si="17"/>
        <v>0</v>
      </c>
      <c r="BF13" s="901">
        <f t="shared" si="18"/>
        <v>0</v>
      </c>
      <c r="BG13" s="901">
        <f t="shared" si="19"/>
        <v>0</v>
      </c>
      <c r="BH13" s="901">
        <f t="shared" si="20"/>
        <v>0</v>
      </c>
      <c r="BI13" s="533">
        <f t="shared" si="21"/>
        <v>0</v>
      </c>
      <c r="BJ13" s="905">
        <f t="shared" si="22"/>
        <v>0</v>
      </c>
      <c r="BK13" s="28">
        <f t="shared" si="23"/>
        <v>0</v>
      </c>
      <c r="BL13" s="28"/>
      <c r="BM13" s="28">
        <f t="shared" si="24"/>
        <v>0</v>
      </c>
      <c r="BN13" s="522">
        <f t="shared" si="25"/>
        <v>0</v>
      </c>
      <c r="BO13" s="28">
        <f t="shared" si="26"/>
        <v>0</v>
      </c>
      <c r="BP13" s="28">
        <f t="shared" si="27"/>
        <v>0</v>
      </c>
      <c r="BQ13" s="522">
        <f t="shared" si="28"/>
        <v>0</v>
      </c>
      <c r="BR13" s="28">
        <f t="shared" si="29"/>
        <v>0</v>
      </c>
      <c r="BS13" s="28">
        <f t="shared" si="30"/>
        <v>0</v>
      </c>
      <c r="BT13" s="28">
        <f t="shared" si="31"/>
        <v>0</v>
      </c>
      <c r="BU13" s="925">
        <f t="shared" si="32"/>
        <v>0</v>
      </c>
    </row>
    <row r="14" spans="1:73" ht="24.95" customHeight="1" x14ac:dyDescent="0.2">
      <c r="A14" s="402">
        <v>6</v>
      </c>
      <c r="B14" s="518" t="str">
        <f>dtsiswa!D12</f>
        <v>Asyam Hanif Ihsan H</v>
      </c>
      <c r="C14" s="534" t="s">
        <v>5</v>
      </c>
      <c r="D14" s="542"/>
      <c r="E14" s="22"/>
      <c r="F14" s="22"/>
      <c r="G14" s="22"/>
      <c r="H14" s="522" t="str">
        <f t="shared" si="0"/>
        <v xml:space="preserve">  </v>
      </c>
      <c r="I14" s="23"/>
      <c r="J14" s="23"/>
      <c r="K14" s="23"/>
      <c r="L14" s="23"/>
      <c r="M14" s="23"/>
      <c r="N14" s="23"/>
      <c r="O14" s="522" t="str">
        <f t="shared" si="33"/>
        <v xml:space="preserve">  </v>
      </c>
      <c r="P14" s="23"/>
      <c r="Q14" s="23"/>
      <c r="R14" s="23"/>
      <c r="S14" s="283"/>
      <c r="T14" s="283"/>
      <c r="U14" s="522" t="str">
        <f t="shared" si="1"/>
        <v xml:space="preserve">  </v>
      </c>
      <c r="V14" s="283"/>
      <c r="W14" s="283"/>
      <c r="X14" s="283"/>
      <c r="Y14" s="283"/>
      <c r="Z14" s="283"/>
      <c r="AA14" s="283"/>
      <c r="AB14" s="538" t="str">
        <f t="shared" si="2"/>
        <v xml:space="preserve">  </v>
      </c>
      <c r="AC14" s="19">
        <f t="shared" si="34"/>
        <v>0</v>
      </c>
      <c r="AD14" s="19">
        <f t="shared" si="35"/>
        <v>0</v>
      </c>
      <c r="AE14" s="19">
        <f t="shared" si="36"/>
        <v>0</v>
      </c>
      <c r="AF14" s="19">
        <f t="shared" si="37"/>
        <v>0</v>
      </c>
      <c r="AG14" s="20">
        <f t="shared" si="38"/>
        <v>0</v>
      </c>
      <c r="AH14" s="523">
        <f t="shared" si="39"/>
        <v>0</v>
      </c>
      <c r="AI14" s="523">
        <f t="shared" si="40"/>
        <v>0</v>
      </c>
      <c r="AJ14" s="523">
        <f t="shared" si="41"/>
        <v>0</v>
      </c>
      <c r="AK14" s="523">
        <f t="shared" si="42"/>
        <v>0</v>
      </c>
      <c r="AL14" s="523">
        <f t="shared" si="43"/>
        <v>0</v>
      </c>
      <c r="AM14" s="523">
        <f t="shared" si="44"/>
        <v>0</v>
      </c>
      <c r="AN14" s="20">
        <f t="shared" si="45"/>
        <v>0</v>
      </c>
      <c r="AO14" s="65">
        <f t="shared" si="46"/>
        <v>0</v>
      </c>
      <c r="AP14" s="65">
        <f t="shared" si="47"/>
        <v>0</v>
      </c>
      <c r="AQ14" s="65">
        <f t="shared" si="48"/>
        <v>0</v>
      </c>
      <c r="AR14" s="65">
        <f t="shared" si="49"/>
        <v>0</v>
      </c>
      <c r="AS14" s="528">
        <f t="shared" si="50"/>
        <v>0</v>
      </c>
      <c r="AT14" s="532">
        <f t="shared" si="7"/>
        <v>0</v>
      </c>
      <c r="AU14" s="26">
        <f t="shared" si="8"/>
        <v>0</v>
      </c>
      <c r="AV14" s="26">
        <f t="shared" si="9"/>
        <v>0</v>
      </c>
      <c r="AW14" s="520">
        <f t="shared" si="10"/>
        <v>0</v>
      </c>
      <c r="AX14" s="26">
        <f t="shared" si="11"/>
        <v>0</v>
      </c>
      <c r="AY14" s="26">
        <f t="shared" si="12"/>
        <v>0</v>
      </c>
      <c r="AZ14" s="26">
        <f t="shared" si="13"/>
        <v>0</v>
      </c>
      <c r="BA14" s="520">
        <f t="shared" si="51"/>
        <v>0</v>
      </c>
      <c r="BB14" s="26">
        <f t="shared" si="14"/>
        <v>0</v>
      </c>
      <c r="BC14" s="26">
        <f t="shared" si="15"/>
        <v>0</v>
      </c>
      <c r="BD14" s="26">
        <f t="shared" si="16"/>
        <v>0</v>
      </c>
      <c r="BE14" s="520">
        <f t="shared" si="17"/>
        <v>0</v>
      </c>
      <c r="BF14" s="901">
        <f t="shared" si="18"/>
        <v>0</v>
      </c>
      <c r="BG14" s="901">
        <f t="shared" si="19"/>
        <v>0</v>
      </c>
      <c r="BH14" s="901">
        <f t="shared" si="20"/>
        <v>0</v>
      </c>
      <c r="BI14" s="533">
        <f t="shared" si="21"/>
        <v>0</v>
      </c>
      <c r="BJ14" s="905">
        <f t="shared" si="22"/>
        <v>0</v>
      </c>
      <c r="BK14" s="28">
        <f t="shared" si="23"/>
        <v>0</v>
      </c>
      <c r="BL14" s="28"/>
      <c r="BM14" s="28">
        <f t="shared" si="24"/>
        <v>0</v>
      </c>
      <c r="BN14" s="522">
        <f t="shared" si="25"/>
        <v>0</v>
      </c>
      <c r="BO14" s="28">
        <f t="shared" si="26"/>
        <v>0</v>
      </c>
      <c r="BP14" s="28">
        <f t="shared" si="27"/>
        <v>0</v>
      </c>
      <c r="BQ14" s="522">
        <f t="shared" si="28"/>
        <v>0</v>
      </c>
      <c r="BR14" s="28">
        <f t="shared" si="29"/>
        <v>0</v>
      </c>
      <c r="BS14" s="28">
        <f t="shared" si="30"/>
        <v>0</v>
      </c>
      <c r="BT14" s="28">
        <f t="shared" si="31"/>
        <v>0</v>
      </c>
      <c r="BU14" s="925">
        <f t="shared" si="32"/>
        <v>0</v>
      </c>
    </row>
    <row r="15" spans="1:73" ht="24.95" customHeight="1" x14ac:dyDescent="0.2">
      <c r="A15" s="402">
        <v>7</v>
      </c>
      <c r="B15" s="518" t="str">
        <f>dtsiswa!D13</f>
        <v>Athaya Salsabilla Z</v>
      </c>
      <c r="C15" s="534" t="s">
        <v>4</v>
      </c>
      <c r="D15" s="542"/>
      <c r="E15" s="22"/>
      <c r="F15" s="22"/>
      <c r="G15" s="22"/>
      <c r="H15" s="522" t="str">
        <f t="shared" si="0"/>
        <v xml:space="preserve">  </v>
      </c>
      <c r="I15" s="23"/>
      <c r="J15" s="23"/>
      <c r="K15" s="23"/>
      <c r="L15" s="23"/>
      <c r="M15" s="23"/>
      <c r="N15" s="23"/>
      <c r="O15" s="522" t="str">
        <f t="shared" si="33"/>
        <v xml:space="preserve">  </v>
      </c>
      <c r="P15" s="23"/>
      <c r="Q15" s="23"/>
      <c r="R15" s="23"/>
      <c r="S15" s="283"/>
      <c r="T15" s="283"/>
      <c r="U15" s="522" t="str">
        <f t="shared" si="1"/>
        <v xml:space="preserve">  </v>
      </c>
      <c r="V15" s="283"/>
      <c r="W15" s="283"/>
      <c r="X15" s="283"/>
      <c r="Y15" s="283"/>
      <c r="Z15" s="283"/>
      <c r="AA15" s="283"/>
      <c r="AB15" s="538" t="str">
        <f t="shared" si="2"/>
        <v xml:space="preserve">  </v>
      </c>
      <c r="AC15" s="19">
        <f t="shared" si="34"/>
        <v>0</v>
      </c>
      <c r="AD15" s="19">
        <f t="shared" si="35"/>
        <v>0</v>
      </c>
      <c r="AE15" s="19">
        <f t="shared" si="36"/>
        <v>0</v>
      </c>
      <c r="AF15" s="19">
        <f t="shared" si="37"/>
        <v>0</v>
      </c>
      <c r="AG15" s="20">
        <f t="shared" si="38"/>
        <v>0</v>
      </c>
      <c r="AH15" s="523">
        <f t="shared" si="39"/>
        <v>0</v>
      </c>
      <c r="AI15" s="523">
        <f t="shared" si="40"/>
        <v>0</v>
      </c>
      <c r="AJ15" s="523">
        <f t="shared" si="41"/>
        <v>0</v>
      </c>
      <c r="AK15" s="523">
        <f t="shared" si="42"/>
        <v>0</v>
      </c>
      <c r="AL15" s="523">
        <f t="shared" si="43"/>
        <v>0</v>
      </c>
      <c r="AM15" s="523">
        <f t="shared" si="44"/>
        <v>0</v>
      </c>
      <c r="AN15" s="20">
        <f t="shared" si="45"/>
        <v>0</v>
      </c>
      <c r="AO15" s="65">
        <f t="shared" si="46"/>
        <v>0</v>
      </c>
      <c r="AP15" s="65">
        <f t="shared" si="47"/>
        <v>0</v>
      </c>
      <c r="AQ15" s="65">
        <f t="shared" si="48"/>
        <v>0</v>
      </c>
      <c r="AR15" s="65">
        <f t="shared" si="49"/>
        <v>0</v>
      </c>
      <c r="AS15" s="528">
        <f t="shared" si="50"/>
        <v>0</v>
      </c>
      <c r="AT15" s="532">
        <f t="shared" si="7"/>
        <v>0</v>
      </c>
      <c r="AU15" s="26">
        <f t="shared" si="8"/>
        <v>0</v>
      </c>
      <c r="AV15" s="26">
        <f t="shared" si="9"/>
        <v>0</v>
      </c>
      <c r="AW15" s="520">
        <f t="shared" si="10"/>
        <v>0</v>
      </c>
      <c r="AX15" s="26">
        <f t="shared" si="11"/>
        <v>0</v>
      </c>
      <c r="AY15" s="26">
        <f t="shared" si="12"/>
        <v>0</v>
      </c>
      <c r="AZ15" s="26">
        <f t="shared" si="13"/>
        <v>0</v>
      </c>
      <c r="BA15" s="520">
        <f t="shared" si="51"/>
        <v>0</v>
      </c>
      <c r="BB15" s="26">
        <f t="shared" si="14"/>
        <v>0</v>
      </c>
      <c r="BC15" s="26">
        <f t="shared" si="15"/>
        <v>0</v>
      </c>
      <c r="BD15" s="26">
        <f t="shared" si="16"/>
        <v>0</v>
      </c>
      <c r="BE15" s="520">
        <f t="shared" si="17"/>
        <v>0</v>
      </c>
      <c r="BF15" s="901">
        <f t="shared" si="18"/>
        <v>0</v>
      </c>
      <c r="BG15" s="901">
        <f t="shared" si="19"/>
        <v>0</v>
      </c>
      <c r="BH15" s="901">
        <f t="shared" si="20"/>
        <v>0</v>
      </c>
      <c r="BI15" s="533">
        <f t="shared" si="21"/>
        <v>0</v>
      </c>
      <c r="BJ15" s="905">
        <f t="shared" si="22"/>
        <v>0</v>
      </c>
      <c r="BK15" s="28">
        <f t="shared" si="23"/>
        <v>0</v>
      </c>
      <c r="BL15" s="28"/>
      <c r="BM15" s="28">
        <f t="shared" si="24"/>
        <v>0</v>
      </c>
      <c r="BN15" s="522">
        <f t="shared" si="25"/>
        <v>0</v>
      </c>
      <c r="BO15" s="28">
        <f t="shared" si="26"/>
        <v>0</v>
      </c>
      <c r="BP15" s="28">
        <f t="shared" si="27"/>
        <v>0</v>
      </c>
      <c r="BQ15" s="522">
        <f t="shared" si="28"/>
        <v>0</v>
      </c>
      <c r="BR15" s="28">
        <f t="shared" si="29"/>
        <v>0</v>
      </c>
      <c r="BS15" s="28">
        <f t="shared" si="30"/>
        <v>0</v>
      </c>
      <c r="BT15" s="28">
        <f t="shared" si="31"/>
        <v>0</v>
      </c>
      <c r="BU15" s="925">
        <f t="shared" si="32"/>
        <v>0</v>
      </c>
    </row>
    <row r="16" spans="1:73" ht="24.95" customHeight="1" x14ac:dyDescent="0.2">
      <c r="A16" s="402">
        <v>8</v>
      </c>
      <c r="B16" s="518" t="str">
        <f>dtsiswa!D14</f>
        <v>Aulia Dea Rosalinda</v>
      </c>
      <c r="C16" s="534" t="s">
        <v>4</v>
      </c>
      <c r="D16" s="542"/>
      <c r="E16" s="22"/>
      <c r="F16" s="22"/>
      <c r="G16" s="22"/>
      <c r="H16" s="522" t="str">
        <f t="shared" si="0"/>
        <v xml:space="preserve">  </v>
      </c>
      <c r="I16" s="23"/>
      <c r="J16" s="23"/>
      <c r="K16" s="23"/>
      <c r="L16" s="23"/>
      <c r="M16" s="23"/>
      <c r="N16" s="23"/>
      <c r="O16" s="522" t="str">
        <f t="shared" si="33"/>
        <v xml:space="preserve">  </v>
      </c>
      <c r="P16" s="23"/>
      <c r="Q16" s="23"/>
      <c r="R16" s="23"/>
      <c r="S16" s="283"/>
      <c r="T16" s="283"/>
      <c r="U16" s="522" t="str">
        <f t="shared" si="1"/>
        <v xml:space="preserve">  </v>
      </c>
      <c r="V16" s="283"/>
      <c r="W16" s="283"/>
      <c r="X16" s="283"/>
      <c r="Y16" s="283"/>
      <c r="Z16" s="283"/>
      <c r="AA16" s="283"/>
      <c r="AB16" s="538" t="str">
        <f t="shared" si="2"/>
        <v xml:space="preserve">  </v>
      </c>
      <c r="AC16" s="19">
        <f t="shared" si="34"/>
        <v>0</v>
      </c>
      <c r="AD16" s="19">
        <f t="shared" si="35"/>
        <v>0</v>
      </c>
      <c r="AE16" s="19">
        <f t="shared" si="36"/>
        <v>0</v>
      </c>
      <c r="AF16" s="19">
        <f t="shared" si="37"/>
        <v>0</v>
      </c>
      <c r="AG16" s="20">
        <f t="shared" si="38"/>
        <v>0</v>
      </c>
      <c r="AH16" s="523">
        <f t="shared" si="39"/>
        <v>0</v>
      </c>
      <c r="AI16" s="523">
        <f t="shared" si="40"/>
        <v>0</v>
      </c>
      <c r="AJ16" s="523">
        <f t="shared" si="41"/>
        <v>0</v>
      </c>
      <c r="AK16" s="523">
        <f t="shared" si="42"/>
        <v>0</v>
      </c>
      <c r="AL16" s="523">
        <f t="shared" si="43"/>
        <v>0</v>
      </c>
      <c r="AM16" s="523">
        <f t="shared" si="44"/>
        <v>0</v>
      </c>
      <c r="AN16" s="20">
        <f t="shared" si="45"/>
        <v>0</v>
      </c>
      <c r="AO16" s="65">
        <f t="shared" si="46"/>
        <v>0</v>
      </c>
      <c r="AP16" s="65">
        <f t="shared" si="47"/>
        <v>0</v>
      </c>
      <c r="AQ16" s="65">
        <f t="shared" si="48"/>
        <v>0</v>
      </c>
      <c r="AR16" s="65">
        <f t="shared" si="49"/>
        <v>0</v>
      </c>
      <c r="AS16" s="528">
        <f t="shared" si="50"/>
        <v>0</v>
      </c>
      <c r="AT16" s="532">
        <f t="shared" si="7"/>
        <v>0</v>
      </c>
      <c r="AU16" s="26">
        <f t="shared" si="8"/>
        <v>0</v>
      </c>
      <c r="AV16" s="26">
        <f t="shared" si="9"/>
        <v>0</v>
      </c>
      <c r="AW16" s="520">
        <f t="shared" si="10"/>
        <v>0</v>
      </c>
      <c r="AX16" s="26">
        <f t="shared" si="11"/>
        <v>0</v>
      </c>
      <c r="AY16" s="26">
        <f t="shared" si="12"/>
        <v>0</v>
      </c>
      <c r="AZ16" s="26">
        <f t="shared" si="13"/>
        <v>0</v>
      </c>
      <c r="BA16" s="520">
        <f t="shared" si="51"/>
        <v>0</v>
      </c>
      <c r="BB16" s="26">
        <f t="shared" si="14"/>
        <v>0</v>
      </c>
      <c r="BC16" s="26">
        <f t="shared" si="15"/>
        <v>0</v>
      </c>
      <c r="BD16" s="26">
        <f t="shared" si="16"/>
        <v>0</v>
      </c>
      <c r="BE16" s="520">
        <f t="shared" si="17"/>
        <v>0</v>
      </c>
      <c r="BF16" s="901">
        <f t="shared" si="18"/>
        <v>0</v>
      </c>
      <c r="BG16" s="901">
        <f t="shared" si="19"/>
        <v>0</v>
      </c>
      <c r="BH16" s="901">
        <f t="shared" si="20"/>
        <v>0</v>
      </c>
      <c r="BI16" s="533">
        <f t="shared" si="21"/>
        <v>0</v>
      </c>
      <c r="BJ16" s="905">
        <f t="shared" si="22"/>
        <v>0</v>
      </c>
      <c r="BK16" s="28">
        <f t="shared" si="23"/>
        <v>0</v>
      </c>
      <c r="BL16" s="28"/>
      <c r="BM16" s="28">
        <f t="shared" si="24"/>
        <v>0</v>
      </c>
      <c r="BN16" s="522">
        <f t="shared" si="25"/>
        <v>0</v>
      </c>
      <c r="BO16" s="28">
        <f t="shared" si="26"/>
        <v>0</v>
      </c>
      <c r="BP16" s="28">
        <f t="shared" si="27"/>
        <v>0</v>
      </c>
      <c r="BQ16" s="522">
        <f t="shared" si="28"/>
        <v>0</v>
      </c>
      <c r="BR16" s="28">
        <f t="shared" si="29"/>
        <v>0</v>
      </c>
      <c r="BS16" s="28">
        <f t="shared" si="30"/>
        <v>0</v>
      </c>
      <c r="BT16" s="28">
        <f t="shared" si="31"/>
        <v>0</v>
      </c>
      <c r="BU16" s="925">
        <f t="shared" si="32"/>
        <v>0</v>
      </c>
    </row>
    <row r="17" spans="1:73" ht="24.95" customHeight="1" x14ac:dyDescent="0.2">
      <c r="A17" s="402">
        <v>9</v>
      </c>
      <c r="B17" s="518" t="str">
        <f>dtsiswa!D15</f>
        <v>Claudia Gabriella L</v>
      </c>
      <c r="C17" s="534" t="s">
        <v>4</v>
      </c>
      <c r="D17" s="542"/>
      <c r="E17" s="22"/>
      <c r="F17" s="22"/>
      <c r="G17" s="22"/>
      <c r="H17" s="522" t="str">
        <f t="shared" si="0"/>
        <v xml:space="preserve">  </v>
      </c>
      <c r="I17" s="23"/>
      <c r="J17" s="23"/>
      <c r="K17" s="23"/>
      <c r="L17" s="23"/>
      <c r="M17" s="23"/>
      <c r="N17" s="23"/>
      <c r="O17" s="522" t="str">
        <f t="shared" si="33"/>
        <v xml:space="preserve">  </v>
      </c>
      <c r="P17" s="23"/>
      <c r="Q17" s="23"/>
      <c r="R17" s="23"/>
      <c r="S17" s="283"/>
      <c r="T17" s="283"/>
      <c r="U17" s="522" t="str">
        <f t="shared" si="1"/>
        <v xml:space="preserve">  </v>
      </c>
      <c r="V17" s="283"/>
      <c r="W17" s="283"/>
      <c r="X17" s="283"/>
      <c r="Y17" s="283"/>
      <c r="Z17" s="283"/>
      <c r="AA17" s="283"/>
      <c r="AB17" s="538" t="str">
        <f t="shared" si="2"/>
        <v xml:space="preserve">  </v>
      </c>
      <c r="AC17" s="19">
        <f t="shared" si="34"/>
        <v>0</v>
      </c>
      <c r="AD17" s="19">
        <f t="shared" si="35"/>
        <v>0</v>
      </c>
      <c r="AE17" s="19">
        <f t="shared" si="36"/>
        <v>0</v>
      </c>
      <c r="AF17" s="19">
        <f t="shared" si="37"/>
        <v>0</v>
      </c>
      <c r="AG17" s="20">
        <f t="shared" si="38"/>
        <v>0</v>
      </c>
      <c r="AH17" s="523">
        <f t="shared" si="39"/>
        <v>0</v>
      </c>
      <c r="AI17" s="523">
        <f t="shared" si="40"/>
        <v>0</v>
      </c>
      <c r="AJ17" s="523">
        <f t="shared" si="41"/>
        <v>0</v>
      </c>
      <c r="AK17" s="523">
        <f t="shared" si="42"/>
        <v>0</v>
      </c>
      <c r="AL17" s="523">
        <f t="shared" si="43"/>
        <v>0</v>
      </c>
      <c r="AM17" s="523">
        <f t="shared" si="44"/>
        <v>0</v>
      </c>
      <c r="AN17" s="20">
        <f t="shared" si="45"/>
        <v>0</v>
      </c>
      <c r="AO17" s="65">
        <f t="shared" si="46"/>
        <v>0</v>
      </c>
      <c r="AP17" s="65">
        <f t="shared" si="47"/>
        <v>0</v>
      </c>
      <c r="AQ17" s="65">
        <f t="shared" si="48"/>
        <v>0</v>
      </c>
      <c r="AR17" s="65">
        <f t="shared" si="49"/>
        <v>0</v>
      </c>
      <c r="AS17" s="528">
        <f t="shared" si="50"/>
        <v>0</v>
      </c>
      <c r="AT17" s="532">
        <f t="shared" si="7"/>
        <v>0</v>
      </c>
      <c r="AU17" s="26">
        <f t="shared" si="8"/>
        <v>0</v>
      </c>
      <c r="AV17" s="26">
        <f t="shared" si="9"/>
        <v>0</v>
      </c>
      <c r="AW17" s="520">
        <f t="shared" si="10"/>
        <v>0</v>
      </c>
      <c r="AX17" s="26">
        <f t="shared" si="11"/>
        <v>0</v>
      </c>
      <c r="AY17" s="26">
        <f t="shared" si="12"/>
        <v>0</v>
      </c>
      <c r="AZ17" s="26">
        <f t="shared" si="13"/>
        <v>0</v>
      </c>
      <c r="BA17" s="520">
        <f t="shared" si="51"/>
        <v>0</v>
      </c>
      <c r="BB17" s="26">
        <f t="shared" si="14"/>
        <v>0</v>
      </c>
      <c r="BC17" s="26">
        <f t="shared" si="15"/>
        <v>0</v>
      </c>
      <c r="BD17" s="26">
        <f t="shared" si="16"/>
        <v>0</v>
      </c>
      <c r="BE17" s="520">
        <f t="shared" si="17"/>
        <v>0</v>
      </c>
      <c r="BF17" s="901">
        <f t="shared" si="18"/>
        <v>0</v>
      </c>
      <c r="BG17" s="901">
        <f t="shared" si="19"/>
        <v>0</v>
      </c>
      <c r="BH17" s="901">
        <f t="shared" si="20"/>
        <v>0</v>
      </c>
      <c r="BI17" s="533">
        <f t="shared" si="21"/>
        <v>0</v>
      </c>
      <c r="BJ17" s="905">
        <f t="shared" si="22"/>
        <v>0</v>
      </c>
      <c r="BK17" s="28">
        <f t="shared" si="23"/>
        <v>0</v>
      </c>
      <c r="BL17" s="28"/>
      <c r="BM17" s="28">
        <f t="shared" si="24"/>
        <v>0</v>
      </c>
      <c r="BN17" s="522">
        <f t="shared" si="25"/>
        <v>0</v>
      </c>
      <c r="BO17" s="28">
        <f t="shared" si="26"/>
        <v>0</v>
      </c>
      <c r="BP17" s="28">
        <f t="shared" si="27"/>
        <v>0</v>
      </c>
      <c r="BQ17" s="522">
        <f t="shared" si="28"/>
        <v>0</v>
      </c>
      <c r="BR17" s="28">
        <f t="shared" si="29"/>
        <v>0</v>
      </c>
      <c r="BS17" s="28">
        <f t="shared" si="30"/>
        <v>0</v>
      </c>
      <c r="BT17" s="28">
        <f t="shared" si="31"/>
        <v>0</v>
      </c>
      <c r="BU17" s="925">
        <f t="shared" si="32"/>
        <v>0</v>
      </c>
    </row>
    <row r="18" spans="1:73" ht="24.95" customHeight="1" x14ac:dyDescent="0.2">
      <c r="A18" s="402">
        <v>10</v>
      </c>
      <c r="B18" s="518" t="str">
        <f>dtsiswa!D16</f>
        <v xml:space="preserve">Deco Badarus Zaman </v>
      </c>
      <c r="C18" s="534" t="s">
        <v>4</v>
      </c>
      <c r="D18" s="542"/>
      <c r="E18" s="22"/>
      <c r="F18" s="22"/>
      <c r="G18" s="22"/>
      <c r="H18" s="522" t="str">
        <f t="shared" si="0"/>
        <v xml:space="preserve">  </v>
      </c>
      <c r="I18" s="23"/>
      <c r="J18" s="23"/>
      <c r="K18" s="23"/>
      <c r="L18" s="23"/>
      <c r="M18" s="23"/>
      <c r="N18" s="23"/>
      <c r="O18" s="522" t="str">
        <f t="shared" si="33"/>
        <v xml:space="preserve">  </v>
      </c>
      <c r="P18" s="23"/>
      <c r="Q18" s="23"/>
      <c r="R18" s="23"/>
      <c r="S18" s="283"/>
      <c r="T18" s="283"/>
      <c r="U18" s="522" t="str">
        <f t="shared" si="1"/>
        <v xml:space="preserve">  </v>
      </c>
      <c r="V18" s="283"/>
      <c r="W18" s="283"/>
      <c r="X18" s="283"/>
      <c r="Y18" s="283"/>
      <c r="Z18" s="283"/>
      <c r="AA18" s="283"/>
      <c r="AB18" s="538" t="str">
        <f t="shared" si="2"/>
        <v xml:space="preserve">  </v>
      </c>
      <c r="AC18" s="19">
        <f t="shared" si="34"/>
        <v>0</v>
      </c>
      <c r="AD18" s="19">
        <f t="shared" si="35"/>
        <v>0</v>
      </c>
      <c r="AE18" s="19">
        <f t="shared" si="36"/>
        <v>0</v>
      </c>
      <c r="AF18" s="19">
        <f t="shared" si="37"/>
        <v>0</v>
      </c>
      <c r="AG18" s="20">
        <f t="shared" si="38"/>
        <v>0</v>
      </c>
      <c r="AH18" s="523">
        <f t="shared" si="39"/>
        <v>0</v>
      </c>
      <c r="AI18" s="523">
        <f t="shared" si="40"/>
        <v>0</v>
      </c>
      <c r="AJ18" s="523">
        <f t="shared" si="41"/>
        <v>0</v>
      </c>
      <c r="AK18" s="523">
        <f t="shared" si="42"/>
        <v>0</v>
      </c>
      <c r="AL18" s="523">
        <f t="shared" si="43"/>
        <v>0</v>
      </c>
      <c r="AM18" s="523">
        <f t="shared" si="44"/>
        <v>0</v>
      </c>
      <c r="AN18" s="20">
        <f t="shared" si="45"/>
        <v>0</v>
      </c>
      <c r="AO18" s="65">
        <f t="shared" si="46"/>
        <v>0</v>
      </c>
      <c r="AP18" s="65">
        <f t="shared" si="47"/>
        <v>0</v>
      </c>
      <c r="AQ18" s="65">
        <f t="shared" si="48"/>
        <v>0</v>
      </c>
      <c r="AR18" s="65">
        <f t="shared" si="49"/>
        <v>0</v>
      </c>
      <c r="AS18" s="528">
        <f t="shared" si="50"/>
        <v>0</v>
      </c>
      <c r="AT18" s="532">
        <f t="shared" si="7"/>
        <v>0</v>
      </c>
      <c r="AU18" s="26">
        <f t="shared" si="8"/>
        <v>0</v>
      </c>
      <c r="AV18" s="26">
        <f t="shared" si="9"/>
        <v>0</v>
      </c>
      <c r="AW18" s="520">
        <f t="shared" si="10"/>
        <v>0</v>
      </c>
      <c r="AX18" s="26">
        <f t="shared" si="11"/>
        <v>0</v>
      </c>
      <c r="AY18" s="26">
        <f t="shared" si="12"/>
        <v>0</v>
      </c>
      <c r="AZ18" s="26">
        <f t="shared" si="13"/>
        <v>0</v>
      </c>
      <c r="BA18" s="520">
        <f t="shared" si="51"/>
        <v>0</v>
      </c>
      <c r="BB18" s="26">
        <f t="shared" si="14"/>
        <v>0</v>
      </c>
      <c r="BC18" s="26">
        <f t="shared" si="15"/>
        <v>0</v>
      </c>
      <c r="BD18" s="26">
        <f t="shared" si="16"/>
        <v>0</v>
      </c>
      <c r="BE18" s="520">
        <f t="shared" si="17"/>
        <v>0</v>
      </c>
      <c r="BF18" s="901">
        <f t="shared" si="18"/>
        <v>0</v>
      </c>
      <c r="BG18" s="901">
        <f t="shared" si="19"/>
        <v>0</v>
      </c>
      <c r="BH18" s="901">
        <f t="shared" si="20"/>
        <v>0</v>
      </c>
      <c r="BI18" s="533">
        <f t="shared" si="21"/>
        <v>0</v>
      </c>
      <c r="BJ18" s="905">
        <f t="shared" si="22"/>
        <v>0</v>
      </c>
      <c r="BK18" s="28">
        <f t="shared" si="23"/>
        <v>0</v>
      </c>
      <c r="BL18" s="28"/>
      <c r="BM18" s="28">
        <f t="shared" si="24"/>
        <v>0</v>
      </c>
      <c r="BN18" s="522">
        <f t="shared" si="25"/>
        <v>0</v>
      </c>
      <c r="BO18" s="28">
        <f t="shared" si="26"/>
        <v>0</v>
      </c>
      <c r="BP18" s="28">
        <f t="shared" si="27"/>
        <v>0</v>
      </c>
      <c r="BQ18" s="522">
        <f t="shared" si="28"/>
        <v>0</v>
      </c>
      <c r="BR18" s="28">
        <f t="shared" si="29"/>
        <v>0</v>
      </c>
      <c r="BS18" s="28">
        <f t="shared" si="30"/>
        <v>0</v>
      </c>
      <c r="BT18" s="28">
        <f t="shared" si="31"/>
        <v>0</v>
      </c>
      <c r="BU18" s="925">
        <f t="shared" si="32"/>
        <v>0</v>
      </c>
    </row>
    <row r="19" spans="1:73" ht="24.95" customHeight="1" x14ac:dyDescent="0.2">
      <c r="A19" s="402">
        <v>11</v>
      </c>
      <c r="B19" s="518" t="str">
        <f>dtsiswa!D17</f>
        <v>Fania Mutiara Felichia</v>
      </c>
      <c r="C19" s="534" t="s">
        <v>4</v>
      </c>
      <c r="D19" s="542"/>
      <c r="E19" s="22"/>
      <c r="F19" s="22"/>
      <c r="G19" s="22"/>
      <c r="H19" s="522" t="str">
        <f t="shared" si="0"/>
        <v xml:space="preserve">  </v>
      </c>
      <c r="I19" s="23"/>
      <c r="J19" s="23"/>
      <c r="K19" s="23"/>
      <c r="L19" s="23"/>
      <c r="M19" s="23"/>
      <c r="N19" s="23"/>
      <c r="O19" s="522" t="str">
        <f t="shared" si="33"/>
        <v xml:space="preserve">  </v>
      </c>
      <c r="P19" s="23"/>
      <c r="Q19" s="23"/>
      <c r="R19" s="23"/>
      <c r="S19" s="283"/>
      <c r="T19" s="283"/>
      <c r="U19" s="522" t="str">
        <f t="shared" si="1"/>
        <v xml:space="preserve">  </v>
      </c>
      <c r="V19" s="283"/>
      <c r="W19" s="283"/>
      <c r="X19" s="283"/>
      <c r="Y19" s="283"/>
      <c r="Z19" s="283"/>
      <c r="AA19" s="283"/>
      <c r="AB19" s="538" t="str">
        <f t="shared" si="2"/>
        <v xml:space="preserve">  </v>
      </c>
      <c r="AC19" s="19">
        <f t="shared" si="34"/>
        <v>0</v>
      </c>
      <c r="AD19" s="19">
        <f t="shared" si="35"/>
        <v>0</v>
      </c>
      <c r="AE19" s="19">
        <f t="shared" si="36"/>
        <v>0</v>
      </c>
      <c r="AF19" s="19">
        <f t="shared" si="37"/>
        <v>0</v>
      </c>
      <c r="AG19" s="20">
        <f t="shared" si="38"/>
        <v>0</v>
      </c>
      <c r="AH19" s="523">
        <f t="shared" si="39"/>
        <v>0</v>
      </c>
      <c r="AI19" s="523">
        <f t="shared" si="40"/>
        <v>0</v>
      </c>
      <c r="AJ19" s="523">
        <f t="shared" si="41"/>
        <v>0</v>
      </c>
      <c r="AK19" s="523">
        <f t="shared" si="42"/>
        <v>0</v>
      </c>
      <c r="AL19" s="523">
        <f t="shared" si="43"/>
        <v>0</v>
      </c>
      <c r="AM19" s="523">
        <f t="shared" si="44"/>
        <v>0</v>
      </c>
      <c r="AN19" s="20">
        <f t="shared" si="45"/>
        <v>0</v>
      </c>
      <c r="AO19" s="65">
        <f t="shared" si="46"/>
        <v>0</v>
      </c>
      <c r="AP19" s="65">
        <f t="shared" si="47"/>
        <v>0</v>
      </c>
      <c r="AQ19" s="65">
        <f t="shared" si="48"/>
        <v>0</v>
      </c>
      <c r="AR19" s="65">
        <f t="shared" si="49"/>
        <v>0</v>
      </c>
      <c r="AS19" s="528">
        <f t="shared" si="50"/>
        <v>0</v>
      </c>
      <c r="AT19" s="532">
        <f t="shared" si="7"/>
        <v>0</v>
      </c>
      <c r="AU19" s="26">
        <f t="shared" si="8"/>
        <v>0</v>
      </c>
      <c r="AV19" s="26">
        <f t="shared" si="9"/>
        <v>0</v>
      </c>
      <c r="AW19" s="520">
        <f t="shared" si="10"/>
        <v>0</v>
      </c>
      <c r="AX19" s="26">
        <f t="shared" si="11"/>
        <v>0</v>
      </c>
      <c r="AY19" s="26">
        <f t="shared" si="12"/>
        <v>0</v>
      </c>
      <c r="AZ19" s="26">
        <f t="shared" si="13"/>
        <v>0</v>
      </c>
      <c r="BA19" s="520">
        <f t="shared" si="51"/>
        <v>0</v>
      </c>
      <c r="BB19" s="26">
        <f t="shared" si="14"/>
        <v>0</v>
      </c>
      <c r="BC19" s="26">
        <f t="shared" si="15"/>
        <v>0</v>
      </c>
      <c r="BD19" s="26">
        <f t="shared" si="16"/>
        <v>0</v>
      </c>
      <c r="BE19" s="520">
        <f t="shared" si="17"/>
        <v>0</v>
      </c>
      <c r="BF19" s="901">
        <f t="shared" si="18"/>
        <v>0</v>
      </c>
      <c r="BG19" s="901">
        <f t="shared" si="19"/>
        <v>0</v>
      </c>
      <c r="BH19" s="901">
        <f t="shared" si="20"/>
        <v>0</v>
      </c>
      <c r="BI19" s="533">
        <f t="shared" si="21"/>
        <v>0</v>
      </c>
      <c r="BJ19" s="905">
        <f t="shared" si="22"/>
        <v>0</v>
      </c>
      <c r="BK19" s="28">
        <f t="shared" si="23"/>
        <v>0</v>
      </c>
      <c r="BL19" s="28"/>
      <c r="BM19" s="28">
        <f t="shared" si="24"/>
        <v>0</v>
      </c>
      <c r="BN19" s="522">
        <f t="shared" si="25"/>
        <v>0</v>
      </c>
      <c r="BO19" s="28">
        <f t="shared" si="26"/>
        <v>0</v>
      </c>
      <c r="BP19" s="28">
        <f t="shared" si="27"/>
        <v>0</v>
      </c>
      <c r="BQ19" s="522">
        <f t="shared" si="28"/>
        <v>0</v>
      </c>
      <c r="BR19" s="28">
        <f t="shared" si="29"/>
        <v>0</v>
      </c>
      <c r="BS19" s="28">
        <f t="shared" si="30"/>
        <v>0</v>
      </c>
      <c r="BT19" s="28">
        <f t="shared" si="31"/>
        <v>0</v>
      </c>
      <c r="BU19" s="925">
        <f t="shared" si="32"/>
        <v>0</v>
      </c>
    </row>
    <row r="20" spans="1:73" ht="24.95" customHeight="1" x14ac:dyDescent="0.2">
      <c r="A20" s="402">
        <v>12</v>
      </c>
      <c r="B20" s="518" t="str">
        <f>dtsiswa!D18</f>
        <v>Intan Dyah Nowari</v>
      </c>
      <c r="C20" s="534" t="s">
        <v>4</v>
      </c>
      <c r="D20" s="542"/>
      <c r="E20" s="22"/>
      <c r="F20" s="22"/>
      <c r="G20" s="22"/>
      <c r="H20" s="522" t="str">
        <f t="shared" si="0"/>
        <v xml:space="preserve">  </v>
      </c>
      <c r="I20" s="23"/>
      <c r="J20" s="23"/>
      <c r="K20" s="23"/>
      <c r="L20" s="23"/>
      <c r="M20" s="23"/>
      <c r="N20" s="23"/>
      <c r="O20" s="522" t="str">
        <f t="shared" si="33"/>
        <v xml:space="preserve">  </v>
      </c>
      <c r="P20" s="23"/>
      <c r="Q20" s="23"/>
      <c r="R20" s="23"/>
      <c r="S20" s="283"/>
      <c r="T20" s="283"/>
      <c r="U20" s="522" t="str">
        <f t="shared" si="1"/>
        <v xml:space="preserve">  </v>
      </c>
      <c r="V20" s="283"/>
      <c r="W20" s="283"/>
      <c r="X20" s="283"/>
      <c r="Y20" s="283"/>
      <c r="Z20" s="283"/>
      <c r="AA20" s="283"/>
      <c r="AB20" s="538" t="str">
        <f t="shared" si="2"/>
        <v xml:space="preserve">  </v>
      </c>
      <c r="AC20" s="19">
        <f t="shared" si="34"/>
        <v>0</v>
      </c>
      <c r="AD20" s="19">
        <f t="shared" si="35"/>
        <v>0</v>
      </c>
      <c r="AE20" s="19">
        <f t="shared" si="36"/>
        <v>0</v>
      </c>
      <c r="AF20" s="19">
        <f t="shared" si="37"/>
        <v>0</v>
      </c>
      <c r="AG20" s="20">
        <f t="shared" si="38"/>
        <v>0</v>
      </c>
      <c r="AH20" s="523">
        <f t="shared" si="39"/>
        <v>0</v>
      </c>
      <c r="AI20" s="523">
        <f t="shared" si="40"/>
        <v>0</v>
      </c>
      <c r="AJ20" s="523">
        <f t="shared" si="41"/>
        <v>0</v>
      </c>
      <c r="AK20" s="523">
        <f t="shared" si="42"/>
        <v>0</v>
      </c>
      <c r="AL20" s="523">
        <f t="shared" si="43"/>
        <v>0</v>
      </c>
      <c r="AM20" s="523">
        <f t="shared" si="44"/>
        <v>0</v>
      </c>
      <c r="AN20" s="20">
        <f t="shared" si="45"/>
        <v>0</v>
      </c>
      <c r="AO20" s="65">
        <f t="shared" si="46"/>
        <v>0</v>
      </c>
      <c r="AP20" s="65">
        <f t="shared" si="47"/>
        <v>0</v>
      </c>
      <c r="AQ20" s="65">
        <f t="shared" si="48"/>
        <v>0</v>
      </c>
      <c r="AR20" s="65">
        <f t="shared" si="49"/>
        <v>0</v>
      </c>
      <c r="AS20" s="528">
        <f t="shared" si="50"/>
        <v>0</v>
      </c>
      <c r="AT20" s="532">
        <f t="shared" si="7"/>
        <v>0</v>
      </c>
      <c r="AU20" s="26">
        <f t="shared" si="8"/>
        <v>0</v>
      </c>
      <c r="AV20" s="26">
        <f t="shared" si="9"/>
        <v>0</v>
      </c>
      <c r="AW20" s="520">
        <f t="shared" si="10"/>
        <v>0</v>
      </c>
      <c r="AX20" s="26">
        <f t="shared" si="11"/>
        <v>0</v>
      </c>
      <c r="AY20" s="26">
        <f t="shared" si="12"/>
        <v>0</v>
      </c>
      <c r="AZ20" s="26">
        <f t="shared" si="13"/>
        <v>0</v>
      </c>
      <c r="BA20" s="520">
        <f t="shared" si="51"/>
        <v>0</v>
      </c>
      <c r="BB20" s="26">
        <f t="shared" si="14"/>
        <v>0</v>
      </c>
      <c r="BC20" s="26">
        <f t="shared" si="15"/>
        <v>0</v>
      </c>
      <c r="BD20" s="26">
        <f t="shared" si="16"/>
        <v>0</v>
      </c>
      <c r="BE20" s="520">
        <f t="shared" si="17"/>
        <v>0</v>
      </c>
      <c r="BF20" s="901">
        <f t="shared" si="18"/>
        <v>0</v>
      </c>
      <c r="BG20" s="901">
        <f t="shared" si="19"/>
        <v>0</v>
      </c>
      <c r="BH20" s="901">
        <f t="shared" si="20"/>
        <v>0</v>
      </c>
      <c r="BI20" s="533">
        <f t="shared" si="21"/>
        <v>0</v>
      </c>
      <c r="BJ20" s="905">
        <f t="shared" si="22"/>
        <v>0</v>
      </c>
      <c r="BK20" s="28">
        <f t="shared" si="23"/>
        <v>0</v>
      </c>
      <c r="BL20" s="28"/>
      <c r="BM20" s="28">
        <f t="shared" si="24"/>
        <v>0</v>
      </c>
      <c r="BN20" s="522">
        <f t="shared" si="25"/>
        <v>0</v>
      </c>
      <c r="BO20" s="28">
        <f t="shared" si="26"/>
        <v>0</v>
      </c>
      <c r="BP20" s="28">
        <f t="shared" si="27"/>
        <v>0</v>
      </c>
      <c r="BQ20" s="522">
        <f t="shared" si="28"/>
        <v>0</v>
      </c>
      <c r="BR20" s="28">
        <f t="shared" si="29"/>
        <v>0</v>
      </c>
      <c r="BS20" s="28">
        <f t="shared" si="30"/>
        <v>0</v>
      </c>
      <c r="BT20" s="28">
        <f t="shared" si="31"/>
        <v>0</v>
      </c>
      <c r="BU20" s="925">
        <f t="shared" si="32"/>
        <v>0</v>
      </c>
    </row>
    <row r="21" spans="1:73" ht="24.95" customHeight="1" x14ac:dyDescent="0.2">
      <c r="A21" s="402">
        <v>13</v>
      </c>
      <c r="B21" s="518" t="str">
        <f>dtsiswa!D19</f>
        <v>Misyanita Nurfitri S</v>
      </c>
      <c r="C21" s="534" t="s">
        <v>5</v>
      </c>
      <c r="D21" s="542"/>
      <c r="E21" s="22"/>
      <c r="F21" s="22"/>
      <c r="G21" s="22"/>
      <c r="H21" s="522" t="str">
        <f t="shared" si="0"/>
        <v xml:space="preserve">  </v>
      </c>
      <c r="I21" s="23"/>
      <c r="J21" s="23"/>
      <c r="K21" s="23"/>
      <c r="L21" s="23"/>
      <c r="M21" s="23"/>
      <c r="N21" s="23"/>
      <c r="O21" s="522" t="str">
        <f t="shared" si="33"/>
        <v xml:space="preserve">  </v>
      </c>
      <c r="P21" s="23"/>
      <c r="Q21" s="23"/>
      <c r="R21" s="23"/>
      <c r="S21" s="283"/>
      <c r="T21" s="283"/>
      <c r="U21" s="522" t="str">
        <f t="shared" si="1"/>
        <v xml:space="preserve">  </v>
      </c>
      <c r="V21" s="283"/>
      <c r="W21" s="283"/>
      <c r="X21" s="283"/>
      <c r="Y21" s="283"/>
      <c r="Z21" s="283"/>
      <c r="AA21" s="283"/>
      <c r="AB21" s="538" t="str">
        <f t="shared" si="2"/>
        <v xml:space="preserve">  </v>
      </c>
      <c r="AC21" s="19">
        <f t="shared" si="34"/>
        <v>0</v>
      </c>
      <c r="AD21" s="19">
        <f t="shared" si="35"/>
        <v>0</v>
      </c>
      <c r="AE21" s="19">
        <f t="shared" si="36"/>
        <v>0</v>
      </c>
      <c r="AF21" s="19">
        <f t="shared" si="37"/>
        <v>0</v>
      </c>
      <c r="AG21" s="20">
        <f t="shared" si="38"/>
        <v>0</v>
      </c>
      <c r="AH21" s="523">
        <f t="shared" si="39"/>
        <v>0</v>
      </c>
      <c r="AI21" s="523">
        <f t="shared" si="40"/>
        <v>0</v>
      </c>
      <c r="AJ21" s="523">
        <f t="shared" si="41"/>
        <v>0</v>
      </c>
      <c r="AK21" s="523">
        <f t="shared" si="42"/>
        <v>0</v>
      </c>
      <c r="AL21" s="523">
        <f t="shared" si="43"/>
        <v>0</v>
      </c>
      <c r="AM21" s="523">
        <f t="shared" si="44"/>
        <v>0</v>
      </c>
      <c r="AN21" s="20">
        <f t="shared" si="45"/>
        <v>0</v>
      </c>
      <c r="AO21" s="65">
        <f t="shared" si="46"/>
        <v>0</v>
      </c>
      <c r="AP21" s="65">
        <f t="shared" si="47"/>
        <v>0</v>
      </c>
      <c r="AQ21" s="65">
        <f t="shared" si="48"/>
        <v>0</v>
      </c>
      <c r="AR21" s="65">
        <f t="shared" si="49"/>
        <v>0</v>
      </c>
      <c r="AS21" s="528">
        <f t="shared" si="50"/>
        <v>0</v>
      </c>
      <c r="AT21" s="532">
        <f t="shared" si="7"/>
        <v>0</v>
      </c>
      <c r="AU21" s="26">
        <f t="shared" si="8"/>
        <v>0</v>
      </c>
      <c r="AV21" s="26">
        <f t="shared" si="9"/>
        <v>0</v>
      </c>
      <c r="AW21" s="520">
        <f t="shared" si="10"/>
        <v>0</v>
      </c>
      <c r="AX21" s="26">
        <f t="shared" si="11"/>
        <v>0</v>
      </c>
      <c r="AY21" s="26">
        <f t="shared" si="12"/>
        <v>0</v>
      </c>
      <c r="AZ21" s="26">
        <f t="shared" si="13"/>
        <v>0</v>
      </c>
      <c r="BA21" s="520">
        <f t="shared" si="51"/>
        <v>0</v>
      </c>
      <c r="BB21" s="26">
        <f t="shared" si="14"/>
        <v>0</v>
      </c>
      <c r="BC21" s="26">
        <f t="shared" si="15"/>
        <v>0</v>
      </c>
      <c r="BD21" s="26">
        <f t="shared" si="16"/>
        <v>0</v>
      </c>
      <c r="BE21" s="520">
        <f t="shared" si="17"/>
        <v>0</v>
      </c>
      <c r="BF21" s="901">
        <f t="shared" si="18"/>
        <v>0</v>
      </c>
      <c r="BG21" s="901">
        <f t="shared" si="19"/>
        <v>0</v>
      </c>
      <c r="BH21" s="901">
        <f t="shared" si="20"/>
        <v>0</v>
      </c>
      <c r="BI21" s="533">
        <f t="shared" si="21"/>
        <v>0</v>
      </c>
      <c r="BJ21" s="905">
        <f t="shared" si="22"/>
        <v>0</v>
      </c>
      <c r="BK21" s="28">
        <f t="shared" si="23"/>
        <v>0</v>
      </c>
      <c r="BL21" s="28"/>
      <c r="BM21" s="28">
        <f t="shared" si="24"/>
        <v>0</v>
      </c>
      <c r="BN21" s="522">
        <f t="shared" si="25"/>
        <v>0</v>
      </c>
      <c r="BO21" s="28">
        <f t="shared" si="26"/>
        <v>0</v>
      </c>
      <c r="BP21" s="28">
        <f t="shared" si="27"/>
        <v>0</v>
      </c>
      <c r="BQ21" s="522">
        <f t="shared" si="28"/>
        <v>0</v>
      </c>
      <c r="BR21" s="28">
        <f t="shared" si="29"/>
        <v>0</v>
      </c>
      <c r="BS21" s="28">
        <f t="shared" si="30"/>
        <v>0</v>
      </c>
      <c r="BT21" s="28">
        <f t="shared" si="31"/>
        <v>0</v>
      </c>
      <c r="BU21" s="925">
        <f t="shared" si="32"/>
        <v>0</v>
      </c>
    </row>
    <row r="22" spans="1:73" ht="24.95" customHeight="1" x14ac:dyDescent="0.2">
      <c r="A22" s="402">
        <v>14</v>
      </c>
      <c r="B22" s="518" t="str">
        <f>dtsiswa!D20</f>
        <v>Moch Zidane Hita L. U</v>
      </c>
      <c r="C22" s="534" t="s">
        <v>4</v>
      </c>
      <c r="D22" s="542"/>
      <c r="E22" s="22"/>
      <c r="F22" s="22"/>
      <c r="G22" s="22"/>
      <c r="H22" s="522" t="str">
        <f t="shared" si="0"/>
        <v xml:space="preserve">  </v>
      </c>
      <c r="I22" s="23"/>
      <c r="J22" s="23"/>
      <c r="K22" s="23"/>
      <c r="L22" s="23"/>
      <c r="M22" s="23"/>
      <c r="N22" s="23"/>
      <c r="O22" s="522" t="str">
        <f t="shared" si="33"/>
        <v xml:space="preserve">  </v>
      </c>
      <c r="P22" s="23"/>
      <c r="Q22" s="23"/>
      <c r="R22" s="23"/>
      <c r="S22" s="283"/>
      <c r="T22" s="283"/>
      <c r="U22" s="522" t="str">
        <f t="shared" si="1"/>
        <v xml:space="preserve">  </v>
      </c>
      <c r="V22" s="283"/>
      <c r="W22" s="283"/>
      <c r="X22" s="283"/>
      <c r="Y22" s="283"/>
      <c r="Z22" s="283"/>
      <c r="AA22" s="283"/>
      <c r="AB22" s="538" t="str">
        <f t="shared" si="2"/>
        <v xml:space="preserve">  </v>
      </c>
      <c r="AC22" s="19">
        <f t="shared" si="34"/>
        <v>0</v>
      </c>
      <c r="AD22" s="19">
        <f t="shared" si="35"/>
        <v>0</v>
      </c>
      <c r="AE22" s="19">
        <f t="shared" si="36"/>
        <v>0</v>
      </c>
      <c r="AF22" s="19">
        <f t="shared" si="37"/>
        <v>0</v>
      </c>
      <c r="AG22" s="20">
        <f t="shared" si="38"/>
        <v>0</v>
      </c>
      <c r="AH22" s="523">
        <f t="shared" si="39"/>
        <v>0</v>
      </c>
      <c r="AI22" s="523">
        <f t="shared" si="40"/>
        <v>0</v>
      </c>
      <c r="AJ22" s="523">
        <f t="shared" si="41"/>
        <v>0</v>
      </c>
      <c r="AK22" s="523">
        <f t="shared" si="42"/>
        <v>0</v>
      </c>
      <c r="AL22" s="523">
        <f t="shared" si="43"/>
        <v>0</v>
      </c>
      <c r="AM22" s="523">
        <f t="shared" si="44"/>
        <v>0</v>
      </c>
      <c r="AN22" s="20">
        <f t="shared" si="45"/>
        <v>0</v>
      </c>
      <c r="AO22" s="65">
        <f t="shared" si="46"/>
        <v>0</v>
      </c>
      <c r="AP22" s="65">
        <f t="shared" si="47"/>
        <v>0</v>
      </c>
      <c r="AQ22" s="65">
        <f t="shared" si="48"/>
        <v>0</v>
      </c>
      <c r="AR22" s="65">
        <f t="shared" si="49"/>
        <v>0</v>
      </c>
      <c r="AS22" s="528">
        <f t="shared" si="50"/>
        <v>0</v>
      </c>
      <c r="AT22" s="532">
        <f t="shared" si="7"/>
        <v>0</v>
      </c>
      <c r="AU22" s="26">
        <f t="shared" si="8"/>
        <v>0</v>
      </c>
      <c r="AV22" s="26">
        <f t="shared" si="9"/>
        <v>0</v>
      </c>
      <c r="AW22" s="520">
        <f t="shared" si="10"/>
        <v>0</v>
      </c>
      <c r="AX22" s="26">
        <f t="shared" si="11"/>
        <v>0</v>
      </c>
      <c r="AY22" s="26">
        <f t="shared" si="12"/>
        <v>0</v>
      </c>
      <c r="AZ22" s="26">
        <f t="shared" si="13"/>
        <v>0</v>
      </c>
      <c r="BA22" s="520">
        <f t="shared" si="51"/>
        <v>0</v>
      </c>
      <c r="BB22" s="26">
        <f t="shared" si="14"/>
        <v>0</v>
      </c>
      <c r="BC22" s="26">
        <f t="shared" si="15"/>
        <v>0</v>
      </c>
      <c r="BD22" s="26">
        <f t="shared" si="16"/>
        <v>0</v>
      </c>
      <c r="BE22" s="520">
        <f t="shared" si="17"/>
        <v>0</v>
      </c>
      <c r="BF22" s="901">
        <f t="shared" si="18"/>
        <v>0</v>
      </c>
      <c r="BG22" s="901">
        <f t="shared" si="19"/>
        <v>0</v>
      </c>
      <c r="BH22" s="901">
        <f t="shared" si="20"/>
        <v>0</v>
      </c>
      <c r="BI22" s="533">
        <f t="shared" si="21"/>
        <v>0</v>
      </c>
      <c r="BJ22" s="905">
        <f t="shared" si="22"/>
        <v>0</v>
      </c>
      <c r="BK22" s="28">
        <f t="shared" si="23"/>
        <v>0</v>
      </c>
      <c r="BL22" s="28"/>
      <c r="BM22" s="28">
        <f t="shared" si="24"/>
        <v>0</v>
      </c>
      <c r="BN22" s="522">
        <f t="shared" si="25"/>
        <v>0</v>
      </c>
      <c r="BO22" s="28">
        <f t="shared" si="26"/>
        <v>0</v>
      </c>
      <c r="BP22" s="28">
        <f t="shared" si="27"/>
        <v>0</v>
      </c>
      <c r="BQ22" s="522">
        <f t="shared" si="28"/>
        <v>0</v>
      </c>
      <c r="BR22" s="28">
        <f t="shared" si="29"/>
        <v>0</v>
      </c>
      <c r="BS22" s="28">
        <f t="shared" si="30"/>
        <v>0</v>
      </c>
      <c r="BT22" s="28">
        <f t="shared" si="31"/>
        <v>0</v>
      </c>
      <c r="BU22" s="925">
        <f t="shared" si="32"/>
        <v>0</v>
      </c>
    </row>
    <row r="23" spans="1:73" ht="24.95" customHeight="1" x14ac:dyDescent="0.2">
      <c r="A23" s="402">
        <v>15</v>
      </c>
      <c r="B23" s="518" t="str">
        <f>dtsiswa!D21</f>
        <v>Muhammad Ibra Maulana</v>
      </c>
      <c r="C23" s="534" t="s">
        <v>4</v>
      </c>
      <c r="D23" s="542"/>
      <c r="E23" s="22"/>
      <c r="F23" s="22"/>
      <c r="G23" s="22"/>
      <c r="H23" s="522" t="str">
        <f t="shared" si="0"/>
        <v xml:space="preserve">  </v>
      </c>
      <c r="I23" s="23"/>
      <c r="J23" s="23"/>
      <c r="K23" s="23"/>
      <c r="L23" s="23"/>
      <c r="M23" s="23"/>
      <c r="N23" s="23"/>
      <c r="O23" s="522" t="str">
        <f t="shared" si="33"/>
        <v xml:space="preserve">  </v>
      </c>
      <c r="P23" s="23"/>
      <c r="Q23" s="23"/>
      <c r="R23" s="23"/>
      <c r="S23" s="283"/>
      <c r="T23" s="283"/>
      <c r="U23" s="522" t="str">
        <f t="shared" si="1"/>
        <v xml:space="preserve">  </v>
      </c>
      <c r="V23" s="283"/>
      <c r="W23" s="283"/>
      <c r="X23" s="283"/>
      <c r="Y23" s="283"/>
      <c r="Z23" s="283"/>
      <c r="AA23" s="283"/>
      <c r="AB23" s="538" t="str">
        <f t="shared" si="2"/>
        <v xml:space="preserve">  </v>
      </c>
      <c r="AC23" s="19">
        <f t="shared" si="34"/>
        <v>0</v>
      </c>
      <c r="AD23" s="19">
        <f t="shared" si="35"/>
        <v>0</v>
      </c>
      <c r="AE23" s="19">
        <f t="shared" si="36"/>
        <v>0</v>
      </c>
      <c r="AF23" s="19">
        <f t="shared" si="37"/>
        <v>0</v>
      </c>
      <c r="AG23" s="20">
        <f t="shared" si="38"/>
        <v>0</v>
      </c>
      <c r="AH23" s="523">
        <f t="shared" si="39"/>
        <v>0</v>
      </c>
      <c r="AI23" s="523">
        <f t="shared" si="40"/>
        <v>0</v>
      </c>
      <c r="AJ23" s="523">
        <f t="shared" si="41"/>
        <v>0</v>
      </c>
      <c r="AK23" s="523">
        <f t="shared" si="42"/>
        <v>0</v>
      </c>
      <c r="AL23" s="523">
        <f t="shared" si="43"/>
        <v>0</v>
      </c>
      <c r="AM23" s="523">
        <f t="shared" si="44"/>
        <v>0</v>
      </c>
      <c r="AN23" s="20">
        <f t="shared" si="45"/>
        <v>0</v>
      </c>
      <c r="AO23" s="65">
        <f t="shared" si="46"/>
        <v>0</v>
      </c>
      <c r="AP23" s="65">
        <f t="shared" si="47"/>
        <v>0</v>
      </c>
      <c r="AQ23" s="65">
        <f t="shared" si="48"/>
        <v>0</v>
      </c>
      <c r="AR23" s="65">
        <f t="shared" si="49"/>
        <v>0</v>
      </c>
      <c r="AS23" s="528">
        <f t="shared" si="50"/>
        <v>0</v>
      </c>
      <c r="AT23" s="532">
        <f t="shared" si="7"/>
        <v>0</v>
      </c>
      <c r="AU23" s="26">
        <f t="shared" si="8"/>
        <v>0</v>
      </c>
      <c r="AV23" s="26">
        <f t="shared" si="9"/>
        <v>0</v>
      </c>
      <c r="AW23" s="520">
        <f t="shared" si="10"/>
        <v>0</v>
      </c>
      <c r="AX23" s="26">
        <f t="shared" si="11"/>
        <v>0</v>
      </c>
      <c r="AY23" s="26">
        <f t="shared" si="12"/>
        <v>0</v>
      </c>
      <c r="AZ23" s="26">
        <f t="shared" si="13"/>
        <v>0</v>
      </c>
      <c r="BA23" s="520">
        <f t="shared" si="51"/>
        <v>0</v>
      </c>
      <c r="BB23" s="26">
        <f t="shared" si="14"/>
        <v>0</v>
      </c>
      <c r="BC23" s="26">
        <f t="shared" si="15"/>
        <v>0</v>
      </c>
      <c r="BD23" s="26">
        <f t="shared" si="16"/>
        <v>0</v>
      </c>
      <c r="BE23" s="520">
        <f t="shared" si="17"/>
        <v>0</v>
      </c>
      <c r="BF23" s="901">
        <f t="shared" si="18"/>
        <v>0</v>
      </c>
      <c r="BG23" s="901">
        <f t="shared" si="19"/>
        <v>0</v>
      </c>
      <c r="BH23" s="901">
        <f t="shared" si="20"/>
        <v>0</v>
      </c>
      <c r="BI23" s="533">
        <f t="shared" si="21"/>
        <v>0</v>
      </c>
      <c r="BJ23" s="905">
        <f t="shared" si="22"/>
        <v>0</v>
      </c>
      <c r="BK23" s="28">
        <f t="shared" si="23"/>
        <v>0</v>
      </c>
      <c r="BL23" s="28"/>
      <c r="BM23" s="28">
        <f t="shared" si="24"/>
        <v>0</v>
      </c>
      <c r="BN23" s="522">
        <f t="shared" si="25"/>
        <v>0</v>
      </c>
      <c r="BO23" s="28">
        <f t="shared" si="26"/>
        <v>0</v>
      </c>
      <c r="BP23" s="28">
        <f t="shared" si="27"/>
        <v>0</v>
      </c>
      <c r="BQ23" s="522">
        <f t="shared" si="28"/>
        <v>0</v>
      </c>
      <c r="BR23" s="28">
        <f t="shared" si="29"/>
        <v>0</v>
      </c>
      <c r="BS23" s="28">
        <f t="shared" si="30"/>
        <v>0</v>
      </c>
      <c r="BT23" s="28">
        <f t="shared" si="31"/>
        <v>0</v>
      </c>
      <c r="BU23" s="925">
        <f t="shared" si="32"/>
        <v>0</v>
      </c>
    </row>
    <row r="24" spans="1:73" ht="24.95" customHeight="1" x14ac:dyDescent="0.2">
      <c r="A24" s="402">
        <v>16</v>
      </c>
      <c r="B24" s="518" t="str">
        <f>dtsiswa!D22</f>
        <v>Nabilla Shiva Putri</v>
      </c>
      <c r="C24" s="534" t="s">
        <v>4</v>
      </c>
      <c r="D24" s="542"/>
      <c r="E24" s="22"/>
      <c r="F24" s="22"/>
      <c r="G24" s="22"/>
      <c r="H24" s="522" t="str">
        <f t="shared" si="0"/>
        <v xml:space="preserve">  </v>
      </c>
      <c r="I24" s="23"/>
      <c r="J24" s="23"/>
      <c r="K24" s="23"/>
      <c r="L24" s="23"/>
      <c r="M24" s="23"/>
      <c r="N24" s="23"/>
      <c r="O24" s="522" t="str">
        <f t="shared" si="33"/>
        <v xml:space="preserve">  </v>
      </c>
      <c r="P24" s="23"/>
      <c r="Q24" s="23"/>
      <c r="R24" s="23"/>
      <c r="S24" s="283"/>
      <c r="T24" s="283"/>
      <c r="U24" s="522" t="str">
        <f t="shared" si="1"/>
        <v xml:space="preserve">  </v>
      </c>
      <c r="V24" s="283"/>
      <c r="W24" s="283"/>
      <c r="X24" s="283"/>
      <c r="Y24" s="283"/>
      <c r="Z24" s="283"/>
      <c r="AA24" s="283"/>
      <c r="AB24" s="538" t="str">
        <f t="shared" si="2"/>
        <v xml:space="preserve">  </v>
      </c>
      <c r="AC24" s="19">
        <f t="shared" si="34"/>
        <v>0</v>
      </c>
      <c r="AD24" s="19">
        <f t="shared" si="35"/>
        <v>0</v>
      </c>
      <c r="AE24" s="19">
        <f t="shared" si="36"/>
        <v>0</v>
      </c>
      <c r="AF24" s="19">
        <f t="shared" si="37"/>
        <v>0</v>
      </c>
      <c r="AG24" s="20">
        <f t="shared" si="38"/>
        <v>0</v>
      </c>
      <c r="AH24" s="523">
        <f t="shared" si="39"/>
        <v>0</v>
      </c>
      <c r="AI24" s="523">
        <f t="shared" si="40"/>
        <v>0</v>
      </c>
      <c r="AJ24" s="523">
        <f t="shared" si="41"/>
        <v>0</v>
      </c>
      <c r="AK24" s="523">
        <f t="shared" si="42"/>
        <v>0</v>
      </c>
      <c r="AL24" s="523">
        <f t="shared" si="43"/>
        <v>0</v>
      </c>
      <c r="AM24" s="523">
        <f t="shared" si="44"/>
        <v>0</v>
      </c>
      <c r="AN24" s="20">
        <f t="shared" si="45"/>
        <v>0</v>
      </c>
      <c r="AO24" s="65">
        <f t="shared" si="46"/>
        <v>0</v>
      </c>
      <c r="AP24" s="65">
        <f t="shared" si="47"/>
        <v>0</v>
      </c>
      <c r="AQ24" s="65">
        <f t="shared" si="48"/>
        <v>0</v>
      </c>
      <c r="AR24" s="65">
        <f t="shared" si="49"/>
        <v>0</v>
      </c>
      <c r="AS24" s="528">
        <f t="shared" si="50"/>
        <v>0</v>
      </c>
      <c r="AT24" s="532">
        <f t="shared" si="7"/>
        <v>0</v>
      </c>
      <c r="AU24" s="26">
        <f t="shared" si="8"/>
        <v>0</v>
      </c>
      <c r="AV24" s="26">
        <f t="shared" si="9"/>
        <v>0</v>
      </c>
      <c r="AW24" s="520">
        <f t="shared" si="10"/>
        <v>0</v>
      </c>
      <c r="AX24" s="26">
        <f t="shared" si="11"/>
        <v>0</v>
      </c>
      <c r="AY24" s="26">
        <f t="shared" si="12"/>
        <v>0</v>
      </c>
      <c r="AZ24" s="26">
        <f t="shared" si="13"/>
        <v>0</v>
      </c>
      <c r="BA24" s="520">
        <f t="shared" si="51"/>
        <v>0</v>
      </c>
      <c r="BB24" s="26">
        <f t="shared" si="14"/>
        <v>0</v>
      </c>
      <c r="BC24" s="26">
        <f t="shared" si="15"/>
        <v>0</v>
      </c>
      <c r="BD24" s="26">
        <f t="shared" si="16"/>
        <v>0</v>
      </c>
      <c r="BE24" s="520">
        <f t="shared" si="17"/>
        <v>0</v>
      </c>
      <c r="BF24" s="901">
        <f t="shared" si="18"/>
        <v>0</v>
      </c>
      <c r="BG24" s="901">
        <f t="shared" si="19"/>
        <v>0</v>
      </c>
      <c r="BH24" s="901">
        <f t="shared" si="20"/>
        <v>0</v>
      </c>
      <c r="BI24" s="533">
        <f t="shared" si="21"/>
        <v>0</v>
      </c>
      <c r="BJ24" s="905">
        <f t="shared" si="22"/>
        <v>0</v>
      </c>
      <c r="BK24" s="28">
        <f t="shared" si="23"/>
        <v>0</v>
      </c>
      <c r="BL24" s="28"/>
      <c r="BM24" s="28">
        <f t="shared" si="24"/>
        <v>0</v>
      </c>
      <c r="BN24" s="522">
        <f t="shared" si="25"/>
        <v>0</v>
      </c>
      <c r="BO24" s="28">
        <f t="shared" si="26"/>
        <v>0</v>
      </c>
      <c r="BP24" s="28">
        <f t="shared" si="27"/>
        <v>0</v>
      </c>
      <c r="BQ24" s="522">
        <f t="shared" si="28"/>
        <v>0</v>
      </c>
      <c r="BR24" s="28">
        <f t="shared" si="29"/>
        <v>0</v>
      </c>
      <c r="BS24" s="28">
        <f t="shared" si="30"/>
        <v>0</v>
      </c>
      <c r="BT24" s="28">
        <f t="shared" si="31"/>
        <v>0</v>
      </c>
      <c r="BU24" s="925">
        <f t="shared" si="32"/>
        <v>0</v>
      </c>
    </row>
    <row r="25" spans="1:73" ht="24.95" customHeight="1" x14ac:dyDescent="0.2">
      <c r="A25" s="402">
        <v>17</v>
      </c>
      <c r="B25" s="518" t="str">
        <f>dtsiswa!D23</f>
        <v>Naufal Falih F</v>
      </c>
      <c r="C25" s="534" t="s">
        <v>5</v>
      </c>
      <c r="D25" s="542"/>
      <c r="E25" s="22"/>
      <c r="F25" s="22"/>
      <c r="G25" s="22"/>
      <c r="H25" s="522" t="str">
        <f t="shared" si="0"/>
        <v xml:space="preserve">  </v>
      </c>
      <c r="I25" s="23"/>
      <c r="J25" s="23"/>
      <c r="K25" s="23"/>
      <c r="L25" s="23"/>
      <c r="M25" s="23"/>
      <c r="N25" s="23"/>
      <c r="O25" s="522" t="str">
        <f t="shared" si="33"/>
        <v xml:space="preserve">  </v>
      </c>
      <c r="P25" s="23"/>
      <c r="Q25" s="23"/>
      <c r="R25" s="23"/>
      <c r="S25" s="283"/>
      <c r="T25" s="283"/>
      <c r="U25" s="522" t="str">
        <f t="shared" si="1"/>
        <v xml:space="preserve">  </v>
      </c>
      <c r="V25" s="283"/>
      <c r="W25" s="283"/>
      <c r="X25" s="283"/>
      <c r="Y25" s="283"/>
      <c r="Z25" s="283"/>
      <c r="AA25" s="283"/>
      <c r="AB25" s="538" t="str">
        <f t="shared" si="2"/>
        <v xml:space="preserve">  </v>
      </c>
      <c r="AC25" s="19">
        <f t="shared" si="34"/>
        <v>0</v>
      </c>
      <c r="AD25" s="19">
        <f t="shared" si="35"/>
        <v>0</v>
      </c>
      <c r="AE25" s="19">
        <f t="shared" si="36"/>
        <v>0</v>
      </c>
      <c r="AF25" s="19">
        <f t="shared" si="37"/>
        <v>0</v>
      </c>
      <c r="AG25" s="20">
        <f t="shared" si="38"/>
        <v>0</v>
      </c>
      <c r="AH25" s="523">
        <f t="shared" si="39"/>
        <v>0</v>
      </c>
      <c r="AI25" s="523">
        <f t="shared" si="40"/>
        <v>0</v>
      </c>
      <c r="AJ25" s="523">
        <f t="shared" si="41"/>
        <v>0</v>
      </c>
      <c r="AK25" s="523">
        <f t="shared" si="42"/>
        <v>0</v>
      </c>
      <c r="AL25" s="523">
        <f t="shared" si="43"/>
        <v>0</v>
      </c>
      <c r="AM25" s="523">
        <f t="shared" si="44"/>
        <v>0</v>
      </c>
      <c r="AN25" s="20">
        <f t="shared" si="45"/>
        <v>0</v>
      </c>
      <c r="AO25" s="65">
        <f t="shared" si="46"/>
        <v>0</v>
      </c>
      <c r="AP25" s="65">
        <f t="shared" si="47"/>
        <v>0</v>
      </c>
      <c r="AQ25" s="65">
        <f t="shared" si="48"/>
        <v>0</v>
      </c>
      <c r="AR25" s="65">
        <f t="shared" si="49"/>
        <v>0</v>
      </c>
      <c r="AS25" s="528">
        <f t="shared" si="50"/>
        <v>0</v>
      </c>
      <c r="AT25" s="532">
        <f t="shared" si="7"/>
        <v>0</v>
      </c>
      <c r="AU25" s="26">
        <f t="shared" si="8"/>
        <v>0</v>
      </c>
      <c r="AV25" s="26">
        <f t="shared" si="9"/>
        <v>0</v>
      </c>
      <c r="AW25" s="520">
        <f t="shared" si="10"/>
        <v>0</v>
      </c>
      <c r="AX25" s="26">
        <f t="shared" si="11"/>
        <v>0</v>
      </c>
      <c r="AY25" s="26">
        <f t="shared" si="12"/>
        <v>0</v>
      </c>
      <c r="AZ25" s="26">
        <f t="shared" si="13"/>
        <v>0</v>
      </c>
      <c r="BA25" s="520">
        <f t="shared" si="51"/>
        <v>0</v>
      </c>
      <c r="BB25" s="26">
        <f t="shared" si="14"/>
        <v>0</v>
      </c>
      <c r="BC25" s="26">
        <f t="shared" si="15"/>
        <v>0</v>
      </c>
      <c r="BD25" s="26">
        <f t="shared" si="16"/>
        <v>0</v>
      </c>
      <c r="BE25" s="520">
        <f t="shared" si="17"/>
        <v>0</v>
      </c>
      <c r="BF25" s="901">
        <f t="shared" si="18"/>
        <v>0</v>
      </c>
      <c r="BG25" s="901">
        <f t="shared" si="19"/>
        <v>0</v>
      </c>
      <c r="BH25" s="901">
        <f t="shared" si="20"/>
        <v>0</v>
      </c>
      <c r="BI25" s="533">
        <f t="shared" si="21"/>
        <v>0</v>
      </c>
      <c r="BJ25" s="905">
        <f t="shared" si="22"/>
        <v>0</v>
      </c>
      <c r="BK25" s="28">
        <f t="shared" si="23"/>
        <v>0</v>
      </c>
      <c r="BL25" s="28"/>
      <c r="BM25" s="28">
        <f t="shared" si="24"/>
        <v>0</v>
      </c>
      <c r="BN25" s="522">
        <f t="shared" si="25"/>
        <v>0</v>
      </c>
      <c r="BO25" s="28">
        <f t="shared" si="26"/>
        <v>0</v>
      </c>
      <c r="BP25" s="28">
        <f t="shared" si="27"/>
        <v>0</v>
      </c>
      <c r="BQ25" s="522">
        <f t="shared" si="28"/>
        <v>0</v>
      </c>
      <c r="BR25" s="28">
        <f t="shared" si="29"/>
        <v>0</v>
      </c>
      <c r="BS25" s="28">
        <f t="shared" si="30"/>
        <v>0</v>
      </c>
      <c r="BT25" s="28">
        <f t="shared" si="31"/>
        <v>0</v>
      </c>
      <c r="BU25" s="925">
        <f t="shared" si="32"/>
        <v>0</v>
      </c>
    </row>
    <row r="26" spans="1:73" ht="24.95" customHeight="1" x14ac:dyDescent="0.2">
      <c r="A26" s="402">
        <v>18</v>
      </c>
      <c r="B26" s="518" t="str">
        <f>dtsiswa!D24</f>
        <v>Nayla Annora Nobel W</v>
      </c>
      <c r="C26" s="534" t="s">
        <v>4</v>
      </c>
      <c r="D26" s="542"/>
      <c r="E26" s="22"/>
      <c r="F26" s="22"/>
      <c r="G26" s="22"/>
      <c r="H26" s="522" t="str">
        <f t="shared" si="0"/>
        <v xml:space="preserve">  </v>
      </c>
      <c r="I26" s="23"/>
      <c r="J26" s="23"/>
      <c r="K26" s="23"/>
      <c r="L26" s="23"/>
      <c r="M26" s="23"/>
      <c r="N26" s="23"/>
      <c r="O26" s="522" t="str">
        <f t="shared" si="33"/>
        <v xml:space="preserve">  </v>
      </c>
      <c r="P26" s="23"/>
      <c r="Q26" s="23"/>
      <c r="R26" s="23"/>
      <c r="S26" s="283"/>
      <c r="T26" s="283"/>
      <c r="U26" s="522" t="str">
        <f t="shared" si="1"/>
        <v xml:space="preserve">  </v>
      </c>
      <c r="V26" s="283"/>
      <c r="W26" s="283"/>
      <c r="X26" s="283"/>
      <c r="Y26" s="283"/>
      <c r="Z26" s="283"/>
      <c r="AA26" s="283"/>
      <c r="AB26" s="538" t="str">
        <f t="shared" si="2"/>
        <v xml:space="preserve">  </v>
      </c>
      <c r="AC26" s="19">
        <f t="shared" si="34"/>
        <v>0</v>
      </c>
      <c r="AD26" s="19">
        <f t="shared" si="35"/>
        <v>0</v>
      </c>
      <c r="AE26" s="19">
        <f t="shared" si="36"/>
        <v>0</v>
      </c>
      <c r="AF26" s="19">
        <f t="shared" si="37"/>
        <v>0</v>
      </c>
      <c r="AG26" s="20">
        <f t="shared" si="38"/>
        <v>0</v>
      </c>
      <c r="AH26" s="523">
        <f t="shared" si="39"/>
        <v>0</v>
      </c>
      <c r="AI26" s="523">
        <f t="shared" si="40"/>
        <v>0</v>
      </c>
      <c r="AJ26" s="523">
        <f t="shared" si="41"/>
        <v>0</v>
      </c>
      <c r="AK26" s="523">
        <f t="shared" si="42"/>
        <v>0</v>
      </c>
      <c r="AL26" s="523">
        <f t="shared" si="43"/>
        <v>0</v>
      </c>
      <c r="AM26" s="523">
        <f t="shared" si="44"/>
        <v>0</v>
      </c>
      <c r="AN26" s="20">
        <f t="shared" si="45"/>
        <v>0</v>
      </c>
      <c r="AO26" s="65">
        <f t="shared" si="46"/>
        <v>0</v>
      </c>
      <c r="AP26" s="65">
        <f t="shared" si="47"/>
        <v>0</v>
      </c>
      <c r="AQ26" s="65">
        <f t="shared" si="48"/>
        <v>0</v>
      </c>
      <c r="AR26" s="65">
        <f t="shared" si="49"/>
        <v>0</v>
      </c>
      <c r="AS26" s="528">
        <f t="shared" si="50"/>
        <v>0</v>
      </c>
      <c r="AT26" s="532">
        <f t="shared" si="7"/>
        <v>0</v>
      </c>
      <c r="AU26" s="26">
        <f t="shared" si="8"/>
        <v>0</v>
      </c>
      <c r="AV26" s="26">
        <f t="shared" si="9"/>
        <v>0</v>
      </c>
      <c r="AW26" s="520">
        <f t="shared" si="10"/>
        <v>0</v>
      </c>
      <c r="AX26" s="26">
        <f t="shared" si="11"/>
        <v>0</v>
      </c>
      <c r="AY26" s="26">
        <f t="shared" si="12"/>
        <v>0</v>
      </c>
      <c r="AZ26" s="26">
        <f t="shared" si="13"/>
        <v>0</v>
      </c>
      <c r="BA26" s="520">
        <f t="shared" si="51"/>
        <v>0</v>
      </c>
      <c r="BB26" s="26">
        <f t="shared" si="14"/>
        <v>0</v>
      </c>
      <c r="BC26" s="26">
        <f t="shared" si="15"/>
        <v>0</v>
      </c>
      <c r="BD26" s="26">
        <f t="shared" si="16"/>
        <v>0</v>
      </c>
      <c r="BE26" s="520">
        <f t="shared" si="17"/>
        <v>0</v>
      </c>
      <c r="BF26" s="901">
        <f t="shared" si="18"/>
        <v>0</v>
      </c>
      <c r="BG26" s="901">
        <f t="shared" si="19"/>
        <v>0</v>
      </c>
      <c r="BH26" s="901">
        <f t="shared" si="20"/>
        <v>0</v>
      </c>
      <c r="BI26" s="533">
        <f t="shared" si="21"/>
        <v>0</v>
      </c>
      <c r="BJ26" s="905">
        <f t="shared" si="22"/>
        <v>0</v>
      </c>
      <c r="BK26" s="28">
        <f t="shared" si="23"/>
        <v>0</v>
      </c>
      <c r="BL26" s="28"/>
      <c r="BM26" s="28">
        <f t="shared" si="24"/>
        <v>0</v>
      </c>
      <c r="BN26" s="522">
        <f t="shared" si="25"/>
        <v>0</v>
      </c>
      <c r="BO26" s="28">
        <f t="shared" si="26"/>
        <v>0</v>
      </c>
      <c r="BP26" s="28">
        <f t="shared" si="27"/>
        <v>0</v>
      </c>
      <c r="BQ26" s="522">
        <f t="shared" si="28"/>
        <v>0</v>
      </c>
      <c r="BR26" s="28">
        <f t="shared" si="29"/>
        <v>0</v>
      </c>
      <c r="BS26" s="28">
        <f t="shared" si="30"/>
        <v>0</v>
      </c>
      <c r="BT26" s="28">
        <f t="shared" si="31"/>
        <v>0</v>
      </c>
      <c r="BU26" s="925">
        <f t="shared" si="32"/>
        <v>0</v>
      </c>
    </row>
    <row r="27" spans="1:73" ht="24.95" customHeight="1" x14ac:dyDescent="0.2">
      <c r="A27" s="402">
        <v>19</v>
      </c>
      <c r="B27" s="518" t="str">
        <f>dtsiswa!D25</f>
        <v>Raihan Danang P</v>
      </c>
      <c r="C27" s="534" t="s">
        <v>5</v>
      </c>
      <c r="D27" s="542"/>
      <c r="E27" s="22"/>
      <c r="F27" s="22"/>
      <c r="G27" s="22"/>
      <c r="H27" s="522" t="str">
        <f t="shared" si="0"/>
        <v xml:space="preserve">  </v>
      </c>
      <c r="I27" s="23"/>
      <c r="J27" s="23"/>
      <c r="K27" s="23"/>
      <c r="L27" s="23"/>
      <c r="M27" s="23"/>
      <c r="N27" s="23"/>
      <c r="O27" s="522" t="str">
        <f t="shared" si="33"/>
        <v xml:space="preserve">  </v>
      </c>
      <c r="P27" s="23"/>
      <c r="Q27" s="23"/>
      <c r="R27" s="23"/>
      <c r="S27" s="283"/>
      <c r="T27" s="283"/>
      <c r="U27" s="522" t="str">
        <f t="shared" si="1"/>
        <v xml:space="preserve">  </v>
      </c>
      <c r="V27" s="283"/>
      <c r="W27" s="283"/>
      <c r="X27" s="283"/>
      <c r="Y27" s="283"/>
      <c r="Z27" s="283"/>
      <c r="AA27" s="283"/>
      <c r="AB27" s="538" t="str">
        <f t="shared" si="2"/>
        <v xml:space="preserve">  </v>
      </c>
      <c r="AC27" s="19">
        <f t="shared" si="34"/>
        <v>0</v>
      </c>
      <c r="AD27" s="19">
        <f t="shared" si="35"/>
        <v>0</v>
      </c>
      <c r="AE27" s="19">
        <f t="shared" si="36"/>
        <v>0</v>
      </c>
      <c r="AF27" s="19">
        <f t="shared" si="37"/>
        <v>0</v>
      </c>
      <c r="AG27" s="20">
        <f t="shared" si="38"/>
        <v>0</v>
      </c>
      <c r="AH27" s="523">
        <f t="shared" si="39"/>
        <v>0</v>
      </c>
      <c r="AI27" s="523">
        <f t="shared" si="40"/>
        <v>0</v>
      </c>
      <c r="AJ27" s="523">
        <f t="shared" si="41"/>
        <v>0</v>
      </c>
      <c r="AK27" s="523">
        <f t="shared" si="42"/>
        <v>0</v>
      </c>
      <c r="AL27" s="523">
        <f t="shared" si="43"/>
        <v>0</v>
      </c>
      <c r="AM27" s="523">
        <f t="shared" si="44"/>
        <v>0</v>
      </c>
      <c r="AN27" s="20">
        <f t="shared" si="45"/>
        <v>0</v>
      </c>
      <c r="AO27" s="65">
        <f t="shared" si="46"/>
        <v>0</v>
      </c>
      <c r="AP27" s="65">
        <f t="shared" si="47"/>
        <v>0</v>
      </c>
      <c r="AQ27" s="65">
        <f t="shared" si="48"/>
        <v>0</v>
      </c>
      <c r="AR27" s="65">
        <f t="shared" si="49"/>
        <v>0</v>
      </c>
      <c r="AS27" s="528">
        <f t="shared" si="50"/>
        <v>0</v>
      </c>
      <c r="AT27" s="532">
        <f t="shared" si="7"/>
        <v>0</v>
      </c>
      <c r="AU27" s="26">
        <f t="shared" si="8"/>
        <v>0</v>
      </c>
      <c r="AV27" s="26">
        <f t="shared" si="9"/>
        <v>0</v>
      </c>
      <c r="AW27" s="520">
        <f t="shared" si="10"/>
        <v>0</v>
      </c>
      <c r="AX27" s="26">
        <f t="shared" si="11"/>
        <v>0</v>
      </c>
      <c r="AY27" s="26">
        <f t="shared" si="12"/>
        <v>0</v>
      </c>
      <c r="AZ27" s="26">
        <f t="shared" si="13"/>
        <v>0</v>
      </c>
      <c r="BA27" s="520">
        <f t="shared" si="51"/>
        <v>0</v>
      </c>
      <c r="BB27" s="26">
        <f t="shared" si="14"/>
        <v>0</v>
      </c>
      <c r="BC27" s="26">
        <f t="shared" si="15"/>
        <v>0</v>
      </c>
      <c r="BD27" s="26">
        <f t="shared" si="16"/>
        <v>0</v>
      </c>
      <c r="BE27" s="520">
        <f t="shared" si="17"/>
        <v>0</v>
      </c>
      <c r="BF27" s="901">
        <f t="shared" si="18"/>
        <v>0</v>
      </c>
      <c r="BG27" s="901">
        <f t="shared" si="19"/>
        <v>0</v>
      </c>
      <c r="BH27" s="901">
        <f t="shared" si="20"/>
        <v>0</v>
      </c>
      <c r="BI27" s="533">
        <f t="shared" si="21"/>
        <v>0</v>
      </c>
      <c r="BJ27" s="905">
        <f t="shared" si="22"/>
        <v>0</v>
      </c>
      <c r="BK27" s="28">
        <f t="shared" si="23"/>
        <v>0</v>
      </c>
      <c r="BL27" s="28"/>
      <c r="BM27" s="28">
        <f t="shared" si="24"/>
        <v>0</v>
      </c>
      <c r="BN27" s="522">
        <f t="shared" si="25"/>
        <v>0</v>
      </c>
      <c r="BO27" s="28">
        <f t="shared" si="26"/>
        <v>0</v>
      </c>
      <c r="BP27" s="28">
        <f t="shared" si="27"/>
        <v>0</v>
      </c>
      <c r="BQ27" s="522">
        <f t="shared" si="28"/>
        <v>0</v>
      </c>
      <c r="BR27" s="28">
        <f t="shared" si="29"/>
        <v>0</v>
      </c>
      <c r="BS27" s="28">
        <f t="shared" si="30"/>
        <v>0</v>
      </c>
      <c r="BT27" s="28">
        <f t="shared" si="31"/>
        <v>0</v>
      </c>
      <c r="BU27" s="925">
        <f t="shared" si="32"/>
        <v>0</v>
      </c>
    </row>
    <row r="28" spans="1:73" ht="24.95" customHeight="1" x14ac:dyDescent="0.2">
      <c r="A28" s="402">
        <v>20</v>
      </c>
      <c r="B28" s="518" t="str">
        <f>dtsiswa!D26</f>
        <v>Roby Ardiyansyah</v>
      </c>
      <c r="C28" s="534" t="s">
        <v>5</v>
      </c>
      <c r="D28" s="542"/>
      <c r="E28" s="22"/>
      <c r="F28" s="22"/>
      <c r="G28" s="22"/>
      <c r="H28" s="522" t="str">
        <f t="shared" si="0"/>
        <v xml:space="preserve">  </v>
      </c>
      <c r="I28" s="23"/>
      <c r="J28" s="23"/>
      <c r="K28" s="23"/>
      <c r="L28" s="23"/>
      <c r="M28" s="23"/>
      <c r="N28" s="23"/>
      <c r="O28" s="522" t="str">
        <f t="shared" si="33"/>
        <v xml:space="preserve">  </v>
      </c>
      <c r="P28" s="23"/>
      <c r="Q28" s="23"/>
      <c r="R28" s="23"/>
      <c r="S28" s="283"/>
      <c r="T28" s="283"/>
      <c r="U28" s="522" t="str">
        <f t="shared" si="1"/>
        <v xml:space="preserve">  </v>
      </c>
      <c r="V28" s="283"/>
      <c r="W28" s="283"/>
      <c r="X28" s="283"/>
      <c r="Y28" s="283"/>
      <c r="Z28" s="283"/>
      <c r="AA28" s="283"/>
      <c r="AB28" s="538" t="str">
        <f t="shared" si="2"/>
        <v xml:space="preserve">  </v>
      </c>
      <c r="AC28" s="19">
        <f t="shared" si="34"/>
        <v>0</v>
      </c>
      <c r="AD28" s="19">
        <f t="shared" si="35"/>
        <v>0</v>
      </c>
      <c r="AE28" s="19">
        <f t="shared" si="36"/>
        <v>0</v>
      </c>
      <c r="AF28" s="19">
        <f t="shared" si="37"/>
        <v>0</v>
      </c>
      <c r="AG28" s="20">
        <f t="shared" si="38"/>
        <v>0</v>
      </c>
      <c r="AH28" s="523">
        <f t="shared" si="39"/>
        <v>0</v>
      </c>
      <c r="AI28" s="523">
        <f t="shared" si="40"/>
        <v>0</v>
      </c>
      <c r="AJ28" s="523">
        <f t="shared" si="41"/>
        <v>0</v>
      </c>
      <c r="AK28" s="523">
        <f t="shared" si="42"/>
        <v>0</v>
      </c>
      <c r="AL28" s="523">
        <f t="shared" si="43"/>
        <v>0</v>
      </c>
      <c r="AM28" s="523">
        <f t="shared" si="44"/>
        <v>0</v>
      </c>
      <c r="AN28" s="20">
        <f t="shared" si="45"/>
        <v>0</v>
      </c>
      <c r="AO28" s="65">
        <f t="shared" si="46"/>
        <v>0</v>
      </c>
      <c r="AP28" s="65">
        <f t="shared" si="47"/>
        <v>0</v>
      </c>
      <c r="AQ28" s="65">
        <f t="shared" si="48"/>
        <v>0</v>
      </c>
      <c r="AR28" s="65">
        <f t="shared" si="49"/>
        <v>0</v>
      </c>
      <c r="AS28" s="528">
        <f t="shared" si="50"/>
        <v>0</v>
      </c>
      <c r="AT28" s="532">
        <f t="shared" si="7"/>
        <v>0</v>
      </c>
      <c r="AU28" s="26">
        <f t="shared" si="8"/>
        <v>0</v>
      </c>
      <c r="AV28" s="26">
        <f t="shared" si="9"/>
        <v>0</v>
      </c>
      <c r="AW28" s="520">
        <f t="shared" si="10"/>
        <v>0</v>
      </c>
      <c r="AX28" s="26">
        <f t="shared" si="11"/>
        <v>0</v>
      </c>
      <c r="AY28" s="26">
        <f t="shared" si="12"/>
        <v>0</v>
      </c>
      <c r="AZ28" s="26">
        <f t="shared" si="13"/>
        <v>0</v>
      </c>
      <c r="BA28" s="520">
        <f t="shared" si="51"/>
        <v>0</v>
      </c>
      <c r="BB28" s="26">
        <f t="shared" si="14"/>
        <v>0</v>
      </c>
      <c r="BC28" s="26">
        <f t="shared" si="15"/>
        <v>0</v>
      </c>
      <c r="BD28" s="26">
        <f t="shared" si="16"/>
        <v>0</v>
      </c>
      <c r="BE28" s="520">
        <f t="shared" si="17"/>
        <v>0</v>
      </c>
      <c r="BF28" s="901">
        <f t="shared" si="18"/>
        <v>0</v>
      </c>
      <c r="BG28" s="901">
        <f t="shared" si="19"/>
        <v>0</v>
      </c>
      <c r="BH28" s="901">
        <f t="shared" si="20"/>
        <v>0</v>
      </c>
      <c r="BI28" s="533">
        <f t="shared" si="21"/>
        <v>0</v>
      </c>
      <c r="BJ28" s="905">
        <f t="shared" si="22"/>
        <v>0</v>
      </c>
      <c r="BK28" s="28">
        <f t="shared" si="23"/>
        <v>0</v>
      </c>
      <c r="BL28" s="28"/>
      <c r="BM28" s="28">
        <f t="shared" si="24"/>
        <v>0</v>
      </c>
      <c r="BN28" s="522">
        <f t="shared" si="25"/>
        <v>0</v>
      </c>
      <c r="BO28" s="28">
        <f t="shared" si="26"/>
        <v>0</v>
      </c>
      <c r="BP28" s="28">
        <f t="shared" si="27"/>
        <v>0</v>
      </c>
      <c r="BQ28" s="522">
        <f t="shared" si="28"/>
        <v>0</v>
      </c>
      <c r="BR28" s="28">
        <f t="shared" si="29"/>
        <v>0</v>
      </c>
      <c r="BS28" s="28">
        <f t="shared" si="30"/>
        <v>0</v>
      </c>
      <c r="BT28" s="28">
        <f t="shared" si="31"/>
        <v>0</v>
      </c>
      <c r="BU28" s="925">
        <f t="shared" si="32"/>
        <v>0</v>
      </c>
    </row>
    <row r="29" spans="1:73" ht="24.95" customHeight="1" x14ac:dyDescent="0.2">
      <c r="A29" s="402">
        <v>21</v>
      </c>
      <c r="B29" s="518" t="str">
        <f>dtsiswa!D27</f>
        <v>Rojalingga Prana A</v>
      </c>
      <c r="C29" s="534" t="s">
        <v>4</v>
      </c>
      <c r="D29" s="542"/>
      <c r="E29" s="22"/>
      <c r="F29" s="22"/>
      <c r="G29" s="22"/>
      <c r="H29" s="522" t="str">
        <f t="shared" si="0"/>
        <v xml:space="preserve">  </v>
      </c>
      <c r="I29" s="23"/>
      <c r="J29" s="23"/>
      <c r="K29" s="23"/>
      <c r="L29" s="23"/>
      <c r="M29" s="23"/>
      <c r="N29" s="23"/>
      <c r="O29" s="522" t="str">
        <f t="shared" si="33"/>
        <v xml:space="preserve">  </v>
      </c>
      <c r="P29" s="23"/>
      <c r="Q29" s="23"/>
      <c r="R29" s="23"/>
      <c r="S29" s="283"/>
      <c r="T29" s="283"/>
      <c r="U29" s="522" t="str">
        <f t="shared" si="1"/>
        <v xml:space="preserve">  </v>
      </c>
      <c r="V29" s="283"/>
      <c r="W29" s="283"/>
      <c r="X29" s="283"/>
      <c r="Y29" s="283"/>
      <c r="Z29" s="283"/>
      <c r="AA29" s="283"/>
      <c r="AB29" s="538" t="str">
        <f t="shared" si="2"/>
        <v xml:space="preserve">  </v>
      </c>
      <c r="AC29" s="19">
        <f t="shared" si="34"/>
        <v>0</v>
      </c>
      <c r="AD29" s="19">
        <f t="shared" si="35"/>
        <v>0</v>
      </c>
      <c r="AE29" s="19">
        <f t="shared" si="36"/>
        <v>0</v>
      </c>
      <c r="AF29" s="19">
        <f t="shared" si="37"/>
        <v>0</v>
      </c>
      <c r="AG29" s="20">
        <f t="shared" si="38"/>
        <v>0</v>
      </c>
      <c r="AH29" s="523">
        <f t="shared" si="39"/>
        <v>0</v>
      </c>
      <c r="AI29" s="523">
        <f t="shared" si="40"/>
        <v>0</v>
      </c>
      <c r="AJ29" s="523">
        <f t="shared" si="41"/>
        <v>0</v>
      </c>
      <c r="AK29" s="523">
        <f t="shared" si="42"/>
        <v>0</v>
      </c>
      <c r="AL29" s="523">
        <f t="shared" si="43"/>
        <v>0</v>
      </c>
      <c r="AM29" s="523">
        <f t="shared" si="44"/>
        <v>0</v>
      </c>
      <c r="AN29" s="20">
        <f t="shared" si="45"/>
        <v>0</v>
      </c>
      <c r="AO29" s="65">
        <f t="shared" si="46"/>
        <v>0</v>
      </c>
      <c r="AP29" s="65">
        <f t="shared" si="47"/>
        <v>0</v>
      </c>
      <c r="AQ29" s="65">
        <f t="shared" si="48"/>
        <v>0</v>
      </c>
      <c r="AR29" s="65">
        <f t="shared" si="49"/>
        <v>0</v>
      </c>
      <c r="AS29" s="528">
        <f t="shared" si="50"/>
        <v>0</v>
      </c>
      <c r="AT29" s="532">
        <f t="shared" si="7"/>
        <v>0</v>
      </c>
      <c r="AU29" s="26">
        <f t="shared" si="8"/>
        <v>0</v>
      </c>
      <c r="AV29" s="26">
        <f t="shared" si="9"/>
        <v>0</v>
      </c>
      <c r="AW29" s="520">
        <f t="shared" si="10"/>
        <v>0</v>
      </c>
      <c r="AX29" s="26">
        <f t="shared" si="11"/>
        <v>0</v>
      </c>
      <c r="AY29" s="26">
        <f t="shared" si="12"/>
        <v>0</v>
      </c>
      <c r="AZ29" s="26">
        <f t="shared" si="13"/>
        <v>0</v>
      </c>
      <c r="BA29" s="520">
        <f t="shared" si="51"/>
        <v>0</v>
      </c>
      <c r="BB29" s="26">
        <f t="shared" si="14"/>
        <v>0</v>
      </c>
      <c r="BC29" s="26">
        <f t="shared" si="15"/>
        <v>0</v>
      </c>
      <c r="BD29" s="26">
        <f t="shared" si="16"/>
        <v>0</v>
      </c>
      <c r="BE29" s="520">
        <f t="shared" si="17"/>
        <v>0</v>
      </c>
      <c r="BF29" s="901">
        <f t="shared" si="18"/>
        <v>0</v>
      </c>
      <c r="BG29" s="901">
        <f t="shared" si="19"/>
        <v>0</v>
      </c>
      <c r="BH29" s="901">
        <f t="shared" si="20"/>
        <v>0</v>
      </c>
      <c r="BI29" s="533">
        <f t="shared" si="21"/>
        <v>0</v>
      </c>
      <c r="BJ29" s="905">
        <f t="shared" si="22"/>
        <v>0</v>
      </c>
      <c r="BK29" s="28">
        <f t="shared" si="23"/>
        <v>0</v>
      </c>
      <c r="BL29" s="28"/>
      <c r="BM29" s="28">
        <f t="shared" si="24"/>
        <v>0</v>
      </c>
      <c r="BN29" s="522">
        <f t="shared" si="25"/>
        <v>0</v>
      </c>
      <c r="BO29" s="28">
        <f t="shared" si="26"/>
        <v>0</v>
      </c>
      <c r="BP29" s="28">
        <f t="shared" si="27"/>
        <v>0</v>
      </c>
      <c r="BQ29" s="522">
        <f t="shared" si="28"/>
        <v>0</v>
      </c>
      <c r="BR29" s="28">
        <f t="shared" si="29"/>
        <v>0</v>
      </c>
      <c r="BS29" s="28">
        <f t="shared" si="30"/>
        <v>0</v>
      </c>
      <c r="BT29" s="28">
        <f t="shared" si="31"/>
        <v>0</v>
      </c>
      <c r="BU29" s="925">
        <f t="shared" si="32"/>
        <v>0</v>
      </c>
    </row>
    <row r="30" spans="1:73" ht="24.95" customHeight="1" x14ac:dyDescent="0.25">
      <c r="A30" s="402">
        <v>22</v>
      </c>
      <c r="B30" s="518" t="str">
        <f>dtsiswa!D28</f>
        <v>Sally Savista A</v>
      </c>
      <c r="C30" s="536"/>
      <c r="D30" s="543"/>
      <c r="E30" s="14"/>
      <c r="F30" s="14"/>
      <c r="G30" s="14"/>
      <c r="H30" s="522" t="str">
        <f t="shared" si="0"/>
        <v xml:space="preserve">  </v>
      </c>
      <c r="I30" s="899"/>
      <c r="J30" s="899"/>
      <c r="K30" s="899"/>
      <c r="L30" s="899"/>
      <c r="M30" s="899"/>
      <c r="N30" s="899"/>
      <c r="O30" s="522" t="str">
        <f t="shared" si="33"/>
        <v xml:space="preserve">  </v>
      </c>
      <c r="P30" s="16"/>
      <c r="Q30" s="16"/>
      <c r="R30" s="899"/>
      <c r="S30" s="899"/>
      <c r="T30" s="899"/>
      <c r="U30" s="522" t="str">
        <f t="shared" si="1"/>
        <v xml:space="preserve">  </v>
      </c>
      <c r="V30" s="899"/>
      <c r="W30" s="899"/>
      <c r="X30" s="899"/>
      <c r="Y30" s="899"/>
      <c r="Z30" s="899"/>
      <c r="AA30" s="899"/>
      <c r="AB30" s="538" t="str">
        <f t="shared" si="2"/>
        <v xml:space="preserve">  </v>
      </c>
      <c r="AC30" s="19">
        <f t="shared" si="34"/>
        <v>0</v>
      </c>
      <c r="AD30" s="19">
        <f t="shared" si="35"/>
        <v>0</v>
      </c>
      <c r="AE30" s="19">
        <f t="shared" si="36"/>
        <v>0</v>
      </c>
      <c r="AF30" s="19">
        <f t="shared" si="37"/>
        <v>0</v>
      </c>
      <c r="AG30" s="20">
        <f t="shared" si="38"/>
        <v>0</v>
      </c>
      <c r="AH30" s="523">
        <f t="shared" si="39"/>
        <v>0</v>
      </c>
      <c r="AI30" s="523">
        <f t="shared" si="40"/>
        <v>0</v>
      </c>
      <c r="AJ30" s="523">
        <f t="shared" si="41"/>
        <v>0</v>
      </c>
      <c r="AK30" s="523">
        <f t="shared" si="42"/>
        <v>0</v>
      </c>
      <c r="AL30" s="523">
        <f t="shared" si="43"/>
        <v>0</v>
      </c>
      <c r="AM30" s="523">
        <f t="shared" si="44"/>
        <v>0</v>
      </c>
      <c r="AN30" s="20">
        <f t="shared" si="45"/>
        <v>0</v>
      </c>
      <c r="AO30" s="65">
        <f t="shared" si="46"/>
        <v>0</v>
      </c>
      <c r="AP30" s="65">
        <f t="shared" si="47"/>
        <v>0</v>
      </c>
      <c r="AQ30" s="65">
        <f t="shared" si="48"/>
        <v>0</v>
      </c>
      <c r="AR30" s="65">
        <f t="shared" si="49"/>
        <v>0</v>
      </c>
      <c r="AS30" s="528">
        <f t="shared" si="50"/>
        <v>0</v>
      </c>
      <c r="AT30" s="532">
        <f t="shared" si="7"/>
        <v>0</v>
      </c>
      <c r="AU30" s="26">
        <f t="shared" si="8"/>
        <v>0</v>
      </c>
      <c r="AV30" s="26">
        <f t="shared" si="9"/>
        <v>0</v>
      </c>
      <c r="AW30" s="520">
        <f t="shared" si="10"/>
        <v>0</v>
      </c>
      <c r="AX30" s="26">
        <f t="shared" si="11"/>
        <v>0</v>
      </c>
      <c r="AY30" s="26">
        <f t="shared" si="12"/>
        <v>0</v>
      </c>
      <c r="AZ30" s="26">
        <f t="shared" si="13"/>
        <v>0</v>
      </c>
      <c r="BA30" s="520">
        <f t="shared" si="51"/>
        <v>0</v>
      </c>
      <c r="BB30" s="26">
        <f t="shared" si="14"/>
        <v>0</v>
      </c>
      <c r="BC30" s="26">
        <f t="shared" si="15"/>
        <v>0</v>
      </c>
      <c r="BD30" s="26">
        <f t="shared" si="16"/>
        <v>0</v>
      </c>
      <c r="BE30" s="520">
        <f t="shared" si="17"/>
        <v>0</v>
      </c>
      <c r="BF30" s="901">
        <f t="shared" si="18"/>
        <v>0</v>
      </c>
      <c r="BG30" s="901">
        <f t="shared" si="19"/>
        <v>0</v>
      </c>
      <c r="BH30" s="901">
        <f t="shared" si="20"/>
        <v>0</v>
      </c>
      <c r="BI30" s="533">
        <f t="shared" si="21"/>
        <v>0</v>
      </c>
      <c r="BJ30" s="905">
        <f t="shared" si="22"/>
        <v>0</v>
      </c>
      <c r="BK30" s="28">
        <f t="shared" si="23"/>
        <v>0</v>
      </c>
      <c r="BL30" s="28"/>
      <c r="BM30" s="28">
        <f t="shared" si="24"/>
        <v>0</v>
      </c>
      <c r="BN30" s="522">
        <f t="shared" si="25"/>
        <v>0</v>
      </c>
      <c r="BO30" s="28">
        <f t="shared" si="26"/>
        <v>0</v>
      </c>
      <c r="BP30" s="28">
        <f t="shared" si="27"/>
        <v>0</v>
      </c>
      <c r="BQ30" s="522">
        <f t="shared" si="28"/>
        <v>0</v>
      </c>
      <c r="BR30" s="28">
        <f t="shared" si="29"/>
        <v>0</v>
      </c>
      <c r="BS30" s="28">
        <f t="shared" si="30"/>
        <v>0</v>
      </c>
      <c r="BT30" s="28">
        <f t="shared" si="31"/>
        <v>0</v>
      </c>
      <c r="BU30" s="925">
        <f t="shared" si="32"/>
        <v>0</v>
      </c>
    </row>
    <row r="31" spans="1:73" ht="24.95" customHeight="1" x14ac:dyDescent="0.25">
      <c r="A31" s="402">
        <v>23</v>
      </c>
      <c r="B31" s="518" t="str">
        <f>dtsiswa!D29</f>
        <v xml:space="preserve">Tania Kaori Angelita </v>
      </c>
      <c r="C31" s="536"/>
      <c r="D31" s="543"/>
      <c r="E31" s="14"/>
      <c r="F31" s="14"/>
      <c r="G31" s="14"/>
      <c r="H31" s="522" t="str">
        <f t="shared" si="0"/>
        <v xml:space="preserve">  </v>
      </c>
      <c r="I31" s="899"/>
      <c r="J31" s="899"/>
      <c r="K31" s="899"/>
      <c r="L31" s="899"/>
      <c r="M31" s="899"/>
      <c r="N31" s="899"/>
      <c r="O31" s="522" t="str">
        <f t="shared" si="33"/>
        <v xml:space="preserve">  </v>
      </c>
      <c r="P31" s="16"/>
      <c r="Q31" s="16"/>
      <c r="R31" s="899"/>
      <c r="S31" s="899"/>
      <c r="T31" s="899"/>
      <c r="U31" s="522" t="str">
        <f t="shared" si="1"/>
        <v xml:space="preserve">  </v>
      </c>
      <c r="V31" s="899"/>
      <c r="W31" s="899"/>
      <c r="X31" s="899"/>
      <c r="Y31" s="899"/>
      <c r="Z31" s="899"/>
      <c r="AA31" s="899"/>
      <c r="AB31" s="538" t="str">
        <f t="shared" si="2"/>
        <v xml:space="preserve">  </v>
      </c>
      <c r="AC31" s="19">
        <f t="shared" si="34"/>
        <v>0</v>
      </c>
      <c r="AD31" s="19">
        <f t="shared" si="35"/>
        <v>0</v>
      </c>
      <c r="AE31" s="19">
        <f t="shared" si="36"/>
        <v>0</v>
      </c>
      <c r="AF31" s="19">
        <f t="shared" si="37"/>
        <v>0</v>
      </c>
      <c r="AG31" s="20">
        <f t="shared" si="38"/>
        <v>0</v>
      </c>
      <c r="AH31" s="523">
        <f t="shared" si="39"/>
        <v>0</v>
      </c>
      <c r="AI31" s="523">
        <f t="shared" si="40"/>
        <v>0</v>
      </c>
      <c r="AJ31" s="523">
        <f t="shared" si="41"/>
        <v>0</v>
      </c>
      <c r="AK31" s="523">
        <f t="shared" si="42"/>
        <v>0</v>
      </c>
      <c r="AL31" s="523">
        <f t="shared" si="43"/>
        <v>0</v>
      </c>
      <c r="AM31" s="523">
        <f t="shared" si="44"/>
        <v>0</v>
      </c>
      <c r="AN31" s="20">
        <f t="shared" si="45"/>
        <v>0</v>
      </c>
      <c r="AO31" s="65">
        <f t="shared" si="46"/>
        <v>0</v>
      </c>
      <c r="AP31" s="65">
        <f t="shared" si="47"/>
        <v>0</v>
      </c>
      <c r="AQ31" s="65">
        <f t="shared" si="48"/>
        <v>0</v>
      </c>
      <c r="AR31" s="65">
        <f t="shared" si="49"/>
        <v>0</v>
      </c>
      <c r="AS31" s="528">
        <f t="shared" si="50"/>
        <v>0</v>
      </c>
      <c r="AT31" s="532">
        <f t="shared" si="7"/>
        <v>0</v>
      </c>
      <c r="AU31" s="26">
        <f t="shared" si="8"/>
        <v>0</v>
      </c>
      <c r="AV31" s="26">
        <f t="shared" si="9"/>
        <v>0</v>
      </c>
      <c r="AW31" s="520">
        <f t="shared" si="10"/>
        <v>0</v>
      </c>
      <c r="AX31" s="26">
        <f t="shared" si="11"/>
        <v>0</v>
      </c>
      <c r="AY31" s="26">
        <f t="shared" si="12"/>
        <v>0</v>
      </c>
      <c r="AZ31" s="26">
        <f t="shared" si="13"/>
        <v>0</v>
      </c>
      <c r="BA31" s="520">
        <f t="shared" si="51"/>
        <v>0</v>
      </c>
      <c r="BB31" s="26">
        <f t="shared" si="14"/>
        <v>0</v>
      </c>
      <c r="BC31" s="26">
        <f t="shared" si="15"/>
        <v>0</v>
      </c>
      <c r="BD31" s="26">
        <f t="shared" si="16"/>
        <v>0</v>
      </c>
      <c r="BE31" s="520">
        <f t="shared" si="17"/>
        <v>0</v>
      </c>
      <c r="BF31" s="901">
        <f t="shared" si="18"/>
        <v>0</v>
      </c>
      <c r="BG31" s="901">
        <f t="shared" si="19"/>
        <v>0</v>
      </c>
      <c r="BH31" s="901">
        <f t="shared" si="20"/>
        <v>0</v>
      </c>
      <c r="BI31" s="533">
        <f t="shared" si="21"/>
        <v>0</v>
      </c>
      <c r="BJ31" s="905">
        <f t="shared" si="22"/>
        <v>0</v>
      </c>
      <c r="BK31" s="28">
        <f t="shared" si="23"/>
        <v>0</v>
      </c>
      <c r="BL31" s="28"/>
      <c r="BM31" s="28">
        <f t="shared" si="24"/>
        <v>0</v>
      </c>
      <c r="BN31" s="522">
        <f t="shared" si="25"/>
        <v>0</v>
      </c>
      <c r="BO31" s="28">
        <f t="shared" si="26"/>
        <v>0</v>
      </c>
      <c r="BP31" s="28">
        <f t="shared" si="27"/>
        <v>0</v>
      </c>
      <c r="BQ31" s="522">
        <f t="shared" si="28"/>
        <v>0</v>
      </c>
      <c r="BR31" s="28">
        <f t="shared" si="29"/>
        <v>0</v>
      </c>
      <c r="BS31" s="28">
        <f t="shared" si="30"/>
        <v>0</v>
      </c>
      <c r="BT31" s="28">
        <f t="shared" si="31"/>
        <v>0</v>
      </c>
      <c r="BU31" s="925">
        <f t="shared" si="32"/>
        <v>0</v>
      </c>
    </row>
    <row r="32" spans="1:73" ht="24.95" customHeight="1" x14ac:dyDescent="0.25">
      <c r="A32" s="402">
        <v>24</v>
      </c>
      <c r="B32" s="518" t="str">
        <f>dtsiswa!D30</f>
        <v>Romzy Oka Ramadhani P</v>
      </c>
      <c r="C32" s="536"/>
      <c r="D32" s="543"/>
      <c r="E32" s="14"/>
      <c r="F32" s="14"/>
      <c r="G32" s="14"/>
      <c r="H32" s="522" t="str">
        <f t="shared" si="0"/>
        <v xml:space="preserve">  </v>
      </c>
      <c r="I32" s="899"/>
      <c r="J32" s="899"/>
      <c r="K32" s="899"/>
      <c r="L32" s="899"/>
      <c r="M32" s="899"/>
      <c r="N32" s="899"/>
      <c r="O32" s="522" t="str">
        <f t="shared" si="33"/>
        <v xml:space="preserve">  </v>
      </c>
      <c r="P32" s="16"/>
      <c r="Q32" s="16"/>
      <c r="R32" s="899"/>
      <c r="S32" s="899"/>
      <c r="T32" s="899"/>
      <c r="U32" s="522" t="str">
        <f t="shared" si="1"/>
        <v xml:space="preserve">  </v>
      </c>
      <c r="V32" s="899"/>
      <c r="W32" s="899"/>
      <c r="X32" s="899"/>
      <c r="Y32" s="899"/>
      <c r="Z32" s="899"/>
      <c r="AA32" s="899"/>
      <c r="AB32" s="538" t="str">
        <f t="shared" si="2"/>
        <v xml:space="preserve">  </v>
      </c>
      <c r="AC32" s="19">
        <f t="shared" si="34"/>
        <v>0</v>
      </c>
      <c r="AD32" s="19">
        <f t="shared" si="35"/>
        <v>0</v>
      </c>
      <c r="AE32" s="19">
        <f t="shared" si="36"/>
        <v>0</v>
      </c>
      <c r="AF32" s="19">
        <f t="shared" si="37"/>
        <v>0</v>
      </c>
      <c r="AG32" s="20">
        <f t="shared" si="38"/>
        <v>0</v>
      </c>
      <c r="AH32" s="523">
        <f t="shared" si="39"/>
        <v>0</v>
      </c>
      <c r="AI32" s="523">
        <f t="shared" si="40"/>
        <v>0</v>
      </c>
      <c r="AJ32" s="523">
        <f t="shared" si="41"/>
        <v>0</v>
      </c>
      <c r="AK32" s="523">
        <f t="shared" si="42"/>
        <v>0</v>
      </c>
      <c r="AL32" s="523">
        <f t="shared" si="43"/>
        <v>0</v>
      </c>
      <c r="AM32" s="523">
        <f t="shared" si="44"/>
        <v>0</v>
      </c>
      <c r="AN32" s="20">
        <f t="shared" si="45"/>
        <v>0</v>
      </c>
      <c r="AO32" s="65">
        <f t="shared" si="46"/>
        <v>0</v>
      </c>
      <c r="AP32" s="65">
        <f t="shared" si="47"/>
        <v>0</v>
      </c>
      <c r="AQ32" s="65">
        <f t="shared" si="48"/>
        <v>0</v>
      </c>
      <c r="AR32" s="65">
        <f t="shared" si="49"/>
        <v>0</v>
      </c>
      <c r="AS32" s="528">
        <f t="shared" si="50"/>
        <v>0</v>
      </c>
      <c r="AT32" s="532">
        <f t="shared" si="7"/>
        <v>0</v>
      </c>
      <c r="AU32" s="26">
        <f t="shared" si="8"/>
        <v>0</v>
      </c>
      <c r="AV32" s="26">
        <f t="shared" si="9"/>
        <v>0</v>
      </c>
      <c r="AW32" s="520">
        <f t="shared" si="10"/>
        <v>0</v>
      </c>
      <c r="AX32" s="26">
        <f t="shared" si="11"/>
        <v>0</v>
      </c>
      <c r="AY32" s="26">
        <f t="shared" si="12"/>
        <v>0</v>
      </c>
      <c r="AZ32" s="26">
        <f t="shared" si="13"/>
        <v>0</v>
      </c>
      <c r="BA32" s="520">
        <f t="shared" si="51"/>
        <v>0</v>
      </c>
      <c r="BB32" s="26">
        <f t="shared" si="14"/>
        <v>0</v>
      </c>
      <c r="BC32" s="26">
        <f t="shared" si="15"/>
        <v>0</v>
      </c>
      <c r="BD32" s="26">
        <f t="shared" si="16"/>
        <v>0</v>
      </c>
      <c r="BE32" s="520">
        <f t="shared" si="17"/>
        <v>0</v>
      </c>
      <c r="BF32" s="901">
        <f t="shared" si="18"/>
        <v>0</v>
      </c>
      <c r="BG32" s="901">
        <f t="shared" si="19"/>
        <v>0</v>
      </c>
      <c r="BH32" s="901">
        <f t="shared" si="20"/>
        <v>0</v>
      </c>
      <c r="BI32" s="533">
        <f t="shared" si="21"/>
        <v>0</v>
      </c>
      <c r="BJ32" s="905">
        <f t="shared" si="22"/>
        <v>0</v>
      </c>
      <c r="BK32" s="28">
        <f t="shared" si="23"/>
        <v>0</v>
      </c>
      <c r="BL32" s="28"/>
      <c r="BM32" s="28">
        <f t="shared" si="24"/>
        <v>0</v>
      </c>
      <c r="BN32" s="522">
        <f t="shared" si="25"/>
        <v>0</v>
      </c>
      <c r="BO32" s="28">
        <f t="shared" si="26"/>
        <v>0</v>
      </c>
      <c r="BP32" s="28">
        <f t="shared" si="27"/>
        <v>0</v>
      </c>
      <c r="BQ32" s="522">
        <f t="shared" si="28"/>
        <v>0</v>
      </c>
      <c r="BR32" s="28">
        <f t="shared" si="29"/>
        <v>0</v>
      </c>
      <c r="BS32" s="28">
        <f t="shared" si="30"/>
        <v>0</v>
      </c>
      <c r="BT32" s="28">
        <f t="shared" si="31"/>
        <v>0</v>
      </c>
      <c r="BU32" s="925">
        <f t="shared" si="32"/>
        <v>0</v>
      </c>
    </row>
    <row r="33" spans="1:73" ht="24.95" customHeight="1" x14ac:dyDescent="0.2">
      <c r="A33" s="402">
        <v>25</v>
      </c>
      <c r="B33" s="518" t="str">
        <f>dtsiswa!D31</f>
        <v>Larasati Jagadhita P</v>
      </c>
      <c r="C33" s="537"/>
      <c r="D33" s="158"/>
      <c r="E33" s="8"/>
      <c r="F33" s="8"/>
      <c r="G33" s="8"/>
      <c r="H33" s="522" t="str">
        <f t="shared" si="0"/>
        <v xml:space="preserve">  </v>
      </c>
      <c r="I33" s="8"/>
      <c r="J33" s="8"/>
      <c r="K33" s="8"/>
      <c r="L33" s="8"/>
      <c r="M33" s="8"/>
      <c r="N33" s="8"/>
      <c r="O33" s="522" t="str">
        <f t="shared" si="33"/>
        <v xml:space="preserve">  </v>
      </c>
      <c r="P33" s="8"/>
      <c r="Q33" s="8"/>
      <c r="R33" s="8"/>
      <c r="S33" s="8"/>
      <c r="T33" s="8"/>
      <c r="U33" s="522" t="str">
        <f t="shared" si="1"/>
        <v xml:space="preserve">  </v>
      </c>
      <c r="V33" s="8"/>
      <c r="W33" s="8"/>
      <c r="X33" s="8"/>
      <c r="Y33" s="8"/>
      <c r="Z33" s="8"/>
      <c r="AA33" s="8"/>
      <c r="AB33" s="538" t="str">
        <f t="shared" si="2"/>
        <v xml:space="preserve">  </v>
      </c>
      <c r="AC33" s="19">
        <f t="shared" si="34"/>
        <v>0</v>
      </c>
      <c r="AD33" s="19">
        <f t="shared" si="35"/>
        <v>0</v>
      </c>
      <c r="AE33" s="19">
        <f t="shared" si="36"/>
        <v>0</v>
      </c>
      <c r="AF33" s="19">
        <f t="shared" si="37"/>
        <v>0</v>
      </c>
      <c r="AG33" s="20">
        <f t="shared" si="38"/>
        <v>0</v>
      </c>
      <c r="AH33" s="523">
        <f t="shared" si="39"/>
        <v>0</v>
      </c>
      <c r="AI33" s="523">
        <f t="shared" si="40"/>
        <v>0</v>
      </c>
      <c r="AJ33" s="523">
        <f t="shared" si="41"/>
        <v>0</v>
      </c>
      <c r="AK33" s="523">
        <f t="shared" si="42"/>
        <v>0</v>
      </c>
      <c r="AL33" s="523">
        <f t="shared" si="43"/>
        <v>0</v>
      </c>
      <c r="AM33" s="523">
        <f t="shared" si="44"/>
        <v>0</v>
      </c>
      <c r="AN33" s="20">
        <f t="shared" si="45"/>
        <v>0</v>
      </c>
      <c r="AO33" s="65">
        <f t="shared" si="46"/>
        <v>0</v>
      </c>
      <c r="AP33" s="65">
        <f t="shared" si="47"/>
        <v>0</v>
      </c>
      <c r="AQ33" s="65">
        <f t="shared" si="48"/>
        <v>0</v>
      </c>
      <c r="AR33" s="65">
        <f t="shared" si="49"/>
        <v>0</v>
      </c>
      <c r="AS33" s="528">
        <f t="shared" si="50"/>
        <v>0</v>
      </c>
      <c r="AT33" s="532">
        <f t="shared" si="7"/>
        <v>0</v>
      </c>
      <c r="AU33" s="26">
        <f t="shared" si="8"/>
        <v>0</v>
      </c>
      <c r="AV33" s="26">
        <f t="shared" si="9"/>
        <v>0</v>
      </c>
      <c r="AW33" s="520">
        <f t="shared" si="10"/>
        <v>0</v>
      </c>
      <c r="AX33" s="26">
        <f t="shared" si="11"/>
        <v>0</v>
      </c>
      <c r="AY33" s="26">
        <f t="shared" si="12"/>
        <v>0</v>
      </c>
      <c r="AZ33" s="26">
        <f t="shared" si="13"/>
        <v>0</v>
      </c>
      <c r="BA33" s="520">
        <f t="shared" si="51"/>
        <v>0</v>
      </c>
      <c r="BB33" s="26">
        <f t="shared" si="14"/>
        <v>0</v>
      </c>
      <c r="BC33" s="26">
        <f t="shared" si="15"/>
        <v>0</v>
      </c>
      <c r="BD33" s="26">
        <f t="shared" si="16"/>
        <v>0</v>
      </c>
      <c r="BE33" s="520">
        <f t="shared" si="17"/>
        <v>0</v>
      </c>
      <c r="BF33" s="901">
        <f t="shared" si="18"/>
        <v>0</v>
      </c>
      <c r="BG33" s="901">
        <f t="shared" si="19"/>
        <v>0</v>
      </c>
      <c r="BH33" s="901">
        <f t="shared" si="20"/>
        <v>0</v>
      </c>
      <c r="BI33" s="533">
        <f t="shared" si="21"/>
        <v>0</v>
      </c>
      <c r="BJ33" s="905">
        <f t="shared" si="22"/>
        <v>0</v>
      </c>
      <c r="BK33" s="28">
        <f t="shared" si="23"/>
        <v>0</v>
      </c>
      <c r="BL33" s="28"/>
      <c r="BM33" s="28">
        <f t="shared" si="24"/>
        <v>0</v>
      </c>
      <c r="BN33" s="522">
        <f t="shared" si="25"/>
        <v>0</v>
      </c>
      <c r="BO33" s="28">
        <f t="shared" si="26"/>
        <v>0</v>
      </c>
      <c r="BP33" s="28">
        <f t="shared" si="27"/>
        <v>0</v>
      </c>
      <c r="BQ33" s="522">
        <f t="shared" si="28"/>
        <v>0</v>
      </c>
      <c r="BR33" s="28">
        <f t="shared" si="29"/>
        <v>0</v>
      </c>
      <c r="BS33" s="28">
        <f t="shared" si="30"/>
        <v>0</v>
      </c>
      <c r="BT33" s="28">
        <f t="shared" si="31"/>
        <v>0</v>
      </c>
      <c r="BU33" s="925">
        <f t="shared" si="32"/>
        <v>0</v>
      </c>
    </row>
    <row r="34" spans="1:73" ht="24.95" customHeight="1" x14ac:dyDescent="0.2">
      <c r="A34" s="402">
        <v>26</v>
      </c>
      <c r="B34" s="518" t="str">
        <f>dtsiswa!D32</f>
        <v>Meliana Citra A</v>
      </c>
      <c r="C34" s="537"/>
      <c r="D34" s="158"/>
      <c r="E34" s="8"/>
      <c r="F34" s="8"/>
      <c r="G34" s="8"/>
      <c r="H34" s="522" t="str">
        <f t="shared" si="0"/>
        <v xml:space="preserve">  </v>
      </c>
      <c r="I34" s="8"/>
      <c r="J34" s="8"/>
      <c r="K34" s="8"/>
      <c r="L34" s="8"/>
      <c r="M34" s="8"/>
      <c r="N34" s="8"/>
      <c r="O34" s="522" t="str">
        <f t="shared" si="33"/>
        <v xml:space="preserve">  </v>
      </c>
      <c r="P34" s="8"/>
      <c r="Q34" s="8"/>
      <c r="R34" s="8"/>
      <c r="S34" s="8"/>
      <c r="T34" s="8"/>
      <c r="U34" s="522" t="str">
        <f t="shared" si="1"/>
        <v xml:space="preserve">  </v>
      </c>
      <c r="V34" s="8"/>
      <c r="W34" s="8"/>
      <c r="X34" s="8"/>
      <c r="Y34" s="8"/>
      <c r="Z34" s="8"/>
      <c r="AA34" s="8"/>
      <c r="AB34" s="538" t="str">
        <f t="shared" si="2"/>
        <v xml:space="preserve">  </v>
      </c>
      <c r="AC34" s="19">
        <f t="shared" si="34"/>
        <v>0</v>
      </c>
      <c r="AD34" s="19">
        <f t="shared" si="35"/>
        <v>0</v>
      </c>
      <c r="AE34" s="19">
        <f t="shared" si="36"/>
        <v>0</v>
      </c>
      <c r="AF34" s="19">
        <f t="shared" si="37"/>
        <v>0</v>
      </c>
      <c r="AG34" s="20">
        <f t="shared" si="38"/>
        <v>0</v>
      </c>
      <c r="AH34" s="523">
        <f t="shared" si="39"/>
        <v>0</v>
      </c>
      <c r="AI34" s="523">
        <f t="shared" si="40"/>
        <v>0</v>
      </c>
      <c r="AJ34" s="523">
        <f t="shared" si="41"/>
        <v>0</v>
      </c>
      <c r="AK34" s="523">
        <f t="shared" si="42"/>
        <v>0</v>
      </c>
      <c r="AL34" s="523">
        <f t="shared" si="43"/>
        <v>0</v>
      </c>
      <c r="AM34" s="523">
        <f t="shared" si="44"/>
        <v>0</v>
      </c>
      <c r="AN34" s="20">
        <f t="shared" si="45"/>
        <v>0</v>
      </c>
      <c r="AO34" s="65">
        <f t="shared" si="46"/>
        <v>0</v>
      </c>
      <c r="AP34" s="65">
        <f t="shared" si="47"/>
        <v>0</v>
      </c>
      <c r="AQ34" s="65">
        <f t="shared" si="48"/>
        <v>0</v>
      </c>
      <c r="AR34" s="65">
        <f t="shared" si="49"/>
        <v>0</v>
      </c>
      <c r="AS34" s="528">
        <f t="shared" si="50"/>
        <v>0</v>
      </c>
      <c r="AT34" s="532">
        <f t="shared" si="7"/>
        <v>0</v>
      </c>
      <c r="AU34" s="26">
        <f t="shared" si="8"/>
        <v>0</v>
      </c>
      <c r="AV34" s="26">
        <f t="shared" si="9"/>
        <v>0</v>
      </c>
      <c r="AW34" s="520">
        <f t="shared" si="10"/>
        <v>0</v>
      </c>
      <c r="AX34" s="26">
        <f t="shared" si="11"/>
        <v>0</v>
      </c>
      <c r="AY34" s="26">
        <f t="shared" si="12"/>
        <v>0</v>
      </c>
      <c r="AZ34" s="26">
        <f t="shared" si="13"/>
        <v>0</v>
      </c>
      <c r="BA34" s="520">
        <f t="shared" si="51"/>
        <v>0</v>
      </c>
      <c r="BB34" s="26">
        <f t="shared" si="14"/>
        <v>0</v>
      </c>
      <c r="BC34" s="26">
        <f t="shared" si="15"/>
        <v>0</v>
      </c>
      <c r="BD34" s="26">
        <f t="shared" si="16"/>
        <v>0</v>
      </c>
      <c r="BE34" s="520">
        <f t="shared" si="17"/>
        <v>0</v>
      </c>
      <c r="BF34" s="901">
        <f t="shared" si="18"/>
        <v>0</v>
      </c>
      <c r="BG34" s="901">
        <f t="shared" si="19"/>
        <v>0</v>
      </c>
      <c r="BH34" s="901">
        <f t="shared" si="20"/>
        <v>0</v>
      </c>
      <c r="BI34" s="533">
        <f t="shared" si="21"/>
        <v>0</v>
      </c>
      <c r="BJ34" s="905">
        <f t="shared" si="22"/>
        <v>0</v>
      </c>
      <c r="BK34" s="28">
        <f t="shared" si="23"/>
        <v>0</v>
      </c>
      <c r="BL34" s="28"/>
      <c r="BM34" s="28">
        <f t="shared" si="24"/>
        <v>0</v>
      </c>
      <c r="BN34" s="522">
        <f t="shared" si="25"/>
        <v>0</v>
      </c>
      <c r="BO34" s="28">
        <f t="shared" si="26"/>
        <v>0</v>
      </c>
      <c r="BP34" s="28">
        <f t="shared" si="27"/>
        <v>0</v>
      </c>
      <c r="BQ34" s="522">
        <f t="shared" si="28"/>
        <v>0</v>
      </c>
      <c r="BR34" s="28">
        <f t="shared" si="29"/>
        <v>0</v>
      </c>
      <c r="BS34" s="28">
        <f t="shared" si="30"/>
        <v>0</v>
      </c>
      <c r="BT34" s="28">
        <f t="shared" si="31"/>
        <v>0</v>
      </c>
      <c r="BU34" s="925">
        <f t="shared" si="32"/>
        <v>0</v>
      </c>
    </row>
    <row r="35" spans="1:73" ht="24.95" customHeight="1" x14ac:dyDescent="0.2">
      <c r="A35" s="402">
        <v>27</v>
      </c>
      <c r="B35" s="518" t="str">
        <f>dtsiswa!D33</f>
        <v>Mohammad Rizky</v>
      </c>
      <c r="C35" s="537"/>
      <c r="D35" s="158"/>
      <c r="E35" s="8"/>
      <c r="F35" s="8"/>
      <c r="G35" s="8"/>
      <c r="H35" s="522" t="str">
        <f t="shared" si="0"/>
        <v xml:space="preserve">  </v>
      </c>
      <c r="I35" s="8"/>
      <c r="J35" s="8"/>
      <c r="K35" s="8"/>
      <c r="L35" s="8"/>
      <c r="M35" s="8"/>
      <c r="N35" s="8"/>
      <c r="O35" s="522" t="str">
        <f t="shared" si="33"/>
        <v xml:space="preserve">  </v>
      </c>
      <c r="P35" s="8"/>
      <c r="Q35" s="8"/>
      <c r="R35" s="8"/>
      <c r="S35" s="8"/>
      <c r="T35" s="8"/>
      <c r="U35" s="522" t="str">
        <f t="shared" si="1"/>
        <v xml:space="preserve">  </v>
      </c>
      <c r="V35" s="8"/>
      <c r="W35" s="8"/>
      <c r="X35" s="8"/>
      <c r="Y35" s="8"/>
      <c r="Z35" s="8"/>
      <c r="AA35" s="8"/>
      <c r="AB35" s="538" t="str">
        <f t="shared" si="2"/>
        <v xml:space="preserve">  </v>
      </c>
      <c r="AC35" s="19">
        <f t="shared" si="34"/>
        <v>0</v>
      </c>
      <c r="AD35" s="19">
        <f t="shared" si="35"/>
        <v>0</v>
      </c>
      <c r="AE35" s="19">
        <f t="shared" si="36"/>
        <v>0</v>
      </c>
      <c r="AF35" s="19">
        <f t="shared" si="37"/>
        <v>0</v>
      </c>
      <c r="AG35" s="20">
        <f t="shared" si="38"/>
        <v>0</v>
      </c>
      <c r="AH35" s="523">
        <f t="shared" si="39"/>
        <v>0</v>
      </c>
      <c r="AI35" s="523">
        <f t="shared" si="40"/>
        <v>0</v>
      </c>
      <c r="AJ35" s="523">
        <f t="shared" si="41"/>
        <v>0</v>
      </c>
      <c r="AK35" s="523">
        <f t="shared" si="42"/>
        <v>0</v>
      </c>
      <c r="AL35" s="523">
        <f t="shared" si="43"/>
        <v>0</v>
      </c>
      <c r="AM35" s="523">
        <f t="shared" si="44"/>
        <v>0</v>
      </c>
      <c r="AN35" s="20">
        <f t="shared" si="45"/>
        <v>0</v>
      </c>
      <c r="AO35" s="65">
        <f t="shared" si="46"/>
        <v>0</v>
      </c>
      <c r="AP35" s="65">
        <f t="shared" si="47"/>
        <v>0</v>
      </c>
      <c r="AQ35" s="65">
        <f t="shared" si="48"/>
        <v>0</v>
      </c>
      <c r="AR35" s="65">
        <f t="shared" si="49"/>
        <v>0</v>
      </c>
      <c r="AS35" s="528">
        <f t="shared" si="50"/>
        <v>0</v>
      </c>
      <c r="AT35" s="532">
        <f t="shared" si="7"/>
        <v>0</v>
      </c>
      <c r="AU35" s="26">
        <f t="shared" si="8"/>
        <v>0</v>
      </c>
      <c r="AV35" s="26">
        <f t="shared" si="9"/>
        <v>0</v>
      </c>
      <c r="AW35" s="520">
        <f t="shared" si="10"/>
        <v>0</v>
      </c>
      <c r="AX35" s="26">
        <f t="shared" si="11"/>
        <v>0</v>
      </c>
      <c r="AY35" s="26">
        <f t="shared" si="12"/>
        <v>0</v>
      </c>
      <c r="AZ35" s="26">
        <f t="shared" si="13"/>
        <v>0</v>
      </c>
      <c r="BA35" s="520">
        <f t="shared" si="51"/>
        <v>0</v>
      </c>
      <c r="BB35" s="26">
        <f t="shared" si="14"/>
        <v>0</v>
      </c>
      <c r="BC35" s="26">
        <f t="shared" si="15"/>
        <v>0</v>
      </c>
      <c r="BD35" s="26">
        <f t="shared" si="16"/>
        <v>0</v>
      </c>
      <c r="BE35" s="520">
        <f t="shared" si="17"/>
        <v>0</v>
      </c>
      <c r="BF35" s="901">
        <f t="shared" si="18"/>
        <v>0</v>
      </c>
      <c r="BG35" s="901">
        <f t="shared" si="19"/>
        <v>0</v>
      </c>
      <c r="BH35" s="901">
        <f t="shared" si="20"/>
        <v>0</v>
      </c>
      <c r="BI35" s="533">
        <f t="shared" si="21"/>
        <v>0</v>
      </c>
      <c r="BJ35" s="905">
        <f t="shared" si="22"/>
        <v>0</v>
      </c>
      <c r="BK35" s="28">
        <f t="shared" si="23"/>
        <v>0</v>
      </c>
      <c r="BL35" s="28"/>
      <c r="BM35" s="28">
        <f t="shared" si="24"/>
        <v>0</v>
      </c>
      <c r="BN35" s="522">
        <f t="shared" si="25"/>
        <v>0</v>
      </c>
      <c r="BO35" s="28">
        <f t="shared" si="26"/>
        <v>0</v>
      </c>
      <c r="BP35" s="28">
        <f t="shared" si="27"/>
        <v>0</v>
      </c>
      <c r="BQ35" s="522">
        <f t="shared" si="28"/>
        <v>0</v>
      </c>
      <c r="BR35" s="28">
        <f t="shared" si="29"/>
        <v>0</v>
      </c>
      <c r="BS35" s="28">
        <f t="shared" si="30"/>
        <v>0</v>
      </c>
      <c r="BT35" s="28">
        <f t="shared" si="31"/>
        <v>0</v>
      </c>
      <c r="BU35" s="925">
        <f t="shared" si="32"/>
        <v>0</v>
      </c>
    </row>
    <row r="36" spans="1:73" ht="24.95" customHeight="1" x14ac:dyDescent="0.2">
      <c r="A36" s="402">
        <v>28</v>
      </c>
      <c r="B36" s="518">
        <f>dtsiswa!D34</f>
        <v>0</v>
      </c>
      <c r="C36" s="537"/>
      <c r="D36" s="158"/>
      <c r="E36" s="8"/>
      <c r="F36" s="8"/>
      <c r="G36" s="8"/>
      <c r="H36" s="522" t="str">
        <f t="shared" si="0"/>
        <v xml:space="preserve">  </v>
      </c>
      <c r="I36" s="8"/>
      <c r="J36" s="8"/>
      <c r="K36" s="8"/>
      <c r="L36" s="8"/>
      <c r="M36" s="8"/>
      <c r="N36" s="8"/>
      <c r="O36" s="522" t="str">
        <f t="shared" si="33"/>
        <v xml:space="preserve">  </v>
      </c>
      <c r="P36" s="8"/>
      <c r="Q36" s="8"/>
      <c r="R36" s="8"/>
      <c r="S36" s="8"/>
      <c r="T36" s="8"/>
      <c r="U36" s="522" t="str">
        <f t="shared" si="1"/>
        <v xml:space="preserve">  </v>
      </c>
      <c r="V36" s="8"/>
      <c r="W36" s="8"/>
      <c r="X36" s="8"/>
      <c r="Y36" s="8"/>
      <c r="Z36" s="8"/>
      <c r="AA36" s="8"/>
      <c r="AB36" s="538" t="str">
        <f t="shared" si="2"/>
        <v xml:space="preserve">  </v>
      </c>
      <c r="AC36" s="19">
        <f t="shared" si="34"/>
        <v>0</v>
      </c>
      <c r="AD36" s="19">
        <f t="shared" si="35"/>
        <v>0</v>
      </c>
      <c r="AE36" s="19">
        <f t="shared" si="36"/>
        <v>0</v>
      </c>
      <c r="AF36" s="19">
        <f t="shared" si="37"/>
        <v>0</v>
      </c>
      <c r="AG36" s="20">
        <f t="shared" si="38"/>
        <v>0</v>
      </c>
      <c r="AH36" s="523">
        <f t="shared" si="39"/>
        <v>0</v>
      </c>
      <c r="AI36" s="523">
        <f t="shared" si="40"/>
        <v>0</v>
      </c>
      <c r="AJ36" s="523">
        <f t="shared" si="41"/>
        <v>0</v>
      </c>
      <c r="AK36" s="523">
        <f t="shared" si="42"/>
        <v>0</v>
      </c>
      <c r="AL36" s="523">
        <f t="shared" si="43"/>
        <v>0</v>
      </c>
      <c r="AM36" s="523">
        <f t="shared" si="44"/>
        <v>0</v>
      </c>
      <c r="AN36" s="20">
        <f t="shared" si="45"/>
        <v>0</v>
      </c>
      <c r="AO36" s="65">
        <f t="shared" si="46"/>
        <v>0</v>
      </c>
      <c r="AP36" s="65">
        <f t="shared" si="47"/>
        <v>0</v>
      </c>
      <c r="AQ36" s="65">
        <f t="shared" si="48"/>
        <v>0</v>
      </c>
      <c r="AR36" s="65">
        <f t="shared" si="49"/>
        <v>0</v>
      </c>
      <c r="AS36" s="528">
        <f t="shared" si="50"/>
        <v>0</v>
      </c>
      <c r="AT36" s="532">
        <f t="shared" si="7"/>
        <v>0</v>
      </c>
      <c r="AU36" s="26">
        <f t="shared" si="8"/>
        <v>0</v>
      </c>
      <c r="AV36" s="26">
        <f t="shared" si="9"/>
        <v>0</v>
      </c>
      <c r="AW36" s="520">
        <f t="shared" si="10"/>
        <v>0</v>
      </c>
      <c r="AX36" s="26">
        <f t="shared" si="11"/>
        <v>0</v>
      </c>
      <c r="AY36" s="26">
        <f t="shared" si="12"/>
        <v>0</v>
      </c>
      <c r="AZ36" s="26">
        <f t="shared" si="13"/>
        <v>0</v>
      </c>
      <c r="BA36" s="520">
        <f t="shared" si="51"/>
        <v>0</v>
      </c>
      <c r="BB36" s="26">
        <f t="shared" si="14"/>
        <v>0</v>
      </c>
      <c r="BC36" s="26">
        <f t="shared" si="15"/>
        <v>0</v>
      </c>
      <c r="BD36" s="26">
        <f t="shared" si="16"/>
        <v>0</v>
      </c>
      <c r="BE36" s="520">
        <f t="shared" si="17"/>
        <v>0</v>
      </c>
      <c r="BF36" s="901">
        <f t="shared" si="18"/>
        <v>0</v>
      </c>
      <c r="BG36" s="901">
        <f t="shared" si="19"/>
        <v>0</v>
      </c>
      <c r="BH36" s="901">
        <f t="shared" si="20"/>
        <v>0</v>
      </c>
      <c r="BI36" s="533">
        <f t="shared" si="21"/>
        <v>0</v>
      </c>
      <c r="BJ36" s="905">
        <f t="shared" si="22"/>
        <v>0</v>
      </c>
      <c r="BK36" s="28">
        <f t="shared" si="23"/>
        <v>0</v>
      </c>
      <c r="BL36" s="28"/>
      <c r="BM36" s="28">
        <f t="shared" si="24"/>
        <v>0</v>
      </c>
      <c r="BN36" s="522">
        <f t="shared" si="25"/>
        <v>0</v>
      </c>
      <c r="BO36" s="28">
        <f t="shared" si="26"/>
        <v>0</v>
      </c>
      <c r="BP36" s="28">
        <f t="shared" si="27"/>
        <v>0</v>
      </c>
      <c r="BQ36" s="522">
        <f t="shared" si="28"/>
        <v>0</v>
      </c>
      <c r="BR36" s="28">
        <f t="shared" si="29"/>
        <v>0</v>
      </c>
      <c r="BS36" s="28">
        <f t="shared" si="30"/>
        <v>0</v>
      </c>
      <c r="BT36" s="28">
        <f t="shared" si="31"/>
        <v>0</v>
      </c>
      <c r="BU36" s="925">
        <f t="shared" si="32"/>
        <v>0</v>
      </c>
    </row>
    <row r="37" spans="1:73" ht="24.95" customHeight="1" x14ac:dyDescent="0.2">
      <c r="A37" s="402">
        <v>29</v>
      </c>
      <c r="B37" s="518">
        <f>dtsiswa!D35</f>
        <v>0</v>
      </c>
      <c r="C37" s="537"/>
      <c r="D37" s="158"/>
      <c r="E37" s="8"/>
      <c r="F37" s="8"/>
      <c r="G37" s="8"/>
      <c r="H37" s="522" t="str">
        <f t="shared" si="0"/>
        <v xml:space="preserve">  </v>
      </c>
      <c r="I37" s="8"/>
      <c r="J37" s="8"/>
      <c r="K37" s="8"/>
      <c r="L37" s="8"/>
      <c r="M37" s="8"/>
      <c r="N37" s="8"/>
      <c r="O37" s="522" t="str">
        <f t="shared" si="33"/>
        <v xml:space="preserve">  </v>
      </c>
      <c r="P37" s="8"/>
      <c r="Q37" s="8"/>
      <c r="R37" s="8"/>
      <c r="S37" s="8"/>
      <c r="T37" s="8"/>
      <c r="U37" s="522" t="str">
        <f t="shared" si="1"/>
        <v xml:space="preserve">  </v>
      </c>
      <c r="V37" s="8"/>
      <c r="W37" s="8"/>
      <c r="X37" s="8"/>
      <c r="Y37" s="8"/>
      <c r="Z37" s="8"/>
      <c r="AA37" s="8"/>
      <c r="AB37" s="538" t="str">
        <f t="shared" si="2"/>
        <v xml:space="preserve">  </v>
      </c>
      <c r="AC37" s="19">
        <f t="shared" si="34"/>
        <v>0</v>
      </c>
      <c r="AD37" s="19">
        <f t="shared" si="35"/>
        <v>0</v>
      </c>
      <c r="AE37" s="19">
        <f t="shared" si="36"/>
        <v>0</v>
      </c>
      <c r="AF37" s="19">
        <f t="shared" si="37"/>
        <v>0</v>
      </c>
      <c r="AG37" s="20">
        <f t="shared" si="38"/>
        <v>0</v>
      </c>
      <c r="AH37" s="523">
        <f t="shared" si="39"/>
        <v>0</v>
      </c>
      <c r="AI37" s="523">
        <f t="shared" si="40"/>
        <v>0</v>
      </c>
      <c r="AJ37" s="523">
        <f t="shared" si="41"/>
        <v>0</v>
      </c>
      <c r="AK37" s="523">
        <f t="shared" si="42"/>
        <v>0</v>
      </c>
      <c r="AL37" s="523">
        <f t="shared" si="43"/>
        <v>0</v>
      </c>
      <c r="AM37" s="523">
        <f t="shared" si="44"/>
        <v>0</v>
      </c>
      <c r="AN37" s="20">
        <f t="shared" si="45"/>
        <v>0</v>
      </c>
      <c r="AO37" s="65">
        <f t="shared" si="46"/>
        <v>0</v>
      </c>
      <c r="AP37" s="65">
        <f t="shared" si="47"/>
        <v>0</v>
      </c>
      <c r="AQ37" s="65">
        <f t="shared" si="48"/>
        <v>0</v>
      </c>
      <c r="AR37" s="65">
        <f t="shared" si="49"/>
        <v>0</v>
      </c>
      <c r="AS37" s="528">
        <f t="shared" si="50"/>
        <v>0</v>
      </c>
      <c r="AT37" s="532">
        <f t="shared" si="7"/>
        <v>0</v>
      </c>
      <c r="AU37" s="26">
        <f t="shared" si="8"/>
        <v>0</v>
      </c>
      <c r="AV37" s="26">
        <f t="shared" si="9"/>
        <v>0</v>
      </c>
      <c r="AW37" s="520">
        <f t="shared" si="10"/>
        <v>0</v>
      </c>
      <c r="AX37" s="26">
        <f t="shared" si="11"/>
        <v>0</v>
      </c>
      <c r="AY37" s="26">
        <f t="shared" si="12"/>
        <v>0</v>
      </c>
      <c r="AZ37" s="26">
        <f t="shared" si="13"/>
        <v>0</v>
      </c>
      <c r="BA37" s="520">
        <f t="shared" si="51"/>
        <v>0</v>
      </c>
      <c r="BB37" s="26">
        <f t="shared" si="14"/>
        <v>0</v>
      </c>
      <c r="BC37" s="26">
        <f t="shared" si="15"/>
        <v>0</v>
      </c>
      <c r="BD37" s="26">
        <f t="shared" si="16"/>
        <v>0</v>
      </c>
      <c r="BE37" s="520">
        <f t="shared" si="17"/>
        <v>0</v>
      </c>
      <c r="BF37" s="901">
        <f t="shared" si="18"/>
        <v>0</v>
      </c>
      <c r="BG37" s="901">
        <f t="shared" si="19"/>
        <v>0</v>
      </c>
      <c r="BH37" s="901">
        <f t="shared" si="20"/>
        <v>0</v>
      </c>
      <c r="BI37" s="533">
        <f t="shared" si="21"/>
        <v>0</v>
      </c>
      <c r="BJ37" s="905">
        <f t="shared" si="22"/>
        <v>0</v>
      </c>
      <c r="BK37" s="28">
        <f t="shared" si="23"/>
        <v>0</v>
      </c>
      <c r="BL37" s="28"/>
      <c r="BM37" s="28">
        <f t="shared" si="24"/>
        <v>0</v>
      </c>
      <c r="BN37" s="522">
        <f t="shared" si="25"/>
        <v>0</v>
      </c>
      <c r="BO37" s="28">
        <f t="shared" si="26"/>
        <v>0</v>
      </c>
      <c r="BP37" s="28">
        <f t="shared" si="27"/>
        <v>0</v>
      </c>
      <c r="BQ37" s="522">
        <f t="shared" si="28"/>
        <v>0</v>
      </c>
      <c r="BR37" s="28">
        <f t="shared" si="29"/>
        <v>0</v>
      </c>
      <c r="BS37" s="28">
        <f t="shared" si="30"/>
        <v>0</v>
      </c>
      <c r="BT37" s="28">
        <f t="shared" si="31"/>
        <v>0</v>
      </c>
      <c r="BU37" s="925">
        <f t="shared" si="32"/>
        <v>0</v>
      </c>
    </row>
    <row r="38" spans="1:73" ht="24.95" customHeight="1" x14ac:dyDescent="0.2">
      <c r="A38" s="402">
        <v>30</v>
      </c>
      <c r="B38" s="518">
        <f>dtsiswa!D36</f>
        <v>0</v>
      </c>
      <c r="C38" s="537"/>
      <c r="D38" s="158"/>
      <c r="E38" s="8"/>
      <c r="F38" s="8"/>
      <c r="G38" s="8"/>
      <c r="H38" s="522" t="str">
        <f t="shared" si="0"/>
        <v xml:space="preserve">  </v>
      </c>
      <c r="I38" s="8"/>
      <c r="J38" s="8"/>
      <c r="K38" s="8"/>
      <c r="L38" s="8"/>
      <c r="M38" s="8"/>
      <c r="N38" s="8"/>
      <c r="O38" s="522" t="str">
        <f t="shared" si="33"/>
        <v xml:space="preserve">  </v>
      </c>
      <c r="P38" s="8"/>
      <c r="Q38" s="8"/>
      <c r="R38" s="8"/>
      <c r="S38" s="8"/>
      <c r="T38" s="8"/>
      <c r="U38" s="522" t="str">
        <f t="shared" si="1"/>
        <v xml:space="preserve">  </v>
      </c>
      <c r="V38" s="8"/>
      <c r="W38" s="8"/>
      <c r="X38" s="8"/>
      <c r="Y38" s="8"/>
      <c r="Z38" s="8"/>
      <c r="AA38" s="8"/>
      <c r="AB38" s="538" t="str">
        <f t="shared" si="2"/>
        <v xml:space="preserve">  </v>
      </c>
      <c r="AC38" s="19">
        <f t="shared" si="34"/>
        <v>0</v>
      </c>
      <c r="AD38" s="19">
        <f t="shared" si="35"/>
        <v>0</v>
      </c>
      <c r="AE38" s="19">
        <f t="shared" si="36"/>
        <v>0</v>
      </c>
      <c r="AF38" s="19">
        <f t="shared" si="37"/>
        <v>0</v>
      </c>
      <c r="AG38" s="20">
        <f t="shared" si="38"/>
        <v>0</v>
      </c>
      <c r="AH38" s="523">
        <f t="shared" si="39"/>
        <v>0</v>
      </c>
      <c r="AI38" s="523">
        <f t="shared" si="40"/>
        <v>0</v>
      </c>
      <c r="AJ38" s="523">
        <f t="shared" si="41"/>
        <v>0</v>
      </c>
      <c r="AK38" s="523">
        <f t="shared" si="42"/>
        <v>0</v>
      </c>
      <c r="AL38" s="523">
        <f t="shared" si="43"/>
        <v>0</v>
      </c>
      <c r="AM38" s="523">
        <f t="shared" si="44"/>
        <v>0</v>
      </c>
      <c r="AN38" s="20">
        <f t="shared" si="45"/>
        <v>0</v>
      </c>
      <c r="AO38" s="65">
        <f t="shared" si="46"/>
        <v>0</v>
      </c>
      <c r="AP38" s="65">
        <f t="shared" si="47"/>
        <v>0</v>
      </c>
      <c r="AQ38" s="65">
        <f t="shared" si="48"/>
        <v>0</v>
      </c>
      <c r="AR38" s="65">
        <f t="shared" si="49"/>
        <v>0</v>
      </c>
      <c r="AS38" s="528">
        <f t="shared" si="50"/>
        <v>0</v>
      </c>
      <c r="AT38" s="532">
        <f t="shared" si="7"/>
        <v>0</v>
      </c>
      <c r="AU38" s="26">
        <f t="shared" si="8"/>
        <v>0</v>
      </c>
      <c r="AV38" s="26">
        <f t="shared" si="9"/>
        <v>0</v>
      </c>
      <c r="AW38" s="520">
        <f t="shared" si="10"/>
        <v>0</v>
      </c>
      <c r="AX38" s="26">
        <f t="shared" si="11"/>
        <v>0</v>
      </c>
      <c r="AY38" s="26">
        <f t="shared" si="12"/>
        <v>0</v>
      </c>
      <c r="AZ38" s="26">
        <f t="shared" si="13"/>
        <v>0</v>
      </c>
      <c r="BA38" s="520">
        <f t="shared" si="51"/>
        <v>0</v>
      </c>
      <c r="BB38" s="26">
        <f t="shared" si="14"/>
        <v>0</v>
      </c>
      <c r="BC38" s="26">
        <f t="shared" si="15"/>
        <v>0</v>
      </c>
      <c r="BD38" s="26">
        <f t="shared" si="16"/>
        <v>0</v>
      </c>
      <c r="BE38" s="520">
        <f t="shared" si="17"/>
        <v>0</v>
      </c>
      <c r="BF38" s="901">
        <f t="shared" si="18"/>
        <v>0</v>
      </c>
      <c r="BG38" s="901">
        <f t="shared" si="19"/>
        <v>0</v>
      </c>
      <c r="BH38" s="901">
        <f t="shared" si="20"/>
        <v>0</v>
      </c>
      <c r="BI38" s="533">
        <f t="shared" si="21"/>
        <v>0</v>
      </c>
      <c r="BJ38" s="905">
        <f t="shared" si="22"/>
        <v>0</v>
      </c>
      <c r="BK38" s="28">
        <f t="shared" si="23"/>
        <v>0</v>
      </c>
      <c r="BL38" s="28"/>
      <c r="BM38" s="28">
        <f t="shared" si="24"/>
        <v>0</v>
      </c>
      <c r="BN38" s="522">
        <f t="shared" si="25"/>
        <v>0</v>
      </c>
      <c r="BO38" s="28">
        <f t="shared" si="26"/>
        <v>0</v>
      </c>
      <c r="BP38" s="28">
        <f t="shared" si="27"/>
        <v>0</v>
      </c>
      <c r="BQ38" s="522">
        <f t="shared" si="28"/>
        <v>0</v>
      </c>
      <c r="BR38" s="28">
        <f t="shared" si="29"/>
        <v>0</v>
      </c>
      <c r="BS38" s="28">
        <f t="shared" si="30"/>
        <v>0</v>
      </c>
      <c r="BT38" s="28">
        <f t="shared" si="31"/>
        <v>0</v>
      </c>
      <c r="BU38" s="925">
        <f t="shared" si="32"/>
        <v>0</v>
      </c>
    </row>
    <row r="39" spans="1:73" ht="24.95" customHeight="1" x14ac:dyDescent="0.2">
      <c r="A39" s="402">
        <v>31</v>
      </c>
      <c r="B39" s="518">
        <f>dtsiswa!D37</f>
        <v>0</v>
      </c>
      <c r="C39" s="537"/>
      <c r="D39" s="158"/>
      <c r="E39" s="8"/>
      <c r="F39" s="8"/>
      <c r="G39" s="8"/>
      <c r="H39" s="522" t="str">
        <f t="shared" si="0"/>
        <v xml:space="preserve">  </v>
      </c>
      <c r="I39" s="8"/>
      <c r="J39" s="8"/>
      <c r="K39" s="8"/>
      <c r="L39" s="8"/>
      <c r="M39" s="8"/>
      <c r="N39" s="8"/>
      <c r="O39" s="522" t="str">
        <f t="shared" si="33"/>
        <v xml:space="preserve">  </v>
      </c>
      <c r="P39" s="8"/>
      <c r="Q39" s="8"/>
      <c r="R39" s="8"/>
      <c r="S39" s="8"/>
      <c r="T39" s="8"/>
      <c r="U39" s="522" t="str">
        <f t="shared" si="1"/>
        <v xml:space="preserve">  </v>
      </c>
      <c r="V39" s="8"/>
      <c r="W39" s="8"/>
      <c r="X39" s="8"/>
      <c r="Y39" s="8"/>
      <c r="Z39" s="8"/>
      <c r="AA39" s="8"/>
      <c r="AB39" s="538" t="str">
        <f t="shared" si="2"/>
        <v xml:space="preserve">  </v>
      </c>
      <c r="AC39" s="19">
        <f t="shared" si="34"/>
        <v>0</v>
      </c>
      <c r="AD39" s="19">
        <f t="shared" si="35"/>
        <v>0</v>
      </c>
      <c r="AE39" s="19">
        <f t="shared" si="36"/>
        <v>0</v>
      </c>
      <c r="AF39" s="19">
        <f t="shared" si="37"/>
        <v>0</v>
      </c>
      <c r="AG39" s="20">
        <f t="shared" si="38"/>
        <v>0</v>
      </c>
      <c r="AH39" s="523">
        <f t="shared" si="39"/>
        <v>0</v>
      </c>
      <c r="AI39" s="523">
        <f t="shared" si="40"/>
        <v>0</v>
      </c>
      <c r="AJ39" s="523">
        <f t="shared" si="41"/>
        <v>0</v>
      </c>
      <c r="AK39" s="523">
        <f t="shared" si="42"/>
        <v>0</v>
      </c>
      <c r="AL39" s="523">
        <f t="shared" si="43"/>
        <v>0</v>
      </c>
      <c r="AM39" s="523">
        <f t="shared" si="44"/>
        <v>0</v>
      </c>
      <c r="AN39" s="20">
        <f t="shared" si="45"/>
        <v>0</v>
      </c>
      <c r="AO39" s="65">
        <f t="shared" si="46"/>
        <v>0</v>
      </c>
      <c r="AP39" s="65">
        <f t="shared" si="47"/>
        <v>0</v>
      </c>
      <c r="AQ39" s="65">
        <f t="shared" si="48"/>
        <v>0</v>
      </c>
      <c r="AR39" s="65">
        <f t="shared" si="49"/>
        <v>0</v>
      </c>
      <c r="AS39" s="528">
        <f t="shared" si="50"/>
        <v>0</v>
      </c>
      <c r="AT39" s="532">
        <f t="shared" si="7"/>
        <v>0</v>
      </c>
      <c r="AU39" s="26">
        <f t="shared" si="8"/>
        <v>0</v>
      </c>
      <c r="AV39" s="26">
        <f t="shared" si="9"/>
        <v>0</v>
      </c>
      <c r="AW39" s="520">
        <f t="shared" si="10"/>
        <v>0</v>
      </c>
      <c r="AX39" s="26">
        <f t="shared" si="11"/>
        <v>0</v>
      </c>
      <c r="AY39" s="26">
        <f t="shared" si="12"/>
        <v>0</v>
      </c>
      <c r="AZ39" s="26">
        <f t="shared" si="13"/>
        <v>0</v>
      </c>
      <c r="BA39" s="520">
        <f t="shared" si="51"/>
        <v>0</v>
      </c>
      <c r="BB39" s="26">
        <f t="shared" si="14"/>
        <v>0</v>
      </c>
      <c r="BC39" s="26">
        <f t="shared" si="15"/>
        <v>0</v>
      </c>
      <c r="BD39" s="26">
        <f t="shared" si="16"/>
        <v>0</v>
      </c>
      <c r="BE39" s="520">
        <f t="shared" si="17"/>
        <v>0</v>
      </c>
      <c r="BF39" s="901">
        <f t="shared" si="18"/>
        <v>0</v>
      </c>
      <c r="BG39" s="901">
        <f t="shared" si="19"/>
        <v>0</v>
      </c>
      <c r="BH39" s="901">
        <f t="shared" si="20"/>
        <v>0</v>
      </c>
      <c r="BI39" s="533">
        <f t="shared" si="21"/>
        <v>0</v>
      </c>
      <c r="BJ39" s="905">
        <f t="shared" si="22"/>
        <v>0</v>
      </c>
      <c r="BK39" s="28">
        <f t="shared" si="23"/>
        <v>0</v>
      </c>
      <c r="BL39" s="28"/>
      <c r="BM39" s="28">
        <f t="shared" si="24"/>
        <v>0</v>
      </c>
      <c r="BN39" s="522">
        <f t="shared" si="25"/>
        <v>0</v>
      </c>
      <c r="BO39" s="28">
        <f t="shared" si="26"/>
        <v>0</v>
      </c>
      <c r="BP39" s="28">
        <f t="shared" si="27"/>
        <v>0</v>
      </c>
      <c r="BQ39" s="522">
        <f t="shared" si="28"/>
        <v>0</v>
      </c>
      <c r="BR39" s="28">
        <f t="shared" si="29"/>
        <v>0</v>
      </c>
      <c r="BS39" s="28">
        <f t="shared" si="30"/>
        <v>0</v>
      </c>
      <c r="BT39" s="28">
        <f t="shared" si="31"/>
        <v>0</v>
      </c>
      <c r="BU39" s="925">
        <f t="shared" si="32"/>
        <v>0</v>
      </c>
    </row>
    <row r="40" spans="1:73" ht="24.95" customHeight="1" x14ac:dyDescent="0.2">
      <c r="A40" s="898">
        <v>32</v>
      </c>
      <c r="B40" s="518">
        <f>dtsiswa!D38</f>
        <v>0</v>
      </c>
      <c r="C40" s="537"/>
      <c r="D40" s="158"/>
      <c r="E40" s="8"/>
      <c r="F40" s="8"/>
      <c r="G40" s="8"/>
      <c r="H40" s="520" t="str">
        <f t="shared" si="0"/>
        <v xml:space="preserve">  </v>
      </c>
      <c r="I40" s="8"/>
      <c r="J40" s="8"/>
      <c r="K40" s="8"/>
      <c r="L40" s="8"/>
      <c r="M40" s="8"/>
      <c r="N40" s="8"/>
      <c r="O40" s="520" t="str">
        <f t="shared" si="33"/>
        <v xml:space="preserve">  </v>
      </c>
      <c r="P40" s="8"/>
      <c r="Q40" s="8"/>
      <c r="R40" s="8"/>
      <c r="S40" s="8"/>
      <c r="T40" s="8"/>
      <c r="U40" s="520" t="str">
        <f t="shared" si="1"/>
        <v xml:space="preserve">  </v>
      </c>
      <c r="V40" s="8"/>
      <c r="W40" s="8"/>
      <c r="X40" s="8"/>
      <c r="Y40" s="8"/>
      <c r="Z40" s="8"/>
      <c r="AA40" s="8"/>
      <c r="AB40" s="520" t="str">
        <f t="shared" si="2"/>
        <v xml:space="preserve">  </v>
      </c>
      <c r="AC40" s="19">
        <f t="shared" si="34"/>
        <v>0</v>
      </c>
      <c r="AD40" s="19">
        <f t="shared" si="35"/>
        <v>0</v>
      </c>
      <c r="AE40" s="19">
        <f t="shared" si="36"/>
        <v>0</v>
      </c>
      <c r="AF40" s="19">
        <f t="shared" si="37"/>
        <v>0</v>
      </c>
      <c r="AG40" s="20">
        <f t="shared" si="38"/>
        <v>0</v>
      </c>
      <c r="AH40" s="523">
        <f t="shared" si="39"/>
        <v>0</v>
      </c>
      <c r="AI40" s="523">
        <f t="shared" si="40"/>
        <v>0</v>
      </c>
      <c r="AJ40" s="523">
        <f t="shared" si="41"/>
        <v>0</v>
      </c>
      <c r="AK40" s="523">
        <f t="shared" si="42"/>
        <v>0</v>
      </c>
      <c r="AL40" s="523">
        <f t="shared" si="43"/>
        <v>0</v>
      </c>
      <c r="AM40" s="523">
        <f t="shared" si="44"/>
        <v>0</v>
      </c>
      <c r="AN40" s="20">
        <f t="shared" si="45"/>
        <v>0</v>
      </c>
      <c r="AO40" s="65">
        <f t="shared" si="46"/>
        <v>0</v>
      </c>
      <c r="AP40" s="65">
        <f t="shared" si="47"/>
        <v>0</v>
      </c>
      <c r="AQ40" s="65">
        <f t="shared" si="48"/>
        <v>0</v>
      </c>
      <c r="AR40" s="65">
        <f t="shared" si="49"/>
        <v>0</v>
      </c>
      <c r="AS40" s="528">
        <f t="shared" si="50"/>
        <v>0</v>
      </c>
      <c r="AT40" s="26">
        <f t="shared" si="7"/>
        <v>0</v>
      </c>
      <c r="AU40" s="26">
        <f t="shared" si="8"/>
        <v>0</v>
      </c>
      <c r="AV40" s="26">
        <f t="shared" si="9"/>
        <v>0</v>
      </c>
      <c r="AW40" s="520">
        <f t="shared" si="10"/>
        <v>0</v>
      </c>
      <c r="AX40" s="26">
        <f t="shared" si="11"/>
        <v>0</v>
      </c>
      <c r="AY40" s="26">
        <f t="shared" si="12"/>
        <v>0</v>
      </c>
      <c r="AZ40" s="26">
        <f t="shared" si="13"/>
        <v>0</v>
      </c>
      <c r="BA40" s="520">
        <f t="shared" si="51"/>
        <v>0</v>
      </c>
      <c r="BB40" s="26">
        <f t="shared" si="14"/>
        <v>0</v>
      </c>
      <c r="BC40" s="26">
        <f t="shared" si="15"/>
        <v>0</v>
      </c>
      <c r="BD40" s="26">
        <f t="shared" si="16"/>
        <v>0</v>
      </c>
      <c r="BE40" s="520">
        <f t="shared" si="17"/>
        <v>0</v>
      </c>
      <c r="BF40" s="901">
        <f t="shared" si="18"/>
        <v>0</v>
      </c>
      <c r="BG40" s="901">
        <f t="shared" si="19"/>
        <v>0</v>
      </c>
      <c r="BH40" s="901">
        <f t="shared" si="20"/>
        <v>0</v>
      </c>
      <c r="BI40" s="520">
        <f t="shared" si="21"/>
        <v>0</v>
      </c>
      <c r="BJ40" s="901">
        <f t="shared" si="22"/>
        <v>0</v>
      </c>
      <c r="BK40" s="901">
        <f t="shared" si="23"/>
        <v>0</v>
      </c>
      <c r="BL40" s="901"/>
      <c r="BM40" s="901">
        <f t="shared" si="24"/>
        <v>0</v>
      </c>
      <c r="BN40" s="520">
        <f t="shared" si="25"/>
        <v>0</v>
      </c>
      <c r="BO40" s="901">
        <f t="shared" si="26"/>
        <v>0</v>
      </c>
      <c r="BP40" s="901">
        <f t="shared" si="27"/>
        <v>0</v>
      </c>
      <c r="BQ40" s="520">
        <f t="shared" si="28"/>
        <v>0</v>
      </c>
      <c r="BR40" s="901">
        <f t="shared" si="29"/>
        <v>0</v>
      </c>
      <c r="BS40" s="901">
        <f t="shared" si="30"/>
        <v>0</v>
      </c>
      <c r="BT40" s="901">
        <f t="shared" si="31"/>
        <v>0</v>
      </c>
      <c r="BU40" s="925">
        <f t="shared" si="32"/>
        <v>0</v>
      </c>
    </row>
    <row r="41" spans="1:73" ht="24.95" customHeight="1" x14ac:dyDescent="0.2">
      <c r="A41" s="898">
        <v>33</v>
      </c>
      <c r="B41" s="518">
        <f>dtsiswa!D39</f>
        <v>0</v>
      </c>
      <c r="C41" s="537"/>
      <c r="D41" s="158"/>
      <c r="E41" s="8"/>
      <c r="F41" s="8"/>
      <c r="G41" s="8"/>
      <c r="H41" s="520" t="str">
        <f t="shared" si="0"/>
        <v xml:space="preserve">  </v>
      </c>
      <c r="I41" s="8"/>
      <c r="J41" s="8"/>
      <c r="K41" s="8"/>
      <c r="L41" s="8"/>
      <c r="M41" s="8"/>
      <c r="N41" s="8"/>
      <c r="O41" s="520" t="str">
        <f t="shared" si="33"/>
        <v xml:space="preserve">  </v>
      </c>
      <c r="P41" s="8"/>
      <c r="Q41" s="8"/>
      <c r="R41" s="8"/>
      <c r="S41" s="8"/>
      <c r="T41" s="8"/>
      <c r="U41" s="520" t="str">
        <f t="shared" si="1"/>
        <v xml:space="preserve">  </v>
      </c>
      <c r="V41" s="8"/>
      <c r="W41" s="8"/>
      <c r="X41" s="8"/>
      <c r="Y41" s="8"/>
      <c r="Z41" s="8"/>
      <c r="AA41" s="8"/>
      <c r="AB41" s="520" t="str">
        <f t="shared" si="2"/>
        <v xml:space="preserve">  </v>
      </c>
      <c r="AC41" s="19">
        <f t="shared" si="34"/>
        <v>0</v>
      </c>
      <c r="AD41" s="19">
        <f t="shared" si="35"/>
        <v>0</v>
      </c>
      <c r="AE41" s="19">
        <f t="shared" si="36"/>
        <v>0</v>
      </c>
      <c r="AF41" s="19">
        <f t="shared" si="37"/>
        <v>0</v>
      </c>
      <c r="AG41" s="20">
        <f t="shared" si="38"/>
        <v>0</v>
      </c>
      <c r="AH41" s="523">
        <f t="shared" si="39"/>
        <v>0</v>
      </c>
      <c r="AI41" s="523">
        <f t="shared" si="40"/>
        <v>0</v>
      </c>
      <c r="AJ41" s="523">
        <f t="shared" si="41"/>
        <v>0</v>
      </c>
      <c r="AK41" s="523">
        <f t="shared" si="42"/>
        <v>0</v>
      </c>
      <c r="AL41" s="523">
        <f t="shared" si="43"/>
        <v>0</v>
      </c>
      <c r="AM41" s="523">
        <f t="shared" si="44"/>
        <v>0</v>
      </c>
      <c r="AN41" s="20">
        <f t="shared" si="45"/>
        <v>0</v>
      </c>
      <c r="AO41" s="65">
        <f t="shared" si="46"/>
        <v>0</v>
      </c>
      <c r="AP41" s="65">
        <f t="shared" si="47"/>
        <v>0</v>
      </c>
      <c r="AQ41" s="65">
        <f t="shared" si="48"/>
        <v>0</v>
      </c>
      <c r="AR41" s="65">
        <f t="shared" si="49"/>
        <v>0</v>
      </c>
      <c r="AS41" s="528">
        <f t="shared" si="50"/>
        <v>0</v>
      </c>
      <c r="AT41" s="26">
        <f t="shared" si="7"/>
        <v>0</v>
      </c>
      <c r="AU41" s="26">
        <f t="shared" si="8"/>
        <v>0</v>
      </c>
      <c r="AV41" s="26">
        <f t="shared" si="9"/>
        <v>0</v>
      </c>
      <c r="AW41" s="520">
        <f t="shared" si="10"/>
        <v>0</v>
      </c>
      <c r="AX41" s="26">
        <f t="shared" si="11"/>
        <v>0</v>
      </c>
      <c r="AY41" s="26">
        <f t="shared" si="12"/>
        <v>0</v>
      </c>
      <c r="AZ41" s="26">
        <f t="shared" si="13"/>
        <v>0</v>
      </c>
      <c r="BA41" s="520">
        <f t="shared" si="51"/>
        <v>0</v>
      </c>
      <c r="BB41" s="26">
        <f t="shared" si="14"/>
        <v>0</v>
      </c>
      <c r="BC41" s="26">
        <f t="shared" si="15"/>
        <v>0</v>
      </c>
      <c r="BD41" s="26">
        <f t="shared" si="16"/>
        <v>0</v>
      </c>
      <c r="BE41" s="520">
        <f t="shared" si="17"/>
        <v>0</v>
      </c>
      <c r="BF41" s="901">
        <f t="shared" si="18"/>
        <v>0</v>
      </c>
      <c r="BG41" s="901">
        <f t="shared" si="19"/>
        <v>0</v>
      </c>
      <c r="BH41" s="901">
        <f t="shared" si="20"/>
        <v>0</v>
      </c>
      <c r="BI41" s="520">
        <f t="shared" si="21"/>
        <v>0</v>
      </c>
      <c r="BJ41" s="901">
        <f t="shared" si="22"/>
        <v>0</v>
      </c>
      <c r="BK41" s="901">
        <f t="shared" si="23"/>
        <v>0</v>
      </c>
      <c r="BL41" s="901"/>
      <c r="BM41" s="901">
        <f t="shared" si="24"/>
        <v>0</v>
      </c>
      <c r="BN41" s="520">
        <f t="shared" si="25"/>
        <v>0</v>
      </c>
      <c r="BO41" s="901">
        <f t="shared" si="26"/>
        <v>0</v>
      </c>
      <c r="BP41" s="901">
        <f t="shared" si="27"/>
        <v>0</v>
      </c>
      <c r="BQ41" s="520">
        <f t="shared" si="28"/>
        <v>0</v>
      </c>
      <c r="BR41" s="901">
        <f t="shared" si="29"/>
        <v>0</v>
      </c>
      <c r="BS41" s="901">
        <f t="shared" si="30"/>
        <v>0</v>
      </c>
      <c r="BT41" s="901">
        <f t="shared" si="31"/>
        <v>0</v>
      </c>
      <c r="BU41" s="925">
        <f t="shared" si="32"/>
        <v>0</v>
      </c>
    </row>
    <row r="42" spans="1:73" ht="24.95" customHeight="1" x14ac:dyDescent="0.2">
      <c r="A42" s="898">
        <v>34</v>
      </c>
      <c r="B42" s="518">
        <f>dtsiswa!D40</f>
        <v>0</v>
      </c>
      <c r="C42" s="537"/>
      <c r="D42" s="158"/>
      <c r="E42" s="8"/>
      <c r="F42" s="8"/>
      <c r="G42" s="8"/>
      <c r="H42" s="520" t="str">
        <f t="shared" si="0"/>
        <v xml:space="preserve">  </v>
      </c>
      <c r="I42" s="8"/>
      <c r="J42" s="8"/>
      <c r="K42" s="8"/>
      <c r="L42" s="8"/>
      <c r="M42" s="8"/>
      <c r="N42" s="8"/>
      <c r="O42" s="520" t="str">
        <f t="shared" si="33"/>
        <v xml:space="preserve">  </v>
      </c>
      <c r="P42" s="8"/>
      <c r="Q42" s="8"/>
      <c r="R42" s="8"/>
      <c r="S42" s="8"/>
      <c r="T42" s="8"/>
      <c r="U42" s="520" t="str">
        <f t="shared" si="1"/>
        <v xml:space="preserve">  </v>
      </c>
      <c r="V42" s="8"/>
      <c r="W42" s="8"/>
      <c r="X42" s="8"/>
      <c r="Y42" s="8"/>
      <c r="Z42" s="8"/>
      <c r="AA42" s="8"/>
      <c r="AB42" s="520" t="str">
        <f t="shared" si="2"/>
        <v xml:space="preserve">  </v>
      </c>
      <c r="AC42" s="19">
        <f t="shared" si="34"/>
        <v>0</v>
      </c>
      <c r="AD42" s="19">
        <f t="shared" si="35"/>
        <v>0</v>
      </c>
      <c r="AE42" s="19">
        <f t="shared" si="36"/>
        <v>0</v>
      </c>
      <c r="AF42" s="19">
        <f t="shared" si="37"/>
        <v>0</v>
      </c>
      <c r="AG42" s="20">
        <f t="shared" si="38"/>
        <v>0</v>
      </c>
      <c r="AH42" s="523">
        <f t="shared" si="39"/>
        <v>0</v>
      </c>
      <c r="AI42" s="523">
        <f t="shared" si="40"/>
        <v>0</v>
      </c>
      <c r="AJ42" s="523">
        <f t="shared" si="41"/>
        <v>0</v>
      </c>
      <c r="AK42" s="523">
        <f t="shared" si="42"/>
        <v>0</v>
      </c>
      <c r="AL42" s="523">
        <f t="shared" si="43"/>
        <v>0</v>
      </c>
      <c r="AM42" s="523">
        <f t="shared" si="44"/>
        <v>0</v>
      </c>
      <c r="AN42" s="20">
        <f t="shared" si="45"/>
        <v>0</v>
      </c>
      <c r="AO42" s="65">
        <f t="shared" si="46"/>
        <v>0</v>
      </c>
      <c r="AP42" s="65">
        <f t="shared" si="47"/>
        <v>0</v>
      </c>
      <c r="AQ42" s="65">
        <f t="shared" si="48"/>
        <v>0</v>
      </c>
      <c r="AR42" s="65">
        <f t="shared" si="49"/>
        <v>0</v>
      </c>
      <c r="AS42" s="528">
        <f t="shared" si="50"/>
        <v>0</v>
      </c>
      <c r="AT42" s="26">
        <f t="shared" si="7"/>
        <v>0</v>
      </c>
      <c r="AU42" s="26">
        <f t="shared" si="8"/>
        <v>0</v>
      </c>
      <c r="AV42" s="26">
        <f t="shared" si="9"/>
        <v>0</v>
      </c>
      <c r="AW42" s="520">
        <f t="shared" si="10"/>
        <v>0</v>
      </c>
      <c r="AX42" s="26">
        <f t="shared" si="11"/>
        <v>0</v>
      </c>
      <c r="AY42" s="26">
        <f t="shared" si="12"/>
        <v>0</v>
      </c>
      <c r="AZ42" s="26">
        <f t="shared" si="13"/>
        <v>0</v>
      </c>
      <c r="BA42" s="520">
        <f t="shared" si="51"/>
        <v>0</v>
      </c>
      <c r="BB42" s="26">
        <f t="shared" si="14"/>
        <v>0</v>
      </c>
      <c r="BC42" s="26">
        <f t="shared" si="15"/>
        <v>0</v>
      </c>
      <c r="BD42" s="26">
        <f t="shared" si="16"/>
        <v>0</v>
      </c>
      <c r="BE42" s="520">
        <f t="shared" si="17"/>
        <v>0</v>
      </c>
      <c r="BF42" s="901">
        <f t="shared" si="18"/>
        <v>0</v>
      </c>
      <c r="BG42" s="901">
        <f t="shared" si="19"/>
        <v>0</v>
      </c>
      <c r="BH42" s="901">
        <f t="shared" si="20"/>
        <v>0</v>
      </c>
      <c r="BI42" s="520">
        <f t="shared" si="21"/>
        <v>0</v>
      </c>
      <c r="BJ42" s="901">
        <f t="shared" si="22"/>
        <v>0</v>
      </c>
      <c r="BK42" s="901">
        <f t="shared" si="23"/>
        <v>0</v>
      </c>
      <c r="BL42" s="901"/>
      <c r="BM42" s="901">
        <f t="shared" si="24"/>
        <v>0</v>
      </c>
      <c r="BN42" s="520">
        <f t="shared" si="25"/>
        <v>0</v>
      </c>
      <c r="BO42" s="901">
        <f t="shared" si="26"/>
        <v>0</v>
      </c>
      <c r="BP42" s="901">
        <f t="shared" si="27"/>
        <v>0</v>
      </c>
      <c r="BQ42" s="520">
        <f t="shared" si="28"/>
        <v>0</v>
      </c>
      <c r="BR42" s="901">
        <f t="shared" si="29"/>
        <v>0</v>
      </c>
      <c r="BS42" s="901">
        <f t="shared" si="30"/>
        <v>0</v>
      </c>
      <c r="BT42" s="901">
        <f t="shared" si="31"/>
        <v>0</v>
      </c>
      <c r="BU42" s="925">
        <f t="shared" si="32"/>
        <v>0</v>
      </c>
    </row>
    <row r="43" spans="1:73" ht="24.95" customHeight="1" x14ac:dyDescent="0.2">
      <c r="A43" s="898">
        <v>35</v>
      </c>
      <c r="B43" s="518">
        <f>dtsiswa!D41</f>
        <v>0</v>
      </c>
      <c r="C43" s="537"/>
      <c r="D43" s="158"/>
      <c r="E43" s="8"/>
      <c r="F43" s="8"/>
      <c r="G43" s="8"/>
      <c r="H43" s="520" t="str">
        <f t="shared" si="0"/>
        <v xml:space="preserve">  </v>
      </c>
      <c r="I43" s="8"/>
      <c r="J43" s="8"/>
      <c r="K43" s="8"/>
      <c r="L43" s="8"/>
      <c r="M43" s="8"/>
      <c r="N43" s="8"/>
      <c r="O43" s="520" t="str">
        <f>IFERROR(AVERAGE(I43:N43),"  ")</f>
        <v xml:space="preserve">  </v>
      </c>
      <c r="P43" s="8"/>
      <c r="Q43" s="8"/>
      <c r="R43" s="8"/>
      <c r="S43" s="8"/>
      <c r="T43" s="8"/>
      <c r="U43" s="520" t="str">
        <f t="shared" si="1"/>
        <v xml:space="preserve">  </v>
      </c>
      <c r="V43" s="8"/>
      <c r="W43" s="8"/>
      <c r="X43" s="8"/>
      <c r="Y43" s="8"/>
      <c r="Z43" s="8"/>
      <c r="AA43" s="8"/>
      <c r="AB43" s="520" t="str">
        <f t="shared" si="2"/>
        <v xml:space="preserve">  </v>
      </c>
      <c r="AC43" s="19">
        <f t="shared" si="34"/>
        <v>0</v>
      </c>
      <c r="AD43" s="19">
        <f t="shared" si="35"/>
        <v>0</v>
      </c>
      <c r="AE43" s="19">
        <f t="shared" si="36"/>
        <v>0</v>
      </c>
      <c r="AF43" s="19">
        <f t="shared" si="37"/>
        <v>0</v>
      </c>
      <c r="AG43" s="20">
        <f t="shared" si="38"/>
        <v>0</v>
      </c>
      <c r="AH43" s="523">
        <f t="shared" si="39"/>
        <v>0</v>
      </c>
      <c r="AI43" s="523">
        <f t="shared" si="40"/>
        <v>0</v>
      </c>
      <c r="AJ43" s="523">
        <f t="shared" si="41"/>
        <v>0</v>
      </c>
      <c r="AK43" s="523">
        <f t="shared" si="42"/>
        <v>0</v>
      </c>
      <c r="AL43" s="523">
        <f t="shared" si="43"/>
        <v>0</v>
      </c>
      <c r="AM43" s="523">
        <f t="shared" si="44"/>
        <v>0</v>
      </c>
      <c r="AN43" s="20">
        <f t="shared" si="45"/>
        <v>0</v>
      </c>
      <c r="AO43" s="65">
        <f t="shared" si="46"/>
        <v>0</v>
      </c>
      <c r="AP43" s="65">
        <f t="shared" si="47"/>
        <v>0</v>
      </c>
      <c r="AQ43" s="65">
        <f t="shared" si="48"/>
        <v>0</v>
      </c>
      <c r="AR43" s="65">
        <f t="shared" si="49"/>
        <v>0</v>
      </c>
      <c r="AS43" s="528">
        <f t="shared" si="50"/>
        <v>0</v>
      </c>
      <c r="AT43" s="26">
        <f t="shared" si="7"/>
        <v>0</v>
      </c>
      <c r="AU43" s="26">
        <f t="shared" si="8"/>
        <v>0</v>
      </c>
      <c r="AV43" s="26">
        <f t="shared" si="9"/>
        <v>0</v>
      </c>
      <c r="AW43" s="520">
        <f t="shared" si="10"/>
        <v>0</v>
      </c>
      <c r="AX43" s="26">
        <f t="shared" si="11"/>
        <v>0</v>
      </c>
      <c r="AY43" s="26">
        <f t="shared" si="12"/>
        <v>0</v>
      </c>
      <c r="AZ43" s="26">
        <f t="shared" si="13"/>
        <v>0</v>
      </c>
      <c r="BA43" s="520">
        <f t="shared" si="51"/>
        <v>0</v>
      </c>
      <c r="BB43" s="26">
        <f t="shared" si="14"/>
        <v>0</v>
      </c>
      <c r="BC43" s="26">
        <f t="shared" si="15"/>
        <v>0</v>
      </c>
      <c r="BD43" s="26">
        <f t="shared" si="16"/>
        <v>0</v>
      </c>
      <c r="BE43" s="520">
        <f t="shared" si="17"/>
        <v>0</v>
      </c>
      <c r="BF43" s="901">
        <f t="shared" si="18"/>
        <v>0</v>
      </c>
      <c r="BG43" s="901">
        <f t="shared" si="19"/>
        <v>0</v>
      </c>
      <c r="BH43" s="901">
        <f t="shared" si="20"/>
        <v>0</v>
      </c>
      <c r="BI43" s="520">
        <f t="shared" si="21"/>
        <v>0</v>
      </c>
      <c r="BJ43" s="901">
        <f t="shared" si="22"/>
        <v>0</v>
      </c>
      <c r="BK43" s="901">
        <f t="shared" si="23"/>
        <v>0</v>
      </c>
      <c r="BL43" s="901"/>
      <c r="BM43" s="901">
        <f t="shared" si="24"/>
        <v>0</v>
      </c>
      <c r="BN43" s="520">
        <f t="shared" si="25"/>
        <v>0</v>
      </c>
      <c r="BO43" s="901">
        <f t="shared" si="26"/>
        <v>0</v>
      </c>
      <c r="BP43" s="901">
        <f t="shared" si="27"/>
        <v>0</v>
      </c>
      <c r="BQ43" s="520">
        <f t="shared" si="28"/>
        <v>0</v>
      </c>
      <c r="BR43" s="901">
        <f t="shared" si="29"/>
        <v>0</v>
      </c>
      <c r="BS43" s="901">
        <f t="shared" si="30"/>
        <v>0</v>
      </c>
      <c r="BT43" s="901">
        <f t="shared" si="31"/>
        <v>0</v>
      </c>
      <c r="BU43" s="926">
        <f t="shared" si="32"/>
        <v>0</v>
      </c>
    </row>
    <row r="44" spans="1:73" ht="24.95" customHeight="1" x14ac:dyDescent="0.2">
      <c r="A44" s="898">
        <v>36</v>
      </c>
      <c r="B44" s="518">
        <f>dtsiswa!D42</f>
        <v>0</v>
      </c>
      <c r="C44" s="537"/>
      <c r="D44" s="158"/>
      <c r="E44" s="8"/>
      <c r="F44" s="8"/>
      <c r="G44" s="8"/>
      <c r="H44" s="520" t="str">
        <f t="shared" ref="H44:H48" si="52">IFERROR(AVERAGE(D44:G44),"  ")</f>
        <v xml:space="preserve">  </v>
      </c>
      <c r="I44" s="8"/>
      <c r="J44" s="8"/>
      <c r="K44" s="8"/>
      <c r="L44" s="8"/>
      <c r="M44" s="8"/>
      <c r="N44" s="8"/>
      <c r="O44" s="520" t="str">
        <f t="shared" ref="O44:O48" si="53">IFERROR(AVERAGE(I44:N44),"  ")</f>
        <v xml:space="preserve">  </v>
      </c>
      <c r="P44" s="8"/>
      <c r="Q44" s="8"/>
      <c r="R44" s="8"/>
      <c r="S44" s="8"/>
      <c r="T44" s="8"/>
      <c r="U44" s="520" t="str">
        <f t="shared" ref="U44:U48" si="54">IFERROR(AVERAGE(P44:T44),"  ")</f>
        <v xml:space="preserve">  </v>
      </c>
      <c r="V44" s="8"/>
      <c r="W44" s="8"/>
      <c r="X44" s="8"/>
      <c r="Y44" s="8"/>
      <c r="Z44" s="8"/>
      <c r="AA44" s="8"/>
      <c r="AB44" s="520" t="str">
        <f t="shared" ref="AB44:AB48" si="55">IFERROR(AVERAGE(V44:AA44),"  ")</f>
        <v xml:space="preserve">  </v>
      </c>
      <c r="AC44" s="19">
        <f t="shared" si="34"/>
        <v>0</v>
      </c>
      <c r="AD44" s="19">
        <f t="shared" si="35"/>
        <v>0</v>
      </c>
      <c r="AE44" s="19">
        <f t="shared" si="36"/>
        <v>0</v>
      </c>
      <c r="AF44" s="19">
        <f t="shared" si="37"/>
        <v>0</v>
      </c>
      <c r="AG44" s="20">
        <f t="shared" si="38"/>
        <v>0</v>
      </c>
      <c r="AH44" s="523">
        <f t="shared" si="39"/>
        <v>0</v>
      </c>
      <c r="AI44" s="523">
        <f t="shared" si="40"/>
        <v>0</v>
      </c>
      <c r="AJ44" s="523">
        <f t="shared" si="41"/>
        <v>0</v>
      </c>
      <c r="AK44" s="523">
        <f t="shared" si="42"/>
        <v>0</v>
      </c>
      <c r="AL44" s="523">
        <f t="shared" si="43"/>
        <v>0</v>
      </c>
      <c r="AM44" s="523">
        <f t="shared" si="44"/>
        <v>0</v>
      </c>
      <c r="AN44" s="20">
        <f t="shared" si="45"/>
        <v>0</v>
      </c>
      <c r="AO44" s="65">
        <f t="shared" si="46"/>
        <v>0</v>
      </c>
      <c r="AP44" s="65">
        <f t="shared" si="47"/>
        <v>0</v>
      </c>
      <c r="AQ44" s="65">
        <f t="shared" si="48"/>
        <v>0</v>
      </c>
      <c r="AR44" s="65">
        <f t="shared" si="49"/>
        <v>0</v>
      </c>
      <c r="AS44" s="528">
        <f t="shared" si="50"/>
        <v>0</v>
      </c>
      <c r="AT44" s="26">
        <f t="shared" ref="AT44:AT48" si="56">D44</f>
        <v>0</v>
      </c>
      <c r="AU44" s="26">
        <f t="shared" ref="AU44:AU48" si="57">E44</f>
        <v>0</v>
      </c>
      <c r="AV44" s="26">
        <f t="shared" ref="AV44:AV48" si="58">F44</f>
        <v>0</v>
      </c>
      <c r="AW44" s="520">
        <f t="shared" si="10"/>
        <v>0</v>
      </c>
      <c r="AX44" s="26">
        <f t="shared" ref="AX44:AX48" si="59">I44</f>
        <v>0</v>
      </c>
      <c r="AY44" s="26">
        <f t="shared" ref="AY44:AY48" si="60">J44</f>
        <v>0</v>
      </c>
      <c r="AZ44" s="26">
        <f t="shared" ref="AZ44:AZ48" si="61">K44</f>
        <v>0</v>
      </c>
      <c r="BA44" s="520">
        <f t="shared" ref="BA44:BA48" si="62">IFERROR(AVERAGE(AX44:AZ44),"  ")</f>
        <v>0</v>
      </c>
      <c r="BB44" s="26">
        <f t="shared" ref="BB44:BB48" si="63">P44</f>
        <v>0</v>
      </c>
      <c r="BC44" s="26">
        <f t="shared" ref="BC44:BC48" si="64">Q44</f>
        <v>0</v>
      </c>
      <c r="BD44" s="26">
        <f t="shared" ref="BD44:BD48" si="65">R44</f>
        <v>0</v>
      </c>
      <c r="BE44" s="520">
        <f t="shared" ref="BE44:BE48" si="66">IFERROR(AVERAGE(BB44:BD44),"  ")</f>
        <v>0</v>
      </c>
      <c r="BF44" s="901">
        <f t="shared" ref="BF44:BF48" si="67">V44</f>
        <v>0</v>
      </c>
      <c r="BG44" s="901">
        <f t="shared" ref="BG44:BG48" si="68">W44</f>
        <v>0</v>
      </c>
      <c r="BH44" s="901">
        <f t="shared" ref="BH44:BH48" si="69">X44</f>
        <v>0</v>
      </c>
      <c r="BI44" s="520">
        <f t="shared" si="21"/>
        <v>0</v>
      </c>
      <c r="BJ44" s="901">
        <f t="shared" ref="BJ44:BJ48" si="70">G44</f>
        <v>0</v>
      </c>
      <c r="BK44" s="901">
        <f t="shared" ref="BK44:BK48" si="71">L44</f>
        <v>0</v>
      </c>
      <c r="BL44" s="901"/>
      <c r="BM44" s="901">
        <f t="shared" ref="BM44:BM48" si="72">N44</f>
        <v>0</v>
      </c>
      <c r="BN44" s="520">
        <f t="shared" si="25"/>
        <v>0</v>
      </c>
      <c r="BO44" s="901">
        <f t="shared" ref="BO44:BO48" si="73">S44</f>
        <v>0</v>
      </c>
      <c r="BP44" s="901">
        <f t="shared" ref="BP44:BP48" si="74">T44</f>
        <v>0</v>
      </c>
      <c r="BQ44" s="520">
        <f t="shared" si="28"/>
        <v>0</v>
      </c>
      <c r="BR44" s="901">
        <f t="shared" ref="BR44:BR48" si="75">Y44</f>
        <v>0</v>
      </c>
      <c r="BS44" s="901">
        <f t="shared" ref="BS44:BS48" si="76">Z44</f>
        <v>0</v>
      </c>
      <c r="BT44" s="901">
        <f t="shared" ref="BT44:BT48" si="77">AA44</f>
        <v>0</v>
      </c>
      <c r="BU44" s="926">
        <f t="shared" si="32"/>
        <v>0</v>
      </c>
    </row>
    <row r="45" spans="1:73" ht="24.95" customHeight="1" x14ac:dyDescent="0.2">
      <c r="A45" s="898">
        <v>37</v>
      </c>
      <c r="B45" s="518">
        <f>dtsiswa!D43</f>
        <v>0</v>
      </c>
      <c r="C45" s="537"/>
      <c r="D45" s="158"/>
      <c r="E45" s="8"/>
      <c r="F45" s="8"/>
      <c r="G45" s="8"/>
      <c r="H45" s="520" t="str">
        <f t="shared" si="52"/>
        <v xml:space="preserve">  </v>
      </c>
      <c r="I45" s="8"/>
      <c r="J45" s="8"/>
      <c r="K45" s="8"/>
      <c r="L45" s="8"/>
      <c r="M45" s="8"/>
      <c r="N45" s="8"/>
      <c r="O45" s="520" t="str">
        <f t="shared" si="53"/>
        <v xml:space="preserve">  </v>
      </c>
      <c r="P45" s="8"/>
      <c r="Q45" s="8"/>
      <c r="R45" s="8"/>
      <c r="S45" s="8"/>
      <c r="T45" s="8"/>
      <c r="U45" s="520" t="str">
        <f t="shared" si="54"/>
        <v xml:space="preserve">  </v>
      </c>
      <c r="V45" s="8"/>
      <c r="W45" s="8"/>
      <c r="X45" s="8"/>
      <c r="Y45" s="8"/>
      <c r="Z45" s="8"/>
      <c r="AA45" s="8"/>
      <c r="AB45" s="520" t="str">
        <f t="shared" si="55"/>
        <v xml:space="preserve">  </v>
      </c>
      <c r="AC45" s="19">
        <f t="shared" si="34"/>
        <v>0</v>
      </c>
      <c r="AD45" s="19">
        <f t="shared" si="35"/>
        <v>0</v>
      </c>
      <c r="AE45" s="19">
        <f t="shared" si="36"/>
        <v>0</v>
      </c>
      <c r="AF45" s="19">
        <f t="shared" si="37"/>
        <v>0</v>
      </c>
      <c r="AG45" s="20">
        <f t="shared" si="38"/>
        <v>0</v>
      </c>
      <c r="AH45" s="523">
        <f t="shared" si="39"/>
        <v>0</v>
      </c>
      <c r="AI45" s="523">
        <f t="shared" si="40"/>
        <v>0</v>
      </c>
      <c r="AJ45" s="523">
        <f t="shared" si="41"/>
        <v>0</v>
      </c>
      <c r="AK45" s="523">
        <f t="shared" si="42"/>
        <v>0</v>
      </c>
      <c r="AL45" s="523">
        <f t="shared" si="43"/>
        <v>0</v>
      </c>
      <c r="AM45" s="523">
        <f t="shared" si="44"/>
        <v>0</v>
      </c>
      <c r="AN45" s="20">
        <f t="shared" si="45"/>
        <v>0</v>
      </c>
      <c r="AO45" s="65">
        <f t="shared" si="46"/>
        <v>0</v>
      </c>
      <c r="AP45" s="65">
        <f t="shared" si="47"/>
        <v>0</v>
      </c>
      <c r="AQ45" s="65">
        <f t="shared" si="48"/>
        <v>0</v>
      </c>
      <c r="AR45" s="65">
        <f t="shared" si="49"/>
        <v>0</v>
      </c>
      <c r="AS45" s="528">
        <f t="shared" si="50"/>
        <v>0</v>
      </c>
      <c r="AT45" s="26">
        <f t="shared" si="56"/>
        <v>0</v>
      </c>
      <c r="AU45" s="26">
        <f t="shared" si="57"/>
        <v>0</v>
      </c>
      <c r="AV45" s="26">
        <f t="shared" si="58"/>
        <v>0</v>
      </c>
      <c r="AW45" s="520">
        <f t="shared" si="10"/>
        <v>0</v>
      </c>
      <c r="AX45" s="26">
        <f t="shared" si="59"/>
        <v>0</v>
      </c>
      <c r="AY45" s="26">
        <f t="shared" si="60"/>
        <v>0</v>
      </c>
      <c r="AZ45" s="26">
        <f t="shared" si="61"/>
        <v>0</v>
      </c>
      <c r="BA45" s="520">
        <f t="shared" si="62"/>
        <v>0</v>
      </c>
      <c r="BB45" s="26">
        <f t="shared" si="63"/>
        <v>0</v>
      </c>
      <c r="BC45" s="26">
        <f t="shared" si="64"/>
        <v>0</v>
      </c>
      <c r="BD45" s="26">
        <f t="shared" si="65"/>
        <v>0</v>
      </c>
      <c r="BE45" s="520">
        <f t="shared" si="66"/>
        <v>0</v>
      </c>
      <c r="BF45" s="901">
        <f t="shared" si="67"/>
        <v>0</v>
      </c>
      <c r="BG45" s="901">
        <f t="shared" si="68"/>
        <v>0</v>
      </c>
      <c r="BH45" s="901">
        <f t="shared" si="69"/>
        <v>0</v>
      </c>
      <c r="BI45" s="520">
        <f t="shared" si="21"/>
        <v>0</v>
      </c>
      <c r="BJ45" s="901">
        <f t="shared" si="70"/>
        <v>0</v>
      </c>
      <c r="BK45" s="901">
        <f t="shared" si="71"/>
        <v>0</v>
      </c>
      <c r="BL45" s="901"/>
      <c r="BM45" s="901">
        <f t="shared" si="72"/>
        <v>0</v>
      </c>
      <c r="BN45" s="520">
        <f t="shared" si="25"/>
        <v>0</v>
      </c>
      <c r="BO45" s="901">
        <f t="shared" si="73"/>
        <v>0</v>
      </c>
      <c r="BP45" s="901">
        <f t="shared" si="74"/>
        <v>0</v>
      </c>
      <c r="BQ45" s="520">
        <f t="shared" si="28"/>
        <v>0</v>
      </c>
      <c r="BR45" s="901">
        <f t="shared" si="75"/>
        <v>0</v>
      </c>
      <c r="BS45" s="901">
        <f t="shared" si="76"/>
        <v>0</v>
      </c>
      <c r="BT45" s="901">
        <f t="shared" si="77"/>
        <v>0</v>
      </c>
      <c r="BU45" s="926">
        <f t="shared" si="32"/>
        <v>0</v>
      </c>
    </row>
    <row r="46" spans="1:73" ht="24.95" customHeight="1" x14ac:dyDescent="0.2">
      <c r="A46" s="898">
        <v>38</v>
      </c>
      <c r="B46" s="518">
        <f>dtsiswa!D44</f>
        <v>0</v>
      </c>
      <c r="C46" s="537"/>
      <c r="D46" s="158"/>
      <c r="E46" s="8"/>
      <c r="F46" s="8"/>
      <c r="G46" s="8"/>
      <c r="H46" s="520" t="str">
        <f t="shared" si="52"/>
        <v xml:space="preserve">  </v>
      </c>
      <c r="I46" s="8"/>
      <c r="J46" s="8"/>
      <c r="K46" s="8"/>
      <c r="L46" s="8"/>
      <c r="M46" s="8"/>
      <c r="N46" s="8"/>
      <c r="O46" s="520" t="str">
        <f t="shared" si="53"/>
        <v xml:space="preserve">  </v>
      </c>
      <c r="P46" s="8"/>
      <c r="Q46" s="8"/>
      <c r="R46" s="8"/>
      <c r="S46" s="8"/>
      <c r="T46" s="8"/>
      <c r="U46" s="520" t="str">
        <f t="shared" si="54"/>
        <v xml:space="preserve">  </v>
      </c>
      <c r="V46" s="8"/>
      <c r="W46" s="8"/>
      <c r="X46" s="8"/>
      <c r="Y46" s="8"/>
      <c r="Z46" s="8"/>
      <c r="AA46" s="8"/>
      <c r="AB46" s="520" t="str">
        <f t="shared" si="55"/>
        <v xml:space="preserve">  </v>
      </c>
      <c r="AC46" s="19">
        <f t="shared" si="34"/>
        <v>0</v>
      </c>
      <c r="AD46" s="19">
        <f t="shared" si="35"/>
        <v>0</v>
      </c>
      <c r="AE46" s="19">
        <f t="shared" si="36"/>
        <v>0</v>
      </c>
      <c r="AF46" s="19">
        <f t="shared" si="37"/>
        <v>0</v>
      </c>
      <c r="AG46" s="20">
        <f t="shared" si="38"/>
        <v>0</v>
      </c>
      <c r="AH46" s="523">
        <f t="shared" si="39"/>
        <v>0</v>
      </c>
      <c r="AI46" s="523">
        <f t="shared" si="40"/>
        <v>0</v>
      </c>
      <c r="AJ46" s="523">
        <f t="shared" si="41"/>
        <v>0</v>
      </c>
      <c r="AK46" s="523">
        <f t="shared" si="42"/>
        <v>0</v>
      </c>
      <c r="AL46" s="523">
        <f t="shared" si="43"/>
        <v>0</v>
      </c>
      <c r="AM46" s="523">
        <f t="shared" si="44"/>
        <v>0</v>
      </c>
      <c r="AN46" s="20">
        <f t="shared" si="45"/>
        <v>0</v>
      </c>
      <c r="AO46" s="65">
        <f t="shared" si="46"/>
        <v>0</v>
      </c>
      <c r="AP46" s="65">
        <f t="shared" si="47"/>
        <v>0</v>
      </c>
      <c r="AQ46" s="65">
        <f t="shared" si="48"/>
        <v>0</v>
      </c>
      <c r="AR46" s="65">
        <f t="shared" si="49"/>
        <v>0</v>
      </c>
      <c r="AS46" s="528">
        <f t="shared" si="50"/>
        <v>0</v>
      </c>
      <c r="AT46" s="26">
        <f t="shared" si="56"/>
        <v>0</v>
      </c>
      <c r="AU46" s="26">
        <f t="shared" si="57"/>
        <v>0</v>
      </c>
      <c r="AV46" s="26">
        <f t="shared" si="58"/>
        <v>0</v>
      </c>
      <c r="AW46" s="520">
        <f t="shared" si="10"/>
        <v>0</v>
      </c>
      <c r="AX46" s="26">
        <f t="shared" si="59"/>
        <v>0</v>
      </c>
      <c r="AY46" s="26">
        <f t="shared" si="60"/>
        <v>0</v>
      </c>
      <c r="AZ46" s="26">
        <f t="shared" si="61"/>
        <v>0</v>
      </c>
      <c r="BA46" s="520">
        <f t="shared" si="62"/>
        <v>0</v>
      </c>
      <c r="BB46" s="26">
        <f t="shared" si="63"/>
        <v>0</v>
      </c>
      <c r="BC46" s="26">
        <f t="shared" si="64"/>
        <v>0</v>
      </c>
      <c r="BD46" s="26">
        <f t="shared" si="65"/>
        <v>0</v>
      </c>
      <c r="BE46" s="520">
        <f t="shared" si="66"/>
        <v>0</v>
      </c>
      <c r="BF46" s="901">
        <f t="shared" si="67"/>
        <v>0</v>
      </c>
      <c r="BG46" s="901">
        <f t="shared" si="68"/>
        <v>0</v>
      </c>
      <c r="BH46" s="901">
        <f t="shared" si="69"/>
        <v>0</v>
      </c>
      <c r="BI46" s="520">
        <f t="shared" si="21"/>
        <v>0</v>
      </c>
      <c r="BJ46" s="901">
        <f t="shared" si="70"/>
        <v>0</v>
      </c>
      <c r="BK46" s="901">
        <f t="shared" si="71"/>
        <v>0</v>
      </c>
      <c r="BL46" s="901"/>
      <c r="BM46" s="901">
        <f t="shared" si="72"/>
        <v>0</v>
      </c>
      <c r="BN46" s="520">
        <f t="shared" si="25"/>
        <v>0</v>
      </c>
      <c r="BO46" s="901">
        <f t="shared" si="73"/>
        <v>0</v>
      </c>
      <c r="BP46" s="901">
        <f t="shared" si="74"/>
        <v>0</v>
      </c>
      <c r="BQ46" s="520">
        <f t="shared" si="28"/>
        <v>0</v>
      </c>
      <c r="BR46" s="901">
        <f t="shared" si="75"/>
        <v>0</v>
      </c>
      <c r="BS46" s="901">
        <f t="shared" si="76"/>
        <v>0</v>
      </c>
      <c r="BT46" s="901">
        <f t="shared" si="77"/>
        <v>0</v>
      </c>
      <c r="BU46" s="926">
        <f t="shared" si="32"/>
        <v>0</v>
      </c>
    </row>
    <row r="47" spans="1:73" ht="24.95" customHeight="1" x14ac:dyDescent="0.2">
      <c r="A47" s="898">
        <v>39</v>
      </c>
      <c r="B47" s="518">
        <f>dtsiswa!D45</f>
        <v>0</v>
      </c>
      <c r="C47" s="537"/>
      <c r="D47" s="158"/>
      <c r="E47" s="8"/>
      <c r="F47" s="8"/>
      <c r="G47" s="8"/>
      <c r="H47" s="520" t="str">
        <f t="shared" si="52"/>
        <v xml:space="preserve">  </v>
      </c>
      <c r="I47" s="8"/>
      <c r="J47" s="8"/>
      <c r="K47" s="8"/>
      <c r="L47" s="8"/>
      <c r="M47" s="8"/>
      <c r="N47" s="8"/>
      <c r="O47" s="520" t="str">
        <f t="shared" si="53"/>
        <v xml:space="preserve">  </v>
      </c>
      <c r="P47" s="8"/>
      <c r="Q47" s="8"/>
      <c r="R47" s="8"/>
      <c r="S47" s="8"/>
      <c r="T47" s="8"/>
      <c r="U47" s="520" t="str">
        <f t="shared" si="54"/>
        <v xml:space="preserve">  </v>
      </c>
      <c r="V47" s="8"/>
      <c r="W47" s="8"/>
      <c r="X47" s="8"/>
      <c r="Y47" s="8"/>
      <c r="Z47" s="8"/>
      <c r="AA47" s="8"/>
      <c r="AB47" s="520" t="str">
        <f t="shared" si="55"/>
        <v xml:space="preserve">  </v>
      </c>
      <c r="AC47" s="19">
        <f t="shared" si="34"/>
        <v>0</v>
      </c>
      <c r="AD47" s="19">
        <f t="shared" si="35"/>
        <v>0</v>
      </c>
      <c r="AE47" s="19">
        <f t="shared" si="36"/>
        <v>0</v>
      </c>
      <c r="AF47" s="19">
        <f t="shared" si="37"/>
        <v>0</v>
      </c>
      <c r="AG47" s="20">
        <f t="shared" si="38"/>
        <v>0</v>
      </c>
      <c r="AH47" s="523">
        <f t="shared" si="39"/>
        <v>0</v>
      </c>
      <c r="AI47" s="523">
        <f t="shared" si="40"/>
        <v>0</v>
      </c>
      <c r="AJ47" s="523">
        <f t="shared" si="41"/>
        <v>0</v>
      </c>
      <c r="AK47" s="523">
        <f t="shared" si="42"/>
        <v>0</v>
      </c>
      <c r="AL47" s="523">
        <f t="shared" si="43"/>
        <v>0</v>
      </c>
      <c r="AM47" s="523">
        <f t="shared" si="44"/>
        <v>0</v>
      </c>
      <c r="AN47" s="20">
        <f t="shared" si="45"/>
        <v>0</v>
      </c>
      <c r="AO47" s="65">
        <f t="shared" si="46"/>
        <v>0</v>
      </c>
      <c r="AP47" s="65">
        <f t="shared" si="47"/>
        <v>0</v>
      </c>
      <c r="AQ47" s="65">
        <f t="shared" si="48"/>
        <v>0</v>
      </c>
      <c r="AR47" s="65">
        <f t="shared" si="49"/>
        <v>0</v>
      </c>
      <c r="AS47" s="528">
        <f t="shared" si="50"/>
        <v>0</v>
      </c>
      <c r="AT47" s="26">
        <f t="shared" si="56"/>
        <v>0</v>
      </c>
      <c r="AU47" s="26">
        <f t="shared" si="57"/>
        <v>0</v>
      </c>
      <c r="AV47" s="26">
        <f t="shared" si="58"/>
        <v>0</v>
      </c>
      <c r="AW47" s="520">
        <f t="shared" si="10"/>
        <v>0</v>
      </c>
      <c r="AX47" s="26">
        <f t="shared" si="59"/>
        <v>0</v>
      </c>
      <c r="AY47" s="26">
        <f t="shared" si="60"/>
        <v>0</v>
      </c>
      <c r="AZ47" s="26">
        <f t="shared" si="61"/>
        <v>0</v>
      </c>
      <c r="BA47" s="520">
        <f t="shared" si="62"/>
        <v>0</v>
      </c>
      <c r="BB47" s="26">
        <f t="shared" si="63"/>
        <v>0</v>
      </c>
      <c r="BC47" s="26">
        <f t="shared" si="64"/>
        <v>0</v>
      </c>
      <c r="BD47" s="26">
        <f t="shared" si="65"/>
        <v>0</v>
      </c>
      <c r="BE47" s="520">
        <f t="shared" si="66"/>
        <v>0</v>
      </c>
      <c r="BF47" s="901">
        <f t="shared" si="67"/>
        <v>0</v>
      </c>
      <c r="BG47" s="901">
        <f t="shared" si="68"/>
        <v>0</v>
      </c>
      <c r="BH47" s="901">
        <f t="shared" si="69"/>
        <v>0</v>
      </c>
      <c r="BI47" s="520">
        <f t="shared" si="21"/>
        <v>0</v>
      </c>
      <c r="BJ47" s="901">
        <f t="shared" si="70"/>
        <v>0</v>
      </c>
      <c r="BK47" s="901">
        <f t="shared" si="71"/>
        <v>0</v>
      </c>
      <c r="BL47" s="901"/>
      <c r="BM47" s="901">
        <f t="shared" si="72"/>
        <v>0</v>
      </c>
      <c r="BN47" s="520">
        <f t="shared" si="25"/>
        <v>0</v>
      </c>
      <c r="BO47" s="901">
        <f t="shared" si="73"/>
        <v>0</v>
      </c>
      <c r="BP47" s="901">
        <f t="shared" si="74"/>
        <v>0</v>
      </c>
      <c r="BQ47" s="520">
        <f t="shared" si="28"/>
        <v>0</v>
      </c>
      <c r="BR47" s="901">
        <f t="shared" si="75"/>
        <v>0</v>
      </c>
      <c r="BS47" s="901">
        <f t="shared" si="76"/>
        <v>0</v>
      </c>
      <c r="BT47" s="901">
        <f t="shared" si="77"/>
        <v>0</v>
      </c>
      <c r="BU47" s="926">
        <f t="shared" si="32"/>
        <v>0</v>
      </c>
    </row>
    <row r="48" spans="1:73" ht="24.95" customHeight="1" thickBot="1" x14ac:dyDescent="0.25">
      <c r="A48" s="898">
        <v>40</v>
      </c>
      <c r="B48" s="518">
        <f>dtsiswa!D46</f>
        <v>0</v>
      </c>
      <c r="C48" s="537"/>
      <c r="D48" s="927"/>
      <c r="E48" s="928"/>
      <c r="F48" s="928"/>
      <c r="G48" s="928"/>
      <c r="H48" s="929" t="str">
        <f t="shared" si="52"/>
        <v xml:space="preserve">  </v>
      </c>
      <c r="I48" s="928"/>
      <c r="J48" s="928"/>
      <c r="K48" s="928"/>
      <c r="L48" s="928"/>
      <c r="M48" s="928"/>
      <c r="N48" s="928"/>
      <c r="O48" s="929" t="str">
        <f t="shared" si="53"/>
        <v xml:space="preserve">  </v>
      </c>
      <c r="P48" s="928"/>
      <c r="Q48" s="928"/>
      <c r="R48" s="928"/>
      <c r="S48" s="928"/>
      <c r="T48" s="928"/>
      <c r="U48" s="929" t="str">
        <f t="shared" si="54"/>
        <v xml:space="preserve">  </v>
      </c>
      <c r="V48" s="928"/>
      <c r="W48" s="928"/>
      <c r="X48" s="928"/>
      <c r="Y48" s="928"/>
      <c r="Z48" s="928"/>
      <c r="AA48" s="928"/>
      <c r="AB48" s="929" t="str">
        <f t="shared" si="55"/>
        <v xml:space="preserve">  </v>
      </c>
      <c r="AC48" s="19">
        <f t="shared" si="34"/>
        <v>0</v>
      </c>
      <c r="AD48" s="19">
        <f t="shared" si="35"/>
        <v>0</v>
      </c>
      <c r="AE48" s="19">
        <f t="shared" si="36"/>
        <v>0</v>
      </c>
      <c r="AF48" s="19">
        <f t="shared" si="37"/>
        <v>0</v>
      </c>
      <c r="AG48" s="20">
        <f t="shared" si="38"/>
        <v>0</v>
      </c>
      <c r="AH48" s="523">
        <f t="shared" si="39"/>
        <v>0</v>
      </c>
      <c r="AI48" s="523">
        <f t="shared" si="40"/>
        <v>0</v>
      </c>
      <c r="AJ48" s="523">
        <f t="shared" si="41"/>
        <v>0</v>
      </c>
      <c r="AK48" s="523">
        <f t="shared" si="42"/>
        <v>0</v>
      </c>
      <c r="AL48" s="523">
        <f t="shared" si="43"/>
        <v>0</v>
      </c>
      <c r="AM48" s="523">
        <f t="shared" si="44"/>
        <v>0</v>
      </c>
      <c r="AN48" s="20">
        <f t="shared" si="45"/>
        <v>0</v>
      </c>
      <c r="AO48" s="65">
        <f t="shared" si="46"/>
        <v>0</v>
      </c>
      <c r="AP48" s="65">
        <f t="shared" si="47"/>
        <v>0</v>
      </c>
      <c r="AQ48" s="65">
        <f t="shared" si="48"/>
        <v>0</v>
      </c>
      <c r="AR48" s="65">
        <f t="shared" si="49"/>
        <v>0</v>
      </c>
      <c r="AS48" s="528">
        <f t="shared" si="50"/>
        <v>0</v>
      </c>
      <c r="AT48" s="930">
        <f t="shared" si="56"/>
        <v>0</v>
      </c>
      <c r="AU48" s="930">
        <f t="shared" si="57"/>
        <v>0</v>
      </c>
      <c r="AV48" s="930">
        <f t="shared" si="58"/>
        <v>0</v>
      </c>
      <c r="AW48" s="929">
        <f t="shared" si="10"/>
        <v>0</v>
      </c>
      <c r="AX48" s="930">
        <f t="shared" si="59"/>
        <v>0</v>
      </c>
      <c r="AY48" s="930">
        <f t="shared" si="60"/>
        <v>0</v>
      </c>
      <c r="AZ48" s="930">
        <f t="shared" si="61"/>
        <v>0</v>
      </c>
      <c r="BA48" s="929">
        <f t="shared" si="62"/>
        <v>0</v>
      </c>
      <c r="BB48" s="930">
        <f t="shared" si="63"/>
        <v>0</v>
      </c>
      <c r="BC48" s="930">
        <f t="shared" si="64"/>
        <v>0</v>
      </c>
      <c r="BD48" s="930">
        <f t="shared" si="65"/>
        <v>0</v>
      </c>
      <c r="BE48" s="929">
        <f t="shared" si="66"/>
        <v>0</v>
      </c>
      <c r="BF48" s="931">
        <f t="shared" si="67"/>
        <v>0</v>
      </c>
      <c r="BG48" s="931">
        <f t="shared" si="68"/>
        <v>0</v>
      </c>
      <c r="BH48" s="931">
        <f t="shared" si="69"/>
        <v>0</v>
      </c>
      <c r="BI48" s="929">
        <f t="shared" si="21"/>
        <v>0</v>
      </c>
      <c r="BJ48" s="931">
        <f t="shared" si="70"/>
        <v>0</v>
      </c>
      <c r="BK48" s="931">
        <f t="shared" si="71"/>
        <v>0</v>
      </c>
      <c r="BL48" s="931"/>
      <c r="BM48" s="931">
        <f t="shared" si="72"/>
        <v>0</v>
      </c>
      <c r="BN48" s="929">
        <f t="shared" si="25"/>
        <v>0</v>
      </c>
      <c r="BO48" s="931">
        <f t="shared" si="73"/>
        <v>0</v>
      </c>
      <c r="BP48" s="931">
        <f t="shared" si="74"/>
        <v>0</v>
      </c>
      <c r="BQ48" s="929">
        <f t="shared" si="28"/>
        <v>0</v>
      </c>
      <c r="BR48" s="931">
        <f t="shared" si="75"/>
        <v>0</v>
      </c>
      <c r="BS48" s="931">
        <f t="shared" si="76"/>
        <v>0</v>
      </c>
      <c r="BT48" s="931">
        <f t="shared" si="77"/>
        <v>0</v>
      </c>
      <c r="BU48" s="926">
        <f t="shared" si="32"/>
        <v>0</v>
      </c>
    </row>
  </sheetData>
  <mergeCells count="49">
    <mergeCell ref="BU6:BU8"/>
    <mergeCell ref="AW7:AW8"/>
    <mergeCell ref="BA7:BA8"/>
    <mergeCell ref="BE7:BE8"/>
    <mergeCell ref="BI7:BI8"/>
    <mergeCell ref="BJ6:BT6"/>
    <mergeCell ref="BK7:BM7"/>
    <mergeCell ref="BO7:BP7"/>
    <mergeCell ref="BR7:BT7"/>
    <mergeCell ref="BN7:BN8"/>
    <mergeCell ref="BQ7:BQ8"/>
    <mergeCell ref="AX7:AZ7"/>
    <mergeCell ref="BB7:BD7"/>
    <mergeCell ref="BF7:BH7"/>
    <mergeCell ref="AT7:AV7"/>
    <mergeCell ref="V7:X7"/>
    <mergeCell ref="AC6:AF6"/>
    <mergeCell ref="AG6:AG8"/>
    <mergeCell ref="AN6:AN8"/>
    <mergeCell ref="AO6:AR7"/>
    <mergeCell ref="AS6:AS8"/>
    <mergeCell ref="AC7:AF7"/>
    <mergeCell ref="AT6:BI6"/>
    <mergeCell ref="S7:T7"/>
    <mergeCell ref="H6:H8"/>
    <mergeCell ref="O6:O8"/>
    <mergeCell ref="U6:U8"/>
    <mergeCell ref="AB6:AB8"/>
    <mergeCell ref="AI3:AL3"/>
    <mergeCell ref="A6:A8"/>
    <mergeCell ref="B6:B8"/>
    <mergeCell ref="C6:C8"/>
    <mergeCell ref="D6:G6"/>
    <mergeCell ref="I6:N6"/>
    <mergeCell ref="P6:T6"/>
    <mergeCell ref="V6:AA6"/>
    <mergeCell ref="AC3:AD3"/>
    <mergeCell ref="L7:N7"/>
    <mergeCell ref="Y7:AA7"/>
    <mergeCell ref="AH6:AM6"/>
    <mergeCell ref="AH7:AM7"/>
    <mergeCell ref="D7:F7"/>
    <mergeCell ref="I7:K7"/>
    <mergeCell ref="P7:R7"/>
    <mergeCell ref="H2:I2"/>
    <mergeCell ref="N2:P2"/>
    <mergeCell ref="R2:S2"/>
    <mergeCell ref="U2:V2"/>
    <mergeCell ref="AE3:AF3"/>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BQ48"/>
  <sheetViews>
    <sheetView showGridLines="0" workbookViewId="0">
      <pane xSplit="2" ySplit="8" topLeftCell="AL9" activePane="bottomRight" state="frozen"/>
      <selection activeCell="BB10" sqref="BB10"/>
      <selection pane="topRight" activeCell="BB10" sqref="BB10"/>
      <selection pane="bottomLeft" activeCell="BB10" sqref="BB10"/>
      <selection pane="bottomRight" activeCell="BB10" sqref="BB10"/>
    </sheetView>
  </sheetViews>
  <sheetFormatPr defaultRowHeight="14.25" x14ac:dyDescent="0.2"/>
  <cols>
    <col min="1" max="1" width="4.42578125" style="1" customWidth="1"/>
    <col min="2" max="2" width="39.28515625" style="1" customWidth="1"/>
    <col min="3" max="3" width="5" style="560" customWidth="1"/>
    <col min="4" max="9" width="4.7109375" style="1" customWidth="1"/>
    <col min="10" max="10" width="5.7109375" style="1" customWidth="1"/>
    <col min="11" max="14" width="4.7109375" style="1" customWidth="1"/>
    <col min="15" max="15" width="5.85546875" style="1" customWidth="1"/>
    <col min="16" max="19" width="4.7109375" style="1" customWidth="1"/>
    <col min="20" max="20" width="5.28515625" style="1" customWidth="1"/>
    <col min="21" max="24" width="4.7109375" style="1" customWidth="1"/>
    <col min="25" max="25" width="6" style="1" customWidth="1"/>
    <col min="26" max="30" width="5.7109375" style="1" customWidth="1"/>
    <col min="31" max="31" width="6.28515625" style="1" customWidth="1"/>
    <col min="32" max="36" width="5.7109375" style="1" customWidth="1"/>
    <col min="37" max="37" width="6.42578125" style="1" customWidth="1"/>
    <col min="38" max="42" width="5.7109375" style="1" customWidth="1"/>
    <col min="43" max="43" width="6.5703125" style="1" customWidth="1"/>
    <col min="44" max="50" width="5.7109375" style="1" customWidth="1"/>
    <col min="51" max="52" width="5.85546875" style="1" customWidth="1"/>
    <col min="53" max="53" width="6" style="1" customWidth="1"/>
    <col min="54" max="63" width="5.7109375" style="1" customWidth="1"/>
    <col min="64" max="65" width="5.85546875" style="1" customWidth="1"/>
    <col min="66" max="66" width="6" style="1" customWidth="1"/>
    <col min="67" max="69" width="5.7109375" style="1" customWidth="1"/>
    <col min="70" max="16384" width="9.140625" style="1"/>
  </cols>
  <sheetData>
    <row r="1" spans="1:69" ht="18" x14ac:dyDescent="0.25">
      <c r="C1" s="566"/>
      <c r="D1" s="9"/>
      <c r="E1" s="9"/>
      <c r="F1" s="9"/>
      <c r="G1" s="9"/>
      <c r="H1" s="9"/>
      <c r="I1" s="9"/>
      <c r="J1" s="9"/>
      <c r="K1" s="9"/>
      <c r="L1" s="9"/>
      <c r="M1" s="9"/>
      <c r="N1" s="9"/>
      <c r="O1" s="9"/>
      <c r="P1" s="9"/>
      <c r="Q1" s="9"/>
      <c r="R1" s="9"/>
      <c r="S1" s="9"/>
      <c r="T1" s="9"/>
      <c r="U1" s="9"/>
      <c r="V1" s="9"/>
      <c r="W1" s="9"/>
      <c r="X1" s="9"/>
      <c r="Y1" s="9"/>
      <c r="Z1" s="9"/>
      <c r="AA1" s="9"/>
      <c r="AB1" s="9"/>
      <c r="AC1" s="9"/>
      <c r="AD1" s="9"/>
      <c r="BC1" s="939"/>
      <c r="BD1" s="940"/>
      <c r="BE1" s="939"/>
    </row>
    <row r="2" spans="1:69" ht="21" x14ac:dyDescent="0.25">
      <c r="C2" s="566"/>
      <c r="D2" s="181"/>
      <c r="E2" s="558"/>
      <c r="F2" s="558"/>
      <c r="G2" s="2382"/>
      <c r="H2" s="2382"/>
      <c r="I2" s="2382"/>
      <c r="J2" s="2382"/>
      <c r="K2" s="2382"/>
      <c r="L2" s="558"/>
      <c r="M2" s="2382"/>
      <c r="N2" s="2382"/>
      <c r="O2" s="2382"/>
      <c r="P2" s="2382"/>
      <c r="Q2" s="558"/>
      <c r="R2" s="896"/>
      <c r="S2" s="558"/>
      <c r="T2" s="2382"/>
      <c r="U2" s="2382"/>
      <c r="V2" s="558"/>
      <c r="W2" s="62"/>
      <c r="X2" s="62"/>
      <c r="Y2" s="62"/>
      <c r="Z2" s="62"/>
      <c r="AA2" s="62"/>
      <c r="AB2" s="62"/>
      <c r="AC2" s="62"/>
      <c r="AD2" s="9"/>
      <c r="BC2" s="939"/>
      <c r="BD2" s="940"/>
      <c r="BE2" s="939"/>
    </row>
    <row r="3" spans="1:69" s="6" customFormat="1" ht="18" customHeight="1" x14ac:dyDescent="0.25">
      <c r="A3" s="195" t="s">
        <v>41</v>
      </c>
      <c r="C3" s="566"/>
      <c r="D3" s="9"/>
      <c r="E3" s="9"/>
      <c r="F3" s="9"/>
      <c r="G3" s="10"/>
      <c r="H3" s="10"/>
      <c r="I3" s="10"/>
      <c r="J3" s="10"/>
      <c r="K3" s="10"/>
      <c r="L3" s="10"/>
      <c r="M3" s="10"/>
      <c r="N3" s="10"/>
      <c r="O3" s="10"/>
      <c r="P3" s="10"/>
      <c r="Q3" s="10"/>
      <c r="R3" s="10"/>
      <c r="S3" s="10"/>
      <c r="T3" s="10"/>
      <c r="U3" s="10"/>
      <c r="V3" s="10"/>
      <c r="W3" s="10"/>
      <c r="X3" s="10"/>
      <c r="Y3" s="9"/>
      <c r="Z3" s="2279"/>
      <c r="AA3" s="2279"/>
      <c r="AB3" s="2279"/>
      <c r="AC3" s="2279"/>
      <c r="AD3" s="2279"/>
      <c r="AE3" s="179"/>
      <c r="AF3" s="179"/>
      <c r="AG3" s="2279"/>
      <c r="AH3" s="2279"/>
      <c r="AI3" s="2279"/>
      <c r="AJ3" s="2279"/>
      <c r="AK3" s="179"/>
      <c r="AL3" s="179"/>
      <c r="AM3" s="179"/>
      <c r="AN3" s="179"/>
      <c r="AO3" s="179"/>
      <c r="AP3" s="179"/>
      <c r="BC3" s="9"/>
      <c r="BD3" s="941"/>
      <c r="BE3" s="9"/>
    </row>
    <row r="4" spans="1:69" s="6" customFormat="1" ht="18" customHeight="1" x14ac:dyDescent="0.25">
      <c r="A4" s="196" t="s">
        <v>592</v>
      </c>
      <c r="C4" s="567"/>
      <c r="D4" s="9"/>
      <c r="E4" s="9"/>
      <c r="F4" s="9"/>
      <c r="G4" s="61"/>
      <c r="H4" s="61"/>
      <c r="I4" s="61"/>
      <c r="J4" s="559"/>
      <c r="K4" s="61"/>
      <c r="L4" s="559"/>
      <c r="M4" s="61"/>
      <c r="N4" s="559"/>
      <c r="O4" s="559"/>
      <c r="P4" s="61"/>
      <c r="Q4" s="559"/>
      <c r="R4" s="61"/>
      <c r="S4" s="559"/>
      <c r="T4" s="10"/>
      <c r="U4" s="10"/>
      <c r="V4" s="10"/>
      <c r="W4" s="10"/>
      <c r="X4" s="10"/>
      <c r="Y4" s="10"/>
      <c r="AG4" s="179"/>
      <c r="AH4" s="179"/>
      <c r="AI4" s="179"/>
      <c r="AJ4" s="179"/>
      <c r="AK4" s="179"/>
      <c r="AL4" s="179"/>
      <c r="AM4" s="179"/>
      <c r="AN4" s="179"/>
      <c r="AO4" s="179"/>
      <c r="AP4" s="179"/>
      <c r="BC4" s="9"/>
      <c r="BD4" s="941"/>
      <c r="BE4" s="9"/>
    </row>
    <row r="5" spans="1:69" s="194" customFormat="1" ht="18" customHeight="1" thickBot="1" x14ac:dyDescent="0.25">
      <c r="A5" s="951">
        <v>1</v>
      </c>
      <c r="B5" s="951">
        <v>2</v>
      </c>
      <c r="C5" s="951">
        <v>3</v>
      </c>
      <c r="D5" s="951">
        <v>4</v>
      </c>
      <c r="E5" s="951">
        <v>5</v>
      </c>
      <c r="F5" s="951">
        <v>6</v>
      </c>
      <c r="G5" s="951">
        <v>7</v>
      </c>
      <c r="H5" s="951">
        <v>8</v>
      </c>
      <c r="I5" s="951">
        <v>9</v>
      </c>
      <c r="J5" s="951">
        <v>10</v>
      </c>
      <c r="K5" s="951">
        <v>11</v>
      </c>
      <c r="L5" s="951">
        <v>12</v>
      </c>
      <c r="M5" s="951">
        <v>13</v>
      </c>
      <c r="N5" s="951">
        <v>14</v>
      </c>
      <c r="O5" s="951">
        <v>15</v>
      </c>
      <c r="P5" s="951">
        <v>16</v>
      </c>
      <c r="Q5" s="951">
        <v>17</v>
      </c>
      <c r="R5" s="951">
        <v>18</v>
      </c>
      <c r="S5" s="951">
        <v>19</v>
      </c>
      <c r="T5" s="951">
        <v>20</v>
      </c>
      <c r="U5" s="951">
        <v>21</v>
      </c>
      <c r="V5" s="951">
        <v>22</v>
      </c>
      <c r="W5" s="951">
        <v>23</v>
      </c>
      <c r="X5" s="951">
        <v>24</v>
      </c>
      <c r="Y5" s="951">
        <v>25</v>
      </c>
      <c r="Z5" s="951">
        <v>26</v>
      </c>
      <c r="AA5" s="951">
        <v>27</v>
      </c>
      <c r="AB5" s="951">
        <v>28</v>
      </c>
      <c r="AC5" s="951">
        <v>29</v>
      </c>
      <c r="AD5" s="951">
        <v>30</v>
      </c>
      <c r="AE5" s="951">
        <v>31</v>
      </c>
      <c r="AF5" s="951">
        <v>32</v>
      </c>
      <c r="AG5" s="951">
        <v>33</v>
      </c>
      <c r="AH5" s="951">
        <v>34</v>
      </c>
      <c r="AI5" s="951">
        <v>35</v>
      </c>
      <c r="AJ5" s="951">
        <v>36</v>
      </c>
      <c r="AK5" s="951">
        <v>37</v>
      </c>
      <c r="AL5" s="952">
        <v>38</v>
      </c>
      <c r="AM5" s="952">
        <v>39</v>
      </c>
      <c r="AN5" s="952">
        <v>40</v>
      </c>
      <c r="AO5" s="952">
        <v>41</v>
      </c>
      <c r="AP5" s="952">
        <v>42</v>
      </c>
      <c r="AQ5" s="951">
        <v>43</v>
      </c>
      <c r="AR5" s="953">
        <v>44</v>
      </c>
      <c r="AS5" s="953">
        <v>45</v>
      </c>
      <c r="AT5" s="953">
        <v>46</v>
      </c>
      <c r="AU5" s="953">
        <v>47</v>
      </c>
      <c r="AV5" s="953">
        <v>48</v>
      </c>
      <c r="AW5" s="953">
        <v>49</v>
      </c>
      <c r="AX5" s="953">
        <v>50</v>
      </c>
      <c r="AY5" s="953">
        <v>51</v>
      </c>
      <c r="AZ5" s="953">
        <v>52</v>
      </c>
      <c r="BA5" s="953">
        <v>53</v>
      </c>
      <c r="BB5" s="953">
        <v>54</v>
      </c>
      <c r="BC5" s="953">
        <v>55</v>
      </c>
      <c r="BD5" s="953">
        <v>56</v>
      </c>
      <c r="BE5" s="952">
        <v>57</v>
      </c>
      <c r="BF5" s="952">
        <v>58</v>
      </c>
      <c r="BG5" s="952">
        <v>59</v>
      </c>
      <c r="BH5" s="952">
        <v>60</v>
      </c>
      <c r="BI5" s="952">
        <v>61</v>
      </c>
      <c r="BJ5" s="952">
        <v>62</v>
      </c>
      <c r="BK5" s="952">
        <v>63</v>
      </c>
      <c r="BL5" s="952">
        <v>64</v>
      </c>
      <c r="BM5" s="952">
        <v>65</v>
      </c>
      <c r="BN5" s="952">
        <v>66</v>
      </c>
      <c r="BO5" s="952">
        <v>67</v>
      </c>
      <c r="BP5" s="952">
        <v>68</v>
      </c>
      <c r="BQ5" s="952">
        <v>69</v>
      </c>
    </row>
    <row r="6" spans="1:69" s="5" customFormat="1" ht="22.5" customHeight="1" x14ac:dyDescent="0.25">
      <c r="A6" s="2384" t="s">
        <v>0</v>
      </c>
      <c r="B6" s="2387" t="s">
        <v>1</v>
      </c>
      <c r="C6" s="2505" t="s">
        <v>3</v>
      </c>
      <c r="D6" s="2393" t="s">
        <v>44</v>
      </c>
      <c r="E6" s="2393"/>
      <c r="F6" s="2393"/>
      <c r="G6" s="2393"/>
      <c r="H6" s="2393"/>
      <c r="I6" s="2393"/>
      <c r="J6" s="2502"/>
      <c r="K6" s="2375" t="s">
        <v>45</v>
      </c>
      <c r="L6" s="2419"/>
      <c r="M6" s="2419"/>
      <c r="N6" s="2419"/>
      <c r="O6" s="2502"/>
      <c r="P6" s="2371" t="s">
        <v>46</v>
      </c>
      <c r="Q6" s="2371"/>
      <c r="R6" s="2371"/>
      <c r="S6" s="2371"/>
      <c r="T6" s="2502"/>
      <c r="U6" s="2374" t="s">
        <v>47</v>
      </c>
      <c r="V6" s="2374"/>
      <c r="W6" s="2374"/>
      <c r="X6" s="2374"/>
      <c r="Y6" s="2502"/>
      <c r="Z6" s="2402" t="s">
        <v>15</v>
      </c>
      <c r="AA6" s="2402"/>
      <c r="AB6" s="2402"/>
      <c r="AC6" s="2402"/>
      <c r="AD6" s="2402"/>
      <c r="AE6" s="2403" t="s">
        <v>2</v>
      </c>
      <c r="AF6" s="2393" t="s">
        <v>6</v>
      </c>
      <c r="AG6" s="2393"/>
      <c r="AH6" s="2393"/>
      <c r="AI6" s="2393"/>
      <c r="AJ6" s="2393"/>
      <c r="AK6" s="2405" t="s">
        <v>40</v>
      </c>
      <c r="AL6" s="2393" t="s">
        <v>142</v>
      </c>
      <c r="AM6" s="2393"/>
      <c r="AN6" s="2393"/>
      <c r="AO6" s="2393"/>
      <c r="AP6" s="2393"/>
      <c r="AQ6" s="2407" t="s">
        <v>24</v>
      </c>
      <c r="AR6" s="2483" t="s">
        <v>25</v>
      </c>
      <c r="AS6" s="2441"/>
      <c r="AT6" s="2441"/>
      <c r="AU6" s="2441"/>
      <c r="AV6" s="2441"/>
      <c r="AW6" s="2441"/>
      <c r="AX6" s="2441"/>
      <c r="AY6" s="2441"/>
      <c r="AZ6" s="2441"/>
      <c r="BA6" s="2441"/>
      <c r="BB6" s="2441"/>
      <c r="BC6" s="2441"/>
      <c r="BD6" s="2442"/>
      <c r="BE6" s="2497" t="s">
        <v>185</v>
      </c>
      <c r="BF6" s="2498"/>
      <c r="BG6" s="2498"/>
      <c r="BH6" s="2498"/>
      <c r="BI6" s="2498"/>
      <c r="BJ6" s="2498"/>
      <c r="BK6" s="2498"/>
      <c r="BL6" s="2498"/>
      <c r="BM6" s="2498"/>
      <c r="BN6" s="2498"/>
      <c r="BO6" s="2498"/>
      <c r="BP6" s="2498"/>
      <c r="BQ6" s="2499"/>
    </row>
    <row r="7" spans="1:69" s="4" customFormat="1" ht="18" customHeight="1" x14ac:dyDescent="0.25">
      <c r="A7" s="2385"/>
      <c r="B7" s="2354"/>
      <c r="C7" s="2506"/>
      <c r="D7" s="2360" t="s">
        <v>42</v>
      </c>
      <c r="E7" s="2360"/>
      <c r="F7" s="2360"/>
      <c r="G7" s="2360" t="s">
        <v>49</v>
      </c>
      <c r="H7" s="2360"/>
      <c r="I7" s="2360"/>
      <c r="J7" s="2485"/>
      <c r="K7" s="2359" t="s">
        <v>42</v>
      </c>
      <c r="L7" s="2359"/>
      <c r="M7" s="2367" t="s">
        <v>43</v>
      </c>
      <c r="N7" s="2368"/>
      <c r="O7" s="2485"/>
      <c r="P7" s="2360" t="s">
        <v>42</v>
      </c>
      <c r="Q7" s="2360"/>
      <c r="R7" s="2344" t="s">
        <v>43</v>
      </c>
      <c r="S7" s="2344"/>
      <c r="T7" s="2485"/>
      <c r="U7" s="2367" t="s">
        <v>42</v>
      </c>
      <c r="V7" s="2368"/>
      <c r="W7" s="2367" t="s">
        <v>43</v>
      </c>
      <c r="X7" s="2368"/>
      <c r="Y7" s="2485"/>
      <c r="Z7" s="2344" t="s">
        <v>140</v>
      </c>
      <c r="AA7" s="2344"/>
      <c r="AB7" s="2344"/>
      <c r="AC7" s="2344"/>
      <c r="AD7" s="2344"/>
      <c r="AE7" s="2352"/>
      <c r="AF7" s="2344" t="s">
        <v>141</v>
      </c>
      <c r="AG7" s="2344"/>
      <c r="AH7" s="2344"/>
      <c r="AI7" s="2344"/>
      <c r="AJ7" s="2344"/>
      <c r="AK7" s="2346"/>
      <c r="AL7" s="2347"/>
      <c r="AM7" s="2347"/>
      <c r="AN7" s="2347"/>
      <c r="AO7" s="2347"/>
      <c r="AP7" s="2347"/>
      <c r="AQ7" s="2408"/>
      <c r="AR7" s="2468" t="s">
        <v>26</v>
      </c>
      <c r="AS7" s="2351"/>
      <c r="AT7" s="2351"/>
      <c r="AU7" s="2500"/>
      <c r="AV7" s="2351" t="s">
        <v>50</v>
      </c>
      <c r="AW7" s="2351"/>
      <c r="AX7" s="2500"/>
      <c r="AY7" s="2351" t="s">
        <v>51</v>
      </c>
      <c r="AZ7" s="2351"/>
      <c r="BA7" s="2500"/>
      <c r="BB7" s="2351" t="s">
        <v>52</v>
      </c>
      <c r="BC7" s="2351"/>
      <c r="BD7" s="2495"/>
      <c r="BE7" s="2468" t="s">
        <v>26</v>
      </c>
      <c r="BF7" s="2351"/>
      <c r="BG7" s="2351"/>
      <c r="BH7" s="2500"/>
      <c r="BI7" s="2351" t="s">
        <v>50</v>
      </c>
      <c r="BJ7" s="2351"/>
      <c r="BK7" s="2500"/>
      <c r="BL7" s="2351" t="s">
        <v>51</v>
      </c>
      <c r="BM7" s="2351"/>
      <c r="BN7" s="2500"/>
      <c r="BO7" s="2351" t="s">
        <v>52</v>
      </c>
      <c r="BP7" s="2351"/>
      <c r="BQ7" s="2495"/>
    </row>
    <row r="8" spans="1:69" ht="19.5" customHeight="1" thickBot="1" x14ac:dyDescent="0.25">
      <c r="A8" s="2503"/>
      <c r="B8" s="2504"/>
      <c r="C8" s="2500"/>
      <c r="D8" s="513" t="s">
        <v>155</v>
      </c>
      <c r="E8" s="513" t="s">
        <v>9</v>
      </c>
      <c r="F8" s="513" t="s">
        <v>189</v>
      </c>
      <c r="G8" s="514" t="s">
        <v>7</v>
      </c>
      <c r="H8" s="514" t="s">
        <v>10</v>
      </c>
      <c r="I8" s="514" t="s">
        <v>179</v>
      </c>
      <c r="J8" s="2485"/>
      <c r="K8" s="515" t="s">
        <v>11</v>
      </c>
      <c r="L8" s="515" t="s">
        <v>16</v>
      </c>
      <c r="M8" s="514" t="s">
        <v>8</v>
      </c>
      <c r="N8" s="514" t="s">
        <v>18</v>
      </c>
      <c r="O8" s="2485"/>
      <c r="P8" s="513" t="s">
        <v>11</v>
      </c>
      <c r="Q8" s="513" t="s">
        <v>189</v>
      </c>
      <c r="R8" s="514" t="s">
        <v>8</v>
      </c>
      <c r="S8" s="514" t="s">
        <v>179</v>
      </c>
      <c r="T8" s="2485"/>
      <c r="U8" s="516" t="s">
        <v>9</v>
      </c>
      <c r="V8" s="516" t="s">
        <v>11</v>
      </c>
      <c r="W8" s="517" t="s">
        <v>10</v>
      </c>
      <c r="X8" s="517" t="s">
        <v>8</v>
      </c>
      <c r="Y8" s="2485"/>
      <c r="Z8" s="563" t="s">
        <v>7</v>
      </c>
      <c r="AA8" s="563" t="s">
        <v>10</v>
      </c>
      <c r="AB8" s="563" t="s">
        <v>8</v>
      </c>
      <c r="AC8" s="563" t="s">
        <v>18</v>
      </c>
      <c r="AD8" s="563" t="s">
        <v>179</v>
      </c>
      <c r="AE8" s="2507"/>
      <c r="AF8" s="583" t="s">
        <v>155</v>
      </c>
      <c r="AG8" s="583" t="s">
        <v>9</v>
      </c>
      <c r="AH8" s="583" t="s">
        <v>11</v>
      </c>
      <c r="AI8" s="583" t="s">
        <v>16</v>
      </c>
      <c r="AJ8" s="583" t="s">
        <v>189</v>
      </c>
      <c r="AK8" s="2508"/>
      <c r="AL8" s="563" t="s">
        <v>7</v>
      </c>
      <c r="AM8" s="563" t="s">
        <v>10</v>
      </c>
      <c r="AN8" s="563" t="s">
        <v>8</v>
      </c>
      <c r="AO8" s="563" t="s">
        <v>18</v>
      </c>
      <c r="AP8" s="563" t="s">
        <v>179</v>
      </c>
      <c r="AQ8" s="2509"/>
      <c r="AR8" s="199" t="s">
        <v>155</v>
      </c>
      <c r="AS8" s="143" t="s">
        <v>9</v>
      </c>
      <c r="AT8" s="143" t="s">
        <v>189</v>
      </c>
      <c r="AU8" s="2501"/>
      <c r="AV8" s="145" t="s">
        <v>11</v>
      </c>
      <c r="AW8" s="145" t="s">
        <v>16</v>
      </c>
      <c r="AX8" s="2501"/>
      <c r="AY8" s="143" t="s">
        <v>11</v>
      </c>
      <c r="AZ8" s="143" t="s">
        <v>189</v>
      </c>
      <c r="BA8" s="2501"/>
      <c r="BB8" s="146" t="s">
        <v>9</v>
      </c>
      <c r="BC8" s="146" t="s">
        <v>11</v>
      </c>
      <c r="BD8" s="2496"/>
      <c r="BE8" s="159" t="s">
        <v>7</v>
      </c>
      <c r="BF8" s="144" t="s">
        <v>10</v>
      </c>
      <c r="BG8" s="144" t="s">
        <v>20</v>
      </c>
      <c r="BH8" s="2501"/>
      <c r="BI8" s="144" t="s">
        <v>8</v>
      </c>
      <c r="BJ8" s="144" t="s">
        <v>18</v>
      </c>
      <c r="BK8" s="2501"/>
      <c r="BL8" s="144" t="s">
        <v>8</v>
      </c>
      <c r="BM8" s="144" t="s">
        <v>179</v>
      </c>
      <c r="BN8" s="2501"/>
      <c r="BO8" s="147" t="s">
        <v>10</v>
      </c>
      <c r="BP8" s="147" t="s">
        <v>8</v>
      </c>
      <c r="BQ8" s="2496"/>
    </row>
    <row r="9" spans="1:69" ht="24.95" customHeight="1" x14ac:dyDescent="0.2">
      <c r="A9" s="574">
        <v>1</v>
      </c>
      <c r="B9" s="518" t="str">
        <f>dtsiswa!D7</f>
        <v>Achmad Zacky</v>
      </c>
      <c r="C9" s="578" t="s">
        <v>4</v>
      </c>
      <c r="D9" s="22">
        <v>76</v>
      </c>
      <c r="E9" s="22">
        <v>65</v>
      </c>
      <c r="F9" s="22">
        <v>78</v>
      </c>
      <c r="G9" s="22">
        <v>70</v>
      </c>
      <c r="H9" s="22">
        <v>68</v>
      </c>
      <c r="I9" s="283">
        <v>87</v>
      </c>
      <c r="J9" s="584">
        <f t="shared" ref="J9:J43" si="0">IFERROR(AVERAGE(D9:I9),"  ")</f>
        <v>74</v>
      </c>
      <c r="K9" s="283">
        <v>56</v>
      </c>
      <c r="L9" s="283">
        <v>56</v>
      </c>
      <c r="M9" s="283">
        <v>78</v>
      </c>
      <c r="N9" s="283">
        <v>76</v>
      </c>
      <c r="O9" s="584">
        <f t="shared" ref="O9:O43" si="1">IFERROR(AVERAGE(K9:N9),"  ")</f>
        <v>66.5</v>
      </c>
      <c r="P9" s="283">
        <v>90</v>
      </c>
      <c r="Q9" s="283">
        <v>90</v>
      </c>
      <c r="R9" s="283">
        <v>81</v>
      </c>
      <c r="S9" s="283">
        <v>81</v>
      </c>
      <c r="T9" s="584">
        <f t="shared" ref="T9:T43" si="2">IFERROR(AVERAGE(R9:S9),"  ")</f>
        <v>81</v>
      </c>
      <c r="U9" s="283">
        <v>56</v>
      </c>
      <c r="V9" s="283">
        <v>56</v>
      </c>
      <c r="W9" s="283">
        <v>76</v>
      </c>
      <c r="X9" s="283">
        <v>76</v>
      </c>
      <c r="Y9" s="584">
        <f t="shared" ref="Y9:Y43" si="3">IFERROR(AVERAGE(W9:X9),"  ")</f>
        <v>76</v>
      </c>
      <c r="Z9" s="519">
        <f>(G9)</f>
        <v>70</v>
      </c>
      <c r="AA9" s="519">
        <f>(H9+W9)/2</f>
        <v>72</v>
      </c>
      <c r="AB9" s="519">
        <f>(M9+R9+X9)/3</f>
        <v>78.333333333333329</v>
      </c>
      <c r="AC9" s="519">
        <f>(N9)</f>
        <v>76</v>
      </c>
      <c r="AD9" s="519">
        <f>(I9+S9)/2</f>
        <v>84</v>
      </c>
      <c r="AE9" s="21">
        <f t="shared" ref="AE9" si="4">IFERROR(AVERAGE(Z9:AD9),"  ")</f>
        <v>76.066666666666663</v>
      </c>
      <c r="AF9" s="585">
        <f>D9</f>
        <v>76</v>
      </c>
      <c r="AG9" s="585">
        <f>(E9+U9)/2</f>
        <v>60.5</v>
      </c>
      <c r="AH9" s="585">
        <f>(K9+P9+V9)/3</f>
        <v>67.333333333333329</v>
      </c>
      <c r="AI9" s="585">
        <f>(L9)</f>
        <v>56</v>
      </c>
      <c r="AJ9" s="585">
        <f>(F9+Q9)/2</f>
        <v>84</v>
      </c>
      <c r="AK9" s="21">
        <f t="shared" ref="AK9" si="5">IFERROR(AVERAGE(AF9:AJ9),"  ")</f>
        <v>68.766666666666666</v>
      </c>
      <c r="AL9" s="565">
        <f t="shared" ref="AL9:AL43" si="6">(Z9+AF9)/2</f>
        <v>73</v>
      </c>
      <c r="AM9" s="565">
        <f t="shared" ref="AM9:AM43" si="7">(AA9+AG9)/2</f>
        <v>66.25</v>
      </c>
      <c r="AN9" s="565">
        <f t="shared" ref="AN9:AN43" si="8">(AB9+AH9)/2</f>
        <v>72.833333333333329</v>
      </c>
      <c r="AO9" s="565">
        <f t="shared" ref="AO9:AO43" si="9">(AC9+AI9)/2</f>
        <v>66</v>
      </c>
      <c r="AP9" s="565">
        <f t="shared" ref="AP9:AP43" si="10">(AD9+AJ9)/2</f>
        <v>84</v>
      </c>
      <c r="AQ9" s="529">
        <f t="shared" ref="AQ9:AQ48" si="11">IFERROR(AVERAGE(AL9:AP9),"  ")</f>
        <v>72.416666666666657</v>
      </c>
      <c r="AR9" s="947">
        <f t="shared" ref="AR9:AR48" si="12">D9</f>
        <v>76</v>
      </c>
      <c r="AS9" s="39">
        <f t="shared" ref="AS9:AS48" si="13">E9</f>
        <v>65</v>
      </c>
      <c r="AT9" s="39">
        <f t="shared" ref="AT9:AT48" si="14">F9</f>
        <v>78</v>
      </c>
      <c r="AU9" s="948">
        <f t="shared" ref="AU9:AU48" si="15">AVERAGE(AR9:AT9)</f>
        <v>73</v>
      </c>
      <c r="AV9" s="39">
        <f t="shared" ref="AV9:AV48" si="16">K9</f>
        <v>56</v>
      </c>
      <c r="AW9" s="39">
        <f t="shared" ref="AW9:AW48" si="17">L9</f>
        <v>56</v>
      </c>
      <c r="AX9" s="948">
        <f t="shared" ref="AX9:AX48" si="18">AVERAGE(AV9:AW9)</f>
        <v>56</v>
      </c>
      <c r="AY9" s="39">
        <f t="shared" ref="AY9:AY48" si="19">P9</f>
        <v>90</v>
      </c>
      <c r="AZ9" s="39">
        <f t="shared" ref="AZ9:AZ48" si="20">Q9</f>
        <v>90</v>
      </c>
      <c r="BA9" s="948">
        <f t="shared" ref="BA9:BA48" si="21">AVERAGE(AZ9:AZ9)</f>
        <v>90</v>
      </c>
      <c r="BB9" s="28">
        <f t="shared" ref="BB9:BB48" si="22">U9</f>
        <v>56</v>
      </c>
      <c r="BC9" s="28">
        <f t="shared" ref="BC9:BC48" si="23">V9</f>
        <v>56</v>
      </c>
      <c r="BD9" s="949">
        <f>AVERAGE(BC9:BC9)</f>
        <v>56</v>
      </c>
      <c r="BE9" s="950">
        <f t="shared" ref="BE9:BE48" si="24">G9</f>
        <v>70</v>
      </c>
      <c r="BF9" s="39">
        <f t="shared" ref="BF9:BF48" si="25">H9</f>
        <v>68</v>
      </c>
      <c r="BG9" s="39">
        <f t="shared" ref="BG9:BG48" si="26">I9</f>
        <v>87</v>
      </c>
      <c r="BH9" s="948">
        <f>IFERROR(AVERAGE(BE9:BG9),"  ")</f>
        <v>75</v>
      </c>
      <c r="BI9" s="39">
        <f t="shared" ref="BI9:BI48" si="27">M9</f>
        <v>78</v>
      </c>
      <c r="BJ9" s="39">
        <f t="shared" ref="BJ9:BJ48" si="28">N9</f>
        <v>76</v>
      </c>
      <c r="BK9" s="948">
        <f t="shared" ref="BK9:BK48" si="29">IFERROR(AVERAGE(BI9:BJ9),"  ")</f>
        <v>77</v>
      </c>
      <c r="BL9" s="39">
        <f t="shared" ref="BL9:BL48" si="30">R9</f>
        <v>81</v>
      </c>
      <c r="BM9" s="39">
        <f t="shared" ref="BM9:BM48" si="31">S9</f>
        <v>81</v>
      </c>
      <c r="BN9" s="948" t="str">
        <f>IFERROR(AVERAGE(#REF!),"  ")</f>
        <v xml:space="preserve">  </v>
      </c>
      <c r="BO9" s="28">
        <f t="shared" ref="BO9:BO43" si="32">W9</f>
        <v>76</v>
      </c>
      <c r="BP9" s="28">
        <f t="shared" ref="BP9:BP43" si="33">X9</f>
        <v>76</v>
      </c>
      <c r="BQ9" s="948" t="str">
        <f>IFERROR(AVERAGE(#REF!),"  ")</f>
        <v xml:space="preserve">  </v>
      </c>
    </row>
    <row r="10" spans="1:69" ht="24.95" customHeight="1" x14ac:dyDescent="0.2">
      <c r="A10" s="574">
        <v>2</v>
      </c>
      <c r="B10" s="518" t="str">
        <f>dtsiswa!D8</f>
        <v>Angelia Vabel R</v>
      </c>
      <c r="C10" s="578" t="s">
        <v>4</v>
      </c>
      <c r="D10" s="22"/>
      <c r="E10" s="22"/>
      <c r="F10" s="22"/>
      <c r="G10" s="22"/>
      <c r="H10" s="22"/>
      <c r="I10" s="283"/>
      <c r="J10" s="584" t="str">
        <f t="shared" si="0"/>
        <v xml:space="preserve">  </v>
      </c>
      <c r="K10" s="23"/>
      <c r="L10" s="23"/>
      <c r="M10" s="23"/>
      <c r="N10" s="23"/>
      <c r="O10" s="584" t="str">
        <f t="shared" si="1"/>
        <v xml:space="preserve">  </v>
      </c>
      <c r="P10" s="23"/>
      <c r="Q10" s="23"/>
      <c r="R10" s="283"/>
      <c r="S10" s="283"/>
      <c r="T10" s="584" t="str">
        <f t="shared" si="2"/>
        <v xml:space="preserve">  </v>
      </c>
      <c r="U10" s="283"/>
      <c r="V10" s="283"/>
      <c r="W10" s="283"/>
      <c r="X10" s="283"/>
      <c r="Y10" s="584" t="str">
        <f t="shared" si="3"/>
        <v xml:space="preserve">  </v>
      </c>
      <c r="Z10" s="519">
        <f t="shared" ref="Z10:Z48" si="34">(G10)</f>
        <v>0</v>
      </c>
      <c r="AA10" s="519">
        <f t="shared" ref="AA10:AA48" si="35">(H10+W10)/2</f>
        <v>0</v>
      </c>
      <c r="AB10" s="519">
        <f t="shared" ref="AB10:AB48" si="36">(M10+R10+X10)/3</f>
        <v>0</v>
      </c>
      <c r="AC10" s="519">
        <f t="shared" ref="AC10:AC48" si="37">(N10)</f>
        <v>0</v>
      </c>
      <c r="AD10" s="519">
        <f t="shared" ref="AD10:AD48" si="38">(I10+S10)/2</f>
        <v>0</v>
      </c>
      <c r="AE10" s="21">
        <f t="shared" ref="AE10:AE48" si="39">IFERROR(AVERAGE(Z10:AD10),"  ")</f>
        <v>0</v>
      </c>
      <c r="AF10" s="585">
        <f t="shared" ref="AF10:AF48" si="40">D10</f>
        <v>0</v>
      </c>
      <c r="AG10" s="585">
        <f t="shared" ref="AG10:AG48" si="41">(E10+U10)/2</f>
        <v>0</v>
      </c>
      <c r="AH10" s="585">
        <f t="shared" ref="AH10:AH48" si="42">(K10+P10+V10)/3</f>
        <v>0</v>
      </c>
      <c r="AI10" s="585">
        <f t="shared" ref="AI10:AI48" si="43">(L10)</f>
        <v>0</v>
      </c>
      <c r="AJ10" s="585">
        <f t="shared" ref="AJ10:AJ48" si="44">(F10+Q10)/2</f>
        <v>0</v>
      </c>
      <c r="AK10" s="21">
        <f t="shared" ref="AK10:AK48" si="45">IFERROR(AVERAGE(AF10:AJ10),"  ")</f>
        <v>0</v>
      </c>
      <c r="AL10" s="565">
        <f t="shared" si="6"/>
        <v>0</v>
      </c>
      <c r="AM10" s="565">
        <f t="shared" si="7"/>
        <v>0</v>
      </c>
      <c r="AN10" s="565">
        <f t="shared" si="8"/>
        <v>0</v>
      </c>
      <c r="AO10" s="565">
        <f t="shared" si="9"/>
        <v>0</v>
      </c>
      <c r="AP10" s="565">
        <f t="shared" si="10"/>
        <v>0</v>
      </c>
      <c r="AQ10" s="529">
        <f t="shared" si="11"/>
        <v>0</v>
      </c>
      <c r="AR10" s="532">
        <f t="shared" si="12"/>
        <v>0</v>
      </c>
      <c r="AS10" s="26">
        <f t="shared" si="13"/>
        <v>0</v>
      </c>
      <c r="AT10" s="26">
        <f t="shared" si="14"/>
        <v>0</v>
      </c>
      <c r="AU10" s="586">
        <f t="shared" si="15"/>
        <v>0</v>
      </c>
      <c r="AV10" s="26">
        <f t="shared" si="16"/>
        <v>0</v>
      </c>
      <c r="AW10" s="26">
        <f t="shared" si="17"/>
        <v>0</v>
      </c>
      <c r="AX10" s="586">
        <f t="shared" si="18"/>
        <v>0</v>
      </c>
      <c r="AY10" s="26">
        <f t="shared" si="19"/>
        <v>0</v>
      </c>
      <c r="AZ10" s="26">
        <f t="shared" si="20"/>
        <v>0</v>
      </c>
      <c r="BA10" s="586">
        <f t="shared" si="21"/>
        <v>0</v>
      </c>
      <c r="BB10" s="901">
        <f t="shared" si="22"/>
        <v>0</v>
      </c>
      <c r="BC10" s="901">
        <f t="shared" si="23"/>
        <v>0</v>
      </c>
      <c r="BD10" s="943">
        <f t="shared" ref="BD10:BD48" si="46">AVERAGE(BC10:BC10)</f>
        <v>0</v>
      </c>
      <c r="BE10" s="942">
        <f t="shared" si="24"/>
        <v>0</v>
      </c>
      <c r="BF10" s="26">
        <f t="shared" si="25"/>
        <v>0</v>
      </c>
      <c r="BG10" s="26">
        <f t="shared" si="26"/>
        <v>0</v>
      </c>
      <c r="BH10" s="586">
        <f t="shared" ref="BH10:BH43" si="47">IFERROR(AVERAGE(BE10:BG10),"  ")</f>
        <v>0</v>
      </c>
      <c r="BI10" s="26">
        <f t="shared" si="27"/>
        <v>0</v>
      </c>
      <c r="BJ10" s="26">
        <f t="shared" si="28"/>
        <v>0</v>
      </c>
      <c r="BK10" s="586">
        <f t="shared" si="29"/>
        <v>0</v>
      </c>
      <c r="BL10" s="26">
        <f t="shared" si="30"/>
        <v>0</v>
      </c>
      <c r="BM10" s="26">
        <f t="shared" si="31"/>
        <v>0</v>
      </c>
      <c r="BN10" s="586" t="str">
        <f>IFERROR(AVERAGE(#REF!),"  ")</f>
        <v xml:space="preserve">  </v>
      </c>
      <c r="BO10" s="572">
        <f t="shared" si="32"/>
        <v>0</v>
      </c>
      <c r="BP10" s="572">
        <f t="shared" si="33"/>
        <v>0</v>
      </c>
      <c r="BQ10" s="586" t="str">
        <f>IFERROR(AVERAGE(#REF!),"  ")</f>
        <v xml:space="preserve">  </v>
      </c>
    </row>
    <row r="11" spans="1:69" ht="24.95" customHeight="1" x14ac:dyDescent="0.2">
      <c r="A11" s="574">
        <v>3</v>
      </c>
      <c r="B11" s="518" t="str">
        <f>dtsiswa!D9</f>
        <v>Anggun Dwi P.I</v>
      </c>
      <c r="C11" s="578" t="s">
        <v>4</v>
      </c>
      <c r="D11" s="22"/>
      <c r="E11" s="22"/>
      <c r="F11" s="22"/>
      <c r="G11" s="22"/>
      <c r="H11" s="22"/>
      <c r="I11" s="283"/>
      <c r="J11" s="584" t="str">
        <f t="shared" si="0"/>
        <v xml:space="preserve">  </v>
      </c>
      <c r="K11" s="23"/>
      <c r="L11" s="23"/>
      <c r="M11" s="23"/>
      <c r="N11" s="23"/>
      <c r="O11" s="584" t="str">
        <f t="shared" si="1"/>
        <v xml:space="preserve">  </v>
      </c>
      <c r="P11" s="23"/>
      <c r="Q11" s="23"/>
      <c r="R11" s="283"/>
      <c r="S11" s="283"/>
      <c r="T11" s="584" t="str">
        <f t="shared" si="2"/>
        <v xml:space="preserve">  </v>
      </c>
      <c r="U11" s="283"/>
      <c r="V11" s="283"/>
      <c r="W11" s="283"/>
      <c r="X11" s="283"/>
      <c r="Y11" s="584" t="str">
        <f t="shared" si="3"/>
        <v xml:space="preserve">  </v>
      </c>
      <c r="Z11" s="519">
        <f t="shared" si="34"/>
        <v>0</v>
      </c>
      <c r="AA11" s="519">
        <f t="shared" si="35"/>
        <v>0</v>
      </c>
      <c r="AB11" s="519">
        <f t="shared" si="36"/>
        <v>0</v>
      </c>
      <c r="AC11" s="519">
        <f t="shared" si="37"/>
        <v>0</v>
      </c>
      <c r="AD11" s="519">
        <f t="shared" si="38"/>
        <v>0</v>
      </c>
      <c r="AE11" s="21">
        <f t="shared" si="39"/>
        <v>0</v>
      </c>
      <c r="AF11" s="585">
        <f t="shared" si="40"/>
        <v>0</v>
      </c>
      <c r="AG11" s="585">
        <f t="shared" si="41"/>
        <v>0</v>
      </c>
      <c r="AH11" s="585">
        <f t="shared" si="42"/>
        <v>0</v>
      </c>
      <c r="AI11" s="585">
        <f t="shared" si="43"/>
        <v>0</v>
      </c>
      <c r="AJ11" s="585">
        <f t="shared" si="44"/>
        <v>0</v>
      </c>
      <c r="AK11" s="21">
        <f t="shared" si="45"/>
        <v>0</v>
      </c>
      <c r="AL11" s="565">
        <f t="shared" si="6"/>
        <v>0</v>
      </c>
      <c r="AM11" s="565">
        <f t="shared" si="7"/>
        <v>0</v>
      </c>
      <c r="AN11" s="565">
        <f t="shared" si="8"/>
        <v>0</v>
      </c>
      <c r="AO11" s="565">
        <f t="shared" si="9"/>
        <v>0</v>
      </c>
      <c r="AP11" s="565">
        <f t="shared" si="10"/>
        <v>0</v>
      </c>
      <c r="AQ11" s="529">
        <f t="shared" si="11"/>
        <v>0</v>
      </c>
      <c r="AR11" s="532">
        <f t="shared" si="12"/>
        <v>0</v>
      </c>
      <c r="AS11" s="26">
        <f t="shared" si="13"/>
        <v>0</v>
      </c>
      <c r="AT11" s="26">
        <f t="shared" si="14"/>
        <v>0</v>
      </c>
      <c r="AU11" s="586">
        <f t="shared" si="15"/>
        <v>0</v>
      </c>
      <c r="AV11" s="26">
        <f t="shared" si="16"/>
        <v>0</v>
      </c>
      <c r="AW11" s="26">
        <f t="shared" si="17"/>
        <v>0</v>
      </c>
      <c r="AX11" s="586">
        <f t="shared" si="18"/>
        <v>0</v>
      </c>
      <c r="AY11" s="26">
        <f t="shared" si="19"/>
        <v>0</v>
      </c>
      <c r="AZ11" s="26">
        <f t="shared" si="20"/>
        <v>0</v>
      </c>
      <c r="BA11" s="586">
        <f t="shared" si="21"/>
        <v>0</v>
      </c>
      <c r="BB11" s="901">
        <f t="shared" si="22"/>
        <v>0</v>
      </c>
      <c r="BC11" s="901">
        <f t="shared" si="23"/>
        <v>0</v>
      </c>
      <c r="BD11" s="943">
        <f t="shared" si="46"/>
        <v>0</v>
      </c>
      <c r="BE11" s="942">
        <f t="shared" si="24"/>
        <v>0</v>
      </c>
      <c r="BF11" s="26">
        <f t="shared" si="25"/>
        <v>0</v>
      </c>
      <c r="BG11" s="26">
        <f t="shared" si="26"/>
        <v>0</v>
      </c>
      <c r="BH11" s="586">
        <f t="shared" si="47"/>
        <v>0</v>
      </c>
      <c r="BI11" s="26">
        <f t="shared" si="27"/>
        <v>0</v>
      </c>
      <c r="BJ11" s="26">
        <f t="shared" si="28"/>
        <v>0</v>
      </c>
      <c r="BK11" s="586">
        <f t="shared" si="29"/>
        <v>0</v>
      </c>
      <c r="BL11" s="26">
        <f t="shared" si="30"/>
        <v>0</v>
      </c>
      <c r="BM11" s="26">
        <f t="shared" si="31"/>
        <v>0</v>
      </c>
      <c r="BN11" s="586" t="str">
        <f>IFERROR(AVERAGE(#REF!),"  ")</f>
        <v xml:space="preserve">  </v>
      </c>
      <c r="BO11" s="572">
        <f t="shared" si="32"/>
        <v>0</v>
      </c>
      <c r="BP11" s="572">
        <f t="shared" si="33"/>
        <v>0</v>
      </c>
      <c r="BQ11" s="586" t="str">
        <f>IFERROR(AVERAGE(#REF!),"  ")</f>
        <v xml:space="preserve">  </v>
      </c>
    </row>
    <row r="12" spans="1:69" ht="24.95" customHeight="1" x14ac:dyDescent="0.2">
      <c r="A12" s="574">
        <v>4</v>
      </c>
      <c r="B12" s="518" t="str">
        <f>dtsiswa!D10</f>
        <v>Antonio Permata A</v>
      </c>
      <c r="C12" s="587" t="s">
        <v>4</v>
      </c>
      <c r="D12" s="22"/>
      <c r="E12" s="22"/>
      <c r="F12" s="22"/>
      <c r="G12" s="22"/>
      <c r="H12" s="22"/>
      <c r="I12" s="283"/>
      <c r="J12" s="584" t="str">
        <f t="shared" si="0"/>
        <v xml:space="preserve">  </v>
      </c>
      <c r="K12" s="23"/>
      <c r="L12" s="23"/>
      <c r="M12" s="23"/>
      <c r="N12" s="23"/>
      <c r="O12" s="584" t="str">
        <f t="shared" si="1"/>
        <v xml:space="preserve">  </v>
      </c>
      <c r="P12" s="23"/>
      <c r="Q12" s="23"/>
      <c r="R12" s="283"/>
      <c r="S12" s="283"/>
      <c r="T12" s="584" t="str">
        <f t="shared" si="2"/>
        <v xml:space="preserve">  </v>
      </c>
      <c r="U12" s="283"/>
      <c r="V12" s="283"/>
      <c r="W12" s="283"/>
      <c r="X12" s="283"/>
      <c r="Y12" s="584" t="str">
        <f t="shared" si="3"/>
        <v xml:space="preserve">  </v>
      </c>
      <c r="Z12" s="519">
        <f t="shared" si="34"/>
        <v>0</v>
      </c>
      <c r="AA12" s="519">
        <f t="shared" si="35"/>
        <v>0</v>
      </c>
      <c r="AB12" s="519">
        <f t="shared" si="36"/>
        <v>0</v>
      </c>
      <c r="AC12" s="519">
        <f t="shared" si="37"/>
        <v>0</v>
      </c>
      <c r="AD12" s="519">
        <f t="shared" si="38"/>
        <v>0</v>
      </c>
      <c r="AE12" s="21">
        <f t="shared" si="39"/>
        <v>0</v>
      </c>
      <c r="AF12" s="585">
        <f t="shared" si="40"/>
        <v>0</v>
      </c>
      <c r="AG12" s="585">
        <f t="shared" si="41"/>
        <v>0</v>
      </c>
      <c r="AH12" s="585">
        <f t="shared" si="42"/>
        <v>0</v>
      </c>
      <c r="AI12" s="585">
        <f t="shared" si="43"/>
        <v>0</v>
      </c>
      <c r="AJ12" s="585">
        <f t="shared" si="44"/>
        <v>0</v>
      </c>
      <c r="AK12" s="21">
        <f t="shared" si="45"/>
        <v>0</v>
      </c>
      <c r="AL12" s="565">
        <f t="shared" si="6"/>
        <v>0</v>
      </c>
      <c r="AM12" s="565">
        <f t="shared" si="7"/>
        <v>0</v>
      </c>
      <c r="AN12" s="565">
        <f t="shared" si="8"/>
        <v>0</v>
      </c>
      <c r="AO12" s="565">
        <f t="shared" si="9"/>
        <v>0</v>
      </c>
      <c r="AP12" s="565">
        <f t="shared" si="10"/>
        <v>0</v>
      </c>
      <c r="AQ12" s="529">
        <f t="shared" si="11"/>
        <v>0</v>
      </c>
      <c r="AR12" s="532">
        <f t="shared" si="12"/>
        <v>0</v>
      </c>
      <c r="AS12" s="26">
        <f t="shared" si="13"/>
        <v>0</v>
      </c>
      <c r="AT12" s="26">
        <f t="shared" si="14"/>
        <v>0</v>
      </c>
      <c r="AU12" s="586">
        <f t="shared" si="15"/>
        <v>0</v>
      </c>
      <c r="AV12" s="26">
        <f t="shared" si="16"/>
        <v>0</v>
      </c>
      <c r="AW12" s="26">
        <f t="shared" si="17"/>
        <v>0</v>
      </c>
      <c r="AX12" s="586">
        <f t="shared" si="18"/>
        <v>0</v>
      </c>
      <c r="AY12" s="26">
        <f t="shared" si="19"/>
        <v>0</v>
      </c>
      <c r="AZ12" s="26">
        <f t="shared" si="20"/>
        <v>0</v>
      </c>
      <c r="BA12" s="586">
        <f t="shared" si="21"/>
        <v>0</v>
      </c>
      <c r="BB12" s="901">
        <f t="shared" si="22"/>
        <v>0</v>
      </c>
      <c r="BC12" s="901">
        <f t="shared" si="23"/>
        <v>0</v>
      </c>
      <c r="BD12" s="943">
        <f t="shared" si="46"/>
        <v>0</v>
      </c>
      <c r="BE12" s="942">
        <f t="shared" si="24"/>
        <v>0</v>
      </c>
      <c r="BF12" s="26">
        <f t="shared" si="25"/>
        <v>0</v>
      </c>
      <c r="BG12" s="26">
        <f t="shared" si="26"/>
        <v>0</v>
      </c>
      <c r="BH12" s="586">
        <f t="shared" si="47"/>
        <v>0</v>
      </c>
      <c r="BI12" s="26">
        <f t="shared" si="27"/>
        <v>0</v>
      </c>
      <c r="BJ12" s="26">
        <f t="shared" si="28"/>
        <v>0</v>
      </c>
      <c r="BK12" s="586">
        <f t="shared" si="29"/>
        <v>0</v>
      </c>
      <c r="BL12" s="26">
        <f t="shared" si="30"/>
        <v>0</v>
      </c>
      <c r="BM12" s="26">
        <f t="shared" si="31"/>
        <v>0</v>
      </c>
      <c r="BN12" s="586" t="str">
        <f>IFERROR(AVERAGE(#REF!),"  ")</f>
        <v xml:space="preserve">  </v>
      </c>
      <c r="BO12" s="572">
        <f t="shared" si="32"/>
        <v>0</v>
      </c>
      <c r="BP12" s="572">
        <f t="shared" si="33"/>
        <v>0</v>
      </c>
      <c r="BQ12" s="586" t="str">
        <f>IFERROR(AVERAGE(#REF!),"  ")</f>
        <v xml:space="preserve">  </v>
      </c>
    </row>
    <row r="13" spans="1:69" ht="24.95" customHeight="1" x14ac:dyDescent="0.2">
      <c r="A13" s="574">
        <v>5</v>
      </c>
      <c r="B13" s="518" t="str">
        <f>dtsiswa!D11</f>
        <v>Arya Pratama G</v>
      </c>
      <c r="C13" s="578" t="s">
        <v>5</v>
      </c>
      <c r="D13" s="22"/>
      <c r="E13" s="22"/>
      <c r="F13" s="22"/>
      <c r="G13" s="22"/>
      <c r="H13" s="22"/>
      <c r="I13" s="283"/>
      <c r="J13" s="584" t="str">
        <f t="shared" si="0"/>
        <v xml:space="preserve">  </v>
      </c>
      <c r="K13" s="23"/>
      <c r="L13" s="23"/>
      <c r="M13" s="23"/>
      <c r="N13" s="23"/>
      <c r="O13" s="584" t="str">
        <f t="shared" si="1"/>
        <v xml:space="preserve">  </v>
      </c>
      <c r="P13" s="23"/>
      <c r="Q13" s="23"/>
      <c r="R13" s="283"/>
      <c r="S13" s="283"/>
      <c r="T13" s="584" t="str">
        <f t="shared" si="2"/>
        <v xml:space="preserve">  </v>
      </c>
      <c r="U13" s="283"/>
      <c r="V13" s="283"/>
      <c r="W13" s="283"/>
      <c r="X13" s="283"/>
      <c r="Y13" s="584" t="str">
        <f t="shared" si="3"/>
        <v xml:space="preserve">  </v>
      </c>
      <c r="Z13" s="519">
        <f t="shared" si="34"/>
        <v>0</v>
      </c>
      <c r="AA13" s="519">
        <f t="shared" si="35"/>
        <v>0</v>
      </c>
      <c r="AB13" s="519">
        <f t="shared" si="36"/>
        <v>0</v>
      </c>
      <c r="AC13" s="519">
        <f t="shared" si="37"/>
        <v>0</v>
      </c>
      <c r="AD13" s="519">
        <f t="shared" si="38"/>
        <v>0</v>
      </c>
      <c r="AE13" s="21">
        <f t="shared" si="39"/>
        <v>0</v>
      </c>
      <c r="AF13" s="585">
        <f t="shared" si="40"/>
        <v>0</v>
      </c>
      <c r="AG13" s="585">
        <f t="shared" si="41"/>
        <v>0</v>
      </c>
      <c r="AH13" s="585">
        <f t="shared" si="42"/>
        <v>0</v>
      </c>
      <c r="AI13" s="585">
        <f t="shared" si="43"/>
        <v>0</v>
      </c>
      <c r="AJ13" s="585">
        <f t="shared" si="44"/>
        <v>0</v>
      </c>
      <c r="AK13" s="21">
        <f t="shared" si="45"/>
        <v>0</v>
      </c>
      <c r="AL13" s="565">
        <f t="shared" si="6"/>
        <v>0</v>
      </c>
      <c r="AM13" s="565">
        <f t="shared" si="7"/>
        <v>0</v>
      </c>
      <c r="AN13" s="565">
        <f t="shared" si="8"/>
        <v>0</v>
      </c>
      <c r="AO13" s="565">
        <f t="shared" si="9"/>
        <v>0</v>
      </c>
      <c r="AP13" s="565">
        <f t="shared" si="10"/>
        <v>0</v>
      </c>
      <c r="AQ13" s="529">
        <f t="shared" si="11"/>
        <v>0</v>
      </c>
      <c r="AR13" s="532">
        <f t="shared" si="12"/>
        <v>0</v>
      </c>
      <c r="AS13" s="26">
        <f t="shared" si="13"/>
        <v>0</v>
      </c>
      <c r="AT13" s="26">
        <f t="shared" si="14"/>
        <v>0</v>
      </c>
      <c r="AU13" s="586">
        <f t="shared" si="15"/>
        <v>0</v>
      </c>
      <c r="AV13" s="26">
        <f t="shared" si="16"/>
        <v>0</v>
      </c>
      <c r="AW13" s="26">
        <f t="shared" si="17"/>
        <v>0</v>
      </c>
      <c r="AX13" s="586">
        <f t="shared" si="18"/>
        <v>0</v>
      </c>
      <c r="AY13" s="26">
        <f t="shared" si="19"/>
        <v>0</v>
      </c>
      <c r="AZ13" s="26">
        <f t="shared" si="20"/>
        <v>0</v>
      </c>
      <c r="BA13" s="586">
        <f t="shared" si="21"/>
        <v>0</v>
      </c>
      <c r="BB13" s="901">
        <f t="shared" si="22"/>
        <v>0</v>
      </c>
      <c r="BC13" s="901">
        <f t="shared" si="23"/>
        <v>0</v>
      </c>
      <c r="BD13" s="943">
        <f t="shared" si="46"/>
        <v>0</v>
      </c>
      <c r="BE13" s="942">
        <f t="shared" si="24"/>
        <v>0</v>
      </c>
      <c r="BF13" s="26">
        <f t="shared" si="25"/>
        <v>0</v>
      </c>
      <c r="BG13" s="26">
        <f t="shared" si="26"/>
        <v>0</v>
      </c>
      <c r="BH13" s="586">
        <f t="shared" si="47"/>
        <v>0</v>
      </c>
      <c r="BI13" s="26">
        <f t="shared" si="27"/>
        <v>0</v>
      </c>
      <c r="BJ13" s="26">
        <f t="shared" si="28"/>
        <v>0</v>
      </c>
      <c r="BK13" s="586">
        <f t="shared" si="29"/>
        <v>0</v>
      </c>
      <c r="BL13" s="26">
        <f t="shared" si="30"/>
        <v>0</v>
      </c>
      <c r="BM13" s="26">
        <f t="shared" si="31"/>
        <v>0</v>
      </c>
      <c r="BN13" s="586" t="str">
        <f>IFERROR(AVERAGE(#REF!),"  ")</f>
        <v xml:space="preserve">  </v>
      </c>
      <c r="BO13" s="572">
        <f t="shared" si="32"/>
        <v>0</v>
      </c>
      <c r="BP13" s="572">
        <f t="shared" si="33"/>
        <v>0</v>
      </c>
      <c r="BQ13" s="586" t="str">
        <f>IFERROR(AVERAGE(#REF!),"  ")</f>
        <v xml:space="preserve">  </v>
      </c>
    </row>
    <row r="14" spans="1:69" ht="24.95" customHeight="1" x14ac:dyDescent="0.2">
      <c r="A14" s="574">
        <v>6</v>
      </c>
      <c r="B14" s="518" t="str">
        <f>dtsiswa!D12</f>
        <v>Asyam Hanif Ihsan H</v>
      </c>
      <c r="C14" s="578" t="s">
        <v>5</v>
      </c>
      <c r="D14" s="22"/>
      <c r="E14" s="22"/>
      <c r="F14" s="22"/>
      <c r="G14" s="22"/>
      <c r="H14" s="22"/>
      <c r="I14" s="283"/>
      <c r="J14" s="584" t="str">
        <f t="shared" si="0"/>
        <v xml:space="preserve">  </v>
      </c>
      <c r="K14" s="23"/>
      <c r="L14" s="23"/>
      <c r="M14" s="23"/>
      <c r="N14" s="23"/>
      <c r="O14" s="584" t="str">
        <f t="shared" si="1"/>
        <v xml:space="preserve">  </v>
      </c>
      <c r="P14" s="23"/>
      <c r="Q14" s="23"/>
      <c r="R14" s="283"/>
      <c r="S14" s="283"/>
      <c r="T14" s="584" t="str">
        <f t="shared" si="2"/>
        <v xml:space="preserve">  </v>
      </c>
      <c r="U14" s="283"/>
      <c r="V14" s="283"/>
      <c r="W14" s="283"/>
      <c r="X14" s="283"/>
      <c r="Y14" s="584" t="str">
        <f t="shared" si="3"/>
        <v xml:space="preserve">  </v>
      </c>
      <c r="Z14" s="519">
        <f t="shared" si="34"/>
        <v>0</v>
      </c>
      <c r="AA14" s="519">
        <f t="shared" si="35"/>
        <v>0</v>
      </c>
      <c r="AB14" s="519">
        <f t="shared" si="36"/>
        <v>0</v>
      </c>
      <c r="AC14" s="519">
        <f t="shared" si="37"/>
        <v>0</v>
      </c>
      <c r="AD14" s="519">
        <f t="shared" si="38"/>
        <v>0</v>
      </c>
      <c r="AE14" s="21">
        <f t="shared" si="39"/>
        <v>0</v>
      </c>
      <c r="AF14" s="585">
        <f t="shared" si="40"/>
        <v>0</v>
      </c>
      <c r="AG14" s="585">
        <f t="shared" si="41"/>
        <v>0</v>
      </c>
      <c r="AH14" s="585">
        <f t="shared" si="42"/>
        <v>0</v>
      </c>
      <c r="AI14" s="585">
        <f t="shared" si="43"/>
        <v>0</v>
      </c>
      <c r="AJ14" s="585">
        <f t="shared" si="44"/>
        <v>0</v>
      </c>
      <c r="AK14" s="21">
        <f t="shared" si="45"/>
        <v>0</v>
      </c>
      <c r="AL14" s="565">
        <f t="shared" si="6"/>
        <v>0</v>
      </c>
      <c r="AM14" s="565">
        <f t="shared" si="7"/>
        <v>0</v>
      </c>
      <c r="AN14" s="565">
        <f t="shared" si="8"/>
        <v>0</v>
      </c>
      <c r="AO14" s="565">
        <f t="shared" si="9"/>
        <v>0</v>
      </c>
      <c r="AP14" s="565">
        <f t="shared" si="10"/>
        <v>0</v>
      </c>
      <c r="AQ14" s="529">
        <f t="shared" si="11"/>
        <v>0</v>
      </c>
      <c r="AR14" s="532">
        <f t="shared" si="12"/>
        <v>0</v>
      </c>
      <c r="AS14" s="26">
        <f t="shared" si="13"/>
        <v>0</v>
      </c>
      <c r="AT14" s="26">
        <f t="shared" si="14"/>
        <v>0</v>
      </c>
      <c r="AU14" s="586">
        <f t="shared" si="15"/>
        <v>0</v>
      </c>
      <c r="AV14" s="26">
        <f t="shared" si="16"/>
        <v>0</v>
      </c>
      <c r="AW14" s="26">
        <f t="shared" si="17"/>
        <v>0</v>
      </c>
      <c r="AX14" s="586">
        <f t="shared" si="18"/>
        <v>0</v>
      </c>
      <c r="AY14" s="26">
        <f t="shared" si="19"/>
        <v>0</v>
      </c>
      <c r="AZ14" s="26">
        <f t="shared" si="20"/>
        <v>0</v>
      </c>
      <c r="BA14" s="586">
        <f t="shared" si="21"/>
        <v>0</v>
      </c>
      <c r="BB14" s="901">
        <f t="shared" si="22"/>
        <v>0</v>
      </c>
      <c r="BC14" s="901">
        <f t="shared" si="23"/>
        <v>0</v>
      </c>
      <c r="BD14" s="943">
        <f t="shared" si="46"/>
        <v>0</v>
      </c>
      <c r="BE14" s="942">
        <f t="shared" si="24"/>
        <v>0</v>
      </c>
      <c r="BF14" s="26">
        <f t="shared" si="25"/>
        <v>0</v>
      </c>
      <c r="BG14" s="26">
        <f t="shared" si="26"/>
        <v>0</v>
      </c>
      <c r="BH14" s="586">
        <f t="shared" si="47"/>
        <v>0</v>
      </c>
      <c r="BI14" s="26">
        <f t="shared" si="27"/>
        <v>0</v>
      </c>
      <c r="BJ14" s="26">
        <f t="shared" si="28"/>
        <v>0</v>
      </c>
      <c r="BK14" s="586">
        <f t="shared" si="29"/>
        <v>0</v>
      </c>
      <c r="BL14" s="26">
        <f t="shared" si="30"/>
        <v>0</v>
      </c>
      <c r="BM14" s="26">
        <f t="shared" si="31"/>
        <v>0</v>
      </c>
      <c r="BN14" s="586" t="str">
        <f>IFERROR(AVERAGE(#REF!),"  ")</f>
        <v xml:space="preserve">  </v>
      </c>
      <c r="BO14" s="572">
        <f t="shared" si="32"/>
        <v>0</v>
      </c>
      <c r="BP14" s="572">
        <f t="shared" si="33"/>
        <v>0</v>
      </c>
      <c r="BQ14" s="586" t="str">
        <f>IFERROR(AVERAGE(#REF!),"  ")</f>
        <v xml:space="preserve">  </v>
      </c>
    </row>
    <row r="15" spans="1:69" ht="24.95" customHeight="1" x14ac:dyDescent="0.2">
      <c r="A15" s="574">
        <v>7</v>
      </c>
      <c r="B15" s="518" t="str">
        <f>dtsiswa!D13</f>
        <v>Athaya Salsabilla Z</v>
      </c>
      <c r="C15" s="578" t="s">
        <v>4</v>
      </c>
      <c r="D15" s="22"/>
      <c r="E15" s="22"/>
      <c r="F15" s="22"/>
      <c r="G15" s="22"/>
      <c r="H15" s="22"/>
      <c r="I15" s="283"/>
      <c r="J15" s="584" t="str">
        <f t="shared" si="0"/>
        <v xml:space="preserve">  </v>
      </c>
      <c r="K15" s="23"/>
      <c r="L15" s="23"/>
      <c r="M15" s="23"/>
      <c r="N15" s="23"/>
      <c r="O15" s="584" t="str">
        <f t="shared" si="1"/>
        <v xml:space="preserve">  </v>
      </c>
      <c r="P15" s="23"/>
      <c r="Q15" s="23"/>
      <c r="R15" s="283"/>
      <c r="S15" s="283"/>
      <c r="T15" s="584" t="str">
        <f t="shared" si="2"/>
        <v xml:space="preserve">  </v>
      </c>
      <c r="U15" s="283"/>
      <c r="V15" s="283"/>
      <c r="W15" s="283"/>
      <c r="X15" s="283"/>
      <c r="Y15" s="584" t="str">
        <f t="shared" si="3"/>
        <v xml:space="preserve">  </v>
      </c>
      <c r="Z15" s="519">
        <f t="shared" si="34"/>
        <v>0</v>
      </c>
      <c r="AA15" s="519">
        <f t="shared" si="35"/>
        <v>0</v>
      </c>
      <c r="AB15" s="519">
        <f t="shared" si="36"/>
        <v>0</v>
      </c>
      <c r="AC15" s="519">
        <f t="shared" si="37"/>
        <v>0</v>
      </c>
      <c r="AD15" s="519">
        <f t="shared" si="38"/>
        <v>0</v>
      </c>
      <c r="AE15" s="21">
        <f t="shared" si="39"/>
        <v>0</v>
      </c>
      <c r="AF15" s="585">
        <f t="shared" si="40"/>
        <v>0</v>
      </c>
      <c r="AG15" s="585">
        <f t="shared" si="41"/>
        <v>0</v>
      </c>
      <c r="AH15" s="585">
        <f t="shared" si="42"/>
        <v>0</v>
      </c>
      <c r="AI15" s="585">
        <f t="shared" si="43"/>
        <v>0</v>
      </c>
      <c r="AJ15" s="585">
        <f t="shared" si="44"/>
        <v>0</v>
      </c>
      <c r="AK15" s="21">
        <f t="shared" si="45"/>
        <v>0</v>
      </c>
      <c r="AL15" s="565">
        <f t="shared" si="6"/>
        <v>0</v>
      </c>
      <c r="AM15" s="565">
        <f t="shared" si="7"/>
        <v>0</v>
      </c>
      <c r="AN15" s="565">
        <f t="shared" si="8"/>
        <v>0</v>
      </c>
      <c r="AO15" s="565">
        <f t="shared" si="9"/>
        <v>0</v>
      </c>
      <c r="AP15" s="565">
        <f t="shared" si="10"/>
        <v>0</v>
      </c>
      <c r="AQ15" s="529">
        <f t="shared" si="11"/>
        <v>0</v>
      </c>
      <c r="AR15" s="532">
        <f t="shared" si="12"/>
        <v>0</v>
      </c>
      <c r="AS15" s="26">
        <f t="shared" si="13"/>
        <v>0</v>
      </c>
      <c r="AT15" s="26">
        <f t="shared" si="14"/>
        <v>0</v>
      </c>
      <c r="AU15" s="586">
        <f t="shared" si="15"/>
        <v>0</v>
      </c>
      <c r="AV15" s="26">
        <f t="shared" si="16"/>
        <v>0</v>
      </c>
      <c r="AW15" s="26">
        <f t="shared" si="17"/>
        <v>0</v>
      </c>
      <c r="AX15" s="586">
        <f t="shared" si="18"/>
        <v>0</v>
      </c>
      <c r="AY15" s="26">
        <f t="shared" si="19"/>
        <v>0</v>
      </c>
      <c r="AZ15" s="26">
        <f t="shared" si="20"/>
        <v>0</v>
      </c>
      <c r="BA15" s="586">
        <f t="shared" si="21"/>
        <v>0</v>
      </c>
      <c r="BB15" s="901">
        <f t="shared" si="22"/>
        <v>0</v>
      </c>
      <c r="BC15" s="901">
        <f t="shared" si="23"/>
        <v>0</v>
      </c>
      <c r="BD15" s="943">
        <f t="shared" si="46"/>
        <v>0</v>
      </c>
      <c r="BE15" s="942">
        <f t="shared" si="24"/>
        <v>0</v>
      </c>
      <c r="BF15" s="26">
        <f t="shared" si="25"/>
        <v>0</v>
      </c>
      <c r="BG15" s="26">
        <f t="shared" si="26"/>
        <v>0</v>
      </c>
      <c r="BH15" s="586">
        <f t="shared" si="47"/>
        <v>0</v>
      </c>
      <c r="BI15" s="26">
        <f t="shared" si="27"/>
        <v>0</v>
      </c>
      <c r="BJ15" s="26">
        <f t="shared" si="28"/>
        <v>0</v>
      </c>
      <c r="BK15" s="586">
        <f t="shared" si="29"/>
        <v>0</v>
      </c>
      <c r="BL15" s="26">
        <f t="shared" si="30"/>
        <v>0</v>
      </c>
      <c r="BM15" s="26">
        <f t="shared" si="31"/>
        <v>0</v>
      </c>
      <c r="BN15" s="586" t="str">
        <f>IFERROR(AVERAGE(#REF!),"  ")</f>
        <v xml:space="preserve">  </v>
      </c>
      <c r="BO15" s="572">
        <f t="shared" si="32"/>
        <v>0</v>
      </c>
      <c r="BP15" s="572">
        <f t="shared" si="33"/>
        <v>0</v>
      </c>
      <c r="BQ15" s="586" t="str">
        <f>IFERROR(AVERAGE(#REF!),"  ")</f>
        <v xml:space="preserve">  </v>
      </c>
    </row>
    <row r="16" spans="1:69" ht="24.95" customHeight="1" x14ac:dyDescent="0.2">
      <c r="A16" s="574">
        <v>8</v>
      </c>
      <c r="B16" s="518" t="str">
        <f>dtsiswa!D14</f>
        <v>Aulia Dea Rosalinda</v>
      </c>
      <c r="C16" s="578" t="s">
        <v>4</v>
      </c>
      <c r="D16" s="22"/>
      <c r="E16" s="22"/>
      <c r="F16" s="22"/>
      <c r="G16" s="22"/>
      <c r="H16" s="22"/>
      <c r="I16" s="283"/>
      <c r="J16" s="584" t="str">
        <f t="shared" si="0"/>
        <v xml:space="preserve">  </v>
      </c>
      <c r="K16" s="23"/>
      <c r="L16" s="23"/>
      <c r="M16" s="23"/>
      <c r="N16" s="23"/>
      <c r="O16" s="584" t="str">
        <f t="shared" si="1"/>
        <v xml:space="preserve">  </v>
      </c>
      <c r="P16" s="23"/>
      <c r="Q16" s="23"/>
      <c r="R16" s="283"/>
      <c r="S16" s="283"/>
      <c r="T16" s="584" t="str">
        <f t="shared" si="2"/>
        <v xml:space="preserve">  </v>
      </c>
      <c r="U16" s="283"/>
      <c r="V16" s="283"/>
      <c r="W16" s="283"/>
      <c r="X16" s="283"/>
      <c r="Y16" s="584" t="str">
        <f t="shared" si="3"/>
        <v xml:space="preserve">  </v>
      </c>
      <c r="Z16" s="519">
        <f t="shared" si="34"/>
        <v>0</v>
      </c>
      <c r="AA16" s="519">
        <f t="shared" si="35"/>
        <v>0</v>
      </c>
      <c r="AB16" s="519">
        <f t="shared" si="36"/>
        <v>0</v>
      </c>
      <c r="AC16" s="519">
        <f t="shared" si="37"/>
        <v>0</v>
      </c>
      <c r="AD16" s="519">
        <f t="shared" si="38"/>
        <v>0</v>
      </c>
      <c r="AE16" s="21">
        <f t="shared" si="39"/>
        <v>0</v>
      </c>
      <c r="AF16" s="585">
        <f t="shared" si="40"/>
        <v>0</v>
      </c>
      <c r="AG16" s="585">
        <f t="shared" si="41"/>
        <v>0</v>
      </c>
      <c r="AH16" s="585">
        <f t="shared" si="42"/>
        <v>0</v>
      </c>
      <c r="AI16" s="585">
        <f t="shared" si="43"/>
        <v>0</v>
      </c>
      <c r="AJ16" s="585">
        <f t="shared" si="44"/>
        <v>0</v>
      </c>
      <c r="AK16" s="21">
        <f t="shared" si="45"/>
        <v>0</v>
      </c>
      <c r="AL16" s="565">
        <f t="shared" si="6"/>
        <v>0</v>
      </c>
      <c r="AM16" s="565">
        <f t="shared" si="7"/>
        <v>0</v>
      </c>
      <c r="AN16" s="565">
        <f t="shared" si="8"/>
        <v>0</v>
      </c>
      <c r="AO16" s="565">
        <f t="shared" si="9"/>
        <v>0</v>
      </c>
      <c r="AP16" s="565">
        <f t="shared" si="10"/>
        <v>0</v>
      </c>
      <c r="AQ16" s="529">
        <f t="shared" si="11"/>
        <v>0</v>
      </c>
      <c r="AR16" s="532">
        <f t="shared" si="12"/>
        <v>0</v>
      </c>
      <c r="AS16" s="26">
        <f t="shared" si="13"/>
        <v>0</v>
      </c>
      <c r="AT16" s="26">
        <f t="shared" si="14"/>
        <v>0</v>
      </c>
      <c r="AU16" s="586">
        <f t="shared" si="15"/>
        <v>0</v>
      </c>
      <c r="AV16" s="26">
        <f t="shared" si="16"/>
        <v>0</v>
      </c>
      <c r="AW16" s="26">
        <f t="shared" si="17"/>
        <v>0</v>
      </c>
      <c r="AX16" s="586">
        <f t="shared" si="18"/>
        <v>0</v>
      </c>
      <c r="AY16" s="26">
        <f t="shared" si="19"/>
        <v>0</v>
      </c>
      <c r="AZ16" s="26">
        <f t="shared" si="20"/>
        <v>0</v>
      </c>
      <c r="BA16" s="586">
        <f t="shared" si="21"/>
        <v>0</v>
      </c>
      <c r="BB16" s="901">
        <f t="shared" si="22"/>
        <v>0</v>
      </c>
      <c r="BC16" s="901">
        <f t="shared" si="23"/>
        <v>0</v>
      </c>
      <c r="BD16" s="943">
        <f t="shared" si="46"/>
        <v>0</v>
      </c>
      <c r="BE16" s="942">
        <f t="shared" si="24"/>
        <v>0</v>
      </c>
      <c r="BF16" s="26">
        <f t="shared" si="25"/>
        <v>0</v>
      </c>
      <c r="BG16" s="26">
        <f t="shared" si="26"/>
        <v>0</v>
      </c>
      <c r="BH16" s="586">
        <f t="shared" si="47"/>
        <v>0</v>
      </c>
      <c r="BI16" s="26">
        <f t="shared" si="27"/>
        <v>0</v>
      </c>
      <c r="BJ16" s="26">
        <f t="shared" si="28"/>
        <v>0</v>
      </c>
      <c r="BK16" s="586">
        <f t="shared" si="29"/>
        <v>0</v>
      </c>
      <c r="BL16" s="26">
        <f t="shared" si="30"/>
        <v>0</v>
      </c>
      <c r="BM16" s="26">
        <f t="shared" si="31"/>
        <v>0</v>
      </c>
      <c r="BN16" s="586" t="str">
        <f>IFERROR(AVERAGE(#REF!),"  ")</f>
        <v xml:space="preserve">  </v>
      </c>
      <c r="BO16" s="572">
        <f t="shared" si="32"/>
        <v>0</v>
      </c>
      <c r="BP16" s="572">
        <f t="shared" si="33"/>
        <v>0</v>
      </c>
      <c r="BQ16" s="586" t="str">
        <f>IFERROR(AVERAGE(#REF!),"  ")</f>
        <v xml:space="preserve">  </v>
      </c>
    </row>
    <row r="17" spans="1:69" ht="24.95" customHeight="1" x14ac:dyDescent="0.2">
      <c r="A17" s="574">
        <v>9</v>
      </c>
      <c r="B17" s="518" t="str">
        <f>dtsiswa!D15</f>
        <v>Claudia Gabriella L</v>
      </c>
      <c r="C17" s="578" t="s">
        <v>4</v>
      </c>
      <c r="D17" s="22"/>
      <c r="E17" s="22"/>
      <c r="F17" s="22"/>
      <c r="G17" s="22"/>
      <c r="H17" s="22"/>
      <c r="I17" s="22"/>
      <c r="J17" s="584" t="str">
        <f t="shared" si="0"/>
        <v xml:space="preserve">  </v>
      </c>
      <c r="K17" s="23"/>
      <c r="L17" s="23"/>
      <c r="M17" s="23"/>
      <c r="N17" s="23"/>
      <c r="O17" s="584" t="str">
        <f t="shared" si="1"/>
        <v xml:space="preserve">  </v>
      </c>
      <c r="P17" s="23"/>
      <c r="Q17" s="23"/>
      <c r="R17" s="283"/>
      <c r="S17" s="283"/>
      <c r="T17" s="584" t="str">
        <f t="shared" si="2"/>
        <v xml:space="preserve">  </v>
      </c>
      <c r="U17" s="283"/>
      <c r="V17" s="283"/>
      <c r="W17" s="283"/>
      <c r="X17" s="283"/>
      <c r="Y17" s="584" t="str">
        <f t="shared" si="3"/>
        <v xml:space="preserve">  </v>
      </c>
      <c r="Z17" s="519">
        <f t="shared" si="34"/>
        <v>0</v>
      </c>
      <c r="AA17" s="519">
        <f t="shared" si="35"/>
        <v>0</v>
      </c>
      <c r="AB17" s="519">
        <f t="shared" si="36"/>
        <v>0</v>
      </c>
      <c r="AC17" s="519">
        <f t="shared" si="37"/>
        <v>0</v>
      </c>
      <c r="AD17" s="519">
        <f t="shared" si="38"/>
        <v>0</v>
      </c>
      <c r="AE17" s="21">
        <f t="shared" si="39"/>
        <v>0</v>
      </c>
      <c r="AF17" s="585">
        <f t="shared" si="40"/>
        <v>0</v>
      </c>
      <c r="AG17" s="585">
        <f t="shared" si="41"/>
        <v>0</v>
      </c>
      <c r="AH17" s="585">
        <f t="shared" si="42"/>
        <v>0</v>
      </c>
      <c r="AI17" s="585">
        <f t="shared" si="43"/>
        <v>0</v>
      </c>
      <c r="AJ17" s="585">
        <f t="shared" si="44"/>
        <v>0</v>
      </c>
      <c r="AK17" s="21">
        <f t="shared" si="45"/>
        <v>0</v>
      </c>
      <c r="AL17" s="565">
        <f t="shared" si="6"/>
        <v>0</v>
      </c>
      <c r="AM17" s="565">
        <f t="shared" si="7"/>
        <v>0</v>
      </c>
      <c r="AN17" s="565">
        <f t="shared" si="8"/>
        <v>0</v>
      </c>
      <c r="AO17" s="565">
        <f t="shared" si="9"/>
        <v>0</v>
      </c>
      <c r="AP17" s="565">
        <f t="shared" si="10"/>
        <v>0</v>
      </c>
      <c r="AQ17" s="529">
        <f t="shared" si="11"/>
        <v>0</v>
      </c>
      <c r="AR17" s="532">
        <f t="shared" si="12"/>
        <v>0</v>
      </c>
      <c r="AS17" s="26">
        <f t="shared" si="13"/>
        <v>0</v>
      </c>
      <c r="AT17" s="26">
        <f t="shared" si="14"/>
        <v>0</v>
      </c>
      <c r="AU17" s="586">
        <f t="shared" si="15"/>
        <v>0</v>
      </c>
      <c r="AV17" s="26">
        <f t="shared" si="16"/>
        <v>0</v>
      </c>
      <c r="AW17" s="26">
        <f t="shared" si="17"/>
        <v>0</v>
      </c>
      <c r="AX17" s="586">
        <f t="shared" si="18"/>
        <v>0</v>
      </c>
      <c r="AY17" s="26">
        <f t="shared" si="19"/>
        <v>0</v>
      </c>
      <c r="AZ17" s="26">
        <f t="shared" si="20"/>
        <v>0</v>
      </c>
      <c r="BA17" s="586">
        <f t="shared" si="21"/>
        <v>0</v>
      </c>
      <c r="BB17" s="901">
        <f t="shared" si="22"/>
        <v>0</v>
      </c>
      <c r="BC17" s="901">
        <f t="shared" si="23"/>
        <v>0</v>
      </c>
      <c r="BD17" s="943">
        <f t="shared" si="46"/>
        <v>0</v>
      </c>
      <c r="BE17" s="942">
        <f t="shared" si="24"/>
        <v>0</v>
      </c>
      <c r="BF17" s="26">
        <f t="shared" si="25"/>
        <v>0</v>
      </c>
      <c r="BG17" s="26">
        <f t="shared" si="26"/>
        <v>0</v>
      </c>
      <c r="BH17" s="586">
        <f t="shared" si="47"/>
        <v>0</v>
      </c>
      <c r="BI17" s="26">
        <f t="shared" si="27"/>
        <v>0</v>
      </c>
      <c r="BJ17" s="26">
        <f t="shared" si="28"/>
        <v>0</v>
      </c>
      <c r="BK17" s="586">
        <f t="shared" si="29"/>
        <v>0</v>
      </c>
      <c r="BL17" s="26">
        <f t="shared" si="30"/>
        <v>0</v>
      </c>
      <c r="BM17" s="26">
        <f t="shared" si="31"/>
        <v>0</v>
      </c>
      <c r="BN17" s="586" t="str">
        <f>IFERROR(AVERAGE(#REF!),"  ")</f>
        <v xml:space="preserve">  </v>
      </c>
      <c r="BO17" s="572">
        <f t="shared" si="32"/>
        <v>0</v>
      </c>
      <c r="BP17" s="572">
        <f t="shared" si="33"/>
        <v>0</v>
      </c>
      <c r="BQ17" s="586" t="str">
        <f>IFERROR(AVERAGE(#REF!),"  ")</f>
        <v xml:space="preserve">  </v>
      </c>
    </row>
    <row r="18" spans="1:69" ht="24.95" customHeight="1" x14ac:dyDescent="0.2">
      <c r="A18" s="574">
        <v>10</v>
      </c>
      <c r="B18" s="518" t="str">
        <f>dtsiswa!D16</f>
        <v xml:space="preserve">Deco Badarus Zaman </v>
      </c>
      <c r="C18" s="578" t="s">
        <v>4</v>
      </c>
      <c r="D18" s="22"/>
      <c r="E18" s="22"/>
      <c r="F18" s="22"/>
      <c r="G18" s="22"/>
      <c r="H18" s="22"/>
      <c r="I18" s="22"/>
      <c r="J18" s="584" t="str">
        <f t="shared" si="0"/>
        <v xml:space="preserve">  </v>
      </c>
      <c r="K18" s="23"/>
      <c r="L18" s="23"/>
      <c r="M18" s="23"/>
      <c r="N18" s="23"/>
      <c r="O18" s="584" t="str">
        <f t="shared" si="1"/>
        <v xml:space="preserve">  </v>
      </c>
      <c r="P18" s="23"/>
      <c r="Q18" s="23"/>
      <c r="R18" s="283"/>
      <c r="S18" s="283"/>
      <c r="T18" s="584" t="str">
        <f t="shared" si="2"/>
        <v xml:space="preserve">  </v>
      </c>
      <c r="U18" s="283"/>
      <c r="V18" s="283"/>
      <c r="W18" s="283"/>
      <c r="X18" s="283"/>
      <c r="Y18" s="584" t="str">
        <f t="shared" si="3"/>
        <v xml:space="preserve">  </v>
      </c>
      <c r="Z18" s="519">
        <f t="shared" si="34"/>
        <v>0</v>
      </c>
      <c r="AA18" s="519">
        <f t="shared" si="35"/>
        <v>0</v>
      </c>
      <c r="AB18" s="519">
        <f t="shared" si="36"/>
        <v>0</v>
      </c>
      <c r="AC18" s="519">
        <f t="shared" si="37"/>
        <v>0</v>
      </c>
      <c r="AD18" s="519">
        <f t="shared" si="38"/>
        <v>0</v>
      </c>
      <c r="AE18" s="21">
        <f t="shared" si="39"/>
        <v>0</v>
      </c>
      <c r="AF18" s="585">
        <f t="shared" si="40"/>
        <v>0</v>
      </c>
      <c r="AG18" s="585">
        <f t="shared" si="41"/>
        <v>0</v>
      </c>
      <c r="AH18" s="585">
        <f t="shared" si="42"/>
        <v>0</v>
      </c>
      <c r="AI18" s="585">
        <f t="shared" si="43"/>
        <v>0</v>
      </c>
      <c r="AJ18" s="585">
        <f t="shared" si="44"/>
        <v>0</v>
      </c>
      <c r="AK18" s="21">
        <f t="shared" si="45"/>
        <v>0</v>
      </c>
      <c r="AL18" s="565">
        <f t="shared" si="6"/>
        <v>0</v>
      </c>
      <c r="AM18" s="565">
        <f t="shared" si="7"/>
        <v>0</v>
      </c>
      <c r="AN18" s="565">
        <f t="shared" si="8"/>
        <v>0</v>
      </c>
      <c r="AO18" s="565">
        <f t="shared" si="9"/>
        <v>0</v>
      </c>
      <c r="AP18" s="565">
        <f t="shared" si="10"/>
        <v>0</v>
      </c>
      <c r="AQ18" s="529">
        <f t="shared" si="11"/>
        <v>0</v>
      </c>
      <c r="AR18" s="532">
        <f t="shared" si="12"/>
        <v>0</v>
      </c>
      <c r="AS18" s="26">
        <f t="shared" si="13"/>
        <v>0</v>
      </c>
      <c r="AT18" s="26">
        <f t="shared" si="14"/>
        <v>0</v>
      </c>
      <c r="AU18" s="586">
        <f t="shared" si="15"/>
        <v>0</v>
      </c>
      <c r="AV18" s="26">
        <f t="shared" si="16"/>
        <v>0</v>
      </c>
      <c r="AW18" s="26">
        <f t="shared" si="17"/>
        <v>0</v>
      </c>
      <c r="AX18" s="586">
        <f t="shared" si="18"/>
        <v>0</v>
      </c>
      <c r="AY18" s="26">
        <f t="shared" si="19"/>
        <v>0</v>
      </c>
      <c r="AZ18" s="26">
        <f t="shared" si="20"/>
        <v>0</v>
      </c>
      <c r="BA18" s="586">
        <f t="shared" si="21"/>
        <v>0</v>
      </c>
      <c r="BB18" s="901">
        <f t="shared" si="22"/>
        <v>0</v>
      </c>
      <c r="BC18" s="901">
        <f t="shared" si="23"/>
        <v>0</v>
      </c>
      <c r="BD18" s="943">
        <f t="shared" si="46"/>
        <v>0</v>
      </c>
      <c r="BE18" s="942">
        <f t="shared" si="24"/>
        <v>0</v>
      </c>
      <c r="BF18" s="26">
        <f t="shared" si="25"/>
        <v>0</v>
      </c>
      <c r="BG18" s="26">
        <f t="shared" si="26"/>
        <v>0</v>
      </c>
      <c r="BH18" s="586">
        <f t="shared" si="47"/>
        <v>0</v>
      </c>
      <c r="BI18" s="26">
        <f t="shared" si="27"/>
        <v>0</v>
      </c>
      <c r="BJ18" s="26">
        <f t="shared" si="28"/>
        <v>0</v>
      </c>
      <c r="BK18" s="586">
        <f t="shared" si="29"/>
        <v>0</v>
      </c>
      <c r="BL18" s="26">
        <f t="shared" si="30"/>
        <v>0</v>
      </c>
      <c r="BM18" s="26">
        <f t="shared" si="31"/>
        <v>0</v>
      </c>
      <c r="BN18" s="586" t="str">
        <f>IFERROR(AVERAGE(#REF!),"  ")</f>
        <v xml:space="preserve">  </v>
      </c>
      <c r="BO18" s="572">
        <f t="shared" si="32"/>
        <v>0</v>
      </c>
      <c r="BP18" s="572">
        <f t="shared" si="33"/>
        <v>0</v>
      </c>
      <c r="BQ18" s="586" t="str">
        <f>IFERROR(AVERAGE(#REF!),"  ")</f>
        <v xml:space="preserve">  </v>
      </c>
    </row>
    <row r="19" spans="1:69" ht="24.95" customHeight="1" x14ac:dyDescent="0.2">
      <c r="A19" s="574">
        <v>11</v>
      </c>
      <c r="B19" s="518" t="str">
        <f>dtsiswa!D17</f>
        <v>Fania Mutiara Felichia</v>
      </c>
      <c r="C19" s="578" t="s">
        <v>4</v>
      </c>
      <c r="D19" s="22"/>
      <c r="E19" s="22"/>
      <c r="F19" s="22"/>
      <c r="G19" s="22"/>
      <c r="H19" s="22"/>
      <c r="I19" s="22"/>
      <c r="J19" s="584" t="str">
        <f t="shared" si="0"/>
        <v xml:space="preserve">  </v>
      </c>
      <c r="K19" s="23"/>
      <c r="L19" s="23"/>
      <c r="M19" s="23"/>
      <c r="N19" s="23"/>
      <c r="O19" s="584" t="str">
        <f t="shared" si="1"/>
        <v xml:space="preserve">  </v>
      </c>
      <c r="P19" s="23"/>
      <c r="Q19" s="23"/>
      <c r="R19" s="283"/>
      <c r="S19" s="283"/>
      <c r="T19" s="584" t="str">
        <f t="shared" si="2"/>
        <v xml:space="preserve">  </v>
      </c>
      <c r="U19" s="283"/>
      <c r="V19" s="283"/>
      <c r="W19" s="283"/>
      <c r="X19" s="283"/>
      <c r="Y19" s="584" t="str">
        <f t="shared" si="3"/>
        <v xml:space="preserve">  </v>
      </c>
      <c r="Z19" s="519">
        <f t="shared" si="34"/>
        <v>0</v>
      </c>
      <c r="AA19" s="519">
        <f t="shared" si="35"/>
        <v>0</v>
      </c>
      <c r="AB19" s="519">
        <f t="shared" si="36"/>
        <v>0</v>
      </c>
      <c r="AC19" s="519">
        <f t="shared" si="37"/>
        <v>0</v>
      </c>
      <c r="AD19" s="519">
        <f t="shared" si="38"/>
        <v>0</v>
      </c>
      <c r="AE19" s="21">
        <f t="shared" si="39"/>
        <v>0</v>
      </c>
      <c r="AF19" s="585">
        <f t="shared" si="40"/>
        <v>0</v>
      </c>
      <c r="AG19" s="585">
        <f t="shared" si="41"/>
        <v>0</v>
      </c>
      <c r="AH19" s="585">
        <f t="shared" si="42"/>
        <v>0</v>
      </c>
      <c r="AI19" s="585">
        <f t="shared" si="43"/>
        <v>0</v>
      </c>
      <c r="AJ19" s="585">
        <f t="shared" si="44"/>
        <v>0</v>
      </c>
      <c r="AK19" s="21">
        <f t="shared" si="45"/>
        <v>0</v>
      </c>
      <c r="AL19" s="565">
        <f t="shared" si="6"/>
        <v>0</v>
      </c>
      <c r="AM19" s="565">
        <f t="shared" si="7"/>
        <v>0</v>
      </c>
      <c r="AN19" s="565">
        <f t="shared" si="8"/>
        <v>0</v>
      </c>
      <c r="AO19" s="565">
        <f t="shared" si="9"/>
        <v>0</v>
      </c>
      <c r="AP19" s="565">
        <f t="shared" si="10"/>
        <v>0</v>
      </c>
      <c r="AQ19" s="529">
        <f t="shared" si="11"/>
        <v>0</v>
      </c>
      <c r="AR19" s="532">
        <f t="shared" si="12"/>
        <v>0</v>
      </c>
      <c r="AS19" s="26">
        <f t="shared" si="13"/>
        <v>0</v>
      </c>
      <c r="AT19" s="26">
        <f t="shared" si="14"/>
        <v>0</v>
      </c>
      <c r="AU19" s="586">
        <f t="shared" si="15"/>
        <v>0</v>
      </c>
      <c r="AV19" s="26">
        <f t="shared" si="16"/>
        <v>0</v>
      </c>
      <c r="AW19" s="26">
        <f t="shared" si="17"/>
        <v>0</v>
      </c>
      <c r="AX19" s="586">
        <f t="shared" si="18"/>
        <v>0</v>
      </c>
      <c r="AY19" s="26">
        <f t="shared" si="19"/>
        <v>0</v>
      </c>
      <c r="AZ19" s="26">
        <f t="shared" si="20"/>
        <v>0</v>
      </c>
      <c r="BA19" s="586">
        <f t="shared" si="21"/>
        <v>0</v>
      </c>
      <c r="BB19" s="901">
        <f t="shared" si="22"/>
        <v>0</v>
      </c>
      <c r="BC19" s="901">
        <f t="shared" si="23"/>
        <v>0</v>
      </c>
      <c r="BD19" s="943">
        <f t="shared" si="46"/>
        <v>0</v>
      </c>
      <c r="BE19" s="942">
        <f t="shared" si="24"/>
        <v>0</v>
      </c>
      <c r="BF19" s="26">
        <f t="shared" si="25"/>
        <v>0</v>
      </c>
      <c r="BG19" s="26">
        <f t="shared" si="26"/>
        <v>0</v>
      </c>
      <c r="BH19" s="586">
        <f t="shared" si="47"/>
        <v>0</v>
      </c>
      <c r="BI19" s="26">
        <f t="shared" si="27"/>
        <v>0</v>
      </c>
      <c r="BJ19" s="26">
        <f t="shared" si="28"/>
        <v>0</v>
      </c>
      <c r="BK19" s="586">
        <f t="shared" si="29"/>
        <v>0</v>
      </c>
      <c r="BL19" s="26">
        <f t="shared" si="30"/>
        <v>0</v>
      </c>
      <c r="BM19" s="26">
        <f t="shared" si="31"/>
        <v>0</v>
      </c>
      <c r="BN19" s="586" t="str">
        <f>IFERROR(AVERAGE(#REF!),"  ")</f>
        <v xml:space="preserve">  </v>
      </c>
      <c r="BO19" s="572">
        <f t="shared" si="32"/>
        <v>0</v>
      </c>
      <c r="BP19" s="572">
        <f t="shared" si="33"/>
        <v>0</v>
      </c>
      <c r="BQ19" s="586" t="str">
        <f>IFERROR(AVERAGE(#REF!),"  ")</f>
        <v xml:space="preserve">  </v>
      </c>
    </row>
    <row r="20" spans="1:69" ht="24.95" customHeight="1" x14ac:dyDescent="0.2">
      <c r="A20" s="574">
        <v>12</v>
      </c>
      <c r="B20" s="518" t="str">
        <f>dtsiswa!D18</f>
        <v>Intan Dyah Nowari</v>
      </c>
      <c r="C20" s="578" t="s">
        <v>4</v>
      </c>
      <c r="D20" s="22"/>
      <c r="E20" s="22"/>
      <c r="F20" s="22"/>
      <c r="G20" s="22"/>
      <c r="H20" s="22"/>
      <c r="I20" s="22"/>
      <c r="J20" s="584" t="str">
        <f t="shared" si="0"/>
        <v xml:space="preserve">  </v>
      </c>
      <c r="K20" s="23"/>
      <c r="L20" s="23"/>
      <c r="M20" s="23"/>
      <c r="N20" s="23"/>
      <c r="O20" s="584" t="str">
        <f t="shared" si="1"/>
        <v xml:space="preserve">  </v>
      </c>
      <c r="P20" s="23"/>
      <c r="Q20" s="23"/>
      <c r="R20" s="283"/>
      <c r="S20" s="283"/>
      <c r="T20" s="584" t="str">
        <f t="shared" si="2"/>
        <v xml:space="preserve">  </v>
      </c>
      <c r="U20" s="283"/>
      <c r="V20" s="283"/>
      <c r="W20" s="283"/>
      <c r="X20" s="283"/>
      <c r="Y20" s="584" t="str">
        <f t="shared" si="3"/>
        <v xml:space="preserve">  </v>
      </c>
      <c r="Z20" s="519">
        <f t="shared" si="34"/>
        <v>0</v>
      </c>
      <c r="AA20" s="519">
        <f t="shared" si="35"/>
        <v>0</v>
      </c>
      <c r="AB20" s="519">
        <f t="shared" si="36"/>
        <v>0</v>
      </c>
      <c r="AC20" s="519">
        <f t="shared" si="37"/>
        <v>0</v>
      </c>
      <c r="AD20" s="519">
        <f t="shared" si="38"/>
        <v>0</v>
      </c>
      <c r="AE20" s="21">
        <f t="shared" si="39"/>
        <v>0</v>
      </c>
      <c r="AF20" s="585">
        <f t="shared" si="40"/>
        <v>0</v>
      </c>
      <c r="AG20" s="585">
        <f t="shared" si="41"/>
        <v>0</v>
      </c>
      <c r="AH20" s="585">
        <f t="shared" si="42"/>
        <v>0</v>
      </c>
      <c r="AI20" s="585">
        <f t="shared" si="43"/>
        <v>0</v>
      </c>
      <c r="AJ20" s="585">
        <f t="shared" si="44"/>
        <v>0</v>
      </c>
      <c r="AK20" s="21">
        <f t="shared" si="45"/>
        <v>0</v>
      </c>
      <c r="AL20" s="565">
        <f t="shared" si="6"/>
        <v>0</v>
      </c>
      <c r="AM20" s="565">
        <f t="shared" si="7"/>
        <v>0</v>
      </c>
      <c r="AN20" s="565">
        <f t="shared" si="8"/>
        <v>0</v>
      </c>
      <c r="AO20" s="565">
        <f t="shared" si="9"/>
        <v>0</v>
      </c>
      <c r="AP20" s="565">
        <f t="shared" si="10"/>
        <v>0</v>
      </c>
      <c r="AQ20" s="529">
        <f t="shared" si="11"/>
        <v>0</v>
      </c>
      <c r="AR20" s="532">
        <f t="shared" si="12"/>
        <v>0</v>
      </c>
      <c r="AS20" s="26">
        <f t="shared" si="13"/>
        <v>0</v>
      </c>
      <c r="AT20" s="26">
        <f t="shared" si="14"/>
        <v>0</v>
      </c>
      <c r="AU20" s="586">
        <f t="shared" si="15"/>
        <v>0</v>
      </c>
      <c r="AV20" s="26">
        <f t="shared" si="16"/>
        <v>0</v>
      </c>
      <c r="AW20" s="26">
        <f t="shared" si="17"/>
        <v>0</v>
      </c>
      <c r="AX20" s="586">
        <f t="shared" si="18"/>
        <v>0</v>
      </c>
      <c r="AY20" s="26">
        <f t="shared" si="19"/>
        <v>0</v>
      </c>
      <c r="AZ20" s="26">
        <f t="shared" si="20"/>
        <v>0</v>
      </c>
      <c r="BA20" s="586">
        <f t="shared" si="21"/>
        <v>0</v>
      </c>
      <c r="BB20" s="901">
        <f t="shared" si="22"/>
        <v>0</v>
      </c>
      <c r="BC20" s="901">
        <f t="shared" si="23"/>
        <v>0</v>
      </c>
      <c r="BD20" s="943">
        <f t="shared" si="46"/>
        <v>0</v>
      </c>
      <c r="BE20" s="942">
        <f t="shared" si="24"/>
        <v>0</v>
      </c>
      <c r="BF20" s="26">
        <f t="shared" si="25"/>
        <v>0</v>
      </c>
      <c r="BG20" s="26">
        <f t="shared" si="26"/>
        <v>0</v>
      </c>
      <c r="BH20" s="586">
        <f t="shared" si="47"/>
        <v>0</v>
      </c>
      <c r="BI20" s="26">
        <f t="shared" si="27"/>
        <v>0</v>
      </c>
      <c r="BJ20" s="26">
        <f t="shared" si="28"/>
        <v>0</v>
      </c>
      <c r="BK20" s="586">
        <f t="shared" si="29"/>
        <v>0</v>
      </c>
      <c r="BL20" s="26">
        <f t="shared" si="30"/>
        <v>0</v>
      </c>
      <c r="BM20" s="26">
        <f t="shared" si="31"/>
        <v>0</v>
      </c>
      <c r="BN20" s="586" t="str">
        <f>IFERROR(AVERAGE(#REF!),"  ")</f>
        <v xml:space="preserve">  </v>
      </c>
      <c r="BO20" s="572">
        <f t="shared" si="32"/>
        <v>0</v>
      </c>
      <c r="BP20" s="572">
        <f t="shared" si="33"/>
        <v>0</v>
      </c>
      <c r="BQ20" s="586" t="str">
        <f>IFERROR(AVERAGE(#REF!),"  ")</f>
        <v xml:space="preserve">  </v>
      </c>
    </row>
    <row r="21" spans="1:69" ht="24.95" customHeight="1" x14ac:dyDescent="0.2">
      <c r="A21" s="574">
        <v>13</v>
      </c>
      <c r="B21" s="518" t="str">
        <f>dtsiswa!D19</f>
        <v>Misyanita Nurfitri S</v>
      </c>
      <c r="C21" s="578" t="s">
        <v>5</v>
      </c>
      <c r="D21" s="22"/>
      <c r="E21" s="22"/>
      <c r="F21" s="22"/>
      <c r="G21" s="22"/>
      <c r="H21" s="22"/>
      <c r="I21" s="22"/>
      <c r="J21" s="584" t="str">
        <f t="shared" si="0"/>
        <v xml:space="preserve">  </v>
      </c>
      <c r="K21" s="23"/>
      <c r="L21" s="23"/>
      <c r="M21" s="23"/>
      <c r="N21" s="23"/>
      <c r="O21" s="584" t="str">
        <f t="shared" si="1"/>
        <v xml:space="preserve">  </v>
      </c>
      <c r="P21" s="23"/>
      <c r="Q21" s="23"/>
      <c r="R21" s="283"/>
      <c r="S21" s="283"/>
      <c r="T21" s="584" t="str">
        <f t="shared" si="2"/>
        <v xml:space="preserve">  </v>
      </c>
      <c r="U21" s="283"/>
      <c r="V21" s="283"/>
      <c r="W21" s="283"/>
      <c r="X21" s="283"/>
      <c r="Y21" s="584" t="str">
        <f t="shared" si="3"/>
        <v xml:space="preserve">  </v>
      </c>
      <c r="Z21" s="519">
        <f t="shared" si="34"/>
        <v>0</v>
      </c>
      <c r="AA21" s="519">
        <f t="shared" si="35"/>
        <v>0</v>
      </c>
      <c r="AB21" s="519">
        <f t="shared" si="36"/>
        <v>0</v>
      </c>
      <c r="AC21" s="519">
        <f t="shared" si="37"/>
        <v>0</v>
      </c>
      <c r="AD21" s="519">
        <f t="shared" si="38"/>
        <v>0</v>
      </c>
      <c r="AE21" s="21">
        <f t="shared" si="39"/>
        <v>0</v>
      </c>
      <c r="AF21" s="585">
        <f t="shared" si="40"/>
        <v>0</v>
      </c>
      <c r="AG21" s="585">
        <f t="shared" si="41"/>
        <v>0</v>
      </c>
      <c r="AH21" s="585">
        <f t="shared" si="42"/>
        <v>0</v>
      </c>
      <c r="AI21" s="585">
        <f t="shared" si="43"/>
        <v>0</v>
      </c>
      <c r="AJ21" s="585">
        <f t="shared" si="44"/>
        <v>0</v>
      </c>
      <c r="AK21" s="21">
        <f t="shared" si="45"/>
        <v>0</v>
      </c>
      <c r="AL21" s="565">
        <f t="shared" si="6"/>
        <v>0</v>
      </c>
      <c r="AM21" s="565">
        <f t="shared" si="7"/>
        <v>0</v>
      </c>
      <c r="AN21" s="565">
        <f t="shared" si="8"/>
        <v>0</v>
      </c>
      <c r="AO21" s="565">
        <f t="shared" si="9"/>
        <v>0</v>
      </c>
      <c r="AP21" s="565">
        <f t="shared" si="10"/>
        <v>0</v>
      </c>
      <c r="AQ21" s="529">
        <f t="shared" si="11"/>
        <v>0</v>
      </c>
      <c r="AR21" s="532">
        <f t="shared" si="12"/>
        <v>0</v>
      </c>
      <c r="AS21" s="26">
        <f t="shared" si="13"/>
        <v>0</v>
      </c>
      <c r="AT21" s="26">
        <f t="shared" si="14"/>
        <v>0</v>
      </c>
      <c r="AU21" s="586">
        <f t="shared" si="15"/>
        <v>0</v>
      </c>
      <c r="AV21" s="26">
        <f t="shared" si="16"/>
        <v>0</v>
      </c>
      <c r="AW21" s="26">
        <f t="shared" si="17"/>
        <v>0</v>
      </c>
      <c r="AX21" s="586">
        <f t="shared" si="18"/>
        <v>0</v>
      </c>
      <c r="AY21" s="26">
        <f t="shared" si="19"/>
        <v>0</v>
      </c>
      <c r="AZ21" s="26">
        <f t="shared" si="20"/>
        <v>0</v>
      </c>
      <c r="BA21" s="586">
        <f t="shared" si="21"/>
        <v>0</v>
      </c>
      <c r="BB21" s="901">
        <f t="shared" si="22"/>
        <v>0</v>
      </c>
      <c r="BC21" s="901">
        <f t="shared" si="23"/>
        <v>0</v>
      </c>
      <c r="BD21" s="943">
        <f t="shared" si="46"/>
        <v>0</v>
      </c>
      <c r="BE21" s="942">
        <f t="shared" si="24"/>
        <v>0</v>
      </c>
      <c r="BF21" s="26">
        <f t="shared" si="25"/>
        <v>0</v>
      </c>
      <c r="BG21" s="26">
        <f t="shared" si="26"/>
        <v>0</v>
      </c>
      <c r="BH21" s="586">
        <f t="shared" si="47"/>
        <v>0</v>
      </c>
      <c r="BI21" s="26">
        <f t="shared" si="27"/>
        <v>0</v>
      </c>
      <c r="BJ21" s="26">
        <f t="shared" si="28"/>
        <v>0</v>
      </c>
      <c r="BK21" s="586">
        <f t="shared" si="29"/>
        <v>0</v>
      </c>
      <c r="BL21" s="26">
        <f t="shared" si="30"/>
        <v>0</v>
      </c>
      <c r="BM21" s="26">
        <f t="shared" si="31"/>
        <v>0</v>
      </c>
      <c r="BN21" s="586" t="str">
        <f>IFERROR(AVERAGE(#REF!),"  ")</f>
        <v xml:space="preserve">  </v>
      </c>
      <c r="BO21" s="572">
        <f t="shared" si="32"/>
        <v>0</v>
      </c>
      <c r="BP21" s="572">
        <f t="shared" si="33"/>
        <v>0</v>
      </c>
      <c r="BQ21" s="586" t="str">
        <f>IFERROR(AVERAGE(#REF!),"  ")</f>
        <v xml:space="preserve">  </v>
      </c>
    </row>
    <row r="22" spans="1:69" ht="24.95" customHeight="1" x14ac:dyDescent="0.2">
      <c r="A22" s="574">
        <v>14</v>
      </c>
      <c r="B22" s="518" t="str">
        <f>dtsiswa!D20</f>
        <v>Moch Zidane Hita L. U</v>
      </c>
      <c r="C22" s="578" t="s">
        <v>4</v>
      </c>
      <c r="D22" s="22"/>
      <c r="E22" s="22"/>
      <c r="F22" s="22"/>
      <c r="G22" s="22"/>
      <c r="H22" s="22"/>
      <c r="I22" s="22"/>
      <c r="J22" s="584" t="str">
        <f t="shared" si="0"/>
        <v xml:space="preserve">  </v>
      </c>
      <c r="K22" s="23"/>
      <c r="L22" s="23"/>
      <c r="M22" s="23"/>
      <c r="N22" s="23"/>
      <c r="O22" s="584" t="str">
        <f t="shared" si="1"/>
        <v xml:space="preserve">  </v>
      </c>
      <c r="P22" s="23"/>
      <c r="Q22" s="23"/>
      <c r="R22" s="283"/>
      <c r="S22" s="283"/>
      <c r="T22" s="584" t="str">
        <f t="shared" si="2"/>
        <v xml:space="preserve">  </v>
      </c>
      <c r="U22" s="283"/>
      <c r="V22" s="283"/>
      <c r="W22" s="283"/>
      <c r="X22" s="283"/>
      <c r="Y22" s="584" t="str">
        <f t="shared" si="3"/>
        <v xml:space="preserve">  </v>
      </c>
      <c r="Z22" s="519">
        <f t="shared" si="34"/>
        <v>0</v>
      </c>
      <c r="AA22" s="519">
        <f t="shared" si="35"/>
        <v>0</v>
      </c>
      <c r="AB22" s="519">
        <f t="shared" si="36"/>
        <v>0</v>
      </c>
      <c r="AC22" s="519">
        <f t="shared" si="37"/>
        <v>0</v>
      </c>
      <c r="AD22" s="519">
        <f t="shared" si="38"/>
        <v>0</v>
      </c>
      <c r="AE22" s="21">
        <f t="shared" si="39"/>
        <v>0</v>
      </c>
      <c r="AF22" s="585">
        <f t="shared" si="40"/>
        <v>0</v>
      </c>
      <c r="AG22" s="585">
        <f t="shared" si="41"/>
        <v>0</v>
      </c>
      <c r="AH22" s="585">
        <f t="shared" si="42"/>
        <v>0</v>
      </c>
      <c r="AI22" s="585">
        <f t="shared" si="43"/>
        <v>0</v>
      </c>
      <c r="AJ22" s="585">
        <f t="shared" si="44"/>
        <v>0</v>
      </c>
      <c r="AK22" s="21">
        <f t="shared" si="45"/>
        <v>0</v>
      </c>
      <c r="AL22" s="565">
        <f t="shared" si="6"/>
        <v>0</v>
      </c>
      <c r="AM22" s="565">
        <f t="shared" si="7"/>
        <v>0</v>
      </c>
      <c r="AN22" s="565">
        <f t="shared" si="8"/>
        <v>0</v>
      </c>
      <c r="AO22" s="565">
        <f t="shared" si="9"/>
        <v>0</v>
      </c>
      <c r="AP22" s="565">
        <f t="shared" si="10"/>
        <v>0</v>
      </c>
      <c r="AQ22" s="529">
        <f t="shared" si="11"/>
        <v>0</v>
      </c>
      <c r="AR22" s="532">
        <f t="shared" si="12"/>
        <v>0</v>
      </c>
      <c r="AS22" s="26">
        <f t="shared" si="13"/>
        <v>0</v>
      </c>
      <c r="AT22" s="26">
        <f t="shared" si="14"/>
        <v>0</v>
      </c>
      <c r="AU22" s="586">
        <f t="shared" si="15"/>
        <v>0</v>
      </c>
      <c r="AV22" s="26">
        <f t="shared" si="16"/>
        <v>0</v>
      </c>
      <c r="AW22" s="26">
        <f t="shared" si="17"/>
        <v>0</v>
      </c>
      <c r="AX22" s="586">
        <f t="shared" si="18"/>
        <v>0</v>
      </c>
      <c r="AY22" s="26">
        <f t="shared" si="19"/>
        <v>0</v>
      </c>
      <c r="AZ22" s="26">
        <f t="shared" si="20"/>
        <v>0</v>
      </c>
      <c r="BA22" s="586">
        <f t="shared" si="21"/>
        <v>0</v>
      </c>
      <c r="BB22" s="901">
        <f t="shared" si="22"/>
        <v>0</v>
      </c>
      <c r="BC22" s="901">
        <f t="shared" si="23"/>
        <v>0</v>
      </c>
      <c r="BD22" s="943">
        <f t="shared" si="46"/>
        <v>0</v>
      </c>
      <c r="BE22" s="942">
        <f t="shared" si="24"/>
        <v>0</v>
      </c>
      <c r="BF22" s="26">
        <f t="shared" si="25"/>
        <v>0</v>
      </c>
      <c r="BG22" s="26">
        <f t="shared" si="26"/>
        <v>0</v>
      </c>
      <c r="BH22" s="586">
        <f t="shared" si="47"/>
        <v>0</v>
      </c>
      <c r="BI22" s="26">
        <f t="shared" si="27"/>
        <v>0</v>
      </c>
      <c r="BJ22" s="26">
        <f t="shared" si="28"/>
        <v>0</v>
      </c>
      <c r="BK22" s="586">
        <f t="shared" si="29"/>
        <v>0</v>
      </c>
      <c r="BL22" s="26">
        <f t="shared" si="30"/>
        <v>0</v>
      </c>
      <c r="BM22" s="26">
        <f t="shared" si="31"/>
        <v>0</v>
      </c>
      <c r="BN22" s="586" t="str">
        <f>IFERROR(AVERAGE(#REF!),"  ")</f>
        <v xml:space="preserve">  </v>
      </c>
      <c r="BO22" s="572">
        <f t="shared" si="32"/>
        <v>0</v>
      </c>
      <c r="BP22" s="572">
        <f t="shared" si="33"/>
        <v>0</v>
      </c>
      <c r="BQ22" s="586" t="str">
        <f>IFERROR(AVERAGE(#REF!),"  ")</f>
        <v xml:space="preserve">  </v>
      </c>
    </row>
    <row r="23" spans="1:69" ht="24.95" customHeight="1" x14ac:dyDescent="0.2">
      <c r="A23" s="574">
        <v>15</v>
      </c>
      <c r="B23" s="518" t="str">
        <f>dtsiswa!D21</f>
        <v>Muhammad Ibra Maulana</v>
      </c>
      <c r="C23" s="578" t="s">
        <v>4</v>
      </c>
      <c r="D23" s="22"/>
      <c r="E23" s="22"/>
      <c r="F23" s="22"/>
      <c r="G23" s="22"/>
      <c r="H23" s="22"/>
      <c r="I23" s="22"/>
      <c r="J23" s="584" t="str">
        <f t="shared" si="0"/>
        <v xml:space="preserve">  </v>
      </c>
      <c r="K23" s="23"/>
      <c r="L23" s="23"/>
      <c r="M23" s="23"/>
      <c r="N23" s="23"/>
      <c r="O23" s="584" t="str">
        <f t="shared" si="1"/>
        <v xml:space="preserve">  </v>
      </c>
      <c r="P23" s="23"/>
      <c r="Q23" s="23"/>
      <c r="R23" s="283"/>
      <c r="S23" s="283"/>
      <c r="T23" s="584" t="str">
        <f t="shared" si="2"/>
        <v xml:space="preserve">  </v>
      </c>
      <c r="U23" s="283"/>
      <c r="V23" s="283"/>
      <c r="W23" s="283"/>
      <c r="X23" s="283"/>
      <c r="Y23" s="584" t="str">
        <f t="shared" si="3"/>
        <v xml:space="preserve">  </v>
      </c>
      <c r="Z23" s="519">
        <f t="shared" si="34"/>
        <v>0</v>
      </c>
      <c r="AA23" s="519">
        <f t="shared" si="35"/>
        <v>0</v>
      </c>
      <c r="AB23" s="519">
        <f t="shared" si="36"/>
        <v>0</v>
      </c>
      <c r="AC23" s="519">
        <f t="shared" si="37"/>
        <v>0</v>
      </c>
      <c r="AD23" s="519">
        <f t="shared" si="38"/>
        <v>0</v>
      </c>
      <c r="AE23" s="21">
        <f t="shared" si="39"/>
        <v>0</v>
      </c>
      <c r="AF23" s="585">
        <f t="shared" si="40"/>
        <v>0</v>
      </c>
      <c r="AG23" s="585">
        <f t="shared" si="41"/>
        <v>0</v>
      </c>
      <c r="AH23" s="585">
        <f t="shared" si="42"/>
        <v>0</v>
      </c>
      <c r="AI23" s="585">
        <f t="shared" si="43"/>
        <v>0</v>
      </c>
      <c r="AJ23" s="585">
        <f t="shared" si="44"/>
        <v>0</v>
      </c>
      <c r="AK23" s="21">
        <f t="shared" si="45"/>
        <v>0</v>
      </c>
      <c r="AL23" s="565">
        <f t="shared" si="6"/>
        <v>0</v>
      </c>
      <c r="AM23" s="565">
        <f t="shared" si="7"/>
        <v>0</v>
      </c>
      <c r="AN23" s="565">
        <f t="shared" si="8"/>
        <v>0</v>
      </c>
      <c r="AO23" s="565">
        <f t="shared" si="9"/>
        <v>0</v>
      </c>
      <c r="AP23" s="565">
        <f t="shared" si="10"/>
        <v>0</v>
      </c>
      <c r="AQ23" s="529">
        <f t="shared" si="11"/>
        <v>0</v>
      </c>
      <c r="AR23" s="532">
        <f t="shared" si="12"/>
        <v>0</v>
      </c>
      <c r="AS23" s="26">
        <f t="shared" si="13"/>
        <v>0</v>
      </c>
      <c r="AT23" s="26">
        <f t="shared" si="14"/>
        <v>0</v>
      </c>
      <c r="AU23" s="586">
        <f t="shared" si="15"/>
        <v>0</v>
      </c>
      <c r="AV23" s="26">
        <f t="shared" si="16"/>
        <v>0</v>
      </c>
      <c r="AW23" s="26">
        <f t="shared" si="17"/>
        <v>0</v>
      </c>
      <c r="AX23" s="586">
        <f t="shared" si="18"/>
        <v>0</v>
      </c>
      <c r="AY23" s="26">
        <f t="shared" si="19"/>
        <v>0</v>
      </c>
      <c r="AZ23" s="26">
        <f t="shared" si="20"/>
        <v>0</v>
      </c>
      <c r="BA23" s="586">
        <f t="shared" si="21"/>
        <v>0</v>
      </c>
      <c r="BB23" s="901">
        <f t="shared" si="22"/>
        <v>0</v>
      </c>
      <c r="BC23" s="901">
        <f t="shared" si="23"/>
        <v>0</v>
      </c>
      <c r="BD23" s="943">
        <f t="shared" si="46"/>
        <v>0</v>
      </c>
      <c r="BE23" s="942">
        <f t="shared" si="24"/>
        <v>0</v>
      </c>
      <c r="BF23" s="26">
        <f t="shared" si="25"/>
        <v>0</v>
      </c>
      <c r="BG23" s="26">
        <f t="shared" si="26"/>
        <v>0</v>
      </c>
      <c r="BH23" s="586">
        <f t="shared" si="47"/>
        <v>0</v>
      </c>
      <c r="BI23" s="26">
        <f t="shared" si="27"/>
        <v>0</v>
      </c>
      <c r="BJ23" s="26">
        <f t="shared" si="28"/>
        <v>0</v>
      </c>
      <c r="BK23" s="586">
        <f t="shared" si="29"/>
        <v>0</v>
      </c>
      <c r="BL23" s="26">
        <f t="shared" si="30"/>
        <v>0</v>
      </c>
      <c r="BM23" s="26">
        <f t="shared" si="31"/>
        <v>0</v>
      </c>
      <c r="BN23" s="586" t="str">
        <f>IFERROR(AVERAGE(#REF!),"  ")</f>
        <v xml:space="preserve">  </v>
      </c>
      <c r="BO23" s="572">
        <f t="shared" si="32"/>
        <v>0</v>
      </c>
      <c r="BP23" s="572">
        <f t="shared" si="33"/>
        <v>0</v>
      </c>
      <c r="BQ23" s="586" t="str">
        <f>IFERROR(AVERAGE(#REF!),"  ")</f>
        <v xml:space="preserve">  </v>
      </c>
    </row>
    <row r="24" spans="1:69" ht="24.95" customHeight="1" x14ac:dyDescent="0.2">
      <c r="A24" s="574">
        <v>16</v>
      </c>
      <c r="B24" s="518" t="str">
        <f>dtsiswa!D22</f>
        <v>Nabilla Shiva Putri</v>
      </c>
      <c r="C24" s="578" t="s">
        <v>4</v>
      </c>
      <c r="D24" s="22"/>
      <c r="E24" s="22"/>
      <c r="F24" s="22"/>
      <c r="G24" s="22"/>
      <c r="H24" s="22"/>
      <c r="I24" s="22"/>
      <c r="J24" s="584" t="str">
        <f t="shared" si="0"/>
        <v xml:space="preserve">  </v>
      </c>
      <c r="K24" s="23"/>
      <c r="L24" s="23"/>
      <c r="M24" s="23"/>
      <c r="N24" s="23"/>
      <c r="O24" s="584" t="str">
        <f t="shared" si="1"/>
        <v xml:space="preserve">  </v>
      </c>
      <c r="P24" s="23"/>
      <c r="Q24" s="23"/>
      <c r="R24" s="283"/>
      <c r="S24" s="283"/>
      <c r="T24" s="584" t="str">
        <f t="shared" si="2"/>
        <v xml:space="preserve">  </v>
      </c>
      <c r="U24" s="283"/>
      <c r="V24" s="283"/>
      <c r="W24" s="283"/>
      <c r="X24" s="283"/>
      <c r="Y24" s="584" t="str">
        <f t="shared" si="3"/>
        <v xml:space="preserve">  </v>
      </c>
      <c r="Z24" s="519">
        <f t="shared" si="34"/>
        <v>0</v>
      </c>
      <c r="AA24" s="519">
        <f t="shared" si="35"/>
        <v>0</v>
      </c>
      <c r="AB24" s="519">
        <f t="shared" si="36"/>
        <v>0</v>
      </c>
      <c r="AC24" s="519">
        <f t="shared" si="37"/>
        <v>0</v>
      </c>
      <c r="AD24" s="519">
        <f t="shared" si="38"/>
        <v>0</v>
      </c>
      <c r="AE24" s="21">
        <f t="shared" si="39"/>
        <v>0</v>
      </c>
      <c r="AF24" s="585">
        <f t="shared" si="40"/>
        <v>0</v>
      </c>
      <c r="AG24" s="585">
        <f t="shared" si="41"/>
        <v>0</v>
      </c>
      <c r="AH24" s="585">
        <f t="shared" si="42"/>
        <v>0</v>
      </c>
      <c r="AI24" s="585">
        <f t="shared" si="43"/>
        <v>0</v>
      </c>
      <c r="AJ24" s="585">
        <f t="shared" si="44"/>
        <v>0</v>
      </c>
      <c r="AK24" s="21">
        <f t="shared" si="45"/>
        <v>0</v>
      </c>
      <c r="AL24" s="565">
        <f t="shared" si="6"/>
        <v>0</v>
      </c>
      <c r="AM24" s="565">
        <f t="shared" si="7"/>
        <v>0</v>
      </c>
      <c r="AN24" s="565">
        <f t="shared" si="8"/>
        <v>0</v>
      </c>
      <c r="AO24" s="565">
        <f t="shared" si="9"/>
        <v>0</v>
      </c>
      <c r="AP24" s="565">
        <f t="shared" si="10"/>
        <v>0</v>
      </c>
      <c r="AQ24" s="529">
        <f t="shared" si="11"/>
        <v>0</v>
      </c>
      <c r="AR24" s="532">
        <f t="shared" si="12"/>
        <v>0</v>
      </c>
      <c r="AS24" s="26">
        <f t="shared" si="13"/>
        <v>0</v>
      </c>
      <c r="AT24" s="26">
        <f t="shared" si="14"/>
        <v>0</v>
      </c>
      <c r="AU24" s="586">
        <f t="shared" si="15"/>
        <v>0</v>
      </c>
      <c r="AV24" s="26">
        <f t="shared" si="16"/>
        <v>0</v>
      </c>
      <c r="AW24" s="26">
        <f t="shared" si="17"/>
        <v>0</v>
      </c>
      <c r="AX24" s="586">
        <f t="shared" si="18"/>
        <v>0</v>
      </c>
      <c r="AY24" s="26">
        <f t="shared" si="19"/>
        <v>0</v>
      </c>
      <c r="AZ24" s="26">
        <f t="shared" si="20"/>
        <v>0</v>
      </c>
      <c r="BA24" s="586">
        <f t="shared" si="21"/>
        <v>0</v>
      </c>
      <c r="BB24" s="901">
        <f t="shared" si="22"/>
        <v>0</v>
      </c>
      <c r="BC24" s="901">
        <f t="shared" si="23"/>
        <v>0</v>
      </c>
      <c r="BD24" s="943">
        <f t="shared" si="46"/>
        <v>0</v>
      </c>
      <c r="BE24" s="942">
        <f t="shared" si="24"/>
        <v>0</v>
      </c>
      <c r="BF24" s="26">
        <f t="shared" si="25"/>
        <v>0</v>
      </c>
      <c r="BG24" s="26">
        <f t="shared" si="26"/>
        <v>0</v>
      </c>
      <c r="BH24" s="586">
        <f t="shared" si="47"/>
        <v>0</v>
      </c>
      <c r="BI24" s="26">
        <f t="shared" si="27"/>
        <v>0</v>
      </c>
      <c r="BJ24" s="26">
        <f t="shared" si="28"/>
        <v>0</v>
      </c>
      <c r="BK24" s="586">
        <f t="shared" si="29"/>
        <v>0</v>
      </c>
      <c r="BL24" s="26">
        <f t="shared" si="30"/>
        <v>0</v>
      </c>
      <c r="BM24" s="26">
        <f t="shared" si="31"/>
        <v>0</v>
      </c>
      <c r="BN24" s="586" t="str">
        <f>IFERROR(AVERAGE(#REF!),"  ")</f>
        <v xml:space="preserve">  </v>
      </c>
      <c r="BO24" s="572">
        <f t="shared" si="32"/>
        <v>0</v>
      </c>
      <c r="BP24" s="572">
        <f t="shared" si="33"/>
        <v>0</v>
      </c>
      <c r="BQ24" s="586" t="str">
        <f>IFERROR(AVERAGE(#REF!),"  ")</f>
        <v xml:space="preserve">  </v>
      </c>
    </row>
    <row r="25" spans="1:69" ht="24.95" customHeight="1" x14ac:dyDescent="0.2">
      <c r="A25" s="574">
        <v>17</v>
      </c>
      <c r="B25" s="518" t="str">
        <f>dtsiswa!D23</f>
        <v>Naufal Falih F</v>
      </c>
      <c r="C25" s="578" t="s">
        <v>5</v>
      </c>
      <c r="D25" s="22"/>
      <c r="E25" s="22"/>
      <c r="F25" s="22"/>
      <c r="G25" s="22"/>
      <c r="H25" s="22"/>
      <c r="I25" s="22"/>
      <c r="J25" s="584" t="str">
        <f t="shared" si="0"/>
        <v xml:space="preserve">  </v>
      </c>
      <c r="K25" s="23"/>
      <c r="L25" s="23"/>
      <c r="M25" s="23"/>
      <c r="N25" s="23"/>
      <c r="O25" s="584" t="str">
        <f t="shared" si="1"/>
        <v xml:space="preserve">  </v>
      </c>
      <c r="P25" s="23"/>
      <c r="Q25" s="23"/>
      <c r="R25" s="283"/>
      <c r="S25" s="283"/>
      <c r="T25" s="584" t="str">
        <f t="shared" si="2"/>
        <v xml:space="preserve">  </v>
      </c>
      <c r="U25" s="283"/>
      <c r="V25" s="283"/>
      <c r="W25" s="283"/>
      <c r="X25" s="283"/>
      <c r="Y25" s="584" t="str">
        <f t="shared" si="3"/>
        <v xml:space="preserve">  </v>
      </c>
      <c r="Z25" s="519">
        <f t="shared" si="34"/>
        <v>0</v>
      </c>
      <c r="AA25" s="519">
        <f t="shared" si="35"/>
        <v>0</v>
      </c>
      <c r="AB25" s="519">
        <f t="shared" si="36"/>
        <v>0</v>
      </c>
      <c r="AC25" s="519">
        <f t="shared" si="37"/>
        <v>0</v>
      </c>
      <c r="AD25" s="519">
        <f t="shared" si="38"/>
        <v>0</v>
      </c>
      <c r="AE25" s="21">
        <f t="shared" si="39"/>
        <v>0</v>
      </c>
      <c r="AF25" s="585">
        <f t="shared" si="40"/>
        <v>0</v>
      </c>
      <c r="AG25" s="585">
        <f t="shared" si="41"/>
        <v>0</v>
      </c>
      <c r="AH25" s="585">
        <f t="shared" si="42"/>
        <v>0</v>
      </c>
      <c r="AI25" s="585">
        <f t="shared" si="43"/>
        <v>0</v>
      </c>
      <c r="AJ25" s="585">
        <f t="shared" si="44"/>
        <v>0</v>
      </c>
      <c r="AK25" s="21">
        <f t="shared" si="45"/>
        <v>0</v>
      </c>
      <c r="AL25" s="565">
        <f t="shared" si="6"/>
        <v>0</v>
      </c>
      <c r="AM25" s="565">
        <f t="shared" si="7"/>
        <v>0</v>
      </c>
      <c r="AN25" s="565">
        <f t="shared" si="8"/>
        <v>0</v>
      </c>
      <c r="AO25" s="565">
        <f t="shared" si="9"/>
        <v>0</v>
      </c>
      <c r="AP25" s="565">
        <f t="shared" si="10"/>
        <v>0</v>
      </c>
      <c r="AQ25" s="529">
        <f t="shared" si="11"/>
        <v>0</v>
      </c>
      <c r="AR25" s="532">
        <f t="shared" si="12"/>
        <v>0</v>
      </c>
      <c r="AS25" s="26">
        <f t="shared" si="13"/>
        <v>0</v>
      </c>
      <c r="AT25" s="26">
        <f t="shared" si="14"/>
        <v>0</v>
      </c>
      <c r="AU25" s="586">
        <f t="shared" si="15"/>
        <v>0</v>
      </c>
      <c r="AV25" s="26">
        <f t="shared" si="16"/>
        <v>0</v>
      </c>
      <c r="AW25" s="26">
        <f t="shared" si="17"/>
        <v>0</v>
      </c>
      <c r="AX25" s="586">
        <f t="shared" si="18"/>
        <v>0</v>
      </c>
      <c r="AY25" s="26">
        <f t="shared" si="19"/>
        <v>0</v>
      </c>
      <c r="AZ25" s="26">
        <f t="shared" si="20"/>
        <v>0</v>
      </c>
      <c r="BA25" s="586">
        <f t="shared" si="21"/>
        <v>0</v>
      </c>
      <c r="BB25" s="901">
        <f t="shared" si="22"/>
        <v>0</v>
      </c>
      <c r="BC25" s="901">
        <f t="shared" si="23"/>
        <v>0</v>
      </c>
      <c r="BD25" s="943">
        <f t="shared" si="46"/>
        <v>0</v>
      </c>
      <c r="BE25" s="942">
        <f t="shared" si="24"/>
        <v>0</v>
      </c>
      <c r="BF25" s="26">
        <f t="shared" si="25"/>
        <v>0</v>
      </c>
      <c r="BG25" s="26">
        <f t="shared" si="26"/>
        <v>0</v>
      </c>
      <c r="BH25" s="586">
        <f t="shared" si="47"/>
        <v>0</v>
      </c>
      <c r="BI25" s="26">
        <f t="shared" si="27"/>
        <v>0</v>
      </c>
      <c r="BJ25" s="26">
        <f t="shared" si="28"/>
        <v>0</v>
      </c>
      <c r="BK25" s="586">
        <f t="shared" si="29"/>
        <v>0</v>
      </c>
      <c r="BL25" s="26">
        <f t="shared" si="30"/>
        <v>0</v>
      </c>
      <c r="BM25" s="26">
        <f t="shared" si="31"/>
        <v>0</v>
      </c>
      <c r="BN25" s="586" t="str">
        <f>IFERROR(AVERAGE(#REF!),"  ")</f>
        <v xml:space="preserve">  </v>
      </c>
      <c r="BO25" s="572">
        <f t="shared" si="32"/>
        <v>0</v>
      </c>
      <c r="BP25" s="572">
        <f t="shared" si="33"/>
        <v>0</v>
      </c>
      <c r="BQ25" s="586" t="str">
        <f>IFERROR(AVERAGE(#REF!),"  ")</f>
        <v xml:space="preserve">  </v>
      </c>
    </row>
    <row r="26" spans="1:69" ht="24.95" customHeight="1" x14ac:dyDescent="0.2">
      <c r="A26" s="574">
        <v>18</v>
      </c>
      <c r="B26" s="518" t="str">
        <f>dtsiswa!D24</f>
        <v>Nayla Annora Nobel W</v>
      </c>
      <c r="C26" s="578" t="s">
        <v>4</v>
      </c>
      <c r="D26" s="22"/>
      <c r="E26" s="22"/>
      <c r="F26" s="22"/>
      <c r="G26" s="22"/>
      <c r="H26" s="22"/>
      <c r="I26" s="22"/>
      <c r="J26" s="584" t="str">
        <f t="shared" si="0"/>
        <v xml:space="preserve">  </v>
      </c>
      <c r="K26" s="23"/>
      <c r="L26" s="23"/>
      <c r="M26" s="23"/>
      <c r="N26" s="23"/>
      <c r="O26" s="584" t="str">
        <f t="shared" si="1"/>
        <v xml:space="preserve">  </v>
      </c>
      <c r="P26" s="23"/>
      <c r="Q26" s="23"/>
      <c r="R26" s="283"/>
      <c r="S26" s="283"/>
      <c r="T26" s="584" t="str">
        <f t="shared" si="2"/>
        <v xml:space="preserve">  </v>
      </c>
      <c r="U26" s="283"/>
      <c r="V26" s="283"/>
      <c r="W26" s="283"/>
      <c r="X26" s="283"/>
      <c r="Y26" s="584" t="str">
        <f t="shared" si="3"/>
        <v xml:space="preserve">  </v>
      </c>
      <c r="Z26" s="519">
        <f t="shared" si="34"/>
        <v>0</v>
      </c>
      <c r="AA26" s="519">
        <f t="shared" si="35"/>
        <v>0</v>
      </c>
      <c r="AB26" s="519">
        <f t="shared" si="36"/>
        <v>0</v>
      </c>
      <c r="AC26" s="519">
        <f t="shared" si="37"/>
        <v>0</v>
      </c>
      <c r="AD26" s="519">
        <f t="shared" si="38"/>
        <v>0</v>
      </c>
      <c r="AE26" s="21">
        <f t="shared" si="39"/>
        <v>0</v>
      </c>
      <c r="AF26" s="585">
        <f t="shared" si="40"/>
        <v>0</v>
      </c>
      <c r="AG26" s="585">
        <f t="shared" si="41"/>
        <v>0</v>
      </c>
      <c r="AH26" s="585">
        <f t="shared" si="42"/>
        <v>0</v>
      </c>
      <c r="AI26" s="585">
        <f t="shared" si="43"/>
        <v>0</v>
      </c>
      <c r="AJ26" s="585">
        <f t="shared" si="44"/>
        <v>0</v>
      </c>
      <c r="AK26" s="21">
        <f t="shared" si="45"/>
        <v>0</v>
      </c>
      <c r="AL26" s="565">
        <f t="shared" si="6"/>
        <v>0</v>
      </c>
      <c r="AM26" s="565">
        <f t="shared" si="7"/>
        <v>0</v>
      </c>
      <c r="AN26" s="565">
        <f t="shared" si="8"/>
        <v>0</v>
      </c>
      <c r="AO26" s="565">
        <f t="shared" si="9"/>
        <v>0</v>
      </c>
      <c r="AP26" s="565">
        <f t="shared" si="10"/>
        <v>0</v>
      </c>
      <c r="AQ26" s="529">
        <f t="shared" si="11"/>
        <v>0</v>
      </c>
      <c r="AR26" s="532">
        <f t="shared" si="12"/>
        <v>0</v>
      </c>
      <c r="AS26" s="26">
        <f t="shared" si="13"/>
        <v>0</v>
      </c>
      <c r="AT26" s="26">
        <f t="shared" si="14"/>
        <v>0</v>
      </c>
      <c r="AU26" s="586">
        <f t="shared" si="15"/>
        <v>0</v>
      </c>
      <c r="AV26" s="26">
        <f t="shared" si="16"/>
        <v>0</v>
      </c>
      <c r="AW26" s="26">
        <f t="shared" si="17"/>
        <v>0</v>
      </c>
      <c r="AX26" s="586">
        <f t="shared" si="18"/>
        <v>0</v>
      </c>
      <c r="AY26" s="26">
        <f t="shared" si="19"/>
        <v>0</v>
      </c>
      <c r="AZ26" s="26">
        <f t="shared" si="20"/>
        <v>0</v>
      </c>
      <c r="BA26" s="586">
        <f t="shared" si="21"/>
        <v>0</v>
      </c>
      <c r="BB26" s="901">
        <f t="shared" si="22"/>
        <v>0</v>
      </c>
      <c r="BC26" s="901">
        <f t="shared" si="23"/>
        <v>0</v>
      </c>
      <c r="BD26" s="943">
        <f t="shared" si="46"/>
        <v>0</v>
      </c>
      <c r="BE26" s="942">
        <f t="shared" si="24"/>
        <v>0</v>
      </c>
      <c r="BF26" s="26">
        <f t="shared" si="25"/>
        <v>0</v>
      </c>
      <c r="BG26" s="26">
        <f t="shared" si="26"/>
        <v>0</v>
      </c>
      <c r="BH26" s="586">
        <f t="shared" si="47"/>
        <v>0</v>
      </c>
      <c r="BI26" s="26">
        <f t="shared" si="27"/>
        <v>0</v>
      </c>
      <c r="BJ26" s="26">
        <f t="shared" si="28"/>
        <v>0</v>
      </c>
      <c r="BK26" s="586">
        <f t="shared" si="29"/>
        <v>0</v>
      </c>
      <c r="BL26" s="26">
        <f t="shared" si="30"/>
        <v>0</v>
      </c>
      <c r="BM26" s="26">
        <f t="shared" si="31"/>
        <v>0</v>
      </c>
      <c r="BN26" s="586" t="str">
        <f>IFERROR(AVERAGE(#REF!),"  ")</f>
        <v xml:space="preserve">  </v>
      </c>
      <c r="BO26" s="572">
        <f t="shared" si="32"/>
        <v>0</v>
      </c>
      <c r="BP26" s="572">
        <f t="shared" si="33"/>
        <v>0</v>
      </c>
      <c r="BQ26" s="586" t="str">
        <f>IFERROR(AVERAGE(#REF!),"  ")</f>
        <v xml:space="preserve">  </v>
      </c>
    </row>
    <row r="27" spans="1:69" ht="24.95" customHeight="1" x14ac:dyDescent="0.2">
      <c r="A27" s="574">
        <v>19</v>
      </c>
      <c r="B27" s="518" t="str">
        <f>dtsiswa!D25</f>
        <v>Raihan Danang P</v>
      </c>
      <c r="C27" s="578" t="s">
        <v>5</v>
      </c>
      <c r="D27" s="22"/>
      <c r="E27" s="22"/>
      <c r="F27" s="22"/>
      <c r="G27" s="22"/>
      <c r="H27" s="22"/>
      <c r="I27" s="22"/>
      <c r="J27" s="584" t="str">
        <f t="shared" si="0"/>
        <v xml:space="preserve">  </v>
      </c>
      <c r="K27" s="23"/>
      <c r="L27" s="23"/>
      <c r="M27" s="23"/>
      <c r="N27" s="23"/>
      <c r="O27" s="584" t="str">
        <f t="shared" si="1"/>
        <v xml:space="preserve">  </v>
      </c>
      <c r="P27" s="23"/>
      <c r="Q27" s="23"/>
      <c r="R27" s="283"/>
      <c r="S27" s="283"/>
      <c r="T27" s="584" t="str">
        <f t="shared" si="2"/>
        <v xml:space="preserve">  </v>
      </c>
      <c r="U27" s="283"/>
      <c r="V27" s="283"/>
      <c r="W27" s="283"/>
      <c r="X27" s="283"/>
      <c r="Y27" s="584" t="str">
        <f t="shared" si="3"/>
        <v xml:space="preserve">  </v>
      </c>
      <c r="Z27" s="519">
        <f t="shared" si="34"/>
        <v>0</v>
      </c>
      <c r="AA27" s="519">
        <f t="shared" si="35"/>
        <v>0</v>
      </c>
      <c r="AB27" s="519">
        <f t="shared" si="36"/>
        <v>0</v>
      </c>
      <c r="AC27" s="519">
        <f t="shared" si="37"/>
        <v>0</v>
      </c>
      <c r="AD27" s="519">
        <f t="shared" si="38"/>
        <v>0</v>
      </c>
      <c r="AE27" s="21">
        <f t="shared" si="39"/>
        <v>0</v>
      </c>
      <c r="AF27" s="585">
        <f t="shared" si="40"/>
        <v>0</v>
      </c>
      <c r="AG27" s="585">
        <f t="shared" si="41"/>
        <v>0</v>
      </c>
      <c r="AH27" s="585">
        <f t="shared" si="42"/>
        <v>0</v>
      </c>
      <c r="AI27" s="585">
        <f t="shared" si="43"/>
        <v>0</v>
      </c>
      <c r="AJ27" s="585">
        <f t="shared" si="44"/>
        <v>0</v>
      </c>
      <c r="AK27" s="21">
        <f t="shared" si="45"/>
        <v>0</v>
      </c>
      <c r="AL27" s="565">
        <f t="shared" si="6"/>
        <v>0</v>
      </c>
      <c r="AM27" s="565">
        <f t="shared" si="7"/>
        <v>0</v>
      </c>
      <c r="AN27" s="565">
        <f t="shared" si="8"/>
        <v>0</v>
      </c>
      <c r="AO27" s="565">
        <f t="shared" si="9"/>
        <v>0</v>
      </c>
      <c r="AP27" s="565">
        <f t="shared" si="10"/>
        <v>0</v>
      </c>
      <c r="AQ27" s="529">
        <f t="shared" si="11"/>
        <v>0</v>
      </c>
      <c r="AR27" s="532">
        <f t="shared" si="12"/>
        <v>0</v>
      </c>
      <c r="AS27" s="26">
        <f t="shared" si="13"/>
        <v>0</v>
      </c>
      <c r="AT27" s="26">
        <f t="shared" si="14"/>
        <v>0</v>
      </c>
      <c r="AU27" s="586">
        <f t="shared" si="15"/>
        <v>0</v>
      </c>
      <c r="AV27" s="26">
        <f t="shared" si="16"/>
        <v>0</v>
      </c>
      <c r="AW27" s="26">
        <f t="shared" si="17"/>
        <v>0</v>
      </c>
      <c r="AX27" s="586">
        <f t="shared" si="18"/>
        <v>0</v>
      </c>
      <c r="AY27" s="26">
        <f t="shared" si="19"/>
        <v>0</v>
      </c>
      <c r="AZ27" s="26">
        <f t="shared" si="20"/>
        <v>0</v>
      </c>
      <c r="BA27" s="586">
        <f t="shared" si="21"/>
        <v>0</v>
      </c>
      <c r="BB27" s="901">
        <f t="shared" si="22"/>
        <v>0</v>
      </c>
      <c r="BC27" s="901">
        <f t="shared" si="23"/>
        <v>0</v>
      </c>
      <c r="BD27" s="943">
        <f t="shared" si="46"/>
        <v>0</v>
      </c>
      <c r="BE27" s="942">
        <f t="shared" si="24"/>
        <v>0</v>
      </c>
      <c r="BF27" s="26">
        <f t="shared" si="25"/>
        <v>0</v>
      </c>
      <c r="BG27" s="26">
        <f t="shared" si="26"/>
        <v>0</v>
      </c>
      <c r="BH27" s="586">
        <f t="shared" si="47"/>
        <v>0</v>
      </c>
      <c r="BI27" s="26">
        <f t="shared" si="27"/>
        <v>0</v>
      </c>
      <c r="BJ27" s="26">
        <f t="shared" si="28"/>
        <v>0</v>
      </c>
      <c r="BK27" s="586">
        <f t="shared" si="29"/>
        <v>0</v>
      </c>
      <c r="BL27" s="26">
        <f t="shared" si="30"/>
        <v>0</v>
      </c>
      <c r="BM27" s="26">
        <f t="shared" si="31"/>
        <v>0</v>
      </c>
      <c r="BN27" s="586" t="str">
        <f>IFERROR(AVERAGE(#REF!),"  ")</f>
        <v xml:space="preserve">  </v>
      </c>
      <c r="BO27" s="572">
        <f t="shared" si="32"/>
        <v>0</v>
      </c>
      <c r="BP27" s="572">
        <f t="shared" si="33"/>
        <v>0</v>
      </c>
      <c r="BQ27" s="586" t="str">
        <f>IFERROR(AVERAGE(#REF!),"  ")</f>
        <v xml:space="preserve">  </v>
      </c>
    </row>
    <row r="28" spans="1:69" ht="24.95" customHeight="1" x14ac:dyDescent="0.2">
      <c r="A28" s="574">
        <v>20</v>
      </c>
      <c r="B28" s="518" t="str">
        <f>dtsiswa!D26</f>
        <v>Roby Ardiyansyah</v>
      </c>
      <c r="C28" s="578" t="s">
        <v>5</v>
      </c>
      <c r="D28" s="22"/>
      <c r="E28" s="22"/>
      <c r="F28" s="22"/>
      <c r="G28" s="22"/>
      <c r="H28" s="22"/>
      <c r="I28" s="22"/>
      <c r="J28" s="584" t="str">
        <f t="shared" si="0"/>
        <v xml:space="preserve">  </v>
      </c>
      <c r="K28" s="23"/>
      <c r="L28" s="23"/>
      <c r="M28" s="23"/>
      <c r="N28" s="23"/>
      <c r="O28" s="584" t="str">
        <f t="shared" si="1"/>
        <v xml:space="preserve">  </v>
      </c>
      <c r="P28" s="23"/>
      <c r="Q28" s="23"/>
      <c r="R28" s="283"/>
      <c r="S28" s="283"/>
      <c r="T28" s="584" t="str">
        <f t="shared" si="2"/>
        <v xml:space="preserve">  </v>
      </c>
      <c r="U28" s="283"/>
      <c r="V28" s="283"/>
      <c r="W28" s="283"/>
      <c r="X28" s="283"/>
      <c r="Y28" s="584" t="str">
        <f t="shared" si="3"/>
        <v xml:space="preserve">  </v>
      </c>
      <c r="Z28" s="519">
        <f t="shared" si="34"/>
        <v>0</v>
      </c>
      <c r="AA28" s="519">
        <f t="shared" si="35"/>
        <v>0</v>
      </c>
      <c r="AB28" s="519">
        <f t="shared" si="36"/>
        <v>0</v>
      </c>
      <c r="AC28" s="519">
        <f t="shared" si="37"/>
        <v>0</v>
      </c>
      <c r="AD28" s="519">
        <f t="shared" si="38"/>
        <v>0</v>
      </c>
      <c r="AE28" s="21">
        <f t="shared" si="39"/>
        <v>0</v>
      </c>
      <c r="AF28" s="585">
        <f t="shared" si="40"/>
        <v>0</v>
      </c>
      <c r="AG28" s="585">
        <f t="shared" si="41"/>
        <v>0</v>
      </c>
      <c r="AH28" s="585">
        <f t="shared" si="42"/>
        <v>0</v>
      </c>
      <c r="AI28" s="585">
        <f t="shared" si="43"/>
        <v>0</v>
      </c>
      <c r="AJ28" s="585">
        <f t="shared" si="44"/>
        <v>0</v>
      </c>
      <c r="AK28" s="21">
        <f t="shared" si="45"/>
        <v>0</v>
      </c>
      <c r="AL28" s="565">
        <f t="shared" si="6"/>
        <v>0</v>
      </c>
      <c r="AM28" s="565">
        <f t="shared" si="7"/>
        <v>0</v>
      </c>
      <c r="AN28" s="565">
        <f t="shared" si="8"/>
        <v>0</v>
      </c>
      <c r="AO28" s="565">
        <f t="shared" si="9"/>
        <v>0</v>
      </c>
      <c r="AP28" s="565">
        <f t="shared" si="10"/>
        <v>0</v>
      </c>
      <c r="AQ28" s="529">
        <f t="shared" si="11"/>
        <v>0</v>
      </c>
      <c r="AR28" s="532">
        <f t="shared" si="12"/>
        <v>0</v>
      </c>
      <c r="AS28" s="26">
        <f t="shared" si="13"/>
        <v>0</v>
      </c>
      <c r="AT28" s="26">
        <f t="shared" si="14"/>
        <v>0</v>
      </c>
      <c r="AU28" s="586">
        <f t="shared" si="15"/>
        <v>0</v>
      </c>
      <c r="AV28" s="26">
        <f t="shared" si="16"/>
        <v>0</v>
      </c>
      <c r="AW28" s="26">
        <f t="shared" si="17"/>
        <v>0</v>
      </c>
      <c r="AX28" s="586">
        <f t="shared" si="18"/>
        <v>0</v>
      </c>
      <c r="AY28" s="26">
        <f t="shared" si="19"/>
        <v>0</v>
      </c>
      <c r="AZ28" s="26">
        <f t="shared" si="20"/>
        <v>0</v>
      </c>
      <c r="BA28" s="586">
        <f t="shared" si="21"/>
        <v>0</v>
      </c>
      <c r="BB28" s="901">
        <f t="shared" si="22"/>
        <v>0</v>
      </c>
      <c r="BC28" s="901">
        <f t="shared" si="23"/>
        <v>0</v>
      </c>
      <c r="BD28" s="943">
        <f t="shared" si="46"/>
        <v>0</v>
      </c>
      <c r="BE28" s="942">
        <f t="shared" si="24"/>
        <v>0</v>
      </c>
      <c r="BF28" s="26">
        <f t="shared" si="25"/>
        <v>0</v>
      </c>
      <c r="BG28" s="26">
        <f t="shared" si="26"/>
        <v>0</v>
      </c>
      <c r="BH28" s="586">
        <f t="shared" si="47"/>
        <v>0</v>
      </c>
      <c r="BI28" s="26">
        <f t="shared" si="27"/>
        <v>0</v>
      </c>
      <c r="BJ28" s="26">
        <f t="shared" si="28"/>
        <v>0</v>
      </c>
      <c r="BK28" s="586">
        <f t="shared" si="29"/>
        <v>0</v>
      </c>
      <c r="BL28" s="26">
        <f t="shared" si="30"/>
        <v>0</v>
      </c>
      <c r="BM28" s="26">
        <f t="shared" si="31"/>
        <v>0</v>
      </c>
      <c r="BN28" s="586" t="str">
        <f>IFERROR(AVERAGE(#REF!),"  ")</f>
        <v xml:space="preserve">  </v>
      </c>
      <c r="BO28" s="572">
        <f t="shared" si="32"/>
        <v>0</v>
      </c>
      <c r="BP28" s="572">
        <f t="shared" si="33"/>
        <v>0</v>
      </c>
      <c r="BQ28" s="586" t="str">
        <f>IFERROR(AVERAGE(#REF!),"  ")</f>
        <v xml:space="preserve">  </v>
      </c>
    </row>
    <row r="29" spans="1:69" ht="24.95" customHeight="1" x14ac:dyDescent="0.2">
      <c r="A29" s="574">
        <v>21</v>
      </c>
      <c r="B29" s="518" t="str">
        <f>dtsiswa!D27</f>
        <v>Rojalingga Prana A</v>
      </c>
      <c r="C29" s="578" t="s">
        <v>4</v>
      </c>
      <c r="D29" s="22"/>
      <c r="E29" s="22"/>
      <c r="F29" s="22"/>
      <c r="G29" s="22"/>
      <c r="H29" s="22"/>
      <c r="I29" s="22"/>
      <c r="J29" s="584" t="str">
        <f t="shared" si="0"/>
        <v xml:space="preserve">  </v>
      </c>
      <c r="K29" s="23"/>
      <c r="L29" s="23"/>
      <c r="M29" s="23"/>
      <c r="N29" s="23"/>
      <c r="O29" s="584" t="str">
        <f t="shared" si="1"/>
        <v xml:space="preserve">  </v>
      </c>
      <c r="P29" s="23"/>
      <c r="Q29" s="23"/>
      <c r="R29" s="283"/>
      <c r="S29" s="283"/>
      <c r="T29" s="584" t="str">
        <f t="shared" si="2"/>
        <v xml:space="preserve">  </v>
      </c>
      <c r="U29" s="283"/>
      <c r="V29" s="283"/>
      <c r="W29" s="283"/>
      <c r="X29" s="283"/>
      <c r="Y29" s="584" t="str">
        <f t="shared" si="3"/>
        <v xml:space="preserve">  </v>
      </c>
      <c r="Z29" s="519">
        <f t="shared" si="34"/>
        <v>0</v>
      </c>
      <c r="AA29" s="519">
        <f t="shared" si="35"/>
        <v>0</v>
      </c>
      <c r="AB29" s="519">
        <f t="shared" si="36"/>
        <v>0</v>
      </c>
      <c r="AC29" s="519">
        <f t="shared" si="37"/>
        <v>0</v>
      </c>
      <c r="AD29" s="519">
        <f t="shared" si="38"/>
        <v>0</v>
      </c>
      <c r="AE29" s="21">
        <f t="shared" si="39"/>
        <v>0</v>
      </c>
      <c r="AF29" s="585">
        <f t="shared" si="40"/>
        <v>0</v>
      </c>
      <c r="AG29" s="585">
        <f t="shared" si="41"/>
        <v>0</v>
      </c>
      <c r="AH29" s="585">
        <f t="shared" si="42"/>
        <v>0</v>
      </c>
      <c r="AI29" s="585">
        <f t="shared" si="43"/>
        <v>0</v>
      </c>
      <c r="AJ29" s="585">
        <f t="shared" si="44"/>
        <v>0</v>
      </c>
      <c r="AK29" s="21">
        <f t="shared" si="45"/>
        <v>0</v>
      </c>
      <c r="AL29" s="565">
        <f t="shared" si="6"/>
        <v>0</v>
      </c>
      <c r="AM29" s="565">
        <f t="shared" si="7"/>
        <v>0</v>
      </c>
      <c r="AN29" s="565">
        <f t="shared" si="8"/>
        <v>0</v>
      </c>
      <c r="AO29" s="565">
        <f t="shared" si="9"/>
        <v>0</v>
      </c>
      <c r="AP29" s="565">
        <f t="shared" si="10"/>
        <v>0</v>
      </c>
      <c r="AQ29" s="529">
        <f t="shared" si="11"/>
        <v>0</v>
      </c>
      <c r="AR29" s="532">
        <f t="shared" si="12"/>
        <v>0</v>
      </c>
      <c r="AS29" s="26">
        <f t="shared" si="13"/>
        <v>0</v>
      </c>
      <c r="AT29" s="26">
        <f t="shared" si="14"/>
        <v>0</v>
      </c>
      <c r="AU29" s="586">
        <f t="shared" si="15"/>
        <v>0</v>
      </c>
      <c r="AV29" s="26">
        <f t="shared" si="16"/>
        <v>0</v>
      </c>
      <c r="AW29" s="26">
        <f t="shared" si="17"/>
        <v>0</v>
      </c>
      <c r="AX29" s="586">
        <f t="shared" si="18"/>
        <v>0</v>
      </c>
      <c r="AY29" s="26">
        <f t="shared" si="19"/>
        <v>0</v>
      </c>
      <c r="AZ29" s="26">
        <f t="shared" si="20"/>
        <v>0</v>
      </c>
      <c r="BA29" s="586">
        <f t="shared" si="21"/>
        <v>0</v>
      </c>
      <c r="BB29" s="901">
        <f t="shared" si="22"/>
        <v>0</v>
      </c>
      <c r="BC29" s="901">
        <f t="shared" si="23"/>
        <v>0</v>
      </c>
      <c r="BD29" s="943">
        <f t="shared" si="46"/>
        <v>0</v>
      </c>
      <c r="BE29" s="942">
        <f t="shared" si="24"/>
        <v>0</v>
      </c>
      <c r="BF29" s="26">
        <f t="shared" si="25"/>
        <v>0</v>
      </c>
      <c r="BG29" s="26">
        <f t="shared" si="26"/>
        <v>0</v>
      </c>
      <c r="BH29" s="586">
        <f t="shared" si="47"/>
        <v>0</v>
      </c>
      <c r="BI29" s="26">
        <f t="shared" si="27"/>
        <v>0</v>
      </c>
      <c r="BJ29" s="26">
        <f t="shared" si="28"/>
        <v>0</v>
      </c>
      <c r="BK29" s="586">
        <f t="shared" si="29"/>
        <v>0</v>
      </c>
      <c r="BL29" s="26">
        <f t="shared" si="30"/>
        <v>0</v>
      </c>
      <c r="BM29" s="26">
        <f t="shared" si="31"/>
        <v>0</v>
      </c>
      <c r="BN29" s="586" t="str">
        <f>IFERROR(AVERAGE(#REF!),"  ")</f>
        <v xml:space="preserve">  </v>
      </c>
      <c r="BO29" s="572">
        <f t="shared" si="32"/>
        <v>0</v>
      </c>
      <c r="BP29" s="572">
        <f t="shared" si="33"/>
        <v>0</v>
      </c>
      <c r="BQ29" s="586" t="str">
        <f>IFERROR(AVERAGE(#REF!),"  ")</f>
        <v xml:space="preserve">  </v>
      </c>
    </row>
    <row r="30" spans="1:69" ht="24.95" customHeight="1" x14ac:dyDescent="0.2">
      <c r="A30" s="574">
        <v>22</v>
      </c>
      <c r="B30" s="518" t="str">
        <f>dtsiswa!D28</f>
        <v>Sally Savista A</v>
      </c>
      <c r="C30" s="568" t="s">
        <v>4</v>
      </c>
      <c r="D30" s="14"/>
      <c r="E30" s="14"/>
      <c r="F30" s="14"/>
      <c r="G30" s="14"/>
      <c r="H30" s="14"/>
      <c r="I30" s="575"/>
      <c r="J30" s="584" t="str">
        <f t="shared" si="0"/>
        <v xml:space="preserve">  </v>
      </c>
      <c r="K30" s="575"/>
      <c r="L30" s="575"/>
      <c r="M30" s="575"/>
      <c r="N30" s="575"/>
      <c r="O30" s="584" t="str">
        <f t="shared" si="1"/>
        <v xml:space="preserve">  </v>
      </c>
      <c r="P30" s="16"/>
      <c r="Q30" s="16"/>
      <c r="R30" s="575"/>
      <c r="S30" s="575"/>
      <c r="T30" s="584" t="str">
        <f t="shared" si="2"/>
        <v xml:space="preserve">  </v>
      </c>
      <c r="U30" s="575"/>
      <c r="V30" s="575"/>
      <c r="W30" s="575"/>
      <c r="X30" s="575"/>
      <c r="Y30" s="584" t="str">
        <f t="shared" si="3"/>
        <v xml:space="preserve">  </v>
      </c>
      <c r="Z30" s="519">
        <f t="shared" si="34"/>
        <v>0</v>
      </c>
      <c r="AA30" s="519">
        <f t="shared" si="35"/>
        <v>0</v>
      </c>
      <c r="AB30" s="519">
        <f t="shared" si="36"/>
        <v>0</v>
      </c>
      <c r="AC30" s="519">
        <f t="shared" si="37"/>
        <v>0</v>
      </c>
      <c r="AD30" s="519">
        <f t="shared" si="38"/>
        <v>0</v>
      </c>
      <c r="AE30" s="21">
        <f t="shared" si="39"/>
        <v>0</v>
      </c>
      <c r="AF30" s="585">
        <f t="shared" si="40"/>
        <v>0</v>
      </c>
      <c r="AG30" s="585">
        <f t="shared" si="41"/>
        <v>0</v>
      </c>
      <c r="AH30" s="585">
        <f t="shared" si="42"/>
        <v>0</v>
      </c>
      <c r="AI30" s="585">
        <f t="shared" si="43"/>
        <v>0</v>
      </c>
      <c r="AJ30" s="585">
        <f t="shared" si="44"/>
        <v>0</v>
      </c>
      <c r="AK30" s="21">
        <f t="shared" si="45"/>
        <v>0</v>
      </c>
      <c r="AL30" s="565">
        <f t="shared" si="6"/>
        <v>0</v>
      </c>
      <c r="AM30" s="565">
        <f t="shared" si="7"/>
        <v>0</v>
      </c>
      <c r="AN30" s="565">
        <f t="shared" si="8"/>
        <v>0</v>
      </c>
      <c r="AO30" s="565">
        <f t="shared" si="9"/>
        <v>0</v>
      </c>
      <c r="AP30" s="565">
        <f t="shared" si="10"/>
        <v>0</v>
      </c>
      <c r="AQ30" s="529">
        <f t="shared" si="11"/>
        <v>0</v>
      </c>
      <c r="AR30" s="532">
        <f t="shared" si="12"/>
        <v>0</v>
      </c>
      <c r="AS30" s="26">
        <f t="shared" si="13"/>
        <v>0</v>
      </c>
      <c r="AT30" s="26">
        <f t="shared" si="14"/>
        <v>0</v>
      </c>
      <c r="AU30" s="586">
        <f t="shared" si="15"/>
        <v>0</v>
      </c>
      <c r="AV30" s="26">
        <f t="shared" si="16"/>
        <v>0</v>
      </c>
      <c r="AW30" s="26">
        <f t="shared" si="17"/>
        <v>0</v>
      </c>
      <c r="AX30" s="586">
        <f t="shared" si="18"/>
        <v>0</v>
      </c>
      <c r="AY30" s="26">
        <f t="shared" si="19"/>
        <v>0</v>
      </c>
      <c r="AZ30" s="26">
        <f t="shared" si="20"/>
        <v>0</v>
      </c>
      <c r="BA30" s="586">
        <f t="shared" si="21"/>
        <v>0</v>
      </c>
      <c r="BB30" s="901">
        <f t="shared" si="22"/>
        <v>0</v>
      </c>
      <c r="BC30" s="901">
        <f t="shared" si="23"/>
        <v>0</v>
      </c>
      <c r="BD30" s="943">
        <f t="shared" si="46"/>
        <v>0</v>
      </c>
      <c r="BE30" s="942">
        <f t="shared" si="24"/>
        <v>0</v>
      </c>
      <c r="BF30" s="26">
        <f t="shared" si="25"/>
        <v>0</v>
      </c>
      <c r="BG30" s="26">
        <f t="shared" si="26"/>
        <v>0</v>
      </c>
      <c r="BH30" s="586">
        <f t="shared" si="47"/>
        <v>0</v>
      </c>
      <c r="BI30" s="26">
        <f t="shared" si="27"/>
        <v>0</v>
      </c>
      <c r="BJ30" s="26">
        <f t="shared" si="28"/>
        <v>0</v>
      </c>
      <c r="BK30" s="586">
        <f t="shared" si="29"/>
        <v>0</v>
      </c>
      <c r="BL30" s="26">
        <f t="shared" si="30"/>
        <v>0</v>
      </c>
      <c r="BM30" s="26">
        <f t="shared" si="31"/>
        <v>0</v>
      </c>
      <c r="BN30" s="586" t="str">
        <f>IFERROR(AVERAGE(#REF!),"  ")</f>
        <v xml:space="preserve">  </v>
      </c>
      <c r="BO30" s="572">
        <f t="shared" si="32"/>
        <v>0</v>
      </c>
      <c r="BP30" s="572">
        <f t="shared" si="33"/>
        <v>0</v>
      </c>
      <c r="BQ30" s="586" t="str">
        <f>IFERROR(AVERAGE(#REF!),"  ")</f>
        <v xml:space="preserve">  </v>
      </c>
    </row>
    <row r="31" spans="1:69" ht="24.95" customHeight="1" x14ac:dyDescent="0.2">
      <c r="A31" s="574">
        <v>23</v>
      </c>
      <c r="B31" s="518" t="str">
        <f>dtsiswa!D29</f>
        <v xml:space="preserve">Tania Kaori Angelita </v>
      </c>
      <c r="C31" s="568" t="s">
        <v>5</v>
      </c>
      <c r="D31" s="14"/>
      <c r="E31" s="14"/>
      <c r="F31" s="14"/>
      <c r="G31" s="14"/>
      <c r="H31" s="14"/>
      <c r="I31" s="575"/>
      <c r="J31" s="584" t="str">
        <f t="shared" si="0"/>
        <v xml:space="preserve">  </v>
      </c>
      <c r="K31" s="575"/>
      <c r="L31" s="575"/>
      <c r="M31" s="575"/>
      <c r="N31" s="575"/>
      <c r="O31" s="584" t="str">
        <f t="shared" si="1"/>
        <v xml:space="preserve">  </v>
      </c>
      <c r="P31" s="16"/>
      <c r="Q31" s="16"/>
      <c r="R31" s="575"/>
      <c r="S31" s="575"/>
      <c r="T31" s="584" t="str">
        <f t="shared" si="2"/>
        <v xml:space="preserve">  </v>
      </c>
      <c r="U31" s="575"/>
      <c r="V31" s="575"/>
      <c r="W31" s="575"/>
      <c r="X31" s="575"/>
      <c r="Y31" s="584" t="str">
        <f t="shared" si="3"/>
        <v xml:space="preserve">  </v>
      </c>
      <c r="Z31" s="519">
        <f t="shared" si="34"/>
        <v>0</v>
      </c>
      <c r="AA31" s="519">
        <f t="shared" si="35"/>
        <v>0</v>
      </c>
      <c r="AB31" s="519">
        <f t="shared" si="36"/>
        <v>0</v>
      </c>
      <c r="AC31" s="519">
        <f t="shared" si="37"/>
        <v>0</v>
      </c>
      <c r="AD31" s="519">
        <f t="shared" si="38"/>
        <v>0</v>
      </c>
      <c r="AE31" s="21">
        <f t="shared" si="39"/>
        <v>0</v>
      </c>
      <c r="AF31" s="585">
        <f t="shared" si="40"/>
        <v>0</v>
      </c>
      <c r="AG31" s="585">
        <f t="shared" si="41"/>
        <v>0</v>
      </c>
      <c r="AH31" s="585">
        <f t="shared" si="42"/>
        <v>0</v>
      </c>
      <c r="AI31" s="585">
        <f t="shared" si="43"/>
        <v>0</v>
      </c>
      <c r="AJ31" s="585">
        <f t="shared" si="44"/>
        <v>0</v>
      </c>
      <c r="AK31" s="21">
        <f t="shared" si="45"/>
        <v>0</v>
      </c>
      <c r="AL31" s="565">
        <f t="shared" si="6"/>
        <v>0</v>
      </c>
      <c r="AM31" s="565">
        <f t="shared" si="7"/>
        <v>0</v>
      </c>
      <c r="AN31" s="565">
        <f t="shared" si="8"/>
        <v>0</v>
      </c>
      <c r="AO31" s="565">
        <f t="shared" si="9"/>
        <v>0</v>
      </c>
      <c r="AP31" s="565">
        <f t="shared" si="10"/>
        <v>0</v>
      </c>
      <c r="AQ31" s="529">
        <f t="shared" si="11"/>
        <v>0</v>
      </c>
      <c r="AR31" s="532">
        <f t="shared" si="12"/>
        <v>0</v>
      </c>
      <c r="AS31" s="26">
        <f t="shared" si="13"/>
        <v>0</v>
      </c>
      <c r="AT31" s="26">
        <f t="shared" si="14"/>
        <v>0</v>
      </c>
      <c r="AU31" s="586">
        <f t="shared" si="15"/>
        <v>0</v>
      </c>
      <c r="AV31" s="26">
        <f t="shared" si="16"/>
        <v>0</v>
      </c>
      <c r="AW31" s="26">
        <f t="shared" si="17"/>
        <v>0</v>
      </c>
      <c r="AX31" s="586">
        <f t="shared" si="18"/>
        <v>0</v>
      </c>
      <c r="AY31" s="26">
        <f t="shared" si="19"/>
        <v>0</v>
      </c>
      <c r="AZ31" s="26">
        <f t="shared" si="20"/>
        <v>0</v>
      </c>
      <c r="BA31" s="586">
        <f t="shared" si="21"/>
        <v>0</v>
      </c>
      <c r="BB31" s="901">
        <f t="shared" si="22"/>
        <v>0</v>
      </c>
      <c r="BC31" s="901">
        <f t="shared" si="23"/>
        <v>0</v>
      </c>
      <c r="BD31" s="943">
        <f t="shared" si="46"/>
        <v>0</v>
      </c>
      <c r="BE31" s="942">
        <f t="shared" si="24"/>
        <v>0</v>
      </c>
      <c r="BF31" s="26">
        <f t="shared" si="25"/>
        <v>0</v>
      </c>
      <c r="BG31" s="26">
        <f t="shared" si="26"/>
        <v>0</v>
      </c>
      <c r="BH31" s="586">
        <f t="shared" si="47"/>
        <v>0</v>
      </c>
      <c r="BI31" s="26">
        <f t="shared" si="27"/>
        <v>0</v>
      </c>
      <c r="BJ31" s="26">
        <f t="shared" si="28"/>
        <v>0</v>
      </c>
      <c r="BK31" s="586">
        <f t="shared" si="29"/>
        <v>0</v>
      </c>
      <c r="BL31" s="26">
        <f t="shared" si="30"/>
        <v>0</v>
      </c>
      <c r="BM31" s="26">
        <f t="shared" si="31"/>
        <v>0</v>
      </c>
      <c r="BN31" s="586" t="str">
        <f>IFERROR(AVERAGE(#REF!),"  ")</f>
        <v xml:space="preserve">  </v>
      </c>
      <c r="BO31" s="572">
        <f t="shared" si="32"/>
        <v>0</v>
      </c>
      <c r="BP31" s="572">
        <f t="shared" si="33"/>
        <v>0</v>
      </c>
      <c r="BQ31" s="586" t="str">
        <f>IFERROR(AVERAGE(#REF!),"  ")</f>
        <v xml:space="preserve">  </v>
      </c>
    </row>
    <row r="32" spans="1:69" ht="24.95" customHeight="1" x14ac:dyDescent="0.2">
      <c r="A32" s="574">
        <v>24</v>
      </c>
      <c r="B32" s="518" t="str">
        <f>dtsiswa!D30</f>
        <v>Romzy Oka Ramadhani P</v>
      </c>
      <c r="C32" s="568" t="s">
        <v>5</v>
      </c>
      <c r="D32" s="14"/>
      <c r="E32" s="14"/>
      <c r="F32" s="14"/>
      <c r="G32" s="14"/>
      <c r="H32" s="14"/>
      <c r="I32" s="575"/>
      <c r="J32" s="584" t="str">
        <f t="shared" si="0"/>
        <v xml:space="preserve">  </v>
      </c>
      <c r="K32" s="575"/>
      <c r="L32" s="575"/>
      <c r="M32" s="575"/>
      <c r="N32" s="575"/>
      <c r="O32" s="584" t="str">
        <f t="shared" si="1"/>
        <v xml:space="preserve">  </v>
      </c>
      <c r="P32" s="16"/>
      <c r="Q32" s="16"/>
      <c r="R32" s="575"/>
      <c r="S32" s="575"/>
      <c r="T32" s="584" t="str">
        <f t="shared" si="2"/>
        <v xml:space="preserve">  </v>
      </c>
      <c r="U32" s="575"/>
      <c r="V32" s="575"/>
      <c r="W32" s="575"/>
      <c r="X32" s="575"/>
      <c r="Y32" s="584" t="str">
        <f t="shared" si="3"/>
        <v xml:space="preserve">  </v>
      </c>
      <c r="Z32" s="519">
        <f t="shared" si="34"/>
        <v>0</v>
      </c>
      <c r="AA32" s="519">
        <f t="shared" si="35"/>
        <v>0</v>
      </c>
      <c r="AB32" s="519">
        <f t="shared" si="36"/>
        <v>0</v>
      </c>
      <c r="AC32" s="519">
        <f t="shared" si="37"/>
        <v>0</v>
      </c>
      <c r="AD32" s="519">
        <f t="shared" si="38"/>
        <v>0</v>
      </c>
      <c r="AE32" s="21">
        <f t="shared" si="39"/>
        <v>0</v>
      </c>
      <c r="AF32" s="585">
        <f t="shared" si="40"/>
        <v>0</v>
      </c>
      <c r="AG32" s="585">
        <f t="shared" si="41"/>
        <v>0</v>
      </c>
      <c r="AH32" s="585">
        <f t="shared" si="42"/>
        <v>0</v>
      </c>
      <c r="AI32" s="585">
        <f t="shared" si="43"/>
        <v>0</v>
      </c>
      <c r="AJ32" s="585">
        <f t="shared" si="44"/>
        <v>0</v>
      </c>
      <c r="AK32" s="21">
        <f t="shared" si="45"/>
        <v>0</v>
      </c>
      <c r="AL32" s="565">
        <f t="shared" si="6"/>
        <v>0</v>
      </c>
      <c r="AM32" s="565">
        <f t="shared" si="7"/>
        <v>0</v>
      </c>
      <c r="AN32" s="565">
        <f t="shared" si="8"/>
        <v>0</v>
      </c>
      <c r="AO32" s="565">
        <f t="shared" si="9"/>
        <v>0</v>
      </c>
      <c r="AP32" s="565">
        <f t="shared" si="10"/>
        <v>0</v>
      </c>
      <c r="AQ32" s="529">
        <f t="shared" si="11"/>
        <v>0</v>
      </c>
      <c r="AR32" s="532">
        <f t="shared" si="12"/>
        <v>0</v>
      </c>
      <c r="AS32" s="26">
        <f t="shared" si="13"/>
        <v>0</v>
      </c>
      <c r="AT32" s="26">
        <f t="shared" si="14"/>
        <v>0</v>
      </c>
      <c r="AU32" s="586">
        <f t="shared" si="15"/>
        <v>0</v>
      </c>
      <c r="AV32" s="26">
        <f t="shared" si="16"/>
        <v>0</v>
      </c>
      <c r="AW32" s="26">
        <f t="shared" si="17"/>
        <v>0</v>
      </c>
      <c r="AX32" s="586">
        <f t="shared" si="18"/>
        <v>0</v>
      </c>
      <c r="AY32" s="26">
        <f t="shared" si="19"/>
        <v>0</v>
      </c>
      <c r="AZ32" s="26">
        <f t="shared" si="20"/>
        <v>0</v>
      </c>
      <c r="BA32" s="586">
        <f t="shared" si="21"/>
        <v>0</v>
      </c>
      <c r="BB32" s="901">
        <f t="shared" si="22"/>
        <v>0</v>
      </c>
      <c r="BC32" s="901">
        <f t="shared" si="23"/>
        <v>0</v>
      </c>
      <c r="BD32" s="943">
        <f t="shared" si="46"/>
        <v>0</v>
      </c>
      <c r="BE32" s="942">
        <f t="shared" si="24"/>
        <v>0</v>
      </c>
      <c r="BF32" s="26">
        <f t="shared" si="25"/>
        <v>0</v>
      </c>
      <c r="BG32" s="26">
        <f t="shared" si="26"/>
        <v>0</v>
      </c>
      <c r="BH32" s="586">
        <f t="shared" si="47"/>
        <v>0</v>
      </c>
      <c r="BI32" s="26">
        <f t="shared" si="27"/>
        <v>0</v>
      </c>
      <c r="BJ32" s="26">
        <f t="shared" si="28"/>
        <v>0</v>
      </c>
      <c r="BK32" s="586">
        <f t="shared" si="29"/>
        <v>0</v>
      </c>
      <c r="BL32" s="26">
        <f t="shared" si="30"/>
        <v>0</v>
      </c>
      <c r="BM32" s="26">
        <f t="shared" si="31"/>
        <v>0</v>
      </c>
      <c r="BN32" s="586" t="str">
        <f>IFERROR(AVERAGE(#REF!),"  ")</f>
        <v xml:space="preserve">  </v>
      </c>
      <c r="BO32" s="572">
        <f t="shared" si="32"/>
        <v>0</v>
      </c>
      <c r="BP32" s="572">
        <f t="shared" si="33"/>
        <v>0</v>
      </c>
      <c r="BQ32" s="586" t="str">
        <f>IFERROR(AVERAGE(#REF!),"  ")</f>
        <v xml:space="preserve">  </v>
      </c>
    </row>
    <row r="33" spans="1:69" ht="24.95" customHeight="1" x14ac:dyDescent="0.2">
      <c r="A33" s="574">
        <v>25</v>
      </c>
      <c r="B33" s="518" t="str">
        <f>dtsiswa!D31</f>
        <v>Larasati Jagadhita P</v>
      </c>
      <c r="C33" s="572" t="s">
        <v>4</v>
      </c>
      <c r="D33" s="572"/>
      <c r="E33" s="572"/>
      <c r="F33" s="572"/>
      <c r="G33" s="572"/>
      <c r="H33" s="572"/>
      <c r="I33" s="572"/>
      <c r="J33" s="584" t="str">
        <f t="shared" si="0"/>
        <v xml:space="preserve">  </v>
      </c>
      <c r="K33" s="572"/>
      <c r="L33" s="572"/>
      <c r="M33" s="572"/>
      <c r="N33" s="572"/>
      <c r="O33" s="584" t="str">
        <f t="shared" si="1"/>
        <v xml:space="preserve">  </v>
      </c>
      <c r="P33" s="572"/>
      <c r="Q33" s="572"/>
      <c r="R33" s="572"/>
      <c r="S33" s="572"/>
      <c r="T33" s="584" t="str">
        <f t="shared" si="2"/>
        <v xml:space="preserve">  </v>
      </c>
      <c r="U33" s="572"/>
      <c r="V33" s="572"/>
      <c r="W33" s="572"/>
      <c r="X33" s="572"/>
      <c r="Y33" s="584" t="str">
        <f t="shared" si="3"/>
        <v xml:space="preserve">  </v>
      </c>
      <c r="Z33" s="519">
        <f t="shared" si="34"/>
        <v>0</v>
      </c>
      <c r="AA33" s="519">
        <f t="shared" si="35"/>
        <v>0</v>
      </c>
      <c r="AB33" s="519">
        <f t="shared" si="36"/>
        <v>0</v>
      </c>
      <c r="AC33" s="519">
        <f t="shared" si="37"/>
        <v>0</v>
      </c>
      <c r="AD33" s="519">
        <f t="shared" si="38"/>
        <v>0</v>
      </c>
      <c r="AE33" s="21">
        <f t="shared" si="39"/>
        <v>0</v>
      </c>
      <c r="AF33" s="585">
        <f t="shared" si="40"/>
        <v>0</v>
      </c>
      <c r="AG33" s="585">
        <f t="shared" si="41"/>
        <v>0</v>
      </c>
      <c r="AH33" s="585">
        <f t="shared" si="42"/>
        <v>0</v>
      </c>
      <c r="AI33" s="585">
        <f t="shared" si="43"/>
        <v>0</v>
      </c>
      <c r="AJ33" s="585">
        <f t="shared" si="44"/>
        <v>0</v>
      </c>
      <c r="AK33" s="21">
        <f t="shared" si="45"/>
        <v>0</v>
      </c>
      <c r="AL33" s="565">
        <f t="shared" si="6"/>
        <v>0</v>
      </c>
      <c r="AM33" s="565">
        <f t="shared" si="7"/>
        <v>0</v>
      </c>
      <c r="AN33" s="565">
        <f t="shared" si="8"/>
        <v>0</v>
      </c>
      <c r="AO33" s="565">
        <f t="shared" si="9"/>
        <v>0</v>
      </c>
      <c r="AP33" s="565">
        <f t="shared" si="10"/>
        <v>0</v>
      </c>
      <c r="AQ33" s="529">
        <f t="shared" si="11"/>
        <v>0</v>
      </c>
      <c r="AR33" s="532">
        <f t="shared" si="12"/>
        <v>0</v>
      </c>
      <c r="AS33" s="26">
        <f t="shared" si="13"/>
        <v>0</v>
      </c>
      <c r="AT33" s="26">
        <f t="shared" si="14"/>
        <v>0</v>
      </c>
      <c r="AU33" s="586">
        <f t="shared" si="15"/>
        <v>0</v>
      </c>
      <c r="AV33" s="26">
        <f t="shared" si="16"/>
        <v>0</v>
      </c>
      <c r="AW33" s="26">
        <f t="shared" si="17"/>
        <v>0</v>
      </c>
      <c r="AX33" s="586">
        <f t="shared" si="18"/>
        <v>0</v>
      </c>
      <c r="AY33" s="26">
        <f t="shared" si="19"/>
        <v>0</v>
      </c>
      <c r="AZ33" s="26">
        <f t="shared" si="20"/>
        <v>0</v>
      </c>
      <c r="BA33" s="586">
        <f t="shared" si="21"/>
        <v>0</v>
      </c>
      <c r="BB33" s="901">
        <f t="shared" si="22"/>
        <v>0</v>
      </c>
      <c r="BC33" s="901">
        <f t="shared" si="23"/>
        <v>0</v>
      </c>
      <c r="BD33" s="943">
        <f t="shared" si="46"/>
        <v>0</v>
      </c>
      <c r="BE33" s="942">
        <f t="shared" si="24"/>
        <v>0</v>
      </c>
      <c r="BF33" s="26">
        <f t="shared" si="25"/>
        <v>0</v>
      </c>
      <c r="BG33" s="26">
        <f t="shared" si="26"/>
        <v>0</v>
      </c>
      <c r="BH33" s="586">
        <f t="shared" si="47"/>
        <v>0</v>
      </c>
      <c r="BI33" s="26">
        <f t="shared" si="27"/>
        <v>0</v>
      </c>
      <c r="BJ33" s="26">
        <f t="shared" si="28"/>
        <v>0</v>
      </c>
      <c r="BK33" s="586">
        <f t="shared" si="29"/>
        <v>0</v>
      </c>
      <c r="BL33" s="26">
        <f t="shared" si="30"/>
        <v>0</v>
      </c>
      <c r="BM33" s="26">
        <f t="shared" si="31"/>
        <v>0</v>
      </c>
      <c r="BN33" s="586" t="str">
        <f>IFERROR(AVERAGE(#REF!),"  ")</f>
        <v xml:space="preserve">  </v>
      </c>
      <c r="BO33" s="572">
        <f t="shared" si="32"/>
        <v>0</v>
      </c>
      <c r="BP33" s="572">
        <f t="shared" si="33"/>
        <v>0</v>
      </c>
      <c r="BQ33" s="586" t="str">
        <f>IFERROR(AVERAGE(#REF!),"  ")</f>
        <v xml:space="preserve">  </v>
      </c>
    </row>
    <row r="34" spans="1:69" ht="24.95" customHeight="1" x14ac:dyDescent="0.2">
      <c r="A34" s="574">
        <v>26</v>
      </c>
      <c r="B34" s="518" t="str">
        <f>dtsiswa!D32</f>
        <v>Meliana Citra A</v>
      </c>
      <c r="C34" s="572" t="s">
        <v>4</v>
      </c>
      <c r="D34" s="8"/>
      <c r="E34" s="8"/>
      <c r="F34" s="8"/>
      <c r="G34" s="8"/>
      <c r="H34" s="8"/>
      <c r="I34" s="8"/>
      <c r="J34" s="584" t="str">
        <f t="shared" si="0"/>
        <v xml:space="preserve">  </v>
      </c>
      <c r="K34" s="8"/>
      <c r="L34" s="8"/>
      <c r="M34" s="8"/>
      <c r="N34" s="8"/>
      <c r="O34" s="584" t="str">
        <f t="shared" si="1"/>
        <v xml:space="preserve">  </v>
      </c>
      <c r="P34" s="8"/>
      <c r="Q34" s="8"/>
      <c r="R34" s="8"/>
      <c r="S34" s="8"/>
      <c r="T34" s="584" t="str">
        <f t="shared" si="2"/>
        <v xml:space="preserve">  </v>
      </c>
      <c r="U34" s="8"/>
      <c r="V34" s="8"/>
      <c r="W34" s="8"/>
      <c r="X34" s="8"/>
      <c r="Y34" s="584" t="str">
        <f t="shared" si="3"/>
        <v xml:space="preserve">  </v>
      </c>
      <c r="Z34" s="519">
        <f t="shared" si="34"/>
        <v>0</v>
      </c>
      <c r="AA34" s="519">
        <f t="shared" si="35"/>
        <v>0</v>
      </c>
      <c r="AB34" s="519">
        <f t="shared" si="36"/>
        <v>0</v>
      </c>
      <c r="AC34" s="519">
        <f t="shared" si="37"/>
        <v>0</v>
      </c>
      <c r="AD34" s="519">
        <f t="shared" si="38"/>
        <v>0</v>
      </c>
      <c r="AE34" s="21">
        <f t="shared" si="39"/>
        <v>0</v>
      </c>
      <c r="AF34" s="585">
        <f t="shared" si="40"/>
        <v>0</v>
      </c>
      <c r="AG34" s="585">
        <f t="shared" si="41"/>
        <v>0</v>
      </c>
      <c r="AH34" s="585">
        <f t="shared" si="42"/>
        <v>0</v>
      </c>
      <c r="AI34" s="585">
        <f t="shared" si="43"/>
        <v>0</v>
      </c>
      <c r="AJ34" s="585">
        <f t="shared" si="44"/>
        <v>0</v>
      </c>
      <c r="AK34" s="21">
        <f t="shared" si="45"/>
        <v>0</v>
      </c>
      <c r="AL34" s="565">
        <f t="shared" si="6"/>
        <v>0</v>
      </c>
      <c r="AM34" s="565">
        <f t="shared" si="7"/>
        <v>0</v>
      </c>
      <c r="AN34" s="565">
        <f t="shared" si="8"/>
        <v>0</v>
      </c>
      <c r="AO34" s="565">
        <f t="shared" si="9"/>
        <v>0</v>
      </c>
      <c r="AP34" s="565">
        <f t="shared" si="10"/>
        <v>0</v>
      </c>
      <c r="AQ34" s="529">
        <f t="shared" si="11"/>
        <v>0</v>
      </c>
      <c r="AR34" s="532">
        <f t="shared" si="12"/>
        <v>0</v>
      </c>
      <c r="AS34" s="26">
        <f t="shared" si="13"/>
        <v>0</v>
      </c>
      <c r="AT34" s="26">
        <f t="shared" si="14"/>
        <v>0</v>
      </c>
      <c r="AU34" s="586">
        <f t="shared" si="15"/>
        <v>0</v>
      </c>
      <c r="AV34" s="26">
        <f t="shared" si="16"/>
        <v>0</v>
      </c>
      <c r="AW34" s="26">
        <f t="shared" si="17"/>
        <v>0</v>
      </c>
      <c r="AX34" s="586">
        <f t="shared" si="18"/>
        <v>0</v>
      </c>
      <c r="AY34" s="26">
        <f t="shared" si="19"/>
        <v>0</v>
      </c>
      <c r="AZ34" s="26">
        <f t="shared" si="20"/>
        <v>0</v>
      </c>
      <c r="BA34" s="586">
        <f t="shared" si="21"/>
        <v>0</v>
      </c>
      <c r="BB34" s="901">
        <f t="shared" si="22"/>
        <v>0</v>
      </c>
      <c r="BC34" s="901">
        <f t="shared" si="23"/>
        <v>0</v>
      </c>
      <c r="BD34" s="943">
        <f t="shared" si="46"/>
        <v>0</v>
      </c>
      <c r="BE34" s="942">
        <f t="shared" si="24"/>
        <v>0</v>
      </c>
      <c r="BF34" s="26">
        <f t="shared" si="25"/>
        <v>0</v>
      </c>
      <c r="BG34" s="26">
        <f t="shared" si="26"/>
        <v>0</v>
      </c>
      <c r="BH34" s="586">
        <f t="shared" si="47"/>
        <v>0</v>
      </c>
      <c r="BI34" s="26">
        <f t="shared" si="27"/>
        <v>0</v>
      </c>
      <c r="BJ34" s="26">
        <f t="shared" si="28"/>
        <v>0</v>
      </c>
      <c r="BK34" s="586">
        <f t="shared" si="29"/>
        <v>0</v>
      </c>
      <c r="BL34" s="26">
        <f t="shared" si="30"/>
        <v>0</v>
      </c>
      <c r="BM34" s="26">
        <f t="shared" si="31"/>
        <v>0</v>
      </c>
      <c r="BN34" s="586" t="str">
        <f>IFERROR(AVERAGE(#REF!),"  ")</f>
        <v xml:space="preserve">  </v>
      </c>
      <c r="BO34" s="572">
        <f t="shared" si="32"/>
        <v>0</v>
      </c>
      <c r="BP34" s="572">
        <f t="shared" si="33"/>
        <v>0</v>
      </c>
      <c r="BQ34" s="586" t="str">
        <f>IFERROR(AVERAGE(#REF!),"  ")</f>
        <v xml:space="preserve">  </v>
      </c>
    </row>
    <row r="35" spans="1:69" ht="24.95" customHeight="1" x14ac:dyDescent="0.2">
      <c r="A35" s="574">
        <v>27</v>
      </c>
      <c r="B35" s="518" t="str">
        <f>dtsiswa!D33</f>
        <v>Mohammad Rizky</v>
      </c>
      <c r="C35" s="572" t="s">
        <v>4</v>
      </c>
      <c r="D35" s="8"/>
      <c r="E35" s="8"/>
      <c r="F35" s="8"/>
      <c r="G35" s="8"/>
      <c r="H35" s="8"/>
      <c r="I35" s="8"/>
      <c r="J35" s="584" t="str">
        <f t="shared" si="0"/>
        <v xml:space="preserve">  </v>
      </c>
      <c r="K35" s="8"/>
      <c r="L35" s="8"/>
      <c r="M35" s="8"/>
      <c r="N35" s="8"/>
      <c r="O35" s="584" t="str">
        <f t="shared" si="1"/>
        <v xml:space="preserve">  </v>
      </c>
      <c r="P35" s="8"/>
      <c r="Q35" s="8"/>
      <c r="R35" s="8"/>
      <c r="S35" s="8"/>
      <c r="T35" s="584" t="str">
        <f t="shared" si="2"/>
        <v xml:space="preserve">  </v>
      </c>
      <c r="U35" s="8"/>
      <c r="V35" s="8"/>
      <c r="W35" s="8"/>
      <c r="X35" s="8"/>
      <c r="Y35" s="584" t="str">
        <f t="shared" si="3"/>
        <v xml:space="preserve">  </v>
      </c>
      <c r="Z35" s="519">
        <f t="shared" si="34"/>
        <v>0</v>
      </c>
      <c r="AA35" s="519">
        <f t="shared" si="35"/>
        <v>0</v>
      </c>
      <c r="AB35" s="519">
        <f t="shared" si="36"/>
        <v>0</v>
      </c>
      <c r="AC35" s="519">
        <f t="shared" si="37"/>
        <v>0</v>
      </c>
      <c r="AD35" s="519">
        <f t="shared" si="38"/>
        <v>0</v>
      </c>
      <c r="AE35" s="21">
        <f t="shared" si="39"/>
        <v>0</v>
      </c>
      <c r="AF35" s="585">
        <f t="shared" si="40"/>
        <v>0</v>
      </c>
      <c r="AG35" s="585">
        <f t="shared" si="41"/>
        <v>0</v>
      </c>
      <c r="AH35" s="585">
        <f t="shared" si="42"/>
        <v>0</v>
      </c>
      <c r="AI35" s="585">
        <f t="shared" si="43"/>
        <v>0</v>
      </c>
      <c r="AJ35" s="585">
        <f t="shared" si="44"/>
        <v>0</v>
      </c>
      <c r="AK35" s="21">
        <f t="shared" si="45"/>
        <v>0</v>
      </c>
      <c r="AL35" s="565">
        <f t="shared" si="6"/>
        <v>0</v>
      </c>
      <c r="AM35" s="565">
        <f t="shared" si="7"/>
        <v>0</v>
      </c>
      <c r="AN35" s="565">
        <f t="shared" si="8"/>
        <v>0</v>
      </c>
      <c r="AO35" s="565">
        <f t="shared" si="9"/>
        <v>0</v>
      </c>
      <c r="AP35" s="565">
        <f t="shared" si="10"/>
        <v>0</v>
      </c>
      <c r="AQ35" s="529">
        <f t="shared" si="11"/>
        <v>0</v>
      </c>
      <c r="AR35" s="532">
        <f t="shared" si="12"/>
        <v>0</v>
      </c>
      <c r="AS35" s="26">
        <f t="shared" si="13"/>
        <v>0</v>
      </c>
      <c r="AT35" s="26">
        <f t="shared" si="14"/>
        <v>0</v>
      </c>
      <c r="AU35" s="586">
        <f t="shared" si="15"/>
        <v>0</v>
      </c>
      <c r="AV35" s="26">
        <f t="shared" si="16"/>
        <v>0</v>
      </c>
      <c r="AW35" s="26">
        <f t="shared" si="17"/>
        <v>0</v>
      </c>
      <c r="AX35" s="586">
        <f t="shared" si="18"/>
        <v>0</v>
      </c>
      <c r="AY35" s="26">
        <f t="shared" si="19"/>
        <v>0</v>
      </c>
      <c r="AZ35" s="26">
        <f t="shared" si="20"/>
        <v>0</v>
      </c>
      <c r="BA35" s="586">
        <f t="shared" si="21"/>
        <v>0</v>
      </c>
      <c r="BB35" s="901">
        <f t="shared" si="22"/>
        <v>0</v>
      </c>
      <c r="BC35" s="901">
        <f t="shared" si="23"/>
        <v>0</v>
      </c>
      <c r="BD35" s="943">
        <f t="shared" si="46"/>
        <v>0</v>
      </c>
      <c r="BE35" s="942">
        <f t="shared" si="24"/>
        <v>0</v>
      </c>
      <c r="BF35" s="26">
        <f t="shared" si="25"/>
        <v>0</v>
      </c>
      <c r="BG35" s="26">
        <f t="shared" si="26"/>
        <v>0</v>
      </c>
      <c r="BH35" s="586">
        <f t="shared" si="47"/>
        <v>0</v>
      </c>
      <c r="BI35" s="26">
        <f t="shared" si="27"/>
        <v>0</v>
      </c>
      <c r="BJ35" s="26">
        <f t="shared" si="28"/>
        <v>0</v>
      </c>
      <c r="BK35" s="586">
        <f t="shared" si="29"/>
        <v>0</v>
      </c>
      <c r="BL35" s="26">
        <f t="shared" si="30"/>
        <v>0</v>
      </c>
      <c r="BM35" s="26">
        <f t="shared" si="31"/>
        <v>0</v>
      </c>
      <c r="BN35" s="586" t="str">
        <f>IFERROR(AVERAGE(#REF!),"  ")</f>
        <v xml:space="preserve">  </v>
      </c>
      <c r="BO35" s="572">
        <f t="shared" si="32"/>
        <v>0</v>
      </c>
      <c r="BP35" s="572">
        <f t="shared" si="33"/>
        <v>0</v>
      </c>
      <c r="BQ35" s="586" t="str">
        <f>IFERROR(AVERAGE(#REF!),"  ")</f>
        <v xml:space="preserve">  </v>
      </c>
    </row>
    <row r="36" spans="1:69" ht="24.95" customHeight="1" x14ac:dyDescent="0.2">
      <c r="A36" s="574">
        <v>28</v>
      </c>
      <c r="B36" s="518">
        <f>dtsiswa!D34</f>
        <v>0</v>
      </c>
      <c r="C36" s="572" t="s">
        <v>4</v>
      </c>
      <c r="D36" s="8"/>
      <c r="E36" s="8"/>
      <c r="F36" s="8"/>
      <c r="G36" s="8"/>
      <c r="H36" s="8"/>
      <c r="I36" s="8"/>
      <c r="J36" s="584" t="str">
        <f t="shared" si="0"/>
        <v xml:space="preserve">  </v>
      </c>
      <c r="K36" s="8"/>
      <c r="L36" s="8"/>
      <c r="M36" s="8"/>
      <c r="N36" s="8"/>
      <c r="O36" s="584" t="str">
        <f t="shared" si="1"/>
        <v xml:space="preserve">  </v>
      </c>
      <c r="P36" s="8"/>
      <c r="Q36" s="8"/>
      <c r="R36" s="8"/>
      <c r="S36" s="8"/>
      <c r="T36" s="584" t="str">
        <f t="shared" si="2"/>
        <v xml:space="preserve">  </v>
      </c>
      <c r="U36" s="8"/>
      <c r="V36" s="8"/>
      <c r="W36" s="8"/>
      <c r="X36" s="8"/>
      <c r="Y36" s="584" t="str">
        <f t="shared" si="3"/>
        <v xml:space="preserve">  </v>
      </c>
      <c r="Z36" s="519">
        <f t="shared" si="34"/>
        <v>0</v>
      </c>
      <c r="AA36" s="519">
        <f t="shared" si="35"/>
        <v>0</v>
      </c>
      <c r="AB36" s="519">
        <f t="shared" si="36"/>
        <v>0</v>
      </c>
      <c r="AC36" s="519">
        <f t="shared" si="37"/>
        <v>0</v>
      </c>
      <c r="AD36" s="519">
        <f t="shared" si="38"/>
        <v>0</v>
      </c>
      <c r="AE36" s="21">
        <f t="shared" si="39"/>
        <v>0</v>
      </c>
      <c r="AF36" s="585">
        <f t="shared" si="40"/>
        <v>0</v>
      </c>
      <c r="AG36" s="585">
        <f t="shared" si="41"/>
        <v>0</v>
      </c>
      <c r="AH36" s="585">
        <f t="shared" si="42"/>
        <v>0</v>
      </c>
      <c r="AI36" s="585">
        <f t="shared" si="43"/>
        <v>0</v>
      </c>
      <c r="AJ36" s="585">
        <f t="shared" si="44"/>
        <v>0</v>
      </c>
      <c r="AK36" s="21">
        <f t="shared" si="45"/>
        <v>0</v>
      </c>
      <c r="AL36" s="565">
        <f t="shared" si="6"/>
        <v>0</v>
      </c>
      <c r="AM36" s="565">
        <f t="shared" si="7"/>
        <v>0</v>
      </c>
      <c r="AN36" s="565">
        <f t="shared" si="8"/>
        <v>0</v>
      </c>
      <c r="AO36" s="565">
        <f t="shared" si="9"/>
        <v>0</v>
      </c>
      <c r="AP36" s="565">
        <f t="shared" si="10"/>
        <v>0</v>
      </c>
      <c r="AQ36" s="529">
        <f t="shared" si="11"/>
        <v>0</v>
      </c>
      <c r="AR36" s="532">
        <f t="shared" si="12"/>
        <v>0</v>
      </c>
      <c r="AS36" s="26">
        <f t="shared" si="13"/>
        <v>0</v>
      </c>
      <c r="AT36" s="26">
        <f t="shared" si="14"/>
        <v>0</v>
      </c>
      <c r="AU36" s="586">
        <f t="shared" si="15"/>
        <v>0</v>
      </c>
      <c r="AV36" s="26">
        <f t="shared" si="16"/>
        <v>0</v>
      </c>
      <c r="AW36" s="26">
        <f t="shared" si="17"/>
        <v>0</v>
      </c>
      <c r="AX36" s="586">
        <f t="shared" si="18"/>
        <v>0</v>
      </c>
      <c r="AY36" s="26">
        <f t="shared" si="19"/>
        <v>0</v>
      </c>
      <c r="AZ36" s="26">
        <f t="shared" si="20"/>
        <v>0</v>
      </c>
      <c r="BA36" s="586">
        <f t="shared" si="21"/>
        <v>0</v>
      </c>
      <c r="BB36" s="901">
        <f t="shared" si="22"/>
        <v>0</v>
      </c>
      <c r="BC36" s="901">
        <f t="shared" si="23"/>
        <v>0</v>
      </c>
      <c r="BD36" s="943">
        <f t="shared" si="46"/>
        <v>0</v>
      </c>
      <c r="BE36" s="942">
        <f t="shared" si="24"/>
        <v>0</v>
      </c>
      <c r="BF36" s="26">
        <f t="shared" si="25"/>
        <v>0</v>
      </c>
      <c r="BG36" s="26">
        <f t="shared" si="26"/>
        <v>0</v>
      </c>
      <c r="BH36" s="586">
        <f t="shared" si="47"/>
        <v>0</v>
      </c>
      <c r="BI36" s="26">
        <f t="shared" si="27"/>
        <v>0</v>
      </c>
      <c r="BJ36" s="26">
        <f t="shared" si="28"/>
        <v>0</v>
      </c>
      <c r="BK36" s="586">
        <f t="shared" si="29"/>
        <v>0</v>
      </c>
      <c r="BL36" s="26">
        <f t="shared" si="30"/>
        <v>0</v>
      </c>
      <c r="BM36" s="26">
        <f t="shared" si="31"/>
        <v>0</v>
      </c>
      <c r="BN36" s="586" t="str">
        <f>IFERROR(AVERAGE(#REF!),"  ")</f>
        <v xml:space="preserve">  </v>
      </c>
      <c r="BO36" s="572">
        <f t="shared" si="32"/>
        <v>0</v>
      </c>
      <c r="BP36" s="572">
        <f t="shared" si="33"/>
        <v>0</v>
      </c>
      <c r="BQ36" s="586" t="str">
        <f>IFERROR(AVERAGE(#REF!),"  ")</f>
        <v xml:space="preserve">  </v>
      </c>
    </row>
    <row r="37" spans="1:69" ht="24.95" customHeight="1" x14ac:dyDescent="0.2">
      <c r="A37" s="574">
        <v>29</v>
      </c>
      <c r="B37" s="518">
        <f>dtsiswa!D35</f>
        <v>0</v>
      </c>
      <c r="C37" s="572" t="s">
        <v>4</v>
      </c>
      <c r="D37" s="8"/>
      <c r="E37" s="8"/>
      <c r="F37" s="8"/>
      <c r="G37" s="8"/>
      <c r="H37" s="8"/>
      <c r="I37" s="8"/>
      <c r="J37" s="584" t="str">
        <f t="shared" si="0"/>
        <v xml:space="preserve">  </v>
      </c>
      <c r="K37" s="8"/>
      <c r="L37" s="8"/>
      <c r="M37" s="8"/>
      <c r="N37" s="8"/>
      <c r="O37" s="584" t="str">
        <f t="shared" si="1"/>
        <v xml:space="preserve">  </v>
      </c>
      <c r="P37" s="8"/>
      <c r="Q37" s="8"/>
      <c r="R37" s="8"/>
      <c r="S37" s="8"/>
      <c r="T37" s="584" t="str">
        <f t="shared" si="2"/>
        <v xml:space="preserve">  </v>
      </c>
      <c r="U37" s="8"/>
      <c r="V37" s="8"/>
      <c r="W37" s="8"/>
      <c r="X37" s="8"/>
      <c r="Y37" s="584" t="str">
        <f t="shared" si="3"/>
        <v xml:space="preserve">  </v>
      </c>
      <c r="Z37" s="519">
        <f t="shared" si="34"/>
        <v>0</v>
      </c>
      <c r="AA37" s="519">
        <f t="shared" si="35"/>
        <v>0</v>
      </c>
      <c r="AB37" s="519">
        <f t="shared" si="36"/>
        <v>0</v>
      </c>
      <c r="AC37" s="519">
        <f t="shared" si="37"/>
        <v>0</v>
      </c>
      <c r="AD37" s="519">
        <f t="shared" si="38"/>
        <v>0</v>
      </c>
      <c r="AE37" s="21">
        <f t="shared" si="39"/>
        <v>0</v>
      </c>
      <c r="AF37" s="585">
        <f t="shared" si="40"/>
        <v>0</v>
      </c>
      <c r="AG37" s="585">
        <f t="shared" si="41"/>
        <v>0</v>
      </c>
      <c r="AH37" s="585">
        <f t="shared" si="42"/>
        <v>0</v>
      </c>
      <c r="AI37" s="585">
        <f t="shared" si="43"/>
        <v>0</v>
      </c>
      <c r="AJ37" s="585">
        <f t="shared" si="44"/>
        <v>0</v>
      </c>
      <c r="AK37" s="21">
        <f t="shared" si="45"/>
        <v>0</v>
      </c>
      <c r="AL37" s="565">
        <f t="shared" si="6"/>
        <v>0</v>
      </c>
      <c r="AM37" s="565">
        <f t="shared" si="7"/>
        <v>0</v>
      </c>
      <c r="AN37" s="565">
        <f t="shared" si="8"/>
        <v>0</v>
      </c>
      <c r="AO37" s="565">
        <f t="shared" si="9"/>
        <v>0</v>
      </c>
      <c r="AP37" s="565">
        <f t="shared" si="10"/>
        <v>0</v>
      </c>
      <c r="AQ37" s="529">
        <f t="shared" si="11"/>
        <v>0</v>
      </c>
      <c r="AR37" s="532">
        <f t="shared" si="12"/>
        <v>0</v>
      </c>
      <c r="AS37" s="26">
        <f t="shared" si="13"/>
        <v>0</v>
      </c>
      <c r="AT37" s="26">
        <f t="shared" si="14"/>
        <v>0</v>
      </c>
      <c r="AU37" s="586">
        <f t="shared" si="15"/>
        <v>0</v>
      </c>
      <c r="AV37" s="26">
        <f t="shared" si="16"/>
        <v>0</v>
      </c>
      <c r="AW37" s="26">
        <f t="shared" si="17"/>
        <v>0</v>
      </c>
      <c r="AX37" s="586">
        <f t="shared" si="18"/>
        <v>0</v>
      </c>
      <c r="AY37" s="26">
        <f t="shared" si="19"/>
        <v>0</v>
      </c>
      <c r="AZ37" s="26">
        <f t="shared" si="20"/>
        <v>0</v>
      </c>
      <c r="BA37" s="586">
        <f t="shared" si="21"/>
        <v>0</v>
      </c>
      <c r="BB37" s="901">
        <f t="shared" si="22"/>
        <v>0</v>
      </c>
      <c r="BC37" s="901">
        <f t="shared" si="23"/>
        <v>0</v>
      </c>
      <c r="BD37" s="943">
        <f t="shared" si="46"/>
        <v>0</v>
      </c>
      <c r="BE37" s="942">
        <f t="shared" si="24"/>
        <v>0</v>
      </c>
      <c r="BF37" s="26">
        <f t="shared" si="25"/>
        <v>0</v>
      </c>
      <c r="BG37" s="26">
        <f t="shared" si="26"/>
        <v>0</v>
      </c>
      <c r="BH37" s="586">
        <f t="shared" si="47"/>
        <v>0</v>
      </c>
      <c r="BI37" s="26">
        <f t="shared" si="27"/>
        <v>0</v>
      </c>
      <c r="BJ37" s="26">
        <f t="shared" si="28"/>
        <v>0</v>
      </c>
      <c r="BK37" s="586">
        <f t="shared" si="29"/>
        <v>0</v>
      </c>
      <c r="BL37" s="26">
        <f t="shared" si="30"/>
        <v>0</v>
      </c>
      <c r="BM37" s="26">
        <f t="shared" si="31"/>
        <v>0</v>
      </c>
      <c r="BN37" s="586" t="str">
        <f>IFERROR(AVERAGE(#REF!),"  ")</f>
        <v xml:space="preserve">  </v>
      </c>
      <c r="BO37" s="572">
        <f t="shared" si="32"/>
        <v>0</v>
      </c>
      <c r="BP37" s="572">
        <f t="shared" si="33"/>
        <v>0</v>
      </c>
      <c r="BQ37" s="586" t="str">
        <f>IFERROR(AVERAGE(#REF!),"  ")</f>
        <v xml:space="preserve">  </v>
      </c>
    </row>
    <row r="38" spans="1:69" ht="24.95" customHeight="1" x14ac:dyDescent="0.2">
      <c r="A38" s="574">
        <v>30</v>
      </c>
      <c r="B38" s="518">
        <f>dtsiswa!D36</f>
        <v>0</v>
      </c>
      <c r="C38" s="572" t="s">
        <v>5</v>
      </c>
      <c r="D38" s="8"/>
      <c r="E38" s="8"/>
      <c r="F38" s="8"/>
      <c r="G38" s="8"/>
      <c r="H38" s="8"/>
      <c r="I38" s="8"/>
      <c r="J38" s="584" t="str">
        <f t="shared" si="0"/>
        <v xml:space="preserve">  </v>
      </c>
      <c r="K38" s="8"/>
      <c r="L38" s="8"/>
      <c r="M38" s="8"/>
      <c r="N38" s="8"/>
      <c r="O38" s="584" t="str">
        <f t="shared" si="1"/>
        <v xml:space="preserve">  </v>
      </c>
      <c r="P38" s="8"/>
      <c r="Q38" s="8"/>
      <c r="R38" s="8"/>
      <c r="S38" s="8"/>
      <c r="T38" s="584" t="str">
        <f t="shared" si="2"/>
        <v xml:space="preserve">  </v>
      </c>
      <c r="U38" s="8"/>
      <c r="V38" s="8"/>
      <c r="W38" s="8"/>
      <c r="X38" s="8"/>
      <c r="Y38" s="584" t="str">
        <f t="shared" si="3"/>
        <v xml:space="preserve">  </v>
      </c>
      <c r="Z38" s="519">
        <f t="shared" si="34"/>
        <v>0</v>
      </c>
      <c r="AA38" s="519">
        <f t="shared" si="35"/>
        <v>0</v>
      </c>
      <c r="AB38" s="519">
        <f t="shared" si="36"/>
        <v>0</v>
      </c>
      <c r="AC38" s="519">
        <f t="shared" si="37"/>
        <v>0</v>
      </c>
      <c r="AD38" s="519">
        <f t="shared" si="38"/>
        <v>0</v>
      </c>
      <c r="AE38" s="21">
        <f t="shared" si="39"/>
        <v>0</v>
      </c>
      <c r="AF38" s="585">
        <f t="shared" si="40"/>
        <v>0</v>
      </c>
      <c r="AG38" s="585">
        <f t="shared" si="41"/>
        <v>0</v>
      </c>
      <c r="AH38" s="585">
        <f t="shared" si="42"/>
        <v>0</v>
      </c>
      <c r="AI38" s="585">
        <f t="shared" si="43"/>
        <v>0</v>
      </c>
      <c r="AJ38" s="585">
        <f t="shared" si="44"/>
        <v>0</v>
      </c>
      <c r="AK38" s="21">
        <f t="shared" si="45"/>
        <v>0</v>
      </c>
      <c r="AL38" s="565">
        <f t="shared" si="6"/>
        <v>0</v>
      </c>
      <c r="AM38" s="565">
        <f t="shared" si="7"/>
        <v>0</v>
      </c>
      <c r="AN38" s="565">
        <f t="shared" si="8"/>
        <v>0</v>
      </c>
      <c r="AO38" s="565">
        <f t="shared" si="9"/>
        <v>0</v>
      </c>
      <c r="AP38" s="565">
        <f t="shared" si="10"/>
        <v>0</v>
      </c>
      <c r="AQ38" s="529">
        <f t="shared" si="11"/>
        <v>0</v>
      </c>
      <c r="AR38" s="532">
        <f t="shared" si="12"/>
        <v>0</v>
      </c>
      <c r="AS38" s="26">
        <f t="shared" si="13"/>
        <v>0</v>
      </c>
      <c r="AT38" s="26">
        <f t="shared" si="14"/>
        <v>0</v>
      </c>
      <c r="AU38" s="586">
        <f t="shared" si="15"/>
        <v>0</v>
      </c>
      <c r="AV38" s="26">
        <f t="shared" si="16"/>
        <v>0</v>
      </c>
      <c r="AW38" s="26">
        <f t="shared" si="17"/>
        <v>0</v>
      </c>
      <c r="AX38" s="586">
        <f t="shared" si="18"/>
        <v>0</v>
      </c>
      <c r="AY38" s="26">
        <f t="shared" si="19"/>
        <v>0</v>
      </c>
      <c r="AZ38" s="26">
        <f t="shared" si="20"/>
        <v>0</v>
      </c>
      <c r="BA38" s="586">
        <f t="shared" si="21"/>
        <v>0</v>
      </c>
      <c r="BB38" s="901">
        <f t="shared" si="22"/>
        <v>0</v>
      </c>
      <c r="BC38" s="901">
        <f t="shared" si="23"/>
        <v>0</v>
      </c>
      <c r="BD38" s="943">
        <f t="shared" si="46"/>
        <v>0</v>
      </c>
      <c r="BE38" s="942">
        <f t="shared" si="24"/>
        <v>0</v>
      </c>
      <c r="BF38" s="26">
        <f t="shared" si="25"/>
        <v>0</v>
      </c>
      <c r="BG38" s="26">
        <f t="shared" si="26"/>
        <v>0</v>
      </c>
      <c r="BH38" s="586">
        <f t="shared" si="47"/>
        <v>0</v>
      </c>
      <c r="BI38" s="26">
        <f t="shared" si="27"/>
        <v>0</v>
      </c>
      <c r="BJ38" s="26">
        <f t="shared" si="28"/>
        <v>0</v>
      </c>
      <c r="BK38" s="586">
        <f t="shared" si="29"/>
        <v>0</v>
      </c>
      <c r="BL38" s="26">
        <f t="shared" si="30"/>
        <v>0</v>
      </c>
      <c r="BM38" s="26">
        <f t="shared" si="31"/>
        <v>0</v>
      </c>
      <c r="BN38" s="586" t="str">
        <f>IFERROR(AVERAGE(#REF!),"  ")</f>
        <v xml:space="preserve">  </v>
      </c>
      <c r="BO38" s="572">
        <f t="shared" si="32"/>
        <v>0</v>
      </c>
      <c r="BP38" s="572">
        <f t="shared" si="33"/>
        <v>0</v>
      </c>
      <c r="BQ38" s="586" t="str">
        <f>IFERROR(AVERAGE(#REF!),"  ")</f>
        <v xml:space="preserve">  </v>
      </c>
    </row>
    <row r="39" spans="1:69" ht="24.95" customHeight="1" x14ac:dyDescent="0.2">
      <c r="A39" s="574">
        <v>31</v>
      </c>
      <c r="B39" s="518">
        <f>dtsiswa!D37</f>
        <v>0</v>
      </c>
      <c r="C39" s="572" t="s">
        <v>5</v>
      </c>
      <c r="D39" s="8"/>
      <c r="E39" s="8"/>
      <c r="F39" s="8"/>
      <c r="G39" s="8"/>
      <c r="H39" s="8"/>
      <c r="I39" s="8"/>
      <c r="J39" s="584" t="str">
        <f t="shared" si="0"/>
        <v xml:space="preserve">  </v>
      </c>
      <c r="K39" s="8"/>
      <c r="L39" s="8"/>
      <c r="M39" s="8"/>
      <c r="N39" s="8"/>
      <c r="O39" s="584" t="str">
        <f t="shared" si="1"/>
        <v xml:space="preserve">  </v>
      </c>
      <c r="P39" s="8"/>
      <c r="Q39" s="8"/>
      <c r="R39" s="8"/>
      <c r="S39" s="8"/>
      <c r="T39" s="584" t="str">
        <f t="shared" si="2"/>
        <v xml:space="preserve">  </v>
      </c>
      <c r="U39" s="8"/>
      <c r="V39" s="8"/>
      <c r="W39" s="8"/>
      <c r="X39" s="8"/>
      <c r="Y39" s="584" t="str">
        <f t="shared" si="3"/>
        <v xml:space="preserve">  </v>
      </c>
      <c r="Z39" s="519">
        <f t="shared" si="34"/>
        <v>0</v>
      </c>
      <c r="AA39" s="519">
        <f t="shared" si="35"/>
        <v>0</v>
      </c>
      <c r="AB39" s="519">
        <f t="shared" si="36"/>
        <v>0</v>
      </c>
      <c r="AC39" s="519">
        <f t="shared" si="37"/>
        <v>0</v>
      </c>
      <c r="AD39" s="519">
        <f t="shared" si="38"/>
        <v>0</v>
      </c>
      <c r="AE39" s="21">
        <f t="shared" si="39"/>
        <v>0</v>
      </c>
      <c r="AF39" s="585">
        <f t="shared" si="40"/>
        <v>0</v>
      </c>
      <c r="AG39" s="585">
        <f t="shared" si="41"/>
        <v>0</v>
      </c>
      <c r="AH39" s="585">
        <f t="shared" si="42"/>
        <v>0</v>
      </c>
      <c r="AI39" s="585">
        <f t="shared" si="43"/>
        <v>0</v>
      </c>
      <c r="AJ39" s="585">
        <f t="shared" si="44"/>
        <v>0</v>
      </c>
      <c r="AK39" s="21">
        <f t="shared" si="45"/>
        <v>0</v>
      </c>
      <c r="AL39" s="565">
        <f t="shared" si="6"/>
        <v>0</v>
      </c>
      <c r="AM39" s="565">
        <f t="shared" si="7"/>
        <v>0</v>
      </c>
      <c r="AN39" s="565">
        <f t="shared" si="8"/>
        <v>0</v>
      </c>
      <c r="AO39" s="565">
        <f t="shared" si="9"/>
        <v>0</v>
      </c>
      <c r="AP39" s="565">
        <f t="shared" si="10"/>
        <v>0</v>
      </c>
      <c r="AQ39" s="529">
        <f t="shared" si="11"/>
        <v>0</v>
      </c>
      <c r="AR39" s="532">
        <f t="shared" si="12"/>
        <v>0</v>
      </c>
      <c r="AS39" s="26">
        <f t="shared" si="13"/>
        <v>0</v>
      </c>
      <c r="AT39" s="26">
        <f t="shared" si="14"/>
        <v>0</v>
      </c>
      <c r="AU39" s="586">
        <f t="shared" si="15"/>
        <v>0</v>
      </c>
      <c r="AV39" s="26">
        <f t="shared" si="16"/>
        <v>0</v>
      </c>
      <c r="AW39" s="26">
        <f t="shared" si="17"/>
        <v>0</v>
      </c>
      <c r="AX39" s="586">
        <f t="shared" si="18"/>
        <v>0</v>
      </c>
      <c r="AY39" s="26">
        <f t="shared" si="19"/>
        <v>0</v>
      </c>
      <c r="AZ39" s="26">
        <f t="shared" si="20"/>
        <v>0</v>
      </c>
      <c r="BA39" s="586">
        <f t="shared" si="21"/>
        <v>0</v>
      </c>
      <c r="BB39" s="901">
        <f t="shared" si="22"/>
        <v>0</v>
      </c>
      <c r="BC39" s="901">
        <f t="shared" si="23"/>
        <v>0</v>
      </c>
      <c r="BD39" s="943">
        <f t="shared" si="46"/>
        <v>0</v>
      </c>
      <c r="BE39" s="942">
        <f t="shared" si="24"/>
        <v>0</v>
      </c>
      <c r="BF39" s="26">
        <f t="shared" si="25"/>
        <v>0</v>
      </c>
      <c r="BG39" s="26">
        <f t="shared" si="26"/>
        <v>0</v>
      </c>
      <c r="BH39" s="586">
        <f t="shared" si="47"/>
        <v>0</v>
      </c>
      <c r="BI39" s="26">
        <f t="shared" si="27"/>
        <v>0</v>
      </c>
      <c r="BJ39" s="26">
        <f t="shared" si="28"/>
        <v>0</v>
      </c>
      <c r="BK39" s="586">
        <f t="shared" si="29"/>
        <v>0</v>
      </c>
      <c r="BL39" s="26">
        <f t="shared" si="30"/>
        <v>0</v>
      </c>
      <c r="BM39" s="26">
        <f t="shared" si="31"/>
        <v>0</v>
      </c>
      <c r="BN39" s="586" t="str">
        <f>IFERROR(AVERAGE(#REF!),"  ")</f>
        <v xml:space="preserve">  </v>
      </c>
      <c r="BO39" s="572">
        <f t="shared" si="32"/>
        <v>0</v>
      </c>
      <c r="BP39" s="572">
        <f t="shared" si="33"/>
        <v>0</v>
      </c>
      <c r="BQ39" s="586" t="str">
        <f>IFERROR(AVERAGE(#REF!),"  ")</f>
        <v xml:space="preserve">  </v>
      </c>
    </row>
    <row r="40" spans="1:69" ht="24.95" customHeight="1" x14ac:dyDescent="0.2">
      <c r="A40" s="574">
        <v>32</v>
      </c>
      <c r="B40" s="518">
        <f>dtsiswa!D38</f>
        <v>0</v>
      </c>
      <c r="C40" s="572"/>
      <c r="D40" s="8"/>
      <c r="E40" s="8"/>
      <c r="F40" s="8"/>
      <c r="G40" s="8"/>
      <c r="H40" s="8"/>
      <c r="I40" s="8"/>
      <c r="J40" s="584" t="str">
        <f t="shared" si="0"/>
        <v xml:space="preserve">  </v>
      </c>
      <c r="K40" s="8"/>
      <c r="L40" s="8"/>
      <c r="M40" s="8"/>
      <c r="N40" s="8"/>
      <c r="O40" s="584" t="str">
        <f t="shared" si="1"/>
        <v xml:space="preserve">  </v>
      </c>
      <c r="P40" s="8"/>
      <c r="Q40" s="8"/>
      <c r="R40" s="8"/>
      <c r="S40" s="8"/>
      <c r="T40" s="584" t="str">
        <f t="shared" si="2"/>
        <v xml:space="preserve">  </v>
      </c>
      <c r="U40" s="8"/>
      <c r="V40" s="8"/>
      <c r="W40" s="8"/>
      <c r="X40" s="8"/>
      <c r="Y40" s="584" t="str">
        <f t="shared" si="3"/>
        <v xml:space="preserve">  </v>
      </c>
      <c r="Z40" s="519">
        <f t="shared" si="34"/>
        <v>0</v>
      </c>
      <c r="AA40" s="519">
        <f t="shared" si="35"/>
        <v>0</v>
      </c>
      <c r="AB40" s="519">
        <f t="shared" si="36"/>
        <v>0</v>
      </c>
      <c r="AC40" s="519">
        <f t="shared" si="37"/>
        <v>0</v>
      </c>
      <c r="AD40" s="519">
        <f t="shared" si="38"/>
        <v>0</v>
      </c>
      <c r="AE40" s="21">
        <f t="shared" si="39"/>
        <v>0</v>
      </c>
      <c r="AF40" s="585">
        <f t="shared" si="40"/>
        <v>0</v>
      </c>
      <c r="AG40" s="585">
        <f t="shared" si="41"/>
        <v>0</v>
      </c>
      <c r="AH40" s="585">
        <f t="shared" si="42"/>
        <v>0</v>
      </c>
      <c r="AI40" s="585">
        <f t="shared" si="43"/>
        <v>0</v>
      </c>
      <c r="AJ40" s="585">
        <f t="shared" si="44"/>
        <v>0</v>
      </c>
      <c r="AK40" s="21">
        <f t="shared" si="45"/>
        <v>0</v>
      </c>
      <c r="AL40" s="565">
        <f t="shared" si="6"/>
        <v>0</v>
      </c>
      <c r="AM40" s="565">
        <f t="shared" si="7"/>
        <v>0</v>
      </c>
      <c r="AN40" s="565">
        <f t="shared" si="8"/>
        <v>0</v>
      </c>
      <c r="AO40" s="565">
        <f t="shared" si="9"/>
        <v>0</v>
      </c>
      <c r="AP40" s="565">
        <f t="shared" si="10"/>
        <v>0</v>
      </c>
      <c r="AQ40" s="529">
        <f t="shared" si="11"/>
        <v>0</v>
      </c>
      <c r="AR40" s="532">
        <f t="shared" si="12"/>
        <v>0</v>
      </c>
      <c r="AS40" s="26">
        <f t="shared" si="13"/>
        <v>0</v>
      </c>
      <c r="AT40" s="26">
        <f t="shared" si="14"/>
        <v>0</v>
      </c>
      <c r="AU40" s="586">
        <f t="shared" si="15"/>
        <v>0</v>
      </c>
      <c r="AV40" s="26">
        <f t="shared" si="16"/>
        <v>0</v>
      </c>
      <c r="AW40" s="26">
        <f t="shared" si="17"/>
        <v>0</v>
      </c>
      <c r="AX40" s="586">
        <f t="shared" si="18"/>
        <v>0</v>
      </c>
      <c r="AY40" s="26">
        <f t="shared" si="19"/>
        <v>0</v>
      </c>
      <c r="AZ40" s="26">
        <f t="shared" si="20"/>
        <v>0</v>
      </c>
      <c r="BA40" s="586">
        <f t="shared" si="21"/>
        <v>0</v>
      </c>
      <c r="BB40" s="901">
        <f t="shared" si="22"/>
        <v>0</v>
      </c>
      <c r="BC40" s="901">
        <f t="shared" si="23"/>
        <v>0</v>
      </c>
      <c r="BD40" s="943">
        <f t="shared" si="46"/>
        <v>0</v>
      </c>
      <c r="BE40" s="942">
        <f t="shared" si="24"/>
        <v>0</v>
      </c>
      <c r="BF40" s="26">
        <f t="shared" si="25"/>
        <v>0</v>
      </c>
      <c r="BG40" s="26">
        <f t="shared" si="26"/>
        <v>0</v>
      </c>
      <c r="BH40" s="586">
        <f t="shared" si="47"/>
        <v>0</v>
      </c>
      <c r="BI40" s="26">
        <f t="shared" si="27"/>
        <v>0</v>
      </c>
      <c r="BJ40" s="26">
        <f t="shared" si="28"/>
        <v>0</v>
      </c>
      <c r="BK40" s="586">
        <f t="shared" si="29"/>
        <v>0</v>
      </c>
      <c r="BL40" s="26">
        <f t="shared" si="30"/>
        <v>0</v>
      </c>
      <c r="BM40" s="26">
        <f t="shared" si="31"/>
        <v>0</v>
      </c>
      <c r="BN40" s="586" t="str">
        <f>IFERROR(AVERAGE(#REF!),"  ")</f>
        <v xml:space="preserve">  </v>
      </c>
      <c r="BO40" s="572">
        <f t="shared" si="32"/>
        <v>0</v>
      </c>
      <c r="BP40" s="572">
        <f t="shared" si="33"/>
        <v>0</v>
      </c>
      <c r="BQ40" s="586" t="str">
        <f>IFERROR(AVERAGE(#REF!),"  ")</f>
        <v xml:space="preserve">  </v>
      </c>
    </row>
    <row r="41" spans="1:69" ht="24.95" customHeight="1" x14ac:dyDescent="0.2">
      <c r="A41" s="574">
        <v>33</v>
      </c>
      <c r="B41" s="518">
        <f>dtsiswa!D39</f>
        <v>0</v>
      </c>
      <c r="C41" s="572"/>
      <c r="D41" s="8"/>
      <c r="E41" s="8"/>
      <c r="F41" s="8"/>
      <c r="G41" s="8"/>
      <c r="H41" s="8"/>
      <c r="I41" s="8"/>
      <c r="J41" s="584" t="str">
        <f t="shared" si="0"/>
        <v xml:space="preserve">  </v>
      </c>
      <c r="K41" s="8"/>
      <c r="L41" s="8"/>
      <c r="M41" s="8"/>
      <c r="N41" s="8"/>
      <c r="O41" s="584" t="str">
        <f t="shared" si="1"/>
        <v xml:space="preserve">  </v>
      </c>
      <c r="P41" s="8"/>
      <c r="Q41" s="8"/>
      <c r="R41" s="8"/>
      <c r="S41" s="8"/>
      <c r="T41" s="584" t="str">
        <f t="shared" si="2"/>
        <v xml:space="preserve">  </v>
      </c>
      <c r="U41" s="8"/>
      <c r="V41" s="8"/>
      <c r="W41" s="8"/>
      <c r="X41" s="8"/>
      <c r="Y41" s="584" t="str">
        <f t="shared" si="3"/>
        <v xml:space="preserve">  </v>
      </c>
      <c r="Z41" s="519">
        <f t="shared" si="34"/>
        <v>0</v>
      </c>
      <c r="AA41" s="519">
        <f t="shared" si="35"/>
        <v>0</v>
      </c>
      <c r="AB41" s="519">
        <f t="shared" si="36"/>
        <v>0</v>
      </c>
      <c r="AC41" s="519">
        <f t="shared" si="37"/>
        <v>0</v>
      </c>
      <c r="AD41" s="519">
        <f t="shared" si="38"/>
        <v>0</v>
      </c>
      <c r="AE41" s="21">
        <f t="shared" si="39"/>
        <v>0</v>
      </c>
      <c r="AF41" s="585">
        <f t="shared" si="40"/>
        <v>0</v>
      </c>
      <c r="AG41" s="585">
        <f t="shared" si="41"/>
        <v>0</v>
      </c>
      <c r="AH41" s="585">
        <f t="shared" si="42"/>
        <v>0</v>
      </c>
      <c r="AI41" s="585">
        <f t="shared" si="43"/>
        <v>0</v>
      </c>
      <c r="AJ41" s="585">
        <f t="shared" si="44"/>
        <v>0</v>
      </c>
      <c r="AK41" s="21">
        <f t="shared" si="45"/>
        <v>0</v>
      </c>
      <c r="AL41" s="565">
        <f t="shared" si="6"/>
        <v>0</v>
      </c>
      <c r="AM41" s="565">
        <f t="shared" si="7"/>
        <v>0</v>
      </c>
      <c r="AN41" s="565">
        <f t="shared" si="8"/>
        <v>0</v>
      </c>
      <c r="AO41" s="565">
        <f t="shared" si="9"/>
        <v>0</v>
      </c>
      <c r="AP41" s="565">
        <f t="shared" si="10"/>
        <v>0</v>
      </c>
      <c r="AQ41" s="529">
        <f t="shared" si="11"/>
        <v>0</v>
      </c>
      <c r="AR41" s="532">
        <f t="shared" si="12"/>
        <v>0</v>
      </c>
      <c r="AS41" s="26">
        <f t="shared" si="13"/>
        <v>0</v>
      </c>
      <c r="AT41" s="26">
        <f t="shared" si="14"/>
        <v>0</v>
      </c>
      <c r="AU41" s="586">
        <f t="shared" si="15"/>
        <v>0</v>
      </c>
      <c r="AV41" s="26">
        <f t="shared" si="16"/>
        <v>0</v>
      </c>
      <c r="AW41" s="26">
        <f t="shared" si="17"/>
        <v>0</v>
      </c>
      <c r="AX41" s="586">
        <f t="shared" si="18"/>
        <v>0</v>
      </c>
      <c r="AY41" s="26">
        <f t="shared" si="19"/>
        <v>0</v>
      </c>
      <c r="AZ41" s="26">
        <f t="shared" si="20"/>
        <v>0</v>
      </c>
      <c r="BA41" s="586">
        <f t="shared" si="21"/>
        <v>0</v>
      </c>
      <c r="BB41" s="901">
        <f t="shared" si="22"/>
        <v>0</v>
      </c>
      <c r="BC41" s="901">
        <f t="shared" si="23"/>
        <v>0</v>
      </c>
      <c r="BD41" s="943">
        <f t="shared" si="46"/>
        <v>0</v>
      </c>
      <c r="BE41" s="942">
        <f t="shared" si="24"/>
        <v>0</v>
      </c>
      <c r="BF41" s="26">
        <f t="shared" si="25"/>
        <v>0</v>
      </c>
      <c r="BG41" s="26">
        <f t="shared" si="26"/>
        <v>0</v>
      </c>
      <c r="BH41" s="586">
        <f t="shared" si="47"/>
        <v>0</v>
      </c>
      <c r="BI41" s="26">
        <f t="shared" si="27"/>
        <v>0</v>
      </c>
      <c r="BJ41" s="26">
        <f t="shared" si="28"/>
        <v>0</v>
      </c>
      <c r="BK41" s="586">
        <f t="shared" si="29"/>
        <v>0</v>
      </c>
      <c r="BL41" s="26">
        <f t="shared" si="30"/>
        <v>0</v>
      </c>
      <c r="BM41" s="26">
        <f t="shared" si="31"/>
        <v>0</v>
      </c>
      <c r="BN41" s="586" t="str">
        <f>IFERROR(AVERAGE(#REF!),"  ")</f>
        <v xml:space="preserve">  </v>
      </c>
      <c r="BO41" s="572">
        <f t="shared" si="32"/>
        <v>0</v>
      </c>
      <c r="BP41" s="572">
        <f t="shared" si="33"/>
        <v>0</v>
      </c>
      <c r="BQ41" s="586" t="str">
        <f>IFERROR(AVERAGE(#REF!),"  ")</f>
        <v xml:space="preserve">  </v>
      </c>
    </row>
    <row r="42" spans="1:69" ht="24.95" customHeight="1" x14ac:dyDescent="0.2">
      <c r="A42" s="574">
        <v>34</v>
      </c>
      <c r="B42" s="518">
        <f>dtsiswa!D40</f>
        <v>0</v>
      </c>
      <c r="C42" s="572"/>
      <c r="D42" s="8"/>
      <c r="E42" s="8"/>
      <c r="F42" s="8"/>
      <c r="G42" s="8"/>
      <c r="H42" s="8"/>
      <c r="I42" s="8"/>
      <c r="J42" s="584" t="str">
        <f t="shared" si="0"/>
        <v xml:space="preserve">  </v>
      </c>
      <c r="K42" s="8"/>
      <c r="L42" s="8"/>
      <c r="M42" s="8"/>
      <c r="N42" s="8"/>
      <c r="O42" s="584" t="str">
        <f t="shared" si="1"/>
        <v xml:space="preserve">  </v>
      </c>
      <c r="P42" s="8"/>
      <c r="Q42" s="8"/>
      <c r="R42" s="8"/>
      <c r="S42" s="8"/>
      <c r="T42" s="584" t="str">
        <f t="shared" si="2"/>
        <v xml:space="preserve">  </v>
      </c>
      <c r="U42" s="8"/>
      <c r="V42" s="8"/>
      <c r="W42" s="8"/>
      <c r="X42" s="8"/>
      <c r="Y42" s="584" t="str">
        <f t="shared" si="3"/>
        <v xml:space="preserve">  </v>
      </c>
      <c r="Z42" s="519">
        <f t="shared" si="34"/>
        <v>0</v>
      </c>
      <c r="AA42" s="519">
        <f t="shared" si="35"/>
        <v>0</v>
      </c>
      <c r="AB42" s="519">
        <f t="shared" si="36"/>
        <v>0</v>
      </c>
      <c r="AC42" s="519">
        <f t="shared" si="37"/>
        <v>0</v>
      </c>
      <c r="AD42" s="519">
        <f t="shared" si="38"/>
        <v>0</v>
      </c>
      <c r="AE42" s="21">
        <f t="shared" si="39"/>
        <v>0</v>
      </c>
      <c r="AF42" s="585">
        <f t="shared" si="40"/>
        <v>0</v>
      </c>
      <c r="AG42" s="585">
        <f t="shared" si="41"/>
        <v>0</v>
      </c>
      <c r="AH42" s="585">
        <f t="shared" si="42"/>
        <v>0</v>
      </c>
      <c r="AI42" s="585">
        <f t="shared" si="43"/>
        <v>0</v>
      </c>
      <c r="AJ42" s="585">
        <f t="shared" si="44"/>
        <v>0</v>
      </c>
      <c r="AK42" s="21">
        <f t="shared" si="45"/>
        <v>0</v>
      </c>
      <c r="AL42" s="565">
        <f t="shared" si="6"/>
        <v>0</v>
      </c>
      <c r="AM42" s="565">
        <f t="shared" si="7"/>
        <v>0</v>
      </c>
      <c r="AN42" s="565">
        <f t="shared" si="8"/>
        <v>0</v>
      </c>
      <c r="AO42" s="565">
        <f t="shared" si="9"/>
        <v>0</v>
      </c>
      <c r="AP42" s="565">
        <f t="shared" si="10"/>
        <v>0</v>
      </c>
      <c r="AQ42" s="529">
        <f t="shared" si="11"/>
        <v>0</v>
      </c>
      <c r="AR42" s="532">
        <f t="shared" si="12"/>
        <v>0</v>
      </c>
      <c r="AS42" s="26">
        <f t="shared" si="13"/>
        <v>0</v>
      </c>
      <c r="AT42" s="26">
        <f t="shared" si="14"/>
        <v>0</v>
      </c>
      <c r="AU42" s="586">
        <f t="shared" si="15"/>
        <v>0</v>
      </c>
      <c r="AV42" s="26">
        <f t="shared" si="16"/>
        <v>0</v>
      </c>
      <c r="AW42" s="26">
        <f t="shared" si="17"/>
        <v>0</v>
      </c>
      <c r="AX42" s="586">
        <f t="shared" si="18"/>
        <v>0</v>
      </c>
      <c r="AY42" s="26">
        <f t="shared" si="19"/>
        <v>0</v>
      </c>
      <c r="AZ42" s="26">
        <f t="shared" si="20"/>
        <v>0</v>
      </c>
      <c r="BA42" s="586">
        <f t="shared" si="21"/>
        <v>0</v>
      </c>
      <c r="BB42" s="901">
        <f t="shared" si="22"/>
        <v>0</v>
      </c>
      <c r="BC42" s="901">
        <f t="shared" si="23"/>
        <v>0</v>
      </c>
      <c r="BD42" s="943">
        <f t="shared" si="46"/>
        <v>0</v>
      </c>
      <c r="BE42" s="942">
        <f t="shared" si="24"/>
        <v>0</v>
      </c>
      <c r="BF42" s="26">
        <f t="shared" si="25"/>
        <v>0</v>
      </c>
      <c r="BG42" s="26">
        <f t="shared" si="26"/>
        <v>0</v>
      </c>
      <c r="BH42" s="586">
        <f t="shared" si="47"/>
        <v>0</v>
      </c>
      <c r="BI42" s="26">
        <f t="shared" si="27"/>
        <v>0</v>
      </c>
      <c r="BJ42" s="26">
        <f t="shared" si="28"/>
        <v>0</v>
      </c>
      <c r="BK42" s="586">
        <f t="shared" si="29"/>
        <v>0</v>
      </c>
      <c r="BL42" s="26">
        <f t="shared" si="30"/>
        <v>0</v>
      </c>
      <c r="BM42" s="26">
        <f t="shared" si="31"/>
        <v>0</v>
      </c>
      <c r="BN42" s="586" t="str">
        <f>IFERROR(AVERAGE(#REF!),"  ")</f>
        <v xml:space="preserve">  </v>
      </c>
      <c r="BO42" s="572">
        <f t="shared" si="32"/>
        <v>0</v>
      </c>
      <c r="BP42" s="572">
        <f t="shared" si="33"/>
        <v>0</v>
      </c>
      <c r="BQ42" s="586" t="str">
        <f>IFERROR(AVERAGE(#REF!),"  ")</f>
        <v xml:space="preserve">  </v>
      </c>
    </row>
    <row r="43" spans="1:69" ht="24.95" customHeight="1" x14ac:dyDescent="0.2">
      <c r="A43" s="574">
        <v>35</v>
      </c>
      <c r="B43" s="518">
        <f>dtsiswa!D41</f>
        <v>0</v>
      </c>
      <c r="C43" s="572"/>
      <c r="D43" s="8"/>
      <c r="E43" s="8"/>
      <c r="F43" s="8"/>
      <c r="G43" s="8"/>
      <c r="H43" s="8"/>
      <c r="I43" s="8"/>
      <c r="J43" s="584" t="str">
        <f t="shared" si="0"/>
        <v xml:space="preserve">  </v>
      </c>
      <c r="K43" s="8"/>
      <c r="L43" s="8"/>
      <c r="M43" s="8"/>
      <c r="N43" s="8"/>
      <c r="O43" s="584" t="str">
        <f t="shared" si="1"/>
        <v xml:space="preserve">  </v>
      </c>
      <c r="P43" s="8"/>
      <c r="Q43" s="8"/>
      <c r="R43" s="8"/>
      <c r="S43" s="8"/>
      <c r="T43" s="584" t="str">
        <f t="shared" si="2"/>
        <v xml:space="preserve">  </v>
      </c>
      <c r="U43" s="8"/>
      <c r="V43" s="8"/>
      <c r="W43" s="8"/>
      <c r="X43" s="8"/>
      <c r="Y43" s="584" t="str">
        <f t="shared" si="3"/>
        <v xml:space="preserve">  </v>
      </c>
      <c r="Z43" s="519">
        <f t="shared" si="34"/>
        <v>0</v>
      </c>
      <c r="AA43" s="519">
        <f t="shared" si="35"/>
        <v>0</v>
      </c>
      <c r="AB43" s="519">
        <f t="shared" si="36"/>
        <v>0</v>
      </c>
      <c r="AC43" s="519">
        <f t="shared" si="37"/>
        <v>0</v>
      </c>
      <c r="AD43" s="519">
        <f t="shared" si="38"/>
        <v>0</v>
      </c>
      <c r="AE43" s="21">
        <f t="shared" si="39"/>
        <v>0</v>
      </c>
      <c r="AF43" s="585">
        <f t="shared" si="40"/>
        <v>0</v>
      </c>
      <c r="AG43" s="585">
        <f t="shared" si="41"/>
        <v>0</v>
      </c>
      <c r="AH43" s="585">
        <f t="shared" si="42"/>
        <v>0</v>
      </c>
      <c r="AI43" s="585">
        <f t="shared" si="43"/>
        <v>0</v>
      </c>
      <c r="AJ43" s="585">
        <f t="shared" si="44"/>
        <v>0</v>
      </c>
      <c r="AK43" s="21">
        <f t="shared" si="45"/>
        <v>0</v>
      </c>
      <c r="AL43" s="565">
        <f t="shared" si="6"/>
        <v>0</v>
      </c>
      <c r="AM43" s="565">
        <f t="shared" si="7"/>
        <v>0</v>
      </c>
      <c r="AN43" s="565">
        <f t="shared" si="8"/>
        <v>0</v>
      </c>
      <c r="AO43" s="565">
        <f t="shared" si="9"/>
        <v>0</v>
      </c>
      <c r="AP43" s="565">
        <f t="shared" si="10"/>
        <v>0</v>
      </c>
      <c r="AQ43" s="529">
        <f t="shared" si="11"/>
        <v>0</v>
      </c>
      <c r="AR43" s="532">
        <f t="shared" si="12"/>
        <v>0</v>
      </c>
      <c r="AS43" s="26">
        <f t="shared" si="13"/>
        <v>0</v>
      </c>
      <c r="AT43" s="26">
        <f t="shared" si="14"/>
        <v>0</v>
      </c>
      <c r="AU43" s="586">
        <f t="shared" si="15"/>
        <v>0</v>
      </c>
      <c r="AV43" s="26">
        <f t="shared" si="16"/>
        <v>0</v>
      </c>
      <c r="AW43" s="26">
        <f t="shared" si="17"/>
        <v>0</v>
      </c>
      <c r="AX43" s="586">
        <f t="shared" si="18"/>
        <v>0</v>
      </c>
      <c r="AY43" s="26">
        <f t="shared" si="19"/>
        <v>0</v>
      </c>
      <c r="AZ43" s="26">
        <f t="shared" si="20"/>
        <v>0</v>
      </c>
      <c r="BA43" s="586">
        <f t="shared" si="21"/>
        <v>0</v>
      </c>
      <c r="BB43" s="901">
        <f t="shared" si="22"/>
        <v>0</v>
      </c>
      <c r="BC43" s="901">
        <f t="shared" si="23"/>
        <v>0</v>
      </c>
      <c r="BD43" s="943">
        <f t="shared" si="46"/>
        <v>0</v>
      </c>
      <c r="BE43" s="942">
        <f t="shared" si="24"/>
        <v>0</v>
      </c>
      <c r="BF43" s="26">
        <f t="shared" si="25"/>
        <v>0</v>
      </c>
      <c r="BG43" s="26">
        <f t="shared" si="26"/>
        <v>0</v>
      </c>
      <c r="BH43" s="586">
        <f t="shared" si="47"/>
        <v>0</v>
      </c>
      <c r="BI43" s="26">
        <f t="shared" si="27"/>
        <v>0</v>
      </c>
      <c r="BJ43" s="26">
        <f t="shared" si="28"/>
        <v>0</v>
      </c>
      <c r="BK43" s="586">
        <f t="shared" si="29"/>
        <v>0</v>
      </c>
      <c r="BL43" s="26">
        <f t="shared" si="30"/>
        <v>0</v>
      </c>
      <c r="BM43" s="26">
        <f t="shared" si="31"/>
        <v>0</v>
      </c>
      <c r="BN43" s="586" t="str">
        <f>IFERROR(AVERAGE(#REF!),"  ")</f>
        <v xml:space="preserve">  </v>
      </c>
      <c r="BO43" s="572">
        <f t="shared" si="32"/>
        <v>0</v>
      </c>
      <c r="BP43" s="572">
        <f t="shared" si="33"/>
        <v>0</v>
      </c>
      <c r="BQ43" s="586" t="str">
        <f>IFERROR(AVERAGE(#REF!),"  ")</f>
        <v xml:space="preserve">  </v>
      </c>
    </row>
    <row r="44" spans="1:69" ht="24.95" customHeight="1" x14ac:dyDescent="0.2">
      <c r="A44" s="574">
        <v>36</v>
      </c>
      <c r="B44" s="518">
        <f>dtsiswa!D42</f>
        <v>0</v>
      </c>
      <c r="C44" s="901"/>
      <c r="D44" s="8"/>
      <c r="E44" s="8"/>
      <c r="F44" s="8"/>
      <c r="G44" s="8"/>
      <c r="H44" s="8"/>
      <c r="I44" s="8"/>
      <c r="J44" s="584" t="str">
        <f t="shared" ref="J44:J48" si="48">IFERROR(AVERAGE(D44:I44),"  ")</f>
        <v xml:space="preserve">  </v>
      </c>
      <c r="K44" s="8"/>
      <c r="L44" s="8"/>
      <c r="M44" s="8"/>
      <c r="N44" s="8"/>
      <c r="O44" s="584" t="str">
        <f t="shared" ref="O44:O48" si="49">IFERROR(AVERAGE(K44:N44),"  ")</f>
        <v xml:space="preserve">  </v>
      </c>
      <c r="P44" s="8"/>
      <c r="Q44" s="8"/>
      <c r="R44" s="8"/>
      <c r="S44" s="8"/>
      <c r="T44" s="584" t="str">
        <f t="shared" ref="T44:T48" si="50">IFERROR(AVERAGE(R44:S44),"  ")</f>
        <v xml:space="preserve">  </v>
      </c>
      <c r="U44" s="8"/>
      <c r="V44" s="8"/>
      <c r="W44" s="8"/>
      <c r="X44" s="8"/>
      <c r="Y44" s="584" t="str">
        <f t="shared" ref="Y44:Y48" si="51">IFERROR(AVERAGE(W44:X44),"  ")</f>
        <v xml:space="preserve">  </v>
      </c>
      <c r="Z44" s="519">
        <f t="shared" si="34"/>
        <v>0</v>
      </c>
      <c r="AA44" s="519">
        <f t="shared" si="35"/>
        <v>0</v>
      </c>
      <c r="AB44" s="519">
        <f t="shared" si="36"/>
        <v>0</v>
      </c>
      <c r="AC44" s="519">
        <f t="shared" si="37"/>
        <v>0</v>
      </c>
      <c r="AD44" s="519">
        <f t="shared" si="38"/>
        <v>0</v>
      </c>
      <c r="AE44" s="21">
        <f t="shared" si="39"/>
        <v>0</v>
      </c>
      <c r="AF44" s="585">
        <f t="shared" si="40"/>
        <v>0</v>
      </c>
      <c r="AG44" s="585">
        <f t="shared" si="41"/>
        <v>0</v>
      </c>
      <c r="AH44" s="585">
        <f t="shared" si="42"/>
        <v>0</v>
      </c>
      <c r="AI44" s="585">
        <f t="shared" si="43"/>
        <v>0</v>
      </c>
      <c r="AJ44" s="585">
        <f t="shared" si="44"/>
        <v>0</v>
      </c>
      <c r="AK44" s="21">
        <f t="shared" si="45"/>
        <v>0</v>
      </c>
      <c r="AL44" s="565">
        <f t="shared" ref="AL44:AL48" si="52">(Z44+AF44)/2</f>
        <v>0</v>
      </c>
      <c r="AM44" s="565">
        <f t="shared" ref="AM44:AM48" si="53">(AA44+AG44)/2</f>
        <v>0</v>
      </c>
      <c r="AN44" s="565">
        <f t="shared" ref="AN44:AN48" si="54">(AB44+AH44)/2</f>
        <v>0</v>
      </c>
      <c r="AO44" s="565">
        <f t="shared" ref="AO44:AO48" si="55">(AC44+AI44)/2</f>
        <v>0</v>
      </c>
      <c r="AP44" s="565">
        <f t="shared" ref="AP44:AP48" si="56">(AD44+AJ44)/2</f>
        <v>0</v>
      </c>
      <c r="AQ44" s="529">
        <f t="shared" si="11"/>
        <v>0</v>
      </c>
      <c r="AR44" s="532">
        <f t="shared" si="12"/>
        <v>0</v>
      </c>
      <c r="AS44" s="26">
        <f t="shared" si="13"/>
        <v>0</v>
      </c>
      <c r="AT44" s="26">
        <f t="shared" si="14"/>
        <v>0</v>
      </c>
      <c r="AU44" s="586">
        <f t="shared" si="15"/>
        <v>0</v>
      </c>
      <c r="AV44" s="26">
        <f t="shared" si="16"/>
        <v>0</v>
      </c>
      <c r="AW44" s="26">
        <f t="shared" si="17"/>
        <v>0</v>
      </c>
      <c r="AX44" s="586">
        <f t="shared" si="18"/>
        <v>0</v>
      </c>
      <c r="AY44" s="26">
        <f t="shared" si="19"/>
        <v>0</v>
      </c>
      <c r="AZ44" s="26">
        <f t="shared" si="20"/>
        <v>0</v>
      </c>
      <c r="BA44" s="586">
        <f t="shared" si="21"/>
        <v>0</v>
      </c>
      <c r="BB44" s="901">
        <f t="shared" si="22"/>
        <v>0</v>
      </c>
      <c r="BC44" s="901">
        <f t="shared" si="23"/>
        <v>0</v>
      </c>
      <c r="BD44" s="943">
        <f t="shared" si="46"/>
        <v>0</v>
      </c>
      <c r="BE44" s="942">
        <f t="shared" si="24"/>
        <v>0</v>
      </c>
      <c r="BF44" s="26">
        <f t="shared" si="25"/>
        <v>0</v>
      </c>
      <c r="BG44" s="26">
        <f t="shared" si="26"/>
        <v>0</v>
      </c>
      <c r="BH44" s="586">
        <f t="shared" ref="BH44:BH48" si="57">IFERROR(AVERAGE(BE44:BG44),"  ")</f>
        <v>0</v>
      </c>
      <c r="BI44" s="26">
        <f t="shared" si="27"/>
        <v>0</v>
      </c>
      <c r="BJ44" s="26">
        <f t="shared" si="28"/>
        <v>0</v>
      </c>
      <c r="BK44" s="586">
        <f t="shared" si="29"/>
        <v>0</v>
      </c>
      <c r="BL44" s="26">
        <f t="shared" si="30"/>
        <v>0</v>
      </c>
      <c r="BM44" s="26">
        <f t="shared" si="31"/>
        <v>0</v>
      </c>
      <c r="BN44" s="586" t="str">
        <f>IFERROR(AVERAGE(#REF!),"  ")</f>
        <v xml:space="preserve">  </v>
      </c>
      <c r="BO44" s="901">
        <f t="shared" ref="BO44:BO48" si="58">W44</f>
        <v>0</v>
      </c>
      <c r="BP44" s="901">
        <f t="shared" ref="BP44:BP48" si="59">X44</f>
        <v>0</v>
      </c>
      <c r="BQ44" s="586" t="str">
        <f>IFERROR(AVERAGE(#REF!),"  ")</f>
        <v xml:space="preserve">  </v>
      </c>
    </row>
    <row r="45" spans="1:69" ht="24.95" customHeight="1" x14ac:dyDescent="0.2">
      <c r="A45" s="574">
        <v>37</v>
      </c>
      <c r="B45" s="518">
        <f>dtsiswa!D43</f>
        <v>0</v>
      </c>
      <c r="C45" s="901"/>
      <c r="D45" s="8"/>
      <c r="E45" s="8"/>
      <c r="F45" s="8"/>
      <c r="G45" s="8"/>
      <c r="H45" s="8"/>
      <c r="I45" s="8"/>
      <c r="J45" s="584" t="str">
        <f t="shared" si="48"/>
        <v xml:space="preserve">  </v>
      </c>
      <c r="K45" s="8"/>
      <c r="L45" s="8"/>
      <c r="M45" s="8"/>
      <c r="N45" s="8"/>
      <c r="O45" s="584" t="str">
        <f t="shared" si="49"/>
        <v xml:space="preserve">  </v>
      </c>
      <c r="P45" s="8"/>
      <c r="Q45" s="8"/>
      <c r="R45" s="8"/>
      <c r="S45" s="8"/>
      <c r="T45" s="584" t="str">
        <f t="shared" si="50"/>
        <v xml:space="preserve">  </v>
      </c>
      <c r="U45" s="8"/>
      <c r="V45" s="8"/>
      <c r="W45" s="8"/>
      <c r="X45" s="8"/>
      <c r="Y45" s="584" t="str">
        <f t="shared" si="51"/>
        <v xml:space="preserve">  </v>
      </c>
      <c r="Z45" s="519">
        <f t="shared" si="34"/>
        <v>0</v>
      </c>
      <c r="AA45" s="519">
        <f t="shared" si="35"/>
        <v>0</v>
      </c>
      <c r="AB45" s="519">
        <f t="shared" si="36"/>
        <v>0</v>
      </c>
      <c r="AC45" s="519">
        <f t="shared" si="37"/>
        <v>0</v>
      </c>
      <c r="AD45" s="519">
        <f t="shared" si="38"/>
        <v>0</v>
      </c>
      <c r="AE45" s="21">
        <f t="shared" si="39"/>
        <v>0</v>
      </c>
      <c r="AF45" s="585">
        <f t="shared" si="40"/>
        <v>0</v>
      </c>
      <c r="AG45" s="585">
        <f t="shared" si="41"/>
        <v>0</v>
      </c>
      <c r="AH45" s="585">
        <f t="shared" si="42"/>
        <v>0</v>
      </c>
      <c r="AI45" s="585">
        <f t="shared" si="43"/>
        <v>0</v>
      </c>
      <c r="AJ45" s="585">
        <f t="shared" si="44"/>
        <v>0</v>
      </c>
      <c r="AK45" s="21">
        <f t="shared" si="45"/>
        <v>0</v>
      </c>
      <c r="AL45" s="565">
        <f t="shared" si="52"/>
        <v>0</v>
      </c>
      <c r="AM45" s="565">
        <f t="shared" si="53"/>
        <v>0</v>
      </c>
      <c r="AN45" s="565">
        <f t="shared" si="54"/>
        <v>0</v>
      </c>
      <c r="AO45" s="565">
        <f t="shared" si="55"/>
        <v>0</v>
      </c>
      <c r="AP45" s="565">
        <f t="shared" si="56"/>
        <v>0</v>
      </c>
      <c r="AQ45" s="529">
        <f t="shared" si="11"/>
        <v>0</v>
      </c>
      <c r="AR45" s="532">
        <f t="shared" si="12"/>
        <v>0</v>
      </c>
      <c r="AS45" s="26">
        <f t="shared" si="13"/>
        <v>0</v>
      </c>
      <c r="AT45" s="26">
        <f t="shared" si="14"/>
        <v>0</v>
      </c>
      <c r="AU45" s="586">
        <f t="shared" si="15"/>
        <v>0</v>
      </c>
      <c r="AV45" s="26">
        <f t="shared" si="16"/>
        <v>0</v>
      </c>
      <c r="AW45" s="26">
        <f t="shared" si="17"/>
        <v>0</v>
      </c>
      <c r="AX45" s="586">
        <f t="shared" si="18"/>
        <v>0</v>
      </c>
      <c r="AY45" s="26">
        <f t="shared" si="19"/>
        <v>0</v>
      </c>
      <c r="AZ45" s="26">
        <f t="shared" si="20"/>
        <v>0</v>
      </c>
      <c r="BA45" s="586">
        <f t="shared" si="21"/>
        <v>0</v>
      </c>
      <c r="BB45" s="901">
        <f t="shared" si="22"/>
        <v>0</v>
      </c>
      <c r="BC45" s="901">
        <f t="shared" si="23"/>
        <v>0</v>
      </c>
      <c r="BD45" s="943">
        <f t="shared" si="46"/>
        <v>0</v>
      </c>
      <c r="BE45" s="942">
        <f t="shared" si="24"/>
        <v>0</v>
      </c>
      <c r="BF45" s="26">
        <f t="shared" si="25"/>
        <v>0</v>
      </c>
      <c r="BG45" s="26">
        <f t="shared" si="26"/>
        <v>0</v>
      </c>
      <c r="BH45" s="586">
        <f t="shared" si="57"/>
        <v>0</v>
      </c>
      <c r="BI45" s="26">
        <f t="shared" si="27"/>
        <v>0</v>
      </c>
      <c r="BJ45" s="26">
        <f t="shared" si="28"/>
        <v>0</v>
      </c>
      <c r="BK45" s="586">
        <f t="shared" si="29"/>
        <v>0</v>
      </c>
      <c r="BL45" s="26">
        <f t="shared" si="30"/>
        <v>0</v>
      </c>
      <c r="BM45" s="26">
        <f t="shared" si="31"/>
        <v>0</v>
      </c>
      <c r="BN45" s="586" t="str">
        <f>IFERROR(AVERAGE(#REF!),"  ")</f>
        <v xml:space="preserve">  </v>
      </c>
      <c r="BO45" s="901">
        <f t="shared" si="58"/>
        <v>0</v>
      </c>
      <c r="BP45" s="901">
        <f t="shared" si="59"/>
        <v>0</v>
      </c>
      <c r="BQ45" s="586" t="str">
        <f>IFERROR(AVERAGE(#REF!),"  ")</f>
        <v xml:space="preserve">  </v>
      </c>
    </row>
    <row r="46" spans="1:69" ht="24.95" customHeight="1" x14ac:dyDescent="0.2">
      <c r="A46" s="574">
        <v>38</v>
      </c>
      <c r="B46" s="518">
        <f>dtsiswa!D44</f>
        <v>0</v>
      </c>
      <c r="C46" s="901"/>
      <c r="D46" s="8"/>
      <c r="E46" s="8"/>
      <c r="F46" s="8"/>
      <c r="G46" s="8"/>
      <c r="H46" s="8"/>
      <c r="I46" s="8"/>
      <c r="J46" s="584" t="str">
        <f t="shared" si="48"/>
        <v xml:space="preserve">  </v>
      </c>
      <c r="K46" s="8"/>
      <c r="L46" s="8"/>
      <c r="M46" s="8"/>
      <c r="N46" s="8"/>
      <c r="O46" s="584" t="str">
        <f t="shared" si="49"/>
        <v xml:space="preserve">  </v>
      </c>
      <c r="P46" s="8"/>
      <c r="Q46" s="8"/>
      <c r="R46" s="8"/>
      <c r="S46" s="8"/>
      <c r="T46" s="584" t="str">
        <f t="shared" si="50"/>
        <v xml:space="preserve">  </v>
      </c>
      <c r="U46" s="8"/>
      <c r="V46" s="8"/>
      <c r="W46" s="8"/>
      <c r="X46" s="8"/>
      <c r="Y46" s="584" t="str">
        <f t="shared" si="51"/>
        <v xml:space="preserve">  </v>
      </c>
      <c r="Z46" s="519">
        <f t="shared" si="34"/>
        <v>0</v>
      </c>
      <c r="AA46" s="519">
        <f t="shared" si="35"/>
        <v>0</v>
      </c>
      <c r="AB46" s="519">
        <f t="shared" si="36"/>
        <v>0</v>
      </c>
      <c r="AC46" s="519">
        <f t="shared" si="37"/>
        <v>0</v>
      </c>
      <c r="AD46" s="519">
        <f t="shared" si="38"/>
        <v>0</v>
      </c>
      <c r="AE46" s="21">
        <f t="shared" si="39"/>
        <v>0</v>
      </c>
      <c r="AF46" s="585">
        <f t="shared" si="40"/>
        <v>0</v>
      </c>
      <c r="AG46" s="585">
        <f t="shared" si="41"/>
        <v>0</v>
      </c>
      <c r="AH46" s="585">
        <f t="shared" si="42"/>
        <v>0</v>
      </c>
      <c r="AI46" s="585">
        <f t="shared" si="43"/>
        <v>0</v>
      </c>
      <c r="AJ46" s="585">
        <f t="shared" si="44"/>
        <v>0</v>
      </c>
      <c r="AK46" s="21">
        <f t="shared" si="45"/>
        <v>0</v>
      </c>
      <c r="AL46" s="565">
        <f t="shared" si="52"/>
        <v>0</v>
      </c>
      <c r="AM46" s="565">
        <f t="shared" si="53"/>
        <v>0</v>
      </c>
      <c r="AN46" s="565">
        <f t="shared" si="54"/>
        <v>0</v>
      </c>
      <c r="AO46" s="565">
        <f t="shared" si="55"/>
        <v>0</v>
      </c>
      <c r="AP46" s="565">
        <f t="shared" si="56"/>
        <v>0</v>
      </c>
      <c r="AQ46" s="529">
        <f t="shared" si="11"/>
        <v>0</v>
      </c>
      <c r="AR46" s="532">
        <f t="shared" si="12"/>
        <v>0</v>
      </c>
      <c r="AS46" s="26">
        <f t="shared" si="13"/>
        <v>0</v>
      </c>
      <c r="AT46" s="26">
        <f t="shared" si="14"/>
        <v>0</v>
      </c>
      <c r="AU46" s="586">
        <f t="shared" si="15"/>
        <v>0</v>
      </c>
      <c r="AV46" s="26">
        <f t="shared" si="16"/>
        <v>0</v>
      </c>
      <c r="AW46" s="26">
        <f t="shared" si="17"/>
        <v>0</v>
      </c>
      <c r="AX46" s="586">
        <f t="shared" si="18"/>
        <v>0</v>
      </c>
      <c r="AY46" s="26">
        <f t="shared" si="19"/>
        <v>0</v>
      </c>
      <c r="AZ46" s="26">
        <f t="shared" si="20"/>
        <v>0</v>
      </c>
      <c r="BA46" s="586">
        <f t="shared" si="21"/>
        <v>0</v>
      </c>
      <c r="BB46" s="901">
        <f t="shared" si="22"/>
        <v>0</v>
      </c>
      <c r="BC46" s="901">
        <f t="shared" si="23"/>
        <v>0</v>
      </c>
      <c r="BD46" s="943">
        <f t="shared" si="46"/>
        <v>0</v>
      </c>
      <c r="BE46" s="942">
        <f t="shared" si="24"/>
        <v>0</v>
      </c>
      <c r="BF46" s="26">
        <f t="shared" si="25"/>
        <v>0</v>
      </c>
      <c r="BG46" s="26">
        <f t="shared" si="26"/>
        <v>0</v>
      </c>
      <c r="BH46" s="586">
        <f t="shared" si="57"/>
        <v>0</v>
      </c>
      <c r="BI46" s="26">
        <f t="shared" si="27"/>
        <v>0</v>
      </c>
      <c r="BJ46" s="26">
        <f t="shared" si="28"/>
        <v>0</v>
      </c>
      <c r="BK46" s="586">
        <f t="shared" si="29"/>
        <v>0</v>
      </c>
      <c r="BL46" s="26">
        <f t="shared" si="30"/>
        <v>0</v>
      </c>
      <c r="BM46" s="26">
        <f t="shared" si="31"/>
        <v>0</v>
      </c>
      <c r="BN46" s="586" t="str">
        <f>IFERROR(AVERAGE(#REF!),"  ")</f>
        <v xml:space="preserve">  </v>
      </c>
      <c r="BO46" s="901">
        <f t="shared" si="58"/>
        <v>0</v>
      </c>
      <c r="BP46" s="901">
        <f t="shared" si="59"/>
        <v>0</v>
      </c>
      <c r="BQ46" s="586" t="str">
        <f>IFERROR(AVERAGE(#REF!),"  ")</f>
        <v xml:space="preserve">  </v>
      </c>
    </row>
    <row r="47" spans="1:69" ht="24.95" customHeight="1" x14ac:dyDescent="0.2">
      <c r="A47" s="574">
        <v>39</v>
      </c>
      <c r="B47" s="518">
        <f>dtsiswa!D45</f>
        <v>0</v>
      </c>
      <c r="C47" s="901"/>
      <c r="D47" s="8"/>
      <c r="E47" s="8"/>
      <c r="F47" s="8"/>
      <c r="G47" s="8"/>
      <c r="H47" s="8"/>
      <c r="I47" s="8"/>
      <c r="J47" s="584" t="str">
        <f t="shared" si="48"/>
        <v xml:space="preserve">  </v>
      </c>
      <c r="K47" s="8"/>
      <c r="L47" s="8"/>
      <c r="M47" s="8"/>
      <c r="N47" s="8"/>
      <c r="O47" s="584" t="str">
        <f t="shared" si="49"/>
        <v xml:space="preserve">  </v>
      </c>
      <c r="P47" s="8"/>
      <c r="Q47" s="8"/>
      <c r="R47" s="8"/>
      <c r="S47" s="8"/>
      <c r="T47" s="584" t="str">
        <f t="shared" si="50"/>
        <v xml:space="preserve">  </v>
      </c>
      <c r="U47" s="8"/>
      <c r="V47" s="8"/>
      <c r="W47" s="8"/>
      <c r="X47" s="8"/>
      <c r="Y47" s="584" t="str">
        <f t="shared" si="51"/>
        <v xml:space="preserve">  </v>
      </c>
      <c r="Z47" s="519">
        <f t="shared" si="34"/>
        <v>0</v>
      </c>
      <c r="AA47" s="519">
        <f t="shared" si="35"/>
        <v>0</v>
      </c>
      <c r="AB47" s="519">
        <f t="shared" si="36"/>
        <v>0</v>
      </c>
      <c r="AC47" s="519">
        <f t="shared" si="37"/>
        <v>0</v>
      </c>
      <c r="AD47" s="519">
        <f t="shared" si="38"/>
        <v>0</v>
      </c>
      <c r="AE47" s="21">
        <f t="shared" si="39"/>
        <v>0</v>
      </c>
      <c r="AF47" s="585">
        <f t="shared" si="40"/>
        <v>0</v>
      </c>
      <c r="AG47" s="585">
        <f t="shared" si="41"/>
        <v>0</v>
      </c>
      <c r="AH47" s="585">
        <f t="shared" si="42"/>
        <v>0</v>
      </c>
      <c r="AI47" s="585">
        <f t="shared" si="43"/>
        <v>0</v>
      </c>
      <c r="AJ47" s="585">
        <f t="shared" si="44"/>
        <v>0</v>
      </c>
      <c r="AK47" s="21">
        <f t="shared" si="45"/>
        <v>0</v>
      </c>
      <c r="AL47" s="565">
        <f t="shared" si="52"/>
        <v>0</v>
      </c>
      <c r="AM47" s="565">
        <f t="shared" si="53"/>
        <v>0</v>
      </c>
      <c r="AN47" s="565">
        <f t="shared" si="54"/>
        <v>0</v>
      </c>
      <c r="AO47" s="565">
        <f t="shared" si="55"/>
        <v>0</v>
      </c>
      <c r="AP47" s="565">
        <f t="shared" si="56"/>
        <v>0</v>
      </c>
      <c r="AQ47" s="529">
        <f t="shared" si="11"/>
        <v>0</v>
      </c>
      <c r="AR47" s="532">
        <f t="shared" si="12"/>
        <v>0</v>
      </c>
      <c r="AS47" s="26">
        <f t="shared" si="13"/>
        <v>0</v>
      </c>
      <c r="AT47" s="26">
        <f t="shared" si="14"/>
        <v>0</v>
      </c>
      <c r="AU47" s="586">
        <f t="shared" si="15"/>
        <v>0</v>
      </c>
      <c r="AV47" s="26">
        <f t="shared" si="16"/>
        <v>0</v>
      </c>
      <c r="AW47" s="26">
        <f t="shared" si="17"/>
        <v>0</v>
      </c>
      <c r="AX47" s="586">
        <f t="shared" si="18"/>
        <v>0</v>
      </c>
      <c r="AY47" s="26">
        <f t="shared" si="19"/>
        <v>0</v>
      </c>
      <c r="AZ47" s="26">
        <f t="shared" si="20"/>
        <v>0</v>
      </c>
      <c r="BA47" s="586">
        <f t="shared" si="21"/>
        <v>0</v>
      </c>
      <c r="BB47" s="901">
        <f t="shared" si="22"/>
        <v>0</v>
      </c>
      <c r="BC47" s="901">
        <f t="shared" si="23"/>
        <v>0</v>
      </c>
      <c r="BD47" s="943">
        <f t="shared" si="46"/>
        <v>0</v>
      </c>
      <c r="BE47" s="942">
        <f t="shared" si="24"/>
        <v>0</v>
      </c>
      <c r="BF47" s="26">
        <f t="shared" si="25"/>
        <v>0</v>
      </c>
      <c r="BG47" s="26">
        <f t="shared" si="26"/>
        <v>0</v>
      </c>
      <c r="BH47" s="586">
        <f t="shared" si="57"/>
        <v>0</v>
      </c>
      <c r="BI47" s="26">
        <f t="shared" si="27"/>
        <v>0</v>
      </c>
      <c r="BJ47" s="26">
        <f t="shared" si="28"/>
        <v>0</v>
      </c>
      <c r="BK47" s="586">
        <f t="shared" si="29"/>
        <v>0</v>
      </c>
      <c r="BL47" s="26">
        <f t="shared" si="30"/>
        <v>0</v>
      </c>
      <c r="BM47" s="26">
        <f t="shared" si="31"/>
        <v>0</v>
      </c>
      <c r="BN47" s="586" t="str">
        <f>IFERROR(AVERAGE(#REF!),"  ")</f>
        <v xml:space="preserve">  </v>
      </c>
      <c r="BO47" s="901">
        <f t="shared" si="58"/>
        <v>0</v>
      </c>
      <c r="BP47" s="901">
        <f t="shared" si="59"/>
        <v>0</v>
      </c>
      <c r="BQ47" s="586" t="str">
        <f>IFERROR(AVERAGE(#REF!),"  ")</f>
        <v xml:space="preserve">  </v>
      </c>
    </row>
    <row r="48" spans="1:69" ht="24.95" customHeight="1" thickBot="1" x14ac:dyDescent="0.25">
      <c r="A48" s="574">
        <v>40</v>
      </c>
      <c r="B48" s="518">
        <f>dtsiswa!D46</f>
        <v>0</v>
      </c>
      <c r="C48" s="901"/>
      <c r="D48" s="8"/>
      <c r="E48" s="8"/>
      <c r="F48" s="8"/>
      <c r="G48" s="8"/>
      <c r="H48" s="8"/>
      <c r="I48" s="8"/>
      <c r="J48" s="584" t="str">
        <f t="shared" si="48"/>
        <v xml:space="preserve">  </v>
      </c>
      <c r="K48" s="8"/>
      <c r="L48" s="8"/>
      <c r="M48" s="8"/>
      <c r="N48" s="8"/>
      <c r="O48" s="584" t="str">
        <f t="shared" si="49"/>
        <v xml:space="preserve">  </v>
      </c>
      <c r="P48" s="8"/>
      <c r="Q48" s="8"/>
      <c r="R48" s="8"/>
      <c r="S48" s="8"/>
      <c r="T48" s="584" t="str">
        <f t="shared" si="50"/>
        <v xml:space="preserve">  </v>
      </c>
      <c r="U48" s="8"/>
      <c r="V48" s="8"/>
      <c r="W48" s="8"/>
      <c r="X48" s="8"/>
      <c r="Y48" s="584" t="str">
        <f t="shared" si="51"/>
        <v xml:space="preserve">  </v>
      </c>
      <c r="Z48" s="519">
        <f t="shared" si="34"/>
        <v>0</v>
      </c>
      <c r="AA48" s="519">
        <f t="shared" si="35"/>
        <v>0</v>
      </c>
      <c r="AB48" s="519">
        <f t="shared" si="36"/>
        <v>0</v>
      </c>
      <c r="AC48" s="519">
        <f t="shared" si="37"/>
        <v>0</v>
      </c>
      <c r="AD48" s="519">
        <f t="shared" si="38"/>
        <v>0</v>
      </c>
      <c r="AE48" s="21">
        <f t="shared" si="39"/>
        <v>0</v>
      </c>
      <c r="AF48" s="585">
        <f t="shared" si="40"/>
        <v>0</v>
      </c>
      <c r="AG48" s="585">
        <f t="shared" si="41"/>
        <v>0</v>
      </c>
      <c r="AH48" s="585">
        <f t="shared" si="42"/>
        <v>0</v>
      </c>
      <c r="AI48" s="585">
        <f t="shared" si="43"/>
        <v>0</v>
      </c>
      <c r="AJ48" s="585">
        <f t="shared" si="44"/>
        <v>0</v>
      </c>
      <c r="AK48" s="21">
        <f t="shared" si="45"/>
        <v>0</v>
      </c>
      <c r="AL48" s="565">
        <f t="shared" si="52"/>
        <v>0</v>
      </c>
      <c r="AM48" s="565">
        <f t="shared" si="53"/>
        <v>0</v>
      </c>
      <c r="AN48" s="565">
        <f t="shared" si="54"/>
        <v>0</v>
      </c>
      <c r="AO48" s="565">
        <f t="shared" si="55"/>
        <v>0</v>
      </c>
      <c r="AP48" s="565">
        <f t="shared" si="56"/>
        <v>0</v>
      </c>
      <c r="AQ48" s="529">
        <f t="shared" si="11"/>
        <v>0</v>
      </c>
      <c r="AR48" s="944">
        <f t="shared" si="12"/>
        <v>0</v>
      </c>
      <c r="AS48" s="930">
        <f t="shared" si="13"/>
        <v>0</v>
      </c>
      <c r="AT48" s="930">
        <f t="shared" si="14"/>
        <v>0</v>
      </c>
      <c r="AU48" s="945">
        <f t="shared" si="15"/>
        <v>0</v>
      </c>
      <c r="AV48" s="930">
        <f t="shared" si="16"/>
        <v>0</v>
      </c>
      <c r="AW48" s="930">
        <f t="shared" si="17"/>
        <v>0</v>
      </c>
      <c r="AX48" s="945">
        <f t="shared" si="18"/>
        <v>0</v>
      </c>
      <c r="AY48" s="930">
        <f t="shared" si="19"/>
        <v>0</v>
      </c>
      <c r="AZ48" s="930">
        <f t="shared" si="20"/>
        <v>0</v>
      </c>
      <c r="BA48" s="945">
        <f t="shared" si="21"/>
        <v>0</v>
      </c>
      <c r="BB48" s="931">
        <f t="shared" si="22"/>
        <v>0</v>
      </c>
      <c r="BC48" s="931">
        <f t="shared" si="23"/>
        <v>0</v>
      </c>
      <c r="BD48" s="946">
        <f t="shared" si="46"/>
        <v>0</v>
      </c>
      <c r="BE48" s="942">
        <f t="shared" si="24"/>
        <v>0</v>
      </c>
      <c r="BF48" s="26">
        <f t="shared" si="25"/>
        <v>0</v>
      </c>
      <c r="BG48" s="26">
        <f t="shared" si="26"/>
        <v>0</v>
      </c>
      <c r="BH48" s="586">
        <f t="shared" si="57"/>
        <v>0</v>
      </c>
      <c r="BI48" s="26">
        <f t="shared" si="27"/>
        <v>0</v>
      </c>
      <c r="BJ48" s="26">
        <f t="shared" si="28"/>
        <v>0</v>
      </c>
      <c r="BK48" s="586">
        <f t="shared" si="29"/>
        <v>0</v>
      </c>
      <c r="BL48" s="26">
        <f t="shared" si="30"/>
        <v>0</v>
      </c>
      <c r="BM48" s="26">
        <f t="shared" si="31"/>
        <v>0</v>
      </c>
      <c r="BN48" s="586" t="str">
        <f>IFERROR(AVERAGE(#REF!),"  ")</f>
        <v xml:space="preserve">  </v>
      </c>
      <c r="BO48" s="901">
        <f t="shared" si="58"/>
        <v>0</v>
      </c>
      <c r="BP48" s="901">
        <f t="shared" si="59"/>
        <v>0</v>
      </c>
      <c r="BQ48" s="586" t="str">
        <f>IFERROR(AVERAGE(#REF!),"  ")</f>
        <v xml:space="preserve">  </v>
      </c>
    </row>
  </sheetData>
  <mergeCells count="52">
    <mergeCell ref="AQ6:AQ8"/>
    <mergeCell ref="AR7:AT7"/>
    <mergeCell ref="AV7:AW7"/>
    <mergeCell ref="AY7:AZ7"/>
    <mergeCell ref="BB7:BC7"/>
    <mergeCell ref="AU7:AU8"/>
    <mergeCell ref="AX7:AX8"/>
    <mergeCell ref="BA7:BA8"/>
    <mergeCell ref="AE6:AE8"/>
    <mergeCell ref="AF6:AJ6"/>
    <mergeCell ref="AK6:AK8"/>
    <mergeCell ref="AL6:AP7"/>
    <mergeCell ref="Z7:AD7"/>
    <mergeCell ref="AF7:AJ7"/>
    <mergeCell ref="AG3:AJ3"/>
    <mergeCell ref="A6:A8"/>
    <mergeCell ref="B6:B8"/>
    <mergeCell ref="C6:C8"/>
    <mergeCell ref="D6:I6"/>
    <mergeCell ref="P6:S6"/>
    <mergeCell ref="U6:X6"/>
    <mergeCell ref="Z3:AA3"/>
    <mergeCell ref="M7:N7"/>
    <mergeCell ref="K6:N6"/>
    <mergeCell ref="U7:V7"/>
    <mergeCell ref="D7:F7"/>
    <mergeCell ref="G7:I7"/>
    <mergeCell ref="W7:X7"/>
    <mergeCell ref="J6:J8"/>
    <mergeCell ref="Z6:AD6"/>
    <mergeCell ref="G2:H2"/>
    <mergeCell ref="I2:K2"/>
    <mergeCell ref="M2:P2"/>
    <mergeCell ref="T2:U2"/>
    <mergeCell ref="AB3:AD3"/>
    <mergeCell ref="O6:O8"/>
    <mergeCell ref="T6:T8"/>
    <mergeCell ref="Y6:Y8"/>
    <mergeCell ref="K7:L7"/>
    <mergeCell ref="P7:Q7"/>
    <mergeCell ref="R7:S7"/>
    <mergeCell ref="BD7:BD8"/>
    <mergeCell ref="AR6:BD6"/>
    <mergeCell ref="BE6:BQ6"/>
    <mergeCell ref="BE7:BG7"/>
    <mergeCell ref="BH7:BH8"/>
    <mergeCell ref="BI7:BJ7"/>
    <mergeCell ref="BK7:BK8"/>
    <mergeCell ref="BL7:BM7"/>
    <mergeCell ref="BN7:BN8"/>
    <mergeCell ref="BO7:BP7"/>
    <mergeCell ref="BQ7:BQ8"/>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AA48"/>
  <sheetViews>
    <sheetView showGridLines="0" workbookViewId="0">
      <selection activeCell="BB10" sqref="BB10"/>
    </sheetView>
  </sheetViews>
  <sheetFormatPr defaultRowHeight="14.25" x14ac:dyDescent="0.2"/>
  <cols>
    <col min="1" max="1" width="4.42578125" style="1" customWidth="1"/>
    <col min="2" max="2" width="37.5703125" style="1" customWidth="1"/>
    <col min="3" max="3" width="5" style="1" customWidth="1"/>
    <col min="4" max="4" width="6.140625" style="1" customWidth="1"/>
    <col min="5" max="5" width="6.42578125" style="1" customWidth="1"/>
    <col min="6" max="7" width="6.5703125" style="1" customWidth="1"/>
    <col min="8" max="8" width="5.7109375" style="1" customWidth="1"/>
    <col min="9" max="9" width="5.85546875" style="1" customWidth="1"/>
    <col min="10" max="12" width="6.7109375" style="1" customWidth="1"/>
    <col min="13" max="13" width="6.42578125" style="1" customWidth="1"/>
    <col min="14" max="16" width="6.7109375" style="1" customWidth="1"/>
    <col min="17" max="17" width="6.140625" style="1" customWidth="1"/>
    <col min="18" max="20" width="6.7109375" style="1" customWidth="1"/>
    <col min="21" max="21" width="6.140625" style="1" customWidth="1"/>
    <col min="22" max="22" width="8" style="1" customWidth="1"/>
    <col min="23" max="23" width="8.42578125" style="1" customWidth="1"/>
    <col min="24" max="24" width="7.42578125" style="1" customWidth="1"/>
    <col min="25" max="25" width="9.42578125" style="1" customWidth="1"/>
    <col min="26" max="26" width="9.28515625" style="1" customWidth="1"/>
    <col min="27" max="27" width="9.85546875" style="1" customWidth="1"/>
    <col min="28" max="16384" width="9.140625" style="1"/>
  </cols>
  <sheetData>
    <row r="1" spans="1:27" x14ac:dyDescent="0.2">
      <c r="C1" s="9"/>
      <c r="D1" s="9"/>
      <c r="E1" s="9"/>
      <c r="F1" s="9"/>
      <c r="G1" s="9"/>
      <c r="H1" s="9"/>
      <c r="I1" s="9"/>
      <c r="J1" s="9"/>
      <c r="K1" s="9"/>
      <c r="L1" s="9"/>
    </row>
    <row r="2" spans="1:27" ht="21" x14ac:dyDescent="0.2">
      <c r="C2" s="9"/>
      <c r="D2" s="569"/>
      <c r="E2" s="955"/>
      <c r="F2" s="569"/>
      <c r="G2" s="569"/>
      <c r="H2" s="2382"/>
      <c r="I2" s="2382"/>
      <c r="J2" s="62"/>
      <c r="K2" s="62"/>
      <c r="L2" s="62"/>
    </row>
    <row r="3" spans="1:27" s="6" customFormat="1" ht="18" customHeight="1" x14ac:dyDescent="0.2">
      <c r="A3" s="193" t="s">
        <v>41</v>
      </c>
      <c r="C3" s="9"/>
      <c r="D3" s="10"/>
      <c r="E3" s="10"/>
      <c r="F3" s="10"/>
      <c r="G3" s="10"/>
      <c r="H3" s="10"/>
      <c r="I3" s="10"/>
      <c r="J3" s="2279"/>
      <c r="K3" s="2279"/>
      <c r="L3" s="850"/>
      <c r="M3" s="179"/>
      <c r="N3" s="179"/>
      <c r="O3" s="956"/>
      <c r="P3" s="850"/>
      <c r="Q3" s="179"/>
      <c r="R3" s="179"/>
      <c r="S3" s="179"/>
      <c r="T3" s="179"/>
    </row>
    <row r="4" spans="1:27" s="6" customFormat="1" ht="18" customHeight="1" x14ac:dyDescent="0.2">
      <c r="A4" s="195" t="s">
        <v>610</v>
      </c>
      <c r="D4" s="61"/>
      <c r="E4" s="957"/>
      <c r="F4" s="61"/>
      <c r="G4" s="61"/>
      <c r="H4" s="61"/>
      <c r="I4" s="61"/>
      <c r="P4" s="179"/>
      <c r="Q4" s="179"/>
      <c r="R4" s="179"/>
      <c r="S4" s="179"/>
      <c r="T4" s="179"/>
    </row>
    <row r="5" spans="1:27" s="989" customFormat="1" ht="18" customHeight="1" thickBot="1" x14ac:dyDescent="0.25">
      <c r="A5" s="224">
        <v>1</v>
      </c>
      <c r="B5" s="564">
        <v>2</v>
      </c>
      <c r="C5" s="224">
        <v>3</v>
      </c>
      <c r="D5" s="564">
        <v>4</v>
      </c>
      <c r="E5" s="224">
        <v>5</v>
      </c>
      <c r="F5" s="564">
        <v>6</v>
      </c>
      <c r="G5" s="224">
        <v>7</v>
      </c>
      <c r="H5" s="564">
        <v>8</v>
      </c>
      <c r="I5" s="224">
        <v>9</v>
      </c>
      <c r="J5" s="564">
        <v>10</v>
      </c>
      <c r="K5" s="224">
        <v>11</v>
      </c>
      <c r="L5" s="564">
        <v>12</v>
      </c>
      <c r="M5" s="224">
        <v>13</v>
      </c>
      <c r="N5" s="564">
        <v>14</v>
      </c>
      <c r="O5" s="224">
        <v>15</v>
      </c>
      <c r="P5" s="564">
        <v>16</v>
      </c>
      <c r="Q5" s="224">
        <v>17</v>
      </c>
      <c r="R5" s="564">
        <v>18</v>
      </c>
      <c r="S5" s="224">
        <v>19</v>
      </c>
      <c r="T5" s="564">
        <v>20</v>
      </c>
      <c r="U5" s="224">
        <v>21</v>
      </c>
      <c r="V5" s="564">
        <v>22</v>
      </c>
      <c r="W5" s="224">
        <v>23</v>
      </c>
      <c r="X5" s="564">
        <v>24</v>
      </c>
      <c r="Y5" s="224">
        <v>25</v>
      </c>
      <c r="Z5" s="564">
        <v>26</v>
      </c>
      <c r="AA5" s="224">
        <v>27</v>
      </c>
    </row>
    <row r="6" spans="1:27" s="5" customFormat="1" ht="19.5" customHeight="1" x14ac:dyDescent="0.25">
      <c r="A6" s="2384" t="s">
        <v>0</v>
      </c>
      <c r="B6" s="2387" t="s">
        <v>1</v>
      </c>
      <c r="C6" s="2416" t="s">
        <v>3</v>
      </c>
      <c r="D6" s="2393" t="s">
        <v>156</v>
      </c>
      <c r="E6" s="2393"/>
      <c r="F6" s="2374" t="s">
        <v>44</v>
      </c>
      <c r="G6" s="2374"/>
      <c r="H6" s="2371" t="s">
        <v>50</v>
      </c>
      <c r="I6" s="2371"/>
      <c r="J6" s="2418" t="s">
        <v>15</v>
      </c>
      <c r="K6" s="2418"/>
      <c r="L6" s="2418"/>
      <c r="M6" s="2403" t="s">
        <v>2</v>
      </c>
      <c r="N6" s="2418" t="s">
        <v>6</v>
      </c>
      <c r="O6" s="2418"/>
      <c r="P6" s="2418"/>
      <c r="Q6" s="2405" t="s">
        <v>40</v>
      </c>
      <c r="R6" s="2514" t="s">
        <v>142</v>
      </c>
      <c r="S6" s="2514"/>
      <c r="T6" s="2514"/>
      <c r="U6" s="2438" t="s">
        <v>24</v>
      </c>
      <c r="V6" s="2511" t="s">
        <v>25</v>
      </c>
      <c r="W6" s="2511"/>
      <c r="X6" s="2511"/>
      <c r="Y6" s="2512" t="s">
        <v>139</v>
      </c>
      <c r="Z6" s="2512"/>
      <c r="AA6" s="2513"/>
    </row>
    <row r="7" spans="1:27" s="4" customFormat="1" ht="27" customHeight="1" x14ac:dyDescent="0.25">
      <c r="A7" s="2385"/>
      <c r="B7" s="2354"/>
      <c r="C7" s="2353"/>
      <c r="D7" s="960" t="s">
        <v>42</v>
      </c>
      <c r="E7" s="960" t="s">
        <v>43</v>
      </c>
      <c r="F7" s="960" t="s">
        <v>42</v>
      </c>
      <c r="G7" s="960" t="s">
        <v>43</v>
      </c>
      <c r="H7" s="961" t="s">
        <v>42</v>
      </c>
      <c r="I7" s="958" t="s">
        <v>43</v>
      </c>
      <c r="J7" s="2344" t="s">
        <v>140</v>
      </c>
      <c r="K7" s="2344"/>
      <c r="L7" s="2344"/>
      <c r="M7" s="2352"/>
      <c r="N7" s="2510" t="s">
        <v>141</v>
      </c>
      <c r="O7" s="2510"/>
      <c r="P7" s="2510"/>
      <c r="Q7" s="2346"/>
      <c r="R7" s="2515"/>
      <c r="S7" s="2515"/>
      <c r="T7" s="2515"/>
      <c r="U7" s="2348"/>
      <c r="V7" s="959" t="s">
        <v>156</v>
      </c>
      <c r="W7" s="959" t="s">
        <v>26</v>
      </c>
      <c r="X7" s="959" t="s">
        <v>50</v>
      </c>
      <c r="Y7" s="959" t="s">
        <v>156</v>
      </c>
      <c r="Z7" s="959" t="s">
        <v>26</v>
      </c>
      <c r="AA7" s="987" t="s">
        <v>50</v>
      </c>
    </row>
    <row r="8" spans="1:27" ht="19.5" customHeight="1" thickBot="1" x14ac:dyDescent="0.25">
      <c r="A8" s="2386"/>
      <c r="B8" s="2388"/>
      <c r="C8" s="2417"/>
      <c r="D8" s="143" t="s">
        <v>16</v>
      </c>
      <c r="E8" s="144" t="s">
        <v>18</v>
      </c>
      <c r="F8" s="145" t="s">
        <v>189</v>
      </c>
      <c r="G8" s="144" t="s">
        <v>179</v>
      </c>
      <c r="H8" s="143" t="s">
        <v>186</v>
      </c>
      <c r="I8" s="144" t="s">
        <v>20</v>
      </c>
      <c r="J8" s="962" t="s">
        <v>18</v>
      </c>
      <c r="K8" s="962" t="s">
        <v>179</v>
      </c>
      <c r="L8" s="962" t="s">
        <v>20</v>
      </c>
      <c r="M8" s="2404"/>
      <c r="N8" s="68" t="s">
        <v>16</v>
      </c>
      <c r="O8" s="68" t="s">
        <v>189</v>
      </c>
      <c r="P8" s="68" t="s">
        <v>186</v>
      </c>
      <c r="Q8" s="2406"/>
      <c r="R8" s="962" t="s">
        <v>18</v>
      </c>
      <c r="S8" s="962" t="s">
        <v>179</v>
      </c>
      <c r="T8" s="962" t="s">
        <v>20</v>
      </c>
      <c r="U8" s="2439"/>
      <c r="V8" s="986" t="s">
        <v>16</v>
      </c>
      <c r="W8" s="986" t="s">
        <v>189</v>
      </c>
      <c r="X8" s="986" t="s">
        <v>186</v>
      </c>
      <c r="Y8" s="985" t="s">
        <v>18</v>
      </c>
      <c r="Z8" s="985" t="s">
        <v>179</v>
      </c>
      <c r="AA8" s="988" t="s">
        <v>20</v>
      </c>
    </row>
    <row r="9" spans="1:27" ht="24.95" customHeight="1" x14ac:dyDescent="0.2">
      <c r="A9" s="58">
        <v>1</v>
      </c>
      <c r="B9" s="63" t="str">
        <f>dtsiswa!D7</f>
        <v>Achmad Zacky</v>
      </c>
      <c r="C9" s="64" t="s">
        <v>4</v>
      </c>
      <c r="D9" s="27">
        <v>70</v>
      </c>
      <c r="E9" s="27">
        <v>65</v>
      </c>
      <c r="F9" s="25">
        <v>56</v>
      </c>
      <c r="G9" s="25">
        <v>78</v>
      </c>
      <c r="H9" s="25">
        <v>80</v>
      </c>
      <c r="I9" s="25">
        <v>81</v>
      </c>
      <c r="J9" s="19">
        <f>E9</f>
        <v>65</v>
      </c>
      <c r="K9" s="19">
        <f>G9</f>
        <v>78</v>
      </c>
      <c r="L9" s="19">
        <f>I9</f>
        <v>81</v>
      </c>
      <c r="M9" s="20">
        <f t="shared" ref="M9" si="0">IFERROR(AVERAGE(J9:L9),"  ")</f>
        <v>74.666666666666671</v>
      </c>
      <c r="N9" s="18">
        <f>D9</f>
        <v>70</v>
      </c>
      <c r="O9" s="18">
        <f t="shared" ref="O9:P9" si="1">E9</f>
        <v>65</v>
      </c>
      <c r="P9" s="18">
        <f t="shared" si="1"/>
        <v>56</v>
      </c>
      <c r="Q9" s="20">
        <f t="shared" ref="Q9" si="2">IFERROR(AVERAGE(N9:P9),"  ")</f>
        <v>63.666666666666664</v>
      </c>
      <c r="R9" s="65">
        <f>(J9+N9)/2</f>
        <v>67.5</v>
      </c>
      <c r="S9" s="65">
        <f t="shared" ref="S9:T9" si="3">(K9+O9)/2</f>
        <v>71.5</v>
      </c>
      <c r="T9" s="65">
        <f t="shared" si="3"/>
        <v>68.5</v>
      </c>
      <c r="U9" s="20">
        <f t="shared" ref="U9:U48" si="4">IFERROR(AVERAGE(R9:T9),"  ")</f>
        <v>69.166666666666671</v>
      </c>
      <c r="V9" s="39">
        <f>D9</f>
        <v>70</v>
      </c>
      <c r="W9" s="39">
        <f>F9</f>
        <v>56</v>
      </c>
      <c r="X9" s="39">
        <f>I9</f>
        <v>81</v>
      </c>
      <c r="Y9" s="826">
        <f>E9</f>
        <v>65</v>
      </c>
      <c r="Z9" s="826">
        <f>G9</f>
        <v>78</v>
      </c>
      <c r="AA9" s="826">
        <f>I9</f>
        <v>81</v>
      </c>
    </row>
    <row r="10" spans="1:27" ht="24.95" customHeight="1" x14ac:dyDescent="0.2">
      <c r="A10" s="180">
        <v>2</v>
      </c>
      <c r="B10" s="63" t="str">
        <f>dtsiswa!D8</f>
        <v>Angelia Vabel R</v>
      </c>
      <c r="C10" s="11" t="s">
        <v>4</v>
      </c>
      <c r="D10" s="22"/>
      <c r="E10" s="22"/>
      <c r="F10" s="23"/>
      <c r="G10" s="23"/>
      <c r="H10" s="23"/>
      <c r="I10" s="24"/>
      <c r="J10" s="19">
        <f t="shared" ref="J10:J48" si="5">E10</f>
        <v>0</v>
      </c>
      <c r="K10" s="19">
        <f t="shared" ref="K10:K48" si="6">G10</f>
        <v>0</v>
      </c>
      <c r="L10" s="19">
        <f t="shared" ref="L10:L48" si="7">I10</f>
        <v>0</v>
      </c>
      <c r="M10" s="20">
        <f t="shared" ref="M10:M48" si="8">IFERROR(AVERAGE(J10:L10),"  ")</f>
        <v>0</v>
      </c>
      <c r="N10" s="18">
        <f t="shared" ref="N10:N48" si="9">D10</f>
        <v>0</v>
      </c>
      <c r="O10" s="18">
        <f t="shared" ref="O10:O48" si="10">E10</f>
        <v>0</v>
      </c>
      <c r="P10" s="18">
        <f t="shared" ref="P10:P48" si="11">F10</f>
        <v>0</v>
      </c>
      <c r="Q10" s="20">
        <f t="shared" ref="Q10:Q48" si="12">IFERROR(AVERAGE(N10:P10),"  ")</f>
        <v>0</v>
      </c>
      <c r="R10" s="65">
        <f t="shared" ref="R10:R48" si="13">(J10+N10)/2</f>
        <v>0</v>
      </c>
      <c r="S10" s="65">
        <f t="shared" ref="S10:S48" si="14">(K10+O10)/2</f>
        <v>0</v>
      </c>
      <c r="T10" s="65">
        <f t="shared" ref="T10:T48" si="15">(L10+P10)/2</f>
        <v>0</v>
      </c>
      <c r="U10" s="20">
        <f t="shared" si="4"/>
        <v>0</v>
      </c>
      <c r="V10" s="39">
        <f t="shared" ref="V10:V48" si="16">D10</f>
        <v>0</v>
      </c>
      <c r="W10" s="39">
        <f t="shared" ref="W10:W48" si="17">F10</f>
        <v>0</v>
      </c>
      <c r="X10" s="39">
        <f t="shared" ref="X10:X48" si="18">H10</f>
        <v>0</v>
      </c>
      <c r="Y10" s="826">
        <f t="shared" ref="Y10:Y48" si="19">E10</f>
        <v>0</v>
      </c>
      <c r="Z10" s="826">
        <f t="shared" ref="Z10:Z48" si="20">G10</f>
        <v>0</v>
      </c>
      <c r="AA10" s="826">
        <f t="shared" ref="AA10:AA48" si="21">I10</f>
        <v>0</v>
      </c>
    </row>
    <row r="11" spans="1:27" ht="24.95" customHeight="1" x14ac:dyDescent="0.2">
      <c r="A11" s="180">
        <v>3</v>
      </c>
      <c r="B11" s="63" t="str">
        <f>dtsiswa!D9</f>
        <v>Anggun Dwi P.I</v>
      </c>
      <c r="C11" s="11" t="s">
        <v>4</v>
      </c>
      <c r="D11" s="22"/>
      <c r="E11" s="22"/>
      <c r="F11" s="23"/>
      <c r="G11" s="23"/>
      <c r="H11" s="23"/>
      <c r="I11" s="24"/>
      <c r="J11" s="19">
        <f t="shared" si="5"/>
        <v>0</v>
      </c>
      <c r="K11" s="19">
        <f t="shared" si="6"/>
        <v>0</v>
      </c>
      <c r="L11" s="19">
        <f t="shared" si="7"/>
        <v>0</v>
      </c>
      <c r="M11" s="20">
        <f t="shared" si="8"/>
        <v>0</v>
      </c>
      <c r="N11" s="18">
        <f t="shared" si="9"/>
        <v>0</v>
      </c>
      <c r="O11" s="18">
        <f t="shared" si="10"/>
        <v>0</v>
      </c>
      <c r="P11" s="18">
        <f t="shared" si="11"/>
        <v>0</v>
      </c>
      <c r="Q11" s="20">
        <f t="shared" si="12"/>
        <v>0</v>
      </c>
      <c r="R11" s="65">
        <f t="shared" si="13"/>
        <v>0</v>
      </c>
      <c r="S11" s="65">
        <f t="shared" si="14"/>
        <v>0</v>
      </c>
      <c r="T11" s="65">
        <f t="shared" si="15"/>
        <v>0</v>
      </c>
      <c r="U11" s="20">
        <f t="shared" si="4"/>
        <v>0</v>
      </c>
      <c r="V11" s="39">
        <f t="shared" si="16"/>
        <v>0</v>
      </c>
      <c r="W11" s="39">
        <f t="shared" si="17"/>
        <v>0</v>
      </c>
      <c r="X11" s="39">
        <f t="shared" si="18"/>
        <v>0</v>
      </c>
      <c r="Y11" s="826">
        <f t="shared" si="19"/>
        <v>0</v>
      </c>
      <c r="Z11" s="826">
        <f t="shared" si="20"/>
        <v>0</v>
      </c>
      <c r="AA11" s="826">
        <f t="shared" si="21"/>
        <v>0</v>
      </c>
    </row>
    <row r="12" spans="1:27" ht="24.95" customHeight="1" x14ac:dyDescent="0.2">
      <c r="A12" s="180">
        <v>4</v>
      </c>
      <c r="B12" s="63" t="str">
        <f>dtsiswa!D10</f>
        <v>Antonio Permata A</v>
      </c>
      <c r="C12" s="12" t="s">
        <v>4</v>
      </c>
      <c r="D12" s="22"/>
      <c r="E12" s="22"/>
      <c r="F12" s="23"/>
      <c r="G12" s="23"/>
      <c r="H12" s="23"/>
      <c r="I12" s="24"/>
      <c r="J12" s="19">
        <f t="shared" si="5"/>
        <v>0</v>
      </c>
      <c r="K12" s="19">
        <f t="shared" si="6"/>
        <v>0</v>
      </c>
      <c r="L12" s="19">
        <f t="shared" si="7"/>
        <v>0</v>
      </c>
      <c r="M12" s="20">
        <f t="shared" si="8"/>
        <v>0</v>
      </c>
      <c r="N12" s="18">
        <f t="shared" si="9"/>
        <v>0</v>
      </c>
      <c r="O12" s="18">
        <f t="shared" si="10"/>
        <v>0</v>
      </c>
      <c r="P12" s="18">
        <f t="shared" si="11"/>
        <v>0</v>
      </c>
      <c r="Q12" s="20">
        <f t="shared" si="12"/>
        <v>0</v>
      </c>
      <c r="R12" s="65">
        <f t="shared" si="13"/>
        <v>0</v>
      </c>
      <c r="S12" s="65">
        <f t="shared" si="14"/>
        <v>0</v>
      </c>
      <c r="T12" s="65">
        <f t="shared" si="15"/>
        <v>0</v>
      </c>
      <c r="U12" s="20">
        <f t="shared" si="4"/>
        <v>0</v>
      </c>
      <c r="V12" s="39">
        <f t="shared" si="16"/>
        <v>0</v>
      </c>
      <c r="W12" s="39">
        <f t="shared" si="17"/>
        <v>0</v>
      </c>
      <c r="X12" s="39">
        <f t="shared" si="18"/>
        <v>0</v>
      </c>
      <c r="Y12" s="826">
        <f t="shared" si="19"/>
        <v>0</v>
      </c>
      <c r="Z12" s="826">
        <f t="shared" si="20"/>
        <v>0</v>
      </c>
      <c r="AA12" s="826">
        <f t="shared" si="21"/>
        <v>0</v>
      </c>
    </row>
    <row r="13" spans="1:27" ht="24.95" customHeight="1" x14ac:dyDescent="0.2">
      <c r="A13" s="180">
        <v>5</v>
      </c>
      <c r="B13" s="63" t="str">
        <f>dtsiswa!D11</f>
        <v>Arya Pratama G</v>
      </c>
      <c r="C13" s="11" t="s">
        <v>5</v>
      </c>
      <c r="D13" s="22"/>
      <c r="E13" s="22"/>
      <c r="F13" s="23"/>
      <c r="G13" s="23"/>
      <c r="H13" s="23"/>
      <c r="I13" s="24"/>
      <c r="J13" s="19">
        <f t="shared" si="5"/>
        <v>0</v>
      </c>
      <c r="K13" s="19">
        <f t="shared" si="6"/>
        <v>0</v>
      </c>
      <c r="L13" s="19">
        <f t="shared" si="7"/>
        <v>0</v>
      </c>
      <c r="M13" s="20">
        <f t="shared" si="8"/>
        <v>0</v>
      </c>
      <c r="N13" s="18">
        <f t="shared" si="9"/>
        <v>0</v>
      </c>
      <c r="O13" s="18">
        <f t="shared" si="10"/>
        <v>0</v>
      </c>
      <c r="P13" s="18">
        <f t="shared" si="11"/>
        <v>0</v>
      </c>
      <c r="Q13" s="20">
        <f t="shared" si="12"/>
        <v>0</v>
      </c>
      <c r="R13" s="65">
        <f t="shared" si="13"/>
        <v>0</v>
      </c>
      <c r="S13" s="65">
        <f t="shared" si="14"/>
        <v>0</v>
      </c>
      <c r="T13" s="65">
        <f t="shared" si="15"/>
        <v>0</v>
      </c>
      <c r="U13" s="20">
        <f t="shared" si="4"/>
        <v>0</v>
      </c>
      <c r="V13" s="39">
        <f t="shared" si="16"/>
        <v>0</v>
      </c>
      <c r="W13" s="39">
        <f t="shared" si="17"/>
        <v>0</v>
      </c>
      <c r="X13" s="39">
        <f t="shared" si="18"/>
        <v>0</v>
      </c>
      <c r="Y13" s="826">
        <f t="shared" si="19"/>
        <v>0</v>
      </c>
      <c r="Z13" s="826">
        <f t="shared" si="20"/>
        <v>0</v>
      </c>
      <c r="AA13" s="826">
        <f t="shared" si="21"/>
        <v>0</v>
      </c>
    </row>
    <row r="14" spans="1:27" ht="24.95" customHeight="1" x14ac:dyDescent="0.2">
      <c r="A14" s="180">
        <v>6</v>
      </c>
      <c r="B14" s="63" t="str">
        <f>dtsiswa!D12</f>
        <v>Asyam Hanif Ihsan H</v>
      </c>
      <c r="C14" s="11" t="s">
        <v>5</v>
      </c>
      <c r="D14" s="22"/>
      <c r="E14" s="22"/>
      <c r="F14" s="23"/>
      <c r="G14" s="23"/>
      <c r="H14" s="23"/>
      <c r="I14" s="24"/>
      <c r="J14" s="19">
        <f t="shared" si="5"/>
        <v>0</v>
      </c>
      <c r="K14" s="19">
        <f t="shared" si="6"/>
        <v>0</v>
      </c>
      <c r="L14" s="19">
        <f t="shared" si="7"/>
        <v>0</v>
      </c>
      <c r="M14" s="20">
        <f t="shared" si="8"/>
        <v>0</v>
      </c>
      <c r="N14" s="18">
        <f t="shared" si="9"/>
        <v>0</v>
      </c>
      <c r="O14" s="18">
        <f t="shared" si="10"/>
        <v>0</v>
      </c>
      <c r="P14" s="18">
        <f t="shared" si="11"/>
        <v>0</v>
      </c>
      <c r="Q14" s="20">
        <f t="shared" si="12"/>
        <v>0</v>
      </c>
      <c r="R14" s="65">
        <f t="shared" si="13"/>
        <v>0</v>
      </c>
      <c r="S14" s="65">
        <f t="shared" si="14"/>
        <v>0</v>
      </c>
      <c r="T14" s="65">
        <f t="shared" si="15"/>
        <v>0</v>
      </c>
      <c r="U14" s="20">
        <f t="shared" si="4"/>
        <v>0</v>
      </c>
      <c r="V14" s="39">
        <f t="shared" si="16"/>
        <v>0</v>
      </c>
      <c r="W14" s="39">
        <f t="shared" si="17"/>
        <v>0</v>
      </c>
      <c r="X14" s="39">
        <f t="shared" si="18"/>
        <v>0</v>
      </c>
      <c r="Y14" s="826">
        <f t="shared" si="19"/>
        <v>0</v>
      </c>
      <c r="Z14" s="826">
        <f t="shared" si="20"/>
        <v>0</v>
      </c>
      <c r="AA14" s="826">
        <f t="shared" si="21"/>
        <v>0</v>
      </c>
    </row>
    <row r="15" spans="1:27" ht="24.95" customHeight="1" x14ac:dyDescent="0.2">
      <c r="A15" s="180">
        <v>7</v>
      </c>
      <c r="B15" s="63" t="str">
        <f>dtsiswa!D13</f>
        <v>Athaya Salsabilla Z</v>
      </c>
      <c r="C15" s="11" t="s">
        <v>4</v>
      </c>
      <c r="D15" s="22"/>
      <c r="E15" s="22"/>
      <c r="F15" s="23"/>
      <c r="G15" s="23"/>
      <c r="H15" s="23"/>
      <c r="I15" s="24"/>
      <c r="J15" s="19">
        <f t="shared" si="5"/>
        <v>0</v>
      </c>
      <c r="K15" s="19">
        <f t="shared" si="6"/>
        <v>0</v>
      </c>
      <c r="L15" s="19">
        <f t="shared" si="7"/>
        <v>0</v>
      </c>
      <c r="M15" s="20">
        <f t="shared" si="8"/>
        <v>0</v>
      </c>
      <c r="N15" s="18">
        <f t="shared" si="9"/>
        <v>0</v>
      </c>
      <c r="O15" s="18">
        <f t="shared" si="10"/>
        <v>0</v>
      </c>
      <c r="P15" s="18">
        <f t="shared" si="11"/>
        <v>0</v>
      </c>
      <c r="Q15" s="20">
        <f t="shared" si="12"/>
        <v>0</v>
      </c>
      <c r="R15" s="65">
        <f t="shared" si="13"/>
        <v>0</v>
      </c>
      <c r="S15" s="65">
        <f t="shared" si="14"/>
        <v>0</v>
      </c>
      <c r="T15" s="65">
        <f t="shared" si="15"/>
        <v>0</v>
      </c>
      <c r="U15" s="20">
        <f t="shared" si="4"/>
        <v>0</v>
      </c>
      <c r="V15" s="39">
        <f t="shared" si="16"/>
        <v>0</v>
      </c>
      <c r="W15" s="39">
        <f t="shared" si="17"/>
        <v>0</v>
      </c>
      <c r="X15" s="39">
        <f t="shared" si="18"/>
        <v>0</v>
      </c>
      <c r="Y15" s="826">
        <f t="shared" si="19"/>
        <v>0</v>
      </c>
      <c r="Z15" s="826">
        <f t="shared" si="20"/>
        <v>0</v>
      </c>
      <c r="AA15" s="826">
        <f t="shared" si="21"/>
        <v>0</v>
      </c>
    </row>
    <row r="16" spans="1:27" ht="24.95" customHeight="1" x14ac:dyDescent="0.2">
      <c r="A16" s="180">
        <v>8</v>
      </c>
      <c r="B16" s="63" t="str">
        <f>dtsiswa!D14</f>
        <v>Aulia Dea Rosalinda</v>
      </c>
      <c r="C16" s="11" t="s">
        <v>4</v>
      </c>
      <c r="D16" s="22"/>
      <c r="E16" s="22"/>
      <c r="F16" s="23"/>
      <c r="G16" s="23"/>
      <c r="H16" s="23"/>
      <c r="I16" s="24"/>
      <c r="J16" s="19">
        <f t="shared" si="5"/>
        <v>0</v>
      </c>
      <c r="K16" s="19">
        <f t="shared" si="6"/>
        <v>0</v>
      </c>
      <c r="L16" s="19">
        <f t="shared" si="7"/>
        <v>0</v>
      </c>
      <c r="M16" s="20">
        <f t="shared" si="8"/>
        <v>0</v>
      </c>
      <c r="N16" s="18">
        <f t="shared" si="9"/>
        <v>0</v>
      </c>
      <c r="O16" s="18">
        <f t="shared" si="10"/>
        <v>0</v>
      </c>
      <c r="P16" s="18">
        <f t="shared" si="11"/>
        <v>0</v>
      </c>
      <c r="Q16" s="20">
        <f t="shared" si="12"/>
        <v>0</v>
      </c>
      <c r="R16" s="65">
        <f t="shared" si="13"/>
        <v>0</v>
      </c>
      <c r="S16" s="65">
        <f t="shared" si="14"/>
        <v>0</v>
      </c>
      <c r="T16" s="65">
        <f t="shared" si="15"/>
        <v>0</v>
      </c>
      <c r="U16" s="20">
        <f t="shared" si="4"/>
        <v>0</v>
      </c>
      <c r="V16" s="39">
        <f t="shared" si="16"/>
        <v>0</v>
      </c>
      <c r="W16" s="39">
        <f t="shared" si="17"/>
        <v>0</v>
      </c>
      <c r="X16" s="39">
        <f t="shared" si="18"/>
        <v>0</v>
      </c>
      <c r="Y16" s="826">
        <f t="shared" si="19"/>
        <v>0</v>
      </c>
      <c r="Z16" s="826">
        <f t="shared" si="20"/>
        <v>0</v>
      </c>
      <c r="AA16" s="826">
        <f t="shared" si="21"/>
        <v>0</v>
      </c>
    </row>
    <row r="17" spans="1:27" ht="24.95" customHeight="1" x14ac:dyDescent="0.2">
      <c r="A17" s="180">
        <v>9</v>
      </c>
      <c r="B17" s="63" t="str">
        <f>dtsiswa!D15</f>
        <v>Claudia Gabriella L</v>
      </c>
      <c r="C17" s="11" t="s">
        <v>4</v>
      </c>
      <c r="D17" s="22"/>
      <c r="E17" s="22"/>
      <c r="F17" s="23"/>
      <c r="G17" s="23"/>
      <c r="H17" s="23"/>
      <c r="I17" s="24"/>
      <c r="J17" s="19">
        <f t="shared" si="5"/>
        <v>0</v>
      </c>
      <c r="K17" s="19">
        <f t="shared" si="6"/>
        <v>0</v>
      </c>
      <c r="L17" s="19">
        <f t="shared" si="7"/>
        <v>0</v>
      </c>
      <c r="M17" s="20">
        <f t="shared" si="8"/>
        <v>0</v>
      </c>
      <c r="N17" s="18">
        <f t="shared" si="9"/>
        <v>0</v>
      </c>
      <c r="O17" s="18">
        <f t="shared" si="10"/>
        <v>0</v>
      </c>
      <c r="P17" s="18">
        <f t="shared" si="11"/>
        <v>0</v>
      </c>
      <c r="Q17" s="20">
        <f t="shared" si="12"/>
        <v>0</v>
      </c>
      <c r="R17" s="65">
        <f t="shared" si="13"/>
        <v>0</v>
      </c>
      <c r="S17" s="65">
        <f t="shared" si="14"/>
        <v>0</v>
      </c>
      <c r="T17" s="65">
        <f t="shared" si="15"/>
        <v>0</v>
      </c>
      <c r="U17" s="20">
        <f t="shared" si="4"/>
        <v>0</v>
      </c>
      <c r="V17" s="39">
        <f t="shared" si="16"/>
        <v>0</v>
      </c>
      <c r="W17" s="39">
        <f t="shared" si="17"/>
        <v>0</v>
      </c>
      <c r="X17" s="39">
        <f t="shared" si="18"/>
        <v>0</v>
      </c>
      <c r="Y17" s="826">
        <f t="shared" si="19"/>
        <v>0</v>
      </c>
      <c r="Z17" s="826">
        <f t="shared" si="20"/>
        <v>0</v>
      </c>
      <c r="AA17" s="826">
        <f t="shared" si="21"/>
        <v>0</v>
      </c>
    </row>
    <row r="18" spans="1:27" ht="24.95" customHeight="1" x14ac:dyDescent="0.2">
      <c r="A18" s="180">
        <v>10</v>
      </c>
      <c r="B18" s="63" t="str">
        <f>dtsiswa!D16</f>
        <v xml:space="preserve">Deco Badarus Zaman </v>
      </c>
      <c r="C18" s="11" t="s">
        <v>4</v>
      </c>
      <c r="D18" s="22"/>
      <c r="E18" s="22"/>
      <c r="F18" s="23"/>
      <c r="G18" s="23"/>
      <c r="H18" s="23"/>
      <c r="I18" s="24"/>
      <c r="J18" s="19">
        <f t="shared" si="5"/>
        <v>0</v>
      </c>
      <c r="K18" s="19">
        <f t="shared" si="6"/>
        <v>0</v>
      </c>
      <c r="L18" s="19">
        <f t="shared" si="7"/>
        <v>0</v>
      </c>
      <c r="M18" s="20">
        <f t="shared" si="8"/>
        <v>0</v>
      </c>
      <c r="N18" s="18">
        <f t="shared" si="9"/>
        <v>0</v>
      </c>
      <c r="O18" s="18">
        <f t="shared" si="10"/>
        <v>0</v>
      </c>
      <c r="P18" s="18">
        <f t="shared" si="11"/>
        <v>0</v>
      </c>
      <c r="Q18" s="20">
        <f t="shared" si="12"/>
        <v>0</v>
      </c>
      <c r="R18" s="65">
        <f t="shared" si="13"/>
        <v>0</v>
      </c>
      <c r="S18" s="65">
        <f t="shared" si="14"/>
        <v>0</v>
      </c>
      <c r="T18" s="65">
        <f t="shared" si="15"/>
        <v>0</v>
      </c>
      <c r="U18" s="20">
        <f t="shared" si="4"/>
        <v>0</v>
      </c>
      <c r="V18" s="39">
        <f t="shared" si="16"/>
        <v>0</v>
      </c>
      <c r="W18" s="39">
        <f t="shared" si="17"/>
        <v>0</v>
      </c>
      <c r="X18" s="39">
        <f t="shared" si="18"/>
        <v>0</v>
      </c>
      <c r="Y18" s="826">
        <f t="shared" si="19"/>
        <v>0</v>
      </c>
      <c r="Z18" s="826">
        <f t="shared" si="20"/>
        <v>0</v>
      </c>
      <c r="AA18" s="826">
        <f t="shared" si="21"/>
        <v>0</v>
      </c>
    </row>
    <row r="19" spans="1:27" ht="24.95" customHeight="1" x14ac:dyDescent="0.2">
      <c r="A19" s="180">
        <v>11</v>
      </c>
      <c r="B19" s="63" t="str">
        <f>dtsiswa!D17</f>
        <v>Fania Mutiara Felichia</v>
      </c>
      <c r="C19" s="11" t="s">
        <v>4</v>
      </c>
      <c r="D19" s="22"/>
      <c r="E19" s="22"/>
      <c r="F19" s="23"/>
      <c r="G19" s="23"/>
      <c r="H19" s="23"/>
      <c r="I19" s="24"/>
      <c r="J19" s="19">
        <f t="shared" si="5"/>
        <v>0</v>
      </c>
      <c r="K19" s="19">
        <f t="shared" si="6"/>
        <v>0</v>
      </c>
      <c r="L19" s="19">
        <f t="shared" si="7"/>
        <v>0</v>
      </c>
      <c r="M19" s="20">
        <f t="shared" si="8"/>
        <v>0</v>
      </c>
      <c r="N19" s="18">
        <f t="shared" si="9"/>
        <v>0</v>
      </c>
      <c r="O19" s="18">
        <f t="shared" si="10"/>
        <v>0</v>
      </c>
      <c r="P19" s="18">
        <f t="shared" si="11"/>
        <v>0</v>
      </c>
      <c r="Q19" s="20">
        <f t="shared" si="12"/>
        <v>0</v>
      </c>
      <c r="R19" s="65">
        <f t="shared" si="13"/>
        <v>0</v>
      </c>
      <c r="S19" s="65">
        <f t="shared" si="14"/>
        <v>0</v>
      </c>
      <c r="T19" s="65">
        <f t="shared" si="15"/>
        <v>0</v>
      </c>
      <c r="U19" s="20">
        <f t="shared" si="4"/>
        <v>0</v>
      </c>
      <c r="V19" s="39">
        <f t="shared" si="16"/>
        <v>0</v>
      </c>
      <c r="W19" s="39">
        <f t="shared" si="17"/>
        <v>0</v>
      </c>
      <c r="X19" s="39">
        <f t="shared" si="18"/>
        <v>0</v>
      </c>
      <c r="Y19" s="826">
        <f t="shared" si="19"/>
        <v>0</v>
      </c>
      <c r="Z19" s="826">
        <f t="shared" si="20"/>
        <v>0</v>
      </c>
      <c r="AA19" s="826">
        <f t="shared" si="21"/>
        <v>0</v>
      </c>
    </row>
    <row r="20" spans="1:27" ht="24.95" customHeight="1" x14ac:dyDescent="0.2">
      <c r="A20" s="180">
        <v>12</v>
      </c>
      <c r="B20" s="63" t="str">
        <f>dtsiswa!D18</f>
        <v>Intan Dyah Nowari</v>
      </c>
      <c r="C20" s="11" t="s">
        <v>4</v>
      </c>
      <c r="D20" s="22"/>
      <c r="E20" s="22"/>
      <c r="F20" s="23"/>
      <c r="G20" s="23"/>
      <c r="H20" s="23"/>
      <c r="I20" s="24"/>
      <c r="J20" s="19">
        <f t="shared" si="5"/>
        <v>0</v>
      </c>
      <c r="K20" s="19">
        <f t="shared" si="6"/>
        <v>0</v>
      </c>
      <c r="L20" s="19">
        <f t="shared" si="7"/>
        <v>0</v>
      </c>
      <c r="M20" s="20">
        <f t="shared" si="8"/>
        <v>0</v>
      </c>
      <c r="N20" s="18">
        <f t="shared" si="9"/>
        <v>0</v>
      </c>
      <c r="O20" s="18">
        <f t="shared" si="10"/>
        <v>0</v>
      </c>
      <c r="P20" s="18">
        <f t="shared" si="11"/>
        <v>0</v>
      </c>
      <c r="Q20" s="20">
        <f t="shared" si="12"/>
        <v>0</v>
      </c>
      <c r="R20" s="65">
        <f t="shared" si="13"/>
        <v>0</v>
      </c>
      <c r="S20" s="65">
        <f t="shared" si="14"/>
        <v>0</v>
      </c>
      <c r="T20" s="65">
        <f t="shared" si="15"/>
        <v>0</v>
      </c>
      <c r="U20" s="20">
        <f t="shared" si="4"/>
        <v>0</v>
      </c>
      <c r="V20" s="39">
        <f t="shared" si="16"/>
        <v>0</v>
      </c>
      <c r="W20" s="39">
        <f t="shared" si="17"/>
        <v>0</v>
      </c>
      <c r="X20" s="39">
        <f t="shared" si="18"/>
        <v>0</v>
      </c>
      <c r="Y20" s="826">
        <f t="shared" si="19"/>
        <v>0</v>
      </c>
      <c r="Z20" s="826">
        <f t="shared" si="20"/>
        <v>0</v>
      </c>
      <c r="AA20" s="826">
        <f t="shared" si="21"/>
        <v>0</v>
      </c>
    </row>
    <row r="21" spans="1:27" ht="24.95" customHeight="1" x14ac:dyDescent="0.2">
      <c r="A21" s="180">
        <v>13</v>
      </c>
      <c r="B21" s="63" t="str">
        <f>dtsiswa!D19</f>
        <v>Misyanita Nurfitri S</v>
      </c>
      <c r="C21" s="11" t="s">
        <v>5</v>
      </c>
      <c r="D21" s="22"/>
      <c r="E21" s="22"/>
      <c r="F21" s="23"/>
      <c r="G21" s="23"/>
      <c r="H21" s="23"/>
      <c r="I21" s="24"/>
      <c r="J21" s="19">
        <f t="shared" si="5"/>
        <v>0</v>
      </c>
      <c r="K21" s="19">
        <f t="shared" si="6"/>
        <v>0</v>
      </c>
      <c r="L21" s="19">
        <f t="shared" si="7"/>
        <v>0</v>
      </c>
      <c r="M21" s="20">
        <f t="shared" si="8"/>
        <v>0</v>
      </c>
      <c r="N21" s="18">
        <f t="shared" si="9"/>
        <v>0</v>
      </c>
      <c r="O21" s="18">
        <f t="shared" si="10"/>
        <v>0</v>
      </c>
      <c r="P21" s="18">
        <f t="shared" si="11"/>
        <v>0</v>
      </c>
      <c r="Q21" s="20">
        <f t="shared" si="12"/>
        <v>0</v>
      </c>
      <c r="R21" s="65">
        <f t="shared" si="13"/>
        <v>0</v>
      </c>
      <c r="S21" s="65">
        <f t="shared" si="14"/>
        <v>0</v>
      </c>
      <c r="T21" s="65">
        <f t="shared" si="15"/>
        <v>0</v>
      </c>
      <c r="U21" s="20">
        <f t="shared" si="4"/>
        <v>0</v>
      </c>
      <c r="V21" s="39">
        <f t="shared" si="16"/>
        <v>0</v>
      </c>
      <c r="W21" s="39">
        <f t="shared" si="17"/>
        <v>0</v>
      </c>
      <c r="X21" s="39">
        <f t="shared" si="18"/>
        <v>0</v>
      </c>
      <c r="Y21" s="826">
        <f t="shared" si="19"/>
        <v>0</v>
      </c>
      <c r="Z21" s="826">
        <f t="shared" si="20"/>
        <v>0</v>
      </c>
      <c r="AA21" s="826">
        <f t="shared" si="21"/>
        <v>0</v>
      </c>
    </row>
    <row r="22" spans="1:27" ht="24.95" customHeight="1" x14ac:dyDescent="0.2">
      <c r="A22" s="180">
        <v>14</v>
      </c>
      <c r="B22" s="63" t="str">
        <f>dtsiswa!D20</f>
        <v>Moch Zidane Hita L. U</v>
      </c>
      <c r="C22" s="11" t="s">
        <v>4</v>
      </c>
      <c r="D22" s="22"/>
      <c r="E22" s="22"/>
      <c r="F22" s="23"/>
      <c r="G22" s="23"/>
      <c r="H22" s="23"/>
      <c r="I22" s="24"/>
      <c r="J22" s="19">
        <f t="shared" si="5"/>
        <v>0</v>
      </c>
      <c r="K22" s="19">
        <f t="shared" si="6"/>
        <v>0</v>
      </c>
      <c r="L22" s="19">
        <f t="shared" si="7"/>
        <v>0</v>
      </c>
      <c r="M22" s="20">
        <f t="shared" si="8"/>
        <v>0</v>
      </c>
      <c r="N22" s="18">
        <f t="shared" si="9"/>
        <v>0</v>
      </c>
      <c r="O22" s="18">
        <f t="shared" si="10"/>
        <v>0</v>
      </c>
      <c r="P22" s="18">
        <f t="shared" si="11"/>
        <v>0</v>
      </c>
      <c r="Q22" s="20">
        <f t="shared" si="12"/>
        <v>0</v>
      </c>
      <c r="R22" s="65">
        <f t="shared" si="13"/>
        <v>0</v>
      </c>
      <c r="S22" s="65">
        <f t="shared" si="14"/>
        <v>0</v>
      </c>
      <c r="T22" s="65">
        <f t="shared" si="15"/>
        <v>0</v>
      </c>
      <c r="U22" s="20">
        <f t="shared" si="4"/>
        <v>0</v>
      </c>
      <c r="V22" s="39">
        <f t="shared" si="16"/>
        <v>0</v>
      </c>
      <c r="W22" s="39">
        <f t="shared" si="17"/>
        <v>0</v>
      </c>
      <c r="X22" s="39">
        <f t="shared" si="18"/>
        <v>0</v>
      </c>
      <c r="Y22" s="826">
        <f t="shared" si="19"/>
        <v>0</v>
      </c>
      <c r="Z22" s="826">
        <f t="shared" si="20"/>
        <v>0</v>
      </c>
      <c r="AA22" s="826">
        <f t="shared" si="21"/>
        <v>0</v>
      </c>
    </row>
    <row r="23" spans="1:27" ht="24.95" customHeight="1" x14ac:dyDescent="0.2">
      <c r="A23" s="180">
        <v>15</v>
      </c>
      <c r="B23" s="63" t="str">
        <f>dtsiswa!D21</f>
        <v>Muhammad Ibra Maulana</v>
      </c>
      <c r="C23" s="11" t="s">
        <v>4</v>
      </c>
      <c r="D23" s="22"/>
      <c r="E23" s="22"/>
      <c r="F23" s="23"/>
      <c r="G23" s="23"/>
      <c r="H23" s="23"/>
      <c r="I23" s="24"/>
      <c r="J23" s="19">
        <f t="shared" si="5"/>
        <v>0</v>
      </c>
      <c r="K23" s="19">
        <f t="shared" si="6"/>
        <v>0</v>
      </c>
      <c r="L23" s="19">
        <f t="shared" si="7"/>
        <v>0</v>
      </c>
      <c r="M23" s="20">
        <f t="shared" si="8"/>
        <v>0</v>
      </c>
      <c r="N23" s="18">
        <f t="shared" si="9"/>
        <v>0</v>
      </c>
      <c r="O23" s="18">
        <f t="shared" si="10"/>
        <v>0</v>
      </c>
      <c r="P23" s="18">
        <f t="shared" si="11"/>
        <v>0</v>
      </c>
      <c r="Q23" s="20">
        <f t="shared" si="12"/>
        <v>0</v>
      </c>
      <c r="R23" s="65">
        <f t="shared" si="13"/>
        <v>0</v>
      </c>
      <c r="S23" s="65">
        <f t="shared" si="14"/>
        <v>0</v>
      </c>
      <c r="T23" s="65">
        <f t="shared" si="15"/>
        <v>0</v>
      </c>
      <c r="U23" s="20">
        <f t="shared" si="4"/>
        <v>0</v>
      </c>
      <c r="V23" s="39">
        <f t="shared" si="16"/>
        <v>0</v>
      </c>
      <c r="W23" s="39">
        <f t="shared" si="17"/>
        <v>0</v>
      </c>
      <c r="X23" s="39">
        <f t="shared" si="18"/>
        <v>0</v>
      </c>
      <c r="Y23" s="826">
        <f t="shared" si="19"/>
        <v>0</v>
      </c>
      <c r="Z23" s="826">
        <f t="shared" si="20"/>
        <v>0</v>
      </c>
      <c r="AA23" s="826">
        <f t="shared" si="21"/>
        <v>0</v>
      </c>
    </row>
    <row r="24" spans="1:27" ht="24.95" customHeight="1" x14ac:dyDescent="0.2">
      <c r="A24" s="180">
        <v>16</v>
      </c>
      <c r="B24" s="63" t="str">
        <f>dtsiswa!D22</f>
        <v>Nabilla Shiva Putri</v>
      </c>
      <c r="C24" s="11" t="s">
        <v>4</v>
      </c>
      <c r="D24" s="22"/>
      <c r="E24" s="22"/>
      <c r="F24" s="23"/>
      <c r="G24" s="23"/>
      <c r="H24" s="23"/>
      <c r="I24" s="24"/>
      <c r="J24" s="19">
        <f t="shared" si="5"/>
        <v>0</v>
      </c>
      <c r="K24" s="19">
        <f t="shared" si="6"/>
        <v>0</v>
      </c>
      <c r="L24" s="19">
        <f t="shared" si="7"/>
        <v>0</v>
      </c>
      <c r="M24" s="20">
        <f t="shared" si="8"/>
        <v>0</v>
      </c>
      <c r="N24" s="18">
        <f t="shared" si="9"/>
        <v>0</v>
      </c>
      <c r="O24" s="18">
        <f t="shared" si="10"/>
        <v>0</v>
      </c>
      <c r="P24" s="18">
        <f t="shared" si="11"/>
        <v>0</v>
      </c>
      <c r="Q24" s="20">
        <f t="shared" si="12"/>
        <v>0</v>
      </c>
      <c r="R24" s="65">
        <f t="shared" si="13"/>
        <v>0</v>
      </c>
      <c r="S24" s="65">
        <f t="shared" si="14"/>
        <v>0</v>
      </c>
      <c r="T24" s="65">
        <f t="shared" si="15"/>
        <v>0</v>
      </c>
      <c r="U24" s="20">
        <f t="shared" si="4"/>
        <v>0</v>
      </c>
      <c r="V24" s="39">
        <f t="shared" si="16"/>
        <v>0</v>
      </c>
      <c r="W24" s="39">
        <f t="shared" si="17"/>
        <v>0</v>
      </c>
      <c r="X24" s="39">
        <f t="shared" si="18"/>
        <v>0</v>
      </c>
      <c r="Y24" s="826">
        <f t="shared" si="19"/>
        <v>0</v>
      </c>
      <c r="Z24" s="826">
        <f t="shared" si="20"/>
        <v>0</v>
      </c>
      <c r="AA24" s="826">
        <f t="shared" si="21"/>
        <v>0</v>
      </c>
    </row>
    <row r="25" spans="1:27" ht="24.95" customHeight="1" x14ac:dyDescent="0.2">
      <c r="A25" s="180">
        <v>17</v>
      </c>
      <c r="B25" s="63" t="str">
        <f>dtsiswa!D23</f>
        <v>Naufal Falih F</v>
      </c>
      <c r="C25" s="11" t="s">
        <v>5</v>
      </c>
      <c r="D25" s="22"/>
      <c r="E25" s="22"/>
      <c r="F25" s="23"/>
      <c r="G25" s="23"/>
      <c r="H25" s="23"/>
      <c r="I25" s="24"/>
      <c r="J25" s="19">
        <f t="shared" si="5"/>
        <v>0</v>
      </c>
      <c r="K25" s="19">
        <f t="shared" si="6"/>
        <v>0</v>
      </c>
      <c r="L25" s="19">
        <f t="shared" si="7"/>
        <v>0</v>
      </c>
      <c r="M25" s="20">
        <f t="shared" si="8"/>
        <v>0</v>
      </c>
      <c r="N25" s="18">
        <f t="shared" si="9"/>
        <v>0</v>
      </c>
      <c r="O25" s="18">
        <f t="shared" si="10"/>
        <v>0</v>
      </c>
      <c r="P25" s="18">
        <f t="shared" si="11"/>
        <v>0</v>
      </c>
      <c r="Q25" s="20">
        <f t="shared" si="12"/>
        <v>0</v>
      </c>
      <c r="R25" s="65">
        <f t="shared" si="13"/>
        <v>0</v>
      </c>
      <c r="S25" s="65">
        <f t="shared" si="14"/>
        <v>0</v>
      </c>
      <c r="T25" s="65">
        <f t="shared" si="15"/>
        <v>0</v>
      </c>
      <c r="U25" s="20">
        <f t="shared" si="4"/>
        <v>0</v>
      </c>
      <c r="V25" s="39">
        <f t="shared" si="16"/>
        <v>0</v>
      </c>
      <c r="W25" s="39">
        <f t="shared" si="17"/>
        <v>0</v>
      </c>
      <c r="X25" s="39">
        <f t="shared" si="18"/>
        <v>0</v>
      </c>
      <c r="Y25" s="826">
        <f t="shared" si="19"/>
        <v>0</v>
      </c>
      <c r="Z25" s="826">
        <f t="shared" si="20"/>
        <v>0</v>
      </c>
      <c r="AA25" s="826">
        <f t="shared" si="21"/>
        <v>0</v>
      </c>
    </row>
    <row r="26" spans="1:27" ht="24.95" customHeight="1" x14ac:dyDescent="0.2">
      <c r="A26" s="180">
        <v>18</v>
      </c>
      <c r="B26" s="63" t="str">
        <f>dtsiswa!D24</f>
        <v>Nayla Annora Nobel W</v>
      </c>
      <c r="C26" s="11" t="s">
        <v>4</v>
      </c>
      <c r="D26" s="22"/>
      <c r="E26" s="22"/>
      <c r="F26" s="23"/>
      <c r="G26" s="23"/>
      <c r="H26" s="23"/>
      <c r="I26" s="24"/>
      <c r="J26" s="19">
        <f t="shared" si="5"/>
        <v>0</v>
      </c>
      <c r="K26" s="19">
        <f t="shared" si="6"/>
        <v>0</v>
      </c>
      <c r="L26" s="19">
        <f t="shared" si="7"/>
        <v>0</v>
      </c>
      <c r="M26" s="20">
        <f t="shared" si="8"/>
        <v>0</v>
      </c>
      <c r="N26" s="18">
        <f t="shared" si="9"/>
        <v>0</v>
      </c>
      <c r="O26" s="18">
        <f t="shared" si="10"/>
        <v>0</v>
      </c>
      <c r="P26" s="18">
        <f t="shared" si="11"/>
        <v>0</v>
      </c>
      <c r="Q26" s="20">
        <f t="shared" si="12"/>
        <v>0</v>
      </c>
      <c r="R26" s="65">
        <f t="shared" si="13"/>
        <v>0</v>
      </c>
      <c r="S26" s="65">
        <f t="shared" si="14"/>
        <v>0</v>
      </c>
      <c r="T26" s="65">
        <f t="shared" si="15"/>
        <v>0</v>
      </c>
      <c r="U26" s="20">
        <f t="shared" si="4"/>
        <v>0</v>
      </c>
      <c r="V26" s="39">
        <f t="shared" si="16"/>
        <v>0</v>
      </c>
      <c r="W26" s="39">
        <f t="shared" si="17"/>
        <v>0</v>
      </c>
      <c r="X26" s="39">
        <f t="shared" si="18"/>
        <v>0</v>
      </c>
      <c r="Y26" s="826">
        <f t="shared" si="19"/>
        <v>0</v>
      </c>
      <c r="Z26" s="826">
        <f t="shared" si="20"/>
        <v>0</v>
      </c>
      <c r="AA26" s="826">
        <f t="shared" si="21"/>
        <v>0</v>
      </c>
    </row>
    <row r="27" spans="1:27" ht="24.95" customHeight="1" x14ac:dyDescent="0.2">
      <c r="A27" s="180">
        <v>19</v>
      </c>
      <c r="B27" s="63" t="str">
        <f>dtsiswa!D25</f>
        <v>Raihan Danang P</v>
      </c>
      <c r="C27" s="11" t="s">
        <v>5</v>
      </c>
      <c r="D27" s="22"/>
      <c r="E27" s="22"/>
      <c r="F27" s="23"/>
      <c r="G27" s="23"/>
      <c r="H27" s="23"/>
      <c r="I27" s="24"/>
      <c r="J27" s="19">
        <f t="shared" si="5"/>
        <v>0</v>
      </c>
      <c r="K27" s="19">
        <f t="shared" si="6"/>
        <v>0</v>
      </c>
      <c r="L27" s="19">
        <f t="shared" si="7"/>
        <v>0</v>
      </c>
      <c r="M27" s="20">
        <f t="shared" si="8"/>
        <v>0</v>
      </c>
      <c r="N27" s="18">
        <f t="shared" si="9"/>
        <v>0</v>
      </c>
      <c r="O27" s="18">
        <f t="shared" si="10"/>
        <v>0</v>
      </c>
      <c r="P27" s="18">
        <f t="shared" si="11"/>
        <v>0</v>
      </c>
      <c r="Q27" s="20">
        <f t="shared" si="12"/>
        <v>0</v>
      </c>
      <c r="R27" s="65">
        <f t="shared" si="13"/>
        <v>0</v>
      </c>
      <c r="S27" s="65">
        <f t="shared" si="14"/>
        <v>0</v>
      </c>
      <c r="T27" s="65">
        <f t="shared" si="15"/>
        <v>0</v>
      </c>
      <c r="U27" s="20">
        <f t="shared" si="4"/>
        <v>0</v>
      </c>
      <c r="V27" s="39">
        <f t="shared" si="16"/>
        <v>0</v>
      </c>
      <c r="W27" s="39">
        <f t="shared" si="17"/>
        <v>0</v>
      </c>
      <c r="X27" s="39">
        <f t="shared" si="18"/>
        <v>0</v>
      </c>
      <c r="Y27" s="826">
        <f t="shared" si="19"/>
        <v>0</v>
      </c>
      <c r="Z27" s="826">
        <f t="shared" si="20"/>
        <v>0</v>
      </c>
      <c r="AA27" s="826">
        <f t="shared" si="21"/>
        <v>0</v>
      </c>
    </row>
    <row r="28" spans="1:27" ht="24.95" customHeight="1" x14ac:dyDescent="0.2">
      <c r="A28" s="180">
        <v>20</v>
      </c>
      <c r="B28" s="63" t="str">
        <f>dtsiswa!D26</f>
        <v>Roby Ardiyansyah</v>
      </c>
      <c r="C28" s="11" t="s">
        <v>5</v>
      </c>
      <c r="D28" s="22"/>
      <c r="E28" s="22"/>
      <c r="F28" s="23"/>
      <c r="G28" s="23"/>
      <c r="H28" s="23"/>
      <c r="I28" s="24"/>
      <c r="J28" s="19">
        <f t="shared" si="5"/>
        <v>0</v>
      </c>
      <c r="K28" s="19">
        <f t="shared" si="6"/>
        <v>0</v>
      </c>
      <c r="L28" s="19">
        <f t="shared" si="7"/>
        <v>0</v>
      </c>
      <c r="M28" s="20">
        <f t="shared" si="8"/>
        <v>0</v>
      </c>
      <c r="N28" s="18">
        <f t="shared" si="9"/>
        <v>0</v>
      </c>
      <c r="O28" s="18">
        <f t="shared" si="10"/>
        <v>0</v>
      </c>
      <c r="P28" s="18">
        <f t="shared" si="11"/>
        <v>0</v>
      </c>
      <c r="Q28" s="20">
        <f t="shared" si="12"/>
        <v>0</v>
      </c>
      <c r="R28" s="65">
        <f t="shared" si="13"/>
        <v>0</v>
      </c>
      <c r="S28" s="65">
        <f t="shared" si="14"/>
        <v>0</v>
      </c>
      <c r="T28" s="65">
        <f t="shared" si="15"/>
        <v>0</v>
      </c>
      <c r="U28" s="20">
        <f t="shared" si="4"/>
        <v>0</v>
      </c>
      <c r="V28" s="39">
        <f t="shared" si="16"/>
        <v>0</v>
      </c>
      <c r="W28" s="39">
        <f t="shared" si="17"/>
        <v>0</v>
      </c>
      <c r="X28" s="39">
        <f t="shared" si="18"/>
        <v>0</v>
      </c>
      <c r="Y28" s="826">
        <f t="shared" si="19"/>
        <v>0</v>
      </c>
      <c r="Z28" s="826">
        <f t="shared" si="20"/>
        <v>0</v>
      </c>
      <c r="AA28" s="826">
        <f t="shared" si="21"/>
        <v>0</v>
      </c>
    </row>
    <row r="29" spans="1:27" ht="24.95" customHeight="1" x14ac:dyDescent="0.2">
      <c r="A29" s="180">
        <v>21</v>
      </c>
      <c r="B29" s="63" t="str">
        <f>dtsiswa!D27</f>
        <v>Rojalingga Prana A</v>
      </c>
      <c r="C29" s="13" t="s">
        <v>4</v>
      </c>
      <c r="D29" s="22"/>
      <c r="E29" s="22"/>
      <c r="F29" s="23"/>
      <c r="G29" s="23"/>
      <c r="H29" s="23"/>
      <c r="I29" s="24"/>
      <c r="J29" s="19">
        <f t="shared" si="5"/>
        <v>0</v>
      </c>
      <c r="K29" s="19">
        <f t="shared" si="6"/>
        <v>0</v>
      </c>
      <c r="L29" s="19">
        <f t="shared" si="7"/>
        <v>0</v>
      </c>
      <c r="M29" s="20">
        <f t="shared" si="8"/>
        <v>0</v>
      </c>
      <c r="N29" s="18">
        <f t="shared" si="9"/>
        <v>0</v>
      </c>
      <c r="O29" s="18">
        <f t="shared" si="10"/>
        <v>0</v>
      </c>
      <c r="P29" s="18">
        <f t="shared" si="11"/>
        <v>0</v>
      </c>
      <c r="Q29" s="20">
        <f t="shared" si="12"/>
        <v>0</v>
      </c>
      <c r="R29" s="65">
        <f t="shared" si="13"/>
        <v>0</v>
      </c>
      <c r="S29" s="65">
        <f t="shared" si="14"/>
        <v>0</v>
      </c>
      <c r="T29" s="65">
        <f t="shared" si="15"/>
        <v>0</v>
      </c>
      <c r="U29" s="20">
        <f t="shared" si="4"/>
        <v>0</v>
      </c>
      <c r="V29" s="39">
        <f t="shared" si="16"/>
        <v>0</v>
      </c>
      <c r="W29" s="39">
        <f t="shared" si="17"/>
        <v>0</v>
      </c>
      <c r="X29" s="39">
        <f t="shared" si="18"/>
        <v>0</v>
      </c>
      <c r="Y29" s="826">
        <f t="shared" si="19"/>
        <v>0</v>
      </c>
      <c r="Z29" s="826">
        <f t="shared" si="20"/>
        <v>0</v>
      </c>
      <c r="AA29" s="826">
        <f t="shared" si="21"/>
        <v>0</v>
      </c>
    </row>
    <row r="30" spans="1:27" ht="24.95" customHeight="1" x14ac:dyDescent="0.2">
      <c r="A30" s="365">
        <v>22</v>
      </c>
      <c r="B30" s="63" t="str">
        <f>dtsiswa!D28</f>
        <v>Sally Savista A</v>
      </c>
      <c r="C30" s="11" t="s">
        <v>5</v>
      </c>
      <c r="D30" s="22"/>
      <c r="E30" s="22"/>
      <c r="F30" s="23"/>
      <c r="G30" s="23"/>
      <c r="H30" s="23"/>
      <c r="I30" s="283"/>
      <c r="J30" s="19">
        <f t="shared" si="5"/>
        <v>0</v>
      </c>
      <c r="K30" s="19">
        <f t="shared" si="6"/>
        <v>0</v>
      </c>
      <c r="L30" s="19">
        <f t="shared" si="7"/>
        <v>0</v>
      </c>
      <c r="M30" s="20">
        <f t="shared" si="8"/>
        <v>0</v>
      </c>
      <c r="N30" s="18">
        <f t="shared" si="9"/>
        <v>0</v>
      </c>
      <c r="O30" s="18">
        <f t="shared" si="10"/>
        <v>0</v>
      </c>
      <c r="P30" s="18">
        <f t="shared" si="11"/>
        <v>0</v>
      </c>
      <c r="Q30" s="20">
        <f t="shared" si="12"/>
        <v>0</v>
      </c>
      <c r="R30" s="65">
        <f t="shared" si="13"/>
        <v>0</v>
      </c>
      <c r="S30" s="65">
        <f t="shared" si="14"/>
        <v>0</v>
      </c>
      <c r="T30" s="65">
        <f t="shared" si="15"/>
        <v>0</v>
      </c>
      <c r="U30" s="20">
        <f t="shared" si="4"/>
        <v>0</v>
      </c>
      <c r="V30" s="39">
        <f t="shared" si="16"/>
        <v>0</v>
      </c>
      <c r="W30" s="39">
        <f t="shared" si="17"/>
        <v>0</v>
      </c>
      <c r="X30" s="39">
        <f t="shared" si="18"/>
        <v>0</v>
      </c>
      <c r="Y30" s="826">
        <f t="shared" si="19"/>
        <v>0</v>
      </c>
      <c r="Z30" s="826">
        <f t="shared" si="20"/>
        <v>0</v>
      </c>
      <c r="AA30" s="826">
        <f t="shared" si="21"/>
        <v>0</v>
      </c>
    </row>
    <row r="31" spans="1:27" ht="24.95" customHeight="1" x14ac:dyDescent="0.2">
      <c r="A31" s="365">
        <v>23</v>
      </c>
      <c r="B31" s="63" t="str">
        <f>dtsiswa!D29</f>
        <v xml:space="preserve">Tania Kaori Angelita </v>
      </c>
      <c r="C31" s="13" t="s">
        <v>4</v>
      </c>
      <c r="D31" s="22"/>
      <c r="E31" s="22"/>
      <c r="F31" s="23"/>
      <c r="G31" s="23"/>
      <c r="H31" s="23"/>
      <c r="I31" s="283"/>
      <c r="J31" s="19">
        <f t="shared" si="5"/>
        <v>0</v>
      </c>
      <c r="K31" s="19">
        <f t="shared" si="6"/>
        <v>0</v>
      </c>
      <c r="L31" s="19">
        <f t="shared" si="7"/>
        <v>0</v>
      </c>
      <c r="M31" s="20">
        <f t="shared" si="8"/>
        <v>0</v>
      </c>
      <c r="N31" s="18">
        <f t="shared" si="9"/>
        <v>0</v>
      </c>
      <c r="O31" s="18">
        <f t="shared" si="10"/>
        <v>0</v>
      </c>
      <c r="P31" s="18">
        <f t="shared" si="11"/>
        <v>0</v>
      </c>
      <c r="Q31" s="20">
        <f t="shared" si="12"/>
        <v>0</v>
      </c>
      <c r="R31" s="65">
        <f t="shared" si="13"/>
        <v>0</v>
      </c>
      <c r="S31" s="65">
        <f t="shared" si="14"/>
        <v>0</v>
      </c>
      <c r="T31" s="65">
        <f t="shared" si="15"/>
        <v>0</v>
      </c>
      <c r="U31" s="20">
        <f t="shared" si="4"/>
        <v>0</v>
      </c>
      <c r="V31" s="39">
        <f t="shared" si="16"/>
        <v>0</v>
      </c>
      <c r="W31" s="39">
        <f t="shared" si="17"/>
        <v>0</v>
      </c>
      <c r="X31" s="39">
        <f t="shared" si="18"/>
        <v>0</v>
      </c>
      <c r="Y31" s="826">
        <f t="shared" si="19"/>
        <v>0</v>
      </c>
      <c r="Z31" s="826">
        <f t="shared" si="20"/>
        <v>0</v>
      </c>
      <c r="AA31" s="826">
        <f t="shared" si="21"/>
        <v>0</v>
      </c>
    </row>
    <row r="32" spans="1:27" ht="24.95" customHeight="1" x14ac:dyDescent="0.2">
      <c r="A32" s="365">
        <v>24</v>
      </c>
      <c r="B32" s="63" t="str">
        <f>dtsiswa!D30</f>
        <v>Romzy Oka Ramadhani P</v>
      </c>
      <c r="C32" s="11" t="s">
        <v>5</v>
      </c>
      <c r="D32" s="22"/>
      <c r="E32" s="22"/>
      <c r="F32" s="23"/>
      <c r="G32" s="23"/>
      <c r="H32" s="23"/>
      <c r="I32" s="283"/>
      <c r="J32" s="19">
        <f t="shared" si="5"/>
        <v>0</v>
      </c>
      <c r="K32" s="19">
        <f t="shared" si="6"/>
        <v>0</v>
      </c>
      <c r="L32" s="19">
        <f t="shared" si="7"/>
        <v>0</v>
      </c>
      <c r="M32" s="20">
        <f t="shared" si="8"/>
        <v>0</v>
      </c>
      <c r="N32" s="18">
        <f t="shared" si="9"/>
        <v>0</v>
      </c>
      <c r="O32" s="18">
        <f t="shared" si="10"/>
        <v>0</v>
      </c>
      <c r="P32" s="18">
        <f t="shared" si="11"/>
        <v>0</v>
      </c>
      <c r="Q32" s="20">
        <f t="shared" si="12"/>
        <v>0</v>
      </c>
      <c r="R32" s="65">
        <f t="shared" si="13"/>
        <v>0</v>
      </c>
      <c r="S32" s="65">
        <f t="shared" si="14"/>
        <v>0</v>
      </c>
      <c r="T32" s="65">
        <f t="shared" si="15"/>
        <v>0</v>
      </c>
      <c r="U32" s="20">
        <f t="shared" si="4"/>
        <v>0</v>
      </c>
      <c r="V32" s="39">
        <f t="shared" si="16"/>
        <v>0</v>
      </c>
      <c r="W32" s="39">
        <f t="shared" si="17"/>
        <v>0</v>
      </c>
      <c r="X32" s="39">
        <f t="shared" si="18"/>
        <v>0</v>
      </c>
      <c r="Y32" s="826">
        <f t="shared" si="19"/>
        <v>0</v>
      </c>
      <c r="Z32" s="826">
        <f t="shared" si="20"/>
        <v>0</v>
      </c>
      <c r="AA32" s="826">
        <f t="shared" si="21"/>
        <v>0</v>
      </c>
    </row>
    <row r="33" spans="1:27" ht="24.95" customHeight="1" x14ac:dyDescent="0.2">
      <c r="A33" s="365">
        <v>25</v>
      </c>
      <c r="B33" s="63" t="str">
        <f>dtsiswa!D31</f>
        <v>Larasati Jagadhita P</v>
      </c>
      <c r="C33" s="13" t="s">
        <v>4</v>
      </c>
      <c r="D33" s="22"/>
      <c r="E33" s="22"/>
      <c r="F33" s="23"/>
      <c r="G33" s="23"/>
      <c r="H33" s="23"/>
      <c r="I33" s="283"/>
      <c r="J33" s="19">
        <f t="shared" si="5"/>
        <v>0</v>
      </c>
      <c r="K33" s="19">
        <f t="shared" si="6"/>
        <v>0</v>
      </c>
      <c r="L33" s="19">
        <f t="shared" si="7"/>
        <v>0</v>
      </c>
      <c r="M33" s="20">
        <f t="shared" si="8"/>
        <v>0</v>
      </c>
      <c r="N33" s="18">
        <f t="shared" si="9"/>
        <v>0</v>
      </c>
      <c r="O33" s="18">
        <f t="shared" si="10"/>
        <v>0</v>
      </c>
      <c r="P33" s="18">
        <f t="shared" si="11"/>
        <v>0</v>
      </c>
      <c r="Q33" s="20">
        <f t="shared" si="12"/>
        <v>0</v>
      </c>
      <c r="R33" s="65">
        <f t="shared" si="13"/>
        <v>0</v>
      </c>
      <c r="S33" s="65">
        <f t="shared" si="14"/>
        <v>0</v>
      </c>
      <c r="T33" s="65">
        <f t="shared" si="15"/>
        <v>0</v>
      </c>
      <c r="U33" s="20">
        <f t="shared" si="4"/>
        <v>0</v>
      </c>
      <c r="V33" s="39">
        <f t="shared" si="16"/>
        <v>0</v>
      </c>
      <c r="W33" s="39">
        <f t="shared" si="17"/>
        <v>0</v>
      </c>
      <c r="X33" s="39">
        <f t="shared" si="18"/>
        <v>0</v>
      </c>
      <c r="Y33" s="826">
        <f t="shared" si="19"/>
        <v>0</v>
      </c>
      <c r="Z33" s="826">
        <f t="shared" si="20"/>
        <v>0</v>
      </c>
      <c r="AA33" s="826">
        <f t="shared" si="21"/>
        <v>0</v>
      </c>
    </row>
    <row r="34" spans="1:27" ht="24.95" customHeight="1" x14ac:dyDescent="0.2">
      <c r="A34" s="365">
        <v>26</v>
      </c>
      <c r="B34" s="63" t="str">
        <f>dtsiswa!D32</f>
        <v>Meliana Citra A</v>
      </c>
      <c r="C34" s="11" t="s">
        <v>5</v>
      </c>
      <c r="D34" s="22"/>
      <c r="E34" s="22"/>
      <c r="F34" s="23"/>
      <c r="G34" s="23"/>
      <c r="H34" s="23"/>
      <c r="I34" s="283"/>
      <c r="J34" s="19">
        <f t="shared" si="5"/>
        <v>0</v>
      </c>
      <c r="K34" s="19">
        <f t="shared" si="6"/>
        <v>0</v>
      </c>
      <c r="L34" s="19">
        <f t="shared" si="7"/>
        <v>0</v>
      </c>
      <c r="M34" s="20">
        <f t="shared" si="8"/>
        <v>0</v>
      </c>
      <c r="N34" s="18">
        <f t="shared" si="9"/>
        <v>0</v>
      </c>
      <c r="O34" s="18">
        <f t="shared" si="10"/>
        <v>0</v>
      </c>
      <c r="P34" s="18">
        <f t="shared" si="11"/>
        <v>0</v>
      </c>
      <c r="Q34" s="20">
        <f t="shared" si="12"/>
        <v>0</v>
      </c>
      <c r="R34" s="65">
        <f t="shared" si="13"/>
        <v>0</v>
      </c>
      <c r="S34" s="65">
        <f t="shared" si="14"/>
        <v>0</v>
      </c>
      <c r="T34" s="65">
        <f t="shared" si="15"/>
        <v>0</v>
      </c>
      <c r="U34" s="20">
        <f t="shared" si="4"/>
        <v>0</v>
      </c>
      <c r="V34" s="39">
        <f t="shared" si="16"/>
        <v>0</v>
      </c>
      <c r="W34" s="39">
        <f t="shared" si="17"/>
        <v>0</v>
      </c>
      <c r="X34" s="39">
        <f t="shared" si="18"/>
        <v>0</v>
      </c>
      <c r="Y34" s="826">
        <f t="shared" si="19"/>
        <v>0</v>
      </c>
      <c r="Z34" s="826">
        <f t="shared" si="20"/>
        <v>0</v>
      </c>
      <c r="AA34" s="826">
        <f t="shared" si="21"/>
        <v>0</v>
      </c>
    </row>
    <row r="35" spans="1:27" ht="24.95" customHeight="1" x14ac:dyDescent="0.2">
      <c r="A35" s="365">
        <v>27</v>
      </c>
      <c r="B35" s="63" t="str">
        <f>dtsiswa!D33</f>
        <v>Mohammad Rizky</v>
      </c>
      <c r="C35" s="13" t="s">
        <v>4</v>
      </c>
      <c r="D35" s="22"/>
      <c r="E35" s="22"/>
      <c r="F35" s="23"/>
      <c r="G35" s="23"/>
      <c r="H35" s="23"/>
      <c r="I35" s="283"/>
      <c r="J35" s="19">
        <f t="shared" si="5"/>
        <v>0</v>
      </c>
      <c r="K35" s="19">
        <f t="shared" si="6"/>
        <v>0</v>
      </c>
      <c r="L35" s="19">
        <f t="shared" si="7"/>
        <v>0</v>
      </c>
      <c r="M35" s="20">
        <f t="shared" si="8"/>
        <v>0</v>
      </c>
      <c r="N35" s="18">
        <f t="shared" si="9"/>
        <v>0</v>
      </c>
      <c r="O35" s="18">
        <f t="shared" si="10"/>
        <v>0</v>
      </c>
      <c r="P35" s="18">
        <f t="shared" si="11"/>
        <v>0</v>
      </c>
      <c r="Q35" s="20">
        <f t="shared" si="12"/>
        <v>0</v>
      </c>
      <c r="R35" s="65">
        <f t="shared" si="13"/>
        <v>0</v>
      </c>
      <c r="S35" s="65">
        <f t="shared" si="14"/>
        <v>0</v>
      </c>
      <c r="T35" s="65">
        <f t="shared" si="15"/>
        <v>0</v>
      </c>
      <c r="U35" s="20">
        <f t="shared" si="4"/>
        <v>0</v>
      </c>
      <c r="V35" s="39">
        <f t="shared" si="16"/>
        <v>0</v>
      </c>
      <c r="W35" s="39">
        <f t="shared" si="17"/>
        <v>0</v>
      </c>
      <c r="X35" s="39">
        <f t="shared" si="18"/>
        <v>0</v>
      </c>
      <c r="Y35" s="826">
        <f t="shared" si="19"/>
        <v>0</v>
      </c>
      <c r="Z35" s="826">
        <f t="shared" si="20"/>
        <v>0</v>
      </c>
      <c r="AA35" s="826">
        <f t="shared" si="21"/>
        <v>0</v>
      </c>
    </row>
    <row r="36" spans="1:27" ht="24.95" customHeight="1" x14ac:dyDescent="0.2">
      <c r="A36" s="365">
        <v>28</v>
      </c>
      <c r="B36" s="63">
        <f>dtsiswa!D34</f>
        <v>0</v>
      </c>
      <c r="C36" s="11" t="s">
        <v>5</v>
      </c>
      <c r="D36" s="22"/>
      <c r="E36" s="22"/>
      <c r="F36" s="23"/>
      <c r="G36" s="23"/>
      <c r="H36" s="23"/>
      <c r="I36" s="283"/>
      <c r="J36" s="19">
        <f t="shared" si="5"/>
        <v>0</v>
      </c>
      <c r="K36" s="19">
        <f t="shared" si="6"/>
        <v>0</v>
      </c>
      <c r="L36" s="19">
        <f t="shared" si="7"/>
        <v>0</v>
      </c>
      <c r="M36" s="20">
        <f t="shared" si="8"/>
        <v>0</v>
      </c>
      <c r="N36" s="18">
        <f t="shared" si="9"/>
        <v>0</v>
      </c>
      <c r="O36" s="18">
        <f t="shared" si="10"/>
        <v>0</v>
      </c>
      <c r="P36" s="18">
        <f t="shared" si="11"/>
        <v>0</v>
      </c>
      <c r="Q36" s="20">
        <f t="shared" si="12"/>
        <v>0</v>
      </c>
      <c r="R36" s="65">
        <f t="shared" si="13"/>
        <v>0</v>
      </c>
      <c r="S36" s="65">
        <f t="shared" si="14"/>
        <v>0</v>
      </c>
      <c r="T36" s="65">
        <f t="shared" si="15"/>
        <v>0</v>
      </c>
      <c r="U36" s="20">
        <f t="shared" si="4"/>
        <v>0</v>
      </c>
      <c r="V36" s="39">
        <f t="shared" si="16"/>
        <v>0</v>
      </c>
      <c r="W36" s="39">
        <f t="shared" si="17"/>
        <v>0</v>
      </c>
      <c r="X36" s="39">
        <f t="shared" si="18"/>
        <v>0</v>
      </c>
      <c r="Y36" s="826">
        <f t="shared" si="19"/>
        <v>0</v>
      </c>
      <c r="Z36" s="826">
        <f t="shared" si="20"/>
        <v>0</v>
      </c>
      <c r="AA36" s="826">
        <f t="shared" si="21"/>
        <v>0</v>
      </c>
    </row>
    <row r="37" spans="1:27" ht="24.95" customHeight="1" x14ac:dyDescent="0.2">
      <c r="A37" s="365">
        <v>29</v>
      </c>
      <c r="B37" s="63">
        <f>dtsiswa!D35</f>
        <v>0</v>
      </c>
      <c r="C37" s="11" t="s">
        <v>5</v>
      </c>
      <c r="D37" s="22"/>
      <c r="E37" s="22"/>
      <c r="F37" s="23"/>
      <c r="G37" s="23"/>
      <c r="H37" s="23"/>
      <c r="I37" s="283"/>
      <c r="J37" s="19">
        <f t="shared" si="5"/>
        <v>0</v>
      </c>
      <c r="K37" s="19">
        <f t="shared" si="6"/>
        <v>0</v>
      </c>
      <c r="L37" s="19">
        <f t="shared" si="7"/>
        <v>0</v>
      </c>
      <c r="M37" s="20">
        <f t="shared" si="8"/>
        <v>0</v>
      </c>
      <c r="N37" s="18">
        <f t="shared" si="9"/>
        <v>0</v>
      </c>
      <c r="O37" s="18">
        <f t="shared" si="10"/>
        <v>0</v>
      </c>
      <c r="P37" s="18">
        <f t="shared" si="11"/>
        <v>0</v>
      </c>
      <c r="Q37" s="20">
        <f t="shared" si="12"/>
        <v>0</v>
      </c>
      <c r="R37" s="65">
        <f t="shared" si="13"/>
        <v>0</v>
      </c>
      <c r="S37" s="65">
        <f t="shared" si="14"/>
        <v>0</v>
      </c>
      <c r="T37" s="65">
        <f t="shared" si="15"/>
        <v>0</v>
      </c>
      <c r="U37" s="20">
        <f t="shared" si="4"/>
        <v>0</v>
      </c>
      <c r="V37" s="39">
        <f t="shared" si="16"/>
        <v>0</v>
      </c>
      <c r="W37" s="39">
        <f t="shared" si="17"/>
        <v>0</v>
      </c>
      <c r="X37" s="39">
        <f t="shared" si="18"/>
        <v>0</v>
      </c>
      <c r="Y37" s="826">
        <f t="shared" si="19"/>
        <v>0</v>
      </c>
      <c r="Z37" s="826">
        <f t="shared" si="20"/>
        <v>0</v>
      </c>
      <c r="AA37" s="826">
        <f t="shared" si="21"/>
        <v>0</v>
      </c>
    </row>
    <row r="38" spans="1:27" ht="24.95" customHeight="1" x14ac:dyDescent="0.2">
      <c r="A38" s="365">
        <v>30</v>
      </c>
      <c r="B38" s="63">
        <f>dtsiswa!D36</f>
        <v>0</v>
      </c>
      <c r="C38" s="13" t="s">
        <v>4</v>
      </c>
      <c r="D38" s="22"/>
      <c r="E38" s="22"/>
      <c r="F38" s="23"/>
      <c r="G38" s="23"/>
      <c r="H38" s="23"/>
      <c r="I38" s="283"/>
      <c r="J38" s="19">
        <f t="shared" si="5"/>
        <v>0</v>
      </c>
      <c r="K38" s="19">
        <f t="shared" si="6"/>
        <v>0</v>
      </c>
      <c r="L38" s="19">
        <f t="shared" si="7"/>
        <v>0</v>
      </c>
      <c r="M38" s="20">
        <f t="shared" si="8"/>
        <v>0</v>
      </c>
      <c r="N38" s="18">
        <f t="shared" si="9"/>
        <v>0</v>
      </c>
      <c r="O38" s="18">
        <f t="shared" si="10"/>
        <v>0</v>
      </c>
      <c r="P38" s="18">
        <f t="shared" si="11"/>
        <v>0</v>
      </c>
      <c r="Q38" s="20">
        <f t="shared" si="12"/>
        <v>0</v>
      </c>
      <c r="R38" s="65">
        <f t="shared" si="13"/>
        <v>0</v>
      </c>
      <c r="S38" s="65">
        <f t="shared" si="14"/>
        <v>0</v>
      </c>
      <c r="T38" s="65">
        <f t="shared" si="15"/>
        <v>0</v>
      </c>
      <c r="U38" s="20">
        <f t="shared" si="4"/>
        <v>0</v>
      </c>
      <c r="V38" s="826">
        <f t="shared" si="16"/>
        <v>0</v>
      </c>
      <c r="W38" s="826">
        <f t="shared" si="17"/>
        <v>0</v>
      </c>
      <c r="X38" s="826">
        <f t="shared" si="18"/>
        <v>0</v>
      </c>
      <c r="Y38" s="826">
        <f t="shared" si="19"/>
        <v>0</v>
      </c>
      <c r="Z38" s="826">
        <f t="shared" si="20"/>
        <v>0</v>
      </c>
      <c r="AA38" s="826">
        <f t="shared" si="21"/>
        <v>0</v>
      </c>
    </row>
    <row r="39" spans="1:27" ht="24.95" customHeight="1" x14ac:dyDescent="0.2">
      <c r="A39" s="365">
        <v>31</v>
      </c>
      <c r="B39" s="63">
        <f>dtsiswa!D37</f>
        <v>0</v>
      </c>
      <c r="C39" s="11" t="s">
        <v>5</v>
      </c>
      <c r="D39" s="22"/>
      <c r="E39" s="22"/>
      <c r="F39" s="23"/>
      <c r="G39" s="23"/>
      <c r="H39" s="23"/>
      <c r="I39" s="283"/>
      <c r="J39" s="19">
        <f t="shared" si="5"/>
        <v>0</v>
      </c>
      <c r="K39" s="19">
        <f t="shared" si="6"/>
        <v>0</v>
      </c>
      <c r="L39" s="19">
        <f t="shared" si="7"/>
        <v>0</v>
      </c>
      <c r="M39" s="20">
        <f t="shared" si="8"/>
        <v>0</v>
      </c>
      <c r="N39" s="18">
        <f t="shared" si="9"/>
        <v>0</v>
      </c>
      <c r="O39" s="18">
        <f t="shared" si="10"/>
        <v>0</v>
      </c>
      <c r="P39" s="18">
        <f t="shared" si="11"/>
        <v>0</v>
      </c>
      <c r="Q39" s="20">
        <f t="shared" si="12"/>
        <v>0</v>
      </c>
      <c r="R39" s="65">
        <f t="shared" si="13"/>
        <v>0</v>
      </c>
      <c r="S39" s="65">
        <f t="shared" si="14"/>
        <v>0</v>
      </c>
      <c r="T39" s="65">
        <f t="shared" si="15"/>
        <v>0</v>
      </c>
      <c r="U39" s="20">
        <f t="shared" si="4"/>
        <v>0</v>
      </c>
      <c r="V39" s="826">
        <f t="shared" si="16"/>
        <v>0</v>
      </c>
      <c r="W39" s="826">
        <f t="shared" si="17"/>
        <v>0</v>
      </c>
      <c r="X39" s="826">
        <f t="shared" si="18"/>
        <v>0</v>
      </c>
      <c r="Y39" s="826">
        <f t="shared" si="19"/>
        <v>0</v>
      </c>
      <c r="Z39" s="826">
        <f t="shared" si="20"/>
        <v>0</v>
      </c>
      <c r="AA39" s="826">
        <f t="shared" si="21"/>
        <v>0</v>
      </c>
    </row>
    <row r="40" spans="1:27" ht="24.95" customHeight="1" x14ac:dyDescent="0.2">
      <c r="A40" s="365">
        <v>32</v>
      </c>
      <c r="B40" s="63">
        <f>dtsiswa!D38</f>
        <v>0</v>
      </c>
      <c r="C40" s="13" t="s">
        <v>4</v>
      </c>
      <c r="D40" s="22"/>
      <c r="E40" s="22"/>
      <c r="F40" s="23"/>
      <c r="G40" s="23"/>
      <c r="H40" s="23"/>
      <c r="I40" s="283"/>
      <c r="J40" s="19">
        <f t="shared" si="5"/>
        <v>0</v>
      </c>
      <c r="K40" s="19">
        <f t="shared" si="6"/>
        <v>0</v>
      </c>
      <c r="L40" s="19">
        <f t="shared" si="7"/>
        <v>0</v>
      </c>
      <c r="M40" s="20">
        <f t="shared" si="8"/>
        <v>0</v>
      </c>
      <c r="N40" s="18">
        <f t="shared" si="9"/>
        <v>0</v>
      </c>
      <c r="O40" s="18">
        <f t="shared" si="10"/>
        <v>0</v>
      </c>
      <c r="P40" s="18">
        <f t="shared" si="11"/>
        <v>0</v>
      </c>
      <c r="Q40" s="20">
        <f t="shared" si="12"/>
        <v>0</v>
      </c>
      <c r="R40" s="65">
        <f t="shared" si="13"/>
        <v>0</v>
      </c>
      <c r="S40" s="65">
        <f t="shared" si="14"/>
        <v>0</v>
      </c>
      <c r="T40" s="65">
        <f t="shared" si="15"/>
        <v>0</v>
      </c>
      <c r="U40" s="20">
        <f t="shared" si="4"/>
        <v>0</v>
      </c>
      <c r="V40" s="826">
        <f t="shared" si="16"/>
        <v>0</v>
      </c>
      <c r="W40" s="826">
        <f t="shared" si="17"/>
        <v>0</v>
      </c>
      <c r="X40" s="826">
        <f t="shared" si="18"/>
        <v>0</v>
      </c>
      <c r="Y40" s="826">
        <f t="shared" si="19"/>
        <v>0</v>
      </c>
      <c r="Z40" s="826">
        <f t="shared" si="20"/>
        <v>0</v>
      </c>
      <c r="AA40" s="826">
        <f t="shared" si="21"/>
        <v>0</v>
      </c>
    </row>
    <row r="41" spans="1:27" ht="24.95" customHeight="1" x14ac:dyDescent="0.2">
      <c r="A41" s="365">
        <v>33</v>
      </c>
      <c r="B41" s="63">
        <f>dtsiswa!D39</f>
        <v>0</v>
      </c>
      <c r="C41" s="11" t="s">
        <v>5</v>
      </c>
      <c r="D41" s="22"/>
      <c r="E41" s="22"/>
      <c r="F41" s="23"/>
      <c r="G41" s="23"/>
      <c r="H41" s="23"/>
      <c r="I41" s="283"/>
      <c r="J41" s="19">
        <f t="shared" si="5"/>
        <v>0</v>
      </c>
      <c r="K41" s="19">
        <f t="shared" si="6"/>
        <v>0</v>
      </c>
      <c r="L41" s="19">
        <f t="shared" si="7"/>
        <v>0</v>
      </c>
      <c r="M41" s="20">
        <f t="shared" si="8"/>
        <v>0</v>
      </c>
      <c r="N41" s="18">
        <f t="shared" si="9"/>
        <v>0</v>
      </c>
      <c r="O41" s="18">
        <f t="shared" si="10"/>
        <v>0</v>
      </c>
      <c r="P41" s="18">
        <f t="shared" si="11"/>
        <v>0</v>
      </c>
      <c r="Q41" s="20">
        <f t="shared" si="12"/>
        <v>0</v>
      </c>
      <c r="R41" s="65">
        <f t="shared" si="13"/>
        <v>0</v>
      </c>
      <c r="S41" s="65">
        <f t="shared" si="14"/>
        <v>0</v>
      </c>
      <c r="T41" s="65">
        <f t="shared" si="15"/>
        <v>0</v>
      </c>
      <c r="U41" s="20">
        <f t="shared" si="4"/>
        <v>0</v>
      </c>
      <c r="V41" s="826">
        <f t="shared" si="16"/>
        <v>0</v>
      </c>
      <c r="W41" s="826">
        <f t="shared" si="17"/>
        <v>0</v>
      </c>
      <c r="X41" s="826">
        <f t="shared" si="18"/>
        <v>0</v>
      </c>
      <c r="Y41" s="826">
        <f t="shared" si="19"/>
        <v>0</v>
      </c>
      <c r="Z41" s="826">
        <f t="shared" si="20"/>
        <v>0</v>
      </c>
      <c r="AA41" s="826">
        <f t="shared" si="21"/>
        <v>0</v>
      </c>
    </row>
    <row r="42" spans="1:27" ht="24.95" customHeight="1" x14ac:dyDescent="0.2">
      <c r="A42" s="365">
        <v>34</v>
      </c>
      <c r="B42" s="63">
        <f>dtsiswa!D40</f>
        <v>0</v>
      </c>
      <c r="C42" s="13" t="s">
        <v>4</v>
      </c>
      <c r="D42" s="22"/>
      <c r="E42" s="22"/>
      <c r="F42" s="23"/>
      <c r="G42" s="23"/>
      <c r="H42" s="23"/>
      <c r="I42" s="283"/>
      <c r="J42" s="19">
        <f t="shared" si="5"/>
        <v>0</v>
      </c>
      <c r="K42" s="19">
        <f t="shared" si="6"/>
        <v>0</v>
      </c>
      <c r="L42" s="19">
        <f t="shared" si="7"/>
        <v>0</v>
      </c>
      <c r="M42" s="20">
        <f t="shared" si="8"/>
        <v>0</v>
      </c>
      <c r="N42" s="18">
        <f t="shared" si="9"/>
        <v>0</v>
      </c>
      <c r="O42" s="18">
        <f t="shared" si="10"/>
        <v>0</v>
      </c>
      <c r="P42" s="18">
        <f t="shared" si="11"/>
        <v>0</v>
      </c>
      <c r="Q42" s="20">
        <f t="shared" si="12"/>
        <v>0</v>
      </c>
      <c r="R42" s="65">
        <f t="shared" si="13"/>
        <v>0</v>
      </c>
      <c r="S42" s="65">
        <f t="shared" si="14"/>
        <v>0</v>
      </c>
      <c r="T42" s="65">
        <f t="shared" si="15"/>
        <v>0</v>
      </c>
      <c r="U42" s="20">
        <f t="shared" si="4"/>
        <v>0</v>
      </c>
      <c r="V42" s="826">
        <f t="shared" si="16"/>
        <v>0</v>
      </c>
      <c r="W42" s="826">
        <f t="shared" si="17"/>
        <v>0</v>
      </c>
      <c r="X42" s="826">
        <f t="shared" si="18"/>
        <v>0</v>
      </c>
      <c r="Y42" s="826">
        <f t="shared" si="19"/>
        <v>0</v>
      </c>
      <c r="Z42" s="826">
        <f t="shared" si="20"/>
        <v>0</v>
      </c>
      <c r="AA42" s="826">
        <f t="shared" si="21"/>
        <v>0</v>
      </c>
    </row>
    <row r="43" spans="1:27" ht="24.95" customHeight="1" x14ac:dyDescent="0.2">
      <c r="A43" s="365">
        <v>35</v>
      </c>
      <c r="B43" s="63">
        <f>dtsiswa!D41</f>
        <v>0</v>
      </c>
      <c r="C43" s="11" t="s">
        <v>5</v>
      </c>
      <c r="D43" s="22"/>
      <c r="E43" s="22"/>
      <c r="F43" s="23"/>
      <c r="G43" s="23"/>
      <c r="H43" s="23"/>
      <c r="I43" s="283"/>
      <c r="J43" s="19">
        <f t="shared" si="5"/>
        <v>0</v>
      </c>
      <c r="K43" s="19">
        <f t="shared" si="6"/>
        <v>0</v>
      </c>
      <c r="L43" s="19">
        <f t="shared" si="7"/>
        <v>0</v>
      </c>
      <c r="M43" s="20">
        <f t="shared" si="8"/>
        <v>0</v>
      </c>
      <c r="N43" s="18">
        <f t="shared" si="9"/>
        <v>0</v>
      </c>
      <c r="O43" s="18">
        <f t="shared" si="10"/>
        <v>0</v>
      </c>
      <c r="P43" s="18">
        <f t="shared" si="11"/>
        <v>0</v>
      </c>
      <c r="Q43" s="20">
        <f t="shared" si="12"/>
        <v>0</v>
      </c>
      <c r="R43" s="65">
        <f t="shared" si="13"/>
        <v>0</v>
      </c>
      <c r="S43" s="65">
        <f t="shared" si="14"/>
        <v>0</v>
      </c>
      <c r="T43" s="65">
        <f t="shared" si="15"/>
        <v>0</v>
      </c>
      <c r="U43" s="20">
        <f t="shared" si="4"/>
        <v>0</v>
      </c>
      <c r="V43" s="826">
        <f t="shared" si="16"/>
        <v>0</v>
      </c>
      <c r="W43" s="826">
        <f t="shared" si="17"/>
        <v>0</v>
      </c>
      <c r="X43" s="826">
        <f t="shared" si="18"/>
        <v>0</v>
      </c>
      <c r="Y43" s="826">
        <f t="shared" si="19"/>
        <v>0</v>
      </c>
      <c r="Z43" s="826">
        <f t="shared" si="20"/>
        <v>0</v>
      </c>
      <c r="AA43" s="826">
        <f t="shared" si="21"/>
        <v>0</v>
      </c>
    </row>
    <row r="44" spans="1:27" ht="24.95" customHeight="1" x14ac:dyDescent="0.2">
      <c r="A44" s="574">
        <v>36</v>
      </c>
      <c r="B44" s="8"/>
      <c r="C44" s="8"/>
      <c r="D44" s="8"/>
      <c r="E44" s="8"/>
      <c r="F44" s="8"/>
      <c r="G44" s="8"/>
      <c r="H44" s="8"/>
      <c r="I44" s="8"/>
      <c r="J44" s="19">
        <f t="shared" si="5"/>
        <v>0</v>
      </c>
      <c r="K44" s="19">
        <f t="shared" si="6"/>
        <v>0</v>
      </c>
      <c r="L44" s="19">
        <f t="shared" si="7"/>
        <v>0</v>
      </c>
      <c r="M44" s="20">
        <f t="shared" si="8"/>
        <v>0</v>
      </c>
      <c r="N44" s="18">
        <f t="shared" si="9"/>
        <v>0</v>
      </c>
      <c r="O44" s="18">
        <f t="shared" si="10"/>
        <v>0</v>
      </c>
      <c r="P44" s="18">
        <f t="shared" si="11"/>
        <v>0</v>
      </c>
      <c r="Q44" s="20">
        <f t="shared" si="12"/>
        <v>0</v>
      </c>
      <c r="R44" s="65">
        <f t="shared" si="13"/>
        <v>0</v>
      </c>
      <c r="S44" s="65">
        <f t="shared" si="14"/>
        <v>0</v>
      </c>
      <c r="T44" s="65">
        <f t="shared" si="15"/>
        <v>0</v>
      </c>
      <c r="U44" s="20">
        <f t="shared" si="4"/>
        <v>0</v>
      </c>
      <c r="V44" s="826">
        <f t="shared" si="16"/>
        <v>0</v>
      </c>
      <c r="W44" s="826">
        <f t="shared" si="17"/>
        <v>0</v>
      </c>
      <c r="X44" s="826">
        <f t="shared" si="18"/>
        <v>0</v>
      </c>
      <c r="Y44" s="826">
        <f t="shared" si="19"/>
        <v>0</v>
      </c>
      <c r="Z44" s="826">
        <f t="shared" si="20"/>
        <v>0</v>
      </c>
      <c r="AA44" s="826">
        <f t="shared" si="21"/>
        <v>0</v>
      </c>
    </row>
    <row r="45" spans="1:27" ht="24.95" customHeight="1" x14ac:dyDescent="0.2">
      <c r="A45" s="574">
        <v>37</v>
      </c>
      <c r="B45" s="8"/>
      <c r="C45" s="8"/>
      <c r="D45" s="8"/>
      <c r="E45" s="8"/>
      <c r="F45" s="8"/>
      <c r="G45" s="8"/>
      <c r="H45" s="8"/>
      <c r="I45" s="8"/>
      <c r="J45" s="19">
        <f t="shared" si="5"/>
        <v>0</v>
      </c>
      <c r="K45" s="19">
        <f t="shared" si="6"/>
        <v>0</v>
      </c>
      <c r="L45" s="19">
        <f t="shared" si="7"/>
        <v>0</v>
      </c>
      <c r="M45" s="20">
        <f t="shared" si="8"/>
        <v>0</v>
      </c>
      <c r="N45" s="18">
        <f t="shared" si="9"/>
        <v>0</v>
      </c>
      <c r="O45" s="18">
        <f t="shared" si="10"/>
        <v>0</v>
      </c>
      <c r="P45" s="18">
        <f t="shared" si="11"/>
        <v>0</v>
      </c>
      <c r="Q45" s="20">
        <f t="shared" si="12"/>
        <v>0</v>
      </c>
      <c r="R45" s="65">
        <f t="shared" si="13"/>
        <v>0</v>
      </c>
      <c r="S45" s="65">
        <f t="shared" si="14"/>
        <v>0</v>
      </c>
      <c r="T45" s="65">
        <f t="shared" si="15"/>
        <v>0</v>
      </c>
      <c r="U45" s="20">
        <f t="shared" si="4"/>
        <v>0</v>
      </c>
      <c r="V45" s="826">
        <f t="shared" si="16"/>
        <v>0</v>
      </c>
      <c r="W45" s="826">
        <f t="shared" si="17"/>
        <v>0</v>
      </c>
      <c r="X45" s="826">
        <f t="shared" si="18"/>
        <v>0</v>
      </c>
      <c r="Y45" s="826">
        <f t="shared" si="19"/>
        <v>0</v>
      </c>
      <c r="Z45" s="826">
        <f t="shared" si="20"/>
        <v>0</v>
      </c>
      <c r="AA45" s="826">
        <f t="shared" si="21"/>
        <v>0</v>
      </c>
    </row>
    <row r="46" spans="1:27" ht="24.95" customHeight="1" x14ac:dyDescent="0.2">
      <c r="A46" s="574">
        <v>38</v>
      </c>
      <c r="B46" s="8"/>
      <c r="C46" s="8"/>
      <c r="D46" s="8"/>
      <c r="E46" s="8"/>
      <c r="F46" s="8"/>
      <c r="G46" s="8"/>
      <c r="H46" s="8"/>
      <c r="I46" s="8"/>
      <c r="J46" s="19">
        <f t="shared" si="5"/>
        <v>0</v>
      </c>
      <c r="K46" s="19">
        <f t="shared" si="6"/>
        <v>0</v>
      </c>
      <c r="L46" s="19">
        <f t="shared" si="7"/>
        <v>0</v>
      </c>
      <c r="M46" s="20">
        <f t="shared" si="8"/>
        <v>0</v>
      </c>
      <c r="N46" s="18">
        <f t="shared" si="9"/>
        <v>0</v>
      </c>
      <c r="O46" s="18">
        <f t="shared" si="10"/>
        <v>0</v>
      </c>
      <c r="P46" s="18">
        <f t="shared" si="11"/>
        <v>0</v>
      </c>
      <c r="Q46" s="20">
        <f t="shared" si="12"/>
        <v>0</v>
      </c>
      <c r="R46" s="65">
        <f t="shared" si="13"/>
        <v>0</v>
      </c>
      <c r="S46" s="65">
        <f t="shared" si="14"/>
        <v>0</v>
      </c>
      <c r="T46" s="65">
        <f t="shared" si="15"/>
        <v>0</v>
      </c>
      <c r="U46" s="20">
        <f t="shared" si="4"/>
        <v>0</v>
      </c>
      <c r="V46" s="826">
        <f t="shared" si="16"/>
        <v>0</v>
      </c>
      <c r="W46" s="826">
        <f t="shared" si="17"/>
        <v>0</v>
      </c>
      <c r="X46" s="826">
        <f t="shared" si="18"/>
        <v>0</v>
      </c>
      <c r="Y46" s="826">
        <f t="shared" si="19"/>
        <v>0</v>
      </c>
      <c r="Z46" s="826">
        <f t="shared" si="20"/>
        <v>0</v>
      </c>
      <c r="AA46" s="826">
        <f t="shared" si="21"/>
        <v>0</v>
      </c>
    </row>
    <row r="47" spans="1:27" ht="24.95" customHeight="1" x14ac:dyDescent="0.2">
      <c r="A47" s="574">
        <v>39</v>
      </c>
      <c r="B47" s="8"/>
      <c r="C47" s="8"/>
      <c r="D47" s="8"/>
      <c r="E47" s="8"/>
      <c r="F47" s="8"/>
      <c r="G47" s="8"/>
      <c r="H47" s="8"/>
      <c r="I47" s="8"/>
      <c r="J47" s="19">
        <f t="shared" si="5"/>
        <v>0</v>
      </c>
      <c r="K47" s="19">
        <f t="shared" si="6"/>
        <v>0</v>
      </c>
      <c r="L47" s="19">
        <f t="shared" si="7"/>
        <v>0</v>
      </c>
      <c r="M47" s="20">
        <f t="shared" si="8"/>
        <v>0</v>
      </c>
      <c r="N47" s="18">
        <f t="shared" si="9"/>
        <v>0</v>
      </c>
      <c r="O47" s="18">
        <f t="shared" si="10"/>
        <v>0</v>
      </c>
      <c r="P47" s="18">
        <f t="shared" si="11"/>
        <v>0</v>
      </c>
      <c r="Q47" s="20">
        <f t="shared" si="12"/>
        <v>0</v>
      </c>
      <c r="R47" s="65">
        <f t="shared" si="13"/>
        <v>0</v>
      </c>
      <c r="S47" s="65">
        <f t="shared" si="14"/>
        <v>0</v>
      </c>
      <c r="T47" s="65">
        <f t="shared" si="15"/>
        <v>0</v>
      </c>
      <c r="U47" s="20">
        <f t="shared" si="4"/>
        <v>0</v>
      </c>
      <c r="V47" s="826">
        <f t="shared" si="16"/>
        <v>0</v>
      </c>
      <c r="W47" s="826">
        <f t="shared" si="17"/>
        <v>0</v>
      </c>
      <c r="X47" s="826">
        <f t="shared" si="18"/>
        <v>0</v>
      </c>
      <c r="Y47" s="160">
        <f t="shared" si="19"/>
        <v>0</v>
      </c>
      <c r="Z47" s="160">
        <f t="shared" si="20"/>
        <v>0</v>
      </c>
      <c r="AA47" s="160">
        <f t="shared" si="21"/>
        <v>0</v>
      </c>
    </row>
    <row r="48" spans="1:27" ht="24.95" customHeight="1" x14ac:dyDescent="0.2">
      <c r="A48" s="574">
        <v>40</v>
      </c>
      <c r="B48" s="8"/>
      <c r="C48" s="8"/>
      <c r="D48" s="8"/>
      <c r="E48" s="8"/>
      <c r="F48" s="8"/>
      <c r="G48" s="8"/>
      <c r="H48" s="8"/>
      <c r="I48" s="8"/>
      <c r="J48" s="19">
        <f t="shared" si="5"/>
        <v>0</v>
      </c>
      <c r="K48" s="19">
        <f t="shared" si="6"/>
        <v>0</v>
      </c>
      <c r="L48" s="19">
        <f t="shared" si="7"/>
        <v>0</v>
      </c>
      <c r="M48" s="20">
        <f t="shared" si="8"/>
        <v>0</v>
      </c>
      <c r="N48" s="18">
        <f t="shared" si="9"/>
        <v>0</v>
      </c>
      <c r="O48" s="18">
        <f t="shared" si="10"/>
        <v>0</v>
      </c>
      <c r="P48" s="18">
        <f t="shared" si="11"/>
        <v>0</v>
      </c>
      <c r="Q48" s="20">
        <f t="shared" si="12"/>
        <v>0</v>
      </c>
      <c r="R48" s="65">
        <f t="shared" si="13"/>
        <v>0</v>
      </c>
      <c r="S48" s="65">
        <f t="shared" si="14"/>
        <v>0</v>
      </c>
      <c r="T48" s="65">
        <f t="shared" si="15"/>
        <v>0</v>
      </c>
      <c r="U48" s="20">
        <f t="shared" si="4"/>
        <v>0</v>
      </c>
      <c r="V48" s="826">
        <f t="shared" si="16"/>
        <v>0</v>
      </c>
      <c r="W48" s="826">
        <f t="shared" si="17"/>
        <v>0</v>
      </c>
      <c r="X48" s="826">
        <f t="shared" si="18"/>
        <v>0</v>
      </c>
      <c r="Y48" s="160">
        <f t="shared" si="19"/>
        <v>0</v>
      </c>
      <c r="Z48" s="160">
        <f t="shared" si="20"/>
        <v>0</v>
      </c>
      <c r="AA48" s="160">
        <f t="shared" si="21"/>
        <v>0</v>
      </c>
    </row>
  </sheetData>
  <mergeCells count="18">
    <mergeCell ref="V6:X6"/>
    <mergeCell ref="Y6:AA6"/>
    <mergeCell ref="J6:L6"/>
    <mergeCell ref="M6:M8"/>
    <mergeCell ref="N6:P6"/>
    <mergeCell ref="Q6:Q8"/>
    <mergeCell ref="R6:T7"/>
    <mergeCell ref="U6:U8"/>
    <mergeCell ref="H2:I2"/>
    <mergeCell ref="J7:L7"/>
    <mergeCell ref="N7:P7"/>
    <mergeCell ref="J3:K3"/>
    <mergeCell ref="A6:A8"/>
    <mergeCell ref="B6:B8"/>
    <mergeCell ref="C6:C8"/>
    <mergeCell ref="F6:G6"/>
    <mergeCell ref="H6:I6"/>
    <mergeCell ref="D6:E6"/>
  </mergeCells>
  <printOptions horizontalCentered="1"/>
  <pageMargins left="0.65" right="0.7" top="0.28999999999999998" bottom="0.35433070866141736" header="0.24" footer="0.31496062992125984"/>
  <pageSetup paperSize="768" orientation="landscape"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00B0F0"/>
  </sheetPr>
  <dimension ref="A2:AA288"/>
  <sheetViews>
    <sheetView showGridLines="0" zoomScale="85" zoomScaleNormal="85" workbookViewId="0">
      <pane xSplit="3" ySplit="8" topLeftCell="D9" activePane="bottomRight" state="frozen"/>
      <selection pane="topRight" activeCell="D1" sqref="D1"/>
      <selection pane="bottomLeft" activeCell="A7" sqref="A7"/>
      <selection pane="bottomRight" activeCell="I12" sqref="I12"/>
    </sheetView>
  </sheetViews>
  <sheetFormatPr defaultRowHeight="18.75" x14ac:dyDescent="0.3"/>
  <cols>
    <col min="1" max="1" width="4.85546875" style="352" customWidth="1"/>
    <col min="2" max="2" width="6" style="1601" customWidth="1"/>
    <col min="3" max="3" width="35.85546875" style="1621" customWidth="1"/>
    <col min="4" max="4" width="5.7109375" style="352" customWidth="1"/>
    <col min="5" max="10" width="6.7109375" style="352" customWidth="1"/>
    <col min="11" max="11" width="11.5703125" style="352" customWidth="1"/>
    <col min="12" max="12" width="11" style="352" customWidth="1"/>
    <col min="13" max="13" width="12.42578125" style="352" customWidth="1"/>
    <col min="14" max="25" width="5.7109375" style="352" customWidth="1"/>
    <col min="26" max="16384" width="9.140625" style="352"/>
  </cols>
  <sheetData>
    <row r="2" spans="1:27" ht="12.75" customHeight="1" x14ac:dyDescent="0.3"/>
    <row r="3" spans="1:27" ht="21" x14ac:dyDescent="0.35">
      <c r="A3" s="351" t="s">
        <v>461</v>
      </c>
      <c r="D3" s="69"/>
      <c r="E3" s="69"/>
      <c r="F3" s="69"/>
      <c r="G3" s="69"/>
      <c r="H3" s="69"/>
      <c r="I3" s="69"/>
      <c r="J3" s="69"/>
      <c r="K3" s="69"/>
      <c r="L3" s="394"/>
      <c r="M3" s="394"/>
      <c r="N3" s="394"/>
      <c r="O3" s="394"/>
      <c r="P3" s="394"/>
      <c r="Q3" s="394"/>
    </row>
    <row r="4" spans="1:27" x14ac:dyDescent="0.3">
      <c r="A4" s="1622" t="s">
        <v>54</v>
      </c>
      <c r="J4" s="394"/>
      <c r="K4" s="979"/>
      <c r="L4" s="979"/>
      <c r="M4" s="979"/>
      <c r="N4" s="979"/>
      <c r="O4" s="979"/>
      <c r="P4" s="979"/>
      <c r="Q4" s="394"/>
    </row>
    <row r="5" spans="1:27" ht="21" x14ac:dyDescent="0.35">
      <c r="A5" s="351" t="s">
        <v>596</v>
      </c>
      <c r="C5" s="1623"/>
      <c r="D5" s="1601"/>
      <c r="E5" s="1623"/>
      <c r="F5" s="1601"/>
      <c r="G5" s="1623"/>
      <c r="H5" s="1601"/>
      <c r="I5" s="1623"/>
      <c r="J5" s="1601"/>
      <c r="K5" s="1623"/>
      <c r="L5" s="1601"/>
      <c r="M5" s="1623"/>
      <c r="N5" s="394"/>
      <c r="O5" s="394"/>
      <c r="P5" s="394"/>
      <c r="Q5" s="394"/>
      <c r="W5" s="354"/>
    </row>
    <row r="6" spans="1:27" s="1146" customFormat="1" ht="16.5" thickBot="1" x14ac:dyDescent="0.3">
      <c r="A6" s="1916">
        <v>1</v>
      </c>
      <c r="B6" s="1916">
        <v>2</v>
      </c>
      <c r="C6" s="1916">
        <v>3</v>
      </c>
      <c r="D6" s="1916">
        <v>4</v>
      </c>
      <c r="E6" s="1916">
        <v>5</v>
      </c>
      <c r="F6" s="1916">
        <v>6</v>
      </c>
      <c r="G6" s="1916">
        <v>7</v>
      </c>
      <c r="H6" s="1916">
        <v>8</v>
      </c>
      <c r="I6" s="1916">
        <v>9</v>
      </c>
      <c r="J6" s="1916">
        <v>10</v>
      </c>
      <c r="K6" s="1916">
        <v>11</v>
      </c>
      <c r="L6" s="1916">
        <v>12</v>
      </c>
      <c r="M6" s="1916">
        <v>13</v>
      </c>
      <c r="N6" s="1916">
        <v>14</v>
      </c>
      <c r="O6" s="1916">
        <v>15</v>
      </c>
      <c r="P6" s="1916">
        <v>16</v>
      </c>
      <c r="Q6" s="1916">
        <v>17</v>
      </c>
      <c r="R6" s="1916">
        <v>18</v>
      </c>
      <c r="S6" s="1916">
        <v>19</v>
      </c>
      <c r="T6" s="1916">
        <v>20</v>
      </c>
      <c r="U6" s="1916">
        <v>21</v>
      </c>
      <c r="V6" s="1916">
        <v>22</v>
      </c>
      <c r="W6" s="1916">
        <v>23</v>
      </c>
      <c r="X6" s="1916">
        <v>24</v>
      </c>
      <c r="Y6" s="1916">
        <v>25</v>
      </c>
      <c r="Z6" s="1916">
        <v>26</v>
      </c>
      <c r="AA6" s="1916">
        <v>27</v>
      </c>
    </row>
    <row r="7" spans="1:27" ht="24.95" customHeight="1" x14ac:dyDescent="0.25">
      <c r="A7" s="2522" t="s">
        <v>0</v>
      </c>
      <c r="B7" s="2524" t="s">
        <v>55</v>
      </c>
      <c r="C7" s="2526" t="s">
        <v>1</v>
      </c>
      <c r="D7" s="2524" t="s">
        <v>56</v>
      </c>
      <c r="E7" s="2520" t="s">
        <v>32</v>
      </c>
      <c r="F7" s="2520"/>
      <c r="G7" s="2520"/>
      <c r="H7" s="2520"/>
      <c r="I7" s="2520" t="s">
        <v>59</v>
      </c>
      <c r="J7" s="2520" t="s">
        <v>60</v>
      </c>
      <c r="K7" s="2528" t="s">
        <v>61</v>
      </c>
      <c r="L7" s="2528" t="s">
        <v>62</v>
      </c>
      <c r="M7" s="2530" t="s">
        <v>63</v>
      </c>
      <c r="N7" s="2533" t="s">
        <v>802</v>
      </c>
      <c r="O7" s="2534"/>
      <c r="P7" s="2534"/>
      <c r="Q7" s="2534"/>
      <c r="R7" s="2534"/>
      <c r="S7" s="2534"/>
      <c r="T7" s="2532" t="s">
        <v>803</v>
      </c>
      <c r="U7" s="2532"/>
      <c r="V7" s="2532"/>
      <c r="W7" s="2532"/>
      <c r="X7" s="2532"/>
      <c r="Y7" s="2532"/>
      <c r="Z7" s="2516" t="s">
        <v>60</v>
      </c>
      <c r="AA7" s="2518" t="s">
        <v>5</v>
      </c>
    </row>
    <row r="8" spans="1:27" ht="24.95" customHeight="1" thickBot="1" x14ac:dyDescent="0.3">
      <c r="A8" s="2523"/>
      <c r="B8" s="2525"/>
      <c r="C8" s="2527"/>
      <c r="D8" s="2525"/>
      <c r="E8" s="1886" t="s">
        <v>57</v>
      </c>
      <c r="F8" s="1886" t="s">
        <v>58</v>
      </c>
      <c r="G8" s="1886" t="s">
        <v>13</v>
      </c>
      <c r="H8" s="1886" t="s">
        <v>14</v>
      </c>
      <c r="I8" s="2521"/>
      <c r="J8" s="2521"/>
      <c r="K8" s="2529"/>
      <c r="L8" s="2529"/>
      <c r="M8" s="2531"/>
      <c r="N8" s="1058" t="s">
        <v>7</v>
      </c>
      <c r="O8" s="1059" t="s">
        <v>18</v>
      </c>
      <c r="P8" s="1059" t="s">
        <v>179</v>
      </c>
      <c r="Q8" s="1059" t="s">
        <v>180</v>
      </c>
      <c r="R8" s="1059" t="s">
        <v>19</v>
      </c>
      <c r="S8" s="1059" t="s">
        <v>181</v>
      </c>
      <c r="T8" s="1060" t="s">
        <v>7</v>
      </c>
      <c r="U8" s="1061" t="s">
        <v>18</v>
      </c>
      <c r="V8" s="1061" t="s">
        <v>179</v>
      </c>
      <c r="W8" s="1061" t="s">
        <v>180</v>
      </c>
      <c r="X8" s="1061" t="s">
        <v>19</v>
      </c>
      <c r="Y8" s="1811" t="s">
        <v>181</v>
      </c>
      <c r="Z8" s="2517"/>
      <c r="AA8" s="2519"/>
    </row>
    <row r="9" spans="1:27" ht="24.95" customHeight="1" x14ac:dyDescent="0.3">
      <c r="A9" s="360">
        <v>1</v>
      </c>
      <c r="B9" s="1624"/>
      <c r="C9" s="1625" t="str">
        <f>VLOOKUP(A9,data_siswa,4,FALSE)</f>
        <v>Achmad Zacky</v>
      </c>
      <c r="D9" s="1626" t="s">
        <v>7</v>
      </c>
      <c r="E9" s="1891">
        <f>VLOOKUP(A9,UHT_AGM,24,FALSE)</f>
        <v>78</v>
      </c>
      <c r="F9" s="1904">
        <f>E9*2</f>
        <v>156</v>
      </c>
      <c r="G9" s="1891">
        <v>75</v>
      </c>
      <c r="H9" s="1627">
        <f>VLOOKUP(A9,an_agm,49,FALSE)</f>
        <v>90</v>
      </c>
      <c r="I9" s="706">
        <f>F9+G9+H9</f>
        <v>321</v>
      </c>
      <c r="J9" s="707">
        <f>(F9+G9+H9)/4</f>
        <v>80.25</v>
      </c>
      <c r="K9" s="708" t="str">
        <f>IF(J9&gt;85,("4"),IF(J9&gt;80,("3.66"),IF(J9&gt;75,("3.33"),IF(J9&gt;70,("3.00"),IF(J9&gt;65,("2.66"),IF(J9&gt;60,("2.33"),IF(J9&gt;55,("2"),IF(J9&gt;50,("1.66"),"1.33"))))))))</f>
        <v>3.66</v>
      </c>
      <c r="L9" s="708" t="str">
        <f>IF(J9&gt;85,("A"),IF(J9&gt;80,("A-"),IF(J9&gt;75,("B+"),IF(J9&gt;70,("B"),IF(J9&gt;65,("B-"),IF(J9&gt;60,("C+"),IF(J9&gt;55,("C"),IF(J9&gt;50,("C-"),"D+"))))))))</f>
        <v>A-</v>
      </c>
      <c r="M9" s="887" t="str">
        <f>IF(J9&gt;80,("SB"),IF(J9&gt;65,("B"),IF(J9&gt;50,("C"),IF(J9&gt;0,("K"),"0"))))</f>
        <v>SB</v>
      </c>
      <c r="N9" s="1628"/>
      <c r="O9" s="1602"/>
      <c r="P9" s="1602"/>
      <c r="Q9" s="1602">
        <v>4</v>
      </c>
      <c r="R9" s="1602"/>
      <c r="S9" s="1602"/>
      <c r="T9" s="1629"/>
      <c r="U9" s="1629"/>
      <c r="V9" s="1629">
        <v>3</v>
      </c>
      <c r="W9" s="1629"/>
      <c r="X9" s="1629"/>
      <c r="Y9" s="1629"/>
      <c r="Z9" s="1193">
        <f>J15</f>
        <v>79.159722222222229</v>
      </c>
      <c r="AA9" s="1919" t="str">
        <f>L15</f>
        <v>B+</v>
      </c>
    </row>
    <row r="10" spans="1:27" ht="24.95" customHeight="1" x14ac:dyDescent="0.3">
      <c r="A10" s="687"/>
      <c r="B10" s="683"/>
      <c r="C10" s="1630"/>
      <c r="D10" s="1626" t="s">
        <v>18</v>
      </c>
      <c r="E10" s="1891">
        <f>VLOOKUP(A9,UHT_AGM,25,FALSE)</f>
        <v>68</v>
      </c>
      <c r="F10" s="1905">
        <f t="shared" ref="F10:F12" si="0">E10*2</f>
        <v>136</v>
      </c>
      <c r="G10" s="1891">
        <v>75</v>
      </c>
      <c r="H10" s="1627">
        <f>VLOOKUP(A9,an_agm,50,FALSE)</f>
        <v>90</v>
      </c>
      <c r="I10" s="709">
        <f t="shared" ref="I10:I12" si="1">F10+G10+H10</f>
        <v>301</v>
      </c>
      <c r="J10" s="710">
        <f t="shared" ref="J10:J12" si="2">(F10+G10+H10)/4</f>
        <v>75.25</v>
      </c>
      <c r="K10" s="711" t="str">
        <f t="shared" ref="K10:K12" si="3">IF(J10&gt;85,("4"),IF(J10&gt;80,("3.66"),IF(J10&gt;75,("3.33"),IF(J10&gt;70,("3.00"),IF(J10&gt;65,("2.66"),IF(J10&gt;60,("2.33"),IF(J10&gt;55,("2"),IF(J10&gt;50,("1.66"),"1.33"))))))))</f>
        <v>3.33</v>
      </c>
      <c r="L10" s="711" t="str">
        <f t="shared" ref="L10:L12" si="4">IF(J10&gt;85,("A"),IF(J10&gt;80,("A-"),IF(J10&gt;75,("B+"),IF(J10&gt;70,("B"),IF(J10&gt;65,("B-"),IF(J10&gt;60,("C+"),IF(J10&gt;55,("C"),IF(J10&gt;50,("C-"),"D+"))))))))</f>
        <v>B+</v>
      </c>
      <c r="M10" s="712" t="str">
        <f t="shared" ref="M10:M12" si="5">IF(J10&gt;80,("SB"),IF(J10&gt;65,("B"),IF(J10&gt;50,("C"),IF(J10&gt;0,("K"),"0"))))</f>
        <v>B</v>
      </c>
      <c r="N10" s="1631"/>
      <c r="O10" s="1632"/>
      <c r="P10" s="1632"/>
      <c r="Q10" s="1632"/>
      <c r="R10" s="1632"/>
      <c r="S10" s="1632"/>
      <c r="T10" s="1633"/>
      <c r="U10" s="1633"/>
      <c r="V10" s="1633"/>
      <c r="W10" s="1633"/>
      <c r="X10" s="1633"/>
      <c r="Y10" s="1633"/>
      <c r="Z10" s="1920"/>
      <c r="AA10" s="1522"/>
    </row>
    <row r="11" spans="1:27" ht="24.95" customHeight="1" x14ac:dyDescent="0.3">
      <c r="A11" s="687"/>
      <c r="B11" s="683"/>
      <c r="C11" s="1630"/>
      <c r="D11" s="1626" t="s">
        <v>179</v>
      </c>
      <c r="E11" s="1891">
        <f>VLOOKUP(A9,UHT_AGM,26,FALSE)</f>
        <v>70</v>
      </c>
      <c r="F11" s="1905">
        <f t="shared" si="0"/>
        <v>140</v>
      </c>
      <c r="G11" s="1891">
        <v>75</v>
      </c>
      <c r="H11" s="1627">
        <f>VLOOKUP(A9,an_agm,51,FALSE)</f>
        <v>80</v>
      </c>
      <c r="I11" s="709">
        <f t="shared" si="1"/>
        <v>295</v>
      </c>
      <c r="J11" s="710">
        <f t="shared" si="2"/>
        <v>73.75</v>
      </c>
      <c r="K11" s="711" t="str">
        <f t="shared" si="3"/>
        <v>3.00</v>
      </c>
      <c r="L11" s="711" t="str">
        <f t="shared" si="4"/>
        <v>B</v>
      </c>
      <c r="M11" s="712" t="str">
        <f t="shared" si="5"/>
        <v>B</v>
      </c>
      <c r="N11" s="1634"/>
      <c r="O11" s="1635"/>
      <c r="P11" s="1635"/>
      <c r="Q11" s="1635"/>
      <c r="R11" s="1635"/>
      <c r="S11" s="1635"/>
      <c r="T11" s="1636"/>
      <c r="U11" s="1636"/>
      <c r="V11" s="1636"/>
      <c r="W11" s="1636"/>
      <c r="X11" s="1636"/>
      <c r="Y11" s="1636"/>
      <c r="Z11" s="1921"/>
      <c r="AA11" s="1524"/>
    </row>
    <row r="12" spans="1:27" ht="24.95" customHeight="1" x14ac:dyDescent="0.3">
      <c r="A12" s="687"/>
      <c r="B12" s="683"/>
      <c r="C12" s="1630"/>
      <c r="D12" s="1626" t="s">
        <v>180</v>
      </c>
      <c r="E12" s="1891">
        <f>VLOOKUP(A9,UHT_AGM,27,FALSE)</f>
        <v>81</v>
      </c>
      <c r="F12" s="1905">
        <f t="shared" si="0"/>
        <v>162</v>
      </c>
      <c r="G12" s="1891">
        <v>75</v>
      </c>
      <c r="H12" s="1627">
        <f>VLOOKUP(A9,an_agm,52,FALSE)</f>
        <v>100</v>
      </c>
      <c r="I12" s="709">
        <f t="shared" si="1"/>
        <v>337</v>
      </c>
      <c r="J12" s="710">
        <f t="shared" si="2"/>
        <v>84.25</v>
      </c>
      <c r="K12" s="711" t="str">
        <f t="shared" si="3"/>
        <v>3.66</v>
      </c>
      <c r="L12" s="711" t="str">
        <f t="shared" si="4"/>
        <v>A-</v>
      </c>
      <c r="M12" s="712" t="str">
        <f t="shared" si="5"/>
        <v>SB</v>
      </c>
      <c r="N12" s="1634"/>
      <c r="O12" s="1635"/>
      <c r="P12" s="1635"/>
      <c r="Q12" s="1635"/>
      <c r="R12" s="1635"/>
      <c r="S12" s="1635"/>
      <c r="T12" s="1636"/>
      <c r="U12" s="1636"/>
      <c r="V12" s="1636"/>
      <c r="W12" s="1636"/>
      <c r="X12" s="1636"/>
      <c r="Y12" s="1636"/>
      <c r="Z12" s="1921"/>
      <c r="AA12" s="1524"/>
    </row>
    <row r="13" spans="1:27" ht="24.95" customHeight="1" x14ac:dyDescent="0.3">
      <c r="A13" s="1637"/>
      <c r="B13" s="360"/>
      <c r="C13" s="1630"/>
      <c r="D13" s="1626" t="s">
        <v>19</v>
      </c>
      <c r="E13" s="1891">
        <f>VLOOKUP(A9,UHT_AGM,28,FALSE)</f>
        <v>79</v>
      </c>
      <c r="F13" s="1905">
        <f t="shared" ref="F13:F14" si="6">E13*2</f>
        <v>158</v>
      </c>
      <c r="G13" s="1891">
        <v>75</v>
      </c>
      <c r="H13" s="1627">
        <f>VLOOKUP(A9,an_agm,53,FALSE)</f>
        <v>100</v>
      </c>
      <c r="I13" s="709">
        <f t="shared" ref="I13:I14" si="7">F13+G13+H13</f>
        <v>333</v>
      </c>
      <c r="J13" s="710">
        <f t="shared" ref="J13:J14" si="8">(F13+G13+H13)/4</f>
        <v>83.25</v>
      </c>
      <c r="K13" s="711" t="str">
        <f t="shared" ref="K13:K14" si="9">IF(J13&gt;85,("4"),IF(J13&gt;80,("3.66"),IF(J13&gt;75,("3.33"),IF(J13&gt;70,("3.00"),IF(J13&gt;65,("2.66"),IF(J13&gt;60,("2.33"),IF(J13&gt;55,("2"),IF(J13&gt;50,("1.66"),"1.33"))))))))</f>
        <v>3.66</v>
      </c>
      <c r="L13" s="711" t="str">
        <f t="shared" ref="L13:L14" si="10">IF(J13&gt;85,("A"),IF(J13&gt;80,("A-"),IF(J13&gt;75,("B+"),IF(J13&gt;70,("B"),IF(J13&gt;65,("B-"),IF(J13&gt;60,("C+"),IF(J13&gt;55,("C"),IF(J13&gt;50,("C-"),"D+"))))))))</f>
        <v>A-</v>
      </c>
      <c r="M13" s="712" t="str">
        <f t="shared" ref="M13:M14" si="11">IF(J13&gt;80,("SB"),IF(J13&gt;65,("B"),IF(J13&gt;50,("C"),IF(J13&gt;0,("K"),"0"))))</f>
        <v>SB</v>
      </c>
      <c r="N13" s="1638"/>
      <c r="O13" s="1639"/>
      <c r="P13" s="1639"/>
      <c r="Q13" s="1639"/>
      <c r="R13" s="1639"/>
      <c r="S13" s="1639"/>
      <c r="T13" s="1640"/>
      <c r="U13" s="1640"/>
      <c r="V13" s="1640"/>
      <c r="W13" s="1640"/>
      <c r="X13" s="1640"/>
      <c r="Y13" s="1640"/>
      <c r="Z13" s="1921"/>
      <c r="AA13" s="1524"/>
    </row>
    <row r="14" spans="1:27" ht="24.95" customHeight="1" x14ac:dyDescent="0.3">
      <c r="A14" s="1637"/>
      <c r="B14" s="360"/>
      <c r="C14" s="1630"/>
      <c r="D14" s="1626" t="s">
        <v>181</v>
      </c>
      <c r="E14" s="1891">
        <f>VLOOKUP(A9,UHT_AGM,30,FALSE)</f>
        <v>75.166666666666671</v>
      </c>
      <c r="F14" s="1905">
        <f t="shared" si="6"/>
        <v>150.33333333333334</v>
      </c>
      <c r="G14" s="1891">
        <v>75</v>
      </c>
      <c r="H14" s="1627">
        <f>VLOOKUP(A9,an_agm,54,FALSE)</f>
        <v>87.5</v>
      </c>
      <c r="I14" s="709">
        <f t="shared" si="7"/>
        <v>312.83333333333337</v>
      </c>
      <c r="J14" s="710">
        <f t="shared" si="8"/>
        <v>78.208333333333343</v>
      </c>
      <c r="K14" s="711" t="str">
        <f t="shared" si="9"/>
        <v>3.33</v>
      </c>
      <c r="L14" s="711" t="str">
        <f t="shared" si="10"/>
        <v>B+</v>
      </c>
      <c r="M14" s="712" t="str">
        <f t="shared" si="11"/>
        <v>B</v>
      </c>
      <c r="N14" s="1812"/>
      <c r="O14" s="1813"/>
      <c r="P14" s="1813"/>
      <c r="Q14" s="1813"/>
      <c r="R14" s="1813"/>
      <c r="S14" s="1813"/>
      <c r="T14" s="1814"/>
      <c r="U14" s="1814"/>
      <c r="V14" s="1814"/>
      <c r="W14" s="1814"/>
      <c r="X14" s="1814"/>
      <c r="Y14" s="1814"/>
      <c r="Z14" s="1922"/>
      <c r="AA14" s="1526"/>
    </row>
    <row r="15" spans="1:27" ht="24.95" customHeight="1" x14ac:dyDescent="0.25">
      <c r="A15" s="1641"/>
      <c r="B15" s="1642">
        <v>1</v>
      </c>
      <c r="C15" s="1643" t="s">
        <v>167</v>
      </c>
      <c r="D15" s="1641"/>
      <c r="E15" s="1189">
        <f>AVERAGE(E9:E14)</f>
        <v>75.194444444444443</v>
      </c>
      <c r="F15" s="1641"/>
      <c r="G15" s="1189">
        <f>AVEDEV(G9:G14)</f>
        <v>0</v>
      </c>
      <c r="H15" s="1189">
        <f>AVERAGE(H9:H14)</f>
        <v>91.25</v>
      </c>
      <c r="I15" s="350">
        <f>MAX(J9:J14)</f>
        <v>84.25</v>
      </c>
      <c r="J15" s="350">
        <f>AVERAGE(J9:J14)</f>
        <v>79.159722222222229</v>
      </c>
      <c r="K15" s="350" t="str">
        <f>IF(J15&gt;85,("4"),IF(J15&gt;80,("3.66"),IF(J15&gt;75,("3.33"),IF(J15&gt;70,("3.00"),IF(J15&gt;65,("2.66"),IF(J15&gt;60,("2.33"),IF(J15&gt;55,("2"),IF(J15&gt;50,("1.66"),"1.33"))))))))</f>
        <v>3.33</v>
      </c>
      <c r="L15" s="1645" t="str">
        <f>IF(J15&gt;85,("A"),IF(J15&gt;80,("A-"),IF(J15&gt;75,("B+"),IF(J15&gt;70,("B"),IF(J15&gt;65,("B-"),IF(J15&gt;60,("C+"),IF(J15&gt;55,("C"),IF(J15&gt;50,("C-"),"D+"))))))))</f>
        <v>B+</v>
      </c>
      <c r="M15" s="1646" t="str">
        <f>IF(J15&gt;85,("A"),IF(J15&gt;80,("A-"),IF(J15&gt;75,("B+"),IF(J15&gt;70,("B"),IF(J15&gt;65,("B-"),IF(J15&gt;60,("C+"),IF(J15&gt;55,("C"),IF(J15&gt;50,("C-"),"D+"))))))))</f>
        <v>B+</v>
      </c>
      <c r="N15" s="1917"/>
      <c r="O15" s="1918"/>
      <c r="P15" s="1918"/>
      <c r="Q15" s="1918"/>
      <c r="R15" s="1918"/>
      <c r="S15" s="1918"/>
      <c r="T15" s="1918"/>
      <c r="U15" s="1918"/>
      <c r="V15" s="1918"/>
      <c r="W15" s="1918"/>
      <c r="X15" s="1918"/>
      <c r="Y15" s="1918"/>
      <c r="Z15" s="1923"/>
      <c r="AA15" s="1924"/>
    </row>
    <row r="16" spans="1:27" ht="24.95" customHeight="1" x14ac:dyDescent="0.3">
      <c r="A16" s="360">
        <v>2</v>
      </c>
      <c r="B16" s="687"/>
      <c r="C16" s="1625" t="str">
        <f>VLOOKUP(A16,data_siswa,4,FALSE)</f>
        <v>Angelia Vabel R</v>
      </c>
      <c r="D16" s="1626" t="s">
        <v>7</v>
      </c>
      <c r="E16" s="1891">
        <f>VLOOKUP(A16,UHT_AGM,24,FALSE)</f>
        <v>0</v>
      </c>
      <c r="F16" s="1904">
        <f>E16*2</f>
        <v>0</v>
      </c>
      <c r="G16" s="1891"/>
      <c r="H16" s="1627">
        <f>VLOOKUP(A16,an_agm,49,FALSE)</f>
        <v>0</v>
      </c>
      <c r="I16" s="706">
        <f>F16+G16+H16</f>
        <v>0</v>
      </c>
      <c r="J16" s="707">
        <f>(F16+G16+H16)/4</f>
        <v>0</v>
      </c>
      <c r="K16" s="708" t="str">
        <f>IF(J16&gt;85,("4"),IF(J16&gt;80,("3.66"),IF(J16&gt;75,("3.33"),IF(J16&gt;70,("3.00"),IF(J16&gt;65,("2.66"),IF(J16&gt;60,("2.33"),IF(J16&gt;55,("2"),IF(J16&gt;50,("1.66"),"1.33"))))))))</f>
        <v>1.33</v>
      </c>
      <c r="L16" s="708" t="str">
        <f>IF(J16&gt;85,("A"),IF(J16&gt;80,("A-"),IF(J16&gt;75,("B+"),IF(J16&gt;70,("B"),IF(J16&gt;65,("B-"),IF(J16&gt;60,("C+"),IF(J16&gt;55,("C"),IF(J16&gt;50,("C-"),"D+"))))))))</f>
        <v>D+</v>
      </c>
      <c r="M16" s="887" t="str">
        <f>IF(J16&gt;80,("SB"),IF(J16&gt;65,("B"),IF(J16&gt;50,("C"),IF(J16&gt;0,("K"),"0"))))</f>
        <v>0</v>
      </c>
      <c r="N16" s="1628"/>
      <c r="O16" s="1602"/>
      <c r="P16" s="1602"/>
      <c r="Q16" s="1602"/>
      <c r="R16" s="1602"/>
      <c r="S16" s="1602"/>
      <c r="T16" s="1629"/>
      <c r="U16" s="1629"/>
      <c r="V16" s="1629"/>
      <c r="W16" s="1629"/>
      <c r="X16" s="1629"/>
      <c r="Y16" s="1629"/>
      <c r="Z16" s="1193">
        <f>J22</f>
        <v>0</v>
      </c>
      <c r="AA16" s="1919" t="str">
        <f>L22</f>
        <v>D+</v>
      </c>
    </row>
    <row r="17" spans="1:27" ht="24.95" customHeight="1" x14ac:dyDescent="0.3">
      <c r="A17" s="687"/>
      <c r="B17" s="687"/>
      <c r="C17" s="1630"/>
      <c r="D17" s="1626" t="s">
        <v>18</v>
      </c>
      <c r="E17" s="1891">
        <f>VLOOKUP(A16,UHT_AGM,25,FALSE)</f>
        <v>0</v>
      </c>
      <c r="F17" s="1905">
        <f t="shared" ref="F17:F21" si="12">E17*2</f>
        <v>0</v>
      </c>
      <c r="G17" s="1891"/>
      <c r="H17" s="1627">
        <f>VLOOKUP(A16,an_agm,50,FALSE)</f>
        <v>0</v>
      </c>
      <c r="I17" s="709">
        <f t="shared" ref="I17:I21" si="13">F17+G17+H17</f>
        <v>0</v>
      </c>
      <c r="J17" s="710">
        <f t="shared" ref="J17:J21" si="14">(F17+G17+H17)/4</f>
        <v>0</v>
      </c>
      <c r="K17" s="711" t="str">
        <f t="shared" ref="K17:K21" si="15">IF(J17&gt;85,("4"),IF(J17&gt;80,("3.66"),IF(J17&gt;75,("3.33"),IF(J17&gt;70,("3.00"),IF(J17&gt;65,("2.66"),IF(J17&gt;60,("2.33"),IF(J17&gt;55,("2"),IF(J17&gt;50,("1.66"),"1.33"))))))))</f>
        <v>1.33</v>
      </c>
      <c r="L17" s="711" t="str">
        <f t="shared" ref="L17:L21" si="16">IF(J17&gt;85,("A"),IF(J17&gt;80,("A-"),IF(J17&gt;75,("B+"),IF(J17&gt;70,("B"),IF(J17&gt;65,("B-"),IF(J17&gt;60,("C+"),IF(J17&gt;55,("C"),IF(J17&gt;50,("C-"),"D+"))))))))</f>
        <v>D+</v>
      </c>
      <c r="M17" s="712" t="str">
        <f t="shared" ref="M17:M21" si="17">IF(J17&gt;80,("SB"),IF(J17&gt;65,("B"),IF(J17&gt;50,("C"),IF(J17&gt;0,("K"),"0"))))</f>
        <v>0</v>
      </c>
      <c r="N17" s="1631"/>
      <c r="O17" s="1632"/>
      <c r="P17" s="1632"/>
      <c r="Q17" s="1632"/>
      <c r="R17" s="1632"/>
      <c r="S17" s="1632"/>
      <c r="T17" s="1633"/>
      <c r="U17" s="1633"/>
      <c r="V17" s="1633"/>
      <c r="W17" s="1633"/>
      <c r="X17" s="1633"/>
      <c r="Y17" s="1633"/>
      <c r="Z17" s="1920"/>
      <c r="AA17" s="1522"/>
    </row>
    <row r="18" spans="1:27" ht="24.95" customHeight="1" x14ac:dyDescent="0.3">
      <c r="A18" s="687"/>
      <c r="B18" s="687"/>
      <c r="C18" s="1630"/>
      <c r="D18" s="1626" t="s">
        <v>179</v>
      </c>
      <c r="E18" s="1891">
        <f>VLOOKUP(A16,UHT_AGM,26,FALSE)</f>
        <v>0</v>
      </c>
      <c r="F18" s="1905">
        <f t="shared" si="12"/>
        <v>0</v>
      </c>
      <c r="G18" s="1891"/>
      <c r="H18" s="1627">
        <f>VLOOKUP(A16,an_agm,51,FALSE)</f>
        <v>0</v>
      </c>
      <c r="I18" s="709">
        <f t="shared" si="13"/>
        <v>0</v>
      </c>
      <c r="J18" s="710">
        <f t="shared" si="14"/>
        <v>0</v>
      </c>
      <c r="K18" s="711" t="str">
        <f t="shared" si="15"/>
        <v>1.33</v>
      </c>
      <c r="L18" s="711" t="str">
        <f t="shared" si="16"/>
        <v>D+</v>
      </c>
      <c r="M18" s="712" t="str">
        <f t="shared" si="17"/>
        <v>0</v>
      </c>
      <c r="N18" s="1634"/>
      <c r="O18" s="1635"/>
      <c r="P18" s="1635"/>
      <c r="Q18" s="1635"/>
      <c r="R18" s="1635"/>
      <c r="S18" s="1635"/>
      <c r="T18" s="1636"/>
      <c r="U18" s="1636"/>
      <c r="V18" s="1636"/>
      <c r="W18" s="1636"/>
      <c r="X18" s="1636"/>
      <c r="Y18" s="1636"/>
      <c r="Z18" s="1921"/>
      <c r="AA18" s="1524"/>
    </row>
    <row r="19" spans="1:27" ht="24.95" customHeight="1" x14ac:dyDescent="0.3">
      <c r="A19" s="687"/>
      <c r="B19" s="687"/>
      <c r="C19" s="1630"/>
      <c r="D19" s="1626" t="s">
        <v>180</v>
      </c>
      <c r="E19" s="1891">
        <f>VLOOKUP(A16,UHT_AGM,27,FALSE)</f>
        <v>0</v>
      </c>
      <c r="F19" s="1905">
        <f t="shared" si="12"/>
        <v>0</v>
      </c>
      <c r="G19" s="1891"/>
      <c r="H19" s="1627">
        <f>VLOOKUP(A16,an_agm,52,FALSE)</f>
        <v>0</v>
      </c>
      <c r="I19" s="709">
        <f t="shared" si="13"/>
        <v>0</v>
      </c>
      <c r="J19" s="710">
        <f t="shared" si="14"/>
        <v>0</v>
      </c>
      <c r="K19" s="711" t="str">
        <f t="shared" si="15"/>
        <v>1.33</v>
      </c>
      <c r="L19" s="711" t="str">
        <f t="shared" si="16"/>
        <v>D+</v>
      </c>
      <c r="M19" s="712" t="str">
        <f t="shared" si="17"/>
        <v>0</v>
      </c>
      <c r="N19" s="1634"/>
      <c r="O19" s="1635"/>
      <c r="P19" s="1635"/>
      <c r="Q19" s="1635"/>
      <c r="R19" s="1635"/>
      <c r="S19" s="1635"/>
      <c r="T19" s="1636"/>
      <c r="U19" s="1636"/>
      <c r="V19" s="1636"/>
      <c r="W19" s="1636"/>
      <c r="X19" s="1636"/>
      <c r="Y19" s="1636"/>
      <c r="Z19" s="1921"/>
      <c r="AA19" s="1524"/>
    </row>
    <row r="20" spans="1:27" ht="24.95" customHeight="1" x14ac:dyDescent="0.3">
      <c r="A20" s="1637"/>
      <c r="B20" s="687"/>
      <c r="C20" s="1630"/>
      <c r="D20" s="1626" t="s">
        <v>19</v>
      </c>
      <c r="E20" s="1891">
        <f>VLOOKUP(A16,UHT_AGM,28,FALSE)</f>
        <v>0</v>
      </c>
      <c r="F20" s="1905">
        <f t="shared" si="12"/>
        <v>0</v>
      </c>
      <c r="G20" s="1891"/>
      <c r="H20" s="1627">
        <f>VLOOKUP(A16,an_agm,53,FALSE)</f>
        <v>0</v>
      </c>
      <c r="I20" s="709">
        <f t="shared" si="13"/>
        <v>0</v>
      </c>
      <c r="J20" s="710">
        <f t="shared" si="14"/>
        <v>0</v>
      </c>
      <c r="K20" s="711" t="str">
        <f t="shared" si="15"/>
        <v>1.33</v>
      </c>
      <c r="L20" s="711" t="str">
        <f t="shared" si="16"/>
        <v>D+</v>
      </c>
      <c r="M20" s="712" t="str">
        <f t="shared" si="17"/>
        <v>0</v>
      </c>
      <c r="N20" s="1638"/>
      <c r="O20" s="1639"/>
      <c r="P20" s="1639"/>
      <c r="Q20" s="1639"/>
      <c r="R20" s="1639"/>
      <c r="S20" s="1639"/>
      <c r="T20" s="1640"/>
      <c r="U20" s="1640"/>
      <c r="V20" s="1640"/>
      <c r="W20" s="1640"/>
      <c r="X20" s="1640"/>
      <c r="Y20" s="1640"/>
      <c r="Z20" s="1921"/>
      <c r="AA20" s="1524"/>
    </row>
    <row r="21" spans="1:27" ht="24.95" customHeight="1" x14ac:dyDescent="0.3">
      <c r="A21" s="1637"/>
      <c r="B21" s="687"/>
      <c r="C21" s="1630"/>
      <c r="D21" s="1626" t="s">
        <v>181</v>
      </c>
      <c r="E21" s="1891">
        <f>VLOOKUP(A16,UHT_AGM,30,FALSE)</f>
        <v>0</v>
      </c>
      <c r="F21" s="1905">
        <f t="shared" si="12"/>
        <v>0</v>
      </c>
      <c r="G21" s="1891"/>
      <c r="H21" s="1627">
        <f>VLOOKUP(A16,an_agm,54,FALSE)</f>
        <v>0</v>
      </c>
      <c r="I21" s="709">
        <f t="shared" si="13"/>
        <v>0</v>
      </c>
      <c r="J21" s="710">
        <f t="shared" si="14"/>
        <v>0</v>
      </c>
      <c r="K21" s="711" t="str">
        <f t="shared" si="15"/>
        <v>1.33</v>
      </c>
      <c r="L21" s="711" t="str">
        <f t="shared" si="16"/>
        <v>D+</v>
      </c>
      <c r="M21" s="712" t="str">
        <f t="shared" si="17"/>
        <v>0</v>
      </c>
      <c r="N21" s="1812"/>
      <c r="O21" s="1813"/>
      <c r="P21" s="1813"/>
      <c r="Q21" s="1813"/>
      <c r="R21" s="1813"/>
      <c r="S21" s="1813"/>
      <c r="T21" s="1814"/>
      <c r="U21" s="1814"/>
      <c r="V21" s="1814"/>
      <c r="W21" s="1814"/>
      <c r="X21" s="1814"/>
      <c r="Y21" s="1814"/>
      <c r="Z21" s="1922"/>
      <c r="AA21" s="1526"/>
    </row>
    <row r="22" spans="1:27" ht="24.95" customHeight="1" x14ac:dyDescent="0.25">
      <c r="A22" s="1641"/>
      <c r="B22" s="1642">
        <v>2</v>
      </c>
      <c r="C22" s="1643" t="s">
        <v>167</v>
      </c>
      <c r="D22" s="1641"/>
      <c r="E22" s="1189">
        <f>AVERAGE(E16:E21)</f>
        <v>0</v>
      </c>
      <c r="F22" s="1641"/>
      <c r="G22" s="1189" t="e">
        <f>AVEDEV(G16:G21)</f>
        <v>#NUM!</v>
      </c>
      <c r="H22" s="1189">
        <f>AVERAGE(H16:H21)</f>
        <v>0</v>
      </c>
      <c r="I22" s="1644"/>
      <c r="J22" s="350">
        <f>AVERAGE(J16:J21)</f>
        <v>0</v>
      </c>
      <c r="K22" s="350" t="str">
        <f>IF(J22&gt;85,("4"),IF(J22&gt;80,("3.66"),IF(J22&gt;75,("3.33"),IF(J22&gt;70,("3.00"),IF(J22&gt;65,("2.66"),IF(J22&gt;60,("2.33"),IF(J22&gt;55,("2"),IF(J22&gt;50,("1.66"),"1.33"))))))))</f>
        <v>1.33</v>
      </c>
      <c r="L22" s="1645" t="str">
        <f>IF(J22&gt;85,("A"),IF(J22&gt;80,("A-"),IF(J22&gt;75,("B+"),IF(J22&gt;70,("B"),IF(J22&gt;65,("B-"),IF(J22&gt;60,("C+"),IF(J22&gt;55,("C"),IF(J22&gt;50,("C-"),"D+"))))))))</f>
        <v>D+</v>
      </c>
      <c r="M22" s="1646" t="str">
        <f>IF(J22&gt;85,("A"),IF(J22&gt;80,("A-"),IF(J22&gt;75,("B+"),IF(J22&gt;70,("B"),IF(J22&gt;65,("B-"),IF(J22&gt;60,("C+"),IF(J22&gt;55,("C"),IF(J22&gt;50,("C-"),"D+"))))))))</f>
        <v>D+</v>
      </c>
      <c r="N22" s="1917"/>
      <c r="O22" s="1918"/>
      <c r="P22" s="1918"/>
      <c r="Q22" s="1918"/>
      <c r="R22" s="1918"/>
      <c r="S22" s="1918"/>
      <c r="T22" s="1918"/>
      <c r="U22" s="1918"/>
      <c r="V22" s="1918"/>
      <c r="W22" s="1918"/>
      <c r="X22" s="1918"/>
      <c r="Y22" s="1918"/>
      <c r="Z22" s="1923"/>
      <c r="AA22" s="1924"/>
    </row>
    <row r="23" spans="1:27" ht="24.95" customHeight="1" x14ac:dyDescent="0.3">
      <c r="A23" s="360">
        <v>3</v>
      </c>
      <c r="B23" s="683"/>
      <c r="C23" s="1625" t="str">
        <f>VLOOKUP(A23,data_siswa,4,FALSE)</f>
        <v>Anggun Dwi P.I</v>
      </c>
      <c r="D23" s="1626" t="s">
        <v>7</v>
      </c>
      <c r="E23" s="1891">
        <f>VLOOKUP(A23,UHT_AGM,24,FALSE)</f>
        <v>0</v>
      </c>
      <c r="F23" s="1904">
        <f>E23*2</f>
        <v>0</v>
      </c>
      <c r="G23" s="1891"/>
      <c r="H23" s="1627">
        <f>VLOOKUP(A23,an_agm,49,FALSE)</f>
        <v>0</v>
      </c>
      <c r="I23" s="706">
        <f>F23+G23+H23</f>
        <v>0</v>
      </c>
      <c r="J23" s="707">
        <f>(F23+G23+H23)/4</f>
        <v>0</v>
      </c>
      <c r="K23" s="708" t="str">
        <f>IF(J23&gt;85,("4"),IF(J23&gt;80,("3.66"),IF(J23&gt;75,("3.33"),IF(J23&gt;70,("3.00"),IF(J23&gt;65,("2.66"),IF(J23&gt;60,("2.33"),IF(J23&gt;55,("2"),IF(J23&gt;50,("1.66"),"1.33"))))))))</f>
        <v>1.33</v>
      </c>
      <c r="L23" s="708" t="str">
        <f>IF(J23&gt;85,("A"),IF(J23&gt;80,("A-"),IF(J23&gt;75,("B+"),IF(J23&gt;70,("B"),IF(J23&gt;65,("B-"),IF(J23&gt;60,("C+"),IF(J23&gt;55,("C"),IF(J23&gt;50,("C-"),"D+"))))))))</f>
        <v>D+</v>
      </c>
      <c r="M23" s="887" t="str">
        <f>IF(J23&gt;80,("SB"),IF(J23&gt;65,("B"),IF(J23&gt;50,("C"),IF(J23&gt;0,("K"),"0"))))</f>
        <v>0</v>
      </c>
      <c r="N23" s="1628"/>
      <c r="O23" s="1602"/>
      <c r="P23" s="1602"/>
      <c r="Q23" s="1602"/>
      <c r="R23" s="1602"/>
      <c r="S23" s="1602"/>
      <c r="T23" s="1629"/>
      <c r="U23" s="1629"/>
      <c r="V23" s="1629"/>
      <c r="W23" s="1629"/>
      <c r="X23" s="1629"/>
      <c r="Y23" s="1629"/>
      <c r="Z23" s="1193">
        <f>J29</f>
        <v>0</v>
      </c>
      <c r="AA23" s="1919" t="str">
        <f>L29</f>
        <v>D+</v>
      </c>
    </row>
    <row r="24" spans="1:27" ht="24.95" customHeight="1" x14ac:dyDescent="0.3">
      <c r="A24" s="687"/>
      <c r="B24" s="683"/>
      <c r="C24" s="1630"/>
      <c r="D24" s="1626" t="s">
        <v>18</v>
      </c>
      <c r="E24" s="1891">
        <f>VLOOKUP(A23,UHT_AGM,25,FALSE)</f>
        <v>0</v>
      </c>
      <c r="F24" s="1905">
        <f t="shared" ref="F24:F28" si="18">E24*2</f>
        <v>0</v>
      </c>
      <c r="G24" s="1891"/>
      <c r="H24" s="1627">
        <f>VLOOKUP(A23,an_agm,50,FALSE)</f>
        <v>0</v>
      </c>
      <c r="I24" s="709">
        <f t="shared" ref="I24:I28" si="19">F24+G24+H24</f>
        <v>0</v>
      </c>
      <c r="J24" s="710">
        <f t="shared" ref="J24:J28" si="20">(F24+G24+H24)/4</f>
        <v>0</v>
      </c>
      <c r="K24" s="711" t="str">
        <f t="shared" ref="K24:K28" si="21">IF(J24&gt;85,("4"),IF(J24&gt;80,("3.66"),IF(J24&gt;75,("3.33"),IF(J24&gt;70,("3.00"),IF(J24&gt;65,("2.66"),IF(J24&gt;60,("2.33"),IF(J24&gt;55,("2"),IF(J24&gt;50,("1.66"),"1.33"))))))))</f>
        <v>1.33</v>
      </c>
      <c r="L24" s="711" t="str">
        <f t="shared" ref="L24:L28" si="22">IF(J24&gt;85,("A"),IF(J24&gt;80,("A-"),IF(J24&gt;75,("B+"),IF(J24&gt;70,("B"),IF(J24&gt;65,("B-"),IF(J24&gt;60,("C+"),IF(J24&gt;55,("C"),IF(J24&gt;50,("C-"),"D+"))))))))</f>
        <v>D+</v>
      </c>
      <c r="M24" s="712" t="str">
        <f t="shared" ref="M24:M28" si="23">IF(J24&gt;80,("SB"),IF(J24&gt;65,("B"),IF(J24&gt;50,("C"),IF(J24&gt;0,("K"),"0"))))</f>
        <v>0</v>
      </c>
      <c r="N24" s="1631"/>
      <c r="O24" s="1632"/>
      <c r="P24" s="1632"/>
      <c r="Q24" s="1632"/>
      <c r="R24" s="1632"/>
      <c r="S24" s="1632"/>
      <c r="T24" s="1633"/>
      <c r="U24" s="1633"/>
      <c r="V24" s="1633"/>
      <c r="W24" s="1633"/>
      <c r="X24" s="1633"/>
      <c r="Y24" s="1633"/>
      <c r="Z24" s="1920"/>
      <c r="AA24" s="1522"/>
    </row>
    <row r="25" spans="1:27" ht="24.95" customHeight="1" x14ac:dyDescent="0.3">
      <c r="A25" s="687"/>
      <c r="B25" s="683"/>
      <c r="C25" s="1630"/>
      <c r="D25" s="1626" t="s">
        <v>179</v>
      </c>
      <c r="E25" s="1891">
        <f>VLOOKUP(A23,UHT_AGM,26,FALSE)</f>
        <v>0</v>
      </c>
      <c r="F25" s="1905">
        <f t="shared" si="18"/>
        <v>0</v>
      </c>
      <c r="G25" s="1891"/>
      <c r="H25" s="1627">
        <f>VLOOKUP(A23,an_agm,51,FALSE)</f>
        <v>0</v>
      </c>
      <c r="I25" s="709">
        <f t="shared" si="19"/>
        <v>0</v>
      </c>
      <c r="J25" s="710">
        <f t="shared" si="20"/>
        <v>0</v>
      </c>
      <c r="K25" s="711" t="str">
        <f t="shared" si="21"/>
        <v>1.33</v>
      </c>
      <c r="L25" s="711" t="str">
        <f t="shared" si="22"/>
        <v>D+</v>
      </c>
      <c r="M25" s="712" t="str">
        <f t="shared" si="23"/>
        <v>0</v>
      </c>
      <c r="N25" s="1634"/>
      <c r="O25" s="1635"/>
      <c r="P25" s="1635"/>
      <c r="Q25" s="1635"/>
      <c r="R25" s="1635"/>
      <c r="S25" s="1635"/>
      <c r="T25" s="1636"/>
      <c r="U25" s="1636"/>
      <c r="V25" s="1636"/>
      <c r="W25" s="1636"/>
      <c r="X25" s="1636"/>
      <c r="Y25" s="1636"/>
      <c r="Z25" s="1921"/>
      <c r="AA25" s="1524"/>
    </row>
    <row r="26" spans="1:27" ht="24.95" customHeight="1" x14ac:dyDescent="0.3">
      <c r="A26" s="687"/>
      <c r="B26" s="683"/>
      <c r="C26" s="1630"/>
      <c r="D26" s="1626" t="s">
        <v>180</v>
      </c>
      <c r="E26" s="1891">
        <f>VLOOKUP(A23,UHT_AGM,27,FALSE)</f>
        <v>0</v>
      </c>
      <c r="F26" s="1905">
        <f t="shared" si="18"/>
        <v>0</v>
      </c>
      <c r="G26" s="1891"/>
      <c r="H26" s="1627">
        <f>VLOOKUP(A23,an_agm,52,FALSE)</f>
        <v>0</v>
      </c>
      <c r="I26" s="709">
        <f t="shared" si="19"/>
        <v>0</v>
      </c>
      <c r="J26" s="710">
        <f t="shared" si="20"/>
        <v>0</v>
      </c>
      <c r="K26" s="711" t="str">
        <f t="shared" si="21"/>
        <v>1.33</v>
      </c>
      <c r="L26" s="711" t="str">
        <f t="shared" si="22"/>
        <v>D+</v>
      </c>
      <c r="M26" s="712" t="str">
        <f t="shared" si="23"/>
        <v>0</v>
      </c>
      <c r="N26" s="1634"/>
      <c r="O26" s="1635"/>
      <c r="P26" s="1635"/>
      <c r="Q26" s="1635"/>
      <c r="R26" s="1635"/>
      <c r="S26" s="1635"/>
      <c r="T26" s="1636"/>
      <c r="U26" s="1636"/>
      <c r="V26" s="1636"/>
      <c r="W26" s="1636"/>
      <c r="X26" s="1636"/>
      <c r="Y26" s="1636"/>
      <c r="Z26" s="1921"/>
      <c r="AA26" s="1524"/>
    </row>
    <row r="27" spans="1:27" ht="24.95" customHeight="1" x14ac:dyDescent="0.3">
      <c r="A27" s="1637"/>
      <c r="B27" s="360"/>
      <c r="C27" s="1630"/>
      <c r="D27" s="1626" t="s">
        <v>19</v>
      </c>
      <c r="E27" s="1891">
        <f>VLOOKUP(A23,UHT_AGM,28,FALSE)</f>
        <v>0</v>
      </c>
      <c r="F27" s="1905">
        <f t="shared" si="18"/>
        <v>0</v>
      </c>
      <c r="G27" s="1891"/>
      <c r="H27" s="1627">
        <f>VLOOKUP(A23,an_agm,53,FALSE)</f>
        <v>0</v>
      </c>
      <c r="I27" s="709">
        <f t="shared" si="19"/>
        <v>0</v>
      </c>
      <c r="J27" s="710">
        <f t="shared" si="20"/>
        <v>0</v>
      </c>
      <c r="K27" s="711" t="str">
        <f t="shared" si="21"/>
        <v>1.33</v>
      </c>
      <c r="L27" s="711" t="str">
        <f t="shared" si="22"/>
        <v>D+</v>
      </c>
      <c r="M27" s="712" t="str">
        <f t="shared" si="23"/>
        <v>0</v>
      </c>
      <c r="N27" s="1638"/>
      <c r="O27" s="1639"/>
      <c r="P27" s="1639"/>
      <c r="Q27" s="1639"/>
      <c r="R27" s="1639"/>
      <c r="S27" s="1639"/>
      <c r="T27" s="1640"/>
      <c r="U27" s="1640"/>
      <c r="V27" s="1640"/>
      <c r="W27" s="1640"/>
      <c r="X27" s="1640"/>
      <c r="Y27" s="1640"/>
      <c r="Z27" s="1921"/>
      <c r="AA27" s="1524"/>
    </row>
    <row r="28" spans="1:27" ht="24.95" customHeight="1" x14ac:dyDescent="0.3">
      <c r="A28" s="1637"/>
      <c r="B28" s="360"/>
      <c r="C28" s="1630"/>
      <c r="D28" s="1626" t="s">
        <v>181</v>
      </c>
      <c r="E28" s="1891">
        <f>VLOOKUP(A23,UHT_AGM,30,FALSE)</f>
        <v>0</v>
      </c>
      <c r="F28" s="1905">
        <f t="shared" si="18"/>
        <v>0</v>
      </c>
      <c r="G28" s="1891"/>
      <c r="H28" s="1627">
        <f>VLOOKUP(A23,an_agm,54,FALSE)</f>
        <v>0</v>
      </c>
      <c r="I28" s="709">
        <f t="shared" si="19"/>
        <v>0</v>
      </c>
      <c r="J28" s="710">
        <f t="shared" si="20"/>
        <v>0</v>
      </c>
      <c r="K28" s="711" t="str">
        <f t="shared" si="21"/>
        <v>1.33</v>
      </c>
      <c r="L28" s="711" t="str">
        <f t="shared" si="22"/>
        <v>D+</v>
      </c>
      <c r="M28" s="712" t="str">
        <f t="shared" si="23"/>
        <v>0</v>
      </c>
      <c r="N28" s="1812"/>
      <c r="O28" s="1813"/>
      <c r="P28" s="1813"/>
      <c r="Q28" s="1813"/>
      <c r="R28" s="1813"/>
      <c r="S28" s="1813"/>
      <c r="T28" s="1814"/>
      <c r="U28" s="1814"/>
      <c r="V28" s="1814"/>
      <c r="W28" s="1814"/>
      <c r="X28" s="1814"/>
      <c r="Y28" s="1814"/>
      <c r="Z28" s="1922"/>
      <c r="AA28" s="1526"/>
    </row>
    <row r="29" spans="1:27" ht="24.95" customHeight="1" x14ac:dyDescent="0.25">
      <c r="A29" s="1641"/>
      <c r="B29" s="1642">
        <v>3</v>
      </c>
      <c r="C29" s="1643" t="s">
        <v>167</v>
      </c>
      <c r="D29" s="1641"/>
      <c r="E29" s="1189">
        <f>AVERAGE(E23:E28)</f>
        <v>0</v>
      </c>
      <c r="F29" s="1641"/>
      <c r="G29" s="1189" t="e">
        <f>AVEDEV(G23:G28)</f>
        <v>#NUM!</v>
      </c>
      <c r="H29" s="1189">
        <f>AVERAGE(H23:H28)</f>
        <v>0</v>
      </c>
      <c r="I29" s="1644"/>
      <c r="J29" s="350">
        <f>AVERAGE(J23:J28)</f>
        <v>0</v>
      </c>
      <c r="K29" s="350" t="str">
        <f>IF(J29&gt;85,("4"),IF(J29&gt;80,("3.66"),IF(J29&gt;75,("3.33"),IF(J29&gt;70,("3.00"),IF(J29&gt;65,("2.66"),IF(J29&gt;60,("2.33"),IF(J29&gt;55,("2"),IF(J29&gt;50,("1.66"),"1.33"))))))))</f>
        <v>1.33</v>
      </c>
      <c r="L29" s="1645" t="str">
        <f>IF(J29&gt;85,("A"),IF(J29&gt;80,("A-"),IF(J29&gt;75,("B+"),IF(J29&gt;70,("B"),IF(J29&gt;65,("B-"),IF(J29&gt;60,("C+"),IF(J29&gt;55,("C"),IF(J29&gt;50,("C-"),"D+"))))))))</f>
        <v>D+</v>
      </c>
      <c r="M29" s="1646" t="str">
        <f>IF(J29&gt;85,("A"),IF(J29&gt;80,("A-"),IF(J29&gt;75,("B+"),IF(J29&gt;70,("B"),IF(J29&gt;65,("B-"),IF(J29&gt;60,("C+"),IF(J29&gt;55,("C"),IF(J29&gt;50,("C-"),"D+"))))))))</f>
        <v>D+</v>
      </c>
      <c r="N29" s="1917"/>
      <c r="O29" s="1918"/>
      <c r="P29" s="1918"/>
      <c r="Q29" s="1918"/>
      <c r="R29" s="1918"/>
      <c r="S29" s="1918"/>
      <c r="T29" s="1918"/>
      <c r="U29" s="1918"/>
      <c r="V29" s="1918"/>
      <c r="W29" s="1918"/>
      <c r="X29" s="1918"/>
      <c r="Y29" s="1918"/>
      <c r="Z29" s="1923"/>
      <c r="AA29" s="1924"/>
    </row>
    <row r="30" spans="1:27" ht="24.95" customHeight="1" x14ac:dyDescent="0.3">
      <c r="A30" s="360">
        <v>4</v>
      </c>
      <c r="B30" s="683"/>
      <c r="C30" s="1625" t="str">
        <f>VLOOKUP(A30,data_siswa,4,FALSE)</f>
        <v>Antonio Permata A</v>
      </c>
      <c r="D30" s="1626" t="s">
        <v>7</v>
      </c>
      <c r="E30" s="1891">
        <f>VLOOKUP(A30,UHT_AGM,24,FALSE)</f>
        <v>0</v>
      </c>
      <c r="F30" s="1904">
        <f>E30*2</f>
        <v>0</v>
      </c>
      <c r="G30" s="1891"/>
      <c r="H30" s="1627">
        <f>VLOOKUP(A30,an_agm,49,FALSE)</f>
        <v>0</v>
      </c>
      <c r="I30" s="706">
        <f>F30+G30+H30</f>
        <v>0</v>
      </c>
      <c r="J30" s="707">
        <f>(F30+G30+H30)/4</f>
        <v>0</v>
      </c>
      <c r="K30" s="708" t="str">
        <f>IF(J30&gt;85,("4"),IF(J30&gt;80,("3.66"),IF(J30&gt;75,("3.33"),IF(J30&gt;70,("3.00"),IF(J30&gt;65,("2.66"),IF(J30&gt;60,("2.33"),IF(J30&gt;55,("2"),IF(J30&gt;50,("1.66"),"1.33"))))))))</f>
        <v>1.33</v>
      </c>
      <c r="L30" s="708" t="str">
        <f>IF(J30&gt;85,("A"),IF(J30&gt;80,("A-"),IF(J30&gt;75,("B+"),IF(J30&gt;70,("B"),IF(J30&gt;65,("B-"),IF(J30&gt;60,("C+"),IF(J30&gt;55,("C"),IF(J30&gt;50,("C-"),"D+"))))))))</f>
        <v>D+</v>
      </c>
      <c r="M30" s="887" t="str">
        <f>IF(J30&gt;80,("SB"),IF(J30&gt;65,("B"),IF(J30&gt;50,("C"),IF(J30&gt;0,("K"),"0"))))</f>
        <v>0</v>
      </c>
      <c r="N30" s="1628"/>
      <c r="O30" s="1602"/>
      <c r="P30" s="1602"/>
      <c r="Q30" s="1602"/>
      <c r="R30" s="1602"/>
      <c r="S30" s="1602"/>
      <c r="T30" s="1629"/>
      <c r="U30" s="1629"/>
      <c r="V30" s="1629"/>
      <c r="W30" s="1629"/>
      <c r="X30" s="1629"/>
      <c r="Y30" s="1629"/>
      <c r="Z30" s="1193">
        <f>J36</f>
        <v>0</v>
      </c>
      <c r="AA30" s="1919" t="str">
        <f>L36</f>
        <v>D+</v>
      </c>
    </row>
    <row r="31" spans="1:27" ht="24.95" customHeight="1" x14ac:dyDescent="0.3">
      <c r="A31" s="687"/>
      <c r="B31" s="683"/>
      <c r="C31" s="1630"/>
      <c r="D31" s="1626" t="s">
        <v>18</v>
      </c>
      <c r="E31" s="1891">
        <f>VLOOKUP(A30,UHT_AGM,25,FALSE)</f>
        <v>0</v>
      </c>
      <c r="F31" s="1905">
        <f t="shared" ref="F31:F35" si="24">E31*2</f>
        <v>0</v>
      </c>
      <c r="G31" s="1891"/>
      <c r="H31" s="1627">
        <f>VLOOKUP(A30,an_agm,50,FALSE)</f>
        <v>0</v>
      </c>
      <c r="I31" s="709">
        <f t="shared" ref="I31:I35" si="25">F31+G31+H31</f>
        <v>0</v>
      </c>
      <c r="J31" s="710">
        <f t="shared" ref="J31:J35" si="26">(F31+G31+H31)/4</f>
        <v>0</v>
      </c>
      <c r="K31" s="711" t="str">
        <f t="shared" ref="K31:K35" si="27">IF(J31&gt;85,("4"),IF(J31&gt;80,("3.66"),IF(J31&gt;75,("3.33"),IF(J31&gt;70,("3.00"),IF(J31&gt;65,("2.66"),IF(J31&gt;60,("2.33"),IF(J31&gt;55,("2"),IF(J31&gt;50,("1.66"),"1.33"))))))))</f>
        <v>1.33</v>
      </c>
      <c r="L31" s="711" t="str">
        <f t="shared" ref="L31:L35" si="28">IF(J31&gt;85,("A"),IF(J31&gt;80,("A-"),IF(J31&gt;75,("B+"),IF(J31&gt;70,("B"),IF(J31&gt;65,("B-"),IF(J31&gt;60,("C+"),IF(J31&gt;55,("C"),IF(J31&gt;50,("C-"),"D+"))))))))</f>
        <v>D+</v>
      </c>
      <c r="M31" s="712" t="str">
        <f t="shared" ref="M31:M35" si="29">IF(J31&gt;80,("SB"),IF(J31&gt;65,("B"),IF(J31&gt;50,("C"),IF(J31&gt;0,("K"),"0"))))</f>
        <v>0</v>
      </c>
      <c r="N31" s="1631"/>
      <c r="O31" s="1632"/>
      <c r="P31" s="1632"/>
      <c r="Q31" s="1632"/>
      <c r="R31" s="1632"/>
      <c r="S31" s="1632"/>
      <c r="T31" s="1633"/>
      <c r="U31" s="1633"/>
      <c r="V31" s="1633"/>
      <c r="W31" s="1633"/>
      <c r="X31" s="1633"/>
      <c r="Y31" s="1633"/>
      <c r="Z31" s="1920"/>
      <c r="AA31" s="1522"/>
    </row>
    <row r="32" spans="1:27" ht="24.95" customHeight="1" x14ac:dyDescent="0.3">
      <c r="A32" s="687"/>
      <c r="B32" s="683"/>
      <c r="C32" s="1630"/>
      <c r="D32" s="1626" t="s">
        <v>179</v>
      </c>
      <c r="E32" s="1891">
        <f>VLOOKUP(A30,UHT_AGM,26,FALSE)</f>
        <v>0</v>
      </c>
      <c r="F32" s="1905">
        <f t="shared" si="24"/>
        <v>0</v>
      </c>
      <c r="G32" s="1891"/>
      <c r="H32" s="1627">
        <f>VLOOKUP(A30,an_agm,51,FALSE)</f>
        <v>0</v>
      </c>
      <c r="I32" s="709">
        <f t="shared" si="25"/>
        <v>0</v>
      </c>
      <c r="J32" s="710">
        <f t="shared" si="26"/>
        <v>0</v>
      </c>
      <c r="K32" s="711" t="str">
        <f t="shared" si="27"/>
        <v>1.33</v>
      </c>
      <c r="L32" s="711" t="str">
        <f t="shared" si="28"/>
        <v>D+</v>
      </c>
      <c r="M32" s="712" t="str">
        <f t="shared" si="29"/>
        <v>0</v>
      </c>
      <c r="N32" s="1634"/>
      <c r="O32" s="1635"/>
      <c r="P32" s="1635"/>
      <c r="Q32" s="1635"/>
      <c r="R32" s="1635"/>
      <c r="S32" s="1635"/>
      <c r="T32" s="1636"/>
      <c r="U32" s="1636"/>
      <c r="V32" s="1636"/>
      <c r="W32" s="1636"/>
      <c r="X32" s="1636"/>
      <c r="Y32" s="1636"/>
      <c r="Z32" s="1921"/>
      <c r="AA32" s="1524"/>
    </row>
    <row r="33" spans="1:27" ht="24.95" customHeight="1" x14ac:dyDescent="0.3">
      <c r="A33" s="687"/>
      <c r="B33" s="683"/>
      <c r="C33" s="1630"/>
      <c r="D33" s="1626" t="s">
        <v>180</v>
      </c>
      <c r="E33" s="1891">
        <f>VLOOKUP(A30,UHT_AGM,27,FALSE)</f>
        <v>0</v>
      </c>
      <c r="F33" s="1905">
        <f t="shared" si="24"/>
        <v>0</v>
      </c>
      <c r="G33" s="1891"/>
      <c r="H33" s="1627">
        <f>VLOOKUP(A30,an_agm,52,FALSE)</f>
        <v>0</v>
      </c>
      <c r="I33" s="709">
        <f t="shared" si="25"/>
        <v>0</v>
      </c>
      <c r="J33" s="710">
        <f t="shared" si="26"/>
        <v>0</v>
      </c>
      <c r="K33" s="711" t="str">
        <f t="shared" si="27"/>
        <v>1.33</v>
      </c>
      <c r="L33" s="711" t="str">
        <f t="shared" si="28"/>
        <v>D+</v>
      </c>
      <c r="M33" s="712" t="str">
        <f t="shared" si="29"/>
        <v>0</v>
      </c>
      <c r="N33" s="1634"/>
      <c r="O33" s="1635"/>
      <c r="P33" s="1635"/>
      <c r="Q33" s="1635"/>
      <c r="R33" s="1635"/>
      <c r="S33" s="1635"/>
      <c r="T33" s="1636"/>
      <c r="U33" s="1636"/>
      <c r="V33" s="1636"/>
      <c r="W33" s="1636"/>
      <c r="X33" s="1636"/>
      <c r="Y33" s="1636"/>
      <c r="Z33" s="1921"/>
      <c r="AA33" s="1524"/>
    </row>
    <row r="34" spans="1:27" ht="24.95" customHeight="1" x14ac:dyDescent="0.3">
      <c r="A34" s="1637"/>
      <c r="B34" s="360"/>
      <c r="C34" s="1630"/>
      <c r="D34" s="1626" t="s">
        <v>19</v>
      </c>
      <c r="E34" s="1891">
        <f>VLOOKUP(A30,UHT_AGM,28,FALSE)</f>
        <v>0</v>
      </c>
      <c r="F34" s="1905">
        <f t="shared" si="24"/>
        <v>0</v>
      </c>
      <c r="G34" s="1891"/>
      <c r="H34" s="1627">
        <f>VLOOKUP(A30,an_agm,53,FALSE)</f>
        <v>0</v>
      </c>
      <c r="I34" s="709">
        <f t="shared" si="25"/>
        <v>0</v>
      </c>
      <c r="J34" s="710">
        <f t="shared" si="26"/>
        <v>0</v>
      </c>
      <c r="K34" s="711" t="str">
        <f t="shared" si="27"/>
        <v>1.33</v>
      </c>
      <c r="L34" s="711" t="str">
        <f t="shared" si="28"/>
        <v>D+</v>
      </c>
      <c r="M34" s="712" t="str">
        <f t="shared" si="29"/>
        <v>0</v>
      </c>
      <c r="N34" s="1638"/>
      <c r="O34" s="1639"/>
      <c r="P34" s="1639"/>
      <c r="Q34" s="1639"/>
      <c r="R34" s="1639"/>
      <c r="S34" s="1639"/>
      <c r="T34" s="1640"/>
      <c r="U34" s="1640"/>
      <c r="V34" s="1640"/>
      <c r="W34" s="1640"/>
      <c r="X34" s="1640"/>
      <c r="Y34" s="1640"/>
      <c r="Z34" s="1921"/>
      <c r="AA34" s="1524"/>
    </row>
    <row r="35" spans="1:27" ht="24.95" customHeight="1" x14ac:dyDescent="0.3">
      <c r="A35" s="1637"/>
      <c r="B35" s="360"/>
      <c r="C35" s="1630"/>
      <c r="D35" s="1626" t="s">
        <v>181</v>
      </c>
      <c r="E35" s="1891">
        <f>VLOOKUP(A30,UHT_AGM,30,FALSE)</f>
        <v>0</v>
      </c>
      <c r="F35" s="1905">
        <f t="shared" si="24"/>
        <v>0</v>
      </c>
      <c r="G35" s="1891"/>
      <c r="H35" s="1627">
        <f>VLOOKUP(A30,an_agm,54,FALSE)</f>
        <v>0</v>
      </c>
      <c r="I35" s="709">
        <f t="shared" si="25"/>
        <v>0</v>
      </c>
      <c r="J35" s="710">
        <f t="shared" si="26"/>
        <v>0</v>
      </c>
      <c r="K35" s="711" t="str">
        <f t="shared" si="27"/>
        <v>1.33</v>
      </c>
      <c r="L35" s="711" t="str">
        <f t="shared" si="28"/>
        <v>D+</v>
      </c>
      <c r="M35" s="712" t="str">
        <f t="shared" si="29"/>
        <v>0</v>
      </c>
      <c r="N35" s="1812"/>
      <c r="O35" s="1813"/>
      <c r="P35" s="1813"/>
      <c r="Q35" s="1813"/>
      <c r="R35" s="1813"/>
      <c r="S35" s="1813"/>
      <c r="T35" s="1814"/>
      <c r="U35" s="1814"/>
      <c r="V35" s="1814"/>
      <c r="W35" s="1814"/>
      <c r="X35" s="1814"/>
      <c r="Y35" s="1814"/>
      <c r="Z35" s="1922"/>
      <c r="AA35" s="1526"/>
    </row>
    <row r="36" spans="1:27" ht="24.95" customHeight="1" x14ac:dyDescent="0.25">
      <c r="A36" s="1641"/>
      <c r="B36" s="1642">
        <v>4</v>
      </c>
      <c r="C36" s="1643" t="s">
        <v>167</v>
      </c>
      <c r="D36" s="1641"/>
      <c r="E36" s="1189">
        <f>AVERAGE(E30:E35)</f>
        <v>0</v>
      </c>
      <c r="F36" s="1641"/>
      <c r="G36" s="1189" t="e">
        <f>AVEDEV(G30:G35)</f>
        <v>#NUM!</v>
      </c>
      <c r="H36" s="1189">
        <f>AVERAGE(H30:H35)</f>
        <v>0</v>
      </c>
      <c r="I36" s="1644"/>
      <c r="J36" s="350">
        <f>AVERAGE(J30:J35)</f>
        <v>0</v>
      </c>
      <c r="K36" s="350" t="str">
        <f>IF(J36&gt;85,("4"),IF(J36&gt;80,("3.66"),IF(J36&gt;75,("3.33"),IF(J36&gt;70,("3.00"),IF(J36&gt;65,("2.66"),IF(J36&gt;60,("2.33"),IF(J36&gt;55,("2"),IF(J36&gt;50,("1.66"),"1.33"))))))))</f>
        <v>1.33</v>
      </c>
      <c r="L36" s="1645" t="str">
        <f>IF(J36&gt;85,("A"),IF(J36&gt;80,("A-"),IF(J36&gt;75,("B+"),IF(J36&gt;70,("B"),IF(J36&gt;65,("B-"),IF(J36&gt;60,("C+"),IF(J36&gt;55,("C"),IF(J36&gt;50,("C-"),"D+"))))))))</f>
        <v>D+</v>
      </c>
      <c r="M36" s="1646" t="str">
        <f>IF(J36&gt;85,("A"),IF(J36&gt;80,("A-"),IF(J36&gt;75,("B+"),IF(J36&gt;70,("B"),IF(J36&gt;65,("B-"),IF(J36&gt;60,("C+"),IF(J36&gt;55,("C"),IF(J36&gt;50,("C-"),"D+"))))))))</f>
        <v>D+</v>
      </c>
      <c r="N36" s="1917"/>
      <c r="O36" s="1918"/>
      <c r="P36" s="1918"/>
      <c r="Q36" s="1918"/>
      <c r="R36" s="1918"/>
      <c r="S36" s="1918"/>
      <c r="T36" s="1918"/>
      <c r="U36" s="1918"/>
      <c r="V36" s="1918"/>
      <c r="W36" s="1918"/>
      <c r="X36" s="1918"/>
      <c r="Y36" s="1918"/>
      <c r="Z36" s="1923"/>
      <c r="AA36" s="1924"/>
    </row>
    <row r="37" spans="1:27" ht="24.95" customHeight="1" x14ac:dyDescent="0.3">
      <c r="A37" s="360">
        <v>5</v>
      </c>
      <c r="B37" s="683"/>
      <c r="C37" s="1625" t="str">
        <f>VLOOKUP(A37,data_siswa,4,FALSE)</f>
        <v>Arya Pratama G</v>
      </c>
      <c r="D37" s="1626" t="s">
        <v>7</v>
      </c>
      <c r="E37" s="1891">
        <f>VLOOKUP(A37,UHT_AGM,24,FALSE)</f>
        <v>0</v>
      </c>
      <c r="F37" s="1904">
        <f>E37*2</f>
        <v>0</v>
      </c>
      <c r="G37" s="1891"/>
      <c r="H37" s="1627">
        <f>VLOOKUP(A37,an_agm,49,FALSE)</f>
        <v>0</v>
      </c>
      <c r="I37" s="706">
        <f>F37+G37+H37</f>
        <v>0</v>
      </c>
      <c r="J37" s="707">
        <f>(F37+G37+H37)/4</f>
        <v>0</v>
      </c>
      <c r="K37" s="708" t="str">
        <f>IF(J37&gt;85,("4"),IF(J37&gt;80,("3.66"),IF(J37&gt;75,("3.33"),IF(J37&gt;70,("3.00"),IF(J37&gt;65,("2.66"),IF(J37&gt;60,("2.33"),IF(J37&gt;55,("2"),IF(J37&gt;50,("1.66"),"1.33"))))))))</f>
        <v>1.33</v>
      </c>
      <c r="L37" s="708" t="str">
        <f>IF(J37&gt;85,("A"),IF(J37&gt;80,("A-"),IF(J37&gt;75,("B+"),IF(J37&gt;70,("B"),IF(J37&gt;65,("B-"),IF(J37&gt;60,("C+"),IF(J37&gt;55,("C"),IF(J37&gt;50,("C-"),"D+"))))))))</f>
        <v>D+</v>
      </c>
      <c r="M37" s="887" t="str">
        <f>IF(J37&gt;80,("SB"),IF(J37&gt;65,("B"),IF(J37&gt;50,("C"),IF(J37&gt;0,("K"),"0"))))</f>
        <v>0</v>
      </c>
      <c r="N37" s="1628"/>
      <c r="O37" s="1602"/>
      <c r="P37" s="1602"/>
      <c r="Q37" s="1602"/>
      <c r="R37" s="1602"/>
      <c r="S37" s="1602"/>
      <c r="T37" s="1629"/>
      <c r="U37" s="1629"/>
      <c r="V37" s="1629"/>
      <c r="W37" s="1629"/>
      <c r="X37" s="1629"/>
      <c r="Y37" s="1629"/>
      <c r="Z37" s="1193">
        <f>J43</f>
        <v>0</v>
      </c>
      <c r="AA37" s="1919" t="str">
        <f>L43</f>
        <v>D+</v>
      </c>
    </row>
    <row r="38" spans="1:27" ht="24.95" customHeight="1" x14ac:dyDescent="0.3">
      <c r="A38" s="687"/>
      <c r="B38" s="683"/>
      <c r="C38" s="1630"/>
      <c r="D38" s="1626" t="s">
        <v>18</v>
      </c>
      <c r="E38" s="1891">
        <f>VLOOKUP(A37,UHT_AGM,25,FALSE)</f>
        <v>0</v>
      </c>
      <c r="F38" s="1905">
        <f t="shared" ref="F38:F42" si="30">E38*2</f>
        <v>0</v>
      </c>
      <c r="G38" s="1891"/>
      <c r="H38" s="1627">
        <f>VLOOKUP(A37,an_agm,50,FALSE)</f>
        <v>0</v>
      </c>
      <c r="I38" s="709">
        <f t="shared" ref="I38:I42" si="31">F38+G38+H38</f>
        <v>0</v>
      </c>
      <c r="J38" s="710">
        <f t="shared" ref="J38:J42" si="32">(F38+G38+H38)/4</f>
        <v>0</v>
      </c>
      <c r="K38" s="711" t="str">
        <f t="shared" ref="K38:K42" si="33">IF(J38&gt;85,("4"),IF(J38&gt;80,("3.66"),IF(J38&gt;75,("3.33"),IF(J38&gt;70,("3.00"),IF(J38&gt;65,("2.66"),IF(J38&gt;60,("2.33"),IF(J38&gt;55,("2"),IF(J38&gt;50,("1.66"),"1.33"))))))))</f>
        <v>1.33</v>
      </c>
      <c r="L38" s="711" t="str">
        <f t="shared" ref="L38:L42" si="34">IF(J38&gt;85,("A"),IF(J38&gt;80,("A-"),IF(J38&gt;75,("B+"),IF(J38&gt;70,("B"),IF(J38&gt;65,("B-"),IF(J38&gt;60,("C+"),IF(J38&gt;55,("C"),IF(J38&gt;50,("C-"),"D+"))))))))</f>
        <v>D+</v>
      </c>
      <c r="M38" s="712" t="str">
        <f t="shared" ref="M38:M42" si="35">IF(J38&gt;80,("SB"),IF(J38&gt;65,("B"),IF(J38&gt;50,("C"),IF(J38&gt;0,("K"),"0"))))</f>
        <v>0</v>
      </c>
      <c r="N38" s="1631"/>
      <c r="O38" s="1632"/>
      <c r="P38" s="1632"/>
      <c r="Q38" s="1632"/>
      <c r="R38" s="1632"/>
      <c r="S38" s="1632"/>
      <c r="T38" s="1633"/>
      <c r="U38" s="1633"/>
      <c r="V38" s="1633"/>
      <c r="W38" s="1633"/>
      <c r="X38" s="1633"/>
      <c r="Y38" s="1633"/>
      <c r="Z38" s="1920"/>
      <c r="AA38" s="1522"/>
    </row>
    <row r="39" spans="1:27" ht="24.95" customHeight="1" x14ac:dyDescent="0.3">
      <c r="A39" s="687"/>
      <c r="B39" s="683"/>
      <c r="C39" s="1630"/>
      <c r="D39" s="1626" t="s">
        <v>179</v>
      </c>
      <c r="E39" s="1891">
        <f>VLOOKUP(A37,UHT_AGM,26,FALSE)</f>
        <v>0</v>
      </c>
      <c r="F39" s="1905">
        <f t="shared" si="30"/>
        <v>0</v>
      </c>
      <c r="G39" s="1891"/>
      <c r="H39" s="1627">
        <f>VLOOKUP(A37,an_agm,51,FALSE)</f>
        <v>0</v>
      </c>
      <c r="I39" s="709">
        <f t="shared" si="31"/>
        <v>0</v>
      </c>
      <c r="J39" s="710">
        <f t="shared" si="32"/>
        <v>0</v>
      </c>
      <c r="K39" s="711" t="str">
        <f t="shared" si="33"/>
        <v>1.33</v>
      </c>
      <c r="L39" s="711" t="str">
        <f t="shared" si="34"/>
        <v>D+</v>
      </c>
      <c r="M39" s="712" t="str">
        <f t="shared" si="35"/>
        <v>0</v>
      </c>
      <c r="N39" s="1634"/>
      <c r="O39" s="1635"/>
      <c r="P39" s="1635"/>
      <c r="Q39" s="1635"/>
      <c r="R39" s="1635"/>
      <c r="S39" s="1635"/>
      <c r="T39" s="1636"/>
      <c r="U39" s="1636"/>
      <c r="V39" s="1636"/>
      <c r="W39" s="1636"/>
      <c r="X39" s="1636"/>
      <c r="Y39" s="1636"/>
      <c r="Z39" s="1921"/>
      <c r="AA39" s="1524"/>
    </row>
    <row r="40" spans="1:27" ht="24.95" customHeight="1" x14ac:dyDescent="0.3">
      <c r="A40" s="687"/>
      <c r="B40" s="683"/>
      <c r="C40" s="1630"/>
      <c r="D40" s="1626" t="s">
        <v>180</v>
      </c>
      <c r="E40" s="1891">
        <f>VLOOKUP(A37,UHT_AGM,27,FALSE)</f>
        <v>0</v>
      </c>
      <c r="F40" s="1905">
        <f t="shared" si="30"/>
        <v>0</v>
      </c>
      <c r="G40" s="1891"/>
      <c r="H40" s="1627">
        <f>VLOOKUP(A37,an_agm,52,FALSE)</f>
        <v>0</v>
      </c>
      <c r="I40" s="709">
        <f t="shared" si="31"/>
        <v>0</v>
      </c>
      <c r="J40" s="710">
        <f t="shared" si="32"/>
        <v>0</v>
      </c>
      <c r="K40" s="711" t="str">
        <f t="shared" si="33"/>
        <v>1.33</v>
      </c>
      <c r="L40" s="711" t="str">
        <f t="shared" si="34"/>
        <v>D+</v>
      </c>
      <c r="M40" s="712" t="str">
        <f t="shared" si="35"/>
        <v>0</v>
      </c>
      <c r="N40" s="1634"/>
      <c r="O40" s="1635"/>
      <c r="P40" s="1635"/>
      <c r="Q40" s="1635"/>
      <c r="R40" s="1635"/>
      <c r="S40" s="1635"/>
      <c r="T40" s="1636"/>
      <c r="U40" s="1636"/>
      <c r="V40" s="1636"/>
      <c r="W40" s="1636"/>
      <c r="X40" s="1636"/>
      <c r="Y40" s="1636"/>
      <c r="Z40" s="1921"/>
      <c r="AA40" s="1524"/>
    </row>
    <row r="41" spans="1:27" ht="24.95" customHeight="1" x14ac:dyDescent="0.3">
      <c r="A41" s="1637"/>
      <c r="B41" s="360"/>
      <c r="C41" s="1630"/>
      <c r="D41" s="1626" t="s">
        <v>19</v>
      </c>
      <c r="E41" s="1891">
        <f>VLOOKUP(A37,UHT_AGM,28,FALSE)</f>
        <v>0</v>
      </c>
      <c r="F41" s="1905">
        <f t="shared" si="30"/>
        <v>0</v>
      </c>
      <c r="G41" s="1891"/>
      <c r="H41" s="1627">
        <f>VLOOKUP(A37,an_agm,53,FALSE)</f>
        <v>0</v>
      </c>
      <c r="I41" s="709">
        <f t="shared" si="31"/>
        <v>0</v>
      </c>
      <c r="J41" s="710">
        <f t="shared" si="32"/>
        <v>0</v>
      </c>
      <c r="K41" s="711" t="str">
        <f t="shared" si="33"/>
        <v>1.33</v>
      </c>
      <c r="L41" s="711" t="str">
        <f t="shared" si="34"/>
        <v>D+</v>
      </c>
      <c r="M41" s="712" t="str">
        <f t="shared" si="35"/>
        <v>0</v>
      </c>
      <c r="N41" s="1638"/>
      <c r="O41" s="1639"/>
      <c r="P41" s="1639"/>
      <c r="Q41" s="1639"/>
      <c r="R41" s="1639"/>
      <c r="S41" s="1639"/>
      <c r="T41" s="1640"/>
      <c r="U41" s="1640"/>
      <c r="V41" s="1640"/>
      <c r="W41" s="1640"/>
      <c r="X41" s="1640"/>
      <c r="Y41" s="1640"/>
      <c r="Z41" s="1921"/>
      <c r="AA41" s="1524"/>
    </row>
    <row r="42" spans="1:27" ht="24.95" customHeight="1" x14ac:dyDescent="0.3">
      <c r="A42" s="1637"/>
      <c r="B42" s="360"/>
      <c r="C42" s="1630"/>
      <c r="D42" s="1626" t="s">
        <v>181</v>
      </c>
      <c r="E42" s="1891">
        <f>VLOOKUP(A37,UHT_AGM,30,FALSE)</f>
        <v>0</v>
      </c>
      <c r="F42" s="1905">
        <f t="shared" si="30"/>
        <v>0</v>
      </c>
      <c r="G42" s="1891"/>
      <c r="H42" s="1627">
        <f>VLOOKUP(A37,an_agm,54,FALSE)</f>
        <v>0</v>
      </c>
      <c r="I42" s="709">
        <f t="shared" si="31"/>
        <v>0</v>
      </c>
      <c r="J42" s="710">
        <f t="shared" si="32"/>
        <v>0</v>
      </c>
      <c r="K42" s="711" t="str">
        <f t="shared" si="33"/>
        <v>1.33</v>
      </c>
      <c r="L42" s="711" t="str">
        <f t="shared" si="34"/>
        <v>D+</v>
      </c>
      <c r="M42" s="712" t="str">
        <f t="shared" si="35"/>
        <v>0</v>
      </c>
      <c r="N42" s="1812"/>
      <c r="O42" s="1813"/>
      <c r="P42" s="1813"/>
      <c r="Q42" s="1813"/>
      <c r="R42" s="1813"/>
      <c r="S42" s="1813"/>
      <c r="T42" s="1814"/>
      <c r="U42" s="1814"/>
      <c r="V42" s="1814"/>
      <c r="W42" s="1814"/>
      <c r="X42" s="1814"/>
      <c r="Y42" s="1814"/>
      <c r="Z42" s="1922"/>
      <c r="AA42" s="1526"/>
    </row>
    <row r="43" spans="1:27" ht="24.95" customHeight="1" x14ac:dyDescent="0.25">
      <c r="A43" s="1641"/>
      <c r="B43" s="1642">
        <v>5</v>
      </c>
      <c r="C43" s="1643" t="s">
        <v>167</v>
      </c>
      <c r="D43" s="1641"/>
      <c r="E43" s="1189">
        <f>AVERAGE(E37:E42)</f>
        <v>0</v>
      </c>
      <c r="F43" s="1641"/>
      <c r="G43" s="1189" t="e">
        <f>AVEDEV(G37:G42)</f>
        <v>#NUM!</v>
      </c>
      <c r="H43" s="1189">
        <f>AVERAGE(H37:H42)</f>
        <v>0</v>
      </c>
      <c r="I43" s="1644"/>
      <c r="J43" s="350">
        <f>AVERAGE(J37:J42)</f>
        <v>0</v>
      </c>
      <c r="K43" s="350" t="str">
        <f>IF(J43&gt;85,("4"),IF(J43&gt;80,("3.66"),IF(J43&gt;75,("3.33"),IF(J43&gt;70,("3.00"),IF(J43&gt;65,("2.66"),IF(J43&gt;60,("2.33"),IF(J43&gt;55,("2"),IF(J43&gt;50,("1.66"),"1.33"))))))))</f>
        <v>1.33</v>
      </c>
      <c r="L43" s="1645" t="str">
        <f>IF(J43&gt;85,("A"),IF(J43&gt;80,("A-"),IF(J43&gt;75,("B+"),IF(J43&gt;70,("B"),IF(J43&gt;65,("B-"),IF(J43&gt;60,("C+"),IF(J43&gt;55,("C"),IF(J43&gt;50,("C-"),"D+"))))))))</f>
        <v>D+</v>
      </c>
      <c r="M43" s="1646" t="str">
        <f>IF(J43&gt;85,("A"),IF(J43&gt;80,("A-"),IF(J43&gt;75,("B+"),IF(J43&gt;70,("B"),IF(J43&gt;65,("B-"),IF(J43&gt;60,("C+"),IF(J43&gt;55,("C"),IF(J43&gt;50,("C-"),"D+"))))))))</f>
        <v>D+</v>
      </c>
      <c r="N43" s="1917"/>
      <c r="O43" s="1918"/>
      <c r="P43" s="1918"/>
      <c r="Q43" s="1918"/>
      <c r="R43" s="1918"/>
      <c r="S43" s="1918"/>
      <c r="T43" s="1918"/>
      <c r="U43" s="1918"/>
      <c r="V43" s="1918"/>
      <c r="W43" s="1918"/>
      <c r="X43" s="1918"/>
      <c r="Y43" s="1918"/>
      <c r="Z43" s="1923"/>
      <c r="AA43" s="1924"/>
    </row>
    <row r="44" spans="1:27" ht="24.95" customHeight="1" x14ac:dyDescent="0.3">
      <c r="A44" s="360">
        <v>6</v>
      </c>
      <c r="B44" s="683"/>
      <c r="C44" s="1625" t="str">
        <f>VLOOKUP(A44,data_siswa,4,FALSE)</f>
        <v>Asyam Hanif Ihsan H</v>
      </c>
      <c r="D44" s="1626" t="s">
        <v>7</v>
      </c>
      <c r="E44" s="1891">
        <f>VLOOKUP(A44,UHT_AGM,24,FALSE)</f>
        <v>0</v>
      </c>
      <c r="F44" s="1904">
        <f>E44*2</f>
        <v>0</v>
      </c>
      <c r="G44" s="1891"/>
      <c r="H44" s="1627">
        <f>VLOOKUP(A44,an_agm,49,FALSE)</f>
        <v>0</v>
      </c>
      <c r="I44" s="706">
        <f>F44+G44+H44</f>
        <v>0</v>
      </c>
      <c r="J44" s="707">
        <f>(F44+G44+H44)/4</f>
        <v>0</v>
      </c>
      <c r="K44" s="708" t="str">
        <f>IF(J44&gt;85,("4"),IF(J44&gt;80,("3.66"),IF(J44&gt;75,("3.33"),IF(J44&gt;70,("3.00"),IF(J44&gt;65,("2.66"),IF(J44&gt;60,("2.33"),IF(J44&gt;55,("2"),IF(J44&gt;50,("1.66"),"1.33"))))))))</f>
        <v>1.33</v>
      </c>
      <c r="L44" s="708" t="str">
        <f>IF(J44&gt;85,("A"),IF(J44&gt;80,("A-"),IF(J44&gt;75,("B+"),IF(J44&gt;70,("B"),IF(J44&gt;65,("B-"),IF(J44&gt;60,("C+"),IF(J44&gt;55,("C"),IF(J44&gt;50,("C-"),"D+"))))))))</f>
        <v>D+</v>
      </c>
      <c r="M44" s="887" t="str">
        <f>IF(J44&gt;80,("SB"),IF(J44&gt;65,("B"),IF(J44&gt;50,("C"),IF(J44&gt;0,("K"),"0"))))</f>
        <v>0</v>
      </c>
      <c r="N44" s="1628"/>
      <c r="O44" s="1602"/>
      <c r="P44" s="1602"/>
      <c r="Q44" s="1602"/>
      <c r="R44" s="1602"/>
      <c r="S44" s="1602"/>
      <c r="T44" s="1629"/>
      <c r="U44" s="1629"/>
      <c r="V44" s="1629"/>
      <c r="W44" s="1629"/>
      <c r="X44" s="1629"/>
      <c r="Y44" s="1629"/>
      <c r="Z44" s="1193">
        <f>J50</f>
        <v>0</v>
      </c>
      <c r="AA44" s="1919" t="str">
        <f>L50</f>
        <v>D+</v>
      </c>
    </row>
    <row r="45" spans="1:27" ht="24.95" customHeight="1" x14ac:dyDescent="0.3">
      <c r="A45" s="687"/>
      <c r="B45" s="683"/>
      <c r="C45" s="1630"/>
      <c r="D45" s="1626" t="s">
        <v>18</v>
      </c>
      <c r="E45" s="1891">
        <f>VLOOKUP(A44,UHT_AGM,25,FALSE)</f>
        <v>0</v>
      </c>
      <c r="F45" s="1905">
        <f t="shared" ref="F45:F49" si="36">E45*2</f>
        <v>0</v>
      </c>
      <c r="G45" s="1891"/>
      <c r="H45" s="1627">
        <f>VLOOKUP(A44,an_agm,50,FALSE)</f>
        <v>0</v>
      </c>
      <c r="I45" s="709">
        <f t="shared" ref="I45:I49" si="37">F45+G45+H45</f>
        <v>0</v>
      </c>
      <c r="J45" s="710">
        <f t="shared" ref="J45:J49" si="38">(F45+G45+H45)/4</f>
        <v>0</v>
      </c>
      <c r="K45" s="711" t="str">
        <f t="shared" ref="K45:K49" si="39">IF(J45&gt;85,("4"),IF(J45&gt;80,("3.66"),IF(J45&gt;75,("3.33"),IF(J45&gt;70,("3.00"),IF(J45&gt;65,("2.66"),IF(J45&gt;60,("2.33"),IF(J45&gt;55,("2"),IF(J45&gt;50,("1.66"),"1.33"))))))))</f>
        <v>1.33</v>
      </c>
      <c r="L45" s="711" t="str">
        <f t="shared" ref="L45:L49" si="40">IF(J45&gt;85,("A"),IF(J45&gt;80,("A-"),IF(J45&gt;75,("B+"),IF(J45&gt;70,("B"),IF(J45&gt;65,("B-"),IF(J45&gt;60,("C+"),IF(J45&gt;55,("C"),IF(J45&gt;50,("C-"),"D+"))))))))</f>
        <v>D+</v>
      </c>
      <c r="M45" s="712" t="str">
        <f t="shared" ref="M45:M49" si="41">IF(J45&gt;80,("SB"),IF(J45&gt;65,("B"),IF(J45&gt;50,("C"),IF(J45&gt;0,("K"),"0"))))</f>
        <v>0</v>
      </c>
      <c r="N45" s="1631"/>
      <c r="O45" s="1632"/>
      <c r="P45" s="1632"/>
      <c r="Q45" s="1632"/>
      <c r="R45" s="1632"/>
      <c r="S45" s="1632"/>
      <c r="T45" s="1633"/>
      <c r="U45" s="1633"/>
      <c r="V45" s="1633"/>
      <c r="W45" s="1633"/>
      <c r="X45" s="1633"/>
      <c r="Y45" s="1633"/>
      <c r="Z45" s="1920"/>
      <c r="AA45" s="1522"/>
    </row>
    <row r="46" spans="1:27" ht="24.95" customHeight="1" x14ac:dyDescent="0.3">
      <c r="A46" s="687"/>
      <c r="B46" s="683"/>
      <c r="C46" s="1630"/>
      <c r="D46" s="1626" t="s">
        <v>179</v>
      </c>
      <c r="E46" s="1891">
        <f>VLOOKUP(A44,UHT_AGM,26,FALSE)</f>
        <v>0</v>
      </c>
      <c r="F46" s="1905">
        <f t="shared" si="36"/>
        <v>0</v>
      </c>
      <c r="G46" s="1891"/>
      <c r="H46" s="1627">
        <f>VLOOKUP(A44,an_agm,51,FALSE)</f>
        <v>0</v>
      </c>
      <c r="I46" s="709">
        <f t="shared" si="37"/>
        <v>0</v>
      </c>
      <c r="J46" s="710">
        <f t="shared" si="38"/>
        <v>0</v>
      </c>
      <c r="K46" s="711" t="str">
        <f t="shared" si="39"/>
        <v>1.33</v>
      </c>
      <c r="L46" s="711" t="str">
        <f t="shared" si="40"/>
        <v>D+</v>
      </c>
      <c r="M46" s="712" t="str">
        <f t="shared" si="41"/>
        <v>0</v>
      </c>
      <c r="N46" s="1634"/>
      <c r="O46" s="1635"/>
      <c r="P46" s="1635"/>
      <c r="Q46" s="1635"/>
      <c r="R46" s="1635"/>
      <c r="S46" s="1635"/>
      <c r="T46" s="1636"/>
      <c r="U46" s="1636"/>
      <c r="V46" s="1636"/>
      <c r="W46" s="1636"/>
      <c r="X46" s="1636"/>
      <c r="Y46" s="1636"/>
      <c r="Z46" s="1921"/>
      <c r="AA46" s="1524"/>
    </row>
    <row r="47" spans="1:27" ht="24.95" customHeight="1" x14ac:dyDescent="0.3">
      <c r="A47" s="687"/>
      <c r="B47" s="683"/>
      <c r="C47" s="1630"/>
      <c r="D47" s="1626" t="s">
        <v>180</v>
      </c>
      <c r="E47" s="1891">
        <f>VLOOKUP(A44,UHT_AGM,27,FALSE)</f>
        <v>0</v>
      </c>
      <c r="F47" s="1905">
        <f t="shared" si="36"/>
        <v>0</v>
      </c>
      <c r="G47" s="1891"/>
      <c r="H47" s="1627">
        <f>VLOOKUP(A44,an_agm,52,FALSE)</f>
        <v>0</v>
      </c>
      <c r="I47" s="709">
        <f t="shared" si="37"/>
        <v>0</v>
      </c>
      <c r="J47" s="710">
        <f t="shared" si="38"/>
        <v>0</v>
      </c>
      <c r="K47" s="711" t="str">
        <f t="shared" si="39"/>
        <v>1.33</v>
      </c>
      <c r="L47" s="711" t="str">
        <f t="shared" si="40"/>
        <v>D+</v>
      </c>
      <c r="M47" s="712" t="str">
        <f t="shared" si="41"/>
        <v>0</v>
      </c>
      <c r="N47" s="1634"/>
      <c r="O47" s="1635"/>
      <c r="P47" s="1635"/>
      <c r="Q47" s="1635"/>
      <c r="R47" s="1635"/>
      <c r="S47" s="1635"/>
      <c r="T47" s="1636"/>
      <c r="U47" s="1636"/>
      <c r="V47" s="1636"/>
      <c r="W47" s="1636"/>
      <c r="X47" s="1636"/>
      <c r="Y47" s="1636"/>
      <c r="Z47" s="1921"/>
      <c r="AA47" s="1524"/>
    </row>
    <row r="48" spans="1:27" ht="24.95" customHeight="1" x14ac:dyDescent="0.3">
      <c r="A48" s="1637"/>
      <c r="B48" s="360"/>
      <c r="C48" s="1630"/>
      <c r="D48" s="1626" t="s">
        <v>19</v>
      </c>
      <c r="E48" s="1891">
        <f>VLOOKUP(A44,UHT_AGM,28,FALSE)</f>
        <v>0</v>
      </c>
      <c r="F48" s="1905">
        <f t="shared" si="36"/>
        <v>0</v>
      </c>
      <c r="G48" s="1891"/>
      <c r="H48" s="1627">
        <f>VLOOKUP(A44,an_agm,53,FALSE)</f>
        <v>0</v>
      </c>
      <c r="I48" s="709">
        <f t="shared" si="37"/>
        <v>0</v>
      </c>
      <c r="J48" s="710">
        <f t="shared" si="38"/>
        <v>0</v>
      </c>
      <c r="K48" s="711" t="str">
        <f t="shared" si="39"/>
        <v>1.33</v>
      </c>
      <c r="L48" s="711" t="str">
        <f t="shared" si="40"/>
        <v>D+</v>
      </c>
      <c r="M48" s="712" t="str">
        <f t="shared" si="41"/>
        <v>0</v>
      </c>
      <c r="N48" s="1638"/>
      <c r="O48" s="1639"/>
      <c r="P48" s="1639"/>
      <c r="Q48" s="1639"/>
      <c r="R48" s="1639"/>
      <c r="S48" s="1639"/>
      <c r="T48" s="1640"/>
      <c r="U48" s="1640"/>
      <c r="V48" s="1640"/>
      <c r="W48" s="1640"/>
      <c r="X48" s="1640"/>
      <c r="Y48" s="1640"/>
      <c r="Z48" s="1921"/>
      <c r="AA48" s="1524"/>
    </row>
    <row r="49" spans="1:27" ht="24.95" customHeight="1" x14ac:dyDescent="0.3">
      <c r="A49" s="1637"/>
      <c r="B49" s="360"/>
      <c r="C49" s="1630"/>
      <c r="D49" s="1626" t="s">
        <v>181</v>
      </c>
      <c r="E49" s="1891">
        <f>VLOOKUP(A44,UHT_AGM,30,FALSE)</f>
        <v>0</v>
      </c>
      <c r="F49" s="1905">
        <f t="shared" si="36"/>
        <v>0</v>
      </c>
      <c r="G49" s="1891"/>
      <c r="H49" s="1627">
        <f>VLOOKUP(A44,an_agm,54,FALSE)</f>
        <v>0</v>
      </c>
      <c r="I49" s="709">
        <f t="shared" si="37"/>
        <v>0</v>
      </c>
      <c r="J49" s="710">
        <f t="shared" si="38"/>
        <v>0</v>
      </c>
      <c r="K49" s="711" t="str">
        <f t="shared" si="39"/>
        <v>1.33</v>
      </c>
      <c r="L49" s="711" t="str">
        <f t="shared" si="40"/>
        <v>D+</v>
      </c>
      <c r="M49" s="712" t="str">
        <f t="shared" si="41"/>
        <v>0</v>
      </c>
      <c r="N49" s="1812"/>
      <c r="O49" s="1813"/>
      <c r="P49" s="1813"/>
      <c r="Q49" s="1813"/>
      <c r="R49" s="1813"/>
      <c r="S49" s="1813"/>
      <c r="T49" s="1814"/>
      <c r="U49" s="1814"/>
      <c r="V49" s="1814"/>
      <c r="W49" s="1814"/>
      <c r="X49" s="1814"/>
      <c r="Y49" s="1814"/>
      <c r="Z49" s="1922"/>
      <c r="AA49" s="1526"/>
    </row>
    <row r="50" spans="1:27" ht="24.95" customHeight="1" x14ac:dyDescent="0.25">
      <c r="A50" s="1641"/>
      <c r="B50" s="1642">
        <v>6</v>
      </c>
      <c r="C50" s="1643" t="s">
        <v>167</v>
      </c>
      <c r="D50" s="1641"/>
      <c r="E50" s="1189">
        <f>AVERAGE(E44:E49)</f>
        <v>0</v>
      </c>
      <c r="F50" s="1641"/>
      <c r="G50" s="1189" t="e">
        <f>AVEDEV(G44:G49)</f>
        <v>#NUM!</v>
      </c>
      <c r="H50" s="1189">
        <f>AVERAGE(H44:H49)</f>
        <v>0</v>
      </c>
      <c r="I50" s="1644"/>
      <c r="J50" s="350">
        <f>AVERAGE(J44:J49)</f>
        <v>0</v>
      </c>
      <c r="K50" s="350" t="str">
        <f>IF(J50&gt;85,("4"),IF(J50&gt;80,("3.66"),IF(J50&gt;75,("3.33"),IF(J50&gt;70,("3.00"),IF(J50&gt;65,("2.66"),IF(J50&gt;60,("2.33"),IF(J50&gt;55,("2"),IF(J50&gt;50,("1.66"),"1.33"))))))))</f>
        <v>1.33</v>
      </c>
      <c r="L50" s="1645" t="str">
        <f>IF(J50&gt;85,("A"),IF(J50&gt;80,("A-"),IF(J50&gt;75,("B+"),IF(J50&gt;70,("B"),IF(J50&gt;65,("B-"),IF(J50&gt;60,("C+"),IF(J50&gt;55,("C"),IF(J50&gt;50,("C-"),"D+"))))))))</f>
        <v>D+</v>
      </c>
      <c r="M50" s="1646" t="str">
        <f>IF(J50&gt;85,("A"),IF(J50&gt;80,("A-"),IF(J50&gt;75,("B+"),IF(J50&gt;70,("B"),IF(J50&gt;65,("B-"),IF(J50&gt;60,("C+"),IF(J50&gt;55,("C"),IF(J50&gt;50,("C-"),"D+"))))))))</f>
        <v>D+</v>
      </c>
      <c r="N50" s="1917"/>
      <c r="O50" s="1918"/>
      <c r="P50" s="1918"/>
      <c r="Q50" s="1918"/>
      <c r="R50" s="1918"/>
      <c r="S50" s="1918"/>
      <c r="T50" s="1918"/>
      <c r="U50" s="1918"/>
      <c r="V50" s="1918"/>
      <c r="W50" s="1918"/>
      <c r="X50" s="1918"/>
      <c r="Y50" s="1918"/>
      <c r="Z50" s="1923"/>
      <c r="AA50" s="1924"/>
    </row>
    <row r="51" spans="1:27" ht="24.95" customHeight="1" x14ac:dyDescent="0.3">
      <c r="A51" s="360">
        <v>7</v>
      </c>
      <c r="B51" s="683"/>
      <c r="C51" s="1625" t="str">
        <f>VLOOKUP(A51,data_siswa,4,FALSE)</f>
        <v>Athaya Salsabilla Z</v>
      </c>
      <c r="D51" s="1626" t="s">
        <v>7</v>
      </c>
      <c r="E51" s="1891">
        <f>VLOOKUP(A51,UHT_AGM,24,FALSE)</f>
        <v>0</v>
      </c>
      <c r="F51" s="1904">
        <f>E51*2</f>
        <v>0</v>
      </c>
      <c r="G51" s="1891"/>
      <c r="H51" s="1627">
        <f>VLOOKUP(A51,an_agm,49,FALSE)</f>
        <v>0</v>
      </c>
      <c r="I51" s="706">
        <f>F51+G51+H51</f>
        <v>0</v>
      </c>
      <c r="J51" s="707">
        <f>(F51+G51+H51)/4</f>
        <v>0</v>
      </c>
      <c r="K51" s="708" t="str">
        <f>IF(J51&gt;85,("4"),IF(J51&gt;80,("3.66"),IF(J51&gt;75,("3.33"),IF(J51&gt;70,("3.00"),IF(J51&gt;65,("2.66"),IF(J51&gt;60,("2.33"),IF(J51&gt;55,("2"),IF(J51&gt;50,("1.66"),"1.33"))))))))</f>
        <v>1.33</v>
      </c>
      <c r="L51" s="708" t="str">
        <f>IF(J51&gt;85,("A"),IF(J51&gt;80,("A-"),IF(J51&gt;75,("B+"),IF(J51&gt;70,("B"),IF(J51&gt;65,("B-"),IF(J51&gt;60,("C+"),IF(J51&gt;55,("C"),IF(J51&gt;50,("C-"),"D+"))))))))</f>
        <v>D+</v>
      </c>
      <c r="M51" s="887" t="str">
        <f>IF(J51&gt;80,("SB"),IF(J51&gt;65,("B"),IF(J51&gt;50,("C"),IF(J51&gt;0,("K"),"0"))))</f>
        <v>0</v>
      </c>
      <c r="N51" s="1628"/>
      <c r="O51" s="1602"/>
      <c r="P51" s="1602"/>
      <c r="Q51" s="1602"/>
      <c r="R51" s="1602"/>
      <c r="S51" s="1602"/>
      <c r="T51" s="1629"/>
      <c r="U51" s="1629"/>
      <c r="V51" s="1629"/>
      <c r="W51" s="1629"/>
      <c r="X51" s="1629"/>
      <c r="Y51" s="1629"/>
      <c r="Z51" s="1193">
        <f>J57</f>
        <v>0</v>
      </c>
      <c r="AA51" s="1919" t="str">
        <f>L57</f>
        <v>D+</v>
      </c>
    </row>
    <row r="52" spans="1:27" ht="24.95" customHeight="1" x14ac:dyDescent="0.3">
      <c r="A52" s="687"/>
      <c r="B52" s="683"/>
      <c r="C52" s="1630"/>
      <c r="D52" s="1626" t="s">
        <v>18</v>
      </c>
      <c r="E52" s="1891">
        <f>VLOOKUP(A51,UHT_AGM,25,FALSE)</f>
        <v>0</v>
      </c>
      <c r="F52" s="1905">
        <f t="shared" ref="F52:F56" si="42">E52*2</f>
        <v>0</v>
      </c>
      <c r="G52" s="1891"/>
      <c r="H52" s="1627">
        <f>VLOOKUP(A51,an_agm,50,FALSE)</f>
        <v>0</v>
      </c>
      <c r="I52" s="709">
        <f t="shared" ref="I52:I56" si="43">F52+G52+H52</f>
        <v>0</v>
      </c>
      <c r="J52" s="710">
        <f t="shared" ref="J52:J56" si="44">(F52+G52+H52)/4</f>
        <v>0</v>
      </c>
      <c r="K52" s="711" t="str">
        <f t="shared" ref="K52:K56" si="45">IF(J52&gt;85,("4"),IF(J52&gt;80,("3.66"),IF(J52&gt;75,("3.33"),IF(J52&gt;70,("3.00"),IF(J52&gt;65,("2.66"),IF(J52&gt;60,("2.33"),IF(J52&gt;55,("2"),IF(J52&gt;50,("1.66"),"1.33"))))))))</f>
        <v>1.33</v>
      </c>
      <c r="L52" s="711" t="str">
        <f t="shared" ref="L52:L56" si="46">IF(J52&gt;85,("A"),IF(J52&gt;80,("A-"),IF(J52&gt;75,("B+"),IF(J52&gt;70,("B"),IF(J52&gt;65,("B-"),IF(J52&gt;60,("C+"),IF(J52&gt;55,("C"),IF(J52&gt;50,("C-"),"D+"))))))))</f>
        <v>D+</v>
      </c>
      <c r="M52" s="712" t="str">
        <f t="shared" ref="M52:M56" si="47">IF(J52&gt;80,("SB"),IF(J52&gt;65,("B"),IF(J52&gt;50,("C"),IF(J52&gt;0,("K"),"0"))))</f>
        <v>0</v>
      </c>
      <c r="N52" s="1631"/>
      <c r="O52" s="1632"/>
      <c r="P52" s="1632"/>
      <c r="Q52" s="1632"/>
      <c r="R52" s="1632"/>
      <c r="S52" s="1632"/>
      <c r="T52" s="1633"/>
      <c r="U52" s="1633"/>
      <c r="V52" s="1633"/>
      <c r="W52" s="1633"/>
      <c r="X52" s="1633"/>
      <c r="Y52" s="1633"/>
      <c r="Z52" s="1920"/>
      <c r="AA52" s="1522"/>
    </row>
    <row r="53" spans="1:27" ht="24.95" customHeight="1" x14ac:dyDescent="0.3">
      <c r="A53" s="687"/>
      <c r="B53" s="683"/>
      <c r="C53" s="1630"/>
      <c r="D53" s="1626" t="s">
        <v>179</v>
      </c>
      <c r="E53" s="1891">
        <f>VLOOKUP(A51,UHT_AGM,26,FALSE)</f>
        <v>0</v>
      </c>
      <c r="F53" s="1905">
        <f t="shared" si="42"/>
        <v>0</v>
      </c>
      <c r="G53" s="1891"/>
      <c r="H53" s="1627">
        <f>VLOOKUP(A51,an_agm,51,FALSE)</f>
        <v>0</v>
      </c>
      <c r="I53" s="709">
        <f t="shared" si="43"/>
        <v>0</v>
      </c>
      <c r="J53" s="710">
        <f t="shared" si="44"/>
        <v>0</v>
      </c>
      <c r="K53" s="711" t="str">
        <f t="shared" si="45"/>
        <v>1.33</v>
      </c>
      <c r="L53" s="711" t="str">
        <f t="shared" si="46"/>
        <v>D+</v>
      </c>
      <c r="M53" s="712" t="str">
        <f t="shared" si="47"/>
        <v>0</v>
      </c>
      <c r="N53" s="1634"/>
      <c r="O53" s="1635"/>
      <c r="P53" s="1635"/>
      <c r="Q53" s="1635"/>
      <c r="R53" s="1635"/>
      <c r="S53" s="1635"/>
      <c r="T53" s="1636"/>
      <c r="U53" s="1636"/>
      <c r="V53" s="1636"/>
      <c r="W53" s="1636"/>
      <c r="X53" s="1636"/>
      <c r="Y53" s="1636"/>
      <c r="Z53" s="1921"/>
      <c r="AA53" s="1524"/>
    </row>
    <row r="54" spans="1:27" ht="24.95" customHeight="1" x14ac:dyDescent="0.3">
      <c r="A54" s="687"/>
      <c r="B54" s="683"/>
      <c r="C54" s="1630"/>
      <c r="D54" s="1626" t="s">
        <v>180</v>
      </c>
      <c r="E54" s="1891">
        <f>VLOOKUP(A51,UHT_AGM,27,FALSE)</f>
        <v>0</v>
      </c>
      <c r="F54" s="1905">
        <f t="shared" si="42"/>
        <v>0</v>
      </c>
      <c r="G54" s="1891"/>
      <c r="H54" s="1627">
        <f>VLOOKUP(A51,an_agm,52,FALSE)</f>
        <v>0</v>
      </c>
      <c r="I54" s="709">
        <f t="shared" si="43"/>
        <v>0</v>
      </c>
      <c r="J54" s="710">
        <f t="shared" si="44"/>
        <v>0</v>
      </c>
      <c r="K54" s="711" t="str">
        <f t="shared" si="45"/>
        <v>1.33</v>
      </c>
      <c r="L54" s="711" t="str">
        <f t="shared" si="46"/>
        <v>D+</v>
      </c>
      <c r="M54" s="712" t="str">
        <f t="shared" si="47"/>
        <v>0</v>
      </c>
      <c r="N54" s="1634"/>
      <c r="O54" s="1635"/>
      <c r="P54" s="1635"/>
      <c r="Q54" s="1635"/>
      <c r="R54" s="1635"/>
      <c r="S54" s="1635"/>
      <c r="T54" s="1636"/>
      <c r="U54" s="1636"/>
      <c r="V54" s="1636"/>
      <c r="W54" s="1636"/>
      <c r="X54" s="1636"/>
      <c r="Y54" s="1636"/>
      <c r="Z54" s="1921"/>
      <c r="AA54" s="1524"/>
    </row>
    <row r="55" spans="1:27" ht="24.95" customHeight="1" x14ac:dyDescent="0.3">
      <c r="A55" s="1637"/>
      <c r="B55" s="360"/>
      <c r="C55" s="1630"/>
      <c r="D55" s="1626" t="s">
        <v>19</v>
      </c>
      <c r="E55" s="1891">
        <f>VLOOKUP(A51,UHT_AGM,28,FALSE)</f>
        <v>0</v>
      </c>
      <c r="F55" s="1905">
        <f t="shared" si="42"/>
        <v>0</v>
      </c>
      <c r="G55" s="1891"/>
      <c r="H55" s="1627">
        <f>VLOOKUP(A51,an_agm,53,FALSE)</f>
        <v>0</v>
      </c>
      <c r="I55" s="709">
        <f t="shared" si="43"/>
        <v>0</v>
      </c>
      <c r="J55" s="710">
        <f t="shared" si="44"/>
        <v>0</v>
      </c>
      <c r="K55" s="711" t="str">
        <f t="shared" si="45"/>
        <v>1.33</v>
      </c>
      <c r="L55" s="711" t="str">
        <f t="shared" si="46"/>
        <v>D+</v>
      </c>
      <c r="M55" s="712" t="str">
        <f t="shared" si="47"/>
        <v>0</v>
      </c>
      <c r="N55" s="1638"/>
      <c r="O55" s="1639"/>
      <c r="P55" s="1639"/>
      <c r="Q55" s="1639"/>
      <c r="R55" s="1639"/>
      <c r="S55" s="1639"/>
      <c r="T55" s="1640"/>
      <c r="U55" s="1640"/>
      <c r="V55" s="1640"/>
      <c r="W55" s="1640"/>
      <c r="X55" s="1640"/>
      <c r="Y55" s="1640"/>
      <c r="Z55" s="1921"/>
      <c r="AA55" s="1524"/>
    </row>
    <row r="56" spans="1:27" ht="24.95" customHeight="1" x14ac:dyDescent="0.3">
      <c r="A56" s="1637"/>
      <c r="B56" s="360"/>
      <c r="C56" s="1630"/>
      <c r="D56" s="1626" t="s">
        <v>181</v>
      </c>
      <c r="E56" s="1891">
        <f>VLOOKUP(A51,UHT_AGM,30,FALSE)</f>
        <v>0</v>
      </c>
      <c r="F56" s="1905">
        <f t="shared" si="42"/>
        <v>0</v>
      </c>
      <c r="G56" s="1891"/>
      <c r="H56" s="1627">
        <f>VLOOKUP(A51,an_agm,54,FALSE)</f>
        <v>0</v>
      </c>
      <c r="I56" s="709">
        <f t="shared" si="43"/>
        <v>0</v>
      </c>
      <c r="J56" s="710">
        <f t="shared" si="44"/>
        <v>0</v>
      </c>
      <c r="K56" s="711" t="str">
        <f t="shared" si="45"/>
        <v>1.33</v>
      </c>
      <c r="L56" s="711" t="str">
        <f t="shared" si="46"/>
        <v>D+</v>
      </c>
      <c r="M56" s="712" t="str">
        <f t="shared" si="47"/>
        <v>0</v>
      </c>
      <c r="N56" s="1812"/>
      <c r="O56" s="1813"/>
      <c r="P56" s="1813"/>
      <c r="Q56" s="1813"/>
      <c r="R56" s="1813"/>
      <c r="S56" s="1813"/>
      <c r="T56" s="1814"/>
      <c r="U56" s="1814"/>
      <c r="V56" s="1814"/>
      <c r="W56" s="1814"/>
      <c r="X56" s="1814"/>
      <c r="Y56" s="1814"/>
      <c r="Z56" s="1922"/>
      <c r="AA56" s="1526"/>
    </row>
    <row r="57" spans="1:27" ht="24.95" customHeight="1" x14ac:dyDescent="0.25">
      <c r="A57" s="1641"/>
      <c r="B57" s="1642">
        <v>7</v>
      </c>
      <c r="C57" s="1643" t="s">
        <v>167</v>
      </c>
      <c r="D57" s="1641"/>
      <c r="E57" s="1189">
        <f>AVERAGE(E51:E56)</f>
        <v>0</v>
      </c>
      <c r="F57" s="1641"/>
      <c r="G57" s="1189" t="e">
        <f>AVEDEV(G51:G56)</f>
        <v>#NUM!</v>
      </c>
      <c r="H57" s="1189">
        <f>AVERAGE(H51:H56)</f>
        <v>0</v>
      </c>
      <c r="I57" s="1644"/>
      <c r="J57" s="350">
        <f>AVERAGE(J51:J56)</f>
        <v>0</v>
      </c>
      <c r="K57" s="350" t="str">
        <f>IF(J57&gt;85,("4"),IF(J57&gt;80,("3.66"),IF(J57&gt;75,("3.33"),IF(J57&gt;70,("3.00"),IF(J57&gt;65,("2.66"),IF(J57&gt;60,("2.33"),IF(J57&gt;55,("2"),IF(J57&gt;50,("1.66"),"1.33"))))))))</f>
        <v>1.33</v>
      </c>
      <c r="L57" s="1645" t="str">
        <f>IF(J57&gt;85,("A"),IF(J57&gt;80,("A-"),IF(J57&gt;75,("B+"),IF(J57&gt;70,("B"),IF(J57&gt;65,("B-"),IF(J57&gt;60,("C+"),IF(J57&gt;55,("C"),IF(J57&gt;50,("C-"),"D+"))))))))</f>
        <v>D+</v>
      </c>
      <c r="M57" s="1646" t="str">
        <f>IF(J57&gt;85,("A"),IF(J57&gt;80,("A-"),IF(J57&gt;75,("B+"),IF(J57&gt;70,("B"),IF(J57&gt;65,("B-"),IF(J57&gt;60,("C+"),IF(J57&gt;55,("C"),IF(J57&gt;50,("C-"),"D+"))))))))</f>
        <v>D+</v>
      </c>
      <c r="N57" s="1917"/>
      <c r="O57" s="1918"/>
      <c r="P57" s="1918"/>
      <c r="Q57" s="1918"/>
      <c r="R57" s="1918"/>
      <c r="S57" s="1918"/>
      <c r="T57" s="1918"/>
      <c r="U57" s="1918"/>
      <c r="V57" s="1918"/>
      <c r="W57" s="1918"/>
      <c r="X57" s="1918"/>
      <c r="Y57" s="1918"/>
      <c r="Z57" s="1923"/>
      <c r="AA57" s="1924"/>
    </row>
    <row r="58" spans="1:27" ht="24.95" customHeight="1" x14ac:dyDescent="0.3">
      <c r="A58" s="360">
        <v>8</v>
      </c>
      <c r="B58" s="683"/>
      <c r="C58" s="1625" t="str">
        <f>VLOOKUP(A58,data_siswa,4,FALSE)</f>
        <v>Aulia Dea Rosalinda</v>
      </c>
      <c r="D58" s="1626" t="s">
        <v>7</v>
      </c>
      <c r="E58" s="1891">
        <f>VLOOKUP(A58,UHT_AGM,24,FALSE)</f>
        <v>0</v>
      </c>
      <c r="F58" s="1904">
        <f>E58*2</f>
        <v>0</v>
      </c>
      <c r="G58" s="1891"/>
      <c r="H58" s="1627">
        <f>VLOOKUP(A58,an_agm,49,FALSE)</f>
        <v>0</v>
      </c>
      <c r="I58" s="706">
        <f>F58+G58+H58</f>
        <v>0</v>
      </c>
      <c r="J58" s="707">
        <f>(F58+G58+H58)/4</f>
        <v>0</v>
      </c>
      <c r="K58" s="708" t="str">
        <f>IF(J58&gt;85,("4"),IF(J58&gt;80,("3.66"),IF(J58&gt;75,("3.33"),IF(J58&gt;70,("3.00"),IF(J58&gt;65,("2.66"),IF(J58&gt;60,("2.33"),IF(J58&gt;55,("2"),IF(J58&gt;50,("1.66"),"1.33"))))))))</f>
        <v>1.33</v>
      </c>
      <c r="L58" s="708" t="str">
        <f>IF(J58&gt;85,("A"),IF(J58&gt;80,("A-"),IF(J58&gt;75,("B+"),IF(J58&gt;70,("B"),IF(J58&gt;65,("B-"),IF(J58&gt;60,("C+"),IF(J58&gt;55,("C"),IF(J58&gt;50,("C-"),"D+"))))))))</f>
        <v>D+</v>
      </c>
      <c r="M58" s="887" t="str">
        <f>IF(J58&gt;80,("SB"),IF(J58&gt;65,("B"),IF(J58&gt;50,("C"),IF(J58&gt;0,("K"),"0"))))</f>
        <v>0</v>
      </c>
      <c r="N58" s="1628"/>
      <c r="O58" s="1602"/>
      <c r="P58" s="1602"/>
      <c r="Q58" s="1602"/>
      <c r="R58" s="1602"/>
      <c r="S58" s="1602"/>
      <c r="T58" s="1629"/>
      <c r="U58" s="1629"/>
      <c r="V58" s="1629"/>
      <c r="W58" s="1629"/>
      <c r="X58" s="1629"/>
      <c r="Y58" s="1629"/>
      <c r="Z58" s="1193">
        <f>J64</f>
        <v>0</v>
      </c>
      <c r="AA58" s="1919" t="str">
        <f>L64</f>
        <v>D+</v>
      </c>
    </row>
    <row r="59" spans="1:27" ht="24.95" customHeight="1" x14ac:dyDescent="0.3">
      <c r="A59" s="687"/>
      <c r="B59" s="683"/>
      <c r="C59" s="1630"/>
      <c r="D59" s="1626" t="s">
        <v>18</v>
      </c>
      <c r="E59" s="1891">
        <f>VLOOKUP(A58,UHT_AGM,25,FALSE)</f>
        <v>0</v>
      </c>
      <c r="F59" s="1905">
        <f t="shared" ref="F59:F63" si="48">E59*2</f>
        <v>0</v>
      </c>
      <c r="G59" s="1891"/>
      <c r="H59" s="1627">
        <f>VLOOKUP(A58,an_agm,50,FALSE)</f>
        <v>0</v>
      </c>
      <c r="I59" s="709">
        <f t="shared" ref="I59:I63" si="49">F59+G59+H59</f>
        <v>0</v>
      </c>
      <c r="J59" s="710">
        <f t="shared" ref="J59:J63" si="50">(F59+G59+H59)/4</f>
        <v>0</v>
      </c>
      <c r="K59" s="711" t="str">
        <f t="shared" ref="K59:K63" si="51">IF(J59&gt;85,("4"),IF(J59&gt;80,("3.66"),IF(J59&gt;75,("3.33"),IF(J59&gt;70,("3.00"),IF(J59&gt;65,("2.66"),IF(J59&gt;60,("2.33"),IF(J59&gt;55,("2"),IF(J59&gt;50,("1.66"),"1.33"))))))))</f>
        <v>1.33</v>
      </c>
      <c r="L59" s="711" t="str">
        <f t="shared" ref="L59:L63" si="52">IF(J59&gt;85,("A"),IF(J59&gt;80,("A-"),IF(J59&gt;75,("B+"),IF(J59&gt;70,("B"),IF(J59&gt;65,("B-"),IF(J59&gt;60,("C+"),IF(J59&gt;55,("C"),IF(J59&gt;50,("C-"),"D+"))))))))</f>
        <v>D+</v>
      </c>
      <c r="M59" s="712" t="str">
        <f t="shared" ref="M59:M63" si="53">IF(J59&gt;80,("SB"),IF(J59&gt;65,("B"),IF(J59&gt;50,("C"),IF(J59&gt;0,("K"),"0"))))</f>
        <v>0</v>
      </c>
      <c r="N59" s="1631"/>
      <c r="O59" s="1632"/>
      <c r="P59" s="1632"/>
      <c r="Q59" s="1632"/>
      <c r="R59" s="1632"/>
      <c r="S59" s="1632"/>
      <c r="T59" s="1633"/>
      <c r="U59" s="1633"/>
      <c r="V59" s="1633"/>
      <c r="W59" s="1633"/>
      <c r="X59" s="1633"/>
      <c r="Y59" s="1633"/>
      <c r="Z59" s="1920"/>
      <c r="AA59" s="1522"/>
    </row>
    <row r="60" spans="1:27" ht="24.95" customHeight="1" x14ac:dyDescent="0.3">
      <c r="A60" s="687"/>
      <c r="B60" s="683"/>
      <c r="C60" s="1630"/>
      <c r="D60" s="1626" t="s">
        <v>179</v>
      </c>
      <c r="E60" s="1891">
        <f>VLOOKUP(A58,UHT_AGM,26,FALSE)</f>
        <v>0</v>
      </c>
      <c r="F60" s="1905">
        <f t="shared" si="48"/>
        <v>0</v>
      </c>
      <c r="G60" s="1891"/>
      <c r="H60" s="1627">
        <f>VLOOKUP(A58,an_agm,51,FALSE)</f>
        <v>0</v>
      </c>
      <c r="I60" s="709">
        <f t="shared" si="49"/>
        <v>0</v>
      </c>
      <c r="J60" s="710">
        <f t="shared" si="50"/>
        <v>0</v>
      </c>
      <c r="K60" s="711" t="str">
        <f t="shared" si="51"/>
        <v>1.33</v>
      </c>
      <c r="L60" s="711" t="str">
        <f t="shared" si="52"/>
        <v>D+</v>
      </c>
      <c r="M60" s="712" t="str">
        <f t="shared" si="53"/>
        <v>0</v>
      </c>
      <c r="N60" s="1634"/>
      <c r="O60" s="1635"/>
      <c r="P60" s="1635"/>
      <c r="Q60" s="1635"/>
      <c r="R60" s="1635"/>
      <c r="S60" s="1635"/>
      <c r="T60" s="1636"/>
      <c r="U60" s="1636"/>
      <c r="V60" s="1636"/>
      <c r="W60" s="1636"/>
      <c r="X60" s="1636"/>
      <c r="Y60" s="1636"/>
      <c r="Z60" s="1921"/>
      <c r="AA60" s="1524"/>
    </row>
    <row r="61" spans="1:27" ht="24.95" customHeight="1" x14ac:dyDescent="0.3">
      <c r="A61" s="687"/>
      <c r="B61" s="683"/>
      <c r="C61" s="1630"/>
      <c r="D61" s="1626" t="s">
        <v>180</v>
      </c>
      <c r="E61" s="1891">
        <f>VLOOKUP(A58,UHT_AGM,27,FALSE)</f>
        <v>0</v>
      </c>
      <c r="F61" s="1905">
        <f t="shared" si="48"/>
        <v>0</v>
      </c>
      <c r="G61" s="1891"/>
      <c r="H61" s="1627">
        <f>VLOOKUP(A58,an_agm,52,FALSE)</f>
        <v>0</v>
      </c>
      <c r="I61" s="709">
        <f t="shared" si="49"/>
        <v>0</v>
      </c>
      <c r="J61" s="710">
        <f t="shared" si="50"/>
        <v>0</v>
      </c>
      <c r="K61" s="711" t="str">
        <f t="shared" si="51"/>
        <v>1.33</v>
      </c>
      <c r="L61" s="711" t="str">
        <f t="shared" si="52"/>
        <v>D+</v>
      </c>
      <c r="M61" s="712" t="str">
        <f t="shared" si="53"/>
        <v>0</v>
      </c>
      <c r="N61" s="1634"/>
      <c r="O61" s="1635"/>
      <c r="P61" s="1635"/>
      <c r="Q61" s="1635"/>
      <c r="R61" s="1635"/>
      <c r="S61" s="1635"/>
      <c r="T61" s="1636"/>
      <c r="U61" s="1636"/>
      <c r="V61" s="1636"/>
      <c r="W61" s="1636"/>
      <c r="X61" s="1636"/>
      <c r="Y61" s="1636"/>
      <c r="Z61" s="1921"/>
      <c r="AA61" s="1524"/>
    </row>
    <row r="62" spans="1:27" ht="24.95" customHeight="1" x14ac:dyDescent="0.3">
      <c r="A62" s="1637"/>
      <c r="B62" s="360"/>
      <c r="C62" s="1630"/>
      <c r="D62" s="1626" t="s">
        <v>19</v>
      </c>
      <c r="E62" s="1891">
        <f>VLOOKUP(A58,UHT_AGM,28,FALSE)</f>
        <v>0</v>
      </c>
      <c r="F62" s="1905">
        <f t="shared" si="48"/>
        <v>0</v>
      </c>
      <c r="G62" s="1891"/>
      <c r="H62" s="1627">
        <f>VLOOKUP(A58,an_agm,53,FALSE)</f>
        <v>0</v>
      </c>
      <c r="I62" s="709">
        <f t="shared" si="49"/>
        <v>0</v>
      </c>
      <c r="J62" s="710">
        <f t="shared" si="50"/>
        <v>0</v>
      </c>
      <c r="K62" s="711" t="str">
        <f t="shared" si="51"/>
        <v>1.33</v>
      </c>
      <c r="L62" s="711" t="str">
        <f t="shared" si="52"/>
        <v>D+</v>
      </c>
      <c r="M62" s="712" t="str">
        <f t="shared" si="53"/>
        <v>0</v>
      </c>
      <c r="N62" s="1638"/>
      <c r="O62" s="1639"/>
      <c r="P62" s="1639"/>
      <c r="Q62" s="1639"/>
      <c r="R62" s="1639"/>
      <c r="S62" s="1639"/>
      <c r="T62" s="1640"/>
      <c r="U62" s="1640"/>
      <c r="V62" s="1640"/>
      <c r="W62" s="1640"/>
      <c r="X62" s="1640"/>
      <c r="Y62" s="1640"/>
      <c r="Z62" s="1921"/>
      <c r="AA62" s="1524"/>
    </row>
    <row r="63" spans="1:27" ht="24.95" customHeight="1" x14ac:dyDescent="0.3">
      <c r="A63" s="1637"/>
      <c r="B63" s="360"/>
      <c r="C63" s="1630"/>
      <c r="D63" s="1626" t="s">
        <v>181</v>
      </c>
      <c r="E63" s="1891">
        <f>VLOOKUP(A58,UHT_AGM,30,FALSE)</f>
        <v>0</v>
      </c>
      <c r="F63" s="1905">
        <f t="shared" si="48"/>
        <v>0</v>
      </c>
      <c r="G63" s="1891"/>
      <c r="H63" s="1627">
        <f>VLOOKUP(A58,an_agm,54,FALSE)</f>
        <v>0</v>
      </c>
      <c r="I63" s="709">
        <f t="shared" si="49"/>
        <v>0</v>
      </c>
      <c r="J63" s="710">
        <f t="shared" si="50"/>
        <v>0</v>
      </c>
      <c r="K63" s="711" t="str">
        <f t="shared" si="51"/>
        <v>1.33</v>
      </c>
      <c r="L63" s="711" t="str">
        <f t="shared" si="52"/>
        <v>D+</v>
      </c>
      <c r="M63" s="712" t="str">
        <f t="shared" si="53"/>
        <v>0</v>
      </c>
      <c r="N63" s="1812"/>
      <c r="O63" s="1813"/>
      <c r="P63" s="1813"/>
      <c r="Q63" s="1813"/>
      <c r="R63" s="1813"/>
      <c r="S63" s="1813"/>
      <c r="T63" s="1814"/>
      <c r="U63" s="1814"/>
      <c r="V63" s="1814"/>
      <c r="W63" s="1814"/>
      <c r="X63" s="1814"/>
      <c r="Y63" s="1814"/>
      <c r="Z63" s="1922"/>
      <c r="AA63" s="1526"/>
    </row>
    <row r="64" spans="1:27" ht="24.95" customHeight="1" x14ac:dyDescent="0.25">
      <c r="A64" s="1641"/>
      <c r="B64" s="1642">
        <v>8</v>
      </c>
      <c r="C64" s="1643" t="s">
        <v>167</v>
      </c>
      <c r="D64" s="1641"/>
      <c r="E64" s="1189">
        <f>AVERAGE(E58:E63)</f>
        <v>0</v>
      </c>
      <c r="F64" s="1641"/>
      <c r="G64" s="1189" t="e">
        <f>AVEDEV(G58:G63)</f>
        <v>#NUM!</v>
      </c>
      <c r="H64" s="1189">
        <f>AVERAGE(H58:H63)</f>
        <v>0</v>
      </c>
      <c r="I64" s="1644"/>
      <c r="J64" s="350">
        <f>AVERAGE(J58:J63)</f>
        <v>0</v>
      </c>
      <c r="K64" s="350" t="str">
        <f>IF(J64&gt;85,("4"),IF(J64&gt;80,("3.66"),IF(J64&gt;75,("3.33"),IF(J64&gt;70,("3.00"),IF(J64&gt;65,("2.66"),IF(J64&gt;60,("2.33"),IF(J64&gt;55,("2"),IF(J64&gt;50,("1.66"),"1.33"))))))))</f>
        <v>1.33</v>
      </c>
      <c r="L64" s="1645" t="str">
        <f>IF(J64&gt;85,("A"),IF(J64&gt;80,("A-"),IF(J64&gt;75,("B+"),IF(J64&gt;70,("B"),IF(J64&gt;65,("B-"),IF(J64&gt;60,("C+"),IF(J64&gt;55,("C"),IF(J64&gt;50,("C-"),"D+"))))))))</f>
        <v>D+</v>
      </c>
      <c r="M64" s="1646" t="str">
        <f>IF(J64&gt;85,("A"),IF(J64&gt;80,("A-"),IF(J64&gt;75,("B+"),IF(J64&gt;70,("B"),IF(J64&gt;65,("B-"),IF(J64&gt;60,("C+"),IF(J64&gt;55,("C"),IF(J64&gt;50,("C-"),"D+"))))))))</f>
        <v>D+</v>
      </c>
      <c r="N64" s="1917"/>
      <c r="O64" s="1918"/>
      <c r="P64" s="1918"/>
      <c r="Q64" s="1918"/>
      <c r="R64" s="1918"/>
      <c r="S64" s="1918"/>
      <c r="T64" s="1918"/>
      <c r="U64" s="1918"/>
      <c r="V64" s="1918"/>
      <c r="W64" s="1918"/>
      <c r="X64" s="1918"/>
      <c r="Y64" s="1918"/>
      <c r="Z64" s="1923"/>
      <c r="AA64" s="1924"/>
    </row>
    <row r="65" spans="1:27" ht="24.95" customHeight="1" x14ac:dyDescent="0.3">
      <c r="A65" s="360">
        <v>9</v>
      </c>
      <c r="B65" s="683"/>
      <c r="C65" s="1625" t="str">
        <f>VLOOKUP(A65,data_siswa,4,FALSE)</f>
        <v>Claudia Gabriella L</v>
      </c>
      <c r="D65" s="1626" t="s">
        <v>7</v>
      </c>
      <c r="E65" s="1891">
        <f>VLOOKUP(A65,UHT_AGM,24,FALSE)</f>
        <v>0</v>
      </c>
      <c r="F65" s="1904">
        <f>E65*2</f>
        <v>0</v>
      </c>
      <c r="G65" s="1891"/>
      <c r="H65" s="1627">
        <f>VLOOKUP(A65,an_agm,49,FALSE)</f>
        <v>0</v>
      </c>
      <c r="I65" s="706">
        <f>F65+G65+H65</f>
        <v>0</v>
      </c>
      <c r="J65" s="707">
        <f>(F65+G65+H65)/4</f>
        <v>0</v>
      </c>
      <c r="K65" s="708" t="str">
        <f>IF(J65&gt;85,("4"),IF(J65&gt;80,("3.66"),IF(J65&gt;75,("3.33"),IF(J65&gt;70,("3.00"),IF(J65&gt;65,("2.66"),IF(J65&gt;60,("2.33"),IF(J65&gt;55,("2"),IF(J65&gt;50,("1.66"),"1.33"))))))))</f>
        <v>1.33</v>
      </c>
      <c r="L65" s="708" t="str">
        <f>IF(J65&gt;85,("A"),IF(J65&gt;80,("A-"),IF(J65&gt;75,("B+"),IF(J65&gt;70,("B"),IF(J65&gt;65,("B-"),IF(J65&gt;60,("C+"),IF(J65&gt;55,("C"),IF(J65&gt;50,("C-"),"D+"))))))))</f>
        <v>D+</v>
      </c>
      <c r="M65" s="887" t="str">
        <f>IF(J65&gt;80,("SB"),IF(J65&gt;65,("B"),IF(J65&gt;50,("C"),IF(J65&gt;0,("K"),"0"))))</f>
        <v>0</v>
      </c>
      <c r="N65" s="1628"/>
      <c r="O65" s="1602"/>
      <c r="P65" s="1602"/>
      <c r="Q65" s="1602"/>
      <c r="R65" s="1602"/>
      <c r="S65" s="1602"/>
      <c r="T65" s="1629"/>
      <c r="U65" s="1629"/>
      <c r="V65" s="1629"/>
      <c r="W65" s="1629"/>
      <c r="X65" s="1629"/>
      <c r="Y65" s="1629"/>
      <c r="Z65" s="1193">
        <f>J71</f>
        <v>0</v>
      </c>
      <c r="AA65" s="1919" t="str">
        <f>L71</f>
        <v>D+</v>
      </c>
    </row>
    <row r="66" spans="1:27" ht="24.95" customHeight="1" x14ac:dyDescent="0.3">
      <c r="A66" s="687"/>
      <c r="B66" s="683"/>
      <c r="C66" s="1630"/>
      <c r="D66" s="1626" t="s">
        <v>18</v>
      </c>
      <c r="E66" s="1891">
        <f>VLOOKUP(A65,UHT_AGM,25,FALSE)</f>
        <v>0</v>
      </c>
      <c r="F66" s="1905">
        <f t="shared" ref="F66:F70" si="54">E66*2</f>
        <v>0</v>
      </c>
      <c r="G66" s="1891"/>
      <c r="H66" s="1627">
        <f>VLOOKUP(A65,an_agm,50,FALSE)</f>
        <v>0</v>
      </c>
      <c r="I66" s="709">
        <f t="shared" ref="I66:I70" si="55">F66+G66+H66</f>
        <v>0</v>
      </c>
      <c r="J66" s="710">
        <f t="shared" ref="J66:J70" si="56">(F66+G66+H66)/4</f>
        <v>0</v>
      </c>
      <c r="K66" s="711" t="str">
        <f t="shared" ref="K66:K70" si="57">IF(J66&gt;85,("4"),IF(J66&gt;80,("3.66"),IF(J66&gt;75,("3.33"),IF(J66&gt;70,("3.00"),IF(J66&gt;65,("2.66"),IF(J66&gt;60,("2.33"),IF(J66&gt;55,("2"),IF(J66&gt;50,("1.66"),"1.33"))))))))</f>
        <v>1.33</v>
      </c>
      <c r="L66" s="711" t="str">
        <f t="shared" ref="L66:L70" si="58">IF(J66&gt;85,("A"),IF(J66&gt;80,("A-"),IF(J66&gt;75,("B+"),IF(J66&gt;70,("B"),IF(J66&gt;65,("B-"),IF(J66&gt;60,("C+"),IF(J66&gt;55,("C"),IF(J66&gt;50,("C-"),"D+"))))))))</f>
        <v>D+</v>
      </c>
      <c r="M66" s="712" t="str">
        <f t="shared" ref="M66:M70" si="59">IF(J66&gt;80,("SB"),IF(J66&gt;65,("B"),IF(J66&gt;50,("C"),IF(J66&gt;0,("K"),"0"))))</f>
        <v>0</v>
      </c>
      <c r="N66" s="1631"/>
      <c r="O66" s="1632"/>
      <c r="P66" s="1632"/>
      <c r="Q66" s="1632"/>
      <c r="R66" s="1632"/>
      <c r="S66" s="1632"/>
      <c r="T66" s="1633"/>
      <c r="U66" s="1633"/>
      <c r="V66" s="1633"/>
      <c r="W66" s="1633"/>
      <c r="X66" s="1633"/>
      <c r="Y66" s="1633"/>
      <c r="Z66" s="1920"/>
      <c r="AA66" s="1522"/>
    </row>
    <row r="67" spans="1:27" ht="24.95" customHeight="1" x14ac:dyDescent="0.3">
      <c r="A67" s="687"/>
      <c r="B67" s="683"/>
      <c r="C67" s="1630"/>
      <c r="D67" s="1626" t="s">
        <v>179</v>
      </c>
      <c r="E67" s="1891">
        <f>VLOOKUP(A65,UHT_AGM,26,FALSE)</f>
        <v>0</v>
      </c>
      <c r="F67" s="1905">
        <f t="shared" si="54"/>
        <v>0</v>
      </c>
      <c r="G67" s="1891"/>
      <c r="H67" s="1627">
        <f>VLOOKUP(A65,an_agm,51,FALSE)</f>
        <v>0</v>
      </c>
      <c r="I67" s="709">
        <f t="shared" si="55"/>
        <v>0</v>
      </c>
      <c r="J67" s="710">
        <f t="shared" si="56"/>
        <v>0</v>
      </c>
      <c r="K67" s="711" t="str">
        <f t="shared" si="57"/>
        <v>1.33</v>
      </c>
      <c r="L67" s="711" t="str">
        <f t="shared" si="58"/>
        <v>D+</v>
      </c>
      <c r="M67" s="712" t="str">
        <f t="shared" si="59"/>
        <v>0</v>
      </c>
      <c r="N67" s="1634"/>
      <c r="O67" s="1635"/>
      <c r="P67" s="1635"/>
      <c r="Q67" s="1635"/>
      <c r="R67" s="1635"/>
      <c r="S67" s="1635"/>
      <c r="T67" s="1636"/>
      <c r="U67" s="1636"/>
      <c r="V67" s="1636"/>
      <c r="W67" s="1636"/>
      <c r="X67" s="1636"/>
      <c r="Y67" s="1636"/>
      <c r="Z67" s="1921"/>
      <c r="AA67" s="1524"/>
    </row>
    <row r="68" spans="1:27" ht="24.95" customHeight="1" x14ac:dyDescent="0.3">
      <c r="A68" s="687"/>
      <c r="B68" s="683"/>
      <c r="C68" s="1630"/>
      <c r="D68" s="1626" t="s">
        <v>180</v>
      </c>
      <c r="E68" s="1891">
        <f>VLOOKUP(A65,UHT_AGM,27,FALSE)</f>
        <v>0</v>
      </c>
      <c r="F68" s="1905">
        <f t="shared" si="54"/>
        <v>0</v>
      </c>
      <c r="G68" s="1891"/>
      <c r="H68" s="1627">
        <f>VLOOKUP(A65,an_agm,52,FALSE)</f>
        <v>0</v>
      </c>
      <c r="I68" s="709">
        <f t="shared" si="55"/>
        <v>0</v>
      </c>
      <c r="J68" s="710">
        <f t="shared" si="56"/>
        <v>0</v>
      </c>
      <c r="K68" s="711" t="str">
        <f t="shared" si="57"/>
        <v>1.33</v>
      </c>
      <c r="L68" s="711" t="str">
        <f t="shared" si="58"/>
        <v>D+</v>
      </c>
      <c r="M68" s="712" t="str">
        <f t="shared" si="59"/>
        <v>0</v>
      </c>
      <c r="N68" s="1634"/>
      <c r="O68" s="1635"/>
      <c r="P68" s="1635"/>
      <c r="Q68" s="1635"/>
      <c r="R68" s="1635"/>
      <c r="S68" s="1635"/>
      <c r="T68" s="1636"/>
      <c r="U68" s="1636"/>
      <c r="V68" s="1636"/>
      <c r="W68" s="1636"/>
      <c r="X68" s="1636"/>
      <c r="Y68" s="1636"/>
      <c r="Z68" s="1921"/>
      <c r="AA68" s="1524"/>
    </row>
    <row r="69" spans="1:27" ht="24.95" customHeight="1" x14ac:dyDescent="0.3">
      <c r="A69" s="1637"/>
      <c r="B69" s="360"/>
      <c r="C69" s="1630"/>
      <c r="D69" s="1626" t="s">
        <v>19</v>
      </c>
      <c r="E69" s="1891">
        <f>VLOOKUP(A65,UHT_AGM,28,FALSE)</f>
        <v>0</v>
      </c>
      <c r="F69" s="1905">
        <f t="shared" si="54"/>
        <v>0</v>
      </c>
      <c r="G69" s="1891"/>
      <c r="H69" s="1627">
        <f>VLOOKUP(A65,an_agm,53,FALSE)</f>
        <v>0</v>
      </c>
      <c r="I69" s="709">
        <f t="shared" si="55"/>
        <v>0</v>
      </c>
      <c r="J69" s="710">
        <f t="shared" si="56"/>
        <v>0</v>
      </c>
      <c r="K69" s="711" t="str">
        <f t="shared" si="57"/>
        <v>1.33</v>
      </c>
      <c r="L69" s="711" t="str">
        <f t="shared" si="58"/>
        <v>D+</v>
      </c>
      <c r="M69" s="712" t="str">
        <f t="shared" si="59"/>
        <v>0</v>
      </c>
      <c r="N69" s="1638"/>
      <c r="O69" s="1639"/>
      <c r="P69" s="1639"/>
      <c r="Q69" s="1639"/>
      <c r="R69" s="1639"/>
      <c r="S69" s="1639"/>
      <c r="T69" s="1640"/>
      <c r="U69" s="1640"/>
      <c r="V69" s="1640"/>
      <c r="W69" s="1640"/>
      <c r="X69" s="1640"/>
      <c r="Y69" s="1640"/>
      <c r="Z69" s="1921"/>
      <c r="AA69" s="1524"/>
    </row>
    <row r="70" spans="1:27" ht="24.95" customHeight="1" x14ac:dyDescent="0.3">
      <c r="A70" s="1637"/>
      <c r="B70" s="360"/>
      <c r="C70" s="1630"/>
      <c r="D70" s="1626" t="s">
        <v>181</v>
      </c>
      <c r="E70" s="1891">
        <f>VLOOKUP(A65,UHT_AGM,30,FALSE)</f>
        <v>0</v>
      </c>
      <c r="F70" s="1905">
        <f t="shared" si="54"/>
        <v>0</v>
      </c>
      <c r="G70" s="1891"/>
      <c r="H70" s="1627">
        <f>VLOOKUP(A65,an_agm,54,FALSE)</f>
        <v>0</v>
      </c>
      <c r="I70" s="709">
        <f t="shared" si="55"/>
        <v>0</v>
      </c>
      <c r="J70" s="710">
        <f t="shared" si="56"/>
        <v>0</v>
      </c>
      <c r="K70" s="711" t="str">
        <f t="shared" si="57"/>
        <v>1.33</v>
      </c>
      <c r="L70" s="711" t="str">
        <f t="shared" si="58"/>
        <v>D+</v>
      </c>
      <c r="M70" s="712" t="str">
        <f t="shared" si="59"/>
        <v>0</v>
      </c>
      <c r="N70" s="1812"/>
      <c r="O70" s="1813"/>
      <c r="P70" s="1813"/>
      <c r="Q70" s="1813"/>
      <c r="R70" s="1813"/>
      <c r="S70" s="1813"/>
      <c r="T70" s="1814"/>
      <c r="U70" s="1814"/>
      <c r="V70" s="1814"/>
      <c r="W70" s="1814"/>
      <c r="X70" s="1814"/>
      <c r="Y70" s="1814"/>
      <c r="Z70" s="1922"/>
      <c r="AA70" s="1526"/>
    </row>
    <row r="71" spans="1:27" ht="24.95" customHeight="1" x14ac:dyDescent="0.25">
      <c r="A71" s="1641"/>
      <c r="B71" s="1642">
        <v>9</v>
      </c>
      <c r="C71" s="1643" t="s">
        <v>167</v>
      </c>
      <c r="D71" s="1641"/>
      <c r="E71" s="1189">
        <f>AVERAGE(E65:E70)</f>
        <v>0</v>
      </c>
      <c r="F71" s="1641"/>
      <c r="G71" s="1189" t="e">
        <f>AVEDEV(G65:G70)</f>
        <v>#NUM!</v>
      </c>
      <c r="H71" s="1189">
        <f>AVERAGE(H65:H70)</f>
        <v>0</v>
      </c>
      <c r="I71" s="1644"/>
      <c r="J71" s="350">
        <f>AVERAGE(J65:J70)</f>
        <v>0</v>
      </c>
      <c r="K71" s="350" t="str">
        <f>IF(J71&gt;85,("4"),IF(J71&gt;80,("3.66"),IF(J71&gt;75,("3.33"),IF(J71&gt;70,("3.00"),IF(J71&gt;65,("2.66"),IF(J71&gt;60,("2.33"),IF(J71&gt;55,("2"),IF(J71&gt;50,("1.66"),"1.33"))))))))</f>
        <v>1.33</v>
      </c>
      <c r="L71" s="1645" t="str">
        <f>IF(J71&gt;85,("A"),IF(J71&gt;80,("A-"),IF(J71&gt;75,("B+"),IF(J71&gt;70,("B"),IF(J71&gt;65,("B-"),IF(J71&gt;60,("C+"),IF(J71&gt;55,("C"),IF(J71&gt;50,("C-"),"D+"))))))))</f>
        <v>D+</v>
      </c>
      <c r="M71" s="1646" t="str">
        <f>IF(J71&gt;85,("A"),IF(J71&gt;80,("A-"),IF(J71&gt;75,("B+"),IF(J71&gt;70,("B"),IF(J71&gt;65,("B-"),IF(J71&gt;60,("C+"),IF(J71&gt;55,("C"),IF(J71&gt;50,("C-"),"D+"))))))))</f>
        <v>D+</v>
      </c>
      <c r="N71" s="1917"/>
      <c r="O71" s="1918"/>
      <c r="P71" s="1918"/>
      <c r="Q71" s="1918"/>
      <c r="R71" s="1918"/>
      <c r="S71" s="1918"/>
      <c r="T71" s="1918"/>
      <c r="U71" s="1918"/>
      <c r="V71" s="1918"/>
      <c r="W71" s="1918"/>
      <c r="X71" s="1918"/>
      <c r="Y71" s="1918"/>
      <c r="Z71" s="1923"/>
      <c r="AA71" s="1924"/>
    </row>
    <row r="72" spans="1:27" ht="24.95" customHeight="1" x14ac:dyDescent="0.3">
      <c r="A72" s="360">
        <v>10</v>
      </c>
      <c r="B72" s="683"/>
      <c r="C72" s="1625" t="str">
        <f>VLOOKUP(A72,data_siswa,4,FALSE)</f>
        <v xml:space="preserve">Deco Badarus Zaman </v>
      </c>
      <c r="D72" s="1626" t="s">
        <v>7</v>
      </c>
      <c r="E72" s="1891">
        <f>VLOOKUP(A72,UHT_AGM,24,FALSE)</f>
        <v>0</v>
      </c>
      <c r="F72" s="1904">
        <f>E72*2</f>
        <v>0</v>
      </c>
      <c r="G72" s="1891"/>
      <c r="H72" s="1627">
        <f>VLOOKUP(A72,an_agm,49,FALSE)</f>
        <v>0</v>
      </c>
      <c r="I72" s="706">
        <f>F72+G72+H72</f>
        <v>0</v>
      </c>
      <c r="J72" s="707">
        <f>(F72+G72+H72)/4</f>
        <v>0</v>
      </c>
      <c r="K72" s="708" t="str">
        <f>IF(J72&gt;85,("4"),IF(J72&gt;80,("3.66"),IF(J72&gt;75,("3.33"),IF(J72&gt;70,("3.00"),IF(J72&gt;65,("2.66"),IF(J72&gt;60,("2.33"),IF(J72&gt;55,("2"),IF(J72&gt;50,("1.66"),"1.33"))))))))</f>
        <v>1.33</v>
      </c>
      <c r="L72" s="708" t="str">
        <f>IF(J72&gt;85,("A"),IF(J72&gt;80,("A-"),IF(J72&gt;75,("B+"),IF(J72&gt;70,("B"),IF(J72&gt;65,("B-"),IF(J72&gt;60,("C+"),IF(J72&gt;55,("C"),IF(J72&gt;50,("C-"),"D+"))))))))</f>
        <v>D+</v>
      </c>
      <c r="M72" s="887" t="str">
        <f>IF(J72&gt;80,("SB"),IF(J72&gt;65,("B"),IF(J72&gt;50,("C"),IF(J72&gt;0,("K"),"0"))))</f>
        <v>0</v>
      </c>
      <c r="N72" s="1628"/>
      <c r="O72" s="1602"/>
      <c r="P72" s="1602"/>
      <c r="Q72" s="1602"/>
      <c r="R72" s="1602"/>
      <c r="S72" s="1602"/>
      <c r="T72" s="1629"/>
      <c r="U72" s="1629"/>
      <c r="V72" s="1629"/>
      <c r="W72" s="1629"/>
      <c r="X72" s="1629"/>
      <c r="Y72" s="1629"/>
      <c r="Z72" s="1193">
        <f>J78</f>
        <v>0</v>
      </c>
      <c r="AA72" s="1919" t="str">
        <f>L78</f>
        <v>D+</v>
      </c>
    </row>
    <row r="73" spans="1:27" ht="24.95" customHeight="1" x14ac:dyDescent="0.3">
      <c r="A73" s="687"/>
      <c r="B73" s="683"/>
      <c r="C73" s="1630"/>
      <c r="D73" s="1626" t="s">
        <v>18</v>
      </c>
      <c r="E73" s="1891">
        <f>VLOOKUP(A72,UHT_AGM,25,FALSE)</f>
        <v>0</v>
      </c>
      <c r="F73" s="1905">
        <f t="shared" ref="F73:F77" si="60">E73*2</f>
        <v>0</v>
      </c>
      <c r="G73" s="1891"/>
      <c r="H73" s="1627">
        <f>VLOOKUP(A72,an_agm,50,FALSE)</f>
        <v>0</v>
      </c>
      <c r="I73" s="709">
        <f t="shared" ref="I73:I77" si="61">F73+G73+H73</f>
        <v>0</v>
      </c>
      <c r="J73" s="710">
        <f t="shared" ref="J73:J77" si="62">(F73+G73+H73)/4</f>
        <v>0</v>
      </c>
      <c r="K73" s="711" t="str">
        <f t="shared" ref="K73:K77" si="63">IF(J73&gt;85,("4"),IF(J73&gt;80,("3.66"),IF(J73&gt;75,("3.33"),IF(J73&gt;70,("3.00"),IF(J73&gt;65,("2.66"),IF(J73&gt;60,("2.33"),IF(J73&gt;55,("2"),IF(J73&gt;50,("1.66"),"1.33"))))))))</f>
        <v>1.33</v>
      </c>
      <c r="L73" s="711" t="str">
        <f t="shared" ref="L73:L77" si="64">IF(J73&gt;85,("A"),IF(J73&gt;80,("A-"),IF(J73&gt;75,("B+"),IF(J73&gt;70,("B"),IF(J73&gt;65,("B-"),IF(J73&gt;60,("C+"),IF(J73&gt;55,("C"),IF(J73&gt;50,("C-"),"D+"))))))))</f>
        <v>D+</v>
      </c>
      <c r="M73" s="712" t="str">
        <f t="shared" ref="M73:M77" si="65">IF(J73&gt;80,("SB"),IF(J73&gt;65,("B"),IF(J73&gt;50,("C"),IF(J73&gt;0,("K"),"0"))))</f>
        <v>0</v>
      </c>
      <c r="N73" s="1631"/>
      <c r="O73" s="1632"/>
      <c r="P73" s="1632"/>
      <c r="Q73" s="1632"/>
      <c r="R73" s="1632"/>
      <c r="S73" s="1632"/>
      <c r="T73" s="1633"/>
      <c r="U73" s="1633"/>
      <c r="V73" s="1633"/>
      <c r="W73" s="1633"/>
      <c r="X73" s="1633"/>
      <c r="Y73" s="1633"/>
      <c r="Z73" s="1920"/>
      <c r="AA73" s="1522"/>
    </row>
    <row r="74" spans="1:27" ht="24.95" customHeight="1" x14ac:dyDescent="0.3">
      <c r="A74" s="687"/>
      <c r="B74" s="683"/>
      <c r="C74" s="1630"/>
      <c r="D74" s="1626" t="s">
        <v>179</v>
      </c>
      <c r="E74" s="1891">
        <f>VLOOKUP(A72,UHT_AGM,26,FALSE)</f>
        <v>0</v>
      </c>
      <c r="F74" s="1905">
        <f t="shared" si="60"/>
        <v>0</v>
      </c>
      <c r="G74" s="1891"/>
      <c r="H74" s="1627">
        <f>VLOOKUP(A72,an_agm,51,FALSE)</f>
        <v>0</v>
      </c>
      <c r="I74" s="709">
        <f t="shared" si="61"/>
        <v>0</v>
      </c>
      <c r="J74" s="710">
        <f t="shared" si="62"/>
        <v>0</v>
      </c>
      <c r="K74" s="711" t="str">
        <f t="shared" si="63"/>
        <v>1.33</v>
      </c>
      <c r="L74" s="711" t="str">
        <f t="shared" si="64"/>
        <v>D+</v>
      </c>
      <c r="M74" s="712" t="str">
        <f t="shared" si="65"/>
        <v>0</v>
      </c>
      <c r="N74" s="1634"/>
      <c r="O74" s="1635"/>
      <c r="P74" s="1635"/>
      <c r="Q74" s="1635"/>
      <c r="R74" s="1635"/>
      <c r="S74" s="1635"/>
      <c r="T74" s="1636"/>
      <c r="U74" s="1636"/>
      <c r="V74" s="1636"/>
      <c r="W74" s="1636"/>
      <c r="X74" s="1636"/>
      <c r="Y74" s="1636"/>
      <c r="Z74" s="1921"/>
      <c r="AA74" s="1524"/>
    </row>
    <row r="75" spans="1:27" ht="24.95" customHeight="1" x14ac:dyDescent="0.3">
      <c r="A75" s="687"/>
      <c r="B75" s="683"/>
      <c r="C75" s="1630"/>
      <c r="D75" s="1626" t="s">
        <v>180</v>
      </c>
      <c r="E75" s="1891">
        <f>VLOOKUP(A72,UHT_AGM,27,FALSE)</f>
        <v>0</v>
      </c>
      <c r="F75" s="1905">
        <f t="shared" si="60"/>
        <v>0</v>
      </c>
      <c r="G75" s="1891"/>
      <c r="H75" s="1627">
        <f>VLOOKUP(A72,an_agm,52,FALSE)</f>
        <v>0</v>
      </c>
      <c r="I75" s="709">
        <f t="shared" si="61"/>
        <v>0</v>
      </c>
      <c r="J75" s="710">
        <f t="shared" si="62"/>
        <v>0</v>
      </c>
      <c r="K75" s="711" t="str">
        <f t="shared" si="63"/>
        <v>1.33</v>
      </c>
      <c r="L75" s="711" t="str">
        <f t="shared" si="64"/>
        <v>D+</v>
      </c>
      <c r="M75" s="712" t="str">
        <f t="shared" si="65"/>
        <v>0</v>
      </c>
      <c r="N75" s="1634"/>
      <c r="O75" s="1635"/>
      <c r="P75" s="1635"/>
      <c r="Q75" s="1635"/>
      <c r="R75" s="1635"/>
      <c r="S75" s="1635"/>
      <c r="T75" s="1636"/>
      <c r="U75" s="1636"/>
      <c r="V75" s="1636"/>
      <c r="W75" s="1636"/>
      <c r="X75" s="1636"/>
      <c r="Y75" s="1636"/>
      <c r="Z75" s="1921"/>
      <c r="AA75" s="1524"/>
    </row>
    <row r="76" spans="1:27" ht="24.95" customHeight="1" x14ac:dyDescent="0.3">
      <c r="A76" s="1637"/>
      <c r="B76" s="360"/>
      <c r="C76" s="1630"/>
      <c r="D76" s="1626" t="s">
        <v>19</v>
      </c>
      <c r="E76" s="1891">
        <f>VLOOKUP(A72,UHT_AGM,28,FALSE)</f>
        <v>0</v>
      </c>
      <c r="F76" s="1905">
        <f t="shared" si="60"/>
        <v>0</v>
      </c>
      <c r="G76" s="1891"/>
      <c r="H76" s="1627">
        <f>VLOOKUP(A72,an_agm,53,FALSE)</f>
        <v>0</v>
      </c>
      <c r="I76" s="709">
        <f t="shared" si="61"/>
        <v>0</v>
      </c>
      <c r="J76" s="710">
        <f t="shared" si="62"/>
        <v>0</v>
      </c>
      <c r="K76" s="711" t="str">
        <f t="shared" si="63"/>
        <v>1.33</v>
      </c>
      <c r="L76" s="711" t="str">
        <f t="shared" si="64"/>
        <v>D+</v>
      </c>
      <c r="M76" s="712" t="str">
        <f t="shared" si="65"/>
        <v>0</v>
      </c>
      <c r="N76" s="1638"/>
      <c r="O76" s="1639"/>
      <c r="P76" s="1639"/>
      <c r="Q76" s="1639"/>
      <c r="R76" s="1639"/>
      <c r="S76" s="1639"/>
      <c r="T76" s="1640"/>
      <c r="U76" s="1640"/>
      <c r="V76" s="1640"/>
      <c r="W76" s="1640"/>
      <c r="X76" s="1640"/>
      <c r="Y76" s="1640"/>
      <c r="Z76" s="1921"/>
      <c r="AA76" s="1524"/>
    </row>
    <row r="77" spans="1:27" ht="24.95" customHeight="1" x14ac:dyDescent="0.3">
      <c r="A77" s="1637"/>
      <c r="B77" s="360"/>
      <c r="C77" s="1630"/>
      <c r="D77" s="1626" t="s">
        <v>181</v>
      </c>
      <c r="E77" s="1891">
        <f>VLOOKUP(A72,UHT_AGM,30,FALSE)</f>
        <v>0</v>
      </c>
      <c r="F77" s="1905">
        <f t="shared" si="60"/>
        <v>0</v>
      </c>
      <c r="G77" s="1891"/>
      <c r="H77" s="1627">
        <f>VLOOKUP(A72,an_agm,54,FALSE)</f>
        <v>0</v>
      </c>
      <c r="I77" s="709">
        <f t="shared" si="61"/>
        <v>0</v>
      </c>
      <c r="J77" s="710">
        <f t="shared" si="62"/>
        <v>0</v>
      </c>
      <c r="K77" s="711" t="str">
        <f t="shared" si="63"/>
        <v>1.33</v>
      </c>
      <c r="L77" s="711" t="str">
        <f t="shared" si="64"/>
        <v>D+</v>
      </c>
      <c r="M77" s="712" t="str">
        <f t="shared" si="65"/>
        <v>0</v>
      </c>
      <c r="N77" s="1812"/>
      <c r="O77" s="1813"/>
      <c r="P77" s="1813"/>
      <c r="Q77" s="1813"/>
      <c r="R77" s="1813"/>
      <c r="S77" s="1813"/>
      <c r="T77" s="1814"/>
      <c r="U77" s="1814"/>
      <c r="V77" s="1814"/>
      <c r="W77" s="1814"/>
      <c r="X77" s="1814"/>
      <c r="Y77" s="1814"/>
      <c r="Z77" s="1922"/>
      <c r="AA77" s="1526"/>
    </row>
    <row r="78" spans="1:27" ht="24.95" customHeight="1" x14ac:dyDescent="0.25">
      <c r="A78" s="1641"/>
      <c r="B78" s="1642">
        <v>10</v>
      </c>
      <c r="C78" s="1643" t="s">
        <v>167</v>
      </c>
      <c r="D78" s="1641"/>
      <c r="E78" s="1189">
        <f>AVERAGE(E72:E77)</f>
        <v>0</v>
      </c>
      <c r="F78" s="1641"/>
      <c r="G78" s="1189" t="e">
        <f>AVEDEV(G72:G77)</f>
        <v>#NUM!</v>
      </c>
      <c r="H78" s="1189">
        <f>AVERAGE(H72:H77)</f>
        <v>0</v>
      </c>
      <c r="I78" s="1644"/>
      <c r="J78" s="350">
        <f>AVERAGE(J72:J77)</f>
        <v>0</v>
      </c>
      <c r="K78" s="350" t="str">
        <f>IF(J78&gt;85,("4"),IF(J78&gt;80,("3.66"),IF(J78&gt;75,("3.33"),IF(J78&gt;70,("3.00"),IF(J78&gt;65,("2.66"),IF(J78&gt;60,("2.33"),IF(J78&gt;55,("2"),IF(J78&gt;50,("1.66"),"1.33"))))))))</f>
        <v>1.33</v>
      </c>
      <c r="L78" s="1645" t="str">
        <f>IF(J78&gt;85,("A"),IF(J78&gt;80,("A-"),IF(J78&gt;75,("B+"),IF(J78&gt;70,("B"),IF(J78&gt;65,("B-"),IF(J78&gt;60,("C+"),IF(J78&gt;55,("C"),IF(J78&gt;50,("C-"),"D+"))))))))</f>
        <v>D+</v>
      </c>
      <c r="M78" s="1646" t="str">
        <f>IF(J78&gt;85,("A"),IF(J78&gt;80,("A-"),IF(J78&gt;75,("B+"),IF(J78&gt;70,("B"),IF(J78&gt;65,("B-"),IF(J78&gt;60,("C+"),IF(J78&gt;55,("C"),IF(J78&gt;50,("C-"),"D+"))))))))</f>
        <v>D+</v>
      </c>
      <c r="N78" s="1917"/>
      <c r="O78" s="1918"/>
      <c r="P78" s="1918"/>
      <c r="Q78" s="1918"/>
      <c r="R78" s="1918"/>
      <c r="S78" s="1918"/>
      <c r="T78" s="1918"/>
      <c r="U78" s="1918"/>
      <c r="V78" s="1918"/>
      <c r="W78" s="1918"/>
      <c r="X78" s="1918"/>
      <c r="Y78" s="1918"/>
      <c r="Z78" s="1923"/>
      <c r="AA78" s="1924"/>
    </row>
    <row r="79" spans="1:27" ht="24.95" customHeight="1" x14ac:dyDescent="0.3">
      <c r="A79" s="360">
        <v>11</v>
      </c>
      <c r="B79" s="683"/>
      <c r="C79" s="1625" t="str">
        <f>VLOOKUP(A79,data_siswa,4,FALSE)</f>
        <v>Fania Mutiara Felichia</v>
      </c>
      <c r="D79" s="1626" t="s">
        <v>7</v>
      </c>
      <c r="E79" s="1891">
        <f>VLOOKUP(A79,UHT_AGM,24,FALSE)</f>
        <v>0</v>
      </c>
      <c r="F79" s="1904">
        <f>E79*2</f>
        <v>0</v>
      </c>
      <c r="G79" s="1891"/>
      <c r="H79" s="1627">
        <f>VLOOKUP(A79,an_agm,49,FALSE)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887" t="str">
        <f>IF(J79&gt;80,("SB"),IF(J79&gt;65,("B"),IF(J79&gt;50,("C"),IF(J79&gt;0,("K"),"0"))))</f>
        <v>0</v>
      </c>
      <c r="N79" s="1628"/>
      <c r="O79" s="1602"/>
      <c r="P79" s="1602"/>
      <c r="Q79" s="1602"/>
      <c r="R79" s="1602"/>
      <c r="S79" s="1602"/>
      <c r="T79" s="1629"/>
      <c r="U79" s="1629"/>
      <c r="V79" s="1629"/>
      <c r="W79" s="1629"/>
      <c r="X79" s="1629"/>
      <c r="Y79" s="1629"/>
      <c r="Z79" s="1193">
        <f>J85</f>
        <v>0</v>
      </c>
      <c r="AA79" s="1919" t="str">
        <f>L85</f>
        <v>D+</v>
      </c>
    </row>
    <row r="80" spans="1:27" ht="24.95" customHeight="1" x14ac:dyDescent="0.3">
      <c r="A80" s="687"/>
      <c r="B80" s="683"/>
      <c r="C80" s="1630"/>
      <c r="D80" s="1626" t="s">
        <v>18</v>
      </c>
      <c r="E80" s="1891">
        <f>VLOOKUP(A79,UHT_AGM,25,FALSE)</f>
        <v>0</v>
      </c>
      <c r="F80" s="1905">
        <f t="shared" ref="F80:F84" si="66">E80*2</f>
        <v>0</v>
      </c>
      <c r="G80" s="1891"/>
      <c r="H80" s="1627">
        <f>VLOOKUP(A79,an_agm,50,FALSE)</f>
        <v>0</v>
      </c>
      <c r="I80" s="709">
        <f t="shared" ref="I80:I84" si="67">F80+G80+H80</f>
        <v>0</v>
      </c>
      <c r="J80" s="710">
        <f t="shared" ref="J80:J84" si="68">(F80+G80+H80)/4</f>
        <v>0</v>
      </c>
      <c r="K80" s="711" t="str">
        <f t="shared" ref="K80:K84" si="69">IF(J80&gt;85,("4"),IF(J80&gt;80,("3.66"),IF(J80&gt;75,("3.33"),IF(J80&gt;70,("3.00"),IF(J80&gt;65,("2.66"),IF(J80&gt;60,("2.33"),IF(J80&gt;55,("2"),IF(J80&gt;50,("1.66"),"1.33"))))))))</f>
        <v>1.33</v>
      </c>
      <c r="L80" s="711" t="str">
        <f t="shared" ref="L80:L84" si="70">IF(J80&gt;85,("A"),IF(J80&gt;80,("A-"),IF(J80&gt;75,("B+"),IF(J80&gt;70,("B"),IF(J80&gt;65,("B-"),IF(J80&gt;60,("C+"),IF(J80&gt;55,("C"),IF(J80&gt;50,("C-"),"D+"))))))))</f>
        <v>D+</v>
      </c>
      <c r="M80" s="712" t="str">
        <f t="shared" ref="M80:M84" si="71">IF(J80&gt;80,("SB"),IF(J80&gt;65,("B"),IF(J80&gt;50,("C"),IF(J80&gt;0,("K"),"0"))))</f>
        <v>0</v>
      </c>
      <c r="N80" s="1631"/>
      <c r="O80" s="1632"/>
      <c r="P80" s="1632"/>
      <c r="Q80" s="1632"/>
      <c r="R80" s="1632"/>
      <c r="S80" s="1632"/>
      <c r="T80" s="1633"/>
      <c r="U80" s="1633"/>
      <c r="V80" s="1633"/>
      <c r="W80" s="1633"/>
      <c r="X80" s="1633"/>
      <c r="Y80" s="1633"/>
      <c r="Z80" s="1920"/>
      <c r="AA80" s="1522"/>
    </row>
    <row r="81" spans="1:27" ht="24.95" customHeight="1" x14ac:dyDescent="0.3">
      <c r="A81" s="687"/>
      <c r="B81" s="683"/>
      <c r="C81" s="1630"/>
      <c r="D81" s="1626" t="s">
        <v>179</v>
      </c>
      <c r="E81" s="1891">
        <f>VLOOKUP(A79,UHT_AGM,26,FALSE)</f>
        <v>0</v>
      </c>
      <c r="F81" s="1905">
        <f t="shared" si="66"/>
        <v>0</v>
      </c>
      <c r="G81" s="1891"/>
      <c r="H81" s="1627">
        <f>VLOOKUP(A79,an_agm,51,FALSE)</f>
        <v>0</v>
      </c>
      <c r="I81" s="709">
        <f t="shared" si="67"/>
        <v>0</v>
      </c>
      <c r="J81" s="710">
        <f t="shared" si="68"/>
        <v>0</v>
      </c>
      <c r="K81" s="711" t="str">
        <f t="shared" si="69"/>
        <v>1.33</v>
      </c>
      <c r="L81" s="711" t="str">
        <f t="shared" si="70"/>
        <v>D+</v>
      </c>
      <c r="M81" s="712" t="str">
        <f t="shared" si="71"/>
        <v>0</v>
      </c>
      <c r="N81" s="1634"/>
      <c r="O81" s="1635"/>
      <c r="P81" s="1635"/>
      <c r="Q81" s="1635"/>
      <c r="R81" s="1635"/>
      <c r="S81" s="1635"/>
      <c r="T81" s="1636"/>
      <c r="U81" s="1636"/>
      <c r="V81" s="1636"/>
      <c r="W81" s="1636"/>
      <c r="X81" s="1636"/>
      <c r="Y81" s="1636"/>
      <c r="Z81" s="1921"/>
      <c r="AA81" s="1524"/>
    </row>
    <row r="82" spans="1:27" ht="24.95" customHeight="1" x14ac:dyDescent="0.3">
      <c r="A82" s="687"/>
      <c r="B82" s="683"/>
      <c r="C82" s="1630"/>
      <c r="D82" s="1626" t="s">
        <v>180</v>
      </c>
      <c r="E82" s="1891">
        <f>VLOOKUP(A79,UHT_AGM,27,FALSE)</f>
        <v>0</v>
      </c>
      <c r="F82" s="1905">
        <f t="shared" si="66"/>
        <v>0</v>
      </c>
      <c r="G82" s="1891"/>
      <c r="H82" s="1627">
        <f>VLOOKUP(A79,an_agm,52,FALSE)</f>
        <v>0</v>
      </c>
      <c r="I82" s="709">
        <f t="shared" si="67"/>
        <v>0</v>
      </c>
      <c r="J82" s="710">
        <f t="shared" si="68"/>
        <v>0</v>
      </c>
      <c r="K82" s="711" t="str">
        <f t="shared" si="69"/>
        <v>1.33</v>
      </c>
      <c r="L82" s="711" t="str">
        <f t="shared" si="70"/>
        <v>D+</v>
      </c>
      <c r="M82" s="712" t="str">
        <f t="shared" si="71"/>
        <v>0</v>
      </c>
      <c r="N82" s="1634"/>
      <c r="O82" s="1635"/>
      <c r="P82" s="1635"/>
      <c r="Q82" s="1635"/>
      <c r="R82" s="1635"/>
      <c r="S82" s="1635"/>
      <c r="T82" s="1636"/>
      <c r="U82" s="1636"/>
      <c r="V82" s="1636"/>
      <c r="W82" s="1636"/>
      <c r="X82" s="1636"/>
      <c r="Y82" s="1636"/>
      <c r="Z82" s="1921"/>
      <c r="AA82" s="1524"/>
    </row>
    <row r="83" spans="1:27" ht="24.95" customHeight="1" x14ac:dyDescent="0.3">
      <c r="A83" s="1637"/>
      <c r="B83" s="360"/>
      <c r="C83" s="1630"/>
      <c r="D83" s="1626" t="s">
        <v>19</v>
      </c>
      <c r="E83" s="1891">
        <f>VLOOKUP(A79,UHT_AGM,28,FALSE)</f>
        <v>0</v>
      </c>
      <c r="F83" s="1905">
        <f t="shared" si="66"/>
        <v>0</v>
      </c>
      <c r="G83" s="1891"/>
      <c r="H83" s="1627">
        <f>VLOOKUP(A79,an_agm,53,FALSE)</f>
        <v>0</v>
      </c>
      <c r="I83" s="709">
        <f t="shared" si="67"/>
        <v>0</v>
      </c>
      <c r="J83" s="710">
        <f t="shared" si="68"/>
        <v>0</v>
      </c>
      <c r="K83" s="711" t="str">
        <f t="shared" si="69"/>
        <v>1.33</v>
      </c>
      <c r="L83" s="711" t="str">
        <f t="shared" si="70"/>
        <v>D+</v>
      </c>
      <c r="M83" s="712" t="str">
        <f t="shared" si="71"/>
        <v>0</v>
      </c>
      <c r="N83" s="1638"/>
      <c r="O83" s="1639"/>
      <c r="P83" s="1639"/>
      <c r="Q83" s="1639"/>
      <c r="R83" s="1639"/>
      <c r="S83" s="1639"/>
      <c r="T83" s="1640"/>
      <c r="U83" s="1640"/>
      <c r="V83" s="1640"/>
      <c r="W83" s="1640"/>
      <c r="X83" s="1640"/>
      <c r="Y83" s="1640"/>
      <c r="Z83" s="1921"/>
      <c r="AA83" s="1524"/>
    </row>
    <row r="84" spans="1:27" ht="24.95" customHeight="1" x14ac:dyDescent="0.3">
      <c r="A84" s="1637"/>
      <c r="B84" s="360"/>
      <c r="C84" s="1630"/>
      <c r="D84" s="1626" t="s">
        <v>181</v>
      </c>
      <c r="E84" s="1891">
        <f>VLOOKUP(A79,UHT_AGM,30,FALSE)</f>
        <v>0</v>
      </c>
      <c r="F84" s="1905">
        <f t="shared" si="66"/>
        <v>0</v>
      </c>
      <c r="G84" s="1891"/>
      <c r="H84" s="1627">
        <f>VLOOKUP(A79,an_agm,54,FALSE)</f>
        <v>0</v>
      </c>
      <c r="I84" s="709">
        <f t="shared" si="67"/>
        <v>0</v>
      </c>
      <c r="J84" s="710">
        <f t="shared" si="68"/>
        <v>0</v>
      </c>
      <c r="K84" s="711" t="str">
        <f t="shared" si="69"/>
        <v>1.33</v>
      </c>
      <c r="L84" s="711" t="str">
        <f t="shared" si="70"/>
        <v>D+</v>
      </c>
      <c r="M84" s="712" t="str">
        <f t="shared" si="71"/>
        <v>0</v>
      </c>
      <c r="N84" s="1812"/>
      <c r="O84" s="1813"/>
      <c r="P84" s="1813"/>
      <c r="Q84" s="1813"/>
      <c r="R84" s="1813"/>
      <c r="S84" s="1813"/>
      <c r="T84" s="1814"/>
      <c r="U84" s="1814"/>
      <c r="V84" s="1814"/>
      <c r="W84" s="1814"/>
      <c r="X84" s="1814"/>
      <c r="Y84" s="1814"/>
      <c r="Z84" s="1922"/>
      <c r="AA84" s="1526"/>
    </row>
    <row r="85" spans="1:27" ht="24.95" customHeight="1" x14ac:dyDescent="0.25">
      <c r="A85" s="1641"/>
      <c r="B85" s="1642">
        <v>11</v>
      </c>
      <c r="C85" s="1643" t="s">
        <v>167</v>
      </c>
      <c r="D85" s="1641"/>
      <c r="E85" s="1189">
        <f>AVERAGE(E79:E84)</f>
        <v>0</v>
      </c>
      <c r="F85" s="1641"/>
      <c r="G85" s="1189" t="e">
        <f>AVEDEV(G79:G84)</f>
        <v>#NUM!</v>
      </c>
      <c r="H85" s="1189">
        <f>AVERAGE(H79:H84)</f>
        <v>0</v>
      </c>
      <c r="I85" s="1644"/>
      <c r="J85" s="350">
        <f>AVERAGE(J79:J84)</f>
        <v>0</v>
      </c>
      <c r="K85" s="350" t="str">
        <f>IF(J85&gt;85,("4"),IF(J85&gt;80,("3.66"),IF(J85&gt;75,("3.33"),IF(J85&gt;70,("3.00"),IF(J85&gt;65,("2.66"),IF(J85&gt;60,("2.33"),IF(J85&gt;55,("2"),IF(J85&gt;50,("1.66"),"1.33"))))))))</f>
        <v>1.33</v>
      </c>
      <c r="L85" s="1645" t="str">
        <f>IF(J85&gt;85,("A"),IF(J85&gt;80,("A-"),IF(J85&gt;75,("B+"),IF(J85&gt;70,("B"),IF(J85&gt;65,("B-"),IF(J85&gt;60,("C+"),IF(J85&gt;55,("C"),IF(J85&gt;50,("C-"),"D+"))))))))</f>
        <v>D+</v>
      </c>
      <c r="M85" s="1646" t="str">
        <f>IF(J85&gt;85,("A"),IF(J85&gt;80,("A-"),IF(J85&gt;75,("B+"),IF(J85&gt;70,("B"),IF(J85&gt;65,("B-"),IF(J85&gt;60,("C+"),IF(J85&gt;55,("C"),IF(J85&gt;50,("C-"),"D+"))))))))</f>
        <v>D+</v>
      </c>
      <c r="N85" s="1917"/>
      <c r="O85" s="1918"/>
      <c r="P85" s="1918"/>
      <c r="Q85" s="1918"/>
      <c r="R85" s="1918"/>
      <c r="S85" s="1918"/>
      <c r="T85" s="1918"/>
      <c r="U85" s="1918"/>
      <c r="V85" s="1918"/>
      <c r="W85" s="1918"/>
      <c r="X85" s="1918"/>
      <c r="Y85" s="1918"/>
      <c r="Z85" s="1923"/>
      <c r="AA85" s="1924"/>
    </row>
    <row r="86" spans="1:27" ht="24.95" customHeight="1" x14ac:dyDescent="0.3">
      <c r="A86" s="360">
        <v>12</v>
      </c>
      <c r="B86" s="683"/>
      <c r="C86" s="1625" t="str">
        <f>VLOOKUP(A86,data_siswa,4,FALSE)</f>
        <v>Intan Dyah Nowari</v>
      </c>
      <c r="D86" s="1626" t="s">
        <v>7</v>
      </c>
      <c r="E86" s="1891">
        <f>VLOOKUP(A86,UHT_AGM,24,FALSE)</f>
        <v>0</v>
      </c>
      <c r="F86" s="1904">
        <f>E86*2</f>
        <v>0</v>
      </c>
      <c r="G86" s="1891"/>
      <c r="H86" s="1627">
        <f>VLOOKUP(A86,an_agm,49,FALSE)</f>
        <v>0</v>
      </c>
      <c r="I86" s="706">
        <f>F86+G86+H86</f>
        <v>0</v>
      </c>
      <c r="J86" s="707">
        <f>(F86+G86+H86)/4</f>
        <v>0</v>
      </c>
      <c r="K86" s="708" t="str">
        <f>IF(J86&gt;85,("4"),IF(J86&gt;80,("3.66"),IF(J86&gt;75,("3.33"),IF(J86&gt;70,("3.00"),IF(J86&gt;65,("2.66"),IF(J86&gt;60,("2.33"),IF(J86&gt;55,("2"),IF(J86&gt;50,("1.66"),"1.33"))))))))</f>
        <v>1.33</v>
      </c>
      <c r="L86" s="708" t="str">
        <f>IF(J86&gt;85,("A"),IF(J86&gt;80,("A-"),IF(J86&gt;75,("B+"),IF(J86&gt;70,("B"),IF(J86&gt;65,("B-"),IF(J86&gt;60,("C+"),IF(J86&gt;55,("C"),IF(J86&gt;50,("C-"),"D+"))))))))</f>
        <v>D+</v>
      </c>
      <c r="M86" s="887" t="str">
        <f>IF(J86&gt;80,("SB"),IF(J86&gt;65,("B"),IF(J86&gt;50,("C"),IF(J86&gt;0,("K"),"0"))))</f>
        <v>0</v>
      </c>
      <c r="N86" s="1628"/>
      <c r="O86" s="1602"/>
      <c r="P86" s="1602"/>
      <c r="Q86" s="1602"/>
      <c r="R86" s="1602"/>
      <c r="S86" s="1602"/>
      <c r="T86" s="1629"/>
      <c r="U86" s="1629"/>
      <c r="V86" s="1629"/>
      <c r="W86" s="1629"/>
      <c r="X86" s="1629"/>
      <c r="Y86" s="1629"/>
      <c r="Z86" s="1193">
        <f>J92</f>
        <v>0</v>
      </c>
      <c r="AA86" s="1919" t="str">
        <f>L92</f>
        <v>D+</v>
      </c>
    </row>
    <row r="87" spans="1:27" ht="24.95" customHeight="1" x14ac:dyDescent="0.3">
      <c r="A87" s="687"/>
      <c r="B87" s="683"/>
      <c r="C87" s="1630"/>
      <c r="D87" s="1626" t="s">
        <v>18</v>
      </c>
      <c r="E87" s="1891">
        <f>VLOOKUP(A86,UHT_AGM,25,FALSE)</f>
        <v>0</v>
      </c>
      <c r="F87" s="1905">
        <f t="shared" ref="F87:F91" si="72">E87*2</f>
        <v>0</v>
      </c>
      <c r="G87" s="1891"/>
      <c r="H87" s="1627">
        <f>VLOOKUP(A86,an_agm,50,FALSE)</f>
        <v>0</v>
      </c>
      <c r="I87" s="709">
        <f t="shared" ref="I87:I91" si="73">F87+G87+H87</f>
        <v>0</v>
      </c>
      <c r="J87" s="710">
        <f t="shared" ref="J87:J91" si="74">(F87+G87+H87)/4</f>
        <v>0</v>
      </c>
      <c r="K87" s="711" t="str">
        <f t="shared" ref="K87:K91" si="75">IF(J87&gt;85,("4"),IF(J87&gt;80,("3.66"),IF(J87&gt;75,("3.33"),IF(J87&gt;70,("3.00"),IF(J87&gt;65,("2.66"),IF(J87&gt;60,("2.33"),IF(J87&gt;55,("2"),IF(J87&gt;50,("1.66"),"1.33"))))))))</f>
        <v>1.33</v>
      </c>
      <c r="L87" s="711" t="str">
        <f t="shared" ref="L87:L91" si="76">IF(J87&gt;85,("A"),IF(J87&gt;80,("A-"),IF(J87&gt;75,("B+"),IF(J87&gt;70,("B"),IF(J87&gt;65,("B-"),IF(J87&gt;60,("C+"),IF(J87&gt;55,("C"),IF(J87&gt;50,("C-"),"D+"))))))))</f>
        <v>D+</v>
      </c>
      <c r="M87" s="712" t="str">
        <f t="shared" ref="M87:M91" si="77">IF(J87&gt;80,("SB"),IF(J87&gt;65,("B"),IF(J87&gt;50,("C"),IF(J87&gt;0,("K"),"0"))))</f>
        <v>0</v>
      </c>
      <c r="N87" s="1631"/>
      <c r="O87" s="1632"/>
      <c r="P87" s="1632"/>
      <c r="Q87" s="1632"/>
      <c r="R87" s="1632"/>
      <c r="S87" s="1632"/>
      <c r="T87" s="1633"/>
      <c r="U87" s="1633"/>
      <c r="V87" s="1633"/>
      <c r="W87" s="1633"/>
      <c r="X87" s="1633"/>
      <c r="Y87" s="1633"/>
      <c r="Z87" s="1920"/>
      <c r="AA87" s="1522"/>
    </row>
    <row r="88" spans="1:27" ht="24.95" customHeight="1" x14ac:dyDescent="0.3">
      <c r="A88" s="687"/>
      <c r="B88" s="683"/>
      <c r="C88" s="1630"/>
      <c r="D88" s="1626" t="s">
        <v>179</v>
      </c>
      <c r="E88" s="1891">
        <f>VLOOKUP(A86,UHT_AGM,26,FALSE)</f>
        <v>0</v>
      </c>
      <c r="F88" s="1905">
        <f t="shared" si="72"/>
        <v>0</v>
      </c>
      <c r="G88" s="1891"/>
      <c r="H88" s="1627">
        <f>VLOOKUP(A86,an_agm,51,FALSE)</f>
        <v>0</v>
      </c>
      <c r="I88" s="709">
        <f t="shared" si="73"/>
        <v>0</v>
      </c>
      <c r="J88" s="710">
        <f t="shared" si="74"/>
        <v>0</v>
      </c>
      <c r="K88" s="711" t="str">
        <f t="shared" si="75"/>
        <v>1.33</v>
      </c>
      <c r="L88" s="711" t="str">
        <f t="shared" si="76"/>
        <v>D+</v>
      </c>
      <c r="M88" s="712" t="str">
        <f t="shared" si="77"/>
        <v>0</v>
      </c>
      <c r="N88" s="1634"/>
      <c r="O88" s="1635"/>
      <c r="P88" s="1635"/>
      <c r="Q88" s="1635"/>
      <c r="R88" s="1635"/>
      <c r="S88" s="1635"/>
      <c r="T88" s="1636"/>
      <c r="U88" s="1636"/>
      <c r="V88" s="1636"/>
      <c r="W88" s="1636"/>
      <c r="X88" s="1636"/>
      <c r="Y88" s="1636"/>
      <c r="Z88" s="1921"/>
      <c r="AA88" s="1524"/>
    </row>
    <row r="89" spans="1:27" ht="24.95" customHeight="1" x14ac:dyDescent="0.3">
      <c r="A89" s="687"/>
      <c r="B89" s="683"/>
      <c r="C89" s="1630"/>
      <c r="D89" s="1626" t="s">
        <v>180</v>
      </c>
      <c r="E89" s="1891">
        <f>VLOOKUP(A86,UHT_AGM,27,FALSE)</f>
        <v>0</v>
      </c>
      <c r="F89" s="1905">
        <f t="shared" si="72"/>
        <v>0</v>
      </c>
      <c r="G89" s="1891"/>
      <c r="H89" s="1627">
        <f>VLOOKUP(A86,an_agm,52,FALSE)</f>
        <v>0</v>
      </c>
      <c r="I89" s="709">
        <f t="shared" si="73"/>
        <v>0</v>
      </c>
      <c r="J89" s="710">
        <f t="shared" si="74"/>
        <v>0</v>
      </c>
      <c r="K89" s="711" t="str">
        <f t="shared" si="75"/>
        <v>1.33</v>
      </c>
      <c r="L89" s="711" t="str">
        <f t="shared" si="76"/>
        <v>D+</v>
      </c>
      <c r="M89" s="712" t="str">
        <f t="shared" si="77"/>
        <v>0</v>
      </c>
      <c r="N89" s="1634"/>
      <c r="O89" s="1635"/>
      <c r="P89" s="1635"/>
      <c r="Q89" s="1635"/>
      <c r="R89" s="1635"/>
      <c r="S89" s="1635"/>
      <c r="T89" s="1636"/>
      <c r="U89" s="1636"/>
      <c r="V89" s="1636"/>
      <c r="W89" s="1636"/>
      <c r="X89" s="1636"/>
      <c r="Y89" s="1636"/>
      <c r="Z89" s="1921"/>
      <c r="AA89" s="1524"/>
    </row>
    <row r="90" spans="1:27" ht="24.95" customHeight="1" x14ac:dyDescent="0.3">
      <c r="A90" s="1637"/>
      <c r="B90" s="360"/>
      <c r="C90" s="1630"/>
      <c r="D90" s="1626" t="s">
        <v>19</v>
      </c>
      <c r="E90" s="1891">
        <f>VLOOKUP(A86,UHT_AGM,28,FALSE)</f>
        <v>0</v>
      </c>
      <c r="F90" s="1905">
        <f t="shared" si="72"/>
        <v>0</v>
      </c>
      <c r="G90" s="1891"/>
      <c r="H90" s="1627">
        <f>VLOOKUP(A86,an_agm,53,FALSE)</f>
        <v>0</v>
      </c>
      <c r="I90" s="709">
        <f t="shared" si="73"/>
        <v>0</v>
      </c>
      <c r="J90" s="710">
        <f t="shared" si="74"/>
        <v>0</v>
      </c>
      <c r="K90" s="711" t="str">
        <f t="shared" si="75"/>
        <v>1.33</v>
      </c>
      <c r="L90" s="711" t="str">
        <f t="shared" si="76"/>
        <v>D+</v>
      </c>
      <c r="M90" s="712" t="str">
        <f t="shared" si="77"/>
        <v>0</v>
      </c>
      <c r="N90" s="1638"/>
      <c r="O90" s="1639"/>
      <c r="P90" s="1639"/>
      <c r="Q90" s="1639"/>
      <c r="R90" s="1639"/>
      <c r="S90" s="1639"/>
      <c r="T90" s="1640"/>
      <c r="U90" s="1640"/>
      <c r="V90" s="1640"/>
      <c r="W90" s="1640"/>
      <c r="X90" s="1640"/>
      <c r="Y90" s="1640"/>
      <c r="Z90" s="1921"/>
      <c r="AA90" s="1524"/>
    </row>
    <row r="91" spans="1:27" ht="24.95" customHeight="1" x14ac:dyDescent="0.3">
      <c r="A91" s="1637"/>
      <c r="B91" s="360"/>
      <c r="C91" s="1630"/>
      <c r="D91" s="1626" t="s">
        <v>181</v>
      </c>
      <c r="E91" s="1891">
        <f>VLOOKUP(A86,UHT_AGM,30,FALSE)</f>
        <v>0</v>
      </c>
      <c r="F91" s="1905">
        <f t="shared" si="72"/>
        <v>0</v>
      </c>
      <c r="G91" s="1891"/>
      <c r="H91" s="1627">
        <f>VLOOKUP(A86,an_agm,54,FALSE)</f>
        <v>0</v>
      </c>
      <c r="I91" s="709">
        <f t="shared" si="73"/>
        <v>0</v>
      </c>
      <c r="J91" s="710">
        <f t="shared" si="74"/>
        <v>0</v>
      </c>
      <c r="K91" s="711" t="str">
        <f t="shared" si="75"/>
        <v>1.33</v>
      </c>
      <c r="L91" s="711" t="str">
        <f t="shared" si="76"/>
        <v>D+</v>
      </c>
      <c r="M91" s="712" t="str">
        <f t="shared" si="77"/>
        <v>0</v>
      </c>
      <c r="N91" s="1812"/>
      <c r="O91" s="1813"/>
      <c r="P91" s="1813"/>
      <c r="Q91" s="1813"/>
      <c r="R91" s="1813"/>
      <c r="S91" s="1813"/>
      <c r="T91" s="1814"/>
      <c r="U91" s="1814"/>
      <c r="V91" s="1814"/>
      <c r="W91" s="1814"/>
      <c r="X91" s="1814"/>
      <c r="Y91" s="1814"/>
      <c r="Z91" s="1922"/>
      <c r="AA91" s="1526"/>
    </row>
    <row r="92" spans="1:27" ht="24.95" customHeight="1" x14ac:dyDescent="0.25">
      <c r="A92" s="1641"/>
      <c r="B92" s="1642">
        <v>12</v>
      </c>
      <c r="C92" s="1643" t="s">
        <v>167</v>
      </c>
      <c r="D92" s="1641"/>
      <c r="E92" s="1189">
        <f>AVERAGE(E86:E91)</f>
        <v>0</v>
      </c>
      <c r="F92" s="1641"/>
      <c r="G92" s="1189" t="e">
        <f>AVEDEV(G86:G91)</f>
        <v>#NUM!</v>
      </c>
      <c r="H92" s="1189">
        <f>AVERAGE(H86:H91)</f>
        <v>0</v>
      </c>
      <c r="I92" s="1644"/>
      <c r="J92" s="350">
        <f>AVERAGE(J86:J91)</f>
        <v>0</v>
      </c>
      <c r="K92" s="350" t="str">
        <f>IF(J92&gt;85,("4"),IF(J92&gt;80,("3.66"),IF(J92&gt;75,("3.33"),IF(J92&gt;70,("3.00"),IF(J92&gt;65,("2.66"),IF(J92&gt;60,("2.33"),IF(J92&gt;55,("2"),IF(J92&gt;50,("1.66"),"1.33"))))))))</f>
        <v>1.33</v>
      </c>
      <c r="L92" s="1645" t="str">
        <f>IF(J92&gt;85,("A"),IF(J92&gt;80,("A-"),IF(J92&gt;75,("B+"),IF(J92&gt;70,("B"),IF(J92&gt;65,("B-"),IF(J92&gt;60,("C+"),IF(J92&gt;55,("C"),IF(J92&gt;50,("C-"),"D+"))))))))</f>
        <v>D+</v>
      </c>
      <c r="M92" s="1646" t="str">
        <f>IF(J92&gt;85,("A"),IF(J92&gt;80,("A-"),IF(J92&gt;75,("B+"),IF(J92&gt;70,("B"),IF(J92&gt;65,("B-"),IF(J92&gt;60,("C+"),IF(J92&gt;55,("C"),IF(J92&gt;50,("C-"),"D+"))))))))</f>
        <v>D+</v>
      </c>
      <c r="N92" s="1917"/>
      <c r="O92" s="1918"/>
      <c r="P92" s="1918"/>
      <c r="Q92" s="1918"/>
      <c r="R92" s="1918"/>
      <c r="S92" s="1918"/>
      <c r="T92" s="1918"/>
      <c r="U92" s="1918"/>
      <c r="V92" s="1918"/>
      <c r="W92" s="1918"/>
      <c r="X92" s="1918"/>
      <c r="Y92" s="1918"/>
      <c r="Z92" s="1923"/>
      <c r="AA92" s="1924"/>
    </row>
    <row r="93" spans="1:27" ht="24.95" customHeight="1" x14ac:dyDescent="0.3">
      <c r="A93" s="360">
        <v>13</v>
      </c>
      <c r="B93" s="683"/>
      <c r="C93" s="1625" t="str">
        <f>VLOOKUP(A93,data_siswa,4,FALSE)</f>
        <v>Misyanita Nurfitri S</v>
      </c>
      <c r="D93" s="1626" t="s">
        <v>7</v>
      </c>
      <c r="E93" s="1891">
        <f>VLOOKUP(A93,UHT_AGM,24,FALSE)</f>
        <v>0</v>
      </c>
      <c r="F93" s="1904">
        <f>E93*2</f>
        <v>0</v>
      </c>
      <c r="G93" s="1891"/>
      <c r="H93" s="1627">
        <f>VLOOKUP(A93,an_agm,49,FALSE)</f>
        <v>0</v>
      </c>
      <c r="I93" s="706">
        <f>F93+G93+H93</f>
        <v>0</v>
      </c>
      <c r="J93" s="707">
        <f>(F93+G93+H93)/4</f>
        <v>0</v>
      </c>
      <c r="K93" s="708" t="str">
        <f>IF(J93&gt;85,("4"),IF(J93&gt;80,("3.66"),IF(J93&gt;75,("3.33"),IF(J93&gt;70,("3.00"),IF(J93&gt;65,("2.66"),IF(J93&gt;60,("2.33"),IF(J93&gt;55,("2"),IF(J93&gt;50,("1.66"),"1.33"))))))))</f>
        <v>1.33</v>
      </c>
      <c r="L93" s="708" t="str">
        <f>IF(J93&gt;85,("A"),IF(J93&gt;80,("A-"),IF(J93&gt;75,("B+"),IF(J93&gt;70,("B"),IF(J93&gt;65,("B-"),IF(J93&gt;60,("C+"),IF(J93&gt;55,("C"),IF(J93&gt;50,("C-"),"D+"))))))))</f>
        <v>D+</v>
      </c>
      <c r="M93" s="887" t="str">
        <f>IF(J93&gt;80,("SB"),IF(J93&gt;65,("B"),IF(J93&gt;50,("C"),IF(J93&gt;0,("K"),"0"))))</f>
        <v>0</v>
      </c>
      <c r="N93" s="1628"/>
      <c r="O93" s="1602"/>
      <c r="P93" s="1602"/>
      <c r="Q93" s="1602"/>
      <c r="R93" s="1602"/>
      <c r="S93" s="1602"/>
      <c r="T93" s="1629"/>
      <c r="U93" s="1629"/>
      <c r="V93" s="1629"/>
      <c r="W93" s="1629"/>
      <c r="X93" s="1629"/>
      <c r="Y93" s="1629"/>
      <c r="Z93" s="1193">
        <f>J99</f>
        <v>0</v>
      </c>
      <c r="AA93" s="1919" t="str">
        <f>L99</f>
        <v>D+</v>
      </c>
    </row>
    <row r="94" spans="1:27" ht="24.95" customHeight="1" x14ac:dyDescent="0.3">
      <c r="A94" s="687"/>
      <c r="B94" s="683"/>
      <c r="C94" s="1630"/>
      <c r="D94" s="1626" t="s">
        <v>18</v>
      </c>
      <c r="E94" s="1891">
        <f>VLOOKUP(A93,UHT_AGM,25,FALSE)</f>
        <v>0</v>
      </c>
      <c r="F94" s="1905">
        <f t="shared" ref="F94:F98" si="78">E94*2</f>
        <v>0</v>
      </c>
      <c r="G94" s="1891"/>
      <c r="H94" s="1627">
        <f>VLOOKUP(A93,an_agm,50,FALSE)</f>
        <v>0</v>
      </c>
      <c r="I94" s="709">
        <f t="shared" ref="I94:I98" si="79">F94+G94+H94</f>
        <v>0</v>
      </c>
      <c r="J94" s="710">
        <f t="shared" ref="J94:J98" si="80">(F94+G94+H94)/4</f>
        <v>0</v>
      </c>
      <c r="K94" s="711" t="str">
        <f t="shared" ref="K94:K98" si="81">IF(J94&gt;85,("4"),IF(J94&gt;80,("3.66"),IF(J94&gt;75,("3.33"),IF(J94&gt;70,("3.00"),IF(J94&gt;65,("2.66"),IF(J94&gt;60,("2.33"),IF(J94&gt;55,("2"),IF(J94&gt;50,("1.66"),"1.33"))))))))</f>
        <v>1.33</v>
      </c>
      <c r="L94" s="711" t="str">
        <f t="shared" ref="L94:L98" si="82">IF(J94&gt;85,("A"),IF(J94&gt;80,("A-"),IF(J94&gt;75,("B+"),IF(J94&gt;70,("B"),IF(J94&gt;65,("B-"),IF(J94&gt;60,("C+"),IF(J94&gt;55,("C"),IF(J94&gt;50,("C-"),"D+"))))))))</f>
        <v>D+</v>
      </c>
      <c r="M94" s="712" t="str">
        <f t="shared" ref="M94:M98" si="83">IF(J94&gt;80,("SB"),IF(J94&gt;65,("B"),IF(J94&gt;50,("C"),IF(J94&gt;0,("K"),"0"))))</f>
        <v>0</v>
      </c>
      <c r="N94" s="1631"/>
      <c r="O94" s="1632"/>
      <c r="P94" s="1632"/>
      <c r="Q94" s="1632"/>
      <c r="R94" s="1632"/>
      <c r="S94" s="1632"/>
      <c r="T94" s="1633"/>
      <c r="U94" s="1633"/>
      <c r="V94" s="1633"/>
      <c r="W94" s="1633"/>
      <c r="X94" s="1633"/>
      <c r="Y94" s="1633"/>
      <c r="Z94" s="1920"/>
      <c r="AA94" s="1522"/>
    </row>
    <row r="95" spans="1:27" ht="24.95" customHeight="1" x14ac:dyDescent="0.3">
      <c r="A95" s="687"/>
      <c r="B95" s="683"/>
      <c r="C95" s="1630"/>
      <c r="D95" s="1626" t="s">
        <v>179</v>
      </c>
      <c r="E95" s="1891">
        <f>VLOOKUP(A93,UHT_AGM,26,FALSE)</f>
        <v>0</v>
      </c>
      <c r="F95" s="1905">
        <f t="shared" si="78"/>
        <v>0</v>
      </c>
      <c r="G95" s="1891"/>
      <c r="H95" s="1627">
        <f>VLOOKUP(A93,an_agm,51,FALSE)</f>
        <v>0</v>
      </c>
      <c r="I95" s="709">
        <f t="shared" si="79"/>
        <v>0</v>
      </c>
      <c r="J95" s="710">
        <f t="shared" si="80"/>
        <v>0</v>
      </c>
      <c r="K95" s="711" t="str">
        <f t="shared" si="81"/>
        <v>1.33</v>
      </c>
      <c r="L95" s="711" t="str">
        <f t="shared" si="82"/>
        <v>D+</v>
      </c>
      <c r="M95" s="712" t="str">
        <f t="shared" si="83"/>
        <v>0</v>
      </c>
      <c r="N95" s="1634"/>
      <c r="O95" s="1635"/>
      <c r="P95" s="1635"/>
      <c r="Q95" s="1635"/>
      <c r="R95" s="1635"/>
      <c r="S95" s="1635"/>
      <c r="T95" s="1636"/>
      <c r="U95" s="1636"/>
      <c r="V95" s="1636"/>
      <c r="W95" s="1636"/>
      <c r="X95" s="1636"/>
      <c r="Y95" s="1636"/>
      <c r="Z95" s="1921"/>
      <c r="AA95" s="1524"/>
    </row>
    <row r="96" spans="1:27" ht="24.95" customHeight="1" x14ac:dyDescent="0.3">
      <c r="A96" s="687"/>
      <c r="B96" s="683"/>
      <c r="C96" s="1630"/>
      <c r="D96" s="1626" t="s">
        <v>180</v>
      </c>
      <c r="E96" s="1891">
        <f>VLOOKUP(A93,UHT_AGM,27,FALSE)</f>
        <v>0</v>
      </c>
      <c r="F96" s="1905">
        <f t="shared" si="78"/>
        <v>0</v>
      </c>
      <c r="G96" s="1891"/>
      <c r="H96" s="1627">
        <f>VLOOKUP(A93,an_agm,52,FALSE)</f>
        <v>0</v>
      </c>
      <c r="I96" s="709">
        <f t="shared" si="79"/>
        <v>0</v>
      </c>
      <c r="J96" s="710">
        <f t="shared" si="80"/>
        <v>0</v>
      </c>
      <c r="K96" s="711" t="str">
        <f t="shared" si="81"/>
        <v>1.33</v>
      </c>
      <c r="L96" s="711" t="str">
        <f t="shared" si="82"/>
        <v>D+</v>
      </c>
      <c r="M96" s="712" t="str">
        <f t="shared" si="83"/>
        <v>0</v>
      </c>
      <c r="N96" s="1634"/>
      <c r="O96" s="1635"/>
      <c r="P96" s="1635"/>
      <c r="Q96" s="1635"/>
      <c r="R96" s="1635"/>
      <c r="S96" s="1635"/>
      <c r="T96" s="1636"/>
      <c r="U96" s="1636"/>
      <c r="V96" s="1636"/>
      <c r="W96" s="1636"/>
      <c r="X96" s="1636"/>
      <c r="Y96" s="1636"/>
      <c r="Z96" s="1921"/>
      <c r="AA96" s="1524"/>
    </row>
    <row r="97" spans="1:27" ht="24.95" customHeight="1" x14ac:dyDescent="0.3">
      <c r="A97" s="1637"/>
      <c r="B97" s="360"/>
      <c r="C97" s="1630"/>
      <c r="D97" s="1626" t="s">
        <v>19</v>
      </c>
      <c r="E97" s="1891">
        <f>VLOOKUP(A93,UHT_AGM,28,FALSE)</f>
        <v>0</v>
      </c>
      <c r="F97" s="1905">
        <f t="shared" si="78"/>
        <v>0</v>
      </c>
      <c r="G97" s="1891"/>
      <c r="H97" s="1627">
        <f>VLOOKUP(A93,an_agm,53,FALSE)</f>
        <v>0</v>
      </c>
      <c r="I97" s="709">
        <f t="shared" si="79"/>
        <v>0</v>
      </c>
      <c r="J97" s="710">
        <f t="shared" si="80"/>
        <v>0</v>
      </c>
      <c r="K97" s="711" t="str">
        <f t="shared" si="81"/>
        <v>1.33</v>
      </c>
      <c r="L97" s="711" t="str">
        <f t="shared" si="82"/>
        <v>D+</v>
      </c>
      <c r="M97" s="712" t="str">
        <f t="shared" si="83"/>
        <v>0</v>
      </c>
      <c r="N97" s="1638"/>
      <c r="O97" s="1639"/>
      <c r="P97" s="1639"/>
      <c r="Q97" s="1639"/>
      <c r="R97" s="1639"/>
      <c r="S97" s="1639"/>
      <c r="T97" s="1640"/>
      <c r="U97" s="1640"/>
      <c r="V97" s="1640"/>
      <c r="W97" s="1640"/>
      <c r="X97" s="1640"/>
      <c r="Y97" s="1640"/>
      <c r="Z97" s="1921"/>
      <c r="AA97" s="1524"/>
    </row>
    <row r="98" spans="1:27" ht="24.95" customHeight="1" x14ac:dyDescent="0.3">
      <c r="A98" s="1637"/>
      <c r="B98" s="360"/>
      <c r="C98" s="1630"/>
      <c r="D98" s="1626" t="s">
        <v>181</v>
      </c>
      <c r="E98" s="1891">
        <f>VLOOKUP(A93,UHT_AGM,30,FALSE)</f>
        <v>0</v>
      </c>
      <c r="F98" s="1905">
        <f t="shared" si="78"/>
        <v>0</v>
      </c>
      <c r="G98" s="1891"/>
      <c r="H98" s="1627">
        <f>VLOOKUP(A93,an_agm,54,FALSE)</f>
        <v>0</v>
      </c>
      <c r="I98" s="709">
        <f t="shared" si="79"/>
        <v>0</v>
      </c>
      <c r="J98" s="710">
        <f t="shared" si="80"/>
        <v>0</v>
      </c>
      <c r="K98" s="711" t="str">
        <f t="shared" si="81"/>
        <v>1.33</v>
      </c>
      <c r="L98" s="711" t="str">
        <f t="shared" si="82"/>
        <v>D+</v>
      </c>
      <c r="M98" s="712" t="str">
        <f t="shared" si="83"/>
        <v>0</v>
      </c>
      <c r="N98" s="1812"/>
      <c r="O98" s="1813"/>
      <c r="P98" s="1813"/>
      <c r="Q98" s="1813"/>
      <c r="R98" s="1813"/>
      <c r="S98" s="1813"/>
      <c r="T98" s="1814"/>
      <c r="U98" s="1814"/>
      <c r="V98" s="1814"/>
      <c r="W98" s="1814"/>
      <c r="X98" s="1814"/>
      <c r="Y98" s="1814"/>
      <c r="Z98" s="1922"/>
      <c r="AA98" s="1526"/>
    </row>
    <row r="99" spans="1:27" ht="24.95" customHeight="1" x14ac:dyDescent="0.25">
      <c r="A99" s="1641"/>
      <c r="B99" s="1642">
        <v>13</v>
      </c>
      <c r="C99" s="1643" t="s">
        <v>167</v>
      </c>
      <c r="D99" s="1641"/>
      <c r="E99" s="1189">
        <f>AVERAGE(E93:E98)</f>
        <v>0</v>
      </c>
      <c r="F99" s="1641"/>
      <c r="G99" s="1189" t="e">
        <f>AVEDEV(G93:G98)</f>
        <v>#NUM!</v>
      </c>
      <c r="H99" s="1189">
        <f>AVERAGE(H93:H98)</f>
        <v>0</v>
      </c>
      <c r="I99" s="1644"/>
      <c r="J99" s="350">
        <f>AVERAGE(J93:J98)</f>
        <v>0</v>
      </c>
      <c r="K99" s="350" t="str">
        <f>IF(J99&gt;85,("4"),IF(J99&gt;80,("3.66"),IF(J99&gt;75,("3.33"),IF(J99&gt;70,("3.00"),IF(J99&gt;65,("2.66"),IF(J99&gt;60,("2.33"),IF(J99&gt;55,("2"),IF(J99&gt;50,("1.66"),"1.33"))))))))</f>
        <v>1.33</v>
      </c>
      <c r="L99" s="1645" t="str">
        <f>IF(J99&gt;85,("A"),IF(J99&gt;80,("A-"),IF(J99&gt;75,("B+"),IF(J99&gt;70,("B"),IF(J99&gt;65,("B-"),IF(J99&gt;60,("C+"),IF(J99&gt;55,("C"),IF(J99&gt;50,("C-"),"D+"))))))))</f>
        <v>D+</v>
      </c>
      <c r="M99" s="1646" t="str">
        <f>IF(J99&gt;85,("A"),IF(J99&gt;80,("A-"),IF(J99&gt;75,("B+"),IF(J99&gt;70,("B"),IF(J99&gt;65,("B-"),IF(J99&gt;60,("C+"),IF(J99&gt;55,("C"),IF(J99&gt;50,("C-"),"D+"))))))))</f>
        <v>D+</v>
      </c>
      <c r="N99" s="1917"/>
      <c r="O99" s="1918"/>
      <c r="P99" s="1918"/>
      <c r="Q99" s="1918"/>
      <c r="R99" s="1918"/>
      <c r="S99" s="1918"/>
      <c r="T99" s="1918"/>
      <c r="U99" s="1918"/>
      <c r="V99" s="1918"/>
      <c r="W99" s="1918"/>
      <c r="X99" s="1918"/>
      <c r="Y99" s="1918"/>
      <c r="Z99" s="1923"/>
      <c r="AA99" s="1924"/>
    </row>
    <row r="100" spans="1:27" ht="24.95" customHeight="1" x14ac:dyDescent="0.3">
      <c r="A100" s="360">
        <v>14</v>
      </c>
      <c r="B100" s="683"/>
      <c r="C100" s="1625" t="str">
        <f>VLOOKUP(A100,data_siswa,4,FALSE)</f>
        <v>Moch Zidane Hita L. U</v>
      </c>
      <c r="D100" s="1626" t="s">
        <v>7</v>
      </c>
      <c r="E100" s="1891">
        <f>VLOOKUP(A100,UHT_AGM,24,FALSE)</f>
        <v>0</v>
      </c>
      <c r="F100" s="1904">
        <f>E100*2</f>
        <v>0</v>
      </c>
      <c r="G100" s="1891"/>
      <c r="H100" s="1627">
        <f>VLOOKUP(A100,an_agm,49,FALSE)</f>
        <v>0</v>
      </c>
      <c r="I100" s="706">
        <f>F100+G100+H100</f>
        <v>0</v>
      </c>
      <c r="J100" s="707">
        <f>(F100+G100+H100)/4</f>
        <v>0</v>
      </c>
      <c r="K100" s="708" t="str">
        <f>IF(J100&gt;85,("4"),IF(J100&gt;80,("3.66"),IF(J100&gt;75,("3.33"),IF(J100&gt;70,("3.00"),IF(J100&gt;65,("2.66"),IF(J100&gt;60,("2.33"),IF(J100&gt;55,("2"),IF(J100&gt;50,("1.66"),"1.33"))))))))</f>
        <v>1.33</v>
      </c>
      <c r="L100" s="708" t="str">
        <f>IF(J100&gt;85,("A"),IF(J100&gt;80,("A-"),IF(J100&gt;75,("B+"),IF(J100&gt;70,("B"),IF(J100&gt;65,("B-"),IF(J100&gt;60,("C+"),IF(J100&gt;55,("C"),IF(J100&gt;50,("C-"),"D+"))))))))</f>
        <v>D+</v>
      </c>
      <c r="M100" s="887" t="str">
        <f>IF(J100&gt;80,("SB"),IF(J100&gt;65,("B"),IF(J100&gt;50,("C"),IF(J100&gt;0,("K"),"0"))))</f>
        <v>0</v>
      </c>
      <c r="N100" s="1628"/>
      <c r="O100" s="1602"/>
      <c r="P100" s="1602"/>
      <c r="Q100" s="1602"/>
      <c r="R100" s="1602"/>
      <c r="S100" s="1602"/>
      <c r="T100" s="1629"/>
      <c r="U100" s="1629"/>
      <c r="V100" s="1629"/>
      <c r="W100" s="1629"/>
      <c r="X100" s="1629"/>
      <c r="Y100" s="1629"/>
      <c r="Z100" s="1193">
        <f>J106</f>
        <v>0</v>
      </c>
      <c r="AA100" s="1919" t="str">
        <f>L106</f>
        <v>D+</v>
      </c>
    </row>
    <row r="101" spans="1:27" ht="24.95" customHeight="1" x14ac:dyDescent="0.3">
      <c r="A101" s="687"/>
      <c r="B101" s="683"/>
      <c r="C101" s="1630"/>
      <c r="D101" s="1626" t="s">
        <v>18</v>
      </c>
      <c r="E101" s="1891">
        <f>VLOOKUP(A100,UHT_AGM,25,FALSE)</f>
        <v>0</v>
      </c>
      <c r="F101" s="1905">
        <f t="shared" ref="F101:F105" si="84">E101*2</f>
        <v>0</v>
      </c>
      <c r="G101" s="1891"/>
      <c r="H101" s="1627">
        <f>VLOOKUP(A100,an_agm,50,FALSE)</f>
        <v>0</v>
      </c>
      <c r="I101" s="709">
        <f t="shared" ref="I101:I105" si="85">F101+G101+H101</f>
        <v>0</v>
      </c>
      <c r="J101" s="710">
        <f t="shared" ref="J101:J105" si="86">(F101+G101+H101)/4</f>
        <v>0</v>
      </c>
      <c r="K101" s="711" t="str">
        <f t="shared" ref="K101:K105" si="87">IF(J101&gt;85,("4"),IF(J101&gt;80,("3.66"),IF(J101&gt;75,("3.33"),IF(J101&gt;70,("3.00"),IF(J101&gt;65,("2.66"),IF(J101&gt;60,("2.33"),IF(J101&gt;55,("2"),IF(J101&gt;50,("1.66"),"1.33"))))))))</f>
        <v>1.33</v>
      </c>
      <c r="L101" s="711" t="str">
        <f t="shared" ref="L101:L105" si="88">IF(J101&gt;85,("A"),IF(J101&gt;80,("A-"),IF(J101&gt;75,("B+"),IF(J101&gt;70,("B"),IF(J101&gt;65,("B-"),IF(J101&gt;60,("C+"),IF(J101&gt;55,("C"),IF(J101&gt;50,("C-"),"D+"))))))))</f>
        <v>D+</v>
      </c>
      <c r="M101" s="712" t="str">
        <f t="shared" ref="M101:M105" si="89">IF(J101&gt;80,("SB"),IF(J101&gt;65,("B"),IF(J101&gt;50,("C"),IF(J101&gt;0,("K"),"0"))))</f>
        <v>0</v>
      </c>
      <c r="N101" s="1631"/>
      <c r="O101" s="1632"/>
      <c r="P101" s="1632"/>
      <c r="Q101" s="1632"/>
      <c r="R101" s="1632"/>
      <c r="S101" s="1632"/>
      <c r="T101" s="1633"/>
      <c r="U101" s="1633"/>
      <c r="V101" s="1633"/>
      <c r="W101" s="1633"/>
      <c r="X101" s="1633"/>
      <c r="Y101" s="1633"/>
      <c r="Z101" s="1920"/>
      <c r="AA101" s="1522"/>
    </row>
    <row r="102" spans="1:27" ht="24.95" customHeight="1" x14ac:dyDescent="0.3">
      <c r="A102" s="687"/>
      <c r="B102" s="683"/>
      <c r="C102" s="1630"/>
      <c r="D102" s="1626" t="s">
        <v>179</v>
      </c>
      <c r="E102" s="1891">
        <f>VLOOKUP(A100,UHT_AGM,26,FALSE)</f>
        <v>0</v>
      </c>
      <c r="F102" s="1905">
        <f t="shared" si="84"/>
        <v>0</v>
      </c>
      <c r="G102" s="1891"/>
      <c r="H102" s="1627">
        <f>VLOOKUP(A100,an_agm,51,FALSE)</f>
        <v>0</v>
      </c>
      <c r="I102" s="709">
        <f t="shared" si="85"/>
        <v>0</v>
      </c>
      <c r="J102" s="710">
        <f t="shared" si="86"/>
        <v>0</v>
      </c>
      <c r="K102" s="711" t="str">
        <f t="shared" si="87"/>
        <v>1.33</v>
      </c>
      <c r="L102" s="711" t="str">
        <f t="shared" si="88"/>
        <v>D+</v>
      </c>
      <c r="M102" s="712" t="str">
        <f t="shared" si="89"/>
        <v>0</v>
      </c>
      <c r="N102" s="1634"/>
      <c r="O102" s="1635"/>
      <c r="P102" s="1635"/>
      <c r="Q102" s="1635"/>
      <c r="R102" s="1635"/>
      <c r="S102" s="1635"/>
      <c r="T102" s="1636"/>
      <c r="U102" s="1636"/>
      <c r="V102" s="1636"/>
      <c r="W102" s="1636"/>
      <c r="X102" s="1636"/>
      <c r="Y102" s="1636"/>
      <c r="Z102" s="1921"/>
      <c r="AA102" s="1524"/>
    </row>
    <row r="103" spans="1:27" ht="24.95" customHeight="1" x14ac:dyDescent="0.3">
      <c r="A103" s="687"/>
      <c r="B103" s="683"/>
      <c r="C103" s="1630"/>
      <c r="D103" s="1626" t="s">
        <v>180</v>
      </c>
      <c r="E103" s="1891">
        <f>VLOOKUP(A100,UHT_AGM,27,FALSE)</f>
        <v>0</v>
      </c>
      <c r="F103" s="1905">
        <f t="shared" si="84"/>
        <v>0</v>
      </c>
      <c r="G103" s="1891"/>
      <c r="H103" s="1627">
        <f>VLOOKUP(A100,an_agm,52,FALSE)</f>
        <v>0</v>
      </c>
      <c r="I103" s="709">
        <f t="shared" si="85"/>
        <v>0</v>
      </c>
      <c r="J103" s="710">
        <f t="shared" si="86"/>
        <v>0</v>
      </c>
      <c r="K103" s="711" t="str">
        <f t="shared" si="87"/>
        <v>1.33</v>
      </c>
      <c r="L103" s="711" t="str">
        <f t="shared" si="88"/>
        <v>D+</v>
      </c>
      <c r="M103" s="712" t="str">
        <f t="shared" si="89"/>
        <v>0</v>
      </c>
      <c r="N103" s="1634"/>
      <c r="O103" s="1635"/>
      <c r="P103" s="1635"/>
      <c r="Q103" s="1635"/>
      <c r="R103" s="1635"/>
      <c r="S103" s="1635"/>
      <c r="T103" s="1636"/>
      <c r="U103" s="1636"/>
      <c r="V103" s="1636"/>
      <c r="W103" s="1636"/>
      <c r="X103" s="1636"/>
      <c r="Y103" s="1636"/>
      <c r="Z103" s="1921"/>
      <c r="AA103" s="1524"/>
    </row>
    <row r="104" spans="1:27" ht="24.95" customHeight="1" x14ac:dyDescent="0.3">
      <c r="A104" s="1637"/>
      <c r="B104" s="360"/>
      <c r="C104" s="1630"/>
      <c r="D104" s="1626" t="s">
        <v>19</v>
      </c>
      <c r="E104" s="1891">
        <f>VLOOKUP(A100,UHT_AGM,28,FALSE)</f>
        <v>0</v>
      </c>
      <c r="F104" s="1905">
        <f t="shared" si="84"/>
        <v>0</v>
      </c>
      <c r="G104" s="1891"/>
      <c r="H104" s="1627">
        <f>VLOOKUP(A100,an_agm,53,FALSE)</f>
        <v>0</v>
      </c>
      <c r="I104" s="709">
        <f t="shared" si="85"/>
        <v>0</v>
      </c>
      <c r="J104" s="710">
        <f t="shared" si="86"/>
        <v>0</v>
      </c>
      <c r="K104" s="711" t="str">
        <f t="shared" si="87"/>
        <v>1.33</v>
      </c>
      <c r="L104" s="711" t="str">
        <f t="shared" si="88"/>
        <v>D+</v>
      </c>
      <c r="M104" s="712" t="str">
        <f t="shared" si="89"/>
        <v>0</v>
      </c>
      <c r="N104" s="1638"/>
      <c r="O104" s="1639"/>
      <c r="P104" s="1639"/>
      <c r="Q104" s="1639"/>
      <c r="R104" s="1639"/>
      <c r="S104" s="1639"/>
      <c r="T104" s="1640"/>
      <c r="U104" s="1640"/>
      <c r="V104" s="1640"/>
      <c r="W104" s="1640"/>
      <c r="X104" s="1640"/>
      <c r="Y104" s="1640"/>
      <c r="Z104" s="1921"/>
      <c r="AA104" s="1524"/>
    </row>
    <row r="105" spans="1:27" ht="24.95" customHeight="1" x14ac:dyDescent="0.3">
      <c r="A105" s="1637"/>
      <c r="B105" s="360"/>
      <c r="C105" s="1630"/>
      <c r="D105" s="1626" t="s">
        <v>181</v>
      </c>
      <c r="E105" s="1891">
        <f>VLOOKUP(A100,UHT_AGM,30,FALSE)</f>
        <v>0</v>
      </c>
      <c r="F105" s="1905">
        <f t="shared" si="84"/>
        <v>0</v>
      </c>
      <c r="G105" s="1891"/>
      <c r="H105" s="1627">
        <f>VLOOKUP(A100,an_agm,54,FALSE)</f>
        <v>0</v>
      </c>
      <c r="I105" s="709">
        <f t="shared" si="85"/>
        <v>0</v>
      </c>
      <c r="J105" s="710">
        <f t="shared" si="86"/>
        <v>0</v>
      </c>
      <c r="K105" s="711" t="str">
        <f t="shared" si="87"/>
        <v>1.33</v>
      </c>
      <c r="L105" s="711" t="str">
        <f t="shared" si="88"/>
        <v>D+</v>
      </c>
      <c r="M105" s="712" t="str">
        <f t="shared" si="89"/>
        <v>0</v>
      </c>
      <c r="N105" s="1812"/>
      <c r="O105" s="1813"/>
      <c r="P105" s="1813"/>
      <c r="Q105" s="1813"/>
      <c r="R105" s="1813"/>
      <c r="S105" s="1813"/>
      <c r="T105" s="1814"/>
      <c r="U105" s="1814"/>
      <c r="V105" s="1814"/>
      <c r="W105" s="1814"/>
      <c r="X105" s="1814"/>
      <c r="Y105" s="1814"/>
      <c r="Z105" s="1922"/>
      <c r="AA105" s="1526"/>
    </row>
    <row r="106" spans="1:27" ht="24.95" customHeight="1" x14ac:dyDescent="0.25">
      <c r="A106" s="1641"/>
      <c r="B106" s="1642">
        <v>14</v>
      </c>
      <c r="C106" s="1643" t="s">
        <v>167</v>
      </c>
      <c r="D106" s="1641"/>
      <c r="E106" s="1189">
        <f>AVERAGE(E100:E105)</f>
        <v>0</v>
      </c>
      <c r="F106" s="1641"/>
      <c r="G106" s="1189" t="e">
        <f>AVEDEV(G100:G105)</f>
        <v>#NUM!</v>
      </c>
      <c r="H106" s="1189">
        <f>AVERAGE(H100:H105)</f>
        <v>0</v>
      </c>
      <c r="I106" s="1644"/>
      <c r="J106" s="350">
        <f>AVERAGE(J100:J105)</f>
        <v>0</v>
      </c>
      <c r="K106" s="350" t="str">
        <f>IF(J106&gt;85,("4"),IF(J106&gt;80,("3.66"),IF(J106&gt;75,("3.33"),IF(J106&gt;70,("3.00"),IF(J106&gt;65,("2.66"),IF(J106&gt;60,("2.33"),IF(J106&gt;55,("2"),IF(J106&gt;50,("1.66"),"1.33"))))))))</f>
        <v>1.33</v>
      </c>
      <c r="L106" s="1645" t="str">
        <f>IF(J106&gt;85,("A"),IF(J106&gt;80,("A-"),IF(J106&gt;75,("B+"),IF(J106&gt;70,("B"),IF(J106&gt;65,("B-"),IF(J106&gt;60,("C+"),IF(J106&gt;55,("C"),IF(J106&gt;50,("C-"),"D+"))))))))</f>
        <v>D+</v>
      </c>
      <c r="M106" s="1646" t="str">
        <f>IF(J106&gt;85,("A"),IF(J106&gt;80,("A-"),IF(J106&gt;75,("B+"),IF(J106&gt;70,("B"),IF(J106&gt;65,("B-"),IF(J106&gt;60,("C+"),IF(J106&gt;55,("C"),IF(J106&gt;50,("C-"),"D+"))))))))</f>
        <v>D+</v>
      </c>
      <c r="N106" s="1917"/>
      <c r="O106" s="1918"/>
      <c r="P106" s="1918"/>
      <c r="Q106" s="1918"/>
      <c r="R106" s="1918"/>
      <c r="S106" s="1918"/>
      <c r="T106" s="1918"/>
      <c r="U106" s="1918"/>
      <c r="V106" s="1918"/>
      <c r="W106" s="1918"/>
      <c r="X106" s="1918"/>
      <c r="Y106" s="1918"/>
      <c r="Z106" s="1923"/>
      <c r="AA106" s="1924"/>
    </row>
    <row r="107" spans="1:27" ht="24.95" customHeight="1" x14ac:dyDescent="0.3">
      <c r="A107" s="360">
        <v>15</v>
      </c>
      <c r="B107" s="683"/>
      <c r="C107" s="1625" t="str">
        <f>VLOOKUP(A107,data_siswa,4,FALSE)</f>
        <v>Muhammad Ibra Maulana</v>
      </c>
      <c r="D107" s="1626" t="s">
        <v>7</v>
      </c>
      <c r="E107" s="1891">
        <f>VLOOKUP(A107,UHT_AGM,24,FALSE)</f>
        <v>0</v>
      </c>
      <c r="F107" s="1904">
        <f>E107*2</f>
        <v>0</v>
      </c>
      <c r="G107" s="1891"/>
      <c r="H107" s="1627">
        <f>VLOOKUP(A107,an_agm,49,FALSE)</f>
        <v>0</v>
      </c>
      <c r="I107" s="706">
        <f>F107+G107+H107</f>
        <v>0</v>
      </c>
      <c r="J107" s="707">
        <f>(F107+G107+H107)/4</f>
        <v>0</v>
      </c>
      <c r="K107" s="708" t="str">
        <f>IF(J107&gt;85,("4"),IF(J107&gt;80,("3.66"),IF(J107&gt;75,("3.33"),IF(J107&gt;70,("3.00"),IF(J107&gt;65,("2.66"),IF(J107&gt;60,("2.33"),IF(J107&gt;55,("2"),IF(J107&gt;50,("1.66"),"1.33"))))))))</f>
        <v>1.33</v>
      </c>
      <c r="L107" s="708" t="str">
        <f>IF(J107&gt;85,("A"),IF(J107&gt;80,("A-"),IF(J107&gt;75,("B+"),IF(J107&gt;70,("B"),IF(J107&gt;65,("B-"),IF(J107&gt;60,("C+"),IF(J107&gt;55,("C"),IF(J107&gt;50,("C-"),"D+"))))))))</f>
        <v>D+</v>
      </c>
      <c r="M107" s="887" t="str">
        <f>IF(J107&gt;80,("SB"),IF(J107&gt;65,("B"),IF(J107&gt;50,("C"),IF(J107&gt;0,("K"),"0"))))</f>
        <v>0</v>
      </c>
      <c r="N107" s="1628"/>
      <c r="O107" s="1602"/>
      <c r="P107" s="1602"/>
      <c r="Q107" s="1602"/>
      <c r="R107" s="1602"/>
      <c r="S107" s="1602"/>
      <c r="T107" s="1629"/>
      <c r="U107" s="1629"/>
      <c r="V107" s="1629"/>
      <c r="W107" s="1629"/>
      <c r="X107" s="1629"/>
      <c r="Y107" s="1629"/>
      <c r="Z107" s="1193">
        <f>J113</f>
        <v>0</v>
      </c>
      <c r="AA107" s="1919" t="str">
        <f>L113</f>
        <v>D+</v>
      </c>
    </row>
    <row r="108" spans="1:27" ht="24.95" customHeight="1" x14ac:dyDescent="0.3">
      <c r="A108" s="687"/>
      <c r="B108" s="683"/>
      <c r="C108" s="1630"/>
      <c r="D108" s="1626" t="s">
        <v>18</v>
      </c>
      <c r="E108" s="1891">
        <f>VLOOKUP(A107,UHT_AGM,25,FALSE)</f>
        <v>0</v>
      </c>
      <c r="F108" s="1905">
        <f t="shared" ref="F108:F112" si="90">E108*2</f>
        <v>0</v>
      </c>
      <c r="G108" s="1891"/>
      <c r="H108" s="1627">
        <f>VLOOKUP(A107,an_agm,50,FALSE)</f>
        <v>0</v>
      </c>
      <c r="I108" s="709">
        <f t="shared" ref="I108:I112" si="91">F108+G108+H108</f>
        <v>0</v>
      </c>
      <c r="J108" s="710">
        <f t="shared" ref="J108:J112" si="92">(F108+G108+H108)/4</f>
        <v>0</v>
      </c>
      <c r="K108" s="711" t="str">
        <f t="shared" ref="K108:K112" si="93">IF(J108&gt;85,("4"),IF(J108&gt;80,("3.66"),IF(J108&gt;75,("3.33"),IF(J108&gt;70,("3.00"),IF(J108&gt;65,("2.66"),IF(J108&gt;60,("2.33"),IF(J108&gt;55,("2"),IF(J108&gt;50,("1.66"),"1.33"))))))))</f>
        <v>1.33</v>
      </c>
      <c r="L108" s="711" t="str">
        <f t="shared" ref="L108:L112" si="94">IF(J108&gt;85,("A"),IF(J108&gt;80,("A-"),IF(J108&gt;75,("B+"),IF(J108&gt;70,("B"),IF(J108&gt;65,("B-"),IF(J108&gt;60,("C+"),IF(J108&gt;55,("C"),IF(J108&gt;50,("C-"),"D+"))))))))</f>
        <v>D+</v>
      </c>
      <c r="M108" s="712" t="str">
        <f t="shared" ref="M108:M112" si="95">IF(J108&gt;80,("SB"),IF(J108&gt;65,("B"),IF(J108&gt;50,("C"),IF(J108&gt;0,("K"),"0"))))</f>
        <v>0</v>
      </c>
      <c r="N108" s="1631"/>
      <c r="O108" s="1632"/>
      <c r="P108" s="1632"/>
      <c r="Q108" s="1632"/>
      <c r="R108" s="1632"/>
      <c r="S108" s="1632"/>
      <c r="T108" s="1633"/>
      <c r="U108" s="1633"/>
      <c r="V108" s="1633"/>
      <c r="W108" s="1633"/>
      <c r="X108" s="1633"/>
      <c r="Y108" s="1633"/>
      <c r="Z108" s="1920"/>
      <c r="AA108" s="1522"/>
    </row>
    <row r="109" spans="1:27" ht="24.95" customHeight="1" x14ac:dyDescent="0.3">
      <c r="A109" s="687"/>
      <c r="B109" s="683"/>
      <c r="C109" s="1630"/>
      <c r="D109" s="1626" t="s">
        <v>179</v>
      </c>
      <c r="E109" s="1891">
        <f>VLOOKUP(A107,UHT_AGM,26,FALSE)</f>
        <v>0</v>
      </c>
      <c r="F109" s="1905">
        <f t="shared" si="90"/>
        <v>0</v>
      </c>
      <c r="G109" s="1891"/>
      <c r="H109" s="1627">
        <f>VLOOKUP(A107,an_agm,51,FALSE)</f>
        <v>0</v>
      </c>
      <c r="I109" s="709">
        <f t="shared" si="91"/>
        <v>0</v>
      </c>
      <c r="J109" s="710">
        <f t="shared" si="92"/>
        <v>0</v>
      </c>
      <c r="K109" s="711" t="str">
        <f t="shared" si="93"/>
        <v>1.33</v>
      </c>
      <c r="L109" s="711" t="str">
        <f t="shared" si="94"/>
        <v>D+</v>
      </c>
      <c r="M109" s="712" t="str">
        <f t="shared" si="95"/>
        <v>0</v>
      </c>
      <c r="N109" s="1634"/>
      <c r="O109" s="1635"/>
      <c r="P109" s="1635"/>
      <c r="Q109" s="1635"/>
      <c r="R109" s="1635"/>
      <c r="S109" s="1635"/>
      <c r="T109" s="1636"/>
      <c r="U109" s="1636"/>
      <c r="V109" s="1636"/>
      <c r="W109" s="1636"/>
      <c r="X109" s="1636"/>
      <c r="Y109" s="1636"/>
      <c r="Z109" s="1921"/>
      <c r="AA109" s="1524"/>
    </row>
    <row r="110" spans="1:27" ht="24.95" customHeight="1" x14ac:dyDescent="0.3">
      <c r="A110" s="687"/>
      <c r="B110" s="683"/>
      <c r="C110" s="1630"/>
      <c r="D110" s="1626" t="s">
        <v>180</v>
      </c>
      <c r="E110" s="1891">
        <f>VLOOKUP(A107,UHT_AGM,27,FALSE)</f>
        <v>0</v>
      </c>
      <c r="F110" s="1905">
        <f t="shared" si="90"/>
        <v>0</v>
      </c>
      <c r="G110" s="1891"/>
      <c r="H110" s="1627">
        <f>VLOOKUP(A107,an_agm,52,FALSE)</f>
        <v>0</v>
      </c>
      <c r="I110" s="709">
        <f t="shared" si="91"/>
        <v>0</v>
      </c>
      <c r="J110" s="710">
        <f t="shared" si="92"/>
        <v>0</v>
      </c>
      <c r="K110" s="711" t="str">
        <f t="shared" si="93"/>
        <v>1.33</v>
      </c>
      <c r="L110" s="711" t="str">
        <f t="shared" si="94"/>
        <v>D+</v>
      </c>
      <c r="M110" s="712" t="str">
        <f t="shared" si="95"/>
        <v>0</v>
      </c>
      <c r="N110" s="1634"/>
      <c r="O110" s="1635"/>
      <c r="P110" s="1635"/>
      <c r="Q110" s="1635"/>
      <c r="R110" s="1635"/>
      <c r="S110" s="1635"/>
      <c r="T110" s="1636"/>
      <c r="U110" s="1636"/>
      <c r="V110" s="1636"/>
      <c r="W110" s="1636"/>
      <c r="X110" s="1636"/>
      <c r="Y110" s="1636"/>
      <c r="Z110" s="1921"/>
      <c r="AA110" s="1524"/>
    </row>
    <row r="111" spans="1:27" ht="24.95" customHeight="1" x14ac:dyDescent="0.3">
      <c r="A111" s="1637"/>
      <c r="B111" s="360"/>
      <c r="C111" s="1630"/>
      <c r="D111" s="1626" t="s">
        <v>19</v>
      </c>
      <c r="E111" s="1891">
        <f>VLOOKUP(A107,UHT_AGM,28,FALSE)</f>
        <v>0</v>
      </c>
      <c r="F111" s="1905">
        <f t="shared" si="90"/>
        <v>0</v>
      </c>
      <c r="G111" s="1891"/>
      <c r="H111" s="1627">
        <f>VLOOKUP(A107,an_agm,53,FALSE)</f>
        <v>0</v>
      </c>
      <c r="I111" s="709">
        <f t="shared" si="91"/>
        <v>0</v>
      </c>
      <c r="J111" s="710">
        <f t="shared" si="92"/>
        <v>0</v>
      </c>
      <c r="K111" s="711" t="str">
        <f t="shared" si="93"/>
        <v>1.33</v>
      </c>
      <c r="L111" s="711" t="str">
        <f t="shared" si="94"/>
        <v>D+</v>
      </c>
      <c r="M111" s="712" t="str">
        <f t="shared" si="95"/>
        <v>0</v>
      </c>
      <c r="N111" s="1638"/>
      <c r="O111" s="1639"/>
      <c r="P111" s="1639"/>
      <c r="Q111" s="1639"/>
      <c r="R111" s="1639"/>
      <c r="S111" s="1639"/>
      <c r="T111" s="1640"/>
      <c r="U111" s="1640"/>
      <c r="V111" s="1640"/>
      <c r="W111" s="1640"/>
      <c r="X111" s="1640"/>
      <c r="Y111" s="1640"/>
      <c r="Z111" s="1921"/>
      <c r="AA111" s="1524"/>
    </row>
    <row r="112" spans="1:27" ht="24.95" customHeight="1" x14ac:dyDescent="0.3">
      <c r="A112" s="1637"/>
      <c r="B112" s="360"/>
      <c r="C112" s="1630"/>
      <c r="D112" s="1626" t="s">
        <v>181</v>
      </c>
      <c r="E112" s="1891">
        <f>VLOOKUP(A107,UHT_AGM,30,FALSE)</f>
        <v>0</v>
      </c>
      <c r="F112" s="1905">
        <f t="shared" si="90"/>
        <v>0</v>
      </c>
      <c r="G112" s="1891"/>
      <c r="H112" s="1627">
        <f>VLOOKUP(A107,an_agm,54,FALSE)</f>
        <v>0</v>
      </c>
      <c r="I112" s="709">
        <f t="shared" si="91"/>
        <v>0</v>
      </c>
      <c r="J112" s="710">
        <f t="shared" si="92"/>
        <v>0</v>
      </c>
      <c r="K112" s="711" t="str">
        <f t="shared" si="93"/>
        <v>1.33</v>
      </c>
      <c r="L112" s="711" t="str">
        <f t="shared" si="94"/>
        <v>D+</v>
      </c>
      <c r="M112" s="712" t="str">
        <f t="shared" si="95"/>
        <v>0</v>
      </c>
      <c r="N112" s="1812"/>
      <c r="O112" s="1813"/>
      <c r="P112" s="1813"/>
      <c r="Q112" s="1813"/>
      <c r="R112" s="1813"/>
      <c r="S112" s="1813"/>
      <c r="T112" s="1814"/>
      <c r="U112" s="1814"/>
      <c r="V112" s="1814"/>
      <c r="W112" s="1814"/>
      <c r="X112" s="1814"/>
      <c r="Y112" s="1814"/>
      <c r="Z112" s="1922"/>
      <c r="AA112" s="1526"/>
    </row>
    <row r="113" spans="1:27" ht="24.95" customHeight="1" x14ac:dyDescent="0.25">
      <c r="A113" s="1641"/>
      <c r="B113" s="1642">
        <v>15</v>
      </c>
      <c r="C113" s="1643" t="s">
        <v>167</v>
      </c>
      <c r="D113" s="1641"/>
      <c r="E113" s="1189">
        <f>AVERAGE(E107:E112)</f>
        <v>0</v>
      </c>
      <c r="F113" s="1641"/>
      <c r="G113" s="1189" t="e">
        <f>AVEDEV(G107:G112)</f>
        <v>#NUM!</v>
      </c>
      <c r="H113" s="1189">
        <f>AVERAGE(H107:H112)</f>
        <v>0</v>
      </c>
      <c r="I113" s="1644"/>
      <c r="J113" s="350">
        <f>AVERAGE(J107:J112)</f>
        <v>0</v>
      </c>
      <c r="K113" s="350" t="str">
        <f>IF(J113&gt;85,("4"),IF(J113&gt;80,("3.66"),IF(J113&gt;75,("3.33"),IF(J113&gt;70,("3.00"),IF(J113&gt;65,("2.66"),IF(J113&gt;60,("2.33"),IF(J113&gt;55,("2"),IF(J113&gt;50,("1.66"),"1.33"))))))))</f>
        <v>1.33</v>
      </c>
      <c r="L113" s="1645" t="str">
        <f>IF(J113&gt;85,("A"),IF(J113&gt;80,("A-"),IF(J113&gt;75,("B+"),IF(J113&gt;70,("B"),IF(J113&gt;65,("B-"),IF(J113&gt;60,("C+"),IF(J113&gt;55,("C"),IF(J113&gt;50,("C-"),"D+"))))))))</f>
        <v>D+</v>
      </c>
      <c r="M113" s="1646" t="str">
        <f>IF(J113&gt;85,("A"),IF(J113&gt;80,("A-"),IF(J113&gt;75,("B+"),IF(J113&gt;70,("B"),IF(J113&gt;65,("B-"),IF(J113&gt;60,("C+"),IF(J113&gt;55,("C"),IF(J113&gt;50,("C-"),"D+"))))))))</f>
        <v>D+</v>
      </c>
      <c r="N113" s="1917"/>
      <c r="O113" s="1918"/>
      <c r="P113" s="1918"/>
      <c r="Q113" s="1918"/>
      <c r="R113" s="1918"/>
      <c r="S113" s="1918"/>
      <c r="T113" s="1918"/>
      <c r="U113" s="1918"/>
      <c r="V113" s="1918"/>
      <c r="W113" s="1918"/>
      <c r="X113" s="1918"/>
      <c r="Y113" s="1918"/>
      <c r="Z113" s="1923"/>
      <c r="AA113" s="1924"/>
    </row>
    <row r="114" spans="1:27" ht="24.95" customHeight="1" x14ac:dyDescent="0.3">
      <c r="A114" s="360">
        <v>16</v>
      </c>
      <c r="B114" s="683"/>
      <c r="C114" s="1625" t="str">
        <f>VLOOKUP(A114,data_siswa,4,FALSE)</f>
        <v>Nabilla Shiva Putri</v>
      </c>
      <c r="D114" s="1626" t="s">
        <v>7</v>
      </c>
      <c r="E114" s="1891">
        <f>VLOOKUP(A114,UHT_AGM,24,FALSE)</f>
        <v>0</v>
      </c>
      <c r="F114" s="1904">
        <f>E114*2</f>
        <v>0</v>
      </c>
      <c r="G114" s="1891"/>
      <c r="H114" s="1627">
        <f>VLOOKUP(A114,an_agm,49,FALSE)</f>
        <v>0</v>
      </c>
      <c r="I114" s="706">
        <f>F114+G114+H114</f>
        <v>0</v>
      </c>
      <c r="J114" s="707">
        <f>(F114+G114+H114)/4</f>
        <v>0</v>
      </c>
      <c r="K114" s="708" t="str">
        <f>IF(J114&gt;85,("4"),IF(J114&gt;80,("3.66"),IF(J114&gt;75,("3.33"),IF(J114&gt;70,("3.00"),IF(J114&gt;65,("2.66"),IF(J114&gt;60,("2.33"),IF(J114&gt;55,("2"),IF(J114&gt;50,("1.66"),"1.33"))))))))</f>
        <v>1.33</v>
      </c>
      <c r="L114" s="708" t="str">
        <f>IF(J114&gt;85,("A"),IF(J114&gt;80,("A-"),IF(J114&gt;75,("B+"),IF(J114&gt;70,("B"),IF(J114&gt;65,("B-"),IF(J114&gt;60,("C+"),IF(J114&gt;55,("C"),IF(J114&gt;50,("C-"),"D+"))))))))</f>
        <v>D+</v>
      </c>
      <c r="M114" s="887" t="str">
        <f>IF(J114&gt;80,("SB"),IF(J114&gt;65,("B"),IF(J114&gt;50,("C"),IF(J114&gt;0,("K"),"0"))))</f>
        <v>0</v>
      </c>
      <c r="N114" s="1628"/>
      <c r="O114" s="1602"/>
      <c r="P114" s="1602"/>
      <c r="Q114" s="1602"/>
      <c r="R114" s="1602"/>
      <c r="S114" s="1602"/>
      <c r="T114" s="1629"/>
      <c r="U114" s="1629"/>
      <c r="V114" s="1629"/>
      <c r="W114" s="1629"/>
      <c r="X114" s="1629"/>
      <c r="Y114" s="1629"/>
      <c r="Z114" s="1193">
        <f>J120</f>
        <v>0</v>
      </c>
      <c r="AA114" s="1919" t="str">
        <f>L120</f>
        <v>D+</v>
      </c>
    </row>
    <row r="115" spans="1:27" ht="24.95" customHeight="1" x14ac:dyDescent="0.3">
      <c r="A115" s="687"/>
      <c r="B115" s="683"/>
      <c r="C115" s="1630"/>
      <c r="D115" s="1626" t="s">
        <v>18</v>
      </c>
      <c r="E115" s="1891">
        <f>VLOOKUP(A114,UHT_AGM,25,FALSE)</f>
        <v>0</v>
      </c>
      <c r="F115" s="1905">
        <f t="shared" ref="F115:F119" si="96">E115*2</f>
        <v>0</v>
      </c>
      <c r="G115" s="1891"/>
      <c r="H115" s="1627">
        <f>VLOOKUP(A114,an_agm,50,FALSE)</f>
        <v>0</v>
      </c>
      <c r="I115" s="709">
        <f t="shared" ref="I115:I119" si="97">F115+G115+H115</f>
        <v>0</v>
      </c>
      <c r="J115" s="710">
        <f t="shared" ref="J115:J119" si="98">(F115+G115+H115)/4</f>
        <v>0</v>
      </c>
      <c r="K115" s="711" t="str">
        <f t="shared" ref="K115:K119" si="99">IF(J115&gt;85,("4"),IF(J115&gt;80,("3.66"),IF(J115&gt;75,("3.33"),IF(J115&gt;70,("3.00"),IF(J115&gt;65,("2.66"),IF(J115&gt;60,("2.33"),IF(J115&gt;55,("2"),IF(J115&gt;50,("1.66"),"1.33"))))))))</f>
        <v>1.33</v>
      </c>
      <c r="L115" s="711" t="str">
        <f t="shared" ref="L115:L119" si="100">IF(J115&gt;85,("A"),IF(J115&gt;80,("A-"),IF(J115&gt;75,("B+"),IF(J115&gt;70,("B"),IF(J115&gt;65,("B-"),IF(J115&gt;60,("C+"),IF(J115&gt;55,("C"),IF(J115&gt;50,("C-"),"D+"))))))))</f>
        <v>D+</v>
      </c>
      <c r="M115" s="712" t="str">
        <f t="shared" ref="M115:M119" si="101">IF(J115&gt;80,("SB"),IF(J115&gt;65,("B"),IF(J115&gt;50,("C"),IF(J115&gt;0,("K"),"0"))))</f>
        <v>0</v>
      </c>
      <c r="N115" s="1631"/>
      <c r="O115" s="1632"/>
      <c r="P115" s="1632"/>
      <c r="Q115" s="1632"/>
      <c r="R115" s="1632"/>
      <c r="S115" s="1632"/>
      <c r="T115" s="1633"/>
      <c r="U115" s="1633"/>
      <c r="V115" s="1633"/>
      <c r="W115" s="1633"/>
      <c r="X115" s="1633"/>
      <c r="Y115" s="1633"/>
      <c r="Z115" s="1920"/>
      <c r="AA115" s="1522"/>
    </row>
    <row r="116" spans="1:27" ht="24.95" customHeight="1" x14ac:dyDescent="0.3">
      <c r="A116" s="687"/>
      <c r="B116" s="683"/>
      <c r="C116" s="1630"/>
      <c r="D116" s="1626" t="s">
        <v>179</v>
      </c>
      <c r="E116" s="1891">
        <f>VLOOKUP(A114,UHT_AGM,26,FALSE)</f>
        <v>0</v>
      </c>
      <c r="F116" s="1905">
        <f t="shared" si="96"/>
        <v>0</v>
      </c>
      <c r="G116" s="1891"/>
      <c r="H116" s="1627">
        <f>VLOOKUP(A114,an_agm,51,FALSE)</f>
        <v>0</v>
      </c>
      <c r="I116" s="709">
        <f t="shared" si="97"/>
        <v>0</v>
      </c>
      <c r="J116" s="710">
        <f t="shared" si="98"/>
        <v>0</v>
      </c>
      <c r="K116" s="711" t="str">
        <f t="shared" si="99"/>
        <v>1.33</v>
      </c>
      <c r="L116" s="711" t="str">
        <f t="shared" si="100"/>
        <v>D+</v>
      </c>
      <c r="M116" s="712" t="str">
        <f t="shared" si="101"/>
        <v>0</v>
      </c>
      <c r="N116" s="1634"/>
      <c r="O116" s="1635"/>
      <c r="P116" s="1635"/>
      <c r="Q116" s="1635"/>
      <c r="R116" s="1635"/>
      <c r="S116" s="1635"/>
      <c r="T116" s="1636"/>
      <c r="U116" s="1636"/>
      <c r="V116" s="1636"/>
      <c r="W116" s="1636"/>
      <c r="X116" s="1636"/>
      <c r="Y116" s="1636"/>
      <c r="Z116" s="1921"/>
      <c r="AA116" s="1524"/>
    </row>
    <row r="117" spans="1:27" ht="24.95" customHeight="1" x14ac:dyDescent="0.3">
      <c r="A117" s="687"/>
      <c r="B117" s="683"/>
      <c r="C117" s="1630"/>
      <c r="D117" s="1626" t="s">
        <v>180</v>
      </c>
      <c r="E117" s="1891">
        <f>VLOOKUP(A114,UHT_AGM,27,FALSE)</f>
        <v>0</v>
      </c>
      <c r="F117" s="1905">
        <f t="shared" si="96"/>
        <v>0</v>
      </c>
      <c r="G117" s="1891"/>
      <c r="H117" s="1627">
        <f>VLOOKUP(A114,an_agm,52,FALSE)</f>
        <v>0</v>
      </c>
      <c r="I117" s="709">
        <f t="shared" si="97"/>
        <v>0</v>
      </c>
      <c r="J117" s="710">
        <f t="shared" si="98"/>
        <v>0</v>
      </c>
      <c r="K117" s="711" t="str">
        <f t="shared" si="99"/>
        <v>1.33</v>
      </c>
      <c r="L117" s="711" t="str">
        <f t="shared" si="100"/>
        <v>D+</v>
      </c>
      <c r="M117" s="712" t="str">
        <f t="shared" si="101"/>
        <v>0</v>
      </c>
      <c r="N117" s="1634"/>
      <c r="O117" s="1635"/>
      <c r="P117" s="1635"/>
      <c r="Q117" s="1635"/>
      <c r="R117" s="1635"/>
      <c r="S117" s="1635"/>
      <c r="T117" s="1636"/>
      <c r="U117" s="1636"/>
      <c r="V117" s="1636"/>
      <c r="W117" s="1636"/>
      <c r="X117" s="1636"/>
      <c r="Y117" s="1636"/>
      <c r="Z117" s="1921"/>
      <c r="AA117" s="1524"/>
    </row>
    <row r="118" spans="1:27" ht="24.95" customHeight="1" x14ac:dyDescent="0.3">
      <c r="A118" s="1637"/>
      <c r="B118" s="360"/>
      <c r="C118" s="1630"/>
      <c r="D118" s="1626" t="s">
        <v>19</v>
      </c>
      <c r="E118" s="1891">
        <f>VLOOKUP(A114,UHT_AGM,28,FALSE)</f>
        <v>0</v>
      </c>
      <c r="F118" s="1905">
        <f t="shared" si="96"/>
        <v>0</v>
      </c>
      <c r="G118" s="1891"/>
      <c r="H118" s="1627">
        <f>VLOOKUP(A114,an_agm,53,FALSE)</f>
        <v>0</v>
      </c>
      <c r="I118" s="709">
        <f t="shared" si="97"/>
        <v>0</v>
      </c>
      <c r="J118" s="710">
        <f t="shared" si="98"/>
        <v>0</v>
      </c>
      <c r="K118" s="711" t="str">
        <f t="shared" si="99"/>
        <v>1.33</v>
      </c>
      <c r="L118" s="711" t="str">
        <f t="shared" si="100"/>
        <v>D+</v>
      </c>
      <c r="M118" s="712" t="str">
        <f t="shared" si="101"/>
        <v>0</v>
      </c>
      <c r="N118" s="1638"/>
      <c r="O118" s="1639"/>
      <c r="P118" s="1639"/>
      <c r="Q118" s="1639"/>
      <c r="R118" s="1639"/>
      <c r="S118" s="1639"/>
      <c r="T118" s="1640"/>
      <c r="U118" s="1640"/>
      <c r="V118" s="1640"/>
      <c r="W118" s="1640"/>
      <c r="X118" s="1640"/>
      <c r="Y118" s="1640"/>
      <c r="Z118" s="1921"/>
      <c r="AA118" s="1524"/>
    </row>
    <row r="119" spans="1:27" ht="24.95" customHeight="1" x14ac:dyDescent="0.3">
      <c r="A119" s="1637"/>
      <c r="B119" s="360"/>
      <c r="C119" s="1630"/>
      <c r="D119" s="1626" t="s">
        <v>181</v>
      </c>
      <c r="E119" s="1891">
        <f>VLOOKUP(A114,UHT_AGM,30,FALSE)</f>
        <v>0</v>
      </c>
      <c r="F119" s="1905">
        <f t="shared" si="96"/>
        <v>0</v>
      </c>
      <c r="G119" s="1891"/>
      <c r="H119" s="1627">
        <f>VLOOKUP(A114,an_agm,54,FALSE)</f>
        <v>0</v>
      </c>
      <c r="I119" s="709">
        <f t="shared" si="97"/>
        <v>0</v>
      </c>
      <c r="J119" s="710">
        <f t="shared" si="98"/>
        <v>0</v>
      </c>
      <c r="K119" s="711" t="str">
        <f t="shared" si="99"/>
        <v>1.33</v>
      </c>
      <c r="L119" s="711" t="str">
        <f t="shared" si="100"/>
        <v>D+</v>
      </c>
      <c r="M119" s="712" t="str">
        <f t="shared" si="101"/>
        <v>0</v>
      </c>
      <c r="N119" s="1812"/>
      <c r="O119" s="1813"/>
      <c r="P119" s="1813"/>
      <c r="Q119" s="1813"/>
      <c r="R119" s="1813"/>
      <c r="S119" s="1813"/>
      <c r="T119" s="1814"/>
      <c r="U119" s="1814"/>
      <c r="V119" s="1814"/>
      <c r="W119" s="1814"/>
      <c r="X119" s="1814"/>
      <c r="Y119" s="1814"/>
      <c r="Z119" s="1922"/>
      <c r="AA119" s="1526"/>
    </row>
    <row r="120" spans="1:27" ht="24.95" customHeight="1" x14ac:dyDescent="0.25">
      <c r="A120" s="1641"/>
      <c r="B120" s="1642">
        <v>16</v>
      </c>
      <c r="C120" s="1643" t="s">
        <v>167</v>
      </c>
      <c r="D120" s="1641"/>
      <c r="E120" s="1189">
        <f>AVERAGE(E114:E119)</f>
        <v>0</v>
      </c>
      <c r="F120" s="1641"/>
      <c r="G120" s="1189" t="e">
        <f>AVEDEV(G114:G119)</f>
        <v>#NUM!</v>
      </c>
      <c r="H120" s="1189">
        <f>AVERAGE(H114:H119)</f>
        <v>0</v>
      </c>
      <c r="I120" s="1644"/>
      <c r="J120" s="350">
        <f>AVERAGE(J114:J119)</f>
        <v>0</v>
      </c>
      <c r="K120" s="350" t="str">
        <f>IF(J120&gt;85,("4"),IF(J120&gt;80,("3.66"),IF(J120&gt;75,("3.33"),IF(J120&gt;70,("3.00"),IF(J120&gt;65,("2.66"),IF(J120&gt;60,("2.33"),IF(J120&gt;55,("2"),IF(J120&gt;50,("1.66"),"1.33"))))))))</f>
        <v>1.33</v>
      </c>
      <c r="L120" s="1645" t="str">
        <f>IF(J120&gt;85,("A"),IF(J120&gt;80,("A-"),IF(J120&gt;75,("B+"),IF(J120&gt;70,("B"),IF(J120&gt;65,("B-"),IF(J120&gt;60,("C+"),IF(J120&gt;55,("C"),IF(J120&gt;50,("C-"),"D+"))))))))</f>
        <v>D+</v>
      </c>
      <c r="M120" s="1646" t="str">
        <f>IF(J120&gt;85,("A"),IF(J120&gt;80,("A-"),IF(J120&gt;75,("B+"),IF(J120&gt;70,("B"),IF(J120&gt;65,("B-"),IF(J120&gt;60,("C+"),IF(J120&gt;55,("C"),IF(J120&gt;50,("C-"),"D+"))))))))</f>
        <v>D+</v>
      </c>
      <c r="N120" s="1917"/>
      <c r="O120" s="1918"/>
      <c r="P120" s="1918"/>
      <c r="Q120" s="1918"/>
      <c r="R120" s="1918"/>
      <c r="S120" s="1918"/>
      <c r="T120" s="1918"/>
      <c r="U120" s="1918"/>
      <c r="V120" s="1918"/>
      <c r="W120" s="1918"/>
      <c r="X120" s="1918"/>
      <c r="Y120" s="1918"/>
      <c r="Z120" s="1923"/>
      <c r="AA120" s="1924"/>
    </row>
    <row r="121" spans="1:27" ht="24.95" customHeight="1" x14ac:dyDescent="0.3">
      <c r="A121" s="360">
        <v>17</v>
      </c>
      <c r="B121" s="683"/>
      <c r="C121" s="1625" t="str">
        <f>VLOOKUP(A121,data_siswa,4,FALSE)</f>
        <v>Naufal Falih F</v>
      </c>
      <c r="D121" s="1626" t="s">
        <v>7</v>
      </c>
      <c r="E121" s="1891">
        <f>VLOOKUP(A121,UHT_AGM,24,FALSE)</f>
        <v>0</v>
      </c>
      <c r="F121" s="1904">
        <f>E121*2</f>
        <v>0</v>
      </c>
      <c r="G121" s="1891"/>
      <c r="H121" s="1627">
        <f>VLOOKUP(A121,an_agm,49,FALSE)</f>
        <v>0</v>
      </c>
      <c r="I121" s="706">
        <f>F121+G121+H121</f>
        <v>0</v>
      </c>
      <c r="J121" s="707">
        <f>(F121+G121+H121)/4</f>
        <v>0</v>
      </c>
      <c r="K121" s="708" t="str">
        <f>IF(J121&gt;85,("4"),IF(J121&gt;80,("3.66"),IF(J121&gt;75,("3.33"),IF(J121&gt;70,("3.00"),IF(J121&gt;65,("2.66"),IF(J121&gt;60,("2.33"),IF(J121&gt;55,("2"),IF(J121&gt;50,("1.66"),"1.33"))))))))</f>
        <v>1.33</v>
      </c>
      <c r="L121" s="708" t="str">
        <f>IF(J121&gt;85,("A"),IF(J121&gt;80,("A-"),IF(J121&gt;75,("B+"),IF(J121&gt;70,("B"),IF(J121&gt;65,("B-"),IF(J121&gt;60,("C+"),IF(J121&gt;55,("C"),IF(J121&gt;50,("C-"),"D+"))))))))</f>
        <v>D+</v>
      </c>
      <c r="M121" s="887" t="str">
        <f>IF(J121&gt;80,("SB"),IF(J121&gt;65,("B"),IF(J121&gt;50,("C"),IF(J121&gt;0,("K"),"0"))))</f>
        <v>0</v>
      </c>
      <c r="N121" s="1628"/>
      <c r="O121" s="1602"/>
      <c r="P121" s="1602"/>
      <c r="Q121" s="1602"/>
      <c r="R121" s="1602"/>
      <c r="S121" s="1602"/>
      <c r="T121" s="1629"/>
      <c r="U121" s="1629"/>
      <c r="V121" s="1629"/>
      <c r="W121" s="1629"/>
      <c r="X121" s="1629"/>
      <c r="Y121" s="1629"/>
      <c r="Z121" s="1193">
        <f>J127</f>
        <v>0</v>
      </c>
      <c r="AA121" s="1919" t="str">
        <f>L127</f>
        <v>D+</v>
      </c>
    </row>
    <row r="122" spans="1:27" ht="24.95" customHeight="1" x14ac:dyDescent="0.3">
      <c r="A122" s="687"/>
      <c r="B122" s="683"/>
      <c r="C122" s="1630"/>
      <c r="D122" s="1626" t="s">
        <v>18</v>
      </c>
      <c r="E122" s="1891">
        <f>VLOOKUP(A121,UHT_AGM,25,FALSE)</f>
        <v>0</v>
      </c>
      <c r="F122" s="1905">
        <f t="shared" ref="F122:F126" si="102">E122*2</f>
        <v>0</v>
      </c>
      <c r="G122" s="1891"/>
      <c r="H122" s="1627">
        <f>VLOOKUP(A121,an_agm,50,FALSE)</f>
        <v>0</v>
      </c>
      <c r="I122" s="709">
        <f t="shared" ref="I122:I126" si="103">F122+G122+H122</f>
        <v>0</v>
      </c>
      <c r="J122" s="710">
        <f t="shared" ref="J122:J126" si="104">(F122+G122+H122)/4</f>
        <v>0</v>
      </c>
      <c r="K122" s="711" t="str">
        <f t="shared" ref="K122:K126" si="105">IF(J122&gt;85,("4"),IF(J122&gt;80,("3.66"),IF(J122&gt;75,("3.33"),IF(J122&gt;70,("3.00"),IF(J122&gt;65,("2.66"),IF(J122&gt;60,("2.33"),IF(J122&gt;55,("2"),IF(J122&gt;50,("1.66"),"1.33"))))))))</f>
        <v>1.33</v>
      </c>
      <c r="L122" s="711" t="str">
        <f t="shared" ref="L122:L126" si="106">IF(J122&gt;85,("A"),IF(J122&gt;80,("A-"),IF(J122&gt;75,("B+"),IF(J122&gt;70,("B"),IF(J122&gt;65,("B-"),IF(J122&gt;60,("C+"),IF(J122&gt;55,("C"),IF(J122&gt;50,("C-"),"D+"))))))))</f>
        <v>D+</v>
      </c>
      <c r="M122" s="712" t="str">
        <f t="shared" ref="M122:M126" si="107">IF(J122&gt;80,("SB"),IF(J122&gt;65,("B"),IF(J122&gt;50,("C"),IF(J122&gt;0,("K"),"0"))))</f>
        <v>0</v>
      </c>
      <c r="N122" s="1631"/>
      <c r="O122" s="1632"/>
      <c r="P122" s="1632"/>
      <c r="Q122" s="1632"/>
      <c r="R122" s="1632"/>
      <c r="S122" s="1632"/>
      <c r="T122" s="1633"/>
      <c r="U122" s="1633"/>
      <c r="V122" s="1633"/>
      <c r="W122" s="1633"/>
      <c r="X122" s="1633"/>
      <c r="Y122" s="1633"/>
      <c r="Z122" s="1920"/>
      <c r="AA122" s="1522"/>
    </row>
    <row r="123" spans="1:27" ht="24.95" customHeight="1" x14ac:dyDescent="0.3">
      <c r="A123" s="687"/>
      <c r="B123" s="683"/>
      <c r="C123" s="1630"/>
      <c r="D123" s="1626" t="s">
        <v>179</v>
      </c>
      <c r="E123" s="1891">
        <f>VLOOKUP(A121,UHT_AGM,26,FALSE)</f>
        <v>0</v>
      </c>
      <c r="F123" s="1905">
        <f t="shared" si="102"/>
        <v>0</v>
      </c>
      <c r="G123" s="1891"/>
      <c r="H123" s="1627">
        <f>VLOOKUP(A121,an_agm,51,FALSE)</f>
        <v>0</v>
      </c>
      <c r="I123" s="709">
        <f t="shared" si="103"/>
        <v>0</v>
      </c>
      <c r="J123" s="710">
        <f t="shared" si="104"/>
        <v>0</v>
      </c>
      <c r="K123" s="711" t="str">
        <f t="shared" si="105"/>
        <v>1.33</v>
      </c>
      <c r="L123" s="711" t="str">
        <f t="shared" si="106"/>
        <v>D+</v>
      </c>
      <c r="M123" s="712" t="str">
        <f t="shared" si="107"/>
        <v>0</v>
      </c>
      <c r="N123" s="1634"/>
      <c r="O123" s="1635"/>
      <c r="P123" s="1635"/>
      <c r="Q123" s="1635"/>
      <c r="R123" s="1635"/>
      <c r="S123" s="1635"/>
      <c r="T123" s="1636"/>
      <c r="U123" s="1636"/>
      <c r="V123" s="1636"/>
      <c r="W123" s="1636"/>
      <c r="X123" s="1636"/>
      <c r="Y123" s="1636"/>
      <c r="Z123" s="1921"/>
      <c r="AA123" s="1524"/>
    </row>
    <row r="124" spans="1:27" ht="24.95" customHeight="1" x14ac:dyDescent="0.3">
      <c r="A124" s="687"/>
      <c r="B124" s="683"/>
      <c r="C124" s="1630"/>
      <c r="D124" s="1626" t="s">
        <v>180</v>
      </c>
      <c r="E124" s="1891">
        <f>VLOOKUP(A121,UHT_AGM,27,FALSE)</f>
        <v>0</v>
      </c>
      <c r="F124" s="1905">
        <f t="shared" si="102"/>
        <v>0</v>
      </c>
      <c r="G124" s="1891"/>
      <c r="H124" s="1627">
        <f>VLOOKUP(A121,an_agm,52,FALSE)</f>
        <v>0</v>
      </c>
      <c r="I124" s="709">
        <f t="shared" si="103"/>
        <v>0</v>
      </c>
      <c r="J124" s="710">
        <f t="shared" si="104"/>
        <v>0</v>
      </c>
      <c r="K124" s="711" t="str">
        <f t="shared" si="105"/>
        <v>1.33</v>
      </c>
      <c r="L124" s="711" t="str">
        <f t="shared" si="106"/>
        <v>D+</v>
      </c>
      <c r="M124" s="712" t="str">
        <f t="shared" si="107"/>
        <v>0</v>
      </c>
      <c r="N124" s="1634"/>
      <c r="O124" s="1635"/>
      <c r="P124" s="1635"/>
      <c r="Q124" s="1635"/>
      <c r="R124" s="1635"/>
      <c r="S124" s="1635"/>
      <c r="T124" s="1636"/>
      <c r="U124" s="1636"/>
      <c r="V124" s="1636"/>
      <c r="W124" s="1636"/>
      <c r="X124" s="1636"/>
      <c r="Y124" s="1636"/>
      <c r="Z124" s="1921"/>
      <c r="AA124" s="1524"/>
    </row>
    <row r="125" spans="1:27" ht="24.95" customHeight="1" x14ac:dyDescent="0.3">
      <c r="A125" s="1637"/>
      <c r="B125" s="360"/>
      <c r="C125" s="1630"/>
      <c r="D125" s="1626" t="s">
        <v>19</v>
      </c>
      <c r="E125" s="1891">
        <f>VLOOKUP(A121,UHT_AGM,28,FALSE)</f>
        <v>0</v>
      </c>
      <c r="F125" s="1905">
        <f t="shared" si="102"/>
        <v>0</v>
      </c>
      <c r="G125" s="1891"/>
      <c r="H125" s="1627">
        <f>VLOOKUP(A121,an_agm,53,FALSE)</f>
        <v>0</v>
      </c>
      <c r="I125" s="709">
        <f t="shared" si="103"/>
        <v>0</v>
      </c>
      <c r="J125" s="710">
        <f t="shared" si="104"/>
        <v>0</v>
      </c>
      <c r="K125" s="711" t="str">
        <f t="shared" si="105"/>
        <v>1.33</v>
      </c>
      <c r="L125" s="711" t="str">
        <f t="shared" si="106"/>
        <v>D+</v>
      </c>
      <c r="M125" s="712" t="str">
        <f t="shared" si="107"/>
        <v>0</v>
      </c>
      <c r="N125" s="1638"/>
      <c r="O125" s="1639"/>
      <c r="P125" s="1639"/>
      <c r="Q125" s="1639"/>
      <c r="R125" s="1639"/>
      <c r="S125" s="1639"/>
      <c r="T125" s="1640"/>
      <c r="U125" s="1640"/>
      <c r="V125" s="1640"/>
      <c r="W125" s="1640"/>
      <c r="X125" s="1640"/>
      <c r="Y125" s="1640"/>
      <c r="Z125" s="1921"/>
      <c r="AA125" s="1524"/>
    </row>
    <row r="126" spans="1:27" ht="24.95" customHeight="1" x14ac:dyDescent="0.3">
      <c r="A126" s="1637"/>
      <c r="B126" s="360"/>
      <c r="C126" s="1630"/>
      <c r="D126" s="1626" t="s">
        <v>181</v>
      </c>
      <c r="E126" s="1891">
        <f>VLOOKUP(A121,UHT_AGM,30,FALSE)</f>
        <v>0</v>
      </c>
      <c r="F126" s="1905">
        <f t="shared" si="102"/>
        <v>0</v>
      </c>
      <c r="G126" s="1891"/>
      <c r="H126" s="1627">
        <f>VLOOKUP(A121,an_agm,54,FALSE)</f>
        <v>0</v>
      </c>
      <c r="I126" s="709">
        <f t="shared" si="103"/>
        <v>0</v>
      </c>
      <c r="J126" s="710">
        <f t="shared" si="104"/>
        <v>0</v>
      </c>
      <c r="K126" s="711" t="str">
        <f t="shared" si="105"/>
        <v>1.33</v>
      </c>
      <c r="L126" s="711" t="str">
        <f t="shared" si="106"/>
        <v>D+</v>
      </c>
      <c r="M126" s="712" t="str">
        <f t="shared" si="107"/>
        <v>0</v>
      </c>
      <c r="N126" s="1812"/>
      <c r="O126" s="1813"/>
      <c r="P126" s="1813"/>
      <c r="Q126" s="1813"/>
      <c r="R126" s="1813"/>
      <c r="S126" s="1813"/>
      <c r="T126" s="1814"/>
      <c r="U126" s="1814"/>
      <c r="V126" s="1814"/>
      <c r="W126" s="1814"/>
      <c r="X126" s="1814"/>
      <c r="Y126" s="1814"/>
      <c r="Z126" s="1922"/>
      <c r="AA126" s="1526"/>
    </row>
    <row r="127" spans="1:27" ht="24.95" customHeight="1" x14ac:dyDescent="0.25">
      <c r="A127" s="1641"/>
      <c r="B127" s="1642">
        <v>17</v>
      </c>
      <c r="C127" s="1643" t="s">
        <v>167</v>
      </c>
      <c r="D127" s="1641"/>
      <c r="E127" s="1189">
        <f>AVERAGE(E121:E126)</f>
        <v>0</v>
      </c>
      <c r="F127" s="1641"/>
      <c r="G127" s="1189" t="e">
        <f>AVEDEV(G121:G126)</f>
        <v>#NUM!</v>
      </c>
      <c r="H127" s="1189">
        <f>AVERAGE(H121:H126)</f>
        <v>0</v>
      </c>
      <c r="I127" s="1644"/>
      <c r="J127" s="350">
        <f>AVERAGE(J121:J126)</f>
        <v>0</v>
      </c>
      <c r="K127" s="350" t="str">
        <f>IF(J127&gt;85,("4"),IF(J127&gt;80,("3.66"),IF(J127&gt;75,("3.33"),IF(J127&gt;70,("3.00"),IF(J127&gt;65,("2.66"),IF(J127&gt;60,("2.33"),IF(J127&gt;55,("2"),IF(J127&gt;50,("1.66"),"1.33"))))))))</f>
        <v>1.33</v>
      </c>
      <c r="L127" s="1645" t="str">
        <f>IF(J127&gt;85,("A"),IF(J127&gt;80,("A-"),IF(J127&gt;75,("B+"),IF(J127&gt;70,("B"),IF(J127&gt;65,("B-"),IF(J127&gt;60,("C+"),IF(J127&gt;55,("C"),IF(J127&gt;50,("C-"),"D+"))))))))</f>
        <v>D+</v>
      </c>
      <c r="M127" s="1646" t="str">
        <f>IF(J127&gt;85,("A"),IF(J127&gt;80,("A-"),IF(J127&gt;75,("B+"),IF(J127&gt;70,("B"),IF(J127&gt;65,("B-"),IF(J127&gt;60,("C+"),IF(J127&gt;55,("C"),IF(J127&gt;50,("C-"),"D+"))))))))</f>
        <v>D+</v>
      </c>
      <c r="N127" s="1917"/>
      <c r="O127" s="1918"/>
      <c r="P127" s="1918"/>
      <c r="Q127" s="1918"/>
      <c r="R127" s="1918"/>
      <c r="S127" s="1918"/>
      <c r="T127" s="1918"/>
      <c r="U127" s="1918"/>
      <c r="V127" s="1918"/>
      <c r="W127" s="1918"/>
      <c r="X127" s="1918"/>
      <c r="Y127" s="1918"/>
      <c r="Z127" s="1923"/>
      <c r="AA127" s="1924"/>
    </row>
    <row r="128" spans="1:27" ht="24.95" customHeight="1" x14ac:dyDescent="0.3">
      <c r="A128" s="360">
        <v>18</v>
      </c>
      <c r="B128" s="683"/>
      <c r="C128" s="1625" t="str">
        <f>VLOOKUP(A128,data_siswa,4,FALSE)</f>
        <v>Nayla Annora Nobel W</v>
      </c>
      <c r="D128" s="1626" t="s">
        <v>7</v>
      </c>
      <c r="E128" s="1891">
        <f>VLOOKUP(A128,UHT_AGM,24,FALSE)</f>
        <v>0</v>
      </c>
      <c r="F128" s="1904">
        <f>E128*2</f>
        <v>0</v>
      </c>
      <c r="G128" s="1891"/>
      <c r="H128" s="1627">
        <f>VLOOKUP(A128,an_agm,49,FALSE)</f>
        <v>0</v>
      </c>
      <c r="I128" s="706">
        <f>F128+G128+H128</f>
        <v>0</v>
      </c>
      <c r="J128" s="707">
        <f>(F128+G128+H128)/4</f>
        <v>0</v>
      </c>
      <c r="K128" s="708" t="str">
        <f>IF(J128&gt;85,("4"),IF(J128&gt;80,("3.66"),IF(J128&gt;75,("3.33"),IF(J128&gt;70,("3.00"),IF(J128&gt;65,("2.66"),IF(J128&gt;60,("2.33"),IF(J128&gt;55,("2"),IF(J128&gt;50,("1.66"),"1.33"))))))))</f>
        <v>1.33</v>
      </c>
      <c r="L128" s="708" t="str">
        <f>IF(J128&gt;85,("A"),IF(J128&gt;80,("A-"),IF(J128&gt;75,("B+"),IF(J128&gt;70,("B"),IF(J128&gt;65,("B-"),IF(J128&gt;60,("C+"),IF(J128&gt;55,("C"),IF(J128&gt;50,("C-"),"D+"))))))))</f>
        <v>D+</v>
      </c>
      <c r="M128" s="887" t="str">
        <f>IF(J128&gt;80,("SB"),IF(J128&gt;65,("B"),IF(J128&gt;50,("C"),IF(J128&gt;0,("K"),"0"))))</f>
        <v>0</v>
      </c>
      <c r="N128" s="1628"/>
      <c r="O128" s="1602"/>
      <c r="P128" s="1602"/>
      <c r="Q128" s="1602"/>
      <c r="R128" s="1602"/>
      <c r="S128" s="1602"/>
      <c r="T128" s="1629"/>
      <c r="U128" s="1629"/>
      <c r="V128" s="1629"/>
      <c r="W128" s="1629"/>
      <c r="X128" s="1629"/>
      <c r="Y128" s="1629"/>
      <c r="Z128" s="1193">
        <f>J134</f>
        <v>0</v>
      </c>
      <c r="AA128" s="1919" t="str">
        <f>L134</f>
        <v>D+</v>
      </c>
    </row>
    <row r="129" spans="1:27" ht="24.95" customHeight="1" x14ac:dyDescent="0.3">
      <c r="A129" s="687"/>
      <c r="B129" s="683"/>
      <c r="C129" s="1630"/>
      <c r="D129" s="1626" t="s">
        <v>18</v>
      </c>
      <c r="E129" s="1891">
        <f>VLOOKUP(A128,UHT_AGM,25,FALSE)</f>
        <v>0</v>
      </c>
      <c r="F129" s="1905">
        <f t="shared" ref="F129:F133" si="108">E129*2</f>
        <v>0</v>
      </c>
      <c r="G129" s="1891"/>
      <c r="H129" s="1627">
        <f>VLOOKUP(A128,an_agm,50,FALSE)</f>
        <v>0</v>
      </c>
      <c r="I129" s="709">
        <f t="shared" ref="I129:I133" si="109">F129+G129+H129</f>
        <v>0</v>
      </c>
      <c r="J129" s="710">
        <f t="shared" ref="J129:J133" si="110">(F129+G129+H129)/4</f>
        <v>0</v>
      </c>
      <c r="K129" s="711" t="str">
        <f t="shared" ref="K129:K133" si="111">IF(J129&gt;85,("4"),IF(J129&gt;80,("3.66"),IF(J129&gt;75,("3.33"),IF(J129&gt;70,("3.00"),IF(J129&gt;65,("2.66"),IF(J129&gt;60,("2.33"),IF(J129&gt;55,("2"),IF(J129&gt;50,("1.66"),"1.33"))))))))</f>
        <v>1.33</v>
      </c>
      <c r="L129" s="711" t="str">
        <f t="shared" ref="L129:L133" si="112">IF(J129&gt;85,("A"),IF(J129&gt;80,("A-"),IF(J129&gt;75,("B+"),IF(J129&gt;70,("B"),IF(J129&gt;65,("B-"),IF(J129&gt;60,("C+"),IF(J129&gt;55,("C"),IF(J129&gt;50,("C-"),"D+"))))))))</f>
        <v>D+</v>
      </c>
      <c r="M129" s="712" t="str">
        <f t="shared" ref="M129:M133" si="113">IF(J129&gt;80,("SB"),IF(J129&gt;65,("B"),IF(J129&gt;50,("C"),IF(J129&gt;0,("K"),"0"))))</f>
        <v>0</v>
      </c>
      <c r="N129" s="1631"/>
      <c r="O129" s="1632"/>
      <c r="P129" s="1632"/>
      <c r="Q129" s="1632"/>
      <c r="R129" s="1632"/>
      <c r="S129" s="1632"/>
      <c r="T129" s="1633"/>
      <c r="U129" s="1633"/>
      <c r="V129" s="1633"/>
      <c r="W129" s="1633"/>
      <c r="X129" s="1633"/>
      <c r="Y129" s="1633"/>
      <c r="Z129" s="1920"/>
      <c r="AA129" s="1522"/>
    </row>
    <row r="130" spans="1:27" ht="24.95" customHeight="1" x14ac:dyDescent="0.3">
      <c r="A130" s="687"/>
      <c r="B130" s="683"/>
      <c r="C130" s="1630"/>
      <c r="D130" s="1626" t="s">
        <v>179</v>
      </c>
      <c r="E130" s="1891">
        <f>VLOOKUP(A128,UHT_AGM,26,FALSE)</f>
        <v>0</v>
      </c>
      <c r="F130" s="1905">
        <f t="shared" si="108"/>
        <v>0</v>
      </c>
      <c r="G130" s="1891"/>
      <c r="H130" s="1627">
        <f>VLOOKUP(A128,an_agm,51,FALSE)</f>
        <v>0</v>
      </c>
      <c r="I130" s="709">
        <f t="shared" si="109"/>
        <v>0</v>
      </c>
      <c r="J130" s="710">
        <f t="shared" si="110"/>
        <v>0</v>
      </c>
      <c r="K130" s="711" t="str">
        <f t="shared" si="111"/>
        <v>1.33</v>
      </c>
      <c r="L130" s="711" t="str">
        <f t="shared" si="112"/>
        <v>D+</v>
      </c>
      <c r="M130" s="712" t="str">
        <f t="shared" si="113"/>
        <v>0</v>
      </c>
      <c r="N130" s="1634"/>
      <c r="O130" s="1635"/>
      <c r="P130" s="1635"/>
      <c r="Q130" s="1635"/>
      <c r="R130" s="1635"/>
      <c r="S130" s="1635"/>
      <c r="T130" s="1636"/>
      <c r="U130" s="1636"/>
      <c r="V130" s="1636"/>
      <c r="W130" s="1636"/>
      <c r="X130" s="1636"/>
      <c r="Y130" s="1636"/>
      <c r="Z130" s="1921"/>
      <c r="AA130" s="1524"/>
    </row>
    <row r="131" spans="1:27" ht="24.95" customHeight="1" x14ac:dyDescent="0.3">
      <c r="A131" s="687"/>
      <c r="B131" s="683"/>
      <c r="C131" s="1630"/>
      <c r="D131" s="1626" t="s">
        <v>180</v>
      </c>
      <c r="E131" s="1891">
        <f>VLOOKUP(A128,UHT_AGM,27,FALSE)</f>
        <v>0</v>
      </c>
      <c r="F131" s="1905">
        <f t="shared" si="108"/>
        <v>0</v>
      </c>
      <c r="G131" s="1891"/>
      <c r="H131" s="1627">
        <f>VLOOKUP(A128,an_agm,52,FALSE)</f>
        <v>0</v>
      </c>
      <c r="I131" s="709">
        <f t="shared" si="109"/>
        <v>0</v>
      </c>
      <c r="J131" s="710">
        <f t="shared" si="110"/>
        <v>0</v>
      </c>
      <c r="K131" s="711" t="str">
        <f t="shared" si="111"/>
        <v>1.33</v>
      </c>
      <c r="L131" s="711" t="str">
        <f t="shared" si="112"/>
        <v>D+</v>
      </c>
      <c r="M131" s="712" t="str">
        <f t="shared" si="113"/>
        <v>0</v>
      </c>
      <c r="N131" s="1634"/>
      <c r="O131" s="1635"/>
      <c r="P131" s="1635"/>
      <c r="Q131" s="1635"/>
      <c r="R131" s="1635"/>
      <c r="S131" s="1635"/>
      <c r="T131" s="1636"/>
      <c r="U131" s="1636"/>
      <c r="V131" s="1636"/>
      <c r="W131" s="1636"/>
      <c r="X131" s="1636"/>
      <c r="Y131" s="1636"/>
      <c r="Z131" s="1921"/>
      <c r="AA131" s="1524"/>
    </row>
    <row r="132" spans="1:27" ht="24.95" customHeight="1" x14ac:dyDescent="0.3">
      <c r="A132" s="1637"/>
      <c r="B132" s="360"/>
      <c r="C132" s="1630"/>
      <c r="D132" s="1626" t="s">
        <v>19</v>
      </c>
      <c r="E132" s="1891">
        <f>VLOOKUP(A128,UHT_AGM,28,FALSE)</f>
        <v>0</v>
      </c>
      <c r="F132" s="1905">
        <f t="shared" si="108"/>
        <v>0</v>
      </c>
      <c r="G132" s="1891"/>
      <c r="H132" s="1627">
        <f>VLOOKUP(A128,an_agm,53,FALSE)</f>
        <v>0</v>
      </c>
      <c r="I132" s="709">
        <f t="shared" si="109"/>
        <v>0</v>
      </c>
      <c r="J132" s="710">
        <f t="shared" si="110"/>
        <v>0</v>
      </c>
      <c r="K132" s="711" t="str">
        <f t="shared" si="111"/>
        <v>1.33</v>
      </c>
      <c r="L132" s="711" t="str">
        <f t="shared" si="112"/>
        <v>D+</v>
      </c>
      <c r="M132" s="712" t="str">
        <f t="shared" si="113"/>
        <v>0</v>
      </c>
      <c r="N132" s="1638"/>
      <c r="O132" s="1639"/>
      <c r="P132" s="1639"/>
      <c r="Q132" s="1639"/>
      <c r="R132" s="1639"/>
      <c r="S132" s="1639"/>
      <c r="T132" s="1640"/>
      <c r="U132" s="1640"/>
      <c r="V132" s="1640"/>
      <c r="W132" s="1640"/>
      <c r="X132" s="1640"/>
      <c r="Y132" s="1640"/>
      <c r="Z132" s="1921"/>
      <c r="AA132" s="1524"/>
    </row>
    <row r="133" spans="1:27" ht="24.95" customHeight="1" x14ac:dyDescent="0.3">
      <c r="A133" s="1637"/>
      <c r="B133" s="360"/>
      <c r="C133" s="1630"/>
      <c r="D133" s="1626" t="s">
        <v>181</v>
      </c>
      <c r="E133" s="1891">
        <f>VLOOKUP(A128,UHT_AGM,30,FALSE)</f>
        <v>0</v>
      </c>
      <c r="F133" s="1905">
        <f t="shared" si="108"/>
        <v>0</v>
      </c>
      <c r="G133" s="1891"/>
      <c r="H133" s="1627">
        <f>VLOOKUP(A128,an_agm,54,FALSE)</f>
        <v>0</v>
      </c>
      <c r="I133" s="709">
        <f t="shared" si="109"/>
        <v>0</v>
      </c>
      <c r="J133" s="710">
        <f t="shared" si="110"/>
        <v>0</v>
      </c>
      <c r="K133" s="711" t="str">
        <f t="shared" si="111"/>
        <v>1.33</v>
      </c>
      <c r="L133" s="711" t="str">
        <f t="shared" si="112"/>
        <v>D+</v>
      </c>
      <c r="M133" s="712" t="str">
        <f t="shared" si="113"/>
        <v>0</v>
      </c>
      <c r="N133" s="1812"/>
      <c r="O133" s="1813"/>
      <c r="P133" s="1813"/>
      <c r="Q133" s="1813"/>
      <c r="R133" s="1813"/>
      <c r="S133" s="1813"/>
      <c r="T133" s="1814"/>
      <c r="U133" s="1814"/>
      <c r="V133" s="1814"/>
      <c r="W133" s="1814"/>
      <c r="X133" s="1814"/>
      <c r="Y133" s="1814"/>
      <c r="Z133" s="1922"/>
      <c r="AA133" s="1526"/>
    </row>
    <row r="134" spans="1:27" ht="24.95" customHeight="1" x14ac:dyDescent="0.25">
      <c r="A134" s="1641"/>
      <c r="B134" s="1642">
        <v>18</v>
      </c>
      <c r="C134" s="1643" t="s">
        <v>167</v>
      </c>
      <c r="D134" s="1641"/>
      <c r="E134" s="1189">
        <f>AVERAGE(E128:E133)</f>
        <v>0</v>
      </c>
      <c r="F134" s="1641"/>
      <c r="G134" s="1189" t="e">
        <f>AVEDEV(G128:G133)</f>
        <v>#NUM!</v>
      </c>
      <c r="H134" s="1189">
        <f>AVERAGE(H128:H133)</f>
        <v>0</v>
      </c>
      <c r="I134" s="1644"/>
      <c r="J134" s="350">
        <f>AVERAGE(J128:J133)</f>
        <v>0</v>
      </c>
      <c r="K134" s="350" t="str">
        <f>IF(J134&gt;85,("4"),IF(J134&gt;80,("3.66"),IF(J134&gt;75,("3.33"),IF(J134&gt;70,("3.00"),IF(J134&gt;65,("2.66"),IF(J134&gt;60,("2.33"),IF(J134&gt;55,("2"),IF(J134&gt;50,("1.66"),"1.33"))))))))</f>
        <v>1.33</v>
      </c>
      <c r="L134" s="1645" t="str">
        <f>IF(J134&gt;85,("A"),IF(J134&gt;80,("A-"),IF(J134&gt;75,("B+"),IF(J134&gt;70,("B"),IF(J134&gt;65,("B-"),IF(J134&gt;60,("C+"),IF(J134&gt;55,("C"),IF(J134&gt;50,("C-"),"D+"))))))))</f>
        <v>D+</v>
      </c>
      <c r="M134" s="1646" t="str">
        <f>IF(J134&gt;85,("A"),IF(J134&gt;80,("A-"),IF(J134&gt;75,("B+"),IF(J134&gt;70,("B"),IF(J134&gt;65,("B-"),IF(J134&gt;60,("C+"),IF(J134&gt;55,("C"),IF(J134&gt;50,("C-"),"D+"))))))))</f>
        <v>D+</v>
      </c>
      <c r="N134" s="1917"/>
      <c r="O134" s="1918"/>
      <c r="P134" s="1918"/>
      <c r="Q134" s="1918"/>
      <c r="R134" s="1918"/>
      <c r="S134" s="1918"/>
      <c r="T134" s="1918"/>
      <c r="U134" s="1918"/>
      <c r="V134" s="1918"/>
      <c r="W134" s="1918"/>
      <c r="X134" s="1918"/>
      <c r="Y134" s="1918"/>
      <c r="Z134" s="1923"/>
      <c r="AA134" s="1924"/>
    </row>
    <row r="135" spans="1:27" ht="24.95" customHeight="1" x14ac:dyDescent="0.3">
      <c r="A135" s="360">
        <v>19</v>
      </c>
      <c r="B135" s="683"/>
      <c r="C135" s="1625" t="str">
        <f>VLOOKUP(A135,data_siswa,4,FALSE)</f>
        <v>Raihan Danang P</v>
      </c>
      <c r="D135" s="1626" t="s">
        <v>7</v>
      </c>
      <c r="E135" s="1891">
        <f>VLOOKUP(A135,UHT_AGM,24,FALSE)</f>
        <v>0</v>
      </c>
      <c r="F135" s="1904">
        <f>E135*2</f>
        <v>0</v>
      </c>
      <c r="G135" s="1891"/>
      <c r="H135" s="1627">
        <f>VLOOKUP(A135,an_agm,49,FALSE)</f>
        <v>0</v>
      </c>
      <c r="I135" s="706">
        <f>F135+G135+H135</f>
        <v>0</v>
      </c>
      <c r="J135" s="707">
        <f>(F135+G135+H135)/4</f>
        <v>0</v>
      </c>
      <c r="K135" s="708" t="str">
        <f>IF(J135&gt;85,("4"),IF(J135&gt;80,("3.66"),IF(J135&gt;75,("3.33"),IF(J135&gt;70,("3.00"),IF(J135&gt;65,("2.66"),IF(J135&gt;60,("2.33"),IF(J135&gt;55,("2"),IF(J135&gt;50,("1.66"),"1.33"))))))))</f>
        <v>1.33</v>
      </c>
      <c r="L135" s="708" t="str">
        <f>IF(J135&gt;85,("A"),IF(J135&gt;80,("A-"),IF(J135&gt;75,("B+"),IF(J135&gt;70,("B"),IF(J135&gt;65,("B-"),IF(J135&gt;60,("C+"),IF(J135&gt;55,("C"),IF(J135&gt;50,("C-"),"D+"))))))))</f>
        <v>D+</v>
      </c>
      <c r="M135" s="887" t="str">
        <f>IF(J135&gt;80,("SB"),IF(J135&gt;65,("B"),IF(J135&gt;50,("C"),IF(J135&gt;0,("K"),"0"))))</f>
        <v>0</v>
      </c>
      <c r="N135" s="1628"/>
      <c r="O135" s="1602"/>
      <c r="P135" s="1602"/>
      <c r="Q135" s="1602"/>
      <c r="R135" s="1602"/>
      <c r="S135" s="1602"/>
      <c r="T135" s="1629"/>
      <c r="U135" s="1629"/>
      <c r="V135" s="1629"/>
      <c r="W135" s="1629"/>
      <c r="X135" s="1629"/>
      <c r="Y135" s="1629"/>
      <c r="Z135" s="1193">
        <f>J141</f>
        <v>0</v>
      </c>
      <c r="AA135" s="1919" t="str">
        <f>L141</f>
        <v>D+</v>
      </c>
    </row>
    <row r="136" spans="1:27" ht="24.95" customHeight="1" x14ac:dyDescent="0.3">
      <c r="A136" s="687"/>
      <c r="B136" s="683"/>
      <c r="C136" s="1630"/>
      <c r="D136" s="1626" t="s">
        <v>18</v>
      </c>
      <c r="E136" s="1891">
        <f>VLOOKUP(A135,UHT_AGM,25,FALSE)</f>
        <v>0</v>
      </c>
      <c r="F136" s="1905">
        <f t="shared" ref="F136:F140" si="114">E136*2</f>
        <v>0</v>
      </c>
      <c r="G136" s="1891"/>
      <c r="H136" s="1627">
        <f>VLOOKUP(A135,an_agm,50,FALSE)</f>
        <v>0</v>
      </c>
      <c r="I136" s="709">
        <f t="shared" ref="I136:I140" si="115">F136+G136+H136</f>
        <v>0</v>
      </c>
      <c r="J136" s="710">
        <f t="shared" ref="J136:J140" si="116">(F136+G136+H136)/4</f>
        <v>0</v>
      </c>
      <c r="K136" s="711" t="str">
        <f t="shared" ref="K136:K140" si="117">IF(J136&gt;85,("4"),IF(J136&gt;80,("3.66"),IF(J136&gt;75,("3.33"),IF(J136&gt;70,("3.00"),IF(J136&gt;65,("2.66"),IF(J136&gt;60,("2.33"),IF(J136&gt;55,("2"),IF(J136&gt;50,("1.66"),"1.33"))))))))</f>
        <v>1.33</v>
      </c>
      <c r="L136" s="711" t="str">
        <f t="shared" ref="L136:L140" si="118">IF(J136&gt;85,("A"),IF(J136&gt;80,("A-"),IF(J136&gt;75,("B+"),IF(J136&gt;70,("B"),IF(J136&gt;65,("B-"),IF(J136&gt;60,("C+"),IF(J136&gt;55,("C"),IF(J136&gt;50,("C-"),"D+"))))))))</f>
        <v>D+</v>
      </c>
      <c r="M136" s="712" t="str">
        <f t="shared" ref="M136:M140" si="119">IF(J136&gt;80,("SB"),IF(J136&gt;65,("B"),IF(J136&gt;50,("C"),IF(J136&gt;0,("K"),"0"))))</f>
        <v>0</v>
      </c>
      <c r="N136" s="1631"/>
      <c r="O136" s="1632"/>
      <c r="P136" s="1632"/>
      <c r="Q136" s="1632"/>
      <c r="R136" s="1632"/>
      <c r="S136" s="1632"/>
      <c r="T136" s="1633"/>
      <c r="U136" s="1633"/>
      <c r="V136" s="1633"/>
      <c r="W136" s="1633"/>
      <c r="X136" s="1633"/>
      <c r="Y136" s="1633"/>
      <c r="Z136" s="1920"/>
      <c r="AA136" s="1522"/>
    </row>
    <row r="137" spans="1:27" ht="24.95" customHeight="1" x14ac:dyDescent="0.3">
      <c r="A137" s="687"/>
      <c r="B137" s="683"/>
      <c r="C137" s="1630"/>
      <c r="D137" s="1626" t="s">
        <v>179</v>
      </c>
      <c r="E137" s="1891">
        <f>VLOOKUP(A135,UHT_AGM,26,FALSE)</f>
        <v>0</v>
      </c>
      <c r="F137" s="1905">
        <f t="shared" si="114"/>
        <v>0</v>
      </c>
      <c r="G137" s="1891"/>
      <c r="H137" s="1627">
        <f>VLOOKUP(A135,an_agm,51,FALSE)</f>
        <v>0</v>
      </c>
      <c r="I137" s="709">
        <f t="shared" si="115"/>
        <v>0</v>
      </c>
      <c r="J137" s="710">
        <f t="shared" si="116"/>
        <v>0</v>
      </c>
      <c r="K137" s="711" t="str">
        <f t="shared" si="117"/>
        <v>1.33</v>
      </c>
      <c r="L137" s="711" t="str">
        <f t="shared" si="118"/>
        <v>D+</v>
      </c>
      <c r="M137" s="712" t="str">
        <f t="shared" si="119"/>
        <v>0</v>
      </c>
      <c r="N137" s="1634"/>
      <c r="O137" s="1635"/>
      <c r="P137" s="1635"/>
      <c r="Q137" s="1635"/>
      <c r="R137" s="1635"/>
      <c r="S137" s="1635"/>
      <c r="T137" s="1636"/>
      <c r="U137" s="1636"/>
      <c r="V137" s="1636"/>
      <c r="W137" s="1636"/>
      <c r="X137" s="1636"/>
      <c r="Y137" s="1636"/>
      <c r="Z137" s="1921"/>
      <c r="AA137" s="1524"/>
    </row>
    <row r="138" spans="1:27" ht="24.95" customHeight="1" x14ac:dyDescent="0.3">
      <c r="A138" s="687"/>
      <c r="B138" s="683"/>
      <c r="C138" s="1630"/>
      <c r="D138" s="1626" t="s">
        <v>180</v>
      </c>
      <c r="E138" s="1891">
        <f>VLOOKUP(A135,UHT_AGM,27,FALSE)</f>
        <v>0</v>
      </c>
      <c r="F138" s="1905">
        <f t="shared" si="114"/>
        <v>0</v>
      </c>
      <c r="G138" s="1891"/>
      <c r="H138" s="1627">
        <f>VLOOKUP(A135,an_agm,52,FALSE)</f>
        <v>0</v>
      </c>
      <c r="I138" s="709">
        <f t="shared" si="115"/>
        <v>0</v>
      </c>
      <c r="J138" s="710">
        <f t="shared" si="116"/>
        <v>0</v>
      </c>
      <c r="K138" s="711" t="str">
        <f t="shared" si="117"/>
        <v>1.33</v>
      </c>
      <c r="L138" s="711" t="str">
        <f t="shared" si="118"/>
        <v>D+</v>
      </c>
      <c r="M138" s="712" t="str">
        <f t="shared" si="119"/>
        <v>0</v>
      </c>
      <c r="N138" s="1634"/>
      <c r="O138" s="1635"/>
      <c r="P138" s="1635"/>
      <c r="Q138" s="1635"/>
      <c r="R138" s="1635"/>
      <c r="S138" s="1635"/>
      <c r="T138" s="1636"/>
      <c r="U138" s="1636"/>
      <c r="V138" s="1636"/>
      <c r="W138" s="1636"/>
      <c r="X138" s="1636"/>
      <c r="Y138" s="1636"/>
      <c r="Z138" s="1921"/>
      <c r="AA138" s="1524"/>
    </row>
    <row r="139" spans="1:27" ht="24.95" customHeight="1" x14ac:dyDescent="0.3">
      <c r="A139" s="1637"/>
      <c r="B139" s="360"/>
      <c r="C139" s="1630"/>
      <c r="D139" s="1626" t="s">
        <v>19</v>
      </c>
      <c r="E139" s="1891">
        <f>VLOOKUP(A135,UHT_AGM,28,FALSE)</f>
        <v>0</v>
      </c>
      <c r="F139" s="1905">
        <f t="shared" si="114"/>
        <v>0</v>
      </c>
      <c r="G139" s="1891"/>
      <c r="H139" s="1627">
        <f>VLOOKUP(A135,an_agm,53,FALSE)</f>
        <v>0</v>
      </c>
      <c r="I139" s="709">
        <f t="shared" si="115"/>
        <v>0</v>
      </c>
      <c r="J139" s="710">
        <f t="shared" si="116"/>
        <v>0</v>
      </c>
      <c r="K139" s="711" t="str">
        <f t="shared" si="117"/>
        <v>1.33</v>
      </c>
      <c r="L139" s="711" t="str">
        <f t="shared" si="118"/>
        <v>D+</v>
      </c>
      <c r="M139" s="712" t="str">
        <f t="shared" si="119"/>
        <v>0</v>
      </c>
      <c r="N139" s="1638"/>
      <c r="O139" s="1639"/>
      <c r="P139" s="1639"/>
      <c r="Q139" s="1639"/>
      <c r="R139" s="1639"/>
      <c r="S139" s="1639"/>
      <c r="T139" s="1640"/>
      <c r="U139" s="1640"/>
      <c r="V139" s="1640"/>
      <c r="W139" s="1640"/>
      <c r="X139" s="1640"/>
      <c r="Y139" s="1640"/>
      <c r="Z139" s="1921"/>
      <c r="AA139" s="1524"/>
    </row>
    <row r="140" spans="1:27" ht="24.95" customHeight="1" x14ac:dyDescent="0.3">
      <c r="A140" s="1637"/>
      <c r="B140" s="360"/>
      <c r="C140" s="1630"/>
      <c r="D140" s="1626" t="s">
        <v>181</v>
      </c>
      <c r="E140" s="1891">
        <f>VLOOKUP(A135,UHT_AGM,30,FALSE)</f>
        <v>0</v>
      </c>
      <c r="F140" s="1905">
        <f t="shared" si="114"/>
        <v>0</v>
      </c>
      <c r="G140" s="1891"/>
      <c r="H140" s="1627">
        <f>VLOOKUP(A135,an_agm,54,FALSE)</f>
        <v>0</v>
      </c>
      <c r="I140" s="709">
        <f t="shared" si="115"/>
        <v>0</v>
      </c>
      <c r="J140" s="710">
        <f t="shared" si="116"/>
        <v>0</v>
      </c>
      <c r="K140" s="711" t="str">
        <f t="shared" si="117"/>
        <v>1.33</v>
      </c>
      <c r="L140" s="711" t="str">
        <f t="shared" si="118"/>
        <v>D+</v>
      </c>
      <c r="M140" s="712" t="str">
        <f t="shared" si="119"/>
        <v>0</v>
      </c>
      <c r="N140" s="1812"/>
      <c r="O140" s="1813"/>
      <c r="P140" s="1813"/>
      <c r="Q140" s="1813"/>
      <c r="R140" s="1813"/>
      <c r="S140" s="1813"/>
      <c r="T140" s="1814"/>
      <c r="U140" s="1814"/>
      <c r="V140" s="1814"/>
      <c r="W140" s="1814"/>
      <c r="X140" s="1814"/>
      <c r="Y140" s="1814"/>
      <c r="Z140" s="1922"/>
      <c r="AA140" s="1526"/>
    </row>
    <row r="141" spans="1:27" ht="24.95" customHeight="1" x14ac:dyDescent="0.25">
      <c r="A141" s="1641"/>
      <c r="B141" s="1642">
        <v>19</v>
      </c>
      <c r="C141" s="1643" t="s">
        <v>167</v>
      </c>
      <c r="D141" s="1641"/>
      <c r="E141" s="1189">
        <f>AVERAGE(E135:E140)</f>
        <v>0</v>
      </c>
      <c r="F141" s="1641"/>
      <c r="G141" s="1189" t="e">
        <f>AVEDEV(G135:G140)</f>
        <v>#NUM!</v>
      </c>
      <c r="H141" s="1189">
        <f>AVERAGE(H135:H140)</f>
        <v>0</v>
      </c>
      <c r="I141" s="1644"/>
      <c r="J141" s="350">
        <f>AVERAGE(J135:J140)</f>
        <v>0</v>
      </c>
      <c r="K141" s="350" t="str">
        <f>IF(J141&gt;85,("4"),IF(J141&gt;80,("3.66"),IF(J141&gt;75,("3.33"),IF(J141&gt;70,("3.00"),IF(J141&gt;65,("2.66"),IF(J141&gt;60,("2.33"),IF(J141&gt;55,("2"),IF(J141&gt;50,("1.66"),"1.33"))))))))</f>
        <v>1.33</v>
      </c>
      <c r="L141" s="1645" t="str">
        <f>IF(J141&gt;85,("A"),IF(J141&gt;80,("A-"),IF(J141&gt;75,("B+"),IF(J141&gt;70,("B"),IF(J141&gt;65,("B-"),IF(J141&gt;60,("C+"),IF(J141&gt;55,("C"),IF(J141&gt;50,("C-"),"D+"))))))))</f>
        <v>D+</v>
      </c>
      <c r="M141" s="1646" t="str">
        <f>IF(J141&gt;85,("A"),IF(J141&gt;80,("A-"),IF(J141&gt;75,("B+"),IF(J141&gt;70,("B"),IF(J141&gt;65,("B-"),IF(J141&gt;60,("C+"),IF(J141&gt;55,("C"),IF(J141&gt;50,("C-"),"D+"))))))))</f>
        <v>D+</v>
      </c>
      <c r="N141" s="1917"/>
      <c r="O141" s="1918"/>
      <c r="P141" s="1918"/>
      <c r="Q141" s="1918"/>
      <c r="R141" s="1918"/>
      <c r="S141" s="1918"/>
      <c r="T141" s="1918"/>
      <c r="U141" s="1918"/>
      <c r="V141" s="1918"/>
      <c r="W141" s="1918"/>
      <c r="X141" s="1918"/>
      <c r="Y141" s="1918"/>
      <c r="Z141" s="1923"/>
      <c r="AA141" s="1924"/>
    </row>
    <row r="142" spans="1:27" ht="24.95" customHeight="1" x14ac:dyDescent="0.3">
      <c r="A142" s="360">
        <v>20</v>
      </c>
      <c r="B142" s="683"/>
      <c r="C142" s="1625" t="str">
        <f>VLOOKUP(A142,data_siswa,4,FALSE)</f>
        <v>Roby Ardiyansyah</v>
      </c>
      <c r="D142" s="1626" t="s">
        <v>7</v>
      </c>
      <c r="E142" s="1891">
        <f>VLOOKUP(A142,UHT_AGM,24,FALSE)</f>
        <v>0</v>
      </c>
      <c r="F142" s="1904">
        <f>E142*2</f>
        <v>0</v>
      </c>
      <c r="G142" s="1891"/>
      <c r="H142" s="1627">
        <f>VLOOKUP(A142,an_agm,49,FALSE)</f>
        <v>0</v>
      </c>
      <c r="I142" s="706">
        <f>F142+G142+H142</f>
        <v>0</v>
      </c>
      <c r="J142" s="707">
        <f>(F142+G142+H142)/4</f>
        <v>0</v>
      </c>
      <c r="K142" s="708" t="str">
        <f>IF(J142&gt;85,("4"),IF(J142&gt;80,("3.66"),IF(J142&gt;75,("3.33"),IF(J142&gt;70,("3.00"),IF(J142&gt;65,("2.66"),IF(J142&gt;60,("2.33"),IF(J142&gt;55,("2"),IF(J142&gt;50,("1.66"),"1.33"))))))))</f>
        <v>1.33</v>
      </c>
      <c r="L142" s="708" t="str">
        <f>IF(J142&gt;85,("A"),IF(J142&gt;80,("A-"),IF(J142&gt;75,("B+"),IF(J142&gt;70,("B"),IF(J142&gt;65,("B-"),IF(J142&gt;60,("C+"),IF(J142&gt;55,("C"),IF(J142&gt;50,("C-"),"D+"))))))))</f>
        <v>D+</v>
      </c>
      <c r="M142" s="887" t="str">
        <f>IF(J142&gt;80,("SB"),IF(J142&gt;65,("B"),IF(J142&gt;50,("C"),IF(J142&gt;0,("K"),"0"))))</f>
        <v>0</v>
      </c>
      <c r="N142" s="1628"/>
      <c r="O142" s="1602"/>
      <c r="P142" s="1602"/>
      <c r="Q142" s="1602"/>
      <c r="R142" s="1602"/>
      <c r="S142" s="1602"/>
      <c r="T142" s="1629"/>
      <c r="U142" s="1629"/>
      <c r="V142" s="1629"/>
      <c r="W142" s="1629"/>
      <c r="X142" s="1629"/>
      <c r="Y142" s="1629"/>
      <c r="Z142" s="1193">
        <f>J148</f>
        <v>0</v>
      </c>
      <c r="AA142" s="1919" t="str">
        <f>L148</f>
        <v>D+</v>
      </c>
    </row>
    <row r="143" spans="1:27" ht="24.95" customHeight="1" x14ac:dyDescent="0.3">
      <c r="A143" s="687"/>
      <c r="B143" s="683"/>
      <c r="C143" s="1630"/>
      <c r="D143" s="1626" t="s">
        <v>18</v>
      </c>
      <c r="E143" s="1891">
        <f>VLOOKUP(A142,UHT_AGM,25,FALSE)</f>
        <v>0</v>
      </c>
      <c r="F143" s="1905">
        <f t="shared" ref="F143:F147" si="120">E143*2</f>
        <v>0</v>
      </c>
      <c r="G143" s="1891"/>
      <c r="H143" s="1627">
        <f>VLOOKUP(A142,an_agm,50,FALSE)</f>
        <v>0</v>
      </c>
      <c r="I143" s="709">
        <f t="shared" ref="I143:I147" si="121">F143+G143+H143</f>
        <v>0</v>
      </c>
      <c r="J143" s="710">
        <f t="shared" ref="J143:J147" si="122">(F143+G143+H143)/4</f>
        <v>0</v>
      </c>
      <c r="K143" s="711" t="str">
        <f t="shared" ref="K143:K147" si="123">IF(J143&gt;85,("4"),IF(J143&gt;80,("3.66"),IF(J143&gt;75,("3.33"),IF(J143&gt;70,("3.00"),IF(J143&gt;65,("2.66"),IF(J143&gt;60,("2.33"),IF(J143&gt;55,("2"),IF(J143&gt;50,("1.66"),"1.33"))))))))</f>
        <v>1.33</v>
      </c>
      <c r="L143" s="711" t="str">
        <f t="shared" ref="L143:L147" si="124">IF(J143&gt;85,("A"),IF(J143&gt;80,("A-"),IF(J143&gt;75,("B+"),IF(J143&gt;70,("B"),IF(J143&gt;65,("B-"),IF(J143&gt;60,("C+"),IF(J143&gt;55,("C"),IF(J143&gt;50,("C-"),"D+"))))))))</f>
        <v>D+</v>
      </c>
      <c r="M143" s="712" t="str">
        <f t="shared" ref="M143:M147" si="125">IF(J143&gt;80,("SB"),IF(J143&gt;65,("B"),IF(J143&gt;50,("C"),IF(J143&gt;0,("K"),"0"))))</f>
        <v>0</v>
      </c>
      <c r="N143" s="1631"/>
      <c r="O143" s="1632"/>
      <c r="P143" s="1632"/>
      <c r="Q143" s="1632"/>
      <c r="R143" s="1632"/>
      <c r="S143" s="1632"/>
      <c r="T143" s="1633"/>
      <c r="U143" s="1633"/>
      <c r="V143" s="1633"/>
      <c r="W143" s="1633"/>
      <c r="X143" s="1633"/>
      <c r="Y143" s="1633"/>
      <c r="Z143" s="1920"/>
      <c r="AA143" s="1522"/>
    </row>
    <row r="144" spans="1:27" ht="24.95" customHeight="1" x14ac:dyDescent="0.3">
      <c r="A144" s="687"/>
      <c r="B144" s="683"/>
      <c r="C144" s="1630"/>
      <c r="D144" s="1626" t="s">
        <v>179</v>
      </c>
      <c r="E144" s="1891">
        <f>VLOOKUP(A142,UHT_AGM,26,FALSE)</f>
        <v>0</v>
      </c>
      <c r="F144" s="1905">
        <f t="shared" si="120"/>
        <v>0</v>
      </c>
      <c r="G144" s="1891"/>
      <c r="H144" s="1627">
        <f>VLOOKUP(A142,an_agm,51,FALSE)</f>
        <v>0</v>
      </c>
      <c r="I144" s="709">
        <f t="shared" si="121"/>
        <v>0</v>
      </c>
      <c r="J144" s="710">
        <f t="shared" si="122"/>
        <v>0</v>
      </c>
      <c r="K144" s="711" t="str">
        <f t="shared" si="123"/>
        <v>1.33</v>
      </c>
      <c r="L144" s="711" t="str">
        <f t="shared" si="124"/>
        <v>D+</v>
      </c>
      <c r="M144" s="712" t="str">
        <f t="shared" si="125"/>
        <v>0</v>
      </c>
      <c r="N144" s="1634"/>
      <c r="O144" s="1635"/>
      <c r="P144" s="1635"/>
      <c r="Q144" s="1635"/>
      <c r="R144" s="1635"/>
      <c r="S144" s="1635"/>
      <c r="T144" s="1636"/>
      <c r="U144" s="1636"/>
      <c r="V144" s="1636"/>
      <c r="W144" s="1636"/>
      <c r="X144" s="1636"/>
      <c r="Y144" s="1636"/>
      <c r="Z144" s="1921"/>
      <c r="AA144" s="1524"/>
    </row>
    <row r="145" spans="1:27" ht="24.95" customHeight="1" x14ac:dyDescent="0.3">
      <c r="A145" s="687"/>
      <c r="B145" s="683"/>
      <c r="C145" s="1630"/>
      <c r="D145" s="1626" t="s">
        <v>180</v>
      </c>
      <c r="E145" s="1891">
        <f>VLOOKUP(A142,UHT_AGM,27,FALSE)</f>
        <v>0</v>
      </c>
      <c r="F145" s="1905">
        <f t="shared" si="120"/>
        <v>0</v>
      </c>
      <c r="G145" s="1891"/>
      <c r="H145" s="1627">
        <f>VLOOKUP(A142,an_agm,52,FALSE)</f>
        <v>0</v>
      </c>
      <c r="I145" s="709">
        <f t="shared" si="121"/>
        <v>0</v>
      </c>
      <c r="J145" s="710">
        <f t="shared" si="122"/>
        <v>0</v>
      </c>
      <c r="K145" s="711" t="str">
        <f t="shared" si="123"/>
        <v>1.33</v>
      </c>
      <c r="L145" s="711" t="str">
        <f t="shared" si="124"/>
        <v>D+</v>
      </c>
      <c r="M145" s="712" t="str">
        <f t="shared" si="125"/>
        <v>0</v>
      </c>
      <c r="N145" s="1634"/>
      <c r="O145" s="1635"/>
      <c r="P145" s="1635"/>
      <c r="Q145" s="1635"/>
      <c r="R145" s="1635"/>
      <c r="S145" s="1635"/>
      <c r="T145" s="1636"/>
      <c r="U145" s="1636"/>
      <c r="V145" s="1636"/>
      <c r="W145" s="1636"/>
      <c r="X145" s="1636"/>
      <c r="Y145" s="1636"/>
      <c r="Z145" s="1921"/>
      <c r="AA145" s="1524"/>
    </row>
    <row r="146" spans="1:27" ht="24.95" customHeight="1" x14ac:dyDescent="0.3">
      <c r="A146" s="1637"/>
      <c r="B146" s="360"/>
      <c r="C146" s="1630"/>
      <c r="D146" s="1626" t="s">
        <v>19</v>
      </c>
      <c r="E146" s="1891">
        <f>VLOOKUP(A142,UHT_AGM,28,FALSE)</f>
        <v>0</v>
      </c>
      <c r="F146" s="1905">
        <f t="shared" si="120"/>
        <v>0</v>
      </c>
      <c r="G146" s="1891"/>
      <c r="H146" s="1627">
        <f>VLOOKUP(A142,an_agm,53,FALSE)</f>
        <v>0</v>
      </c>
      <c r="I146" s="709">
        <f t="shared" si="121"/>
        <v>0</v>
      </c>
      <c r="J146" s="710">
        <f t="shared" si="122"/>
        <v>0</v>
      </c>
      <c r="K146" s="711" t="str">
        <f t="shared" si="123"/>
        <v>1.33</v>
      </c>
      <c r="L146" s="711" t="str">
        <f t="shared" si="124"/>
        <v>D+</v>
      </c>
      <c r="M146" s="712" t="str">
        <f t="shared" si="125"/>
        <v>0</v>
      </c>
      <c r="N146" s="1638"/>
      <c r="O146" s="1639"/>
      <c r="P146" s="1639"/>
      <c r="Q146" s="1639"/>
      <c r="R146" s="1639"/>
      <c r="S146" s="1639"/>
      <c r="T146" s="1640"/>
      <c r="U146" s="1640"/>
      <c r="V146" s="1640"/>
      <c r="W146" s="1640"/>
      <c r="X146" s="1640"/>
      <c r="Y146" s="1640"/>
      <c r="Z146" s="1921"/>
      <c r="AA146" s="1524"/>
    </row>
    <row r="147" spans="1:27" ht="24.95" customHeight="1" x14ac:dyDescent="0.3">
      <c r="A147" s="1637"/>
      <c r="B147" s="360"/>
      <c r="C147" s="1630"/>
      <c r="D147" s="1626" t="s">
        <v>181</v>
      </c>
      <c r="E147" s="1891">
        <f>VLOOKUP(A142,UHT_AGM,30,FALSE)</f>
        <v>0</v>
      </c>
      <c r="F147" s="1905">
        <f t="shared" si="120"/>
        <v>0</v>
      </c>
      <c r="G147" s="1891"/>
      <c r="H147" s="1627">
        <f>VLOOKUP(A142,an_agm,54,FALSE)</f>
        <v>0</v>
      </c>
      <c r="I147" s="709">
        <f t="shared" si="121"/>
        <v>0</v>
      </c>
      <c r="J147" s="710">
        <f t="shared" si="122"/>
        <v>0</v>
      </c>
      <c r="K147" s="711" t="str">
        <f t="shared" si="123"/>
        <v>1.33</v>
      </c>
      <c r="L147" s="711" t="str">
        <f t="shared" si="124"/>
        <v>D+</v>
      </c>
      <c r="M147" s="712" t="str">
        <f t="shared" si="125"/>
        <v>0</v>
      </c>
      <c r="N147" s="1812"/>
      <c r="O147" s="1813"/>
      <c r="P147" s="1813"/>
      <c r="Q147" s="1813"/>
      <c r="R147" s="1813"/>
      <c r="S147" s="1813"/>
      <c r="T147" s="1814"/>
      <c r="U147" s="1814"/>
      <c r="V147" s="1814"/>
      <c r="W147" s="1814"/>
      <c r="X147" s="1814"/>
      <c r="Y147" s="1814"/>
      <c r="Z147" s="1922"/>
      <c r="AA147" s="1526"/>
    </row>
    <row r="148" spans="1:27" ht="24.95" customHeight="1" x14ac:dyDescent="0.25">
      <c r="A148" s="1641"/>
      <c r="B148" s="1642">
        <v>20</v>
      </c>
      <c r="C148" s="1643" t="s">
        <v>167</v>
      </c>
      <c r="D148" s="1641"/>
      <c r="E148" s="1189">
        <f>AVERAGE(E142:E147)</f>
        <v>0</v>
      </c>
      <c r="F148" s="1641"/>
      <c r="G148" s="1189" t="e">
        <f>AVEDEV(G142:G147)</f>
        <v>#NUM!</v>
      </c>
      <c r="H148" s="1189">
        <f>AVERAGE(H142:H147)</f>
        <v>0</v>
      </c>
      <c r="I148" s="1644"/>
      <c r="J148" s="350">
        <f>AVERAGE(J142:J147)</f>
        <v>0</v>
      </c>
      <c r="K148" s="350" t="str">
        <f>IF(J148&gt;85,("4"),IF(J148&gt;80,("3.66"),IF(J148&gt;75,("3.33"),IF(J148&gt;70,("3.00"),IF(J148&gt;65,("2.66"),IF(J148&gt;60,("2.33"),IF(J148&gt;55,("2"),IF(J148&gt;50,("1.66"),"1.33"))))))))</f>
        <v>1.33</v>
      </c>
      <c r="L148" s="1645" t="str">
        <f>IF(J148&gt;85,("A"),IF(J148&gt;80,("A-"),IF(J148&gt;75,("B+"),IF(J148&gt;70,("B"),IF(J148&gt;65,("B-"),IF(J148&gt;60,("C+"),IF(J148&gt;55,("C"),IF(J148&gt;50,("C-"),"D+"))))))))</f>
        <v>D+</v>
      </c>
      <c r="M148" s="1646" t="str">
        <f>IF(J148&gt;85,("A"),IF(J148&gt;80,("A-"),IF(J148&gt;75,("B+"),IF(J148&gt;70,("B"),IF(J148&gt;65,("B-"),IF(J148&gt;60,("C+"),IF(J148&gt;55,("C"),IF(J148&gt;50,("C-"),"D+"))))))))</f>
        <v>D+</v>
      </c>
      <c r="N148" s="1917"/>
      <c r="O148" s="1918"/>
      <c r="P148" s="1918"/>
      <c r="Q148" s="1918"/>
      <c r="R148" s="1918"/>
      <c r="S148" s="1918"/>
      <c r="T148" s="1918"/>
      <c r="U148" s="1918"/>
      <c r="V148" s="1918"/>
      <c r="W148" s="1918"/>
      <c r="X148" s="1918"/>
      <c r="Y148" s="1918"/>
      <c r="Z148" s="1923"/>
      <c r="AA148" s="1924"/>
    </row>
    <row r="149" spans="1:27" ht="24.95" customHeight="1" x14ac:dyDescent="0.3">
      <c r="A149" s="360">
        <v>21</v>
      </c>
      <c r="B149" s="683"/>
      <c r="C149" s="1625" t="str">
        <f>VLOOKUP(A149,data_siswa,4,FALSE)</f>
        <v>Rojalingga Prana A</v>
      </c>
      <c r="D149" s="1626" t="s">
        <v>7</v>
      </c>
      <c r="E149" s="1891">
        <f>VLOOKUP(A149,UHT_AGM,24,FALSE)</f>
        <v>0</v>
      </c>
      <c r="F149" s="1904">
        <f>E149*2</f>
        <v>0</v>
      </c>
      <c r="G149" s="1891"/>
      <c r="H149" s="1627">
        <f>VLOOKUP(A149,an_agm,49,FALSE)</f>
        <v>0</v>
      </c>
      <c r="I149" s="706">
        <f>F149+G149+H149</f>
        <v>0</v>
      </c>
      <c r="J149" s="707">
        <f>(F149+G149+H149)/4</f>
        <v>0</v>
      </c>
      <c r="K149" s="708" t="str">
        <f>IF(J149&gt;85,("4"),IF(J149&gt;80,("3.66"),IF(J149&gt;75,("3.33"),IF(J149&gt;70,("3.00"),IF(J149&gt;65,("2.66"),IF(J149&gt;60,("2.33"),IF(J149&gt;55,("2"),IF(J149&gt;50,("1.66"),"1.33"))))))))</f>
        <v>1.33</v>
      </c>
      <c r="L149" s="708" t="str">
        <f>IF(J149&gt;85,("A"),IF(J149&gt;80,("A-"),IF(J149&gt;75,("B+"),IF(J149&gt;70,("B"),IF(J149&gt;65,("B-"),IF(J149&gt;60,("C+"),IF(J149&gt;55,("C"),IF(J149&gt;50,("C-"),"D+"))))))))</f>
        <v>D+</v>
      </c>
      <c r="M149" s="887" t="str">
        <f>IF(J149&gt;80,("SB"),IF(J149&gt;65,("B"),IF(J149&gt;50,("C"),IF(J149&gt;0,("K"),"0"))))</f>
        <v>0</v>
      </c>
      <c r="N149" s="1628"/>
      <c r="O149" s="1602"/>
      <c r="P149" s="1602"/>
      <c r="Q149" s="1602"/>
      <c r="R149" s="1602"/>
      <c r="S149" s="1602"/>
      <c r="T149" s="1629"/>
      <c r="U149" s="1629"/>
      <c r="V149" s="1629"/>
      <c r="W149" s="1629"/>
      <c r="X149" s="1629"/>
      <c r="Y149" s="1629"/>
      <c r="Z149" s="1193">
        <f>J155</f>
        <v>0</v>
      </c>
      <c r="AA149" s="1919" t="str">
        <f>L155</f>
        <v>D+</v>
      </c>
    </row>
    <row r="150" spans="1:27" ht="24.95" customHeight="1" x14ac:dyDescent="0.3">
      <c r="A150" s="687"/>
      <c r="B150" s="683"/>
      <c r="C150" s="1630"/>
      <c r="D150" s="1626" t="s">
        <v>18</v>
      </c>
      <c r="E150" s="1891">
        <f>VLOOKUP(A149,UHT_AGM,25,FALSE)</f>
        <v>0</v>
      </c>
      <c r="F150" s="1905">
        <f t="shared" ref="F150:F154" si="126">E150*2</f>
        <v>0</v>
      </c>
      <c r="G150" s="1891"/>
      <c r="H150" s="1627">
        <f>VLOOKUP(A149,an_agm,50,FALSE)</f>
        <v>0</v>
      </c>
      <c r="I150" s="709">
        <f t="shared" ref="I150:I154" si="127">F150+G150+H150</f>
        <v>0</v>
      </c>
      <c r="J150" s="710">
        <f t="shared" ref="J150:J154" si="128">(F150+G150+H150)/4</f>
        <v>0</v>
      </c>
      <c r="K150" s="711" t="str">
        <f t="shared" ref="K150:K154" si="129">IF(J150&gt;85,("4"),IF(J150&gt;80,("3.66"),IF(J150&gt;75,("3.33"),IF(J150&gt;70,("3.00"),IF(J150&gt;65,("2.66"),IF(J150&gt;60,("2.33"),IF(J150&gt;55,("2"),IF(J150&gt;50,("1.66"),"1.33"))))))))</f>
        <v>1.33</v>
      </c>
      <c r="L150" s="711" t="str">
        <f t="shared" ref="L150:L154" si="130">IF(J150&gt;85,("A"),IF(J150&gt;80,("A-"),IF(J150&gt;75,("B+"),IF(J150&gt;70,("B"),IF(J150&gt;65,("B-"),IF(J150&gt;60,("C+"),IF(J150&gt;55,("C"),IF(J150&gt;50,("C-"),"D+"))))))))</f>
        <v>D+</v>
      </c>
      <c r="M150" s="712" t="str">
        <f t="shared" ref="M150:M154" si="131">IF(J150&gt;80,("SB"),IF(J150&gt;65,("B"),IF(J150&gt;50,("C"),IF(J150&gt;0,("K"),"0"))))</f>
        <v>0</v>
      </c>
      <c r="N150" s="1631"/>
      <c r="O150" s="1632"/>
      <c r="P150" s="1632"/>
      <c r="Q150" s="1632"/>
      <c r="R150" s="1632"/>
      <c r="S150" s="1632"/>
      <c r="T150" s="1633"/>
      <c r="U150" s="1633"/>
      <c r="V150" s="1633"/>
      <c r="W150" s="1633"/>
      <c r="X150" s="1633"/>
      <c r="Y150" s="1633"/>
      <c r="Z150" s="1920"/>
      <c r="AA150" s="1522"/>
    </row>
    <row r="151" spans="1:27" ht="24.95" customHeight="1" x14ac:dyDescent="0.3">
      <c r="A151" s="687"/>
      <c r="B151" s="683"/>
      <c r="C151" s="1630"/>
      <c r="D151" s="1626" t="s">
        <v>179</v>
      </c>
      <c r="E151" s="1891">
        <f>VLOOKUP(A149,UHT_AGM,26,FALSE)</f>
        <v>0</v>
      </c>
      <c r="F151" s="1905">
        <f t="shared" si="126"/>
        <v>0</v>
      </c>
      <c r="G151" s="1891"/>
      <c r="H151" s="1627">
        <f>VLOOKUP(A149,an_agm,51,FALSE)</f>
        <v>0</v>
      </c>
      <c r="I151" s="709">
        <f t="shared" si="127"/>
        <v>0</v>
      </c>
      <c r="J151" s="710">
        <f t="shared" si="128"/>
        <v>0</v>
      </c>
      <c r="K151" s="711" t="str">
        <f t="shared" si="129"/>
        <v>1.33</v>
      </c>
      <c r="L151" s="711" t="str">
        <f t="shared" si="130"/>
        <v>D+</v>
      </c>
      <c r="M151" s="712" t="str">
        <f t="shared" si="131"/>
        <v>0</v>
      </c>
      <c r="N151" s="1634"/>
      <c r="O151" s="1635"/>
      <c r="P151" s="1635"/>
      <c r="Q151" s="1635"/>
      <c r="R151" s="1635"/>
      <c r="S151" s="1635"/>
      <c r="T151" s="1636"/>
      <c r="U151" s="1636"/>
      <c r="V151" s="1636"/>
      <c r="W151" s="1636"/>
      <c r="X151" s="1636"/>
      <c r="Y151" s="1636"/>
      <c r="Z151" s="1921"/>
      <c r="AA151" s="1524"/>
    </row>
    <row r="152" spans="1:27" ht="24.95" customHeight="1" x14ac:dyDescent="0.3">
      <c r="A152" s="687"/>
      <c r="B152" s="683"/>
      <c r="C152" s="1630"/>
      <c r="D152" s="1626" t="s">
        <v>180</v>
      </c>
      <c r="E152" s="1891">
        <f>VLOOKUP(A149,UHT_AGM,27,FALSE)</f>
        <v>0</v>
      </c>
      <c r="F152" s="1905">
        <f t="shared" si="126"/>
        <v>0</v>
      </c>
      <c r="G152" s="1891"/>
      <c r="H152" s="1627">
        <f>VLOOKUP(A149,an_agm,52,FALSE)</f>
        <v>0</v>
      </c>
      <c r="I152" s="709">
        <f t="shared" si="127"/>
        <v>0</v>
      </c>
      <c r="J152" s="710">
        <f t="shared" si="128"/>
        <v>0</v>
      </c>
      <c r="K152" s="711" t="str">
        <f t="shared" si="129"/>
        <v>1.33</v>
      </c>
      <c r="L152" s="711" t="str">
        <f t="shared" si="130"/>
        <v>D+</v>
      </c>
      <c r="M152" s="712" t="str">
        <f t="shared" si="131"/>
        <v>0</v>
      </c>
      <c r="N152" s="1634"/>
      <c r="O152" s="1635"/>
      <c r="P152" s="1635"/>
      <c r="Q152" s="1635"/>
      <c r="R152" s="1635"/>
      <c r="S152" s="1635"/>
      <c r="T152" s="1636"/>
      <c r="U152" s="1636"/>
      <c r="V152" s="1636"/>
      <c r="W152" s="1636"/>
      <c r="X152" s="1636"/>
      <c r="Y152" s="1636"/>
      <c r="Z152" s="1921"/>
      <c r="AA152" s="1524"/>
    </row>
    <row r="153" spans="1:27" ht="24.95" customHeight="1" x14ac:dyDescent="0.3">
      <c r="A153" s="1637"/>
      <c r="B153" s="360"/>
      <c r="C153" s="1630"/>
      <c r="D153" s="1626" t="s">
        <v>19</v>
      </c>
      <c r="E153" s="1891">
        <f>VLOOKUP(A149,UHT_AGM,28,FALSE)</f>
        <v>0</v>
      </c>
      <c r="F153" s="1905">
        <f t="shared" si="126"/>
        <v>0</v>
      </c>
      <c r="G153" s="1891"/>
      <c r="H153" s="1627">
        <f>VLOOKUP(A149,an_agm,53,FALSE)</f>
        <v>0</v>
      </c>
      <c r="I153" s="709">
        <f t="shared" si="127"/>
        <v>0</v>
      </c>
      <c r="J153" s="710">
        <f t="shared" si="128"/>
        <v>0</v>
      </c>
      <c r="K153" s="711" t="str">
        <f t="shared" si="129"/>
        <v>1.33</v>
      </c>
      <c r="L153" s="711" t="str">
        <f t="shared" si="130"/>
        <v>D+</v>
      </c>
      <c r="M153" s="712" t="str">
        <f t="shared" si="131"/>
        <v>0</v>
      </c>
      <c r="N153" s="1638"/>
      <c r="O153" s="1639"/>
      <c r="P153" s="1639"/>
      <c r="Q153" s="1639"/>
      <c r="R153" s="1639"/>
      <c r="S153" s="1639"/>
      <c r="T153" s="1640"/>
      <c r="U153" s="1640"/>
      <c r="V153" s="1640"/>
      <c r="W153" s="1640"/>
      <c r="X153" s="1640"/>
      <c r="Y153" s="1640"/>
      <c r="Z153" s="1921"/>
      <c r="AA153" s="1524"/>
    </row>
    <row r="154" spans="1:27" ht="24.95" customHeight="1" x14ac:dyDescent="0.3">
      <c r="A154" s="1637"/>
      <c r="B154" s="360"/>
      <c r="C154" s="1630"/>
      <c r="D154" s="1626" t="s">
        <v>181</v>
      </c>
      <c r="E154" s="1891">
        <f>VLOOKUP(A149,UHT_AGM,30,FALSE)</f>
        <v>0</v>
      </c>
      <c r="F154" s="1905">
        <f t="shared" si="126"/>
        <v>0</v>
      </c>
      <c r="G154" s="1891"/>
      <c r="H154" s="1627">
        <f>VLOOKUP(A149,an_agm,54,FALSE)</f>
        <v>0</v>
      </c>
      <c r="I154" s="709">
        <f t="shared" si="127"/>
        <v>0</v>
      </c>
      <c r="J154" s="710">
        <f t="shared" si="128"/>
        <v>0</v>
      </c>
      <c r="K154" s="711" t="str">
        <f t="shared" si="129"/>
        <v>1.33</v>
      </c>
      <c r="L154" s="711" t="str">
        <f t="shared" si="130"/>
        <v>D+</v>
      </c>
      <c r="M154" s="712" t="str">
        <f t="shared" si="131"/>
        <v>0</v>
      </c>
      <c r="N154" s="1812"/>
      <c r="O154" s="1813"/>
      <c r="P154" s="1813"/>
      <c r="Q154" s="1813"/>
      <c r="R154" s="1813"/>
      <c r="S154" s="1813"/>
      <c r="T154" s="1814"/>
      <c r="U154" s="1814"/>
      <c r="V154" s="1814"/>
      <c r="W154" s="1814"/>
      <c r="X154" s="1814"/>
      <c r="Y154" s="1814"/>
      <c r="Z154" s="1922"/>
      <c r="AA154" s="1526"/>
    </row>
    <row r="155" spans="1:27" ht="24.95" customHeight="1" x14ac:dyDescent="0.25">
      <c r="A155" s="1641"/>
      <c r="B155" s="1642">
        <v>21</v>
      </c>
      <c r="C155" s="1643" t="s">
        <v>167</v>
      </c>
      <c r="D155" s="1641"/>
      <c r="E155" s="1189">
        <f>AVERAGE(E149:E154)</f>
        <v>0</v>
      </c>
      <c r="F155" s="1641"/>
      <c r="G155" s="1189" t="e">
        <f>AVEDEV(G149:G154)</f>
        <v>#NUM!</v>
      </c>
      <c r="H155" s="1189">
        <f>AVERAGE(H149:H154)</f>
        <v>0</v>
      </c>
      <c r="I155" s="1644"/>
      <c r="J155" s="350">
        <f>AVERAGE(J149:J154)</f>
        <v>0</v>
      </c>
      <c r="K155" s="350" t="str">
        <f>IF(J155&gt;85,("4"),IF(J155&gt;80,("3.66"),IF(J155&gt;75,("3.33"),IF(J155&gt;70,("3.00"),IF(J155&gt;65,("2.66"),IF(J155&gt;60,("2.33"),IF(J155&gt;55,("2"),IF(J155&gt;50,("1.66"),"1.33"))))))))</f>
        <v>1.33</v>
      </c>
      <c r="L155" s="1645" t="str">
        <f>IF(J155&gt;85,("A"),IF(J155&gt;80,("A-"),IF(J155&gt;75,("B+"),IF(J155&gt;70,("B"),IF(J155&gt;65,("B-"),IF(J155&gt;60,("C+"),IF(J155&gt;55,("C"),IF(J155&gt;50,("C-"),"D+"))))))))</f>
        <v>D+</v>
      </c>
      <c r="M155" s="1646" t="str">
        <f>IF(J155&gt;85,("A"),IF(J155&gt;80,("A-"),IF(J155&gt;75,("B+"),IF(J155&gt;70,("B"),IF(J155&gt;65,("B-"),IF(J155&gt;60,("C+"),IF(J155&gt;55,("C"),IF(J155&gt;50,("C-"),"D+"))))))))</f>
        <v>D+</v>
      </c>
      <c r="N155" s="1917"/>
      <c r="O155" s="1918"/>
      <c r="P155" s="1918"/>
      <c r="Q155" s="1918"/>
      <c r="R155" s="1918"/>
      <c r="S155" s="1918"/>
      <c r="T155" s="1918"/>
      <c r="U155" s="1918"/>
      <c r="V155" s="1918"/>
      <c r="W155" s="1918"/>
      <c r="X155" s="1918"/>
      <c r="Y155" s="1918"/>
      <c r="Z155" s="1923"/>
      <c r="AA155" s="1924"/>
    </row>
    <row r="156" spans="1:27" ht="24.95" customHeight="1" x14ac:dyDescent="0.3">
      <c r="A156" s="360">
        <v>22</v>
      </c>
      <c r="B156" s="683"/>
      <c r="C156" s="1625" t="str">
        <f>VLOOKUP(A156,data_siswa,4,FALSE)</f>
        <v>Sally Savista A</v>
      </c>
      <c r="D156" s="1626" t="s">
        <v>7</v>
      </c>
      <c r="E156" s="1891">
        <f>VLOOKUP(A156,UHT_AGM,24,FALSE)</f>
        <v>0</v>
      </c>
      <c r="F156" s="1904">
        <f>E156*2</f>
        <v>0</v>
      </c>
      <c r="G156" s="1891"/>
      <c r="H156" s="1627">
        <f>VLOOKUP(A156,an_agm,49,FALSE)</f>
        <v>0</v>
      </c>
      <c r="I156" s="706">
        <f>F156+G156+H156</f>
        <v>0</v>
      </c>
      <c r="J156" s="707">
        <f>(F156+G156+H156)/4</f>
        <v>0</v>
      </c>
      <c r="K156" s="708" t="str">
        <f>IF(J156&gt;85,("4"),IF(J156&gt;80,("3.66"),IF(J156&gt;75,("3.33"),IF(J156&gt;70,("3.00"),IF(J156&gt;65,("2.66"),IF(J156&gt;60,("2.33"),IF(J156&gt;55,("2"),IF(J156&gt;50,("1.66"),"1.33"))))))))</f>
        <v>1.33</v>
      </c>
      <c r="L156" s="708" t="str">
        <f>IF(J156&gt;85,("A"),IF(J156&gt;80,("A-"),IF(J156&gt;75,("B+"),IF(J156&gt;70,("B"),IF(J156&gt;65,("B-"),IF(J156&gt;60,("C+"),IF(J156&gt;55,("C"),IF(J156&gt;50,("C-"),"D+"))))))))</f>
        <v>D+</v>
      </c>
      <c r="M156" s="887" t="str">
        <f>IF(J156&gt;80,("SB"),IF(J156&gt;65,("B"),IF(J156&gt;50,("C"),IF(J156&gt;0,("K"),"0"))))</f>
        <v>0</v>
      </c>
      <c r="N156" s="1628"/>
      <c r="O156" s="1602"/>
      <c r="P156" s="1602"/>
      <c r="Q156" s="1602"/>
      <c r="R156" s="1602"/>
      <c r="S156" s="1602"/>
      <c r="T156" s="1629"/>
      <c r="U156" s="1629"/>
      <c r="V156" s="1629"/>
      <c r="W156" s="1629"/>
      <c r="X156" s="1629"/>
      <c r="Y156" s="1629"/>
      <c r="Z156" s="1193">
        <f>J162</f>
        <v>0</v>
      </c>
      <c r="AA156" s="1919" t="str">
        <f>L162</f>
        <v>D+</v>
      </c>
    </row>
    <row r="157" spans="1:27" ht="24.95" customHeight="1" x14ac:dyDescent="0.3">
      <c r="A157" s="687"/>
      <c r="B157" s="683"/>
      <c r="C157" s="1630"/>
      <c r="D157" s="1626" t="s">
        <v>18</v>
      </c>
      <c r="E157" s="1891">
        <f>VLOOKUP(A156,UHT_AGM,25,FALSE)</f>
        <v>0</v>
      </c>
      <c r="F157" s="1905">
        <f t="shared" ref="F157:F161" si="132">E157*2</f>
        <v>0</v>
      </c>
      <c r="G157" s="1891"/>
      <c r="H157" s="1627">
        <f>VLOOKUP(A156,an_agm,50,FALSE)</f>
        <v>0</v>
      </c>
      <c r="I157" s="709">
        <f t="shared" ref="I157:I161" si="133">F157+G157+H157</f>
        <v>0</v>
      </c>
      <c r="J157" s="710">
        <f t="shared" ref="J157:J161" si="134">(F157+G157+H157)/4</f>
        <v>0</v>
      </c>
      <c r="K157" s="711" t="str">
        <f t="shared" ref="K157:K161" si="135">IF(J157&gt;85,("4"),IF(J157&gt;80,("3.66"),IF(J157&gt;75,("3.33"),IF(J157&gt;70,("3.00"),IF(J157&gt;65,("2.66"),IF(J157&gt;60,("2.33"),IF(J157&gt;55,("2"),IF(J157&gt;50,("1.66"),"1.33"))))))))</f>
        <v>1.33</v>
      </c>
      <c r="L157" s="711" t="str">
        <f t="shared" ref="L157:L161" si="136">IF(J157&gt;85,("A"),IF(J157&gt;80,("A-"),IF(J157&gt;75,("B+"),IF(J157&gt;70,("B"),IF(J157&gt;65,("B-"),IF(J157&gt;60,("C+"),IF(J157&gt;55,("C"),IF(J157&gt;50,("C-"),"D+"))))))))</f>
        <v>D+</v>
      </c>
      <c r="M157" s="712" t="str">
        <f t="shared" ref="M157:M161" si="137">IF(J157&gt;80,("SB"),IF(J157&gt;65,("B"),IF(J157&gt;50,("C"),IF(J157&gt;0,("K"),"0"))))</f>
        <v>0</v>
      </c>
      <c r="N157" s="1631"/>
      <c r="O157" s="1632"/>
      <c r="P157" s="1632"/>
      <c r="Q157" s="1632"/>
      <c r="R157" s="1632"/>
      <c r="S157" s="1632"/>
      <c r="T157" s="1633"/>
      <c r="U157" s="1633"/>
      <c r="V157" s="1633"/>
      <c r="W157" s="1633"/>
      <c r="X157" s="1633"/>
      <c r="Y157" s="1633"/>
      <c r="Z157" s="1920"/>
      <c r="AA157" s="1522"/>
    </row>
    <row r="158" spans="1:27" ht="24.95" customHeight="1" x14ac:dyDescent="0.3">
      <c r="A158" s="687"/>
      <c r="B158" s="683"/>
      <c r="C158" s="1630"/>
      <c r="D158" s="1626" t="s">
        <v>179</v>
      </c>
      <c r="E158" s="1891">
        <f>VLOOKUP(A156,UHT_AGM,26,FALSE)</f>
        <v>0</v>
      </c>
      <c r="F158" s="1905">
        <f t="shared" si="132"/>
        <v>0</v>
      </c>
      <c r="G158" s="1891"/>
      <c r="H158" s="1627">
        <f>VLOOKUP(A156,an_agm,51,FALSE)</f>
        <v>0</v>
      </c>
      <c r="I158" s="709">
        <f t="shared" si="133"/>
        <v>0</v>
      </c>
      <c r="J158" s="710">
        <f t="shared" si="134"/>
        <v>0</v>
      </c>
      <c r="K158" s="711" t="str">
        <f t="shared" si="135"/>
        <v>1.33</v>
      </c>
      <c r="L158" s="711" t="str">
        <f t="shared" si="136"/>
        <v>D+</v>
      </c>
      <c r="M158" s="712" t="str">
        <f t="shared" si="137"/>
        <v>0</v>
      </c>
      <c r="N158" s="1634"/>
      <c r="O158" s="1635"/>
      <c r="P158" s="1635"/>
      <c r="Q158" s="1635"/>
      <c r="R158" s="1635"/>
      <c r="S158" s="1635"/>
      <c r="T158" s="1636"/>
      <c r="U158" s="1636"/>
      <c r="V158" s="1636"/>
      <c r="W158" s="1636"/>
      <c r="X158" s="1636"/>
      <c r="Y158" s="1636"/>
      <c r="Z158" s="1921"/>
      <c r="AA158" s="1524"/>
    </row>
    <row r="159" spans="1:27" ht="24.95" customHeight="1" x14ac:dyDescent="0.3">
      <c r="A159" s="687"/>
      <c r="B159" s="683"/>
      <c r="C159" s="1630"/>
      <c r="D159" s="1626" t="s">
        <v>180</v>
      </c>
      <c r="E159" s="1891">
        <f>VLOOKUP(A156,UHT_AGM,27,FALSE)</f>
        <v>0</v>
      </c>
      <c r="F159" s="1905">
        <f t="shared" si="132"/>
        <v>0</v>
      </c>
      <c r="G159" s="1891"/>
      <c r="H159" s="1627">
        <f>VLOOKUP(A156,an_agm,52,FALSE)</f>
        <v>0</v>
      </c>
      <c r="I159" s="709">
        <f t="shared" si="133"/>
        <v>0</v>
      </c>
      <c r="J159" s="710">
        <f t="shared" si="134"/>
        <v>0</v>
      </c>
      <c r="K159" s="711" t="str">
        <f t="shared" si="135"/>
        <v>1.33</v>
      </c>
      <c r="L159" s="711" t="str">
        <f t="shared" si="136"/>
        <v>D+</v>
      </c>
      <c r="M159" s="712" t="str">
        <f t="shared" si="137"/>
        <v>0</v>
      </c>
      <c r="N159" s="1634"/>
      <c r="O159" s="1635"/>
      <c r="P159" s="1635"/>
      <c r="Q159" s="1635"/>
      <c r="R159" s="1635"/>
      <c r="S159" s="1635"/>
      <c r="T159" s="1636"/>
      <c r="U159" s="1636"/>
      <c r="V159" s="1636"/>
      <c r="W159" s="1636"/>
      <c r="X159" s="1636"/>
      <c r="Y159" s="1636"/>
      <c r="Z159" s="1921"/>
      <c r="AA159" s="1524"/>
    </row>
    <row r="160" spans="1:27" ht="24.95" customHeight="1" x14ac:dyDescent="0.3">
      <c r="A160" s="1637"/>
      <c r="B160" s="360"/>
      <c r="C160" s="1630"/>
      <c r="D160" s="1626" t="s">
        <v>19</v>
      </c>
      <c r="E160" s="1891">
        <f>VLOOKUP(A156,UHT_AGM,28,FALSE)</f>
        <v>0</v>
      </c>
      <c r="F160" s="1905">
        <f t="shared" si="132"/>
        <v>0</v>
      </c>
      <c r="G160" s="1891"/>
      <c r="H160" s="1627">
        <f>VLOOKUP(A156,an_agm,53,FALSE)</f>
        <v>0</v>
      </c>
      <c r="I160" s="709">
        <f t="shared" si="133"/>
        <v>0</v>
      </c>
      <c r="J160" s="710">
        <f t="shared" si="134"/>
        <v>0</v>
      </c>
      <c r="K160" s="711" t="str">
        <f t="shared" si="135"/>
        <v>1.33</v>
      </c>
      <c r="L160" s="711" t="str">
        <f t="shared" si="136"/>
        <v>D+</v>
      </c>
      <c r="M160" s="712" t="str">
        <f t="shared" si="137"/>
        <v>0</v>
      </c>
      <c r="N160" s="1638"/>
      <c r="O160" s="1639"/>
      <c r="P160" s="1639"/>
      <c r="Q160" s="1639"/>
      <c r="R160" s="1639"/>
      <c r="S160" s="1639"/>
      <c r="T160" s="1640"/>
      <c r="U160" s="1640"/>
      <c r="V160" s="1640"/>
      <c r="W160" s="1640"/>
      <c r="X160" s="1640"/>
      <c r="Y160" s="1640"/>
      <c r="Z160" s="1921"/>
      <c r="AA160" s="1524"/>
    </row>
    <row r="161" spans="1:27" ht="24.95" customHeight="1" x14ac:dyDescent="0.3">
      <c r="A161" s="1637"/>
      <c r="B161" s="360"/>
      <c r="C161" s="1630"/>
      <c r="D161" s="1626" t="s">
        <v>181</v>
      </c>
      <c r="E161" s="1891">
        <f>VLOOKUP(A156,UHT_AGM,30,FALSE)</f>
        <v>0</v>
      </c>
      <c r="F161" s="1905">
        <f t="shared" si="132"/>
        <v>0</v>
      </c>
      <c r="G161" s="1891"/>
      <c r="H161" s="1627">
        <f>VLOOKUP(A156,an_agm,54,FALSE)</f>
        <v>0</v>
      </c>
      <c r="I161" s="709">
        <f t="shared" si="133"/>
        <v>0</v>
      </c>
      <c r="J161" s="710">
        <f t="shared" si="134"/>
        <v>0</v>
      </c>
      <c r="K161" s="711" t="str">
        <f t="shared" si="135"/>
        <v>1.33</v>
      </c>
      <c r="L161" s="711" t="str">
        <f t="shared" si="136"/>
        <v>D+</v>
      </c>
      <c r="M161" s="712" t="str">
        <f t="shared" si="137"/>
        <v>0</v>
      </c>
      <c r="N161" s="1812"/>
      <c r="O161" s="1813"/>
      <c r="P161" s="1813"/>
      <c r="Q161" s="1813"/>
      <c r="R161" s="1813"/>
      <c r="S161" s="1813"/>
      <c r="T161" s="1814"/>
      <c r="U161" s="1814"/>
      <c r="V161" s="1814"/>
      <c r="W161" s="1814"/>
      <c r="X161" s="1814"/>
      <c r="Y161" s="1814"/>
      <c r="Z161" s="1922"/>
      <c r="AA161" s="1526"/>
    </row>
    <row r="162" spans="1:27" ht="24.95" customHeight="1" x14ac:dyDescent="0.25">
      <c r="A162" s="1641"/>
      <c r="B162" s="1642">
        <v>22</v>
      </c>
      <c r="C162" s="1643" t="s">
        <v>167</v>
      </c>
      <c r="D162" s="1641"/>
      <c r="E162" s="1189">
        <f>AVERAGE(E156:E161)</f>
        <v>0</v>
      </c>
      <c r="F162" s="1641"/>
      <c r="G162" s="1189" t="e">
        <f>AVEDEV(G156:G161)</f>
        <v>#NUM!</v>
      </c>
      <c r="H162" s="1189">
        <f>AVERAGE(H156:H161)</f>
        <v>0</v>
      </c>
      <c r="I162" s="1644"/>
      <c r="J162" s="350">
        <f>AVERAGE(J156:J161)</f>
        <v>0</v>
      </c>
      <c r="K162" s="350" t="str">
        <f>IF(J162&gt;85,("4"),IF(J162&gt;80,("3.66"),IF(J162&gt;75,("3.33"),IF(J162&gt;70,("3.00"),IF(J162&gt;65,("2.66"),IF(J162&gt;60,("2.33"),IF(J162&gt;55,("2"),IF(J162&gt;50,("1.66"),"1.33"))))))))</f>
        <v>1.33</v>
      </c>
      <c r="L162" s="1645" t="str">
        <f>IF(J162&gt;85,("A"),IF(J162&gt;80,("A-"),IF(J162&gt;75,("B+"),IF(J162&gt;70,("B"),IF(J162&gt;65,("B-"),IF(J162&gt;60,("C+"),IF(J162&gt;55,("C"),IF(J162&gt;50,("C-"),"D+"))))))))</f>
        <v>D+</v>
      </c>
      <c r="M162" s="1646" t="str">
        <f>IF(J162&gt;85,("A"),IF(J162&gt;80,("A-"),IF(J162&gt;75,("B+"),IF(J162&gt;70,("B"),IF(J162&gt;65,("B-"),IF(J162&gt;60,("C+"),IF(J162&gt;55,("C"),IF(J162&gt;50,("C-"),"D+"))))))))</f>
        <v>D+</v>
      </c>
      <c r="N162" s="1917"/>
      <c r="O162" s="1918"/>
      <c r="P162" s="1918"/>
      <c r="Q162" s="1918"/>
      <c r="R162" s="1918"/>
      <c r="S162" s="1918"/>
      <c r="T162" s="1918"/>
      <c r="U162" s="1918"/>
      <c r="V162" s="1918"/>
      <c r="W162" s="1918"/>
      <c r="X162" s="1918"/>
      <c r="Y162" s="1918"/>
      <c r="Z162" s="1923"/>
      <c r="AA162" s="1924"/>
    </row>
    <row r="163" spans="1:27" ht="24.95" customHeight="1" x14ac:dyDescent="0.3">
      <c r="A163" s="360">
        <v>23</v>
      </c>
      <c r="B163" s="683"/>
      <c r="C163" s="1625" t="str">
        <f>VLOOKUP(A163,data_siswa,4,FALSE)</f>
        <v xml:space="preserve">Tania Kaori Angelita </v>
      </c>
      <c r="D163" s="1626" t="s">
        <v>7</v>
      </c>
      <c r="E163" s="1891">
        <f>VLOOKUP(A163,UHT_AGM,24,FALSE)</f>
        <v>0</v>
      </c>
      <c r="F163" s="1904">
        <f>E163*2</f>
        <v>0</v>
      </c>
      <c r="G163" s="1891"/>
      <c r="H163" s="1627">
        <f>VLOOKUP(A163,an_agm,49,FALSE)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887" t="str">
        <f>IF(J163&gt;80,("SB"),IF(J163&gt;65,("B"),IF(J163&gt;50,("C"),IF(J163&gt;0,("K"),"0"))))</f>
        <v>0</v>
      </c>
      <c r="N163" s="1628"/>
      <c r="O163" s="1602"/>
      <c r="P163" s="1602"/>
      <c r="Q163" s="1602"/>
      <c r="R163" s="1602"/>
      <c r="S163" s="1602"/>
      <c r="T163" s="1629"/>
      <c r="U163" s="1629"/>
      <c r="V163" s="1629"/>
      <c r="W163" s="1629"/>
      <c r="X163" s="1629"/>
      <c r="Y163" s="1629"/>
      <c r="Z163" s="1193">
        <f>J169</f>
        <v>0</v>
      </c>
      <c r="AA163" s="1919" t="str">
        <f>L169</f>
        <v>D+</v>
      </c>
    </row>
    <row r="164" spans="1:27" ht="24.95" customHeight="1" x14ac:dyDescent="0.3">
      <c r="A164" s="687"/>
      <c r="B164" s="683"/>
      <c r="C164" s="1630"/>
      <c r="D164" s="1626" t="s">
        <v>18</v>
      </c>
      <c r="E164" s="1891">
        <f>VLOOKUP(A163,UHT_AGM,25,FALSE)</f>
        <v>0</v>
      </c>
      <c r="F164" s="1905">
        <f t="shared" ref="F164:F168" si="138">E164*2</f>
        <v>0</v>
      </c>
      <c r="G164" s="1891"/>
      <c r="H164" s="1627">
        <f>VLOOKUP(A163,an_agm,50,FALSE)</f>
        <v>0</v>
      </c>
      <c r="I164" s="709">
        <f t="shared" ref="I164:I168" si="139">F164+G164+H164</f>
        <v>0</v>
      </c>
      <c r="J164" s="710">
        <f t="shared" ref="J164:J168" si="140">(F164+G164+H164)/4</f>
        <v>0</v>
      </c>
      <c r="K164" s="711" t="str">
        <f t="shared" ref="K164:K168" si="141">IF(J164&gt;85,("4"),IF(J164&gt;80,("3.66"),IF(J164&gt;75,("3.33"),IF(J164&gt;70,("3.00"),IF(J164&gt;65,("2.66"),IF(J164&gt;60,("2.33"),IF(J164&gt;55,("2"),IF(J164&gt;50,("1.66"),"1.33"))))))))</f>
        <v>1.33</v>
      </c>
      <c r="L164" s="711" t="str">
        <f t="shared" ref="L164:L168" si="142">IF(J164&gt;85,("A"),IF(J164&gt;80,("A-"),IF(J164&gt;75,("B+"),IF(J164&gt;70,("B"),IF(J164&gt;65,("B-"),IF(J164&gt;60,("C+"),IF(J164&gt;55,("C"),IF(J164&gt;50,("C-"),"D+"))))))))</f>
        <v>D+</v>
      </c>
      <c r="M164" s="712" t="str">
        <f t="shared" ref="M164:M168" si="143">IF(J164&gt;80,("SB"),IF(J164&gt;65,("B"),IF(J164&gt;50,("C"),IF(J164&gt;0,("K"),"0"))))</f>
        <v>0</v>
      </c>
      <c r="N164" s="1631"/>
      <c r="O164" s="1632"/>
      <c r="P164" s="1632"/>
      <c r="Q164" s="1632"/>
      <c r="R164" s="1632"/>
      <c r="S164" s="1632"/>
      <c r="T164" s="1633"/>
      <c r="U164" s="1633"/>
      <c r="V164" s="1633"/>
      <c r="W164" s="1633"/>
      <c r="X164" s="1633"/>
      <c r="Y164" s="1633"/>
      <c r="Z164" s="1920"/>
      <c r="AA164" s="1522"/>
    </row>
    <row r="165" spans="1:27" ht="24.95" customHeight="1" x14ac:dyDescent="0.3">
      <c r="A165" s="687"/>
      <c r="B165" s="683"/>
      <c r="C165" s="1630"/>
      <c r="D165" s="1626" t="s">
        <v>179</v>
      </c>
      <c r="E165" s="1891">
        <f>VLOOKUP(A163,UHT_AGM,26,FALSE)</f>
        <v>0</v>
      </c>
      <c r="F165" s="1905">
        <f t="shared" si="138"/>
        <v>0</v>
      </c>
      <c r="G165" s="1891"/>
      <c r="H165" s="1627">
        <f>VLOOKUP(A163,an_agm,51,FALSE)</f>
        <v>0</v>
      </c>
      <c r="I165" s="709">
        <f t="shared" si="139"/>
        <v>0</v>
      </c>
      <c r="J165" s="710">
        <f t="shared" si="140"/>
        <v>0</v>
      </c>
      <c r="K165" s="711" t="str">
        <f t="shared" si="141"/>
        <v>1.33</v>
      </c>
      <c r="L165" s="711" t="str">
        <f t="shared" si="142"/>
        <v>D+</v>
      </c>
      <c r="M165" s="712" t="str">
        <f t="shared" si="143"/>
        <v>0</v>
      </c>
      <c r="N165" s="1634"/>
      <c r="O165" s="1635"/>
      <c r="P165" s="1635"/>
      <c r="Q165" s="1635"/>
      <c r="R165" s="1635"/>
      <c r="S165" s="1635"/>
      <c r="T165" s="1636"/>
      <c r="U165" s="1636"/>
      <c r="V165" s="1636"/>
      <c r="W165" s="1636"/>
      <c r="X165" s="1636"/>
      <c r="Y165" s="1636"/>
      <c r="Z165" s="1921"/>
      <c r="AA165" s="1524"/>
    </row>
    <row r="166" spans="1:27" ht="24.95" customHeight="1" x14ac:dyDescent="0.3">
      <c r="A166" s="687"/>
      <c r="B166" s="683"/>
      <c r="C166" s="1630"/>
      <c r="D166" s="1626" t="s">
        <v>180</v>
      </c>
      <c r="E166" s="1891">
        <f>VLOOKUP(A163,UHT_AGM,27,FALSE)</f>
        <v>0</v>
      </c>
      <c r="F166" s="1905">
        <f t="shared" si="138"/>
        <v>0</v>
      </c>
      <c r="G166" s="1891"/>
      <c r="H166" s="1627">
        <f>VLOOKUP(A163,an_agm,52,FALSE)</f>
        <v>0</v>
      </c>
      <c r="I166" s="709">
        <f t="shared" si="139"/>
        <v>0</v>
      </c>
      <c r="J166" s="710">
        <f t="shared" si="140"/>
        <v>0</v>
      </c>
      <c r="K166" s="711" t="str">
        <f t="shared" si="141"/>
        <v>1.33</v>
      </c>
      <c r="L166" s="711" t="str">
        <f t="shared" si="142"/>
        <v>D+</v>
      </c>
      <c r="M166" s="712" t="str">
        <f t="shared" si="143"/>
        <v>0</v>
      </c>
      <c r="N166" s="1634"/>
      <c r="O166" s="1635"/>
      <c r="P166" s="1635"/>
      <c r="Q166" s="1635"/>
      <c r="R166" s="1635"/>
      <c r="S166" s="1635"/>
      <c r="T166" s="1636"/>
      <c r="U166" s="1636"/>
      <c r="V166" s="1636"/>
      <c r="W166" s="1636"/>
      <c r="X166" s="1636"/>
      <c r="Y166" s="1636"/>
      <c r="Z166" s="1921"/>
      <c r="AA166" s="1524"/>
    </row>
    <row r="167" spans="1:27" ht="24.95" customHeight="1" x14ac:dyDescent="0.3">
      <c r="A167" s="1637"/>
      <c r="B167" s="360"/>
      <c r="C167" s="1630"/>
      <c r="D167" s="1626" t="s">
        <v>19</v>
      </c>
      <c r="E167" s="1891">
        <f>VLOOKUP(A163,UHT_AGM,28,FALSE)</f>
        <v>0</v>
      </c>
      <c r="F167" s="1905">
        <f t="shared" si="138"/>
        <v>0</v>
      </c>
      <c r="G167" s="1891"/>
      <c r="H167" s="1627">
        <f>VLOOKUP(A163,an_agm,53,FALSE)</f>
        <v>0</v>
      </c>
      <c r="I167" s="709">
        <f t="shared" si="139"/>
        <v>0</v>
      </c>
      <c r="J167" s="710">
        <f t="shared" si="140"/>
        <v>0</v>
      </c>
      <c r="K167" s="711" t="str">
        <f t="shared" si="141"/>
        <v>1.33</v>
      </c>
      <c r="L167" s="711" t="str">
        <f t="shared" si="142"/>
        <v>D+</v>
      </c>
      <c r="M167" s="712" t="str">
        <f t="shared" si="143"/>
        <v>0</v>
      </c>
      <c r="N167" s="1638"/>
      <c r="O167" s="1639"/>
      <c r="P167" s="1639"/>
      <c r="Q167" s="1639"/>
      <c r="R167" s="1639"/>
      <c r="S167" s="1639"/>
      <c r="T167" s="1640"/>
      <c r="U167" s="1640"/>
      <c r="V167" s="1640"/>
      <c r="W167" s="1640"/>
      <c r="X167" s="1640"/>
      <c r="Y167" s="1640"/>
      <c r="Z167" s="1921"/>
      <c r="AA167" s="1524"/>
    </row>
    <row r="168" spans="1:27" ht="24.95" customHeight="1" x14ac:dyDescent="0.3">
      <c r="A168" s="1637"/>
      <c r="B168" s="360"/>
      <c r="C168" s="1630"/>
      <c r="D168" s="1626" t="s">
        <v>181</v>
      </c>
      <c r="E168" s="1891">
        <f>VLOOKUP(A163,UHT_AGM,30,FALSE)</f>
        <v>0</v>
      </c>
      <c r="F168" s="1905">
        <f t="shared" si="138"/>
        <v>0</v>
      </c>
      <c r="G168" s="1891"/>
      <c r="H168" s="1627">
        <f>VLOOKUP(A163,an_agm,54,FALSE)</f>
        <v>0</v>
      </c>
      <c r="I168" s="709">
        <f t="shared" si="139"/>
        <v>0</v>
      </c>
      <c r="J168" s="710">
        <f t="shared" si="140"/>
        <v>0</v>
      </c>
      <c r="K168" s="711" t="str">
        <f t="shared" si="141"/>
        <v>1.33</v>
      </c>
      <c r="L168" s="711" t="str">
        <f t="shared" si="142"/>
        <v>D+</v>
      </c>
      <c r="M168" s="712" t="str">
        <f t="shared" si="143"/>
        <v>0</v>
      </c>
      <c r="N168" s="1812"/>
      <c r="O168" s="1813"/>
      <c r="P168" s="1813"/>
      <c r="Q168" s="1813"/>
      <c r="R168" s="1813"/>
      <c r="S168" s="1813"/>
      <c r="T168" s="1814"/>
      <c r="U168" s="1814"/>
      <c r="V168" s="1814"/>
      <c r="W168" s="1814"/>
      <c r="X168" s="1814"/>
      <c r="Y168" s="1814"/>
      <c r="Z168" s="1922"/>
      <c r="AA168" s="1526"/>
    </row>
    <row r="169" spans="1:27" ht="24.95" customHeight="1" x14ac:dyDescent="0.25">
      <c r="A169" s="1641"/>
      <c r="B169" s="1642">
        <v>23</v>
      </c>
      <c r="C169" s="1643" t="s">
        <v>167</v>
      </c>
      <c r="D169" s="1641"/>
      <c r="E169" s="1189">
        <f>AVERAGE(E163:E168)</f>
        <v>0</v>
      </c>
      <c r="F169" s="1641"/>
      <c r="G169" s="1189" t="e">
        <f>AVEDEV(G163:G168)</f>
        <v>#NUM!</v>
      </c>
      <c r="H169" s="1189">
        <f>AVERAGE(H163:H168)</f>
        <v>0</v>
      </c>
      <c r="I169" s="1644"/>
      <c r="J169" s="350">
        <f>AVERAGE(J163:J168)</f>
        <v>0</v>
      </c>
      <c r="K169" s="350" t="str">
        <f>IF(J169&gt;85,("4"),IF(J169&gt;80,("3.66"),IF(J169&gt;75,("3.33"),IF(J169&gt;70,("3.00"),IF(J169&gt;65,("2.66"),IF(J169&gt;60,("2.33"),IF(J169&gt;55,("2"),IF(J169&gt;50,("1.66"),"1.33"))))))))</f>
        <v>1.33</v>
      </c>
      <c r="L169" s="1645" t="str">
        <f>IF(J169&gt;85,("A"),IF(J169&gt;80,("A-"),IF(J169&gt;75,("B+"),IF(J169&gt;70,("B"),IF(J169&gt;65,("B-"),IF(J169&gt;60,("C+"),IF(J169&gt;55,("C"),IF(J169&gt;50,("C-"),"D+"))))))))</f>
        <v>D+</v>
      </c>
      <c r="M169" s="1646" t="str">
        <f>IF(J169&gt;85,("A"),IF(J169&gt;80,("A-"),IF(J169&gt;75,("B+"),IF(J169&gt;70,("B"),IF(J169&gt;65,("B-"),IF(J169&gt;60,("C+"),IF(J169&gt;55,("C"),IF(J169&gt;50,("C-"),"D+"))))))))</f>
        <v>D+</v>
      </c>
      <c r="N169" s="1917"/>
      <c r="O169" s="1918"/>
      <c r="P169" s="1918"/>
      <c r="Q169" s="1918"/>
      <c r="R169" s="1918"/>
      <c r="S169" s="1918"/>
      <c r="T169" s="1918"/>
      <c r="U169" s="1918"/>
      <c r="V169" s="1918"/>
      <c r="W169" s="1918"/>
      <c r="X169" s="1918"/>
      <c r="Y169" s="1918"/>
      <c r="Z169" s="1923"/>
      <c r="AA169" s="1924"/>
    </row>
    <row r="170" spans="1:27" ht="24.95" customHeight="1" x14ac:dyDescent="0.3">
      <c r="A170" s="360">
        <v>24</v>
      </c>
      <c r="B170" s="683"/>
      <c r="C170" s="1625" t="str">
        <f>VLOOKUP(A170,data_siswa,4,FALSE)</f>
        <v>Romzy Oka Ramadhani P</v>
      </c>
      <c r="D170" s="1626" t="s">
        <v>7</v>
      </c>
      <c r="E170" s="1891">
        <f>VLOOKUP(A170,UHT_AGM,24,FALSE)</f>
        <v>0</v>
      </c>
      <c r="F170" s="1904">
        <f>E170*2</f>
        <v>0</v>
      </c>
      <c r="G170" s="1891"/>
      <c r="H170" s="1627">
        <f>VLOOKUP(A170,an_agm,49,FALSE)</f>
        <v>0</v>
      </c>
      <c r="I170" s="706">
        <f>F170+G170+H170</f>
        <v>0</v>
      </c>
      <c r="J170" s="707">
        <f>(F170+G170+H170)/4</f>
        <v>0</v>
      </c>
      <c r="K170" s="708" t="str">
        <f>IF(J170&gt;85,("4"),IF(J170&gt;80,("3.66"),IF(J170&gt;75,("3.33"),IF(J170&gt;70,("3.00"),IF(J170&gt;65,("2.66"),IF(J170&gt;60,("2.33"),IF(J170&gt;55,("2"),IF(J170&gt;50,("1.66"),"1.33"))))))))</f>
        <v>1.33</v>
      </c>
      <c r="L170" s="708" t="str">
        <f>IF(J170&gt;85,("A"),IF(J170&gt;80,("A-"),IF(J170&gt;75,("B+"),IF(J170&gt;70,("B"),IF(J170&gt;65,("B-"),IF(J170&gt;60,("C+"),IF(J170&gt;55,("C"),IF(J170&gt;50,("C-"),"D+"))))))))</f>
        <v>D+</v>
      </c>
      <c r="M170" s="887" t="str">
        <f>IF(J170&gt;80,("SB"),IF(J170&gt;65,("B"),IF(J170&gt;50,("C"),IF(J170&gt;0,("K"),"0"))))</f>
        <v>0</v>
      </c>
      <c r="N170" s="1628"/>
      <c r="O170" s="1602"/>
      <c r="P170" s="1602"/>
      <c r="Q170" s="1602"/>
      <c r="R170" s="1602"/>
      <c r="S170" s="1602"/>
      <c r="T170" s="1629"/>
      <c r="U170" s="1629"/>
      <c r="V170" s="1629"/>
      <c r="W170" s="1629"/>
      <c r="X170" s="1629"/>
      <c r="Y170" s="1629"/>
      <c r="Z170" s="1193">
        <f>J176</f>
        <v>0</v>
      </c>
      <c r="AA170" s="1919" t="str">
        <f>L176</f>
        <v>D+</v>
      </c>
    </row>
    <row r="171" spans="1:27" ht="24.95" customHeight="1" x14ac:dyDescent="0.3">
      <c r="A171" s="687"/>
      <c r="B171" s="683"/>
      <c r="C171" s="1630"/>
      <c r="D171" s="1626" t="s">
        <v>18</v>
      </c>
      <c r="E171" s="1891">
        <f>VLOOKUP(A170,UHT_AGM,25,FALSE)</f>
        <v>0</v>
      </c>
      <c r="F171" s="1905">
        <f t="shared" ref="F171:F175" si="144">E171*2</f>
        <v>0</v>
      </c>
      <c r="G171" s="1891"/>
      <c r="H171" s="1627">
        <f>VLOOKUP(A170,an_agm,50,FALSE)</f>
        <v>0</v>
      </c>
      <c r="I171" s="709">
        <f t="shared" ref="I171:I175" si="145">F171+G171+H171</f>
        <v>0</v>
      </c>
      <c r="J171" s="710">
        <f t="shared" ref="J171:J175" si="146">(F171+G171+H171)/4</f>
        <v>0</v>
      </c>
      <c r="K171" s="711" t="str">
        <f t="shared" ref="K171:K175" si="147">IF(J171&gt;85,("4"),IF(J171&gt;80,("3.66"),IF(J171&gt;75,("3.33"),IF(J171&gt;70,("3.00"),IF(J171&gt;65,("2.66"),IF(J171&gt;60,("2.33"),IF(J171&gt;55,("2"),IF(J171&gt;50,("1.66"),"1.33"))))))))</f>
        <v>1.33</v>
      </c>
      <c r="L171" s="711" t="str">
        <f t="shared" ref="L171:L175" si="148">IF(J171&gt;85,("A"),IF(J171&gt;80,("A-"),IF(J171&gt;75,("B+"),IF(J171&gt;70,("B"),IF(J171&gt;65,("B-"),IF(J171&gt;60,("C+"),IF(J171&gt;55,("C"),IF(J171&gt;50,("C-"),"D+"))))))))</f>
        <v>D+</v>
      </c>
      <c r="M171" s="712" t="str">
        <f t="shared" ref="M171:M175" si="149">IF(J171&gt;80,("SB"),IF(J171&gt;65,("B"),IF(J171&gt;50,("C"),IF(J171&gt;0,("K"),"0"))))</f>
        <v>0</v>
      </c>
      <c r="N171" s="1631"/>
      <c r="O171" s="1632"/>
      <c r="P171" s="1632"/>
      <c r="Q171" s="1632"/>
      <c r="R171" s="1632"/>
      <c r="S171" s="1632"/>
      <c r="T171" s="1633"/>
      <c r="U171" s="1633"/>
      <c r="V171" s="1633"/>
      <c r="W171" s="1633"/>
      <c r="X171" s="1633"/>
      <c r="Y171" s="1633"/>
      <c r="Z171" s="1920"/>
      <c r="AA171" s="1522"/>
    </row>
    <row r="172" spans="1:27" ht="24.95" customHeight="1" x14ac:dyDescent="0.3">
      <c r="A172" s="687"/>
      <c r="B172" s="683"/>
      <c r="C172" s="1630"/>
      <c r="D172" s="1626" t="s">
        <v>179</v>
      </c>
      <c r="E172" s="1891">
        <f>VLOOKUP(A170,UHT_AGM,26,FALSE)</f>
        <v>0</v>
      </c>
      <c r="F172" s="1905">
        <f t="shared" si="144"/>
        <v>0</v>
      </c>
      <c r="G172" s="1891"/>
      <c r="H172" s="1627">
        <f>VLOOKUP(A170,an_agm,51,FALSE)</f>
        <v>0</v>
      </c>
      <c r="I172" s="709">
        <f t="shared" si="145"/>
        <v>0</v>
      </c>
      <c r="J172" s="710">
        <f t="shared" si="146"/>
        <v>0</v>
      </c>
      <c r="K172" s="711" t="str">
        <f t="shared" si="147"/>
        <v>1.33</v>
      </c>
      <c r="L172" s="711" t="str">
        <f t="shared" si="148"/>
        <v>D+</v>
      </c>
      <c r="M172" s="712" t="str">
        <f t="shared" si="149"/>
        <v>0</v>
      </c>
      <c r="N172" s="1634"/>
      <c r="O172" s="1635"/>
      <c r="P172" s="1635"/>
      <c r="Q172" s="1635"/>
      <c r="R172" s="1635"/>
      <c r="S172" s="1635"/>
      <c r="T172" s="1636"/>
      <c r="U172" s="1636"/>
      <c r="V172" s="1636"/>
      <c r="W172" s="1636"/>
      <c r="X172" s="1636"/>
      <c r="Y172" s="1636"/>
      <c r="Z172" s="1921"/>
      <c r="AA172" s="1524"/>
    </row>
    <row r="173" spans="1:27" ht="24.95" customHeight="1" x14ac:dyDescent="0.3">
      <c r="A173" s="687"/>
      <c r="B173" s="683"/>
      <c r="C173" s="1630"/>
      <c r="D173" s="1626" t="s">
        <v>180</v>
      </c>
      <c r="E173" s="1891">
        <f>VLOOKUP(A170,UHT_AGM,27,FALSE)</f>
        <v>0</v>
      </c>
      <c r="F173" s="1905">
        <f t="shared" si="144"/>
        <v>0</v>
      </c>
      <c r="G173" s="1891"/>
      <c r="H173" s="1627">
        <f>VLOOKUP(A170,an_agm,52,FALSE)</f>
        <v>0</v>
      </c>
      <c r="I173" s="709">
        <f t="shared" si="145"/>
        <v>0</v>
      </c>
      <c r="J173" s="710">
        <f t="shared" si="146"/>
        <v>0</v>
      </c>
      <c r="K173" s="711" t="str">
        <f t="shared" si="147"/>
        <v>1.33</v>
      </c>
      <c r="L173" s="711" t="str">
        <f t="shared" si="148"/>
        <v>D+</v>
      </c>
      <c r="M173" s="712" t="str">
        <f t="shared" si="149"/>
        <v>0</v>
      </c>
      <c r="N173" s="1634"/>
      <c r="O173" s="1635"/>
      <c r="P173" s="1635"/>
      <c r="Q173" s="1635"/>
      <c r="R173" s="1635"/>
      <c r="S173" s="1635"/>
      <c r="T173" s="1636"/>
      <c r="U173" s="1636"/>
      <c r="V173" s="1636"/>
      <c r="W173" s="1636"/>
      <c r="X173" s="1636"/>
      <c r="Y173" s="1636"/>
      <c r="Z173" s="1921"/>
      <c r="AA173" s="1524"/>
    </row>
    <row r="174" spans="1:27" ht="24.95" customHeight="1" x14ac:dyDescent="0.3">
      <c r="A174" s="1637"/>
      <c r="B174" s="360"/>
      <c r="C174" s="1630"/>
      <c r="D174" s="1626" t="s">
        <v>19</v>
      </c>
      <c r="E174" s="1891">
        <f>VLOOKUP(A170,UHT_AGM,28,FALSE)</f>
        <v>0</v>
      </c>
      <c r="F174" s="1905">
        <f t="shared" si="144"/>
        <v>0</v>
      </c>
      <c r="G174" s="1891"/>
      <c r="H174" s="1627">
        <f>VLOOKUP(A170,an_agm,53,FALSE)</f>
        <v>0</v>
      </c>
      <c r="I174" s="709">
        <f t="shared" si="145"/>
        <v>0</v>
      </c>
      <c r="J174" s="710">
        <f t="shared" si="146"/>
        <v>0</v>
      </c>
      <c r="K174" s="711" t="str">
        <f t="shared" si="147"/>
        <v>1.33</v>
      </c>
      <c r="L174" s="711" t="str">
        <f t="shared" si="148"/>
        <v>D+</v>
      </c>
      <c r="M174" s="712" t="str">
        <f t="shared" si="149"/>
        <v>0</v>
      </c>
      <c r="N174" s="1638"/>
      <c r="O174" s="1639"/>
      <c r="P174" s="1639"/>
      <c r="Q174" s="1639"/>
      <c r="R174" s="1639"/>
      <c r="S174" s="1639"/>
      <c r="T174" s="1640"/>
      <c r="U174" s="1640"/>
      <c r="V174" s="1640"/>
      <c r="W174" s="1640"/>
      <c r="X174" s="1640"/>
      <c r="Y174" s="1640"/>
      <c r="Z174" s="1921"/>
      <c r="AA174" s="1524"/>
    </row>
    <row r="175" spans="1:27" ht="24.95" customHeight="1" x14ac:dyDescent="0.3">
      <c r="A175" s="1637"/>
      <c r="B175" s="360"/>
      <c r="C175" s="1630"/>
      <c r="D175" s="1626" t="s">
        <v>181</v>
      </c>
      <c r="E175" s="1891">
        <f>VLOOKUP(A170,UHT_AGM,30,FALSE)</f>
        <v>0</v>
      </c>
      <c r="F175" s="1905">
        <f t="shared" si="144"/>
        <v>0</v>
      </c>
      <c r="G175" s="1891"/>
      <c r="H175" s="1627">
        <f>VLOOKUP(A170,an_agm,54,FALSE)</f>
        <v>0</v>
      </c>
      <c r="I175" s="709">
        <f t="shared" si="145"/>
        <v>0</v>
      </c>
      <c r="J175" s="710">
        <f t="shared" si="146"/>
        <v>0</v>
      </c>
      <c r="K175" s="711" t="str">
        <f t="shared" si="147"/>
        <v>1.33</v>
      </c>
      <c r="L175" s="711" t="str">
        <f t="shared" si="148"/>
        <v>D+</v>
      </c>
      <c r="M175" s="712" t="str">
        <f t="shared" si="149"/>
        <v>0</v>
      </c>
      <c r="N175" s="1812"/>
      <c r="O175" s="1813"/>
      <c r="P175" s="1813"/>
      <c r="Q175" s="1813"/>
      <c r="R175" s="1813"/>
      <c r="S175" s="1813"/>
      <c r="T175" s="1814"/>
      <c r="U175" s="1814"/>
      <c r="V175" s="1814"/>
      <c r="W175" s="1814"/>
      <c r="X175" s="1814"/>
      <c r="Y175" s="1814"/>
      <c r="Z175" s="1922"/>
      <c r="AA175" s="1526"/>
    </row>
    <row r="176" spans="1:27" ht="24.95" customHeight="1" x14ac:dyDescent="0.25">
      <c r="A176" s="1641"/>
      <c r="B176" s="1642">
        <v>24</v>
      </c>
      <c r="C176" s="1643" t="s">
        <v>167</v>
      </c>
      <c r="D176" s="1641"/>
      <c r="E176" s="1189">
        <f>AVERAGE(E170:E175)</f>
        <v>0</v>
      </c>
      <c r="F176" s="1641"/>
      <c r="G176" s="1189" t="e">
        <f>AVEDEV(G170:G175)</f>
        <v>#NUM!</v>
      </c>
      <c r="H176" s="1189">
        <f>AVERAGE(H170:H175)</f>
        <v>0</v>
      </c>
      <c r="I176" s="1644"/>
      <c r="J176" s="350">
        <f>AVERAGE(J170:J175)</f>
        <v>0</v>
      </c>
      <c r="K176" s="350" t="str">
        <f>IF(J176&gt;85,("4"),IF(J176&gt;80,("3.66"),IF(J176&gt;75,("3.33"),IF(J176&gt;70,("3.00"),IF(J176&gt;65,("2.66"),IF(J176&gt;60,("2.33"),IF(J176&gt;55,("2"),IF(J176&gt;50,("1.66"),"1.33"))))))))</f>
        <v>1.33</v>
      </c>
      <c r="L176" s="1645" t="str">
        <f>IF(J176&gt;85,("A"),IF(J176&gt;80,("A-"),IF(J176&gt;75,("B+"),IF(J176&gt;70,("B"),IF(J176&gt;65,("B-"),IF(J176&gt;60,("C+"),IF(J176&gt;55,("C"),IF(J176&gt;50,("C-"),"D+"))))))))</f>
        <v>D+</v>
      </c>
      <c r="M176" s="1646" t="str">
        <f>IF(J176&gt;85,("A"),IF(J176&gt;80,("A-"),IF(J176&gt;75,("B+"),IF(J176&gt;70,("B"),IF(J176&gt;65,("B-"),IF(J176&gt;60,("C+"),IF(J176&gt;55,("C"),IF(J176&gt;50,("C-"),"D+"))))))))</f>
        <v>D+</v>
      </c>
      <c r="N176" s="1917"/>
      <c r="O176" s="1918"/>
      <c r="P176" s="1918"/>
      <c r="Q176" s="1918"/>
      <c r="R176" s="1918"/>
      <c r="S176" s="1918"/>
      <c r="T176" s="1918"/>
      <c r="U176" s="1918"/>
      <c r="V176" s="1918"/>
      <c r="W176" s="1918"/>
      <c r="X176" s="1918"/>
      <c r="Y176" s="1918"/>
      <c r="Z176" s="1923"/>
      <c r="AA176" s="1924"/>
    </row>
    <row r="177" spans="1:27" ht="24.95" customHeight="1" x14ac:dyDescent="0.3">
      <c r="A177" s="360">
        <v>25</v>
      </c>
      <c r="B177" s="683"/>
      <c r="C177" s="1625" t="str">
        <f>VLOOKUP(A177,data_siswa,4,FALSE)</f>
        <v>Larasati Jagadhita P</v>
      </c>
      <c r="D177" s="1626" t="s">
        <v>7</v>
      </c>
      <c r="E177" s="1891">
        <f>VLOOKUP(A177,UHT_AGM,24,FALSE)</f>
        <v>0</v>
      </c>
      <c r="F177" s="1904">
        <f>E177*2</f>
        <v>0</v>
      </c>
      <c r="G177" s="1891"/>
      <c r="H177" s="1627">
        <f>VLOOKUP(A177,an_agm,49,FALSE)</f>
        <v>0</v>
      </c>
      <c r="I177" s="706">
        <f>F177+G177+H177</f>
        <v>0</v>
      </c>
      <c r="J177" s="707">
        <f>(F177+G177+H177)/4</f>
        <v>0</v>
      </c>
      <c r="K177" s="708" t="str">
        <f>IF(J177&gt;85,("4"),IF(J177&gt;80,("3.66"),IF(J177&gt;75,("3.33"),IF(J177&gt;70,("3.00"),IF(J177&gt;65,("2.66"),IF(J177&gt;60,("2.33"),IF(J177&gt;55,("2"),IF(J177&gt;50,("1.66"),"1.33"))))))))</f>
        <v>1.33</v>
      </c>
      <c r="L177" s="708" t="str">
        <f>IF(J177&gt;85,("A"),IF(J177&gt;80,("A-"),IF(J177&gt;75,("B+"),IF(J177&gt;70,("B"),IF(J177&gt;65,("B-"),IF(J177&gt;60,("C+"),IF(J177&gt;55,("C"),IF(J177&gt;50,("C-"),"D+"))))))))</f>
        <v>D+</v>
      </c>
      <c r="M177" s="887" t="str">
        <f>IF(J177&gt;80,("SB"),IF(J177&gt;65,("B"),IF(J177&gt;50,("C"),IF(J177&gt;0,("K"),"0"))))</f>
        <v>0</v>
      </c>
      <c r="N177" s="1628"/>
      <c r="O177" s="1602"/>
      <c r="P177" s="1602"/>
      <c r="Q177" s="1602"/>
      <c r="R177" s="1602"/>
      <c r="S177" s="1602"/>
      <c r="T177" s="1629"/>
      <c r="U177" s="1629"/>
      <c r="V177" s="1629"/>
      <c r="W177" s="1629"/>
      <c r="X177" s="1629"/>
      <c r="Y177" s="1629"/>
      <c r="Z177" s="1193">
        <f>J183</f>
        <v>0</v>
      </c>
      <c r="AA177" s="1919" t="str">
        <f>L183</f>
        <v>D+</v>
      </c>
    </row>
    <row r="178" spans="1:27" ht="24.95" customHeight="1" x14ac:dyDescent="0.3">
      <c r="A178" s="687"/>
      <c r="B178" s="683"/>
      <c r="C178" s="1630"/>
      <c r="D178" s="1626" t="s">
        <v>18</v>
      </c>
      <c r="E178" s="1891">
        <f>VLOOKUP(A177,UHT_AGM,25,FALSE)</f>
        <v>0</v>
      </c>
      <c r="F178" s="1905">
        <f t="shared" ref="F178:F182" si="150">E178*2</f>
        <v>0</v>
      </c>
      <c r="G178" s="1891"/>
      <c r="H178" s="1627">
        <f>VLOOKUP(A177,an_agm,50,FALSE)</f>
        <v>0</v>
      </c>
      <c r="I178" s="709">
        <f t="shared" ref="I178:I182" si="151">F178+G178+H178</f>
        <v>0</v>
      </c>
      <c r="J178" s="710">
        <f t="shared" ref="J178:J182" si="152">(F178+G178+H178)/4</f>
        <v>0</v>
      </c>
      <c r="K178" s="711" t="str">
        <f t="shared" ref="K178:K182" si="153">IF(J178&gt;85,("4"),IF(J178&gt;80,("3.66"),IF(J178&gt;75,("3.33"),IF(J178&gt;70,("3.00"),IF(J178&gt;65,("2.66"),IF(J178&gt;60,("2.33"),IF(J178&gt;55,("2"),IF(J178&gt;50,("1.66"),"1.33"))))))))</f>
        <v>1.33</v>
      </c>
      <c r="L178" s="711" t="str">
        <f t="shared" ref="L178:L182" si="154">IF(J178&gt;85,("A"),IF(J178&gt;80,("A-"),IF(J178&gt;75,("B+"),IF(J178&gt;70,("B"),IF(J178&gt;65,("B-"),IF(J178&gt;60,("C+"),IF(J178&gt;55,("C"),IF(J178&gt;50,("C-"),"D+"))))))))</f>
        <v>D+</v>
      </c>
      <c r="M178" s="712" t="str">
        <f t="shared" ref="M178:M182" si="155">IF(J178&gt;80,("SB"),IF(J178&gt;65,("B"),IF(J178&gt;50,("C"),IF(J178&gt;0,("K"),"0"))))</f>
        <v>0</v>
      </c>
      <c r="N178" s="1631"/>
      <c r="O178" s="1632"/>
      <c r="P178" s="1632"/>
      <c r="Q178" s="1632"/>
      <c r="R178" s="1632"/>
      <c r="S178" s="1632"/>
      <c r="T178" s="1633"/>
      <c r="U178" s="1633"/>
      <c r="V178" s="1633"/>
      <c r="W178" s="1633"/>
      <c r="X178" s="1633"/>
      <c r="Y178" s="1633"/>
      <c r="Z178" s="1920"/>
      <c r="AA178" s="1522"/>
    </row>
    <row r="179" spans="1:27" ht="24.95" customHeight="1" x14ac:dyDescent="0.3">
      <c r="A179" s="687"/>
      <c r="B179" s="683"/>
      <c r="C179" s="1630"/>
      <c r="D179" s="1626" t="s">
        <v>179</v>
      </c>
      <c r="E179" s="1891">
        <f>VLOOKUP(A177,UHT_AGM,26,FALSE)</f>
        <v>0</v>
      </c>
      <c r="F179" s="1905">
        <f t="shared" si="150"/>
        <v>0</v>
      </c>
      <c r="G179" s="1891"/>
      <c r="H179" s="1627">
        <f>VLOOKUP(A177,an_agm,51,FALSE)</f>
        <v>0</v>
      </c>
      <c r="I179" s="709">
        <f t="shared" si="151"/>
        <v>0</v>
      </c>
      <c r="J179" s="710">
        <f t="shared" si="152"/>
        <v>0</v>
      </c>
      <c r="K179" s="711" t="str">
        <f t="shared" si="153"/>
        <v>1.33</v>
      </c>
      <c r="L179" s="711" t="str">
        <f t="shared" si="154"/>
        <v>D+</v>
      </c>
      <c r="M179" s="712" t="str">
        <f t="shared" si="155"/>
        <v>0</v>
      </c>
      <c r="N179" s="1634"/>
      <c r="O179" s="1635"/>
      <c r="P179" s="1635"/>
      <c r="Q179" s="1635"/>
      <c r="R179" s="1635"/>
      <c r="S179" s="1635"/>
      <c r="T179" s="1636"/>
      <c r="U179" s="1636"/>
      <c r="V179" s="1636"/>
      <c r="W179" s="1636"/>
      <c r="X179" s="1636"/>
      <c r="Y179" s="1636"/>
      <c r="Z179" s="1921"/>
      <c r="AA179" s="1524"/>
    </row>
    <row r="180" spans="1:27" ht="24.95" customHeight="1" x14ac:dyDescent="0.3">
      <c r="A180" s="687"/>
      <c r="B180" s="683"/>
      <c r="C180" s="1630"/>
      <c r="D180" s="1626" t="s">
        <v>180</v>
      </c>
      <c r="E180" s="1891">
        <f>VLOOKUP(A177,UHT_AGM,27,FALSE)</f>
        <v>0</v>
      </c>
      <c r="F180" s="1905">
        <f t="shared" si="150"/>
        <v>0</v>
      </c>
      <c r="G180" s="1891"/>
      <c r="H180" s="1627">
        <f>VLOOKUP(A177,an_agm,52,FALSE)</f>
        <v>0</v>
      </c>
      <c r="I180" s="709">
        <f t="shared" si="151"/>
        <v>0</v>
      </c>
      <c r="J180" s="710">
        <f t="shared" si="152"/>
        <v>0</v>
      </c>
      <c r="K180" s="711" t="str">
        <f t="shared" si="153"/>
        <v>1.33</v>
      </c>
      <c r="L180" s="711" t="str">
        <f t="shared" si="154"/>
        <v>D+</v>
      </c>
      <c r="M180" s="712" t="str">
        <f t="shared" si="155"/>
        <v>0</v>
      </c>
      <c r="N180" s="1634"/>
      <c r="O180" s="1635"/>
      <c r="P180" s="1635"/>
      <c r="Q180" s="1635"/>
      <c r="R180" s="1635"/>
      <c r="S180" s="1635"/>
      <c r="T180" s="1636"/>
      <c r="U180" s="1636"/>
      <c r="V180" s="1636"/>
      <c r="W180" s="1636"/>
      <c r="X180" s="1636"/>
      <c r="Y180" s="1636"/>
      <c r="Z180" s="1921"/>
      <c r="AA180" s="1524"/>
    </row>
    <row r="181" spans="1:27" ht="24.95" customHeight="1" x14ac:dyDescent="0.3">
      <c r="A181" s="1637"/>
      <c r="B181" s="360"/>
      <c r="C181" s="1630"/>
      <c r="D181" s="1626" t="s">
        <v>19</v>
      </c>
      <c r="E181" s="1891">
        <f>VLOOKUP(A177,UHT_AGM,28,FALSE)</f>
        <v>0</v>
      </c>
      <c r="F181" s="1905">
        <f t="shared" si="150"/>
        <v>0</v>
      </c>
      <c r="G181" s="1891"/>
      <c r="H181" s="1627">
        <f>VLOOKUP(A177,an_agm,53,FALSE)</f>
        <v>0</v>
      </c>
      <c r="I181" s="709">
        <f t="shared" si="151"/>
        <v>0</v>
      </c>
      <c r="J181" s="710">
        <f t="shared" si="152"/>
        <v>0</v>
      </c>
      <c r="K181" s="711" t="str">
        <f t="shared" si="153"/>
        <v>1.33</v>
      </c>
      <c r="L181" s="711" t="str">
        <f t="shared" si="154"/>
        <v>D+</v>
      </c>
      <c r="M181" s="712" t="str">
        <f t="shared" si="155"/>
        <v>0</v>
      </c>
      <c r="N181" s="1638"/>
      <c r="O181" s="1639"/>
      <c r="P181" s="1639"/>
      <c r="Q181" s="1639"/>
      <c r="R181" s="1639"/>
      <c r="S181" s="1639"/>
      <c r="T181" s="1640"/>
      <c r="U181" s="1640"/>
      <c r="V181" s="1640"/>
      <c r="W181" s="1640"/>
      <c r="X181" s="1640"/>
      <c r="Y181" s="1640"/>
      <c r="Z181" s="1921"/>
      <c r="AA181" s="1524"/>
    </row>
    <row r="182" spans="1:27" ht="24.95" customHeight="1" x14ac:dyDescent="0.3">
      <c r="A182" s="1637"/>
      <c r="B182" s="360"/>
      <c r="C182" s="1630"/>
      <c r="D182" s="1626" t="s">
        <v>181</v>
      </c>
      <c r="E182" s="1891">
        <f>VLOOKUP(A177,UHT_AGM,30,FALSE)</f>
        <v>0</v>
      </c>
      <c r="F182" s="1905">
        <f t="shared" si="150"/>
        <v>0</v>
      </c>
      <c r="G182" s="1891"/>
      <c r="H182" s="1627">
        <f>VLOOKUP(A177,an_agm,54,FALSE)</f>
        <v>0</v>
      </c>
      <c r="I182" s="709">
        <f t="shared" si="151"/>
        <v>0</v>
      </c>
      <c r="J182" s="710">
        <f t="shared" si="152"/>
        <v>0</v>
      </c>
      <c r="K182" s="711" t="str">
        <f t="shared" si="153"/>
        <v>1.33</v>
      </c>
      <c r="L182" s="711" t="str">
        <f t="shared" si="154"/>
        <v>D+</v>
      </c>
      <c r="M182" s="712" t="str">
        <f t="shared" si="155"/>
        <v>0</v>
      </c>
      <c r="N182" s="1812"/>
      <c r="O182" s="1813"/>
      <c r="P182" s="1813"/>
      <c r="Q182" s="1813"/>
      <c r="R182" s="1813"/>
      <c r="S182" s="1813"/>
      <c r="T182" s="1814"/>
      <c r="U182" s="1814"/>
      <c r="V182" s="1814"/>
      <c r="W182" s="1814"/>
      <c r="X182" s="1814"/>
      <c r="Y182" s="1814"/>
      <c r="Z182" s="1922"/>
      <c r="AA182" s="1526"/>
    </row>
    <row r="183" spans="1:27" ht="24.95" customHeight="1" x14ac:dyDescent="0.25">
      <c r="A183" s="1641"/>
      <c r="B183" s="1642">
        <v>25</v>
      </c>
      <c r="C183" s="1643" t="s">
        <v>167</v>
      </c>
      <c r="D183" s="1641"/>
      <c r="E183" s="1189">
        <f>AVERAGE(E177:E182)</f>
        <v>0</v>
      </c>
      <c r="F183" s="1641"/>
      <c r="G183" s="1189" t="e">
        <f>AVEDEV(G177:G182)</f>
        <v>#NUM!</v>
      </c>
      <c r="H183" s="1189">
        <f>AVERAGE(H177:H182)</f>
        <v>0</v>
      </c>
      <c r="I183" s="1644"/>
      <c r="J183" s="350">
        <f>AVERAGE(J177:J182)</f>
        <v>0</v>
      </c>
      <c r="K183" s="350" t="str">
        <f>IF(J183&gt;85,("4"),IF(J183&gt;80,("3.66"),IF(J183&gt;75,("3.33"),IF(J183&gt;70,("3.00"),IF(J183&gt;65,("2.66"),IF(J183&gt;60,("2.33"),IF(J183&gt;55,("2"),IF(J183&gt;50,("1.66"),"1.33"))))))))</f>
        <v>1.33</v>
      </c>
      <c r="L183" s="1645" t="str">
        <f>IF(J183&gt;85,("A"),IF(J183&gt;80,("A-"),IF(J183&gt;75,("B+"),IF(J183&gt;70,("B"),IF(J183&gt;65,("B-"),IF(J183&gt;60,("C+"),IF(J183&gt;55,("C"),IF(J183&gt;50,("C-"),"D+"))))))))</f>
        <v>D+</v>
      </c>
      <c r="M183" s="1646" t="str">
        <f>IF(J183&gt;85,("A"),IF(J183&gt;80,("A-"),IF(J183&gt;75,("B+"),IF(J183&gt;70,("B"),IF(J183&gt;65,("B-"),IF(J183&gt;60,("C+"),IF(J183&gt;55,("C"),IF(J183&gt;50,("C-"),"D+"))))))))</f>
        <v>D+</v>
      </c>
      <c r="N183" s="1917"/>
      <c r="O183" s="1918"/>
      <c r="P183" s="1918"/>
      <c r="Q183" s="1918"/>
      <c r="R183" s="1918"/>
      <c r="S183" s="1918"/>
      <c r="T183" s="1918"/>
      <c r="U183" s="1918"/>
      <c r="V183" s="1918"/>
      <c r="W183" s="1918"/>
      <c r="X183" s="1918"/>
      <c r="Y183" s="1918"/>
      <c r="Z183" s="1923"/>
      <c r="AA183" s="1924"/>
    </row>
    <row r="184" spans="1:27" ht="24.95" customHeight="1" x14ac:dyDescent="0.3">
      <c r="A184" s="360">
        <v>26</v>
      </c>
      <c r="B184" s="683"/>
      <c r="C184" s="1625" t="str">
        <f>VLOOKUP(A184,data_siswa,4,FALSE)</f>
        <v>Meliana Citra A</v>
      </c>
      <c r="D184" s="1626" t="s">
        <v>7</v>
      </c>
      <c r="E184" s="1891">
        <f>VLOOKUP(A184,UHT_AGM,24,FALSE)</f>
        <v>0</v>
      </c>
      <c r="F184" s="1904">
        <f>E184*2</f>
        <v>0</v>
      </c>
      <c r="G184" s="1891"/>
      <c r="H184" s="1627">
        <f>VLOOKUP(A184,an_agm,49,FALSE)</f>
        <v>0</v>
      </c>
      <c r="I184" s="706">
        <f>F184+G184+H184</f>
        <v>0</v>
      </c>
      <c r="J184" s="707">
        <f>(F184+G184+H184)/4</f>
        <v>0</v>
      </c>
      <c r="K184" s="708" t="str">
        <f>IF(J184&gt;85,("4"),IF(J184&gt;80,("3.66"),IF(J184&gt;75,("3.33"),IF(J184&gt;70,("3.00"),IF(J184&gt;65,("2.66"),IF(J184&gt;60,("2.33"),IF(J184&gt;55,("2"),IF(J184&gt;50,("1.66"),"1.33"))))))))</f>
        <v>1.33</v>
      </c>
      <c r="L184" s="708" t="str">
        <f>IF(J184&gt;85,("A"),IF(J184&gt;80,("A-"),IF(J184&gt;75,("B+"),IF(J184&gt;70,("B"),IF(J184&gt;65,("B-"),IF(J184&gt;60,("C+"),IF(J184&gt;55,("C"),IF(J184&gt;50,("C-"),"D+"))))))))</f>
        <v>D+</v>
      </c>
      <c r="M184" s="887" t="str">
        <f>IF(J184&gt;80,("SB"),IF(J184&gt;65,("B"),IF(J184&gt;50,("C"),IF(J184&gt;0,("K"),"0"))))</f>
        <v>0</v>
      </c>
      <c r="N184" s="1628"/>
      <c r="O184" s="1602"/>
      <c r="P184" s="1602"/>
      <c r="Q184" s="1602"/>
      <c r="R184" s="1602"/>
      <c r="S184" s="1602"/>
      <c r="T184" s="1629"/>
      <c r="U184" s="1629"/>
      <c r="V184" s="1629"/>
      <c r="W184" s="1629"/>
      <c r="X184" s="1629"/>
      <c r="Y184" s="1629"/>
      <c r="Z184" s="1193">
        <f>J190</f>
        <v>0</v>
      </c>
      <c r="AA184" s="1919" t="str">
        <f>L190</f>
        <v>D+</v>
      </c>
    </row>
    <row r="185" spans="1:27" ht="24.95" customHeight="1" x14ac:dyDescent="0.3">
      <c r="A185" s="687"/>
      <c r="B185" s="683"/>
      <c r="C185" s="1630"/>
      <c r="D185" s="1626" t="s">
        <v>18</v>
      </c>
      <c r="E185" s="1891">
        <f>VLOOKUP(A184,UHT_AGM,25,FALSE)</f>
        <v>0</v>
      </c>
      <c r="F185" s="1905">
        <f t="shared" ref="F185:F189" si="156">E185*2</f>
        <v>0</v>
      </c>
      <c r="G185" s="1891"/>
      <c r="H185" s="1627">
        <f>VLOOKUP(A184,an_agm,50,FALSE)</f>
        <v>0</v>
      </c>
      <c r="I185" s="709">
        <f t="shared" ref="I185:I189" si="157">F185+G185+H185</f>
        <v>0</v>
      </c>
      <c r="J185" s="710">
        <f t="shared" ref="J185:J189" si="158">(F185+G185+H185)/4</f>
        <v>0</v>
      </c>
      <c r="K185" s="711" t="str">
        <f t="shared" ref="K185:K189" si="159">IF(J185&gt;85,("4"),IF(J185&gt;80,("3.66"),IF(J185&gt;75,("3.33"),IF(J185&gt;70,("3.00"),IF(J185&gt;65,("2.66"),IF(J185&gt;60,("2.33"),IF(J185&gt;55,("2"),IF(J185&gt;50,("1.66"),"1.33"))))))))</f>
        <v>1.33</v>
      </c>
      <c r="L185" s="711" t="str">
        <f t="shared" ref="L185:L189" si="160">IF(J185&gt;85,("A"),IF(J185&gt;80,("A-"),IF(J185&gt;75,("B+"),IF(J185&gt;70,("B"),IF(J185&gt;65,("B-"),IF(J185&gt;60,("C+"),IF(J185&gt;55,("C"),IF(J185&gt;50,("C-"),"D+"))))))))</f>
        <v>D+</v>
      </c>
      <c r="M185" s="712" t="str">
        <f t="shared" ref="M185:M189" si="161">IF(J185&gt;80,("SB"),IF(J185&gt;65,("B"),IF(J185&gt;50,("C"),IF(J185&gt;0,("K"),"0"))))</f>
        <v>0</v>
      </c>
      <c r="N185" s="1631"/>
      <c r="O185" s="1632"/>
      <c r="P185" s="1632"/>
      <c r="Q185" s="1632"/>
      <c r="R185" s="1632"/>
      <c r="S185" s="1632"/>
      <c r="T185" s="1633"/>
      <c r="U185" s="1633"/>
      <c r="V185" s="1633"/>
      <c r="W185" s="1633"/>
      <c r="X185" s="1633"/>
      <c r="Y185" s="1633"/>
      <c r="Z185" s="1920"/>
      <c r="AA185" s="1522"/>
    </row>
    <row r="186" spans="1:27" ht="24.95" customHeight="1" x14ac:dyDescent="0.3">
      <c r="A186" s="687"/>
      <c r="B186" s="683"/>
      <c r="C186" s="1630"/>
      <c r="D186" s="1626" t="s">
        <v>179</v>
      </c>
      <c r="E186" s="1891">
        <f>VLOOKUP(A184,UHT_AGM,26,FALSE)</f>
        <v>0</v>
      </c>
      <c r="F186" s="1905">
        <f t="shared" si="156"/>
        <v>0</v>
      </c>
      <c r="G186" s="1891"/>
      <c r="H186" s="1627">
        <f>VLOOKUP(A184,an_agm,51,FALSE)</f>
        <v>0</v>
      </c>
      <c r="I186" s="709">
        <f t="shared" si="157"/>
        <v>0</v>
      </c>
      <c r="J186" s="710">
        <f t="shared" si="158"/>
        <v>0</v>
      </c>
      <c r="K186" s="711" t="str">
        <f t="shared" si="159"/>
        <v>1.33</v>
      </c>
      <c r="L186" s="711" t="str">
        <f t="shared" si="160"/>
        <v>D+</v>
      </c>
      <c r="M186" s="712" t="str">
        <f t="shared" si="161"/>
        <v>0</v>
      </c>
      <c r="N186" s="1634"/>
      <c r="O186" s="1635"/>
      <c r="P186" s="1635"/>
      <c r="Q186" s="1635"/>
      <c r="R186" s="1635"/>
      <c r="S186" s="1635"/>
      <c r="T186" s="1636"/>
      <c r="U186" s="1636"/>
      <c r="V186" s="1636"/>
      <c r="W186" s="1636"/>
      <c r="X186" s="1636"/>
      <c r="Y186" s="1636"/>
      <c r="Z186" s="1921"/>
      <c r="AA186" s="1524"/>
    </row>
    <row r="187" spans="1:27" ht="24.95" customHeight="1" x14ac:dyDescent="0.3">
      <c r="A187" s="687"/>
      <c r="B187" s="683"/>
      <c r="C187" s="1630"/>
      <c r="D187" s="1626" t="s">
        <v>180</v>
      </c>
      <c r="E187" s="1891">
        <f>VLOOKUP(A184,UHT_AGM,27,FALSE)</f>
        <v>0</v>
      </c>
      <c r="F187" s="1905">
        <f t="shared" si="156"/>
        <v>0</v>
      </c>
      <c r="G187" s="1891"/>
      <c r="H187" s="1627">
        <f>VLOOKUP(A184,an_agm,52,FALSE)</f>
        <v>0</v>
      </c>
      <c r="I187" s="709">
        <f t="shared" si="157"/>
        <v>0</v>
      </c>
      <c r="J187" s="710">
        <f t="shared" si="158"/>
        <v>0</v>
      </c>
      <c r="K187" s="711" t="str">
        <f t="shared" si="159"/>
        <v>1.33</v>
      </c>
      <c r="L187" s="711" t="str">
        <f t="shared" si="160"/>
        <v>D+</v>
      </c>
      <c r="M187" s="712" t="str">
        <f t="shared" si="161"/>
        <v>0</v>
      </c>
      <c r="N187" s="1634"/>
      <c r="O187" s="1635"/>
      <c r="P187" s="1635"/>
      <c r="Q187" s="1635"/>
      <c r="R187" s="1635"/>
      <c r="S187" s="1635"/>
      <c r="T187" s="1636"/>
      <c r="U187" s="1636"/>
      <c r="V187" s="1636"/>
      <c r="W187" s="1636"/>
      <c r="X187" s="1636"/>
      <c r="Y187" s="1636"/>
      <c r="Z187" s="1921"/>
      <c r="AA187" s="1524"/>
    </row>
    <row r="188" spans="1:27" ht="24.95" customHeight="1" x14ac:dyDescent="0.3">
      <c r="A188" s="1637"/>
      <c r="B188" s="360"/>
      <c r="C188" s="1630"/>
      <c r="D188" s="1626" t="s">
        <v>19</v>
      </c>
      <c r="E188" s="1891">
        <f>VLOOKUP(A184,UHT_AGM,28,FALSE)</f>
        <v>0</v>
      </c>
      <c r="F188" s="1905">
        <f t="shared" si="156"/>
        <v>0</v>
      </c>
      <c r="G188" s="1891"/>
      <c r="H188" s="1627">
        <f>VLOOKUP(A184,an_agm,53,FALSE)</f>
        <v>0</v>
      </c>
      <c r="I188" s="709">
        <f t="shared" si="157"/>
        <v>0</v>
      </c>
      <c r="J188" s="710">
        <f t="shared" si="158"/>
        <v>0</v>
      </c>
      <c r="K188" s="711" t="str">
        <f t="shared" si="159"/>
        <v>1.33</v>
      </c>
      <c r="L188" s="711" t="str">
        <f t="shared" si="160"/>
        <v>D+</v>
      </c>
      <c r="M188" s="712" t="str">
        <f t="shared" si="161"/>
        <v>0</v>
      </c>
      <c r="N188" s="1638"/>
      <c r="O188" s="1639"/>
      <c r="P188" s="1639"/>
      <c r="Q188" s="1639"/>
      <c r="R188" s="1639"/>
      <c r="S188" s="1639"/>
      <c r="T188" s="1640"/>
      <c r="U188" s="1640"/>
      <c r="V188" s="1640"/>
      <c r="W188" s="1640"/>
      <c r="X188" s="1640"/>
      <c r="Y188" s="1640"/>
      <c r="Z188" s="1921"/>
      <c r="AA188" s="1524"/>
    </row>
    <row r="189" spans="1:27" ht="24.95" customHeight="1" x14ac:dyDescent="0.3">
      <c r="A189" s="1637"/>
      <c r="B189" s="360"/>
      <c r="C189" s="1630"/>
      <c r="D189" s="1626" t="s">
        <v>181</v>
      </c>
      <c r="E189" s="1891">
        <f>VLOOKUP(A184,UHT_AGM,30,FALSE)</f>
        <v>0</v>
      </c>
      <c r="F189" s="1905">
        <f t="shared" si="156"/>
        <v>0</v>
      </c>
      <c r="G189" s="1891"/>
      <c r="H189" s="1627">
        <f>VLOOKUP(A184,an_agm,54,FALSE)</f>
        <v>0</v>
      </c>
      <c r="I189" s="709">
        <f t="shared" si="157"/>
        <v>0</v>
      </c>
      <c r="J189" s="710">
        <f t="shared" si="158"/>
        <v>0</v>
      </c>
      <c r="K189" s="711" t="str">
        <f t="shared" si="159"/>
        <v>1.33</v>
      </c>
      <c r="L189" s="711" t="str">
        <f t="shared" si="160"/>
        <v>D+</v>
      </c>
      <c r="M189" s="712" t="str">
        <f t="shared" si="161"/>
        <v>0</v>
      </c>
      <c r="N189" s="1812"/>
      <c r="O189" s="1813"/>
      <c r="P189" s="1813"/>
      <c r="Q189" s="1813"/>
      <c r="R189" s="1813"/>
      <c r="S189" s="1813"/>
      <c r="T189" s="1814"/>
      <c r="U189" s="1814"/>
      <c r="V189" s="1814"/>
      <c r="W189" s="1814"/>
      <c r="X189" s="1814"/>
      <c r="Y189" s="1814"/>
      <c r="Z189" s="1922"/>
      <c r="AA189" s="1526"/>
    </row>
    <row r="190" spans="1:27" ht="24.95" customHeight="1" x14ac:dyDescent="0.25">
      <c r="A190" s="1641"/>
      <c r="B190" s="1642">
        <v>26</v>
      </c>
      <c r="C190" s="1643" t="s">
        <v>167</v>
      </c>
      <c r="D190" s="1641"/>
      <c r="E190" s="1189">
        <f>AVERAGE(E184:E189)</f>
        <v>0</v>
      </c>
      <c r="F190" s="1641"/>
      <c r="G190" s="1189" t="e">
        <f>AVEDEV(G184:G189)</f>
        <v>#NUM!</v>
      </c>
      <c r="H190" s="1189">
        <f>AVERAGE(H184:H189)</f>
        <v>0</v>
      </c>
      <c r="I190" s="1644"/>
      <c r="J190" s="350">
        <f>AVERAGE(J184:J189)</f>
        <v>0</v>
      </c>
      <c r="K190" s="350" t="str">
        <f>IF(J190&gt;85,("4"),IF(J190&gt;80,("3.66"),IF(J190&gt;75,("3.33"),IF(J190&gt;70,("3.00"),IF(J190&gt;65,("2.66"),IF(J190&gt;60,("2.33"),IF(J190&gt;55,("2"),IF(J190&gt;50,("1.66"),"1.33"))))))))</f>
        <v>1.33</v>
      </c>
      <c r="L190" s="1645" t="str">
        <f>IF(J190&gt;85,("A"),IF(J190&gt;80,("A-"),IF(J190&gt;75,("B+"),IF(J190&gt;70,("B"),IF(J190&gt;65,("B-"),IF(J190&gt;60,("C+"),IF(J190&gt;55,("C"),IF(J190&gt;50,("C-"),"D+"))))))))</f>
        <v>D+</v>
      </c>
      <c r="M190" s="1646" t="str">
        <f>IF(J190&gt;85,("A"),IF(J190&gt;80,("A-"),IF(J190&gt;75,("B+"),IF(J190&gt;70,("B"),IF(J190&gt;65,("B-"),IF(J190&gt;60,("C+"),IF(J190&gt;55,("C"),IF(J190&gt;50,("C-"),"D+"))))))))</f>
        <v>D+</v>
      </c>
      <c r="N190" s="1917"/>
      <c r="O190" s="1918"/>
      <c r="P190" s="1918"/>
      <c r="Q190" s="1918"/>
      <c r="R190" s="1918"/>
      <c r="S190" s="1918"/>
      <c r="T190" s="1918"/>
      <c r="U190" s="1918"/>
      <c r="V190" s="1918"/>
      <c r="W190" s="1918"/>
      <c r="X190" s="1918"/>
      <c r="Y190" s="1918"/>
      <c r="Z190" s="1923"/>
      <c r="AA190" s="1924"/>
    </row>
    <row r="191" spans="1:27" ht="24.95" customHeight="1" x14ac:dyDescent="0.3">
      <c r="A191" s="360">
        <v>27</v>
      </c>
      <c r="B191" s="683"/>
      <c r="C191" s="1625" t="str">
        <f>VLOOKUP(A191,data_siswa,4,FALSE)</f>
        <v>Mohammad Rizky</v>
      </c>
      <c r="D191" s="1626" t="s">
        <v>7</v>
      </c>
      <c r="E191" s="1891">
        <f>VLOOKUP(A191,UHT_AGM,24,FALSE)</f>
        <v>0</v>
      </c>
      <c r="F191" s="1904">
        <f>E191*2</f>
        <v>0</v>
      </c>
      <c r="G191" s="1891"/>
      <c r="H191" s="1627">
        <f>VLOOKUP(A191,an_agm,49,FALSE)</f>
        <v>0</v>
      </c>
      <c r="I191" s="706">
        <f>F191+G191+H191</f>
        <v>0</v>
      </c>
      <c r="J191" s="707">
        <f>(F191+G191+H191)/4</f>
        <v>0</v>
      </c>
      <c r="K191" s="708" t="str">
        <f>IF(J191&gt;85,("4"),IF(J191&gt;80,("3.66"),IF(J191&gt;75,("3.33"),IF(J191&gt;70,("3.00"),IF(J191&gt;65,("2.66"),IF(J191&gt;60,("2.33"),IF(J191&gt;55,("2"),IF(J191&gt;50,("1.66"),"1.33"))))))))</f>
        <v>1.33</v>
      </c>
      <c r="L191" s="708" t="str">
        <f>IF(J191&gt;85,("A"),IF(J191&gt;80,("A-"),IF(J191&gt;75,("B+"),IF(J191&gt;70,("B"),IF(J191&gt;65,("B-"),IF(J191&gt;60,("C+"),IF(J191&gt;55,("C"),IF(J191&gt;50,("C-"),"D+"))))))))</f>
        <v>D+</v>
      </c>
      <c r="M191" s="887" t="str">
        <f>IF(J191&gt;80,("SB"),IF(J191&gt;65,("B"),IF(J191&gt;50,("C"),IF(J191&gt;0,("K"),"0"))))</f>
        <v>0</v>
      </c>
      <c r="N191" s="1628"/>
      <c r="O191" s="1602"/>
      <c r="P191" s="1602"/>
      <c r="Q191" s="1602"/>
      <c r="R191" s="1602"/>
      <c r="S191" s="1602"/>
      <c r="T191" s="1629"/>
      <c r="U191" s="1629"/>
      <c r="V191" s="1629"/>
      <c r="W191" s="1629"/>
      <c r="X191" s="1629"/>
      <c r="Y191" s="1629"/>
      <c r="Z191" s="1193">
        <f>J197</f>
        <v>0</v>
      </c>
      <c r="AA191" s="1919" t="str">
        <f>L197</f>
        <v>D+</v>
      </c>
    </row>
    <row r="192" spans="1:27" ht="24.95" customHeight="1" x14ac:dyDescent="0.3">
      <c r="A192" s="687"/>
      <c r="B192" s="683"/>
      <c r="C192" s="1630"/>
      <c r="D192" s="1626" t="s">
        <v>18</v>
      </c>
      <c r="E192" s="1891">
        <f>VLOOKUP(A191,UHT_AGM,25,FALSE)</f>
        <v>0</v>
      </c>
      <c r="F192" s="1905">
        <f t="shared" ref="F192:F196" si="162">E192*2</f>
        <v>0</v>
      </c>
      <c r="G192" s="1891"/>
      <c r="H192" s="1627">
        <f>VLOOKUP(A191,an_agm,50,FALSE)</f>
        <v>0</v>
      </c>
      <c r="I192" s="709">
        <f t="shared" ref="I192:I196" si="163">F192+G192+H192</f>
        <v>0</v>
      </c>
      <c r="J192" s="710">
        <f t="shared" ref="J192:J196" si="164">(F192+G192+H192)/4</f>
        <v>0</v>
      </c>
      <c r="K192" s="711" t="str">
        <f t="shared" ref="K192:K196" si="165">IF(J192&gt;85,("4"),IF(J192&gt;80,("3.66"),IF(J192&gt;75,("3.33"),IF(J192&gt;70,("3.00"),IF(J192&gt;65,("2.66"),IF(J192&gt;60,("2.33"),IF(J192&gt;55,("2"),IF(J192&gt;50,("1.66"),"1.33"))))))))</f>
        <v>1.33</v>
      </c>
      <c r="L192" s="711" t="str">
        <f t="shared" ref="L192:L196" si="166">IF(J192&gt;85,("A"),IF(J192&gt;80,("A-"),IF(J192&gt;75,("B+"),IF(J192&gt;70,("B"),IF(J192&gt;65,("B-"),IF(J192&gt;60,("C+"),IF(J192&gt;55,("C"),IF(J192&gt;50,("C-"),"D+"))))))))</f>
        <v>D+</v>
      </c>
      <c r="M192" s="712" t="str">
        <f t="shared" ref="M192:M196" si="167">IF(J192&gt;80,("SB"),IF(J192&gt;65,("B"),IF(J192&gt;50,("C"),IF(J192&gt;0,("K"),"0"))))</f>
        <v>0</v>
      </c>
      <c r="N192" s="1631"/>
      <c r="O192" s="1632"/>
      <c r="P192" s="1632"/>
      <c r="Q192" s="1632"/>
      <c r="R192" s="1632"/>
      <c r="S192" s="1632"/>
      <c r="T192" s="1633"/>
      <c r="U192" s="1633"/>
      <c r="V192" s="1633"/>
      <c r="W192" s="1633"/>
      <c r="X192" s="1633"/>
      <c r="Y192" s="1633"/>
      <c r="Z192" s="1920"/>
      <c r="AA192" s="1522"/>
    </row>
    <row r="193" spans="1:27" ht="24.95" customHeight="1" x14ac:dyDescent="0.3">
      <c r="A193" s="687"/>
      <c r="B193" s="683"/>
      <c r="C193" s="1630"/>
      <c r="D193" s="1626" t="s">
        <v>179</v>
      </c>
      <c r="E193" s="1891">
        <f>VLOOKUP(A191,UHT_AGM,26,FALSE)</f>
        <v>0</v>
      </c>
      <c r="F193" s="1905">
        <f t="shared" si="162"/>
        <v>0</v>
      </c>
      <c r="G193" s="1891"/>
      <c r="H193" s="1627">
        <f>VLOOKUP(A191,an_agm,51,FALSE)</f>
        <v>0</v>
      </c>
      <c r="I193" s="709">
        <f t="shared" si="163"/>
        <v>0</v>
      </c>
      <c r="J193" s="710">
        <f t="shared" si="164"/>
        <v>0</v>
      </c>
      <c r="K193" s="711" t="str">
        <f t="shared" si="165"/>
        <v>1.33</v>
      </c>
      <c r="L193" s="711" t="str">
        <f t="shared" si="166"/>
        <v>D+</v>
      </c>
      <c r="M193" s="712" t="str">
        <f t="shared" si="167"/>
        <v>0</v>
      </c>
      <c r="N193" s="1634"/>
      <c r="O193" s="1635"/>
      <c r="P193" s="1635"/>
      <c r="Q193" s="1635"/>
      <c r="R193" s="1635"/>
      <c r="S193" s="1635"/>
      <c r="T193" s="1636"/>
      <c r="U193" s="1636"/>
      <c r="V193" s="1636"/>
      <c r="W193" s="1636"/>
      <c r="X193" s="1636"/>
      <c r="Y193" s="1636"/>
      <c r="Z193" s="1921"/>
      <c r="AA193" s="1524"/>
    </row>
    <row r="194" spans="1:27" ht="24.95" customHeight="1" x14ac:dyDescent="0.3">
      <c r="A194" s="687"/>
      <c r="B194" s="683"/>
      <c r="C194" s="1630"/>
      <c r="D194" s="1626" t="s">
        <v>180</v>
      </c>
      <c r="E194" s="1891">
        <f>VLOOKUP(A191,UHT_AGM,27,FALSE)</f>
        <v>0</v>
      </c>
      <c r="F194" s="1905">
        <f t="shared" si="162"/>
        <v>0</v>
      </c>
      <c r="G194" s="1891"/>
      <c r="H194" s="1627">
        <f>VLOOKUP(A191,an_agm,52,FALSE)</f>
        <v>0</v>
      </c>
      <c r="I194" s="709">
        <f t="shared" si="163"/>
        <v>0</v>
      </c>
      <c r="J194" s="710">
        <f t="shared" si="164"/>
        <v>0</v>
      </c>
      <c r="K194" s="711" t="str">
        <f t="shared" si="165"/>
        <v>1.33</v>
      </c>
      <c r="L194" s="711" t="str">
        <f t="shared" si="166"/>
        <v>D+</v>
      </c>
      <c r="M194" s="712" t="str">
        <f t="shared" si="167"/>
        <v>0</v>
      </c>
      <c r="N194" s="1634"/>
      <c r="O194" s="1635"/>
      <c r="P194" s="1635"/>
      <c r="Q194" s="1635"/>
      <c r="R194" s="1635"/>
      <c r="S194" s="1635"/>
      <c r="T194" s="1636"/>
      <c r="U194" s="1636"/>
      <c r="V194" s="1636"/>
      <c r="W194" s="1636"/>
      <c r="X194" s="1636"/>
      <c r="Y194" s="1636"/>
      <c r="Z194" s="1921"/>
      <c r="AA194" s="1524"/>
    </row>
    <row r="195" spans="1:27" ht="24.95" customHeight="1" x14ac:dyDescent="0.3">
      <c r="A195" s="1637"/>
      <c r="B195" s="360"/>
      <c r="C195" s="1630"/>
      <c r="D195" s="1626" t="s">
        <v>19</v>
      </c>
      <c r="E195" s="1891">
        <f>VLOOKUP(A191,UHT_AGM,28,FALSE)</f>
        <v>0</v>
      </c>
      <c r="F195" s="1905">
        <f t="shared" si="162"/>
        <v>0</v>
      </c>
      <c r="G195" s="1891"/>
      <c r="H195" s="1627">
        <f>VLOOKUP(A191,an_agm,53,FALSE)</f>
        <v>0</v>
      </c>
      <c r="I195" s="709">
        <f t="shared" si="163"/>
        <v>0</v>
      </c>
      <c r="J195" s="710">
        <f t="shared" si="164"/>
        <v>0</v>
      </c>
      <c r="K195" s="711" t="str">
        <f t="shared" si="165"/>
        <v>1.33</v>
      </c>
      <c r="L195" s="711" t="str">
        <f t="shared" si="166"/>
        <v>D+</v>
      </c>
      <c r="M195" s="712" t="str">
        <f t="shared" si="167"/>
        <v>0</v>
      </c>
      <c r="N195" s="1638"/>
      <c r="O195" s="1639"/>
      <c r="P195" s="1639"/>
      <c r="Q195" s="1639"/>
      <c r="R195" s="1639"/>
      <c r="S195" s="1639"/>
      <c r="T195" s="1640"/>
      <c r="U195" s="1640"/>
      <c r="V195" s="1640"/>
      <c r="W195" s="1640"/>
      <c r="X195" s="1640"/>
      <c r="Y195" s="1640"/>
      <c r="Z195" s="1921"/>
      <c r="AA195" s="1524"/>
    </row>
    <row r="196" spans="1:27" ht="24.95" customHeight="1" x14ac:dyDescent="0.3">
      <c r="A196" s="1637"/>
      <c r="B196" s="360"/>
      <c r="C196" s="1630"/>
      <c r="D196" s="1626" t="s">
        <v>181</v>
      </c>
      <c r="E196" s="1891">
        <f>VLOOKUP(A191,UHT_AGM,30,FALSE)</f>
        <v>0</v>
      </c>
      <c r="F196" s="1905">
        <f t="shared" si="162"/>
        <v>0</v>
      </c>
      <c r="G196" s="1891"/>
      <c r="H196" s="1627">
        <f>VLOOKUP(A191,an_agm,54,FALSE)</f>
        <v>0</v>
      </c>
      <c r="I196" s="709">
        <f t="shared" si="163"/>
        <v>0</v>
      </c>
      <c r="J196" s="710">
        <f t="shared" si="164"/>
        <v>0</v>
      </c>
      <c r="K196" s="711" t="str">
        <f t="shared" si="165"/>
        <v>1.33</v>
      </c>
      <c r="L196" s="711" t="str">
        <f t="shared" si="166"/>
        <v>D+</v>
      </c>
      <c r="M196" s="712" t="str">
        <f t="shared" si="167"/>
        <v>0</v>
      </c>
      <c r="N196" s="1812"/>
      <c r="O196" s="1813"/>
      <c r="P196" s="1813"/>
      <c r="Q196" s="1813"/>
      <c r="R196" s="1813"/>
      <c r="S196" s="1813"/>
      <c r="T196" s="1814"/>
      <c r="U196" s="1814"/>
      <c r="V196" s="1814"/>
      <c r="W196" s="1814"/>
      <c r="X196" s="1814"/>
      <c r="Y196" s="1814"/>
      <c r="Z196" s="1922"/>
      <c r="AA196" s="1526"/>
    </row>
    <row r="197" spans="1:27" ht="24.95" customHeight="1" x14ac:dyDescent="0.25">
      <c r="A197" s="1641"/>
      <c r="B197" s="1642">
        <v>27</v>
      </c>
      <c r="C197" s="1643" t="s">
        <v>167</v>
      </c>
      <c r="D197" s="1641"/>
      <c r="E197" s="1189">
        <f>AVERAGE(E191:E196)</f>
        <v>0</v>
      </c>
      <c r="F197" s="1641"/>
      <c r="G197" s="1189" t="e">
        <f>AVEDEV(G191:G196)</f>
        <v>#NUM!</v>
      </c>
      <c r="H197" s="1189">
        <f>AVERAGE(H191:H196)</f>
        <v>0</v>
      </c>
      <c r="I197" s="1644"/>
      <c r="J197" s="350">
        <f>AVERAGE(J191:J196)</f>
        <v>0</v>
      </c>
      <c r="K197" s="350" t="str">
        <f>IF(J197&gt;85,("4"),IF(J197&gt;80,("3.66"),IF(J197&gt;75,("3.33"),IF(J197&gt;70,("3.00"),IF(J197&gt;65,("2.66"),IF(J197&gt;60,("2.33"),IF(J197&gt;55,("2"),IF(J197&gt;50,("1.66"),"1.33"))))))))</f>
        <v>1.33</v>
      </c>
      <c r="L197" s="1645" t="str">
        <f>IF(J197&gt;85,("A"),IF(J197&gt;80,("A-"),IF(J197&gt;75,("B+"),IF(J197&gt;70,("B"),IF(J197&gt;65,("B-"),IF(J197&gt;60,("C+"),IF(J197&gt;55,("C"),IF(J197&gt;50,("C-"),"D+"))))))))</f>
        <v>D+</v>
      </c>
      <c r="M197" s="1646" t="str">
        <f>IF(J197&gt;85,("A"),IF(J197&gt;80,("A-"),IF(J197&gt;75,("B+"),IF(J197&gt;70,("B"),IF(J197&gt;65,("B-"),IF(J197&gt;60,("C+"),IF(J197&gt;55,("C"),IF(J197&gt;50,("C-"),"D+"))))))))</f>
        <v>D+</v>
      </c>
      <c r="N197" s="1917"/>
      <c r="O197" s="1918"/>
      <c r="P197" s="1918"/>
      <c r="Q197" s="1918"/>
      <c r="R197" s="1918"/>
      <c r="S197" s="1918"/>
      <c r="T197" s="1918"/>
      <c r="U197" s="1918"/>
      <c r="V197" s="1918"/>
      <c r="W197" s="1918"/>
      <c r="X197" s="1918"/>
      <c r="Y197" s="1918"/>
      <c r="Z197" s="1923"/>
      <c r="AA197" s="1924"/>
    </row>
    <row r="198" spans="1:27" ht="24.95" customHeight="1" x14ac:dyDescent="0.3">
      <c r="A198" s="360">
        <v>28</v>
      </c>
      <c r="B198" s="683"/>
      <c r="C198" s="1625" t="e">
        <f>VLOOKUP(A198,data_siswa,4,FALSE)</f>
        <v>#N/A</v>
      </c>
      <c r="D198" s="1626" t="s">
        <v>7</v>
      </c>
      <c r="E198" s="1891">
        <f>VLOOKUP(A198,UHT_AGM,24,FALSE)</f>
        <v>0</v>
      </c>
      <c r="F198" s="1904">
        <f>E198*2</f>
        <v>0</v>
      </c>
      <c r="G198" s="1891"/>
      <c r="H198" s="1627">
        <f>VLOOKUP(A198,an_agm,49,FALSE)</f>
        <v>0</v>
      </c>
      <c r="I198" s="706">
        <f>F198+G198+H198</f>
        <v>0</v>
      </c>
      <c r="J198" s="707">
        <f>(F198+G198+H198)/4</f>
        <v>0</v>
      </c>
      <c r="K198" s="708" t="str">
        <f>IF(J198&gt;85,("4"),IF(J198&gt;80,("3.66"),IF(J198&gt;75,("3.33"),IF(J198&gt;70,("3.00"),IF(J198&gt;65,("2.66"),IF(J198&gt;60,("2.33"),IF(J198&gt;55,("2"),IF(J198&gt;50,("1.66"),"1.33"))))))))</f>
        <v>1.33</v>
      </c>
      <c r="L198" s="708" t="str">
        <f>IF(J198&gt;85,("A"),IF(J198&gt;80,("A-"),IF(J198&gt;75,("B+"),IF(J198&gt;70,("B"),IF(J198&gt;65,("B-"),IF(J198&gt;60,("C+"),IF(J198&gt;55,("C"),IF(J198&gt;50,("C-"),"D+"))))))))</f>
        <v>D+</v>
      </c>
      <c r="M198" s="887" t="str">
        <f>IF(J198&gt;80,("SB"),IF(J198&gt;65,("B"),IF(J198&gt;50,("C"),IF(J198&gt;0,("K"),"0"))))</f>
        <v>0</v>
      </c>
      <c r="N198" s="1628"/>
      <c r="O198" s="1602"/>
      <c r="P198" s="1602"/>
      <c r="Q198" s="1602"/>
      <c r="R198" s="1602"/>
      <c r="S198" s="1602"/>
      <c r="T198" s="1629"/>
      <c r="U198" s="1629"/>
      <c r="V198" s="1629"/>
      <c r="W198" s="1629"/>
      <c r="X198" s="1629"/>
      <c r="Y198" s="1629"/>
      <c r="Z198" s="1193">
        <f>J204</f>
        <v>0</v>
      </c>
      <c r="AA198" s="1919" t="str">
        <f>L204</f>
        <v>D+</v>
      </c>
    </row>
    <row r="199" spans="1:27" ht="24.95" customHeight="1" x14ac:dyDescent="0.3">
      <c r="A199" s="687"/>
      <c r="B199" s="683"/>
      <c r="C199" s="1630"/>
      <c r="D199" s="1626" t="s">
        <v>18</v>
      </c>
      <c r="E199" s="1891">
        <f>VLOOKUP(A198,UHT_AGM,25,FALSE)</f>
        <v>0</v>
      </c>
      <c r="F199" s="1905">
        <f t="shared" ref="F199:F203" si="168">E199*2</f>
        <v>0</v>
      </c>
      <c r="G199" s="1891"/>
      <c r="H199" s="1627">
        <f>VLOOKUP(A198,an_agm,50,FALSE)</f>
        <v>0</v>
      </c>
      <c r="I199" s="709">
        <f t="shared" ref="I199:I203" si="169">F199+G199+H199</f>
        <v>0</v>
      </c>
      <c r="J199" s="710">
        <f t="shared" ref="J199:J203" si="170">(F199+G199+H199)/4</f>
        <v>0</v>
      </c>
      <c r="K199" s="711" t="str">
        <f t="shared" ref="K199:K203" si="171">IF(J199&gt;85,("4"),IF(J199&gt;80,("3.66"),IF(J199&gt;75,("3.33"),IF(J199&gt;70,("3.00"),IF(J199&gt;65,("2.66"),IF(J199&gt;60,("2.33"),IF(J199&gt;55,("2"),IF(J199&gt;50,("1.66"),"1.33"))))))))</f>
        <v>1.33</v>
      </c>
      <c r="L199" s="711" t="str">
        <f t="shared" ref="L199:L203" si="172">IF(J199&gt;85,("A"),IF(J199&gt;80,("A-"),IF(J199&gt;75,("B+"),IF(J199&gt;70,("B"),IF(J199&gt;65,("B-"),IF(J199&gt;60,("C+"),IF(J199&gt;55,("C"),IF(J199&gt;50,("C-"),"D+"))))))))</f>
        <v>D+</v>
      </c>
      <c r="M199" s="712" t="str">
        <f t="shared" ref="M199:M203" si="173">IF(J199&gt;80,("SB"),IF(J199&gt;65,("B"),IF(J199&gt;50,("C"),IF(J199&gt;0,("K"),"0"))))</f>
        <v>0</v>
      </c>
      <c r="N199" s="1631"/>
      <c r="O199" s="1632"/>
      <c r="P199" s="1632"/>
      <c r="Q199" s="1632"/>
      <c r="R199" s="1632"/>
      <c r="S199" s="1632"/>
      <c r="T199" s="1633"/>
      <c r="U199" s="1633"/>
      <c r="V199" s="1633"/>
      <c r="W199" s="1633"/>
      <c r="X199" s="1633"/>
      <c r="Y199" s="1633"/>
      <c r="Z199" s="1920"/>
      <c r="AA199" s="1522"/>
    </row>
    <row r="200" spans="1:27" ht="24.95" customHeight="1" x14ac:dyDescent="0.3">
      <c r="A200" s="687"/>
      <c r="B200" s="683"/>
      <c r="C200" s="1630"/>
      <c r="D200" s="1626" t="s">
        <v>179</v>
      </c>
      <c r="E200" s="1891">
        <f>VLOOKUP(A198,UHT_AGM,26,FALSE)</f>
        <v>0</v>
      </c>
      <c r="F200" s="1905">
        <f t="shared" si="168"/>
        <v>0</v>
      </c>
      <c r="G200" s="1891"/>
      <c r="H200" s="1627">
        <f>VLOOKUP(A198,an_agm,51,FALSE)</f>
        <v>0</v>
      </c>
      <c r="I200" s="709">
        <f t="shared" si="169"/>
        <v>0</v>
      </c>
      <c r="J200" s="710">
        <f t="shared" si="170"/>
        <v>0</v>
      </c>
      <c r="K200" s="711" t="str">
        <f t="shared" si="171"/>
        <v>1.33</v>
      </c>
      <c r="L200" s="711" t="str">
        <f t="shared" si="172"/>
        <v>D+</v>
      </c>
      <c r="M200" s="712" t="str">
        <f t="shared" si="173"/>
        <v>0</v>
      </c>
      <c r="N200" s="1634"/>
      <c r="O200" s="1635"/>
      <c r="P200" s="1635"/>
      <c r="Q200" s="1635"/>
      <c r="R200" s="1635"/>
      <c r="S200" s="1635"/>
      <c r="T200" s="1636"/>
      <c r="U200" s="1636"/>
      <c r="V200" s="1636"/>
      <c r="W200" s="1636"/>
      <c r="X200" s="1636"/>
      <c r="Y200" s="1636"/>
      <c r="Z200" s="1921"/>
      <c r="AA200" s="1524"/>
    </row>
    <row r="201" spans="1:27" ht="24.95" customHeight="1" x14ac:dyDescent="0.3">
      <c r="A201" s="687"/>
      <c r="B201" s="683"/>
      <c r="C201" s="1630"/>
      <c r="D201" s="1626" t="s">
        <v>180</v>
      </c>
      <c r="E201" s="1891">
        <f>VLOOKUP(A198,UHT_AGM,27,FALSE)</f>
        <v>0</v>
      </c>
      <c r="F201" s="1905">
        <f t="shared" si="168"/>
        <v>0</v>
      </c>
      <c r="G201" s="1891"/>
      <c r="H201" s="1627">
        <f>VLOOKUP(A198,an_agm,52,FALSE)</f>
        <v>0</v>
      </c>
      <c r="I201" s="709">
        <f t="shared" si="169"/>
        <v>0</v>
      </c>
      <c r="J201" s="710">
        <f t="shared" si="170"/>
        <v>0</v>
      </c>
      <c r="K201" s="711" t="str">
        <f t="shared" si="171"/>
        <v>1.33</v>
      </c>
      <c r="L201" s="711" t="str">
        <f t="shared" si="172"/>
        <v>D+</v>
      </c>
      <c r="M201" s="712" t="str">
        <f t="shared" si="173"/>
        <v>0</v>
      </c>
      <c r="N201" s="1634"/>
      <c r="O201" s="1635"/>
      <c r="P201" s="1635"/>
      <c r="Q201" s="1635"/>
      <c r="R201" s="1635"/>
      <c r="S201" s="1635"/>
      <c r="T201" s="1636"/>
      <c r="U201" s="1636"/>
      <c r="V201" s="1636"/>
      <c r="W201" s="1636"/>
      <c r="X201" s="1636"/>
      <c r="Y201" s="1636"/>
      <c r="Z201" s="1921"/>
      <c r="AA201" s="1524"/>
    </row>
    <row r="202" spans="1:27" ht="24.95" customHeight="1" x14ac:dyDescent="0.3">
      <c r="A202" s="1637"/>
      <c r="B202" s="360"/>
      <c r="C202" s="1630"/>
      <c r="D202" s="1626" t="s">
        <v>19</v>
      </c>
      <c r="E202" s="1891">
        <f>VLOOKUP(A198,UHT_AGM,28,FALSE)</f>
        <v>0</v>
      </c>
      <c r="F202" s="1905">
        <f t="shared" si="168"/>
        <v>0</v>
      </c>
      <c r="G202" s="1891"/>
      <c r="H202" s="1627">
        <f>VLOOKUP(A198,an_agm,53,FALSE)</f>
        <v>0</v>
      </c>
      <c r="I202" s="709">
        <f t="shared" si="169"/>
        <v>0</v>
      </c>
      <c r="J202" s="710">
        <f t="shared" si="170"/>
        <v>0</v>
      </c>
      <c r="K202" s="711" t="str">
        <f t="shared" si="171"/>
        <v>1.33</v>
      </c>
      <c r="L202" s="711" t="str">
        <f t="shared" si="172"/>
        <v>D+</v>
      </c>
      <c r="M202" s="712" t="str">
        <f t="shared" si="173"/>
        <v>0</v>
      </c>
      <c r="N202" s="1638"/>
      <c r="O202" s="1639"/>
      <c r="P202" s="1639"/>
      <c r="Q202" s="1639"/>
      <c r="R202" s="1639"/>
      <c r="S202" s="1639"/>
      <c r="T202" s="1640"/>
      <c r="U202" s="1640"/>
      <c r="V202" s="1640"/>
      <c r="W202" s="1640"/>
      <c r="X202" s="1640"/>
      <c r="Y202" s="1640"/>
      <c r="Z202" s="1921"/>
      <c r="AA202" s="1524"/>
    </row>
    <row r="203" spans="1:27" ht="24.95" customHeight="1" x14ac:dyDescent="0.3">
      <c r="A203" s="1637"/>
      <c r="B203" s="360"/>
      <c r="C203" s="1630"/>
      <c r="D203" s="1626" t="s">
        <v>181</v>
      </c>
      <c r="E203" s="1891">
        <f>VLOOKUP(A198,UHT_AGM,30,FALSE)</f>
        <v>0</v>
      </c>
      <c r="F203" s="1905">
        <f t="shared" si="168"/>
        <v>0</v>
      </c>
      <c r="G203" s="1891"/>
      <c r="H203" s="1627">
        <f>VLOOKUP(A198,an_agm,54,FALSE)</f>
        <v>0</v>
      </c>
      <c r="I203" s="709">
        <f t="shared" si="169"/>
        <v>0</v>
      </c>
      <c r="J203" s="710">
        <f t="shared" si="170"/>
        <v>0</v>
      </c>
      <c r="K203" s="711" t="str">
        <f t="shared" si="171"/>
        <v>1.33</v>
      </c>
      <c r="L203" s="711" t="str">
        <f t="shared" si="172"/>
        <v>D+</v>
      </c>
      <c r="M203" s="712" t="str">
        <f t="shared" si="173"/>
        <v>0</v>
      </c>
      <c r="N203" s="1812"/>
      <c r="O203" s="1813"/>
      <c r="P203" s="1813"/>
      <c r="Q203" s="1813"/>
      <c r="R203" s="1813"/>
      <c r="S203" s="1813"/>
      <c r="T203" s="1814"/>
      <c r="U203" s="1814"/>
      <c r="V203" s="1814"/>
      <c r="W203" s="1814"/>
      <c r="X203" s="1814"/>
      <c r="Y203" s="1814"/>
      <c r="Z203" s="1922"/>
      <c r="AA203" s="1526"/>
    </row>
    <row r="204" spans="1:27" ht="24.95" customHeight="1" x14ac:dyDescent="0.25">
      <c r="A204" s="1641"/>
      <c r="B204" s="1642">
        <v>28</v>
      </c>
      <c r="C204" s="1643" t="s">
        <v>167</v>
      </c>
      <c r="D204" s="1641"/>
      <c r="E204" s="1189">
        <f>AVERAGE(E198:E203)</f>
        <v>0</v>
      </c>
      <c r="F204" s="1641"/>
      <c r="G204" s="1189" t="e">
        <f>AVEDEV(G198:G203)</f>
        <v>#NUM!</v>
      </c>
      <c r="H204" s="1189">
        <f>AVERAGE(H198:H203)</f>
        <v>0</v>
      </c>
      <c r="I204" s="1644"/>
      <c r="J204" s="350">
        <f>AVERAGE(J198:J203)</f>
        <v>0</v>
      </c>
      <c r="K204" s="350" t="str">
        <f>IF(J204&gt;85,("4"),IF(J204&gt;80,("3.66"),IF(J204&gt;75,("3.33"),IF(J204&gt;70,("3.00"),IF(J204&gt;65,("2.66"),IF(J204&gt;60,("2.33"),IF(J204&gt;55,("2"),IF(J204&gt;50,("1.66"),"1.33"))))))))</f>
        <v>1.33</v>
      </c>
      <c r="L204" s="1645" t="str">
        <f>IF(J204&gt;85,("A"),IF(J204&gt;80,("A-"),IF(J204&gt;75,("B+"),IF(J204&gt;70,("B"),IF(J204&gt;65,("B-"),IF(J204&gt;60,("C+"),IF(J204&gt;55,("C"),IF(J204&gt;50,("C-"),"D+"))))))))</f>
        <v>D+</v>
      </c>
      <c r="M204" s="1646" t="str">
        <f>IF(J204&gt;85,("A"),IF(J204&gt;80,("A-"),IF(J204&gt;75,("B+"),IF(J204&gt;70,("B"),IF(J204&gt;65,("B-"),IF(J204&gt;60,("C+"),IF(J204&gt;55,("C"),IF(J204&gt;50,("C-"),"D+"))))))))</f>
        <v>D+</v>
      </c>
      <c r="N204" s="1917"/>
      <c r="O204" s="1918"/>
      <c r="P204" s="1918"/>
      <c r="Q204" s="1918"/>
      <c r="R204" s="1918"/>
      <c r="S204" s="1918"/>
      <c r="T204" s="1918"/>
      <c r="U204" s="1918"/>
      <c r="V204" s="1918"/>
      <c r="W204" s="1918"/>
      <c r="X204" s="1918"/>
      <c r="Y204" s="1918"/>
      <c r="Z204" s="1923"/>
      <c r="AA204" s="1924"/>
    </row>
    <row r="205" spans="1:27" ht="24.95" customHeight="1" x14ac:dyDescent="0.3">
      <c r="A205" s="360">
        <v>29</v>
      </c>
      <c r="B205" s="683"/>
      <c r="C205" s="1625" t="e">
        <f>VLOOKUP(A205,data_siswa,4,FALSE)</f>
        <v>#N/A</v>
      </c>
      <c r="D205" s="1626" t="s">
        <v>7</v>
      </c>
      <c r="E205" s="1891">
        <f>VLOOKUP(A205,UHT_AGM,24,FALSE)</f>
        <v>0</v>
      </c>
      <c r="F205" s="1904">
        <f>E205*2</f>
        <v>0</v>
      </c>
      <c r="G205" s="1891"/>
      <c r="H205" s="1627">
        <f>VLOOKUP(A205,an_agm,49,FALSE)</f>
        <v>0</v>
      </c>
      <c r="I205" s="706">
        <f>F205+G205+H205</f>
        <v>0</v>
      </c>
      <c r="J205" s="707">
        <f>(F205+G205+H205)/4</f>
        <v>0</v>
      </c>
      <c r="K205" s="708" t="str">
        <f>IF(J205&gt;85,("4"),IF(J205&gt;80,("3.66"),IF(J205&gt;75,("3.33"),IF(J205&gt;70,("3.00"),IF(J205&gt;65,("2.66"),IF(J205&gt;60,("2.33"),IF(J205&gt;55,("2"),IF(J205&gt;50,("1.66"),"1.33"))))))))</f>
        <v>1.33</v>
      </c>
      <c r="L205" s="708" t="str">
        <f>IF(J205&gt;85,("A"),IF(J205&gt;80,("A-"),IF(J205&gt;75,("B+"),IF(J205&gt;70,("B"),IF(J205&gt;65,("B-"),IF(J205&gt;60,("C+"),IF(J205&gt;55,("C"),IF(J205&gt;50,("C-"),"D+"))))))))</f>
        <v>D+</v>
      </c>
      <c r="M205" s="887" t="str">
        <f>IF(J205&gt;80,("SB"),IF(J205&gt;65,("B"),IF(J205&gt;50,("C"),IF(J205&gt;0,("K"),"0"))))</f>
        <v>0</v>
      </c>
      <c r="N205" s="1628"/>
      <c r="O205" s="1602"/>
      <c r="P205" s="1602"/>
      <c r="Q205" s="1602"/>
      <c r="R205" s="1602"/>
      <c r="S205" s="1602"/>
      <c r="T205" s="1629"/>
      <c r="U205" s="1629"/>
      <c r="V205" s="1629"/>
      <c r="W205" s="1629"/>
      <c r="X205" s="1629"/>
      <c r="Y205" s="1629"/>
      <c r="Z205" s="1193">
        <f>J211</f>
        <v>0</v>
      </c>
      <c r="AA205" s="1919" t="str">
        <f>L211</f>
        <v>D+</v>
      </c>
    </row>
    <row r="206" spans="1:27" ht="24.95" customHeight="1" x14ac:dyDescent="0.3">
      <c r="A206" s="687"/>
      <c r="B206" s="683"/>
      <c r="C206" s="1630"/>
      <c r="D206" s="1626" t="s">
        <v>18</v>
      </c>
      <c r="E206" s="1891">
        <f>VLOOKUP(A205,UHT_AGM,25,FALSE)</f>
        <v>0</v>
      </c>
      <c r="F206" s="1905">
        <f t="shared" ref="F206:F210" si="174">E206*2</f>
        <v>0</v>
      </c>
      <c r="G206" s="1891"/>
      <c r="H206" s="1627">
        <f>VLOOKUP(A205,an_agm,50,FALSE)</f>
        <v>0</v>
      </c>
      <c r="I206" s="709">
        <f t="shared" ref="I206:I210" si="175">F206+G206+H206</f>
        <v>0</v>
      </c>
      <c r="J206" s="710">
        <f t="shared" ref="J206:J210" si="176">(F206+G206+H206)/4</f>
        <v>0</v>
      </c>
      <c r="K206" s="711" t="str">
        <f t="shared" ref="K206:K210" si="177">IF(J206&gt;85,("4"),IF(J206&gt;80,("3.66"),IF(J206&gt;75,("3.33"),IF(J206&gt;70,("3.00"),IF(J206&gt;65,("2.66"),IF(J206&gt;60,("2.33"),IF(J206&gt;55,("2"),IF(J206&gt;50,("1.66"),"1.33"))))))))</f>
        <v>1.33</v>
      </c>
      <c r="L206" s="711" t="str">
        <f t="shared" ref="L206:L210" si="178">IF(J206&gt;85,("A"),IF(J206&gt;80,("A-"),IF(J206&gt;75,("B+"),IF(J206&gt;70,("B"),IF(J206&gt;65,("B-"),IF(J206&gt;60,("C+"),IF(J206&gt;55,("C"),IF(J206&gt;50,("C-"),"D+"))))))))</f>
        <v>D+</v>
      </c>
      <c r="M206" s="712" t="str">
        <f t="shared" ref="M206:M210" si="179">IF(J206&gt;80,("SB"),IF(J206&gt;65,("B"),IF(J206&gt;50,("C"),IF(J206&gt;0,("K"),"0"))))</f>
        <v>0</v>
      </c>
      <c r="N206" s="1631"/>
      <c r="O206" s="1632"/>
      <c r="P206" s="1632"/>
      <c r="Q206" s="1632"/>
      <c r="R206" s="1632"/>
      <c r="S206" s="1632"/>
      <c r="T206" s="1633"/>
      <c r="U206" s="1633"/>
      <c r="V206" s="1633"/>
      <c r="W206" s="1633"/>
      <c r="X206" s="1633"/>
      <c r="Y206" s="1633"/>
      <c r="Z206" s="1920"/>
      <c r="AA206" s="1522"/>
    </row>
    <row r="207" spans="1:27" ht="24.95" customHeight="1" x14ac:dyDescent="0.3">
      <c r="A207" s="687"/>
      <c r="B207" s="683"/>
      <c r="C207" s="1630"/>
      <c r="D207" s="1626" t="s">
        <v>179</v>
      </c>
      <c r="E207" s="1891">
        <f>VLOOKUP(A205,UHT_AGM,26,FALSE)</f>
        <v>0</v>
      </c>
      <c r="F207" s="1905">
        <f t="shared" si="174"/>
        <v>0</v>
      </c>
      <c r="G207" s="1891"/>
      <c r="H207" s="1627">
        <f>VLOOKUP(A205,an_agm,51,FALSE)</f>
        <v>0</v>
      </c>
      <c r="I207" s="709">
        <f t="shared" si="175"/>
        <v>0</v>
      </c>
      <c r="J207" s="710">
        <f t="shared" si="176"/>
        <v>0</v>
      </c>
      <c r="K207" s="711" t="str">
        <f t="shared" si="177"/>
        <v>1.33</v>
      </c>
      <c r="L207" s="711" t="str">
        <f t="shared" si="178"/>
        <v>D+</v>
      </c>
      <c r="M207" s="712" t="str">
        <f t="shared" si="179"/>
        <v>0</v>
      </c>
      <c r="N207" s="1634"/>
      <c r="O207" s="1635"/>
      <c r="P207" s="1635"/>
      <c r="Q207" s="1635"/>
      <c r="R207" s="1635"/>
      <c r="S207" s="1635"/>
      <c r="T207" s="1636"/>
      <c r="U207" s="1636"/>
      <c r="V207" s="1636"/>
      <c r="W207" s="1636"/>
      <c r="X207" s="1636"/>
      <c r="Y207" s="1636"/>
      <c r="Z207" s="1921"/>
      <c r="AA207" s="1524"/>
    </row>
    <row r="208" spans="1:27" ht="24.95" customHeight="1" x14ac:dyDescent="0.3">
      <c r="A208" s="687"/>
      <c r="B208" s="683"/>
      <c r="C208" s="1630"/>
      <c r="D208" s="1626" t="s">
        <v>180</v>
      </c>
      <c r="E208" s="1891">
        <f>VLOOKUP(A205,UHT_AGM,27,FALSE)</f>
        <v>0</v>
      </c>
      <c r="F208" s="1905">
        <f t="shared" si="174"/>
        <v>0</v>
      </c>
      <c r="G208" s="1891"/>
      <c r="H208" s="1627">
        <f>VLOOKUP(A205,an_agm,52,FALSE)</f>
        <v>0</v>
      </c>
      <c r="I208" s="709">
        <f t="shared" si="175"/>
        <v>0</v>
      </c>
      <c r="J208" s="710">
        <f t="shared" si="176"/>
        <v>0</v>
      </c>
      <c r="K208" s="711" t="str">
        <f t="shared" si="177"/>
        <v>1.33</v>
      </c>
      <c r="L208" s="711" t="str">
        <f t="shared" si="178"/>
        <v>D+</v>
      </c>
      <c r="M208" s="712" t="str">
        <f t="shared" si="179"/>
        <v>0</v>
      </c>
      <c r="N208" s="1634"/>
      <c r="O208" s="1635"/>
      <c r="P208" s="1635"/>
      <c r="Q208" s="1635"/>
      <c r="R208" s="1635"/>
      <c r="S208" s="1635"/>
      <c r="T208" s="1636"/>
      <c r="U208" s="1636"/>
      <c r="V208" s="1636"/>
      <c r="W208" s="1636"/>
      <c r="X208" s="1636"/>
      <c r="Y208" s="1636"/>
      <c r="Z208" s="1921"/>
      <c r="AA208" s="1524"/>
    </row>
    <row r="209" spans="1:27" ht="24.95" customHeight="1" x14ac:dyDescent="0.3">
      <c r="A209" s="1637"/>
      <c r="B209" s="360"/>
      <c r="C209" s="1630"/>
      <c r="D209" s="1626" t="s">
        <v>19</v>
      </c>
      <c r="E209" s="1891">
        <f>VLOOKUP(A205,UHT_AGM,28,FALSE)</f>
        <v>0</v>
      </c>
      <c r="F209" s="1905">
        <f t="shared" si="174"/>
        <v>0</v>
      </c>
      <c r="G209" s="1891"/>
      <c r="H209" s="1627">
        <f>VLOOKUP(A205,an_agm,53,FALSE)</f>
        <v>0</v>
      </c>
      <c r="I209" s="709">
        <f t="shared" si="175"/>
        <v>0</v>
      </c>
      <c r="J209" s="710">
        <f t="shared" si="176"/>
        <v>0</v>
      </c>
      <c r="K209" s="711" t="str">
        <f t="shared" si="177"/>
        <v>1.33</v>
      </c>
      <c r="L209" s="711" t="str">
        <f t="shared" si="178"/>
        <v>D+</v>
      </c>
      <c r="M209" s="712" t="str">
        <f t="shared" si="179"/>
        <v>0</v>
      </c>
      <c r="N209" s="1638"/>
      <c r="O209" s="1639"/>
      <c r="P209" s="1639"/>
      <c r="Q209" s="1639"/>
      <c r="R209" s="1639"/>
      <c r="S209" s="1639"/>
      <c r="T209" s="1640"/>
      <c r="U209" s="1640"/>
      <c r="V209" s="1640"/>
      <c r="W209" s="1640"/>
      <c r="X209" s="1640"/>
      <c r="Y209" s="1640"/>
      <c r="Z209" s="1921"/>
      <c r="AA209" s="1524"/>
    </row>
    <row r="210" spans="1:27" ht="24.95" customHeight="1" x14ac:dyDescent="0.3">
      <c r="A210" s="1637"/>
      <c r="B210" s="360"/>
      <c r="C210" s="1630"/>
      <c r="D210" s="1626" t="s">
        <v>181</v>
      </c>
      <c r="E210" s="1891">
        <f>VLOOKUP(A205,UHT_AGM,30,FALSE)</f>
        <v>0</v>
      </c>
      <c r="F210" s="1905">
        <f t="shared" si="174"/>
        <v>0</v>
      </c>
      <c r="G210" s="1891"/>
      <c r="H210" s="1627">
        <f>VLOOKUP(A205,an_agm,54,FALSE)</f>
        <v>0</v>
      </c>
      <c r="I210" s="709">
        <f t="shared" si="175"/>
        <v>0</v>
      </c>
      <c r="J210" s="710">
        <f t="shared" si="176"/>
        <v>0</v>
      </c>
      <c r="K210" s="711" t="str">
        <f t="shared" si="177"/>
        <v>1.33</v>
      </c>
      <c r="L210" s="711" t="str">
        <f t="shared" si="178"/>
        <v>D+</v>
      </c>
      <c r="M210" s="712" t="str">
        <f t="shared" si="179"/>
        <v>0</v>
      </c>
      <c r="N210" s="1812"/>
      <c r="O210" s="1813"/>
      <c r="P210" s="1813"/>
      <c r="Q210" s="1813"/>
      <c r="R210" s="1813"/>
      <c r="S210" s="1813"/>
      <c r="T210" s="1814"/>
      <c r="U210" s="1814"/>
      <c r="V210" s="1814"/>
      <c r="W210" s="1814"/>
      <c r="X210" s="1814"/>
      <c r="Y210" s="1814"/>
      <c r="Z210" s="1922"/>
      <c r="AA210" s="1526"/>
    </row>
    <row r="211" spans="1:27" ht="24.95" customHeight="1" x14ac:dyDescent="0.25">
      <c r="A211" s="1641"/>
      <c r="B211" s="1642">
        <v>29</v>
      </c>
      <c r="C211" s="1643" t="s">
        <v>167</v>
      </c>
      <c r="D211" s="1641"/>
      <c r="E211" s="1189">
        <f>AVERAGE(E205:E210)</f>
        <v>0</v>
      </c>
      <c r="F211" s="1641"/>
      <c r="G211" s="1189" t="e">
        <f>AVEDEV(G205:G210)</f>
        <v>#NUM!</v>
      </c>
      <c r="H211" s="1189">
        <f>AVERAGE(H205:H210)</f>
        <v>0</v>
      </c>
      <c r="I211" s="1644"/>
      <c r="J211" s="350">
        <f>AVERAGE(J205:J210)</f>
        <v>0</v>
      </c>
      <c r="K211" s="350" t="str">
        <f>IF(J211&gt;85,("4"),IF(J211&gt;80,("3.66"),IF(J211&gt;75,("3.33"),IF(J211&gt;70,("3.00"),IF(J211&gt;65,("2.66"),IF(J211&gt;60,("2.33"),IF(J211&gt;55,("2"),IF(J211&gt;50,("1.66"),"1.33"))))))))</f>
        <v>1.33</v>
      </c>
      <c r="L211" s="1645" t="str">
        <f>IF(J211&gt;85,("A"),IF(J211&gt;80,("A-"),IF(J211&gt;75,("B+"),IF(J211&gt;70,("B"),IF(J211&gt;65,("B-"),IF(J211&gt;60,("C+"),IF(J211&gt;55,("C"),IF(J211&gt;50,("C-"),"D+"))))))))</f>
        <v>D+</v>
      </c>
      <c r="M211" s="1646" t="str">
        <f>IF(J211&gt;85,("A"),IF(J211&gt;80,("A-"),IF(J211&gt;75,("B+"),IF(J211&gt;70,("B"),IF(J211&gt;65,("B-"),IF(J211&gt;60,("C+"),IF(J211&gt;55,("C"),IF(J211&gt;50,("C-"),"D+"))))))))</f>
        <v>D+</v>
      </c>
      <c r="N211" s="1917"/>
      <c r="O211" s="1918"/>
      <c r="P211" s="1918"/>
      <c r="Q211" s="1918"/>
      <c r="R211" s="1918"/>
      <c r="S211" s="1918"/>
      <c r="T211" s="1918"/>
      <c r="U211" s="1918"/>
      <c r="V211" s="1918"/>
      <c r="W211" s="1918"/>
      <c r="X211" s="1918"/>
      <c r="Y211" s="1918"/>
      <c r="Z211" s="1923"/>
      <c r="AA211" s="1924"/>
    </row>
    <row r="212" spans="1:27" ht="24.95" customHeight="1" x14ac:dyDescent="0.3">
      <c r="A212" s="360">
        <v>30</v>
      </c>
      <c r="B212" s="683"/>
      <c r="C212" s="1625" t="e">
        <f>VLOOKUP(A212,data_siswa,4,FALSE)</f>
        <v>#N/A</v>
      </c>
      <c r="D212" s="1626" t="s">
        <v>7</v>
      </c>
      <c r="E212" s="1891">
        <f>VLOOKUP(A212,UHT_AGM,24,FALSE)</f>
        <v>0</v>
      </c>
      <c r="F212" s="1904">
        <f>E212*2</f>
        <v>0</v>
      </c>
      <c r="G212" s="1891"/>
      <c r="H212" s="1627">
        <f>VLOOKUP(A212,an_agm,49,FALSE)</f>
        <v>0</v>
      </c>
      <c r="I212" s="706">
        <f>F212+G212+H212</f>
        <v>0</v>
      </c>
      <c r="J212" s="707">
        <f>(F212+G212+H212)/4</f>
        <v>0</v>
      </c>
      <c r="K212" s="708" t="str">
        <f>IF(J212&gt;85,("4"),IF(J212&gt;80,("3.66"),IF(J212&gt;75,("3.33"),IF(J212&gt;70,("3.00"),IF(J212&gt;65,("2.66"),IF(J212&gt;60,("2.33"),IF(J212&gt;55,("2"),IF(J212&gt;50,("1.66"),"1.33"))))))))</f>
        <v>1.33</v>
      </c>
      <c r="L212" s="708" t="str">
        <f>IF(J212&gt;85,("A"),IF(J212&gt;80,("A-"),IF(J212&gt;75,("B+"),IF(J212&gt;70,("B"),IF(J212&gt;65,("B-"),IF(J212&gt;60,("C+"),IF(J212&gt;55,("C"),IF(J212&gt;50,("C-"),"D+"))))))))</f>
        <v>D+</v>
      </c>
      <c r="M212" s="887" t="str">
        <f>IF(J212&gt;80,("SB"),IF(J212&gt;65,("B"),IF(J212&gt;50,("C"),IF(J212&gt;0,("K"),"0"))))</f>
        <v>0</v>
      </c>
      <c r="N212" s="1628"/>
      <c r="O212" s="1602"/>
      <c r="P212" s="1602"/>
      <c r="Q212" s="1602"/>
      <c r="R212" s="1602"/>
      <c r="S212" s="1602"/>
      <c r="T212" s="1629"/>
      <c r="U212" s="1629"/>
      <c r="V212" s="1629"/>
      <c r="W212" s="1629"/>
      <c r="X212" s="1629"/>
      <c r="Y212" s="1629"/>
      <c r="Z212" s="1193">
        <f>J218</f>
        <v>0</v>
      </c>
      <c r="AA212" s="1919" t="str">
        <f>L218</f>
        <v>D+</v>
      </c>
    </row>
    <row r="213" spans="1:27" ht="24.95" customHeight="1" x14ac:dyDescent="0.3">
      <c r="A213" s="687"/>
      <c r="B213" s="683"/>
      <c r="C213" s="1630"/>
      <c r="D213" s="1626" t="s">
        <v>18</v>
      </c>
      <c r="E213" s="1891">
        <f>VLOOKUP(A212,UHT_AGM,25,FALSE)</f>
        <v>0</v>
      </c>
      <c r="F213" s="1905">
        <f t="shared" ref="F213:F217" si="180">E213*2</f>
        <v>0</v>
      </c>
      <c r="G213" s="1891"/>
      <c r="H213" s="1627">
        <f>VLOOKUP(A212,an_agm,50,FALSE)</f>
        <v>0</v>
      </c>
      <c r="I213" s="709">
        <f t="shared" ref="I213:I217" si="181">F213+G213+H213</f>
        <v>0</v>
      </c>
      <c r="J213" s="710">
        <f t="shared" ref="J213:J217" si="182">(F213+G213+H213)/4</f>
        <v>0</v>
      </c>
      <c r="K213" s="711" t="str">
        <f t="shared" ref="K213:K217" si="183">IF(J213&gt;85,("4"),IF(J213&gt;80,("3.66"),IF(J213&gt;75,("3.33"),IF(J213&gt;70,("3.00"),IF(J213&gt;65,("2.66"),IF(J213&gt;60,("2.33"),IF(J213&gt;55,("2"),IF(J213&gt;50,("1.66"),"1.33"))))))))</f>
        <v>1.33</v>
      </c>
      <c r="L213" s="711" t="str">
        <f t="shared" ref="L213:L217" si="184">IF(J213&gt;85,("A"),IF(J213&gt;80,("A-"),IF(J213&gt;75,("B+"),IF(J213&gt;70,("B"),IF(J213&gt;65,("B-"),IF(J213&gt;60,("C+"),IF(J213&gt;55,("C"),IF(J213&gt;50,("C-"),"D+"))))))))</f>
        <v>D+</v>
      </c>
      <c r="M213" s="712" t="str">
        <f t="shared" ref="M213:M217" si="185">IF(J213&gt;80,("SB"),IF(J213&gt;65,("B"),IF(J213&gt;50,("C"),IF(J213&gt;0,("K"),"0"))))</f>
        <v>0</v>
      </c>
      <c r="N213" s="1631"/>
      <c r="O213" s="1632"/>
      <c r="P213" s="1632"/>
      <c r="Q213" s="1632"/>
      <c r="R213" s="1632"/>
      <c r="S213" s="1632"/>
      <c r="T213" s="1633"/>
      <c r="U213" s="1633"/>
      <c r="V213" s="1633"/>
      <c r="W213" s="1633"/>
      <c r="X213" s="1633"/>
      <c r="Y213" s="1633"/>
      <c r="Z213" s="1920"/>
      <c r="AA213" s="1522"/>
    </row>
    <row r="214" spans="1:27" ht="24.95" customHeight="1" x14ac:dyDescent="0.3">
      <c r="A214" s="687"/>
      <c r="B214" s="683"/>
      <c r="C214" s="1630"/>
      <c r="D214" s="1626" t="s">
        <v>179</v>
      </c>
      <c r="E214" s="1891">
        <f>VLOOKUP(A212,UHT_AGM,26,FALSE)</f>
        <v>0</v>
      </c>
      <c r="F214" s="1905">
        <f t="shared" si="180"/>
        <v>0</v>
      </c>
      <c r="G214" s="1891"/>
      <c r="H214" s="1627">
        <f>VLOOKUP(A212,an_agm,51,FALSE)</f>
        <v>0</v>
      </c>
      <c r="I214" s="709">
        <f t="shared" si="181"/>
        <v>0</v>
      </c>
      <c r="J214" s="710">
        <f t="shared" si="182"/>
        <v>0</v>
      </c>
      <c r="K214" s="711" t="str">
        <f t="shared" si="183"/>
        <v>1.33</v>
      </c>
      <c r="L214" s="711" t="str">
        <f t="shared" si="184"/>
        <v>D+</v>
      </c>
      <c r="M214" s="712" t="str">
        <f t="shared" si="185"/>
        <v>0</v>
      </c>
      <c r="N214" s="1634"/>
      <c r="O214" s="1635"/>
      <c r="P214" s="1635"/>
      <c r="Q214" s="1635"/>
      <c r="R214" s="1635"/>
      <c r="S214" s="1635"/>
      <c r="T214" s="1636"/>
      <c r="U214" s="1636"/>
      <c r="V214" s="1636"/>
      <c r="W214" s="1636"/>
      <c r="X214" s="1636"/>
      <c r="Y214" s="1636"/>
      <c r="Z214" s="1921"/>
      <c r="AA214" s="1524"/>
    </row>
    <row r="215" spans="1:27" ht="24.95" customHeight="1" x14ac:dyDescent="0.3">
      <c r="A215" s="687"/>
      <c r="B215" s="683"/>
      <c r="C215" s="1630"/>
      <c r="D215" s="1626" t="s">
        <v>180</v>
      </c>
      <c r="E215" s="1891">
        <f>VLOOKUP(A212,UHT_AGM,27,FALSE)</f>
        <v>0</v>
      </c>
      <c r="F215" s="1905">
        <f t="shared" si="180"/>
        <v>0</v>
      </c>
      <c r="G215" s="1891"/>
      <c r="H215" s="1627">
        <f>VLOOKUP(A212,an_agm,52,FALSE)</f>
        <v>0</v>
      </c>
      <c r="I215" s="709">
        <f t="shared" si="181"/>
        <v>0</v>
      </c>
      <c r="J215" s="710">
        <f t="shared" si="182"/>
        <v>0</v>
      </c>
      <c r="K215" s="711" t="str">
        <f t="shared" si="183"/>
        <v>1.33</v>
      </c>
      <c r="L215" s="711" t="str">
        <f t="shared" si="184"/>
        <v>D+</v>
      </c>
      <c r="M215" s="712" t="str">
        <f t="shared" si="185"/>
        <v>0</v>
      </c>
      <c r="N215" s="1634"/>
      <c r="O215" s="1635"/>
      <c r="P215" s="1635"/>
      <c r="Q215" s="1635"/>
      <c r="R215" s="1635"/>
      <c r="S215" s="1635"/>
      <c r="T215" s="1636"/>
      <c r="U215" s="1636"/>
      <c r="V215" s="1636"/>
      <c r="W215" s="1636"/>
      <c r="X215" s="1636"/>
      <c r="Y215" s="1636"/>
      <c r="Z215" s="1921"/>
      <c r="AA215" s="1524"/>
    </row>
    <row r="216" spans="1:27" ht="24.95" customHeight="1" x14ac:dyDescent="0.3">
      <c r="A216" s="1637"/>
      <c r="B216" s="360"/>
      <c r="C216" s="1630"/>
      <c r="D216" s="1626" t="s">
        <v>19</v>
      </c>
      <c r="E216" s="1891">
        <f>VLOOKUP(A212,UHT_AGM,28,FALSE)</f>
        <v>0</v>
      </c>
      <c r="F216" s="1905">
        <f t="shared" si="180"/>
        <v>0</v>
      </c>
      <c r="G216" s="1891"/>
      <c r="H216" s="1627">
        <f>VLOOKUP(A212,an_agm,53,FALSE)</f>
        <v>0</v>
      </c>
      <c r="I216" s="709">
        <f t="shared" si="181"/>
        <v>0</v>
      </c>
      <c r="J216" s="710">
        <f t="shared" si="182"/>
        <v>0</v>
      </c>
      <c r="K216" s="711" t="str">
        <f t="shared" si="183"/>
        <v>1.33</v>
      </c>
      <c r="L216" s="711" t="str">
        <f t="shared" si="184"/>
        <v>D+</v>
      </c>
      <c r="M216" s="712" t="str">
        <f t="shared" si="185"/>
        <v>0</v>
      </c>
      <c r="N216" s="1638"/>
      <c r="O216" s="1639"/>
      <c r="P216" s="1639"/>
      <c r="Q216" s="1639"/>
      <c r="R216" s="1639"/>
      <c r="S216" s="1639"/>
      <c r="T216" s="1640"/>
      <c r="U216" s="1640"/>
      <c r="V216" s="1640"/>
      <c r="W216" s="1640"/>
      <c r="X216" s="1640"/>
      <c r="Y216" s="1640"/>
      <c r="Z216" s="1921"/>
      <c r="AA216" s="1524"/>
    </row>
    <row r="217" spans="1:27" ht="24.95" customHeight="1" x14ac:dyDescent="0.3">
      <c r="A217" s="1637"/>
      <c r="B217" s="360"/>
      <c r="C217" s="1630"/>
      <c r="D217" s="1626" t="s">
        <v>181</v>
      </c>
      <c r="E217" s="1891">
        <f>VLOOKUP(A212,UHT_AGM,30,FALSE)</f>
        <v>0</v>
      </c>
      <c r="F217" s="1905">
        <f t="shared" si="180"/>
        <v>0</v>
      </c>
      <c r="G217" s="1891"/>
      <c r="H217" s="1627">
        <f>VLOOKUP(A212,an_agm,54,FALSE)</f>
        <v>0</v>
      </c>
      <c r="I217" s="709">
        <f t="shared" si="181"/>
        <v>0</v>
      </c>
      <c r="J217" s="710">
        <f t="shared" si="182"/>
        <v>0</v>
      </c>
      <c r="K217" s="711" t="str">
        <f t="shared" si="183"/>
        <v>1.33</v>
      </c>
      <c r="L217" s="711" t="str">
        <f t="shared" si="184"/>
        <v>D+</v>
      </c>
      <c r="M217" s="712" t="str">
        <f t="shared" si="185"/>
        <v>0</v>
      </c>
      <c r="N217" s="1812"/>
      <c r="O217" s="1813"/>
      <c r="P217" s="1813"/>
      <c r="Q217" s="1813"/>
      <c r="R217" s="1813"/>
      <c r="S217" s="1813"/>
      <c r="T217" s="1814"/>
      <c r="U217" s="1814"/>
      <c r="V217" s="1814"/>
      <c r="W217" s="1814"/>
      <c r="X217" s="1814"/>
      <c r="Y217" s="1814"/>
      <c r="Z217" s="1922"/>
      <c r="AA217" s="1526"/>
    </row>
    <row r="218" spans="1:27" ht="24.95" customHeight="1" x14ac:dyDescent="0.25">
      <c r="A218" s="1641"/>
      <c r="B218" s="1642">
        <v>30</v>
      </c>
      <c r="C218" s="1643" t="s">
        <v>167</v>
      </c>
      <c r="D218" s="1641"/>
      <c r="E218" s="1189">
        <f>AVERAGE(E212:E217)</f>
        <v>0</v>
      </c>
      <c r="F218" s="1641"/>
      <c r="G218" s="1189" t="e">
        <f>AVEDEV(G212:G217)</f>
        <v>#NUM!</v>
      </c>
      <c r="H218" s="1189">
        <f>AVERAGE(H212:H217)</f>
        <v>0</v>
      </c>
      <c r="I218" s="1644"/>
      <c r="J218" s="350">
        <f>AVERAGE(J212:J217)</f>
        <v>0</v>
      </c>
      <c r="K218" s="350" t="str">
        <f>IF(J218&gt;85,("4"),IF(J218&gt;80,("3.66"),IF(J218&gt;75,("3.33"),IF(J218&gt;70,("3.00"),IF(J218&gt;65,("2.66"),IF(J218&gt;60,("2.33"),IF(J218&gt;55,("2"),IF(J218&gt;50,("1.66"),"1.33"))))))))</f>
        <v>1.33</v>
      </c>
      <c r="L218" s="1645" t="str">
        <f>IF(J218&gt;85,("A"),IF(J218&gt;80,("A-"),IF(J218&gt;75,("B+"),IF(J218&gt;70,("B"),IF(J218&gt;65,("B-"),IF(J218&gt;60,("C+"),IF(J218&gt;55,("C"),IF(J218&gt;50,("C-"),"D+"))))))))</f>
        <v>D+</v>
      </c>
      <c r="M218" s="1646" t="str">
        <f>IF(J218&gt;85,("A"),IF(J218&gt;80,("A-"),IF(J218&gt;75,("B+"),IF(J218&gt;70,("B"),IF(J218&gt;65,("B-"),IF(J218&gt;60,("C+"),IF(J218&gt;55,("C"),IF(J218&gt;50,("C-"),"D+"))))))))</f>
        <v>D+</v>
      </c>
      <c r="N218" s="1917"/>
      <c r="O218" s="1918"/>
      <c r="P218" s="1918"/>
      <c r="Q218" s="1918"/>
      <c r="R218" s="1918"/>
      <c r="S218" s="1918"/>
      <c r="T218" s="1918"/>
      <c r="U218" s="1918"/>
      <c r="V218" s="1918"/>
      <c r="W218" s="1918"/>
      <c r="X218" s="1918"/>
      <c r="Y218" s="1918"/>
      <c r="Z218" s="1923"/>
      <c r="AA218" s="1924"/>
    </row>
    <row r="219" spans="1:27" ht="24.95" customHeight="1" x14ac:dyDescent="0.3">
      <c r="A219" s="360">
        <v>31</v>
      </c>
      <c r="B219" s="683"/>
      <c r="C219" s="1625" t="e">
        <f>VLOOKUP(A219,data_siswa,4,FALSE)</f>
        <v>#N/A</v>
      </c>
      <c r="D219" s="1626" t="s">
        <v>7</v>
      </c>
      <c r="E219" s="1891">
        <f>VLOOKUP(A219,UHT_AGM,24,FALSE)</f>
        <v>0</v>
      </c>
      <c r="F219" s="1904">
        <f>E219*2</f>
        <v>0</v>
      </c>
      <c r="G219" s="1891"/>
      <c r="H219" s="1627">
        <f>VLOOKUP(A219,an_agm,49,FALSE)</f>
        <v>0</v>
      </c>
      <c r="I219" s="706">
        <f>F219+G219+H219</f>
        <v>0</v>
      </c>
      <c r="J219" s="707">
        <f>(F219+G219+H219)/4</f>
        <v>0</v>
      </c>
      <c r="K219" s="708" t="str">
        <f>IF(J219&gt;85,("4"),IF(J219&gt;80,("3.66"),IF(J219&gt;75,("3.33"),IF(J219&gt;70,("3.00"),IF(J219&gt;65,("2.66"),IF(J219&gt;60,("2.33"),IF(J219&gt;55,("2"),IF(J219&gt;50,("1.66"),"1.33"))))))))</f>
        <v>1.33</v>
      </c>
      <c r="L219" s="708" t="str">
        <f>IF(J219&gt;85,("A"),IF(J219&gt;80,("A-"),IF(J219&gt;75,("B+"),IF(J219&gt;70,("B"),IF(J219&gt;65,("B-"),IF(J219&gt;60,("C+"),IF(J219&gt;55,("C"),IF(J219&gt;50,("C-"),"D+"))))))))</f>
        <v>D+</v>
      </c>
      <c r="M219" s="887" t="str">
        <f>IF(J219&gt;80,("SB"),IF(J219&gt;65,("B"),IF(J219&gt;50,("C"),IF(J219&gt;0,("K"),"0"))))</f>
        <v>0</v>
      </c>
      <c r="N219" s="1628"/>
      <c r="O219" s="1602"/>
      <c r="P219" s="1602"/>
      <c r="Q219" s="1602"/>
      <c r="R219" s="1602"/>
      <c r="S219" s="1602"/>
      <c r="T219" s="1629"/>
      <c r="U219" s="1629"/>
      <c r="V219" s="1629"/>
      <c r="W219" s="1629"/>
      <c r="X219" s="1629"/>
      <c r="Y219" s="1629"/>
      <c r="Z219" s="1193">
        <f>J225</f>
        <v>0</v>
      </c>
      <c r="AA219" s="1919" t="str">
        <f>L225</f>
        <v>D+</v>
      </c>
    </row>
    <row r="220" spans="1:27" ht="24.95" customHeight="1" x14ac:dyDescent="0.3">
      <c r="A220" s="687"/>
      <c r="B220" s="683"/>
      <c r="C220" s="1630"/>
      <c r="D220" s="1626" t="s">
        <v>18</v>
      </c>
      <c r="E220" s="1891">
        <f>VLOOKUP(A219,UHT_AGM,25,FALSE)</f>
        <v>0</v>
      </c>
      <c r="F220" s="1905">
        <f t="shared" ref="F220:F224" si="186">E220*2</f>
        <v>0</v>
      </c>
      <c r="G220" s="1891"/>
      <c r="H220" s="1627">
        <f>VLOOKUP(A219,an_agm,50,FALSE)</f>
        <v>0</v>
      </c>
      <c r="I220" s="709">
        <f t="shared" ref="I220:I224" si="187">F220+G220+H220</f>
        <v>0</v>
      </c>
      <c r="J220" s="710">
        <f t="shared" ref="J220:J224" si="188">(F220+G220+H220)/4</f>
        <v>0</v>
      </c>
      <c r="K220" s="711" t="str">
        <f t="shared" ref="K220:K224" si="189">IF(J220&gt;85,("4"),IF(J220&gt;80,("3.66"),IF(J220&gt;75,("3.33"),IF(J220&gt;70,("3.00"),IF(J220&gt;65,("2.66"),IF(J220&gt;60,("2.33"),IF(J220&gt;55,("2"),IF(J220&gt;50,("1.66"),"1.33"))))))))</f>
        <v>1.33</v>
      </c>
      <c r="L220" s="711" t="str">
        <f t="shared" ref="L220:L224" si="190">IF(J220&gt;85,("A"),IF(J220&gt;80,("A-"),IF(J220&gt;75,("B+"),IF(J220&gt;70,("B"),IF(J220&gt;65,("B-"),IF(J220&gt;60,("C+"),IF(J220&gt;55,("C"),IF(J220&gt;50,("C-"),"D+"))))))))</f>
        <v>D+</v>
      </c>
      <c r="M220" s="712" t="str">
        <f t="shared" ref="M220:M224" si="191">IF(J220&gt;80,("SB"),IF(J220&gt;65,("B"),IF(J220&gt;50,("C"),IF(J220&gt;0,("K"),"0"))))</f>
        <v>0</v>
      </c>
      <c r="N220" s="1631"/>
      <c r="O220" s="1632"/>
      <c r="P220" s="1632"/>
      <c r="Q220" s="1632"/>
      <c r="R220" s="1632"/>
      <c r="S220" s="1632"/>
      <c r="T220" s="1633"/>
      <c r="U220" s="1633"/>
      <c r="V220" s="1633"/>
      <c r="W220" s="1633"/>
      <c r="X220" s="1633"/>
      <c r="Y220" s="1633"/>
      <c r="Z220" s="1920"/>
      <c r="AA220" s="1522"/>
    </row>
    <row r="221" spans="1:27" ht="24.95" customHeight="1" x14ac:dyDescent="0.3">
      <c r="A221" s="687"/>
      <c r="B221" s="683"/>
      <c r="C221" s="1630"/>
      <c r="D221" s="1626" t="s">
        <v>179</v>
      </c>
      <c r="E221" s="1891">
        <f>VLOOKUP(A219,UHT_AGM,26,FALSE)</f>
        <v>0</v>
      </c>
      <c r="F221" s="1905">
        <f t="shared" si="186"/>
        <v>0</v>
      </c>
      <c r="G221" s="1891"/>
      <c r="H221" s="1627">
        <f>VLOOKUP(A219,an_agm,51,FALSE)</f>
        <v>0</v>
      </c>
      <c r="I221" s="709">
        <f t="shared" si="187"/>
        <v>0</v>
      </c>
      <c r="J221" s="710">
        <f t="shared" si="188"/>
        <v>0</v>
      </c>
      <c r="K221" s="711" t="str">
        <f t="shared" si="189"/>
        <v>1.33</v>
      </c>
      <c r="L221" s="711" t="str">
        <f t="shared" si="190"/>
        <v>D+</v>
      </c>
      <c r="M221" s="712" t="str">
        <f t="shared" si="191"/>
        <v>0</v>
      </c>
      <c r="N221" s="1634"/>
      <c r="O221" s="1635"/>
      <c r="P221" s="1635"/>
      <c r="Q221" s="1635"/>
      <c r="R221" s="1635"/>
      <c r="S221" s="1635"/>
      <c r="T221" s="1636"/>
      <c r="U221" s="1636"/>
      <c r="V221" s="1636"/>
      <c r="W221" s="1636"/>
      <c r="X221" s="1636"/>
      <c r="Y221" s="1636"/>
      <c r="Z221" s="1921"/>
      <c r="AA221" s="1524"/>
    </row>
    <row r="222" spans="1:27" ht="24.95" customHeight="1" x14ac:dyDescent="0.3">
      <c r="A222" s="687"/>
      <c r="B222" s="683"/>
      <c r="C222" s="1630"/>
      <c r="D222" s="1626" t="s">
        <v>180</v>
      </c>
      <c r="E222" s="1891">
        <f>VLOOKUP(A219,UHT_AGM,27,FALSE)</f>
        <v>0</v>
      </c>
      <c r="F222" s="1905">
        <f t="shared" si="186"/>
        <v>0</v>
      </c>
      <c r="G222" s="1891"/>
      <c r="H222" s="1627">
        <f>VLOOKUP(A219,an_agm,52,FALSE)</f>
        <v>0</v>
      </c>
      <c r="I222" s="709">
        <f t="shared" si="187"/>
        <v>0</v>
      </c>
      <c r="J222" s="710">
        <f t="shared" si="188"/>
        <v>0</v>
      </c>
      <c r="K222" s="711" t="str">
        <f t="shared" si="189"/>
        <v>1.33</v>
      </c>
      <c r="L222" s="711" t="str">
        <f t="shared" si="190"/>
        <v>D+</v>
      </c>
      <c r="M222" s="712" t="str">
        <f t="shared" si="191"/>
        <v>0</v>
      </c>
      <c r="N222" s="1634"/>
      <c r="O222" s="1635"/>
      <c r="P222" s="1635"/>
      <c r="Q222" s="1635"/>
      <c r="R222" s="1635"/>
      <c r="S222" s="1635"/>
      <c r="T222" s="1636"/>
      <c r="U222" s="1636"/>
      <c r="V222" s="1636"/>
      <c r="W222" s="1636"/>
      <c r="X222" s="1636"/>
      <c r="Y222" s="1636"/>
      <c r="Z222" s="1921"/>
      <c r="AA222" s="1524"/>
    </row>
    <row r="223" spans="1:27" ht="24.95" customHeight="1" x14ac:dyDescent="0.3">
      <c r="A223" s="1637"/>
      <c r="B223" s="360"/>
      <c r="C223" s="1630"/>
      <c r="D223" s="1626" t="s">
        <v>19</v>
      </c>
      <c r="E223" s="1891">
        <f>VLOOKUP(A219,UHT_AGM,28,FALSE)</f>
        <v>0</v>
      </c>
      <c r="F223" s="1905">
        <f t="shared" si="186"/>
        <v>0</v>
      </c>
      <c r="G223" s="1891"/>
      <c r="H223" s="1627">
        <f>VLOOKUP(A219,an_agm,53,FALSE)</f>
        <v>0</v>
      </c>
      <c r="I223" s="709">
        <f t="shared" si="187"/>
        <v>0</v>
      </c>
      <c r="J223" s="710">
        <f t="shared" si="188"/>
        <v>0</v>
      </c>
      <c r="K223" s="711" t="str">
        <f t="shared" si="189"/>
        <v>1.33</v>
      </c>
      <c r="L223" s="711" t="str">
        <f t="shared" si="190"/>
        <v>D+</v>
      </c>
      <c r="M223" s="712" t="str">
        <f t="shared" si="191"/>
        <v>0</v>
      </c>
      <c r="N223" s="1638"/>
      <c r="O223" s="1639"/>
      <c r="P223" s="1639"/>
      <c r="Q223" s="1639"/>
      <c r="R223" s="1639"/>
      <c r="S223" s="1639"/>
      <c r="T223" s="1640"/>
      <c r="U223" s="1640"/>
      <c r="V223" s="1640"/>
      <c r="W223" s="1640"/>
      <c r="X223" s="1640"/>
      <c r="Y223" s="1640"/>
      <c r="Z223" s="1921"/>
      <c r="AA223" s="1524"/>
    </row>
    <row r="224" spans="1:27" ht="24.95" customHeight="1" x14ac:dyDescent="0.3">
      <c r="A224" s="1637"/>
      <c r="B224" s="360"/>
      <c r="C224" s="1630"/>
      <c r="D224" s="1626" t="s">
        <v>181</v>
      </c>
      <c r="E224" s="1891">
        <f>VLOOKUP(A219,UHT_AGM,30,FALSE)</f>
        <v>0</v>
      </c>
      <c r="F224" s="1905">
        <f t="shared" si="186"/>
        <v>0</v>
      </c>
      <c r="G224" s="1891"/>
      <c r="H224" s="1627">
        <f>VLOOKUP(A219,an_agm,54,FALSE)</f>
        <v>0</v>
      </c>
      <c r="I224" s="709">
        <f t="shared" si="187"/>
        <v>0</v>
      </c>
      <c r="J224" s="710">
        <f t="shared" si="188"/>
        <v>0</v>
      </c>
      <c r="K224" s="711" t="str">
        <f t="shared" si="189"/>
        <v>1.33</v>
      </c>
      <c r="L224" s="711" t="str">
        <f t="shared" si="190"/>
        <v>D+</v>
      </c>
      <c r="M224" s="712" t="str">
        <f t="shared" si="191"/>
        <v>0</v>
      </c>
      <c r="N224" s="1812"/>
      <c r="O224" s="1813"/>
      <c r="P224" s="1813"/>
      <c r="Q224" s="1813"/>
      <c r="R224" s="1813"/>
      <c r="S224" s="1813"/>
      <c r="T224" s="1814"/>
      <c r="U224" s="1814"/>
      <c r="V224" s="1814"/>
      <c r="W224" s="1814"/>
      <c r="X224" s="1814"/>
      <c r="Y224" s="1814"/>
      <c r="Z224" s="1922"/>
      <c r="AA224" s="1526"/>
    </row>
    <row r="225" spans="1:27" ht="24.95" customHeight="1" x14ac:dyDescent="0.25">
      <c r="A225" s="1641"/>
      <c r="B225" s="1642">
        <v>31</v>
      </c>
      <c r="C225" s="1643" t="s">
        <v>167</v>
      </c>
      <c r="D225" s="1641"/>
      <c r="E225" s="1189">
        <f>AVERAGE(E219:E224)</f>
        <v>0</v>
      </c>
      <c r="F225" s="1641"/>
      <c r="G225" s="1189" t="e">
        <f>AVEDEV(G219:G224)</f>
        <v>#NUM!</v>
      </c>
      <c r="H225" s="1189">
        <f>AVERAGE(H219:H224)</f>
        <v>0</v>
      </c>
      <c r="I225" s="1644"/>
      <c r="J225" s="350">
        <f>AVERAGE(J219:J224)</f>
        <v>0</v>
      </c>
      <c r="K225" s="350" t="str">
        <f>IF(J225&gt;85,("4"),IF(J225&gt;80,("3.66"),IF(J225&gt;75,("3.33"),IF(J225&gt;70,("3.00"),IF(J225&gt;65,("2.66"),IF(J225&gt;60,("2.33"),IF(J225&gt;55,("2"),IF(J225&gt;50,("1.66"),"1.33"))))))))</f>
        <v>1.33</v>
      </c>
      <c r="L225" s="1645" t="str">
        <f>IF(J225&gt;85,("A"),IF(J225&gt;80,("A-"),IF(J225&gt;75,("B+"),IF(J225&gt;70,("B"),IF(J225&gt;65,("B-"),IF(J225&gt;60,("C+"),IF(J225&gt;55,("C"),IF(J225&gt;50,("C-"),"D+"))))))))</f>
        <v>D+</v>
      </c>
      <c r="M225" s="1646" t="str">
        <f>IF(J225&gt;85,("A"),IF(J225&gt;80,("A-"),IF(J225&gt;75,("B+"),IF(J225&gt;70,("B"),IF(J225&gt;65,("B-"),IF(J225&gt;60,("C+"),IF(J225&gt;55,("C"),IF(J225&gt;50,("C-"),"D+"))))))))</f>
        <v>D+</v>
      </c>
      <c r="N225" s="1917"/>
      <c r="O225" s="1918"/>
      <c r="P225" s="1918"/>
      <c r="Q225" s="1918"/>
      <c r="R225" s="1918"/>
      <c r="S225" s="1918"/>
      <c r="T225" s="1918"/>
      <c r="U225" s="1918"/>
      <c r="V225" s="1918"/>
      <c r="W225" s="1918"/>
      <c r="X225" s="1918"/>
      <c r="Y225" s="1918"/>
      <c r="Z225" s="1923"/>
      <c r="AA225" s="1924"/>
    </row>
    <row r="226" spans="1:27" ht="24.95" customHeight="1" x14ac:dyDescent="0.3">
      <c r="A226" s="360">
        <v>32</v>
      </c>
      <c r="B226" s="683"/>
      <c r="C226" s="1625" t="e">
        <f>VLOOKUP(A226,data_siswa,4,FALSE)</f>
        <v>#N/A</v>
      </c>
      <c r="D226" s="1626" t="s">
        <v>7</v>
      </c>
      <c r="E226" s="1891">
        <f>VLOOKUP(A226,UHT_AGM,24,FALSE)</f>
        <v>0</v>
      </c>
      <c r="F226" s="1904">
        <f>E226*2</f>
        <v>0</v>
      </c>
      <c r="G226" s="1891"/>
      <c r="H226" s="1627">
        <f>VLOOKUP(A226,an_agm,49,FALSE)</f>
        <v>0</v>
      </c>
      <c r="I226" s="706">
        <f>F226+G226+H226</f>
        <v>0</v>
      </c>
      <c r="J226" s="707">
        <f>(F226+G226+H226)/4</f>
        <v>0</v>
      </c>
      <c r="K226" s="708" t="str">
        <f>IF(J226&gt;85,("4"),IF(J226&gt;80,("3.66"),IF(J226&gt;75,("3.33"),IF(J226&gt;70,("3.00"),IF(J226&gt;65,("2.66"),IF(J226&gt;60,("2.33"),IF(J226&gt;55,("2"),IF(J226&gt;50,("1.66"),"1.33"))))))))</f>
        <v>1.33</v>
      </c>
      <c r="L226" s="708" t="str">
        <f>IF(J226&gt;85,("A"),IF(J226&gt;80,("A-"),IF(J226&gt;75,("B+"),IF(J226&gt;70,("B"),IF(J226&gt;65,("B-"),IF(J226&gt;60,("C+"),IF(J226&gt;55,("C"),IF(J226&gt;50,("C-"),"D+"))))))))</f>
        <v>D+</v>
      </c>
      <c r="M226" s="887" t="str">
        <f>IF(J226&gt;80,("SB"),IF(J226&gt;65,("B"),IF(J226&gt;50,("C"),IF(J226&gt;0,("K"),"0"))))</f>
        <v>0</v>
      </c>
      <c r="N226" s="1628"/>
      <c r="O226" s="1602"/>
      <c r="P226" s="1602"/>
      <c r="Q226" s="1602"/>
      <c r="R226" s="1602"/>
      <c r="S226" s="1602"/>
      <c r="T226" s="1629"/>
      <c r="U226" s="1629"/>
      <c r="V226" s="1629"/>
      <c r="W226" s="1629"/>
      <c r="X226" s="1629"/>
      <c r="Y226" s="1629"/>
      <c r="Z226" s="1193">
        <f>J232</f>
        <v>0</v>
      </c>
      <c r="AA226" s="1919" t="str">
        <f>L232</f>
        <v>D+</v>
      </c>
    </row>
    <row r="227" spans="1:27" ht="24.95" customHeight="1" x14ac:dyDescent="0.3">
      <c r="A227" s="687"/>
      <c r="B227" s="683"/>
      <c r="C227" s="1630"/>
      <c r="D227" s="1626" t="s">
        <v>18</v>
      </c>
      <c r="E227" s="1891">
        <f>VLOOKUP(A226,UHT_AGM,25,FALSE)</f>
        <v>0</v>
      </c>
      <c r="F227" s="1905">
        <f t="shared" ref="F227:F231" si="192">E227*2</f>
        <v>0</v>
      </c>
      <c r="G227" s="1891"/>
      <c r="H227" s="1627">
        <f>VLOOKUP(A226,an_agm,50,FALSE)</f>
        <v>0</v>
      </c>
      <c r="I227" s="709">
        <f t="shared" ref="I227:I231" si="193">F227+G227+H227</f>
        <v>0</v>
      </c>
      <c r="J227" s="710">
        <f t="shared" ref="J227:J231" si="194">(F227+G227+H227)/4</f>
        <v>0</v>
      </c>
      <c r="K227" s="711" t="str">
        <f t="shared" ref="K227:K231" si="195">IF(J227&gt;85,("4"),IF(J227&gt;80,("3.66"),IF(J227&gt;75,("3.33"),IF(J227&gt;70,("3.00"),IF(J227&gt;65,("2.66"),IF(J227&gt;60,("2.33"),IF(J227&gt;55,("2"),IF(J227&gt;50,("1.66"),"1.33"))))))))</f>
        <v>1.33</v>
      </c>
      <c r="L227" s="711" t="str">
        <f t="shared" ref="L227:L231" si="196">IF(J227&gt;85,("A"),IF(J227&gt;80,("A-"),IF(J227&gt;75,("B+"),IF(J227&gt;70,("B"),IF(J227&gt;65,("B-"),IF(J227&gt;60,("C+"),IF(J227&gt;55,("C"),IF(J227&gt;50,("C-"),"D+"))))))))</f>
        <v>D+</v>
      </c>
      <c r="M227" s="712" t="str">
        <f t="shared" ref="M227:M231" si="197">IF(J227&gt;80,("SB"),IF(J227&gt;65,("B"),IF(J227&gt;50,("C"),IF(J227&gt;0,("K"),"0"))))</f>
        <v>0</v>
      </c>
      <c r="N227" s="1631"/>
      <c r="O227" s="1632"/>
      <c r="P227" s="1632"/>
      <c r="Q227" s="1632"/>
      <c r="R227" s="1632"/>
      <c r="S227" s="1632"/>
      <c r="T227" s="1633"/>
      <c r="U227" s="1633"/>
      <c r="V227" s="1633"/>
      <c r="W227" s="1633"/>
      <c r="X227" s="1633"/>
      <c r="Y227" s="1633"/>
      <c r="Z227" s="1920"/>
      <c r="AA227" s="1522"/>
    </row>
    <row r="228" spans="1:27" ht="24.95" customHeight="1" x14ac:dyDescent="0.3">
      <c r="A228" s="687"/>
      <c r="B228" s="683"/>
      <c r="C228" s="1630"/>
      <c r="D228" s="1626" t="s">
        <v>179</v>
      </c>
      <c r="E228" s="1891">
        <f>VLOOKUP(A226,UHT_AGM,26,FALSE)</f>
        <v>0</v>
      </c>
      <c r="F228" s="1905">
        <f t="shared" si="192"/>
        <v>0</v>
      </c>
      <c r="G228" s="1891"/>
      <c r="H228" s="1627">
        <f>VLOOKUP(A226,an_agm,51,FALSE)</f>
        <v>0</v>
      </c>
      <c r="I228" s="709">
        <f t="shared" si="193"/>
        <v>0</v>
      </c>
      <c r="J228" s="710">
        <f t="shared" si="194"/>
        <v>0</v>
      </c>
      <c r="K228" s="711" t="str">
        <f t="shared" si="195"/>
        <v>1.33</v>
      </c>
      <c r="L228" s="711" t="str">
        <f t="shared" si="196"/>
        <v>D+</v>
      </c>
      <c r="M228" s="712" t="str">
        <f t="shared" si="197"/>
        <v>0</v>
      </c>
      <c r="N228" s="1634"/>
      <c r="O228" s="1635"/>
      <c r="P228" s="1635"/>
      <c r="Q228" s="1635"/>
      <c r="R228" s="1635"/>
      <c r="S228" s="1635"/>
      <c r="T228" s="1636"/>
      <c r="U228" s="1636"/>
      <c r="V228" s="1636"/>
      <c r="W228" s="1636"/>
      <c r="X228" s="1636"/>
      <c r="Y228" s="1636"/>
      <c r="Z228" s="1921"/>
      <c r="AA228" s="1524"/>
    </row>
    <row r="229" spans="1:27" ht="24.95" customHeight="1" x14ac:dyDescent="0.3">
      <c r="A229" s="687"/>
      <c r="B229" s="683"/>
      <c r="C229" s="1630"/>
      <c r="D229" s="1626" t="s">
        <v>180</v>
      </c>
      <c r="E229" s="1891">
        <f>VLOOKUP(A226,UHT_AGM,27,FALSE)</f>
        <v>0</v>
      </c>
      <c r="F229" s="1905">
        <f t="shared" si="192"/>
        <v>0</v>
      </c>
      <c r="G229" s="1891"/>
      <c r="H229" s="1627">
        <f>VLOOKUP(A226,an_agm,52,FALSE)</f>
        <v>0</v>
      </c>
      <c r="I229" s="709">
        <f t="shared" si="193"/>
        <v>0</v>
      </c>
      <c r="J229" s="710">
        <f t="shared" si="194"/>
        <v>0</v>
      </c>
      <c r="K229" s="711" t="str">
        <f t="shared" si="195"/>
        <v>1.33</v>
      </c>
      <c r="L229" s="711" t="str">
        <f t="shared" si="196"/>
        <v>D+</v>
      </c>
      <c r="M229" s="712" t="str">
        <f t="shared" si="197"/>
        <v>0</v>
      </c>
      <c r="N229" s="1634"/>
      <c r="O229" s="1635"/>
      <c r="P229" s="1635"/>
      <c r="Q229" s="1635"/>
      <c r="R229" s="1635"/>
      <c r="S229" s="1635"/>
      <c r="T229" s="1636"/>
      <c r="U229" s="1636"/>
      <c r="V229" s="1636"/>
      <c r="W229" s="1636"/>
      <c r="X229" s="1636"/>
      <c r="Y229" s="1636"/>
      <c r="Z229" s="1921"/>
      <c r="AA229" s="1524"/>
    </row>
    <row r="230" spans="1:27" ht="24.95" customHeight="1" x14ac:dyDescent="0.3">
      <c r="A230" s="1637"/>
      <c r="B230" s="360"/>
      <c r="C230" s="1630"/>
      <c r="D230" s="1626" t="s">
        <v>19</v>
      </c>
      <c r="E230" s="1891">
        <f>VLOOKUP(A226,UHT_AGM,28,FALSE)</f>
        <v>0</v>
      </c>
      <c r="F230" s="1905">
        <f t="shared" si="192"/>
        <v>0</v>
      </c>
      <c r="G230" s="1891"/>
      <c r="H230" s="1627">
        <f>VLOOKUP(A226,an_agm,53,FALSE)</f>
        <v>0</v>
      </c>
      <c r="I230" s="709">
        <f t="shared" si="193"/>
        <v>0</v>
      </c>
      <c r="J230" s="710">
        <f t="shared" si="194"/>
        <v>0</v>
      </c>
      <c r="K230" s="711" t="str">
        <f t="shared" si="195"/>
        <v>1.33</v>
      </c>
      <c r="L230" s="711" t="str">
        <f t="shared" si="196"/>
        <v>D+</v>
      </c>
      <c r="M230" s="712" t="str">
        <f t="shared" si="197"/>
        <v>0</v>
      </c>
      <c r="N230" s="1638"/>
      <c r="O230" s="1639"/>
      <c r="P230" s="1639"/>
      <c r="Q230" s="1639"/>
      <c r="R230" s="1639"/>
      <c r="S230" s="1639"/>
      <c r="T230" s="1640"/>
      <c r="U230" s="1640"/>
      <c r="V230" s="1640"/>
      <c r="W230" s="1640"/>
      <c r="X230" s="1640"/>
      <c r="Y230" s="1640"/>
      <c r="Z230" s="1921"/>
      <c r="AA230" s="1524"/>
    </row>
    <row r="231" spans="1:27" ht="24.95" customHeight="1" x14ac:dyDescent="0.3">
      <c r="A231" s="1637"/>
      <c r="B231" s="360"/>
      <c r="C231" s="1630"/>
      <c r="D231" s="1626" t="s">
        <v>181</v>
      </c>
      <c r="E231" s="1891">
        <f>VLOOKUP(A226,UHT_AGM,30,FALSE)</f>
        <v>0</v>
      </c>
      <c r="F231" s="1905">
        <f t="shared" si="192"/>
        <v>0</v>
      </c>
      <c r="G231" s="1891"/>
      <c r="H231" s="1627">
        <f>VLOOKUP(A226,an_agm,54,FALSE)</f>
        <v>0</v>
      </c>
      <c r="I231" s="709">
        <f t="shared" si="193"/>
        <v>0</v>
      </c>
      <c r="J231" s="710">
        <f t="shared" si="194"/>
        <v>0</v>
      </c>
      <c r="K231" s="711" t="str">
        <f t="shared" si="195"/>
        <v>1.33</v>
      </c>
      <c r="L231" s="711" t="str">
        <f t="shared" si="196"/>
        <v>D+</v>
      </c>
      <c r="M231" s="712" t="str">
        <f t="shared" si="197"/>
        <v>0</v>
      </c>
      <c r="N231" s="1812"/>
      <c r="O231" s="1813"/>
      <c r="P231" s="1813"/>
      <c r="Q231" s="1813"/>
      <c r="R231" s="1813"/>
      <c r="S231" s="1813"/>
      <c r="T231" s="1814"/>
      <c r="U231" s="1814"/>
      <c r="V231" s="1814"/>
      <c r="W231" s="1814"/>
      <c r="X231" s="1814"/>
      <c r="Y231" s="1814"/>
      <c r="Z231" s="1922"/>
      <c r="AA231" s="1526"/>
    </row>
    <row r="232" spans="1:27" ht="24.95" customHeight="1" x14ac:dyDescent="0.25">
      <c r="A232" s="1641"/>
      <c r="B232" s="1642">
        <v>32</v>
      </c>
      <c r="C232" s="1643" t="s">
        <v>167</v>
      </c>
      <c r="D232" s="1641"/>
      <c r="E232" s="1189">
        <f>AVERAGE(E226:E231)</f>
        <v>0</v>
      </c>
      <c r="F232" s="1641"/>
      <c r="G232" s="1189" t="e">
        <f>AVEDEV(G226:G231)</f>
        <v>#NUM!</v>
      </c>
      <c r="H232" s="1189">
        <f>AVERAGE(H226:H231)</f>
        <v>0</v>
      </c>
      <c r="I232" s="1644"/>
      <c r="J232" s="350">
        <f>AVERAGE(J226:J231)</f>
        <v>0</v>
      </c>
      <c r="K232" s="350" t="str">
        <f>IF(J232&gt;85,("4"),IF(J232&gt;80,("3.66"),IF(J232&gt;75,("3.33"),IF(J232&gt;70,("3.00"),IF(J232&gt;65,("2.66"),IF(J232&gt;60,("2.33"),IF(J232&gt;55,("2"),IF(J232&gt;50,("1.66"),"1.33"))))))))</f>
        <v>1.33</v>
      </c>
      <c r="L232" s="1645" t="str">
        <f>IF(J232&gt;85,("A"),IF(J232&gt;80,("A-"),IF(J232&gt;75,("B+"),IF(J232&gt;70,("B"),IF(J232&gt;65,("B-"),IF(J232&gt;60,("C+"),IF(J232&gt;55,("C"),IF(J232&gt;50,("C-"),"D+"))))))))</f>
        <v>D+</v>
      </c>
      <c r="M232" s="1646" t="str">
        <f>IF(J232&gt;85,("A"),IF(J232&gt;80,("A-"),IF(J232&gt;75,("B+"),IF(J232&gt;70,("B"),IF(J232&gt;65,("B-"),IF(J232&gt;60,("C+"),IF(J232&gt;55,("C"),IF(J232&gt;50,("C-"),"D+"))))))))</f>
        <v>D+</v>
      </c>
      <c r="N232" s="1917"/>
      <c r="O232" s="1918"/>
      <c r="P232" s="1918"/>
      <c r="Q232" s="1918"/>
      <c r="R232" s="1918"/>
      <c r="S232" s="1918"/>
      <c r="T232" s="1918"/>
      <c r="U232" s="1918"/>
      <c r="V232" s="1918"/>
      <c r="W232" s="1918"/>
      <c r="X232" s="1918"/>
      <c r="Y232" s="1918"/>
      <c r="Z232" s="1923"/>
      <c r="AA232" s="1924"/>
    </row>
    <row r="233" spans="1:27" ht="24.95" customHeight="1" x14ac:dyDescent="0.3">
      <c r="A233" s="360">
        <v>33</v>
      </c>
      <c r="B233" s="683"/>
      <c r="C233" s="1625" t="e">
        <f>VLOOKUP(A233,data_siswa,4,FALSE)</f>
        <v>#N/A</v>
      </c>
      <c r="D233" s="1626" t="s">
        <v>7</v>
      </c>
      <c r="E233" s="1891">
        <f>VLOOKUP(A233,UHT_AGM,24,FALSE)</f>
        <v>0</v>
      </c>
      <c r="F233" s="1904">
        <f>E233*2</f>
        <v>0</v>
      </c>
      <c r="G233" s="1891"/>
      <c r="H233" s="1627">
        <f>VLOOKUP(A233,an_agm,49,FALSE)</f>
        <v>0</v>
      </c>
      <c r="I233" s="706">
        <f>F233+G233+H233</f>
        <v>0</v>
      </c>
      <c r="J233" s="707">
        <f>(F233+G233+H233)/4</f>
        <v>0</v>
      </c>
      <c r="K233" s="708" t="str">
        <f>IF(J233&gt;85,("4"),IF(J233&gt;80,("3.66"),IF(J233&gt;75,("3.33"),IF(J233&gt;70,("3.00"),IF(J233&gt;65,("2.66"),IF(J233&gt;60,("2.33"),IF(J233&gt;55,("2"),IF(J233&gt;50,("1.66"),"1.33"))))))))</f>
        <v>1.33</v>
      </c>
      <c r="L233" s="708" t="str">
        <f>IF(J233&gt;85,("A"),IF(J233&gt;80,("A-"),IF(J233&gt;75,("B+"),IF(J233&gt;70,("B"),IF(J233&gt;65,("B-"),IF(J233&gt;60,("C+"),IF(J233&gt;55,("C"),IF(J233&gt;50,("C-"),"D+"))))))))</f>
        <v>D+</v>
      </c>
      <c r="M233" s="887" t="str">
        <f>IF(J233&gt;80,("SB"),IF(J233&gt;65,("B"),IF(J233&gt;50,("C"),IF(J233&gt;0,("K"),"0"))))</f>
        <v>0</v>
      </c>
      <c r="N233" s="1628"/>
      <c r="O233" s="1602"/>
      <c r="P233" s="1602"/>
      <c r="Q233" s="1602"/>
      <c r="R233" s="1602"/>
      <c r="S233" s="1602"/>
      <c r="T233" s="1629"/>
      <c r="U233" s="1629"/>
      <c r="V233" s="1629"/>
      <c r="W233" s="1629"/>
      <c r="X233" s="1629"/>
      <c r="Y233" s="1629"/>
      <c r="Z233" s="1193">
        <f>J239</f>
        <v>0</v>
      </c>
      <c r="AA233" s="1919" t="str">
        <f>L239</f>
        <v>D+</v>
      </c>
    </row>
    <row r="234" spans="1:27" ht="24.95" customHeight="1" x14ac:dyDescent="0.3">
      <c r="A234" s="687"/>
      <c r="B234" s="683"/>
      <c r="C234" s="1630"/>
      <c r="D234" s="1626" t="s">
        <v>18</v>
      </c>
      <c r="E234" s="1891">
        <f>VLOOKUP(A233,UHT_AGM,25,FALSE)</f>
        <v>0</v>
      </c>
      <c r="F234" s="1905">
        <f t="shared" ref="F234:F238" si="198">E234*2</f>
        <v>0</v>
      </c>
      <c r="G234" s="1891"/>
      <c r="H234" s="1627">
        <f>VLOOKUP(A233,an_agm,50,FALSE)</f>
        <v>0</v>
      </c>
      <c r="I234" s="709">
        <f t="shared" ref="I234:I238" si="199">F234+G234+H234</f>
        <v>0</v>
      </c>
      <c r="J234" s="710">
        <f t="shared" ref="J234:J238" si="200">(F234+G234+H234)/4</f>
        <v>0</v>
      </c>
      <c r="K234" s="711" t="str">
        <f t="shared" ref="K234:K238" si="201">IF(J234&gt;85,("4"),IF(J234&gt;80,("3.66"),IF(J234&gt;75,("3.33"),IF(J234&gt;70,("3.00"),IF(J234&gt;65,("2.66"),IF(J234&gt;60,("2.33"),IF(J234&gt;55,("2"),IF(J234&gt;50,("1.66"),"1.33"))))))))</f>
        <v>1.33</v>
      </c>
      <c r="L234" s="711" t="str">
        <f t="shared" ref="L234:L238" si="202">IF(J234&gt;85,("A"),IF(J234&gt;80,("A-"),IF(J234&gt;75,("B+"),IF(J234&gt;70,("B"),IF(J234&gt;65,("B-"),IF(J234&gt;60,("C+"),IF(J234&gt;55,("C"),IF(J234&gt;50,("C-"),"D+"))))))))</f>
        <v>D+</v>
      </c>
      <c r="M234" s="712" t="str">
        <f t="shared" ref="M234:M238" si="203">IF(J234&gt;80,("SB"),IF(J234&gt;65,("B"),IF(J234&gt;50,("C"),IF(J234&gt;0,("K"),"0"))))</f>
        <v>0</v>
      </c>
      <c r="N234" s="1631"/>
      <c r="O234" s="1632"/>
      <c r="P234" s="1632"/>
      <c r="Q234" s="1632"/>
      <c r="R234" s="1632"/>
      <c r="S234" s="1632"/>
      <c r="T234" s="1633"/>
      <c r="U234" s="1633"/>
      <c r="V234" s="1633"/>
      <c r="W234" s="1633"/>
      <c r="X234" s="1633"/>
      <c r="Y234" s="1633"/>
      <c r="Z234" s="1920"/>
      <c r="AA234" s="1522"/>
    </row>
    <row r="235" spans="1:27" ht="24.95" customHeight="1" x14ac:dyDescent="0.3">
      <c r="A235" s="687"/>
      <c r="B235" s="683"/>
      <c r="C235" s="1630"/>
      <c r="D235" s="1626" t="s">
        <v>179</v>
      </c>
      <c r="E235" s="1891">
        <f>VLOOKUP(A233,UHT_AGM,26,FALSE)</f>
        <v>0</v>
      </c>
      <c r="F235" s="1905">
        <f t="shared" si="198"/>
        <v>0</v>
      </c>
      <c r="G235" s="1891"/>
      <c r="H235" s="1627">
        <f>VLOOKUP(A233,an_agm,51,FALSE)</f>
        <v>0</v>
      </c>
      <c r="I235" s="709">
        <f t="shared" si="199"/>
        <v>0</v>
      </c>
      <c r="J235" s="710">
        <f t="shared" si="200"/>
        <v>0</v>
      </c>
      <c r="K235" s="711" t="str">
        <f t="shared" si="201"/>
        <v>1.33</v>
      </c>
      <c r="L235" s="711" t="str">
        <f t="shared" si="202"/>
        <v>D+</v>
      </c>
      <c r="M235" s="712" t="str">
        <f t="shared" si="203"/>
        <v>0</v>
      </c>
      <c r="N235" s="1634"/>
      <c r="O235" s="1635"/>
      <c r="P235" s="1635"/>
      <c r="Q235" s="1635"/>
      <c r="R235" s="1635"/>
      <c r="S235" s="1635"/>
      <c r="T235" s="1636"/>
      <c r="U235" s="1636"/>
      <c r="V235" s="1636"/>
      <c r="W235" s="1636"/>
      <c r="X235" s="1636"/>
      <c r="Y235" s="1636"/>
      <c r="Z235" s="1921"/>
      <c r="AA235" s="1524"/>
    </row>
    <row r="236" spans="1:27" ht="24.95" customHeight="1" x14ac:dyDescent="0.3">
      <c r="A236" s="687"/>
      <c r="B236" s="683"/>
      <c r="C236" s="1630"/>
      <c r="D236" s="1626" t="s">
        <v>180</v>
      </c>
      <c r="E236" s="1891">
        <f>VLOOKUP(A233,UHT_AGM,27,FALSE)</f>
        <v>0</v>
      </c>
      <c r="F236" s="1905">
        <f t="shared" si="198"/>
        <v>0</v>
      </c>
      <c r="G236" s="1891"/>
      <c r="H236" s="1627">
        <f>VLOOKUP(A233,an_agm,52,FALSE)</f>
        <v>0</v>
      </c>
      <c r="I236" s="709">
        <f t="shared" si="199"/>
        <v>0</v>
      </c>
      <c r="J236" s="710">
        <f t="shared" si="200"/>
        <v>0</v>
      </c>
      <c r="K236" s="711" t="str">
        <f t="shared" si="201"/>
        <v>1.33</v>
      </c>
      <c r="L236" s="711" t="str">
        <f t="shared" si="202"/>
        <v>D+</v>
      </c>
      <c r="M236" s="712" t="str">
        <f t="shared" si="203"/>
        <v>0</v>
      </c>
      <c r="N236" s="1634"/>
      <c r="O236" s="1635"/>
      <c r="P236" s="1635"/>
      <c r="Q236" s="1635"/>
      <c r="R236" s="1635"/>
      <c r="S236" s="1635"/>
      <c r="T236" s="1636"/>
      <c r="U236" s="1636"/>
      <c r="V236" s="1636"/>
      <c r="W236" s="1636"/>
      <c r="X236" s="1636"/>
      <c r="Y236" s="1636"/>
      <c r="Z236" s="1921"/>
      <c r="AA236" s="1524"/>
    </row>
    <row r="237" spans="1:27" ht="24.95" customHeight="1" x14ac:dyDescent="0.3">
      <c r="A237" s="1637"/>
      <c r="B237" s="360"/>
      <c r="C237" s="1630"/>
      <c r="D237" s="1626" t="s">
        <v>19</v>
      </c>
      <c r="E237" s="1891">
        <f>VLOOKUP(A233,UHT_AGM,28,FALSE)</f>
        <v>0</v>
      </c>
      <c r="F237" s="1905">
        <f t="shared" si="198"/>
        <v>0</v>
      </c>
      <c r="G237" s="1891"/>
      <c r="H237" s="1627">
        <f>VLOOKUP(A233,an_agm,53,FALSE)</f>
        <v>0</v>
      </c>
      <c r="I237" s="709">
        <f t="shared" si="199"/>
        <v>0</v>
      </c>
      <c r="J237" s="710">
        <f t="shared" si="200"/>
        <v>0</v>
      </c>
      <c r="K237" s="711" t="str">
        <f t="shared" si="201"/>
        <v>1.33</v>
      </c>
      <c r="L237" s="711" t="str">
        <f t="shared" si="202"/>
        <v>D+</v>
      </c>
      <c r="M237" s="712" t="str">
        <f t="shared" si="203"/>
        <v>0</v>
      </c>
      <c r="N237" s="1638"/>
      <c r="O237" s="1639"/>
      <c r="P237" s="1639"/>
      <c r="Q237" s="1639"/>
      <c r="R237" s="1639"/>
      <c r="S237" s="1639"/>
      <c r="T237" s="1640"/>
      <c r="U237" s="1640"/>
      <c r="V237" s="1640"/>
      <c r="W237" s="1640"/>
      <c r="X237" s="1640"/>
      <c r="Y237" s="1640"/>
      <c r="Z237" s="1921"/>
      <c r="AA237" s="1524"/>
    </row>
    <row r="238" spans="1:27" ht="24.95" customHeight="1" x14ac:dyDescent="0.3">
      <c r="A238" s="1637"/>
      <c r="B238" s="360"/>
      <c r="C238" s="1630"/>
      <c r="D238" s="1626" t="s">
        <v>181</v>
      </c>
      <c r="E238" s="1891">
        <f>VLOOKUP(A233,UHT_AGM,30,FALSE)</f>
        <v>0</v>
      </c>
      <c r="F238" s="1905">
        <f t="shared" si="198"/>
        <v>0</v>
      </c>
      <c r="G238" s="1891"/>
      <c r="H238" s="1627">
        <f>VLOOKUP(A233,an_agm,54,FALSE)</f>
        <v>0</v>
      </c>
      <c r="I238" s="709">
        <f t="shared" si="199"/>
        <v>0</v>
      </c>
      <c r="J238" s="710">
        <f t="shared" si="200"/>
        <v>0</v>
      </c>
      <c r="K238" s="711" t="str">
        <f t="shared" si="201"/>
        <v>1.33</v>
      </c>
      <c r="L238" s="711" t="str">
        <f t="shared" si="202"/>
        <v>D+</v>
      </c>
      <c r="M238" s="712" t="str">
        <f t="shared" si="203"/>
        <v>0</v>
      </c>
      <c r="N238" s="1812"/>
      <c r="O238" s="1813"/>
      <c r="P238" s="1813"/>
      <c r="Q238" s="1813"/>
      <c r="R238" s="1813"/>
      <c r="S238" s="1813"/>
      <c r="T238" s="1814"/>
      <c r="U238" s="1814"/>
      <c r="V238" s="1814"/>
      <c r="W238" s="1814"/>
      <c r="X238" s="1814"/>
      <c r="Y238" s="1814"/>
      <c r="Z238" s="1922"/>
      <c r="AA238" s="1526"/>
    </row>
    <row r="239" spans="1:27" ht="24.95" customHeight="1" x14ac:dyDescent="0.25">
      <c r="A239" s="1641"/>
      <c r="B239" s="1642">
        <v>33</v>
      </c>
      <c r="C239" s="1643" t="s">
        <v>167</v>
      </c>
      <c r="D239" s="1641"/>
      <c r="E239" s="1189">
        <f>AVERAGE(E233:E238)</f>
        <v>0</v>
      </c>
      <c r="F239" s="1641"/>
      <c r="G239" s="1189" t="e">
        <f>AVEDEV(G233:G238)</f>
        <v>#NUM!</v>
      </c>
      <c r="H239" s="1189">
        <f>AVERAGE(H233:H238)</f>
        <v>0</v>
      </c>
      <c r="I239" s="1644"/>
      <c r="J239" s="350">
        <f>AVERAGE(J233:J238)</f>
        <v>0</v>
      </c>
      <c r="K239" s="350" t="str">
        <f>IF(J239&gt;85,("4"),IF(J239&gt;80,("3.66"),IF(J239&gt;75,("3.33"),IF(J239&gt;70,("3.00"),IF(J239&gt;65,("2.66"),IF(J239&gt;60,("2.33"),IF(J239&gt;55,("2"),IF(J239&gt;50,("1.66"),"1.33"))))))))</f>
        <v>1.33</v>
      </c>
      <c r="L239" s="1645" t="str">
        <f>IF(J239&gt;85,("A"),IF(J239&gt;80,("A-"),IF(J239&gt;75,("B+"),IF(J239&gt;70,("B"),IF(J239&gt;65,("B-"),IF(J239&gt;60,("C+"),IF(J239&gt;55,("C"),IF(J239&gt;50,("C-"),"D+"))))))))</f>
        <v>D+</v>
      </c>
      <c r="M239" s="1646" t="str">
        <f>IF(J239&gt;85,("A"),IF(J239&gt;80,("A-"),IF(J239&gt;75,("B+"),IF(J239&gt;70,("B"),IF(J239&gt;65,("B-"),IF(J239&gt;60,("C+"),IF(J239&gt;55,("C"),IF(J239&gt;50,("C-"),"D+"))))))))</f>
        <v>D+</v>
      </c>
      <c r="N239" s="1917"/>
      <c r="O239" s="1918"/>
      <c r="P239" s="1918"/>
      <c r="Q239" s="1918"/>
      <c r="R239" s="1918"/>
      <c r="S239" s="1918"/>
      <c r="T239" s="1918"/>
      <c r="U239" s="1918"/>
      <c r="V239" s="1918"/>
      <c r="W239" s="1918"/>
      <c r="X239" s="1918"/>
      <c r="Y239" s="1918"/>
      <c r="Z239" s="1923"/>
      <c r="AA239" s="1924"/>
    </row>
    <row r="240" spans="1:27" ht="24.95" customHeight="1" x14ac:dyDescent="0.3">
      <c r="A240" s="360">
        <v>34</v>
      </c>
      <c r="B240" s="683"/>
      <c r="C240" s="1625" t="e">
        <f>VLOOKUP(A240,data_siswa,4,FALSE)</f>
        <v>#N/A</v>
      </c>
      <c r="D240" s="1626" t="s">
        <v>7</v>
      </c>
      <c r="E240" s="1891">
        <f>VLOOKUP(A240,UHT_AGM,24,FALSE)</f>
        <v>0</v>
      </c>
      <c r="F240" s="1904">
        <f>E240*2</f>
        <v>0</v>
      </c>
      <c r="G240" s="1891"/>
      <c r="H240" s="1627">
        <f>VLOOKUP(A240,an_agm,49,FALSE)</f>
        <v>0</v>
      </c>
      <c r="I240" s="706">
        <f>F240+G240+H240</f>
        <v>0</v>
      </c>
      <c r="J240" s="707">
        <f>(F240+G240+H240)/4</f>
        <v>0</v>
      </c>
      <c r="K240" s="708" t="str">
        <f>IF(J240&gt;85,("4"),IF(J240&gt;80,("3.66"),IF(J240&gt;75,("3.33"),IF(J240&gt;70,("3.00"),IF(J240&gt;65,("2.66"),IF(J240&gt;60,("2.33"),IF(J240&gt;55,("2"),IF(J240&gt;50,("1.66"),"1.33"))))))))</f>
        <v>1.33</v>
      </c>
      <c r="L240" s="708" t="str">
        <f>IF(J240&gt;85,("A"),IF(J240&gt;80,("A-"),IF(J240&gt;75,("B+"),IF(J240&gt;70,("B"),IF(J240&gt;65,("B-"),IF(J240&gt;60,("C+"),IF(J240&gt;55,("C"),IF(J240&gt;50,("C-"),"D+"))))))))</f>
        <v>D+</v>
      </c>
      <c r="M240" s="887" t="str">
        <f>IF(J240&gt;80,("SB"),IF(J240&gt;65,("B"),IF(J240&gt;50,("C"),IF(J240&gt;0,("K"),"0"))))</f>
        <v>0</v>
      </c>
      <c r="N240" s="1628"/>
      <c r="O240" s="1602"/>
      <c r="P240" s="1602"/>
      <c r="Q240" s="1602"/>
      <c r="R240" s="1602"/>
      <c r="S240" s="1602"/>
      <c r="T240" s="1629"/>
      <c r="U240" s="1629"/>
      <c r="V240" s="1629"/>
      <c r="W240" s="1629"/>
      <c r="X240" s="1629"/>
      <c r="Y240" s="1629"/>
      <c r="Z240" s="1193">
        <f>J246</f>
        <v>0</v>
      </c>
      <c r="AA240" s="1919" t="str">
        <f>L246</f>
        <v>D+</v>
      </c>
    </row>
    <row r="241" spans="1:27" ht="24.95" customHeight="1" x14ac:dyDescent="0.3">
      <c r="A241" s="687"/>
      <c r="B241" s="683"/>
      <c r="C241" s="1630"/>
      <c r="D241" s="1626" t="s">
        <v>18</v>
      </c>
      <c r="E241" s="1891">
        <f>VLOOKUP(A240,UHT_AGM,25,FALSE)</f>
        <v>0</v>
      </c>
      <c r="F241" s="1905">
        <f t="shared" ref="F241:F245" si="204">E241*2</f>
        <v>0</v>
      </c>
      <c r="G241" s="1891"/>
      <c r="H241" s="1627">
        <f>VLOOKUP(A240,an_agm,50,FALSE)</f>
        <v>0</v>
      </c>
      <c r="I241" s="709">
        <f t="shared" ref="I241:I245" si="205">F241+G241+H241</f>
        <v>0</v>
      </c>
      <c r="J241" s="710">
        <f t="shared" ref="J241:J245" si="206">(F241+G241+H241)/4</f>
        <v>0</v>
      </c>
      <c r="K241" s="711" t="str">
        <f t="shared" ref="K241:K245" si="207">IF(J241&gt;85,("4"),IF(J241&gt;80,("3.66"),IF(J241&gt;75,("3.33"),IF(J241&gt;70,("3.00"),IF(J241&gt;65,("2.66"),IF(J241&gt;60,("2.33"),IF(J241&gt;55,("2"),IF(J241&gt;50,("1.66"),"1.33"))))))))</f>
        <v>1.33</v>
      </c>
      <c r="L241" s="711" t="str">
        <f t="shared" ref="L241:L245" si="208">IF(J241&gt;85,("A"),IF(J241&gt;80,("A-"),IF(J241&gt;75,("B+"),IF(J241&gt;70,("B"),IF(J241&gt;65,("B-"),IF(J241&gt;60,("C+"),IF(J241&gt;55,("C"),IF(J241&gt;50,("C-"),"D+"))))))))</f>
        <v>D+</v>
      </c>
      <c r="M241" s="712" t="str">
        <f t="shared" ref="M241:M245" si="209">IF(J241&gt;80,("SB"),IF(J241&gt;65,("B"),IF(J241&gt;50,("C"),IF(J241&gt;0,("K"),"0"))))</f>
        <v>0</v>
      </c>
      <c r="N241" s="1631"/>
      <c r="O241" s="1632"/>
      <c r="P241" s="1632"/>
      <c r="Q241" s="1632"/>
      <c r="R241" s="1632"/>
      <c r="S241" s="1632"/>
      <c r="T241" s="1633"/>
      <c r="U241" s="1633"/>
      <c r="V241" s="1633"/>
      <c r="W241" s="1633"/>
      <c r="X241" s="1633"/>
      <c r="Y241" s="1633"/>
      <c r="Z241" s="1920"/>
      <c r="AA241" s="1522"/>
    </row>
    <row r="242" spans="1:27" ht="24.95" customHeight="1" x14ac:dyDescent="0.3">
      <c r="A242" s="687"/>
      <c r="B242" s="683"/>
      <c r="C242" s="1630"/>
      <c r="D242" s="1626" t="s">
        <v>179</v>
      </c>
      <c r="E242" s="1891">
        <f>VLOOKUP(A240,UHT_AGM,26,FALSE)</f>
        <v>0</v>
      </c>
      <c r="F242" s="1905">
        <f t="shared" si="204"/>
        <v>0</v>
      </c>
      <c r="G242" s="1891"/>
      <c r="H242" s="1627">
        <f>VLOOKUP(A240,an_agm,51,FALSE)</f>
        <v>0</v>
      </c>
      <c r="I242" s="709">
        <f t="shared" si="205"/>
        <v>0</v>
      </c>
      <c r="J242" s="710">
        <f t="shared" si="206"/>
        <v>0</v>
      </c>
      <c r="K242" s="711" t="str">
        <f t="shared" si="207"/>
        <v>1.33</v>
      </c>
      <c r="L242" s="711" t="str">
        <f t="shared" si="208"/>
        <v>D+</v>
      </c>
      <c r="M242" s="712" t="str">
        <f t="shared" si="209"/>
        <v>0</v>
      </c>
      <c r="N242" s="1634"/>
      <c r="O242" s="1635"/>
      <c r="P242" s="1635"/>
      <c r="Q242" s="1635"/>
      <c r="R242" s="1635"/>
      <c r="S242" s="1635"/>
      <c r="T242" s="1636"/>
      <c r="U242" s="1636"/>
      <c r="V242" s="1636"/>
      <c r="W242" s="1636"/>
      <c r="X242" s="1636"/>
      <c r="Y242" s="1636"/>
      <c r="Z242" s="1921"/>
      <c r="AA242" s="1524"/>
    </row>
    <row r="243" spans="1:27" ht="24.95" customHeight="1" x14ac:dyDescent="0.3">
      <c r="A243" s="687"/>
      <c r="B243" s="683"/>
      <c r="C243" s="1630"/>
      <c r="D243" s="1626" t="s">
        <v>180</v>
      </c>
      <c r="E243" s="1891">
        <f>VLOOKUP(A240,UHT_AGM,27,FALSE)</f>
        <v>0</v>
      </c>
      <c r="F243" s="1905">
        <f t="shared" si="204"/>
        <v>0</v>
      </c>
      <c r="G243" s="1891"/>
      <c r="H243" s="1627">
        <f>VLOOKUP(A240,an_agm,52,FALSE)</f>
        <v>0</v>
      </c>
      <c r="I243" s="709">
        <f t="shared" si="205"/>
        <v>0</v>
      </c>
      <c r="J243" s="710">
        <f t="shared" si="206"/>
        <v>0</v>
      </c>
      <c r="K243" s="711" t="str">
        <f t="shared" si="207"/>
        <v>1.33</v>
      </c>
      <c r="L243" s="711" t="str">
        <f t="shared" si="208"/>
        <v>D+</v>
      </c>
      <c r="M243" s="712" t="str">
        <f t="shared" si="209"/>
        <v>0</v>
      </c>
      <c r="N243" s="1634"/>
      <c r="O243" s="1635"/>
      <c r="P243" s="1635"/>
      <c r="Q243" s="1635"/>
      <c r="R243" s="1635"/>
      <c r="S243" s="1635"/>
      <c r="T243" s="1636"/>
      <c r="U243" s="1636"/>
      <c r="V243" s="1636"/>
      <c r="W243" s="1636"/>
      <c r="X243" s="1636"/>
      <c r="Y243" s="1636"/>
      <c r="Z243" s="1921"/>
      <c r="AA243" s="1524"/>
    </row>
    <row r="244" spans="1:27" ht="24.95" customHeight="1" x14ac:dyDescent="0.3">
      <c r="A244" s="1637"/>
      <c r="B244" s="360"/>
      <c r="C244" s="1630"/>
      <c r="D244" s="1626" t="s">
        <v>19</v>
      </c>
      <c r="E244" s="1891">
        <f>VLOOKUP(A240,UHT_AGM,28,FALSE)</f>
        <v>0</v>
      </c>
      <c r="F244" s="1905">
        <f t="shared" si="204"/>
        <v>0</v>
      </c>
      <c r="G244" s="1891"/>
      <c r="H244" s="1627">
        <f>VLOOKUP(A240,an_agm,53,FALSE)</f>
        <v>0</v>
      </c>
      <c r="I244" s="709">
        <f t="shared" si="205"/>
        <v>0</v>
      </c>
      <c r="J244" s="710">
        <f t="shared" si="206"/>
        <v>0</v>
      </c>
      <c r="K244" s="711" t="str">
        <f t="shared" si="207"/>
        <v>1.33</v>
      </c>
      <c r="L244" s="711" t="str">
        <f t="shared" si="208"/>
        <v>D+</v>
      </c>
      <c r="M244" s="712" t="str">
        <f t="shared" si="209"/>
        <v>0</v>
      </c>
      <c r="N244" s="1638"/>
      <c r="O244" s="1639"/>
      <c r="P244" s="1639"/>
      <c r="Q244" s="1639"/>
      <c r="R244" s="1639"/>
      <c r="S244" s="1639"/>
      <c r="T244" s="1640"/>
      <c r="U244" s="1640"/>
      <c r="V244" s="1640"/>
      <c r="W244" s="1640"/>
      <c r="X244" s="1640"/>
      <c r="Y244" s="1640"/>
      <c r="Z244" s="1921"/>
      <c r="AA244" s="1524"/>
    </row>
    <row r="245" spans="1:27" ht="24.95" customHeight="1" x14ac:dyDescent="0.3">
      <c r="A245" s="1637"/>
      <c r="B245" s="360"/>
      <c r="C245" s="1630"/>
      <c r="D245" s="1626" t="s">
        <v>181</v>
      </c>
      <c r="E245" s="1891">
        <f>VLOOKUP(A240,UHT_AGM,30,FALSE)</f>
        <v>0</v>
      </c>
      <c r="F245" s="1905">
        <f t="shared" si="204"/>
        <v>0</v>
      </c>
      <c r="G245" s="1891"/>
      <c r="H245" s="1627">
        <f>VLOOKUP(A240,an_agm,54,FALSE)</f>
        <v>0</v>
      </c>
      <c r="I245" s="709">
        <f t="shared" si="205"/>
        <v>0</v>
      </c>
      <c r="J245" s="710">
        <f t="shared" si="206"/>
        <v>0</v>
      </c>
      <c r="K245" s="711" t="str">
        <f t="shared" si="207"/>
        <v>1.33</v>
      </c>
      <c r="L245" s="711" t="str">
        <f t="shared" si="208"/>
        <v>D+</v>
      </c>
      <c r="M245" s="712" t="str">
        <f t="shared" si="209"/>
        <v>0</v>
      </c>
      <c r="N245" s="1812"/>
      <c r="O245" s="1813"/>
      <c r="P245" s="1813"/>
      <c r="Q245" s="1813"/>
      <c r="R245" s="1813"/>
      <c r="S245" s="1813"/>
      <c r="T245" s="1814"/>
      <c r="U245" s="1814"/>
      <c r="V245" s="1814"/>
      <c r="W245" s="1814"/>
      <c r="X245" s="1814"/>
      <c r="Y245" s="1814"/>
      <c r="Z245" s="1922"/>
      <c r="AA245" s="1526"/>
    </row>
    <row r="246" spans="1:27" ht="24.95" customHeight="1" x14ac:dyDescent="0.25">
      <c r="A246" s="1641"/>
      <c r="B246" s="1642">
        <v>34</v>
      </c>
      <c r="C246" s="1643" t="s">
        <v>167</v>
      </c>
      <c r="D246" s="1641"/>
      <c r="E246" s="1189">
        <f>AVERAGE(E240:E245)</f>
        <v>0</v>
      </c>
      <c r="F246" s="1641"/>
      <c r="G246" s="1189" t="e">
        <f>AVEDEV(G240:G245)</f>
        <v>#NUM!</v>
      </c>
      <c r="H246" s="1189">
        <f>AVERAGE(H240:H245)</f>
        <v>0</v>
      </c>
      <c r="I246" s="1644"/>
      <c r="J246" s="350">
        <f>AVERAGE(J240:J245)</f>
        <v>0</v>
      </c>
      <c r="K246" s="350" t="str">
        <f>IF(J246&gt;85,("4"),IF(J246&gt;80,("3.66"),IF(J246&gt;75,("3.33"),IF(J246&gt;70,("3.00"),IF(J246&gt;65,("2.66"),IF(J246&gt;60,("2.33"),IF(J246&gt;55,("2"),IF(J246&gt;50,("1.66"),"1.33"))))))))</f>
        <v>1.33</v>
      </c>
      <c r="L246" s="1645" t="str">
        <f>IF(J246&gt;85,("A"),IF(J246&gt;80,("A-"),IF(J246&gt;75,("B+"),IF(J246&gt;70,("B"),IF(J246&gt;65,("B-"),IF(J246&gt;60,("C+"),IF(J246&gt;55,("C"),IF(J246&gt;50,("C-"),"D+"))))))))</f>
        <v>D+</v>
      </c>
      <c r="M246" s="1646" t="str">
        <f>IF(J246&gt;85,("A"),IF(J246&gt;80,("A-"),IF(J246&gt;75,("B+"),IF(J246&gt;70,("B"),IF(J246&gt;65,("B-"),IF(J246&gt;60,("C+"),IF(J246&gt;55,("C"),IF(J246&gt;50,("C-"),"D+"))))))))</f>
        <v>D+</v>
      </c>
      <c r="N246" s="1917"/>
      <c r="O246" s="1918"/>
      <c r="P246" s="1918"/>
      <c r="Q246" s="1918"/>
      <c r="R246" s="1918"/>
      <c r="S246" s="1918"/>
      <c r="T246" s="1918"/>
      <c r="U246" s="1918"/>
      <c r="V246" s="1918"/>
      <c r="W246" s="1918"/>
      <c r="X246" s="1918"/>
      <c r="Y246" s="1918"/>
      <c r="Z246" s="1923"/>
      <c r="AA246" s="1924"/>
    </row>
    <row r="247" spans="1:27" ht="24.95" customHeight="1" x14ac:dyDescent="0.3">
      <c r="A247" s="360">
        <v>35</v>
      </c>
      <c r="B247" s="683"/>
      <c r="C247" s="1625" t="e">
        <f>VLOOKUP(A247,data_siswa,4,FALSE)</f>
        <v>#N/A</v>
      </c>
      <c r="D247" s="1626" t="s">
        <v>7</v>
      </c>
      <c r="E247" s="1891">
        <f>VLOOKUP(A247,UHT_AGM,24,FALSE)</f>
        <v>0</v>
      </c>
      <c r="F247" s="1904">
        <f>E247*2</f>
        <v>0</v>
      </c>
      <c r="G247" s="1891"/>
      <c r="H247" s="1627">
        <f>VLOOKUP(A247,an_agm,49,FALSE)</f>
        <v>0</v>
      </c>
      <c r="I247" s="706">
        <f>F247+G247+H247</f>
        <v>0</v>
      </c>
      <c r="J247" s="707">
        <f>(F247+G247+H247)/4</f>
        <v>0</v>
      </c>
      <c r="K247" s="708" t="str">
        <f>IF(J247&gt;85,("4"),IF(J247&gt;80,("3.66"),IF(J247&gt;75,("3.33"),IF(J247&gt;70,("3.00"),IF(J247&gt;65,("2.66"),IF(J247&gt;60,("2.33"),IF(J247&gt;55,("2"),IF(J247&gt;50,("1.66"),"1.33"))))))))</f>
        <v>1.33</v>
      </c>
      <c r="L247" s="708" t="str">
        <f>IF(J247&gt;85,("A"),IF(J247&gt;80,("A-"),IF(J247&gt;75,("B+"),IF(J247&gt;70,("B"),IF(J247&gt;65,("B-"),IF(J247&gt;60,("C+"),IF(J247&gt;55,("C"),IF(J247&gt;50,("C-"),"D+"))))))))</f>
        <v>D+</v>
      </c>
      <c r="M247" s="887" t="str">
        <f>IF(J247&gt;80,("SB"),IF(J247&gt;65,("B"),IF(J247&gt;50,("C"),IF(J247&gt;0,("K"),"0"))))</f>
        <v>0</v>
      </c>
      <c r="N247" s="1628"/>
      <c r="O247" s="1602"/>
      <c r="P247" s="1602"/>
      <c r="Q247" s="1602"/>
      <c r="R247" s="1602"/>
      <c r="S247" s="1602"/>
      <c r="T247" s="1629"/>
      <c r="U247" s="1629"/>
      <c r="V247" s="1629"/>
      <c r="W247" s="1629"/>
      <c r="X247" s="1629"/>
      <c r="Y247" s="1629"/>
      <c r="Z247" s="1193">
        <f>J253</f>
        <v>0</v>
      </c>
      <c r="AA247" s="1919" t="str">
        <f>L253</f>
        <v>D+</v>
      </c>
    </row>
    <row r="248" spans="1:27" ht="24.95" customHeight="1" x14ac:dyDescent="0.3">
      <c r="A248" s="687"/>
      <c r="B248" s="683"/>
      <c r="C248" s="1630"/>
      <c r="D248" s="1626" t="s">
        <v>18</v>
      </c>
      <c r="E248" s="1891">
        <f>VLOOKUP(A247,UHT_AGM,25,FALSE)</f>
        <v>0</v>
      </c>
      <c r="F248" s="1905">
        <f t="shared" ref="F248:F252" si="210">E248*2</f>
        <v>0</v>
      </c>
      <c r="G248" s="1891"/>
      <c r="H248" s="1627">
        <f>VLOOKUP(A247,an_agm,50,FALSE)</f>
        <v>0</v>
      </c>
      <c r="I248" s="709">
        <f t="shared" ref="I248:I252" si="211">F248+G248+H248</f>
        <v>0</v>
      </c>
      <c r="J248" s="710">
        <f t="shared" ref="J248:J252" si="212">(F248+G248+H248)/4</f>
        <v>0</v>
      </c>
      <c r="K248" s="711" t="str">
        <f t="shared" ref="K248:K252" si="213">IF(J248&gt;85,("4"),IF(J248&gt;80,("3.66"),IF(J248&gt;75,("3.33"),IF(J248&gt;70,("3.00"),IF(J248&gt;65,("2.66"),IF(J248&gt;60,("2.33"),IF(J248&gt;55,("2"),IF(J248&gt;50,("1.66"),"1.33"))))))))</f>
        <v>1.33</v>
      </c>
      <c r="L248" s="711" t="str">
        <f t="shared" ref="L248:L252" si="214">IF(J248&gt;85,("A"),IF(J248&gt;80,("A-"),IF(J248&gt;75,("B+"),IF(J248&gt;70,("B"),IF(J248&gt;65,("B-"),IF(J248&gt;60,("C+"),IF(J248&gt;55,("C"),IF(J248&gt;50,("C-"),"D+"))))))))</f>
        <v>D+</v>
      </c>
      <c r="M248" s="712" t="str">
        <f t="shared" ref="M248:M252" si="215">IF(J248&gt;80,("SB"),IF(J248&gt;65,("B"),IF(J248&gt;50,("C"),IF(J248&gt;0,("K"),"0"))))</f>
        <v>0</v>
      </c>
      <c r="N248" s="1631"/>
      <c r="O248" s="1632"/>
      <c r="P248" s="1632"/>
      <c r="Q248" s="1632"/>
      <c r="R248" s="1632"/>
      <c r="S248" s="1632"/>
      <c r="T248" s="1633"/>
      <c r="U248" s="1633"/>
      <c r="V248" s="1633"/>
      <c r="W248" s="1633"/>
      <c r="X248" s="1633"/>
      <c r="Y248" s="1633"/>
      <c r="Z248" s="1920"/>
      <c r="AA248" s="1522"/>
    </row>
    <row r="249" spans="1:27" ht="24.95" customHeight="1" x14ac:dyDescent="0.3">
      <c r="A249" s="687"/>
      <c r="B249" s="683"/>
      <c r="C249" s="1630"/>
      <c r="D249" s="1626" t="s">
        <v>179</v>
      </c>
      <c r="E249" s="1891">
        <f>VLOOKUP(A247,UHT_AGM,26,FALSE)</f>
        <v>0</v>
      </c>
      <c r="F249" s="1905">
        <f t="shared" si="210"/>
        <v>0</v>
      </c>
      <c r="G249" s="1891"/>
      <c r="H249" s="1627">
        <f>VLOOKUP(A247,an_agm,51,FALSE)</f>
        <v>0</v>
      </c>
      <c r="I249" s="709">
        <f t="shared" si="211"/>
        <v>0</v>
      </c>
      <c r="J249" s="710">
        <f t="shared" si="212"/>
        <v>0</v>
      </c>
      <c r="K249" s="711" t="str">
        <f t="shared" si="213"/>
        <v>1.33</v>
      </c>
      <c r="L249" s="711" t="str">
        <f t="shared" si="214"/>
        <v>D+</v>
      </c>
      <c r="M249" s="712" t="str">
        <f t="shared" si="215"/>
        <v>0</v>
      </c>
      <c r="N249" s="1634"/>
      <c r="O249" s="1635"/>
      <c r="P249" s="1635"/>
      <c r="Q249" s="1635"/>
      <c r="R249" s="1635"/>
      <c r="S249" s="1635"/>
      <c r="T249" s="1636"/>
      <c r="U249" s="1636"/>
      <c r="V249" s="1636"/>
      <c r="W249" s="1636"/>
      <c r="X249" s="1636"/>
      <c r="Y249" s="1636"/>
      <c r="Z249" s="1921"/>
      <c r="AA249" s="1524"/>
    </row>
    <row r="250" spans="1:27" ht="24.95" customHeight="1" x14ac:dyDescent="0.3">
      <c r="A250" s="687"/>
      <c r="B250" s="683"/>
      <c r="C250" s="1630"/>
      <c r="D250" s="1626" t="s">
        <v>180</v>
      </c>
      <c r="E250" s="1891">
        <f>VLOOKUP(A247,UHT_AGM,27,FALSE)</f>
        <v>0</v>
      </c>
      <c r="F250" s="1905">
        <f t="shared" si="210"/>
        <v>0</v>
      </c>
      <c r="G250" s="1891"/>
      <c r="H250" s="1627">
        <f>VLOOKUP(A247,an_agm,52,FALSE)</f>
        <v>0</v>
      </c>
      <c r="I250" s="709">
        <f t="shared" si="211"/>
        <v>0</v>
      </c>
      <c r="J250" s="710">
        <f t="shared" si="212"/>
        <v>0</v>
      </c>
      <c r="K250" s="711" t="str">
        <f t="shared" si="213"/>
        <v>1.33</v>
      </c>
      <c r="L250" s="711" t="str">
        <f t="shared" si="214"/>
        <v>D+</v>
      </c>
      <c r="M250" s="712" t="str">
        <f t="shared" si="215"/>
        <v>0</v>
      </c>
      <c r="N250" s="1634"/>
      <c r="O250" s="1635"/>
      <c r="P250" s="1635"/>
      <c r="Q250" s="1635"/>
      <c r="R250" s="1635"/>
      <c r="S250" s="1635"/>
      <c r="T250" s="1636"/>
      <c r="U250" s="1636"/>
      <c r="V250" s="1636"/>
      <c r="W250" s="1636"/>
      <c r="X250" s="1636"/>
      <c r="Y250" s="1636"/>
      <c r="Z250" s="1921"/>
      <c r="AA250" s="1524"/>
    </row>
    <row r="251" spans="1:27" ht="24.95" customHeight="1" x14ac:dyDescent="0.3">
      <c r="A251" s="1637"/>
      <c r="B251" s="360"/>
      <c r="C251" s="1630"/>
      <c r="D251" s="1626" t="s">
        <v>19</v>
      </c>
      <c r="E251" s="1891">
        <f>VLOOKUP(A247,UHT_AGM,28,FALSE)</f>
        <v>0</v>
      </c>
      <c r="F251" s="1905">
        <f t="shared" si="210"/>
        <v>0</v>
      </c>
      <c r="G251" s="1891"/>
      <c r="H251" s="1627">
        <f>VLOOKUP(A247,an_agm,53,FALSE)</f>
        <v>0</v>
      </c>
      <c r="I251" s="709">
        <f t="shared" si="211"/>
        <v>0</v>
      </c>
      <c r="J251" s="710">
        <f t="shared" si="212"/>
        <v>0</v>
      </c>
      <c r="K251" s="711" t="str">
        <f t="shared" si="213"/>
        <v>1.33</v>
      </c>
      <c r="L251" s="711" t="str">
        <f t="shared" si="214"/>
        <v>D+</v>
      </c>
      <c r="M251" s="712" t="str">
        <f t="shared" si="215"/>
        <v>0</v>
      </c>
      <c r="N251" s="1638"/>
      <c r="O251" s="1639"/>
      <c r="P251" s="1639"/>
      <c r="Q251" s="1639"/>
      <c r="R251" s="1639"/>
      <c r="S251" s="1639"/>
      <c r="T251" s="1640"/>
      <c r="U251" s="1640"/>
      <c r="V251" s="1640"/>
      <c r="W251" s="1640"/>
      <c r="X251" s="1640"/>
      <c r="Y251" s="1640"/>
      <c r="Z251" s="1921"/>
      <c r="AA251" s="1524"/>
    </row>
    <row r="252" spans="1:27" ht="24.95" customHeight="1" x14ac:dyDescent="0.3">
      <c r="A252" s="1637"/>
      <c r="B252" s="360"/>
      <c r="C252" s="1630"/>
      <c r="D252" s="1626" t="s">
        <v>181</v>
      </c>
      <c r="E252" s="1891">
        <f>VLOOKUP(A247,UHT_AGM,30,FALSE)</f>
        <v>0</v>
      </c>
      <c r="F252" s="1905">
        <f t="shared" si="210"/>
        <v>0</v>
      </c>
      <c r="G252" s="1891"/>
      <c r="H252" s="1627">
        <f>VLOOKUP(A247,an_agm,54,FALSE)</f>
        <v>0</v>
      </c>
      <c r="I252" s="709">
        <f t="shared" si="211"/>
        <v>0</v>
      </c>
      <c r="J252" s="710">
        <f t="shared" si="212"/>
        <v>0</v>
      </c>
      <c r="K252" s="711" t="str">
        <f t="shared" si="213"/>
        <v>1.33</v>
      </c>
      <c r="L252" s="711" t="str">
        <f t="shared" si="214"/>
        <v>D+</v>
      </c>
      <c r="M252" s="712" t="str">
        <f t="shared" si="215"/>
        <v>0</v>
      </c>
      <c r="N252" s="1812"/>
      <c r="O252" s="1813"/>
      <c r="P252" s="1813"/>
      <c r="Q252" s="1813"/>
      <c r="R252" s="1813"/>
      <c r="S252" s="1813"/>
      <c r="T252" s="1814"/>
      <c r="U252" s="1814"/>
      <c r="V252" s="1814"/>
      <c r="W252" s="1814"/>
      <c r="X252" s="1814"/>
      <c r="Y252" s="1814"/>
      <c r="Z252" s="1922"/>
      <c r="AA252" s="1526"/>
    </row>
    <row r="253" spans="1:27" ht="24.95" customHeight="1" x14ac:dyDescent="0.25">
      <c r="A253" s="1641"/>
      <c r="B253" s="1642">
        <v>35</v>
      </c>
      <c r="C253" s="1643" t="s">
        <v>167</v>
      </c>
      <c r="D253" s="1641"/>
      <c r="E253" s="1189">
        <f>AVERAGE(E247:E252)</f>
        <v>0</v>
      </c>
      <c r="F253" s="1641"/>
      <c r="G253" s="1189" t="e">
        <f>AVEDEV(G247:G252)</f>
        <v>#NUM!</v>
      </c>
      <c r="H253" s="1189">
        <f>AVERAGE(H247:H252)</f>
        <v>0</v>
      </c>
      <c r="I253" s="1644"/>
      <c r="J253" s="350">
        <f>AVERAGE(J247:J252)</f>
        <v>0</v>
      </c>
      <c r="K253" s="350" t="str">
        <f>IF(J253&gt;85,("4"),IF(J253&gt;80,("3.66"),IF(J253&gt;75,("3.33"),IF(J253&gt;70,("3.00"),IF(J253&gt;65,("2.66"),IF(J253&gt;60,("2.33"),IF(J253&gt;55,("2"),IF(J253&gt;50,("1.66"),"1.33"))))))))</f>
        <v>1.33</v>
      </c>
      <c r="L253" s="1645" t="str">
        <f>IF(J253&gt;85,("A"),IF(J253&gt;80,("A-"),IF(J253&gt;75,("B+"),IF(J253&gt;70,("B"),IF(J253&gt;65,("B-"),IF(J253&gt;60,("C+"),IF(J253&gt;55,("C"),IF(J253&gt;50,("C-"),"D+"))))))))</f>
        <v>D+</v>
      </c>
      <c r="M253" s="1646" t="str">
        <f>IF(J253&gt;85,("A"),IF(J253&gt;80,("A-"),IF(J253&gt;75,("B+"),IF(J253&gt;70,("B"),IF(J253&gt;65,("B-"),IF(J253&gt;60,("C+"),IF(J253&gt;55,("C"),IF(J253&gt;50,("C-"),"D+"))))))))</f>
        <v>D+</v>
      </c>
      <c r="N253" s="1917"/>
      <c r="O253" s="1918"/>
      <c r="P253" s="1918"/>
      <c r="Q253" s="1918"/>
      <c r="R253" s="1918"/>
      <c r="S253" s="1918"/>
      <c r="T253" s="1918"/>
      <c r="U253" s="1918"/>
      <c r="V253" s="1918"/>
      <c r="W253" s="1918"/>
      <c r="X253" s="1918"/>
      <c r="Y253" s="1918"/>
      <c r="Z253" s="1923"/>
      <c r="AA253" s="1924"/>
    </row>
    <row r="254" spans="1:27" ht="24.95" customHeight="1" x14ac:dyDescent="0.3">
      <c r="A254" s="360">
        <v>36</v>
      </c>
      <c r="B254" s="683"/>
      <c r="C254" s="1625" t="e">
        <f>VLOOKUP(A254,data_siswa,4,FALSE)</f>
        <v>#N/A</v>
      </c>
      <c r="D254" s="1626" t="s">
        <v>7</v>
      </c>
      <c r="E254" s="1891">
        <f>VLOOKUP(A254,UHT_AGM,24,FALSE)</f>
        <v>0</v>
      </c>
      <c r="F254" s="1904">
        <f>E254*2</f>
        <v>0</v>
      </c>
      <c r="G254" s="1891"/>
      <c r="H254" s="1627">
        <f>VLOOKUP(A254,an_agm,49,FALSE)</f>
        <v>0</v>
      </c>
      <c r="I254" s="706">
        <f>F254+G254+H254</f>
        <v>0</v>
      </c>
      <c r="J254" s="707">
        <f>(F254+G254+H254)/4</f>
        <v>0</v>
      </c>
      <c r="K254" s="708" t="str">
        <f>IF(J254&gt;85,("4"),IF(J254&gt;80,("3.66"),IF(J254&gt;75,("3.33"),IF(J254&gt;70,("3.00"),IF(J254&gt;65,("2.66"),IF(J254&gt;60,("2.33"),IF(J254&gt;55,("2"),IF(J254&gt;50,("1.66"),"1.33"))))))))</f>
        <v>1.33</v>
      </c>
      <c r="L254" s="708" t="str">
        <f>IF(J254&gt;85,("A"),IF(J254&gt;80,("A-"),IF(J254&gt;75,("B+"),IF(J254&gt;70,("B"),IF(J254&gt;65,("B-"),IF(J254&gt;60,("C+"),IF(J254&gt;55,("C"),IF(J254&gt;50,("C-"),"D+"))))))))</f>
        <v>D+</v>
      </c>
      <c r="M254" s="887" t="str">
        <f>IF(J254&gt;80,("SB"),IF(J254&gt;65,("B"),IF(J254&gt;50,("C"),IF(J254&gt;0,("K"),"0"))))</f>
        <v>0</v>
      </c>
      <c r="N254" s="1628"/>
      <c r="O254" s="1602"/>
      <c r="P254" s="1602"/>
      <c r="Q254" s="1602"/>
      <c r="R254" s="1602"/>
      <c r="S254" s="1602"/>
      <c r="T254" s="1629"/>
      <c r="U254" s="1629"/>
      <c r="V254" s="1629"/>
      <c r="W254" s="1629"/>
      <c r="X254" s="1629"/>
      <c r="Y254" s="1629"/>
      <c r="Z254" s="1193">
        <f>J260</f>
        <v>0</v>
      </c>
      <c r="AA254" s="1919" t="str">
        <f>L260</f>
        <v>D+</v>
      </c>
    </row>
    <row r="255" spans="1:27" ht="24.95" customHeight="1" x14ac:dyDescent="0.3">
      <c r="A255" s="687"/>
      <c r="B255" s="683"/>
      <c r="C255" s="1630"/>
      <c r="D255" s="1626" t="s">
        <v>18</v>
      </c>
      <c r="E255" s="1891">
        <f>VLOOKUP(A254,UHT_AGM,25,FALSE)</f>
        <v>0</v>
      </c>
      <c r="F255" s="1905">
        <f t="shared" ref="F255:F259" si="216">E255*2</f>
        <v>0</v>
      </c>
      <c r="G255" s="1891"/>
      <c r="H255" s="1627">
        <f>VLOOKUP(A254,an_agm,50,FALSE)</f>
        <v>0</v>
      </c>
      <c r="I255" s="709">
        <f t="shared" ref="I255:I259" si="217">F255+G255+H255</f>
        <v>0</v>
      </c>
      <c r="J255" s="710">
        <f t="shared" ref="J255:J259" si="218">(F255+G255+H255)/4</f>
        <v>0</v>
      </c>
      <c r="K255" s="711" t="str">
        <f t="shared" ref="K255:K259" si="219">IF(J255&gt;85,("4"),IF(J255&gt;80,("3.66"),IF(J255&gt;75,("3.33"),IF(J255&gt;70,("3.00"),IF(J255&gt;65,("2.66"),IF(J255&gt;60,("2.33"),IF(J255&gt;55,("2"),IF(J255&gt;50,("1.66"),"1.33"))))))))</f>
        <v>1.33</v>
      </c>
      <c r="L255" s="711" t="str">
        <f t="shared" ref="L255:L259" si="220">IF(J255&gt;85,("A"),IF(J255&gt;80,("A-"),IF(J255&gt;75,("B+"),IF(J255&gt;70,("B"),IF(J255&gt;65,("B-"),IF(J255&gt;60,("C+"),IF(J255&gt;55,("C"),IF(J255&gt;50,("C-"),"D+"))))))))</f>
        <v>D+</v>
      </c>
      <c r="M255" s="712" t="str">
        <f t="shared" ref="M255:M259" si="221">IF(J255&gt;80,("SB"),IF(J255&gt;65,("B"),IF(J255&gt;50,("C"),IF(J255&gt;0,("K"),"0"))))</f>
        <v>0</v>
      </c>
      <c r="N255" s="1631"/>
      <c r="O255" s="1632"/>
      <c r="P255" s="1632"/>
      <c r="Q255" s="1632"/>
      <c r="R255" s="1632"/>
      <c r="S255" s="1632"/>
      <c r="T255" s="1633"/>
      <c r="U255" s="1633"/>
      <c r="V255" s="1633"/>
      <c r="W255" s="1633"/>
      <c r="X255" s="1633"/>
      <c r="Y255" s="1633"/>
      <c r="Z255" s="1920"/>
      <c r="AA255" s="1522"/>
    </row>
    <row r="256" spans="1:27" ht="24.95" customHeight="1" x14ac:dyDescent="0.3">
      <c r="A256" s="687"/>
      <c r="B256" s="683"/>
      <c r="C256" s="1630"/>
      <c r="D256" s="1626" t="s">
        <v>179</v>
      </c>
      <c r="E256" s="1891">
        <f>VLOOKUP(A254,UHT_AGM,26,FALSE)</f>
        <v>0</v>
      </c>
      <c r="F256" s="1905">
        <f t="shared" si="216"/>
        <v>0</v>
      </c>
      <c r="G256" s="1891"/>
      <c r="H256" s="1627">
        <f>VLOOKUP(A254,an_agm,51,FALSE)</f>
        <v>0</v>
      </c>
      <c r="I256" s="709">
        <f t="shared" si="217"/>
        <v>0</v>
      </c>
      <c r="J256" s="710">
        <f t="shared" si="218"/>
        <v>0</v>
      </c>
      <c r="K256" s="711" t="str">
        <f t="shared" si="219"/>
        <v>1.33</v>
      </c>
      <c r="L256" s="711" t="str">
        <f t="shared" si="220"/>
        <v>D+</v>
      </c>
      <c r="M256" s="712" t="str">
        <f t="shared" si="221"/>
        <v>0</v>
      </c>
      <c r="N256" s="1634"/>
      <c r="O256" s="1635"/>
      <c r="P256" s="1635"/>
      <c r="Q256" s="1635"/>
      <c r="R256" s="1635"/>
      <c r="S256" s="1635"/>
      <c r="T256" s="1636"/>
      <c r="U256" s="1636"/>
      <c r="V256" s="1636"/>
      <c r="W256" s="1636"/>
      <c r="X256" s="1636"/>
      <c r="Y256" s="1636"/>
      <c r="Z256" s="1921"/>
      <c r="AA256" s="1524"/>
    </row>
    <row r="257" spans="1:27" ht="24.95" customHeight="1" x14ac:dyDescent="0.3">
      <c r="A257" s="687"/>
      <c r="B257" s="683"/>
      <c r="C257" s="1630"/>
      <c r="D257" s="1626" t="s">
        <v>180</v>
      </c>
      <c r="E257" s="1891">
        <f>VLOOKUP(A254,UHT_AGM,27,FALSE)</f>
        <v>0</v>
      </c>
      <c r="F257" s="1905">
        <f t="shared" si="216"/>
        <v>0</v>
      </c>
      <c r="G257" s="1891"/>
      <c r="H257" s="1627">
        <f>VLOOKUP(A254,an_agm,52,FALSE)</f>
        <v>0</v>
      </c>
      <c r="I257" s="709">
        <f t="shared" si="217"/>
        <v>0</v>
      </c>
      <c r="J257" s="710">
        <f t="shared" si="218"/>
        <v>0</v>
      </c>
      <c r="K257" s="711" t="str">
        <f t="shared" si="219"/>
        <v>1.33</v>
      </c>
      <c r="L257" s="711" t="str">
        <f t="shared" si="220"/>
        <v>D+</v>
      </c>
      <c r="M257" s="712" t="str">
        <f t="shared" si="221"/>
        <v>0</v>
      </c>
      <c r="N257" s="1634"/>
      <c r="O257" s="1635"/>
      <c r="P257" s="1635"/>
      <c r="Q257" s="1635"/>
      <c r="R257" s="1635"/>
      <c r="S257" s="1635"/>
      <c r="T257" s="1636"/>
      <c r="U257" s="1636"/>
      <c r="V257" s="1636"/>
      <c r="W257" s="1636"/>
      <c r="X257" s="1636"/>
      <c r="Y257" s="1636"/>
      <c r="Z257" s="1921"/>
      <c r="AA257" s="1524"/>
    </row>
    <row r="258" spans="1:27" ht="24.95" customHeight="1" x14ac:dyDescent="0.3">
      <c r="A258" s="1637"/>
      <c r="B258" s="360"/>
      <c r="C258" s="1630"/>
      <c r="D258" s="1626" t="s">
        <v>19</v>
      </c>
      <c r="E258" s="1891">
        <f>VLOOKUP(A254,UHT_AGM,28,FALSE)</f>
        <v>0</v>
      </c>
      <c r="F258" s="1905">
        <f t="shared" si="216"/>
        <v>0</v>
      </c>
      <c r="G258" s="1891"/>
      <c r="H258" s="1627">
        <f>VLOOKUP(A254,an_agm,53,FALSE)</f>
        <v>0</v>
      </c>
      <c r="I258" s="709">
        <f t="shared" si="217"/>
        <v>0</v>
      </c>
      <c r="J258" s="710">
        <f t="shared" si="218"/>
        <v>0</v>
      </c>
      <c r="K258" s="711" t="str">
        <f t="shared" si="219"/>
        <v>1.33</v>
      </c>
      <c r="L258" s="711" t="str">
        <f t="shared" si="220"/>
        <v>D+</v>
      </c>
      <c r="M258" s="712" t="str">
        <f t="shared" si="221"/>
        <v>0</v>
      </c>
      <c r="N258" s="1638"/>
      <c r="O258" s="1639"/>
      <c r="P258" s="1639"/>
      <c r="Q258" s="1639"/>
      <c r="R258" s="1639"/>
      <c r="S258" s="1639"/>
      <c r="T258" s="1640"/>
      <c r="U258" s="1640"/>
      <c r="V258" s="1640"/>
      <c r="W258" s="1640"/>
      <c r="X258" s="1640"/>
      <c r="Y258" s="1640"/>
      <c r="Z258" s="1921"/>
      <c r="AA258" s="1524"/>
    </row>
    <row r="259" spans="1:27" ht="24.95" customHeight="1" x14ac:dyDescent="0.3">
      <c r="A259" s="1637"/>
      <c r="B259" s="360"/>
      <c r="C259" s="1630"/>
      <c r="D259" s="1626" t="s">
        <v>181</v>
      </c>
      <c r="E259" s="1891">
        <f>VLOOKUP(A254,UHT_AGM,30,FALSE)</f>
        <v>0</v>
      </c>
      <c r="F259" s="1905">
        <f t="shared" si="216"/>
        <v>0</v>
      </c>
      <c r="G259" s="1891"/>
      <c r="H259" s="1627">
        <f>VLOOKUP(A254,an_agm,54,FALSE)</f>
        <v>0</v>
      </c>
      <c r="I259" s="709">
        <f t="shared" si="217"/>
        <v>0</v>
      </c>
      <c r="J259" s="710">
        <f t="shared" si="218"/>
        <v>0</v>
      </c>
      <c r="K259" s="711" t="str">
        <f t="shared" si="219"/>
        <v>1.33</v>
      </c>
      <c r="L259" s="711" t="str">
        <f t="shared" si="220"/>
        <v>D+</v>
      </c>
      <c r="M259" s="712" t="str">
        <f t="shared" si="221"/>
        <v>0</v>
      </c>
      <c r="N259" s="1812"/>
      <c r="O259" s="1813"/>
      <c r="P259" s="1813"/>
      <c r="Q259" s="1813"/>
      <c r="R259" s="1813"/>
      <c r="S259" s="1813"/>
      <c r="T259" s="1814"/>
      <c r="U259" s="1814"/>
      <c r="V259" s="1814"/>
      <c r="W259" s="1814"/>
      <c r="X259" s="1814"/>
      <c r="Y259" s="1814"/>
      <c r="Z259" s="1922"/>
      <c r="AA259" s="1526"/>
    </row>
    <row r="260" spans="1:27" ht="24.95" customHeight="1" x14ac:dyDescent="0.25">
      <c r="A260" s="1641"/>
      <c r="B260" s="1642">
        <v>36</v>
      </c>
      <c r="C260" s="1643" t="s">
        <v>167</v>
      </c>
      <c r="D260" s="1641"/>
      <c r="E260" s="1189">
        <f>AVERAGE(E254:E259)</f>
        <v>0</v>
      </c>
      <c r="F260" s="1641"/>
      <c r="G260" s="1189" t="e">
        <f>AVEDEV(G254:G259)</f>
        <v>#NUM!</v>
      </c>
      <c r="H260" s="1189">
        <f>AVERAGE(H254:H259)</f>
        <v>0</v>
      </c>
      <c r="I260" s="1644"/>
      <c r="J260" s="350">
        <f>AVERAGE(J254:J259)</f>
        <v>0</v>
      </c>
      <c r="K260" s="350" t="str">
        <f>IF(J260&gt;85,("4"),IF(J260&gt;80,("3.66"),IF(J260&gt;75,("3.33"),IF(J260&gt;70,("3.00"),IF(J260&gt;65,("2.66"),IF(J260&gt;60,("2.33"),IF(J260&gt;55,("2"),IF(J260&gt;50,("1.66"),"1.33"))))))))</f>
        <v>1.33</v>
      </c>
      <c r="L260" s="1645" t="str">
        <f>IF(J260&gt;85,("A"),IF(J260&gt;80,("A-"),IF(J260&gt;75,("B+"),IF(J260&gt;70,("B"),IF(J260&gt;65,("B-"),IF(J260&gt;60,("C+"),IF(J260&gt;55,("C"),IF(J260&gt;50,("C-"),"D+"))))))))</f>
        <v>D+</v>
      </c>
      <c r="M260" s="1646" t="str">
        <f>IF(J260&gt;85,("A"),IF(J260&gt;80,("A-"),IF(J260&gt;75,("B+"),IF(J260&gt;70,("B"),IF(J260&gt;65,("B-"),IF(J260&gt;60,("C+"),IF(J260&gt;55,("C"),IF(J260&gt;50,("C-"),"D+"))))))))</f>
        <v>D+</v>
      </c>
      <c r="N260" s="1917"/>
      <c r="O260" s="1918"/>
      <c r="P260" s="1918"/>
      <c r="Q260" s="1918"/>
      <c r="R260" s="1918"/>
      <c r="S260" s="1918"/>
      <c r="T260" s="1918"/>
      <c r="U260" s="1918"/>
      <c r="V260" s="1918"/>
      <c r="W260" s="1918"/>
      <c r="X260" s="1918"/>
      <c r="Y260" s="1918"/>
      <c r="Z260" s="1923"/>
      <c r="AA260" s="1924"/>
    </row>
    <row r="261" spans="1:27" ht="24.95" customHeight="1" x14ac:dyDescent="0.3">
      <c r="A261" s="360">
        <v>37</v>
      </c>
      <c r="B261" s="683"/>
      <c r="C261" s="1625" t="e">
        <f>VLOOKUP(A261,data_siswa,4,FALSE)</f>
        <v>#N/A</v>
      </c>
      <c r="D261" s="1626" t="s">
        <v>7</v>
      </c>
      <c r="E261" s="1891">
        <f>VLOOKUP(A261,UHT_AGM,24,FALSE)</f>
        <v>0</v>
      </c>
      <c r="F261" s="1904">
        <f>E261*2</f>
        <v>0</v>
      </c>
      <c r="G261" s="1891"/>
      <c r="H261" s="1627">
        <f>VLOOKUP(A261,an_agm,49,FALSE)</f>
        <v>0</v>
      </c>
      <c r="I261" s="706">
        <f>F261+G261+H261</f>
        <v>0</v>
      </c>
      <c r="J261" s="707">
        <f>(F261+G261+H261)/4</f>
        <v>0</v>
      </c>
      <c r="K261" s="708" t="str">
        <f>IF(J261&gt;85,("4"),IF(J261&gt;80,("3.66"),IF(J261&gt;75,("3.33"),IF(J261&gt;70,("3.00"),IF(J261&gt;65,("2.66"),IF(J261&gt;60,("2.33"),IF(J261&gt;55,("2"),IF(J261&gt;50,("1.66"),"1.33"))))))))</f>
        <v>1.33</v>
      </c>
      <c r="L261" s="708" t="str">
        <f>IF(J261&gt;85,("A"),IF(J261&gt;80,("A-"),IF(J261&gt;75,("B+"),IF(J261&gt;70,("B"),IF(J261&gt;65,("B-"),IF(J261&gt;60,("C+"),IF(J261&gt;55,("C"),IF(J261&gt;50,("C-"),"D+"))))))))</f>
        <v>D+</v>
      </c>
      <c r="M261" s="887" t="str">
        <f>IF(J261&gt;80,("SB"),IF(J261&gt;65,("B"),IF(J261&gt;50,("C"),IF(J261&gt;0,("K"),"0"))))</f>
        <v>0</v>
      </c>
      <c r="N261" s="1628"/>
      <c r="O261" s="1602"/>
      <c r="P261" s="1602"/>
      <c r="Q261" s="1602"/>
      <c r="R261" s="1602"/>
      <c r="S261" s="1602"/>
      <c r="T261" s="1629"/>
      <c r="U261" s="1629"/>
      <c r="V261" s="1629"/>
      <c r="W261" s="1629"/>
      <c r="X261" s="1629"/>
      <c r="Y261" s="1629"/>
      <c r="Z261" s="1193">
        <f>J267</f>
        <v>0</v>
      </c>
      <c r="AA261" s="1919" t="str">
        <f>L267</f>
        <v>D+</v>
      </c>
    </row>
    <row r="262" spans="1:27" ht="24.95" customHeight="1" x14ac:dyDescent="0.3">
      <c r="A262" s="687"/>
      <c r="B262" s="683"/>
      <c r="C262" s="1630"/>
      <c r="D262" s="1626" t="s">
        <v>18</v>
      </c>
      <c r="E262" s="1891">
        <f>VLOOKUP(A261,UHT_AGM,25,FALSE)</f>
        <v>0</v>
      </c>
      <c r="F262" s="1905">
        <f t="shared" ref="F262:F266" si="222">E262*2</f>
        <v>0</v>
      </c>
      <c r="G262" s="1891"/>
      <c r="H262" s="1627">
        <f>VLOOKUP(A261,an_agm,50,FALSE)</f>
        <v>0</v>
      </c>
      <c r="I262" s="709">
        <f t="shared" ref="I262:I266" si="223">F262+G262+H262</f>
        <v>0</v>
      </c>
      <c r="J262" s="710">
        <f t="shared" ref="J262:J266" si="224">(F262+G262+H262)/4</f>
        <v>0</v>
      </c>
      <c r="K262" s="711" t="str">
        <f t="shared" ref="K262:K266" si="225">IF(J262&gt;85,("4"),IF(J262&gt;80,("3.66"),IF(J262&gt;75,("3.33"),IF(J262&gt;70,("3.00"),IF(J262&gt;65,("2.66"),IF(J262&gt;60,("2.33"),IF(J262&gt;55,("2"),IF(J262&gt;50,("1.66"),"1.33"))))))))</f>
        <v>1.33</v>
      </c>
      <c r="L262" s="711" t="str">
        <f t="shared" ref="L262:L266" si="226">IF(J262&gt;85,("A"),IF(J262&gt;80,("A-"),IF(J262&gt;75,("B+"),IF(J262&gt;70,("B"),IF(J262&gt;65,("B-"),IF(J262&gt;60,("C+"),IF(J262&gt;55,("C"),IF(J262&gt;50,("C-"),"D+"))))))))</f>
        <v>D+</v>
      </c>
      <c r="M262" s="712" t="str">
        <f t="shared" ref="M262:M266" si="227">IF(J262&gt;80,("SB"),IF(J262&gt;65,("B"),IF(J262&gt;50,("C"),IF(J262&gt;0,("K"),"0"))))</f>
        <v>0</v>
      </c>
      <c r="N262" s="1631"/>
      <c r="O262" s="1632"/>
      <c r="P262" s="1632"/>
      <c r="Q262" s="1632"/>
      <c r="R262" s="1632"/>
      <c r="S262" s="1632"/>
      <c r="T262" s="1633"/>
      <c r="U262" s="1633"/>
      <c r="V262" s="1633"/>
      <c r="W262" s="1633"/>
      <c r="X262" s="1633"/>
      <c r="Y262" s="1633"/>
      <c r="Z262" s="1920"/>
      <c r="AA262" s="1522"/>
    </row>
    <row r="263" spans="1:27" ht="24.95" customHeight="1" x14ac:dyDescent="0.3">
      <c r="A263" s="687"/>
      <c r="B263" s="683"/>
      <c r="C263" s="1630"/>
      <c r="D263" s="1626" t="s">
        <v>179</v>
      </c>
      <c r="E263" s="1891">
        <f>VLOOKUP(A261,UHT_AGM,26,FALSE)</f>
        <v>0</v>
      </c>
      <c r="F263" s="1905">
        <f t="shared" si="222"/>
        <v>0</v>
      </c>
      <c r="G263" s="1891"/>
      <c r="H263" s="1627">
        <f>VLOOKUP(A261,an_agm,51,FALSE)</f>
        <v>0</v>
      </c>
      <c r="I263" s="709">
        <f t="shared" si="223"/>
        <v>0</v>
      </c>
      <c r="J263" s="710">
        <f t="shared" si="224"/>
        <v>0</v>
      </c>
      <c r="K263" s="711" t="str">
        <f t="shared" si="225"/>
        <v>1.33</v>
      </c>
      <c r="L263" s="711" t="str">
        <f t="shared" si="226"/>
        <v>D+</v>
      </c>
      <c r="M263" s="712" t="str">
        <f t="shared" si="227"/>
        <v>0</v>
      </c>
      <c r="N263" s="1634"/>
      <c r="O263" s="1635"/>
      <c r="P263" s="1635"/>
      <c r="Q263" s="1635"/>
      <c r="R263" s="1635"/>
      <c r="S263" s="1635"/>
      <c r="T263" s="1636"/>
      <c r="U263" s="1636"/>
      <c r="V263" s="1636"/>
      <c r="W263" s="1636"/>
      <c r="X263" s="1636"/>
      <c r="Y263" s="1636"/>
      <c r="Z263" s="1921"/>
      <c r="AA263" s="1524"/>
    </row>
    <row r="264" spans="1:27" ht="24.95" customHeight="1" x14ac:dyDescent="0.3">
      <c r="A264" s="687"/>
      <c r="B264" s="683"/>
      <c r="C264" s="1630"/>
      <c r="D264" s="1626" t="s">
        <v>180</v>
      </c>
      <c r="E264" s="1891">
        <f>VLOOKUP(A261,UHT_AGM,27,FALSE)</f>
        <v>0</v>
      </c>
      <c r="F264" s="1905">
        <f t="shared" si="222"/>
        <v>0</v>
      </c>
      <c r="G264" s="1891"/>
      <c r="H264" s="1627">
        <f>VLOOKUP(A261,an_agm,52,FALSE)</f>
        <v>0</v>
      </c>
      <c r="I264" s="709">
        <f t="shared" si="223"/>
        <v>0</v>
      </c>
      <c r="J264" s="710">
        <f t="shared" si="224"/>
        <v>0</v>
      </c>
      <c r="K264" s="711" t="str">
        <f t="shared" si="225"/>
        <v>1.33</v>
      </c>
      <c r="L264" s="711" t="str">
        <f t="shared" si="226"/>
        <v>D+</v>
      </c>
      <c r="M264" s="712" t="str">
        <f t="shared" si="227"/>
        <v>0</v>
      </c>
      <c r="N264" s="1634"/>
      <c r="O264" s="1635"/>
      <c r="P264" s="1635"/>
      <c r="Q264" s="1635"/>
      <c r="R264" s="1635"/>
      <c r="S264" s="1635"/>
      <c r="T264" s="1636"/>
      <c r="U264" s="1636"/>
      <c r="V264" s="1636"/>
      <c r="W264" s="1636"/>
      <c r="X264" s="1636"/>
      <c r="Y264" s="1636"/>
      <c r="Z264" s="1921"/>
      <c r="AA264" s="1524"/>
    </row>
    <row r="265" spans="1:27" ht="24.95" customHeight="1" x14ac:dyDescent="0.3">
      <c r="A265" s="1637"/>
      <c r="B265" s="360"/>
      <c r="C265" s="1630"/>
      <c r="D265" s="1626" t="s">
        <v>19</v>
      </c>
      <c r="E265" s="1891">
        <f>VLOOKUP(A261,UHT_AGM,28,FALSE)</f>
        <v>0</v>
      </c>
      <c r="F265" s="1905">
        <f t="shared" si="222"/>
        <v>0</v>
      </c>
      <c r="G265" s="1891"/>
      <c r="H265" s="1627">
        <f>VLOOKUP(A261,an_agm,53,FALSE)</f>
        <v>0</v>
      </c>
      <c r="I265" s="709">
        <f t="shared" si="223"/>
        <v>0</v>
      </c>
      <c r="J265" s="710">
        <f t="shared" si="224"/>
        <v>0</v>
      </c>
      <c r="K265" s="711" t="str">
        <f t="shared" si="225"/>
        <v>1.33</v>
      </c>
      <c r="L265" s="711" t="str">
        <f t="shared" si="226"/>
        <v>D+</v>
      </c>
      <c r="M265" s="712" t="str">
        <f t="shared" si="227"/>
        <v>0</v>
      </c>
      <c r="N265" s="1638"/>
      <c r="O265" s="1639"/>
      <c r="P265" s="1639"/>
      <c r="Q265" s="1639"/>
      <c r="R265" s="1639"/>
      <c r="S265" s="1639"/>
      <c r="T265" s="1640"/>
      <c r="U265" s="1640"/>
      <c r="V265" s="1640"/>
      <c r="W265" s="1640"/>
      <c r="X265" s="1640"/>
      <c r="Y265" s="1640"/>
      <c r="Z265" s="1921"/>
      <c r="AA265" s="1524"/>
    </row>
    <row r="266" spans="1:27" ht="24.95" customHeight="1" x14ac:dyDescent="0.3">
      <c r="A266" s="1637"/>
      <c r="B266" s="360"/>
      <c r="C266" s="1630"/>
      <c r="D266" s="1626" t="s">
        <v>181</v>
      </c>
      <c r="E266" s="1891">
        <f>VLOOKUP(A261,UHT_AGM,30,FALSE)</f>
        <v>0</v>
      </c>
      <c r="F266" s="1905">
        <f t="shared" si="222"/>
        <v>0</v>
      </c>
      <c r="G266" s="1891"/>
      <c r="H266" s="1627">
        <f>VLOOKUP(A261,an_agm,54,FALSE)</f>
        <v>0</v>
      </c>
      <c r="I266" s="709">
        <f t="shared" si="223"/>
        <v>0</v>
      </c>
      <c r="J266" s="710">
        <f t="shared" si="224"/>
        <v>0</v>
      </c>
      <c r="K266" s="711" t="str">
        <f t="shared" si="225"/>
        <v>1.33</v>
      </c>
      <c r="L266" s="711" t="str">
        <f t="shared" si="226"/>
        <v>D+</v>
      </c>
      <c r="M266" s="712" t="str">
        <f t="shared" si="227"/>
        <v>0</v>
      </c>
      <c r="N266" s="1812"/>
      <c r="O266" s="1813"/>
      <c r="P266" s="1813"/>
      <c r="Q266" s="1813"/>
      <c r="R266" s="1813"/>
      <c r="S266" s="1813"/>
      <c r="T266" s="1814"/>
      <c r="U266" s="1814"/>
      <c r="V266" s="1814"/>
      <c r="W266" s="1814"/>
      <c r="X266" s="1814"/>
      <c r="Y266" s="1814"/>
      <c r="Z266" s="1922"/>
      <c r="AA266" s="1526"/>
    </row>
    <row r="267" spans="1:27" ht="24.95" customHeight="1" x14ac:dyDescent="0.25">
      <c r="A267" s="1641"/>
      <c r="B267" s="1642">
        <v>37</v>
      </c>
      <c r="C267" s="1643" t="s">
        <v>167</v>
      </c>
      <c r="D267" s="1641"/>
      <c r="E267" s="1189">
        <f>AVERAGE(E261:E266)</f>
        <v>0</v>
      </c>
      <c r="F267" s="1641"/>
      <c r="G267" s="1189" t="e">
        <f>AVEDEV(G261:G266)</f>
        <v>#NUM!</v>
      </c>
      <c r="H267" s="1189">
        <f>AVERAGE(H261:H266)</f>
        <v>0</v>
      </c>
      <c r="I267" s="1644"/>
      <c r="J267" s="350">
        <f>AVERAGE(J261:J266)</f>
        <v>0</v>
      </c>
      <c r="K267" s="350" t="str">
        <f>IF(J267&gt;85,("4"),IF(J267&gt;80,("3.66"),IF(J267&gt;75,("3.33"),IF(J267&gt;70,("3.00"),IF(J267&gt;65,("2.66"),IF(J267&gt;60,("2.33"),IF(J267&gt;55,("2"),IF(J267&gt;50,("1.66"),"1.33"))))))))</f>
        <v>1.33</v>
      </c>
      <c r="L267" s="1645" t="str">
        <f>IF(J267&gt;85,("A"),IF(J267&gt;80,("A-"),IF(J267&gt;75,("B+"),IF(J267&gt;70,("B"),IF(J267&gt;65,("B-"),IF(J267&gt;60,("C+"),IF(J267&gt;55,("C"),IF(J267&gt;50,("C-"),"D+"))))))))</f>
        <v>D+</v>
      </c>
      <c r="M267" s="1646" t="str">
        <f>IF(J267&gt;85,("A"),IF(J267&gt;80,("A-"),IF(J267&gt;75,("B+"),IF(J267&gt;70,("B"),IF(J267&gt;65,("B-"),IF(J267&gt;60,("C+"),IF(J267&gt;55,("C"),IF(J267&gt;50,("C-"),"D+"))))))))</f>
        <v>D+</v>
      </c>
      <c r="N267" s="1917"/>
      <c r="O267" s="1918"/>
      <c r="P267" s="1918"/>
      <c r="Q267" s="1918"/>
      <c r="R267" s="1918"/>
      <c r="S267" s="1918"/>
      <c r="T267" s="1918"/>
      <c r="U267" s="1918"/>
      <c r="V267" s="1918"/>
      <c r="W267" s="1918"/>
      <c r="X267" s="1918"/>
      <c r="Y267" s="1918"/>
      <c r="Z267" s="1923"/>
      <c r="AA267" s="1924"/>
    </row>
    <row r="268" spans="1:27" ht="24.95" customHeight="1" x14ac:dyDescent="0.3">
      <c r="A268" s="360">
        <v>38</v>
      </c>
      <c r="B268" s="683"/>
      <c r="C268" s="1625" t="e">
        <f>VLOOKUP(A268,data_siswa,4,FALSE)</f>
        <v>#N/A</v>
      </c>
      <c r="D268" s="1626" t="s">
        <v>7</v>
      </c>
      <c r="E268" s="1891">
        <f>VLOOKUP(A268,UHT_AGM,24,FALSE)</f>
        <v>0</v>
      </c>
      <c r="F268" s="1904">
        <f>E268*2</f>
        <v>0</v>
      </c>
      <c r="G268" s="1891"/>
      <c r="H268" s="1627">
        <f>VLOOKUP(A268,an_agm,49,FALSE)</f>
        <v>0</v>
      </c>
      <c r="I268" s="706">
        <f>F268+G268+H268</f>
        <v>0</v>
      </c>
      <c r="J268" s="707">
        <f>(F268+G268+H268)/4</f>
        <v>0</v>
      </c>
      <c r="K268" s="708" t="str">
        <f>IF(J268&gt;85,("4"),IF(J268&gt;80,("3.66"),IF(J268&gt;75,("3.33"),IF(J268&gt;70,("3.00"),IF(J268&gt;65,("2.66"),IF(J268&gt;60,("2.33"),IF(J268&gt;55,("2"),IF(J268&gt;50,("1.66"),"1.33"))))))))</f>
        <v>1.33</v>
      </c>
      <c r="L268" s="708" t="str">
        <f>IF(J268&gt;85,("A"),IF(J268&gt;80,("A-"),IF(J268&gt;75,("B+"),IF(J268&gt;70,("B"),IF(J268&gt;65,("B-"),IF(J268&gt;60,("C+"),IF(J268&gt;55,("C"),IF(J268&gt;50,("C-"),"D+"))))))))</f>
        <v>D+</v>
      </c>
      <c r="M268" s="887" t="str">
        <f>IF(J268&gt;80,("SB"),IF(J268&gt;65,("B"),IF(J268&gt;50,("C"),IF(J268&gt;0,("K"),"0"))))</f>
        <v>0</v>
      </c>
      <c r="N268" s="1628"/>
      <c r="O268" s="1602"/>
      <c r="P268" s="1602"/>
      <c r="Q268" s="1602"/>
      <c r="R268" s="1602"/>
      <c r="S268" s="1602"/>
      <c r="T268" s="1629"/>
      <c r="U268" s="1629"/>
      <c r="V268" s="1629"/>
      <c r="W268" s="1629"/>
      <c r="X268" s="1629"/>
      <c r="Y268" s="1629"/>
      <c r="Z268" s="1193">
        <f>J274</f>
        <v>0</v>
      </c>
      <c r="AA268" s="1919" t="str">
        <f>L274</f>
        <v>D+</v>
      </c>
    </row>
    <row r="269" spans="1:27" ht="24.95" customHeight="1" x14ac:dyDescent="0.3">
      <c r="A269" s="687"/>
      <c r="B269" s="683"/>
      <c r="C269" s="1630"/>
      <c r="D269" s="1626" t="s">
        <v>18</v>
      </c>
      <c r="E269" s="1891">
        <f>VLOOKUP(A268,UHT_AGM,25,FALSE)</f>
        <v>0</v>
      </c>
      <c r="F269" s="1905">
        <f t="shared" ref="F269:F273" si="228">E269*2</f>
        <v>0</v>
      </c>
      <c r="G269" s="1891"/>
      <c r="H269" s="1627">
        <f>VLOOKUP(A268,an_agm,50,FALSE)</f>
        <v>0</v>
      </c>
      <c r="I269" s="709">
        <f t="shared" ref="I269:I273" si="229">F269+G269+H269</f>
        <v>0</v>
      </c>
      <c r="J269" s="710">
        <f t="shared" ref="J269:J273" si="230">(F269+G269+H269)/4</f>
        <v>0</v>
      </c>
      <c r="K269" s="711" t="str">
        <f t="shared" ref="K269:K273" si="231">IF(J269&gt;85,("4"),IF(J269&gt;80,("3.66"),IF(J269&gt;75,("3.33"),IF(J269&gt;70,("3.00"),IF(J269&gt;65,("2.66"),IF(J269&gt;60,("2.33"),IF(J269&gt;55,("2"),IF(J269&gt;50,("1.66"),"1.33"))))))))</f>
        <v>1.33</v>
      </c>
      <c r="L269" s="711" t="str">
        <f t="shared" ref="L269:L273" si="232">IF(J269&gt;85,("A"),IF(J269&gt;80,("A-"),IF(J269&gt;75,("B+"),IF(J269&gt;70,("B"),IF(J269&gt;65,("B-"),IF(J269&gt;60,("C+"),IF(J269&gt;55,("C"),IF(J269&gt;50,("C-"),"D+"))))))))</f>
        <v>D+</v>
      </c>
      <c r="M269" s="712" t="str">
        <f t="shared" ref="M269:M273" si="233">IF(J269&gt;80,("SB"),IF(J269&gt;65,("B"),IF(J269&gt;50,("C"),IF(J269&gt;0,("K"),"0"))))</f>
        <v>0</v>
      </c>
      <c r="N269" s="1631"/>
      <c r="O269" s="1632"/>
      <c r="P269" s="1632"/>
      <c r="Q269" s="1632"/>
      <c r="R269" s="1632"/>
      <c r="S269" s="1632"/>
      <c r="T269" s="1633"/>
      <c r="U269" s="1633"/>
      <c r="V269" s="1633"/>
      <c r="W269" s="1633"/>
      <c r="X269" s="1633"/>
      <c r="Y269" s="1633"/>
      <c r="Z269" s="1920"/>
      <c r="AA269" s="1522"/>
    </row>
    <row r="270" spans="1:27" ht="24.95" customHeight="1" x14ac:dyDescent="0.3">
      <c r="A270" s="687"/>
      <c r="B270" s="683"/>
      <c r="C270" s="1630"/>
      <c r="D270" s="1626" t="s">
        <v>179</v>
      </c>
      <c r="E270" s="1891">
        <f>VLOOKUP(A268,UHT_AGM,26,FALSE)</f>
        <v>0</v>
      </c>
      <c r="F270" s="1905">
        <f t="shared" si="228"/>
        <v>0</v>
      </c>
      <c r="G270" s="1891"/>
      <c r="H270" s="1627">
        <f>VLOOKUP(A268,an_agm,51,FALSE)</f>
        <v>0</v>
      </c>
      <c r="I270" s="709">
        <f t="shared" si="229"/>
        <v>0</v>
      </c>
      <c r="J270" s="710">
        <f t="shared" si="230"/>
        <v>0</v>
      </c>
      <c r="K270" s="711" t="str">
        <f t="shared" si="231"/>
        <v>1.33</v>
      </c>
      <c r="L270" s="711" t="str">
        <f t="shared" si="232"/>
        <v>D+</v>
      </c>
      <c r="M270" s="712" t="str">
        <f t="shared" si="233"/>
        <v>0</v>
      </c>
      <c r="N270" s="1634"/>
      <c r="O270" s="1635"/>
      <c r="P270" s="1635"/>
      <c r="Q270" s="1635"/>
      <c r="R270" s="1635"/>
      <c r="S270" s="1635"/>
      <c r="T270" s="1636"/>
      <c r="U270" s="1636"/>
      <c r="V270" s="1636"/>
      <c r="W270" s="1636"/>
      <c r="X270" s="1636"/>
      <c r="Y270" s="1636"/>
      <c r="Z270" s="1921"/>
      <c r="AA270" s="1524"/>
    </row>
    <row r="271" spans="1:27" ht="24.95" customHeight="1" x14ac:dyDescent="0.3">
      <c r="A271" s="687"/>
      <c r="B271" s="683"/>
      <c r="C271" s="1630"/>
      <c r="D271" s="1626" t="s">
        <v>180</v>
      </c>
      <c r="E271" s="1891">
        <f>VLOOKUP(A268,UHT_AGM,27,FALSE)</f>
        <v>0</v>
      </c>
      <c r="F271" s="1905">
        <f t="shared" si="228"/>
        <v>0</v>
      </c>
      <c r="G271" s="1891"/>
      <c r="H271" s="1627">
        <f>VLOOKUP(A268,an_agm,52,FALSE)</f>
        <v>0</v>
      </c>
      <c r="I271" s="709">
        <f t="shared" si="229"/>
        <v>0</v>
      </c>
      <c r="J271" s="710">
        <f t="shared" si="230"/>
        <v>0</v>
      </c>
      <c r="K271" s="711" t="str">
        <f t="shared" si="231"/>
        <v>1.33</v>
      </c>
      <c r="L271" s="711" t="str">
        <f t="shared" si="232"/>
        <v>D+</v>
      </c>
      <c r="M271" s="712" t="str">
        <f t="shared" si="233"/>
        <v>0</v>
      </c>
      <c r="N271" s="1634"/>
      <c r="O271" s="1635"/>
      <c r="P271" s="1635"/>
      <c r="Q271" s="1635"/>
      <c r="R271" s="1635"/>
      <c r="S271" s="1635"/>
      <c r="T271" s="1636"/>
      <c r="U271" s="1636"/>
      <c r="V271" s="1636"/>
      <c r="W271" s="1636"/>
      <c r="X271" s="1636"/>
      <c r="Y271" s="1636"/>
      <c r="Z271" s="1921"/>
      <c r="AA271" s="1524"/>
    </row>
    <row r="272" spans="1:27" ht="24.95" customHeight="1" x14ac:dyDescent="0.3">
      <c r="A272" s="1637"/>
      <c r="B272" s="360"/>
      <c r="C272" s="1630"/>
      <c r="D272" s="1626" t="s">
        <v>19</v>
      </c>
      <c r="E272" s="1891">
        <f>VLOOKUP(A268,UHT_AGM,28,FALSE)</f>
        <v>0</v>
      </c>
      <c r="F272" s="1905">
        <f t="shared" si="228"/>
        <v>0</v>
      </c>
      <c r="G272" s="1891"/>
      <c r="H272" s="1627">
        <f>VLOOKUP(A268,an_agm,53,FALSE)</f>
        <v>0</v>
      </c>
      <c r="I272" s="709">
        <f t="shared" si="229"/>
        <v>0</v>
      </c>
      <c r="J272" s="710">
        <f t="shared" si="230"/>
        <v>0</v>
      </c>
      <c r="K272" s="711" t="str">
        <f t="shared" si="231"/>
        <v>1.33</v>
      </c>
      <c r="L272" s="711" t="str">
        <f t="shared" si="232"/>
        <v>D+</v>
      </c>
      <c r="M272" s="712" t="str">
        <f t="shared" si="233"/>
        <v>0</v>
      </c>
      <c r="N272" s="1638"/>
      <c r="O272" s="1639"/>
      <c r="P272" s="1639"/>
      <c r="Q272" s="1639"/>
      <c r="R272" s="1639"/>
      <c r="S272" s="1639"/>
      <c r="T272" s="1640"/>
      <c r="U272" s="1640"/>
      <c r="V272" s="1640"/>
      <c r="W272" s="1640"/>
      <c r="X272" s="1640"/>
      <c r="Y272" s="1640"/>
      <c r="Z272" s="1921"/>
      <c r="AA272" s="1524"/>
    </row>
    <row r="273" spans="1:27" ht="24.95" customHeight="1" x14ac:dyDescent="0.3">
      <c r="A273" s="1637"/>
      <c r="B273" s="360"/>
      <c r="C273" s="1630"/>
      <c r="D273" s="1626" t="s">
        <v>181</v>
      </c>
      <c r="E273" s="1891">
        <f>VLOOKUP(A268,UHT_AGM,30,FALSE)</f>
        <v>0</v>
      </c>
      <c r="F273" s="1905">
        <f t="shared" si="228"/>
        <v>0</v>
      </c>
      <c r="G273" s="1891"/>
      <c r="H273" s="1627">
        <f>VLOOKUP(A268,an_agm,54,FALSE)</f>
        <v>0</v>
      </c>
      <c r="I273" s="709">
        <f t="shared" si="229"/>
        <v>0</v>
      </c>
      <c r="J273" s="710">
        <f t="shared" si="230"/>
        <v>0</v>
      </c>
      <c r="K273" s="711" t="str">
        <f t="shared" si="231"/>
        <v>1.33</v>
      </c>
      <c r="L273" s="711" t="str">
        <f t="shared" si="232"/>
        <v>D+</v>
      </c>
      <c r="M273" s="712" t="str">
        <f t="shared" si="233"/>
        <v>0</v>
      </c>
      <c r="N273" s="1812"/>
      <c r="O273" s="1813"/>
      <c r="P273" s="1813"/>
      <c r="Q273" s="1813"/>
      <c r="R273" s="1813"/>
      <c r="S273" s="1813"/>
      <c r="T273" s="1814"/>
      <c r="U273" s="1814"/>
      <c r="V273" s="1814"/>
      <c r="W273" s="1814"/>
      <c r="X273" s="1814"/>
      <c r="Y273" s="1814"/>
      <c r="Z273" s="1922"/>
      <c r="AA273" s="1526"/>
    </row>
    <row r="274" spans="1:27" ht="24.95" customHeight="1" x14ac:dyDescent="0.25">
      <c r="A274" s="1641"/>
      <c r="B274" s="1642">
        <v>38</v>
      </c>
      <c r="C274" s="1643" t="s">
        <v>167</v>
      </c>
      <c r="D274" s="1641"/>
      <c r="E274" s="1189">
        <f>AVERAGE(E268:E273)</f>
        <v>0</v>
      </c>
      <c r="F274" s="1641"/>
      <c r="G274" s="1189" t="e">
        <f>AVEDEV(G268:G273)</f>
        <v>#NUM!</v>
      </c>
      <c r="H274" s="1189">
        <f>AVERAGE(H268:H273)</f>
        <v>0</v>
      </c>
      <c r="I274" s="1644"/>
      <c r="J274" s="350">
        <f>AVERAGE(J268:J273)</f>
        <v>0</v>
      </c>
      <c r="K274" s="350" t="str">
        <f>IF(J274&gt;85,("4"),IF(J274&gt;80,("3.66"),IF(J274&gt;75,("3.33"),IF(J274&gt;70,("3.00"),IF(J274&gt;65,("2.66"),IF(J274&gt;60,("2.33"),IF(J274&gt;55,("2"),IF(J274&gt;50,("1.66"),"1.33"))))))))</f>
        <v>1.33</v>
      </c>
      <c r="L274" s="1645" t="str">
        <f>IF(J274&gt;85,("A"),IF(J274&gt;80,("A-"),IF(J274&gt;75,("B+"),IF(J274&gt;70,("B"),IF(J274&gt;65,("B-"),IF(J274&gt;60,("C+"),IF(J274&gt;55,("C"),IF(J274&gt;50,("C-"),"D+"))))))))</f>
        <v>D+</v>
      </c>
      <c r="M274" s="1646" t="str">
        <f>IF(J274&gt;85,("A"),IF(J274&gt;80,("A-"),IF(J274&gt;75,("B+"),IF(J274&gt;70,("B"),IF(J274&gt;65,("B-"),IF(J274&gt;60,("C+"),IF(J274&gt;55,("C"),IF(J274&gt;50,("C-"),"D+"))))))))</f>
        <v>D+</v>
      </c>
      <c r="N274" s="1917"/>
      <c r="O274" s="1918"/>
      <c r="P274" s="1918"/>
      <c r="Q274" s="1918"/>
      <c r="R274" s="1918"/>
      <c r="S274" s="1918"/>
      <c r="T274" s="1918"/>
      <c r="U274" s="1918"/>
      <c r="V274" s="1918"/>
      <c r="W274" s="1918"/>
      <c r="X274" s="1918"/>
      <c r="Y274" s="1918"/>
      <c r="Z274" s="1923"/>
      <c r="AA274" s="1924"/>
    </row>
    <row r="275" spans="1:27" ht="24.95" customHeight="1" x14ac:dyDescent="0.3">
      <c r="A275" s="360">
        <v>39</v>
      </c>
      <c r="B275" s="683"/>
      <c r="C275" s="1625" t="e">
        <f>VLOOKUP(A275,data_siswa,4,FALSE)</f>
        <v>#N/A</v>
      </c>
      <c r="D275" s="1626" t="s">
        <v>7</v>
      </c>
      <c r="E275" s="1891">
        <f>VLOOKUP(A275,UHT_AGM,24,FALSE)</f>
        <v>0</v>
      </c>
      <c r="F275" s="1904">
        <f>E275*2</f>
        <v>0</v>
      </c>
      <c r="G275" s="1891"/>
      <c r="H275" s="1627">
        <f>VLOOKUP(A275,an_agm,49,FALSE)</f>
        <v>0</v>
      </c>
      <c r="I275" s="706">
        <f>F275+G275+H275</f>
        <v>0</v>
      </c>
      <c r="J275" s="707">
        <f>(F275+G275+H275)/4</f>
        <v>0</v>
      </c>
      <c r="K275" s="708" t="str">
        <f>IF(J275&gt;85,("4"),IF(J275&gt;80,("3.66"),IF(J275&gt;75,("3.33"),IF(J275&gt;70,("3.00"),IF(J275&gt;65,("2.66"),IF(J275&gt;60,("2.33"),IF(J275&gt;55,("2"),IF(J275&gt;50,("1.66"),"1.33"))))))))</f>
        <v>1.33</v>
      </c>
      <c r="L275" s="708" t="str">
        <f>IF(J275&gt;85,("A"),IF(J275&gt;80,("A-"),IF(J275&gt;75,("B+"),IF(J275&gt;70,("B"),IF(J275&gt;65,("B-"),IF(J275&gt;60,("C+"),IF(J275&gt;55,("C"),IF(J275&gt;50,("C-"),"D+"))))))))</f>
        <v>D+</v>
      </c>
      <c r="M275" s="887" t="str">
        <f>IF(J275&gt;80,("SB"),IF(J275&gt;65,("B"),IF(J275&gt;50,("C"),IF(J275&gt;0,("K"),"0"))))</f>
        <v>0</v>
      </c>
      <c r="N275" s="1628"/>
      <c r="O275" s="1602"/>
      <c r="P275" s="1602"/>
      <c r="Q275" s="1602"/>
      <c r="R275" s="1602"/>
      <c r="S275" s="1602"/>
      <c r="T275" s="1629"/>
      <c r="U275" s="1629"/>
      <c r="V275" s="1629"/>
      <c r="W275" s="1629"/>
      <c r="X275" s="1629"/>
      <c r="Y275" s="1629"/>
      <c r="Z275" s="1193">
        <f>J281</f>
        <v>0</v>
      </c>
      <c r="AA275" s="1919" t="str">
        <f>L281</f>
        <v>D+</v>
      </c>
    </row>
    <row r="276" spans="1:27" ht="24.95" customHeight="1" x14ac:dyDescent="0.3">
      <c r="A276" s="687"/>
      <c r="B276" s="683"/>
      <c r="C276" s="1630"/>
      <c r="D276" s="1626" t="s">
        <v>18</v>
      </c>
      <c r="E276" s="1891">
        <f>VLOOKUP(A275,UHT_AGM,25,FALSE)</f>
        <v>0</v>
      </c>
      <c r="F276" s="1905">
        <f t="shared" ref="F276:F280" si="234">E276*2</f>
        <v>0</v>
      </c>
      <c r="G276" s="1891"/>
      <c r="H276" s="1627">
        <f>VLOOKUP(A275,an_agm,50,FALSE)</f>
        <v>0</v>
      </c>
      <c r="I276" s="709">
        <f t="shared" ref="I276:I280" si="235">F276+G276+H276</f>
        <v>0</v>
      </c>
      <c r="J276" s="710">
        <f t="shared" ref="J276:J280" si="236">(F276+G276+H276)/4</f>
        <v>0</v>
      </c>
      <c r="K276" s="711" t="str">
        <f t="shared" ref="K276:K280" si="237">IF(J276&gt;85,("4"),IF(J276&gt;80,("3.66"),IF(J276&gt;75,("3.33"),IF(J276&gt;70,("3.00"),IF(J276&gt;65,("2.66"),IF(J276&gt;60,("2.33"),IF(J276&gt;55,("2"),IF(J276&gt;50,("1.66"),"1.33"))))))))</f>
        <v>1.33</v>
      </c>
      <c r="L276" s="711" t="str">
        <f t="shared" ref="L276:L280" si="238">IF(J276&gt;85,("A"),IF(J276&gt;80,("A-"),IF(J276&gt;75,("B+"),IF(J276&gt;70,("B"),IF(J276&gt;65,("B-"),IF(J276&gt;60,("C+"),IF(J276&gt;55,("C"),IF(J276&gt;50,("C-"),"D+"))))))))</f>
        <v>D+</v>
      </c>
      <c r="M276" s="712" t="str">
        <f t="shared" ref="M276:M280" si="239">IF(J276&gt;80,("SB"),IF(J276&gt;65,("B"),IF(J276&gt;50,("C"),IF(J276&gt;0,("K"),"0"))))</f>
        <v>0</v>
      </c>
      <c r="N276" s="1631"/>
      <c r="O276" s="1632"/>
      <c r="P276" s="1632"/>
      <c r="Q276" s="1632"/>
      <c r="R276" s="1632"/>
      <c r="S276" s="1632"/>
      <c r="T276" s="1633"/>
      <c r="U276" s="1633"/>
      <c r="V276" s="1633"/>
      <c r="W276" s="1633"/>
      <c r="X276" s="1633"/>
      <c r="Y276" s="1633"/>
      <c r="Z276" s="1920"/>
      <c r="AA276" s="1522"/>
    </row>
    <row r="277" spans="1:27" ht="24.95" customHeight="1" x14ac:dyDescent="0.3">
      <c r="A277" s="687"/>
      <c r="B277" s="683"/>
      <c r="C277" s="1630"/>
      <c r="D277" s="1626" t="s">
        <v>179</v>
      </c>
      <c r="E277" s="1891">
        <f>VLOOKUP(A275,UHT_AGM,26,FALSE)</f>
        <v>0</v>
      </c>
      <c r="F277" s="1905">
        <f t="shared" si="234"/>
        <v>0</v>
      </c>
      <c r="G277" s="1891"/>
      <c r="H277" s="1627">
        <f>VLOOKUP(A275,an_agm,51,FALSE)</f>
        <v>0</v>
      </c>
      <c r="I277" s="709">
        <f t="shared" si="235"/>
        <v>0</v>
      </c>
      <c r="J277" s="710">
        <f t="shared" si="236"/>
        <v>0</v>
      </c>
      <c r="K277" s="711" t="str">
        <f t="shared" si="237"/>
        <v>1.33</v>
      </c>
      <c r="L277" s="711" t="str">
        <f t="shared" si="238"/>
        <v>D+</v>
      </c>
      <c r="M277" s="712" t="str">
        <f t="shared" si="239"/>
        <v>0</v>
      </c>
      <c r="N277" s="1634"/>
      <c r="O277" s="1635"/>
      <c r="P277" s="1635"/>
      <c r="Q277" s="1635"/>
      <c r="R277" s="1635"/>
      <c r="S277" s="1635"/>
      <c r="T277" s="1636"/>
      <c r="U277" s="1636"/>
      <c r="V277" s="1636"/>
      <c r="W277" s="1636"/>
      <c r="X277" s="1636"/>
      <c r="Y277" s="1636"/>
      <c r="Z277" s="1921"/>
      <c r="AA277" s="1524"/>
    </row>
    <row r="278" spans="1:27" ht="24.95" customHeight="1" x14ac:dyDescent="0.3">
      <c r="A278" s="687"/>
      <c r="B278" s="683"/>
      <c r="C278" s="1630"/>
      <c r="D278" s="1626" t="s">
        <v>180</v>
      </c>
      <c r="E278" s="1891">
        <f>VLOOKUP(A275,UHT_AGM,27,FALSE)</f>
        <v>0</v>
      </c>
      <c r="F278" s="1905">
        <f t="shared" si="234"/>
        <v>0</v>
      </c>
      <c r="G278" s="1891"/>
      <c r="H278" s="1627">
        <f>VLOOKUP(A275,an_agm,52,FALSE)</f>
        <v>0</v>
      </c>
      <c r="I278" s="709">
        <f t="shared" si="235"/>
        <v>0</v>
      </c>
      <c r="J278" s="710">
        <f t="shared" si="236"/>
        <v>0</v>
      </c>
      <c r="K278" s="711" t="str">
        <f t="shared" si="237"/>
        <v>1.33</v>
      </c>
      <c r="L278" s="711" t="str">
        <f t="shared" si="238"/>
        <v>D+</v>
      </c>
      <c r="M278" s="712" t="str">
        <f t="shared" si="239"/>
        <v>0</v>
      </c>
      <c r="N278" s="1634"/>
      <c r="O278" s="1635"/>
      <c r="P278" s="1635"/>
      <c r="Q278" s="1635"/>
      <c r="R278" s="1635"/>
      <c r="S278" s="1635"/>
      <c r="T278" s="1636"/>
      <c r="U278" s="1636"/>
      <c r="V278" s="1636"/>
      <c r="W278" s="1636"/>
      <c r="X278" s="1636"/>
      <c r="Y278" s="1636"/>
      <c r="Z278" s="1921"/>
      <c r="AA278" s="1524"/>
    </row>
    <row r="279" spans="1:27" ht="24.95" customHeight="1" x14ac:dyDescent="0.3">
      <c r="A279" s="1637"/>
      <c r="B279" s="360"/>
      <c r="C279" s="1630"/>
      <c r="D279" s="1626" t="s">
        <v>19</v>
      </c>
      <c r="E279" s="1891">
        <f>VLOOKUP(A275,UHT_AGM,28,FALSE)</f>
        <v>0</v>
      </c>
      <c r="F279" s="1905">
        <f t="shared" si="234"/>
        <v>0</v>
      </c>
      <c r="G279" s="1891"/>
      <c r="H279" s="1627">
        <f>VLOOKUP(A275,an_agm,53,FALSE)</f>
        <v>0</v>
      </c>
      <c r="I279" s="709">
        <f t="shared" si="235"/>
        <v>0</v>
      </c>
      <c r="J279" s="710">
        <f t="shared" si="236"/>
        <v>0</v>
      </c>
      <c r="K279" s="711" t="str">
        <f t="shared" si="237"/>
        <v>1.33</v>
      </c>
      <c r="L279" s="711" t="str">
        <f t="shared" si="238"/>
        <v>D+</v>
      </c>
      <c r="M279" s="712" t="str">
        <f t="shared" si="239"/>
        <v>0</v>
      </c>
      <c r="N279" s="1638"/>
      <c r="O279" s="1639"/>
      <c r="P279" s="1639"/>
      <c r="Q279" s="1639"/>
      <c r="R279" s="1639"/>
      <c r="S279" s="1639"/>
      <c r="T279" s="1640"/>
      <c r="U279" s="1640"/>
      <c r="V279" s="1640"/>
      <c r="W279" s="1640"/>
      <c r="X279" s="1640"/>
      <c r="Y279" s="1640"/>
      <c r="Z279" s="1921"/>
      <c r="AA279" s="1524"/>
    </row>
    <row r="280" spans="1:27" ht="24.95" customHeight="1" x14ac:dyDescent="0.3">
      <c r="A280" s="1637"/>
      <c r="B280" s="360"/>
      <c r="C280" s="1630"/>
      <c r="D280" s="1626" t="s">
        <v>181</v>
      </c>
      <c r="E280" s="1891">
        <f>VLOOKUP(A275,UHT_AGM,30,FALSE)</f>
        <v>0</v>
      </c>
      <c r="F280" s="1905">
        <f t="shared" si="234"/>
        <v>0</v>
      </c>
      <c r="G280" s="1891"/>
      <c r="H280" s="1627">
        <f>VLOOKUP(A275,an_agm,54,FALSE)</f>
        <v>0</v>
      </c>
      <c r="I280" s="709">
        <f t="shared" si="235"/>
        <v>0</v>
      </c>
      <c r="J280" s="710">
        <f t="shared" si="236"/>
        <v>0</v>
      </c>
      <c r="K280" s="711" t="str">
        <f t="shared" si="237"/>
        <v>1.33</v>
      </c>
      <c r="L280" s="711" t="str">
        <f t="shared" si="238"/>
        <v>D+</v>
      </c>
      <c r="M280" s="712" t="str">
        <f t="shared" si="239"/>
        <v>0</v>
      </c>
      <c r="N280" s="1812"/>
      <c r="O280" s="1813"/>
      <c r="P280" s="1813"/>
      <c r="Q280" s="1813"/>
      <c r="R280" s="1813"/>
      <c r="S280" s="1813"/>
      <c r="T280" s="1814"/>
      <c r="U280" s="1814"/>
      <c r="V280" s="1814"/>
      <c r="W280" s="1814"/>
      <c r="X280" s="1814"/>
      <c r="Y280" s="1814"/>
      <c r="Z280" s="1922"/>
      <c r="AA280" s="1526"/>
    </row>
    <row r="281" spans="1:27" ht="24.95" customHeight="1" x14ac:dyDescent="0.25">
      <c r="A281" s="1641"/>
      <c r="B281" s="1642">
        <v>39</v>
      </c>
      <c r="C281" s="1643" t="s">
        <v>167</v>
      </c>
      <c r="D281" s="1641"/>
      <c r="E281" s="1189">
        <f>AVERAGE(E275:E280)</f>
        <v>0</v>
      </c>
      <c r="F281" s="1641"/>
      <c r="G281" s="1189" t="e">
        <f>AVEDEV(G275:G280)</f>
        <v>#NUM!</v>
      </c>
      <c r="H281" s="1189">
        <f>AVERAGE(H275:H280)</f>
        <v>0</v>
      </c>
      <c r="I281" s="1644"/>
      <c r="J281" s="350">
        <f>AVERAGE(J275:J280)</f>
        <v>0</v>
      </c>
      <c r="K281" s="350" t="str">
        <f>IF(J281&gt;85,("4"),IF(J281&gt;80,("3.66"),IF(J281&gt;75,("3.33"),IF(J281&gt;70,("3.00"),IF(J281&gt;65,("2.66"),IF(J281&gt;60,("2.33"),IF(J281&gt;55,("2"),IF(J281&gt;50,("1.66"),"1.33"))))))))</f>
        <v>1.33</v>
      </c>
      <c r="L281" s="1645" t="str">
        <f>IF(J281&gt;85,("A"),IF(J281&gt;80,("A-"),IF(J281&gt;75,("B+"),IF(J281&gt;70,("B"),IF(J281&gt;65,("B-"),IF(J281&gt;60,("C+"),IF(J281&gt;55,("C"),IF(J281&gt;50,("C-"),"D+"))))))))</f>
        <v>D+</v>
      </c>
      <c r="M281" s="1646" t="str">
        <f>IF(J281&gt;85,("A"),IF(J281&gt;80,("A-"),IF(J281&gt;75,("B+"),IF(J281&gt;70,("B"),IF(J281&gt;65,("B-"),IF(J281&gt;60,("C+"),IF(J281&gt;55,("C"),IF(J281&gt;50,("C-"),"D+"))))))))</f>
        <v>D+</v>
      </c>
      <c r="N281" s="1917"/>
      <c r="O281" s="1918"/>
      <c r="P281" s="1918"/>
      <c r="Q281" s="1918"/>
      <c r="R281" s="1918"/>
      <c r="S281" s="1918"/>
      <c r="T281" s="1918"/>
      <c r="U281" s="1918"/>
      <c r="V281" s="1918"/>
      <c r="W281" s="1918"/>
      <c r="X281" s="1918"/>
      <c r="Y281" s="1918"/>
      <c r="Z281" s="1923"/>
      <c r="AA281" s="1924"/>
    </row>
    <row r="282" spans="1:27" ht="24.95" customHeight="1" x14ac:dyDescent="0.3">
      <c r="A282" s="360">
        <v>40</v>
      </c>
      <c r="B282" s="683"/>
      <c r="C282" s="1625" t="e">
        <f>VLOOKUP(A282,data_siswa,4,FALSE)</f>
        <v>#N/A</v>
      </c>
      <c r="D282" s="1626" t="s">
        <v>7</v>
      </c>
      <c r="E282" s="1891">
        <f>VLOOKUP(A282,UHT_AGM,24,FALSE)</f>
        <v>0</v>
      </c>
      <c r="F282" s="1904">
        <f>E282*2</f>
        <v>0</v>
      </c>
      <c r="G282" s="1891"/>
      <c r="H282" s="1627">
        <f>VLOOKUP(A282,an_agm,49,FALSE)</f>
        <v>0</v>
      </c>
      <c r="I282" s="706">
        <f>F282+G282+H282</f>
        <v>0</v>
      </c>
      <c r="J282" s="707">
        <f>(F282+G282+H282)/4</f>
        <v>0</v>
      </c>
      <c r="K282" s="708" t="str">
        <f>IF(J282&gt;85,("4"),IF(J282&gt;80,("3.66"),IF(J282&gt;75,("3.33"),IF(J282&gt;70,("3.00"),IF(J282&gt;65,("2.66"),IF(J282&gt;60,("2.33"),IF(J282&gt;55,("2"),IF(J282&gt;50,("1.66"),"1.33"))))))))</f>
        <v>1.33</v>
      </c>
      <c r="L282" s="708" t="str">
        <f>IF(J282&gt;85,("A"),IF(J282&gt;80,("A-"),IF(J282&gt;75,("B+"),IF(J282&gt;70,("B"),IF(J282&gt;65,("B-"),IF(J282&gt;60,("C+"),IF(J282&gt;55,("C"),IF(J282&gt;50,("C-"),"D+"))))))))</f>
        <v>D+</v>
      </c>
      <c r="M282" s="887" t="str">
        <f>IF(J282&gt;80,("SB"),IF(J282&gt;65,("B"),IF(J282&gt;50,("C"),IF(J282&gt;0,("K"),"0"))))</f>
        <v>0</v>
      </c>
      <c r="N282" s="1628"/>
      <c r="O282" s="1602"/>
      <c r="P282" s="1602"/>
      <c r="Q282" s="1602"/>
      <c r="R282" s="1602"/>
      <c r="S282" s="1602"/>
      <c r="T282" s="1629"/>
      <c r="U282" s="1629"/>
      <c r="V282" s="1629"/>
      <c r="W282" s="1629"/>
      <c r="X282" s="1629"/>
      <c r="Y282" s="1629"/>
      <c r="Z282" s="1193">
        <f>J288</f>
        <v>0</v>
      </c>
      <c r="AA282" s="1919" t="str">
        <f>L288</f>
        <v>D+</v>
      </c>
    </row>
    <row r="283" spans="1:27" ht="24.95" customHeight="1" x14ac:dyDescent="0.3">
      <c r="A283" s="687"/>
      <c r="B283" s="683"/>
      <c r="C283" s="1630"/>
      <c r="D283" s="1626" t="s">
        <v>18</v>
      </c>
      <c r="E283" s="1891">
        <f>VLOOKUP(A282,UHT_AGM,25,FALSE)</f>
        <v>0</v>
      </c>
      <c r="F283" s="1905">
        <f t="shared" ref="F283:F287" si="240">E283*2</f>
        <v>0</v>
      </c>
      <c r="G283" s="1891"/>
      <c r="H283" s="1627">
        <f>VLOOKUP(A282,an_agm,50,FALSE)</f>
        <v>0</v>
      </c>
      <c r="I283" s="709">
        <f t="shared" ref="I283:I287" si="241">F283+G283+H283</f>
        <v>0</v>
      </c>
      <c r="J283" s="710">
        <f t="shared" ref="J283:J287" si="242">(F283+G283+H283)/4</f>
        <v>0</v>
      </c>
      <c r="K283" s="711" t="str">
        <f t="shared" ref="K283:K287" si="243">IF(J283&gt;85,("4"),IF(J283&gt;80,("3.66"),IF(J283&gt;75,("3.33"),IF(J283&gt;70,("3.00"),IF(J283&gt;65,("2.66"),IF(J283&gt;60,("2.33"),IF(J283&gt;55,("2"),IF(J283&gt;50,("1.66"),"1.33"))))))))</f>
        <v>1.33</v>
      </c>
      <c r="L283" s="711" t="str">
        <f t="shared" ref="L283:L287" si="244">IF(J283&gt;85,("A"),IF(J283&gt;80,("A-"),IF(J283&gt;75,("B+"),IF(J283&gt;70,("B"),IF(J283&gt;65,("B-"),IF(J283&gt;60,("C+"),IF(J283&gt;55,("C"),IF(J283&gt;50,("C-"),"D+"))))))))</f>
        <v>D+</v>
      </c>
      <c r="M283" s="712" t="str">
        <f t="shared" ref="M283:M287" si="245">IF(J283&gt;80,("SB"),IF(J283&gt;65,("B"),IF(J283&gt;50,("C"),IF(J283&gt;0,("K"),"0"))))</f>
        <v>0</v>
      </c>
      <c r="N283" s="1631"/>
      <c r="O283" s="1632"/>
      <c r="P283" s="1632"/>
      <c r="Q283" s="1632"/>
      <c r="R283" s="1632"/>
      <c r="S283" s="1632"/>
      <c r="T283" s="1633"/>
      <c r="U283" s="1633"/>
      <c r="V283" s="1633"/>
      <c r="W283" s="1633"/>
      <c r="X283" s="1633"/>
      <c r="Y283" s="1633"/>
      <c r="Z283" s="1920"/>
      <c r="AA283" s="1522"/>
    </row>
    <row r="284" spans="1:27" ht="24.95" customHeight="1" x14ac:dyDescent="0.3">
      <c r="A284" s="687"/>
      <c r="B284" s="683"/>
      <c r="C284" s="1630"/>
      <c r="D284" s="1626" t="s">
        <v>179</v>
      </c>
      <c r="E284" s="1891">
        <f>VLOOKUP(A282,UHT_AGM,26,FALSE)</f>
        <v>0</v>
      </c>
      <c r="F284" s="1905">
        <f t="shared" si="240"/>
        <v>0</v>
      </c>
      <c r="G284" s="1891"/>
      <c r="H284" s="1627">
        <f>VLOOKUP(A282,an_agm,51,FALSE)</f>
        <v>0</v>
      </c>
      <c r="I284" s="709">
        <f t="shared" si="241"/>
        <v>0</v>
      </c>
      <c r="J284" s="710">
        <f t="shared" si="242"/>
        <v>0</v>
      </c>
      <c r="K284" s="711" t="str">
        <f t="shared" si="243"/>
        <v>1.33</v>
      </c>
      <c r="L284" s="711" t="str">
        <f t="shared" si="244"/>
        <v>D+</v>
      </c>
      <c r="M284" s="712" t="str">
        <f t="shared" si="245"/>
        <v>0</v>
      </c>
      <c r="N284" s="1634"/>
      <c r="O284" s="1635"/>
      <c r="P284" s="1635"/>
      <c r="Q284" s="1635"/>
      <c r="R284" s="1635"/>
      <c r="S284" s="1635"/>
      <c r="T284" s="1636"/>
      <c r="U284" s="1636"/>
      <c r="V284" s="1636"/>
      <c r="W284" s="1636"/>
      <c r="X284" s="1636"/>
      <c r="Y284" s="1636"/>
      <c r="Z284" s="1921"/>
      <c r="AA284" s="1524"/>
    </row>
    <row r="285" spans="1:27" ht="24.95" customHeight="1" x14ac:dyDescent="0.3">
      <c r="A285" s="687"/>
      <c r="B285" s="683"/>
      <c r="C285" s="1630"/>
      <c r="D285" s="1626" t="s">
        <v>180</v>
      </c>
      <c r="E285" s="1891">
        <f>VLOOKUP(A282,UHT_AGM,27,FALSE)</f>
        <v>0</v>
      </c>
      <c r="F285" s="1905">
        <f t="shared" si="240"/>
        <v>0</v>
      </c>
      <c r="G285" s="1891"/>
      <c r="H285" s="1627">
        <f>VLOOKUP(A282,an_agm,52,FALSE)</f>
        <v>0</v>
      </c>
      <c r="I285" s="709">
        <f t="shared" si="241"/>
        <v>0</v>
      </c>
      <c r="J285" s="710">
        <f t="shared" si="242"/>
        <v>0</v>
      </c>
      <c r="K285" s="711" t="str">
        <f t="shared" si="243"/>
        <v>1.33</v>
      </c>
      <c r="L285" s="711" t="str">
        <f t="shared" si="244"/>
        <v>D+</v>
      </c>
      <c r="M285" s="712" t="str">
        <f t="shared" si="245"/>
        <v>0</v>
      </c>
      <c r="N285" s="1634"/>
      <c r="O285" s="1635"/>
      <c r="P285" s="1635"/>
      <c r="Q285" s="1635"/>
      <c r="R285" s="1635"/>
      <c r="S285" s="1635"/>
      <c r="T285" s="1636"/>
      <c r="U285" s="1636"/>
      <c r="V285" s="1636"/>
      <c r="W285" s="1636"/>
      <c r="X285" s="1636"/>
      <c r="Y285" s="1636"/>
      <c r="Z285" s="1921"/>
      <c r="AA285" s="1524"/>
    </row>
    <row r="286" spans="1:27" ht="24.95" customHeight="1" x14ac:dyDescent="0.3">
      <c r="A286" s="1637"/>
      <c r="B286" s="360"/>
      <c r="C286" s="1630"/>
      <c r="D286" s="1626" t="s">
        <v>19</v>
      </c>
      <c r="E286" s="1891">
        <f>VLOOKUP(A282,UHT_AGM,28,FALSE)</f>
        <v>0</v>
      </c>
      <c r="F286" s="1905">
        <f t="shared" si="240"/>
        <v>0</v>
      </c>
      <c r="G286" s="1891"/>
      <c r="H286" s="1627">
        <f>VLOOKUP(A282,an_agm,53,FALSE)</f>
        <v>0</v>
      </c>
      <c r="I286" s="709">
        <f t="shared" si="241"/>
        <v>0</v>
      </c>
      <c r="J286" s="710">
        <f t="shared" si="242"/>
        <v>0</v>
      </c>
      <c r="K286" s="711" t="str">
        <f t="shared" si="243"/>
        <v>1.33</v>
      </c>
      <c r="L286" s="711" t="str">
        <f t="shared" si="244"/>
        <v>D+</v>
      </c>
      <c r="M286" s="712" t="str">
        <f t="shared" si="245"/>
        <v>0</v>
      </c>
      <c r="N286" s="1638"/>
      <c r="O286" s="1639"/>
      <c r="P286" s="1639"/>
      <c r="Q286" s="1639"/>
      <c r="R286" s="1639"/>
      <c r="S286" s="1639"/>
      <c r="T286" s="1640"/>
      <c r="U286" s="1640"/>
      <c r="V286" s="1640"/>
      <c r="W286" s="1640"/>
      <c r="X286" s="1640"/>
      <c r="Y286" s="1640"/>
      <c r="Z286" s="1921"/>
      <c r="AA286" s="1524"/>
    </row>
    <row r="287" spans="1:27" ht="24.95" customHeight="1" x14ac:dyDescent="0.3">
      <c r="A287" s="1637"/>
      <c r="B287" s="360"/>
      <c r="C287" s="1630"/>
      <c r="D287" s="1626" t="s">
        <v>181</v>
      </c>
      <c r="E287" s="1891">
        <f>VLOOKUP(A282,UHT_AGM,30,FALSE)</f>
        <v>0</v>
      </c>
      <c r="F287" s="1905">
        <f t="shared" si="240"/>
        <v>0</v>
      </c>
      <c r="G287" s="1891"/>
      <c r="H287" s="1627">
        <f>VLOOKUP(A282,an_agm,54,FALSE)</f>
        <v>0</v>
      </c>
      <c r="I287" s="709">
        <f t="shared" si="241"/>
        <v>0</v>
      </c>
      <c r="J287" s="710">
        <f t="shared" si="242"/>
        <v>0</v>
      </c>
      <c r="K287" s="711" t="str">
        <f t="shared" si="243"/>
        <v>1.33</v>
      </c>
      <c r="L287" s="711" t="str">
        <f t="shared" si="244"/>
        <v>D+</v>
      </c>
      <c r="M287" s="712" t="str">
        <f t="shared" si="245"/>
        <v>0</v>
      </c>
      <c r="N287" s="1812"/>
      <c r="O287" s="1813"/>
      <c r="P287" s="1813"/>
      <c r="Q287" s="1813"/>
      <c r="R287" s="1813"/>
      <c r="S287" s="1813"/>
      <c r="T287" s="1814"/>
      <c r="U287" s="1814"/>
      <c r="V287" s="1814"/>
      <c r="W287" s="1814"/>
      <c r="X287" s="1814"/>
      <c r="Y287" s="1814"/>
      <c r="Z287" s="1922"/>
      <c r="AA287" s="1526"/>
    </row>
    <row r="288" spans="1:27" ht="24.95" customHeight="1" x14ac:dyDescent="0.25">
      <c r="A288" s="1641"/>
      <c r="B288" s="1642">
        <v>40</v>
      </c>
      <c r="C288" s="1643" t="s">
        <v>167</v>
      </c>
      <c r="D288" s="1641"/>
      <c r="E288" s="1189">
        <f>AVERAGE(E282:E287)</f>
        <v>0</v>
      </c>
      <c r="F288" s="1641"/>
      <c r="G288" s="1189" t="e">
        <f>AVEDEV(G282:G287)</f>
        <v>#NUM!</v>
      </c>
      <c r="H288" s="1189">
        <f>AVERAGE(H282:H287)</f>
        <v>0</v>
      </c>
      <c r="I288" s="1644"/>
      <c r="J288" s="350">
        <f>AVERAGE(J282:J287)</f>
        <v>0</v>
      </c>
      <c r="K288" s="350" t="str">
        <f>IF(J288&gt;85,("4"),IF(J288&gt;80,("3.66"),IF(J288&gt;75,("3.33"),IF(J288&gt;70,("3.00"),IF(J288&gt;65,("2.66"),IF(J288&gt;60,("2.33"),IF(J288&gt;55,("2"),IF(J288&gt;50,("1.66"),"1.33"))))))))</f>
        <v>1.33</v>
      </c>
      <c r="L288" s="1645" t="str">
        <f>IF(J288&gt;85,("A"),IF(J288&gt;80,("A-"),IF(J288&gt;75,("B+"),IF(J288&gt;70,("B"),IF(J288&gt;65,("B-"),IF(J288&gt;60,("C+"),IF(J288&gt;55,("C"),IF(J288&gt;50,("C-"),"D+"))))))))</f>
        <v>D+</v>
      </c>
      <c r="M288" s="1646" t="str">
        <f>IF(J288&gt;85,("A"),IF(J288&gt;80,("A-"),IF(J288&gt;75,("B+"),IF(J288&gt;70,("B"),IF(J288&gt;65,("B-"),IF(J288&gt;60,("C+"),IF(J288&gt;55,("C"),IF(J288&gt;50,("C-"),"D+"))))))))</f>
        <v>D+</v>
      </c>
      <c r="N288" s="1917"/>
      <c r="O288" s="1918"/>
      <c r="P288" s="1918"/>
      <c r="Q288" s="1918"/>
      <c r="R288" s="1918"/>
      <c r="S288" s="1918"/>
      <c r="T288" s="1918"/>
      <c r="U288" s="1918"/>
      <c r="V288" s="1918"/>
      <c r="W288" s="1918"/>
      <c r="X288" s="1918"/>
      <c r="Y288" s="1918"/>
      <c r="Z288" s="1923"/>
      <c r="AA288" s="1924"/>
    </row>
  </sheetData>
  <sheetProtection password="C6F9" sheet="1" objects="1" scenarios="1"/>
  <mergeCells count="14">
    <mergeCell ref="Z7:Z8"/>
    <mergeCell ref="AA7:AA8"/>
    <mergeCell ref="I7:I8"/>
    <mergeCell ref="A7:A8"/>
    <mergeCell ref="B7:B8"/>
    <mergeCell ref="C7:C8"/>
    <mergeCell ref="D7:D8"/>
    <mergeCell ref="E7:H7"/>
    <mergeCell ref="J7:J8"/>
    <mergeCell ref="K7:K8"/>
    <mergeCell ref="L7:L8"/>
    <mergeCell ref="M7:M8"/>
    <mergeCell ref="T7:Y7"/>
    <mergeCell ref="N7:S7"/>
  </mergeCells>
  <conditionalFormatting sqref="J9:J14">
    <cfRule type="top10" dxfId="2165" priority="2020" bottom="1" rank="1"/>
    <cfRule type="top10" dxfId="2164" priority="2021" rank="1"/>
  </conditionalFormatting>
  <conditionalFormatting sqref="J16:J21">
    <cfRule type="top10" dxfId="2163" priority="81" bottom="1" rank="1"/>
    <cfRule type="top10" dxfId="2162" priority="82" rank="1"/>
  </conditionalFormatting>
  <conditionalFormatting sqref="J23:J28">
    <cfRule type="top10" dxfId="2161" priority="79" bottom="1" rank="1"/>
    <cfRule type="top10" dxfId="2160" priority="80" rank="1"/>
  </conditionalFormatting>
  <conditionalFormatting sqref="J30:J35">
    <cfRule type="top10" dxfId="2159" priority="77" bottom="1" rank="1"/>
    <cfRule type="top10" dxfId="2158" priority="78" rank="1"/>
  </conditionalFormatting>
  <conditionalFormatting sqref="J37:J42">
    <cfRule type="top10" dxfId="2157" priority="75" bottom="1" rank="1"/>
    <cfRule type="top10" dxfId="2156" priority="76" rank="1"/>
  </conditionalFormatting>
  <conditionalFormatting sqref="J44:J49">
    <cfRule type="top10" dxfId="2155" priority="73" bottom="1" rank="1"/>
    <cfRule type="top10" dxfId="2154" priority="74" rank="1"/>
  </conditionalFormatting>
  <conditionalFormatting sqref="J51:J56">
    <cfRule type="top10" dxfId="2153" priority="71" bottom="1" rank="1"/>
    <cfRule type="top10" dxfId="2152" priority="72" rank="1"/>
  </conditionalFormatting>
  <conditionalFormatting sqref="J58:J63">
    <cfRule type="top10" dxfId="2151" priority="69" bottom="1" rank="1"/>
    <cfRule type="top10" dxfId="2150" priority="70" rank="1"/>
  </conditionalFormatting>
  <conditionalFormatting sqref="J65:J70">
    <cfRule type="top10" dxfId="2149" priority="67" bottom="1" rank="1"/>
    <cfRule type="top10" dxfId="2148" priority="68" rank="1"/>
  </conditionalFormatting>
  <conditionalFormatting sqref="J72:J77">
    <cfRule type="top10" dxfId="2147" priority="65" bottom="1" rank="1"/>
    <cfRule type="top10" dxfId="2146" priority="66" rank="1"/>
  </conditionalFormatting>
  <conditionalFormatting sqref="J79:J84">
    <cfRule type="top10" dxfId="2145" priority="63" bottom="1" rank="1"/>
    <cfRule type="top10" dxfId="2144" priority="64" rank="1"/>
  </conditionalFormatting>
  <conditionalFormatting sqref="J86:J91">
    <cfRule type="top10" dxfId="2143" priority="61" bottom="1" rank="1"/>
    <cfRule type="top10" dxfId="2142" priority="62" rank="1"/>
  </conditionalFormatting>
  <conditionalFormatting sqref="J93:J98">
    <cfRule type="top10" dxfId="2141" priority="59" bottom="1" rank="1"/>
    <cfRule type="top10" dxfId="2140" priority="60" rank="1"/>
  </conditionalFormatting>
  <conditionalFormatting sqref="J100:J105">
    <cfRule type="top10" dxfId="2139" priority="57" bottom="1" rank="1"/>
    <cfRule type="top10" dxfId="2138" priority="58" rank="1"/>
  </conditionalFormatting>
  <conditionalFormatting sqref="J107:J112">
    <cfRule type="top10" dxfId="2137" priority="55" bottom="1" rank="1"/>
    <cfRule type="top10" dxfId="2136" priority="56" rank="1"/>
  </conditionalFormatting>
  <conditionalFormatting sqref="J114:J119">
    <cfRule type="top10" dxfId="2135" priority="53" bottom="1" rank="1"/>
    <cfRule type="top10" dxfId="2134" priority="54" rank="1"/>
  </conditionalFormatting>
  <conditionalFormatting sqref="J121:J126">
    <cfRule type="top10" dxfId="2133" priority="51" bottom="1" rank="1"/>
    <cfRule type="top10" dxfId="2132" priority="52" rank="1"/>
  </conditionalFormatting>
  <conditionalFormatting sqref="J128:J133">
    <cfRule type="top10" dxfId="2131" priority="49" bottom="1" rank="1"/>
    <cfRule type="top10" dxfId="2130" priority="50" rank="1"/>
  </conditionalFormatting>
  <conditionalFormatting sqref="J135:J140">
    <cfRule type="top10" dxfId="2129" priority="47" bottom="1" rank="1"/>
    <cfRule type="top10" dxfId="2128" priority="48" rank="1"/>
  </conditionalFormatting>
  <conditionalFormatting sqref="J142:J147">
    <cfRule type="top10" dxfId="2127" priority="45" bottom="1" rank="1"/>
    <cfRule type="top10" dxfId="2126" priority="46" rank="1"/>
  </conditionalFormatting>
  <conditionalFormatting sqref="J149:J154">
    <cfRule type="top10" dxfId="2125" priority="43" bottom="1" rank="1"/>
    <cfRule type="top10" dxfId="2124" priority="44" rank="1"/>
  </conditionalFormatting>
  <conditionalFormatting sqref="J156:J161">
    <cfRule type="top10" dxfId="2123" priority="41" bottom="1" rank="1"/>
    <cfRule type="top10" dxfId="2122" priority="42" rank="1"/>
  </conditionalFormatting>
  <conditionalFormatting sqref="J163:J168">
    <cfRule type="top10" dxfId="2121" priority="39" bottom="1" rank="1"/>
    <cfRule type="top10" dxfId="2120" priority="40" rank="1"/>
  </conditionalFormatting>
  <conditionalFormatting sqref="J170:J175">
    <cfRule type="top10" dxfId="2119" priority="37" bottom="1" rank="1"/>
    <cfRule type="top10" dxfId="2118" priority="38" rank="1"/>
  </conditionalFormatting>
  <conditionalFormatting sqref="J177:J182">
    <cfRule type="top10" dxfId="2117" priority="35" bottom="1" rank="1"/>
    <cfRule type="top10" dxfId="2116" priority="36" rank="1"/>
  </conditionalFormatting>
  <conditionalFormatting sqref="J184:J189">
    <cfRule type="top10" dxfId="2115" priority="33" bottom="1" rank="1"/>
    <cfRule type="top10" dxfId="2114" priority="34" rank="1"/>
  </conditionalFormatting>
  <conditionalFormatting sqref="J191:J196">
    <cfRule type="top10" dxfId="2113" priority="31" bottom="1" rank="1"/>
    <cfRule type="top10" dxfId="2112" priority="32" rank="1"/>
  </conditionalFormatting>
  <conditionalFormatting sqref="J198:J203">
    <cfRule type="top10" dxfId="2111" priority="29" bottom="1" rank="1"/>
    <cfRule type="top10" dxfId="2110" priority="30" rank="1"/>
  </conditionalFormatting>
  <conditionalFormatting sqref="J205:J210">
    <cfRule type="top10" dxfId="2109" priority="23" bottom="1" rank="1"/>
    <cfRule type="top10" dxfId="2108" priority="24" rank="1"/>
  </conditionalFormatting>
  <conditionalFormatting sqref="J212:J217">
    <cfRule type="top10" dxfId="2107" priority="21" bottom="1" rank="1"/>
    <cfRule type="top10" dxfId="2106" priority="22" rank="1"/>
  </conditionalFormatting>
  <conditionalFormatting sqref="J219:J224">
    <cfRule type="top10" dxfId="2105" priority="19" bottom="1" rank="1"/>
    <cfRule type="top10" dxfId="2104" priority="20" rank="1"/>
  </conditionalFormatting>
  <conditionalFormatting sqref="J226:J231">
    <cfRule type="top10" dxfId="2103" priority="17" bottom="1" rank="1"/>
    <cfRule type="top10" dxfId="2102" priority="18" rank="1"/>
  </conditionalFormatting>
  <conditionalFormatting sqref="J233:J238">
    <cfRule type="top10" dxfId="2101" priority="15" bottom="1" rank="1"/>
    <cfRule type="top10" dxfId="2100" priority="16" rank="1"/>
  </conditionalFormatting>
  <conditionalFormatting sqref="J240:J245">
    <cfRule type="top10" dxfId="2099" priority="13" bottom="1" rank="1"/>
    <cfRule type="top10" dxfId="2098" priority="14" rank="1"/>
  </conditionalFormatting>
  <conditionalFormatting sqref="J247:J252">
    <cfRule type="top10" dxfId="2097" priority="11" bottom="1" rank="1"/>
    <cfRule type="top10" dxfId="2096" priority="12" rank="1"/>
  </conditionalFormatting>
  <conditionalFormatting sqref="J254:J259">
    <cfRule type="top10" dxfId="2095" priority="9" bottom="1" rank="1"/>
    <cfRule type="top10" dxfId="2094" priority="10" rank="1"/>
  </conditionalFormatting>
  <conditionalFormatting sqref="J261:J266">
    <cfRule type="top10" dxfId="2093" priority="7" bottom="1" rank="1"/>
    <cfRule type="top10" dxfId="2092" priority="8" rank="1"/>
  </conditionalFormatting>
  <conditionalFormatting sqref="J268:J273">
    <cfRule type="top10" dxfId="2091" priority="5" bottom="1" rank="1"/>
    <cfRule type="top10" dxfId="2090" priority="6" rank="1"/>
  </conditionalFormatting>
  <conditionalFormatting sqref="J275:J280">
    <cfRule type="top10" dxfId="2089" priority="3" bottom="1" rank="1"/>
    <cfRule type="top10" dxfId="2088" priority="4" rank="1"/>
  </conditionalFormatting>
  <conditionalFormatting sqref="J282:J287">
    <cfRule type="top10" dxfId="2087" priority="1" bottom="1" rank="1"/>
    <cfRule type="top10" dxfId="2086" priority="2" rank="1"/>
  </conditionalFormatting>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B0F0"/>
  </sheetPr>
  <dimension ref="A1:U166"/>
  <sheetViews>
    <sheetView showGridLines="0" workbookViewId="0">
      <pane xSplit="1" ySplit="6" topLeftCell="B19" activePane="bottomRight" state="frozen"/>
      <selection pane="topRight" activeCell="B1" sqref="B1"/>
      <selection pane="bottomLeft" activeCell="A7" sqref="A7"/>
      <selection pane="bottomRight"/>
    </sheetView>
  </sheetViews>
  <sheetFormatPr defaultRowHeight="15" x14ac:dyDescent="0.25"/>
  <cols>
    <col min="1" max="1" width="4.85546875" style="352" customWidth="1"/>
    <col min="2" max="2" width="4.85546875" style="678" customWidth="1"/>
    <col min="3" max="3" width="25.28515625" style="679" customWidth="1"/>
    <col min="4" max="4" width="5.7109375" style="886" customWidth="1"/>
    <col min="5" max="10" width="6.7109375" style="352" customWidth="1"/>
    <col min="11" max="11" width="9.140625" style="352"/>
    <col min="12" max="12" width="10" style="352" customWidth="1"/>
    <col min="13" max="13" width="10.42578125" style="352" customWidth="1"/>
    <col min="14" max="14" width="6.7109375" style="353" customWidth="1"/>
    <col min="15" max="19" width="6.7109375" style="352" customWidth="1"/>
    <col min="20" max="20" width="7.42578125" style="352" customWidth="1"/>
    <col min="21" max="21" width="6.85546875" style="352" customWidth="1"/>
    <col min="22" max="16384" width="9.140625" style="352"/>
  </cols>
  <sheetData>
    <row r="1" spans="1:21" ht="21" x14ac:dyDescent="0.35">
      <c r="A1" s="351" t="s">
        <v>165</v>
      </c>
      <c r="D1" s="69"/>
      <c r="E1" s="69"/>
      <c r="F1" s="69"/>
      <c r="G1" s="69"/>
      <c r="H1" s="69"/>
      <c r="I1" s="69"/>
      <c r="J1" s="69"/>
      <c r="K1" s="69"/>
    </row>
    <row r="2" spans="1:21" ht="21" x14ac:dyDescent="0.35">
      <c r="A2" s="351" t="s">
        <v>54</v>
      </c>
    </row>
    <row r="3" spans="1:21" ht="18.75" x14ac:dyDescent="0.3">
      <c r="A3" s="354" t="s">
        <v>562</v>
      </c>
      <c r="P3" s="680"/>
    </row>
    <row r="4" spans="1:21" s="1801" customFormat="1" ht="15.75" thickBot="1" x14ac:dyDescent="0.3">
      <c r="A4" s="1137">
        <v>1</v>
      </c>
      <c r="B4" s="1137">
        <v>2</v>
      </c>
      <c r="C4" s="1137">
        <v>3</v>
      </c>
      <c r="D4" s="1137">
        <v>4</v>
      </c>
      <c r="E4" s="1137">
        <v>5</v>
      </c>
      <c r="F4" s="1137">
        <v>6</v>
      </c>
      <c r="G4" s="1137">
        <v>7</v>
      </c>
      <c r="H4" s="1137">
        <v>8</v>
      </c>
      <c r="I4" s="1137">
        <v>9</v>
      </c>
      <c r="J4" s="1137">
        <v>10</v>
      </c>
      <c r="K4" s="1137">
        <v>11</v>
      </c>
      <c r="L4" s="1137">
        <v>12</v>
      </c>
      <c r="M4" s="1137">
        <v>13</v>
      </c>
      <c r="N4" s="1137">
        <v>14</v>
      </c>
      <c r="O4" s="1137">
        <v>15</v>
      </c>
      <c r="P4" s="1137">
        <v>16</v>
      </c>
      <c r="Q4" s="1137">
        <v>17</v>
      </c>
      <c r="R4" s="1137">
        <v>18</v>
      </c>
      <c r="S4" s="1137">
        <v>19</v>
      </c>
      <c r="T4" s="1137">
        <v>20</v>
      </c>
      <c r="U4" s="1137">
        <v>21</v>
      </c>
    </row>
    <row r="5" spans="1:21" ht="18.75" customHeight="1" x14ac:dyDescent="0.25">
      <c r="A5" s="2522" t="s">
        <v>0</v>
      </c>
      <c r="B5" s="2535" t="s">
        <v>55</v>
      </c>
      <c r="C5" s="2537" t="s">
        <v>1</v>
      </c>
      <c r="D5" s="2524" t="s">
        <v>56</v>
      </c>
      <c r="E5" s="2524" t="s">
        <v>32</v>
      </c>
      <c r="F5" s="2524"/>
      <c r="G5" s="2524"/>
      <c r="H5" s="2524"/>
      <c r="I5" s="2524" t="s">
        <v>59</v>
      </c>
      <c r="J5" s="2524" t="s">
        <v>60</v>
      </c>
      <c r="K5" s="2548" t="s">
        <v>61</v>
      </c>
      <c r="L5" s="2548" t="s">
        <v>62</v>
      </c>
      <c r="M5" s="2550" t="s">
        <v>63</v>
      </c>
      <c r="N5" s="2543" t="s">
        <v>731</v>
      </c>
      <c r="O5" s="2544"/>
      <c r="P5" s="2544"/>
      <c r="Q5" s="2545" t="s">
        <v>730</v>
      </c>
      <c r="R5" s="2546"/>
      <c r="S5" s="2547"/>
      <c r="T5" s="2541" t="s">
        <v>60</v>
      </c>
      <c r="U5" s="2539" t="s">
        <v>804</v>
      </c>
    </row>
    <row r="6" spans="1:21" ht="20.25" customHeight="1" thickBot="1" x14ac:dyDescent="0.3">
      <c r="A6" s="2523"/>
      <c r="B6" s="2536"/>
      <c r="C6" s="2538"/>
      <c r="D6" s="2525"/>
      <c r="E6" s="1887" t="s">
        <v>57</v>
      </c>
      <c r="F6" s="1887" t="s">
        <v>58</v>
      </c>
      <c r="G6" s="1887" t="s">
        <v>13</v>
      </c>
      <c r="H6" s="1887" t="s">
        <v>14</v>
      </c>
      <c r="I6" s="2525"/>
      <c r="J6" s="2525"/>
      <c r="K6" s="2549"/>
      <c r="L6" s="2549"/>
      <c r="M6" s="2551"/>
      <c r="N6" s="681" t="s">
        <v>12</v>
      </c>
      <c r="O6" s="681" t="s">
        <v>7</v>
      </c>
      <c r="P6" s="681" t="s">
        <v>10</v>
      </c>
      <c r="Q6" s="682" t="s">
        <v>12</v>
      </c>
      <c r="R6" s="1815" t="s">
        <v>7</v>
      </c>
      <c r="S6" s="1815" t="s">
        <v>10</v>
      </c>
      <c r="T6" s="2542"/>
      <c r="U6" s="2540"/>
    </row>
    <row r="7" spans="1:21" ht="24.95" customHeight="1" x14ac:dyDescent="0.25">
      <c r="A7" s="360">
        <v>1</v>
      </c>
      <c r="B7" s="683">
        <v>1</v>
      </c>
      <c r="C7" s="684" t="str">
        <f>VLOOKUP(A7,data_siswa,4,FALSE)</f>
        <v>Achmad Zacky</v>
      </c>
      <c r="D7" s="1893" t="s">
        <v>12</v>
      </c>
      <c r="E7" s="627">
        <v>76</v>
      </c>
      <c r="F7" s="1904">
        <f>E7*2</f>
        <v>152</v>
      </c>
      <c r="G7" s="1891">
        <v>78</v>
      </c>
      <c r="H7" s="1627">
        <f>VLOOKUP(B7,REKAP_NILAI,4,FALSE)</f>
        <v>83.333333333333343</v>
      </c>
      <c r="I7" s="706">
        <f>F7+G7+H7</f>
        <v>313.33333333333337</v>
      </c>
      <c r="J7" s="707">
        <f>(F7+G7+H7)/4</f>
        <v>78.333333333333343</v>
      </c>
      <c r="K7" s="708" t="str">
        <f>IF(J7&gt;85,("4"),IF(J7&gt;80,("3.66"),IF(J7&gt;75,("3.33"),IF(J7&gt;70,("3.00"),IF(J7&gt;65,("2.66"),IF(J7&gt;60,("2.33"),IF(J7&gt;55,("2"),IF(J7&gt;50,("1.66"),"1.33"))))))))</f>
        <v>3.33</v>
      </c>
      <c r="L7" s="708" t="str">
        <f>IF(J7&gt;85,("A"),IF(J7&gt;80,("A-"),IF(J7&gt;75,("B+"),IF(J7&gt;70,("B"),IF(J7&gt;65,("B-"),IF(J7&gt;60,("C+"),IF(J7&gt;55,("C"),IF(J7&gt;50,("C-"),"D+"))))))))</f>
        <v>B+</v>
      </c>
      <c r="M7" s="887" t="str">
        <f>IF(J7&gt;80,("SB"),IF(J7&gt;65,("B"),IF(J7&gt;50,("C"),IF(J7&gt;0,("K"),"0"))))</f>
        <v>B</v>
      </c>
      <c r="N7" s="685"/>
      <c r="O7" s="360">
        <v>4</v>
      </c>
      <c r="P7" s="360"/>
      <c r="Q7" s="686"/>
      <c r="R7" s="686"/>
      <c r="S7" s="1802"/>
      <c r="T7" s="1196">
        <f>J10</f>
        <v>75.712606837606856</v>
      </c>
      <c r="U7" s="1481" t="str">
        <f>IF(T7&gt;85,("A"),IF(T7&gt;80,("A-"),IF(T7&gt;75,("B+"),IF(T7&gt;70,("B"),IF(T7&gt;65,("B-"),IF(T7&gt;60,("C+"),IF(T7&gt;55,("C"),IF(T7&gt;50,("C-"),"D+"))))))))</f>
        <v>B+</v>
      </c>
    </row>
    <row r="8" spans="1:21" ht="24.95" customHeight="1" x14ac:dyDescent="0.25">
      <c r="A8" s="687"/>
      <c r="B8" s="683">
        <v>1</v>
      </c>
      <c r="C8" s="688"/>
      <c r="D8" s="1893" t="s">
        <v>7</v>
      </c>
      <c r="E8" s="627">
        <v>80</v>
      </c>
      <c r="F8" s="1905">
        <f t="shared" ref="F8:F9" si="0">E8*2</f>
        <v>160</v>
      </c>
      <c r="G8" s="1891">
        <v>89</v>
      </c>
      <c r="H8" s="1188">
        <f>VLOOKUP(B7,REKAP_NILAI,5,FALSE)</f>
        <v>81.410256410256409</v>
      </c>
      <c r="I8" s="709">
        <f t="shared" ref="I8:I9" si="1">F8+G8+H8</f>
        <v>330.41025641025641</v>
      </c>
      <c r="J8" s="710">
        <f t="shared" ref="J8:J9" si="2">(F8+G8+H8)/4</f>
        <v>82.602564102564102</v>
      </c>
      <c r="K8" s="711" t="str">
        <f t="shared" ref="K8:K10" si="3">IF(J8&gt;85,("4"),IF(J8&gt;80,("3.66"),IF(J8&gt;75,("3.33"),IF(J8&gt;70,("3.00"),IF(J8&gt;65,("2.66"),IF(J8&gt;60,("2.33"),IF(J8&gt;55,("2"),IF(J8&gt;50,("1.66"),"1.33"))))))))</f>
        <v>3.66</v>
      </c>
      <c r="L8" s="711" t="str">
        <f t="shared" ref="L8:L10" si="4">IF(J8&gt;85,("A"),IF(J8&gt;80,("A-"),IF(J8&gt;75,("B+"),IF(J8&gt;70,("B"),IF(J8&gt;65,("B-"),IF(J8&gt;60,("C+"),IF(J8&gt;55,("C"),IF(J8&gt;50,("C-"),"D+"))))))))</f>
        <v>A-</v>
      </c>
      <c r="M8" s="712" t="str">
        <f t="shared" ref="M8:M10" si="5">IF(J8&gt;80,("SB"),IF(J8&gt;65,("B"),IF(J8&gt;50,("C"),IF(J8&gt;0,("K"),"0"))))</f>
        <v>SB</v>
      </c>
      <c r="N8" s="689"/>
      <c r="O8" s="690"/>
      <c r="P8" s="690"/>
      <c r="Q8" s="691"/>
      <c r="R8" s="691"/>
      <c r="S8" s="691"/>
      <c r="T8" s="1804"/>
      <c r="U8" s="1805"/>
    </row>
    <row r="9" spans="1:21" ht="24.95" customHeight="1" x14ac:dyDescent="0.25">
      <c r="A9" s="687"/>
      <c r="B9" s="683">
        <v>1</v>
      </c>
      <c r="C9" s="688"/>
      <c r="D9" s="1893" t="s">
        <v>10</v>
      </c>
      <c r="E9" s="627">
        <v>70</v>
      </c>
      <c r="F9" s="1905">
        <f t="shared" si="0"/>
        <v>140</v>
      </c>
      <c r="G9" s="1891">
        <v>45</v>
      </c>
      <c r="H9" s="1188">
        <f>VLOOKUP(B7,REKAP_NILAI,6,FALSE)</f>
        <v>79.807692307692307</v>
      </c>
      <c r="I9" s="709">
        <f t="shared" si="1"/>
        <v>264.80769230769232</v>
      </c>
      <c r="J9" s="710">
        <f t="shared" si="2"/>
        <v>66.20192307692308</v>
      </c>
      <c r="K9" s="711" t="str">
        <f t="shared" si="3"/>
        <v>2.66</v>
      </c>
      <c r="L9" s="711" t="str">
        <f t="shared" si="4"/>
        <v>B-</v>
      </c>
      <c r="M9" s="712" t="str">
        <f t="shared" si="5"/>
        <v>B</v>
      </c>
      <c r="N9" s="693"/>
      <c r="O9" s="694"/>
      <c r="P9" s="694"/>
      <c r="Q9" s="695"/>
      <c r="R9" s="695"/>
      <c r="S9" s="695"/>
      <c r="T9" s="1806"/>
      <c r="U9" s="1807"/>
    </row>
    <row r="10" spans="1:21" s="353" customFormat="1" ht="24.95" customHeight="1" x14ac:dyDescent="0.25">
      <c r="A10" s="697"/>
      <c r="B10" s="698">
        <v>1</v>
      </c>
      <c r="C10" s="699" t="s">
        <v>149</v>
      </c>
      <c r="D10" s="700">
        <v>1</v>
      </c>
      <c r="E10" s="697"/>
      <c r="F10" s="1906"/>
      <c r="G10" s="697"/>
      <c r="H10" s="1189">
        <f>AVERAGE(H7:H9)</f>
        <v>81.51709401709401</v>
      </c>
      <c r="I10" s="705"/>
      <c r="J10" s="713">
        <f>AVERAGE(J7:J9)</f>
        <v>75.712606837606856</v>
      </c>
      <c r="K10" s="714" t="str">
        <f t="shared" si="3"/>
        <v>3.33</v>
      </c>
      <c r="L10" s="714" t="str">
        <f t="shared" si="4"/>
        <v>B+</v>
      </c>
      <c r="M10" s="888" t="str">
        <f t="shared" si="5"/>
        <v>B</v>
      </c>
      <c r="N10" s="1154"/>
      <c r="O10" s="1155"/>
      <c r="P10" s="1155"/>
      <c r="Q10" s="1155"/>
      <c r="R10" s="1153"/>
      <c r="S10" s="1153"/>
      <c r="T10" s="1808"/>
      <c r="U10" s="1195"/>
    </row>
    <row r="11" spans="1:21" ht="24.95" customHeight="1" x14ac:dyDescent="0.25">
      <c r="A11" s="360">
        <v>2</v>
      </c>
      <c r="B11" s="683">
        <v>2</v>
      </c>
      <c r="C11" s="684" t="str">
        <f>VLOOKUP(A11,data_siswa,4,FALSE)</f>
        <v>Angelia Vabel R</v>
      </c>
      <c r="D11" s="1893" t="s">
        <v>12</v>
      </c>
      <c r="E11" s="627"/>
      <c r="F11" s="1904">
        <f>E11*2</f>
        <v>0</v>
      </c>
      <c r="G11" s="1891"/>
      <c r="H11" s="1188">
        <v>0</v>
      </c>
      <c r="I11" s="706">
        <f>F11+G11+H11</f>
        <v>0</v>
      </c>
      <c r="J11" s="707">
        <f>(F11+G11+H11)/4</f>
        <v>0</v>
      </c>
      <c r="K11" s="708" t="str">
        <f>IF(J11&gt;85,("4"),IF(J11&gt;80,("3.66"),IF(J11&gt;75,("3.33"),IF(J11&gt;70,("3.00"),IF(J11&gt;65,("2.66"),IF(J11&gt;60,("2.33"),IF(J11&gt;55,("2"),IF(J11&gt;50,("1.66"),"1.33"))))))))</f>
        <v>1.33</v>
      </c>
      <c r="L11" s="708" t="str">
        <f>IF(J11&gt;85,("A"),IF(J11&gt;80,("A-"),IF(J11&gt;75,("B+"),IF(J11&gt;70,("B"),IF(J11&gt;65,("B-"),IF(J11&gt;60,("C+"),IF(J11&gt;55,("C"),IF(J11&gt;50,("C-"),"D+"))))))))</f>
        <v>D+</v>
      </c>
      <c r="M11" s="887" t="str">
        <f>IF(J11&gt;80,("SB"),IF(J11&gt;65,("B"),IF(J11&gt;50,("C"),IF(J11&gt;0,("K"),"0"))))</f>
        <v>0</v>
      </c>
      <c r="N11" s="685"/>
      <c r="O11" s="360"/>
      <c r="P11" s="360"/>
      <c r="Q11" s="686"/>
      <c r="R11" s="686"/>
      <c r="S11" s="1802"/>
      <c r="T11" s="1193">
        <f>J14</f>
        <v>0</v>
      </c>
      <c r="U11" s="1194" t="str">
        <f>IF(T11&gt;85,("A"),IF(T11&gt;80,("A-"),IF(T11&gt;75,("B+"),IF(T11&gt;70,("B"),IF(T11&gt;65,("B-"),IF(T11&gt;60,("C+"),IF(T11&gt;55,("C"),IF(T11&gt;50,("C-"),"D+"))))))))</f>
        <v>D+</v>
      </c>
    </row>
    <row r="12" spans="1:21" ht="24.95" customHeight="1" x14ac:dyDescent="0.25">
      <c r="A12" s="687"/>
      <c r="B12" s="683">
        <v>2</v>
      </c>
      <c r="C12" s="688"/>
      <c r="D12" s="1893" t="s">
        <v>7</v>
      </c>
      <c r="E12" s="627"/>
      <c r="F12" s="1905">
        <f t="shared" ref="F12:F13" si="6">E12*2</f>
        <v>0</v>
      </c>
      <c r="G12" s="1891"/>
      <c r="H12" s="1188">
        <v>0</v>
      </c>
      <c r="I12" s="709">
        <f t="shared" ref="I12:I13" si="7">F12+G12+H12</f>
        <v>0</v>
      </c>
      <c r="J12" s="710">
        <f t="shared" ref="J12:J13" si="8">(F12+G12+H12)/4</f>
        <v>0</v>
      </c>
      <c r="K12" s="711" t="str">
        <f t="shared" ref="K12:K14" si="9">IF(J12&gt;85,("4"),IF(J12&gt;80,("3.66"),IF(J12&gt;75,("3.33"),IF(J12&gt;70,("3.00"),IF(J12&gt;65,("2.66"),IF(J12&gt;60,("2.33"),IF(J12&gt;55,("2"),IF(J12&gt;50,("1.66"),"1.33"))))))))</f>
        <v>1.33</v>
      </c>
      <c r="L12" s="711" t="str">
        <f t="shared" ref="L12:L14" si="10">IF(J12&gt;85,("A"),IF(J12&gt;80,("A-"),IF(J12&gt;75,("B+"),IF(J12&gt;70,("B"),IF(J12&gt;65,("B-"),IF(J12&gt;60,("C+"),IF(J12&gt;55,("C"),IF(J12&gt;50,("C-"),"D+"))))))))</f>
        <v>D+</v>
      </c>
      <c r="M12" s="712" t="str">
        <f t="shared" ref="M12:M14" si="11">IF(J12&gt;80,("SB"),IF(J12&gt;65,("B"),IF(J12&gt;50,("C"),IF(J12&gt;0,("K"),"0"))))</f>
        <v>0</v>
      </c>
      <c r="N12" s="689"/>
      <c r="O12" s="690"/>
      <c r="P12" s="690"/>
      <c r="Q12" s="691"/>
      <c r="R12" s="691"/>
      <c r="S12" s="691"/>
      <c r="T12" s="1804"/>
      <c r="U12" s="1805"/>
    </row>
    <row r="13" spans="1:21" ht="24.95" customHeight="1" x14ac:dyDescent="0.25">
      <c r="A13" s="687"/>
      <c r="B13" s="683">
        <v>2</v>
      </c>
      <c r="C13" s="688"/>
      <c r="D13" s="1893" t="s">
        <v>10</v>
      </c>
      <c r="E13" s="627"/>
      <c r="F13" s="1905">
        <f t="shared" si="6"/>
        <v>0</v>
      </c>
      <c r="G13" s="1891"/>
      <c r="H13" s="1188">
        <v>0</v>
      </c>
      <c r="I13" s="709">
        <f t="shared" si="7"/>
        <v>0</v>
      </c>
      <c r="J13" s="710">
        <f t="shared" si="8"/>
        <v>0</v>
      </c>
      <c r="K13" s="711" t="str">
        <f t="shared" si="9"/>
        <v>1.33</v>
      </c>
      <c r="L13" s="711" t="str">
        <f t="shared" si="10"/>
        <v>D+</v>
      </c>
      <c r="M13" s="712" t="str">
        <f t="shared" si="11"/>
        <v>0</v>
      </c>
      <c r="N13" s="693"/>
      <c r="O13" s="694"/>
      <c r="P13" s="694"/>
      <c r="Q13" s="695"/>
      <c r="R13" s="695"/>
      <c r="S13" s="695"/>
      <c r="T13" s="1809"/>
      <c r="U13" s="1807"/>
    </row>
    <row r="14" spans="1:21" ht="24.95" customHeight="1" x14ac:dyDescent="0.25">
      <c r="A14" s="697"/>
      <c r="B14" s="698">
        <v>2</v>
      </c>
      <c r="C14" s="699" t="s">
        <v>149</v>
      </c>
      <c r="D14" s="700">
        <v>2</v>
      </c>
      <c r="E14" s="697"/>
      <c r="F14" s="1906"/>
      <c r="G14" s="697"/>
      <c r="H14" s="1189">
        <f>AVERAGE(H11:H13)</f>
        <v>0</v>
      </c>
      <c r="I14" s="705"/>
      <c r="J14" s="713">
        <f>AVERAGE(J11:J13)</f>
        <v>0</v>
      </c>
      <c r="K14" s="714" t="str">
        <f t="shared" si="9"/>
        <v>1.33</v>
      </c>
      <c r="L14" s="714" t="str">
        <f t="shared" si="10"/>
        <v>D+</v>
      </c>
      <c r="M14" s="888" t="str">
        <f t="shared" si="11"/>
        <v>0</v>
      </c>
      <c r="N14" s="701"/>
      <c r="O14" s="702"/>
      <c r="P14" s="702"/>
      <c r="Q14" s="702"/>
      <c r="R14" s="702"/>
      <c r="S14" s="702"/>
      <c r="T14" s="1808"/>
      <c r="U14" s="1195"/>
    </row>
    <row r="15" spans="1:21" ht="24.95" customHeight="1" x14ac:dyDescent="0.25">
      <c r="A15" s="360">
        <v>3</v>
      </c>
      <c r="B15" s="683">
        <v>3</v>
      </c>
      <c r="C15" s="684" t="str">
        <f>VLOOKUP(A15,data_siswa,4,FALSE)</f>
        <v>Anggun Dwi P.I</v>
      </c>
      <c r="D15" s="1893" t="s">
        <v>12</v>
      </c>
      <c r="E15" s="627"/>
      <c r="F15" s="1904">
        <f>E15*2</f>
        <v>0</v>
      </c>
      <c r="G15" s="1891"/>
      <c r="H15" s="1188">
        <f>VLOOKUP(B15,REKAP_NILAI,4,FALSE)</f>
        <v>0</v>
      </c>
      <c r="I15" s="706">
        <f>F15+G15+H15</f>
        <v>0</v>
      </c>
      <c r="J15" s="707">
        <f>(F15+G15+H15)/4</f>
        <v>0</v>
      </c>
      <c r="K15" s="708" t="str">
        <f>IF(J15&gt;85,("4"),IF(J15&gt;80,("3.66"),IF(J15&gt;75,("3.33"),IF(J15&gt;70,("3.00"),IF(J15&gt;65,("2.66"),IF(J15&gt;60,("2.33"),IF(J15&gt;55,("2"),IF(J15&gt;50,("1.66"),"1.33"))))))))</f>
        <v>1.33</v>
      </c>
      <c r="L15" s="708" t="str">
        <f>IF(J15&gt;85,("A"),IF(J15&gt;80,("A-"),IF(J15&gt;75,("B+"),IF(J15&gt;70,("B"),IF(J15&gt;65,("B-"),IF(J15&gt;60,("C+"),IF(J15&gt;55,("C"),IF(J15&gt;50,("C-"),"D+"))))))))</f>
        <v>D+</v>
      </c>
      <c r="M15" s="887" t="str">
        <f>IF(J15&gt;80,("SB"),IF(J15&gt;65,("B"),IF(J15&gt;50,("C"),IF(J15&gt;0,("K"),"0"))))</f>
        <v>0</v>
      </c>
      <c r="N15" s="718"/>
      <c r="O15" s="1799"/>
      <c r="P15" s="1799"/>
      <c r="Q15" s="995"/>
      <c r="R15" s="995"/>
      <c r="S15" s="1803"/>
      <c r="T15" s="1193">
        <f>J18</f>
        <v>0</v>
      </c>
      <c r="U15" s="1194" t="str">
        <f>IF(T15&gt;85,("A"),IF(T15&gt;80,("A-"),IF(T15&gt;75,("B+"),IF(T15&gt;70,("B"),IF(T15&gt;65,("B-"),IF(T15&gt;60,("C+"),IF(T15&gt;55,("C"),IF(T15&gt;50,("C-"),"D+"))))))))</f>
        <v>D+</v>
      </c>
    </row>
    <row r="16" spans="1:21" ht="24.95" customHeight="1" x14ac:dyDescent="0.25">
      <c r="A16" s="360"/>
      <c r="B16" s="683">
        <v>3</v>
      </c>
      <c r="C16" s="684"/>
      <c r="D16" s="1893" t="s">
        <v>7</v>
      </c>
      <c r="E16" s="627"/>
      <c r="F16" s="1905">
        <f t="shared" ref="F16:F17" si="12">E16*2</f>
        <v>0</v>
      </c>
      <c r="G16" s="1891"/>
      <c r="H16" s="1188">
        <f>VLOOKUP(B15,REKAP_NILAI,5,FALSE)</f>
        <v>0</v>
      </c>
      <c r="I16" s="709">
        <f t="shared" ref="I16:I17" si="13">F16+G16+H16</f>
        <v>0</v>
      </c>
      <c r="J16" s="710">
        <f t="shared" ref="J16:J17" si="14">(F16+G16+H16)/4</f>
        <v>0</v>
      </c>
      <c r="K16" s="711" t="str">
        <f t="shared" ref="K16:K18" si="15">IF(J16&gt;85,("4"),IF(J16&gt;80,("3.66"),IF(J16&gt;75,("3.33"),IF(J16&gt;70,("3.00"),IF(J16&gt;65,("2.66"),IF(J16&gt;60,("2.33"),IF(J16&gt;55,("2"),IF(J16&gt;50,("1.66"),"1.33"))))))))</f>
        <v>1.33</v>
      </c>
      <c r="L16" s="711" t="str">
        <f t="shared" ref="L16:L18" si="16">IF(J16&gt;85,("A"),IF(J16&gt;80,("A-"),IF(J16&gt;75,("B+"),IF(J16&gt;70,("B"),IF(J16&gt;65,("B-"),IF(J16&gt;60,("C+"),IF(J16&gt;55,("C"),IF(J16&gt;50,("C-"),"D+"))))))))</f>
        <v>D+</v>
      </c>
      <c r="M16" s="712" t="str">
        <f t="shared" ref="M16:M18" si="17">IF(J16&gt;80,("SB"),IF(J16&gt;65,("B"),IF(J16&gt;50,("C"),IF(J16&gt;0,("K"),"0"))))</f>
        <v>0</v>
      </c>
      <c r="N16" s="992"/>
      <c r="O16" s="993"/>
      <c r="P16" s="993"/>
      <c r="Q16" s="994"/>
      <c r="R16" s="994"/>
      <c r="S16" s="994"/>
      <c r="T16" s="1804"/>
      <c r="U16" s="1805"/>
    </row>
    <row r="17" spans="1:21" ht="24.95" customHeight="1" x14ac:dyDescent="0.25">
      <c r="A17" s="687"/>
      <c r="B17" s="683">
        <v>3</v>
      </c>
      <c r="C17" s="688"/>
      <c r="D17" s="1893" t="s">
        <v>7</v>
      </c>
      <c r="E17" s="627"/>
      <c r="F17" s="1905">
        <f t="shared" si="12"/>
        <v>0</v>
      </c>
      <c r="G17" s="1891"/>
      <c r="H17" s="1188">
        <f>VLOOKUP(B15,REKAP_NILAI,6,FALSE)</f>
        <v>0</v>
      </c>
      <c r="I17" s="709">
        <f t="shared" si="13"/>
        <v>0</v>
      </c>
      <c r="J17" s="710">
        <f t="shared" si="14"/>
        <v>0</v>
      </c>
      <c r="K17" s="711" t="str">
        <f t="shared" si="15"/>
        <v>1.33</v>
      </c>
      <c r="L17" s="711" t="str">
        <f t="shared" si="16"/>
        <v>D+</v>
      </c>
      <c r="M17" s="712" t="str">
        <f t="shared" si="17"/>
        <v>0</v>
      </c>
      <c r="N17" s="689"/>
      <c r="O17" s="690"/>
      <c r="P17" s="690"/>
      <c r="Q17" s="691"/>
      <c r="R17" s="691"/>
      <c r="S17" s="691"/>
      <c r="T17" s="1806"/>
      <c r="U17" s="1807"/>
    </row>
    <row r="18" spans="1:21" ht="24.95" customHeight="1" x14ac:dyDescent="0.25">
      <c r="A18" s="697"/>
      <c r="B18" s="698"/>
      <c r="C18" s="699" t="s">
        <v>149</v>
      </c>
      <c r="D18" s="700">
        <v>3</v>
      </c>
      <c r="E18" s="697"/>
      <c r="F18" s="1906"/>
      <c r="G18" s="697"/>
      <c r="H18" s="1189">
        <f>AVERAGE(H15:H17)</f>
        <v>0</v>
      </c>
      <c r="I18" s="705"/>
      <c r="J18" s="713">
        <f>AVERAGE(J15:J17)</f>
        <v>0</v>
      </c>
      <c r="K18" s="714" t="str">
        <f t="shared" si="15"/>
        <v>1.33</v>
      </c>
      <c r="L18" s="714" t="str">
        <f t="shared" si="16"/>
        <v>D+</v>
      </c>
      <c r="M18" s="888" t="str">
        <f t="shared" si="17"/>
        <v>0</v>
      </c>
      <c r="N18" s="701"/>
      <c r="O18" s="702"/>
      <c r="P18" s="702"/>
      <c r="Q18" s="702"/>
      <c r="R18" s="702"/>
      <c r="S18" s="702"/>
      <c r="T18" s="1808"/>
      <c r="U18" s="1195"/>
    </row>
    <row r="19" spans="1:21" ht="24.95" customHeight="1" x14ac:dyDescent="0.25">
      <c r="A19" s="360">
        <v>4</v>
      </c>
      <c r="B19" s="683">
        <v>4</v>
      </c>
      <c r="C19" s="684" t="str">
        <f>VLOOKUP(A19,data_siswa,4,FALSE)</f>
        <v>Antonio Permata A</v>
      </c>
      <c r="D19" s="1893" t="s">
        <v>12</v>
      </c>
      <c r="E19" s="627"/>
      <c r="F19" s="1904">
        <f>E19*2</f>
        <v>0</v>
      </c>
      <c r="G19" s="1891"/>
      <c r="H19" s="1188">
        <f>VLOOKUP(B19,REKAP_NILAI,4,FALSE)</f>
        <v>0</v>
      </c>
      <c r="I19" s="706">
        <f>F19+G19+H19</f>
        <v>0</v>
      </c>
      <c r="J19" s="707">
        <f>(F19+G19+H19)/4</f>
        <v>0</v>
      </c>
      <c r="K19" s="708" t="str">
        <f>IF(J19&gt;85,("4"),IF(J19&gt;80,("3.66"),IF(J19&gt;75,("3.33"),IF(J19&gt;70,("3.00"),IF(J19&gt;65,("2.66"),IF(J19&gt;60,("2.33"),IF(J19&gt;55,("2"),IF(J19&gt;50,("1.66"),"1.33"))))))))</f>
        <v>1.33</v>
      </c>
      <c r="L19" s="708" t="str">
        <f>IF(J19&gt;85,("A"),IF(J19&gt;80,("A-"),IF(J19&gt;75,("B+"),IF(J19&gt;70,("B"),IF(J19&gt;65,("B-"),IF(J19&gt;60,("C+"),IF(J19&gt;55,("C"),IF(J19&gt;50,("C-"),"D+"))))))))</f>
        <v>D+</v>
      </c>
      <c r="M19" s="887" t="str">
        <f>IF(J19&gt;80,("SB"),IF(J19&gt;65,("B"),IF(J19&gt;50,("C"),IF(J19&gt;0,("K"),"0"))))</f>
        <v>0</v>
      </c>
      <c r="N19" s="685"/>
      <c r="O19" s="360"/>
      <c r="P19" s="360"/>
      <c r="Q19" s="686"/>
      <c r="R19" s="686"/>
      <c r="S19" s="686"/>
      <c r="T19" s="1193">
        <f>J22</f>
        <v>0</v>
      </c>
      <c r="U19" s="1194" t="str">
        <f>IF(T19&gt;85,("A"),IF(T19&gt;80,("A-"),IF(T19&gt;75,("B+"),IF(T19&gt;70,("B"),IF(T19&gt;65,("B-"),IF(T19&gt;60,("C+"),IF(T19&gt;55,("C"),IF(T19&gt;50,("C-"),"D+"))))))))</f>
        <v>D+</v>
      </c>
    </row>
    <row r="20" spans="1:21" ht="24.95" customHeight="1" x14ac:dyDescent="0.25">
      <c r="A20" s="687"/>
      <c r="B20" s="683">
        <v>4</v>
      </c>
      <c r="C20" s="688"/>
      <c r="D20" s="1893" t="s">
        <v>7</v>
      </c>
      <c r="E20" s="627"/>
      <c r="F20" s="1905">
        <f t="shared" ref="F20:F21" si="18">E20*2</f>
        <v>0</v>
      </c>
      <c r="G20" s="1891"/>
      <c r="H20" s="1188">
        <f>VLOOKUP(B19,REKAP_NILAI,5,FALSE)</f>
        <v>0</v>
      </c>
      <c r="I20" s="709">
        <f t="shared" ref="I20:I21" si="19">F20+G20+H20</f>
        <v>0</v>
      </c>
      <c r="J20" s="710">
        <f t="shared" ref="J20:J21" si="20">(F20+G20+H20)/4</f>
        <v>0</v>
      </c>
      <c r="K20" s="711" t="str">
        <f t="shared" ref="K20:K22" si="21">IF(J20&gt;85,("4"),IF(J20&gt;80,("3.66"),IF(J20&gt;75,("3.33"),IF(J20&gt;70,("3.00"),IF(J20&gt;65,("2.66"),IF(J20&gt;60,("2.33"),IF(J20&gt;55,("2"),IF(J20&gt;50,("1.66"),"1.33"))))))))</f>
        <v>1.33</v>
      </c>
      <c r="L20" s="711" t="str">
        <f t="shared" ref="L20:L22" si="22">IF(J20&gt;85,("A"),IF(J20&gt;80,("A-"),IF(J20&gt;75,("B+"),IF(J20&gt;70,("B"),IF(J20&gt;65,("B-"),IF(J20&gt;60,("C+"),IF(J20&gt;55,("C"),IF(J20&gt;50,("C-"),"D+"))))))))</f>
        <v>D+</v>
      </c>
      <c r="M20" s="712" t="str">
        <f t="shared" ref="M20:M22" si="23">IF(J20&gt;80,("SB"),IF(J20&gt;65,("B"),IF(J20&gt;50,("C"),IF(J20&gt;0,("K"),"0"))))</f>
        <v>0</v>
      </c>
      <c r="N20" s="689"/>
      <c r="O20" s="690"/>
      <c r="P20" s="690"/>
      <c r="Q20" s="691"/>
      <c r="R20" s="691"/>
      <c r="S20" s="692"/>
      <c r="T20" s="1804"/>
      <c r="U20" s="1805"/>
    </row>
    <row r="21" spans="1:21" ht="24.95" customHeight="1" x14ac:dyDescent="0.25">
      <c r="A21" s="687"/>
      <c r="B21" s="683">
        <v>4</v>
      </c>
      <c r="C21" s="688"/>
      <c r="D21" s="1893" t="s">
        <v>10</v>
      </c>
      <c r="E21" s="627"/>
      <c r="F21" s="1905">
        <f t="shared" si="18"/>
        <v>0</v>
      </c>
      <c r="G21" s="1891"/>
      <c r="H21" s="1188">
        <f>VLOOKUP(B19,REKAP_NILAI,6,FALSE)</f>
        <v>0</v>
      </c>
      <c r="I21" s="709">
        <f t="shared" si="19"/>
        <v>0</v>
      </c>
      <c r="J21" s="710">
        <f t="shared" si="20"/>
        <v>0</v>
      </c>
      <c r="K21" s="711" t="str">
        <f t="shared" si="21"/>
        <v>1.33</v>
      </c>
      <c r="L21" s="711" t="str">
        <f t="shared" si="22"/>
        <v>D+</v>
      </c>
      <c r="M21" s="712" t="str">
        <f t="shared" si="23"/>
        <v>0</v>
      </c>
      <c r="N21" s="693"/>
      <c r="O21" s="694"/>
      <c r="P21" s="694"/>
      <c r="Q21" s="695"/>
      <c r="R21" s="695"/>
      <c r="S21" s="696"/>
      <c r="T21" s="1809"/>
      <c r="U21" s="1807"/>
    </row>
    <row r="22" spans="1:21" ht="24.95" customHeight="1" x14ac:dyDescent="0.25">
      <c r="A22" s="697"/>
      <c r="B22" s="698"/>
      <c r="C22" s="699" t="s">
        <v>149</v>
      </c>
      <c r="D22" s="700">
        <v>4</v>
      </c>
      <c r="E22" s="697"/>
      <c r="F22" s="1906"/>
      <c r="G22" s="697"/>
      <c r="H22" s="1189">
        <f>AVERAGE(H19:H21)</f>
        <v>0</v>
      </c>
      <c r="I22" s="705"/>
      <c r="J22" s="713">
        <f>AVERAGE(J19:J21)</f>
        <v>0</v>
      </c>
      <c r="K22" s="714" t="str">
        <f t="shared" si="21"/>
        <v>1.33</v>
      </c>
      <c r="L22" s="714" t="str">
        <f t="shared" si="22"/>
        <v>D+</v>
      </c>
      <c r="M22" s="888" t="str">
        <f t="shared" si="23"/>
        <v>0</v>
      </c>
      <c r="N22" s="701"/>
      <c r="O22" s="702"/>
      <c r="P22" s="702"/>
      <c r="Q22" s="702"/>
      <c r="R22" s="702"/>
      <c r="S22" s="703"/>
      <c r="T22" s="1808"/>
      <c r="U22" s="1195"/>
    </row>
    <row r="23" spans="1:21" ht="24.95" customHeight="1" x14ac:dyDescent="0.25">
      <c r="A23" s="360">
        <v>5</v>
      </c>
      <c r="B23" s="683">
        <v>5</v>
      </c>
      <c r="C23" s="684" t="str">
        <f>VLOOKUP(A23,data_siswa,4,FALSE)</f>
        <v>Arya Pratama G</v>
      </c>
      <c r="D23" s="1893" t="s">
        <v>12</v>
      </c>
      <c r="E23" s="627"/>
      <c r="F23" s="1904">
        <f>E23*2</f>
        <v>0</v>
      </c>
      <c r="G23" s="1891"/>
      <c r="H23" s="1188">
        <f>VLOOKUP(B23,REKAP_NILAI,4,FALSE)</f>
        <v>0</v>
      </c>
      <c r="I23" s="706">
        <f>F23+G23+H23</f>
        <v>0</v>
      </c>
      <c r="J23" s="707">
        <f>(F23+G23+H23)/4</f>
        <v>0</v>
      </c>
      <c r="K23" s="708" t="str">
        <f>IF(J23&gt;85,("4"),IF(J23&gt;80,("3.66"),IF(J23&gt;75,("3.33"),IF(J23&gt;70,("3.00"),IF(J23&gt;65,("2.66"),IF(J23&gt;60,("2.33"),IF(J23&gt;55,("2"),IF(J23&gt;50,("1.66"),"1.33"))))))))</f>
        <v>1.33</v>
      </c>
      <c r="L23" s="708" t="str">
        <f>IF(J23&gt;85,("A"),IF(J23&gt;80,("A-"),IF(J23&gt;75,("B+"),IF(J23&gt;70,("B"),IF(J23&gt;65,("B-"),IF(J23&gt;60,("C+"),IF(J23&gt;55,("C"),IF(J23&gt;50,("C-"),"D+"))))))))</f>
        <v>D+</v>
      </c>
      <c r="M23" s="887" t="str">
        <f>IF(J23&gt;80,("SB"),IF(J23&gt;65,("B"),IF(J23&gt;50,("C"),IF(J23&gt;0,("K"),"0"))))</f>
        <v>0</v>
      </c>
      <c r="N23" s="685"/>
      <c r="O23" s="360"/>
      <c r="P23" s="360"/>
      <c r="Q23" s="686"/>
      <c r="R23" s="686"/>
      <c r="S23" s="686"/>
      <c r="T23" s="1193">
        <f>J26</f>
        <v>0</v>
      </c>
      <c r="U23" s="1194" t="str">
        <f>IF(T23&gt;85,("A"),IF(T23&gt;80,("A-"),IF(T23&gt;75,("B+"),IF(T23&gt;70,("B"),IF(T23&gt;65,("B-"),IF(T23&gt;60,("C+"),IF(T23&gt;55,("C"),IF(T23&gt;50,("C-"),"D+"))))))))</f>
        <v>D+</v>
      </c>
    </row>
    <row r="24" spans="1:21" ht="24.95" customHeight="1" x14ac:dyDescent="0.25">
      <c r="A24" s="687"/>
      <c r="B24" s="683">
        <v>5</v>
      </c>
      <c r="C24" s="688"/>
      <c r="D24" s="1893" t="s">
        <v>7</v>
      </c>
      <c r="E24" s="627"/>
      <c r="F24" s="1905">
        <f t="shared" ref="F24:F25" si="24">E24*2</f>
        <v>0</v>
      </c>
      <c r="G24" s="1891"/>
      <c r="H24" s="1188">
        <f>VLOOKUP(B23,REKAP_NILAI,5,FALSE)</f>
        <v>0</v>
      </c>
      <c r="I24" s="709">
        <f t="shared" ref="I24:I25" si="25">F24+G24+H24</f>
        <v>0</v>
      </c>
      <c r="J24" s="710">
        <f t="shared" ref="J24:J25" si="26">(F24+G24+H24)/4</f>
        <v>0</v>
      </c>
      <c r="K24" s="711" t="str">
        <f t="shared" ref="K24:K26" si="27">IF(J24&gt;85,("4"),IF(J24&gt;80,("3.66"),IF(J24&gt;75,("3.33"),IF(J24&gt;70,("3.00"),IF(J24&gt;65,("2.66"),IF(J24&gt;60,("2.33"),IF(J24&gt;55,("2"),IF(J24&gt;50,("1.66"),"1.33"))))))))</f>
        <v>1.33</v>
      </c>
      <c r="L24" s="711" t="str">
        <f t="shared" ref="L24:L26" si="28">IF(J24&gt;85,("A"),IF(J24&gt;80,("A-"),IF(J24&gt;75,("B+"),IF(J24&gt;70,("B"),IF(J24&gt;65,("B-"),IF(J24&gt;60,("C+"),IF(J24&gt;55,("C"),IF(J24&gt;50,("C-"),"D+"))))))))</f>
        <v>D+</v>
      </c>
      <c r="M24" s="712" t="str">
        <f t="shared" ref="M24:M26" si="29">IF(J24&gt;80,("SB"),IF(J24&gt;65,("B"),IF(J24&gt;50,("C"),IF(J24&gt;0,("K"),"0"))))</f>
        <v>0</v>
      </c>
      <c r="N24" s="689"/>
      <c r="O24" s="690"/>
      <c r="P24" s="690"/>
      <c r="Q24" s="691"/>
      <c r="R24" s="691"/>
      <c r="S24" s="692"/>
      <c r="T24" s="1804"/>
      <c r="U24" s="1805"/>
    </row>
    <row r="25" spans="1:21" ht="24.95" customHeight="1" x14ac:dyDescent="0.25">
      <c r="A25" s="687"/>
      <c r="B25" s="683">
        <v>5</v>
      </c>
      <c r="C25" s="688"/>
      <c r="D25" s="1893" t="s">
        <v>10</v>
      </c>
      <c r="E25" s="627"/>
      <c r="F25" s="1905">
        <f t="shared" si="24"/>
        <v>0</v>
      </c>
      <c r="G25" s="1891"/>
      <c r="H25" s="1188">
        <f>VLOOKUP(B23,REKAP_NILAI,6,FALSE)</f>
        <v>0</v>
      </c>
      <c r="I25" s="709">
        <f t="shared" si="25"/>
        <v>0</v>
      </c>
      <c r="J25" s="710">
        <f t="shared" si="26"/>
        <v>0</v>
      </c>
      <c r="K25" s="711" t="str">
        <f t="shared" si="27"/>
        <v>1.33</v>
      </c>
      <c r="L25" s="711" t="str">
        <f t="shared" si="28"/>
        <v>D+</v>
      </c>
      <c r="M25" s="712" t="str">
        <f t="shared" si="29"/>
        <v>0</v>
      </c>
      <c r="N25" s="693"/>
      <c r="O25" s="694"/>
      <c r="P25" s="694"/>
      <c r="Q25" s="695"/>
      <c r="R25" s="695"/>
      <c r="S25" s="696"/>
      <c r="T25" s="1809"/>
      <c r="U25" s="1810"/>
    </row>
    <row r="26" spans="1:21" ht="24.95" customHeight="1" x14ac:dyDescent="0.25">
      <c r="A26" s="697"/>
      <c r="B26" s="698"/>
      <c r="C26" s="699" t="s">
        <v>149</v>
      </c>
      <c r="D26" s="700">
        <v>5</v>
      </c>
      <c r="E26" s="697"/>
      <c r="F26" s="1906"/>
      <c r="G26" s="697"/>
      <c r="H26" s="1189">
        <f>AVERAGE(H23:H25)</f>
        <v>0</v>
      </c>
      <c r="I26" s="705"/>
      <c r="J26" s="713">
        <f>AVERAGE(J23:J25)</f>
        <v>0</v>
      </c>
      <c r="K26" s="714" t="str">
        <f t="shared" si="27"/>
        <v>1.33</v>
      </c>
      <c r="L26" s="714" t="str">
        <f t="shared" si="28"/>
        <v>D+</v>
      </c>
      <c r="M26" s="888" t="str">
        <f t="shared" si="29"/>
        <v>0</v>
      </c>
      <c r="N26" s="701"/>
      <c r="O26" s="702"/>
      <c r="P26" s="702"/>
      <c r="Q26" s="702"/>
      <c r="R26" s="702"/>
      <c r="S26" s="703"/>
      <c r="T26" s="1808"/>
      <c r="U26" s="1195"/>
    </row>
    <row r="27" spans="1:21" ht="24.95" customHeight="1" x14ac:dyDescent="0.25">
      <c r="A27" s="360">
        <v>6</v>
      </c>
      <c r="B27" s="683">
        <v>6</v>
      </c>
      <c r="C27" s="684" t="str">
        <f>VLOOKUP(A27,data_siswa,4,FALSE)</f>
        <v>Asyam Hanif Ihsan H</v>
      </c>
      <c r="D27" s="1893" t="s">
        <v>12</v>
      </c>
      <c r="E27" s="627"/>
      <c r="F27" s="1904">
        <f>E27*2</f>
        <v>0</v>
      </c>
      <c r="G27" s="1891"/>
      <c r="H27" s="1188">
        <f>VLOOKUP(B27,REKAP_NILAI,4,FALSE)</f>
        <v>0</v>
      </c>
      <c r="I27" s="706">
        <f>F27+G27+H27</f>
        <v>0</v>
      </c>
      <c r="J27" s="707">
        <f>(F27+G27+H27)/4</f>
        <v>0</v>
      </c>
      <c r="K27" s="708" t="str">
        <f>IF(J27&gt;85,("4"),IF(J27&gt;80,("3.66"),IF(J27&gt;75,("3.33"),IF(J27&gt;70,("3.00"),IF(J27&gt;65,("2.66"),IF(J27&gt;60,("2.33"),IF(J27&gt;55,("2"),IF(J27&gt;50,("1.66"),"1.33"))))))))</f>
        <v>1.33</v>
      </c>
      <c r="L27" s="708" t="str">
        <f>IF(J27&gt;85,("A"),IF(J27&gt;80,("A-"),IF(J27&gt;75,("B+"),IF(J27&gt;70,("B"),IF(J27&gt;65,("B-"),IF(J27&gt;60,("C+"),IF(J27&gt;55,("C"),IF(J27&gt;50,("C-"),"D+"))))))))</f>
        <v>D+</v>
      </c>
      <c r="M27" s="887" t="str">
        <f>IF(J27&gt;80,("SB"),IF(J27&gt;65,("B"),IF(J27&gt;50,("C"),IF(J27&gt;0,("K"),"0"))))</f>
        <v>0</v>
      </c>
      <c r="N27" s="685"/>
      <c r="O27" s="360"/>
      <c r="P27" s="360"/>
      <c r="Q27" s="686"/>
      <c r="R27" s="686"/>
      <c r="S27" s="686"/>
      <c r="T27" s="1193">
        <f>J30</f>
        <v>0</v>
      </c>
      <c r="U27" s="1194" t="str">
        <f>IF(T27&gt;85,("A"),IF(T27&gt;80,("A-"),IF(T27&gt;75,("B+"),IF(T27&gt;70,("B"),IF(T27&gt;65,("B-"),IF(T27&gt;60,("C+"),IF(T27&gt;55,("C"),IF(T27&gt;50,("C-"),"D+"))))))))</f>
        <v>D+</v>
      </c>
    </row>
    <row r="28" spans="1:21" ht="24.95" customHeight="1" x14ac:dyDescent="0.25">
      <c r="A28" s="687"/>
      <c r="B28" s="683">
        <v>6</v>
      </c>
      <c r="C28" s="688"/>
      <c r="D28" s="1893" t="s">
        <v>7</v>
      </c>
      <c r="E28" s="627"/>
      <c r="F28" s="1905">
        <f t="shared" ref="F28:F29" si="30">E28*2</f>
        <v>0</v>
      </c>
      <c r="G28" s="1891"/>
      <c r="H28" s="1188">
        <f>VLOOKUP(B27,REKAP_NILAI,5,FALSE)</f>
        <v>0</v>
      </c>
      <c r="I28" s="709">
        <f t="shared" ref="I28:I29" si="31">F28+G28+H28</f>
        <v>0</v>
      </c>
      <c r="J28" s="710">
        <f t="shared" ref="J28:J29" si="32">(F28+G28+H28)/4</f>
        <v>0</v>
      </c>
      <c r="K28" s="711" t="str">
        <f t="shared" ref="K28:K30" si="33">IF(J28&gt;85,("4"),IF(J28&gt;80,("3.66"),IF(J28&gt;75,("3.33"),IF(J28&gt;70,("3.00"),IF(J28&gt;65,("2.66"),IF(J28&gt;60,("2.33"),IF(J28&gt;55,("2"),IF(J28&gt;50,("1.66"),"1.33"))))))))</f>
        <v>1.33</v>
      </c>
      <c r="L28" s="711" t="str">
        <f t="shared" ref="L28:L30" si="34">IF(J28&gt;85,("A"),IF(J28&gt;80,("A-"),IF(J28&gt;75,("B+"),IF(J28&gt;70,("B"),IF(J28&gt;65,("B-"),IF(J28&gt;60,("C+"),IF(J28&gt;55,("C"),IF(J28&gt;50,("C-"),"D+"))))))))</f>
        <v>D+</v>
      </c>
      <c r="M28" s="712" t="str">
        <f t="shared" ref="M28:M30" si="35">IF(J28&gt;80,("SB"),IF(J28&gt;65,("B"),IF(J28&gt;50,("C"),IF(J28&gt;0,("K"),"0"))))</f>
        <v>0</v>
      </c>
      <c r="N28" s="689"/>
      <c r="O28" s="690"/>
      <c r="P28" s="690"/>
      <c r="Q28" s="691"/>
      <c r="R28" s="691"/>
      <c r="S28" s="692"/>
      <c r="T28" s="1804"/>
      <c r="U28" s="1805"/>
    </row>
    <row r="29" spans="1:21" ht="24.95" customHeight="1" x14ac:dyDescent="0.25">
      <c r="A29" s="687"/>
      <c r="B29" s="683">
        <v>6</v>
      </c>
      <c r="C29" s="688"/>
      <c r="D29" s="1893" t="s">
        <v>10</v>
      </c>
      <c r="E29" s="627"/>
      <c r="F29" s="1905">
        <f t="shared" si="30"/>
        <v>0</v>
      </c>
      <c r="G29" s="1891"/>
      <c r="H29" s="1188">
        <f>VLOOKUP(B27,REKAP_NILAI,6,FALSE)</f>
        <v>0</v>
      </c>
      <c r="I29" s="709">
        <f t="shared" si="31"/>
        <v>0</v>
      </c>
      <c r="J29" s="710">
        <f t="shared" si="32"/>
        <v>0</v>
      </c>
      <c r="K29" s="711" t="str">
        <f t="shared" si="33"/>
        <v>1.33</v>
      </c>
      <c r="L29" s="711" t="str">
        <f t="shared" si="34"/>
        <v>D+</v>
      </c>
      <c r="M29" s="712" t="str">
        <f t="shared" si="35"/>
        <v>0</v>
      </c>
      <c r="N29" s="693"/>
      <c r="O29" s="694"/>
      <c r="P29" s="694"/>
      <c r="Q29" s="695"/>
      <c r="R29" s="695"/>
      <c r="S29" s="696"/>
      <c r="T29" s="1806"/>
      <c r="U29" s="1807"/>
    </row>
    <row r="30" spans="1:21" ht="24.95" customHeight="1" x14ac:dyDescent="0.25">
      <c r="A30" s="697"/>
      <c r="B30" s="698"/>
      <c r="C30" s="699" t="s">
        <v>149</v>
      </c>
      <c r="D30" s="700">
        <v>6</v>
      </c>
      <c r="E30" s="697"/>
      <c r="F30" s="1906"/>
      <c r="G30" s="697"/>
      <c r="H30" s="1189">
        <f>AVERAGE(H27:H29)</f>
        <v>0</v>
      </c>
      <c r="I30" s="705"/>
      <c r="J30" s="713">
        <f>AVERAGE(J27:J29)</f>
        <v>0</v>
      </c>
      <c r="K30" s="714" t="str">
        <f t="shared" si="33"/>
        <v>1.33</v>
      </c>
      <c r="L30" s="714" t="str">
        <f t="shared" si="34"/>
        <v>D+</v>
      </c>
      <c r="M30" s="888" t="str">
        <f t="shared" si="35"/>
        <v>0</v>
      </c>
      <c r="N30" s="701"/>
      <c r="O30" s="702"/>
      <c r="P30" s="702"/>
      <c r="Q30" s="702"/>
      <c r="R30" s="702"/>
      <c r="S30" s="703"/>
      <c r="T30" s="1808"/>
      <c r="U30" s="1195"/>
    </row>
    <row r="31" spans="1:21" ht="24.95" customHeight="1" x14ac:dyDescent="0.25">
      <c r="A31" s="360">
        <v>7</v>
      </c>
      <c r="B31" s="683">
        <v>7</v>
      </c>
      <c r="C31" s="684" t="str">
        <f>VLOOKUP(A31,data_siswa,4,FALSE)</f>
        <v>Athaya Salsabilla Z</v>
      </c>
      <c r="D31" s="1893" t="s">
        <v>12</v>
      </c>
      <c r="E31" s="627"/>
      <c r="F31" s="1904">
        <f>E31*2</f>
        <v>0</v>
      </c>
      <c r="G31" s="1891"/>
      <c r="H31" s="1188">
        <f>VLOOKUP(B31,REKAP_NILAI,4,FALSE)</f>
        <v>0</v>
      </c>
      <c r="I31" s="706">
        <f>F31+G31+H31</f>
        <v>0</v>
      </c>
      <c r="J31" s="707">
        <f>(F31+G31+H31)/4</f>
        <v>0</v>
      </c>
      <c r="K31" s="708" t="str">
        <f>IF(J31&gt;85,("4"),IF(J31&gt;80,("3.66"),IF(J31&gt;75,("3.33"),IF(J31&gt;70,("3.00"),IF(J31&gt;65,("2.66"),IF(J31&gt;60,("2.33"),IF(J31&gt;55,("2"),IF(J31&gt;50,("1.66"),"1.33"))))))))</f>
        <v>1.33</v>
      </c>
      <c r="L31" s="708" t="str">
        <f>IF(J31&gt;85,("A"),IF(J31&gt;80,("A-"),IF(J31&gt;75,("B+"),IF(J31&gt;70,("B"),IF(J31&gt;65,("B-"),IF(J31&gt;60,("C+"),IF(J31&gt;55,("C"),IF(J31&gt;50,("C-"),"D+"))))))))</f>
        <v>D+</v>
      </c>
      <c r="M31" s="887" t="str">
        <f>IF(J31&gt;80,("SB"),IF(J31&gt;65,("B"),IF(J31&gt;50,("C"),IF(J31&gt;0,("K"),"0"))))</f>
        <v>0</v>
      </c>
      <c r="N31" s="685"/>
      <c r="O31" s="360"/>
      <c r="P31" s="360"/>
      <c r="Q31" s="686"/>
      <c r="R31" s="686"/>
      <c r="S31" s="686"/>
      <c r="T31" s="1193">
        <f>J34</f>
        <v>0</v>
      </c>
      <c r="U31" s="1194" t="str">
        <f>IF(T31&gt;85,("A"),IF(T31&gt;80,("A-"),IF(T31&gt;75,("B+"),IF(T31&gt;70,("B"),IF(T31&gt;65,("B-"),IF(T31&gt;60,("C+"),IF(T31&gt;55,("C"),IF(T31&gt;50,("C-"),"D+"))))))))</f>
        <v>D+</v>
      </c>
    </row>
    <row r="32" spans="1:21" ht="24.95" customHeight="1" x14ac:dyDescent="0.25">
      <c r="A32" s="687"/>
      <c r="B32" s="683">
        <v>7</v>
      </c>
      <c r="C32" s="688"/>
      <c r="D32" s="1893" t="s">
        <v>7</v>
      </c>
      <c r="E32" s="627"/>
      <c r="F32" s="1905">
        <f t="shared" ref="F32:F33" si="36">E32*2</f>
        <v>0</v>
      </c>
      <c r="G32" s="1891"/>
      <c r="H32" s="1188">
        <f>VLOOKUP(B31,REKAP_NILAI,5,FALSE)</f>
        <v>0</v>
      </c>
      <c r="I32" s="709">
        <f t="shared" ref="I32:I33" si="37">F32+G32+H32</f>
        <v>0</v>
      </c>
      <c r="J32" s="710">
        <f t="shared" ref="J32:J33" si="38">(F32+G32+H32)/4</f>
        <v>0</v>
      </c>
      <c r="K32" s="711" t="str">
        <f t="shared" ref="K32:K34" si="39">IF(J32&gt;85,("4"),IF(J32&gt;80,("3.66"),IF(J32&gt;75,("3.33"),IF(J32&gt;70,("3.00"),IF(J32&gt;65,("2.66"),IF(J32&gt;60,("2.33"),IF(J32&gt;55,("2"),IF(J32&gt;50,("1.66"),"1.33"))))))))</f>
        <v>1.33</v>
      </c>
      <c r="L32" s="711" t="str">
        <f t="shared" ref="L32:L34" si="40">IF(J32&gt;85,("A"),IF(J32&gt;80,("A-"),IF(J32&gt;75,("B+"),IF(J32&gt;70,("B"),IF(J32&gt;65,("B-"),IF(J32&gt;60,("C+"),IF(J32&gt;55,("C"),IF(J32&gt;50,("C-"),"D+"))))))))</f>
        <v>D+</v>
      </c>
      <c r="M32" s="712" t="str">
        <f t="shared" ref="M32:M34" si="41">IF(J32&gt;80,("SB"),IF(J32&gt;65,("B"),IF(J32&gt;50,("C"),IF(J32&gt;0,("K"),"0"))))</f>
        <v>0</v>
      </c>
      <c r="N32" s="689"/>
      <c r="O32" s="690"/>
      <c r="P32" s="690"/>
      <c r="Q32" s="691"/>
      <c r="R32" s="691"/>
      <c r="S32" s="692"/>
      <c r="T32" s="1804"/>
      <c r="U32" s="1805"/>
    </row>
    <row r="33" spans="1:21" ht="24.95" customHeight="1" x14ac:dyDescent="0.25">
      <c r="A33" s="687"/>
      <c r="B33" s="683">
        <v>7</v>
      </c>
      <c r="C33" s="688"/>
      <c r="D33" s="1893" t="s">
        <v>10</v>
      </c>
      <c r="E33" s="627"/>
      <c r="F33" s="1905">
        <f t="shared" si="36"/>
        <v>0</v>
      </c>
      <c r="G33" s="1891"/>
      <c r="H33" s="1188">
        <f>VLOOKUP(B31,REKAP_NILAI,6,FALSE)</f>
        <v>0</v>
      </c>
      <c r="I33" s="709">
        <f t="shared" si="37"/>
        <v>0</v>
      </c>
      <c r="J33" s="710">
        <f t="shared" si="38"/>
        <v>0</v>
      </c>
      <c r="K33" s="711" t="str">
        <f t="shared" si="39"/>
        <v>1.33</v>
      </c>
      <c r="L33" s="711" t="str">
        <f t="shared" si="40"/>
        <v>D+</v>
      </c>
      <c r="M33" s="712" t="str">
        <f t="shared" si="41"/>
        <v>0</v>
      </c>
      <c r="N33" s="693"/>
      <c r="O33" s="694"/>
      <c r="P33" s="694"/>
      <c r="Q33" s="695"/>
      <c r="R33" s="695"/>
      <c r="S33" s="696"/>
      <c r="T33" s="1809"/>
      <c r="U33" s="1807"/>
    </row>
    <row r="34" spans="1:21" ht="24.95" customHeight="1" x14ac:dyDescent="0.25">
      <c r="A34" s="697"/>
      <c r="B34" s="698"/>
      <c r="C34" s="699" t="s">
        <v>149</v>
      </c>
      <c r="D34" s="700">
        <v>7</v>
      </c>
      <c r="E34" s="697"/>
      <c r="F34" s="1906"/>
      <c r="G34" s="697"/>
      <c r="H34" s="1189">
        <f>AVERAGE(H31:H33)</f>
        <v>0</v>
      </c>
      <c r="I34" s="705"/>
      <c r="J34" s="713">
        <f>AVERAGE(J31:J33)</f>
        <v>0</v>
      </c>
      <c r="K34" s="714" t="str">
        <f t="shared" si="39"/>
        <v>1.33</v>
      </c>
      <c r="L34" s="714" t="str">
        <f t="shared" si="40"/>
        <v>D+</v>
      </c>
      <c r="M34" s="888" t="str">
        <f t="shared" si="41"/>
        <v>0</v>
      </c>
      <c r="N34" s="701"/>
      <c r="O34" s="702"/>
      <c r="P34" s="702"/>
      <c r="Q34" s="702"/>
      <c r="R34" s="702"/>
      <c r="S34" s="703"/>
      <c r="T34" s="1808"/>
      <c r="U34" s="1195"/>
    </row>
    <row r="35" spans="1:21" ht="24.95" customHeight="1" x14ac:dyDescent="0.25">
      <c r="A35" s="360">
        <v>8</v>
      </c>
      <c r="B35" s="683">
        <v>8</v>
      </c>
      <c r="C35" s="684" t="str">
        <f>VLOOKUP(A35,data_siswa,4,FALSE)</f>
        <v>Aulia Dea Rosalinda</v>
      </c>
      <c r="D35" s="1893" t="s">
        <v>12</v>
      </c>
      <c r="E35" s="627"/>
      <c r="F35" s="1904">
        <f>E35*2</f>
        <v>0</v>
      </c>
      <c r="G35" s="1891"/>
      <c r="H35" s="1188">
        <f>VLOOKUP(B35,REKAP_NILAI,4,FALSE)</f>
        <v>0</v>
      </c>
      <c r="I35" s="706">
        <f>F35+G35+H35</f>
        <v>0</v>
      </c>
      <c r="J35" s="707">
        <f>(F35+G35+H35)/4</f>
        <v>0</v>
      </c>
      <c r="K35" s="708" t="str">
        <f>IF(J35&gt;85,("4"),IF(J35&gt;80,("3.66"),IF(J35&gt;75,("3.33"),IF(J35&gt;70,("3.00"),IF(J35&gt;65,("2.66"),IF(J35&gt;60,("2.33"),IF(J35&gt;55,("2"),IF(J35&gt;50,("1.66"),"1.33"))))))))</f>
        <v>1.33</v>
      </c>
      <c r="L35" s="708" t="str">
        <f>IF(J35&gt;85,("A"),IF(J35&gt;80,("A-"),IF(J35&gt;75,("B+"),IF(J35&gt;70,("B"),IF(J35&gt;65,("B-"),IF(J35&gt;60,("C+"),IF(J35&gt;55,("C"),IF(J35&gt;50,("C-"),"D+"))))))))</f>
        <v>D+</v>
      </c>
      <c r="M35" s="887" t="str">
        <f>IF(J35&gt;80,("SB"),IF(J35&gt;65,("B"),IF(J35&gt;50,("C"),IF(J35&gt;0,("K"),"0"))))</f>
        <v>0</v>
      </c>
      <c r="N35" s="685"/>
      <c r="O35" s="360"/>
      <c r="P35" s="360"/>
      <c r="Q35" s="686"/>
      <c r="R35" s="686"/>
      <c r="S35" s="686"/>
      <c r="T35" s="1193">
        <f>J38</f>
        <v>0</v>
      </c>
      <c r="U35" s="1194" t="str">
        <f>IF(T35&gt;85,("A"),IF(T35&gt;80,("A-"),IF(T35&gt;75,("B+"),IF(T35&gt;70,("B"),IF(T35&gt;65,("B-"),IF(T35&gt;60,("C+"),IF(T35&gt;55,("C"),IF(T35&gt;50,("C-"),"D+"))))))))</f>
        <v>D+</v>
      </c>
    </row>
    <row r="36" spans="1:21" ht="24.95" customHeight="1" x14ac:dyDescent="0.25">
      <c r="A36" s="687"/>
      <c r="B36" s="683">
        <v>8</v>
      </c>
      <c r="C36" s="688"/>
      <c r="D36" s="1893" t="s">
        <v>7</v>
      </c>
      <c r="E36" s="627"/>
      <c r="F36" s="1905">
        <f t="shared" ref="F36:F37" si="42">E36*2</f>
        <v>0</v>
      </c>
      <c r="G36" s="1891"/>
      <c r="H36" s="1188">
        <f>VLOOKUP(B35,REKAP_NILAI,5,FALSE)</f>
        <v>0</v>
      </c>
      <c r="I36" s="709">
        <f t="shared" ref="I36:I37" si="43">F36+G36+H36</f>
        <v>0</v>
      </c>
      <c r="J36" s="710">
        <f t="shared" ref="J36:J37" si="44">(F36+G36+H36)/4</f>
        <v>0</v>
      </c>
      <c r="K36" s="711" t="str">
        <f t="shared" ref="K36:K38" si="45">IF(J36&gt;85,("4"),IF(J36&gt;80,("3.66"),IF(J36&gt;75,("3.33"),IF(J36&gt;70,("3.00"),IF(J36&gt;65,("2.66"),IF(J36&gt;60,("2.33"),IF(J36&gt;55,("2"),IF(J36&gt;50,("1.66"),"1.33"))))))))</f>
        <v>1.33</v>
      </c>
      <c r="L36" s="711" t="str">
        <f t="shared" ref="L36:L38" si="46">IF(J36&gt;85,("A"),IF(J36&gt;80,("A-"),IF(J36&gt;75,("B+"),IF(J36&gt;70,("B"),IF(J36&gt;65,("B-"),IF(J36&gt;60,("C+"),IF(J36&gt;55,("C"),IF(J36&gt;50,("C-"),"D+"))))))))</f>
        <v>D+</v>
      </c>
      <c r="M36" s="712" t="str">
        <f t="shared" ref="M36:M38" si="47">IF(J36&gt;80,("SB"),IF(J36&gt;65,("B"),IF(J36&gt;50,("C"),IF(J36&gt;0,("K"),"0"))))</f>
        <v>0</v>
      </c>
      <c r="N36" s="689"/>
      <c r="O36" s="690"/>
      <c r="P36" s="690"/>
      <c r="Q36" s="691"/>
      <c r="R36" s="691"/>
      <c r="S36" s="692"/>
      <c r="T36" s="1804"/>
      <c r="U36" s="1805"/>
    </row>
    <row r="37" spans="1:21" ht="24.95" customHeight="1" x14ac:dyDescent="0.25">
      <c r="A37" s="687"/>
      <c r="B37" s="683">
        <v>8</v>
      </c>
      <c r="C37" s="688"/>
      <c r="D37" s="1893" t="s">
        <v>10</v>
      </c>
      <c r="E37" s="627"/>
      <c r="F37" s="1905">
        <f t="shared" si="42"/>
        <v>0</v>
      </c>
      <c r="G37" s="1891"/>
      <c r="H37" s="1188">
        <f>VLOOKUP(B35,REKAP_NILAI,6,FALSE)</f>
        <v>0</v>
      </c>
      <c r="I37" s="709">
        <f t="shared" si="43"/>
        <v>0</v>
      </c>
      <c r="J37" s="710">
        <f t="shared" si="44"/>
        <v>0</v>
      </c>
      <c r="K37" s="711" t="str">
        <f t="shared" si="45"/>
        <v>1.33</v>
      </c>
      <c r="L37" s="711" t="str">
        <f t="shared" si="46"/>
        <v>D+</v>
      </c>
      <c r="M37" s="712" t="str">
        <f t="shared" si="47"/>
        <v>0</v>
      </c>
      <c r="N37" s="693"/>
      <c r="O37" s="694"/>
      <c r="P37" s="694"/>
      <c r="Q37" s="695"/>
      <c r="R37" s="695"/>
      <c r="S37" s="696"/>
      <c r="T37" s="1806"/>
      <c r="U37" s="1807"/>
    </row>
    <row r="38" spans="1:21" ht="24.95" customHeight="1" x14ac:dyDescent="0.25">
      <c r="A38" s="697"/>
      <c r="B38" s="698"/>
      <c r="C38" s="699" t="s">
        <v>149</v>
      </c>
      <c r="D38" s="700">
        <v>8</v>
      </c>
      <c r="E38" s="697"/>
      <c r="F38" s="1906"/>
      <c r="G38" s="697"/>
      <c r="H38" s="1189">
        <f>AVERAGE(H35:H37)</f>
        <v>0</v>
      </c>
      <c r="I38" s="705"/>
      <c r="J38" s="713">
        <f>AVERAGE(J35:J37)</f>
        <v>0</v>
      </c>
      <c r="K38" s="714" t="str">
        <f t="shared" si="45"/>
        <v>1.33</v>
      </c>
      <c r="L38" s="714" t="str">
        <f t="shared" si="46"/>
        <v>D+</v>
      </c>
      <c r="M38" s="888" t="str">
        <f t="shared" si="47"/>
        <v>0</v>
      </c>
      <c r="N38" s="701"/>
      <c r="O38" s="702"/>
      <c r="P38" s="702"/>
      <c r="Q38" s="702"/>
      <c r="R38" s="702"/>
      <c r="S38" s="703"/>
      <c r="T38" s="1808"/>
      <c r="U38" s="1195"/>
    </row>
    <row r="39" spans="1:21" ht="24.95" customHeight="1" x14ac:dyDescent="0.25">
      <c r="A39" s="360">
        <v>9</v>
      </c>
      <c r="B39" s="683">
        <v>9</v>
      </c>
      <c r="C39" s="684" t="str">
        <f>VLOOKUP(A39,data_siswa,4,FALSE)</f>
        <v>Claudia Gabriella L</v>
      </c>
      <c r="D39" s="1893" t="s">
        <v>12</v>
      </c>
      <c r="E39" s="627"/>
      <c r="F39" s="1904">
        <f>E39*2</f>
        <v>0</v>
      </c>
      <c r="G39" s="1891"/>
      <c r="H39" s="1188">
        <f>VLOOKUP(B39,REKAP_NILAI,4,FALSE)</f>
        <v>0</v>
      </c>
      <c r="I39" s="706">
        <f>F39+G39+H39</f>
        <v>0</v>
      </c>
      <c r="J39" s="707">
        <f>(F39+G39+H39)/4</f>
        <v>0</v>
      </c>
      <c r="K39" s="708" t="str">
        <f>IF(J39&gt;85,("4"),IF(J39&gt;80,("3.66"),IF(J39&gt;75,("3.33"),IF(J39&gt;70,("3.00"),IF(J39&gt;65,("2.66"),IF(J39&gt;60,("2.33"),IF(J39&gt;55,("2"),IF(J39&gt;50,("1.66"),"1.33"))))))))</f>
        <v>1.33</v>
      </c>
      <c r="L39" s="708" t="str">
        <f>IF(J39&gt;85,("A"),IF(J39&gt;80,("A-"),IF(J39&gt;75,("B+"),IF(J39&gt;70,("B"),IF(J39&gt;65,("B-"),IF(J39&gt;60,("C+"),IF(J39&gt;55,("C"),IF(J39&gt;50,("C-"),"D+"))))))))</f>
        <v>D+</v>
      </c>
      <c r="M39" s="887" t="str">
        <f>IF(J39&gt;80,("SB"),IF(J39&gt;65,("B"),IF(J39&gt;50,("C"),IF(J39&gt;0,("K"),"0"))))</f>
        <v>0</v>
      </c>
      <c r="N39" s="685"/>
      <c r="O39" s="360"/>
      <c r="P39" s="360"/>
      <c r="Q39" s="686"/>
      <c r="R39" s="686"/>
      <c r="S39" s="686"/>
      <c r="T39" s="1193">
        <f>J42</f>
        <v>0</v>
      </c>
      <c r="U39" s="1194" t="str">
        <f>IF(T39&gt;85,("A"),IF(T39&gt;80,("A-"),IF(T39&gt;75,("B+"),IF(T39&gt;70,("B"),IF(T39&gt;65,("B-"),IF(T39&gt;60,("C+"),IF(T39&gt;55,("C"),IF(T39&gt;50,("C-"),"D+"))))))))</f>
        <v>D+</v>
      </c>
    </row>
    <row r="40" spans="1:21" ht="24.95" customHeight="1" x14ac:dyDescent="0.25">
      <c r="A40" s="687"/>
      <c r="B40" s="683">
        <v>9</v>
      </c>
      <c r="C40" s="688"/>
      <c r="D40" s="1893" t="s">
        <v>7</v>
      </c>
      <c r="E40" s="627"/>
      <c r="F40" s="1905">
        <f t="shared" ref="F40:F41" si="48">E40*2</f>
        <v>0</v>
      </c>
      <c r="G40" s="1891"/>
      <c r="H40" s="1188">
        <f>VLOOKUP(B39,REKAP_NILAI,5,FALSE)</f>
        <v>0</v>
      </c>
      <c r="I40" s="709">
        <f t="shared" ref="I40:I41" si="49">F40+G40+H40</f>
        <v>0</v>
      </c>
      <c r="J40" s="710">
        <f t="shared" ref="J40:J41" si="50">(F40+G40+H40)/4</f>
        <v>0</v>
      </c>
      <c r="K40" s="711" t="str">
        <f t="shared" ref="K40:K42" si="51">IF(J40&gt;85,("4"),IF(J40&gt;80,("3.66"),IF(J40&gt;75,("3.33"),IF(J40&gt;70,("3.00"),IF(J40&gt;65,("2.66"),IF(J40&gt;60,("2.33"),IF(J40&gt;55,("2"),IF(J40&gt;50,("1.66"),"1.33"))))))))</f>
        <v>1.33</v>
      </c>
      <c r="L40" s="711" t="str">
        <f t="shared" ref="L40:L42" si="52">IF(J40&gt;85,("A"),IF(J40&gt;80,("A-"),IF(J40&gt;75,("B+"),IF(J40&gt;70,("B"),IF(J40&gt;65,("B-"),IF(J40&gt;60,("C+"),IF(J40&gt;55,("C"),IF(J40&gt;50,("C-"),"D+"))))))))</f>
        <v>D+</v>
      </c>
      <c r="M40" s="712" t="str">
        <f t="shared" ref="M40:M42" si="53">IF(J40&gt;80,("SB"),IF(J40&gt;65,("B"),IF(J40&gt;50,("C"),IF(J40&gt;0,("K"),"0"))))</f>
        <v>0</v>
      </c>
      <c r="N40" s="689"/>
      <c r="O40" s="690"/>
      <c r="P40" s="690"/>
      <c r="Q40" s="691"/>
      <c r="R40" s="691"/>
      <c r="S40" s="692"/>
      <c r="T40" s="1804"/>
      <c r="U40" s="1805"/>
    </row>
    <row r="41" spans="1:21" ht="24.95" customHeight="1" x14ac:dyDescent="0.25">
      <c r="A41" s="687"/>
      <c r="B41" s="683">
        <v>9</v>
      </c>
      <c r="C41" s="688"/>
      <c r="D41" s="1893" t="s">
        <v>10</v>
      </c>
      <c r="E41" s="627"/>
      <c r="F41" s="1905">
        <f t="shared" si="48"/>
        <v>0</v>
      </c>
      <c r="G41" s="1891"/>
      <c r="H41" s="1188">
        <f>VLOOKUP(B39,REKAP_NILAI,6,FALSE)</f>
        <v>0</v>
      </c>
      <c r="I41" s="709">
        <f t="shared" si="49"/>
        <v>0</v>
      </c>
      <c r="J41" s="710">
        <f t="shared" si="50"/>
        <v>0</v>
      </c>
      <c r="K41" s="711" t="str">
        <f t="shared" si="51"/>
        <v>1.33</v>
      </c>
      <c r="L41" s="711" t="str">
        <f t="shared" si="52"/>
        <v>D+</v>
      </c>
      <c r="M41" s="712" t="str">
        <f t="shared" si="53"/>
        <v>0</v>
      </c>
      <c r="N41" s="693"/>
      <c r="O41" s="694"/>
      <c r="P41" s="694"/>
      <c r="Q41" s="695"/>
      <c r="R41" s="695"/>
      <c r="S41" s="696"/>
      <c r="T41" s="1809"/>
      <c r="U41" s="1807"/>
    </row>
    <row r="42" spans="1:21" ht="24.95" customHeight="1" x14ac:dyDescent="0.25">
      <c r="A42" s="697"/>
      <c r="B42" s="698"/>
      <c r="C42" s="699" t="s">
        <v>149</v>
      </c>
      <c r="D42" s="700">
        <v>9</v>
      </c>
      <c r="E42" s="697"/>
      <c r="F42" s="1906"/>
      <c r="G42" s="697"/>
      <c r="H42" s="1189">
        <f>AVERAGE(H39:H41)</f>
        <v>0</v>
      </c>
      <c r="I42" s="705"/>
      <c r="J42" s="713">
        <f>AVERAGE(J39:J41)</f>
        <v>0</v>
      </c>
      <c r="K42" s="714" t="str">
        <f t="shared" si="51"/>
        <v>1.33</v>
      </c>
      <c r="L42" s="714" t="str">
        <f t="shared" si="52"/>
        <v>D+</v>
      </c>
      <c r="M42" s="888" t="str">
        <f t="shared" si="53"/>
        <v>0</v>
      </c>
      <c r="N42" s="701"/>
      <c r="O42" s="702"/>
      <c r="P42" s="702"/>
      <c r="Q42" s="702"/>
      <c r="R42" s="702"/>
      <c r="S42" s="703"/>
      <c r="T42" s="1808"/>
      <c r="U42" s="1195"/>
    </row>
    <row r="43" spans="1:21" ht="24.95" customHeight="1" x14ac:dyDescent="0.25">
      <c r="A43" s="360">
        <v>10</v>
      </c>
      <c r="B43" s="683">
        <v>10</v>
      </c>
      <c r="C43" s="684" t="str">
        <f>VLOOKUP(A43,data_siswa,4,FALSE)</f>
        <v xml:space="preserve">Deco Badarus Zaman </v>
      </c>
      <c r="D43" s="1893" t="s">
        <v>12</v>
      </c>
      <c r="E43" s="627"/>
      <c r="F43" s="1904">
        <f>E43*2</f>
        <v>0</v>
      </c>
      <c r="G43" s="1891"/>
      <c r="H43" s="1188">
        <f>VLOOKUP(B43,REKAP_NILAI,4,FALSE)</f>
        <v>0</v>
      </c>
      <c r="I43" s="706">
        <f>F43+G43+H43</f>
        <v>0</v>
      </c>
      <c r="J43" s="707">
        <f>(F43+G43+H43)/4</f>
        <v>0</v>
      </c>
      <c r="K43" s="708" t="str">
        <f>IF(J43&gt;85,("4"),IF(J43&gt;80,("3.66"),IF(J43&gt;75,("3.33"),IF(J43&gt;70,("3.00"),IF(J43&gt;65,("2.66"),IF(J43&gt;60,("2.33"),IF(J43&gt;55,("2"),IF(J43&gt;50,("1.66"),"1.33"))))))))</f>
        <v>1.33</v>
      </c>
      <c r="L43" s="708" t="str">
        <f>IF(J43&gt;85,("A"),IF(J43&gt;80,("A-"),IF(J43&gt;75,("B+"),IF(J43&gt;70,("B"),IF(J43&gt;65,("B-"),IF(J43&gt;60,("C+"),IF(J43&gt;55,("C"),IF(J43&gt;50,("C-"),"D+"))))))))</f>
        <v>D+</v>
      </c>
      <c r="M43" s="887" t="str">
        <f>IF(J43&gt;80,("SB"),IF(J43&gt;65,("B"),IF(J43&gt;50,("C"),IF(J43&gt;0,("K"),"0"))))</f>
        <v>0</v>
      </c>
      <c r="N43" s="685"/>
      <c r="O43" s="360"/>
      <c r="P43" s="360"/>
      <c r="Q43" s="686"/>
      <c r="R43" s="686"/>
      <c r="S43" s="686"/>
      <c r="T43" s="1193">
        <f>J46</f>
        <v>0</v>
      </c>
      <c r="U43" s="1194" t="str">
        <f>IF(T43&gt;85,("A"),IF(T43&gt;80,("A-"),IF(T43&gt;75,("B+"),IF(T43&gt;70,("B"),IF(T43&gt;65,("B-"),IF(T43&gt;60,("C+"),IF(T43&gt;55,("C"),IF(T43&gt;50,("C-"),"D+"))))))))</f>
        <v>D+</v>
      </c>
    </row>
    <row r="44" spans="1:21" ht="24.95" customHeight="1" x14ac:dyDescent="0.25">
      <c r="A44" s="687"/>
      <c r="B44" s="683">
        <v>10</v>
      </c>
      <c r="C44" s="688"/>
      <c r="D44" s="1893" t="s">
        <v>7</v>
      </c>
      <c r="E44" s="627"/>
      <c r="F44" s="1905">
        <f t="shared" ref="F44:F45" si="54">E44*2</f>
        <v>0</v>
      </c>
      <c r="G44" s="1891"/>
      <c r="H44" s="1188">
        <f>VLOOKUP(B43,REKAP_NILAI,5,FALSE)</f>
        <v>0</v>
      </c>
      <c r="I44" s="709">
        <f t="shared" ref="I44:I45" si="55">F44+G44+H44</f>
        <v>0</v>
      </c>
      <c r="J44" s="710">
        <f t="shared" ref="J44:J45" si="56">(F44+G44+H44)/4</f>
        <v>0</v>
      </c>
      <c r="K44" s="711" t="str">
        <f t="shared" ref="K44:K46" si="57">IF(J44&gt;85,("4"),IF(J44&gt;80,("3.66"),IF(J44&gt;75,("3.33"),IF(J44&gt;70,("3.00"),IF(J44&gt;65,("2.66"),IF(J44&gt;60,("2.33"),IF(J44&gt;55,("2"),IF(J44&gt;50,("1.66"),"1.33"))))))))</f>
        <v>1.33</v>
      </c>
      <c r="L44" s="711" t="str">
        <f t="shared" ref="L44:L46" si="58">IF(J44&gt;85,("A"),IF(J44&gt;80,("A-"),IF(J44&gt;75,("B+"),IF(J44&gt;70,("B"),IF(J44&gt;65,("B-"),IF(J44&gt;60,("C+"),IF(J44&gt;55,("C"),IF(J44&gt;50,("C-"),"D+"))))))))</f>
        <v>D+</v>
      </c>
      <c r="M44" s="712" t="str">
        <f t="shared" ref="M44:M46" si="59">IF(J44&gt;80,("SB"),IF(J44&gt;65,("B"),IF(J44&gt;50,("C"),IF(J44&gt;0,("K"),"0"))))</f>
        <v>0</v>
      </c>
      <c r="N44" s="689"/>
      <c r="O44" s="690"/>
      <c r="P44" s="690"/>
      <c r="Q44" s="691"/>
      <c r="R44" s="691"/>
      <c r="S44" s="692"/>
      <c r="T44" s="1804"/>
      <c r="U44" s="1805"/>
    </row>
    <row r="45" spans="1:21" ht="24.95" customHeight="1" x14ac:dyDescent="0.25">
      <c r="A45" s="687"/>
      <c r="B45" s="683">
        <v>10</v>
      </c>
      <c r="C45" s="688"/>
      <c r="D45" s="1893" t="s">
        <v>10</v>
      </c>
      <c r="E45" s="627"/>
      <c r="F45" s="1905">
        <f t="shared" si="54"/>
        <v>0</v>
      </c>
      <c r="G45" s="1891"/>
      <c r="H45" s="1188">
        <f>VLOOKUP(B43,REKAP_NILAI,6,FALSE)</f>
        <v>0</v>
      </c>
      <c r="I45" s="709">
        <f t="shared" si="55"/>
        <v>0</v>
      </c>
      <c r="J45" s="710">
        <f t="shared" si="56"/>
        <v>0</v>
      </c>
      <c r="K45" s="711" t="str">
        <f t="shared" si="57"/>
        <v>1.33</v>
      </c>
      <c r="L45" s="711" t="str">
        <f t="shared" si="58"/>
        <v>D+</v>
      </c>
      <c r="M45" s="712" t="str">
        <f t="shared" si="59"/>
        <v>0</v>
      </c>
      <c r="N45" s="693"/>
      <c r="O45" s="694"/>
      <c r="P45" s="694"/>
      <c r="Q45" s="695"/>
      <c r="R45" s="695"/>
      <c r="S45" s="696"/>
      <c r="T45" s="1809"/>
      <c r="U45" s="1810"/>
    </row>
    <row r="46" spans="1:21" ht="24.95" customHeight="1" x14ac:dyDescent="0.25">
      <c r="A46" s="697"/>
      <c r="B46" s="698"/>
      <c r="C46" s="699" t="s">
        <v>149</v>
      </c>
      <c r="D46" s="700">
        <v>10</v>
      </c>
      <c r="E46" s="697"/>
      <c r="F46" s="1906"/>
      <c r="G46" s="697"/>
      <c r="H46" s="1189">
        <f>AVERAGE(H43:H45)</f>
        <v>0</v>
      </c>
      <c r="I46" s="705"/>
      <c r="J46" s="713">
        <f>AVERAGE(J43:J45)</f>
        <v>0</v>
      </c>
      <c r="K46" s="714" t="str">
        <f t="shared" si="57"/>
        <v>1.33</v>
      </c>
      <c r="L46" s="714" t="str">
        <f t="shared" si="58"/>
        <v>D+</v>
      </c>
      <c r="M46" s="888" t="str">
        <f t="shared" si="59"/>
        <v>0</v>
      </c>
      <c r="N46" s="701"/>
      <c r="O46" s="702"/>
      <c r="P46" s="702"/>
      <c r="Q46" s="702"/>
      <c r="R46" s="702"/>
      <c r="S46" s="703"/>
      <c r="T46" s="1808"/>
      <c r="U46" s="1195"/>
    </row>
    <row r="47" spans="1:21" ht="24.95" customHeight="1" x14ac:dyDescent="0.25">
      <c r="A47" s="360">
        <v>11</v>
      </c>
      <c r="B47" s="683">
        <v>11</v>
      </c>
      <c r="C47" s="684" t="str">
        <f>VLOOKUP(A47,data_siswa,4,FALSE)</f>
        <v>Fania Mutiara Felichia</v>
      </c>
      <c r="D47" s="1893" t="s">
        <v>12</v>
      </c>
      <c r="E47" s="627"/>
      <c r="F47" s="1904">
        <f>E47*2</f>
        <v>0</v>
      </c>
      <c r="G47" s="1891"/>
      <c r="H47" s="1188">
        <f>VLOOKUP(B47,REKAP_NILAI,4,FALSE)</f>
        <v>0</v>
      </c>
      <c r="I47" s="706">
        <f>F47+G47+H47</f>
        <v>0</v>
      </c>
      <c r="J47" s="707">
        <f>(F47+G47+H47)/4</f>
        <v>0</v>
      </c>
      <c r="K47" s="708" t="str">
        <f>IF(J47&gt;85,("4"),IF(J47&gt;80,("3.66"),IF(J47&gt;75,("3.33"),IF(J47&gt;70,("3.00"),IF(J47&gt;65,("2.66"),IF(J47&gt;60,("2.33"),IF(J47&gt;55,("2"),IF(J47&gt;50,("1.66"),"1.33"))))))))</f>
        <v>1.33</v>
      </c>
      <c r="L47" s="708" t="str">
        <f>IF(J47&gt;85,("A"),IF(J47&gt;80,("A-"),IF(J47&gt;75,("B+"),IF(J47&gt;70,("B"),IF(J47&gt;65,("B-"),IF(J47&gt;60,("C+"),IF(J47&gt;55,("C"),IF(J47&gt;50,("C-"),"D+"))))))))</f>
        <v>D+</v>
      </c>
      <c r="M47" s="887" t="str">
        <f>IF(J47&gt;80,("SB"),IF(J47&gt;65,("B"),IF(J47&gt;50,("C"),IF(J47&gt;0,("K"),"0"))))</f>
        <v>0</v>
      </c>
      <c r="N47" s="685"/>
      <c r="O47" s="360"/>
      <c r="P47" s="360"/>
      <c r="Q47" s="686"/>
      <c r="R47" s="686"/>
      <c r="S47" s="686"/>
      <c r="T47" s="1193">
        <f>J50</f>
        <v>0</v>
      </c>
      <c r="U47" s="1194" t="str">
        <f>IF(T47&gt;85,("A"),IF(T47&gt;80,("A-"),IF(T47&gt;75,("B+"),IF(T47&gt;70,("B"),IF(T47&gt;65,("B-"),IF(T47&gt;60,("C+"),IF(T47&gt;55,("C"),IF(T47&gt;50,("C-"),"D+"))))))))</f>
        <v>D+</v>
      </c>
    </row>
    <row r="48" spans="1:21" ht="24.95" customHeight="1" x14ac:dyDescent="0.25">
      <c r="A48" s="687"/>
      <c r="B48" s="683">
        <v>11</v>
      </c>
      <c r="C48" s="688"/>
      <c r="D48" s="1893" t="s">
        <v>7</v>
      </c>
      <c r="E48" s="627"/>
      <c r="F48" s="1905">
        <f t="shared" ref="F48:F49" si="60">E48*2</f>
        <v>0</v>
      </c>
      <c r="G48" s="1891"/>
      <c r="H48" s="1188">
        <f>VLOOKUP(B47,REKAP_NILAI,5,FALSE)</f>
        <v>0</v>
      </c>
      <c r="I48" s="709">
        <f t="shared" ref="I48:I49" si="61">F48+G48+H48</f>
        <v>0</v>
      </c>
      <c r="J48" s="710">
        <f t="shared" ref="J48:J49" si="62">(F48+G48+H48)/4</f>
        <v>0</v>
      </c>
      <c r="K48" s="711" t="str">
        <f t="shared" ref="K48:K50" si="63">IF(J48&gt;85,("4"),IF(J48&gt;80,("3.66"),IF(J48&gt;75,("3.33"),IF(J48&gt;70,("3.00"),IF(J48&gt;65,("2.66"),IF(J48&gt;60,("2.33"),IF(J48&gt;55,("2"),IF(J48&gt;50,("1.66"),"1.33"))))))))</f>
        <v>1.33</v>
      </c>
      <c r="L48" s="711" t="str">
        <f t="shared" ref="L48:L50" si="64">IF(J48&gt;85,("A"),IF(J48&gt;80,("A-"),IF(J48&gt;75,("B+"),IF(J48&gt;70,("B"),IF(J48&gt;65,("B-"),IF(J48&gt;60,("C+"),IF(J48&gt;55,("C"),IF(J48&gt;50,("C-"),"D+"))))))))</f>
        <v>D+</v>
      </c>
      <c r="M48" s="712" t="str">
        <f t="shared" ref="M48:M50" si="65">IF(J48&gt;80,("SB"),IF(J48&gt;65,("B"),IF(J48&gt;50,("C"),IF(J48&gt;0,("K"),"0"))))</f>
        <v>0</v>
      </c>
      <c r="N48" s="689"/>
      <c r="O48" s="690"/>
      <c r="P48" s="690"/>
      <c r="Q48" s="691"/>
      <c r="R48" s="691"/>
      <c r="S48" s="692"/>
      <c r="T48" s="1804"/>
      <c r="U48" s="1805"/>
    </row>
    <row r="49" spans="1:21" ht="24.95" customHeight="1" x14ac:dyDescent="0.25">
      <c r="A49" s="687"/>
      <c r="B49" s="683">
        <v>11</v>
      </c>
      <c r="C49" s="688"/>
      <c r="D49" s="1893" t="s">
        <v>10</v>
      </c>
      <c r="E49" s="627"/>
      <c r="F49" s="1905">
        <f t="shared" si="60"/>
        <v>0</v>
      </c>
      <c r="G49" s="1891"/>
      <c r="H49" s="1188">
        <f>VLOOKUP(B47,REKAP_NILAI,6,FALSE)</f>
        <v>0</v>
      </c>
      <c r="I49" s="709">
        <f t="shared" si="61"/>
        <v>0</v>
      </c>
      <c r="J49" s="710">
        <f t="shared" si="62"/>
        <v>0</v>
      </c>
      <c r="K49" s="711" t="str">
        <f t="shared" si="63"/>
        <v>1.33</v>
      </c>
      <c r="L49" s="711" t="str">
        <f t="shared" si="64"/>
        <v>D+</v>
      </c>
      <c r="M49" s="712" t="str">
        <f t="shared" si="65"/>
        <v>0</v>
      </c>
      <c r="N49" s="693"/>
      <c r="O49" s="694"/>
      <c r="P49" s="694"/>
      <c r="Q49" s="695"/>
      <c r="R49" s="695"/>
      <c r="S49" s="696"/>
      <c r="T49" s="1806"/>
      <c r="U49" s="1807"/>
    </row>
    <row r="50" spans="1:21" ht="24.95" customHeight="1" x14ac:dyDescent="0.25">
      <c r="A50" s="697"/>
      <c r="B50" s="698"/>
      <c r="C50" s="699" t="s">
        <v>149</v>
      </c>
      <c r="D50" s="700">
        <v>11</v>
      </c>
      <c r="E50" s="697"/>
      <c r="F50" s="1906"/>
      <c r="G50" s="697"/>
      <c r="H50" s="1189">
        <f>AVERAGE(H47:H49)</f>
        <v>0</v>
      </c>
      <c r="I50" s="705"/>
      <c r="J50" s="713">
        <f>AVERAGE(J47:J49)</f>
        <v>0</v>
      </c>
      <c r="K50" s="714" t="str">
        <f t="shared" si="63"/>
        <v>1.33</v>
      </c>
      <c r="L50" s="714" t="str">
        <f t="shared" si="64"/>
        <v>D+</v>
      </c>
      <c r="M50" s="888" t="str">
        <f t="shared" si="65"/>
        <v>0</v>
      </c>
      <c r="N50" s="701"/>
      <c r="O50" s="702"/>
      <c r="P50" s="702"/>
      <c r="Q50" s="702"/>
      <c r="R50" s="702"/>
      <c r="S50" s="703"/>
      <c r="T50" s="1808"/>
      <c r="U50" s="1195"/>
    </row>
    <row r="51" spans="1:21" ht="24.95" customHeight="1" x14ac:dyDescent="0.25">
      <c r="A51" s="360">
        <v>12</v>
      </c>
      <c r="B51" s="683">
        <v>12</v>
      </c>
      <c r="C51" s="684" t="str">
        <f>VLOOKUP(A51,data_siswa,4,FALSE)</f>
        <v>Intan Dyah Nowari</v>
      </c>
      <c r="D51" s="1893" t="s">
        <v>12</v>
      </c>
      <c r="E51" s="627"/>
      <c r="F51" s="1904">
        <f>E51*2</f>
        <v>0</v>
      </c>
      <c r="G51" s="1891"/>
      <c r="H51" s="1188">
        <f>VLOOKUP(B51,REKAP_NILAI,4,FALSE)</f>
        <v>0</v>
      </c>
      <c r="I51" s="706">
        <f>F51+G51+H51</f>
        <v>0</v>
      </c>
      <c r="J51" s="707">
        <f>(F51+G51+H51)/4</f>
        <v>0</v>
      </c>
      <c r="K51" s="708" t="str">
        <f>IF(J51&gt;85,("4"),IF(J51&gt;80,("3.66"),IF(J51&gt;75,("3.33"),IF(J51&gt;70,("3.00"),IF(J51&gt;65,("2.66"),IF(J51&gt;60,("2.33"),IF(J51&gt;55,("2"),IF(J51&gt;50,("1.66"),"1.33"))))))))</f>
        <v>1.33</v>
      </c>
      <c r="L51" s="708" t="str">
        <f>IF(J51&gt;85,("A"),IF(J51&gt;80,("A-"),IF(J51&gt;75,("B+"),IF(J51&gt;70,("B"),IF(J51&gt;65,("B-"),IF(J51&gt;60,("C+"),IF(J51&gt;55,("C"),IF(J51&gt;50,("C-"),"D+"))))))))</f>
        <v>D+</v>
      </c>
      <c r="M51" s="887" t="str">
        <f>IF(J51&gt;80,("SB"),IF(J51&gt;65,("B"),IF(J51&gt;50,("C"),IF(J51&gt;0,("K"),"0"))))</f>
        <v>0</v>
      </c>
      <c r="N51" s="685"/>
      <c r="O51" s="360"/>
      <c r="P51" s="360"/>
      <c r="Q51" s="686"/>
      <c r="R51" s="686"/>
      <c r="S51" s="686"/>
      <c r="T51" s="1193">
        <f>J54</f>
        <v>0</v>
      </c>
      <c r="U51" s="1194" t="str">
        <f>IF(T51&gt;85,("A"),IF(T51&gt;80,("A-"),IF(T51&gt;75,("B+"),IF(T51&gt;70,("B"),IF(T51&gt;65,("B-"),IF(T51&gt;60,("C+"),IF(T51&gt;55,("C"),IF(T51&gt;50,("C-"),"D+"))))))))</f>
        <v>D+</v>
      </c>
    </row>
    <row r="52" spans="1:21" ht="24.95" customHeight="1" x14ac:dyDescent="0.25">
      <c r="A52" s="687"/>
      <c r="B52" s="683">
        <v>12</v>
      </c>
      <c r="C52" s="688"/>
      <c r="D52" s="1893" t="s">
        <v>7</v>
      </c>
      <c r="E52" s="627"/>
      <c r="F52" s="1905">
        <f t="shared" ref="F52:F53" si="66">E52*2</f>
        <v>0</v>
      </c>
      <c r="G52" s="1891"/>
      <c r="H52" s="1188">
        <f>VLOOKUP(B51,REKAP_NILAI,5,FALSE)</f>
        <v>0</v>
      </c>
      <c r="I52" s="709">
        <f t="shared" ref="I52:I53" si="67">F52+G52+H52</f>
        <v>0</v>
      </c>
      <c r="J52" s="710">
        <f t="shared" ref="J52:J53" si="68">(F52+G52+H52)/4</f>
        <v>0</v>
      </c>
      <c r="K52" s="711" t="str">
        <f t="shared" ref="K52:K54" si="69">IF(J52&gt;85,("4"),IF(J52&gt;80,("3.66"),IF(J52&gt;75,("3.33"),IF(J52&gt;70,("3.00"),IF(J52&gt;65,("2.66"),IF(J52&gt;60,("2.33"),IF(J52&gt;55,("2"),IF(J52&gt;50,("1.66"),"1.33"))))))))</f>
        <v>1.33</v>
      </c>
      <c r="L52" s="711" t="str">
        <f t="shared" ref="L52:L54" si="70">IF(J52&gt;85,("A"),IF(J52&gt;80,("A-"),IF(J52&gt;75,("B+"),IF(J52&gt;70,("B"),IF(J52&gt;65,("B-"),IF(J52&gt;60,("C+"),IF(J52&gt;55,("C"),IF(J52&gt;50,("C-"),"D+"))))))))</f>
        <v>D+</v>
      </c>
      <c r="M52" s="712" t="str">
        <f t="shared" ref="M52:M54" si="71">IF(J52&gt;80,("SB"),IF(J52&gt;65,("B"),IF(J52&gt;50,("C"),IF(J52&gt;0,("K"),"0"))))</f>
        <v>0</v>
      </c>
      <c r="N52" s="689"/>
      <c r="O52" s="690"/>
      <c r="P52" s="690"/>
      <c r="Q52" s="691"/>
      <c r="R52" s="691"/>
      <c r="S52" s="692"/>
      <c r="T52" s="1804"/>
      <c r="U52" s="1805"/>
    </row>
    <row r="53" spans="1:21" ht="24.95" customHeight="1" x14ac:dyDescent="0.25">
      <c r="A53" s="687"/>
      <c r="B53" s="683">
        <v>12</v>
      </c>
      <c r="C53" s="688"/>
      <c r="D53" s="1893" t="s">
        <v>10</v>
      </c>
      <c r="E53" s="627"/>
      <c r="F53" s="1905">
        <f t="shared" si="66"/>
        <v>0</v>
      </c>
      <c r="G53" s="1891"/>
      <c r="H53" s="1188">
        <f>VLOOKUP(B51,REKAP_NILAI,6,FALSE)</f>
        <v>0</v>
      </c>
      <c r="I53" s="709">
        <f t="shared" si="67"/>
        <v>0</v>
      </c>
      <c r="J53" s="710">
        <f t="shared" si="68"/>
        <v>0</v>
      </c>
      <c r="K53" s="711" t="str">
        <f t="shared" si="69"/>
        <v>1.33</v>
      </c>
      <c r="L53" s="711" t="str">
        <f t="shared" si="70"/>
        <v>D+</v>
      </c>
      <c r="M53" s="712" t="str">
        <f t="shared" si="71"/>
        <v>0</v>
      </c>
      <c r="N53" s="693"/>
      <c r="O53" s="694"/>
      <c r="P53" s="694"/>
      <c r="Q53" s="695"/>
      <c r="R53" s="695"/>
      <c r="S53" s="696"/>
      <c r="T53" s="1809"/>
      <c r="U53" s="1807"/>
    </row>
    <row r="54" spans="1:21" ht="24.95" customHeight="1" x14ac:dyDescent="0.25">
      <c r="A54" s="697"/>
      <c r="B54" s="698"/>
      <c r="C54" s="699" t="s">
        <v>149</v>
      </c>
      <c r="D54" s="700">
        <v>12</v>
      </c>
      <c r="E54" s="697"/>
      <c r="F54" s="1906"/>
      <c r="G54" s="697"/>
      <c r="H54" s="1189">
        <f>AVERAGE(H51:H53)</f>
        <v>0</v>
      </c>
      <c r="I54" s="705"/>
      <c r="J54" s="713">
        <f>AVERAGE(J51:J53)</f>
        <v>0</v>
      </c>
      <c r="K54" s="714" t="str">
        <f t="shared" si="69"/>
        <v>1.33</v>
      </c>
      <c r="L54" s="714" t="str">
        <f t="shared" si="70"/>
        <v>D+</v>
      </c>
      <c r="M54" s="888" t="str">
        <f t="shared" si="71"/>
        <v>0</v>
      </c>
      <c r="N54" s="701"/>
      <c r="O54" s="702"/>
      <c r="P54" s="702"/>
      <c r="Q54" s="702"/>
      <c r="R54" s="702"/>
      <c r="S54" s="703"/>
      <c r="T54" s="1808"/>
      <c r="U54" s="1195"/>
    </row>
    <row r="55" spans="1:21" ht="24.95" customHeight="1" x14ac:dyDescent="0.25">
      <c r="A55" s="360">
        <v>13</v>
      </c>
      <c r="B55" s="683">
        <v>13</v>
      </c>
      <c r="C55" s="684" t="str">
        <f>VLOOKUP(A55,data_siswa,4,FALSE)</f>
        <v>Misyanita Nurfitri S</v>
      </c>
      <c r="D55" s="1893" t="s">
        <v>12</v>
      </c>
      <c r="E55" s="627"/>
      <c r="F55" s="1904">
        <f>E55*2</f>
        <v>0</v>
      </c>
      <c r="G55" s="1891"/>
      <c r="H55" s="1188">
        <f>VLOOKUP(B55,REKAP_NILAI,4,FALSE)</f>
        <v>0</v>
      </c>
      <c r="I55" s="706">
        <f>F55+G55+H55</f>
        <v>0</v>
      </c>
      <c r="J55" s="707">
        <f>(F55+G55+H55)/4</f>
        <v>0</v>
      </c>
      <c r="K55" s="708" t="str">
        <f>IF(J55&gt;85,("4"),IF(J55&gt;80,("3.66"),IF(J55&gt;75,("3.33"),IF(J55&gt;70,("3.00"),IF(J55&gt;65,("2.66"),IF(J55&gt;60,("2.33"),IF(J55&gt;55,("2"),IF(J55&gt;50,("1.66"),"1.33"))))))))</f>
        <v>1.33</v>
      </c>
      <c r="L55" s="708" t="str">
        <f>IF(J55&gt;85,("A"),IF(J55&gt;80,("A-"),IF(J55&gt;75,("B+"),IF(J55&gt;70,("B"),IF(J55&gt;65,("B-"),IF(J55&gt;60,("C+"),IF(J55&gt;55,("C"),IF(J55&gt;50,("C-"),"D+"))))))))</f>
        <v>D+</v>
      </c>
      <c r="M55" s="887" t="str">
        <f>IF(J55&gt;80,("SB"),IF(J55&gt;65,("B"),IF(J55&gt;50,("C"),IF(J55&gt;0,("K"),"0"))))</f>
        <v>0</v>
      </c>
      <c r="N55" s="685"/>
      <c r="O55" s="360"/>
      <c r="P55" s="360"/>
      <c r="Q55" s="686"/>
      <c r="R55" s="686"/>
      <c r="S55" s="686"/>
      <c r="T55" s="1193">
        <f>J58</f>
        <v>0</v>
      </c>
      <c r="U55" s="1194" t="str">
        <f>IF(T55&gt;85,("A"),IF(T55&gt;80,("A-"),IF(T55&gt;75,("B+"),IF(T55&gt;70,("B"),IF(T55&gt;65,("B-"),IF(T55&gt;60,("C+"),IF(T55&gt;55,("C"),IF(T55&gt;50,("C-"),"D+"))))))))</f>
        <v>D+</v>
      </c>
    </row>
    <row r="56" spans="1:21" ht="24.95" customHeight="1" x14ac:dyDescent="0.25">
      <c r="A56" s="687"/>
      <c r="B56" s="683">
        <v>13</v>
      </c>
      <c r="C56" s="688"/>
      <c r="D56" s="1893" t="s">
        <v>7</v>
      </c>
      <c r="E56" s="627"/>
      <c r="F56" s="1905">
        <f t="shared" ref="F56:F57" si="72">E56*2</f>
        <v>0</v>
      </c>
      <c r="G56" s="1891"/>
      <c r="H56" s="1188">
        <f>VLOOKUP(B55,REKAP_NILAI,5,FALSE)</f>
        <v>0</v>
      </c>
      <c r="I56" s="709">
        <f t="shared" ref="I56:I57" si="73">F56+G56+H56</f>
        <v>0</v>
      </c>
      <c r="J56" s="710">
        <f t="shared" ref="J56:J57" si="74">(F56+G56+H56)/4</f>
        <v>0</v>
      </c>
      <c r="K56" s="711" t="str">
        <f t="shared" ref="K56:K58" si="75">IF(J56&gt;85,("4"),IF(J56&gt;80,("3.66"),IF(J56&gt;75,("3.33"),IF(J56&gt;70,("3.00"),IF(J56&gt;65,("2.66"),IF(J56&gt;60,("2.33"),IF(J56&gt;55,("2"),IF(J56&gt;50,("1.66"),"1.33"))))))))</f>
        <v>1.33</v>
      </c>
      <c r="L56" s="711" t="str">
        <f t="shared" ref="L56:L58" si="76">IF(J56&gt;85,("A"),IF(J56&gt;80,("A-"),IF(J56&gt;75,("B+"),IF(J56&gt;70,("B"),IF(J56&gt;65,("B-"),IF(J56&gt;60,("C+"),IF(J56&gt;55,("C"),IF(J56&gt;50,("C-"),"D+"))))))))</f>
        <v>D+</v>
      </c>
      <c r="M56" s="712" t="str">
        <f t="shared" ref="M56:M58" si="77">IF(J56&gt;80,("SB"),IF(J56&gt;65,("B"),IF(J56&gt;50,("C"),IF(J56&gt;0,("K"),"0"))))</f>
        <v>0</v>
      </c>
      <c r="N56" s="689"/>
      <c r="O56" s="690"/>
      <c r="P56" s="690"/>
      <c r="Q56" s="691"/>
      <c r="R56" s="691"/>
      <c r="S56" s="692"/>
      <c r="T56" s="1804"/>
      <c r="U56" s="1805"/>
    </row>
    <row r="57" spans="1:21" ht="24.95" customHeight="1" x14ac:dyDescent="0.25">
      <c r="A57" s="687"/>
      <c r="B57" s="683">
        <v>13</v>
      </c>
      <c r="C57" s="688"/>
      <c r="D57" s="1893" t="s">
        <v>10</v>
      </c>
      <c r="E57" s="627"/>
      <c r="F57" s="1905">
        <f t="shared" si="72"/>
        <v>0</v>
      </c>
      <c r="G57" s="1891"/>
      <c r="H57" s="1188">
        <f>VLOOKUP(B55,REKAP_NILAI,6,FALSE)</f>
        <v>0</v>
      </c>
      <c r="I57" s="709">
        <f t="shared" si="73"/>
        <v>0</v>
      </c>
      <c r="J57" s="710">
        <f t="shared" si="74"/>
        <v>0</v>
      </c>
      <c r="K57" s="711" t="str">
        <f t="shared" si="75"/>
        <v>1.33</v>
      </c>
      <c r="L57" s="711" t="str">
        <f t="shared" si="76"/>
        <v>D+</v>
      </c>
      <c r="M57" s="712" t="str">
        <f t="shared" si="77"/>
        <v>0</v>
      </c>
      <c r="N57" s="693"/>
      <c r="O57" s="694"/>
      <c r="P57" s="694"/>
      <c r="Q57" s="695"/>
      <c r="R57" s="695"/>
      <c r="S57" s="696"/>
      <c r="T57" s="1806"/>
      <c r="U57" s="1807"/>
    </row>
    <row r="58" spans="1:21" ht="24.95" customHeight="1" x14ac:dyDescent="0.25">
      <c r="A58" s="697"/>
      <c r="B58" s="698"/>
      <c r="C58" s="699" t="s">
        <v>149</v>
      </c>
      <c r="D58" s="700">
        <v>13</v>
      </c>
      <c r="E58" s="697"/>
      <c r="F58" s="1906"/>
      <c r="G58" s="697"/>
      <c r="H58" s="1189">
        <f>AVERAGE(H55:H57)</f>
        <v>0</v>
      </c>
      <c r="I58" s="705"/>
      <c r="J58" s="713">
        <f>AVERAGE(J55:J57)</f>
        <v>0</v>
      </c>
      <c r="K58" s="714" t="str">
        <f t="shared" si="75"/>
        <v>1.33</v>
      </c>
      <c r="L58" s="714" t="str">
        <f t="shared" si="76"/>
        <v>D+</v>
      </c>
      <c r="M58" s="888" t="str">
        <f t="shared" si="77"/>
        <v>0</v>
      </c>
      <c r="N58" s="701"/>
      <c r="O58" s="702"/>
      <c r="P58" s="702"/>
      <c r="Q58" s="702"/>
      <c r="R58" s="702"/>
      <c r="S58" s="703"/>
      <c r="T58" s="1808"/>
      <c r="U58" s="1195"/>
    </row>
    <row r="59" spans="1:21" ht="24.95" customHeight="1" x14ac:dyDescent="0.25">
      <c r="A59" s="360">
        <v>14</v>
      </c>
      <c r="B59" s="683">
        <v>14</v>
      </c>
      <c r="C59" s="684" t="str">
        <f>VLOOKUP(A59,data_siswa,4,FALSE)</f>
        <v>Moch Zidane Hita L. U</v>
      </c>
      <c r="D59" s="1893" t="s">
        <v>12</v>
      </c>
      <c r="E59" s="627"/>
      <c r="F59" s="1904">
        <f>E59*2</f>
        <v>0</v>
      </c>
      <c r="G59" s="1891"/>
      <c r="H59" s="1188">
        <f>VLOOKUP(B59,REKAP_NILAI,4,FALSE)</f>
        <v>0</v>
      </c>
      <c r="I59" s="706">
        <f>F59+G59+H59</f>
        <v>0</v>
      </c>
      <c r="J59" s="707">
        <f>(F59+G59+H59)/4</f>
        <v>0</v>
      </c>
      <c r="K59" s="708" t="str">
        <f>IF(J59&gt;85,("4"),IF(J59&gt;80,("3.66"),IF(J59&gt;75,("3.33"),IF(J59&gt;70,("3.00"),IF(J59&gt;65,("2.66"),IF(J59&gt;60,("2.33"),IF(J59&gt;55,("2"),IF(J59&gt;50,("1.66"),"1.33"))))))))</f>
        <v>1.33</v>
      </c>
      <c r="L59" s="708" t="str">
        <f>IF(J59&gt;85,("A"),IF(J59&gt;80,("A-"),IF(J59&gt;75,("B+"),IF(J59&gt;70,("B"),IF(J59&gt;65,("B-"),IF(J59&gt;60,("C+"),IF(J59&gt;55,("C"),IF(J59&gt;50,("C-"),"D+"))))))))</f>
        <v>D+</v>
      </c>
      <c r="M59" s="887" t="str">
        <f>IF(J59&gt;80,("SB"),IF(J59&gt;65,("B"),IF(J59&gt;50,("C"),IF(J59&gt;0,("K"),"0"))))</f>
        <v>0</v>
      </c>
      <c r="N59" s="685"/>
      <c r="O59" s="360"/>
      <c r="P59" s="360"/>
      <c r="Q59" s="686"/>
      <c r="R59" s="686"/>
      <c r="S59" s="686"/>
      <c r="T59" s="1193">
        <f>J62</f>
        <v>0</v>
      </c>
      <c r="U59" s="1194" t="str">
        <f>IF(T59&gt;85,("A"),IF(T59&gt;80,("A-"),IF(T59&gt;75,("B+"),IF(T59&gt;70,("B"),IF(T59&gt;65,("B-"),IF(T59&gt;60,("C+"),IF(T59&gt;55,("C"),IF(T59&gt;50,("C-"),"D+"))))))))</f>
        <v>D+</v>
      </c>
    </row>
    <row r="60" spans="1:21" ht="24.95" customHeight="1" x14ac:dyDescent="0.25">
      <c r="A60" s="687"/>
      <c r="B60" s="683">
        <v>14</v>
      </c>
      <c r="C60" s="688"/>
      <c r="D60" s="1893" t="s">
        <v>7</v>
      </c>
      <c r="E60" s="627"/>
      <c r="F60" s="1905">
        <f t="shared" ref="F60:F61" si="78">E60*2</f>
        <v>0</v>
      </c>
      <c r="G60" s="1891"/>
      <c r="H60" s="1188">
        <f>VLOOKUP(B59,REKAP_NILAI,5,FALSE)</f>
        <v>0</v>
      </c>
      <c r="I60" s="709">
        <f t="shared" ref="I60:I61" si="79">F60+G60+H60</f>
        <v>0</v>
      </c>
      <c r="J60" s="710">
        <f t="shared" ref="J60:J61" si="80">(F60+G60+H60)/4</f>
        <v>0</v>
      </c>
      <c r="K60" s="711" t="str">
        <f t="shared" ref="K60:K62" si="81">IF(J60&gt;85,("4"),IF(J60&gt;80,("3.66"),IF(J60&gt;75,("3.33"),IF(J60&gt;70,("3.00"),IF(J60&gt;65,("2.66"),IF(J60&gt;60,("2.33"),IF(J60&gt;55,("2"),IF(J60&gt;50,("1.66"),"1.33"))))))))</f>
        <v>1.33</v>
      </c>
      <c r="L60" s="711" t="str">
        <f t="shared" ref="L60:L62" si="82">IF(J60&gt;85,("A"),IF(J60&gt;80,("A-"),IF(J60&gt;75,("B+"),IF(J60&gt;70,("B"),IF(J60&gt;65,("B-"),IF(J60&gt;60,("C+"),IF(J60&gt;55,("C"),IF(J60&gt;50,("C-"),"D+"))))))))</f>
        <v>D+</v>
      </c>
      <c r="M60" s="712" t="str">
        <f t="shared" ref="M60:M62" si="83">IF(J60&gt;80,("SB"),IF(J60&gt;65,("B"),IF(J60&gt;50,("C"),IF(J60&gt;0,("K"),"0"))))</f>
        <v>0</v>
      </c>
      <c r="N60" s="689"/>
      <c r="O60" s="690"/>
      <c r="P60" s="690"/>
      <c r="Q60" s="691"/>
      <c r="R60" s="691"/>
      <c r="S60" s="692"/>
      <c r="T60" s="1804"/>
      <c r="U60" s="1805"/>
    </row>
    <row r="61" spans="1:21" ht="24.95" customHeight="1" x14ac:dyDescent="0.25">
      <c r="A61" s="687"/>
      <c r="B61" s="683">
        <v>14</v>
      </c>
      <c r="C61" s="688"/>
      <c r="D61" s="1893" t="s">
        <v>10</v>
      </c>
      <c r="E61" s="627"/>
      <c r="F61" s="1905">
        <f t="shared" si="78"/>
        <v>0</v>
      </c>
      <c r="G61" s="1891"/>
      <c r="H61" s="1188">
        <f>VLOOKUP(B59,REKAP_NILAI,6,FALSE)</f>
        <v>0</v>
      </c>
      <c r="I61" s="709">
        <f t="shared" si="79"/>
        <v>0</v>
      </c>
      <c r="J61" s="710">
        <f t="shared" si="80"/>
        <v>0</v>
      </c>
      <c r="K61" s="711" t="str">
        <f t="shared" si="81"/>
        <v>1.33</v>
      </c>
      <c r="L61" s="711" t="str">
        <f t="shared" si="82"/>
        <v>D+</v>
      </c>
      <c r="M61" s="712" t="str">
        <f t="shared" si="83"/>
        <v>0</v>
      </c>
      <c r="N61" s="693"/>
      <c r="O61" s="694"/>
      <c r="P61" s="694"/>
      <c r="Q61" s="695"/>
      <c r="R61" s="695"/>
      <c r="S61" s="696"/>
      <c r="T61" s="1809"/>
      <c r="U61" s="1807"/>
    </row>
    <row r="62" spans="1:21" ht="24.95" customHeight="1" x14ac:dyDescent="0.25">
      <c r="A62" s="697"/>
      <c r="B62" s="698"/>
      <c r="C62" s="699" t="s">
        <v>149</v>
      </c>
      <c r="D62" s="700">
        <v>14</v>
      </c>
      <c r="E62" s="697"/>
      <c r="F62" s="1906"/>
      <c r="G62" s="697"/>
      <c r="H62" s="1189">
        <f>AVERAGE(H59:H61)</f>
        <v>0</v>
      </c>
      <c r="I62" s="705"/>
      <c r="J62" s="713">
        <f>AVERAGE(J59:J61)</f>
        <v>0</v>
      </c>
      <c r="K62" s="714" t="str">
        <f t="shared" si="81"/>
        <v>1.33</v>
      </c>
      <c r="L62" s="714" t="str">
        <f t="shared" si="82"/>
        <v>D+</v>
      </c>
      <c r="M62" s="888" t="str">
        <f t="shared" si="83"/>
        <v>0</v>
      </c>
      <c r="N62" s="701"/>
      <c r="O62" s="702"/>
      <c r="P62" s="702"/>
      <c r="Q62" s="702"/>
      <c r="R62" s="702"/>
      <c r="S62" s="703"/>
      <c r="T62" s="1808"/>
      <c r="U62" s="1195"/>
    </row>
    <row r="63" spans="1:21" ht="24.95" customHeight="1" x14ac:dyDescent="0.25">
      <c r="A63" s="360">
        <v>15</v>
      </c>
      <c r="B63" s="683">
        <v>15</v>
      </c>
      <c r="C63" s="684" t="str">
        <f>VLOOKUP(A63,data_siswa,4,FALSE)</f>
        <v>Muhammad Ibra Maulana</v>
      </c>
      <c r="D63" s="1893" t="s">
        <v>12</v>
      </c>
      <c r="E63" s="627"/>
      <c r="F63" s="1904">
        <f>E63*2</f>
        <v>0</v>
      </c>
      <c r="G63" s="1891"/>
      <c r="H63" s="1188">
        <f>VLOOKUP(B63,REKAP_NILAI,4,FALSE)</f>
        <v>0</v>
      </c>
      <c r="I63" s="706">
        <f>F63+G63+H63</f>
        <v>0</v>
      </c>
      <c r="J63" s="707">
        <f>(F63+G63+H63)/4</f>
        <v>0</v>
      </c>
      <c r="K63" s="708" t="str">
        <f>IF(J63&gt;85,("4"),IF(J63&gt;80,("3.66"),IF(J63&gt;75,("3.33"),IF(J63&gt;70,("3.00"),IF(J63&gt;65,("2.66"),IF(J63&gt;60,("2.33"),IF(J63&gt;55,("2"),IF(J63&gt;50,("1.66"),"1.33"))))))))</f>
        <v>1.33</v>
      </c>
      <c r="L63" s="708" t="str">
        <f>IF(J63&gt;85,("A"),IF(J63&gt;80,("A-"),IF(J63&gt;75,("B+"),IF(J63&gt;70,("B"),IF(J63&gt;65,("B-"),IF(J63&gt;60,("C+"),IF(J63&gt;55,("C"),IF(J63&gt;50,("C-"),"D+"))))))))</f>
        <v>D+</v>
      </c>
      <c r="M63" s="887" t="str">
        <f>IF(J63&gt;80,("SB"),IF(J63&gt;65,("B"),IF(J63&gt;50,("C"),IF(J63&gt;0,("K"),"0"))))</f>
        <v>0</v>
      </c>
      <c r="N63" s="685"/>
      <c r="O63" s="360"/>
      <c r="P63" s="360"/>
      <c r="Q63" s="686"/>
      <c r="R63" s="686"/>
      <c r="S63" s="686"/>
      <c r="T63" s="1193">
        <f>J66</f>
        <v>0</v>
      </c>
      <c r="U63" s="1194" t="str">
        <f>IF(T63&gt;85,("A"),IF(T63&gt;80,("A-"),IF(T63&gt;75,("B+"),IF(T63&gt;70,("B"),IF(T63&gt;65,("B-"),IF(T63&gt;60,("C+"),IF(T63&gt;55,("C"),IF(T63&gt;50,("C-"),"D+"))))))))</f>
        <v>D+</v>
      </c>
    </row>
    <row r="64" spans="1:21" ht="24.95" customHeight="1" x14ac:dyDescent="0.25">
      <c r="A64" s="687"/>
      <c r="B64" s="683">
        <v>15</v>
      </c>
      <c r="C64" s="688"/>
      <c r="D64" s="1893" t="s">
        <v>7</v>
      </c>
      <c r="E64" s="627"/>
      <c r="F64" s="1905">
        <f t="shared" ref="F64:F65" si="84">E64*2</f>
        <v>0</v>
      </c>
      <c r="G64" s="1891"/>
      <c r="H64" s="1188">
        <f>VLOOKUP(B63,REKAP_NILAI,5,FALSE)</f>
        <v>0</v>
      </c>
      <c r="I64" s="709">
        <f t="shared" ref="I64:I65" si="85">F64+G64+H64</f>
        <v>0</v>
      </c>
      <c r="J64" s="710">
        <f t="shared" ref="J64:J65" si="86">(F64+G64+H64)/4</f>
        <v>0</v>
      </c>
      <c r="K64" s="711" t="str">
        <f t="shared" ref="K64:K66" si="87">IF(J64&gt;85,("4"),IF(J64&gt;80,("3.66"),IF(J64&gt;75,("3.33"),IF(J64&gt;70,("3.00"),IF(J64&gt;65,("2.66"),IF(J64&gt;60,("2.33"),IF(J64&gt;55,("2"),IF(J64&gt;50,("1.66"),"1.33"))))))))</f>
        <v>1.33</v>
      </c>
      <c r="L64" s="711" t="str">
        <f t="shared" ref="L64:L66" si="88">IF(J64&gt;85,("A"),IF(J64&gt;80,("A-"),IF(J64&gt;75,("B+"),IF(J64&gt;70,("B"),IF(J64&gt;65,("B-"),IF(J64&gt;60,("C+"),IF(J64&gt;55,("C"),IF(J64&gt;50,("C-"),"D+"))))))))</f>
        <v>D+</v>
      </c>
      <c r="M64" s="712" t="str">
        <f t="shared" ref="M64:M66" si="89">IF(J64&gt;80,("SB"),IF(J64&gt;65,("B"),IF(J64&gt;50,("C"),IF(J64&gt;0,("K"),"0"))))</f>
        <v>0</v>
      </c>
      <c r="N64" s="689"/>
      <c r="O64" s="690"/>
      <c r="P64" s="690"/>
      <c r="Q64" s="691"/>
      <c r="R64" s="691"/>
      <c r="S64" s="692"/>
      <c r="T64" s="1804"/>
      <c r="U64" s="1805"/>
    </row>
    <row r="65" spans="1:21" ht="24.95" customHeight="1" x14ac:dyDescent="0.25">
      <c r="A65" s="687"/>
      <c r="B65" s="683">
        <v>15</v>
      </c>
      <c r="C65" s="688"/>
      <c r="D65" s="1893" t="s">
        <v>10</v>
      </c>
      <c r="E65" s="627"/>
      <c r="F65" s="1905">
        <f t="shared" si="84"/>
        <v>0</v>
      </c>
      <c r="G65" s="1891"/>
      <c r="H65" s="1188">
        <f>VLOOKUP(B63,REKAP_NILAI,6,FALSE)</f>
        <v>0</v>
      </c>
      <c r="I65" s="709">
        <f t="shared" si="85"/>
        <v>0</v>
      </c>
      <c r="J65" s="710">
        <f t="shared" si="86"/>
        <v>0</v>
      </c>
      <c r="K65" s="711" t="str">
        <f t="shared" si="87"/>
        <v>1.33</v>
      </c>
      <c r="L65" s="711" t="str">
        <f t="shared" si="88"/>
        <v>D+</v>
      </c>
      <c r="M65" s="712" t="str">
        <f t="shared" si="89"/>
        <v>0</v>
      </c>
      <c r="N65" s="693"/>
      <c r="O65" s="694"/>
      <c r="P65" s="694"/>
      <c r="Q65" s="695"/>
      <c r="R65" s="695"/>
      <c r="S65" s="696"/>
      <c r="T65" s="1809"/>
      <c r="U65" s="1810"/>
    </row>
    <row r="66" spans="1:21" ht="24.95" customHeight="1" x14ac:dyDescent="0.25">
      <c r="A66" s="697"/>
      <c r="B66" s="698"/>
      <c r="C66" s="699" t="s">
        <v>149</v>
      </c>
      <c r="D66" s="700">
        <v>15</v>
      </c>
      <c r="E66" s="697"/>
      <c r="F66" s="1906"/>
      <c r="G66" s="697"/>
      <c r="H66" s="1189">
        <f>AVERAGE(H63:H65)</f>
        <v>0</v>
      </c>
      <c r="I66" s="705"/>
      <c r="J66" s="713">
        <f>AVERAGE(J63:J65)</f>
        <v>0</v>
      </c>
      <c r="K66" s="714" t="str">
        <f t="shared" si="87"/>
        <v>1.33</v>
      </c>
      <c r="L66" s="714" t="str">
        <f t="shared" si="88"/>
        <v>D+</v>
      </c>
      <c r="M66" s="888" t="str">
        <f t="shared" si="89"/>
        <v>0</v>
      </c>
      <c r="N66" s="701"/>
      <c r="O66" s="702"/>
      <c r="P66" s="702"/>
      <c r="Q66" s="702"/>
      <c r="R66" s="702"/>
      <c r="S66" s="703"/>
      <c r="T66" s="1808"/>
      <c r="U66" s="1195"/>
    </row>
    <row r="67" spans="1:21" ht="24.95" customHeight="1" x14ac:dyDescent="0.25">
      <c r="A67" s="360">
        <v>16</v>
      </c>
      <c r="B67" s="683">
        <v>16</v>
      </c>
      <c r="C67" s="684" t="str">
        <f>VLOOKUP(A67,data_siswa,4,FALSE)</f>
        <v>Nabilla Shiva Putri</v>
      </c>
      <c r="D67" s="1893" t="s">
        <v>12</v>
      </c>
      <c r="E67" s="627"/>
      <c r="F67" s="1904">
        <f>E67*2</f>
        <v>0</v>
      </c>
      <c r="G67" s="1891"/>
      <c r="H67" s="1188">
        <f>VLOOKUP(B67,REKAP_NILAI,4,FALSE)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887" t="str">
        <f>IF(J67&gt;80,("SB"),IF(J67&gt;65,("B"),IF(J67&gt;50,("C"),IF(J67&gt;0,("K"),"0"))))</f>
        <v>0</v>
      </c>
      <c r="N67" s="685"/>
      <c r="O67" s="360"/>
      <c r="P67" s="360"/>
      <c r="Q67" s="686"/>
      <c r="R67" s="686"/>
      <c r="S67" s="686"/>
      <c r="T67" s="1193">
        <f>J70</f>
        <v>0</v>
      </c>
      <c r="U67" s="1194" t="str">
        <f>IF(T67&gt;85,("A"),IF(T67&gt;80,("A-"),IF(T67&gt;75,("B+"),IF(T67&gt;70,("B"),IF(T67&gt;65,("B-"),IF(T67&gt;60,("C+"),IF(T67&gt;55,("C"),IF(T67&gt;50,("C-"),"D+"))))))))</f>
        <v>D+</v>
      </c>
    </row>
    <row r="68" spans="1:21" ht="24.95" customHeight="1" x14ac:dyDescent="0.25">
      <c r="A68" s="687"/>
      <c r="B68" s="683">
        <v>16</v>
      </c>
      <c r="C68" s="688"/>
      <c r="D68" s="1893" t="s">
        <v>7</v>
      </c>
      <c r="E68" s="627"/>
      <c r="F68" s="1905">
        <f t="shared" ref="F68:F69" si="90">E68*2</f>
        <v>0</v>
      </c>
      <c r="G68" s="1891"/>
      <c r="H68" s="1188">
        <f>VLOOKUP(B67,REKAP_NILAI,5,FALSE)</f>
        <v>0</v>
      </c>
      <c r="I68" s="709">
        <f t="shared" ref="I68:I69" si="91">F68+G68+H68</f>
        <v>0</v>
      </c>
      <c r="J68" s="710">
        <f t="shared" ref="J68:J69" si="92">(F68+G68+H68)/4</f>
        <v>0</v>
      </c>
      <c r="K68" s="711" t="str">
        <f t="shared" ref="K68:K70" si="93">IF(J68&gt;85,("4"),IF(J68&gt;80,("3.66"),IF(J68&gt;75,("3.33"),IF(J68&gt;70,("3.00"),IF(J68&gt;65,("2.66"),IF(J68&gt;60,("2.33"),IF(J68&gt;55,("2"),IF(J68&gt;50,("1.66"),"1.33"))))))))</f>
        <v>1.33</v>
      </c>
      <c r="L68" s="711" t="str">
        <f t="shared" ref="L68:L70" si="94">IF(J68&gt;85,("A"),IF(J68&gt;80,("A-"),IF(J68&gt;75,("B+"),IF(J68&gt;70,("B"),IF(J68&gt;65,("B-"),IF(J68&gt;60,("C+"),IF(J68&gt;55,("C"),IF(J68&gt;50,("C-"),"D+"))))))))</f>
        <v>D+</v>
      </c>
      <c r="M68" s="712" t="str">
        <f t="shared" ref="M68:M70" si="95">IF(J68&gt;80,("SB"),IF(J68&gt;65,("B"),IF(J68&gt;50,("C"),IF(J68&gt;0,("K"),"0"))))</f>
        <v>0</v>
      </c>
      <c r="N68" s="689"/>
      <c r="O68" s="690"/>
      <c r="P68" s="690"/>
      <c r="Q68" s="691"/>
      <c r="R68" s="691"/>
      <c r="S68" s="692"/>
      <c r="T68" s="1804"/>
      <c r="U68" s="1805"/>
    </row>
    <row r="69" spans="1:21" ht="24.95" customHeight="1" x14ac:dyDescent="0.25">
      <c r="A69" s="687"/>
      <c r="B69" s="683">
        <v>16</v>
      </c>
      <c r="C69" s="688"/>
      <c r="D69" s="1893" t="s">
        <v>10</v>
      </c>
      <c r="E69" s="627"/>
      <c r="F69" s="1905">
        <f t="shared" si="90"/>
        <v>0</v>
      </c>
      <c r="G69" s="1891"/>
      <c r="H69" s="1188">
        <f>VLOOKUP(B67,REKAP_NILAI,6,FALSE)</f>
        <v>0</v>
      </c>
      <c r="I69" s="709">
        <f t="shared" si="91"/>
        <v>0</v>
      </c>
      <c r="J69" s="710">
        <f t="shared" si="92"/>
        <v>0</v>
      </c>
      <c r="K69" s="711" t="str">
        <f t="shared" si="93"/>
        <v>1.33</v>
      </c>
      <c r="L69" s="711" t="str">
        <f t="shared" si="94"/>
        <v>D+</v>
      </c>
      <c r="M69" s="712" t="str">
        <f t="shared" si="95"/>
        <v>0</v>
      </c>
      <c r="N69" s="693"/>
      <c r="O69" s="694"/>
      <c r="P69" s="694"/>
      <c r="Q69" s="695"/>
      <c r="R69" s="695"/>
      <c r="S69" s="696"/>
      <c r="T69" s="1806"/>
      <c r="U69" s="1807"/>
    </row>
    <row r="70" spans="1:21" ht="24.95" customHeight="1" x14ac:dyDescent="0.25">
      <c r="A70" s="697"/>
      <c r="B70" s="698"/>
      <c r="C70" s="699" t="s">
        <v>149</v>
      </c>
      <c r="D70" s="700">
        <v>16</v>
      </c>
      <c r="E70" s="697"/>
      <c r="F70" s="1906"/>
      <c r="G70" s="697"/>
      <c r="H70" s="1189">
        <f>AVERAGE(H67:H69)</f>
        <v>0</v>
      </c>
      <c r="I70" s="705"/>
      <c r="J70" s="713">
        <f>AVERAGE(J67:J69)</f>
        <v>0</v>
      </c>
      <c r="K70" s="714" t="str">
        <f t="shared" si="93"/>
        <v>1.33</v>
      </c>
      <c r="L70" s="714" t="str">
        <f t="shared" si="94"/>
        <v>D+</v>
      </c>
      <c r="M70" s="888" t="str">
        <f t="shared" si="95"/>
        <v>0</v>
      </c>
      <c r="N70" s="701"/>
      <c r="O70" s="702"/>
      <c r="P70" s="702"/>
      <c r="Q70" s="702"/>
      <c r="R70" s="702"/>
      <c r="S70" s="703"/>
      <c r="T70" s="1808"/>
      <c r="U70" s="1195"/>
    </row>
    <row r="71" spans="1:21" ht="24.95" customHeight="1" x14ac:dyDescent="0.25">
      <c r="A71" s="360">
        <v>17</v>
      </c>
      <c r="B71" s="683">
        <v>17</v>
      </c>
      <c r="C71" s="684" t="str">
        <f>VLOOKUP(A71,data_siswa,4,FALSE)</f>
        <v>Naufal Falih F</v>
      </c>
      <c r="D71" s="1893" t="s">
        <v>12</v>
      </c>
      <c r="E71" s="627"/>
      <c r="F71" s="1904">
        <f>E71*2</f>
        <v>0</v>
      </c>
      <c r="G71" s="1891"/>
      <c r="H71" s="1188">
        <f>VLOOKUP(B71,REKAP_NILAI,4,FALSE)</f>
        <v>0</v>
      </c>
      <c r="I71" s="706">
        <f>F71+G71+H71</f>
        <v>0</v>
      </c>
      <c r="J71" s="707">
        <f>(F71+G71+H71)/4</f>
        <v>0</v>
      </c>
      <c r="K71" s="708" t="str">
        <f>IF(J71&gt;85,("4"),IF(J71&gt;80,("3.66"),IF(J71&gt;75,("3.33"),IF(J71&gt;70,("3.00"),IF(J71&gt;65,("2.66"),IF(J71&gt;60,("2.33"),IF(J71&gt;55,("2"),IF(J71&gt;50,("1.66"),"1.33"))))))))</f>
        <v>1.33</v>
      </c>
      <c r="L71" s="708" t="str">
        <f>IF(J71&gt;85,("A"),IF(J71&gt;80,("A-"),IF(J71&gt;75,("B+"),IF(J71&gt;70,("B"),IF(J71&gt;65,("B-"),IF(J71&gt;60,("C+"),IF(J71&gt;55,("C"),IF(J71&gt;50,("C-"),"D+"))))))))</f>
        <v>D+</v>
      </c>
      <c r="M71" s="887" t="str">
        <f>IF(J71&gt;80,("SB"),IF(J71&gt;65,("B"),IF(J71&gt;50,("C"),IF(J71&gt;0,("K"),"0"))))</f>
        <v>0</v>
      </c>
      <c r="N71" s="685"/>
      <c r="O71" s="360"/>
      <c r="P71" s="360"/>
      <c r="Q71" s="686"/>
      <c r="R71" s="686"/>
      <c r="S71" s="686"/>
      <c r="T71" s="1193">
        <f>J74</f>
        <v>0</v>
      </c>
      <c r="U71" s="1194" t="str">
        <f>IF(T71&gt;85,("A"),IF(T71&gt;80,("A-"),IF(T71&gt;75,("B+"),IF(T71&gt;70,("B"),IF(T71&gt;65,("B-"),IF(T71&gt;60,("C+"),IF(T71&gt;55,("C"),IF(T71&gt;50,("C-"),"D+"))))))))</f>
        <v>D+</v>
      </c>
    </row>
    <row r="72" spans="1:21" ht="24.95" customHeight="1" x14ac:dyDescent="0.25">
      <c r="A72" s="687"/>
      <c r="B72" s="683">
        <v>17</v>
      </c>
      <c r="C72" s="688"/>
      <c r="D72" s="1893" t="s">
        <v>7</v>
      </c>
      <c r="E72" s="627"/>
      <c r="F72" s="1905">
        <f t="shared" ref="F72:F73" si="96">E72*2</f>
        <v>0</v>
      </c>
      <c r="G72" s="1891"/>
      <c r="H72" s="1188">
        <f>VLOOKUP(B71,REKAP_NILAI,5,FALSE)</f>
        <v>0</v>
      </c>
      <c r="I72" s="709">
        <f t="shared" ref="I72:I73" si="97">F72+G72+H72</f>
        <v>0</v>
      </c>
      <c r="J72" s="710">
        <f t="shared" ref="J72:J73" si="98">(F72+G72+H72)/4</f>
        <v>0</v>
      </c>
      <c r="K72" s="711" t="str">
        <f t="shared" ref="K72:K74" si="99">IF(J72&gt;85,("4"),IF(J72&gt;80,("3.66"),IF(J72&gt;75,("3.33"),IF(J72&gt;70,("3.00"),IF(J72&gt;65,("2.66"),IF(J72&gt;60,("2.33"),IF(J72&gt;55,("2"),IF(J72&gt;50,("1.66"),"1.33"))))))))</f>
        <v>1.33</v>
      </c>
      <c r="L72" s="711" t="str">
        <f t="shared" ref="L72:L74" si="100">IF(J72&gt;85,("A"),IF(J72&gt;80,("A-"),IF(J72&gt;75,("B+"),IF(J72&gt;70,("B"),IF(J72&gt;65,("B-"),IF(J72&gt;60,("C+"),IF(J72&gt;55,("C"),IF(J72&gt;50,("C-"),"D+"))))))))</f>
        <v>D+</v>
      </c>
      <c r="M72" s="712" t="str">
        <f t="shared" ref="M72:M74" si="101">IF(J72&gt;80,("SB"),IF(J72&gt;65,("B"),IF(J72&gt;50,("C"),IF(J72&gt;0,("K"),"0"))))</f>
        <v>0</v>
      </c>
      <c r="N72" s="689"/>
      <c r="O72" s="690"/>
      <c r="P72" s="690"/>
      <c r="Q72" s="691"/>
      <c r="R72" s="691"/>
      <c r="S72" s="692"/>
      <c r="T72" s="1804"/>
      <c r="U72" s="1805"/>
    </row>
    <row r="73" spans="1:21" ht="24.95" customHeight="1" x14ac:dyDescent="0.25">
      <c r="A73" s="687"/>
      <c r="B73" s="683">
        <v>17</v>
      </c>
      <c r="C73" s="688"/>
      <c r="D73" s="1893" t="s">
        <v>10</v>
      </c>
      <c r="E73" s="627"/>
      <c r="F73" s="1905">
        <f t="shared" si="96"/>
        <v>0</v>
      </c>
      <c r="G73" s="1891"/>
      <c r="H73" s="1188">
        <f>VLOOKUP(B71,REKAP_NILAI,6,FALSE)</f>
        <v>0</v>
      </c>
      <c r="I73" s="709">
        <f t="shared" si="97"/>
        <v>0</v>
      </c>
      <c r="J73" s="710">
        <f t="shared" si="98"/>
        <v>0</v>
      </c>
      <c r="K73" s="711" t="str">
        <f t="shared" si="99"/>
        <v>1.33</v>
      </c>
      <c r="L73" s="711" t="str">
        <f t="shared" si="100"/>
        <v>D+</v>
      </c>
      <c r="M73" s="712" t="str">
        <f t="shared" si="101"/>
        <v>0</v>
      </c>
      <c r="N73" s="693"/>
      <c r="O73" s="694"/>
      <c r="P73" s="694"/>
      <c r="Q73" s="695"/>
      <c r="R73" s="695"/>
      <c r="S73" s="696"/>
      <c r="T73" s="1809"/>
      <c r="U73" s="1807"/>
    </row>
    <row r="74" spans="1:21" ht="24.95" customHeight="1" x14ac:dyDescent="0.25">
      <c r="A74" s="697"/>
      <c r="B74" s="698"/>
      <c r="C74" s="699" t="s">
        <v>149</v>
      </c>
      <c r="D74" s="700">
        <v>17</v>
      </c>
      <c r="E74" s="697"/>
      <c r="F74" s="1906"/>
      <c r="G74" s="697"/>
      <c r="H74" s="1189">
        <f>AVERAGE(H71:H73)</f>
        <v>0</v>
      </c>
      <c r="I74" s="705"/>
      <c r="J74" s="713">
        <f>AVERAGE(J71:J73)</f>
        <v>0</v>
      </c>
      <c r="K74" s="714" t="str">
        <f t="shared" si="99"/>
        <v>1.33</v>
      </c>
      <c r="L74" s="714" t="str">
        <f t="shared" si="100"/>
        <v>D+</v>
      </c>
      <c r="M74" s="888" t="str">
        <f t="shared" si="101"/>
        <v>0</v>
      </c>
      <c r="N74" s="701"/>
      <c r="O74" s="702"/>
      <c r="P74" s="702"/>
      <c r="Q74" s="702"/>
      <c r="R74" s="702"/>
      <c r="S74" s="703"/>
      <c r="T74" s="1808"/>
      <c r="U74" s="1195"/>
    </row>
    <row r="75" spans="1:21" ht="24.95" customHeight="1" x14ac:dyDescent="0.25">
      <c r="A75" s="360">
        <v>18</v>
      </c>
      <c r="B75" s="683">
        <v>18</v>
      </c>
      <c r="C75" s="684" t="str">
        <f>VLOOKUP(A75,data_siswa,4,FALSE)</f>
        <v>Nayla Annora Nobel W</v>
      </c>
      <c r="D75" s="1893" t="s">
        <v>12</v>
      </c>
      <c r="E75" s="627"/>
      <c r="F75" s="1904">
        <f>E75*2</f>
        <v>0</v>
      </c>
      <c r="G75" s="1891"/>
      <c r="H75" s="1188">
        <f>VLOOKUP(B75,REKAP_NILAI,4,FALSE)</f>
        <v>0</v>
      </c>
      <c r="I75" s="706">
        <f>F75+G75+H75</f>
        <v>0</v>
      </c>
      <c r="J75" s="707">
        <f>(F75+G75+H75)/4</f>
        <v>0</v>
      </c>
      <c r="K75" s="708" t="str">
        <f>IF(J75&gt;85,("4"),IF(J75&gt;80,("3.66"),IF(J75&gt;75,("3.33"),IF(J75&gt;70,("3.00"),IF(J75&gt;65,("2.66"),IF(J75&gt;60,("2.33"),IF(J75&gt;55,("2"),IF(J75&gt;50,("1.66"),"1.33"))))))))</f>
        <v>1.33</v>
      </c>
      <c r="L75" s="708" t="str">
        <f>IF(J75&gt;85,("A"),IF(J75&gt;80,("A-"),IF(J75&gt;75,("B+"),IF(J75&gt;70,("B"),IF(J75&gt;65,("B-"),IF(J75&gt;60,("C+"),IF(J75&gt;55,("C"),IF(J75&gt;50,("C-"),"D+"))))))))</f>
        <v>D+</v>
      </c>
      <c r="M75" s="887" t="str">
        <f>IF(J75&gt;80,("SB"),IF(J75&gt;65,("B"),IF(J75&gt;50,("C"),IF(J75&gt;0,("K"),"0"))))</f>
        <v>0</v>
      </c>
      <c r="N75" s="685"/>
      <c r="O75" s="360"/>
      <c r="P75" s="360"/>
      <c r="Q75" s="686"/>
      <c r="R75" s="686"/>
      <c r="S75" s="686"/>
      <c r="T75" s="1193">
        <f>J78</f>
        <v>0</v>
      </c>
      <c r="U75" s="1194" t="str">
        <f>IF(T75&gt;85,("A"),IF(T75&gt;80,("A-"),IF(T75&gt;75,("B+"),IF(T75&gt;70,("B"),IF(T75&gt;65,("B-"),IF(T75&gt;60,("C+"),IF(T75&gt;55,("C"),IF(T75&gt;50,("C-"),"D+"))))))))</f>
        <v>D+</v>
      </c>
    </row>
    <row r="76" spans="1:21" ht="24.95" customHeight="1" x14ac:dyDescent="0.25">
      <c r="A76" s="687"/>
      <c r="B76" s="683">
        <v>18</v>
      </c>
      <c r="C76" s="688"/>
      <c r="D76" s="1893" t="s">
        <v>7</v>
      </c>
      <c r="E76" s="627"/>
      <c r="F76" s="1905">
        <f t="shared" ref="F76:F77" si="102">E76*2</f>
        <v>0</v>
      </c>
      <c r="G76" s="1891"/>
      <c r="H76" s="1188">
        <f>VLOOKUP(B75,REKAP_NILAI,5,FALSE)</f>
        <v>0</v>
      </c>
      <c r="I76" s="709">
        <f t="shared" ref="I76:I77" si="103">F76+G76+H76</f>
        <v>0</v>
      </c>
      <c r="J76" s="710">
        <f t="shared" ref="J76:J77" si="104">(F76+G76+H76)/4</f>
        <v>0</v>
      </c>
      <c r="K76" s="711" t="str">
        <f t="shared" ref="K76:K78" si="105">IF(J76&gt;85,("4"),IF(J76&gt;80,("3.66"),IF(J76&gt;75,("3.33"),IF(J76&gt;70,("3.00"),IF(J76&gt;65,("2.66"),IF(J76&gt;60,("2.33"),IF(J76&gt;55,("2"),IF(J76&gt;50,("1.66"),"1.33"))))))))</f>
        <v>1.33</v>
      </c>
      <c r="L76" s="711" t="str">
        <f t="shared" ref="L76:L78" si="106">IF(J76&gt;85,("A"),IF(J76&gt;80,("A-"),IF(J76&gt;75,("B+"),IF(J76&gt;70,("B"),IF(J76&gt;65,("B-"),IF(J76&gt;60,("C+"),IF(J76&gt;55,("C"),IF(J76&gt;50,("C-"),"D+"))))))))</f>
        <v>D+</v>
      </c>
      <c r="M76" s="712" t="str">
        <f t="shared" ref="M76:M78" si="107">IF(J76&gt;80,("SB"),IF(J76&gt;65,("B"),IF(J76&gt;50,("C"),IF(J76&gt;0,("K"),"0"))))</f>
        <v>0</v>
      </c>
      <c r="N76" s="689"/>
      <c r="O76" s="690"/>
      <c r="P76" s="690"/>
      <c r="Q76" s="691"/>
      <c r="R76" s="691"/>
      <c r="S76" s="692"/>
      <c r="T76" s="1804"/>
      <c r="U76" s="1805"/>
    </row>
    <row r="77" spans="1:21" ht="24.95" customHeight="1" x14ac:dyDescent="0.25">
      <c r="A77" s="687"/>
      <c r="B77" s="683">
        <v>18</v>
      </c>
      <c r="C77" s="688"/>
      <c r="D77" s="1893" t="s">
        <v>10</v>
      </c>
      <c r="E77" s="627"/>
      <c r="F77" s="1905">
        <f t="shared" si="102"/>
        <v>0</v>
      </c>
      <c r="G77" s="1891"/>
      <c r="H77" s="1188">
        <f>VLOOKUP(B75,REKAP_NILAI,6,FALSE)</f>
        <v>0</v>
      </c>
      <c r="I77" s="709">
        <f t="shared" si="103"/>
        <v>0</v>
      </c>
      <c r="J77" s="710">
        <f t="shared" si="104"/>
        <v>0</v>
      </c>
      <c r="K77" s="711" t="str">
        <f t="shared" si="105"/>
        <v>1.33</v>
      </c>
      <c r="L77" s="711" t="str">
        <f t="shared" si="106"/>
        <v>D+</v>
      </c>
      <c r="M77" s="712" t="str">
        <f t="shared" si="107"/>
        <v>0</v>
      </c>
      <c r="N77" s="693"/>
      <c r="O77" s="694"/>
      <c r="P77" s="694"/>
      <c r="Q77" s="695"/>
      <c r="R77" s="695"/>
      <c r="S77" s="696"/>
      <c r="T77" s="1806"/>
      <c r="U77" s="1807"/>
    </row>
    <row r="78" spans="1:21" ht="24.95" customHeight="1" x14ac:dyDescent="0.25">
      <c r="A78" s="697"/>
      <c r="B78" s="698"/>
      <c r="C78" s="699" t="s">
        <v>149</v>
      </c>
      <c r="D78" s="700">
        <v>18</v>
      </c>
      <c r="E78" s="697"/>
      <c r="F78" s="1906"/>
      <c r="G78" s="697"/>
      <c r="H78" s="1189">
        <f>AVERAGE(H75:H77)</f>
        <v>0</v>
      </c>
      <c r="I78" s="705"/>
      <c r="J78" s="713">
        <f>AVERAGE(J75:J77)</f>
        <v>0</v>
      </c>
      <c r="K78" s="714" t="str">
        <f t="shared" si="105"/>
        <v>1.33</v>
      </c>
      <c r="L78" s="714" t="str">
        <f t="shared" si="106"/>
        <v>D+</v>
      </c>
      <c r="M78" s="888" t="str">
        <f t="shared" si="107"/>
        <v>0</v>
      </c>
      <c r="N78" s="701"/>
      <c r="O78" s="702"/>
      <c r="P78" s="702"/>
      <c r="Q78" s="702"/>
      <c r="R78" s="702"/>
      <c r="S78" s="703"/>
      <c r="T78" s="1808"/>
      <c r="U78" s="1195"/>
    </row>
    <row r="79" spans="1:21" ht="24.95" customHeight="1" x14ac:dyDescent="0.25">
      <c r="A79" s="360">
        <v>19</v>
      </c>
      <c r="B79" s="683">
        <v>19</v>
      </c>
      <c r="C79" s="684" t="str">
        <f>VLOOKUP(A79,data_siswa,4,FALSE)</f>
        <v>Raihan Danang P</v>
      </c>
      <c r="D79" s="1893" t="s">
        <v>12</v>
      </c>
      <c r="E79" s="627"/>
      <c r="F79" s="1904">
        <f>E79*2</f>
        <v>0</v>
      </c>
      <c r="G79" s="1891"/>
      <c r="H79" s="1188">
        <f>VLOOKUP(B79,REKAP_NILAI,4,FALSE)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887" t="str">
        <f>IF(J79&gt;80,("SB"),IF(J79&gt;65,("B"),IF(J79&gt;50,("C"),IF(J79&gt;0,("K"),"0"))))</f>
        <v>0</v>
      </c>
      <c r="N79" s="685"/>
      <c r="O79" s="360"/>
      <c r="P79" s="360"/>
      <c r="Q79" s="686"/>
      <c r="R79" s="686"/>
      <c r="S79" s="686"/>
      <c r="T79" s="1193">
        <f>J82</f>
        <v>0</v>
      </c>
      <c r="U79" s="1194" t="str">
        <f>IF(T79&gt;85,("A"),IF(T79&gt;80,("A-"),IF(T79&gt;75,("B+"),IF(T79&gt;70,("B"),IF(T79&gt;65,("B-"),IF(T79&gt;60,("C+"),IF(T79&gt;55,("C"),IF(T79&gt;50,("C-"),"D+"))))))))</f>
        <v>D+</v>
      </c>
    </row>
    <row r="80" spans="1:21" ht="24.95" customHeight="1" x14ac:dyDescent="0.25">
      <c r="A80" s="687"/>
      <c r="B80" s="683">
        <v>19</v>
      </c>
      <c r="C80" s="688"/>
      <c r="D80" s="1893" t="s">
        <v>7</v>
      </c>
      <c r="E80" s="627"/>
      <c r="F80" s="1905">
        <f t="shared" ref="F80:F81" si="108">E80*2</f>
        <v>0</v>
      </c>
      <c r="G80" s="1891"/>
      <c r="H80" s="1188">
        <f>VLOOKUP(B79,REKAP_NILAI,5,FALSE)</f>
        <v>0</v>
      </c>
      <c r="I80" s="709">
        <f t="shared" ref="I80:I81" si="109">F80+G80+H80</f>
        <v>0</v>
      </c>
      <c r="J80" s="710">
        <f t="shared" ref="J80:J81" si="110">(F80+G80+H80)/4</f>
        <v>0</v>
      </c>
      <c r="K80" s="711" t="str">
        <f t="shared" ref="K80:K82" si="111">IF(J80&gt;85,("4"),IF(J80&gt;80,("3.66"),IF(J80&gt;75,("3.33"),IF(J80&gt;70,("3.00"),IF(J80&gt;65,("2.66"),IF(J80&gt;60,("2.33"),IF(J80&gt;55,("2"),IF(J80&gt;50,("1.66"),"1.33"))))))))</f>
        <v>1.33</v>
      </c>
      <c r="L80" s="711" t="str">
        <f t="shared" ref="L80:L82" si="112">IF(J80&gt;85,("A"),IF(J80&gt;80,("A-"),IF(J80&gt;75,("B+"),IF(J80&gt;70,("B"),IF(J80&gt;65,("B-"),IF(J80&gt;60,("C+"),IF(J80&gt;55,("C"),IF(J80&gt;50,("C-"),"D+"))))))))</f>
        <v>D+</v>
      </c>
      <c r="M80" s="712" t="str">
        <f t="shared" ref="M80:M82" si="113">IF(J80&gt;80,("SB"),IF(J80&gt;65,("B"),IF(J80&gt;50,("C"),IF(J80&gt;0,("K"),"0"))))</f>
        <v>0</v>
      </c>
      <c r="N80" s="689"/>
      <c r="O80" s="690"/>
      <c r="P80" s="690"/>
      <c r="Q80" s="691"/>
      <c r="R80" s="691"/>
      <c r="S80" s="692"/>
      <c r="T80" s="1804"/>
      <c r="U80" s="1805"/>
    </row>
    <row r="81" spans="1:21" ht="24.95" customHeight="1" x14ac:dyDescent="0.25">
      <c r="A81" s="687"/>
      <c r="B81" s="683">
        <v>19</v>
      </c>
      <c r="C81" s="688"/>
      <c r="D81" s="1893" t="s">
        <v>10</v>
      </c>
      <c r="E81" s="627"/>
      <c r="F81" s="1905">
        <f t="shared" si="108"/>
        <v>0</v>
      </c>
      <c r="G81" s="1891"/>
      <c r="H81" s="1188">
        <f>VLOOKUP(B79,REKAP_NILAI,6,FALSE)</f>
        <v>0</v>
      </c>
      <c r="I81" s="709">
        <f t="shared" si="109"/>
        <v>0</v>
      </c>
      <c r="J81" s="710">
        <f t="shared" si="110"/>
        <v>0</v>
      </c>
      <c r="K81" s="711" t="str">
        <f t="shared" si="111"/>
        <v>1.33</v>
      </c>
      <c r="L81" s="711" t="str">
        <f t="shared" si="112"/>
        <v>D+</v>
      </c>
      <c r="M81" s="712" t="str">
        <f t="shared" si="113"/>
        <v>0</v>
      </c>
      <c r="N81" s="693"/>
      <c r="O81" s="694"/>
      <c r="P81" s="694"/>
      <c r="Q81" s="695"/>
      <c r="R81" s="695"/>
      <c r="S81" s="696"/>
      <c r="T81" s="1809"/>
      <c r="U81" s="1807"/>
    </row>
    <row r="82" spans="1:21" ht="24.95" customHeight="1" x14ac:dyDescent="0.25">
      <c r="A82" s="697"/>
      <c r="B82" s="698"/>
      <c r="C82" s="699" t="s">
        <v>149</v>
      </c>
      <c r="D82" s="700">
        <v>19</v>
      </c>
      <c r="E82" s="697"/>
      <c r="F82" s="1906"/>
      <c r="G82" s="697"/>
      <c r="H82" s="1189">
        <f>AVERAGE(H79:H81)</f>
        <v>0</v>
      </c>
      <c r="I82" s="705"/>
      <c r="J82" s="713">
        <f>AVERAGE(J79:J81)</f>
        <v>0</v>
      </c>
      <c r="K82" s="714" t="str">
        <f t="shared" si="111"/>
        <v>1.33</v>
      </c>
      <c r="L82" s="714" t="str">
        <f t="shared" si="112"/>
        <v>D+</v>
      </c>
      <c r="M82" s="888" t="str">
        <f t="shared" si="113"/>
        <v>0</v>
      </c>
      <c r="N82" s="701"/>
      <c r="O82" s="702"/>
      <c r="P82" s="702"/>
      <c r="Q82" s="702"/>
      <c r="R82" s="702"/>
      <c r="S82" s="703"/>
      <c r="T82" s="1808"/>
      <c r="U82" s="1195"/>
    </row>
    <row r="83" spans="1:21" ht="24.95" customHeight="1" x14ac:dyDescent="0.25">
      <c r="A83" s="360">
        <v>20</v>
      </c>
      <c r="B83" s="683">
        <v>20</v>
      </c>
      <c r="C83" s="684" t="str">
        <f>VLOOKUP(A83,data_siswa,4,FALSE)</f>
        <v>Roby Ardiyansyah</v>
      </c>
      <c r="D83" s="1893" t="s">
        <v>12</v>
      </c>
      <c r="E83" s="627"/>
      <c r="F83" s="1904">
        <f>E83*2</f>
        <v>0</v>
      </c>
      <c r="G83" s="1891"/>
      <c r="H83" s="1188">
        <f>VLOOKUP(B83,REKAP_NILAI,4,FALSE)</f>
        <v>0</v>
      </c>
      <c r="I83" s="706">
        <f>F83+G83+H83</f>
        <v>0</v>
      </c>
      <c r="J83" s="707">
        <f>(F83+G83+H83)/4</f>
        <v>0</v>
      </c>
      <c r="K83" s="708" t="str">
        <f>IF(J83&gt;85,("4"),IF(J83&gt;80,("3.66"),IF(J83&gt;75,("3.33"),IF(J83&gt;70,("3.00"),IF(J83&gt;65,("2.66"),IF(J83&gt;60,("2.33"),IF(J83&gt;55,("2"),IF(J83&gt;50,("1.66"),"1.33"))))))))</f>
        <v>1.33</v>
      </c>
      <c r="L83" s="708" t="str">
        <f>IF(J83&gt;85,("A"),IF(J83&gt;80,("A-"),IF(J83&gt;75,("B+"),IF(J83&gt;70,("B"),IF(J83&gt;65,("B-"),IF(J83&gt;60,("C+"),IF(J83&gt;55,("C"),IF(J83&gt;50,("C-"),"D+"))))))))</f>
        <v>D+</v>
      </c>
      <c r="M83" s="887" t="str">
        <f>IF(J83&gt;80,("SB"),IF(J83&gt;65,("B"),IF(J83&gt;50,("C"),IF(J83&gt;0,("K"),"0"))))</f>
        <v>0</v>
      </c>
      <c r="N83" s="685"/>
      <c r="O83" s="360"/>
      <c r="P83" s="360"/>
      <c r="Q83" s="686"/>
      <c r="R83" s="686"/>
      <c r="S83" s="686"/>
      <c r="T83" s="1193">
        <f>J86</f>
        <v>0</v>
      </c>
      <c r="U83" s="1194" t="str">
        <f>IF(T83&gt;85,("A"),IF(T83&gt;80,("A-"),IF(T83&gt;75,("B+"),IF(T83&gt;70,("B"),IF(T83&gt;65,("B-"),IF(T83&gt;60,("C+"),IF(T83&gt;55,("C"),IF(T83&gt;50,("C-"),"D+"))))))))</f>
        <v>D+</v>
      </c>
    </row>
    <row r="84" spans="1:21" ht="24.95" customHeight="1" x14ac:dyDescent="0.25">
      <c r="A84" s="687"/>
      <c r="B84" s="683">
        <v>20</v>
      </c>
      <c r="C84" s="688"/>
      <c r="D84" s="1893" t="s">
        <v>7</v>
      </c>
      <c r="E84" s="627"/>
      <c r="F84" s="1905">
        <f t="shared" ref="F84:F85" si="114">E84*2</f>
        <v>0</v>
      </c>
      <c r="G84" s="1891"/>
      <c r="H84" s="1188">
        <f>VLOOKUP(B83,REKAP_NILAI,5,FALSE)</f>
        <v>0</v>
      </c>
      <c r="I84" s="709">
        <f t="shared" ref="I84:I85" si="115">F84+G84+H84</f>
        <v>0</v>
      </c>
      <c r="J84" s="710">
        <f t="shared" ref="J84:J85" si="116">(F84+G84+H84)/4</f>
        <v>0</v>
      </c>
      <c r="K84" s="711" t="str">
        <f t="shared" ref="K84:K86" si="117">IF(J84&gt;85,("4"),IF(J84&gt;80,("3.66"),IF(J84&gt;75,("3.33"),IF(J84&gt;70,("3.00"),IF(J84&gt;65,("2.66"),IF(J84&gt;60,("2.33"),IF(J84&gt;55,("2"),IF(J84&gt;50,("1.66"),"1.33"))))))))</f>
        <v>1.33</v>
      </c>
      <c r="L84" s="711" t="str">
        <f t="shared" ref="L84:L86" si="118">IF(J84&gt;85,("A"),IF(J84&gt;80,("A-"),IF(J84&gt;75,("B+"),IF(J84&gt;70,("B"),IF(J84&gt;65,("B-"),IF(J84&gt;60,("C+"),IF(J84&gt;55,("C"),IF(J84&gt;50,("C-"),"D+"))))))))</f>
        <v>D+</v>
      </c>
      <c r="M84" s="712" t="str">
        <f t="shared" ref="M84:M86" si="119">IF(J84&gt;80,("SB"),IF(J84&gt;65,("B"),IF(J84&gt;50,("C"),IF(J84&gt;0,("K"),"0"))))</f>
        <v>0</v>
      </c>
      <c r="N84" s="689"/>
      <c r="O84" s="690"/>
      <c r="P84" s="690"/>
      <c r="Q84" s="691"/>
      <c r="R84" s="691"/>
      <c r="S84" s="692"/>
      <c r="T84" s="1804"/>
      <c r="U84" s="1805"/>
    </row>
    <row r="85" spans="1:21" ht="24.95" customHeight="1" x14ac:dyDescent="0.25">
      <c r="A85" s="687"/>
      <c r="B85" s="683">
        <v>20</v>
      </c>
      <c r="C85" s="688"/>
      <c r="D85" s="1893" t="s">
        <v>10</v>
      </c>
      <c r="E85" s="627"/>
      <c r="F85" s="1905">
        <f t="shared" si="114"/>
        <v>0</v>
      </c>
      <c r="G85" s="1891"/>
      <c r="H85" s="1188">
        <f>VLOOKUP(B83,REKAP_NILAI,6,FALSE)</f>
        <v>0</v>
      </c>
      <c r="I85" s="709">
        <f t="shared" si="115"/>
        <v>0</v>
      </c>
      <c r="J85" s="710">
        <f t="shared" si="116"/>
        <v>0</v>
      </c>
      <c r="K85" s="711" t="str">
        <f t="shared" si="117"/>
        <v>1.33</v>
      </c>
      <c r="L85" s="711" t="str">
        <f t="shared" si="118"/>
        <v>D+</v>
      </c>
      <c r="M85" s="712" t="str">
        <f t="shared" si="119"/>
        <v>0</v>
      </c>
      <c r="N85" s="693"/>
      <c r="O85" s="694"/>
      <c r="P85" s="694"/>
      <c r="Q85" s="695"/>
      <c r="R85" s="695"/>
      <c r="S85" s="696"/>
      <c r="T85" s="1809"/>
      <c r="U85" s="1810"/>
    </row>
    <row r="86" spans="1:21" ht="24.95" customHeight="1" x14ac:dyDescent="0.25">
      <c r="A86" s="697"/>
      <c r="B86" s="698"/>
      <c r="C86" s="699" t="s">
        <v>149</v>
      </c>
      <c r="D86" s="700">
        <v>20</v>
      </c>
      <c r="E86" s="697"/>
      <c r="F86" s="1906"/>
      <c r="G86" s="697"/>
      <c r="H86" s="1189">
        <f>AVERAGE(H83:H85)</f>
        <v>0</v>
      </c>
      <c r="I86" s="705"/>
      <c r="J86" s="713">
        <f>AVERAGE(J83:J85)</f>
        <v>0</v>
      </c>
      <c r="K86" s="714" t="str">
        <f t="shared" si="117"/>
        <v>1.33</v>
      </c>
      <c r="L86" s="714" t="str">
        <f t="shared" si="118"/>
        <v>D+</v>
      </c>
      <c r="M86" s="888" t="str">
        <f t="shared" si="119"/>
        <v>0</v>
      </c>
      <c r="N86" s="701"/>
      <c r="O86" s="702"/>
      <c r="P86" s="702"/>
      <c r="Q86" s="702"/>
      <c r="R86" s="702"/>
      <c r="S86" s="703"/>
      <c r="T86" s="1808"/>
      <c r="U86" s="1195"/>
    </row>
    <row r="87" spans="1:21" ht="24.95" customHeight="1" x14ac:dyDescent="0.25">
      <c r="A87" s="360">
        <v>21</v>
      </c>
      <c r="B87" s="683">
        <v>21</v>
      </c>
      <c r="C87" s="684" t="str">
        <f>VLOOKUP(A87,data_siswa,4,FALSE)</f>
        <v>Rojalingga Prana A</v>
      </c>
      <c r="D87" s="1893" t="s">
        <v>12</v>
      </c>
      <c r="E87" s="627"/>
      <c r="F87" s="1904">
        <f>E87*2</f>
        <v>0</v>
      </c>
      <c r="G87" s="1891"/>
      <c r="H87" s="1188">
        <f>VLOOKUP(B87,REKAP_NILAI,4,FALSE)</f>
        <v>0</v>
      </c>
      <c r="I87" s="706">
        <f>F87+G87+H87</f>
        <v>0</v>
      </c>
      <c r="J87" s="707">
        <f>(F87+G87+H87)/4</f>
        <v>0</v>
      </c>
      <c r="K87" s="708" t="str">
        <f>IF(J87&gt;85,("4"),IF(J87&gt;80,("3.66"),IF(J87&gt;75,("3.33"),IF(J87&gt;70,("3.00"),IF(J87&gt;65,("2.66"),IF(J87&gt;60,("2.33"),IF(J87&gt;55,("2"),IF(J87&gt;50,("1.66"),"1.33"))))))))</f>
        <v>1.33</v>
      </c>
      <c r="L87" s="708" t="str">
        <f>IF(J87&gt;85,("A"),IF(J87&gt;80,("A-"),IF(J87&gt;75,("B+"),IF(J87&gt;70,("B"),IF(J87&gt;65,("B-"),IF(J87&gt;60,("C+"),IF(J87&gt;55,("C"),IF(J87&gt;50,("C-"),"D+"))))))))</f>
        <v>D+</v>
      </c>
      <c r="M87" s="887" t="str">
        <f>IF(J87&gt;80,("SB"),IF(J87&gt;65,("B"),IF(J87&gt;50,("C"),IF(J87&gt;0,("K"),"0"))))</f>
        <v>0</v>
      </c>
      <c r="N87" s="685"/>
      <c r="O87" s="360"/>
      <c r="P87" s="360"/>
      <c r="Q87" s="686"/>
      <c r="R87" s="686"/>
      <c r="S87" s="686"/>
      <c r="T87" s="1193">
        <f>J90</f>
        <v>0</v>
      </c>
      <c r="U87" s="1194" t="str">
        <f>IF(T87&gt;85,("A"),IF(T87&gt;80,("A-"),IF(T87&gt;75,("B+"),IF(T87&gt;70,("B"),IF(T87&gt;65,("B-"),IF(T87&gt;60,("C+"),IF(T87&gt;55,("C"),IF(T87&gt;50,("C-"),"D+"))))))))</f>
        <v>D+</v>
      </c>
    </row>
    <row r="88" spans="1:21" ht="24.95" customHeight="1" x14ac:dyDescent="0.25">
      <c r="A88" s="687"/>
      <c r="B88" s="683">
        <v>21</v>
      </c>
      <c r="C88" s="688"/>
      <c r="D88" s="1893" t="s">
        <v>7</v>
      </c>
      <c r="E88" s="627"/>
      <c r="F88" s="1905">
        <f t="shared" ref="F88:F89" si="120">E88*2</f>
        <v>0</v>
      </c>
      <c r="G88" s="1891"/>
      <c r="H88" s="1188">
        <f>VLOOKUP(B87,REKAP_NILAI,5,FALSE)</f>
        <v>0</v>
      </c>
      <c r="I88" s="709">
        <f t="shared" ref="I88:I89" si="121">F88+G88+H88</f>
        <v>0</v>
      </c>
      <c r="J88" s="710">
        <f t="shared" ref="J88:J89" si="122">(F88+G88+H88)/4</f>
        <v>0</v>
      </c>
      <c r="K88" s="711" t="str">
        <f t="shared" ref="K88:K90" si="123">IF(J88&gt;85,("4"),IF(J88&gt;80,("3.66"),IF(J88&gt;75,("3.33"),IF(J88&gt;70,("3.00"),IF(J88&gt;65,("2.66"),IF(J88&gt;60,("2.33"),IF(J88&gt;55,("2"),IF(J88&gt;50,("1.66"),"1.33"))))))))</f>
        <v>1.33</v>
      </c>
      <c r="L88" s="711" t="str">
        <f t="shared" ref="L88:L90" si="124">IF(J88&gt;85,("A"),IF(J88&gt;80,("A-"),IF(J88&gt;75,("B+"),IF(J88&gt;70,("B"),IF(J88&gt;65,("B-"),IF(J88&gt;60,("C+"),IF(J88&gt;55,("C"),IF(J88&gt;50,("C-"),"D+"))))))))</f>
        <v>D+</v>
      </c>
      <c r="M88" s="712" t="str">
        <f t="shared" ref="M88:M90" si="125">IF(J88&gt;80,("SB"),IF(J88&gt;65,("B"),IF(J88&gt;50,("C"),IF(J88&gt;0,("K"),"0"))))</f>
        <v>0</v>
      </c>
      <c r="N88" s="689"/>
      <c r="O88" s="690"/>
      <c r="P88" s="690"/>
      <c r="Q88" s="691"/>
      <c r="R88" s="691"/>
      <c r="S88" s="692"/>
      <c r="T88" s="1804"/>
      <c r="U88" s="1805"/>
    </row>
    <row r="89" spans="1:21" ht="24.95" customHeight="1" x14ac:dyDescent="0.25">
      <c r="A89" s="687"/>
      <c r="B89" s="683">
        <v>21</v>
      </c>
      <c r="C89" s="688"/>
      <c r="D89" s="1893" t="s">
        <v>10</v>
      </c>
      <c r="E89" s="627"/>
      <c r="F89" s="1905">
        <f t="shared" si="120"/>
        <v>0</v>
      </c>
      <c r="G89" s="1891"/>
      <c r="H89" s="1188">
        <f>VLOOKUP(B87,REKAP_NILAI,6,FALSE)</f>
        <v>0</v>
      </c>
      <c r="I89" s="709">
        <f t="shared" si="121"/>
        <v>0</v>
      </c>
      <c r="J89" s="710">
        <f t="shared" si="122"/>
        <v>0</v>
      </c>
      <c r="K89" s="711" t="str">
        <f t="shared" si="123"/>
        <v>1.33</v>
      </c>
      <c r="L89" s="711" t="str">
        <f t="shared" si="124"/>
        <v>D+</v>
      </c>
      <c r="M89" s="712" t="str">
        <f t="shared" si="125"/>
        <v>0</v>
      </c>
      <c r="N89" s="693"/>
      <c r="O89" s="694"/>
      <c r="P89" s="694"/>
      <c r="Q89" s="695"/>
      <c r="R89" s="695"/>
      <c r="S89" s="696"/>
      <c r="T89" s="1806"/>
      <c r="U89" s="1807"/>
    </row>
    <row r="90" spans="1:21" ht="24.95" customHeight="1" x14ac:dyDescent="0.25">
      <c r="A90" s="697"/>
      <c r="B90" s="698"/>
      <c r="C90" s="699" t="s">
        <v>149</v>
      </c>
      <c r="D90" s="700">
        <v>21</v>
      </c>
      <c r="E90" s="697"/>
      <c r="F90" s="1906"/>
      <c r="G90" s="697"/>
      <c r="H90" s="1189">
        <f>AVERAGE(H87:H89)</f>
        <v>0</v>
      </c>
      <c r="I90" s="705"/>
      <c r="J90" s="713">
        <f>AVERAGE(J87:J89)</f>
        <v>0</v>
      </c>
      <c r="K90" s="714" t="str">
        <f t="shared" si="123"/>
        <v>1.33</v>
      </c>
      <c r="L90" s="714" t="str">
        <f t="shared" si="124"/>
        <v>D+</v>
      </c>
      <c r="M90" s="888" t="str">
        <f t="shared" si="125"/>
        <v>0</v>
      </c>
      <c r="N90" s="701"/>
      <c r="O90" s="702"/>
      <c r="P90" s="702"/>
      <c r="Q90" s="702"/>
      <c r="R90" s="702"/>
      <c r="S90" s="703"/>
      <c r="T90" s="1808"/>
      <c r="U90" s="1195"/>
    </row>
    <row r="91" spans="1:21" ht="24.95" customHeight="1" x14ac:dyDescent="0.25">
      <c r="A91" s="360">
        <v>22</v>
      </c>
      <c r="B91" s="683">
        <v>22</v>
      </c>
      <c r="C91" s="684" t="str">
        <f>VLOOKUP(A91,data_siswa,4,FALSE)</f>
        <v>Sally Savista A</v>
      </c>
      <c r="D91" s="1893" t="s">
        <v>12</v>
      </c>
      <c r="E91" s="627"/>
      <c r="F91" s="1904">
        <f>E91*2</f>
        <v>0</v>
      </c>
      <c r="G91" s="1891"/>
      <c r="H91" s="1188">
        <f>VLOOKUP(B91,REKAP_NILAI,4,FALSE)</f>
        <v>0</v>
      </c>
      <c r="I91" s="706">
        <f>F91+G91+H91</f>
        <v>0</v>
      </c>
      <c r="J91" s="707">
        <f>(F91+G91+H91)/4</f>
        <v>0</v>
      </c>
      <c r="K91" s="708" t="str">
        <f>IF(J91&gt;85,("4"),IF(J91&gt;80,("3.66"),IF(J91&gt;75,("3.33"),IF(J91&gt;70,("3.00"),IF(J91&gt;65,("2.66"),IF(J91&gt;60,("2.33"),IF(J91&gt;55,("2"),IF(J91&gt;50,("1.66"),"1.33"))))))))</f>
        <v>1.33</v>
      </c>
      <c r="L91" s="708" t="str">
        <f>IF(J91&gt;85,("A"),IF(J91&gt;80,("A-"),IF(J91&gt;75,("B+"),IF(J91&gt;70,("B"),IF(J91&gt;65,("B-"),IF(J91&gt;60,("C+"),IF(J91&gt;55,("C"),IF(J91&gt;50,("C-"),"D+"))))))))</f>
        <v>D+</v>
      </c>
      <c r="M91" s="887" t="str">
        <f>IF(J91&gt;80,("SB"),IF(J91&gt;65,("B"),IF(J91&gt;50,("C"),IF(J91&gt;0,("K"),"0"))))</f>
        <v>0</v>
      </c>
      <c r="N91" s="685"/>
      <c r="O91" s="360"/>
      <c r="P91" s="360"/>
      <c r="Q91" s="686"/>
      <c r="R91" s="686"/>
      <c r="S91" s="686"/>
      <c r="T91" s="1193">
        <f>J94</f>
        <v>0</v>
      </c>
      <c r="U91" s="1194" t="str">
        <f>IF(T91&gt;85,("A"),IF(T91&gt;80,("A-"),IF(T91&gt;75,("B+"),IF(T91&gt;70,("B"),IF(T91&gt;65,("B-"),IF(T91&gt;60,("C+"),IF(T91&gt;55,("C"),IF(T91&gt;50,("C-"),"D+"))))))))</f>
        <v>D+</v>
      </c>
    </row>
    <row r="92" spans="1:21" ht="24.95" customHeight="1" x14ac:dyDescent="0.25">
      <c r="A92" s="687"/>
      <c r="B92" s="683">
        <v>22</v>
      </c>
      <c r="C92" s="688"/>
      <c r="D92" s="1893" t="s">
        <v>7</v>
      </c>
      <c r="E92" s="627"/>
      <c r="F92" s="1905">
        <f t="shared" ref="F92:F93" si="126">E92*2</f>
        <v>0</v>
      </c>
      <c r="G92" s="1891"/>
      <c r="H92" s="1188">
        <f>VLOOKUP(B91,REKAP_NILAI,5,FALSE)</f>
        <v>0</v>
      </c>
      <c r="I92" s="709">
        <f t="shared" ref="I92:I93" si="127">F92+G92+H92</f>
        <v>0</v>
      </c>
      <c r="J92" s="710">
        <f t="shared" ref="J92:J93" si="128">(F92+G92+H92)/4</f>
        <v>0</v>
      </c>
      <c r="K92" s="711" t="str">
        <f t="shared" ref="K92:K94" si="129">IF(J92&gt;85,("4"),IF(J92&gt;80,("3.66"),IF(J92&gt;75,("3.33"),IF(J92&gt;70,("3.00"),IF(J92&gt;65,("2.66"),IF(J92&gt;60,("2.33"),IF(J92&gt;55,("2"),IF(J92&gt;50,("1.66"),"1.33"))))))))</f>
        <v>1.33</v>
      </c>
      <c r="L92" s="711" t="str">
        <f t="shared" ref="L92:L94" si="130">IF(J92&gt;85,("A"),IF(J92&gt;80,("A-"),IF(J92&gt;75,("B+"),IF(J92&gt;70,("B"),IF(J92&gt;65,("B-"),IF(J92&gt;60,("C+"),IF(J92&gt;55,("C"),IF(J92&gt;50,("C-"),"D+"))))))))</f>
        <v>D+</v>
      </c>
      <c r="M92" s="712" t="str">
        <f t="shared" ref="M92:M94" si="131">IF(J92&gt;80,("SB"),IF(J92&gt;65,("B"),IF(J92&gt;50,("C"),IF(J92&gt;0,("K"),"0"))))</f>
        <v>0</v>
      </c>
      <c r="N92" s="689"/>
      <c r="O92" s="690"/>
      <c r="P92" s="690"/>
      <c r="Q92" s="691"/>
      <c r="R92" s="691"/>
      <c r="S92" s="692"/>
      <c r="T92" s="1804"/>
      <c r="U92" s="1805"/>
    </row>
    <row r="93" spans="1:21" ht="24.95" customHeight="1" x14ac:dyDescent="0.25">
      <c r="A93" s="687"/>
      <c r="B93" s="683">
        <v>22</v>
      </c>
      <c r="C93" s="688"/>
      <c r="D93" s="1893" t="s">
        <v>10</v>
      </c>
      <c r="E93" s="627"/>
      <c r="F93" s="1905">
        <f t="shared" si="126"/>
        <v>0</v>
      </c>
      <c r="G93" s="1891"/>
      <c r="H93" s="1188">
        <f>VLOOKUP(B91,REKAP_NILAI,6,FALSE)</f>
        <v>0</v>
      </c>
      <c r="I93" s="709">
        <f t="shared" si="127"/>
        <v>0</v>
      </c>
      <c r="J93" s="710">
        <f t="shared" si="128"/>
        <v>0</v>
      </c>
      <c r="K93" s="711" t="str">
        <f t="shared" si="129"/>
        <v>1.33</v>
      </c>
      <c r="L93" s="711" t="str">
        <f t="shared" si="130"/>
        <v>D+</v>
      </c>
      <c r="M93" s="712" t="str">
        <f t="shared" si="131"/>
        <v>0</v>
      </c>
      <c r="N93" s="693"/>
      <c r="O93" s="694"/>
      <c r="P93" s="694"/>
      <c r="Q93" s="695"/>
      <c r="R93" s="695"/>
      <c r="S93" s="696"/>
      <c r="T93" s="1809"/>
      <c r="U93" s="1807"/>
    </row>
    <row r="94" spans="1:21" ht="24.95" customHeight="1" x14ac:dyDescent="0.25">
      <c r="A94" s="697"/>
      <c r="B94" s="698"/>
      <c r="C94" s="699" t="s">
        <v>149</v>
      </c>
      <c r="D94" s="700">
        <v>22</v>
      </c>
      <c r="E94" s="697"/>
      <c r="F94" s="1906"/>
      <c r="G94" s="697"/>
      <c r="H94" s="1189">
        <f>AVERAGE(H91:H93)</f>
        <v>0</v>
      </c>
      <c r="I94" s="705"/>
      <c r="J94" s="713">
        <f>AVERAGE(J91:J93)</f>
        <v>0</v>
      </c>
      <c r="K94" s="714" t="str">
        <f t="shared" si="129"/>
        <v>1.33</v>
      </c>
      <c r="L94" s="714" t="str">
        <f t="shared" si="130"/>
        <v>D+</v>
      </c>
      <c r="M94" s="888" t="str">
        <f t="shared" si="131"/>
        <v>0</v>
      </c>
      <c r="N94" s="701"/>
      <c r="O94" s="702"/>
      <c r="P94" s="702"/>
      <c r="Q94" s="702"/>
      <c r="R94" s="702"/>
      <c r="S94" s="703"/>
      <c r="T94" s="1808"/>
      <c r="U94" s="1195"/>
    </row>
    <row r="95" spans="1:21" ht="24.95" customHeight="1" x14ac:dyDescent="0.25">
      <c r="A95" s="360">
        <v>23</v>
      </c>
      <c r="B95" s="683">
        <v>23</v>
      </c>
      <c r="C95" s="684" t="str">
        <f>VLOOKUP(A95,data_siswa,4,FALSE)</f>
        <v xml:space="preserve">Tania Kaori Angelita </v>
      </c>
      <c r="D95" s="1893" t="s">
        <v>12</v>
      </c>
      <c r="E95" s="627"/>
      <c r="F95" s="1904">
        <f>E95*2</f>
        <v>0</v>
      </c>
      <c r="G95" s="1891"/>
      <c r="H95" s="1188">
        <f>VLOOKUP(B95,REKAP_NILAI,4,FALSE)</f>
        <v>0</v>
      </c>
      <c r="I95" s="706">
        <f>F95+G95+H95</f>
        <v>0</v>
      </c>
      <c r="J95" s="707">
        <f>(F95+G95+H95)/4</f>
        <v>0</v>
      </c>
      <c r="K95" s="708" t="str">
        <f>IF(J95&gt;85,("4"),IF(J95&gt;80,("3.66"),IF(J95&gt;75,("3.33"),IF(J95&gt;70,("3.00"),IF(J95&gt;65,("2.66"),IF(J95&gt;60,("2.33"),IF(J95&gt;55,("2"),IF(J95&gt;50,("1.66"),"1.33"))))))))</f>
        <v>1.33</v>
      </c>
      <c r="L95" s="708" t="str">
        <f>IF(J95&gt;85,("A"),IF(J95&gt;80,("A-"),IF(J95&gt;75,("B+"),IF(J95&gt;70,("B"),IF(J95&gt;65,("B-"),IF(J95&gt;60,("C+"),IF(J95&gt;55,("C"),IF(J95&gt;50,("C-"),"D+"))))))))</f>
        <v>D+</v>
      </c>
      <c r="M95" s="887" t="str">
        <f>IF(J95&gt;80,("SB"),IF(J95&gt;65,("B"),IF(J95&gt;50,("C"),IF(J95&gt;0,("K"),"0"))))</f>
        <v>0</v>
      </c>
      <c r="N95" s="685"/>
      <c r="O95" s="360"/>
      <c r="P95" s="360"/>
      <c r="Q95" s="686"/>
      <c r="R95" s="686"/>
      <c r="S95" s="686"/>
      <c r="T95" s="1193">
        <f>J98</f>
        <v>0</v>
      </c>
      <c r="U95" s="1194" t="str">
        <f>IF(T95&gt;85,("A"),IF(T95&gt;80,("A-"),IF(T95&gt;75,("B+"),IF(T95&gt;70,("B"),IF(T95&gt;65,("B-"),IF(T95&gt;60,("C+"),IF(T95&gt;55,("C"),IF(T95&gt;50,("C-"),"D+"))))))))</f>
        <v>D+</v>
      </c>
    </row>
    <row r="96" spans="1:21" ht="24.95" customHeight="1" x14ac:dyDescent="0.25">
      <c r="A96" s="687"/>
      <c r="B96" s="683">
        <v>23</v>
      </c>
      <c r="C96" s="688"/>
      <c r="D96" s="1893" t="s">
        <v>7</v>
      </c>
      <c r="E96" s="627"/>
      <c r="F96" s="1905">
        <f t="shared" ref="F96:F97" si="132">E96*2</f>
        <v>0</v>
      </c>
      <c r="G96" s="1891"/>
      <c r="H96" s="1188">
        <f>VLOOKUP(B95,REKAP_NILAI,5,FALSE)</f>
        <v>0</v>
      </c>
      <c r="I96" s="709">
        <f t="shared" ref="I96:I97" si="133">F96+G96+H96</f>
        <v>0</v>
      </c>
      <c r="J96" s="710">
        <f t="shared" ref="J96:J97" si="134">(F96+G96+H96)/4</f>
        <v>0</v>
      </c>
      <c r="K96" s="711" t="str">
        <f t="shared" ref="K96:K98" si="135">IF(J96&gt;85,("4"),IF(J96&gt;80,("3.66"),IF(J96&gt;75,("3.33"),IF(J96&gt;70,("3.00"),IF(J96&gt;65,("2.66"),IF(J96&gt;60,("2.33"),IF(J96&gt;55,("2"),IF(J96&gt;50,("1.66"),"1.33"))))))))</f>
        <v>1.33</v>
      </c>
      <c r="L96" s="711" t="str">
        <f t="shared" ref="L96:L98" si="136">IF(J96&gt;85,("A"),IF(J96&gt;80,("A-"),IF(J96&gt;75,("B+"),IF(J96&gt;70,("B"),IF(J96&gt;65,("B-"),IF(J96&gt;60,("C+"),IF(J96&gt;55,("C"),IF(J96&gt;50,("C-"),"D+"))))))))</f>
        <v>D+</v>
      </c>
      <c r="M96" s="712" t="str">
        <f t="shared" ref="M96:M98" si="137">IF(J96&gt;80,("SB"),IF(J96&gt;65,("B"),IF(J96&gt;50,("C"),IF(J96&gt;0,("K"),"0"))))</f>
        <v>0</v>
      </c>
      <c r="N96" s="689"/>
      <c r="O96" s="690"/>
      <c r="P96" s="690"/>
      <c r="Q96" s="691"/>
      <c r="R96" s="691"/>
      <c r="S96" s="692"/>
      <c r="T96" s="1804"/>
      <c r="U96" s="1805"/>
    </row>
    <row r="97" spans="1:21" ht="24.95" customHeight="1" x14ac:dyDescent="0.25">
      <c r="A97" s="687"/>
      <c r="B97" s="683">
        <v>23</v>
      </c>
      <c r="C97" s="688"/>
      <c r="D97" s="1893" t="s">
        <v>10</v>
      </c>
      <c r="E97" s="627"/>
      <c r="F97" s="1905">
        <f t="shared" si="132"/>
        <v>0</v>
      </c>
      <c r="G97" s="1891"/>
      <c r="H97" s="1188">
        <f>VLOOKUP(B95,REKAP_NILAI,6,FALSE)</f>
        <v>0</v>
      </c>
      <c r="I97" s="709">
        <f t="shared" si="133"/>
        <v>0</v>
      </c>
      <c r="J97" s="710">
        <f t="shared" si="134"/>
        <v>0</v>
      </c>
      <c r="K97" s="711" t="str">
        <f t="shared" si="135"/>
        <v>1.33</v>
      </c>
      <c r="L97" s="711" t="str">
        <f t="shared" si="136"/>
        <v>D+</v>
      </c>
      <c r="M97" s="712" t="str">
        <f t="shared" si="137"/>
        <v>0</v>
      </c>
      <c r="N97" s="693"/>
      <c r="O97" s="694"/>
      <c r="P97" s="694"/>
      <c r="Q97" s="695"/>
      <c r="R97" s="695"/>
      <c r="S97" s="696"/>
      <c r="T97" s="1806"/>
      <c r="U97" s="1807"/>
    </row>
    <row r="98" spans="1:21" ht="24.95" customHeight="1" x14ac:dyDescent="0.25">
      <c r="A98" s="697"/>
      <c r="B98" s="698"/>
      <c r="C98" s="699" t="s">
        <v>149</v>
      </c>
      <c r="D98" s="700">
        <v>23</v>
      </c>
      <c r="E98" s="697"/>
      <c r="F98" s="1906"/>
      <c r="G98" s="697"/>
      <c r="H98" s="1189">
        <f>AVERAGE(H95:H97)</f>
        <v>0</v>
      </c>
      <c r="I98" s="705"/>
      <c r="J98" s="713">
        <f>AVERAGE(J95:J97)</f>
        <v>0</v>
      </c>
      <c r="K98" s="714" t="str">
        <f t="shared" si="135"/>
        <v>1.33</v>
      </c>
      <c r="L98" s="714" t="str">
        <f t="shared" si="136"/>
        <v>D+</v>
      </c>
      <c r="M98" s="888" t="str">
        <f t="shared" si="137"/>
        <v>0</v>
      </c>
      <c r="N98" s="701"/>
      <c r="O98" s="702"/>
      <c r="P98" s="702"/>
      <c r="Q98" s="702"/>
      <c r="R98" s="702"/>
      <c r="S98" s="703"/>
      <c r="T98" s="1808"/>
      <c r="U98" s="1195"/>
    </row>
    <row r="99" spans="1:21" ht="24.95" customHeight="1" x14ac:dyDescent="0.25">
      <c r="A99" s="360">
        <v>24</v>
      </c>
      <c r="B99" s="683">
        <v>24</v>
      </c>
      <c r="C99" s="684" t="str">
        <f>VLOOKUP(A99,data_siswa,4,FALSE)</f>
        <v>Romzy Oka Ramadhani P</v>
      </c>
      <c r="D99" s="1893" t="s">
        <v>12</v>
      </c>
      <c r="E99" s="627"/>
      <c r="F99" s="1904">
        <f>E99*2</f>
        <v>0</v>
      </c>
      <c r="G99" s="1891"/>
      <c r="H99" s="1188">
        <f>VLOOKUP(B99,REKAP_NILAI,4,FALSE)</f>
        <v>0</v>
      </c>
      <c r="I99" s="706">
        <f>F99+G99+H99</f>
        <v>0</v>
      </c>
      <c r="J99" s="707">
        <f>(F99+G99+H99)/4</f>
        <v>0</v>
      </c>
      <c r="K99" s="708" t="str">
        <f>IF(J99&gt;85,("4"),IF(J99&gt;80,("3.66"),IF(J99&gt;75,("3.33"),IF(J99&gt;70,("3.00"),IF(J99&gt;65,("2.66"),IF(J99&gt;60,("2.33"),IF(J99&gt;55,("2"),IF(J99&gt;50,("1.66"),"1.33"))))))))</f>
        <v>1.33</v>
      </c>
      <c r="L99" s="708" t="str">
        <f>IF(J99&gt;85,("A"),IF(J99&gt;80,("A-"),IF(J99&gt;75,("B+"),IF(J99&gt;70,("B"),IF(J99&gt;65,("B-"),IF(J99&gt;60,("C+"),IF(J99&gt;55,("C"),IF(J99&gt;50,("C-"),"D+"))))))))</f>
        <v>D+</v>
      </c>
      <c r="M99" s="887" t="str">
        <f>IF(J99&gt;80,("SB"),IF(J99&gt;65,("B"),IF(J99&gt;50,("C"),IF(J99&gt;0,("K"),"0"))))</f>
        <v>0</v>
      </c>
      <c r="N99" s="685"/>
      <c r="O99" s="360"/>
      <c r="P99" s="360"/>
      <c r="Q99" s="686"/>
      <c r="R99" s="686"/>
      <c r="S99" s="686"/>
      <c r="T99" s="1193">
        <f>J102</f>
        <v>0</v>
      </c>
      <c r="U99" s="1194" t="str">
        <f>IF(T99&gt;85,("A"),IF(T99&gt;80,("A-"),IF(T99&gt;75,("B+"),IF(T99&gt;70,("B"),IF(T99&gt;65,("B-"),IF(T99&gt;60,("C+"),IF(T99&gt;55,("C"),IF(T99&gt;50,("C-"),"D+"))))))))</f>
        <v>D+</v>
      </c>
    </row>
    <row r="100" spans="1:21" ht="24.95" customHeight="1" x14ac:dyDescent="0.25">
      <c r="A100" s="687"/>
      <c r="B100" s="683">
        <v>24</v>
      </c>
      <c r="C100" s="688"/>
      <c r="D100" s="1893" t="s">
        <v>7</v>
      </c>
      <c r="E100" s="627"/>
      <c r="F100" s="1905">
        <f t="shared" ref="F100:F101" si="138">E100*2</f>
        <v>0</v>
      </c>
      <c r="G100" s="1891"/>
      <c r="H100" s="1188">
        <f>VLOOKUP(B99,REKAP_NILAI,5,FALSE)</f>
        <v>0</v>
      </c>
      <c r="I100" s="709">
        <f t="shared" ref="I100:I101" si="139">F100+G100+H100</f>
        <v>0</v>
      </c>
      <c r="J100" s="710">
        <f t="shared" ref="J100:J101" si="140">(F100+G100+H100)/4</f>
        <v>0</v>
      </c>
      <c r="K100" s="711" t="str">
        <f t="shared" ref="K100:K102" si="141">IF(J100&gt;85,("4"),IF(J100&gt;80,("3.66"),IF(J100&gt;75,("3.33"),IF(J100&gt;70,("3.00"),IF(J100&gt;65,("2.66"),IF(J100&gt;60,("2.33"),IF(J100&gt;55,("2"),IF(J100&gt;50,("1.66"),"1.33"))))))))</f>
        <v>1.33</v>
      </c>
      <c r="L100" s="711" t="str">
        <f t="shared" ref="L100:L102" si="142">IF(J100&gt;85,("A"),IF(J100&gt;80,("A-"),IF(J100&gt;75,("B+"),IF(J100&gt;70,("B"),IF(J100&gt;65,("B-"),IF(J100&gt;60,("C+"),IF(J100&gt;55,("C"),IF(J100&gt;50,("C-"),"D+"))))))))</f>
        <v>D+</v>
      </c>
      <c r="M100" s="712" t="str">
        <f t="shared" ref="M100:M102" si="143">IF(J100&gt;80,("SB"),IF(J100&gt;65,("B"),IF(J100&gt;50,("C"),IF(J100&gt;0,("K"),"0"))))</f>
        <v>0</v>
      </c>
      <c r="N100" s="689"/>
      <c r="O100" s="690"/>
      <c r="P100" s="690"/>
      <c r="Q100" s="691"/>
      <c r="R100" s="691"/>
      <c r="S100" s="692"/>
      <c r="T100" s="1804"/>
      <c r="U100" s="1805"/>
    </row>
    <row r="101" spans="1:21" ht="24.95" customHeight="1" x14ac:dyDescent="0.25">
      <c r="A101" s="687"/>
      <c r="B101" s="683">
        <v>24</v>
      </c>
      <c r="C101" s="688"/>
      <c r="D101" s="1893" t="s">
        <v>10</v>
      </c>
      <c r="E101" s="627"/>
      <c r="F101" s="1905">
        <f t="shared" si="138"/>
        <v>0</v>
      </c>
      <c r="G101" s="1891"/>
      <c r="H101" s="1188">
        <f>VLOOKUP(B99,REKAP_NILAI,6,FALSE)</f>
        <v>0</v>
      </c>
      <c r="I101" s="709">
        <f t="shared" si="139"/>
        <v>0</v>
      </c>
      <c r="J101" s="710">
        <f t="shared" si="140"/>
        <v>0</v>
      </c>
      <c r="K101" s="711" t="str">
        <f t="shared" si="141"/>
        <v>1.33</v>
      </c>
      <c r="L101" s="711" t="str">
        <f t="shared" si="142"/>
        <v>D+</v>
      </c>
      <c r="M101" s="712" t="str">
        <f t="shared" si="143"/>
        <v>0</v>
      </c>
      <c r="N101" s="693"/>
      <c r="O101" s="694"/>
      <c r="P101" s="694"/>
      <c r="Q101" s="695"/>
      <c r="R101" s="695"/>
      <c r="S101" s="696"/>
      <c r="T101" s="1809"/>
      <c r="U101" s="1807"/>
    </row>
    <row r="102" spans="1:21" ht="24.95" customHeight="1" x14ac:dyDescent="0.25">
      <c r="A102" s="697"/>
      <c r="B102" s="698"/>
      <c r="C102" s="699" t="s">
        <v>149</v>
      </c>
      <c r="D102" s="700">
        <v>24</v>
      </c>
      <c r="E102" s="697"/>
      <c r="F102" s="1906"/>
      <c r="G102" s="697"/>
      <c r="H102" s="1189">
        <f>AVERAGE(H99:H101)</f>
        <v>0</v>
      </c>
      <c r="I102" s="705"/>
      <c r="J102" s="713">
        <f>AVERAGE(J99:J101)</f>
        <v>0</v>
      </c>
      <c r="K102" s="714" t="str">
        <f t="shared" si="141"/>
        <v>1.33</v>
      </c>
      <c r="L102" s="714" t="str">
        <f t="shared" si="142"/>
        <v>D+</v>
      </c>
      <c r="M102" s="888" t="str">
        <f t="shared" si="143"/>
        <v>0</v>
      </c>
      <c r="N102" s="701"/>
      <c r="O102" s="702"/>
      <c r="P102" s="702"/>
      <c r="Q102" s="702"/>
      <c r="R102" s="702"/>
      <c r="S102" s="703"/>
      <c r="T102" s="1808"/>
      <c r="U102" s="1195"/>
    </row>
    <row r="103" spans="1:21" ht="24.95" customHeight="1" x14ac:dyDescent="0.25">
      <c r="A103" s="360">
        <v>25</v>
      </c>
      <c r="B103" s="683">
        <v>25</v>
      </c>
      <c r="C103" s="684" t="str">
        <f>VLOOKUP(A103,data_siswa,4,FALSE)</f>
        <v>Larasati Jagadhita P</v>
      </c>
      <c r="D103" s="1893" t="s">
        <v>12</v>
      </c>
      <c r="E103" s="627"/>
      <c r="F103" s="1904">
        <f>E103*2</f>
        <v>0</v>
      </c>
      <c r="G103" s="1891"/>
      <c r="H103" s="1188">
        <f>VLOOKUP(B103,REKAP_NILAI,4,FALSE)</f>
        <v>0</v>
      </c>
      <c r="I103" s="706">
        <f>F103+G103+H103</f>
        <v>0</v>
      </c>
      <c r="J103" s="707">
        <f>(F103+G103+H103)/4</f>
        <v>0</v>
      </c>
      <c r="K103" s="708" t="str">
        <f>IF(J103&gt;85,("4"),IF(J103&gt;80,("3.66"),IF(J103&gt;75,("3.33"),IF(J103&gt;70,("3.00"),IF(J103&gt;65,("2.66"),IF(J103&gt;60,("2.33"),IF(J103&gt;55,("2"),IF(J103&gt;50,("1.66"),"1.33"))))))))</f>
        <v>1.33</v>
      </c>
      <c r="L103" s="708" t="str">
        <f>IF(J103&gt;85,("A"),IF(J103&gt;80,("A-"),IF(J103&gt;75,("B+"),IF(J103&gt;70,("B"),IF(J103&gt;65,("B-"),IF(J103&gt;60,("C+"),IF(J103&gt;55,("C"),IF(J103&gt;50,("C-"),"D+"))))))))</f>
        <v>D+</v>
      </c>
      <c r="M103" s="887" t="str">
        <f>IF(J103&gt;80,("SB"),IF(J103&gt;65,("B"),IF(J103&gt;50,("C"),IF(J103&gt;0,("K"),"0"))))</f>
        <v>0</v>
      </c>
      <c r="N103" s="685"/>
      <c r="O103" s="360"/>
      <c r="P103" s="360"/>
      <c r="Q103" s="686"/>
      <c r="R103" s="686"/>
      <c r="S103" s="686"/>
      <c r="T103" s="1193">
        <f>J106</f>
        <v>0</v>
      </c>
      <c r="U103" s="1194" t="str">
        <f>IF(T103&gt;85,("A"),IF(T103&gt;80,("A-"),IF(T103&gt;75,("B+"),IF(T103&gt;70,("B"),IF(T103&gt;65,("B-"),IF(T103&gt;60,("C+"),IF(T103&gt;55,("C"),IF(T103&gt;50,("C-"),"D+"))))))))</f>
        <v>D+</v>
      </c>
    </row>
    <row r="104" spans="1:21" ht="24.95" customHeight="1" x14ac:dyDescent="0.25">
      <c r="A104" s="687"/>
      <c r="B104" s="683">
        <v>25</v>
      </c>
      <c r="C104" s="688"/>
      <c r="D104" s="1893" t="s">
        <v>7</v>
      </c>
      <c r="E104" s="627"/>
      <c r="F104" s="1905">
        <f t="shared" ref="F104:F105" si="144">E104*2</f>
        <v>0</v>
      </c>
      <c r="G104" s="1891"/>
      <c r="H104" s="1188">
        <f>VLOOKUP(B103,REKAP_NILAI,5,FALSE)</f>
        <v>0</v>
      </c>
      <c r="I104" s="709">
        <f t="shared" ref="I104:I105" si="145">F104+G104+H104</f>
        <v>0</v>
      </c>
      <c r="J104" s="710">
        <f t="shared" ref="J104:J105" si="146">(F104+G104+H104)/4</f>
        <v>0</v>
      </c>
      <c r="K104" s="711" t="str">
        <f t="shared" ref="K104:K106" si="147">IF(J104&gt;85,("4"),IF(J104&gt;80,("3.66"),IF(J104&gt;75,("3.33"),IF(J104&gt;70,("3.00"),IF(J104&gt;65,("2.66"),IF(J104&gt;60,("2.33"),IF(J104&gt;55,("2"),IF(J104&gt;50,("1.66"),"1.33"))))))))</f>
        <v>1.33</v>
      </c>
      <c r="L104" s="711" t="str">
        <f t="shared" ref="L104:L106" si="148">IF(J104&gt;85,("A"),IF(J104&gt;80,("A-"),IF(J104&gt;75,("B+"),IF(J104&gt;70,("B"),IF(J104&gt;65,("B-"),IF(J104&gt;60,("C+"),IF(J104&gt;55,("C"),IF(J104&gt;50,("C-"),"D+"))))))))</f>
        <v>D+</v>
      </c>
      <c r="M104" s="712" t="str">
        <f t="shared" ref="M104:M106" si="149">IF(J104&gt;80,("SB"),IF(J104&gt;65,("B"),IF(J104&gt;50,("C"),IF(J104&gt;0,("K"),"0"))))</f>
        <v>0</v>
      </c>
      <c r="N104" s="689"/>
      <c r="O104" s="690"/>
      <c r="P104" s="690"/>
      <c r="Q104" s="691"/>
      <c r="R104" s="691"/>
      <c r="S104" s="692"/>
      <c r="T104" s="1804"/>
      <c r="U104" s="1805"/>
    </row>
    <row r="105" spans="1:21" ht="24.95" customHeight="1" x14ac:dyDescent="0.25">
      <c r="A105" s="687"/>
      <c r="B105" s="683">
        <v>25</v>
      </c>
      <c r="C105" s="688"/>
      <c r="D105" s="1893" t="s">
        <v>10</v>
      </c>
      <c r="E105" s="627"/>
      <c r="F105" s="1905">
        <f t="shared" si="144"/>
        <v>0</v>
      </c>
      <c r="G105" s="1891"/>
      <c r="H105" s="1188">
        <f>VLOOKUP(B103,REKAP_NILAI,6,FALSE)</f>
        <v>0</v>
      </c>
      <c r="I105" s="709">
        <f t="shared" si="145"/>
        <v>0</v>
      </c>
      <c r="J105" s="710">
        <f t="shared" si="146"/>
        <v>0</v>
      </c>
      <c r="K105" s="711" t="str">
        <f t="shared" si="147"/>
        <v>1.33</v>
      </c>
      <c r="L105" s="711" t="str">
        <f t="shared" si="148"/>
        <v>D+</v>
      </c>
      <c r="M105" s="712" t="str">
        <f t="shared" si="149"/>
        <v>0</v>
      </c>
      <c r="N105" s="693"/>
      <c r="O105" s="694"/>
      <c r="P105" s="694"/>
      <c r="Q105" s="695"/>
      <c r="R105" s="695"/>
      <c r="S105" s="696"/>
      <c r="T105" s="1809"/>
      <c r="U105" s="1810"/>
    </row>
    <row r="106" spans="1:21" ht="24.95" customHeight="1" x14ac:dyDescent="0.25">
      <c r="A106" s="697"/>
      <c r="B106" s="698"/>
      <c r="C106" s="699" t="s">
        <v>149</v>
      </c>
      <c r="D106" s="700">
        <v>25</v>
      </c>
      <c r="E106" s="697"/>
      <c r="F106" s="1906"/>
      <c r="G106" s="697"/>
      <c r="H106" s="1189">
        <f>AVERAGE(H103:H105)</f>
        <v>0</v>
      </c>
      <c r="I106" s="705"/>
      <c r="J106" s="713">
        <f>AVERAGE(J103:J105)</f>
        <v>0</v>
      </c>
      <c r="K106" s="714" t="str">
        <f t="shared" si="147"/>
        <v>1.33</v>
      </c>
      <c r="L106" s="714" t="str">
        <f t="shared" si="148"/>
        <v>D+</v>
      </c>
      <c r="M106" s="888" t="str">
        <f t="shared" si="149"/>
        <v>0</v>
      </c>
      <c r="N106" s="701"/>
      <c r="O106" s="702"/>
      <c r="P106" s="702"/>
      <c r="Q106" s="702"/>
      <c r="R106" s="702"/>
      <c r="S106" s="703"/>
      <c r="T106" s="1808"/>
      <c r="U106" s="1195"/>
    </row>
    <row r="107" spans="1:21" ht="24.95" customHeight="1" x14ac:dyDescent="0.25">
      <c r="A107" s="360">
        <v>26</v>
      </c>
      <c r="B107" s="683">
        <v>26</v>
      </c>
      <c r="C107" s="684" t="str">
        <f>VLOOKUP(A107,data_siswa,4,FALSE)</f>
        <v>Meliana Citra A</v>
      </c>
      <c r="D107" s="1893" t="s">
        <v>12</v>
      </c>
      <c r="E107" s="627"/>
      <c r="F107" s="1904">
        <f>E107*2</f>
        <v>0</v>
      </c>
      <c r="G107" s="1891"/>
      <c r="H107" s="1188">
        <f>VLOOKUP(B107,REKAP_NILAI,4,FALSE)</f>
        <v>0</v>
      </c>
      <c r="I107" s="706">
        <f>F107+G107+H107</f>
        <v>0</v>
      </c>
      <c r="J107" s="707">
        <f>(F107+G107+H107)/4</f>
        <v>0</v>
      </c>
      <c r="K107" s="708" t="str">
        <f>IF(J107&gt;85,("4"),IF(J107&gt;80,("3.66"),IF(J107&gt;75,("3.33"),IF(J107&gt;70,("3.00"),IF(J107&gt;65,("2.66"),IF(J107&gt;60,("2.33"),IF(J107&gt;55,("2"),IF(J107&gt;50,("1.66"),"1.33"))))))))</f>
        <v>1.33</v>
      </c>
      <c r="L107" s="708" t="str">
        <f>IF(J107&gt;85,("A"),IF(J107&gt;80,("A-"),IF(J107&gt;75,("B+"),IF(J107&gt;70,("B"),IF(J107&gt;65,("B-"),IF(J107&gt;60,("C+"),IF(J107&gt;55,("C"),IF(J107&gt;50,("C-"),"D+"))))))))</f>
        <v>D+</v>
      </c>
      <c r="M107" s="887" t="str">
        <f>IF(J107&gt;80,("SB"),IF(J107&gt;65,("B"),IF(J107&gt;50,("C"),IF(J107&gt;0,("K"),"0"))))</f>
        <v>0</v>
      </c>
      <c r="N107" s="685"/>
      <c r="O107" s="360"/>
      <c r="P107" s="360"/>
      <c r="Q107" s="686"/>
      <c r="R107" s="686"/>
      <c r="S107" s="686"/>
      <c r="T107" s="1193">
        <f>J110</f>
        <v>0</v>
      </c>
      <c r="U107" s="1194" t="str">
        <f>IF(T107&gt;85,("A"),IF(T107&gt;80,("A-"),IF(T107&gt;75,("B+"),IF(T107&gt;70,("B"),IF(T107&gt;65,("B-"),IF(T107&gt;60,("C+"),IF(T107&gt;55,("C"),IF(T107&gt;50,("C-"),"D+"))))))))</f>
        <v>D+</v>
      </c>
    </row>
    <row r="108" spans="1:21" ht="24.95" customHeight="1" x14ac:dyDescent="0.25">
      <c r="A108" s="687"/>
      <c r="B108" s="683">
        <v>26</v>
      </c>
      <c r="C108" s="688"/>
      <c r="D108" s="1893" t="s">
        <v>7</v>
      </c>
      <c r="E108" s="627"/>
      <c r="F108" s="1905">
        <f t="shared" ref="F108:F109" si="150">E108*2</f>
        <v>0</v>
      </c>
      <c r="G108" s="1891"/>
      <c r="H108" s="1188">
        <f>VLOOKUP(B107,REKAP_NILAI,5,FALSE)</f>
        <v>0</v>
      </c>
      <c r="I108" s="709">
        <f t="shared" ref="I108:I109" si="151">F108+G108+H108</f>
        <v>0</v>
      </c>
      <c r="J108" s="710">
        <f t="shared" ref="J108:J109" si="152">(F108+G108+H108)/4</f>
        <v>0</v>
      </c>
      <c r="K108" s="711" t="str">
        <f t="shared" ref="K108:K110" si="153">IF(J108&gt;85,("4"),IF(J108&gt;80,("3.66"),IF(J108&gt;75,("3.33"),IF(J108&gt;70,("3.00"),IF(J108&gt;65,("2.66"),IF(J108&gt;60,("2.33"),IF(J108&gt;55,("2"),IF(J108&gt;50,("1.66"),"1.33"))))))))</f>
        <v>1.33</v>
      </c>
      <c r="L108" s="711" t="str">
        <f t="shared" ref="L108:L110" si="154">IF(J108&gt;85,("A"),IF(J108&gt;80,("A-"),IF(J108&gt;75,("B+"),IF(J108&gt;70,("B"),IF(J108&gt;65,("B-"),IF(J108&gt;60,("C+"),IF(J108&gt;55,("C"),IF(J108&gt;50,("C-"),"D+"))))))))</f>
        <v>D+</v>
      </c>
      <c r="M108" s="712" t="str">
        <f t="shared" ref="M108:M110" si="155">IF(J108&gt;80,("SB"),IF(J108&gt;65,("B"),IF(J108&gt;50,("C"),IF(J108&gt;0,("K"),"0"))))</f>
        <v>0</v>
      </c>
      <c r="N108" s="689"/>
      <c r="O108" s="690"/>
      <c r="P108" s="690"/>
      <c r="Q108" s="691"/>
      <c r="R108" s="691"/>
      <c r="S108" s="692"/>
      <c r="T108" s="1804"/>
      <c r="U108" s="1805"/>
    </row>
    <row r="109" spans="1:21" ht="24.95" customHeight="1" x14ac:dyDescent="0.25">
      <c r="A109" s="687"/>
      <c r="B109" s="683">
        <v>26</v>
      </c>
      <c r="C109" s="688"/>
      <c r="D109" s="1893" t="s">
        <v>10</v>
      </c>
      <c r="E109" s="627"/>
      <c r="F109" s="1905">
        <f t="shared" si="150"/>
        <v>0</v>
      </c>
      <c r="G109" s="1891"/>
      <c r="H109" s="1188">
        <f>VLOOKUP(B107,REKAP_NILAI,6,FALSE)</f>
        <v>0</v>
      </c>
      <c r="I109" s="709">
        <f t="shared" si="151"/>
        <v>0</v>
      </c>
      <c r="J109" s="710">
        <f t="shared" si="152"/>
        <v>0</v>
      </c>
      <c r="K109" s="711" t="str">
        <f t="shared" si="153"/>
        <v>1.33</v>
      </c>
      <c r="L109" s="711" t="str">
        <f t="shared" si="154"/>
        <v>D+</v>
      </c>
      <c r="M109" s="712" t="str">
        <f t="shared" si="155"/>
        <v>0</v>
      </c>
      <c r="N109" s="693"/>
      <c r="O109" s="694"/>
      <c r="P109" s="694"/>
      <c r="Q109" s="695"/>
      <c r="R109" s="695"/>
      <c r="S109" s="696"/>
      <c r="T109" s="1806"/>
      <c r="U109" s="1807"/>
    </row>
    <row r="110" spans="1:21" ht="24.95" customHeight="1" x14ac:dyDescent="0.25">
      <c r="A110" s="697"/>
      <c r="B110" s="698"/>
      <c r="C110" s="699" t="s">
        <v>149</v>
      </c>
      <c r="D110" s="700">
        <v>26</v>
      </c>
      <c r="E110" s="697"/>
      <c r="F110" s="1906"/>
      <c r="G110" s="697"/>
      <c r="H110" s="1189">
        <f>AVERAGE(H107:H109)</f>
        <v>0</v>
      </c>
      <c r="I110" s="705"/>
      <c r="J110" s="713">
        <f>AVERAGE(J107:J109)</f>
        <v>0</v>
      </c>
      <c r="K110" s="714" t="str">
        <f t="shared" si="153"/>
        <v>1.33</v>
      </c>
      <c r="L110" s="714" t="str">
        <f t="shared" si="154"/>
        <v>D+</v>
      </c>
      <c r="M110" s="888" t="str">
        <f t="shared" si="155"/>
        <v>0</v>
      </c>
      <c r="N110" s="701"/>
      <c r="O110" s="702"/>
      <c r="P110" s="702"/>
      <c r="Q110" s="702"/>
      <c r="R110" s="702"/>
      <c r="S110" s="703"/>
      <c r="T110" s="1808"/>
      <c r="U110" s="1195"/>
    </row>
    <row r="111" spans="1:21" ht="24.95" customHeight="1" x14ac:dyDescent="0.25">
      <c r="A111" s="360">
        <v>27</v>
      </c>
      <c r="B111" s="683">
        <v>27</v>
      </c>
      <c r="C111" s="684" t="str">
        <f>VLOOKUP(A111,data_siswa,4,FALSE)</f>
        <v>Mohammad Rizky</v>
      </c>
      <c r="D111" s="1893" t="s">
        <v>12</v>
      </c>
      <c r="E111" s="627"/>
      <c r="F111" s="1904">
        <f>E111*2</f>
        <v>0</v>
      </c>
      <c r="G111" s="1891"/>
      <c r="H111" s="1188">
        <f>VLOOKUP(B111,REKAP_NILAI,4,FALSE)</f>
        <v>0</v>
      </c>
      <c r="I111" s="706">
        <f>F111+G111+H111</f>
        <v>0</v>
      </c>
      <c r="J111" s="707">
        <f>(F111+G111+H111)/4</f>
        <v>0</v>
      </c>
      <c r="K111" s="708" t="str">
        <f>IF(J111&gt;85,("4"),IF(J111&gt;80,("3.66"),IF(J111&gt;75,("3.33"),IF(J111&gt;70,("3.00"),IF(J111&gt;65,("2.66"),IF(J111&gt;60,("2.33"),IF(J111&gt;55,("2"),IF(J111&gt;50,("1.66"),"1.33"))))))))</f>
        <v>1.33</v>
      </c>
      <c r="L111" s="708" t="str">
        <f>IF(J111&gt;85,("A"),IF(J111&gt;80,("A-"),IF(J111&gt;75,("B+"),IF(J111&gt;70,("B"),IF(J111&gt;65,("B-"),IF(J111&gt;60,("C+"),IF(J111&gt;55,("C"),IF(J111&gt;50,("C-"),"D+"))))))))</f>
        <v>D+</v>
      </c>
      <c r="M111" s="887" t="str">
        <f>IF(J111&gt;80,("SB"),IF(J111&gt;65,("B"),IF(J111&gt;50,("C"),IF(J111&gt;0,("K"),"0"))))</f>
        <v>0</v>
      </c>
      <c r="N111" s="685"/>
      <c r="O111" s="360"/>
      <c r="P111" s="360"/>
      <c r="Q111" s="686"/>
      <c r="R111" s="686"/>
      <c r="S111" s="686"/>
      <c r="T111" s="1193">
        <f>J114</f>
        <v>0</v>
      </c>
      <c r="U111" s="1194" t="str">
        <f>IF(T111&gt;85,("A"),IF(T111&gt;80,("A-"),IF(T111&gt;75,("B+"),IF(T111&gt;70,("B"),IF(T111&gt;65,("B-"),IF(T111&gt;60,("C+"),IF(T111&gt;55,("C"),IF(T111&gt;50,("C-"),"D+"))))))))</f>
        <v>D+</v>
      </c>
    </row>
    <row r="112" spans="1:21" ht="24.95" customHeight="1" x14ac:dyDescent="0.25">
      <c r="A112" s="687"/>
      <c r="B112" s="683">
        <v>27</v>
      </c>
      <c r="C112" s="688"/>
      <c r="D112" s="1893" t="s">
        <v>7</v>
      </c>
      <c r="E112" s="627"/>
      <c r="F112" s="1905">
        <f t="shared" ref="F112:F113" si="156">E112*2</f>
        <v>0</v>
      </c>
      <c r="G112" s="1891"/>
      <c r="H112" s="1188">
        <f>VLOOKUP(B111,REKAP_NILAI,5,FALSE)</f>
        <v>0</v>
      </c>
      <c r="I112" s="709">
        <f t="shared" ref="I112:I113" si="157">F112+G112+H112</f>
        <v>0</v>
      </c>
      <c r="J112" s="710">
        <f t="shared" ref="J112:J113" si="158">(F112+G112+H112)/4</f>
        <v>0</v>
      </c>
      <c r="K112" s="711" t="str">
        <f t="shared" ref="K112:K114" si="159">IF(J112&gt;85,("4"),IF(J112&gt;80,("3.66"),IF(J112&gt;75,("3.33"),IF(J112&gt;70,("3.00"),IF(J112&gt;65,("2.66"),IF(J112&gt;60,("2.33"),IF(J112&gt;55,("2"),IF(J112&gt;50,("1.66"),"1.33"))))))))</f>
        <v>1.33</v>
      </c>
      <c r="L112" s="711" t="str">
        <f t="shared" ref="L112:L114" si="160">IF(J112&gt;85,("A"),IF(J112&gt;80,("A-"),IF(J112&gt;75,("B+"),IF(J112&gt;70,("B"),IF(J112&gt;65,("B-"),IF(J112&gt;60,("C+"),IF(J112&gt;55,("C"),IF(J112&gt;50,("C-"),"D+"))))))))</f>
        <v>D+</v>
      </c>
      <c r="M112" s="712" t="str">
        <f t="shared" ref="M112:M114" si="161">IF(J112&gt;80,("SB"),IF(J112&gt;65,("B"),IF(J112&gt;50,("C"),IF(J112&gt;0,("K"),"0"))))</f>
        <v>0</v>
      </c>
      <c r="N112" s="689"/>
      <c r="O112" s="690"/>
      <c r="P112" s="690"/>
      <c r="Q112" s="691"/>
      <c r="R112" s="691"/>
      <c r="S112" s="692"/>
      <c r="T112" s="1804"/>
      <c r="U112" s="1805"/>
    </row>
    <row r="113" spans="1:21" ht="24.95" customHeight="1" x14ac:dyDescent="0.25">
      <c r="A113" s="687"/>
      <c r="B113" s="683">
        <v>27</v>
      </c>
      <c r="C113" s="688"/>
      <c r="D113" s="1893" t="s">
        <v>10</v>
      </c>
      <c r="E113" s="627"/>
      <c r="F113" s="1905">
        <f t="shared" si="156"/>
        <v>0</v>
      </c>
      <c r="G113" s="1891"/>
      <c r="H113" s="1188">
        <f>VLOOKUP(B111,REKAP_NILAI,6,FALSE)</f>
        <v>0</v>
      </c>
      <c r="I113" s="709">
        <f t="shared" si="157"/>
        <v>0</v>
      </c>
      <c r="J113" s="710">
        <f t="shared" si="158"/>
        <v>0</v>
      </c>
      <c r="K113" s="711" t="str">
        <f t="shared" si="159"/>
        <v>1.33</v>
      </c>
      <c r="L113" s="711" t="str">
        <f t="shared" si="160"/>
        <v>D+</v>
      </c>
      <c r="M113" s="712" t="str">
        <f t="shared" si="161"/>
        <v>0</v>
      </c>
      <c r="N113" s="693"/>
      <c r="O113" s="694"/>
      <c r="P113" s="694"/>
      <c r="Q113" s="695"/>
      <c r="R113" s="695"/>
      <c r="S113" s="696"/>
      <c r="T113" s="1809"/>
      <c r="U113" s="1807"/>
    </row>
    <row r="114" spans="1:21" ht="24.95" customHeight="1" x14ac:dyDescent="0.25">
      <c r="A114" s="697"/>
      <c r="B114" s="698"/>
      <c r="C114" s="699" t="s">
        <v>149</v>
      </c>
      <c r="D114" s="700">
        <v>27</v>
      </c>
      <c r="E114" s="697"/>
      <c r="F114" s="1906"/>
      <c r="G114" s="697"/>
      <c r="H114" s="1189">
        <f>AVERAGE(H111:H113)</f>
        <v>0</v>
      </c>
      <c r="I114" s="705"/>
      <c r="J114" s="713">
        <f>AVERAGE(J111:J113)</f>
        <v>0</v>
      </c>
      <c r="K114" s="714" t="str">
        <f t="shared" si="159"/>
        <v>1.33</v>
      </c>
      <c r="L114" s="714" t="str">
        <f t="shared" si="160"/>
        <v>D+</v>
      </c>
      <c r="M114" s="888" t="str">
        <f t="shared" si="161"/>
        <v>0</v>
      </c>
      <c r="N114" s="701"/>
      <c r="O114" s="702"/>
      <c r="P114" s="702"/>
      <c r="Q114" s="702"/>
      <c r="R114" s="702"/>
      <c r="S114" s="703"/>
      <c r="T114" s="1808"/>
      <c r="U114" s="1195"/>
    </row>
    <row r="115" spans="1:21" ht="24.95" customHeight="1" x14ac:dyDescent="0.25">
      <c r="A115" s="360">
        <v>28</v>
      </c>
      <c r="B115" s="683">
        <v>28</v>
      </c>
      <c r="C115" s="684" t="e">
        <f>VLOOKUP(A115,data_siswa,4,FALSE)</f>
        <v>#N/A</v>
      </c>
      <c r="D115" s="1893" t="s">
        <v>12</v>
      </c>
      <c r="E115" s="627"/>
      <c r="F115" s="1904">
        <f>E115*2</f>
        <v>0</v>
      </c>
      <c r="G115" s="1891"/>
      <c r="H115" s="1188">
        <f>VLOOKUP(B115,REKAP_NILAI,4,FALSE)</f>
        <v>0</v>
      </c>
      <c r="I115" s="706">
        <f>F115+G115+H115</f>
        <v>0</v>
      </c>
      <c r="J115" s="707">
        <f>(F115+G115+H115)/4</f>
        <v>0</v>
      </c>
      <c r="K115" s="708" t="str">
        <f>IF(J115&gt;85,("4"),IF(J115&gt;80,("3.66"),IF(J115&gt;75,("3.33"),IF(J115&gt;70,("3.00"),IF(J115&gt;65,("2.66"),IF(J115&gt;60,("2.33"),IF(J115&gt;55,("2"),IF(J115&gt;50,("1.66"),"1.33"))))))))</f>
        <v>1.33</v>
      </c>
      <c r="L115" s="708" t="str">
        <f>IF(J115&gt;85,("A"),IF(J115&gt;80,("A-"),IF(J115&gt;75,("B+"),IF(J115&gt;70,("B"),IF(J115&gt;65,("B-"),IF(J115&gt;60,("C+"),IF(J115&gt;55,("C"),IF(J115&gt;50,("C-"),"D+"))))))))</f>
        <v>D+</v>
      </c>
      <c r="M115" s="887" t="str">
        <f>IF(J115&gt;80,("SB"),IF(J115&gt;65,("B"),IF(J115&gt;50,("C"),IF(J115&gt;0,("K"),"0"))))</f>
        <v>0</v>
      </c>
      <c r="N115" s="685"/>
      <c r="O115" s="360"/>
      <c r="P115" s="360"/>
      <c r="Q115" s="686"/>
      <c r="R115" s="686"/>
      <c r="S115" s="686"/>
      <c r="T115" s="1193">
        <f>J118</f>
        <v>0</v>
      </c>
      <c r="U115" s="1194" t="str">
        <f>IF(T115&gt;85,("A"),IF(T115&gt;80,("A-"),IF(T115&gt;75,("B+"),IF(T115&gt;70,("B"),IF(T115&gt;65,("B-"),IF(T115&gt;60,("C+"),IF(T115&gt;55,("C"),IF(T115&gt;50,("C-"),"D+"))))))))</f>
        <v>D+</v>
      </c>
    </row>
    <row r="116" spans="1:21" ht="24.95" customHeight="1" x14ac:dyDescent="0.25">
      <c r="A116" s="687"/>
      <c r="B116" s="683">
        <v>28</v>
      </c>
      <c r="C116" s="688"/>
      <c r="D116" s="1893" t="s">
        <v>7</v>
      </c>
      <c r="E116" s="627"/>
      <c r="F116" s="1905">
        <f t="shared" ref="F116:F117" si="162">E116*2</f>
        <v>0</v>
      </c>
      <c r="G116" s="1891"/>
      <c r="H116" s="1188">
        <f>VLOOKUP(B115,REKAP_NILAI,5,FALSE)</f>
        <v>0</v>
      </c>
      <c r="I116" s="709">
        <f t="shared" ref="I116:I117" si="163">F116+G116+H116</f>
        <v>0</v>
      </c>
      <c r="J116" s="710">
        <f t="shared" ref="J116:J117" si="164">(F116+G116+H116)/4</f>
        <v>0</v>
      </c>
      <c r="K116" s="711" t="str">
        <f t="shared" ref="K116:K118" si="165">IF(J116&gt;85,("4"),IF(J116&gt;80,("3.66"),IF(J116&gt;75,("3.33"),IF(J116&gt;70,("3.00"),IF(J116&gt;65,("2.66"),IF(J116&gt;60,("2.33"),IF(J116&gt;55,("2"),IF(J116&gt;50,("1.66"),"1.33"))))))))</f>
        <v>1.33</v>
      </c>
      <c r="L116" s="711" t="str">
        <f t="shared" ref="L116:L118" si="166">IF(J116&gt;85,("A"),IF(J116&gt;80,("A-"),IF(J116&gt;75,("B+"),IF(J116&gt;70,("B"),IF(J116&gt;65,("B-"),IF(J116&gt;60,("C+"),IF(J116&gt;55,("C"),IF(J116&gt;50,("C-"),"D+"))))))))</f>
        <v>D+</v>
      </c>
      <c r="M116" s="712" t="str">
        <f t="shared" ref="M116:M118" si="167">IF(J116&gt;80,("SB"),IF(J116&gt;65,("B"),IF(J116&gt;50,("C"),IF(J116&gt;0,("K"),"0"))))</f>
        <v>0</v>
      </c>
      <c r="N116" s="689"/>
      <c r="O116" s="690"/>
      <c r="P116" s="690"/>
      <c r="Q116" s="691"/>
      <c r="R116" s="691"/>
      <c r="S116" s="692"/>
      <c r="T116" s="1804"/>
      <c r="U116" s="1805"/>
    </row>
    <row r="117" spans="1:21" ht="24.95" customHeight="1" x14ac:dyDescent="0.25">
      <c r="A117" s="687"/>
      <c r="B117" s="683">
        <v>28</v>
      </c>
      <c r="C117" s="688"/>
      <c r="D117" s="1893" t="s">
        <v>10</v>
      </c>
      <c r="E117" s="627"/>
      <c r="F117" s="1905">
        <f t="shared" si="162"/>
        <v>0</v>
      </c>
      <c r="G117" s="1891"/>
      <c r="H117" s="1188">
        <f>VLOOKUP(B115,REKAP_NILAI,6,FALSE)</f>
        <v>0</v>
      </c>
      <c r="I117" s="709">
        <f t="shared" si="163"/>
        <v>0</v>
      </c>
      <c r="J117" s="710">
        <f t="shared" si="164"/>
        <v>0</v>
      </c>
      <c r="K117" s="711" t="str">
        <f t="shared" si="165"/>
        <v>1.33</v>
      </c>
      <c r="L117" s="711" t="str">
        <f t="shared" si="166"/>
        <v>D+</v>
      </c>
      <c r="M117" s="712" t="str">
        <f t="shared" si="167"/>
        <v>0</v>
      </c>
      <c r="N117" s="693"/>
      <c r="O117" s="694"/>
      <c r="P117" s="694"/>
      <c r="Q117" s="695"/>
      <c r="R117" s="695"/>
      <c r="S117" s="696"/>
      <c r="T117" s="1806"/>
      <c r="U117" s="1807"/>
    </row>
    <row r="118" spans="1:21" ht="24.95" customHeight="1" x14ac:dyDescent="0.25">
      <c r="A118" s="697"/>
      <c r="B118" s="698"/>
      <c r="C118" s="699" t="s">
        <v>149</v>
      </c>
      <c r="D118" s="700">
        <v>28</v>
      </c>
      <c r="E118" s="697"/>
      <c r="F118" s="1906"/>
      <c r="G118" s="697"/>
      <c r="H118" s="1189">
        <f>AVERAGE(H115:H117)</f>
        <v>0</v>
      </c>
      <c r="I118" s="705"/>
      <c r="J118" s="713">
        <f>AVERAGE(J115:J117)</f>
        <v>0</v>
      </c>
      <c r="K118" s="714" t="str">
        <f t="shared" si="165"/>
        <v>1.33</v>
      </c>
      <c r="L118" s="714" t="str">
        <f t="shared" si="166"/>
        <v>D+</v>
      </c>
      <c r="M118" s="888" t="str">
        <f t="shared" si="167"/>
        <v>0</v>
      </c>
      <c r="N118" s="701"/>
      <c r="O118" s="702"/>
      <c r="P118" s="702"/>
      <c r="Q118" s="702"/>
      <c r="R118" s="702"/>
      <c r="S118" s="703"/>
      <c r="T118" s="1808"/>
      <c r="U118" s="1195"/>
    </row>
    <row r="119" spans="1:21" ht="24.95" customHeight="1" x14ac:dyDescent="0.25">
      <c r="A119" s="360">
        <v>29</v>
      </c>
      <c r="B119" s="683">
        <v>29</v>
      </c>
      <c r="C119" s="684" t="e">
        <f>VLOOKUP(A119,data_siswa,4,FALSE)</f>
        <v>#N/A</v>
      </c>
      <c r="D119" s="1893" t="s">
        <v>12</v>
      </c>
      <c r="E119" s="627"/>
      <c r="F119" s="1904">
        <f>E119*2</f>
        <v>0</v>
      </c>
      <c r="G119" s="1891"/>
      <c r="H119" s="1188">
        <f>VLOOKUP(B119,REKAP_NILAI,4,FALSE)</f>
        <v>0</v>
      </c>
      <c r="I119" s="706">
        <f>F119+G119+H119</f>
        <v>0</v>
      </c>
      <c r="J119" s="707">
        <f>(F119+G119+H119)/4</f>
        <v>0</v>
      </c>
      <c r="K119" s="708" t="str">
        <f>IF(J119&gt;85,("4"),IF(J119&gt;80,("3.66"),IF(J119&gt;75,("3.33"),IF(J119&gt;70,("3.00"),IF(J119&gt;65,("2.66"),IF(J119&gt;60,("2.33"),IF(J119&gt;55,("2"),IF(J119&gt;50,("1.66"),"1.33"))))))))</f>
        <v>1.33</v>
      </c>
      <c r="L119" s="708" t="str">
        <f>IF(J119&gt;85,("A"),IF(J119&gt;80,("A-"),IF(J119&gt;75,("B+"),IF(J119&gt;70,("B"),IF(J119&gt;65,("B-"),IF(J119&gt;60,("C+"),IF(J119&gt;55,("C"),IF(J119&gt;50,("C-"),"D+"))))))))</f>
        <v>D+</v>
      </c>
      <c r="M119" s="887" t="str">
        <f>IF(J119&gt;80,("SB"),IF(J119&gt;65,("B"),IF(J119&gt;50,("C"),IF(J119&gt;0,("K"),"0"))))</f>
        <v>0</v>
      </c>
      <c r="N119" s="685"/>
      <c r="O119" s="360"/>
      <c r="P119" s="360"/>
      <c r="Q119" s="686"/>
      <c r="R119" s="686"/>
      <c r="S119" s="686"/>
      <c r="T119" s="1193">
        <f>J122</f>
        <v>0</v>
      </c>
      <c r="U119" s="1194" t="str">
        <f>IF(T119&gt;85,("A"),IF(T119&gt;80,("A-"),IF(T119&gt;75,("B+"),IF(T119&gt;70,("B"),IF(T119&gt;65,("B-"),IF(T119&gt;60,("C+"),IF(T119&gt;55,("C"),IF(T119&gt;50,("C-"),"D+"))))))))</f>
        <v>D+</v>
      </c>
    </row>
    <row r="120" spans="1:21" ht="24.95" customHeight="1" x14ac:dyDescent="0.25">
      <c r="A120" s="687"/>
      <c r="B120" s="683">
        <v>29</v>
      </c>
      <c r="C120" s="688"/>
      <c r="D120" s="1893" t="s">
        <v>7</v>
      </c>
      <c r="E120" s="627"/>
      <c r="F120" s="1905">
        <f t="shared" ref="F120:F121" si="168">E120*2</f>
        <v>0</v>
      </c>
      <c r="G120" s="1891"/>
      <c r="H120" s="1188">
        <f>VLOOKUP(B119,REKAP_NILAI,5,FALSE)</f>
        <v>0</v>
      </c>
      <c r="I120" s="709">
        <f t="shared" ref="I120:I121" si="169">F120+G120+H120</f>
        <v>0</v>
      </c>
      <c r="J120" s="710">
        <f t="shared" ref="J120:J121" si="170">(F120+G120+H120)/4</f>
        <v>0</v>
      </c>
      <c r="K120" s="711" t="str">
        <f t="shared" ref="K120:K122" si="171">IF(J120&gt;85,("4"),IF(J120&gt;80,("3.66"),IF(J120&gt;75,("3.33"),IF(J120&gt;70,("3.00"),IF(J120&gt;65,("2.66"),IF(J120&gt;60,("2.33"),IF(J120&gt;55,("2"),IF(J120&gt;50,("1.66"),"1.33"))))))))</f>
        <v>1.33</v>
      </c>
      <c r="L120" s="711" t="str">
        <f t="shared" ref="L120:L122" si="172">IF(J120&gt;85,("A"),IF(J120&gt;80,("A-"),IF(J120&gt;75,("B+"),IF(J120&gt;70,("B"),IF(J120&gt;65,("B-"),IF(J120&gt;60,("C+"),IF(J120&gt;55,("C"),IF(J120&gt;50,("C-"),"D+"))))))))</f>
        <v>D+</v>
      </c>
      <c r="M120" s="712" t="str">
        <f t="shared" ref="M120:M122" si="173">IF(J120&gt;80,("SB"),IF(J120&gt;65,("B"),IF(J120&gt;50,("C"),IF(J120&gt;0,("K"),"0"))))</f>
        <v>0</v>
      </c>
      <c r="N120" s="689"/>
      <c r="O120" s="690"/>
      <c r="P120" s="690"/>
      <c r="Q120" s="691"/>
      <c r="R120" s="691"/>
      <c r="S120" s="692"/>
      <c r="T120" s="1804"/>
      <c r="U120" s="1805"/>
    </row>
    <row r="121" spans="1:21" ht="24.95" customHeight="1" x14ac:dyDescent="0.25">
      <c r="A121" s="687"/>
      <c r="B121" s="683">
        <v>29</v>
      </c>
      <c r="C121" s="688"/>
      <c r="D121" s="1893" t="s">
        <v>10</v>
      </c>
      <c r="E121" s="627"/>
      <c r="F121" s="1905">
        <f t="shared" si="168"/>
        <v>0</v>
      </c>
      <c r="G121" s="1891"/>
      <c r="H121" s="1188">
        <f>VLOOKUP(B119,REKAP_NILAI,6,FALSE)</f>
        <v>0</v>
      </c>
      <c r="I121" s="709">
        <f t="shared" si="169"/>
        <v>0</v>
      </c>
      <c r="J121" s="710">
        <f t="shared" si="170"/>
        <v>0</v>
      </c>
      <c r="K121" s="711" t="str">
        <f t="shared" si="171"/>
        <v>1.33</v>
      </c>
      <c r="L121" s="711" t="str">
        <f t="shared" si="172"/>
        <v>D+</v>
      </c>
      <c r="M121" s="712" t="str">
        <f t="shared" si="173"/>
        <v>0</v>
      </c>
      <c r="N121" s="693"/>
      <c r="O121" s="694"/>
      <c r="P121" s="694"/>
      <c r="Q121" s="695"/>
      <c r="R121" s="695"/>
      <c r="S121" s="696"/>
      <c r="T121" s="1809"/>
      <c r="U121" s="1807"/>
    </row>
    <row r="122" spans="1:21" ht="24.95" customHeight="1" x14ac:dyDescent="0.25">
      <c r="A122" s="697"/>
      <c r="B122" s="698"/>
      <c r="C122" s="699" t="s">
        <v>149</v>
      </c>
      <c r="D122" s="700">
        <v>29</v>
      </c>
      <c r="E122" s="697"/>
      <c r="F122" s="1906"/>
      <c r="G122" s="697"/>
      <c r="H122" s="1189">
        <f>AVERAGE(H119:H121)</f>
        <v>0</v>
      </c>
      <c r="I122" s="705"/>
      <c r="J122" s="713">
        <f>AVERAGE(J119:J121)</f>
        <v>0</v>
      </c>
      <c r="K122" s="714" t="str">
        <f t="shared" si="171"/>
        <v>1.33</v>
      </c>
      <c r="L122" s="714" t="str">
        <f t="shared" si="172"/>
        <v>D+</v>
      </c>
      <c r="M122" s="888" t="str">
        <f t="shared" si="173"/>
        <v>0</v>
      </c>
      <c r="N122" s="701"/>
      <c r="O122" s="702"/>
      <c r="P122" s="702"/>
      <c r="Q122" s="702"/>
      <c r="R122" s="702"/>
      <c r="S122" s="703"/>
      <c r="T122" s="1808"/>
      <c r="U122" s="1195"/>
    </row>
    <row r="123" spans="1:21" ht="24.95" customHeight="1" x14ac:dyDescent="0.25">
      <c r="A123" s="360">
        <v>30</v>
      </c>
      <c r="B123" s="683">
        <v>30</v>
      </c>
      <c r="C123" s="684" t="e">
        <f>VLOOKUP(A123,data_siswa,4,FALSE)</f>
        <v>#N/A</v>
      </c>
      <c r="D123" s="1893" t="s">
        <v>12</v>
      </c>
      <c r="E123" s="627"/>
      <c r="F123" s="1904">
        <f>E123*2</f>
        <v>0</v>
      </c>
      <c r="G123" s="1891"/>
      <c r="H123" s="1188">
        <f>VLOOKUP(B123,REKAP_NILAI,4,FALSE)</f>
        <v>0</v>
      </c>
      <c r="I123" s="706">
        <f>F123+G123+H123</f>
        <v>0</v>
      </c>
      <c r="J123" s="707">
        <f>(F123+G123+H123)/4</f>
        <v>0</v>
      </c>
      <c r="K123" s="708" t="str">
        <f>IF(J123&gt;85,("4"),IF(J123&gt;80,("3.66"),IF(J123&gt;75,("3.33"),IF(J123&gt;70,("3.00"),IF(J123&gt;65,("2.66"),IF(J123&gt;60,("2.33"),IF(J123&gt;55,("2"),IF(J123&gt;50,("1.66"),"1.33"))))))))</f>
        <v>1.33</v>
      </c>
      <c r="L123" s="708" t="str">
        <f>IF(J123&gt;85,("A"),IF(J123&gt;80,("A-"),IF(J123&gt;75,("B+"),IF(J123&gt;70,("B"),IF(J123&gt;65,("B-"),IF(J123&gt;60,("C+"),IF(J123&gt;55,("C"),IF(J123&gt;50,("C-"),"D+"))))))))</f>
        <v>D+</v>
      </c>
      <c r="M123" s="887" t="str">
        <f>IF(J123&gt;80,("SB"),IF(J123&gt;65,("B"),IF(J123&gt;50,("C"),IF(J123&gt;0,("K"),"0"))))</f>
        <v>0</v>
      </c>
      <c r="N123" s="685"/>
      <c r="O123" s="360"/>
      <c r="P123" s="360"/>
      <c r="Q123" s="686"/>
      <c r="R123" s="686"/>
      <c r="S123" s="686"/>
      <c r="T123" s="1193">
        <f>J126</f>
        <v>0</v>
      </c>
      <c r="U123" s="1194" t="str">
        <f>IF(T123&gt;85,("A"),IF(T123&gt;80,("A-"),IF(T123&gt;75,("B+"),IF(T123&gt;70,("B"),IF(T123&gt;65,("B-"),IF(T123&gt;60,("C+"),IF(T123&gt;55,("C"),IF(T123&gt;50,("C-"),"D+"))))))))</f>
        <v>D+</v>
      </c>
    </row>
    <row r="124" spans="1:21" ht="24.95" customHeight="1" x14ac:dyDescent="0.25">
      <c r="A124" s="687"/>
      <c r="B124" s="683">
        <v>30</v>
      </c>
      <c r="C124" s="688"/>
      <c r="D124" s="1893" t="s">
        <v>7</v>
      </c>
      <c r="E124" s="627"/>
      <c r="F124" s="1905">
        <f t="shared" ref="F124:F125" si="174">E124*2</f>
        <v>0</v>
      </c>
      <c r="G124" s="1891"/>
      <c r="H124" s="1188">
        <f>VLOOKUP(B123,REKAP_NILAI,5,FALSE)</f>
        <v>0</v>
      </c>
      <c r="I124" s="709">
        <f t="shared" ref="I124:I125" si="175">F124+G124+H124</f>
        <v>0</v>
      </c>
      <c r="J124" s="710">
        <f t="shared" ref="J124:J125" si="176">(F124+G124+H124)/4</f>
        <v>0</v>
      </c>
      <c r="K124" s="711" t="str">
        <f t="shared" ref="K124:K126" si="177">IF(J124&gt;85,("4"),IF(J124&gt;80,("3.66"),IF(J124&gt;75,("3.33"),IF(J124&gt;70,("3.00"),IF(J124&gt;65,("2.66"),IF(J124&gt;60,("2.33"),IF(J124&gt;55,("2"),IF(J124&gt;50,("1.66"),"1.33"))))))))</f>
        <v>1.33</v>
      </c>
      <c r="L124" s="711" t="str">
        <f t="shared" ref="L124:L126" si="178">IF(J124&gt;85,("A"),IF(J124&gt;80,("A-"),IF(J124&gt;75,("B+"),IF(J124&gt;70,("B"),IF(J124&gt;65,("B-"),IF(J124&gt;60,("C+"),IF(J124&gt;55,("C"),IF(J124&gt;50,("C-"),"D+"))))))))</f>
        <v>D+</v>
      </c>
      <c r="M124" s="712" t="str">
        <f t="shared" ref="M124:M126" si="179">IF(J124&gt;80,("SB"),IF(J124&gt;65,("B"),IF(J124&gt;50,("C"),IF(J124&gt;0,("K"),"0"))))</f>
        <v>0</v>
      </c>
      <c r="N124" s="689"/>
      <c r="O124" s="690"/>
      <c r="P124" s="690"/>
      <c r="Q124" s="691"/>
      <c r="R124" s="691"/>
      <c r="S124" s="692"/>
      <c r="T124" s="1804"/>
      <c r="U124" s="1805"/>
    </row>
    <row r="125" spans="1:21" ht="24.95" customHeight="1" x14ac:dyDescent="0.25">
      <c r="A125" s="687"/>
      <c r="B125" s="683">
        <v>30</v>
      </c>
      <c r="C125" s="688"/>
      <c r="D125" s="1893" t="s">
        <v>10</v>
      </c>
      <c r="E125" s="627"/>
      <c r="F125" s="1905">
        <f t="shared" si="174"/>
        <v>0</v>
      </c>
      <c r="G125" s="1891"/>
      <c r="H125" s="1188">
        <f>VLOOKUP(B123,REKAP_NILAI,6,FALSE)</f>
        <v>0</v>
      </c>
      <c r="I125" s="709">
        <f t="shared" si="175"/>
        <v>0</v>
      </c>
      <c r="J125" s="710">
        <f t="shared" si="176"/>
        <v>0</v>
      </c>
      <c r="K125" s="711" t="str">
        <f t="shared" si="177"/>
        <v>1.33</v>
      </c>
      <c r="L125" s="711" t="str">
        <f t="shared" si="178"/>
        <v>D+</v>
      </c>
      <c r="M125" s="712" t="str">
        <f t="shared" si="179"/>
        <v>0</v>
      </c>
      <c r="N125" s="693"/>
      <c r="O125" s="694"/>
      <c r="P125" s="694"/>
      <c r="Q125" s="695"/>
      <c r="R125" s="695"/>
      <c r="S125" s="696"/>
      <c r="T125" s="1809"/>
      <c r="U125" s="1810"/>
    </row>
    <row r="126" spans="1:21" ht="24.95" customHeight="1" x14ac:dyDescent="0.25">
      <c r="A126" s="697"/>
      <c r="B126" s="698"/>
      <c r="C126" s="699" t="s">
        <v>149</v>
      </c>
      <c r="D126" s="700">
        <v>30</v>
      </c>
      <c r="E126" s="697"/>
      <c r="F126" s="1906"/>
      <c r="G126" s="697"/>
      <c r="H126" s="1189">
        <f>AVERAGE(H123:H125)</f>
        <v>0</v>
      </c>
      <c r="I126" s="705"/>
      <c r="J126" s="713">
        <f>AVERAGE(J123:J125)</f>
        <v>0</v>
      </c>
      <c r="K126" s="714" t="str">
        <f t="shared" si="177"/>
        <v>1.33</v>
      </c>
      <c r="L126" s="714" t="str">
        <f t="shared" si="178"/>
        <v>D+</v>
      </c>
      <c r="M126" s="888" t="str">
        <f t="shared" si="179"/>
        <v>0</v>
      </c>
      <c r="N126" s="701"/>
      <c r="O126" s="702"/>
      <c r="P126" s="702"/>
      <c r="Q126" s="702"/>
      <c r="R126" s="702"/>
      <c r="S126" s="703"/>
      <c r="T126" s="1808"/>
      <c r="U126" s="1195"/>
    </row>
    <row r="127" spans="1:21" ht="24.95" customHeight="1" x14ac:dyDescent="0.25">
      <c r="A127" s="360">
        <v>31</v>
      </c>
      <c r="B127" s="683">
        <v>31</v>
      </c>
      <c r="C127" s="684" t="e">
        <f>VLOOKUP(A127,data_siswa,4,FALSE)</f>
        <v>#N/A</v>
      </c>
      <c r="D127" s="1893" t="s">
        <v>12</v>
      </c>
      <c r="E127" s="627"/>
      <c r="F127" s="1904">
        <f>E127*2</f>
        <v>0</v>
      </c>
      <c r="G127" s="1891"/>
      <c r="H127" s="1188">
        <f>VLOOKUP(B127,REKAP_NILAI,4,FALSE)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887" t="str">
        <f>IF(J127&gt;80,("SB"),IF(J127&gt;65,("B"),IF(J127&gt;50,("C"),IF(J127&gt;0,("K"),"0"))))</f>
        <v>0</v>
      </c>
      <c r="N127" s="685"/>
      <c r="O127" s="360"/>
      <c r="P127" s="360"/>
      <c r="Q127" s="686"/>
      <c r="R127" s="686"/>
      <c r="S127" s="686"/>
      <c r="T127" s="1193">
        <f>J130</f>
        <v>0</v>
      </c>
      <c r="U127" s="1194" t="str">
        <f>IF(T127&gt;85,("A"),IF(T127&gt;80,("A-"),IF(T127&gt;75,("B+"),IF(T127&gt;70,("B"),IF(T127&gt;65,("B-"),IF(T127&gt;60,("C+"),IF(T127&gt;55,("C"),IF(T127&gt;50,("C-"),"D+"))))))))</f>
        <v>D+</v>
      </c>
    </row>
    <row r="128" spans="1:21" ht="24.95" customHeight="1" x14ac:dyDescent="0.25">
      <c r="A128" s="687"/>
      <c r="B128" s="683">
        <v>31</v>
      </c>
      <c r="C128" s="688"/>
      <c r="D128" s="1893" t="s">
        <v>7</v>
      </c>
      <c r="E128" s="627"/>
      <c r="F128" s="1905">
        <f t="shared" ref="F128:F129" si="180">E128*2</f>
        <v>0</v>
      </c>
      <c r="G128" s="1891"/>
      <c r="H128" s="1188">
        <f>VLOOKUP(B127,REKAP_NILAI,5,FALSE)</f>
        <v>0</v>
      </c>
      <c r="I128" s="709">
        <f t="shared" ref="I128:I129" si="181">F128+G128+H128</f>
        <v>0</v>
      </c>
      <c r="J128" s="710">
        <f t="shared" ref="J128:J129" si="182">(F128+G128+H128)/4</f>
        <v>0</v>
      </c>
      <c r="K128" s="711" t="str">
        <f t="shared" ref="K128:K130" si="183">IF(J128&gt;85,("4"),IF(J128&gt;80,("3.66"),IF(J128&gt;75,("3.33"),IF(J128&gt;70,("3.00"),IF(J128&gt;65,("2.66"),IF(J128&gt;60,("2.33"),IF(J128&gt;55,("2"),IF(J128&gt;50,("1.66"),"1.33"))))))))</f>
        <v>1.33</v>
      </c>
      <c r="L128" s="711" t="str">
        <f t="shared" ref="L128:L130" si="184">IF(J128&gt;85,("A"),IF(J128&gt;80,("A-"),IF(J128&gt;75,("B+"),IF(J128&gt;70,("B"),IF(J128&gt;65,("B-"),IF(J128&gt;60,("C+"),IF(J128&gt;55,("C"),IF(J128&gt;50,("C-"),"D+"))))))))</f>
        <v>D+</v>
      </c>
      <c r="M128" s="712" t="str">
        <f t="shared" ref="M128:M130" si="185">IF(J128&gt;80,("SB"),IF(J128&gt;65,("B"),IF(J128&gt;50,("C"),IF(J128&gt;0,("K"),"0"))))</f>
        <v>0</v>
      </c>
      <c r="N128" s="689"/>
      <c r="O128" s="690"/>
      <c r="P128" s="690"/>
      <c r="Q128" s="691"/>
      <c r="R128" s="691"/>
      <c r="S128" s="692"/>
      <c r="T128" s="1804"/>
      <c r="U128" s="1805"/>
    </row>
    <row r="129" spans="1:21" ht="24.95" customHeight="1" x14ac:dyDescent="0.25">
      <c r="A129" s="687"/>
      <c r="B129" s="683">
        <v>31</v>
      </c>
      <c r="C129" s="688"/>
      <c r="D129" s="1893" t="s">
        <v>10</v>
      </c>
      <c r="E129" s="627"/>
      <c r="F129" s="1905">
        <f t="shared" si="180"/>
        <v>0</v>
      </c>
      <c r="G129" s="1891"/>
      <c r="H129" s="1188">
        <f>VLOOKUP(B127,REKAP_NILAI,6,FALSE)</f>
        <v>0</v>
      </c>
      <c r="I129" s="709">
        <f t="shared" si="181"/>
        <v>0</v>
      </c>
      <c r="J129" s="710">
        <f t="shared" si="182"/>
        <v>0</v>
      </c>
      <c r="K129" s="711" t="str">
        <f t="shared" si="183"/>
        <v>1.33</v>
      </c>
      <c r="L129" s="711" t="str">
        <f t="shared" si="184"/>
        <v>D+</v>
      </c>
      <c r="M129" s="712" t="str">
        <f t="shared" si="185"/>
        <v>0</v>
      </c>
      <c r="N129" s="693"/>
      <c r="O129" s="694"/>
      <c r="P129" s="694"/>
      <c r="Q129" s="695"/>
      <c r="R129" s="695"/>
      <c r="S129" s="696"/>
      <c r="T129" s="1806"/>
      <c r="U129" s="1807"/>
    </row>
    <row r="130" spans="1:21" ht="24.95" customHeight="1" x14ac:dyDescent="0.25">
      <c r="A130" s="697"/>
      <c r="B130" s="698"/>
      <c r="C130" s="699" t="s">
        <v>149</v>
      </c>
      <c r="D130" s="700">
        <v>31</v>
      </c>
      <c r="E130" s="697"/>
      <c r="F130" s="1906"/>
      <c r="G130" s="697"/>
      <c r="H130" s="1189">
        <f>AVERAGE(H127:H129)</f>
        <v>0</v>
      </c>
      <c r="I130" s="705"/>
      <c r="J130" s="713">
        <f>AVERAGE(J127:J129)</f>
        <v>0</v>
      </c>
      <c r="K130" s="714" t="str">
        <f t="shared" si="183"/>
        <v>1.33</v>
      </c>
      <c r="L130" s="714" t="str">
        <f t="shared" si="184"/>
        <v>D+</v>
      </c>
      <c r="M130" s="888" t="str">
        <f t="shared" si="185"/>
        <v>0</v>
      </c>
      <c r="N130" s="701"/>
      <c r="O130" s="702"/>
      <c r="P130" s="702"/>
      <c r="Q130" s="702"/>
      <c r="R130" s="702"/>
      <c r="S130" s="703"/>
      <c r="T130" s="1808"/>
      <c r="U130" s="1195"/>
    </row>
    <row r="131" spans="1:21" ht="24.95" customHeight="1" x14ac:dyDescent="0.25">
      <c r="A131" s="360">
        <v>32</v>
      </c>
      <c r="B131" s="683">
        <v>32</v>
      </c>
      <c r="C131" s="684" t="e">
        <f>VLOOKUP(A131,data_siswa,4,FALSE)</f>
        <v>#N/A</v>
      </c>
      <c r="D131" s="1893" t="s">
        <v>12</v>
      </c>
      <c r="E131" s="627"/>
      <c r="F131" s="1904">
        <f>E131*2</f>
        <v>0</v>
      </c>
      <c r="G131" s="1891"/>
      <c r="H131" s="1188">
        <f>VLOOKUP(B131,REKAP_NILAI,4,FALSE)</f>
        <v>0</v>
      </c>
      <c r="I131" s="706">
        <f>F131+G131+H131</f>
        <v>0</v>
      </c>
      <c r="J131" s="707">
        <f>(F131+G131+H131)/4</f>
        <v>0</v>
      </c>
      <c r="K131" s="708" t="str">
        <f>IF(J131&gt;85,("4"),IF(J131&gt;80,("3.66"),IF(J131&gt;75,("3.33"),IF(J131&gt;70,("3.00"),IF(J131&gt;65,("2.66"),IF(J131&gt;60,("2.33"),IF(J131&gt;55,("2"),IF(J131&gt;50,("1.66"),"1.33"))))))))</f>
        <v>1.33</v>
      </c>
      <c r="L131" s="708" t="str">
        <f>IF(J131&gt;85,("A"),IF(J131&gt;80,("A-"),IF(J131&gt;75,("B+"),IF(J131&gt;70,("B"),IF(J131&gt;65,("B-"),IF(J131&gt;60,("C+"),IF(J131&gt;55,("C"),IF(J131&gt;50,("C-"),"D+"))))))))</f>
        <v>D+</v>
      </c>
      <c r="M131" s="887" t="str">
        <f>IF(J131&gt;80,("SB"),IF(J131&gt;65,("B"),IF(J131&gt;50,("C"),IF(J131&gt;0,("K"),"0"))))</f>
        <v>0</v>
      </c>
      <c r="N131" s="685"/>
      <c r="O131" s="360"/>
      <c r="P131" s="360"/>
      <c r="Q131" s="686"/>
      <c r="R131" s="686"/>
      <c r="S131" s="686"/>
      <c r="T131" s="1193">
        <f>J134</f>
        <v>0</v>
      </c>
      <c r="U131" s="1194" t="str">
        <f>IF(T131&gt;85,("A"),IF(T131&gt;80,("A-"),IF(T131&gt;75,("B+"),IF(T131&gt;70,("B"),IF(T131&gt;65,("B-"),IF(T131&gt;60,("C+"),IF(T131&gt;55,("C"),IF(T131&gt;50,("C-"),"D+"))))))))</f>
        <v>D+</v>
      </c>
    </row>
    <row r="132" spans="1:21" ht="24.95" customHeight="1" x14ac:dyDescent="0.25">
      <c r="A132" s="687"/>
      <c r="B132" s="683">
        <v>32</v>
      </c>
      <c r="C132" s="688"/>
      <c r="D132" s="1893" t="s">
        <v>7</v>
      </c>
      <c r="E132" s="627"/>
      <c r="F132" s="1905">
        <f t="shared" ref="F132:F133" si="186">E132*2</f>
        <v>0</v>
      </c>
      <c r="G132" s="1891"/>
      <c r="H132" s="1188">
        <f>VLOOKUP(B131,REKAP_NILAI,5,FALSE)</f>
        <v>0</v>
      </c>
      <c r="I132" s="709">
        <f t="shared" ref="I132:I133" si="187">F132+G132+H132</f>
        <v>0</v>
      </c>
      <c r="J132" s="710">
        <f t="shared" ref="J132:J133" si="188">(F132+G132+H132)/4</f>
        <v>0</v>
      </c>
      <c r="K132" s="711" t="str">
        <f t="shared" ref="K132:K134" si="189">IF(J132&gt;85,("4"),IF(J132&gt;80,("3.66"),IF(J132&gt;75,("3.33"),IF(J132&gt;70,("3.00"),IF(J132&gt;65,("2.66"),IF(J132&gt;60,("2.33"),IF(J132&gt;55,("2"),IF(J132&gt;50,("1.66"),"1.33"))))))))</f>
        <v>1.33</v>
      </c>
      <c r="L132" s="711" t="str">
        <f t="shared" ref="L132:L134" si="190">IF(J132&gt;85,("A"),IF(J132&gt;80,("A-"),IF(J132&gt;75,("B+"),IF(J132&gt;70,("B"),IF(J132&gt;65,("B-"),IF(J132&gt;60,("C+"),IF(J132&gt;55,("C"),IF(J132&gt;50,("C-"),"D+"))))))))</f>
        <v>D+</v>
      </c>
      <c r="M132" s="712" t="str">
        <f t="shared" ref="M132:M134" si="191">IF(J132&gt;80,("SB"),IF(J132&gt;65,("B"),IF(J132&gt;50,("C"),IF(J132&gt;0,("K"),"0"))))</f>
        <v>0</v>
      </c>
      <c r="N132" s="689"/>
      <c r="O132" s="690"/>
      <c r="P132" s="690"/>
      <c r="Q132" s="691"/>
      <c r="R132" s="691"/>
      <c r="S132" s="692"/>
      <c r="T132" s="1804"/>
      <c r="U132" s="1805"/>
    </row>
    <row r="133" spans="1:21" ht="24.95" customHeight="1" x14ac:dyDescent="0.25">
      <c r="A133" s="687"/>
      <c r="B133" s="683">
        <v>32</v>
      </c>
      <c r="C133" s="688"/>
      <c r="D133" s="1893" t="s">
        <v>10</v>
      </c>
      <c r="E133" s="627"/>
      <c r="F133" s="1905">
        <f t="shared" si="186"/>
        <v>0</v>
      </c>
      <c r="G133" s="1891"/>
      <c r="H133" s="1188">
        <f>VLOOKUP(B131,REKAP_NILAI,6,FALSE)</f>
        <v>0</v>
      </c>
      <c r="I133" s="709">
        <f t="shared" si="187"/>
        <v>0</v>
      </c>
      <c r="J133" s="710">
        <f t="shared" si="188"/>
        <v>0</v>
      </c>
      <c r="K133" s="711" t="str">
        <f t="shared" si="189"/>
        <v>1.33</v>
      </c>
      <c r="L133" s="711" t="str">
        <f t="shared" si="190"/>
        <v>D+</v>
      </c>
      <c r="M133" s="712" t="str">
        <f t="shared" si="191"/>
        <v>0</v>
      </c>
      <c r="N133" s="693"/>
      <c r="O133" s="694"/>
      <c r="P133" s="694"/>
      <c r="Q133" s="695"/>
      <c r="R133" s="695"/>
      <c r="S133" s="696"/>
      <c r="T133" s="1809"/>
      <c r="U133" s="1807"/>
    </row>
    <row r="134" spans="1:21" ht="24.95" customHeight="1" x14ac:dyDescent="0.25">
      <c r="A134" s="697"/>
      <c r="B134" s="698"/>
      <c r="C134" s="699" t="s">
        <v>149</v>
      </c>
      <c r="D134" s="700">
        <v>32</v>
      </c>
      <c r="E134" s="697"/>
      <c r="F134" s="1906"/>
      <c r="G134" s="697"/>
      <c r="H134" s="1189">
        <f>AVERAGE(H131:H133)</f>
        <v>0</v>
      </c>
      <c r="I134" s="705"/>
      <c r="J134" s="713">
        <f>AVERAGE(J131:J133)</f>
        <v>0</v>
      </c>
      <c r="K134" s="714" t="str">
        <f t="shared" si="189"/>
        <v>1.33</v>
      </c>
      <c r="L134" s="714" t="str">
        <f t="shared" si="190"/>
        <v>D+</v>
      </c>
      <c r="M134" s="888" t="str">
        <f t="shared" si="191"/>
        <v>0</v>
      </c>
      <c r="N134" s="701"/>
      <c r="O134" s="702"/>
      <c r="P134" s="702"/>
      <c r="Q134" s="702"/>
      <c r="R134" s="702"/>
      <c r="S134" s="703"/>
      <c r="T134" s="1808"/>
      <c r="U134" s="1195"/>
    </row>
    <row r="135" spans="1:21" ht="24.95" customHeight="1" x14ac:dyDescent="0.25">
      <c r="A135" s="360">
        <v>33</v>
      </c>
      <c r="B135" s="683">
        <v>33</v>
      </c>
      <c r="C135" s="684" t="e">
        <f>VLOOKUP(A135,data_siswa,4,FALSE)</f>
        <v>#N/A</v>
      </c>
      <c r="D135" s="1893" t="s">
        <v>12</v>
      </c>
      <c r="E135" s="627"/>
      <c r="F135" s="1904">
        <f>E135*2</f>
        <v>0</v>
      </c>
      <c r="G135" s="1891"/>
      <c r="H135" s="1188">
        <f>VLOOKUP(B135,REKAP_NILAI,4,FALSE)</f>
        <v>0</v>
      </c>
      <c r="I135" s="706">
        <f>F135+G135+H135</f>
        <v>0</v>
      </c>
      <c r="J135" s="707">
        <f>(F135+G135+H135)/4</f>
        <v>0</v>
      </c>
      <c r="K135" s="708" t="str">
        <f>IF(J135&gt;85,("4"),IF(J135&gt;80,("3.66"),IF(J135&gt;75,("3.33"),IF(J135&gt;70,("3.00"),IF(J135&gt;65,("2.66"),IF(J135&gt;60,("2.33"),IF(J135&gt;55,("2"),IF(J135&gt;50,("1.66"),"1.33"))))))))</f>
        <v>1.33</v>
      </c>
      <c r="L135" s="708" t="str">
        <f>IF(J135&gt;85,("A"),IF(J135&gt;80,("A-"),IF(J135&gt;75,("B+"),IF(J135&gt;70,("B"),IF(J135&gt;65,("B-"),IF(J135&gt;60,("C+"),IF(J135&gt;55,("C"),IF(J135&gt;50,("C-"),"D+"))))))))</f>
        <v>D+</v>
      </c>
      <c r="M135" s="887" t="str">
        <f>IF(J135&gt;80,("SB"),IF(J135&gt;65,("B"),IF(J135&gt;50,("C"),IF(J135&gt;0,("K"),"0"))))</f>
        <v>0</v>
      </c>
      <c r="N135" s="685"/>
      <c r="O135" s="360"/>
      <c r="P135" s="360"/>
      <c r="Q135" s="686"/>
      <c r="R135" s="686"/>
      <c r="S135" s="686"/>
      <c r="T135" s="1193">
        <f>J138</f>
        <v>0</v>
      </c>
      <c r="U135" s="1194" t="str">
        <f>IF(T135&gt;85,("A"),IF(T135&gt;80,("A-"),IF(T135&gt;75,("B+"),IF(T135&gt;70,("B"),IF(T135&gt;65,("B-"),IF(T135&gt;60,("C+"),IF(T135&gt;55,("C"),IF(T135&gt;50,("C-"),"D+"))))))))</f>
        <v>D+</v>
      </c>
    </row>
    <row r="136" spans="1:21" ht="24.95" customHeight="1" x14ac:dyDescent="0.25">
      <c r="A136" s="687"/>
      <c r="B136" s="683">
        <v>33</v>
      </c>
      <c r="C136" s="688"/>
      <c r="D136" s="1893" t="s">
        <v>7</v>
      </c>
      <c r="E136" s="627"/>
      <c r="F136" s="1905">
        <f t="shared" ref="F136:F137" si="192">E136*2</f>
        <v>0</v>
      </c>
      <c r="G136" s="1891"/>
      <c r="H136" s="1188">
        <f>VLOOKUP(B135,REKAP_NILAI,5,FALSE)</f>
        <v>0</v>
      </c>
      <c r="I136" s="709">
        <f t="shared" ref="I136:I137" si="193">F136+G136+H136</f>
        <v>0</v>
      </c>
      <c r="J136" s="710">
        <f t="shared" ref="J136:J137" si="194">(F136+G136+H136)/4</f>
        <v>0</v>
      </c>
      <c r="K136" s="711" t="str">
        <f t="shared" ref="K136:K138" si="195">IF(J136&gt;85,("4"),IF(J136&gt;80,("3.66"),IF(J136&gt;75,("3.33"),IF(J136&gt;70,("3.00"),IF(J136&gt;65,("2.66"),IF(J136&gt;60,("2.33"),IF(J136&gt;55,("2"),IF(J136&gt;50,("1.66"),"1.33"))))))))</f>
        <v>1.33</v>
      </c>
      <c r="L136" s="711" t="str">
        <f t="shared" ref="L136:L138" si="196">IF(J136&gt;85,("A"),IF(J136&gt;80,("A-"),IF(J136&gt;75,("B+"),IF(J136&gt;70,("B"),IF(J136&gt;65,("B-"),IF(J136&gt;60,("C+"),IF(J136&gt;55,("C"),IF(J136&gt;50,("C-"),"D+"))))))))</f>
        <v>D+</v>
      </c>
      <c r="M136" s="712" t="str">
        <f t="shared" ref="M136:M138" si="197">IF(J136&gt;80,("SB"),IF(J136&gt;65,("B"),IF(J136&gt;50,("C"),IF(J136&gt;0,("K"),"0"))))</f>
        <v>0</v>
      </c>
      <c r="N136" s="689"/>
      <c r="O136" s="690"/>
      <c r="P136" s="690"/>
      <c r="Q136" s="691"/>
      <c r="R136" s="691"/>
      <c r="S136" s="692"/>
      <c r="T136" s="1804"/>
      <c r="U136" s="1805"/>
    </row>
    <row r="137" spans="1:21" ht="24.95" customHeight="1" x14ac:dyDescent="0.25">
      <c r="A137" s="687"/>
      <c r="B137" s="683">
        <v>33</v>
      </c>
      <c r="C137" s="688"/>
      <c r="D137" s="1893" t="s">
        <v>10</v>
      </c>
      <c r="E137" s="627"/>
      <c r="F137" s="1905">
        <f t="shared" si="192"/>
        <v>0</v>
      </c>
      <c r="G137" s="1891"/>
      <c r="H137" s="1188">
        <f>VLOOKUP(B135,REKAP_NILAI,6,FALSE)</f>
        <v>0</v>
      </c>
      <c r="I137" s="709">
        <f t="shared" si="193"/>
        <v>0</v>
      </c>
      <c r="J137" s="710">
        <f t="shared" si="194"/>
        <v>0</v>
      </c>
      <c r="K137" s="711" t="str">
        <f t="shared" si="195"/>
        <v>1.33</v>
      </c>
      <c r="L137" s="711" t="str">
        <f t="shared" si="196"/>
        <v>D+</v>
      </c>
      <c r="M137" s="712" t="str">
        <f t="shared" si="197"/>
        <v>0</v>
      </c>
      <c r="N137" s="693"/>
      <c r="O137" s="694"/>
      <c r="P137" s="694"/>
      <c r="Q137" s="695"/>
      <c r="R137" s="695"/>
      <c r="S137" s="696"/>
      <c r="T137" s="1806"/>
      <c r="U137" s="1807"/>
    </row>
    <row r="138" spans="1:21" ht="24.95" customHeight="1" x14ac:dyDescent="0.25">
      <c r="A138" s="697"/>
      <c r="B138" s="698"/>
      <c r="C138" s="699" t="s">
        <v>149</v>
      </c>
      <c r="D138" s="700">
        <v>33</v>
      </c>
      <c r="E138" s="697"/>
      <c r="F138" s="1906"/>
      <c r="G138" s="697"/>
      <c r="H138" s="1189">
        <f>AVERAGE(H135:H137)</f>
        <v>0</v>
      </c>
      <c r="I138" s="705"/>
      <c r="J138" s="713">
        <f>AVERAGE(J135:J137)</f>
        <v>0</v>
      </c>
      <c r="K138" s="714" t="str">
        <f t="shared" si="195"/>
        <v>1.33</v>
      </c>
      <c r="L138" s="714" t="str">
        <f t="shared" si="196"/>
        <v>D+</v>
      </c>
      <c r="M138" s="888" t="str">
        <f t="shared" si="197"/>
        <v>0</v>
      </c>
      <c r="N138" s="701"/>
      <c r="O138" s="702"/>
      <c r="P138" s="702"/>
      <c r="Q138" s="702"/>
      <c r="R138" s="702"/>
      <c r="S138" s="703"/>
      <c r="T138" s="1808"/>
      <c r="U138" s="1195"/>
    </row>
    <row r="139" spans="1:21" ht="24.95" customHeight="1" x14ac:dyDescent="0.25">
      <c r="A139" s="360">
        <v>34</v>
      </c>
      <c r="B139" s="683">
        <v>34</v>
      </c>
      <c r="C139" s="684" t="e">
        <f>VLOOKUP(A139,data_siswa,4,FALSE)</f>
        <v>#N/A</v>
      </c>
      <c r="D139" s="1893" t="s">
        <v>12</v>
      </c>
      <c r="E139" s="627"/>
      <c r="F139" s="1904">
        <f>E139*2</f>
        <v>0</v>
      </c>
      <c r="G139" s="1891"/>
      <c r="H139" s="1188">
        <f>VLOOKUP(B139,REKAP_NILAI,4,FALSE)</f>
        <v>0</v>
      </c>
      <c r="I139" s="706">
        <f>F139+G139+H139</f>
        <v>0</v>
      </c>
      <c r="J139" s="707">
        <f>(F139+G139+H139)/4</f>
        <v>0</v>
      </c>
      <c r="K139" s="708" t="str">
        <f>IF(J139&gt;85,("4"),IF(J139&gt;80,("3.66"),IF(J139&gt;75,("3.33"),IF(J139&gt;70,("3.00"),IF(J139&gt;65,("2.66"),IF(J139&gt;60,("2.33"),IF(J139&gt;55,("2"),IF(J139&gt;50,("1.66"),"1.33"))))))))</f>
        <v>1.33</v>
      </c>
      <c r="L139" s="708" t="str">
        <f>IF(J139&gt;85,("A"),IF(J139&gt;80,("A-"),IF(J139&gt;75,("B+"),IF(J139&gt;70,("B"),IF(J139&gt;65,("B-"),IF(J139&gt;60,("C+"),IF(J139&gt;55,("C"),IF(J139&gt;50,("C-"),"D+"))))))))</f>
        <v>D+</v>
      </c>
      <c r="M139" s="887" t="str">
        <f>IF(J139&gt;80,("SB"),IF(J139&gt;65,("B"),IF(J139&gt;50,("C"),IF(J139&gt;0,("K"),"0"))))</f>
        <v>0</v>
      </c>
      <c r="N139" s="685"/>
      <c r="O139" s="360"/>
      <c r="P139" s="360"/>
      <c r="Q139" s="686"/>
      <c r="R139" s="686"/>
      <c r="S139" s="686"/>
      <c r="T139" s="1193">
        <f>J142</f>
        <v>0</v>
      </c>
      <c r="U139" s="1194" t="str">
        <f>IF(T139&gt;85,("A"),IF(T139&gt;80,("A-"),IF(T139&gt;75,("B+"),IF(T139&gt;70,("B"),IF(T139&gt;65,("B-"),IF(T139&gt;60,("C+"),IF(T139&gt;55,("C"),IF(T139&gt;50,("C-"),"D+"))))))))</f>
        <v>D+</v>
      </c>
    </row>
    <row r="140" spans="1:21" ht="24.95" customHeight="1" x14ac:dyDescent="0.25">
      <c r="A140" s="687"/>
      <c r="B140" s="683">
        <v>34</v>
      </c>
      <c r="C140" s="688"/>
      <c r="D140" s="1893" t="s">
        <v>7</v>
      </c>
      <c r="E140" s="627"/>
      <c r="F140" s="1905">
        <f t="shared" ref="F140:F141" si="198">E140*2</f>
        <v>0</v>
      </c>
      <c r="G140" s="1891"/>
      <c r="H140" s="1188">
        <f>VLOOKUP(B139,REKAP_NILAI,5,FALSE)</f>
        <v>0</v>
      </c>
      <c r="I140" s="709">
        <f t="shared" ref="I140:I141" si="199">F140+G140+H140</f>
        <v>0</v>
      </c>
      <c r="J140" s="710">
        <f t="shared" ref="J140:J141" si="200">(F140+G140+H140)/4</f>
        <v>0</v>
      </c>
      <c r="K140" s="711" t="str">
        <f t="shared" ref="K140:K142" si="201">IF(J140&gt;85,("4"),IF(J140&gt;80,("3.66"),IF(J140&gt;75,("3.33"),IF(J140&gt;70,("3.00"),IF(J140&gt;65,("2.66"),IF(J140&gt;60,("2.33"),IF(J140&gt;55,("2"),IF(J140&gt;50,("1.66"),"1.33"))))))))</f>
        <v>1.33</v>
      </c>
      <c r="L140" s="711" t="str">
        <f t="shared" ref="L140:L142" si="202">IF(J140&gt;85,("A"),IF(J140&gt;80,("A-"),IF(J140&gt;75,("B+"),IF(J140&gt;70,("B"),IF(J140&gt;65,("B-"),IF(J140&gt;60,("C+"),IF(J140&gt;55,("C"),IF(J140&gt;50,("C-"),"D+"))))))))</f>
        <v>D+</v>
      </c>
      <c r="M140" s="712" t="str">
        <f t="shared" ref="M140:M142" si="203">IF(J140&gt;80,("SB"),IF(J140&gt;65,("B"),IF(J140&gt;50,("C"),IF(J140&gt;0,("K"),"0"))))</f>
        <v>0</v>
      </c>
      <c r="N140" s="689"/>
      <c r="O140" s="690"/>
      <c r="P140" s="690"/>
      <c r="Q140" s="691"/>
      <c r="R140" s="691"/>
      <c r="S140" s="692"/>
      <c r="T140" s="1804"/>
      <c r="U140" s="1805"/>
    </row>
    <row r="141" spans="1:21" ht="24.95" customHeight="1" x14ac:dyDescent="0.25">
      <c r="A141" s="687"/>
      <c r="B141" s="683">
        <v>34</v>
      </c>
      <c r="C141" s="688"/>
      <c r="D141" s="1893" t="s">
        <v>10</v>
      </c>
      <c r="E141" s="627"/>
      <c r="F141" s="1905">
        <f t="shared" si="198"/>
        <v>0</v>
      </c>
      <c r="G141" s="1891"/>
      <c r="H141" s="1188">
        <f>VLOOKUP(B139,REKAP_NILAI,6,FALSE)</f>
        <v>0</v>
      </c>
      <c r="I141" s="709">
        <f t="shared" si="199"/>
        <v>0</v>
      </c>
      <c r="J141" s="710">
        <f t="shared" si="200"/>
        <v>0</v>
      </c>
      <c r="K141" s="711" t="str">
        <f t="shared" si="201"/>
        <v>1.33</v>
      </c>
      <c r="L141" s="711" t="str">
        <f t="shared" si="202"/>
        <v>D+</v>
      </c>
      <c r="M141" s="712" t="str">
        <f t="shared" si="203"/>
        <v>0</v>
      </c>
      <c r="N141" s="693"/>
      <c r="O141" s="694"/>
      <c r="P141" s="694"/>
      <c r="Q141" s="695"/>
      <c r="R141" s="695"/>
      <c r="S141" s="696"/>
      <c r="T141" s="1809"/>
      <c r="U141" s="1807"/>
    </row>
    <row r="142" spans="1:21" ht="24.95" customHeight="1" x14ac:dyDescent="0.25">
      <c r="A142" s="697"/>
      <c r="B142" s="698"/>
      <c r="C142" s="699" t="s">
        <v>149</v>
      </c>
      <c r="D142" s="700">
        <v>34</v>
      </c>
      <c r="E142" s="697"/>
      <c r="F142" s="1906"/>
      <c r="G142" s="697"/>
      <c r="H142" s="1189">
        <f>AVERAGE(H139:H141)</f>
        <v>0</v>
      </c>
      <c r="I142" s="705"/>
      <c r="J142" s="713">
        <f>AVERAGE(J139:J141)</f>
        <v>0</v>
      </c>
      <c r="K142" s="714" t="str">
        <f t="shared" si="201"/>
        <v>1.33</v>
      </c>
      <c r="L142" s="714" t="str">
        <f t="shared" si="202"/>
        <v>D+</v>
      </c>
      <c r="M142" s="888" t="str">
        <f t="shared" si="203"/>
        <v>0</v>
      </c>
      <c r="N142" s="701"/>
      <c r="O142" s="702"/>
      <c r="P142" s="702"/>
      <c r="Q142" s="702"/>
      <c r="R142" s="702"/>
      <c r="S142" s="703"/>
      <c r="T142" s="1808"/>
      <c r="U142" s="1195"/>
    </row>
    <row r="143" spans="1:21" ht="24.95" customHeight="1" x14ac:dyDescent="0.25">
      <c r="A143" s="360">
        <v>35</v>
      </c>
      <c r="B143" s="683">
        <v>35</v>
      </c>
      <c r="C143" s="684" t="e">
        <f>VLOOKUP(A143,data_siswa,4,FALSE)</f>
        <v>#N/A</v>
      </c>
      <c r="D143" s="1893" t="s">
        <v>12</v>
      </c>
      <c r="E143" s="627"/>
      <c r="F143" s="1904">
        <f>E143*2</f>
        <v>0</v>
      </c>
      <c r="G143" s="1891"/>
      <c r="H143" s="1188">
        <f>VLOOKUP(B143,REKAP_NILAI,4,FALSE)</f>
        <v>0</v>
      </c>
      <c r="I143" s="706">
        <f>F143+G143+H143</f>
        <v>0</v>
      </c>
      <c r="J143" s="707">
        <f>(F143+G143+H143)/4</f>
        <v>0</v>
      </c>
      <c r="K143" s="708" t="str">
        <f>IF(J143&gt;85,("4"),IF(J143&gt;80,("3.66"),IF(J143&gt;75,("3.33"),IF(J143&gt;70,("3.00"),IF(J143&gt;65,("2.66"),IF(J143&gt;60,("2.33"),IF(J143&gt;55,("2"),IF(J143&gt;50,("1.66"),"1.33"))))))))</f>
        <v>1.33</v>
      </c>
      <c r="L143" s="708" t="str">
        <f>IF(J143&gt;85,("A"),IF(J143&gt;80,("A-"),IF(J143&gt;75,("B+"),IF(J143&gt;70,("B"),IF(J143&gt;65,("B-"),IF(J143&gt;60,("C+"),IF(J143&gt;55,("C"),IF(J143&gt;50,("C-"),"D+"))))))))</f>
        <v>D+</v>
      </c>
      <c r="M143" s="887" t="str">
        <f>IF(J143&gt;80,("SB"),IF(J143&gt;65,("B"),IF(J143&gt;50,("C"),IF(J143&gt;0,("K"),"0"))))</f>
        <v>0</v>
      </c>
      <c r="N143" s="685"/>
      <c r="O143" s="360"/>
      <c r="P143" s="360"/>
      <c r="Q143" s="686"/>
      <c r="R143" s="686"/>
      <c r="S143" s="686"/>
      <c r="T143" s="1193">
        <f>J146</f>
        <v>0</v>
      </c>
      <c r="U143" s="1194" t="str">
        <f>IF(T143&gt;85,("A"),IF(T143&gt;80,("A-"),IF(T143&gt;75,("B+"),IF(T143&gt;70,("B"),IF(T143&gt;65,("B-"),IF(T143&gt;60,("C+"),IF(T143&gt;55,("C"),IF(T143&gt;50,("C-"),"D+"))))))))</f>
        <v>D+</v>
      </c>
    </row>
    <row r="144" spans="1:21" ht="24.95" customHeight="1" x14ac:dyDescent="0.25">
      <c r="A144" s="687"/>
      <c r="B144" s="683">
        <v>35</v>
      </c>
      <c r="C144" s="688"/>
      <c r="D144" s="1893" t="s">
        <v>7</v>
      </c>
      <c r="E144" s="627"/>
      <c r="F144" s="1905">
        <f t="shared" ref="F144:F145" si="204">E144*2</f>
        <v>0</v>
      </c>
      <c r="G144" s="1891"/>
      <c r="H144" s="1188">
        <f>VLOOKUP(B143,REKAP_NILAI,5,FALSE)</f>
        <v>0</v>
      </c>
      <c r="I144" s="709">
        <f t="shared" ref="I144:I145" si="205">F144+G144+H144</f>
        <v>0</v>
      </c>
      <c r="J144" s="710">
        <f t="shared" ref="J144:J145" si="206">(F144+G144+H144)/4</f>
        <v>0</v>
      </c>
      <c r="K144" s="711" t="str">
        <f t="shared" ref="K144:K146" si="207">IF(J144&gt;85,("4"),IF(J144&gt;80,("3.66"),IF(J144&gt;75,("3.33"),IF(J144&gt;70,("3.00"),IF(J144&gt;65,("2.66"),IF(J144&gt;60,("2.33"),IF(J144&gt;55,("2"),IF(J144&gt;50,("1.66"),"1.33"))))))))</f>
        <v>1.33</v>
      </c>
      <c r="L144" s="711" t="str">
        <f t="shared" ref="L144:L146" si="208">IF(J144&gt;85,("A"),IF(J144&gt;80,("A-"),IF(J144&gt;75,("B+"),IF(J144&gt;70,("B"),IF(J144&gt;65,("B-"),IF(J144&gt;60,("C+"),IF(J144&gt;55,("C"),IF(J144&gt;50,("C-"),"D+"))))))))</f>
        <v>D+</v>
      </c>
      <c r="M144" s="712" t="str">
        <f t="shared" ref="M144:M146" si="209">IF(J144&gt;80,("SB"),IF(J144&gt;65,("B"),IF(J144&gt;50,("C"),IF(J144&gt;0,("K"),"0"))))</f>
        <v>0</v>
      </c>
      <c r="N144" s="689"/>
      <c r="O144" s="690"/>
      <c r="P144" s="690"/>
      <c r="Q144" s="691"/>
      <c r="R144" s="691"/>
      <c r="S144" s="692"/>
      <c r="T144" s="1804"/>
      <c r="U144" s="1805"/>
    </row>
    <row r="145" spans="1:21" ht="24.95" customHeight="1" x14ac:dyDescent="0.25">
      <c r="A145" s="687"/>
      <c r="B145" s="683">
        <v>35</v>
      </c>
      <c r="C145" s="688"/>
      <c r="D145" s="1893" t="s">
        <v>10</v>
      </c>
      <c r="E145" s="627"/>
      <c r="F145" s="1905">
        <f t="shared" si="204"/>
        <v>0</v>
      </c>
      <c r="G145" s="1891"/>
      <c r="H145" s="1188">
        <f>VLOOKUP(B143,REKAP_NILAI,6,FALSE)</f>
        <v>0</v>
      </c>
      <c r="I145" s="709">
        <f t="shared" si="205"/>
        <v>0</v>
      </c>
      <c r="J145" s="710">
        <f t="shared" si="206"/>
        <v>0</v>
      </c>
      <c r="K145" s="711" t="str">
        <f t="shared" si="207"/>
        <v>1.33</v>
      </c>
      <c r="L145" s="711" t="str">
        <f t="shared" si="208"/>
        <v>D+</v>
      </c>
      <c r="M145" s="712" t="str">
        <f t="shared" si="209"/>
        <v>0</v>
      </c>
      <c r="N145" s="693"/>
      <c r="O145" s="694"/>
      <c r="P145" s="694"/>
      <c r="Q145" s="695"/>
      <c r="R145" s="695"/>
      <c r="S145" s="696"/>
      <c r="T145" s="1809"/>
      <c r="U145" s="1810"/>
    </row>
    <row r="146" spans="1:21" ht="24.95" customHeight="1" x14ac:dyDescent="0.25">
      <c r="A146" s="697"/>
      <c r="B146" s="698"/>
      <c r="C146" s="699" t="s">
        <v>149</v>
      </c>
      <c r="D146" s="700">
        <v>35</v>
      </c>
      <c r="E146" s="697"/>
      <c r="F146" s="1906"/>
      <c r="G146" s="697"/>
      <c r="H146" s="1189">
        <f>AVERAGE(H143:H145)</f>
        <v>0</v>
      </c>
      <c r="I146" s="705"/>
      <c r="J146" s="713">
        <f>AVERAGE(J143:J145)</f>
        <v>0</v>
      </c>
      <c r="K146" s="714" t="str">
        <f t="shared" si="207"/>
        <v>1.33</v>
      </c>
      <c r="L146" s="714" t="str">
        <f t="shared" si="208"/>
        <v>D+</v>
      </c>
      <c r="M146" s="888" t="str">
        <f t="shared" si="209"/>
        <v>0</v>
      </c>
      <c r="N146" s="701"/>
      <c r="O146" s="702"/>
      <c r="P146" s="702"/>
      <c r="Q146" s="702"/>
      <c r="R146" s="702"/>
      <c r="S146" s="703"/>
      <c r="T146" s="1808"/>
      <c r="U146" s="1195"/>
    </row>
    <row r="147" spans="1:21" ht="24.95" customHeight="1" x14ac:dyDescent="0.25">
      <c r="A147" s="360">
        <v>36</v>
      </c>
      <c r="B147" s="683">
        <v>36</v>
      </c>
      <c r="C147" s="684" t="e">
        <f>VLOOKUP(A147,data_siswa,4,FALSE)</f>
        <v>#N/A</v>
      </c>
      <c r="D147" s="1893" t="s">
        <v>12</v>
      </c>
      <c r="E147" s="627"/>
      <c r="F147" s="1904">
        <f>E147*2</f>
        <v>0</v>
      </c>
      <c r="G147" s="1891"/>
      <c r="H147" s="1188">
        <f>VLOOKUP(B147,REKAP_NILAI,4,FALSE)</f>
        <v>0</v>
      </c>
      <c r="I147" s="706">
        <f>F147+G147+H147</f>
        <v>0</v>
      </c>
      <c r="J147" s="707">
        <f>(F147+G147+H147)/4</f>
        <v>0</v>
      </c>
      <c r="K147" s="708" t="str">
        <f>IF(J147&gt;85,("4"),IF(J147&gt;80,("3.66"),IF(J147&gt;75,("3.33"),IF(J147&gt;70,("3.00"),IF(J147&gt;65,("2.66"),IF(J147&gt;60,("2.33"),IF(J147&gt;55,("2"),IF(J147&gt;50,("1.66"),"1.33"))))))))</f>
        <v>1.33</v>
      </c>
      <c r="L147" s="708" t="str">
        <f>IF(J147&gt;85,("A"),IF(J147&gt;80,("A-"),IF(J147&gt;75,("B+"),IF(J147&gt;70,("B"),IF(J147&gt;65,("B-"),IF(J147&gt;60,("C+"),IF(J147&gt;55,("C"),IF(J147&gt;50,("C-"),"D+"))))))))</f>
        <v>D+</v>
      </c>
      <c r="M147" s="887" t="str">
        <f>IF(J147&gt;80,("SB"),IF(J147&gt;65,("B"),IF(J147&gt;50,("C"),IF(J147&gt;0,("K"),"0"))))</f>
        <v>0</v>
      </c>
      <c r="N147" s="685"/>
      <c r="O147" s="360"/>
      <c r="P147" s="360"/>
      <c r="Q147" s="686"/>
      <c r="R147" s="686"/>
      <c r="S147" s="686"/>
      <c r="T147" s="1193">
        <f>J150</f>
        <v>0</v>
      </c>
      <c r="U147" s="1194" t="str">
        <f>IF(T147&gt;85,("A"),IF(T147&gt;80,("A-"),IF(T147&gt;75,("B+"),IF(T147&gt;70,("B"),IF(T147&gt;65,("B-"),IF(T147&gt;60,("C+"),IF(T147&gt;55,("C"),IF(T147&gt;50,("C-"),"D+"))))))))</f>
        <v>D+</v>
      </c>
    </row>
    <row r="148" spans="1:21" ht="24.95" customHeight="1" x14ac:dyDescent="0.25">
      <c r="A148" s="687"/>
      <c r="B148" s="683">
        <v>36</v>
      </c>
      <c r="C148" s="688"/>
      <c r="D148" s="1893" t="s">
        <v>7</v>
      </c>
      <c r="E148" s="627"/>
      <c r="F148" s="1905">
        <f t="shared" ref="F148:F149" si="210">E148*2</f>
        <v>0</v>
      </c>
      <c r="G148" s="1891"/>
      <c r="H148" s="1188">
        <f>VLOOKUP(B147,REKAP_NILAI,5,FALSE)</f>
        <v>0</v>
      </c>
      <c r="I148" s="709">
        <f t="shared" ref="I148:I149" si="211">F148+G148+H148</f>
        <v>0</v>
      </c>
      <c r="J148" s="710">
        <f t="shared" ref="J148:J149" si="212">(F148+G148+H148)/4</f>
        <v>0</v>
      </c>
      <c r="K148" s="711" t="str">
        <f t="shared" ref="K148:K150" si="213">IF(J148&gt;85,("4"),IF(J148&gt;80,("3.66"),IF(J148&gt;75,("3.33"),IF(J148&gt;70,("3.00"),IF(J148&gt;65,("2.66"),IF(J148&gt;60,("2.33"),IF(J148&gt;55,("2"),IF(J148&gt;50,("1.66"),"1.33"))))))))</f>
        <v>1.33</v>
      </c>
      <c r="L148" s="711" t="str">
        <f t="shared" ref="L148:L150" si="214">IF(J148&gt;85,("A"),IF(J148&gt;80,("A-"),IF(J148&gt;75,("B+"),IF(J148&gt;70,("B"),IF(J148&gt;65,("B-"),IF(J148&gt;60,("C+"),IF(J148&gt;55,("C"),IF(J148&gt;50,("C-"),"D+"))))))))</f>
        <v>D+</v>
      </c>
      <c r="M148" s="712" t="str">
        <f t="shared" ref="M148:M150" si="215">IF(J148&gt;80,("SB"),IF(J148&gt;65,("B"),IF(J148&gt;50,("C"),IF(J148&gt;0,("K"),"0"))))</f>
        <v>0</v>
      </c>
      <c r="N148" s="689"/>
      <c r="O148" s="690"/>
      <c r="P148" s="690"/>
      <c r="Q148" s="691"/>
      <c r="R148" s="691"/>
      <c r="S148" s="692"/>
      <c r="T148" s="1804"/>
      <c r="U148" s="1805"/>
    </row>
    <row r="149" spans="1:21" ht="24.95" customHeight="1" x14ac:dyDescent="0.25">
      <c r="A149" s="687"/>
      <c r="B149" s="683">
        <v>36</v>
      </c>
      <c r="C149" s="688"/>
      <c r="D149" s="1893" t="s">
        <v>10</v>
      </c>
      <c r="E149" s="627"/>
      <c r="F149" s="1905">
        <f t="shared" si="210"/>
        <v>0</v>
      </c>
      <c r="G149" s="1891"/>
      <c r="H149" s="1188">
        <f>VLOOKUP(B147,REKAP_NILAI,6,FALSE)</f>
        <v>0</v>
      </c>
      <c r="I149" s="709">
        <f t="shared" si="211"/>
        <v>0</v>
      </c>
      <c r="J149" s="710">
        <f t="shared" si="212"/>
        <v>0</v>
      </c>
      <c r="K149" s="711" t="str">
        <f t="shared" si="213"/>
        <v>1.33</v>
      </c>
      <c r="L149" s="711" t="str">
        <f t="shared" si="214"/>
        <v>D+</v>
      </c>
      <c r="M149" s="712" t="str">
        <f t="shared" si="215"/>
        <v>0</v>
      </c>
      <c r="N149" s="693"/>
      <c r="O149" s="694"/>
      <c r="P149" s="694"/>
      <c r="Q149" s="695"/>
      <c r="R149" s="695"/>
      <c r="S149" s="696"/>
      <c r="T149" s="1806"/>
      <c r="U149" s="1807"/>
    </row>
    <row r="150" spans="1:21" ht="24.95" customHeight="1" x14ac:dyDescent="0.25">
      <c r="A150" s="697"/>
      <c r="B150" s="698"/>
      <c r="C150" s="699" t="s">
        <v>149</v>
      </c>
      <c r="D150" s="700">
        <v>36</v>
      </c>
      <c r="E150" s="697"/>
      <c r="F150" s="1906"/>
      <c r="G150" s="697"/>
      <c r="H150" s="1189">
        <f>AVERAGE(H147:H149)</f>
        <v>0</v>
      </c>
      <c r="I150" s="705"/>
      <c r="J150" s="713">
        <f>AVERAGE(J147:J149)</f>
        <v>0</v>
      </c>
      <c r="K150" s="714" t="str">
        <f t="shared" si="213"/>
        <v>1.33</v>
      </c>
      <c r="L150" s="714" t="str">
        <f t="shared" si="214"/>
        <v>D+</v>
      </c>
      <c r="M150" s="888" t="str">
        <f t="shared" si="215"/>
        <v>0</v>
      </c>
      <c r="N150" s="701"/>
      <c r="O150" s="702"/>
      <c r="P150" s="702"/>
      <c r="Q150" s="702"/>
      <c r="R150" s="702"/>
      <c r="S150" s="703"/>
      <c r="T150" s="1808"/>
      <c r="U150" s="1195"/>
    </row>
    <row r="151" spans="1:21" ht="24.95" customHeight="1" x14ac:dyDescent="0.25">
      <c r="A151" s="360">
        <v>37</v>
      </c>
      <c r="B151" s="683">
        <v>37</v>
      </c>
      <c r="C151" s="684" t="e">
        <f>VLOOKUP(A151,data_siswa,4,FALSE)</f>
        <v>#N/A</v>
      </c>
      <c r="D151" s="1893" t="s">
        <v>12</v>
      </c>
      <c r="E151" s="627"/>
      <c r="F151" s="1904">
        <f>E151*2</f>
        <v>0</v>
      </c>
      <c r="G151" s="1891"/>
      <c r="H151" s="1188">
        <f>VLOOKUP(B151,REKAP_NILAI,4,FALSE)</f>
        <v>0</v>
      </c>
      <c r="I151" s="706">
        <f>F151+G151+H151</f>
        <v>0</v>
      </c>
      <c r="J151" s="707">
        <f>(F151+G151+H151)/4</f>
        <v>0</v>
      </c>
      <c r="K151" s="708" t="str">
        <f>IF(J151&gt;85,("4"),IF(J151&gt;80,("3.66"),IF(J151&gt;75,("3.33"),IF(J151&gt;70,("3.00"),IF(J151&gt;65,("2.66"),IF(J151&gt;60,("2.33"),IF(J151&gt;55,("2"),IF(J151&gt;50,("1.66"),"1.33"))))))))</f>
        <v>1.33</v>
      </c>
      <c r="L151" s="708" t="str">
        <f>IF(J151&gt;85,("A"),IF(J151&gt;80,("A-"),IF(J151&gt;75,("B+"),IF(J151&gt;70,("B"),IF(J151&gt;65,("B-"),IF(J151&gt;60,("C+"),IF(J151&gt;55,("C"),IF(J151&gt;50,("C-"),"D+"))))))))</f>
        <v>D+</v>
      </c>
      <c r="M151" s="887" t="str">
        <f>IF(J151&gt;80,("SB"),IF(J151&gt;65,("B"),IF(J151&gt;50,("C"),IF(J151&gt;0,("K"),"0"))))</f>
        <v>0</v>
      </c>
      <c r="N151" s="685"/>
      <c r="O151" s="360"/>
      <c r="P151" s="360"/>
      <c r="Q151" s="686"/>
      <c r="R151" s="686"/>
      <c r="S151" s="686"/>
      <c r="T151" s="1193">
        <f>J154</f>
        <v>0</v>
      </c>
      <c r="U151" s="1194" t="str">
        <f>IF(T151&gt;85,("A"),IF(T151&gt;80,("A-"),IF(T151&gt;75,("B+"),IF(T151&gt;70,("B"),IF(T151&gt;65,("B-"),IF(T151&gt;60,("C+"),IF(T151&gt;55,("C"),IF(T151&gt;50,("C-"),"D+"))))))))</f>
        <v>D+</v>
      </c>
    </row>
    <row r="152" spans="1:21" ht="24.95" customHeight="1" x14ac:dyDescent="0.25">
      <c r="A152" s="687"/>
      <c r="B152" s="683">
        <v>37</v>
      </c>
      <c r="C152" s="688"/>
      <c r="D152" s="1893" t="s">
        <v>7</v>
      </c>
      <c r="E152" s="627"/>
      <c r="F152" s="1905">
        <f t="shared" ref="F152:F153" si="216">E152*2</f>
        <v>0</v>
      </c>
      <c r="G152" s="1891"/>
      <c r="H152" s="1188">
        <f>VLOOKUP(B151,REKAP_NILAI,5,FALSE)</f>
        <v>0</v>
      </c>
      <c r="I152" s="709">
        <f t="shared" ref="I152:I153" si="217">F152+G152+H152</f>
        <v>0</v>
      </c>
      <c r="J152" s="710">
        <f t="shared" ref="J152:J153" si="218">(F152+G152+H152)/4</f>
        <v>0</v>
      </c>
      <c r="K152" s="711" t="str">
        <f t="shared" ref="K152:K154" si="219">IF(J152&gt;85,("4"),IF(J152&gt;80,("3.66"),IF(J152&gt;75,("3.33"),IF(J152&gt;70,("3.00"),IF(J152&gt;65,("2.66"),IF(J152&gt;60,("2.33"),IF(J152&gt;55,("2"),IF(J152&gt;50,("1.66"),"1.33"))))))))</f>
        <v>1.33</v>
      </c>
      <c r="L152" s="711" t="str">
        <f t="shared" ref="L152:L154" si="220">IF(J152&gt;85,("A"),IF(J152&gt;80,("A-"),IF(J152&gt;75,("B+"),IF(J152&gt;70,("B"),IF(J152&gt;65,("B-"),IF(J152&gt;60,("C+"),IF(J152&gt;55,("C"),IF(J152&gt;50,("C-"),"D+"))))))))</f>
        <v>D+</v>
      </c>
      <c r="M152" s="712" t="str">
        <f t="shared" ref="M152:M154" si="221">IF(J152&gt;80,("SB"),IF(J152&gt;65,("B"),IF(J152&gt;50,("C"),IF(J152&gt;0,("K"),"0"))))</f>
        <v>0</v>
      </c>
      <c r="N152" s="689"/>
      <c r="O152" s="690"/>
      <c r="P152" s="690"/>
      <c r="Q152" s="691"/>
      <c r="R152" s="691"/>
      <c r="S152" s="692"/>
      <c r="T152" s="1804"/>
      <c r="U152" s="1805"/>
    </row>
    <row r="153" spans="1:21" ht="24.95" customHeight="1" x14ac:dyDescent="0.25">
      <c r="A153" s="687"/>
      <c r="B153" s="683">
        <v>37</v>
      </c>
      <c r="C153" s="688"/>
      <c r="D153" s="1893" t="s">
        <v>10</v>
      </c>
      <c r="E153" s="627"/>
      <c r="F153" s="1905">
        <f t="shared" si="216"/>
        <v>0</v>
      </c>
      <c r="G153" s="1891"/>
      <c r="H153" s="1188">
        <f>VLOOKUP(B151,REKAP_NILAI,6,FALSE)</f>
        <v>0</v>
      </c>
      <c r="I153" s="709">
        <f t="shared" si="217"/>
        <v>0</v>
      </c>
      <c r="J153" s="710">
        <f t="shared" si="218"/>
        <v>0</v>
      </c>
      <c r="K153" s="711" t="str">
        <f t="shared" si="219"/>
        <v>1.33</v>
      </c>
      <c r="L153" s="711" t="str">
        <f t="shared" si="220"/>
        <v>D+</v>
      </c>
      <c r="M153" s="712" t="str">
        <f t="shared" si="221"/>
        <v>0</v>
      </c>
      <c r="N153" s="693"/>
      <c r="O153" s="694"/>
      <c r="P153" s="694"/>
      <c r="Q153" s="695"/>
      <c r="R153" s="695"/>
      <c r="S153" s="696"/>
      <c r="T153" s="1809"/>
      <c r="U153" s="1807"/>
    </row>
    <row r="154" spans="1:21" ht="24.95" customHeight="1" x14ac:dyDescent="0.25">
      <c r="A154" s="697"/>
      <c r="B154" s="698"/>
      <c r="C154" s="699" t="s">
        <v>149</v>
      </c>
      <c r="D154" s="700">
        <v>37</v>
      </c>
      <c r="E154" s="697"/>
      <c r="F154" s="1906"/>
      <c r="G154" s="697"/>
      <c r="H154" s="1189">
        <f>AVERAGE(H151:H153)</f>
        <v>0</v>
      </c>
      <c r="I154" s="705"/>
      <c r="J154" s="713">
        <f>AVERAGE(J151:J153)</f>
        <v>0</v>
      </c>
      <c r="K154" s="714" t="str">
        <f t="shared" si="219"/>
        <v>1.33</v>
      </c>
      <c r="L154" s="714" t="str">
        <f t="shared" si="220"/>
        <v>D+</v>
      </c>
      <c r="M154" s="888" t="str">
        <f t="shared" si="221"/>
        <v>0</v>
      </c>
      <c r="N154" s="701"/>
      <c r="O154" s="702"/>
      <c r="P154" s="702"/>
      <c r="Q154" s="702"/>
      <c r="R154" s="702"/>
      <c r="S154" s="703"/>
      <c r="T154" s="1808"/>
      <c r="U154" s="1195"/>
    </row>
    <row r="155" spans="1:21" ht="24.95" customHeight="1" x14ac:dyDescent="0.25">
      <c r="A155" s="360">
        <v>38</v>
      </c>
      <c r="B155" s="683">
        <v>38</v>
      </c>
      <c r="C155" s="684" t="e">
        <f>VLOOKUP(A155,data_siswa,4,FALSE)</f>
        <v>#N/A</v>
      </c>
      <c r="D155" s="1893" t="s">
        <v>12</v>
      </c>
      <c r="E155" s="627"/>
      <c r="F155" s="1904">
        <f>E155*2</f>
        <v>0</v>
      </c>
      <c r="G155" s="1891"/>
      <c r="H155" s="1188">
        <f>VLOOKUP(B155,REKAP_NILAI,4,FALSE)</f>
        <v>0</v>
      </c>
      <c r="I155" s="706">
        <f>F155+G155+H155</f>
        <v>0</v>
      </c>
      <c r="J155" s="707">
        <f>(F155+G155+H155)/4</f>
        <v>0</v>
      </c>
      <c r="K155" s="708" t="str">
        <f>IF(J155&gt;85,("4"),IF(J155&gt;80,("3.66"),IF(J155&gt;75,("3.33"),IF(J155&gt;70,("3.00"),IF(J155&gt;65,("2.66"),IF(J155&gt;60,("2.33"),IF(J155&gt;55,("2"),IF(J155&gt;50,("1.66"),"1.33"))))))))</f>
        <v>1.33</v>
      </c>
      <c r="L155" s="708" t="str">
        <f>IF(J155&gt;85,("A"),IF(J155&gt;80,("A-"),IF(J155&gt;75,("B+"),IF(J155&gt;70,("B"),IF(J155&gt;65,("B-"),IF(J155&gt;60,("C+"),IF(J155&gt;55,("C"),IF(J155&gt;50,("C-"),"D+"))))))))</f>
        <v>D+</v>
      </c>
      <c r="M155" s="887" t="str">
        <f>IF(J155&gt;80,("SB"),IF(J155&gt;65,("B"),IF(J155&gt;50,("C"),IF(J155&gt;0,("K"),"0"))))</f>
        <v>0</v>
      </c>
      <c r="N155" s="685"/>
      <c r="O155" s="360"/>
      <c r="P155" s="360"/>
      <c r="Q155" s="686"/>
      <c r="R155" s="686"/>
      <c r="S155" s="686"/>
      <c r="T155" s="1193">
        <f>J158</f>
        <v>0</v>
      </c>
      <c r="U155" s="1194" t="str">
        <f>IF(T155&gt;85,("A"),IF(T155&gt;80,("A-"),IF(T155&gt;75,("B+"),IF(T155&gt;70,("B"),IF(T155&gt;65,("B-"),IF(T155&gt;60,("C+"),IF(T155&gt;55,("C"),IF(T155&gt;50,("C-"),"D+"))))))))</f>
        <v>D+</v>
      </c>
    </row>
    <row r="156" spans="1:21" ht="24.95" customHeight="1" x14ac:dyDescent="0.25">
      <c r="A156" s="687"/>
      <c r="B156" s="683">
        <v>38</v>
      </c>
      <c r="C156" s="688"/>
      <c r="D156" s="1893" t="s">
        <v>7</v>
      </c>
      <c r="E156" s="627"/>
      <c r="F156" s="1905">
        <f t="shared" ref="F156:F157" si="222">E156*2</f>
        <v>0</v>
      </c>
      <c r="G156" s="1891"/>
      <c r="H156" s="1188">
        <f>VLOOKUP(B155,REKAP_NILAI,5,FALSE)</f>
        <v>0</v>
      </c>
      <c r="I156" s="709">
        <f t="shared" ref="I156:I157" si="223">F156+G156+H156</f>
        <v>0</v>
      </c>
      <c r="J156" s="710">
        <f t="shared" ref="J156:J157" si="224">(F156+G156+H156)/4</f>
        <v>0</v>
      </c>
      <c r="K156" s="711" t="str">
        <f t="shared" ref="K156:K158" si="225">IF(J156&gt;85,("4"),IF(J156&gt;80,("3.66"),IF(J156&gt;75,("3.33"),IF(J156&gt;70,("3.00"),IF(J156&gt;65,("2.66"),IF(J156&gt;60,("2.33"),IF(J156&gt;55,("2"),IF(J156&gt;50,("1.66"),"1.33"))))))))</f>
        <v>1.33</v>
      </c>
      <c r="L156" s="711" t="str">
        <f t="shared" ref="L156:L158" si="226">IF(J156&gt;85,("A"),IF(J156&gt;80,("A-"),IF(J156&gt;75,("B+"),IF(J156&gt;70,("B"),IF(J156&gt;65,("B-"),IF(J156&gt;60,("C+"),IF(J156&gt;55,("C"),IF(J156&gt;50,("C-"),"D+"))))))))</f>
        <v>D+</v>
      </c>
      <c r="M156" s="712" t="str">
        <f t="shared" ref="M156:M158" si="227">IF(J156&gt;80,("SB"),IF(J156&gt;65,("B"),IF(J156&gt;50,("C"),IF(J156&gt;0,("K"),"0"))))</f>
        <v>0</v>
      </c>
      <c r="N156" s="689"/>
      <c r="O156" s="690"/>
      <c r="P156" s="690"/>
      <c r="Q156" s="691"/>
      <c r="R156" s="691"/>
      <c r="S156" s="692"/>
      <c r="T156" s="1804"/>
      <c r="U156" s="1805"/>
    </row>
    <row r="157" spans="1:21" ht="24.95" customHeight="1" x14ac:dyDescent="0.25">
      <c r="A157" s="687"/>
      <c r="B157" s="683">
        <v>38</v>
      </c>
      <c r="C157" s="688"/>
      <c r="D157" s="1893" t="s">
        <v>10</v>
      </c>
      <c r="E157" s="627"/>
      <c r="F157" s="1905">
        <f t="shared" si="222"/>
        <v>0</v>
      </c>
      <c r="G157" s="1891"/>
      <c r="H157" s="1188">
        <f>VLOOKUP(B155,REKAP_NILAI,6,FALSE)</f>
        <v>0</v>
      </c>
      <c r="I157" s="709">
        <f t="shared" si="223"/>
        <v>0</v>
      </c>
      <c r="J157" s="710">
        <f t="shared" si="224"/>
        <v>0</v>
      </c>
      <c r="K157" s="711" t="str">
        <f t="shared" si="225"/>
        <v>1.33</v>
      </c>
      <c r="L157" s="711" t="str">
        <f t="shared" si="226"/>
        <v>D+</v>
      </c>
      <c r="M157" s="712" t="str">
        <f t="shared" si="227"/>
        <v>0</v>
      </c>
      <c r="N157" s="693"/>
      <c r="O157" s="694"/>
      <c r="P157" s="694"/>
      <c r="Q157" s="695"/>
      <c r="R157" s="695"/>
      <c r="S157" s="696"/>
      <c r="T157" s="1806"/>
      <c r="U157" s="1807"/>
    </row>
    <row r="158" spans="1:21" ht="24.95" customHeight="1" x14ac:dyDescent="0.25">
      <c r="A158" s="697"/>
      <c r="B158" s="698"/>
      <c r="C158" s="699" t="s">
        <v>149</v>
      </c>
      <c r="D158" s="700">
        <v>38</v>
      </c>
      <c r="E158" s="697"/>
      <c r="F158" s="1906"/>
      <c r="G158" s="697"/>
      <c r="H158" s="1189">
        <f>AVERAGE(H155:H157)</f>
        <v>0</v>
      </c>
      <c r="I158" s="705"/>
      <c r="J158" s="713">
        <f>AVERAGE(J155:J157)</f>
        <v>0</v>
      </c>
      <c r="K158" s="714" t="str">
        <f t="shared" si="225"/>
        <v>1.33</v>
      </c>
      <c r="L158" s="714" t="str">
        <f t="shared" si="226"/>
        <v>D+</v>
      </c>
      <c r="M158" s="888" t="str">
        <f t="shared" si="227"/>
        <v>0</v>
      </c>
      <c r="N158" s="701"/>
      <c r="O158" s="702"/>
      <c r="P158" s="702"/>
      <c r="Q158" s="702"/>
      <c r="R158" s="702"/>
      <c r="S158" s="703"/>
      <c r="T158" s="1808"/>
      <c r="U158" s="1195"/>
    </row>
    <row r="159" spans="1:21" ht="24.95" customHeight="1" x14ac:dyDescent="0.25">
      <c r="A159" s="360">
        <v>39</v>
      </c>
      <c r="B159" s="683">
        <v>39</v>
      </c>
      <c r="C159" s="684" t="e">
        <f>VLOOKUP(A159,data_siswa,4,FALSE)</f>
        <v>#N/A</v>
      </c>
      <c r="D159" s="1893" t="s">
        <v>12</v>
      </c>
      <c r="E159" s="627"/>
      <c r="F159" s="1904">
        <f>E159*2</f>
        <v>0</v>
      </c>
      <c r="G159" s="1891"/>
      <c r="H159" s="1188">
        <f>VLOOKUP(B159,REKAP_NILAI,4,FALSE)</f>
        <v>0</v>
      </c>
      <c r="I159" s="706">
        <f>F159+G159+H159</f>
        <v>0</v>
      </c>
      <c r="J159" s="707">
        <f>(F159+G159+H159)/4</f>
        <v>0</v>
      </c>
      <c r="K159" s="708" t="str">
        <f>IF(J159&gt;85,("4"),IF(J159&gt;80,("3.66"),IF(J159&gt;75,("3.33"),IF(J159&gt;70,("3.00"),IF(J159&gt;65,("2.66"),IF(J159&gt;60,("2.33"),IF(J159&gt;55,("2"),IF(J159&gt;50,("1.66"),"1.33"))))))))</f>
        <v>1.33</v>
      </c>
      <c r="L159" s="708" t="str">
        <f>IF(J159&gt;85,("A"),IF(J159&gt;80,("A-"),IF(J159&gt;75,("B+"),IF(J159&gt;70,("B"),IF(J159&gt;65,("B-"),IF(J159&gt;60,("C+"),IF(J159&gt;55,("C"),IF(J159&gt;50,("C-"),"D+"))))))))</f>
        <v>D+</v>
      </c>
      <c r="M159" s="887" t="str">
        <f>IF(J159&gt;80,("SB"),IF(J159&gt;65,("B"),IF(J159&gt;50,("C"),IF(J159&gt;0,("K"),"0"))))</f>
        <v>0</v>
      </c>
      <c r="N159" s="685"/>
      <c r="O159" s="360"/>
      <c r="P159" s="360"/>
      <c r="Q159" s="686"/>
      <c r="R159" s="686"/>
      <c r="S159" s="686"/>
      <c r="T159" s="1193">
        <f>J162</f>
        <v>0</v>
      </c>
      <c r="U159" s="1194" t="str">
        <f>IF(T159&gt;85,("A"),IF(T159&gt;80,("A-"),IF(T159&gt;75,("B+"),IF(T159&gt;70,("B"),IF(T159&gt;65,("B-"),IF(T159&gt;60,("C+"),IF(T159&gt;55,("C"),IF(T159&gt;50,("C-"),"D+"))))))))</f>
        <v>D+</v>
      </c>
    </row>
    <row r="160" spans="1:21" ht="24.95" customHeight="1" x14ac:dyDescent="0.25">
      <c r="A160" s="687"/>
      <c r="B160" s="683">
        <v>39</v>
      </c>
      <c r="C160" s="688"/>
      <c r="D160" s="1893" t="s">
        <v>7</v>
      </c>
      <c r="E160" s="627"/>
      <c r="F160" s="1905">
        <f t="shared" ref="F160:F161" si="228">E160*2</f>
        <v>0</v>
      </c>
      <c r="G160" s="1891"/>
      <c r="H160" s="1188">
        <f>VLOOKUP(B159,REKAP_NILAI,5,FALSE)</f>
        <v>0</v>
      </c>
      <c r="I160" s="709">
        <f t="shared" ref="I160:I161" si="229">F160+G160+H160</f>
        <v>0</v>
      </c>
      <c r="J160" s="710">
        <f t="shared" ref="J160:J161" si="230">(F160+G160+H160)/4</f>
        <v>0</v>
      </c>
      <c r="K160" s="711" t="str">
        <f t="shared" ref="K160:K162" si="231">IF(J160&gt;85,("4"),IF(J160&gt;80,("3.66"),IF(J160&gt;75,("3.33"),IF(J160&gt;70,("3.00"),IF(J160&gt;65,("2.66"),IF(J160&gt;60,("2.33"),IF(J160&gt;55,("2"),IF(J160&gt;50,("1.66"),"1.33"))))))))</f>
        <v>1.33</v>
      </c>
      <c r="L160" s="711" t="str">
        <f t="shared" ref="L160:L162" si="232">IF(J160&gt;85,("A"),IF(J160&gt;80,("A-"),IF(J160&gt;75,("B+"),IF(J160&gt;70,("B"),IF(J160&gt;65,("B-"),IF(J160&gt;60,("C+"),IF(J160&gt;55,("C"),IF(J160&gt;50,("C-"),"D+"))))))))</f>
        <v>D+</v>
      </c>
      <c r="M160" s="712" t="str">
        <f t="shared" ref="M160:M162" si="233">IF(J160&gt;80,("SB"),IF(J160&gt;65,("B"),IF(J160&gt;50,("C"),IF(J160&gt;0,("K"),"0"))))</f>
        <v>0</v>
      </c>
      <c r="N160" s="689"/>
      <c r="O160" s="690"/>
      <c r="P160" s="690"/>
      <c r="Q160" s="691"/>
      <c r="R160" s="691"/>
      <c r="S160" s="692"/>
      <c r="T160" s="1804"/>
      <c r="U160" s="1805"/>
    </row>
    <row r="161" spans="1:21" ht="24.95" customHeight="1" x14ac:dyDescent="0.25">
      <c r="A161" s="687"/>
      <c r="B161" s="683">
        <v>39</v>
      </c>
      <c r="C161" s="688"/>
      <c r="D161" s="1893" t="s">
        <v>10</v>
      </c>
      <c r="E161" s="627"/>
      <c r="F161" s="1905">
        <f t="shared" si="228"/>
        <v>0</v>
      </c>
      <c r="G161" s="1891"/>
      <c r="H161" s="1188">
        <f>VLOOKUP(B159,REKAP_NILAI,6,FALSE)</f>
        <v>0</v>
      </c>
      <c r="I161" s="709">
        <f t="shared" si="229"/>
        <v>0</v>
      </c>
      <c r="J161" s="710">
        <f t="shared" si="230"/>
        <v>0</v>
      </c>
      <c r="K161" s="711" t="str">
        <f t="shared" si="231"/>
        <v>1.33</v>
      </c>
      <c r="L161" s="711" t="str">
        <f t="shared" si="232"/>
        <v>D+</v>
      </c>
      <c r="M161" s="712" t="str">
        <f t="shared" si="233"/>
        <v>0</v>
      </c>
      <c r="N161" s="693"/>
      <c r="O161" s="694"/>
      <c r="P161" s="694"/>
      <c r="Q161" s="695"/>
      <c r="R161" s="695"/>
      <c r="S161" s="696"/>
      <c r="T161" s="1809"/>
      <c r="U161" s="1807"/>
    </row>
    <row r="162" spans="1:21" ht="24.95" customHeight="1" x14ac:dyDescent="0.25">
      <c r="A162" s="697"/>
      <c r="B162" s="698"/>
      <c r="C162" s="699" t="s">
        <v>149</v>
      </c>
      <c r="D162" s="700">
        <v>39</v>
      </c>
      <c r="E162" s="697"/>
      <c r="F162" s="1906"/>
      <c r="G162" s="697"/>
      <c r="H162" s="1189">
        <f>AVERAGE(H159:H161)</f>
        <v>0</v>
      </c>
      <c r="I162" s="705"/>
      <c r="J162" s="713">
        <f>AVERAGE(J159:J161)</f>
        <v>0</v>
      </c>
      <c r="K162" s="714" t="str">
        <f t="shared" si="231"/>
        <v>1.33</v>
      </c>
      <c r="L162" s="714" t="str">
        <f t="shared" si="232"/>
        <v>D+</v>
      </c>
      <c r="M162" s="888" t="str">
        <f t="shared" si="233"/>
        <v>0</v>
      </c>
      <c r="N162" s="701"/>
      <c r="O162" s="702"/>
      <c r="P162" s="702"/>
      <c r="Q162" s="702"/>
      <c r="R162" s="702"/>
      <c r="S162" s="703"/>
      <c r="T162" s="1808"/>
      <c r="U162" s="1195"/>
    </row>
    <row r="163" spans="1:21" ht="24.95" customHeight="1" x14ac:dyDescent="0.25">
      <c r="A163" s="360">
        <v>40</v>
      </c>
      <c r="B163" s="683">
        <v>40</v>
      </c>
      <c r="C163" s="684" t="e">
        <f>VLOOKUP(A163,data_siswa,4,FALSE)</f>
        <v>#N/A</v>
      </c>
      <c r="D163" s="1893" t="s">
        <v>12</v>
      </c>
      <c r="E163" s="627"/>
      <c r="F163" s="1904">
        <f>E163*2</f>
        <v>0</v>
      </c>
      <c r="G163" s="1891"/>
      <c r="H163" s="1188">
        <f>VLOOKUP(B163,REKAP_NILAI,4,FALSE)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887" t="str">
        <f>IF(J163&gt;80,("SB"),IF(J163&gt;65,("B"),IF(J163&gt;50,("C"),IF(J163&gt;0,("K"),"0"))))</f>
        <v>0</v>
      </c>
      <c r="N163" s="685"/>
      <c r="O163" s="360"/>
      <c r="P163" s="360"/>
      <c r="Q163" s="686"/>
      <c r="R163" s="686"/>
      <c r="S163" s="686"/>
      <c r="T163" s="1193">
        <f>J166</f>
        <v>0</v>
      </c>
      <c r="U163" s="1194" t="str">
        <f>IF(T163&gt;85,("A"),IF(T163&gt;80,("A-"),IF(T163&gt;75,("B+"),IF(T163&gt;70,("B"),IF(T163&gt;65,("B-"),IF(T163&gt;60,("C+"),IF(T163&gt;55,("C"),IF(T163&gt;50,("C-"),"D+"))))))))</f>
        <v>D+</v>
      </c>
    </row>
    <row r="164" spans="1:21" ht="24.95" customHeight="1" x14ac:dyDescent="0.25">
      <c r="A164" s="687"/>
      <c r="B164" s="683">
        <v>40</v>
      </c>
      <c r="C164" s="688"/>
      <c r="D164" s="1893" t="s">
        <v>7</v>
      </c>
      <c r="E164" s="627"/>
      <c r="F164" s="1905">
        <f t="shared" ref="F164:F165" si="234">E164*2</f>
        <v>0</v>
      </c>
      <c r="G164" s="1891"/>
      <c r="H164" s="1188">
        <f>VLOOKUP(B163,REKAP_NILAI,5,FALSE)</f>
        <v>0</v>
      </c>
      <c r="I164" s="709">
        <f t="shared" ref="I164:I165" si="235">F164+G164+H164</f>
        <v>0</v>
      </c>
      <c r="J164" s="710">
        <f t="shared" ref="J164:J165" si="236">(F164+G164+H164)/4</f>
        <v>0</v>
      </c>
      <c r="K164" s="711" t="str">
        <f t="shared" ref="K164:K166" si="237">IF(J164&gt;85,("4"),IF(J164&gt;80,("3.66"),IF(J164&gt;75,("3.33"),IF(J164&gt;70,("3.00"),IF(J164&gt;65,("2.66"),IF(J164&gt;60,("2.33"),IF(J164&gt;55,("2"),IF(J164&gt;50,("1.66"),"1.33"))))))))</f>
        <v>1.33</v>
      </c>
      <c r="L164" s="711" t="str">
        <f t="shared" ref="L164:L166" si="238">IF(J164&gt;85,("A"),IF(J164&gt;80,("A-"),IF(J164&gt;75,("B+"),IF(J164&gt;70,("B"),IF(J164&gt;65,("B-"),IF(J164&gt;60,("C+"),IF(J164&gt;55,("C"),IF(J164&gt;50,("C-"),"D+"))))))))</f>
        <v>D+</v>
      </c>
      <c r="M164" s="712" t="str">
        <f t="shared" ref="M164:M166" si="239">IF(J164&gt;80,("SB"),IF(J164&gt;65,("B"),IF(J164&gt;50,("C"),IF(J164&gt;0,("K"),"0"))))</f>
        <v>0</v>
      </c>
      <c r="N164" s="689"/>
      <c r="O164" s="690"/>
      <c r="P164" s="690"/>
      <c r="Q164" s="691"/>
      <c r="R164" s="691"/>
      <c r="S164" s="692"/>
      <c r="T164" s="1804"/>
      <c r="U164" s="1805"/>
    </row>
    <row r="165" spans="1:21" ht="24.95" customHeight="1" x14ac:dyDescent="0.25">
      <c r="A165" s="687"/>
      <c r="B165" s="683">
        <v>40</v>
      </c>
      <c r="C165" s="688"/>
      <c r="D165" s="1893" t="s">
        <v>10</v>
      </c>
      <c r="E165" s="627"/>
      <c r="F165" s="1905">
        <f t="shared" si="234"/>
        <v>0</v>
      </c>
      <c r="G165" s="1891"/>
      <c r="H165" s="1188">
        <f>VLOOKUP(B163,REKAP_NILAI,6,FALSE)</f>
        <v>0</v>
      </c>
      <c r="I165" s="709">
        <f t="shared" si="235"/>
        <v>0</v>
      </c>
      <c r="J165" s="710">
        <f t="shared" si="236"/>
        <v>0</v>
      </c>
      <c r="K165" s="711" t="str">
        <f t="shared" si="237"/>
        <v>1.33</v>
      </c>
      <c r="L165" s="711" t="str">
        <f t="shared" si="238"/>
        <v>D+</v>
      </c>
      <c r="M165" s="712" t="str">
        <f t="shared" si="239"/>
        <v>0</v>
      </c>
      <c r="N165" s="693"/>
      <c r="O165" s="694"/>
      <c r="P165" s="694"/>
      <c r="Q165" s="695"/>
      <c r="R165" s="695"/>
      <c r="S165" s="696"/>
      <c r="T165" s="1809"/>
      <c r="U165" s="1810"/>
    </row>
    <row r="166" spans="1:21" ht="24.95" customHeight="1" x14ac:dyDescent="0.25">
      <c r="A166" s="697"/>
      <c r="B166" s="698"/>
      <c r="C166" s="699" t="s">
        <v>149</v>
      </c>
      <c r="D166" s="700">
        <v>40</v>
      </c>
      <c r="E166" s="697"/>
      <c r="F166" s="1906"/>
      <c r="G166" s="697"/>
      <c r="H166" s="1189">
        <f>AVERAGE(H163:H165)</f>
        <v>0</v>
      </c>
      <c r="I166" s="705"/>
      <c r="J166" s="713">
        <f>AVERAGE(J163:J165)</f>
        <v>0</v>
      </c>
      <c r="K166" s="714" t="str">
        <f t="shared" si="237"/>
        <v>1.33</v>
      </c>
      <c r="L166" s="714" t="str">
        <f t="shared" si="238"/>
        <v>D+</v>
      </c>
      <c r="M166" s="888" t="str">
        <f t="shared" si="239"/>
        <v>0</v>
      </c>
      <c r="N166" s="701"/>
      <c r="O166" s="702"/>
      <c r="P166" s="702"/>
      <c r="Q166" s="702"/>
      <c r="R166" s="702"/>
      <c r="S166" s="703"/>
      <c r="T166" s="1808"/>
      <c r="U166" s="1195"/>
    </row>
  </sheetData>
  <sheetProtection password="C6F9" sheet="1" objects="1" scenarios="1"/>
  <mergeCells count="14">
    <mergeCell ref="U5:U6"/>
    <mergeCell ref="I5:I6"/>
    <mergeCell ref="T5:T6"/>
    <mergeCell ref="N5:P5"/>
    <mergeCell ref="Q5:S5"/>
    <mergeCell ref="J5:J6"/>
    <mergeCell ref="K5:K6"/>
    <mergeCell ref="L5:L6"/>
    <mergeCell ref="M5:M6"/>
    <mergeCell ref="A5:A6"/>
    <mergeCell ref="B5:B6"/>
    <mergeCell ref="C5:C6"/>
    <mergeCell ref="D5:D6"/>
    <mergeCell ref="E5:H5"/>
  </mergeCells>
  <conditionalFormatting sqref="J7:J9">
    <cfRule type="top10" dxfId="2085" priority="1232" bottom="1" rank="1"/>
    <cfRule type="top10" dxfId="2084" priority="1233" rank="1"/>
  </conditionalFormatting>
  <conditionalFormatting sqref="J11:J13">
    <cfRule type="top10" dxfId="2083" priority="93" bottom="1" rank="1"/>
    <cfRule type="top10" dxfId="2082" priority="94" rank="1"/>
  </conditionalFormatting>
  <conditionalFormatting sqref="J15:J17">
    <cfRule type="top10" dxfId="2081" priority="91" bottom="1" rank="1"/>
    <cfRule type="top10" dxfId="2080" priority="92" rank="1"/>
  </conditionalFormatting>
  <conditionalFormatting sqref="J19:J21">
    <cfRule type="top10" dxfId="2079" priority="89" bottom="1" rank="1"/>
    <cfRule type="top10" dxfId="2078" priority="90" rank="1"/>
  </conditionalFormatting>
  <conditionalFormatting sqref="J23:J25">
    <cfRule type="top10" dxfId="2077" priority="87" bottom="1" rank="1"/>
    <cfRule type="top10" dxfId="2076" priority="88" rank="1"/>
  </conditionalFormatting>
  <conditionalFormatting sqref="J27:J29">
    <cfRule type="top10" dxfId="2075" priority="85" bottom="1" rank="1"/>
    <cfRule type="top10" dxfId="2074" priority="86" rank="1"/>
  </conditionalFormatting>
  <conditionalFormatting sqref="J31:J33">
    <cfRule type="top10" dxfId="2073" priority="83" bottom="1" rank="1"/>
    <cfRule type="top10" dxfId="2072" priority="84" rank="1"/>
  </conditionalFormatting>
  <conditionalFormatting sqref="J35:J37">
    <cfRule type="top10" dxfId="2071" priority="81" bottom="1" rank="1"/>
    <cfRule type="top10" dxfId="2070" priority="82" rank="1"/>
  </conditionalFormatting>
  <conditionalFormatting sqref="J39:J41">
    <cfRule type="top10" dxfId="2069" priority="79" bottom="1" rank="1"/>
    <cfRule type="top10" dxfId="2068" priority="80" rank="1"/>
  </conditionalFormatting>
  <conditionalFormatting sqref="J43:J45">
    <cfRule type="top10" dxfId="2067" priority="77" bottom="1" rank="1"/>
    <cfRule type="top10" dxfId="2066" priority="78" rank="1"/>
  </conditionalFormatting>
  <conditionalFormatting sqref="J47:J49">
    <cfRule type="top10" dxfId="2065" priority="75" bottom="1" rank="1"/>
    <cfRule type="top10" dxfId="2064" priority="76" rank="1"/>
  </conditionalFormatting>
  <conditionalFormatting sqref="J51:J53">
    <cfRule type="top10" dxfId="2063" priority="73" bottom="1" rank="1"/>
    <cfRule type="top10" dxfId="2062" priority="74" rank="1"/>
  </conditionalFormatting>
  <conditionalFormatting sqref="J55:J57">
    <cfRule type="top10" dxfId="2061" priority="71" bottom="1" rank="1"/>
    <cfRule type="top10" dxfId="2060" priority="72" rank="1"/>
  </conditionalFormatting>
  <conditionalFormatting sqref="J59:J61">
    <cfRule type="top10" dxfId="2059" priority="69" bottom="1" rank="1"/>
    <cfRule type="top10" dxfId="2058" priority="70" rank="1"/>
  </conditionalFormatting>
  <conditionalFormatting sqref="J63:J65">
    <cfRule type="top10" dxfId="2057" priority="67" bottom="1" rank="1"/>
    <cfRule type="top10" dxfId="2056" priority="68" rank="1"/>
  </conditionalFormatting>
  <conditionalFormatting sqref="J67:J69">
    <cfRule type="top10" dxfId="2055" priority="65" bottom="1" rank="1"/>
    <cfRule type="top10" dxfId="2054" priority="66" rank="1"/>
  </conditionalFormatting>
  <conditionalFormatting sqref="J71:J73">
    <cfRule type="top10" dxfId="2053" priority="63" bottom="1" rank="1"/>
    <cfRule type="top10" dxfId="2052" priority="64" rank="1"/>
  </conditionalFormatting>
  <conditionalFormatting sqref="J75:J77">
    <cfRule type="top10" dxfId="2051" priority="61" bottom="1" rank="1"/>
    <cfRule type="top10" dxfId="2050" priority="62" rank="1"/>
  </conditionalFormatting>
  <conditionalFormatting sqref="J79:J81">
    <cfRule type="top10" dxfId="2049" priority="59" bottom="1" rank="1"/>
    <cfRule type="top10" dxfId="2048" priority="60" rank="1"/>
  </conditionalFormatting>
  <conditionalFormatting sqref="J83:J85">
    <cfRule type="top10" dxfId="2047" priority="57" bottom="1" rank="1"/>
    <cfRule type="top10" dxfId="2046" priority="58" rank="1"/>
  </conditionalFormatting>
  <conditionalFormatting sqref="J87:J89">
    <cfRule type="top10" dxfId="2045" priority="55" bottom="1" rank="1"/>
    <cfRule type="top10" dxfId="2044" priority="56" rank="1"/>
  </conditionalFormatting>
  <conditionalFormatting sqref="J91:J93">
    <cfRule type="top10" dxfId="2043" priority="53" bottom="1" rank="1"/>
    <cfRule type="top10" dxfId="2042" priority="54" rank="1"/>
  </conditionalFormatting>
  <conditionalFormatting sqref="J95:J97">
    <cfRule type="top10" dxfId="2041" priority="51" bottom="1" rank="1"/>
    <cfRule type="top10" dxfId="2040" priority="52" rank="1"/>
  </conditionalFormatting>
  <conditionalFormatting sqref="J99:J101">
    <cfRule type="top10" dxfId="2039" priority="49" bottom="1" rank="1"/>
    <cfRule type="top10" dxfId="2038" priority="50" rank="1"/>
  </conditionalFormatting>
  <conditionalFormatting sqref="J103:J105">
    <cfRule type="top10" dxfId="2037" priority="47" bottom="1" rank="1"/>
    <cfRule type="top10" dxfId="2036" priority="48" rank="1"/>
  </conditionalFormatting>
  <conditionalFormatting sqref="J107:J109">
    <cfRule type="top10" dxfId="2035" priority="45" bottom="1" rank="1"/>
    <cfRule type="top10" dxfId="2034" priority="46" rank="1"/>
  </conditionalFormatting>
  <conditionalFormatting sqref="J111:J113">
    <cfRule type="top10" dxfId="2033" priority="43" bottom="1" rank="1"/>
    <cfRule type="top10" dxfId="2032" priority="44" rank="1"/>
  </conditionalFormatting>
  <conditionalFormatting sqref="J115:J117">
    <cfRule type="top10" dxfId="2031" priority="41" bottom="1" rank="1"/>
    <cfRule type="top10" dxfId="2030" priority="42" rank="1"/>
  </conditionalFormatting>
  <conditionalFormatting sqref="J119:J121">
    <cfRule type="top10" dxfId="2029" priority="39" bottom="1" rank="1"/>
    <cfRule type="top10" dxfId="2028" priority="40" rank="1"/>
  </conditionalFormatting>
  <conditionalFormatting sqref="J123:J125">
    <cfRule type="top10" dxfId="2027" priority="37" bottom="1" rank="1"/>
    <cfRule type="top10" dxfId="2026" priority="38" rank="1"/>
  </conditionalFormatting>
  <conditionalFormatting sqref="J127:J129">
    <cfRule type="top10" dxfId="2025" priority="35" bottom="1" rank="1"/>
    <cfRule type="top10" dxfId="2024" priority="36" rank="1"/>
  </conditionalFormatting>
  <conditionalFormatting sqref="J131:J133">
    <cfRule type="top10" dxfId="2023" priority="33" bottom="1" rank="1"/>
    <cfRule type="top10" dxfId="2022" priority="34" rank="1"/>
  </conditionalFormatting>
  <conditionalFormatting sqref="J135:J137">
    <cfRule type="top10" dxfId="2021" priority="31" bottom="1" rank="1"/>
    <cfRule type="top10" dxfId="2020" priority="32" rank="1"/>
  </conditionalFormatting>
  <conditionalFormatting sqref="J139:J141">
    <cfRule type="top10" dxfId="2019" priority="29" bottom="1" rank="1"/>
    <cfRule type="top10" dxfId="2018" priority="30" rank="1"/>
  </conditionalFormatting>
  <conditionalFormatting sqref="J143:J145">
    <cfRule type="top10" dxfId="2017" priority="27" bottom="1" rank="1"/>
    <cfRule type="top10" dxfId="2016" priority="28" rank="1"/>
  </conditionalFormatting>
  <conditionalFormatting sqref="J147:J149">
    <cfRule type="top10" dxfId="2015" priority="25" bottom="1" rank="1"/>
    <cfRule type="top10" dxfId="2014" priority="26" rank="1"/>
  </conditionalFormatting>
  <conditionalFormatting sqref="J151:J153">
    <cfRule type="top10" dxfId="2013" priority="23" bottom="1" rank="1"/>
    <cfRule type="top10" dxfId="2012" priority="24" rank="1"/>
  </conditionalFormatting>
  <conditionalFormatting sqref="J155:J157">
    <cfRule type="top10" dxfId="2011" priority="21" bottom="1" rank="1"/>
    <cfRule type="top10" dxfId="2010" priority="22" rank="1"/>
  </conditionalFormatting>
  <conditionalFormatting sqref="J159:J161">
    <cfRule type="top10" dxfId="2009" priority="19" bottom="1" rank="1"/>
    <cfRule type="top10" dxfId="2008" priority="20" rank="1"/>
  </conditionalFormatting>
  <conditionalFormatting sqref="J163:J165">
    <cfRule type="top10" dxfId="2007" priority="17" bottom="1" rank="1"/>
    <cfRule type="top10" dxfId="2006" priority="18" rank="1"/>
  </conditionalFormatting>
  <pageMargins left="0.7" right="0.7" top="0.75" bottom="0.75" header="0.3" footer="0.3"/>
  <pageSetup paperSize="9" orientation="landscape"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B0F0"/>
  </sheetPr>
  <dimension ref="A1:Y24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x14ac:dyDescent="0.25"/>
  <cols>
    <col min="1" max="1" width="4.85546875" style="352" customWidth="1"/>
    <col min="2" max="2" width="6" style="745" customWidth="1"/>
    <col min="3" max="3" width="30.85546875" style="632" customWidth="1"/>
    <col min="4" max="4" width="5.7109375" style="352" customWidth="1"/>
    <col min="5" max="6" width="6.7109375" style="352" customWidth="1"/>
    <col min="7" max="7" width="6" style="352" customWidth="1"/>
    <col min="8" max="10" width="6.7109375" style="352" customWidth="1"/>
    <col min="11" max="11" width="7.28515625" style="352" customWidth="1"/>
    <col min="12" max="12" width="6.7109375" style="352" customWidth="1"/>
    <col min="13" max="13" width="7.5703125" style="352" customWidth="1"/>
    <col min="14" max="14" width="4.7109375" style="353" customWidth="1"/>
    <col min="15" max="23" width="4.7109375" style="352" customWidth="1"/>
    <col min="24" max="24" width="9.140625" style="352"/>
    <col min="25" max="25" width="5.85546875" style="352" customWidth="1"/>
    <col min="26" max="16384" width="9.140625" style="352"/>
  </cols>
  <sheetData>
    <row r="1" spans="1:25" ht="21" x14ac:dyDescent="0.35">
      <c r="A1" s="351" t="s">
        <v>172</v>
      </c>
      <c r="D1" s="69"/>
      <c r="E1" s="69"/>
      <c r="F1" s="69"/>
      <c r="G1" s="69"/>
      <c r="H1" s="69"/>
      <c r="I1" s="69"/>
      <c r="J1" s="69"/>
      <c r="K1" s="69"/>
    </row>
    <row r="2" spans="1:25" ht="21" x14ac:dyDescent="0.35">
      <c r="A2" s="351" t="s">
        <v>54</v>
      </c>
    </row>
    <row r="3" spans="1:25" ht="18.75" x14ac:dyDescent="0.3">
      <c r="A3" s="354" t="s">
        <v>562</v>
      </c>
      <c r="D3" s="678"/>
      <c r="E3" s="678"/>
      <c r="F3" s="678"/>
      <c r="G3" s="678"/>
      <c r="H3" s="678"/>
      <c r="I3" s="678"/>
      <c r="J3" s="678"/>
      <c r="K3" s="678"/>
      <c r="L3" s="678"/>
      <c r="M3" s="678"/>
    </row>
    <row r="4" spans="1:25" s="745" customFormat="1" ht="15.75" thickBot="1" x14ac:dyDescent="0.3">
      <c r="A4" s="678">
        <v>1</v>
      </c>
      <c r="B4" s="678">
        <v>2</v>
      </c>
      <c r="C4" s="678">
        <v>3</v>
      </c>
      <c r="D4" s="678">
        <v>4</v>
      </c>
      <c r="E4" s="678">
        <v>5</v>
      </c>
      <c r="F4" s="678">
        <v>6</v>
      </c>
      <c r="G4" s="678">
        <v>7</v>
      </c>
      <c r="H4" s="678">
        <v>8</v>
      </c>
      <c r="I4" s="678">
        <v>9</v>
      </c>
      <c r="J4" s="678">
        <v>10</v>
      </c>
      <c r="K4" s="678">
        <v>11</v>
      </c>
      <c r="L4" s="678">
        <v>12</v>
      </c>
      <c r="M4" s="678">
        <v>13</v>
      </c>
      <c r="N4" s="678">
        <v>14</v>
      </c>
      <c r="O4" s="678">
        <v>15</v>
      </c>
      <c r="P4" s="678">
        <v>16</v>
      </c>
      <c r="Q4" s="678">
        <v>17</v>
      </c>
      <c r="R4" s="678">
        <v>18</v>
      </c>
      <c r="S4" s="678">
        <v>19</v>
      </c>
      <c r="T4" s="678">
        <v>20</v>
      </c>
      <c r="U4" s="678">
        <v>21</v>
      </c>
      <c r="V4" s="678">
        <v>22</v>
      </c>
      <c r="W4" s="678">
        <v>23</v>
      </c>
      <c r="X4" s="678">
        <v>24</v>
      </c>
      <c r="Y4" s="678">
        <v>25</v>
      </c>
    </row>
    <row r="5" spans="1:25" ht="23.25" customHeight="1" x14ac:dyDescent="0.25">
      <c r="A5" s="2522" t="s">
        <v>0</v>
      </c>
      <c r="B5" s="2535" t="s">
        <v>55</v>
      </c>
      <c r="C5" s="2552" t="s">
        <v>1</v>
      </c>
      <c r="D5" s="2524" t="s">
        <v>56</v>
      </c>
      <c r="E5" s="2524" t="s">
        <v>32</v>
      </c>
      <c r="F5" s="2524"/>
      <c r="G5" s="2524"/>
      <c r="H5" s="2524"/>
      <c r="I5" s="2554" t="s">
        <v>59</v>
      </c>
      <c r="J5" s="2554" t="s">
        <v>60</v>
      </c>
      <c r="K5" s="2562" t="s">
        <v>61</v>
      </c>
      <c r="L5" s="2562" t="s">
        <v>62</v>
      </c>
      <c r="M5" s="2564" t="s">
        <v>63</v>
      </c>
      <c r="N5" s="2556" t="s">
        <v>735</v>
      </c>
      <c r="O5" s="2557"/>
      <c r="P5" s="2557"/>
      <c r="Q5" s="2557"/>
      <c r="R5" s="2558"/>
      <c r="S5" s="2559" t="s">
        <v>736</v>
      </c>
      <c r="T5" s="2560"/>
      <c r="U5" s="2560"/>
      <c r="V5" s="2560"/>
      <c r="W5" s="2561"/>
      <c r="X5" s="2541" t="s">
        <v>60</v>
      </c>
      <c r="Y5" s="2539" t="s">
        <v>5</v>
      </c>
    </row>
    <row r="6" spans="1:25" ht="24.75" customHeight="1" thickBot="1" x14ac:dyDescent="0.3">
      <c r="A6" s="2523"/>
      <c r="B6" s="2536"/>
      <c r="C6" s="2553"/>
      <c r="D6" s="2525"/>
      <c r="E6" s="1887" t="s">
        <v>57</v>
      </c>
      <c r="F6" s="1887" t="s">
        <v>58</v>
      </c>
      <c r="G6" s="1887" t="s">
        <v>13</v>
      </c>
      <c r="H6" s="1887" t="s">
        <v>14</v>
      </c>
      <c r="I6" s="2555"/>
      <c r="J6" s="2555"/>
      <c r="K6" s="2563"/>
      <c r="L6" s="2563"/>
      <c r="M6" s="2565"/>
      <c r="N6" s="355" t="s">
        <v>12</v>
      </c>
      <c r="O6" s="356" t="s">
        <v>7</v>
      </c>
      <c r="P6" s="356" t="s">
        <v>10</v>
      </c>
      <c r="Q6" s="356" t="s">
        <v>8</v>
      </c>
      <c r="R6" s="357" t="s">
        <v>18</v>
      </c>
      <c r="S6" s="358" t="s">
        <v>12</v>
      </c>
      <c r="T6" s="359" t="s">
        <v>7</v>
      </c>
      <c r="U6" s="359" t="s">
        <v>10</v>
      </c>
      <c r="V6" s="359" t="s">
        <v>8</v>
      </c>
      <c r="W6" s="1822" t="s">
        <v>18</v>
      </c>
      <c r="X6" s="2542"/>
      <c r="Y6" s="2540"/>
    </row>
    <row r="7" spans="1:25" ht="24.95" customHeight="1" x14ac:dyDescent="0.25">
      <c r="A7" s="360">
        <v>1</v>
      </c>
      <c r="B7" s="683">
        <v>1</v>
      </c>
      <c r="C7" s="633" t="str">
        <f>VLOOKUP(A7,data_siswa,4,FALSE)</f>
        <v>Achmad Zacky</v>
      </c>
      <c r="D7" s="1893" t="s">
        <v>12</v>
      </c>
      <c r="E7" s="1891">
        <v>75</v>
      </c>
      <c r="F7" s="1904">
        <f>E7*2</f>
        <v>150</v>
      </c>
      <c r="G7" s="1891">
        <v>76</v>
      </c>
      <c r="H7" s="627">
        <f>VLOOKUP(B7,REKAP_NILAI,9,FALSE)</f>
        <v>86.1111111111111</v>
      </c>
      <c r="I7" s="706">
        <f>F7+G7+H7</f>
        <v>312.11111111111109</v>
      </c>
      <c r="J7" s="707">
        <f>(F7+G7+H7)/4</f>
        <v>78.027777777777771</v>
      </c>
      <c r="K7" s="708" t="str">
        <f>IF(J7&gt;85,("4"),IF(J7&gt;80,("3.66"),IF(J7&gt;75,("3.33"),IF(J7&gt;70,("3.00"),IF(J7&gt;65,("2.66"),IF(J7&gt;60,("2.33"),IF(J7&gt;55,("2"),IF(J7&gt;50,("1.66"),"1.33"))))))))</f>
        <v>3.33</v>
      </c>
      <c r="L7" s="708" t="str">
        <f>IF(J7&gt;85,("A"),IF(J7&gt;80,("A-"),IF(J7&gt;75,("B+"),IF(J7&gt;70,("B"),IF(J7&gt;65,("B-"),IF(J7&gt;60,("C+"),IF(J7&gt;55,("C"),IF(J7&gt;50,("C-"),"D+"))))))))</f>
        <v>B+</v>
      </c>
      <c r="M7" s="708" t="str">
        <f>IF(J7&gt;80,("SB"),IF(J7&gt;65,("B"),IF(J7&gt;50,("C"),IF(J7&gt;0,("K"),"0"))))</f>
        <v>B</v>
      </c>
      <c r="N7" s="617"/>
      <c r="O7" s="1889">
        <v>4</v>
      </c>
      <c r="P7" s="1889"/>
      <c r="Q7" s="1889"/>
      <c r="R7" s="1889"/>
      <c r="S7" s="619"/>
      <c r="T7" s="619"/>
      <c r="U7" s="619"/>
      <c r="V7" s="619">
        <v>2</v>
      </c>
      <c r="W7" s="623"/>
      <c r="X7" s="704">
        <f>J12</f>
        <v>74.993055555555557</v>
      </c>
      <c r="Y7" s="1481" t="str">
        <f>IF(X7&gt;85,("A"),IF(X7&gt;80,("A-"),IF(X7&gt;75,("B+"),IF(X7&gt;70,("B"),IF(X7&gt;65,("B-"),IF(X7&gt;60,("C+"),IF(X7&gt;55,("C"),IF(X7&gt;50,("C-"),"D+"))))))))</f>
        <v>B</v>
      </c>
    </row>
    <row r="8" spans="1:25" ht="24.95" customHeight="1" x14ac:dyDescent="0.25">
      <c r="A8" s="360"/>
      <c r="B8" s="683">
        <v>1</v>
      </c>
      <c r="C8" s="634"/>
      <c r="D8" s="1799" t="s">
        <v>7</v>
      </c>
      <c r="E8" s="1891">
        <v>78</v>
      </c>
      <c r="F8" s="1905">
        <f t="shared" ref="F8:F11" si="0">E8*2</f>
        <v>156</v>
      </c>
      <c r="G8" s="362">
        <v>87</v>
      </c>
      <c r="H8" s="627">
        <f>VLOOKUP(B7,REKAP_NILAI,10,FALSE)</f>
        <v>87.5</v>
      </c>
      <c r="I8" s="709">
        <f t="shared" ref="I8:I11" si="1">F8+G8+H8</f>
        <v>330.5</v>
      </c>
      <c r="J8" s="710">
        <f t="shared" ref="J8:J11" si="2">(F8+G8+H8)/4</f>
        <v>82.625</v>
      </c>
      <c r="K8" s="711" t="str">
        <f t="shared" ref="K8:K12" si="3">IF(J8&gt;85,("4"),IF(J8&gt;80,("3.66"),IF(J8&gt;75,("3.33"),IF(J8&gt;70,("3.00"),IF(J8&gt;65,("2.66"),IF(J8&gt;60,("2.33"),IF(J8&gt;55,("2"),IF(J8&gt;50,("1.66"),"1.33"))))))))</f>
        <v>3.66</v>
      </c>
      <c r="L8" s="711" t="str">
        <f t="shared" ref="L8:L12" si="4">IF(J8&gt;85,("A"),IF(J8&gt;80,("A-"),IF(J8&gt;75,("B+"),IF(J8&gt;70,("B"),IF(J8&gt;65,("B-"),IF(J8&gt;60,("C+"),IF(J8&gt;55,("C"),IF(J8&gt;50,("C-"),"D+"))))))))</f>
        <v>A-</v>
      </c>
      <c r="M8" s="712" t="str">
        <f t="shared" ref="M8:M12" si="5">IF(J8&gt;80,("SB"),IF(J8&gt;65,("B"),IF(J8&gt;50,("C"),IF(J8&gt;0,("K"),"0"))))</f>
        <v>SB</v>
      </c>
      <c r="N8" s="620"/>
      <c r="O8" s="621"/>
      <c r="P8" s="621"/>
      <c r="Q8" s="621"/>
      <c r="R8" s="621"/>
      <c r="S8" s="1158"/>
      <c r="T8" s="622"/>
      <c r="U8" s="622"/>
      <c r="V8" s="622"/>
      <c r="W8" s="622"/>
      <c r="X8" s="1251"/>
      <c r="Y8" s="1252"/>
    </row>
    <row r="9" spans="1:25" ht="24.95" customHeight="1" x14ac:dyDescent="0.25">
      <c r="A9" s="360"/>
      <c r="B9" s="683">
        <v>1</v>
      </c>
      <c r="C9" s="634"/>
      <c r="D9" s="1893" t="s">
        <v>10</v>
      </c>
      <c r="E9" s="1891">
        <v>70</v>
      </c>
      <c r="F9" s="1905">
        <f t="shared" si="0"/>
        <v>140</v>
      </c>
      <c r="G9" s="362">
        <v>80</v>
      </c>
      <c r="H9" s="627">
        <f>VLOOKUP(A7,REKAP_NILAI,11,FALSE)</f>
        <v>87.5</v>
      </c>
      <c r="I9" s="709">
        <f t="shared" si="1"/>
        <v>307.5</v>
      </c>
      <c r="J9" s="710">
        <f t="shared" si="2"/>
        <v>76.875</v>
      </c>
      <c r="K9" s="711" t="str">
        <f t="shared" si="3"/>
        <v>3.33</v>
      </c>
      <c r="L9" s="711" t="str">
        <f t="shared" si="4"/>
        <v>B+</v>
      </c>
      <c r="M9" s="712" t="str">
        <f t="shared" si="5"/>
        <v>B</v>
      </c>
      <c r="N9" s="623"/>
      <c r="O9" s="613"/>
      <c r="P9" s="613"/>
      <c r="Q9" s="613"/>
      <c r="R9" s="613"/>
      <c r="S9" s="1159"/>
      <c r="T9" s="615"/>
      <c r="U9" s="615"/>
      <c r="V9" s="615"/>
      <c r="W9" s="615"/>
      <c r="X9" s="1253"/>
      <c r="Y9" s="1254"/>
    </row>
    <row r="10" spans="1:25" ht="24.95" customHeight="1" x14ac:dyDescent="0.25">
      <c r="A10" s="360"/>
      <c r="B10" s="683">
        <v>1</v>
      </c>
      <c r="C10" s="634"/>
      <c r="D10" s="1799" t="s">
        <v>8</v>
      </c>
      <c r="E10" s="1891">
        <v>45</v>
      </c>
      <c r="F10" s="1905">
        <f t="shared" si="0"/>
        <v>90</v>
      </c>
      <c r="G10" s="362">
        <v>56</v>
      </c>
      <c r="H10" s="627">
        <f>VLOOKUP(A7,REKAP_NILAI,12,FALSE)</f>
        <v>85.416666666666657</v>
      </c>
      <c r="I10" s="709">
        <f t="shared" si="1"/>
        <v>231.41666666666666</v>
      </c>
      <c r="J10" s="710">
        <f t="shared" si="2"/>
        <v>57.854166666666664</v>
      </c>
      <c r="K10" s="711" t="str">
        <f t="shared" si="3"/>
        <v>2</v>
      </c>
      <c r="L10" s="711" t="str">
        <f t="shared" si="4"/>
        <v>C</v>
      </c>
      <c r="M10" s="712" t="str">
        <f t="shared" si="5"/>
        <v>C</v>
      </c>
      <c r="N10" s="623"/>
      <c r="O10" s="613"/>
      <c r="P10" s="613"/>
      <c r="Q10" s="613"/>
      <c r="R10" s="613"/>
      <c r="S10" s="1159"/>
      <c r="T10" s="615"/>
      <c r="U10" s="615"/>
      <c r="V10" s="615"/>
      <c r="W10" s="615"/>
      <c r="X10" s="1253"/>
      <c r="Y10" s="1254"/>
    </row>
    <row r="11" spans="1:25" ht="24.95" customHeight="1" x14ac:dyDescent="0.25">
      <c r="A11" s="360"/>
      <c r="B11" s="683">
        <v>1</v>
      </c>
      <c r="C11" s="634"/>
      <c r="D11" s="1893" t="s">
        <v>18</v>
      </c>
      <c r="E11" s="1891">
        <v>75</v>
      </c>
      <c r="F11" s="1905">
        <f t="shared" si="0"/>
        <v>150</v>
      </c>
      <c r="G11" s="362">
        <v>85</v>
      </c>
      <c r="H11" s="627">
        <f>VLOOKUP(A7,REKAP_NILAI,13,FALSE)</f>
        <v>83.333333333333329</v>
      </c>
      <c r="I11" s="709">
        <f t="shared" si="1"/>
        <v>318.33333333333331</v>
      </c>
      <c r="J11" s="710">
        <f t="shared" si="2"/>
        <v>79.583333333333329</v>
      </c>
      <c r="K11" s="711" t="str">
        <f t="shared" si="3"/>
        <v>3.33</v>
      </c>
      <c r="L11" s="711" t="str">
        <f t="shared" si="4"/>
        <v>B+</v>
      </c>
      <c r="M11" s="712" t="str">
        <f t="shared" si="5"/>
        <v>B</v>
      </c>
      <c r="N11" s="624"/>
      <c r="O11" s="614"/>
      <c r="P11" s="614"/>
      <c r="Q11" s="614"/>
      <c r="R11" s="614"/>
      <c r="S11" s="1160"/>
      <c r="T11" s="1161"/>
      <c r="U11" s="1161"/>
      <c r="V11" s="1161"/>
      <c r="W11" s="1161"/>
      <c r="X11" s="1255"/>
      <c r="Y11" s="1256"/>
    </row>
    <row r="12" spans="1:25" s="353" customFormat="1" ht="24.95" customHeight="1" x14ac:dyDescent="0.25">
      <c r="A12" s="363"/>
      <c r="B12" s="698"/>
      <c r="C12" s="635" t="s">
        <v>464</v>
      </c>
      <c r="D12" s="629">
        <v>1</v>
      </c>
      <c r="E12" s="363"/>
      <c r="F12" s="1907"/>
      <c r="G12" s="363"/>
      <c r="H12" s="1189">
        <f>AVERAGE(H7:H11)</f>
        <v>85.9722222222222</v>
      </c>
      <c r="I12" s="1250"/>
      <c r="J12" s="713">
        <f>AVERAGE(J7:J11)</f>
        <v>74.993055555555557</v>
      </c>
      <c r="K12" s="714" t="str">
        <f t="shared" si="3"/>
        <v>3.00</v>
      </c>
      <c r="L12" s="714" t="str">
        <f t="shared" si="4"/>
        <v>B</v>
      </c>
      <c r="M12" s="888" t="str">
        <f t="shared" si="5"/>
        <v>B</v>
      </c>
      <c r="N12" s="630"/>
      <c r="O12" s="631"/>
      <c r="P12" s="631"/>
      <c r="Q12" s="631"/>
      <c r="R12" s="631"/>
      <c r="S12" s="631"/>
      <c r="T12" s="631"/>
      <c r="U12" s="631"/>
      <c r="V12" s="631"/>
      <c r="W12" s="631"/>
      <c r="X12" s="1257"/>
      <c r="Y12" s="1258"/>
    </row>
    <row r="13" spans="1:25" ht="24.95" customHeight="1" x14ac:dyDescent="0.25">
      <c r="A13" s="360">
        <v>2</v>
      </c>
      <c r="B13" s="683">
        <v>2</v>
      </c>
      <c r="C13" s="633" t="str">
        <f>VLOOKUP(A13,data_siswa,4,FALSE)</f>
        <v>Angelia Vabel R</v>
      </c>
      <c r="D13" s="1893" t="s">
        <v>12</v>
      </c>
      <c r="E13" s="1891">
        <f>VLOOKUP(A13,UHT_BI,32,FALSE)</f>
        <v>0</v>
      </c>
      <c r="F13" s="1904">
        <f>E13*2</f>
        <v>0</v>
      </c>
      <c r="G13" s="1891"/>
      <c r="H13" s="627">
        <f>VLOOKUP(B13,REKAP_NILAI,9,FALSE)</f>
        <v>0</v>
      </c>
      <c r="I13" s="706">
        <f>F13+G13+H13</f>
        <v>0</v>
      </c>
      <c r="J13" s="707">
        <f>(F13+G13+H13)/4</f>
        <v>0</v>
      </c>
      <c r="K13" s="708" t="str">
        <f>IF(J13&gt;85,("4"),IF(J13&gt;80,("3.66"),IF(J13&gt;75,("3.33"),IF(J13&gt;70,("3.00"),IF(J13&gt;65,("2.66"),IF(J13&gt;60,("2.33"),IF(J13&gt;55,("2"),IF(J13&gt;50,("1.66"),"1.33"))))))))</f>
        <v>1.33</v>
      </c>
      <c r="L13" s="708" t="str">
        <f>IF(J13&gt;85,("A"),IF(J13&gt;80,("A-"),IF(J13&gt;75,("B+"),IF(J13&gt;70,("B"),IF(J13&gt;65,("B-"),IF(J13&gt;60,("C+"),IF(J13&gt;55,("C"),IF(J13&gt;50,("C-"),"D+"))))))))</f>
        <v>D+</v>
      </c>
      <c r="M13" s="708" t="str">
        <f>IF(J13&gt;80,("SB"),IF(J13&gt;65,("B"),IF(J13&gt;50,("C"),IF(J13&gt;0,("K"),"0"))))</f>
        <v>0</v>
      </c>
      <c r="N13" s="617"/>
      <c r="O13" s="1889"/>
      <c r="P13" s="1889"/>
      <c r="Q13" s="1889"/>
      <c r="R13" s="1889"/>
      <c r="S13" s="619"/>
      <c r="T13" s="619"/>
      <c r="U13" s="619"/>
      <c r="V13" s="619"/>
      <c r="W13" s="623"/>
      <c r="X13" s="1057">
        <f t="shared" ref="X13" si="6">J18</f>
        <v>0</v>
      </c>
      <c r="Y13" s="1194" t="str">
        <f>IF(X13&gt;85,("A"),IF(X13&gt;80,("A-"),IF(X13&gt;75,("B+"),IF(X13&gt;70,("B"),IF(X13&gt;65,("B-"),IF(X13&gt;60,("C+"),IF(X13&gt;55,("C"),IF(X13&gt;50,("C-"),"D+"))))))))</f>
        <v>D+</v>
      </c>
    </row>
    <row r="14" spans="1:25" ht="24.95" customHeight="1" x14ac:dyDescent="0.25">
      <c r="A14" s="360"/>
      <c r="B14" s="683">
        <v>2</v>
      </c>
      <c r="C14" s="634"/>
      <c r="D14" s="1799" t="s">
        <v>7</v>
      </c>
      <c r="E14" s="1891">
        <f>VLOOKUP(A13,UHT_BI,33,FALSE)</f>
        <v>0</v>
      </c>
      <c r="F14" s="1905">
        <f t="shared" ref="F14:F17" si="7">E14*2</f>
        <v>0</v>
      </c>
      <c r="G14" s="362"/>
      <c r="H14" s="627">
        <f>VLOOKUP(B13,REKAP_NILAI,10,FALSE)</f>
        <v>0</v>
      </c>
      <c r="I14" s="709">
        <f t="shared" ref="I14:I17" si="8">F14+G14+H14</f>
        <v>0</v>
      </c>
      <c r="J14" s="710">
        <f t="shared" ref="J14:J17" si="9">(F14+G14+H14)/4</f>
        <v>0</v>
      </c>
      <c r="K14" s="711" t="str">
        <f t="shared" ref="K14:K18" si="10">IF(J14&gt;85,("4"),IF(J14&gt;80,("3.66"),IF(J14&gt;75,("3.33"),IF(J14&gt;70,("3.00"),IF(J14&gt;65,("2.66"),IF(J14&gt;60,("2.33"),IF(J14&gt;55,("2"),IF(J14&gt;50,("1.66"),"1.33"))))))))</f>
        <v>1.33</v>
      </c>
      <c r="L14" s="711" t="str">
        <f t="shared" ref="L14:L18" si="11">IF(J14&gt;85,("A"),IF(J14&gt;80,("A-"),IF(J14&gt;75,("B+"),IF(J14&gt;70,("B"),IF(J14&gt;65,("B-"),IF(J14&gt;60,("C+"),IF(J14&gt;55,("C"),IF(J14&gt;50,("C-"),"D+"))))))))</f>
        <v>D+</v>
      </c>
      <c r="M14" s="712" t="str">
        <f t="shared" ref="M14:M18" si="12">IF(J14&gt;80,("SB"),IF(J14&gt;65,("B"),IF(J14&gt;50,("C"),IF(J14&gt;0,("K"),"0"))))</f>
        <v>0</v>
      </c>
      <c r="N14" s="620"/>
      <c r="O14" s="621"/>
      <c r="P14" s="621"/>
      <c r="Q14" s="621"/>
      <c r="R14" s="621"/>
      <c r="S14" s="622"/>
      <c r="T14" s="622"/>
      <c r="U14" s="622"/>
      <c r="V14" s="622"/>
      <c r="W14" s="622"/>
      <c r="X14" s="1251"/>
      <c r="Y14" s="1252"/>
    </row>
    <row r="15" spans="1:25" ht="24.95" customHeight="1" x14ac:dyDescent="0.25">
      <c r="A15" s="360"/>
      <c r="B15" s="683">
        <v>2</v>
      </c>
      <c r="C15" s="634"/>
      <c r="D15" s="1893" t="s">
        <v>10</v>
      </c>
      <c r="E15" s="1891">
        <f>VLOOKUP(A13,UHT_BI,34,FALSE)</f>
        <v>0</v>
      </c>
      <c r="F15" s="1905">
        <f t="shared" si="7"/>
        <v>0</v>
      </c>
      <c r="G15" s="362"/>
      <c r="H15" s="627">
        <f>VLOOKUP(A13,REKAP_NILAI,11,FALSE)</f>
        <v>0</v>
      </c>
      <c r="I15" s="709">
        <f t="shared" si="8"/>
        <v>0</v>
      </c>
      <c r="J15" s="710">
        <f t="shared" si="9"/>
        <v>0</v>
      </c>
      <c r="K15" s="711" t="str">
        <f t="shared" si="10"/>
        <v>1.33</v>
      </c>
      <c r="L15" s="711" t="str">
        <f t="shared" si="11"/>
        <v>D+</v>
      </c>
      <c r="M15" s="712" t="str">
        <f t="shared" si="12"/>
        <v>0</v>
      </c>
      <c r="N15" s="623"/>
      <c r="O15" s="613"/>
      <c r="P15" s="613"/>
      <c r="Q15" s="613"/>
      <c r="R15" s="613"/>
      <c r="S15" s="615"/>
      <c r="T15" s="615"/>
      <c r="U15" s="615"/>
      <c r="V15" s="615"/>
      <c r="W15" s="615"/>
      <c r="X15" s="1253"/>
      <c r="Y15" s="1254"/>
    </row>
    <row r="16" spans="1:25" ht="24.95" customHeight="1" x14ac:dyDescent="0.25">
      <c r="A16" s="360"/>
      <c r="B16" s="683">
        <v>2</v>
      </c>
      <c r="C16" s="634"/>
      <c r="D16" s="1799" t="s">
        <v>8</v>
      </c>
      <c r="E16" s="1891">
        <f>VLOOKUP(A13,UHT_BI,35,FALSE)</f>
        <v>0</v>
      </c>
      <c r="F16" s="1905">
        <f t="shared" si="7"/>
        <v>0</v>
      </c>
      <c r="G16" s="362"/>
      <c r="H16" s="627">
        <f>VLOOKUP(A13,REKAP_NILAI,12,FALSE)</f>
        <v>0</v>
      </c>
      <c r="I16" s="709">
        <f t="shared" si="8"/>
        <v>0</v>
      </c>
      <c r="J16" s="710">
        <f t="shared" si="9"/>
        <v>0</v>
      </c>
      <c r="K16" s="711" t="str">
        <f t="shared" si="10"/>
        <v>1.33</v>
      </c>
      <c r="L16" s="711" t="str">
        <f t="shared" si="11"/>
        <v>D+</v>
      </c>
      <c r="M16" s="712" t="str">
        <f t="shared" si="12"/>
        <v>0</v>
      </c>
      <c r="N16" s="623"/>
      <c r="O16" s="613"/>
      <c r="P16" s="613"/>
      <c r="Q16" s="613"/>
      <c r="R16" s="613"/>
      <c r="S16" s="615"/>
      <c r="T16" s="615"/>
      <c r="U16" s="615"/>
      <c r="V16" s="615"/>
      <c r="W16" s="615"/>
      <c r="X16" s="1253"/>
      <c r="Y16" s="1254"/>
    </row>
    <row r="17" spans="1:25" ht="24.95" customHeight="1" x14ac:dyDescent="0.25">
      <c r="A17" s="360"/>
      <c r="B17" s="683">
        <v>2</v>
      </c>
      <c r="C17" s="634"/>
      <c r="D17" s="1893" t="s">
        <v>18</v>
      </c>
      <c r="E17" s="1891">
        <f>-VLOOKUP(A13,UHT_BI,36,FALSE)</f>
        <v>0</v>
      </c>
      <c r="F17" s="1905">
        <f t="shared" si="7"/>
        <v>0</v>
      </c>
      <c r="G17" s="362"/>
      <c r="H17" s="627">
        <f>VLOOKUP(A13,REKAP_NILAI,13,FALSE)</f>
        <v>0</v>
      </c>
      <c r="I17" s="709">
        <f t="shared" si="8"/>
        <v>0</v>
      </c>
      <c r="J17" s="710">
        <f t="shared" si="9"/>
        <v>0</v>
      </c>
      <c r="K17" s="711" t="str">
        <f t="shared" si="10"/>
        <v>1.33</v>
      </c>
      <c r="L17" s="711" t="str">
        <f t="shared" si="11"/>
        <v>D+</v>
      </c>
      <c r="M17" s="712" t="str">
        <f t="shared" si="12"/>
        <v>0</v>
      </c>
      <c r="N17" s="624"/>
      <c r="O17" s="614"/>
      <c r="P17" s="614"/>
      <c r="Q17" s="614"/>
      <c r="R17" s="614"/>
      <c r="S17" s="616"/>
      <c r="T17" s="616"/>
      <c r="U17" s="616"/>
      <c r="V17" s="616"/>
      <c r="W17" s="616"/>
      <c r="X17" s="1255"/>
      <c r="Y17" s="1256"/>
    </row>
    <row r="18" spans="1:25" ht="24.95" customHeight="1" x14ac:dyDescent="0.25">
      <c r="A18" s="363"/>
      <c r="B18" s="698"/>
      <c r="C18" s="635" t="s">
        <v>464</v>
      </c>
      <c r="D18" s="629">
        <v>2</v>
      </c>
      <c r="E18" s="363"/>
      <c r="F18" s="1907"/>
      <c r="G18" s="363"/>
      <c r="H18" s="1189">
        <f>AVERAGE(H13:H17)</f>
        <v>0</v>
      </c>
      <c r="I18" s="1250"/>
      <c r="J18" s="713">
        <f>AVERAGE(J13:J17)</f>
        <v>0</v>
      </c>
      <c r="K18" s="714" t="str">
        <f t="shared" si="10"/>
        <v>1.33</v>
      </c>
      <c r="L18" s="714" t="str">
        <f t="shared" si="11"/>
        <v>D+</v>
      </c>
      <c r="M18" s="888" t="str">
        <f t="shared" si="12"/>
        <v>0</v>
      </c>
      <c r="N18" s="630"/>
      <c r="O18" s="631"/>
      <c r="P18" s="631"/>
      <c r="Q18" s="631"/>
      <c r="R18" s="631"/>
      <c r="S18" s="631"/>
      <c r="T18" s="631"/>
      <c r="U18" s="631"/>
      <c r="V18" s="631"/>
      <c r="W18" s="631"/>
      <c r="X18" s="1257"/>
      <c r="Y18" s="1258"/>
    </row>
    <row r="19" spans="1:25" ht="24.95" customHeight="1" x14ac:dyDescent="0.25">
      <c r="A19" s="360">
        <v>3</v>
      </c>
      <c r="B19" s="683">
        <v>3</v>
      </c>
      <c r="C19" s="633" t="str">
        <f>VLOOKUP(A19,data_siswa,4,FALSE)</f>
        <v>Anggun Dwi P.I</v>
      </c>
      <c r="D19" s="1893" t="s">
        <v>12</v>
      </c>
      <c r="E19" s="1891">
        <f>VLOOKUP(A19,UHT_BI,32,FALSE)</f>
        <v>0</v>
      </c>
      <c r="F19" s="1904">
        <f>E19*2</f>
        <v>0</v>
      </c>
      <c r="G19" s="1891"/>
      <c r="H19" s="627">
        <f>VLOOKUP(B19,REKAP_NILAI,9,FALSE)</f>
        <v>0</v>
      </c>
      <c r="I19" s="706">
        <f>F19+G19+H19</f>
        <v>0</v>
      </c>
      <c r="J19" s="707">
        <f>(F19+G19+H19)/4</f>
        <v>0</v>
      </c>
      <c r="K19" s="708" t="str">
        <f>IF(J19&gt;85,("4"),IF(J19&gt;80,("3.66"),IF(J19&gt;75,("3.33"),IF(J19&gt;70,("3.00"),IF(J19&gt;65,("2.66"),IF(J19&gt;60,("2.33"),IF(J19&gt;55,("2"),IF(J19&gt;50,("1.66"),"1.33"))))))))</f>
        <v>1.33</v>
      </c>
      <c r="L19" s="708" t="str">
        <f>IF(J19&gt;85,("A"),IF(J19&gt;80,("A-"),IF(J19&gt;75,("B+"),IF(J19&gt;70,("B"),IF(J19&gt;65,("B-"),IF(J19&gt;60,("C+"),IF(J19&gt;55,("C"),IF(J19&gt;50,("C-"),"D+"))))))))</f>
        <v>D+</v>
      </c>
      <c r="M19" s="708" t="str">
        <f>IF(J19&gt;80,("SB"),IF(J19&gt;65,("B"),IF(J19&gt;50,("C"),IF(J19&gt;0,("K"),"0"))))</f>
        <v>0</v>
      </c>
      <c r="N19" s="617"/>
      <c r="O19" s="1889"/>
      <c r="P19" s="1889"/>
      <c r="Q19" s="1889"/>
      <c r="R19" s="1889"/>
      <c r="S19" s="619"/>
      <c r="T19" s="619"/>
      <c r="U19" s="619"/>
      <c r="V19" s="619"/>
      <c r="W19" s="623"/>
      <c r="X19" s="1057">
        <f t="shared" ref="X19" si="13">J24</f>
        <v>0</v>
      </c>
      <c r="Y19" s="1194" t="str">
        <f>IF(X19&gt;85,("A"),IF(X19&gt;80,("A-"),IF(X19&gt;75,("B+"),IF(X19&gt;70,("B"),IF(X19&gt;65,("B-"),IF(X19&gt;60,("C+"),IF(X19&gt;55,("C"),IF(X19&gt;50,("C-"),"D+"))))))))</f>
        <v>D+</v>
      </c>
    </row>
    <row r="20" spans="1:25" ht="24.95" customHeight="1" x14ac:dyDescent="0.25">
      <c r="A20" s="360"/>
      <c r="B20" s="683">
        <v>3</v>
      </c>
      <c r="C20" s="634"/>
      <c r="D20" s="1799" t="s">
        <v>7</v>
      </c>
      <c r="E20" s="1891">
        <f>VLOOKUP(A19,UHT_BI,33,FALSE)</f>
        <v>0</v>
      </c>
      <c r="F20" s="1905">
        <f t="shared" ref="F20:F23" si="14">E20*2</f>
        <v>0</v>
      </c>
      <c r="G20" s="362"/>
      <c r="H20" s="627">
        <f>VLOOKUP(B19,REKAP_NILAI,10,FALSE)</f>
        <v>0</v>
      </c>
      <c r="I20" s="709">
        <f t="shared" ref="I20:I23" si="15">F20+G20+H20</f>
        <v>0</v>
      </c>
      <c r="J20" s="710">
        <f t="shared" ref="J20:J23" si="16">(F20+G20+H20)/4</f>
        <v>0</v>
      </c>
      <c r="K20" s="711" t="str">
        <f t="shared" ref="K20:K24" si="17">IF(J20&gt;85,("4"),IF(J20&gt;80,("3.66"),IF(J20&gt;75,("3.33"),IF(J20&gt;70,("3.00"),IF(J20&gt;65,("2.66"),IF(J20&gt;60,("2.33"),IF(J20&gt;55,("2"),IF(J20&gt;50,("1.66"),"1.33"))))))))</f>
        <v>1.33</v>
      </c>
      <c r="L20" s="711" t="str">
        <f t="shared" ref="L20:L24" si="18">IF(J20&gt;85,("A"),IF(J20&gt;80,("A-"),IF(J20&gt;75,("B+"),IF(J20&gt;70,("B"),IF(J20&gt;65,("B-"),IF(J20&gt;60,("C+"),IF(J20&gt;55,("C"),IF(J20&gt;50,("C-"),"D+"))))))))</f>
        <v>D+</v>
      </c>
      <c r="M20" s="712" t="str">
        <f t="shared" ref="M20:M24" si="19">IF(J20&gt;80,("SB"),IF(J20&gt;65,("B"),IF(J20&gt;50,("C"),IF(J20&gt;0,("K"),"0"))))</f>
        <v>0</v>
      </c>
      <c r="N20" s="620"/>
      <c r="O20" s="621"/>
      <c r="P20" s="621"/>
      <c r="Q20" s="621"/>
      <c r="R20" s="621"/>
      <c r="S20" s="622"/>
      <c r="T20" s="622"/>
      <c r="U20" s="622"/>
      <c r="V20" s="622"/>
      <c r="W20" s="622"/>
      <c r="X20" s="1251"/>
      <c r="Y20" s="1252"/>
    </row>
    <row r="21" spans="1:25" ht="24.95" customHeight="1" x14ac:dyDescent="0.25">
      <c r="A21" s="360"/>
      <c r="B21" s="683">
        <v>3</v>
      </c>
      <c r="C21" s="634"/>
      <c r="D21" s="1893" t="s">
        <v>10</v>
      </c>
      <c r="E21" s="1891">
        <f>VLOOKUP(A19,UHT_BI,34,FALSE)</f>
        <v>0</v>
      </c>
      <c r="F21" s="1905">
        <f t="shared" si="14"/>
        <v>0</v>
      </c>
      <c r="G21" s="362"/>
      <c r="H21" s="627">
        <f>VLOOKUP(A19,REKAP_NILAI,11,FALSE)</f>
        <v>0</v>
      </c>
      <c r="I21" s="709">
        <f t="shared" si="15"/>
        <v>0</v>
      </c>
      <c r="J21" s="710">
        <f t="shared" si="16"/>
        <v>0</v>
      </c>
      <c r="K21" s="711" t="str">
        <f t="shared" si="17"/>
        <v>1.33</v>
      </c>
      <c r="L21" s="711" t="str">
        <f t="shared" si="18"/>
        <v>D+</v>
      </c>
      <c r="M21" s="712" t="str">
        <f t="shared" si="19"/>
        <v>0</v>
      </c>
      <c r="N21" s="623"/>
      <c r="O21" s="613"/>
      <c r="P21" s="613"/>
      <c r="Q21" s="613"/>
      <c r="R21" s="613"/>
      <c r="S21" s="615"/>
      <c r="T21" s="615"/>
      <c r="U21" s="615"/>
      <c r="V21" s="615"/>
      <c r="W21" s="615"/>
      <c r="X21" s="1253"/>
      <c r="Y21" s="1254"/>
    </row>
    <row r="22" spans="1:25" ht="24.95" customHeight="1" x14ac:dyDescent="0.25">
      <c r="A22" s="360"/>
      <c r="B22" s="683">
        <v>3</v>
      </c>
      <c r="C22" s="634"/>
      <c r="D22" s="1799" t="s">
        <v>8</v>
      </c>
      <c r="E22" s="1891">
        <f>VLOOKUP(A19,UHT_BI,35,FALSE)</f>
        <v>0</v>
      </c>
      <c r="F22" s="1905">
        <f t="shared" si="14"/>
        <v>0</v>
      </c>
      <c r="G22" s="362"/>
      <c r="H22" s="627">
        <f>VLOOKUP(A19,REKAP_NILAI,12,FALSE)</f>
        <v>0</v>
      </c>
      <c r="I22" s="709">
        <f t="shared" si="15"/>
        <v>0</v>
      </c>
      <c r="J22" s="710">
        <f t="shared" si="16"/>
        <v>0</v>
      </c>
      <c r="K22" s="711" t="str">
        <f t="shared" si="17"/>
        <v>1.33</v>
      </c>
      <c r="L22" s="711" t="str">
        <f t="shared" si="18"/>
        <v>D+</v>
      </c>
      <c r="M22" s="712" t="str">
        <f t="shared" si="19"/>
        <v>0</v>
      </c>
      <c r="N22" s="623"/>
      <c r="O22" s="613"/>
      <c r="P22" s="613"/>
      <c r="Q22" s="613"/>
      <c r="R22" s="613"/>
      <c r="S22" s="615"/>
      <c r="T22" s="615"/>
      <c r="U22" s="615"/>
      <c r="V22" s="615"/>
      <c r="W22" s="615"/>
      <c r="X22" s="1253"/>
      <c r="Y22" s="1254"/>
    </row>
    <row r="23" spans="1:25" ht="24.95" customHeight="1" x14ac:dyDescent="0.25">
      <c r="A23" s="360"/>
      <c r="B23" s="683">
        <v>3</v>
      </c>
      <c r="C23" s="634"/>
      <c r="D23" s="1893" t="s">
        <v>18</v>
      </c>
      <c r="E23" s="1891">
        <f>-VLOOKUP(A19,UHT_BI,36,FALSE)</f>
        <v>0</v>
      </c>
      <c r="F23" s="1905">
        <f t="shared" si="14"/>
        <v>0</v>
      </c>
      <c r="G23" s="362"/>
      <c r="H23" s="627">
        <f>VLOOKUP(A19,REKAP_NILAI,13,FALSE)</f>
        <v>0</v>
      </c>
      <c r="I23" s="709">
        <f t="shared" si="15"/>
        <v>0</v>
      </c>
      <c r="J23" s="710">
        <f t="shared" si="16"/>
        <v>0</v>
      </c>
      <c r="K23" s="711" t="str">
        <f t="shared" si="17"/>
        <v>1.33</v>
      </c>
      <c r="L23" s="711" t="str">
        <f t="shared" si="18"/>
        <v>D+</v>
      </c>
      <c r="M23" s="712" t="str">
        <f t="shared" si="19"/>
        <v>0</v>
      </c>
      <c r="N23" s="624"/>
      <c r="O23" s="614"/>
      <c r="P23" s="614"/>
      <c r="Q23" s="614"/>
      <c r="R23" s="614"/>
      <c r="S23" s="616"/>
      <c r="T23" s="616"/>
      <c r="U23" s="616"/>
      <c r="V23" s="616"/>
      <c r="W23" s="616"/>
      <c r="X23" s="1255"/>
      <c r="Y23" s="1256"/>
    </row>
    <row r="24" spans="1:25" ht="24.95" customHeight="1" x14ac:dyDescent="0.25">
      <c r="A24" s="363"/>
      <c r="B24" s="698"/>
      <c r="C24" s="635" t="s">
        <v>464</v>
      </c>
      <c r="D24" s="629">
        <v>3</v>
      </c>
      <c r="E24" s="363"/>
      <c r="F24" s="1907"/>
      <c r="G24" s="363"/>
      <c r="H24" s="1189">
        <f>AVERAGE(H19:H23)</f>
        <v>0</v>
      </c>
      <c r="I24" s="1250"/>
      <c r="J24" s="713">
        <f>AVERAGE(J19:J23)</f>
        <v>0</v>
      </c>
      <c r="K24" s="714" t="str">
        <f t="shared" si="17"/>
        <v>1.33</v>
      </c>
      <c r="L24" s="714" t="str">
        <f t="shared" si="18"/>
        <v>D+</v>
      </c>
      <c r="M24" s="888" t="str">
        <f t="shared" si="19"/>
        <v>0</v>
      </c>
      <c r="N24" s="630"/>
      <c r="O24" s="631"/>
      <c r="P24" s="631"/>
      <c r="Q24" s="631"/>
      <c r="R24" s="631"/>
      <c r="S24" s="631"/>
      <c r="T24" s="631"/>
      <c r="U24" s="631"/>
      <c r="V24" s="631"/>
      <c r="W24" s="631"/>
      <c r="X24" s="1257"/>
      <c r="Y24" s="1258"/>
    </row>
    <row r="25" spans="1:25" ht="24.95" customHeight="1" x14ac:dyDescent="0.25">
      <c r="A25" s="360">
        <v>4</v>
      </c>
      <c r="B25" s="683">
        <v>4</v>
      </c>
      <c r="C25" s="633" t="str">
        <f>VLOOKUP(A25,data_siswa,4,FALSE)</f>
        <v>Antonio Permata A</v>
      </c>
      <c r="D25" s="1893" t="s">
        <v>12</v>
      </c>
      <c r="E25" s="1891">
        <f>VLOOKUP(A25,UHT_BI,32,FALSE)</f>
        <v>0</v>
      </c>
      <c r="F25" s="1904">
        <f>E25*2</f>
        <v>0</v>
      </c>
      <c r="G25" s="1891"/>
      <c r="H25" s="627">
        <f>VLOOKUP(B25,REKAP_NILAI,9,FALSE)</f>
        <v>0</v>
      </c>
      <c r="I25" s="706">
        <f>F25+G25+H25</f>
        <v>0</v>
      </c>
      <c r="J25" s="707">
        <f>(F25+G25+H25)/4</f>
        <v>0</v>
      </c>
      <c r="K25" s="708" t="str">
        <f>IF(J25&gt;85,("4"),IF(J25&gt;80,("3.66"),IF(J25&gt;75,("3.33"),IF(J25&gt;70,("3.00"),IF(J25&gt;65,("2.66"),IF(J25&gt;60,("2.33"),IF(J25&gt;55,("2"),IF(J25&gt;50,("1.66"),"1.33"))))))))</f>
        <v>1.33</v>
      </c>
      <c r="L25" s="708" t="str">
        <f>IF(J25&gt;85,("A"),IF(J25&gt;80,("A-"),IF(J25&gt;75,("B+"),IF(J25&gt;70,("B"),IF(J25&gt;65,("B-"),IF(J25&gt;60,("C+"),IF(J25&gt;55,("C"),IF(J25&gt;50,("C-"),"D+"))))))))</f>
        <v>D+</v>
      </c>
      <c r="M25" s="708" t="str">
        <f>IF(J25&gt;80,("SB"),IF(J25&gt;65,("B"),IF(J25&gt;50,("C"),IF(J25&gt;0,("K"),"0"))))</f>
        <v>0</v>
      </c>
      <c r="N25" s="617"/>
      <c r="O25" s="1889"/>
      <c r="P25" s="1889"/>
      <c r="Q25" s="1889"/>
      <c r="R25" s="1889"/>
      <c r="S25" s="619"/>
      <c r="T25" s="619"/>
      <c r="U25" s="619"/>
      <c r="V25" s="619"/>
      <c r="W25" s="623"/>
      <c r="X25" s="1057">
        <f t="shared" ref="X25" si="20">J30</f>
        <v>0</v>
      </c>
      <c r="Y25" s="1194" t="str">
        <f>IF(X25&gt;85,("A"),IF(X25&gt;80,("A-"),IF(X25&gt;75,("B+"),IF(X25&gt;70,("B"),IF(X25&gt;65,("B-"),IF(X25&gt;60,("C+"),IF(X25&gt;55,("C"),IF(X25&gt;50,("C-"),"D+"))))))))</f>
        <v>D+</v>
      </c>
    </row>
    <row r="26" spans="1:25" ht="24.95" customHeight="1" x14ac:dyDescent="0.25">
      <c r="A26" s="360"/>
      <c r="B26" s="683">
        <v>4</v>
      </c>
      <c r="C26" s="634"/>
      <c r="D26" s="1799" t="s">
        <v>7</v>
      </c>
      <c r="E26" s="1891">
        <f>VLOOKUP(A25,UHT_BI,33,FALSE)</f>
        <v>0</v>
      </c>
      <c r="F26" s="1905">
        <f t="shared" ref="F26:F29" si="21">E26*2</f>
        <v>0</v>
      </c>
      <c r="G26" s="362"/>
      <c r="H26" s="627">
        <f>VLOOKUP(B25,REKAP_NILAI,10,FALSE)</f>
        <v>0</v>
      </c>
      <c r="I26" s="709">
        <f t="shared" ref="I26:I29" si="22">F26+G26+H26</f>
        <v>0</v>
      </c>
      <c r="J26" s="710">
        <f t="shared" ref="J26:J29" si="23">(F26+G26+H26)/4</f>
        <v>0</v>
      </c>
      <c r="K26" s="711" t="str">
        <f t="shared" ref="K26:K30" si="24">IF(J26&gt;85,("4"),IF(J26&gt;80,("3.66"),IF(J26&gt;75,("3.33"),IF(J26&gt;70,("3.00"),IF(J26&gt;65,("2.66"),IF(J26&gt;60,("2.33"),IF(J26&gt;55,("2"),IF(J26&gt;50,("1.66"),"1.33"))))))))</f>
        <v>1.33</v>
      </c>
      <c r="L26" s="711" t="str">
        <f t="shared" ref="L26:L30" si="25">IF(J26&gt;85,("A"),IF(J26&gt;80,("A-"),IF(J26&gt;75,("B+"),IF(J26&gt;70,("B"),IF(J26&gt;65,("B-"),IF(J26&gt;60,("C+"),IF(J26&gt;55,("C"),IF(J26&gt;50,("C-"),"D+"))))))))</f>
        <v>D+</v>
      </c>
      <c r="M26" s="712" t="str">
        <f t="shared" ref="M26:M30" si="26">IF(J26&gt;80,("SB"),IF(J26&gt;65,("B"),IF(J26&gt;50,("C"),IF(J26&gt;0,("K"),"0"))))</f>
        <v>0</v>
      </c>
      <c r="N26" s="620"/>
      <c r="O26" s="621"/>
      <c r="P26" s="621"/>
      <c r="Q26" s="621"/>
      <c r="R26" s="621"/>
      <c r="S26" s="622"/>
      <c r="T26" s="622"/>
      <c r="U26" s="622"/>
      <c r="V26" s="622"/>
      <c r="W26" s="622"/>
      <c r="X26" s="1251"/>
      <c r="Y26" s="1252"/>
    </row>
    <row r="27" spans="1:25" ht="24.95" customHeight="1" x14ac:dyDescent="0.25">
      <c r="A27" s="360"/>
      <c r="B27" s="683">
        <v>4</v>
      </c>
      <c r="C27" s="634"/>
      <c r="D27" s="1893" t="s">
        <v>10</v>
      </c>
      <c r="E27" s="1891">
        <f>VLOOKUP(A25,UHT_BI,34,FALSE)</f>
        <v>0</v>
      </c>
      <c r="F27" s="1905">
        <f t="shared" si="21"/>
        <v>0</v>
      </c>
      <c r="G27" s="362"/>
      <c r="H27" s="627">
        <f>VLOOKUP(A25,REKAP_NILAI,11,FALSE)</f>
        <v>0</v>
      </c>
      <c r="I27" s="709">
        <f t="shared" si="22"/>
        <v>0</v>
      </c>
      <c r="J27" s="710">
        <f t="shared" si="23"/>
        <v>0</v>
      </c>
      <c r="K27" s="711" t="str">
        <f t="shared" si="24"/>
        <v>1.33</v>
      </c>
      <c r="L27" s="711" t="str">
        <f t="shared" si="25"/>
        <v>D+</v>
      </c>
      <c r="M27" s="712" t="str">
        <f t="shared" si="26"/>
        <v>0</v>
      </c>
      <c r="N27" s="623"/>
      <c r="O27" s="613"/>
      <c r="P27" s="613"/>
      <c r="Q27" s="613"/>
      <c r="R27" s="613"/>
      <c r="S27" s="615"/>
      <c r="T27" s="615"/>
      <c r="U27" s="615"/>
      <c r="V27" s="615"/>
      <c r="W27" s="615"/>
      <c r="X27" s="1253"/>
      <c r="Y27" s="1254"/>
    </row>
    <row r="28" spans="1:25" ht="24.95" customHeight="1" x14ac:dyDescent="0.25">
      <c r="A28" s="360"/>
      <c r="B28" s="683">
        <v>4</v>
      </c>
      <c r="C28" s="634"/>
      <c r="D28" s="1799" t="s">
        <v>8</v>
      </c>
      <c r="E28" s="1891">
        <f>VLOOKUP(A25,UHT_BI,35,FALSE)</f>
        <v>0</v>
      </c>
      <c r="F28" s="1905">
        <f t="shared" si="21"/>
        <v>0</v>
      </c>
      <c r="G28" s="362"/>
      <c r="H28" s="627">
        <f>VLOOKUP(A25,REKAP_NILAI,12,FALSE)</f>
        <v>0</v>
      </c>
      <c r="I28" s="709">
        <f t="shared" si="22"/>
        <v>0</v>
      </c>
      <c r="J28" s="710">
        <f t="shared" si="23"/>
        <v>0</v>
      </c>
      <c r="K28" s="711" t="str">
        <f t="shared" si="24"/>
        <v>1.33</v>
      </c>
      <c r="L28" s="711" t="str">
        <f t="shared" si="25"/>
        <v>D+</v>
      </c>
      <c r="M28" s="712" t="str">
        <f t="shared" si="26"/>
        <v>0</v>
      </c>
      <c r="N28" s="623"/>
      <c r="O28" s="613"/>
      <c r="P28" s="613"/>
      <c r="Q28" s="613"/>
      <c r="R28" s="613"/>
      <c r="S28" s="615"/>
      <c r="T28" s="615"/>
      <c r="U28" s="615"/>
      <c r="V28" s="615"/>
      <c r="W28" s="615"/>
      <c r="X28" s="1253"/>
      <c r="Y28" s="1254"/>
    </row>
    <row r="29" spans="1:25" ht="24.95" customHeight="1" x14ac:dyDescent="0.25">
      <c r="A29" s="360"/>
      <c r="B29" s="683">
        <v>4</v>
      </c>
      <c r="C29" s="634"/>
      <c r="D29" s="1893" t="s">
        <v>18</v>
      </c>
      <c r="E29" s="1891">
        <f>-VLOOKUP(A25,UHT_BI,36,FALSE)</f>
        <v>0</v>
      </c>
      <c r="F29" s="1905">
        <f t="shared" si="21"/>
        <v>0</v>
      </c>
      <c r="G29" s="362"/>
      <c r="H29" s="627">
        <f>VLOOKUP(A25,REKAP_NILAI,13,FALSE)</f>
        <v>0</v>
      </c>
      <c r="I29" s="709">
        <f t="shared" si="22"/>
        <v>0</v>
      </c>
      <c r="J29" s="710">
        <f t="shared" si="23"/>
        <v>0</v>
      </c>
      <c r="K29" s="711" t="str">
        <f t="shared" si="24"/>
        <v>1.33</v>
      </c>
      <c r="L29" s="711" t="str">
        <f t="shared" si="25"/>
        <v>D+</v>
      </c>
      <c r="M29" s="712" t="str">
        <f t="shared" si="26"/>
        <v>0</v>
      </c>
      <c r="N29" s="624"/>
      <c r="O29" s="614"/>
      <c r="P29" s="614"/>
      <c r="Q29" s="614"/>
      <c r="R29" s="614"/>
      <c r="S29" s="616"/>
      <c r="T29" s="616"/>
      <c r="U29" s="616"/>
      <c r="V29" s="616"/>
      <c r="W29" s="616"/>
      <c r="X29" s="1255"/>
      <c r="Y29" s="1256"/>
    </row>
    <row r="30" spans="1:25" ht="24.95" customHeight="1" x14ac:dyDescent="0.25">
      <c r="A30" s="363"/>
      <c r="B30" s="698"/>
      <c r="C30" s="635" t="s">
        <v>464</v>
      </c>
      <c r="D30" s="629">
        <v>4</v>
      </c>
      <c r="E30" s="363"/>
      <c r="F30" s="1907"/>
      <c r="G30" s="363"/>
      <c r="H30" s="1189">
        <f>AVERAGE(H25:H29)</f>
        <v>0</v>
      </c>
      <c r="I30" s="1250"/>
      <c r="J30" s="713">
        <f>AVERAGE(J25:J29)</f>
        <v>0</v>
      </c>
      <c r="K30" s="714" t="str">
        <f t="shared" si="24"/>
        <v>1.33</v>
      </c>
      <c r="L30" s="714" t="str">
        <f t="shared" si="25"/>
        <v>D+</v>
      </c>
      <c r="M30" s="888" t="str">
        <f t="shared" si="26"/>
        <v>0</v>
      </c>
      <c r="N30" s="630"/>
      <c r="O30" s="631"/>
      <c r="P30" s="631"/>
      <c r="Q30" s="631"/>
      <c r="R30" s="631"/>
      <c r="S30" s="631"/>
      <c r="T30" s="631"/>
      <c r="U30" s="631"/>
      <c r="V30" s="631"/>
      <c r="W30" s="631"/>
      <c r="X30" s="1257"/>
      <c r="Y30" s="1258"/>
    </row>
    <row r="31" spans="1:25" ht="24.95" customHeight="1" x14ac:dyDescent="0.25">
      <c r="A31" s="360">
        <v>5</v>
      </c>
      <c r="B31" s="683">
        <v>5</v>
      </c>
      <c r="C31" s="633" t="str">
        <f>VLOOKUP(A31,data_siswa,4,FALSE)</f>
        <v>Arya Pratama G</v>
      </c>
      <c r="D31" s="1893" t="s">
        <v>12</v>
      </c>
      <c r="E31" s="1891">
        <f>VLOOKUP(A31,UHT_BI,32,FALSE)</f>
        <v>0</v>
      </c>
      <c r="F31" s="1904">
        <f>E31*2</f>
        <v>0</v>
      </c>
      <c r="G31" s="1891"/>
      <c r="H31" s="627">
        <f>VLOOKUP(B31,REKAP_NILAI,9,FALSE)</f>
        <v>0</v>
      </c>
      <c r="I31" s="706">
        <f>F31+G31+H31</f>
        <v>0</v>
      </c>
      <c r="J31" s="707">
        <f>(F31+G31+H31)/4</f>
        <v>0</v>
      </c>
      <c r="K31" s="708" t="str">
        <f>IF(J31&gt;85,("4"),IF(J31&gt;80,("3.66"),IF(J31&gt;75,("3.33"),IF(J31&gt;70,("3.00"),IF(J31&gt;65,("2.66"),IF(J31&gt;60,("2.33"),IF(J31&gt;55,("2"),IF(J31&gt;50,("1.66"),"1.33"))))))))</f>
        <v>1.33</v>
      </c>
      <c r="L31" s="708" t="str">
        <f>IF(J31&gt;85,("A"),IF(J31&gt;80,("A-"),IF(J31&gt;75,("B+"),IF(J31&gt;70,("B"),IF(J31&gt;65,("B-"),IF(J31&gt;60,("C+"),IF(J31&gt;55,("C"),IF(J31&gt;50,("C-"),"D+"))))))))</f>
        <v>D+</v>
      </c>
      <c r="M31" s="708" t="str">
        <f>IF(J31&gt;80,("SB"),IF(J31&gt;65,("B"),IF(J31&gt;50,("C"),IF(J31&gt;0,("K"),"0"))))</f>
        <v>0</v>
      </c>
      <c r="N31" s="617"/>
      <c r="O31" s="1889"/>
      <c r="P31" s="1889"/>
      <c r="Q31" s="1889"/>
      <c r="R31" s="1889"/>
      <c r="S31" s="619"/>
      <c r="T31" s="619"/>
      <c r="U31" s="619"/>
      <c r="V31" s="619"/>
      <c r="W31" s="623"/>
      <c r="X31" s="1057">
        <f t="shared" ref="X31" si="27">J36</f>
        <v>0</v>
      </c>
      <c r="Y31" s="1194" t="str">
        <f>IF(X31&gt;85,("A"),IF(X31&gt;80,("A-"),IF(X31&gt;75,("B+"),IF(X31&gt;70,("B"),IF(X31&gt;65,("B-"),IF(X31&gt;60,("C+"),IF(X31&gt;55,("C"),IF(X31&gt;50,("C-"),"D+"))))))))</f>
        <v>D+</v>
      </c>
    </row>
    <row r="32" spans="1:25" ht="24.95" customHeight="1" x14ac:dyDescent="0.25">
      <c r="A32" s="360"/>
      <c r="B32" s="683">
        <v>5</v>
      </c>
      <c r="C32" s="634"/>
      <c r="D32" s="1799" t="s">
        <v>7</v>
      </c>
      <c r="E32" s="1891">
        <f>VLOOKUP(A31,UHT_BI,33,FALSE)</f>
        <v>0</v>
      </c>
      <c r="F32" s="1905">
        <f t="shared" ref="F32:F35" si="28">E32*2</f>
        <v>0</v>
      </c>
      <c r="G32" s="362"/>
      <c r="H32" s="627">
        <f>VLOOKUP(B31,REKAP_NILAI,10,FALSE)</f>
        <v>0</v>
      </c>
      <c r="I32" s="709">
        <f t="shared" ref="I32:I35" si="29">F32+G32+H32</f>
        <v>0</v>
      </c>
      <c r="J32" s="710">
        <f t="shared" ref="J32:J35" si="30">(F32+G32+H32)/4</f>
        <v>0</v>
      </c>
      <c r="K32" s="711" t="str">
        <f t="shared" ref="K32:K36" si="31">IF(J32&gt;85,("4"),IF(J32&gt;80,("3.66"),IF(J32&gt;75,("3.33"),IF(J32&gt;70,("3.00"),IF(J32&gt;65,("2.66"),IF(J32&gt;60,("2.33"),IF(J32&gt;55,("2"),IF(J32&gt;50,("1.66"),"1.33"))))))))</f>
        <v>1.33</v>
      </c>
      <c r="L32" s="711" t="str">
        <f t="shared" ref="L32:L36" si="32">IF(J32&gt;85,("A"),IF(J32&gt;80,("A-"),IF(J32&gt;75,("B+"),IF(J32&gt;70,("B"),IF(J32&gt;65,("B-"),IF(J32&gt;60,("C+"),IF(J32&gt;55,("C"),IF(J32&gt;50,("C-"),"D+"))))))))</f>
        <v>D+</v>
      </c>
      <c r="M32" s="712" t="str">
        <f t="shared" ref="M32:M36" si="33">IF(J32&gt;80,("SB"),IF(J32&gt;65,("B"),IF(J32&gt;50,("C"),IF(J32&gt;0,("K"),"0"))))</f>
        <v>0</v>
      </c>
      <c r="N32" s="620"/>
      <c r="O32" s="621"/>
      <c r="P32" s="621"/>
      <c r="Q32" s="621"/>
      <c r="R32" s="621"/>
      <c r="S32" s="622"/>
      <c r="T32" s="622"/>
      <c r="U32" s="622"/>
      <c r="V32" s="622"/>
      <c r="W32" s="622"/>
      <c r="X32" s="1251"/>
      <c r="Y32" s="1252"/>
    </row>
    <row r="33" spans="1:25" ht="24.95" customHeight="1" x14ac:dyDescent="0.25">
      <c r="A33" s="360"/>
      <c r="B33" s="683">
        <v>5</v>
      </c>
      <c r="C33" s="634"/>
      <c r="D33" s="1893" t="s">
        <v>10</v>
      </c>
      <c r="E33" s="1891">
        <f>VLOOKUP(A31,UHT_BI,34,FALSE)</f>
        <v>0</v>
      </c>
      <c r="F33" s="1905">
        <f t="shared" si="28"/>
        <v>0</v>
      </c>
      <c r="G33" s="362"/>
      <c r="H33" s="627">
        <f>VLOOKUP(A31,REKAP_NILAI,11,FALSE)</f>
        <v>0</v>
      </c>
      <c r="I33" s="709">
        <f t="shared" si="29"/>
        <v>0</v>
      </c>
      <c r="J33" s="710">
        <f t="shared" si="30"/>
        <v>0</v>
      </c>
      <c r="K33" s="711" t="str">
        <f t="shared" si="31"/>
        <v>1.33</v>
      </c>
      <c r="L33" s="711" t="str">
        <f t="shared" si="32"/>
        <v>D+</v>
      </c>
      <c r="M33" s="712" t="str">
        <f t="shared" si="33"/>
        <v>0</v>
      </c>
      <c r="N33" s="623"/>
      <c r="O33" s="613"/>
      <c r="P33" s="613"/>
      <c r="Q33" s="613"/>
      <c r="R33" s="613"/>
      <c r="S33" s="615"/>
      <c r="T33" s="615"/>
      <c r="U33" s="615"/>
      <c r="V33" s="615"/>
      <c r="W33" s="615"/>
      <c r="X33" s="1253"/>
      <c r="Y33" s="1254"/>
    </row>
    <row r="34" spans="1:25" ht="24.95" customHeight="1" x14ac:dyDescent="0.25">
      <c r="A34" s="360"/>
      <c r="B34" s="683">
        <v>5</v>
      </c>
      <c r="C34" s="634"/>
      <c r="D34" s="1799" t="s">
        <v>8</v>
      </c>
      <c r="E34" s="1891">
        <f>VLOOKUP(A31,UHT_BI,35,FALSE)</f>
        <v>0</v>
      </c>
      <c r="F34" s="1905">
        <f t="shared" si="28"/>
        <v>0</v>
      </c>
      <c r="G34" s="362"/>
      <c r="H34" s="627">
        <f>VLOOKUP(A31,REKAP_NILAI,12,FALSE)</f>
        <v>0</v>
      </c>
      <c r="I34" s="709">
        <f t="shared" si="29"/>
        <v>0</v>
      </c>
      <c r="J34" s="710">
        <f t="shared" si="30"/>
        <v>0</v>
      </c>
      <c r="K34" s="711" t="str">
        <f t="shared" si="31"/>
        <v>1.33</v>
      </c>
      <c r="L34" s="711" t="str">
        <f t="shared" si="32"/>
        <v>D+</v>
      </c>
      <c r="M34" s="712" t="str">
        <f t="shared" si="33"/>
        <v>0</v>
      </c>
      <c r="N34" s="623"/>
      <c r="O34" s="613"/>
      <c r="P34" s="613"/>
      <c r="Q34" s="613"/>
      <c r="R34" s="613"/>
      <c r="S34" s="615"/>
      <c r="T34" s="615"/>
      <c r="U34" s="615"/>
      <c r="V34" s="615"/>
      <c r="W34" s="615"/>
      <c r="X34" s="1253"/>
      <c r="Y34" s="1254"/>
    </row>
    <row r="35" spans="1:25" ht="24.95" customHeight="1" x14ac:dyDescent="0.25">
      <c r="A35" s="360"/>
      <c r="B35" s="683">
        <v>5</v>
      </c>
      <c r="C35" s="634"/>
      <c r="D35" s="1893" t="s">
        <v>18</v>
      </c>
      <c r="E35" s="1891">
        <f>-VLOOKUP(A31,UHT_BI,36,FALSE)</f>
        <v>0</v>
      </c>
      <c r="F35" s="1905">
        <f t="shared" si="28"/>
        <v>0</v>
      </c>
      <c r="G35" s="362"/>
      <c r="H35" s="627">
        <f>VLOOKUP(A31,REKAP_NILAI,13,FALSE)</f>
        <v>0</v>
      </c>
      <c r="I35" s="709">
        <f t="shared" si="29"/>
        <v>0</v>
      </c>
      <c r="J35" s="710">
        <f t="shared" si="30"/>
        <v>0</v>
      </c>
      <c r="K35" s="711" t="str">
        <f t="shared" si="31"/>
        <v>1.33</v>
      </c>
      <c r="L35" s="711" t="str">
        <f t="shared" si="32"/>
        <v>D+</v>
      </c>
      <c r="M35" s="712" t="str">
        <f t="shared" si="33"/>
        <v>0</v>
      </c>
      <c r="N35" s="624"/>
      <c r="O35" s="614"/>
      <c r="P35" s="614"/>
      <c r="Q35" s="614"/>
      <c r="R35" s="614"/>
      <c r="S35" s="616"/>
      <c r="T35" s="616"/>
      <c r="U35" s="616"/>
      <c r="V35" s="616"/>
      <c r="W35" s="616"/>
      <c r="X35" s="1255"/>
      <c r="Y35" s="1256"/>
    </row>
    <row r="36" spans="1:25" ht="24.95" customHeight="1" x14ac:dyDescent="0.25">
      <c r="A36" s="363"/>
      <c r="B36" s="698"/>
      <c r="C36" s="635" t="s">
        <v>464</v>
      </c>
      <c r="D36" s="629">
        <v>5</v>
      </c>
      <c r="E36" s="363"/>
      <c r="F36" s="1907"/>
      <c r="G36" s="363"/>
      <c r="H36" s="1189">
        <f>AVERAGE(H31:H35)</f>
        <v>0</v>
      </c>
      <c r="I36" s="1250"/>
      <c r="J36" s="713">
        <f>AVERAGE(J31:J35)</f>
        <v>0</v>
      </c>
      <c r="K36" s="714" t="str">
        <f t="shared" si="31"/>
        <v>1.33</v>
      </c>
      <c r="L36" s="714" t="str">
        <f t="shared" si="32"/>
        <v>D+</v>
      </c>
      <c r="M36" s="888" t="str">
        <f t="shared" si="33"/>
        <v>0</v>
      </c>
      <c r="N36" s="630"/>
      <c r="O36" s="631"/>
      <c r="P36" s="631"/>
      <c r="Q36" s="631"/>
      <c r="R36" s="631"/>
      <c r="S36" s="631"/>
      <c r="T36" s="631"/>
      <c r="U36" s="631"/>
      <c r="V36" s="631"/>
      <c r="W36" s="631"/>
      <c r="X36" s="1257"/>
      <c r="Y36" s="1258"/>
    </row>
    <row r="37" spans="1:25" ht="24.95" customHeight="1" x14ac:dyDescent="0.25">
      <c r="A37" s="360">
        <v>6</v>
      </c>
      <c r="B37" s="683">
        <v>6</v>
      </c>
      <c r="C37" s="633" t="str">
        <f>VLOOKUP(A37,data_siswa,4,FALSE)</f>
        <v>Asyam Hanif Ihsan H</v>
      </c>
      <c r="D37" s="1893" t="s">
        <v>12</v>
      </c>
      <c r="E37" s="1891">
        <f>VLOOKUP(A37,UHT_BI,32,FALSE)</f>
        <v>0</v>
      </c>
      <c r="F37" s="1904">
        <f>E37*2</f>
        <v>0</v>
      </c>
      <c r="G37" s="1891"/>
      <c r="H37" s="627">
        <f>VLOOKUP(B37,REKAP_NILAI,9,FALSE)</f>
        <v>0</v>
      </c>
      <c r="I37" s="706">
        <f>F37+G37+H37</f>
        <v>0</v>
      </c>
      <c r="J37" s="707">
        <f>(F37+G37+H37)/4</f>
        <v>0</v>
      </c>
      <c r="K37" s="708" t="str">
        <f>IF(J37&gt;85,("4"),IF(J37&gt;80,("3.66"),IF(J37&gt;75,("3.33"),IF(J37&gt;70,("3.00"),IF(J37&gt;65,("2.66"),IF(J37&gt;60,("2.33"),IF(J37&gt;55,("2"),IF(J37&gt;50,("1.66"),"1.33"))))))))</f>
        <v>1.33</v>
      </c>
      <c r="L37" s="708" t="str">
        <f>IF(J37&gt;85,("A"),IF(J37&gt;80,("A-"),IF(J37&gt;75,("B+"),IF(J37&gt;70,("B"),IF(J37&gt;65,("B-"),IF(J37&gt;60,("C+"),IF(J37&gt;55,("C"),IF(J37&gt;50,("C-"),"D+"))))))))</f>
        <v>D+</v>
      </c>
      <c r="M37" s="708" t="str">
        <f>IF(J37&gt;80,("SB"),IF(J37&gt;65,("B"),IF(J37&gt;50,("C"),IF(J37&gt;0,("K"),"0"))))</f>
        <v>0</v>
      </c>
      <c r="N37" s="617"/>
      <c r="O37" s="1889"/>
      <c r="P37" s="1889"/>
      <c r="Q37" s="1889"/>
      <c r="R37" s="1889"/>
      <c r="S37" s="619"/>
      <c r="T37" s="619"/>
      <c r="U37" s="619"/>
      <c r="V37" s="619"/>
      <c r="W37" s="623"/>
      <c r="X37" s="1057">
        <f t="shared" ref="X37" si="34">J42</f>
        <v>0</v>
      </c>
      <c r="Y37" s="1194" t="str">
        <f>IF(X37&gt;85,("A"),IF(X37&gt;80,("A-"),IF(X37&gt;75,("B+"),IF(X37&gt;70,("B"),IF(X37&gt;65,("B-"),IF(X37&gt;60,("C+"),IF(X37&gt;55,("C"),IF(X37&gt;50,("C-"),"D+"))))))))</f>
        <v>D+</v>
      </c>
    </row>
    <row r="38" spans="1:25" ht="24.95" customHeight="1" x14ac:dyDescent="0.25">
      <c r="A38" s="360"/>
      <c r="B38" s="683">
        <v>6</v>
      </c>
      <c r="C38" s="634"/>
      <c r="D38" s="1799" t="s">
        <v>7</v>
      </c>
      <c r="E38" s="1891">
        <f>VLOOKUP(A37,UHT_BI,33,FALSE)</f>
        <v>0</v>
      </c>
      <c r="F38" s="1905">
        <f t="shared" ref="F38:F41" si="35">E38*2</f>
        <v>0</v>
      </c>
      <c r="G38" s="362"/>
      <c r="H38" s="627">
        <f>VLOOKUP(B37,REKAP_NILAI,10,FALSE)</f>
        <v>0</v>
      </c>
      <c r="I38" s="709">
        <f t="shared" ref="I38:I41" si="36">F38+G38+H38</f>
        <v>0</v>
      </c>
      <c r="J38" s="710">
        <f t="shared" ref="J38:J41" si="37">(F38+G38+H38)/4</f>
        <v>0</v>
      </c>
      <c r="K38" s="711" t="str">
        <f t="shared" ref="K38:K42" si="38">IF(J38&gt;85,("4"),IF(J38&gt;80,("3.66"),IF(J38&gt;75,("3.33"),IF(J38&gt;70,("3.00"),IF(J38&gt;65,("2.66"),IF(J38&gt;60,("2.33"),IF(J38&gt;55,("2"),IF(J38&gt;50,("1.66"),"1.33"))))))))</f>
        <v>1.33</v>
      </c>
      <c r="L38" s="711" t="str">
        <f t="shared" ref="L38:L42" si="39">IF(J38&gt;85,("A"),IF(J38&gt;80,("A-"),IF(J38&gt;75,("B+"),IF(J38&gt;70,("B"),IF(J38&gt;65,("B-"),IF(J38&gt;60,("C+"),IF(J38&gt;55,("C"),IF(J38&gt;50,("C-"),"D+"))))))))</f>
        <v>D+</v>
      </c>
      <c r="M38" s="712" t="str">
        <f t="shared" ref="M38:M42" si="40">IF(J38&gt;80,("SB"),IF(J38&gt;65,("B"),IF(J38&gt;50,("C"),IF(J38&gt;0,("K"),"0"))))</f>
        <v>0</v>
      </c>
      <c r="N38" s="620"/>
      <c r="O38" s="621"/>
      <c r="P38" s="621"/>
      <c r="Q38" s="621"/>
      <c r="R38" s="621"/>
      <c r="S38" s="622"/>
      <c r="T38" s="622"/>
      <c r="U38" s="622"/>
      <c r="V38" s="622"/>
      <c r="W38" s="622"/>
      <c r="X38" s="1251"/>
      <c r="Y38" s="1252"/>
    </row>
    <row r="39" spans="1:25" ht="24.95" customHeight="1" x14ac:dyDescent="0.25">
      <c r="A39" s="360"/>
      <c r="B39" s="683">
        <v>6</v>
      </c>
      <c r="C39" s="634"/>
      <c r="D39" s="1893" t="s">
        <v>10</v>
      </c>
      <c r="E39" s="1891">
        <f>VLOOKUP(A37,UHT_BI,34,FALSE)</f>
        <v>0</v>
      </c>
      <c r="F39" s="1905">
        <f t="shared" si="35"/>
        <v>0</v>
      </c>
      <c r="G39" s="362"/>
      <c r="H39" s="627">
        <f>VLOOKUP(A37,REKAP_NILAI,11,FALSE)</f>
        <v>0</v>
      </c>
      <c r="I39" s="709">
        <f t="shared" si="36"/>
        <v>0</v>
      </c>
      <c r="J39" s="710">
        <f t="shared" si="37"/>
        <v>0</v>
      </c>
      <c r="K39" s="711" t="str">
        <f t="shared" si="38"/>
        <v>1.33</v>
      </c>
      <c r="L39" s="711" t="str">
        <f t="shared" si="39"/>
        <v>D+</v>
      </c>
      <c r="M39" s="712" t="str">
        <f t="shared" si="40"/>
        <v>0</v>
      </c>
      <c r="N39" s="623"/>
      <c r="O39" s="613"/>
      <c r="P39" s="613"/>
      <c r="Q39" s="613"/>
      <c r="R39" s="613"/>
      <c r="S39" s="615"/>
      <c r="T39" s="615"/>
      <c r="U39" s="615"/>
      <c r="V39" s="615"/>
      <c r="W39" s="615"/>
      <c r="X39" s="1253"/>
      <c r="Y39" s="1254"/>
    </row>
    <row r="40" spans="1:25" ht="24.95" customHeight="1" x14ac:dyDescent="0.25">
      <c r="A40" s="360"/>
      <c r="B40" s="683">
        <v>6</v>
      </c>
      <c r="C40" s="634"/>
      <c r="D40" s="1799" t="s">
        <v>8</v>
      </c>
      <c r="E40" s="1891">
        <f>VLOOKUP(A37,UHT_BI,35,FALSE)</f>
        <v>0</v>
      </c>
      <c r="F40" s="1905">
        <f t="shared" si="35"/>
        <v>0</v>
      </c>
      <c r="G40" s="362"/>
      <c r="H40" s="627">
        <f>VLOOKUP(A37,REKAP_NILAI,12,FALSE)</f>
        <v>0</v>
      </c>
      <c r="I40" s="709">
        <f t="shared" si="36"/>
        <v>0</v>
      </c>
      <c r="J40" s="710">
        <f t="shared" si="37"/>
        <v>0</v>
      </c>
      <c r="K40" s="711" t="str">
        <f t="shared" si="38"/>
        <v>1.33</v>
      </c>
      <c r="L40" s="711" t="str">
        <f t="shared" si="39"/>
        <v>D+</v>
      </c>
      <c r="M40" s="712" t="str">
        <f t="shared" si="40"/>
        <v>0</v>
      </c>
      <c r="N40" s="623"/>
      <c r="O40" s="613"/>
      <c r="P40" s="613"/>
      <c r="Q40" s="613"/>
      <c r="R40" s="613"/>
      <c r="S40" s="615"/>
      <c r="T40" s="615"/>
      <c r="U40" s="615"/>
      <c r="V40" s="615"/>
      <c r="W40" s="615"/>
      <c r="X40" s="1253"/>
      <c r="Y40" s="1254"/>
    </row>
    <row r="41" spans="1:25" ht="24.95" customHeight="1" x14ac:dyDescent="0.25">
      <c r="A41" s="360"/>
      <c r="B41" s="683">
        <v>6</v>
      </c>
      <c r="C41" s="634"/>
      <c r="D41" s="1893" t="s">
        <v>18</v>
      </c>
      <c r="E41" s="1891">
        <f>-VLOOKUP(A37,UHT_BI,36,FALSE)</f>
        <v>0</v>
      </c>
      <c r="F41" s="1905">
        <f t="shared" si="35"/>
        <v>0</v>
      </c>
      <c r="G41" s="362"/>
      <c r="H41" s="627">
        <f>VLOOKUP(A37,REKAP_NILAI,13,FALSE)</f>
        <v>0</v>
      </c>
      <c r="I41" s="709">
        <f t="shared" si="36"/>
        <v>0</v>
      </c>
      <c r="J41" s="710">
        <f t="shared" si="37"/>
        <v>0</v>
      </c>
      <c r="K41" s="711" t="str">
        <f t="shared" si="38"/>
        <v>1.33</v>
      </c>
      <c r="L41" s="711" t="str">
        <f t="shared" si="39"/>
        <v>D+</v>
      </c>
      <c r="M41" s="712" t="str">
        <f t="shared" si="40"/>
        <v>0</v>
      </c>
      <c r="N41" s="624"/>
      <c r="O41" s="614"/>
      <c r="P41" s="614"/>
      <c r="Q41" s="614"/>
      <c r="R41" s="614"/>
      <c r="S41" s="616"/>
      <c r="T41" s="616"/>
      <c r="U41" s="616"/>
      <c r="V41" s="616"/>
      <c r="W41" s="616"/>
      <c r="X41" s="1255"/>
      <c r="Y41" s="1256"/>
    </row>
    <row r="42" spans="1:25" ht="24.95" customHeight="1" x14ac:dyDescent="0.25">
      <c r="A42" s="363"/>
      <c r="B42" s="698"/>
      <c r="C42" s="635" t="s">
        <v>464</v>
      </c>
      <c r="D42" s="629">
        <v>6</v>
      </c>
      <c r="E42" s="363"/>
      <c r="F42" s="1907"/>
      <c r="G42" s="363"/>
      <c r="H42" s="1189">
        <f>AVERAGE(H37:H41)</f>
        <v>0</v>
      </c>
      <c r="I42" s="1250"/>
      <c r="J42" s="713">
        <f>AVERAGE(J37:J41)</f>
        <v>0</v>
      </c>
      <c r="K42" s="714" t="str">
        <f t="shared" si="38"/>
        <v>1.33</v>
      </c>
      <c r="L42" s="714" t="str">
        <f t="shared" si="39"/>
        <v>D+</v>
      </c>
      <c r="M42" s="888" t="str">
        <f t="shared" si="40"/>
        <v>0</v>
      </c>
      <c r="N42" s="630"/>
      <c r="O42" s="631"/>
      <c r="P42" s="631"/>
      <c r="Q42" s="631"/>
      <c r="R42" s="631"/>
      <c r="S42" s="631"/>
      <c r="T42" s="631"/>
      <c r="U42" s="631"/>
      <c r="V42" s="631"/>
      <c r="W42" s="631"/>
      <c r="X42" s="1257"/>
      <c r="Y42" s="1258"/>
    </row>
    <row r="43" spans="1:25" ht="24.95" customHeight="1" x14ac:dyDescent="0.25">
      <c r="A43" s="360">
        <v>7</v>
      </c>
      <c r="B43" s="683">
        <v>7</v>
      </c>
      <c r="C43" s="633" t="str">
        <f>VLOOKUP(A43,data_siswa,4,FALSE)</f>
        <v>Athaya Salsabilla Z</v>
      </c>
      <c r="D43" s="1893" t="s">
        <v>12</v>
      </c>
      <c r="E43" s="1891">
        <f>VLOOKUP(A43,UHT_BI,32,FALSE)</f>
        <v>0</v>
      </c>
      <c r="F43" s="1904">
        <f>E43*2</f>
        <v>0</v>
      </c>
      <c r="G43" s="1891"/>
      <c r="H43" s="627">
        <f>VLOOKUP(B43,REKAP_NILAI,9,FALSE)</f>
        <v>0</v>
      </c>
      <c r="I43" s="706">
        <f>F43+G43+H43</f>
        <v>0</v>
      </c>
      <c r="J43" s="707">
        <f>(F43+G43+H43)/4</f>
        <v>0</v>
      </c>
      <c r="K43" s="708" t="str">
        <f>IF(J43&gt;85,("4"),IF(J43&gt;80,("3.66"),IF(J43&gt;75,("3.33"),IF(J43&gt;70,("3.00"),IF(J43&gt;65,("2.66"),IF(J43&gt;60,("2.33"),IF(J43&gt;55,("2"),IF(J43&gt;50,("1.66"),"1.33"))))))))</f>
        <v>1.33</v>
      </c>
      <c r="L43" s="708" t="str">
        <f>IF(J43&gt;85,("A"),IF(J43&gt;80,("A-"),IF(J43&gt;75,("B+"),IF(J43&gt;70,("B"),IF(J43&gt;65,("B-"),IF(J43&gt;60,("C+"),IF(J43&gt;55,("C"),IF(J43&gt;50,("C-"),"D+"))))))))</f>
        <v>D+</v>
      </c>
      <c r="M43" s="708" t="str">
        <f>IF(J43&gt;80,("SB"),IF(J43&gt;65,("B"),IF(J43&gt;50,("C"),IF(J43&gt;0,("K"),"0"))))</f>
        <v>0</v>
      </c>
      <c r="N43" s="617"/>
      <c r="O43" s="1889"/>
      <c r="P43" s="1889"/>
      <c r="Q43" s="1889"/>
      <c r="R43" s="1889"/>
      <c r="S43" s="619"/>
      <c r="T43" s="619"/>
      <c r="U43" s="619"/>
      <c r="V43" s="619"/>
      <c r="W43" s="623"/>
      <c r="X43" s="1057">
        <f t="shared" ref="X43" si="41">J48</f>
        <v>0</v>
      </c>
      <c r="Y43" s="1194" t="str">
        <f>IF(X43&gt;85,("A"),IF(X43&gt;80,("A-"),IF(X43&gt;75,("B+"),IF(X43&gt;70,("B"),IF(X43&gt;65,("B-"),IF(X43&gt;60,("C+"),IF(X43&gt;55,("C"),IF(X43&gt;50,("C-"),"D+"))))))))</f>
        <v>D+</v>
      </c>
    </row>
    <row r="44" spans="1:25" ht="24.95" customHeight="1" x14ac:dyDescent="0.25">
      <c r="A44" s="360"/>
      <c r="B44" s="683">
        <v>7</v>
      </c>
      <c r="C44" s="634"/>
      <c r="D44" s="1799" t="s">
        <v>7</v>
      </c>
      <c r="E44" s="1891">
        <f>VLOOKUP(A43,UHT_BI,33,FALSE)</f>
        <v>0</v>
      </c>
      <c r="F44" s="1905">
        <f t="shared" ref="F44:F47" si="42">E44*2</f>
        <v>0</v>
      </c>
      <c r="G44" s="362"/>
      <c r="H44" s="627">
        <f>VLOOKUP(B43,REKAP_NILAI,10,FALSE)</f>
        <v>0</v>
      </c>
      <c r="I44" s="709">
        <f t="shared" ref="I44:I47" si="43">F44+G44+H44</f>
        <v>0</v>
      </c>
      <c r="J44" s="710">
        <f t="shared" ref="J44:J47" si="44">(F44+G44+H44)/4</f>
        <v>0</v>
      </c>
      <c r="K44" s="711" t="str">
        <f t="shared" ref="K44:K48" si="45">IF(J44&gt;85,("4"),IF(J44&gt;80,("3.66"),IF(J44&gt;75,("3.33"),IF(J44&gt;70,("3.00"),IF(J44&gt;65,("2.66"),IF(J44&gt;60,("2.33"),IF(J44&gt;55,("2"),IF(J44&gt;50,("1.66"),"1.33"))))))))</f>
        <v>1.33</v>
      </c>
      <c r="L44" s="711" t="str">
        <f t="shared" ref="L44:L48" si="46">IF(J44&gt;85,("A"),IF(J44&gt;80,("A-"),IF(J44&gt;75,("B+"),IF(J44&gt;70,("B"),IF(J44&gt;65,("B-"),IF(J44&gt;60,("C+"),IF(J44&gt;55,("C"),IF(J44&gt;50,("C-"),"D+"))))))))</f>
        <v>D+</v>
      </c>
      <c r="M44" s="712" t="str">
        <f t="shared" ref="M44:M48" si="47">IF(J44&gt;80,("SB"),IF(J44&gt;65,("B"),IF(J44&gt;50,("C"),IF(J44&gt;0,("K"),"0"))))</f>
        <v>0</v>
      </c>
      <c r="N44" s="620"/>
      <c r="O44" s="621"/>
      <c r="P44" s="621"/>
      <c r="Q44" s="621"/>
      <c r="R44" s="621"/>
      <c r="S44" s="622"/>
      <c r="T44" s="622"/>
      <c r="U44" s="622"/>
      <c r="V44" s="622"/>
      <c r="W44" s="622"/>
      <c r="X44" s="1251"/>
      <c r="Y44" s="1252"/>
    </row>
    <row r="45" spans="1:25" ht="24.95" customHeight="1" x14ac:dyDescent="0.25">
      <c r="A45" s="360"/>
      <c r="B45" s="683">
        <v>7</v>
      </c>
      <c r="C45" s="634"/>
      <c r="D45" s="1893" t="s">
        <v>10</v>
      </c>
      <c r="E45" s="1891">
        <f>VLOOKUP(A43,UHT_BI,34,FALSE)</f>
        <v>0</v>
      </c>
      <c r="F45" s="1905">
        <f t="shared" si="42"/>
        <v>0</v>
      </c>
      <c r="G45" s="362"/>
      <c r="H45" s="627">
        <f>VLOOKUP(A43,REKAP_NILAI,11,FALSE)</f>
        <v>0</v>
      </c>
      <c r="I45" s="709">
        <f t="shared" si="43"/>
        <v>0</v>
      </c>
      <c r="J45" s="710">
        <f t="shared" si="44"/>
        <v>0</v>
      </c>
      <c r="K45" s="711" t="str">
        <f t="shared" si="45"/>
        <v>1.33</v>
      </c>
      <c r="L45" s="711" t="str">
        <f t="shared" si="46"/>
        <v>D+</v>
      </c>
      <c r="M45" s="712" t="str">
        <f t="shared" si="47"/>
        <v>0</v>
      </c>
      <c r="N45" s="623"/>
      <c r="O45" s="613"/>
      <c r="P45" s="613"/>
      <c r="Q45" s="613"/>
      <c r="R45" s="613"/>
      <c r="S45" s="615"/>
      <c r="T45" s="615"/>
      <c r="U45" s="615"/>
      <c r="V45" s="615"/>
      <c r="W45" s="615"/>
      <c r="X45" s="1253"/>
      <c r="Y45" s="1254"/>
    </row>
    <row r="46" spans="1:25" ht="24.95" customHeight="1" x14ac:dyDescent="0.25">
      <c r="A46" s="360"/>
      <c r="B46" s="683">
        <v>7</v>
      </c>
      <c r="C46" s="634"/>
      <c r="D46" s="1799" t="s">
        <v>8</v>
      </c>
      <c r="E46" s="1891">
        <f>VLOOKUP(A43,UHT_BI,35,FALSE)</f>
        <v>0</v>
      </c>
      <c r="F46" s="1905">
        <f t="shared" si="42"/>
        <v>0</v>
      </c>
      <c r="G46" s="362"/>
      <c r="H46" s="627">
        <f>VLOOKUP(A43,REKAP_NILAI,12,FALSE)</f>
        <v>0</v>
      </c>
      <c r="I46" s="709">
        <f t="shared" si="43"/>
        <v>0</v>
      </c>
      <c r="J46" s="710">
        <f t="shared" si="44"/>
        <v>0</v>
      </c>
      <c r="K46" s="711" t="str">
        <f t="shared" si="45"/>
        <v>1.33</v>
      </c>
      <c r="L46" s="711" t="str">
        <f t="shared" si="46"/>
        <v>D+</v>
      </c>
      <c r="M46" s="712" t="str">
        <f t="shared" si="47"/>
        <v>0</v>
      </c>
      <c r="N46" s="623"/>
      <c r="O46" s="613"/>
      <c r="P46" s="613"/>
      <c r="Q46" s="613"/>
      <c r="R46" s="613"/>
      <c r="S46" s="615"/>
      <c r="T46" s="615"/>
      <c r="U46" s="615"/>
      <c r="V46" s="615"/>
      <c r="W46" s="615"/>
      <c r="X46" s="1253"/>
      <c r="Y46" s="1254"/>
    </row>
    <row r="47" spans="1:25" ht="24.95" customHeight="1" x14ac:dyDescent="0.25">
      <c r="A47" s="360"/>
      <c r="B47" s="683">
        <v>7</v>
      </c>
      <c r="C47" s="634"/>
      <c r="D47" s="1893" t="s">
        <v>18</v>
      </c>
      <c r="E47" s="1891">
        <f>-VLOOKUP(A43,UHT_BI,36,FALSE)</f>
        <v>0</v>
      </c>
      <c r="F47" s="1905">
        <f t="shared" si="42"/>
        <v>0</v>
      </c>
      <c r="G47" s="362"/>
      <c r="H47" s="627">
        <f>VLOOKUP(A43,REKAP_NILAI,13,FALSE)</f>
        <v>0</v>
      </c>
      <c r="I47" s="709">
        <f t="shared" si="43"/>
        <v>0</v>
      </c>
      <c r="J47" s="710">
        <f t="shared" si="44"/>
        <v>0</v>
      </c>
      <c r="K47" s="711" t="str">
        <f t="shared" si="45"/>
        <v>1.33</v>
      </c>
      <c r="L47" s="711" t="str">
        <f t="shared" si="46"/>
        <v>D+</v>
      </c>
      <c r="M47" s="712" t="str">
        <f t="shared" si="47"/>
        <v>0</v>
      </c>
      <c r="N47" s="624"/>
      <c r="O47" s="614"/>
      <c r="P47" s="614"/>
      <c r="Q47" s="614"/>
      <c r="R47" s="614"/>
      <c r="S47" s="616"/>
      <c r="T47" s="616"/>
      <c r="U47" s="616"/>
      <c r="V47" s="616"/>
      <c r="W47" s="616"/>
      <c r="X47" s="1255"/>
      <c r="Y47" s="1256"/>
    </row>
    <row r="48" spans="1:25" ht="24.95" customHeight="1" x14ac:dyDescent="0.25">
      <c r="A48" s="363"/>
      <c r="B48" s="698"/>
      <c r="C48" s="635" t="s">
        <v>464</v>
      </c>
      <c r="D48" s="629">
        <v>7</v>
      </c>
      <c r="E48" s="363"/>
      <c r="F48" s="1907"/>
      <c r="G48" s="363"/>
      <c r="H48" s="1189">
        <f>AVERAGE(H43:H47)</f>
        <v>0</v>
      </c>
      <c r="I48" s="1250"/>
      <c r="J48" s="713">
        <f>AVERAGE(J43:J47)</f>
        <v>0</v>
      </c>
      <c r="K48" s="714" t="str">
        <f t="shared" si="45"/>
        <v>1.33</v>
      </c>
      <c r="L48" s="714" t="str">
        <f t="shared" si="46"/>
        <v>D+</v>
      </c>
      <c r="M48" s="888" t="str">
        <f t="shared" si="47"/>
        <v>0</v>
      </c>
      <c r="N48" s="630"/>
      <c r="O48" s="631"/>
      <c r="P48" s="631"/>
      <c r="Q48" s="631"/>
      <c r="R48" s="631"/>
      <c r="S48" s="631"/>
      <c r="T48" s="631"/>
      <c r="U48" s="631"/>
      <c r="V48" s="631"/>
      <c r="W48" s="631"/>
      <c r="X48" s="1257"/>
      <c r="Y48" s="1258"/>
    </row>
    <row r="49" spans="1:25" ht="24.95" customHeight="1" x14ac:dyDescent="0.25">
      <c r="A49" s="360">
        <v>8</v>
      </c>
      <c r="B49" s="683">
        <v>8</v>
      </c>
      <c r="C49" s="633" t="str">
        <f>VLOOKUP(A49,data_siswa,4,FALSE)</f>
        <v>Aulia Dea Rosalinda</v>
      </c>
      <c r="D49" s="1893" t="s">
        <v>12</v>
      </c>
      <c r="E49" s="1891">
        <f>VLOOKUP(A49,UHT_BI,32,FALSE)</f>
        <v>0</v>
      </c>
      <c r="F49" s="1904">
        <f>E49*2</f>
        <v>0</v>
      </c>
      <c r="G49" s="1891"/>
      <c r="H49" s="627">
        <f>VLOOKUP(B49,REKAP_NILAI,9,FALSE)</f>
        <v>0</v>
      </c>
      <c r="I49" s="706">
        <f>F49+G49+H49</f>
        <v>0</v>
      </c>
      <c r="J49" s="707">
        <f>(F49+G49+H49)/4</f>
        <v>0</v>
      </c>
      <c r="K49" s="708" t="str">
        <f>IF(J49&gt;85,("4"),IF(J49&gt;80,("3.66"),IF(J49&gt;75,("3.33"),IF(J49&gt;70,("3.00"),IF(J49&gt;65,("2.66"),IF(J49&gt;60,("2.33"),IF(J49&gt;55,("2"),IF(J49&gt;50,("1.66"),"1.33"))))))))</f>
        <v>1.33</v>
      </c>
      <c r="L49" s="708" t="str">
        <f>IF(J49&gt;85,("A"),IF(J49&gt;80,("A-"),IF(J49&gt;75,("B+"),IF(J49&gt;70,("B"),IF(J49&gt;65,("B-"),IF(J49&gt;60,("C+"),IF(J49&gt;55,("C"),IF(J49&gt;50,("C-"),"D+"))))))))</f>
        <v>D+</v>
      </c>
      <c r="M49" s="708" t="str">
        <f>IF(J49&gt;80,("SB"),IF(J49&gt;65,("B"),IF(J49&gt;50,("C"),IF(J49&gt;0,("K"),"0"))))</f>
        <v>0</v>
      </c>
      <c r="N49" s="617"/>
      <c r="O49" s="1889"/>
      <c r="P49" s="1889"/>
      <c r="Q49" s="1889"/>
      <c r="R49" s="1889"/>
      <c r="S49" s="619"/>
      <c r="T49" s="619"/>
      <c r="U49" s="619"/>
      <c r="V49" s="619"/>
      <c r="W49" s="623"/>
      <c r="X49" s="1057">
        <f t="shared" ref="X49" si="48">J54</f>
        <v>0</v>
      </c>
      <c r="Y49" s="1194" t="str">
        <f>IF(X49&gt;85,("A"),IF(X49&gt;80,("A-"),IF(X49&gt;75,("B+"),IF(X49&gt;70,("B"),IF(X49&gt;65,("B-"),IF(X49&gt;60,("C+"),IF(X49&gt;55,("C"),IF(X49&gt;50,("C-"),"D+"))))))))</f>
        <v>D+</v>
      </c>
    </row>
    <row r="50" spans="1:25" ht="24.95" customHeight="1" x14ac:dyDescent="0.25">
      <c r="A50" s="360"/>
      <c r="B50" s="683">
        <v>8</v>
      </c>
      <c r="C50" s="634"/>
      <c r="D50" s="1799" t="s">
        <v>7</v>
      </c>
      <c r="E50" s="1891">
        <f>VLOOKUP(A49,UHT_BI,33,FALSE)</f>
        <v>0</v>
      </c>
      <c r="F50" s="1905">
        <f t="shared" ref="F50:F53" si="49">E50*2</f>
        <v>0</v>
      </c>
      <c r="G50" s="362"/>
      <c r="H50" s="627">
        <f>VLOOKUP(B49,REKAP_NILAI,10,FALSE)</f>
        <v>0</v>
      </c>
      <c r="I50" s="709">
        <f t="shared" ref="I50:I53" si="50">F50+G50+H50</f>
        <v>0</v>
      </c>
      <c r="J50" s="710">
        <f t="shared" ref="J50:J53" si="51">(F50+G50+H50)/4</f>
        <v>0</v>
      </c>
      <c r="K50" s="711" t="str">
        <f t="shared" ref="K50:K54" si="52">IF(J50&gt;85,("4"),IF(J50&gt;80,("3.66"),IF(J50&gt;75,("3.33"),IF(J50&gt;70,("3.00"),IF(J50&gt;65,("2.66"),IF(J50&gt;60,("2.33"),IF(J50&gt;55,("2"),IF(J50&gt;50,("1.66"),"1.33"))))))))</f>
        <v>1.33</v>
      </c>
      <c r="L50" s="711" t="str">
        <f t="shared" ref="L50:L54" si="53">IF(J50&gt;85,("A"),IF(J50&gt;80,("A-"),IF(J50&gt;75,("B+"),IF(J50&gt;70,("B"),IF(J50&gt;65,("B-"),IF(J50&gt;60,("C+"),IF(J50&gt;55,("C"),IF(J50&gt;50,("C-"),"D+"))))))))</f>
        <v>D+</v>
      </c>
      <c r="M50" s="712" t="str">
        <f t="shared" ref="M50:M54" si="54">IF(J50&gt;80,("SB"),IF(J50&gt;65,("B"),IF(J50&gt;50,("C"),IF(J50&gt;0,("K"),"0"))))</f>
        <v>0</v>
      </c>
      <c r="N50" s="620"/>
      <c r="O50" s="621"/>
      <c r="P50" s="621"/>
      <c r="Q50" s="621"/>
      <c r="R50" s="621"/>
      <c r="S50" s="622"/>
      <c r="T50" s="622"/>
      <c r="U50" s="622"/>
      <c r="V50" s="622"/>
      <c r="W50" s="622"/>
      <c r="X50" s="1251"/>
      <c r="Y50" s="1252"/>
    </row>
    <row r="51" spans="1:25" ht="24.95" customHeight="1" x14ac:dyDescent="0.25">
      <c r="A51" s="360"/>
      <c r="B51" s="683">
        <v>8</v>
      </c>
      <c r="C51" s="634"/>
      <c r="D51" s="1893" t="s">
        <v>10</v>
      </c>
      <c r="E51" s="1891">
        <f>VLOOKUP(A49,UHT_BI,34,FALSE)</f>
        <v>0</v>
      </c>
      <c r="F51" s="1905">
        <f t="shared" si="49"/>
        <v>0</v>
      </c>
      <c r="G51" s="362"/>
      <c r="H51" s="627">
        <f>VLOOKUP(A49,REKAP_NILAI,11,FALSE)</f>
        <v>0</v>
      </c>
      <c r="I51" s="709">
        <f t="shared" si="50"/>
        <v>0</v>
      </c>
      <c r="J51" s="710">
        <f t="shared" si="51"/>
        <v>0</v>
      </c>
      <c r="K51" s="711" t="str">
        <f t="shared" si="52"/>
        <v>1.33</v>
      </c>
      <c r="L51" s="711" t="str">
        <f t="shared" si="53"/>
        <v>D+</v>
      </c>
      <c r="M51" s="712" t="str">
        <f t="shared" si="54"/>
        <v>0</v>
      </c>
      <c r="N51" s="623"/>
      <c r="O51" s="613"/>
      <c r="P51" s="613"/>
      <c r="Q51" s="613"/>
      <c r="R51" s="613"/>
      <c r="S51" s="615"/>
      <c r="T51" s="615"/>
      <c r="U51" s="615"/>
      <c r="V51" s="615"/>
      <c r="W51" s="615"/>
      <c r="X51" s="1253"/>
      <c r="Y51" s="1254"/>
    </row>
    <row r="52" spans="1:25" ht="24.95" customHeight="1" x14ac:dyDescent="0.25">
      <c r="A52" s="360"/>
      <c r="B52" s="683">
        <v>8</v>
      </c>
      <c r="C52" s="634"/>
      <c r="D52" s="1799" t="s">
        <v>8</v>
      </c>
      <c r="E52" s="1891">
        <f>VLOOKUP(A49,UHT_BI,35,FALSE)</f>
        <v>0</v>
      </c>
      <c r="F52" s="1905">
        <f t="shared" si="49"/>
        <v>0</v>
      </c>
      <c r="G52" s="362"/>
      <c r="H52" s="627">
        <f>VLOOKUP(A49,REKAP_NILAI,12,FALSE)</f>
        <v>0</v>
      </c>
      <c r="I52" s="709">
        <f t="shared" si="50"/>
        <v>0</v>
      </c>
      <c r="J52" s="710">
        <f t="shared" si="51"/>
        <v>0</v>
      </c>
      <c r="K52" s="711" t="str">
        <f t="shared" si="52"/>
        <v>1.33</v>
      </c>
      <c r="L52" s="711" t="str">
        <f t="shared" si="53"/>
        <v>D+</v>
      </c>
      <c r="M52" s="712" t="str">
        <f t="shared" si="54"/>
        <v>0</v>
      </c>
      <c r="N52" s="623"/>
      <c r="O52" s="613"/>
      <c r="P52" s="613"/>
      <c r="Q52" s="613"/>
      <c r="R52" s="613"/>
      <c r="S52" s="615"/>
      <c r="T52" s="615"/>
      <c r="U52" s="615"/>
      <c r="V52" s="615"/>
      <c r="W52" s="615"/>
      <c r="X52" s="1253"/>
      <c r="Y52" s="1254"/>
    </row>
    <row r="53" spans="1:25" ht="24.95" customHeight="1" x14ac:dyDescent="0.25">
      <c r="A53" s="360"/>
      <c r="B53" s="683">
        <v>8</v>
      </c>
      <c r="C53" s="634"/>
      <c r="D53" s="1893" t="s">
        <v>18</v>
      </c>
      <c r="E53" s="1891">
        <f>-VLOOKUP(A49,UHT_BI,36,FALSE)</f>
        <v>0</v>
      </c>
      <c r="F53" s="1905">
        <f t="shared" si="49"/>
        <v>0</v>
      </c>
      <c r="G53" s="362"/>
      <c r="H53" s="627">
        <f>VLOOKUP(A49,REKAP_NILAI,13,FALSE)</f>
        <v>0</v>
      </c>
      <c r="I53" s="709">
        <f t="shared" si="50"/>
        <v>0</v>
      </c>
      <c r="J53" s="710">
        <f t="shared" si="51"/>
        <v>0</v>
      </c>
      <c r="K53" s="711" t="str">
        <f t="shared" si="52"/>
        <v>1.33</v>
      </c>
      <c r="L53" s="711" t="str">
        <f t="shared" si="53"/>
        <v>D+</v>
      </c>
      <c r="M53" s="712" t="str">
        <f t="shared" si="54"/>
        <v>0</v>
      </c>
      <c r="N53" s="624"/>
      <c r="O53" s="614"/>
      <c r="P53" s="614"/>
      <c r="Q53" s="614"/>
      <c r="R53" s="614"/>
      <c r="S53" s="616"/>
      <c r="T53" s="616"/>
      <c r="U53" s="616"/>
      <c r="V53" s="616"/>
      <c r="W53" s="616"/>
      <c r="X53" s="1255"/>
      <c r="Y53" s="1256"/>
    </row>
    <row r="54" spans="1:25" ht="24.95" customHeight="1" x14ac:dyDescent="0.25">
      <c r="A54" s="363"/>
      <c r="B54" s="698"/>
      <c r="C54" s="635" t="s">
        <v>464</v>
      </c>
      <c r="D54" s="629">
        <v>8</v>
      </c>
      <c r="E54" s="363"/>
      <c r="F54" s="1907"/>
      <c r="G54" s="363"/>
      <c r="H54" s="1189">
        <f>AVERAGE(H49:H53)</f>
        <v>0</v>
      </c>
      <c r="I54" s="1250"/>
      <c r="J54" s="713">
        <f>AVERAGE(J49:J53)</f>
        <v>0</v>
      </c>
      <c r="K54" s="714" t="str">
        <f t="shared" si="52"/>
        <v>1.33</v>
      </c>
      <c r="L54" s="714" t="str">
        <f t="shared" si="53"/>
        <v>D+</v>
      </c>
      <c r="M54" s="888" t="str">
        <f t="shared" si="54"/>
        <v>0</v>
      </c>
      <c r="N54" s="630"/>
      <c r="O54" s="631"/>
      <c r="P54" s="631"/>
      <c r="Q54" s="631"/>
      <c r="R54" s="631"/>
      <c r="S54" s="631"/>
      <c r="T54" s="631"/>
      <c r="U54" s="631"/>
      <c r="V54" s="631"/>
      <c r="W54" s="631"/>
      <c r="X54" s="1257"/>
      <c r="Y54" s="1258"/>
    </row>
    <row r="55" spans="1:25" ht="24.95" customHeight="1" x14ac:dyDescent="0.25">
      <c r="A55" s="360">
        <v>9</v>
      </c>
      <c r="B55" s="683">
        <v>9</v>
      </c>
      <c r="C55" s="633" t="str">
        <f>VLOOKUP(A55,data_siswa,4,FALSE)</f>
        <v>Claudia Gabriella L</v>
      </c>
      <c r="D55" s="1893" t="s">
        <v>12</v>
      </c>
      <c r="E55" s="1891">
        <f>VLOOKUP(A55,UHT_BI,32,FALSE)</f>
        <v>0</v>
      </c>
      <c r="F55" s="1904">
        <f>E55*2</f>
        <v>0</v>
      </c>
      <c r="G55" s="1891"/>
      <c r="H55" s="627">
        <f>VLOOKUP(B55,REKAP_NILAI,9,FALSE)</f>
        <v>0</v>
      </c>
      <c r="I55" s="706">
        <f>F55+G55+H55</f>
        <v>0</v>
      </c>
      <c r="J55" s="707">
        <f>(F55+G55+H55)/4</f>
        <v>0</v>
      </c>
      <c r="K55" s="708" t="str">
        <f>IF(J55&gt;85,("4"),IF(J55&gt;80,("3.66"),IF(J55&gt;75,("3.33"),IF(J55&gt;70,("3.00"),IF(J55&gt;65,("2.66"),IF(J55&gt;60,("2.33"),IF(J55&gt;55,("2"),IF(J55&gt;50,("1.66"),"1.33"))))))))</f>
        <v>1.33</v>
      </c>
      <c r="L55" s="708" t="str">
        <f>IF(J55&gt;85,("A"),IF(J55&gt;80,("A-"),IF(J55&gt;75,("B+"),IF(J55&gt;70,("B"),IF(J55&gt;65,("B-"),IF(J55&gt;60,("C+"),IF(J55&gt;55,("C"),IF(J55&gt;50,("C-"),"D+"))))))))</f>
        <v>D+</v>
      </c>
      <c r="M55" s="708" t="str">
        <f>IF(J55&gt;80,("SB"),IF(J55&gt;65,("B"),IF(J55&gt;50,("C"),IF(J55&gt;0,("K"),"0"))))</f>
        <v>0</v>
      </c>
      <c r="N55" s="617"/>
      <c r="O55" s="1889"/>
      <c r="P55" s="1889"/>
      <c r="Q55" s="1889"/>
      <c r="R55" s="1889"/>
      <c r="S55" s="619"/>
      <c r="T55" s="619"/>
      <c r="U55" s="619"/>
      <c r="V55" s="619"/>
      <c r="W55" s="623"/>
      <c r="X55" s="1057">
        <f t="shared" ref="X55" si="55">J60</f>
        <v>0</v>
      </c>
      <c r="Y55" s="1194" t="str">
        <f>IF(X55&gt;85,("A"),IF(X55&gt;80,("A-"),IF(X55&gt;75,("B+"),IF(X55&gt;70,("B"),IF(X55&gt;65,("B-"),IF(X55&gt;60,("C+"),IF(X55&gt;55,("C"),IF(X55&gt;50,("C-"),"D+"))))))))</f>
        <v>D+</v>
      </c>
    </row>
    <row r="56" spans="1:25" ht="24.95" customHeight="1" x14ac:dyDescent="0.25">
      <c r="A56" s="360"/>
      <c r="B56" s="683">
        <v>9</v>
      </c>
      <c r="C56" s="634"/>
      <c r="D56" s="1799" t="s">
        <v>7</v>
      </c>
      <c r="E56" s="1891">
        <f>VLOOKUP(A55,UHT_BI,33,FALSE)</f>
        <v>0</v>
      </c>
      <c r="F56" s="1905">
        <f t="shared" ref="F56:F59" si="56">E56*2</f>
        <v>0</v>
      </c>
      <c r="G56" s="362"/>
      <c r="H56" s="627">
        <f>VLOOKUP(B55,REKAP_NILAI,10,FALSE)</f>
        <v>0</v>
      </c>
      <c r="I56" s="709">
        <f t="shared" ref="I56:I59" si="57">F56+G56+H56</f>
        <v>0</v>
      </c>
      <c r="J56" s="710">
        <f t="shared" ref="J56:J59" si="58">(F56+G56+H56)/4</f>
        <v>0</v>
      </c>
      <c r="K56" s="711" t="str">
        <f t="shared" ref="K56:K60" si="59">IF(J56&gt;85,("4"),IF(J56&gt;80,("3.66"),IF(J56&gt;75,("3.33"),IF(J56&gt;70,("3.00"),IF(J56&gt;65,("2.66"),IF(J56&gt;60,("2.33"),IF(J56&gt;55,("2"),IF(J56&gt;50,("1.66"),"1.33"))))))))</f>
        <v>1.33</v>
      </c>
      <c r="L56" s="711" t="str">
        <f t="shared" ref="L56:L60" si="60">IF(J56&gt;85,("A"),IF(J56&gt;80,("A-"),IF(J56&gt;75,("B+"),IF(J56&gt;70,("B"),IF(J56&gt;65,("B-"),IF(J56&gt;60,("C+"),IF(J56&gt;55,("C"),IF(J56&gt;50,("C-"),"D+"))))))))</f>
        <v>D+</v>
      </c>
      <c r="M56" s="712" t="str">
        <f t="shared" ref="M56:M60" si="61">IF(J56&gt;80,("SB"),IF(J56&gt;65,("B"),IF(J56&gt;50,("C"),IF(J56&gt;0,("K"),"0"))))</f>
        <v>0</v>
      </c>
      <c r="N56" s="620"/>
      <c r="O56" s="621"/>
      <c r="P56" s="621"/>
      <c r="Q56" s="621"/>
      <c r="R56" s="621"/>
      <c r="S56" s="622"/>
      <c r="T56" s="622"/>
      <c r="U56" s="622"/>
      <c r="V56" s="622"/>
      <c r="W56" s="622"/>
      <c r="X56" s="1251"/>
      <c r="Y56" s="1252"/>
    </row>
    <row r="57" spans="1:25" ht="24.95" customHeight="1" x14ac:dyDescent="0.25">
      <c r="A57" s="360"/>
      <c r="B57" s="683">
        <v>9</v>
      </c>
      <c r="C57" s="634"/>
      <c r="D57" s="1893" t="s">
        <v>10</v>
      </c>
      <c r="E57" s="1891">
        <f>VLOOKUP(A55,UHT_BI,34,FALSE)</f>
        <v>0</v>
      </c>
      <c r="F57" s="1905">
        <f t="shared" si="56"/>
        <v>0</v>
      </c>
      <c r="G57" s="362"/>
      <c r="H57" s="627">
        <f>VLOOKUP(A55,REKAP_NILAI,11,FALSE)</f>
        <v>0</v>
      </c>
      <c r="I57" s="709">
        <f t="shared" si="57"/>
        <v>0</v>
      </c>
      <c r="J57" s="710">
        <f t="shared" si="58"/>
        <v>0</v>
      </c>
      <c r="K57" s="711" t="str">
        <f t="shared" si="59"/>
        <v>1.33</v>
      </c>
      <c r="L57" s="711" t="str">
        <f t="shared" si="60"/>
        <v>D+</v>
      </c>
      <c r="M57" s="712" t="str">
        <f t="shared" si="61"/>
        <v>0</v>
      </c>
      <c r="N57" s="623"/>
      <c r="O57" s="613"/>
      <c r="P57" s="613"/>
      <c r="Q57" s="613"/>
      <c r="R57" s="613"/>
      <c r="S57" s="615"/>
      <c r="T57" s="615"/>
      <c r="U57" s="615"/>
      <c r="V57" s="615"/>
      <c r="W57" s="615"/>
      <c r="X57" s="1253"/>
      <c r="Y57" s="1254"/>
    </row>
    <row r="58" spans="1:25" ht="24.95" customHeight="1" x14ac:dyDescent="0.25">
      <c r="A58" s="360"/>
      <c r="B58" s="683">
        <v>9</v>
      </c>
      <c r="C58" s="634"/>
      <c r="D58" s="1799" t="s">
        <v>8</v>
      </c>
      <c r="E58" s="1891">
        <f>VLOOKUP(A55,UHT_BI,35,FALSE)</f>
        <v>0</v>
      </c>
      <c r="F58" s="1905">
        <f t="shared" si="56"/>
        <v>0</v>
      </c>
      <c r="G58" s="362"/>
      <c r="H58" s="627">
        <f>VLOOKUP(A55,REKAP_NILAI,12,FALSE)</f>
        <v>0</v>
      </c>
      <c r="I58" s="709">
        <f t="shared" si="57"/>
        <v>0</v>
      </c>
      <c r="J58" s="710">
        <f t="shared" si="58"/>
        <v>0</v>
      </c>
      <c r="K58" s="711" t="str">
        <f t="shared" si="59"/>
        <v>1.33</v>
      </c>
      <c r="L58" s="711" t="str">
        <f t="shared" si="60"/>
        <v>D+</v>
      </c>
      <c r="M58" s="712" t="str">
        <f t="shared" si="61"/>
        <v>0</v>
      </c>
      <c r="N58" s="623"/>
      <c r="O58" s="613"/>
      <c r="P58" s="613"/>
      <c r="Q58" s="613"/>
      <c r="R58" s="613"/>
      <c r="S58" s="615"/>
      <c r="T58" s="615"/>
      <c r="U58" s="615"/>
      <c r="V58" s="615"/>
      <c r="W58" s="615"/>
      <c r="X58" s="1253"/>
      <c r="Y58" s="1254"/>
    </row>
    <row r="59" spans="1:25" ht="24.95" customHeight="1" x14ac:dyDescent="0.25">
      <c r="A59" s="360"/>
      <c r="B59" s="683">
        <v>9</v>
      </c>
      <c r="C59" s="634"/>
      <c r="D59" s="1893" t="s">
        <v>18</v>
      </c>
      <c r="E59" s="1891">
        <f>-VLOOKUP(A55,UHT_BI,36,FALSE)</f>
        <v>0</v>
      </c>
      <c r="F59" s="1905">
        <f t="shared" si="56"/>
        <v>0</v>
      </c>
      <c r="G59" s="362"/>
      <c r="H59" s="627">
        <f>VLOOKUP(A55,REKAP_NILAI,13,FALSE)</f>
        <v>0</v>
      </c>
      <c r="I59" s="709">
        <f t="shared" si="57"/>
        <v>0</v>
      </c>
      <c r="J59" s="710">
        <f t="shared" si="58"/>
        <v>0</v>
      </c>
      <c r="K59" s="711" t="str">
        <f t="shared" si="59"/>
        <v>1.33</v>
      </c>
      <c r="L59" s="711" t="str">
        <f t="shared" si="60"/>
        <v>D+</v>
      </c>
      <c r="M59" s="712" t="str">
        <f t="shared" si="61"/>
        <v>0</v>
      </c>
      <c r="N59" s="624"/>
      <c r="O59" s="614"/>
      <c r="P59" s="614"/>
      <c r="Q59" s="614"/>
      <c r="R59" s="614"/>
      <c r="S59" s="616"/>
      <c r="T59" s="616"/>
      <c r="U59" s="616"/>
      <c r="V59" s="616"/>
      <c r="W59" s="616"/>
      <c r="X59" s="1255"/>
      <c r="Y59" s="1256"/>
    </row>
    <row r="60" spans="1:25" ht="24.95" customHeight="1" x14ac:dyDescent="0.25">
      <c r="A60" s="363"/>
      <c r="B60" s="698"/>
      <c r="C60" s="635" t="s">
        <v>464</v>
      </c>
      <c r="D60" s="629">
        <v>9</v>
      </c>
      <c r="E60" s="363"/>
      <c r="F60" s="1907"/>
      <c r="G60" s="363"/>
      <c r="H60" s="1189">
        <f>AVERAGE(H55:H59)</f>
        <v>0</v>
      </c>
      <c r="I60" s="1250"/>
      <c r="J60" s="713">
        <f>AVERAGE(J55:J59)</f>
        <v>0</v>
      </c>
      <c r="K60" s="714" t="str">
        <f t="shared" si="59"/>
        <v>1.33</v>
      </c>
      <c r="L60" s="714" t="str">
        <f t="shared" si="60"/>
        <v>D+</v>
      </c>
      <c r="M60" s="888" t="str">
        <f t="shared" si="61"/>
        <v>0</v>
      </c>
      <c r="N60" s="630"/>
      <c r="O60" s="631"/>
      <c r="P60" s="631"/>
      <c r="Q60" s="631"/>
      <c r="R60" s="631"/>
      <c r="S60" s="631"/>
      <c r="T60" s="631"/>
      <c r="U60" s="631"/>
      <c r="V60" s="631"/>
      <c r="W60" s="631"/>
      <c r="X60" s="1257"/>
      <c r="Y60" s="1258"/>
    </row>
    <row r="61" spans="1:25" ht="24.95" customHeight="1" x14ac:dyDescent="0.25">
      <c r="A61" s="360">
        <v>10</v>
      </c>
      <c r="B61" s="683">
        <v>10</v>
      </c>
      <c r="C61" s="633" t="str">
        <f>VLOOKUP(A61,data_siswa,4,FALSE)</f>
        <v xml:space="preserve">Deco Badarus Zaman </v>
      </c>
      <c r="D61" s="1893" t="s">
        <v>12</v>
      </c>
      <c r="E61" s="1891">
        <f>VLOOKUP(A61,UHT_BI,32,FALSE)</f>
        <v>0</v>
      </c>
      <c r="F61" s="1904">
        <f>E61*2</f>
        <v>0</v>
      </c>
      <c r="G61" s="1891"/>
      <c r="H61" s="627">
        <f>VLOOKUP(B61,REKAP_NILAI,9,FALSE)</f>
        <v>0</v>
      </c>
      <c r="I61" s="706">
        <f>F61+G61+H61</f>
        <v>0</v>
      </c>
      <c r="J61" s="707">
        <f>(F61+G61+H61)/4</f>
        <v>0</v>
      </c>
      <c r="K61" s="708" t="str">
        <f>IF(J61&gt;85,("4"),IF(J61&gt;80,("3.66"),IF(J61&gt;75,("3.33"),IF(J61&gt;70,("3.00"),IF(J61&gt;65,("2.66"),IF(J61&gt;60,("2.33"),IF(J61&gt;55,("2"),IF(J61&gt;50,("1.66"),"1.33"))))))))</f>
        <v>1.33</v>
      </c>
      <c r="L61" s="708" t="str">
        <f>IF(J61&gt;85,("A"),IF(J61&gt;80,("A-"),IF(J61&gt;75,("B+"),IF(J61&gt;70,("B"),IF(J61&gt;65,("B-"),IF(J61&gt;60,("C+"),IF(J61&gt;55,("C"),IF(J61&gt;50,("C-"),"D+"))))))))</f>
        <v>D+</v>
      </c>
      <c r="M61" s="708" t="str">
        <f>IF(J61&gt;80,("SB"),IF(J61&gt;65,("B"),IF(J61&gt;50,("C"),IF(J61&gt;0,("K"),"0"))))</f>
        <v>0</v>
      </c>
      <c r="N61" s="617"/>
      <c r="O61" s="1889"/>
      <c r="P61" s="1889"/>
      <c r="Q61" s="1889"/>
      <c r="R61" s="1889"/>
      <c r="S61" s="619"/>
      <c r="T61" s="619"/>
      <c r="U61" s="619"/>
      <c r="V61" s="619"/>
      <c r="W61" s="623"/>
      <c r="X61" s="1057">
        <f t="shared" ref="X61" si="62">J66</f>
        <v>0</v>
      </c>
      <c r="Y61" s="1194" t="str">
        <f>IF(X61&gt;85,("A"),IF(X61&gt;80,("A-"),IF(X61&gt;75,("B+"),IF(X61&gt;70,("B"),IF(X61&gt;65,("B-"),IF(X61&gt;60,("C+"),IF(X61&gt;55,("C"),IF(X61&gt;50,("C-"),"D+"))))))))</f>
        <v>D+</v>
      </c>
    </row>
    <row r="62" spans="1:25" ht="24.95" customHeight="1" x14ac:dyDescent="0.25">
      <c r="A62" s="360"/>
      <c r="B62" s="683">
        <v>10</v>
      </c>
      <c r="C62" s="634"/>
      <c r="D62" s="1799" t="s">
        <v>7</v>
      </c>
      <c r="E62" s="1891">
        <f>VLOOKUP(A61,UHT_BI,33,FALSE)</f>
        <v>0</v>
      </c>
      <c r="F62" s="1905">
        <f t="shared" ref="F62:F65" si="63">E62*2</f>
        <v>0</v>
      </c>
      <c r="G62" s="362"/>
      <c r="H62" s="627">
        <f>VLOOKUP(B61,REKAP_NILAI,10,FALSE)</f>
        <v>0</v>
      </c>
      <c r="I62" s="709">
        <f t="shared" ref="I62:I65" si="64">F62+G62+H62</f>
        <v>0</v>
      </c>
      <c r="J62" s="710">
        <f t="shared" ref="J62:J65" si="65">(F62+G62+H62)/4</f>
        <v>0</v>
      </c>
      <c r="K62" s="711" t="str">
        <f t="shared" ref="K62:K66" si="66">IF(J62&gt;85,("4"),IF(J62&gt;80,("3.66"),IF(J62&gt;75,("3.33"),IF(J62&gt;70,("3.00"),IF(J62&gt;65,("2.66"),IF(J62&gt;60,("2.33"),IF(J62&gt;55,("2"),IF(J62&gt;50,("1.66"),"1.33"))))))))</f>
        <v>1.33</v>
      </c>
      <c r="L62" s="711" t="str">
        <f t="shared" ref="L62:L66" si="67">IF(J62&gt;85,("A"),IF(J62&gt;80,("A-"),IF(J62&gt;75,("B+"),IF(J62&gt;70,("B"),IF(J62&gt;65,("B-"),IF(J62&gt;60,("C+"),IF(J62&gt;55,("C"),IF(J62&gt;50,("C-"),"D+"))))))))</f>
        <v>D+</v>
      </c>
      <c r="M62" s="712" t="str">
        <f t="shared" ref="M62:M66" si="68">IF(J62&gt;80,("SB"),IF(J62&gt;65,("B"),IF(J62&gt;50,("C"),IF(J62&gt;0,("K"),"0"))))</f>
        <v>0</v>
      </c>
      <c r="N62" s="620"/>
      <c r="O62" s="621"/>
      <c r="P62" s="621"/>
      <c r="Q62" s="621"/>
      <c r="R62" s="621"/>
      <c r="S62" s="622"/>
      <c r="T62" s="622"/>
      <c r="U62" s="622"/>
      <c r="V62" s="622"/>
      <c r="W62" s="622"/>
      <c r="X62" s="1251"/>
      <c r="Y62" s="1252"/>
    </row>
    <row r="63" spans="1:25" ht="24.95" customHeight="1" x14ac:dyDescent="0.25">
      <c r="A63" s="360"/>
      <c r="B63" s="683">
        <v>10</v>
      </c>
      <c r="C63" s="634"/>
      <c r="D63" s="1893" t="s">
        <v>10</v>
      </c>
      <c r="E63" s="1891">
        <f>VLOOKUP(A61,UHT_BI,34,FALSE)</f>
        <v>0</v>
      </c>
      <c r="F63" s="1905">
        <f t="shared" si="63"/>
        <v>0</v>
      </c>
      <c r="G63" s="362"/>
      <c r="H63" s="627">
        <f>VLOOKUP(A61,REKAP_NILAI,11,FALSE)</f>
        <v>0</v>
      </c>
      <c r="I63" s="709">
        <f t="shared" si="64"/>
        <v>0</v>
      </c>
      <c r="J63" s="710">
        <f t="shared" si="65"/>
        <v>0</v>
      </c>
      <c r="K63" s="711" t="str">
        <f t="shared" si="66"/>
        <v>1.33</v>
      </c>
      <c r="L63" s="711" t="str">
        <f t="shared" si="67"/>
        <v>D+</v>
      </c>
      <c r="M63" s="712" t="str">
        <f t="shared" si="68"/>
        <v>0</v>
      </c>
      <c r="N63" s="623"/>
      <c r="O63" s="613"/>
      <c r="P63" s="613"/>
      <c r="Q63" s="613"/>
      <c r="R63" s="613"/>
      <c r="S63" s="615"/>
      <c r="T63" s="615"/>
      <c r="U63" s="615"/>
      <c r="V63" s="615"/>
      <c r="W63" s="615"/>
      <c r="X63" s="1253"/>
      <c r="Y63" s="1254"/>
    </row>
    <row r="64" spans="1:25" ht="24.95" customHeight="1" x14ac:dyDescent="0.25">
      <c r="A64" s="360"/>
      <c r="B64" s="683">
        <v>10</v>
      </c>
      <c r="C64" s="634"/>
      <c r="D64" s="1799" t="s">
        <v>8</v>
      </c>
      <c r="E64" s="1891">
        <f>VLOOKUP(A61,UHT_BI,35,FALSE)</f>
        <v>0</v>
      </c>
      <c r="F64" s="1905">
        <f t="shared" si="63"/>
        <v>0</v>
      </c>
      <c r="G64" s="362"/>
      <c r="H64" s="627">
        <f>VLOOKUP(A61,REKAP_NILAI,12,FALSE)</f>
        <v>0</v>
      </c>
      <c r="I64" s="709">
        <f t="shared" si="64"/>
        <v>0</v>
      </c>
      <c r="J64" s="710">
        <f t="shared" si="65"/>
        <v>0</v>
      </c>
      <c r="K64" s="711" t="str">
        <f t="shared" si="66"/>
        <v>1.33</v>
      </c>
      <c r="L64" s="711" t="str">
        <f t="shared" si="67"/>
        <v>D+</v>
      </c>
      <c r="M64" s="712" t="str">
        <f t="shared" si="68"/>
        <v>0</v>
      </c>
      <c r="N64" s="623"/>
      <c r="O64" s="613"/>
      <c r="P64" s="613"/>
      <c r="Q64" s="613"/>
      <c r="R64" s="613"/>
      <c r="S64" s="615"/>
      <c r="T64" s="615"/>
      <c r="U64" s="615"/>
      <c r="V64" s="615"/>
      <c r="W64" s="615"/>
      <c r="X64" s="1253"/>
      <c r="Y64" s="1254"/>
    </row>
    <row r="65" spans="1:25" ht="24.95" customHeight="1" x14ac:dyDescent="0.25">
      <c r="A65" s="360"/>
      <c r="B65" s="683">
        <v>10</v>
      </c>
      <c r="C65" s="634"/>
      <c r="D65" s="1893" t="s">
        <v>18</v>
      </c>
      <c r="E65" s="1891">
        <f>-VLOOKUP(A61,UHT_BI,36,FALSE)</f>
        <v>0</v>
      </c>
      <c r="F65" s="1905">
        <f t="shared" si="63"/>
        <v>0</v>
      </c>
      <c r="G65" s="362"/>
      <c r="H65" s="627">
        <f>VLOOKUP(A61,REKAP_NILAI,13,FALSE)</f>
        <v>0</v>
      </c>
      <c r="I65" s="709">
        <f t="shared" si="64"/>
        <v>0</v>
      </c>
      <c r="J65" s="710">
        <f t="shared" si="65"/>
        <v>0</v>
      </c>
      <c r="K65" s="711" t="str">
        <f t="shared" si="66"/>
        <v>1.33</v>
      </c>
      <c r="L65" s="711" t="str">
        <f t="shared" si="67"/>
        <v>D+</v>
      </c>
      <c r="M65" s="712" t="str">
        <f t="shared" si="68"/>
        <v>0</v>
      </c>
      <c r="N65" s="624"/>
      <c r="O65" s="614"/>
      <c r="P65" s="614"/>
      <c r="Q65" s="614"/>
      <c r="R65" s="614"/>
      <c r="S65" s="616"/>
      <c r="T65" s="616"/>
      <c r="U65" s="616"/>
      <c r="V65" s="616"/>
      <c r="W65" s="616"/>
      <c r="X65" s="1255"/>
      <c r="Y65" s="1256"/>
    </row>
    <row r="66" spans="1:25" ht="24.95" customHeight="1" x14ac:dyDescent="0.25">
      <c r="A66" s="363"/>
      <c r="B66" s="698"/>
      <c r="C66" s="635" t="s">
        <v>464</v>
      </c>
      <c r="D66" s="629">
        <v>10</v>
      </c>
      <c r="E66" s="363"/>
      <c r="F66" s="1907"/>
      <c r="G66" s="363"/>
      <c r="H66" s="1189">
        <f>AVERAGE(H61:H65)</f>
        <v>0</v>
      </c>
      <c r="I66" s="1250"/>
      <c r="J66" s="713">
        <f>AVERAGE(J61:J65)</f>
        <v>0</v>
      </c>
      <c r="K66" s="714" t="str">
        <f t="shared" si="66"/>
        <v>1.33</v>
      </c>
      <c r="L66" s="714" t="str">
        <f t="shared" si="67"/>
        <v>D+</v>
      </c>
      <c r="M66" s="888" t="str">
        <f t="shared" si="68"/>
        <v>0</v>
      </c>
      <c r="N66" s="630"/>
      <c r="O66" s="631"/>
      <c r="P66" s="631"/>
      <c r="Q66" s="631"/>
      <c r="R66" s="631"/>
      <c r="S66" s="631"/>
      <c r="T66" s="631"/>
      <c r="U66" s="631"/>
      <c r="V66" s="631"/>
      <c r="W66" s="631"/>
      <c r="X66" s="1257"/>
      <c r="Y66" s="1258"/>
    </row>
    <row r="67" spans="1:25" ht="24.95" customHeight="1" x14ac:dyDescent="0.25">
      <c r="A67" s="360">
        <v>11</v>
      </c>
      <c r="B67" s="683">
        <v>11</v>
      </c>
      <c r="C67" s="633" t="str">
        <f>VLOOKUP(A67,data_siswa,4,FALSE)</f>
        <v>Fania Mutiara Felichia</v>
      </c>
      <c r="D67" s="1893" t="s">
        <v>12</v>
      </c>
      <c r="E67" s="1891">
        <f>VLOOKUP(A67,UHT_BI,32,FALSE)</f>
        <v>0</v>
      </c>
      <c r="F67" s="1904">
        <f>E67*2</f>
        <v>0</v>
      </c>
      <c r="G67" s="1891"/>
      <c r="H67" s="627">
        <f>VLOOKUP(B67,REKAP_NILAI,9,FALSE)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708" t="str">
        <f>IF(J67&gt;80,("SB"),IF(J67&gt;65,("B"),IF(J67&gt;50,("C"),IF(J67&gt;0,("K"),"0"))))</f>
        <v>0</v>
      </c>
      <c r="N67" s="617"/>
      <c r="O67" s="1889"/>
      <c r="P67" s="1889"/>
      <c r="Q67" s="1889"/>
      <c r="R67" s="1889"/>
      <c r="S67" s="619"/>
      <c r="T67" s="619"/>
      <c r="U67" s="619"/>
      <c r="V67" s="619"/>
      <c r="W67" s="623"/>
      <c r="X67" s="1057">
        <f t="shared" ref="X67" si="69">J72</f>
        <v>0</v>
      </c>
      <c r="Y67" s="1194" t="str">
        <f>IF(X67&gt;85,("A"),IF(X67&gt;80,("A-"),IF(X67&gt;75,("B+"),IF(X67&gt;70,("B"),IF(X67&gt;65,("B-"),IF(X67&gt;60,("C+"),IF(X67&gt;55,("C"),IF(X67&gt;50,("C-"),"D+"))))))))</f>
        <v>D+</v>
      </c>
    </row>
    <row r="68" spans="1:25" ht="24.95" customHeight="1" x14ac:dyDescent="0.25">
      <c r="A68" s="360"/>
      <c r="B68" s="683">
        <v>11</v>
      </c>
      <c r="C68" s="634"/>
      <c r="D68" s="1799" t="s">
        <v>7</v>
      </c>
      <c r="E68" s="1891">
        <f>VLOOKUP(A67,UHT_BI,33,FALSE)</f>
        <v>0</v>
      </c>
      <c r="F68" s="1905">
        <f t="shared" ref="F68:F71" si="70">E68*2</f>
        <v>0</v>
      </c>
      <c r="G68" s="362"/>
      <c r="H68" s="627">
        <f>VLOOKUP(B67,REKAP_NILAI,10,FALSE)</f>
        <v>0</v>
      </c>
      <c r="I68" s="709">
        <f t="shared" ref="I68:I71" si="71">F68+G68+H68</f>
        <v>0</v>
      </c>
      <c r="J68" s="710">
        <f t="shared" ref="J68:J71" si="72">(F68+G68+H68)/4</f>
        <v>0</v>
      </c>
      <c r="K68" s="711" t="str">
        <f t="shared" ref="K68:K72" si="73">IF(J68&gt;85,("4"),IF(J68&gt;80,("3.66"),IF(J68&gt;75,("3.33"),IF(J68&gt;70,("3.00"),IF(J68&gt;65,("2.66"),IF(J68&gt;60,("2.33"),IF(J68&gt;55,("2"),IF(J68&gt;50,("1.66"),"1.33"))))))))</f>
        <v>1.33</v>
      </c>
      <c r="L68" s="711" t="str">
        <f t="shared" ref="L68:L72" si="74">IF(J68&gt;85,("A"),IF(J68&gt;80,("A-"),IF(J68&gt;75,("B+"),IF(J68&gt;70,("B"),IF(J68&gt;65,("B-"),IF(J68&gt;60,("C+"),IF(J68&gt;55,("C"),IF(J68&gt;50,("C-"),"D+"))))))))</f>
        <v>D+</v>
      </c>
      <c r="M68" s="712" t="str">
        <f t="shared" ref="M68:M72" si="75">IF(J68&gt;80,("SB"),IF(J68&gt;65,("B"),IF(J68&gt;50,("C"),IF(J68&gt;0,("K"),"0"))))</f>
        <v>0</v>
      </c>
      <c r="N68" s="620"/>
      <c r="O68" s="621"/>
      <c r="P68" s="621"/>
      <c r="Q68" s="621"/>
      <c r="R68" s="621"/>
      <c r="S68" s="622"/>
      <c r="T68" s="622"/>
      <c r="U68" s="622"/>
      <c r="V68" s="622"/>
      <c r="W68" s="622"/>
      <c r="X68" s="1251"/>
      <c r="Y68" s="1252"/>
    </row>
    <row r="69" spans="1:25" ht="24.95" customHeight="1" x14ac:dyDescent="0.25">
      <c r="A69" s="360"/>
      <c r="B69" s="683">
        <v>11</v>
      </c>
      <c r="C69" s="634"/>
      <c r="D69" s="1893" t="s">
        <v>10</v>
      </c>
      <c r="E69" s="1891">
        <f>VLOOKUP(A67,UHT_BI,34,FALSE)</f>
        <v>0</v>
      </c>
      <c r="F69" s="1905">
        <f t="shared" si="70"/>
        <v>0</v>
      </c>
      <c r="G69" s="362"/>
      <c r="H69" s="627">
        <f>VLOOKUP(A67,REKAP_NILAI,11,FALSE)</f>
        <v>0</v>
      </c>
      <c r="I69" s="709">
        <f t="shared" si="71"/>
        <v>0</v>
      </c>
      <c r="J69" s="710">
        <f t="shared" si="72"/>
        <v>0</v>
      </c>
      <c r="K69" s="711" t="str">
        <f t="shared" si="73"/>
        <v>1.33</v>
      </c>
      <c r="L69" s="711" t="str">
        <f t="shared" si="74"/>
        <v>D+</v>
      </c>
      <c r="M69" s="712" t="str">
        <f t="shared" si="75"/>
        <v>0</v>
      </c>
      <c r="N69" s="623"/>
      <c r="O69" s="613"/>
      <c r="P69" s="613"/>
      <c r="Q69" s="613"/>
      <c r="R69" s="613"/>
      <c r="S69" s="615"/>
      <c r="T69" s="615"/>
      <c r="U69" s="615"/>
      <c r="V69" s="615"/>
      <c r="W69" s="615"/>
      <c r="X69" s="1253"/>
      <c r="Y69" s="1254"/>
    </row>
    <row r="70" spans="1:25" ht="24.95" customHeight="1" x14ac:dyDescent="0.25">
      <c r="A70" s="360"/>
      <c r="B70" s="683">
        <v>11</v>
      </c>
      <c r="C70" s="634"/>
      <c r="D70" s="1799" t="s">
        <v>8</v>
      </c>
      <c r="E70" s="1891">
        <f>VLOOKUP(A67,UHT_BI,35,FALSE)</f>
        <v>0</v>
      </c>
      <c r="F70" s="1905">
        <f t="shared" si="70"/>
        <v>0</v>
      </c>
      <c r="G70" s="362"/>
      <c r="H70" s="627">
        <f>VLOOKUP(A67,REKAP_NILAI,12,FALSE)</f>
        <v>0</v>
      </c>
      <c r="I70" s="709">
        <f t="shared" si="71"/>
        <v>0</v>
      </c>
      <c r="J70" s="710">
        <f t="shared" si="72"/>
        <v>0</v>
      </c>
      <c r="K70" s="711" t="str">
        <f t="shared" si="73"/>
        <v>1.33</v>
      </c>
      <c r="L70" s="711" t="str">
        <f t="shared" si="74"/>
        <v>D+</v>
      </c>
      <c r="M70" s="712" t="str">
        <f t="shared" si="75"/>
        <v>0</v>
      </c>
      <c r="N70" s="623"/>
      <c r="O70" s="613"/>
      <c r="P70" s="613"/>
      <c r="Q70" s="613"/>
      <c r="R70" s="613"/>
      <c r="S70" s="615"/>
      <c r="T70" s="615"/>
      <c r="U70" s="615"/>
      <c r="V70" s="615"/>
      <c r="W70" s="615"/>
      <c r="X70" s="1253"/>
      <c r="Y70" s="1254"/>
    </row>
    <row r="71" spans="1:25" ht="24.95" customHeight="1" x14ac:dyDescent="0.25">
      <c r="A71" s="360"/>
      <c r="B71" s="683">
        <v>11</v>
      </c>
      <c r="C71" s="634"/>
      <c r="D71" s="1893" t="s">
        <v>18</v>
      </c>
      <c r="E71" s="1891">
        <f>-VLOOKUP(A67,UHT_BI,36,FALSE)</f>
        <v>0</v>
      </c>
      <c r="F71" s="1905">
        <f t="shared" si="70"/>
        <v>0</v>
      </c>
      <c r="G71" s="362"/>
      <c r="H71" s="627">
        <f>VLOOKUP(A67,REKAP_NILAI,13,FALSE)</f>
        <v>0</v>
      </c>
      <c r="I71" s="709">
        <f t="shared" si="71"/>
        <v>0</v>
      </c>
      <c r="J71" s="710">
        <f t="shared" si="72"/>
        <v>0</v>
      </c>
      <c r="K71" s="711" t="str">
        <f t="shared" si="73"/>
        <v>1.33</v>
      </c>
      <c r="L71" s="711" t="str">
        <f t="shared" si="74"/>
        <v>D+</v>
      </c>
      <c r="M71" s="712" t="str">
        <f t="shared" si="75"/>
        <v>0</v>
      </c>
      <c r="N71" s="624"/>
      <c r="O71" s="614"/>
      <c r="P71" s="614"/>
      <c r="Q71" s="614"/>
      <c r="R71" s="614"/>
      <c r="S71" s="616"/>
      <c r="T71" s="616"/>
      <c r="U71" s="616"/>
      <c r="V71" s="616"/>
      <c r="W71" s="616"/>
      <c r="X71" s="1255"/>
      <c r="Y71" s="1256"/>
    </row>
    <row r="72" spans="1:25" ht="24.95" customHeight="1" x14ac:dyDescent="0.25">
      <c r="A72" s="363"/>
      <c r="B72" s="698"/>
      <c r="C72" s="635" t="s">
        <v>464</v>
      </c>
      <c r="D72" s="629">
        <v>11</v>
      </c>
      <c r="E72" s="363"/>
      <c r="F72" s="1907"/>
      <c r="G72" s="363"/>
      <c r="H72" s="1189">
        <f>AVERAGE(H67:H71)</f>
        <v>0</v>
      </c>
      <c r="I72" s="1250"/>
      <c r="J72" s="713">
        <f>AVERAGE(J67:J71)</f>
        <v>0</v>
      </c>
      <c r="K72" s="714" t="str">
        <f t="shared" si="73"/>
        <v>1.33</v>
      </c>
      <c r="L72" s="714" t="str">
        <f t="shared" si="74"/>
        <v>D+</v>
      </c>
      <c r="M72" s="888" t="str">
        <f t="shared" si="75"/>
        <v>0</v>
      </c>
      <c r="N72" s="630"/>
      <c r="O72" s="631"/>
      <c r="P72" s="631"/>
      <c r="Q72" s="631"/>
      <c r="R72" s="631"/>
      <c r="S72" s="631"/>
      <c r="T72" s="631"/>
      <c r="U72" s="631"/>
      <c r="V72" s="631"/>
      <c r="W72" s="631"/>
      <c r="X72" s="1257"/>
      <c r="Y72" s="1258"/>
    </row>
    <row r="73" spans="1:25" ht="24.95" customHeight="1" x14ac:dyDescent="0.25">
      <c r="A73" s="360">
        <v>12</v>
      </c>
      <c r="B73" s="683">
        <v>12</v>
      </c>
      <c r="C73" s="633" t="str">
        <f>VLOOKUP(A73,data_siswa,4,FALSE)</f>
        <v>Intan Dyah Nowari</v>
      </c>
      <c r="D73" s="1893" t="s">
        <v>12</v>
      </c>
      <c r="E73" s="1891">
        <f>VLOOKUP(A73,UHT_BI,32,FALSE)</f>
        <v>0</v>
      </c>
      <c r="F73" s="1904">
        <f>E73*2</f>
        <v>0</v>
      </c>
      <c r="G73" s="1891"/>
      <c r="H73" s="627">
        <f>VLOOKUP(B73,REKAP_NILAI,9,FALSE)</f>
        <v>0</v>
      </c>
      <c r="I73" s="706">
        <f>F73+G73+H73</f>
        <v>0</v>
      </c>
      <c r="J73" s="707">
        <f>(F73+G73+H73)/4</f>
        <v>0</v>
      </c>
      <c r="K73" s="708" t="str">
        <f>IF(J73&gt;85,("4"),IF(J73&gt;80,("3.66"),IF(J73&gt;75,("3.33"),IF(J73&gt;70,("3.00"),IF(J73&gt;65,("2.66"),IF(J73&gt;60,("2.33"),IF(J73&gt;55,("2"),IF(J73&gt;50,("1.66"),"1.33"))))))))</f>
        <v>1.33</v>
      </c>
      <c r="L73" s="708" t="str">
        <f>IF(J73&gt;85,("A"),IF(J73&gt;80,("A-"),IF(J73&gt;75,("B+"),IF(J73&gt;70,("B"),IF(J73&gt;65,("B-"),IF(J73&gt;60,("C+"),IF(J73&gt;55,("C"),IF(J73&gt;50,("C-"),"D+"))))))))</f>
        <v>D+</v>
      </c>
      <c r="M73" s="708" t="str">
        <f>IF(J73&gt;80,("SB"),IF(J73&gt;65,("B"),IF(J73&gt;50,("C"),IF(J73&gt;0,("K"),"0"))))</f>
        <v>0</v>
      </c>
      <c r="N73" s="617"/>
      <c r="O73" s="1889"/>
      <c r="P73" s="1889"/>
      <c r="Q73" s="1889"/>
      <c r="R73" s="1889"/>
      <c r="S73" s="619"/>
      <c r="T73" s="619"/>
      <c r="U73" s="619"/>
      <c r="V73" s="619"/>
      <c r="W73" s="623"/>
      <c r="X73" s="1057">
        <f t="shared" ref="X73" si="76">J78</f>
        <v>0</v>
      </c>
      <c r="Y73" s="1194" t="str">
        <f>IF(X73&gt;85,("A"),IF(X73&gt;80,("A-"),IF(X73&gt;75,("B+"),IF(X73&gt;70,("B"),IF(X73&gt;65,("B-"),IF(X73&gt;60,("C+"),IF(X73&gt;55,("C"),IF(X73&gt;50,("C-"),"D+"))))))))</f>
        <v>D+</v>
      </c>
    </row>
    <row r="74" spans="1:25" ht="24.95" customHeight="1" x14ac:dyDescent="0.25">
      <c r="A74" s="360"/>
      <c r="B74" s="683">
        <v>12</v>
      </c>
      <c r="C74" s="634"/>
      <c r="D74" s="1799" t="s">
        <v>7</v>
      </c>
      <c r="E74" s="1891">
        <f>VLOOKUP(A73,UHT_BI,33,FALSE)</f>
        <v>0</v>
      </c>
      <c r="F74" s="1905">
        <f t="shared" ref="F74:F77" si="77">E74*2</f>
        <v>0</v>
      </c>
      <c r="G74" s="362"/>
      <c r="H74" s="627">
        <f>VLOOKUP(B73,REKAP_NILAI,10,FALSE)</f>
        <v>0</v>
      </c>
      <c r="I74" s="709">
        <f t="shared" ref="I74:I77" si="78">F74+G74+H74</f>
        <v>0</v>
      </c>
      <c r="J74" s="710">
        <f t="shared" ref="J74:J77" si="79">(F74+G74+H74)/4</f>
        <v>0</v>
      </c>
      <c r="K74" s="711" t="str">
        <f t="shared" ref="K74:K78" si="80">IF(J74&gt;85,("4"),IF(J74&gt;80,("3.66"),IF(J74&gt;75,("3.33"),IF(J74&gt;70,("3.00"),IF(J74&gt;65,("2.66"),IF(J74&gt;60,("2.33"),IF(J74&gt;55,("2"),IF(J74&gt;50,("1.66"),"1.33"))))))))</f>
        <v>1.33</v>
      </c>
      <c r="L74" s="711" t="str">
        <f t="shared" ref="L74:L78" si="81">IF(J74&gt;85,("A"),IF(J74&gt;80,("A-"),IF(J74&gt;75,("B+"),IF(J74&gt;70,("B"),IF(J74&gt;65,("B-"),IF(J74&gt;60,("C+"),IF(J74&gt;55,("C"),IF(J74&gt;50,("C-"),"D+"))))))))</f>
        <v>D+</v>
      </c>
      <c r="M74" s="712" t="str">
        <f t="shared" ref="M74:M78" si="82">IF(J74&gt;80,("SB"),IF(J74&gt;65,("B"),IF(J74&gt;50,("C"),IF(J74&gt;0,("K"),"0"))))</f>
        <v>0</v>
      </c>
      <c r="N74" s="620"/>
      <c r="O74" s="621"/>
      <c r="P74" s="621"/>
      <c r="Q74" s="621"/>
      <c r="R74" s="621"/>
      <c r="S74" s="622"/>
      <c r="T74" s="622"/>
      <c r="U74" s="622"/>
      <c r="V74" s="622"/>
      <c r="W74" s="622"/>
      <c r="X74" s="1251"/>
      <c r="Y74" s="1252"/>
    </row>
    <row r="75" spans="1:25" ht="24.95" customHeight="1" x14ac:dyDescent="0.25">
      <c r="A75" s="360"/>
      <c r="B75" s="683">
        <v>12</v>
      </c>
      <c r="C75" s="634"/>
      <c r="D75" s="1893" t="s">
        <v>10</v>
      </c>
      <c r="E75" s="1891">
        <f>VLOOKUP(A73,UHT_BI,34,FALSE)</f>
        <v>0</v>
      </c>
      <c r="F75" s="1905">
        <f t="shared" si="77"/>
        <v>0</v>
      </c>
      <c r="G75" s="362"/>
      <c r="H75" s="627">
        <f>VLOOKUP(A73,REKAP_NILAI,11,FALSE)</f>
        <v>0</v>
      </c>
      <c r="I75" s="709">
        <f t="shared" si="78"/>
        <v>0</v>
      </c>
      <c r="J75" s="710">
        <f t="shared" si="79"/>
        <v>0</v>
      </c>
      <c r="K75" s="711" t="str">
        <f t="shared" si="80"/>
        <v>1.33</v>
      </c>
      <c r="L75" s="711" t="str">
        <f t="shared" si="81"/>
        <v>D+</v>
      </c>
      <c r="M75" s="712" t="str">
        <f t="shared" si="82"/>
        <v>0</v>
      </c>
      <c r="N75" s="623"/>
      <c r="O75" s="613"/>
      <c r="P75" s="613"/>
      <c r="Q75" s="613"/>
      <c r="R75" s="613"/>
      <c r="S75" s="615"/>
      <c r="T75" s="615"/>
      <c r="U75" s="615"/>
      <c r="V75" s="615"/>
      <c r="W75" s="615"/>
      <c r="X75" s="1253"/>
      <c r="Y75" s="1254"/>
    </row>
    <row r="76" spans="1:25" ht="24.95" customHeight="1" x14ac:dyDescent="0.25">
      <c r="A76" s="360"/>
      <c r="B76" s="683">
        <v>12</v>
      </c>
      <c r="C76" s="634"/>
      <c r="D76" s="1799" t="s">
        <v>8</v>
      </c>
      <c r="E76" s="1891">
        <f>VLOOKUP(A73,UHT_BI,35,FALSE)</f>
        <v>0</v>
      </c>
      <c r="F76" s="1905">
        <f t="shared" si="77"/>
        <v>0</v>
      </c>
      <c r="G76" s="362"/>
      <c r="H76" s="627">
        <f>VLOOKUP(A73,REKAP_NILAI,12,FALSE)</f>
        <v>0</v>
      </c>
      <c r="I76" s="709">
        <f t="shared" si="78"/>
        <v>0</v>
      </c>
      <c r="J76" s="710">
        <f t="shared" si="79"/>
        <v>0</v>
      </c>
      <c r="K76" s="711" t="str">
        <f t="shared" si="80"/>
        <v>1.33</v>
      </c>
      <c r="L76" s="711" t="str">
        <f t="shared" si="81"/>
        <v>D+</v>
      </c>
      <c r="M76" s="712" t="str">
        <f t="shared" si="82"/>
        <v>0</v>
      </c>
      <c r="N76" s="623"/>
      <c r="O76" s="613"/>
      <c r="P76" s="613"/>
      <c r="Q76" s="613"/>
      <c r="R76" s="613"/>
      <c r="S76" s="615"/>
      <c r="T76" s="615"/>
      <c r="U76" s="615"/>
      <c r="V76" s="615"/>
      <c r="W76" s="615"/>
      <c r="X76" s="1253"/>
      <c r="Y76" s="1254"/>
    </row>
    <row r="77" spans="1:25" ht="24.95" customHeight="1" x14ac:dyDescent="0.25">
      <c r="A77" s="360"/>
      <c r="B77" s="683">
        <v>12</v>
      </c>
      <c r="C77" s="634"/>
      <c r="D77" s="1893" t="s">
        <v>18</v>
      </c>
      <c r="E77" s="1891">
        <f>-VLOOKUP(A73,UHT_BI,36,FALSE)</f>
        <v>0</v>
      </c>
      <c r="F77" s="1905">
        <f t="shared" si="77"/>
        <v>0</v>
      </c>
      <c r="G77" s="362"/>
      <c r="H77" s="627">
        <f>VLOOKUP(A73,REKAP_NILAI,13,FALSE)</f>
        <v>0</v>
      </c>
      <c r="I77" s="709">
        <f t="shared" si="78"/>
        <v>0</v>
      </c>
      <c r="J77" s="710">
        <f t="shared" si="79"/>
        <v>0</v>
      </c>
      <c r="K77" s="711" t="str">
        <f t="shared" si="80"/>
        <v>1.33</v>
      </c>
      <c r="L77" s="711" t="str">
        <f t="shared" si="81"/>
        <v>D+</v>
      </c>
      <c r="M77" s="712" t="str">
        <f t="shared" si="82"/>
        <v>0</v>
      </c>
      <c r="N77" s="624"/>
      <c r="O77" s="614"/>
      <c r="P77" s="614"/>
      <c r="Q77" s="614"/>
      <c r="R77" s="614"/>
      <c r="S77" s="616"/>
      <c r="T77" s="616"/>
      <c r="U77" s="616"/>
      <c r="V77" s="616"/>
      <c r="W77" s="616"/>
      <c r="X77" s="1255"/>
      <c r="Y77" s="1256"/>
    </row>
    <row r="78" spans="1:25" ht="24.95" customHeight="1" x14ac:dyDescent="0.25">
      <c r="A78" s="363"/>
      <c r="B78" s="698"/>
      <c r="C78" s="635" t="s">
        <v>464</v>
      </c>
      <c r="D78" s="629">
        <v>12</v>
      </c>
      <c r="E78" s="363"/>
      <c r="F78" s="1907"/>
      <c r="G78" s="363"/>
      <c r="H78" s="1189">
        <f>AVERAGE(H73:H77)</f>
        <v>0</v>
      </c>
      <c r="I78" s="1250"/>
      <c r="J78" s="713">
        <f>AVERAGE(J73:J77)</f>
        <v>0</v>
      </c>
      <c r="K78" s="714" t="str">
        <f t="shared" si="80"/>
        <v>1.33</v>
      </c>
      <c r="L78" s="714" t="str">
        <f t="shared" si="81"/>
        <v>D+</v>
      </c>
      <c r="M78" s="888" t="str">
        <f t="shared" si="82"/>
        <v>0</v>
      </c>
      <c r="N78" s="630"/>
      <c r="O78" s="631"/>
      <c r="P78" s="631"/>
      <c r="Q78" s="631"/>
      <c r="R78" s="631"/>
      <c r="S78" s="631"/>
      <c r="T78" s="631"/>
      <c r="U78" s="631"/>
      <c r="V78" s="631"/>
      <c r="W78" s="631"/>
      <c r="X78" s="1257"/>
      <c r="Y78" s="1258"/>
    </row>
    <row r="79" spans="1:25" ht="24.95" customHeight="1" x14ac:dyDescent="0.25">
      <c r="A79" s="360">
        <v>13</v>
      </c>
      <c r="B79" s="683">
        <v>13</v>
      </c>
      <c r="C79" s="633" t="str">
        <f>VLOOKUP(A79,data_siswa,4,FALSE)</f>
        <v>Misyanita Nurfitri S</v>
      </c>
      <c r="D79" s="1893" t="s">
        <v>12</v>
      </c>
      <c r="E79" s="1891">
        <f>VLOOKUP(A79,UHT_BI,32,FALSE)</f>
        <v>0</v>
      </c>
      <c r="F79" s="1904">
        <f>E79*2</f>
        <v>0</v>
      </c>
      <c r="G79" s="1891"/>
      <c r="H79" s="627">
        <f>VLOOKUP(B79,REKAP_NILAI,9,FALSE)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708" t="str">
        <f>IF(J79&gt;80,("SB"),IF(J79&gt;65,("B"),IF(J79&gt;50,("C"),IF(J79&gt;0,("K"),"0"))))</f>
        <v>0</v>
      </c>
      <c r="N79" s="617"/>
      <c r="O79" s="1889"/>
      <c r="P79" s="1889"/>
      <c r="Q79" s="1889"/>
      <c r="R79" s="1889"/>
      <c r="S79" s="619"/>
      <c r="T79" s="619"/>
      <c r="U79" s="619"/>
      <c r="V79" s="619"/>
      <c r="W79" s="623"/>
      <c r="X79" s="1057">
        <f t="shared" ref="X79" si="83">J84</f>
        <v>0</v>
      </c>
      <c r="Y79" s="1194" t="str">
        <f>IF(X79&gt;85,("A"),IF(X79&gt;80,("A-"),IF(X79&gt;75,("B+"),IF(X79&gt;70,("B"),IF(X79&gt;65,("B-"),IF(X79&gt;60,("C+"),IF(X79&gt;55,("C"),IF(X79&gt;50,("C-"),"D+"))))))))</f>
        <v>D+</v>
      </c>
    </row>
    <row r="80" spans="1:25" ht="24.95" customHeight="1" x14ac:dyDescent="0.25">
      <c r="A80" s="360"/>
      <c r="B80" s="683">
        <v>13</v>
      </c>
      <c r="C80" s="634"/>
      <c r="D80" s="1799" t="s">
        <v>7</v>
      </c>
      <c r="E80" s="1891">
        <f>VLOOKUP(A79,UHT_BI,33,FALSE)</f>
        <v>0</v>
      </c>
      <c r="F80" s="1905">
        <f t="shared" ref="F80:F83" si="84">E80*2</f>
        <v>0</v>
      </c>
      <c r="G80" s="362"/>
      <c r="H80" s="627">
        <f>VLOOKUP(B79,REKAP_NILAI,10,FALSE)</f>
        <v>0</v>
      </c>
      <c r="I80" s="709">
        <f t="shared" ref="I80:I83" si="85">F80+G80+H80</f>
        <v>0</v>
      </c>
      <c r="J80" s="710">
        <f t="shared" ref="J80:J83" si="86">(F80+G80+H80)/4</f>
        <v>0</v>
      </c>
      <c r="K80" s="711" t="str">
        <f t="shared" ref="K80:K84" si="87">IF(J80&gt;85,("4"),IF(J80&gt;80,("3.66"),IF(J80&gt;75,("3.33"),IF(J80&gt;70,("3.00"),IF(J80&gt;65,("2.66"),IF(J80&gt;60,("2.33"),IF(J80&gt;55,("2"),IF(J80&gt;50,("1.66"),"1.33"))))))))</f>
        <v>1.33</v>
      </c>
      <c r="L80" s="711" t="str">
        <f t="shared" ref="L80:L84" si="88">IF(J80&gt;85,("A"),IF(J80&gt;80,("A-"),IF(J80&gt;75,("B+"),IF(J80&gt;70,("B"),IF(J80&gt;65,("B-"),IF(J80&gt;60,("C+"),IF(J80&gt;55,("C"),IF(J80&gt;50,("C-"),"D+"))))))))</f>
        <v>D+</v>
      </c>
      <c r="M80" s="712" t="str">
        <f t="shared" ref="M80:M84" si="89">IF(J80&gt;80,("SB"),IF(J80&gt;65,("B"),IF(J80&gt;50,("C"),IF(J80&gt;0,("K"),"0"))))</f>
        <v>0</v>
      </c>
      <c r="N80" s="620"/>
      <c r="O80" s="621"/>
      <c r="P80" s="621"/>
      <c r="Q80" s="621"/>
      <c r="R80" s="621"/>
      <c r="S80" s="622"/>
      <c r="T80" s="622"/>
      <c r="U80" s="622"/>
      <c r="V80" s="622"/>
      <c r="W80" s="622"/>
      <c r="X80" s="1251"/>
      <c r="Y80" s="1252"/>
    </row>
    <row r="81" spans="1:25" ht="24.95" customHeight="1" x14ac:dyDescent="0.25">
      <c r="A81" s="360"/>
      <c r="B81" s="683">
        <v>13</v>
      </c>
      <c r="C81" s="634"/>
      <c r="D81" s="1893" t="s">
        <v>10</v>
      </c>
      <c r="E81" s="1891">
        <f>VLOOKUP(A79,UHT_BI,34,FALSE)</f>
        <v>0</v>
      </c>
      <c r="F81" s="1905">
        <f t="shared" si="84"/>
        <v>0</v>
      </c>
      <c r="G81" s="362"/>
      <c r="H81" s="627">
        <f>VLOOKUP(A79,REKAP_NILAI,11,FALSE)</f>
        <v>0</v>
      </c>
      <c r="I81" s="709">
        <f t="shared" si="85"/>
        <v>0</v>
      </c>
      <c r="J81" s="710">
        <f t="shared" si="86"/>
        <v>0</v>
      </c>
      <c r="K81" s="711" t="str">
        <f t="shared" si="87"/>
        <v>1.33</v>
      </c>
      <c r="L81" s="711" t="str">
        <f t="shared" si="88"/>
        <v>D+</v>
      </c>
      <c r="M81" s="712" t="str">
        <f t="shared" si="89"/>
        <v>0</v>
      </c>
      <c r="N81" s="623"/>
      <c r="O81" s="613"/>
      <c r="P81" s="613"/>
      <c r="Q81" s="613"/>
      <c r="R81" s="613"/>
      <c r="S81" s="615"/>
      <c r="T81" s="615"/>
      <c r="U81" s="615"/>
      <c r="V81" s="615"/>
      <c r="W81" s="615"/>
      <c r="X81" s="1253"/>
      <c r="Y81" s="1254"/>
    </row>
    <row r="82" spans="1:25" ht="24.95" customHeight="1" x14ac:dyDescent="0.25">
      <c r="A82" s="360"/>
      <c r="B82" s="683">
        <v>13</v>
      </c>
      <c r="C82" s="634"/>
      <c r="D82" s="1799" t="s">
        <v>8</v>
      </c>
      <c r="E82" s="1891">
        <f>VLOOKUP(A79,UHT_BI,35,FALSE)</f>
        <v>0</v>
      </c>
      <c r="F82" s="1905">
        <f t="shared" si="84"/>
        <v>0</v>
      </c>
      <c r="G82" s="362"/>
      <c r="H82" s="627">
        <f>VLOOKUP(A79,REKAP_NILAI,12,FALSE)</f>
        <v>0</v>
      </c>
      <c r="I82" s="709">
        <f t="shared" si="85"/>
        <v>0</v>
      </c>
      <c r="J82" s="710">
        <f t="shared" si="86"/>
        <v>0</v>
      </c>
      <c r="K82" s="711" t="str">
        <f t="shared" si="87"/>
        <v>1.33</v>
      </c>
      <c r="L82" s="711" t="str">
        <f t="shared" si="88"/>
        <v>D+</v>
      </c>
      <c r="M82" s="712" t="str">
        <f t="shared" si="89"/>
        <v>0</v>
      </c>
      <c r="N82" s="623"/>
      <c r="O82" s="613"/>
      <c r="P82" s="613"/>
      <c r="Q82" s="613"/>
      <c r="R82" s="613"/>
      <c r="S82" s="615"/>
      <c r="T82" s="615"/>
      <c r="U82" s="615"/>
      <c r="V82" s="615"/>
      <c r="W82" s="615"/>
      <c r="X82" s="1253"/>
      <c r="Y82" s="1254"/>
    </row>
    <row r="83" spans="1:25" ht="24.95" customHeight="1" x14ac:dyDescent="0.25">
      <c r="A83" s="360"/>
      <c r="B83" s="683">
        <v>13</v>
      </c>
      <c r="C83" s="634"/>
      <c r="D83" s="1893" t="s">
        <v>18</v>
      </c>
      <c r="E83" s="1891">
        <f>-VLOOKUP(A79,UHT_BI,36,FALSE)</f>
        <v>0</v>
      </c>
      <c r="F83" s="1905">
        <f t="shared" si="84"/>
        <v>0</v>
      </c>
      <c r="G83" s="362"/>
      <c r="H83" s="627">
        <f>VLOOKUP(A79,REKAP_NILAI,13,FALSE)</f>
        <v>0</v>
      </c>
      <c r="I83" s="709">
        <f t="shared" si="85"/>
        <v>0</v>
      </c>
      <c r="J83" s="710">
        <f t="shared" si="86"/>
        <v>0</v>
      </c>
      <c r="K83" s="711" t="str">
        <f t="shared" si="87"/>
        <v>1.33</v>
      </c>
      <c r="L83" s="711" t="str">
        <f t="shared" si="88"/>
        <v>D+</v>
      </c>
      <c r="M83" s="712" t="str">
        <f t="shared" si="89"/>
        <v>0</v>
      </c>
      <c r="N83" s="624"/>
      <c r="O83" s="614"/>
      <c r="P83" s="614"/>
      <c r="Q83" s="614"/>
      <c r="R83" s="614"/>
      <c r="S83" s="616"/>
      <c r="T83" s="616"/>
      <c r="U83" s="616"/>
      <c r="V83" s="616"/>
      <c r="W83" s="616"/>
      <c r="X83" s="1255"/>
      <c r="Y83" s="1256"/>
    </row>
    <row r="84" spans="1:25" ht="24.95" customHeight="1" x14ac:dyDescent="0.25">
      <c r="A84" s="363"/>
      <c r="B84" s="698"/>
      <c r="C84" s="635" t="s">
        <v>464</v>
      </c>
      <c r="D84" s="629">
        <v>13</v>
      </c>
      <c r="E84" s="363"/>
      <c r="F84" s="1907"/>
      <c r="G84" s="363"/>
      <c r="H84" s="1189">
        <f>AVERAGE(H79:H83)</f>
        <v>0</v>
      </c>
      <c r="I84" s="1250"/>
      <c r="J84" s="713">
        <f>AVERAGE(J79:J83)</f>
        <v>0</v>
      </c>
      <c r="K84" s="714" t="str">
        <f t="shared" si="87"/>
        <v>1.33</v>
      </c>
      <c r="L84" s="714" t="str">
        <f t="shared" si="88"/>
        <v>D+</v>
      </c>
      <c r="M84" s="888" t="str">
        <f t="shared" si="89"/>
        <v>0</v>
      </c>
      <c r="N84" s="630"/>
      <c r="O84" s="631"/>
      <c r="P84" s="631"/>
      <c r="Q84" s="631"/>
      <c r="R84" s="631"/>
      <c r="S84" s="631"/>
      <c r="T84" s="631"/>
      <c r="U84" s="631"/>
      <c r="V84" s="631"/>
      <c r="W84" s="631"/>
      <c r="X84" s="1257"/>
      <c r="Y84" s="1258"/>
    </row>
    <row r="85" spans="1:25" ht="24.95" customHeight="1" x14ac:dyDescent="0.25">
      <c r="A85" s="360">
        <v>14</v>
      </c>
      <c r="B85" s="683">
        <v>14</v>
      </c>
      <c r="C85" s="633" t="str">
        <f>VLOOKUP(A85,data_siswa,4,FALSE)</f>
        <v>Moch Zidane Hita L. U</v>
      </c>
      <c r="D85" s="1893" t="s">
        <v>12</v>
      </c>
      <c r="E85" s="1891">
        <f>VLOOKUP(A85,UHT_BI,32,FALSE)</f>
        <v>0</v>
      </c>
      <c r="F85" s="1904">
        <f>E85*2</f>
        <v>0</v>
      </c>
      <c r="G85" s="1891"/>
      <c r="H85" s="627">
        <f>VLOOKUP(B85,REKAP_NILAI,9,FALSE)</f>
        <v>0</v>
      </c>
      <c r="I85" s="706">
        <f>F85+G85+H85</f>
        <v>0</v>
      </c>
      <c r="J85" s="707">
        <f>(F85+G85+H85)/4</f>
        <v>0</v>
      </c>
      <c r="K85" s="708" t="str">
        <f>IF(J85&gt;85,("4"),IF(J85&gt;80,("3.66"),IF(J85&gt;75,("3.33"),IF(J85&gt;70,("3.00"),IF(J85&gt;65,("2.66"),IF(J85&gt;60,("2.33"),IF(J85&gt;55,("2"),IF(J85&gt;50,("1.66"),"1.33"))))))))</f>
        <v>1.33</v>
      </c>
      <c r="L85" s="708" t="str">
        <f>IF(J85&gt;85,("A"),IF(J85&gt;80,("A-"),IF(J85&gt;75,("B+"),IF(J85&gt;70,("B"),IF(J85&gt;65,("B-"),IF(J85&gt;60,("C+"),IF(J85&gt;55,("C"),IF(J85&gt;50,("C-"),"D+"))))))))</f>
        <v>D+</v>
      </c>
      <c r="M85" s="708" t="str">
        <f>IF(J85&gt;80,("SB"),IF(J85&gt;65,("B"),IF(J85&gt;50,("C"),IF(J85&gt;0,("K"),"0"))))</f>
        <v>0</v>
      </c>
      <c r="N85" s="617"/>
      <c r="O85" s="1889"/>
      <c r="P85" s="1889"/>
      <c r="Q85" s="1889"/>
      <c r="R85" s="1889"/>
      <c r="S85" s="619"/>
      <c r="T85" s="619"/>
      <c r="U85" s="619"/>
      <c r="V85" s="619"/>
      <c r="W85" s="623"/>
      <c r="X85" s="1057">
        <f t="shared" ref="X85" si="90">J90</f>
        <v>0</v>
      </c>
      <c r="Y85" s="1194" t="str">
        <f>IF(X85&gt;85,("A"),IF(X85&gt;80,("A-"),IF(X85&gt;75,("B+"),IF(X85&gt;70,("B"),IF(X85&gt;65,("B-"),IF(X85&gt;60,("C+"),IF(X85&gt;55,("C"),IF(X85&gt;50,("C-"),"D+"))))))))</f>
        <v>D+</v>
      </c>
    </row>
    <row r="86" spans="1:25" ht="24.95" customHeight="1" x14ac:dyDescent="0.25">
      <c r="A86" s="360"/>
      <c r="B86" s="683">
        <v>14</v>
      </c>
      <c r="C86" s="634"/>
      <c r="D86" s="1799" t="s">
        <v>7</v>
      </c>
      <c r="E86" s="1891">
        <f>VLOOKUP(A85,UHT_BI,33,FALSE)</f>
        <v>0</v>
      </c>
      <c r="F86" s="1905">
        <f t="shared" ref="F86:F89" si="91">E86*2</f>
        <v>0</v>
      </c>
      <c r="G86" s="362"/>
      <c r="H86" s="627">
        <f>VLOOKUP(B85,REKAP_NILAI,10,FALSE)</f>
        <v>0</v>
      </c>
      <c r="I86" s="709">
        <f t="shared" ref="I86:I89" si="92">F86+G86+H86</f>
        <v>0</v>
      </c>
      <c r="J86" s="710">
        <f t="shared" ref="J86:J89" si="93">(F86+G86+H86)/4</f>
        <v>0</v>
      </c>
      <c r="K86" s="711" t="str">
        <f t="shared" ref="K86:K90" si="94">IF(J86&gt;85,("4"),IF(J86&gt;80,("3.66"),IF(J86&gt;75,("3.33"),IF(J86&gt;70,("3.00"),IF(J86&gt;65,("2.66"),IF(J86&gt;60,("2.33"),IF(J86&gt;55,("2"),IF(J86&gt;50,("1.66"),"1.33"))))))))</f>
        <v>1.33</v>
      </c>
      <c r="L86" s="711" t="str">
        <f t="shared" ref="L86:L90" si="95">IF(J86&gt;85,("A"),IF(J86&gt;80,("A-"),IF(J86&gt;75,("B+"),IF(J86&gt;70,("B"),IF(J86&gt;65,("B-"),IF(J86&gt;60,("C+"),IF(J86&gt;55,("C"),IF(J86&gt;50,("C-"),"D+"))))))))</f>
        <v>D+</v>
      </c>
      <c r="M86" s="712" t="str">
        <f t="shared" ref="M86:M90" si="96">IF(J86&gt;80,("SB"),IF(J86&gt;65,("B"),IF(J86&gt;50,("C"),IF(J86&gt;0,("K"),"0"))))</f>
        <v>0</v>
      </c>
      <c r="N86" s="620"/>
      <c r="O86" s="621"/>
      <c r="P86" s="621"/>
      <c r="Q86" s="621"/>
      <c r="R86" s="621"/>
      <c r="S86" s="622"/>
      <c r="T86" s="622"/>
      <c r="U86" s="622"/>
      <c r="V86" s="622"/>
      <c r="W86" s="622"/>
      <c r="X86" s="1251"/>
      <c r="Y86" s="1252"/>
    </row>
    <row r="87" spans="1:25" ht="24.95" customHeight="1" x14ac:dyDescent="0.25">
      <c r="A87" s="360"/>
      <c r="B87" s="683">
        <v>14</v>
      </c>
      <c r="C87" s="634"/>
      <c r="D87" s="1893" t="s">
        <v>10</v>
      </c>
      <c r="E87" s="1891">
        <f>VLOOKUP(A85,UHT_BI,34,FALSE)</f>
        <v>0</v>
      </c>
      <c r="F87" s="1905">
        <f t="shared" si="91"/>
        <v>0</v>
      </c>
      <c r="G87" s="362"/>
      <c r="H87" s="627">
        <f>VLOOKUP(A85,REKAP_NILAI,11,FALSE)</f>
        <v>0</v>
      </c>
      <c r="I87" s="709">
        <f t="shared" si="92"/>
        <v>0</v>
      </c>
      <c r="J87" s="710">
        <f t="shared" si="93"/>
        <v>0</v>
      </c>
      <c r="K87" s="711" t="str">
        <f t="shared" si="94"/>
        <v>1.33</v>
      </c>
      <c r="L87" s="711" t="str">
        <f t="shared" si="95"/>
        <v>D+</v>
      </c>
      <c r="M87" s="712" t="str">
        <f t="shared" si="96"/>
        <v>0</v>
      </c>
      <c r="N87" s="623"/>
      <c r="O87" s="613"/>
      <c r="P87" s="613"/>
      <c r="Q87" s="613"/>
      <c r="R87" s="613"/>
      <c r="S87" s="615"/>
      <c r="T87" s="615"/>
      <c r="U87" s="615"/>
      <c r="V87" s="615"/>
      <c r="W87" s="615"/>
      <c r="X87" s="1253"/>
      <c r="Y87" s="1254"/>
    </row>
    <row r="88" spans="1:25" ht="24.95" customHeight="1" x14ac:dyDescent="0.25">
      <c r="A88" s="360"/>
      <c r="B88" s="683">
        <v>14</v>
      </c>
      <c r="C88" s="634"/>
      <c r="D88" s="1799" t="s">
        <v>8</v>
      </c>
      <c r="E88" s="1891">
        <f>VLOOKUP(A85,UHT_BI,35,FALSE)</f>
        <v>0</v>
      </c>
      <c r="F88" s="1905">
        <f t="shared" si="91"/>
        <v>0</v>
      </c>
      <c r="G88" s="362"/>
      <c r="H88" s="627">
        <f>VLOOKUP(A85,REKAP_NILAI,12,FALSE)</f>
        <v>0</v>
      </c>
      <c r="I88" s="709">
        <f t="shared" si="92"/>
        <v>0</v>
      </c>
      <c r="J88" s="710">
        <f t="shared" si="93"/>
        <v>0</v>
      </c>
      <c r="K88" s="711" t="str">
        <f t="shared" si="94"/>
        <v>1.33</v>
      </c>
      <c r="L88" s="711" t="str">
        <f t="shared" si="95"/>
        <v>D+</v>
      </c>
      <c r="M88" s="712" t="str">
        <f t="shared" si="96"/>
        <v>0</v>
      </c>
      <c r="N88" s="623"/>
      <c r="O88" s="613"/>
      <c r="P88" s="613"/>
      <c r="Q88" s="613"/>
      <c r="R88" s="613"/>
      <c r="S88" s="615"/>
      <c r="T88" s="615"/>
      <c r="U88" s="615"/>
      <c r="V88" s="615"/>
      <c r="W88" s="615"/>
      <c r="X88" s="1253"/>
      <c r="Y88" s="1254"/>
    </row>
    <row r="89" spans="1:25" ht="24.95" customHeight="1" x14ac:dyDescent="0.25">
      <c r="A89" s="360"/>
      <c r="B89" s="683">
        <v>14</v>
      </c>
      <c r="C89" s="634"/>
      <c r="D89" s="1893" t="s">
        <v>18</v>
      </c>
      <c r="E89" s="1891">
        <f>-VLOOKUP(A85,UHT_BI,36,FALSE)</f>
        <v>0</v>
      </c>
      <c r="F89" s="1905">
        <f t="shared" si="91"/>
        <v>0</v>
      </c>
      <c r="G89" s="362"/>
      <c r="H89" s="627">
        <f>VLOOKUP(A85,REKAP_NILAI,13,FALSE)</f>
        <v>0</v>
      </c>
      <c r="I89" s="709">
        <f t="shared" si="92"/>
        <v>0</v>
      </c>
      <c r="J89" s="710">
        <f t="shared" si="93"/>
        <v>0</v>
      </c>
      <c r="K89" s="711" t="str">
        <f t="shared" si="94"/>
        <v>1.33</v>
      </c>
      <c r="L89" s="711" t="str">
        <f t="shared" si="95"/>
        <v>D+</v>
      </c>
      <c r="M89" s="712" t="str">
        <f t="shared" si="96"/>
        <v>0</v>
      </c>
      <c r="N89" s="624"/>
      <c r="O89" s="614"/>
      <c r="P89" s="614"/>
      <c r="Q89" s="614"/>
      <c r="R89" s="614"/>
      <c r="S89" s="616"/>
      <c r="T89" s="616"/>
      <c r="U89" s="616"/>
      <c r="V89" s="616"/>
      <c r="W89" s="616"/>
      <c r="X89" s="1255"/>
      <c r="Y89" s="1256"/>
    </row>
    <row r="90" spans="1:25" ht="24.95" customHeight="1" x14ac:dyDescent="0.25">
      <c r="A90" s="363"/>
      <c r="B90" s="698"/>
      <c r="C90" s="635" t="s">
        <v>464</v>
      </c>
      <c r="D90" s="629">
        <v>14</v>
      </c>
      <c r="E90" s="363"/>
      <c r="F90" s="1907"/>
      <c r="G90" s="363"/>
      <c r="H90" s="1189">
        <f>AVERAGE(H85:H89)</f>
        <v>0</v>
      </c>
      <c r="I90" s="1250"/>
      <c r="J90" s="713">
        <f>AVERAGE(J85:J89)</f>
        <v>0</v>
      </c>
      <c r="K90" s="714" t="str">
        <f t="shared" si="94"/>
        <v>1.33</v>
      </c>
      <c r="L90" s="714" t="str">
        <f t="shared" si="95"/>
        <v>D+</v>
      </c>
      <c r="M90" s="888" t="str">
        <f t="shared" si="96"/>
        <v>0</v>
      </c>
      <c r="N90" s="630"/>
      <c r="O90" s="631"/>
      <c r="P90" s="631"/>
      <c r="Q90" s="631"/>
      <c r="R90" s="631"/>
      <c r="S90" s="631"/>
      <c r="T90" s="631"/>
      <c r="U90" s="631"/>
      <c r="V90" s="631"/>
      <c r="W90" s="631"/>
      <c r="X90" s="1257"/>
      <c r="Y90" s="1258"/>
    </row>
    <row r="91" spans="1:25" ht="24.95" customHeight="1" x14ac:dyDescent="0.25">
      <c r="A91" s="360">
        <v>15</v>
      </c>
      <c r="B91" s="683">
        <v>15</v>
      </c>
      <c r="C91" s="633" t="str">
        <f>VLOOKUP(A91,data_siswa,4,FALSE)</f>
        <v>Muhammad Ibra Maulana</v>
      </c>
      <c r="D91" s="1893" t="s">
        <v>12</v>
      </c>
      <c r="E91" s="1891">
        <f>VLOOKUP(A91,UHT_BI,32,FALSE)</f>
        <v>0</v>
      </c>
      <c r="F91" s="1904">
        <f>E91*2</f>
        <v>0</v>
      </c>
      <c r="G91" s="1891"/>
      <c r="H91" s="627">
        <f>VLOOKUP(B91,REKAP_NILAI,9,FALSE)</f>
        <v>0</v>
      </c>
      <c r="I91" s="706">
        <f>F91+G91+H91</f>
        <v>0</v>
      </c>
      <c r="J91" s="707">
        <f>(F91+G91+H91)/4</f>
        <v>0</v>
      </c>
      <c r="K91" s="708" t="str">
        <f>IF(J91&gt;85,("4"),IF(J91&gt;80,("3.66"),IF(J91&gt;75,("3.33"),IF(J91&gt;70,("3.00"),IF(J91&gt;65,("2.66"),IF(J91&gt;60,("2.33"),IF(J91&gt;55,("2"),IF(J91&gt;50,("1.66"),"1.33"))))))))</f>
        <v>1.33</v>
      </c>
      <c r="L91" s="708" t="str">
        <f>IF(J91&gt;85,("A"),IF(J91&gt;80,("A-"),IF(J91&gt;75,("B+"),IF(J91&gt;70,("B"),IF(J91&gt;65,("B-"),IF(J91&gt;60,("C+"),IF(J91&gt;55,("C"),IF(J91&gt;50,("C-"),"D+"))))))))</f>
        <v>D+</v>
      </c>
      <c r="M91" s="708" t="str">
        <f>IF(J91&gt;80,("SB"),IF(J91&gt;65,("B"),IF(J91&gt;50,("C"),IF(J91&gt;0,("K"),"0"))))</f>
        <v>0</v>
      </c>
      <c r="N91" s="617"/>
      <c r="O91" s="1889"/>
      <c r="P91" s="1889"/>
      <c r="Q91" s="1889"/>
      <c r="R91" s="1889"/>
      <c r="S91" s="619"/>
      <c r="T91" s="619"/>
      <c r="U91" s="619"/>
      <c r="V91" s="619"/>
      <c r="W91" s="623"/>
      <c r="X91" s="1057">
        <f t="shared" ref="X91" si="97">J96</f>
        <v>0</v>
      </c>
      <c r="Y91" s="1194" t="str">
        <f>IF(X91&gt;85,("A"),IF(X91&gt;80,("A-"),IF(X91&gt;75,("B+"),IF(X91&gt;70,("B"),IF(X91&gt;65,("B-"),IF(X91&gt;60,("C+"),IF(X91&gt;55,("C"),IF(X91&gt;50,("C-"),"D+"))))))))</f>
        <v>D+</v>
      </c>
    </row>
    <row r="92" spans="1:25" ht="24.95" customHeight="1" x14ac:dyDescent="0.25">
      <c r="A92" s="360"/>
      <c r="B92" s="683">
        <v>15</v>
      </c>
      <c r="C92" s="634"/>
      <c r="D92" s="1799" t="s">
        <v>7</v>
      </c>
      <c r="E92" s="1891">
        <f>VLOOKUP(A91,UHT_BI,33,FALSE)</f>
        <v>0</v>
      </c>
      <c r="F92" s="1905">
        <f t="shared" ref="F92:F95" si="98">E92*2</f>
        <v>0</v>
      </c>
      <c r="G92" s="362"/>
      <c r="H92" s="627">
        <f>VLOOKUP(B91,REKAP_NILAI,10,FALSE)</f>
        <v>0</v>
      </c>
      <c r="I92" s="709">
        <f t="shared" ref="I92:I95" si="99">F92+G92+H92</f>
        <v>0</v>
      </c>
      <c r="J92" s="710">
        <f t="shared" ref="J92:J95" si="100">(F92+G92+H92)/4</f>
        <v>0</v>
      </c>
      <c r="K92" s="711" t="str">
        <f t="shared" ref="K92:K96" si="101">IF(J92&gt;85,("4"),IF(J92&gt;80,("3.66"),IF(J92&gt;75,("3.33"),IF(J92&gt;70,("3.00"),IF(J92&gt;65,("2.66"),IF(J92&gt;60,("2.33"),IF(J92&gt;55,("2"),IF(J92&gt;50,("1.66"),"1.33"))))))))</f>
        <v>1.33</v>
      </c>
      <c r="L92" s="711" t="str">
        <f t="shared" ref="L92:L96" si="102">IF(J92&gt;85,("A"),IF(J92&gt;80,("A-"),IF(J92&gt;75,("B+"),IF(J92&gt;70,("B"),IF(J92&gt;65,("B-"),IF(J92&gt;60,("C+"),IF(J92&gt;55,("C"),IF(J92&gt;50,("C-"),"D+"))))))))</f>
        <v>D+</v>
      </c>
      <c r="M92" s="712" t="str">
        <f t="shared" ref="M92:M96" si="103">IF(J92&gt;80,("SB"),IF(J92&gt;65,("B"),IF(J92&gt;50,("C"),IF(J92&gt;0,("K"),"0"))))</f>
        <v>0</v>
      </c>
      <c r="N92" s="620"/>
      <c r="O92" s="621"/>
      <c r="P92" s="621"/>
      <c r="Q92" s="621"/>
      <c r="R92" s="621"/>
      <c r="S92" s="622"/>
      <c r="T92" s="622"/>
      <c r="U92" s="622"/>
      <c r="V92" s="622"/>
      <c r="W92" s="622"/>
      <c r="X92" s="1251"/>
      <c r="Y92" s="1252"/>
    </row>
    <row r="93" spans="1:25" ht="24.95" customHeight="1" x14ac:dyDescent="0.25">
      <c r="A93" s="360"/>
      <c r="B93" s="683">
        <v>15</v>
      </c>
      <c r="C93" s="634"/>
      <c r="D93" s="1893" t="s">
        <v>10</v>
      </c>
      <c r="E93" s="1891">
        <f>VLOOKUP(A91,UHT_BI,34,FALSE)</f>
        <v>0</v>
      </c>
      <c r="F93" s="1905">
        <f t="shared" si="98"/>
        <v>0</v>
      </c>
      <c r="G93" s="362"/>
      <c r="H93" s="627">
        <f>VLOOKUP(A91,REKAP_NILAI,11,FALSE)</f>
        <v>0</v>
      </c>
      <c r="I93" s="709">
        <f t="shared" si="99"/>
        <v>0</v>
      </c>
      <c r="J93" s="710">
        <f t="shared" si="100"/>
        <v>0</v>
      </c>
      <c r="K93" s="711" t="str">
        <f t="shared" si="101"/>
        <v>1.33</v>
      </c>
      <c r="L93" s="711" t="str">
        <f t="shared" si="102"/>
        <v>D+</v>
      </c>
      <c r="M93" s="712" t="str">
        <f t="shared" si="103"/>
        <v>0</v>
      </c>
      <c r="N93" s="623"/>
      <c r="O93" s="613"/>
      <c r="P93" s="613"/>
      <c r="Q93" s="613"/>
      <c r="R93" s="613"/>
      <c r="S93" s="615"/>
      <c r="T93" s="615"/>
      <c r="U93" s="615"/>
      <c r="V93" s="615"/>
      <c r="W93" s="615"/>
      <c r="X93" s="1253"/>
      <c r="Y93" s="1254"/>
    </row>
    <row r="94" spans="1:25" ht="24.95" customHeight="1" x14ac:dyDescent="0.25">
      <c r="A94" s="360"/>
      <c r="B94" s="683">
        <v>15</v>
      </c>
      <c r="C94" s="634"/>
      <c r="D94" s="1799" t="s">
        <v>8</v>
      </c>
      <c r="E94" s="1891">
        <f>VLOOKUP(A91,UHT_BI,35,FALSE)</f>
        <v>0</v>
      </c>
      <c r="F94" s="1905">
        <f t="shared" si="98"/>
        <v>0</v>
      </c>
      <c r="G94" s="362"/>
      <c r="H94" s="627">
        <f>VLOOKUP(A91,REKAP_NILAI,12,FALSE)</f>
        <v>0</v>
      </c>
      <c r="I94" s="709">
        <f t="shared" si="99"/>
        <v>0</v>
      </c>
      <c r="J94" s="710">
        <f t="shared" si="100"/>
        <v>0</v>
      </c>
      <c r="K94" s="711" t="str">
        <f t="shared" si="101"/>
        <v>1.33</v>
      </c>
      <c r="L94" s="711" t="str">
        <f t="shared" si="102"/>
        <v>D+</v>
      </c>
      <c r="M94" s="712" t="str">
        <f t="shared" si="103"/>
        <v>0</v>
      </c>
      <c r="N94" s="623"/>
      <c r="O94" s="613"/>
      <c r="P94" s="613"/>
      <c r="Q94" s="613"/>
      <c r="R94" s="613"/>
      <c r="S94" s="615"/>
      <c r="T94" s="615"/>
      <c r="U94" s="615"/>
      <c r="V94" s="615"/>
      <c r="W94" s="615"/>
      <c r="X94" s="1253"/>
      <c r="Y94" s="1254"/>
    </row>
    <row r="95" spans="1:25" ht="24.95" customHeight="1" x14ac:dyDescent="0.25">
      <c r="A95" s="360"/>
      <c r="B95" s="683">
        <v>15</v>
      </c>
      <c r="C95" s="634"/>
      <c r="D95" s="1893" t="s">
        <v>18</v>
      </c>
      <c r="E95" s="1891">
        <f>-VLOOKUP(A91,UHT_BI,36,FALSE)</f>
        <v>0</v>
      </c>
      <c r="F95" s="1905">
        <f t="shared" si="98"/>
        <v>0</v>
      </c>
      <c r="G95" s="362"/>
      <c r="H95" s="627">
        <f>VLOOKUP(A91,REKAP_NILAI,13,FALSE)</f>
        <v>0</v>
      </c>
      <c r="I95" s="709">
        <f t="shared" si="99"/>
        <v>0</v>
      </c>
      <c r="J95" s="710">
        <f t="shared" si="100"/>
        <v>0</v>
      </c>
      <c r="K95" s="711" t="str">
        <f t="shared" si="101"/>
        <v>1.33</v>
      </c>
      <c r="L95" s="711" t="str">
        <f t="shared" si="102"/>
        <v>D+</v>
      </c>
      <c r="M95" s="712" t="str">
        <f t="shared" si="103"/>
        <v>0</v>
      </c>
      <c r="N95" s="624"/>
      <c r="O95" s="614"/>
      <c r="P95" s="614"/>
      <c r="Q95" s="614"/>
      <c r="R95" s="614"/>
      <c r="S95" s="616"/>
      <c r="T95" s="616"/>
      <c r="U95" s="616"/>
      <c r="V95" s="616"/>
      <c r="W95" s="616"/>
      <c r="X95" s="1255"/>
      <c r="Y95" s="1256"/>
    </row>
    <row r="96" spans="1:25" ht="24.95" customHeight="1" x14ac:dyDescent="0.25">
      <c r="A96" s="363"/>
      <c r="B96" s="698"/>
      <c r="C96" s="635" t="s">
        <v>464</v>
      </c>
      <c r="D96" s="629">
        <v>15</v>
      </c>
      <c r="E96" s="363"/>
      <c r="F96" s="1907"/>
      <c r="G96" s="363"/>
      <c r="H96" s="1189">
        <f>AVERAGE(H91:H95)</f>
        <v>0</v>
      </c>
      <c r="I96" s="1250"/>
      <c r="J96" s="713">
        <f>AVERAGE(J91:J95)</f>
        <v>0</v>
      </c>
      <c r="K96" s="714" t="str">
        <f t="shared" si="101"/>
        <v>1.33</v>
      </c>
      <c r="L96" s="714" t="str">
        <f t="shared" si="102"/>
        <v>D+</v>
      </c>
      <c r="M96" s="888" t="str">
        <f t="shared" si="103"/>
        <v>0</v>
      </c>
      <c r="N96" s="630"/>
      <c r="O96" s="631"/>
      <c r="P96" s="631"/>
      <c r="Q96" s="631"/>
      <c r="R96" s="631"/>
      <c r="S96" s="631"/>
      <c r="T96" s="631"/>
      <c r="U96" s="631"/>
      <c r="V96" s="631"/>
      <c r="W96" s="631"/>
      <c r="X96" s="1257"/>
      <c r="Y96" s="1258"/>
    </row>
    <row r="97" spans="1:25" ht="24.95" customHeight="1" x14ac:dyDescent="0.25">
      <c r="A97" s="360">
        <v>16</v>
      </c>
      <c r="B97" s="683">
        <v>16</v>
      </c>
      <c r="C97" s="633" t="str">
        <f>VLOOKUP(A97,data_siswa,4,FALSE)</f>
        <v>Nabilla Shiva Putri</v>
      </c>
      <c r="D97" s="1893" t="s">
        <v>12</v>
      </c>
      <c r="E97" s="1891">
        <f>VLOOKUP(A97,UHT_BI,32,FALSE)</f>
        <v>0</v>
      </c>
      <c r="F97" s="1904">
        <f>E97*2</f>
        <v>0</v>
      </c>
      <c r="G97" s="1891"/>
      <c r="H97" s="627">
        <f>VLOOKUP(B97,REKAP_NILAI,9,FALSE)</f>
        <v>0</v>
      </c>
      <c r="I97" s="706">
        <f>F97+G97+H97</f>
        <v>0</v>
      </c>
      <c r="J97" s="707">
        <f>(F97+G97+H97)/4</f>
        <v>0</v>
      </c>
      <c r="K97" s="708" t="str">
        <f>IF(J97&gt;85,("4"),IF(J97&gt;80,("3.66"),IF(J97&gt;75,("3.33"),IF(J97&gt;70,("3.00"),IF(J97&gt;65,("2.66"),IF(J97&gt;60,("2.33"),IF(J97&gt;55,("2"),IF(J97&gt;50,("1.66"),"1.33"))))))))</f>
        <v>1.33</v>
      </c>
      <c r="L97" s="708" t="str">
        <f>IF(J97&gt;85,("A"),IF(J97&gt;80,("A-"),IF(J97&gt;75,("B+"),IF(J97&gt;70,("B"),IF(J97&gt;65,("B-"),IF(J97&gt;60,("C+"),IF(J97&gt;55,("C"),IF(J97&gt;50,("C-"),"D+"))))))))</f>
        <v>D+</v>
      </c>
      <c r="M97" s="708" t="str">
        <f>IF(J97&gt;80,("SB"),IF(J97&gt;65,("B"),IF(J97&gt;50,("C"),IF(J97&gt;0,("K"),"0"))))</f>
        <v>0</v>
      </c>
      <c r="N97" s="617"/>
      <c r="O97" s="1889"/>
      <c r="P97" s="1889"/>
      <c r="Q97" s="1889"/>
      <c r="R97" s="1889"/>
      <c r="S97" s="619"/>
      <c r="T97" s="619"/>
      <c r="U97" s="619"/>
      <c r="V97" s="619"/>
      <c r="W97" s="623"/>
      <c r="X97" s="1057">
        <f t="shared" ref="X97" si="104">J102</f>
        <v>0</v>
      </c>
      <c r="Y97" s="1194" t="str">
        <f>IF(X97&gt;85,("A"),IF(X97&gt;80,("A-"),IF(X97&gt;75,("B+"),IF(X97&gt;70,("B"),IF(X97&gt;65,("B-"),IF(X97&gt;60,("C+"),IF(X97&gt;55,("C"),IF(X97&gt;50,("C-"),"D+"))))))))</f>
        <v>D+</v>
      </c>
    </row>
    <row r="98" spans="1:25" ht="24.95" customHeight="1" x14ac:dyDescent="0.25">
      <c r="A98" s="360"/>
      <c r="B98" s="683">
        <v>16</v>
      </c>
      <c r="C98" s="634"/>
      <c r="D98" s="1799" t="s">
        <v>7</v>
      </c>
      <c r="E98" s="1891">
        <f>VLOOKUP(A97,UHT_BI,33,FALSE)</f>
        <v>0</v>
      </c>
      <c r="F98" s="1905">
        <f t="shared" ref="F98:F101" si="105">E98*2</f>
        <v>0</v>
      </c>
      <c r="G98" s="362"/>
      <c r="H98" s="627">
        <f>VLOOKUP(B97,REKAP_NILAI,10,FALSE)</f>
        <v>0</v>
      </c>
      <c r="I98" s="709">
        <f t="shared" ref="I98:I101" si="106">F98+G98+H98</f>
        <v>0</v>
      </c>
      <c r="J98" s="710">
        <f t="shared" ref="J98:J101" si="107">(F98+G98+H98)/4</f>
        <v>0</v>
      </c>
      <c r="K98" s="711" t="str">
        <f t="shared" ref="K98:K102" si="108">IF(J98&gt;85,("4"),IF(J98&gt;80,("3.66"),IF(J98&gt;75,("3.33"),IF(J98&gt;70,("3.00"),IF(J98&gt;65,("2.66"),IF(J98&gt;60,("2.33"),IF(J98&gt;55,("2"),IF(J98&gt;50,("1.66"),"1.33"))))))))</f>
        <v>1.33</v>
      </c>
      <c r="L98" s="711" t="str">
        <f t="shared" ref="L98:L102" si="109">IF(J98&gt;85,("A"),IF(J98&gt;80,("A-"),IF(J98&gt;75,("B+"),IF(J98&gt;70,("B"),IF(J98&gt;65,("B-"),IF(J98&gt;60,("C+"),IF(J98&gt;55,("C"),IF(J98&gt;50,("C-"),"D+"))))))))</f>
        <v>D+</v>
      </c>
      <c r="M98" s="712" t="str">
        <f t="shared" ref="M98:M102" si="110">IF(J98&gt;80,("SB"),IF(J98&gt;65,("B"),IF(J98&gt;50,("C"),IF(J98&gt;0,("K"),"0"))))</f>
        <v>0</v>
      </c>
      <c r="N98" s="620"/>
      <c r="O98" s="621"/>
      <c r="P98" s="621"/>
      <c r="Q98" s="621"/>
      <c r="R98" s="621"/>
      <c r="S98" s="622"/>
      <c r="T98" s="622"/>
      <c r="U98" s="622"/>
      <c r="V98" s="622"/>
      <c r="W98" s="622"/>
      <c r="X98" s="1251"/>
      <c r="Y98" s="1252"/>
    </row>
    <row r="99" spans="1:25" ht="24.95" customHeight="1" x14ac:dyDescent="0.25">
      <c r="A99" s="360"/>
      <c r="B99" s="683">
        <v>16</v>
      </c>
      <c r="C99" s="634"/>
      <c r="D99" s="1893" t="s">
        <v>10</v>
      </c>
      <c r="E99" s="1891">
        <f>VLOOKUP(A97,UHT_BI,34,FALSE)</f>
        <v>0</v>
      </c>
      <c r="F99" s="1905">
        <f t="shared" si="105"/>
        <v>0</v>
      </c>
      <c r="G99" s="362"/>
      <c r="H99" s="627">
        <f>VLOOKUP(A97,REKAP_NILAI,11,FALSE)</f>
        <v>0</v>
      </c>
      <c r="I99" s="709">
        <f t="shared" si="106"/>
        <v>0</v>
      </c>
      <c r="J99" s="710">
        <f t="shared" si="107"/>
        <v>0</v>
      </c>
      <c r="K99" s="711" t="str">
        <f t="shared" si="108"/>
        <v>1.33</v>
      </c>
      <c r="L99" s="711" t="str">
        <f t="shared" si="109"/>
        <v>D+</v>
      </c>
      <c r="M99" s="712" t="str">
        <f t="shared" si="110"/>
        <v>0</v>
      </c>
      <c r="N99" s="623"/>
      <c r="O99" s="613"/>
      <c r="P99" s="613"/>
      <c r="Q99" s="613"/>
      <c r="R99" s="613"/>
      <c r="S99" s="615"/>
      <c r="T99" s="615"/>
      <c r="U99" s="615"/>
      <c r="V99" s="615"/>
      <c r="W99" s="615"/>
      <c r="X99" s="1253"/>
      <c r="Y99" s="1254"/>
    </row>
    <row r="100" spans="1:25" ht="24.95" customHeight="1" x14ac:dyDescent="0.25">
      <c r="A100" s="360"/>
      <c r="B100" s="683">
        <v>16</v>
      </c>
      <c r="C100" s="634"/>
      <c r="D100" s="1799" t="s">
        <v>8</v>
      </c>
      <c r="E100" s="1891">
        <f>VLOOKUP(A97,UHT_BI,35,FALSE)</f>
        <v>0</v>
      </c>
      <c r="F100" s="1905">
        <f t="shared" si="105"/>
        <v>0</v>
      </c>
      <c r="G100" s="362"/>
      <c r="H100" s="627">
        <f>VLOOKUP(A97,REKAP_NILAI,12,FALSE)</f>
        <v>0</v>
      </c>
      <c r="I100" s="709">
        <f t="shared" si="106"/>
        <v>0</v>
      </c>
      <c r="J100" s="710">
        <f t="shared" si="107"/>
        <v>0</v>
      </c>
      <c r="K100" s="711" t="str">
        <f t="shared" si="108"/>
        <v>1.33</v>
      </c>
      <c r="L100" s="711" t="str">
        <f t="shared" si="109"/>
        <v>D+</v>
      </c>
      <c r="M100" s="712" t="str">
        <f t="shared" si="110"/>
        <v>0</v>
      </c>
      <c r="N100" s="623"/>
      <c r="O100" s="613"/>
      <c r="P100" s="613"/>
      <c r="Q100" s="613"/>
      <c r="R100" s="613"/>
      <c r="S100" s="615"/>
      <c r="T100" s="615"/>
      <c r="U100" s="615"/>
      <c r="V100" s="615"/>
      <c r="W100" s="615"/>
      <c r="X100" s="1253"/>
      <c r="Y100" s="1254"/>
    </row>
    <row r="101" spans="1:25" ht="24.95" customHeight="1" x14ac:dyDescent="0.25">
      <c r="A101" s="360"/>
      <c r="B101" s="683">
        <v>16</v>
      </c>
      <c r="C101" s="634"/>
      <c r="D101" s="1893" t="s">
        <v>18</v>
      </c>
      <c r="E101" s="1891">
        <f>-VLOOKUP(A97,UHT_BI,36,FALSE)</f>
        <v>0</v>
      </c>
      <c r="F101" s="1905">
        <f t="shared" si="105"/>
        <v>0</v>
      </c>
      <c r="G101" s="362"/>
      <c r="H101" s="627">
        <f>VLOOKUP(A97,REKAP_NILAI,13,FALSE)</f>
        <v>0</v>
      </c>
      <c r="I101" s="709">
        <f t="shared" si="106"/>
        <v>0</v>
      </c>
      <c r="J101" s="710">
        <f t="shared" si="107"/>
        <v>0</v>
      </c>
      <c r="K101" s="711" t="str">
        <f t="shared" si="108"/>
        <v>1.33</v>
      </c>
      <c r="L101" s="711" t="str">
        <f t="shared" si="109"/>
        <v>D+</v>
      </c>
      <c r="M101" s="712" t="str">
        <f t="shared" si="110"/>
        <v>0</v>
      </c>
      <c r="N101" s="624"/>
      <c r="O101" s="614"/>
      <c r="P101" s="614"/>
      <c r="Q101" s="614"/>
      <c r="R101" s="614"/>
      <c r="S101" s="616"/>
      <c r="T101" s="616"/>
      <c r="U101" s="616"/>
      <c r="V101" s="616"/>
      <c r="W101" s="616"/>
      <c r="X101" s="1255"/>
      <c r="Y101" s="1256"/>
    </row>
    <row r="102" spans="1:25" ht="24.95" customHeight="1" x14ac:dyDescent="0.25">
      <c r="A102" s="363"/>
      <c r="B102" s="698"/>
      <c r="C102" s="635" t="s">
        <v>464</v>
      </c>
      <c r="D102" s="629">
        <v>16</v>
      </c>
      <c r="E102" s="363"/>
      <c r="F102" s="1907"/>
      <c r="G102" s="363"/>
      <c r="H102" s="1189">
        <f>AVERAGE(H97:H101)</f>
        <v>0</v>
      </c>
      <c r="I102" s="1250"/>
      <c r="J102" s="713">
        <f>AVERAGE(J97:J101)</f>
        <v>0</v>
      </c>
      <c r="K102" s="714" t="str">
        <f t="shared" si="108"/>
        <v>1.33</v>
      </c>
      <c r="L102" s="714" t="str">
        <f t="shared" si="109"/>
        <v>D+</v>
      </c>
      <c r="M102" s="888" t="str">
        <f t="shared" si="110"/>
        <v>0</v>
      </c>
      <c r="N102" s="630"/>
      <c r="O102" s="631"/>
      <c r="P102" s="631"/>
      <c r="Q102" s="631"/>
      <c r="R102" s="631"/>
      <c r="S102" s="631"/>
      <c r="T102" s="631"/>
      <c r="U102" s="631"/>
      <c r="V102" s="631"/>
      <c r="W102" s="631"/>
      <c r="X102" s="1257"/>
      <c r="Y102" s="1258"/>
    </row>
    <row r="103" spans="1:25" ht="24.95" customHeight="1" x14ac:dyDescent="0.25">
      <c r="A103" s="360">
        <v>17</v>
      </c>
      <c r="B103" s="683">
        <v>17</v>
      </c>
      <c r="C103" s="633" t="str">
        <f>VLOOKUP(A103,data_siswa,4,FALSE)</f>
        <v>Naufal Falih F</v>
      </c>
      <c r="D103" s="1893" t="s">
        <v>12</v>
      </c>
      <c r="E103" s="1891">
        <f>VLOOKUP(A103,UHT_BI,32,FALSE)</f>
        <v>0</v>
      </c>
      <c r="F103" s="1904">
        <f>E103*2</f>
        <v>0</v>
      </c>
      <c r="G103" s="1891"/>
      <c r="H103" s="627">
        <f>VLOOKUP(B103,REKAP_NILAI,9,FALSE)</f>
        <v>0</v>
      </c>
      <c r="I103" s="706">
        <f>F103+G103+H103</f>
        <v>0</v>
      </c>
      <c r="J103" s="707">
        <f>(F103+G103+H103)/4</f>
        <v>0</v>
      </c>
      <c r="K103" s="708" t="str">
        <f>IF(J103&gt;85,("4"),IF(J103&gt;80,("3.66"),IF(J103&gt;75,("3.33"),IF(J103&gt;70,("3.00"),IF(J103&gt;65,("2.66"),IF(J103&gt;60,("2.33"),IF(J103&gt;55,("2"),IF(J103&gt;50,("1.66"),"1.33"))))))))</f>
        <v>1.33</v>
      </c>
      <c r="L103" s="708" t="str">
        <f>IF(J103&gt;85,("A"),IF(J103&gt;80,("A-"),IF(J103&gt;75,("B+"),IF(J103&gt;70,("B"),IF(J103&gt;65,("B-"),IF(J103&gt;60,("C+"),IF(J103&gt;55,("C"),IF(J103&gt;50,("C-"),"D+"))))))))</f>
        <v>D+</v>
      </c>
      <c r="M103" s="708" t="str">
        <f>IF(J103&gt;80,("SB"),IF(J103&gt;65,("B"),IF(J103&gt;50,("C"),IF(J103&gt;0,("K"),"0"))))</f>
        <v>0</v>
      </c>
      <c r="N103" s="617"/>
      <c r="O103" s="1889"/>
      <c r="P103" s="1889"/>
      <c r="Q103" s="1889"/>
      <c r="R103" s="1889"/>
      <c r="S103" s="619"/>
      <c r="T103" s="619"/>
      <c r="U103" s="619"/>
      <c r="V103" s="619"/>
      <c r="W103" s="623"/>
      <c r="X103" s="1057">
        <f t="shared" ref="X103" si="111">J108</f>
        <v>0</v>
      </c>
      <c r="Y103" s="1194" t="str">
        <f>IF(X103&gt;85,("A"),IF(X103&gt;80,("A-"),IF(X103&gt;75,("B+"),IF(X103&gt;70,("B"),IF(X103&gt;65,("B-"),IF(X103&gt;60,("C+"),IF(X103&gt;55,("C"),IF(X103&gt;50,("C-"),"D+"))))))))</f>
        <v>D+</v>
      </c>
    </row>
    <row r="104" spans="1:25" ht="24.95" customHeight="1" x14ac:dyDescent="0.25">
      <c r="A104" s="360"/>
      <c r="B104" s="683">
        <v>17</v>
      </c>
      <c r="C104" s="634"/>
      <c r="D104" s="1799" t="s">
        <v>7</v>
      </c>
      <c r="E104" s="1891">
        <f>VLOOKUP(A103,UHT_BI,33,FALSE)</f>
        <v>0</v>
      </c>
      <c r="F104" s="1905">
        <f t="shared" ref="F104:F107" si="112">E104*2</f>
        <v>0</v>
      </c>
      <c r="G104" s="362"/>
      <c r="H104" s="627">
        <f>VLOOKUP(B103,REKAP_NILAI,10,FALSE)</f>
        <v>0</v>
      </c>
      <c r="I104" s="709">
        <f t="shared" ref="I104:I107" si="113">F104+G104+H104</f>
        <v>0</v>
      </c>
      <c r="J104" s="710">
        <f t="shared" ref="J104:J107" si="114">(F104+G104+H104)/4</f>
        <v>0</v>
      </c>
      <c r="K104" s="711" t="str">
        <f t="shared" ref="K104:K108" si="115">IF(J104&gt;85,("4"),IF(J104&gt;80,("3.66"),IF(J104&gt;75,("3.33"),IF(J104&gt;70,("3.00"),IF(J104&gt;65,("2.66"),IF(J104&gt;60,("2.33"),IF(J104&gt;55,("2"),IF(J104&gt;50,("1.66"),"1.33"))))))))</f>
        <v>1.33</v>
      </c>
      <c r="L104" s="711" t="str">
        <f t="shared" ref="L104:L108" si="116">IF(J104&gt;85,("A"),IF(J104&gt;80,("A-"),IF(J104&gt;75,("B+"),IF(J104&gt;70,("B"),IF(J104&gt;65,("B-"),IF(J104&gt;60,("C+"),IF(J104&gt;55,("C"),IF(J104&gt;50,("C-"),"D+"))))))))</f>
        <v>D+</v>
      </c>
      <c r="M104" s="712" t="str">
        <f t="shared" ref="M104:M108" si="117">IF(J104&gt;80,("SB"),IF(J104&gt;65,("B"),IF(J104&gt;50,("C"),IF(J104&gt;0,("K"),"0"))))</f>
        <v>0</v>
      </c>
      <c r="N104" s="620"/>
      <c r="O104" s="621"/>
      <c r="P104" s="621"/>
      <c r="Q104" s="621"/>
      <c r="R104" s="621"/>
      <c r="S104" s="622"/>
      <c r="T104" s="622"/>
      <c r="U104" s="622"/>
      <c r="V104" s="622"/>
      <c r="W104" s="622"/>
      <c r="X104" s="1251"/>
      <c r="Y104" s="1252"/>
    </row>
    <row r="105" spans="1:25" ht="24.95" customHeight="1" x14ac:dyDescent="0.25">
      <c r="A105" s="360"/>
      <c r="B105" s="683">
        <v>17</v>
      </c>
      <c r="C105" s="634"/>
      <c r="D105" s="1893" t="s">
        <v>10</v>
      </c>
      <c r="E105" s="1891">
        <f>VLOOKUP(A103,UHT_BI,34,FALSE)</f>
        <v>0</v>
      </c>
      <c r="F105" s="1905">
        <f t="shared" si="112"/>
        <v>0</v>
      </c>
      <c r="G105" s="362"/>
      <c r="H105" s="627">
        <f>VLOOKUP(A103,REKAP_NILAI,11,FALSE)</f>
        <v>0</v>
      </c>
      <c r="I105" s="709">
        <f t="shared" si="113"/>
        <v>0</v>
      </c>
      <c r="J105" s="710">
        <f t="shared" si="114"/>
        <v>0</v>
      </c>
      <c r="K105" s="711" t="str">
        <f t="shared" si="115"/>
        <v>1.33</v>
      </c>
      <c r="L105" s="711" t="str">
        <f t="shared" si="116"/>
        <v>D+</v>
      </c>
      <c r="M105" s="712" t="str">
        <f t="shared" si="117"/>
        <v>0</v>
      </c>
      <c r="N105" s="623"/>
      <c r="O105" s="613"/>
      <c r="P105" s="613"/>
      <c r="Q105" s="613"/>
      <c r="R105" s="613"/>
      <c r="S105" s="615"/>
      <c r="T105" s="615"/>
      <c r="U105" s="615"/>
      <c r="V105" s="615"/>
      <c r="W105" s="615"/>
      <c r="X105" s="1253"/>
      <c r="Y105" s="1254"/>
    </row>
    <row r="106" spans="1:25" ht="24.95" customHeight="1" x14ac:dyDescent="0.25">
      <c r="A106" s="360"/>
      <c r="B106" s="683">
        <v>17</v>
      </c>
      <c r="C106" s="634"/>
      <c r="D106" s="1799" t="s">
        <v>8</v>
      </c>
      <c r="E106" s="1891">
        <f>VLOOKUP(A103,UHT_BI,35,FALSE)</f>
        <v>0</v>
      </c>
      <c r="F106" s="1905">
        <f t="shared" si="112"/>
        <v>0</v>
      </c>
      <c r="G106" s="362"/>
      <c r="H106" s="627">
        <f>VLOOKUP(A103,REKAP_NILAI,12,FALSE)</f>
        <v>0</v>
      </c>
      <c r="I106" s="709">
        <f t="shared" si="113"/>
        <v>0</v>
      </c>
      <c r="J106" s="710">
        <f t="shared" si="114"/>
        <v>0</v>
      </c>
      <c r="K106" s="711" t="str">
        <f t="shared" si="115"/>
        <v>1.33</v>
      </c>
      <c r="L106" s="711" t="str">
        <f t="shared" si="116"/>
        <v>D+</v>
      </c>
      <c r="M106" s="712" t="str">
        <f t="shared" si="117"/>
        <v>0</v>
      </c>
      <c r="N106" s="623"/>
      <c r="O106" s="613"/>
      <c r="P106" s="613"/>
      <c r="Q106" s="613"/>
      <c r="R106" s="613"/>
      <c r="S106" s="615"/>
      <c r="T106" s="615"/>
      <c r="U106" s="615"/>
      <c r="V106" s="615"/>
      <c r="W106" s="615"/>
      <c r="X106" s="1253"/>
      <c r="Y106" s="1254"/>
    </row>
    <row r="107" spans="1:25" ht="24.95" customHeight="1" x14ac:dyDescent="0.25">
      <c r="A107" s="360"/>
      <c r="B107" s="683">
        <v>17</v>
      </c>
      <c r="C107" s="634"/>
      <c r="D107" s="1893" t="s">
        <v>18</v>
      </c>
      <c r="E107" s="1891">
        <f>-VLOOKUP(A103,UHT_BI,36,FALSE)</f>
        <v>0</v>
      </c>
      <c r="F107" s="1905">
        <f t="shared" si="112"/>
        <v>0</v>
      </c>
      <c r="G107" s="362"/>
      <c r="H107" s="627">
        <f>VLOOKUP(A103,REKAP_NILAI,13,FALSE)</f>
        <v>0</v>
      </c>
      <c r="I107" s="709">
        <f t="shared" si="113"/>
        <v>0</v>
      </c>
      <c r="J107" s="710">
        <f t="shared" si="114"/>
        <v>0</v>
      </c>
      <c r="K107" s="711" t="str">
        <f t="shared" si="115"/>
        <v>1.33</v>
      </c>
      <c r="L107" s="711" t="str">
        <f t="shared" si="116"/>
        <v>D+</v>
      </c>
      <c r="M107" s="712" t="str">
        <f t="shared" si="117"/>
        <v>0</v>
      </c>
      <c r="N107" s="624"/>
      <c r="O107" s="614"/>
      <c r="P107" s="614"/>
      <c r="Q107" s="614"/>
      <c r="R107" s="614"/>
      <c r="S107" s="616"/>
      <c r="T107" s="616"/>
      <c r="U107" s="616"/>
      <c r="V107" s="616"/>
      <c r="W107" s="616"/>
      <c r="X107" s="1255"/>
      <c r="Y107" s="1256"/>
    </row>
    <row r="108" spans="1:25" ht="24.95" customHeight="1" x14ac:dyDescent="0.25">
      <c r="A108" s="363"/>
      <c r="B108" s="698"/>
      <c r="C108" s="635" t="s">
        <v>464</v>
      </c>
      <c r="D108" s="629">
        <v>17</v>
      </c>
      <c r="E108" s="363"/>
      <c r="F108" s="1907"/>
      <c r="G108" s="363"/>
      <c r="H108" s="1189">
        <f>AVERAGE(H103:H107)</f>
        <v>0</v>
      </c>
      <c r="I108" s="1250"/>
      <c r="J108" s="713">
        <f>AVERAGE(J103:J107)</f>
        <v>0</v>
      </c>
      <c r="K108" s="714" t="str">
        <f t="shared" si="115"/>
        <v>1.33</v>
      </c>
      <c r="L108" s="714" t="str">
        <f t="shared" si="116"/>
        <v>D+</v>
      </c>
      <c r="M108" s="888" t="str">
        <f t="shared" si="117"/>
        <v>0</v>
      </c>
      <c r="N108" s="630"/>
      <c r="O108" s="631"/>
      <c r="P108" s="631"/>
      <c r="Q108" s="631"/>
      <c r="R108" s="631"/>
      <c r="S108" s="631"/>
      <c r="T108" s="631"/>
      <c r="U108" s="631"/>
      <c r="V108" s="631"/>
      <c r="W108" s="631"/>
      <c r="X108" s="1257"/>
      <c r="Y108" s="1258"/>
    </row>
    <row r="109" spans="1:25" ht="24.95" customHeight="1" x14ac:dyDescent="0.25">
      <c r="A109" s="360">
        <v>18</v>
      </c>
      <c r="B109" s="683">
        <v>18</v>
      </c>
      <c r="C109" s="633" t="str">
        <f>VLOOKUP(A109,data_siswa,4,FALSE)</f>
        <v>Nayla Annora Nobel W</v>
      </c>
      <c r="D109" s="1893" t="s">
        <v>12</v>
      </c>
      <c r="E109" s="1891">
        <f>VLOOKUP(A109,UHT_BI,32,FALSE)</f>
        <v>0</v>
      </c>
      <c r="F109" s="1904">
        <f>E109*2</f>
        <v>0</v>
      </c>
      <c r="G109" s="1891"/>
      <c r="H109" s="627">
        <f>VLOOKUP(B109,REKAP_NILAI,9,FALSE)</f>
        <v>0</v>
      </c>
      <c r="I109" s="706">
        <f>F109+G109+H109</f>
        <v>0</v>
      </c>
      <c r="J109" s="707">
        <f>(F109+G109+H109)/4</f>
        <v>0</v>
      </c>
      <c r="K109" s="708" t="str">
        <f>IF(J109&gt;85,("4"),IF(J109&gt;80,("3.66"),IF(J109&gt;75,("3.33"),IF(J109&gt;70,("3.00"),IF(J109&gt;65,("2.66"),IF(J109&gt;60,("2.33"),IF(J109&gt;55,("2"),IF(J109&gt;50,("1.66"),"1.33"))))))))</f>
        <v>1.33</v>
      </c>
      <c r="L109" s="708" t="str">
        <f>IF(J109&gt;85,("A"),IF(J109&gt;80,("A-"),IF(J109&gt;75,("B+"),IF(J109&gt;70,("B"),IF(J109&gt;65,("B-"),IF(J109&gt;60,("C+"),IF(J109&gt;55,("C"),IF(J109&gt;50,("C-"),"D+"))))))))</f>
        <v>D+</v>
      </c>
      <c r="M109" s="708" t="str">
        <f>IF(J109&gt;80,("SB"),IF(J109&gt;65,("B"),IF(J109&gt;50,("C"),IF(J109&gt;0,("K"),"0"))))</f>
        <v>0</v>
      </c>
      <c r="N109" s="617"/>
      <c r="O109" s="1889"/>
      <c r="P109" s="1889"/>
      <c r="Q109" s="1889"/>
      <c r="R109" s="1889"/>
      <c r="S109" s="619"/>
      <c r="T109" s="619"/>
      <c r="U109" s="619"/>
      <c r="V109" s="619"/>
      <c r="W109" s="623"/>
      <c r="X109" s="1057">
        <f t="shared" ref="X109" si="118">J114</f>
        <v>0</v>
      </c>
      <c r="Y109" s="1194" t="str">
        <f>IF(X109&gt;85,("A"),IF(X109&gt;80,("A-"),IF(X109&gt;75,("B+"),IF(X109&gt;70,("B"),IF(X109&gt;65,("B-"),IF(X109&gt;60,("C+"),IF(X109&gt;55,("C"),IF(X109&gt;50,("C-"),"D+"))))))))</f>
        <v>D+</v>
      </c>
    </row>
    <row r="110" spans="1:25" ht="24.95" customHeight="1" x14ac:dyDescent="0.25">
      <c r="A110" s="360"/>
      <c r="B110" s="683">
        <v>18</v>
      </c>
      <c r="C110" s="634"/>
      <c r="D110" s="1799" t="s">
        <v>7</v>
      </c>
      <c r="E110" s="1891">
        <f>VLOOKUP(A109,UHT_BI,33,FALSE)</f>
        <v>0</v>
      </c>
      <c r="F110" s="1905">
        <f t="shared" ref="F110:F113" si="119">E110*2</f>
        <v>0</v>
      </c>
      <c r="G110" s="362"/>
      <c r="H110" s="627">
        <f>VLOOKUP(B109,REKAP_NILAI,10,FALSE)</f>
        <v>0</v>
      </c>
      <c r="I110" s="709">
        <f t="shared" ref="I110:I113" si="120">F110+G110+H110</f>
        <v>0</v>
      </c>
      <c r="J110" s="710">
        <f t="shared" ref="J110:J113" si="121">(F110+G110+H110)/4</f>
        <v>0</v>
      </c>
      <c r="K110" s="711" t="str">
        <f t="shared" ref="K110:K114" si="122">IF(J110&gt;85,("4"),IF(J110&gt;80,("3.66"),IF(J110&gt;75,("3.33"),IF(J110&gt;70,("3.00"),IF(J110&gt;65,("2.66"),IF(J110&gt;60,("2.33"),IF(J110&gt;55,("2"),IF(J110&gt;50,("1.66"),"1.33"))))))))</f>
        <v>1.33</v>
      </c>
      <c r="L110" s="711" t="str">
        <f t="shared" ref="L110:L114" si="123">IF(J110&gt;85,("A"),IF(J110&gt;80,("A-"),IF(J110&gt;75,("B+"),IF(J110&gt;70,("B"),IF(J110&gt;65,("B-"),IF(J110&gt;60,("C+"),IF(J110&gt;55,("C"),IF(J110&gt;50,("C-"),"D+"))))))))</f>
        <v>D+</v>
      </c>
      <c r="M110" s="712" t="str">
        <f t="shared" ref="M110:M114" si="124">IF(J110&gt;80,("SB"),IF(J110&gt;65,("B"),IF(J110&gt;50,("C"),IF(J110&gt;0,("K"),"0"))))</f>
        <v>0</v>
      </c>
      <c r="N110" s="620"/>
      <c r="O110" s="621"/>
      <c r="P110" s="621"/>
      <c r="Q110" s="621"/>
      <c r="R110" s="621"/>
      <c r="S110" s="622"/>
      <c r="T110" s="622"/>
      <c r="U110" s="622"/>
      <c r="V110" s="622"/>
      <c r="W110" s="622"/>
      <c r="X110" s="1251"/>
      <c r="Y110" s="1252"/>
    </row>
    <row r="111" spans="1:25" ht="24.95" customHeight="1" x14ac:dyDescent="0.25">
      <c r="A111" s="360"/>
      <c r="B111" s="683">
        <v>18</v>
      </c>
      <c r="C111" s="634"/>
      <c r="D111" s="1893" t="s">
        <v>10</v>
      </c>
      <c r="E111" s="1891">
        <f>VLOOKUP(A109,UHT_BI,34,FALSE)</f>
        <v>0</v>
      </c>
      <c r="F111" s="1905">
        <f t="shared" si="119"/>
        <v>0</v>
      </c>
      <c r="G111" s="362"/>
      <c r="H111" s="627">
        <f>VLOOKUP(A109,REKAP_NILAI,11,FALSE)</f>
        <v>0</v>
      </c>
      <c r="I111" s="709">
        <f t="shared" si="120"/>
        <v>0</v>
      </c>
      <c r="J111" s="710">
        <f t="shared" si="121"/>
        <v>0</v>
      </c>
      <c r="K111" s="711" t="str">
        <f t="shared" si="122"/>
        <v>1.33</v>
      </c>
      <c r="L111" s="711" t="str">
        <f t="shared" si="123"/>
        <v>D+</v>
      </c>
      <c r="M111" s="712" t="str">
        <f t="shared" si="124"/>
        <v>0</v>
      </c>
      <c r="N111" s="623"/>
      <c r="O111" s="613"/>
      <c r="P111" s="613"/>
      <c r="Q111" s="613"/>
      <c r="R111" s="613"/>
      <c r="S111" s="615"/>
      <c r="T111" s="615"/>
      <c r="U111" s="615"/>
      <c r="V111" s="615"/>
      <c r="W111" s="615"/>
      <c r="X111" s="1253"/>
      <c r="Y111" s="1254"/>
    </row>
    <row r="112" spans="1:25" ht="24.95" customHeight="1" x14ac:dyDescent="0.25">
      <c r="A112" s="360"/>
      <c r="B112" s="683">
        <v>18</v>
      </c>
      <c r="C112" s="634"/>
      <c r="D112" s="1799" t="s">
        <v>8</v>
      </c>
      <c r="E112" s="1891">
        <f>VLOOKUP(A109,UHT_BI,35,FALSE)</f>
        <v>0</v>
      </c>
      <c r="F112" s="1905">
        <f t="shared" si="119"/>
        <v>0</v>
      </c>
      <c r="G112" s="362"/>
      <c r="H112" s="627">
        <f>VLOOKUP(A109,REKAP_NILAI,12,FALSE)</f>
        <v>0</v>
      </c>
      <c r="I112" s="709">
        <f t="shared" si="120"/>
        <v>0</v>
      </c>
      <c r="J112" s="710">
        <f t="shared" si="121"/>
        <v>0</v>
      </c>
      <c r="K112" s="711" t="str">
        <f t="shared" si="122"/>
        <v>1.33</v>
      </c>
      <c r="L112" s="711" t="str">
        <f t="shared" si="123"/>
        <v>D+</v>
      </c>
      <c r="M112" s="712" t="str">
        <f t="shared" si="124"/>
        <v>0</v>
      </c>
      <c r="N112" s="623"/>
      <c r="O112" s="613"/>
      <c r="P112" s="613"/>
      <c r="Q112" s="613"/>
      <c r="R112" s="613"/>
      <c r="S112" s="615"/>
      <c r="T112" s="615"/>
      <c r="U112" s="615"/>
      <c r="V112" s="615"/>
      <c r="W112" s="615"/>
      <c r="X112" s="1253"/>
      <c r="Y112" s="1254"/>
    </row>
    <row r="113" spans="1:25" ht="24.95" customHeight="1" x14ac:dyDescent="0.25">
      <c r="A113" s="360"/>
      <c r="B113" s="683">
        <v>18</v>
      </c>
      <c r="C113" s="634"/>
      <c r="D113" s="1893" t="s">
        <v>18</v>
      </c>
      <c r="E113" s="1891">
        <f>-VLOOKUP(A109,UHT_BI,36,FALSE)</f>
        <v>0</v>
      </c>
      <c r="F113" s="1905">
        <f t="shared" si="119"/>
        <v>0</v>
      </c>
      <c r="G113" s="362"/>
      <c r="H113" s="627">
        <f>VLOOKUP(A109,REKAP_NILAI,13,FALSE)</f>
        <v>0</v>
      </c>
      <c r="I113" s="709">
        <f t="shared" si="120"/>
        <v>0</v>
      </c>
      <c r="J113" s="710">
        <f t="shared" si="121"/>
        <v>0</v>
      </c>
      <c r="K113" s="711" t="str">
        <f t="shared" si="122"/>
        <v>1.33</v>
      </c>
      <c r="L113" s="711" t="str">
        <f t="shared" si="123"/>
        <v>D+</v>
      </c>
      <c r="M113" s="712" t="str">
        <f t="shared" si="124"/>
        <v>0</v>
      </c>
      <c r="N113" s="624"/>
      <c r="O113" s="614"/>
      <c r="P113" s="614"/>
      <c r="Q113" s="614"/>
      <c r="R113" s="614"/>
      <c r="S113" s="616"/>
      <c r="T113" s="616"/>
      <c r="U113" s="616"/>
      <c r="V113" s="616"/>
      <c r="W113" s="616"/>
      <c r="X113" s="1255"/>
      <c r="Y113" s="1256"/>
    </row>
    <row r="114" spans="1:25" ht="24.95" customHeight="1" x14ac:dyDescent="0.25">
      <c r="A114" s="363"/>
      <c r="B114" s="698"/>
      <c r="C114" s="635" t="s">
        <v>464</v>
      </c>
      <c r="D114" s="629">
        <v>18</v>
      </c>
      <c r="E114" s="363"/>
      <c r="F114" s="1907"/>
      <c r="G114" s="363"/>
      <c r="H114" s="1189">
        <f>AVERAGE(H109:H113)</f>
        <v>0</v>
      </c>
      <c r="I114" s="1250"/>
      <c r="J114" s="713">
        <f>AVERAGE(J109:J113)</f>
        <v>0</v>
      </c>
      <c r="K114" s="714" t="str">
        <f t="shared" si="122"/>
        <v>1.33</v>
      </c>
      <c r="L114" s="714" t="str">
        <f t="shared" si="123"/>
        <v>D+</v>
      </c>
      <c r="M114" s="888" t="str">
        <f t="shared" si="124"/>
        <v>0</v>
      </c>
      <c r="N114" s="630"/>
      <c r="O114" s="631"/>
      <c r="P114" s="631"/>
      <c r="Q114" s="631"/>
      <c r="R114" s="631"/>
      <c r="S114" s="631"/>
      <c r="T114" s="631"/>
      <c r="U114" s="631"/>
      <c r="V114" s="631"/>
      <c r="W114" s="631"/>
      <c r="X114" s="1257"/>
      <c r="Y114" s="1258"/>
    </row>
    <row r="115" spans="1:25" ht="24.95" customHeight="1" x14ac:dyDescent="0.25">
      <c r="A115" s="360">
        <v>19</v>
      </c>
      <c r="B115" s="683">
        <v>19</v>
      </c>
      <c r="C115" s="633" t="str">
        <f>VLOOKUP(A115,data_siswa,4,FALSE)</f>
        <v>Raihan Danang P</v>
      </c>
      <c r="D115" s="1893" t="s">
        <v>12</v>
      </c>
      <c r="E115" s="1891">
        <f>VLOOKUP(A115,UHT_BI,32,FALSE)</f>
        <v>0</v>
      </c>
      <c r="F115" s="1904">
        <f>E115*2</f>
        <v>0</v>
      </c>
      <c r="G115" s="1891"/>
      <c r="H115" s="627">
        <f>VLOOKUP(B115,REKAP_NILAI,9,FALSE)</f>
        <v>0</v>
      </c>
      <c r="I115" s="706">
        <f>F115+G115+H115</f>
        <v>0</v>
      </c>
      <c r="J115" s="707">
        <f>(F115+G115+H115)/4</f>
        <v>0</v>
      </c>
      <c r="K115" s="708" t="str">
        <f>IF(J115&gt;85,("4"),IF(J115&gt;80,("3.66"),IF(J115&gt;75,("3.33"),IF(J115&gt;70,("3.00"),IF(J115&gt;65,("2.66"),IF(J115&gt;60,("2.33"),IF(J115&gt;55,("2"),IF(J115&gt;50,("1.66"),"1.33"))))))))</f>
        <v>1.33</v>
      </c>
      <c r="L115" s="708" t="str">
        <f>IF(J115&gt;85,("A"),IF(J115&gt;80,("A-"),IF(J115&gt;75,("B+"),IF(J115&gt;70,("B"),IF(J115&gt;65,("B-"),IF(J115&gt;60,("C+"),IF(J115&gt;55,("C"),IF(J115&gt;50,("C-"),"D+"))))))))</f>
        <v>D+</v>
      </c>
      <c r="M115" s="708" t="str">
        <f>IF(J115&gt;80,("SB"),IF(J115&gt;65,("B"),IF(J115&gt;50,("C"),IF(J115&gt;0,("K"),"0"))))</f>
        <v>0</v>
      </c>
      <c r="N115" s="617"/>
      <c r="O115" s="1889"/>
      <c r="P115" s="1889"/>
      <c r="Q115" s="1889"/>
      <c r="R115" s="1889"/>
      <c r="S115" s="619"/>
      <c r="T115" s="619"/>
      <c r="U115" s="619"/>
      <c r="V115" s="619"/>
      <c r="W115" s="623"/>
      <c r="X115" s="1057">
        <f t="shared" ref="X115" si="125">J120</f>
        <v>0</v>
      </c>
      <c r="Y115" s="1194" t="str">
        <f>IF(X115&gt;85,("A"),IF(X115&gt;80,("A-"),IF(X115&gt;75,("B+"),IF(X115&gt;70,("B"),IF(X115&gt;65,("B-"),IF(X115&gt;60,("C+"),IF(X115&gt;55,("C"),IF(X115&gt;50,("C-"),"D+"))))))))</f>
        <v>D+</v>
      </c>
    </row>
    <row r="116" spans="1:25" ht="24.95" customHeight="1" x14ac:dyDescent="0.25">
      <c r="A116" s="360"/>
      <c r="B116" s="683">
        <v>19</v>
      </c>
      <c r="C116" s="634"/>
      <c r="D116" s="1799" t="s">
        <v>7</v>
      </c>
      <c r="E116" s="1891">
        <f>VLOOKUP(A115,UHT_BI,33,FALSE)</f>
        <v>0</v>
      </c>
      <c r="F116" s="1905">
        <f t="shared" ref="F116:F119" si="126">E116*2</f>
        <v>0</v>
      </c>
      <c r="G116" s="362"/>
      <c r="H116" s="627">
        <f>VLOOKUP(B115,REKAP_NILAI,10,FALSE)</f>
        <v>0</v>
      </c>
      <c r="I116" s="709">
        <f t="shared" ref="I116:I119" si="127">F116+G116+H116</f>
        <v>0</v>
      </c>
      <c r="J116" s="710">
        <f t="shared" ref="J116:J119" si="128">(F116+G116+H116)/4</f>
        <v>0</v>
      </c>
      <c r="K116" s="711" t="str">
        <f t="shared" ref="K116:K120" si="129">IF(J116&gt;85,("4"),IF(J116&gt;80,("3.66"),IF(J116&gt;75,("3.33"),IF(J116&gt;70,("3.00"),IF(J116&gt;65,("2.66"),IF(J116&gt;60,("2.33"),IF(J116&gt;55,("2"),IF(J116&gt;50,("1.66"),"1.33"))))))))</f>
        <v>1.33</v>
      </c>
      <c r="L116" s="711" t="str">
        <f t="shared" ref="L116:L120" si="130">IF(J116&gt;85,("A"),IF(J116&gt;80,("A-"),IF(J116&gt;75,("B+"),IF(J116&gt;70,("B"),IF(J116&gt;65,("B-"),IF(J116&gt;60,("C+"),IF(J116&gt;55,("C"),IF(J116&gt;50,("C-"),"D+"))))))))</f>
        <v>D+</v>
      </c>
      <c r="M116" s="712" t="str">
        <f t="shared" ref="M116:M120" si="131">IF(J116&gt;80,("SB"),IF(J116&gt;65,("B"),IF(J116&gt;50,("C"),IF(J116&gt;0,("K"),"0"))))</f>
        <v>0</v>
      </c>
      <c r="N116" s="620"/>
      <c r="O116" s="621"/>
      <c r="P116" s="621"/>
      <c r="Q116" s="621"/>
      <c r="R116" s="621"/>
      <c r="S116" s="622"/>
      <c r="T116" s="622"/>
      <c r="U116" s="622"/>
      <c r="V116" s="622"/>
      <c r="W116" s="622"/>
      <c r="X116" s="1251"/>
      <c r="Y116" s="1252"/>
    </row>
    <row r="117" spans="1:25" ht="24.95" customHeight="1" x14ac:dyDescent="0.25">
      <c r="A117" s="360"/>
      <c r="B117" s="683">
        <v>19</v>
      </c>
      <c r="C117" s="634"/>
      <c r="D117" s="1893" t="s">
        <v>10</v>
      </c>
      <c r="E117" s="1891">
        <f>VLOOKUP(A115,UHT_BI,34,FALSE)</f>
        <v>0</v>
      </c>
      <c r="F117" s="1905">
        <f t="shared" si="126"/>
        <v>0</v>
      </c>
      <c r="G117" s="362"/>
      <c r="H117" s="627">
        <f>VLOOKUP(A115,REKAP_NILAI,11,FALSE)</f>
        <v>0</v>
      </c>
      <c r="I117" s="709">
        <f t="shared" si="127"/>
        <v>0</v>
      </c>
      <c r="J117" s="710">
        <f t="shared" si="128"/>
        <v>0</v>
      </c>
      <c r="K117" s="711" t="str">
        <f t="shared" si="129"/>
        <v>1.33</v>
      </c>
      <c r="L117" s="711" t="str">
        <f t="shared" si="130"/>
        <v>D+</v>
      </c>
      <c r="M117" s="712" t="str">
        <f t="shared" si="131"/>
        <v>0</v>
      </c>
      <c r="N117" s="623"/>
      <c r="O117" s="613"/>
      <c r="P117" s="613"/>
      <c r="Q117" s="613"/>
      <c r="R117" s="613"/>
      <c r="S117" s="615"/>
      <c r="T117" s="615"/>
      <c r="U117" s="615"/>
      <c r="V117" s="615"/>
      <c r="W117" s="615"/>
      <c r="X117" s="1253"/>
      <c r="Y117" s="1254"/>
    </row>
    <row r="118" spans="1:25" ht="24.95" customHeight="1" x14ac:dyDescent="0.25">
      <c r="A118" s="360"/>
      <c r="B118" s="683">
        <v>19</v>
      </c>
      <c r="C118" s="634"/>
      <c r="D118" s="1799" t="s">
        <v>8</v>
      </c>
      <c r="E118" s="1891">
        <f>VLOOKUP(A115,UHT_BI,35,FALSE)</f>
        <v>0</v>
      </c>
      <c r="F118" s="1905">
        <f t="shared" si="126"/>
        <v>0</v>
      </c>
      <c r="G118" s="362"/>
      <c r="H118" s="627">
        <f>VLOOKUP(A115,REKAP_NILAI,12,FALSE)</f>
        <v>0</v>
      </c>
      <c r="I118" s="709">
        <f t="shared" si="127"/>
        <v>0</v>
      </c>
      <c r="J118" s="710">
        <f t="shared" si="128"/>
        <v>0</v>
      </c>
      <c r="K118" s="711" t="str">
        <f t="shared" si="129"/>
        <v>1.33</v>
      </c>
      <c r="L118" s="711" t="str">
        <f t="shared" si="130"/>
        <v>D+</v>
      </c>
      <c r="M118" s="712" t="str">
        <f t="shared" si="131"/>
        <v>0</v>
      </c>
      <c r="N118" s="623"/>
      <c r="O118" s="613"/>
      <c r="P118" s="613"/>
      <c r="Q118" s="613"/>
      <c r="R118" s="613"/>
      <c r="S118" s="615"/>
      <c r="T118" s="615"/>
      <c r="U118" s="615"/>
      <c r="V118" s="615"/>
      <c r="W118" s="615"/>
      <c r="X118" s="1253"/>
      <c r="Y118" s="1254"/>
    </row>
    <row r="119" spans="1:25" ht="24.95" customHeight="1" x14ac:dyDescent="0.25">
      <c r="A119" s="360"/>
      <c r="B119" s="683">
        <v>19</v>
      </c>
      <c r="C119" s="634"/>
      <c r="D119" s="1893" t="s">
        <v>18</v>
      </c>
      <c r="E119" s="1891">
        <f>-VLOOKUP(A115,UHT_BI,36,FALSE)</f>
        <v>0</v>
      </c>
      <c r="F119" s="1905">
        <f t="shared" si="126"/>
        <v>0</v>
      </c>
      <c r="G119" s="362"/>
      <c r="H119" s="627">
        <f>VLOOKUP(A115,REKAP_NILAI,13,FALSE)</f>
        <v>0</v>
      </c>
      <c r="I119" s="709">
        <f t="shared" si="127"/>
        <v>0</v>
      </c>
      <c r="J119" s="710">
        <f t="shared" si="128"/>
        <v>0</v>
      </c>
      <c r="K119" s="711" t="str">
        <f t="shared" si="129"/>
        <v>1.33</v>
      </c>
      <c r="L119" s="711" t="str">
        <f t="shared" si="130"/>
        <v>D+</v>
      </c>
      <c r="M119" s="712" t="str">
        <f t="shared" si="131"/>
        <v>0</v>
      </c>
      <c r="N119" s="624"/>
      <c r="O119" s="614"/>
      <c r="P119" s="614"/>
      <c r="Q119" s="614"/>
      <c r="R119" s="614"/>
      <c r="S119" s="616"/>
      <c r="T119" s="616"/>
      <c r="U119" s="616"/>
      <c r="V119" s="616"/>
      <c r="W119" s="616"/>
      <c r="X119" s="1255"/>
      <c r="Y119" s="1256"/>
    </row>
    <row r="120" spans="1:25" ht="24.95" customHeight="1" x14ac:dyDescent="0.25">
      <c r="A120" s="363"/>
      <c r="B120" s="698"/>
      <c r="C120" s="635" t="s">
        <v>464</v>
      </c>
      <c r="D120" s="629">
        <v>19</v>
      </c>
      <c r="E120" s="363"/>
      <c r="F120" s="1907"/>
      <c r="G120" s="363"/>
      <c r="H120" s="1189">
        <f>AVERAGE(H115:H119)</f>
        <v>0</v>
      </c>
      <c r="I120" s="1250"/>
      <c r="J120" s="713">
        <f>AVERAGE(J115:J119)</f>
        <v>0</v>
      </c>
      <c r="K120" s="714" t="str">
        <f t="shared" si="129"/>
        <v>1.33</v>
      </c>
      <c r="L120" s="714" t="str">
        <f t="shared" si="130"/>
        <v>D+</v>
      </c>
      <c r="M120" s="888" t="str">
        <f t="shared" si="131"/>
        <v>0</v>
      </c>
      <c r="N120" s="630"/>
      <c r="O120" s="631"/>
      <c r="P120" s="631"/>
      <c r="Q120" s="631"/>
      <c r="R120" s="631"/>
      <c r="S120" s="631"/>
      <c r="T120" s="631"/>
      <c r="U120" s="631"/>
      <c r="V120" s="631"/>
      <c r="W120" s="631"/>
      <c r="X120" s="1257"/>
      <c r="Y120" s="1258"/>
    </row>
    <row r="121" spans="1:25" ht="24.95" customHeight="1" x14ac:dyDescent="0.25">
      <c r="A121" s="360">
        <v>20</v>
      </c>
      <c r="B121" s="683">
        <v>20</v>
      </c>
      <c r="C121" s="633" t="str">
        <f>VLOOKUP(A121,data_siswa,4,FALSE)</f>
        <v>Roby Ardiyansyah</v>
      </c>
      <c r="D121" s="1893" t="s">
        <v>12</v>
      </c>
      <c r="E121" s="1891">
        <f>VLOOKUP(A121,UHT_BI,32,FALSE)</f>
        <v>0</v>
      </c>
      <c r="F121" s="1904">
        <f>E121*2</f>
        <v>0</v>
      </c>
      <c r="G121" s="1891"/>
      <c r="H121" s="627">
        <f>VLOOKUP(B121,REKAP_NILAI,9,FALSE)</f>
        <v>0</v>
      </c>
      <c r="I121" s="706">
        <f>F121+G121+H121</f>
        <v>0</v>
      </c>
      <c r="J121" s="707">
        <f>(F121+G121+H121)/4</f>
        <v>0</v>
      </c>
      <c r="K121" s="708" t="str">
        <f>IF(J121&gt;85,("4"),IF(J121&gt;80,("3.66"),IF(J121&gt;75,("3.33"),IF(J121&gt;70,("3.00"),IF(J121&gt;65,("2.66"),IF(J121&gt;60,("2.33"),IF(J121&gt;55,("2"),IF(J121&gt;50,("1.66"),"1.33"))))))))</f>
        <v>1.33</v>
      </c>
      <c r="L121" s="708" t="str">
        <f>IF(J121&gt;85,("A"),IF(J121&gt;80,("A-"),IF(J121&gt;75,("B+"),IF(J121&gt;70,("B"),IF(J121&gt;65,("B-"),IF(J121&gt;60,("C+"),IF(J121&gt;55,("C"),IF(J121&gt;50,("C-"),"D+"))))))))</f>
        <v>D+</v>
      </c>
      <c r="M121" s="708" t="str">
        <f>IF(J121&gt;80,("SB"),IF(J121&gt;65,("B"),IF(J121&gt;50,("C"),IF(J121&gt;0,("K"),"0"))))</f>
        <v>0</v>
      </c>
      <c r="N121" s="617"/>
      <c r="O121" s="1889"/>
      <c r="P121" s="1889"/>
      <c r="Q121" s="1889"/>
      <c r="R121" s="1889"/>
      <c r="S121" s="619"/>
      <c r="T121" s="619"/>
      <c r="U121" s="619"/>
      <c r="V121" s="619"/>
      <c r="W121" s="623"/>
      <c r="X121" s="1057">
        <f t="shared" ref="X121" si="132">J126</f>
        <v>0</v>
      </c>
      <c r="Y121" s="1194" t="str">
        <f>IF(X121&gt;85,("A"),IF(X121&gt;80,("A-"),IF(X121&gt;75,("B+"),IF(X121&gt;70,("B"),IF(X121&gt;65,("B-"),IF(X121&gt;60,("C+"),IF(X121&gt;55,("C"),IF(X121&gt;50,("C-"),"D+"))))))))</f>
        <v>D+</v>
      </c>
    </row>
    <row r="122" spans="1:25" ht="24.95" customHeight="1" x14ac:dyDescent="0.25">
      <c r="A122" s="360"/>
      <c r="B122" s="683">
        <v>20</v>
      </c>
      <c r="C122" s="634"/>
      <c r="D122" s="1799" t="s">
        <v>7</v>
      </c>
      <c r="E122" s="1891">
        <f>VLOOKUP(A121,UHT_BI,33,FALSE)</f>
        <v>0</v>
      </c>
      <c r="F122" s="1905">
        <f t="shared" ref="F122:F125" si="133">E122*2</f>
        <v>0</v>
      </c>
      <c r="G122" s="362"/>
      <c r="H122" s="627">
        <f>VLOOKUP(B121,REKAP_NILAI,10,FALSE)</f>
        <v>0</v>
      </c>
      <c r="I122" s="709">
        <f t="shared" ref="I122:I125" si="134">F122+G122+H122</f>
        <v>0</v>
      </c>
      <c r="J122" s="710">
        <f t="shared" ref="J122:J125" si="135">(F122+G122+H122)/4</f>
        <v>0</v>
      </c>
      <c r="K122" s="711" t="str">
        <f t="shared" ref="K122:K126" si="136">IF(J122&gt;85,("4"),IF(J122&gt;80,("3.66"),IF(J122&gt;75,("3.33"),IF(J122&gt;70,("3.00"),IF(J122&gt;65,("2.66"),IF(J122&gt;60,("2.33"),IF(J122&gt;55,("2"),IF(J122&gt;50,("1.66"),"1.33"))))))))</f>
        <v>1.33</v>
      </c>
      <c r="L122" s="711" t="str">
        <f t="shared" ref="L122:L126" si="137">IF(J122&gt;85,("A"),IF(J122&gt;80,("A-"),IF(J122&gt;75,("B+"),IF(J122&gt;70,("B"),IF(J122&gt;65,("B-"),IF(J122&gt;60,("C+"),IF(J122&gt;55,("C"),IF(J122&gt;50,("C-"),"D+"))))))))</f>
        <v>D+</v>
      </c>
      <c r="M122" s="712" t="str">
        <f t="shared" ref="M122:M126" si="138">IF(J122&gt;80,("SB"),IF(J122&gt;65,("B"),IF(J122&gt;50,("C"),IF(J122&gt;0,("K"),"0"))))</f>
        <v>0</v>
      </c>
      <c r="N122" s="620"/>
      <c r="O122" s="621"/>
      <c r="P122" s="621"/>
      <c r="Q122" s="621"/>
      <c r="R122" s="621"/>
      <c r="S122" s="622"/>
      <c r="T122" s="622"/>
      <c r="U122" s="622"/>
      <c r="V122" s="622"/>
      <c r="W122" s="622"/>
      <c r="X122" s="1251"/>
      <c r="Y122" s="1252"/>
    </row>
    <row r="123" spans="1:25" ht="24.95" customHeight="1" x14ac:dyDescent="0.25">
      <c r="A123" s="360"/>
      <c r="B123" s="683">
        <v>20</v>
      </c>
      <c r="C123" s="634"/>
      <c r="D123" s="1893" t="s">
        <v>10</v>
      </c>
      <c r="E123" s="1891">
        <f>VLOOKUP(A121,UHT_BI,34,FALSE)</f>
        <v>0</v>
      </c>
      <c r="F123" s="1905">
        <f t="shared" si="133"/>
        <v>0</v>
      </c>
      <c r="G123" s="362"/>
      <c r="H123" s="627">
        <f>VLOOKUP(A121,REKAP_NILAI,11,FALSE)</f>
        <v>0</v>
      </c>
      <c r="I123" s="709">
        <f t="shared" si="134"/>
        <v>0</v>
      </c>
      <c r="J123" s="710">
        <f t="shared" si="135"/>
        <v>0</v>
      </c>
      <c r="K123" s="711" t="str">
        <f t="shared" si="136"/>
        <v>1.33</v>
      </c>
      <c r="L123" s="711" t="str">
        <f t="shared" si="137"/>
        <v>D+</v>
      </c>
      <c r="M123" s="712" t="str">
        <f t="shared" si="138"/>
        <v>0</v>
      </c>
      <c r="N123" s="623"/>
      <c r="O123" s="613"/>
      <c r="P123" s="613"/>
      <c r="Q123" s="613"/>
      <c r="R123" s="613"/>
      <c r="S123" s="615"/>
      <c r="T123" s="615"/>
      <c r="U123" s="615"/>
      <c r="V123" s="615"/>
      <c r="W123" s="615"/>
      <c r="X123" s="1253"/>
      <c r="Y123" s="1254"/>
    </row>
    <row r="124" spans="1:25" ht="24.95" customHeight="1" x14ac:dyDescent="0.25">
      <c r="A124" s="360"/>
      <c r="B124" s="683">
        <v>20</v>
      </c>
      <c r="C124" s="634"/>
      <c r="D124" s="1799" t="s">
        <v>8</v>
      </c>
      <c r="E124" s="1891">
        <f>VLOOKUP(A121,UHT_BI,35,FALSE)</f>
        <v>0</v>
      </c>
      <c r="F124" s="1905">
        <f t="shared" si="133"/>
        <v>0</v>
      </c>
      <c r="G124" s="362"/>
      <c r="H124" s="627">
        <f>VLOOKUP(A121,REKAP_NILAI,12,FALSE)</f>
        <v>0</v>
      </c>
      <c r="I124" s="709">
        <f t="shared" si="134"/>
        <v>0</v>
      </c>
      <c r="J124" s="710">
        <f t="shared" si="135"/>
        <v>0</v>
      </c>
      <c r="K124" s="711" t="str">
        <f t="shared" si="136"/>
        <v>1.33</v>
      </c>
      <c r="L124" s="711" t="str">
        <f t="shared" si="137"/>
        <v>D+</v>
      </c>
      <c r="M124" s="712" t="str">
        <f t="shared" si="138"/>
        <v>0</v>
      </c>
      <c r="N124" s="623"/>
      <c r="O124" s="613"/>
      <c r="P124" s="613"/>
      <c r="Q124" s="613"/>
      <c r="R124" s="613"/>
      <c r="S124" s="615"/>
      <c r="T124" s="615"/>
      <c r="U124" s="615"/>
      <c r="V124" s="615"/>
      <c r="W124" s="615"/>
      <c r="X124" s="1253"/>
      <c r="Y124" s="1254"/>
    </row>
    <row r="125" spans="1:25" ht="24.95" customHeight="1" x14ac:dyDescent="0.25">
      <c r="A125" s="360"/>
      <c r="B125" s="683">
        <v>20</v>
      </c>
      <c r="C125" s="634"/>
      <c r="D125" s="1893" t="s">
        <v>18</v>
      </c>
      <c r="E125" s="1891">
        <f>-VLOOKUP(A121,UHT_BI,36,FALSE)</f>
        <v>0</v>
      </c>
      <c r="F125" s="1905">
        <f t="shared" si="133"/>
        <v>0</v>
      </c>
      <c r="G125" s="362"/>
      <c r="H125" s="627">
        <f>VLOOKUP(A121,REKAP_NILAI,13,FALSE)</f>
        <v>0</v>
      </c>
      <c r="I125" s="709">
        <f t="shared" si="134"/>
        <v>0</v>
      </c>
      <c r="J125" s="710">
        <f t="shared" si="135"/>
        <v>0</v>
      </c>
      <c r="K125" s="711" t="str">
        <f t="shared" si="136"/>
        <v>1.33</v>
      </c>
      <c r="L125" s="711" t="str">
        <f t="shared" si="137"/>
        <v>D+</v>
      </c>
      <c r="M125" s="712" t="str">
        <f t="shared" si="138"/>
        <v>0</v>
      </c>
      <c r="N125" s="624"/>
      <c r="O125" s="614"/>
      <c r="P125" s="614"/>
      <c r="Q125" s="614"/>
      <c r="R125" s="614"/>
      <c r="S125" s="616"/>
      <c r="T125" s="616"/>
      <c r="U125" s="616"/>
      <c r="V125" s="616"/>
      <c r="W125" s="616"/>
      <c r="X125" s="1255"/>
      <c r="Y125" s="1256"/>
    </row>
    <row r="126" spans="1:25" ht="24.95" customHeight="1" x14ac:dyDescent="0.25">
      <c r="A126" s="363"/>
      <c r="B126" s="698"/>
      <c r="C126" s="635" t="s">
        <v>464</v>
      </c>
      <c r="D126" s="629">
        <v>20</v>
      </c>
      <c r="E126" s="363"/>
      <c r="F126" s="1907"/>
      <c r="G126" s="363"/>
      <c r="H126" s="1189">
        <f>AVERAGE(H121:H125)</f>
        <v>0</v>
      </c>
      <c r="I126" s="1250"/>
      <c r="J126" s="713">
        <f>AVERAGE(J121:J125)</f>
        <v>0</v>
      </c>
      <c r="K126" s="714" t="str">
        <f t="shared" si="136"/>
        <v>1.33</v>
      </c>
      <c r="L126" s="714" t="str">
        <f t="shared" si="137"/>
        <v>D+</v>
      </c>
      <c r="M126" s="888" t="str">
        <f t="shared" si="138"/>
        <v>0</v>
      </c>
      <c r="N126" s="630"/>
      <c r="O126" s="631"/>
      <c r="P126" s="631"/>
      <c r="Q126" s="631"/>
      <c r="R126" s="631"/>
      <c r="S126" s="631"/>
      <c r="T126" s="631"/>
      <c r="U126" s="631"/>
      <c r="V126" s="631"/>
      <c r="W126" s="631"/>
      <c r="X126" s="1257"/>
      <c r="Y126" s="1258"/>
    </row>
    <row r="127" spans="1:25" ht="24.95" customHeight="1" x14ac:dyDescent="0.25">
      <c r="A127" s="360">
        <v>21</v>
      </c>
      <c r="B127" s="683">
        <v>21</v>
      </c>
      <c r="C127" s="633" t="str">
        <f>VLOOKUP(A127,data_siswa,4,FALSE)</f>
        <v>Rojalingga Prana A</v>
      </c>
      <c r="D127" s="1893" t="s">
        <v>12</v>
      </c>
      <c r="E127" s="1891">
        <f>VLOOKUP(A127,UHT_BI,32,FALSE)</f>
        <v>0</v>
      </c>
      <c r="F127" s="1904">
        <f>E127*2</f>
        <v>0</v>
      </c>
      <c r="G127" s="1891"/>
      <c r="H127" s="627">
        <f>VLOOKUP(B127,REKAP_NILAI,9,FALSE)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708" t="str">
        <f>IF(J127&gt;80,("SB"),IF(J127&gt;65,("B"),IF(J127&gt;50,("C"),IF(J127&gt;0,("K"),"0"))))</f>
        <v>0</v>
      </c>
      <c r="N127" s="617"/>
      <c r="O127" s="1889"/>
      <c r="P127" s="1889"/>
      <c r="Q127" s="1889"/>
      <c r="R127" s="1889"/>
      <c r="S127" s="619"/>
      <c r="T127" s="619"/>
      <c r="U127" s="619"/>
      <c r="V127" s="619"/>
      <c r="W127" s="623"/>
      <c r="X127" s="1057">
        <f t="shared" ref="X127" si="139">J132</f>
        <v>0</v>
      </c>
      <c r="Y127" s="1194" t="str">
        <f>IF(X127&gt;85,("A"),IF(X127&gt;80,("A-"),IF(X127&gt;75,("B+"),IF(X127&gt;70,("B"),IF(X127&gt;65,("B-"),IF(X127&gt;60,("C+"),IF(X127&gt;55,("C"),IF(X127&gt;50,("C-"),"D+"))))))))</f>
        <v>D+</v>
      </c>
    </row>
    <row r="128" spans="1:25" ht="24.95" customHeight="1" x14ac:dyDescent="0.25">
      <c r="A128" s="360"/>
      <c r="B128" s="683">
        <v>21</v>
      </c>
      <c r="C128" s="634"/>
      <c r="D128" s="1799" t="s">
        <v>7</v>
      </c>
      <c r="E128" s="1891">
        <f>VLOOKUP(A127,UHT_BI,33,FALSE)</f>
        <v>0</v>
      </c>
      <c r="F128" s="1905">
        <f t="shared" ref="F128:F131" si="140">E128*2</f>
        <v>0</v>
      </c>
      <c r="G128" s="362"/>
      <c r="H128" s="627">
        <f>VLOOKUP(B127,REKAP_NILAI,10,FALSE)</f>
        <v>0</v>
      </c>
      <c r="I128" s="709">
        <f t="shared" ref="I128:I131" si="141">F128+G128+H128</f>
        <v>0</v>
      </c>
      <c r="J128" s="710">
        <f t="shared" ref="J128:J131" si="142">(F128+G128+H128)/4</f>
        <v>0</v>
      </c>
      <c r="K128" s="711" t="str">
        <f t="shared" ref="K128:K132" si="143">IF(J128&gt;85,("4"),IF(J128&gt;80,("3.66"),IF(J128&gt;75,("3.33"),IF(J128&gt;70,("3.00"),IF(J128&gt;65,("2.66"),IF(J128&gt;60,("2.33"),IF(J128&gt;55,("2"),IF(J128&gt;50,("1.66"),"1.33"))))))))</f>
        <v>1.33</v>
      </c>
      <c r="L128" s="711" t="str">
        <f t="shared" ref="L128:L132" si="144">IF(J128&gt;85,("A"),IF(J128&gt;80,("A-"),IF(J128&gt;75,("B+"),IF(J128&gt;70,("B"),IF(J128&gt;65,("B-"),IF(J128&gt;60,("C+"),IF(J128&gt;55,("C"),IF(J128&gt;50,("C-"),"D+"))))))))</f>
        <v>D+</v>
      </c>
      <c r="M128" s="712" t="str">
        <f t="shared" ref="M128:M132" si="145">IF(J128&gt;80,("SB"),IF(J128&gt;65,("B"),IF(J128&gt;50,("C"),IF(J128&gt;0,("K"),"0"))))</f>
        <v>0</v>
      </c>
      <c r="N128" s="620"/>
      <c r="O128" s="621"/>
      <c r="P128" s="621"/>
      <c r="Q128" s="621"/>
      <c r="R128" s="621"/>
      <c r="S128" s="622"/>
      <c r="T128" s="622"/>
      <c r="U128" s="622"/>
      <c r="V128" s="622"/>
      <c r="W128" s="622"/>
      <c r="X128" s="1251"/>
      <c r="Y128" s="1252"/>
    </row>
    <row r="129" spans="1:25" ht="24.95" customHeight="1" x14ac:dyDescent="0.25">
      <c r="A129" s="360"/>
      <c r="B129" s="683">
        <v>21</v>
      </c>
      <c r="C129" s="634"/>
      <c r="D129" s="1893" t="s">
        <v>10</v>
      </c>
      <c r="E129" s="1891">
        <f>VLOOKUP(A127,UHT_BI,34,FALSE)</f>
        <v>0</v>
      </c>
      <c r="F129" s="1905">
        <f t="shared" si="140"/>
        <v>0</v>
      </c>
      <c r="G129" s="362"/>
      <c r="H129" s="627">
        <f>VLOOKUP(A127,REKAP_NILAI,11,FALSE)</f>
        <v>0</v>
      </c>
      <c r="I129" s="709">
        <f t="shared" si="141"/>
        <v>0</v>
      </c>
      <c r="J129" s="710">
        <f t="shared" si="142"/>
        <v>0</v>
      </c>
      <c r="K129" s="711" t="str">
        <f t="shared" si="143"/>
        <v>1.33</v>
      </c>
      <c r="L129" s="711" t="str">
        <f t="shared" si="144"/>
        <v>D+</v>
      </c>
      <c r="M129" s="712" t="str">
        <f t="shared" si="145"/>
        <v>0</v>
      </c>
      <c r="N129" s="623"/>
      <c r="O129" s="613"/>
      <c r="P129" s="613"/>
      <c r="Q129" s="613"/>
      <c r="R129" s="613"/>
      <c r="S129" s="615"/>
      <c r="T129" s="615"/>
      <c r="U129" s="615"/>
      <c r="V129" s="615"/>
      <c r="W129" s="615"/>
      <c r="X129" s="1253"/>
      <c r="Y129" s="1254"/>
    </row>
    <row r="130" spans="1:25" ht="24.95" customHeight="1" x14ac:dyDescent="0.25">
      <c r="A130" s="360"/>
      <c r="B130" s="683">
        <v>21</v>
      </c>
      <c r="C130" s="634"/>
      <c r="D130" s="1799" t="s">
        <v>8</v>
      </c>
      <c r="E130" s="1891">
        <f>VLOOKUP(A127,UHT_BI,35,FALSE)</f>
        <v>0</v>
      </c>
      <c r="F130" s="1905">
        <f t="shared" si="140"/>
        <v>0</v>
      </c>
      <c r="G130" s="362"/>
      <c r="H130" s="627">
        <f>VLOOKUP(A127,REKAP_NILAI,12,FALSE)</f>
        <v>0</v>
      </c>
      <c r="I130" s="709">
        <f t="shared" si="141"/>
        <v>0</v>
      </c>
      <c r="J130" s="710">
        <f t="shared" si="142"/>
        <v>0</v>
      </c>
      <c r="K130" s="711" t="str">
        <f t="shared" si="143"/>
        <v>1.33</v>
      </c>
      <c r="L130" s="711" t="str">
        <f t="shared" si="144"/>
        <v>D+</v>
      </c>
      <c r="M130" s="712" t="str">
        <f t="shared" si="145"/>
        <v>0</v>
      </c>
      <c r="N130" s="623"/>
      <c r="O130" s="613"/>
      <c r="P130" s="613"/>
      <c r="Q130" s="613"/>
      <c r="R130" s="613"/>
      <c r="S130" s="615"/>
      <c r="T130" s="615"/>
      <c r="U130" s="615"/>
      <c r="V130" s="615"/>
      <c r="W130" s="615"/>
      <c r="X130" s="1253"/>
      <c r="Y130" s="1254"/>
    </row>
    <row r="131" spans="1:25" ht="24.95" customHeight="1" x14ac:dyDescent="0.25">
      <c r="A131" s="360"/>
      <c r="B131" s="683">
        <v>21</v>
      </c>
      <c r="C131" s="634"/>
      <c r="D131" s="1893" t="s">
        <v>18</v>
      </c>
      <c r="E131" s="1891">
        <f>-VLOOKUP(A127,UHT_BI,36,FALSE)</f>
        <v>0</v>
      </c>
      <c r="F131" s="1905">
        <f t="shared" si="140"/>
        <v>0</v>
      </c>
      <c r="G131" s="362"/>
      <c r="H131" s="627">
        <f>VLOOKUP(A127,REKAP_NILAI,13,FALSE)</f>
        <v>0</v>
      </c>
      <c r="I131" s="709">
        <f t="shared" si="141"/>
        <v>0</v>
      </c>
      <c r="J131" s="710">
        <f t="shared" si="142"/>
        <v>0</v>
      </c>
      <c r="K131" s="711" t="str">
        <f t="shared" si="143"/>
        <v>1.33</v>
      </c>
      <c r="L131" s="711" t="str">
        <f t="shared" si="144"/>
        <v>D+</v>
      </c>
      <c r="M131" s="712" t="str">
        <f t="shared" si="145"/>
        <v>0</v>
      </c>
      <c r="N131" s="624"/>
      <c r="O131" s="614"/>
      <c r="P131" s="614"/>
      <c r="Q131" s="614"/>
      <c r="R131" s="614"/>
      <c r="S131" s="616"/>
      <c r="T131" s="616"/>
      <c r="U131" s="616"/>
      <c r="V131" s="616"/>
      <c r="W131" s="616"/>
      <c r="X131" s="1255"/>
      <c r="Y131" s="1256"/>
    </row>
    <row r="132" spans="1:25" ht="24.95" customHeight="1" x14ac:dyDescent="0.25">
      <c r="A132" s="363"/>
      <c r="B132" s="698"/>
      <c r="C132" s="635" t="s">
        <v>464</v>
      </c>
      <c r="D132" s="629">
        <v>21</v>
      </c>
      <c r="E132" s="363"/>
      <c r="F132" s="1907"/>
      <c r="G132" s="363"/>
      <c r="H132" s="1189">
        <f>AVERAGE(H127:H131)</f>
        <v>0</v>
      </c>
      <c r="I132" s="1250"/>
      <c r="J132" s="713">
        <f>AVERAGE(J127:J131)</f>
        <v>0</v>
      </c>
      <c r="K132" s="714" t="str">
        <f t="shared" si="143"/>
        <v>1.33</v>
      </c>
      <c r="L132" s="714" t="str">
        <f t="shared" si="144"/>
        <v>D+</v>
      </c>
      <c r="M132" s="888" t="str">
        <f t="shared" si="145"/>
        <v>0</v>
      </c>
      <c r="N132" s="630"/>
      <c r="O132" s="631"/>
      <c r="P132" s="631"/>
      <c r="Q132" s="631"/>
      <c r="R132" s="631"/>
      <c r="S132" s="631"/>
      <c r="T132" s="631"/>
      <c r="U132" s="631"/>
      <c r="V132" s="631"/>
      <c r="W132" s="631"/>
      <c r="X132" s="1257"/>
      <c r="Y132" s="1258"/>
    </row>
    <row r="133" spans="1:25" ht="24.95" customHeight="1" x14ac:dyDescent="0.25">
      <c r="A133" s="360">
        <v>22</v>
      </c>
      <c r="B133" s="683">
        <v>22</v>
      </c>
      <c r="C133" s="633" t="str">
        <f>VLOOKUP(A133,data_siswa,4,FALSE)</f>
        <v>Sally Savista A</v>
      </c>
      <c r="D133" s="1893" t="s">
        <v>12</v>
      </c>
      <c r="E133" s="1891">
        <f>VLOOKUP(A133,UHT_BI,32,FALSE)</f>
        <v>0</v>
      </c>
      <c r="F133" s="1904">
        <f>E133*2</f>
        <v>0</v>
      </c>
      <c r="G133" s="1891"/>
      <c r="H133" s="627">
        <f>VLOOKUP(B133,REKAP_NILAI,9,FALSE)</f>
        <v>0</v>
      </c>
      <c r="I133" s="706">
        <f>F133+G133+H133</f>
        <v>0</v>
      </c>
      <c r="J133" s="707">
        <f>(F133+G133+H133)/4</f>
        <v>0</v>
      </c>
      <c r="K133" s="708" t="str">
        <f>IF(J133&gt;85,("4"),IF(J133&gt;80,("3.66"),IF(J133&gt;75,("3.33"),IF(J133&gt;70,("3.00"),IF(J133&gt;65,("2.66"),IF(J133&gt;60,("2.33"),IF(J133&gt;55,("2"),IF(J133&gt;50,("1.66"),"1.33"))))))))</f>
        <v>1.33</v>
      </c>
      <c r="L133" s="708" t="str">
        <f>IF(J133&gt;85,("A"),IF(J133&gt;80,("A-"),IF(J133&gt;75,("B+"),IF(J133&gt;70,("B"),IF(J133&gt;65,("B-"),IF(J133&gt;60,("C+"),IF(J133&gt;55,("C"),IF(J133&gt;50,("C-"),"D+"))))))))</f>
        <v>D+</v>
      </c>
      <c r="M133" s="708" t="str">
        <f>IF(J133&gt;80,("SB"),IF(J133&gt;65,("B"),IF(J133&gt;50,("C"),IF(J133&gt;0,("K"),"0"))))</f>
        <v>0</v>
      </c>
      <c r="N133" s="617"/>
      <c r="O133" s="1889"/>
      <c r="P133" s="1889"/>
      <c r="Q133" s="1889"/>
      <c r="R133" s="1889"/>
      <c r="S133" s="619"/>
      <c r="T133" s="619"/>
      <c r="U133" s="619"/>
      <c r="V133" s="619"/>
      <c r="W133" s="623"/>
      <c r="X133" s="1057">
        <f t="shared" ref="X133" si="146">J138</f>
        <v>0</v>
      </c>
      <c r="Y133" s="1194" t="str">
        <f>IF(X133&gt;85,("A"),IF(X133&gt;80,("A-"),IF(X133&gt;75,("B+"),IF(X133&gt;70,("B"),IF(X133&gt;65,("B-"),IF(X133&gt;60,("C+"),IF(X133&gt;55,("C"),IF(X133&gt;50,("C-"),"D+"))))))))</f>
        <v>D+</v>
      </c>
    </row>
    <row r="134" spans="1:25" ht="24.95" customHeight="1" x14ac:dyDescent="0.25">
      <c r="A134" s="360"/>
      <c r="B134" s="683">
        <v>22</v>
      </c>
      <c r="C134" s="634"/>
      <c r="D134" s="1799" t="s">
        <v>7</v>
      </c>
      <c r="E134" s="1891">
        <f>VLOOKUP(A133,UHT_BI,33,FALSE)</f>
        <v>0</v>
      </c>
      <c r="F134" s="1905">
        <f t="shared" ref="F134:F137" si="147">E134*2</f>
        <v>0</v>
      </c>
      <c r="G134" s="362"/>
      <c r="H134" s="627">
        <f>VLOOKUP(B133,REKAP_NILAI,10,FALSE)</f>
        <v>0</v>
      </c>
      <c r="I134" s="709">
        <f t="shared" ref="I134:I137" si="148">F134+G134+H134</f>
        <v>0</v>
      </c>
      <c r="J134" s="710">
        <f t="shared" ref="J134:J137" si="149">(F134+G134+H134)/4</f>
        <v>0</v>
      </c>
      <c r="K134" s="711" t="str">
        <f t="shared" ref="K134:K138" si="150">IF(J134&gt;85,("4"),IF(J134&gt;80,("3.66"),IF(J134&gt;75,("3.33"),IF(J134&gt;70,("3.00"),IF(J134&gt;65,("2.66"),IF(J134&gt;60,("2.33"),IF(J134&gt;55,("2"),IF(J134&gt;50,("1.66"),"1.33"))))))))</f>
        <v>1.33</v>
      </c>
      <c r="L134" s="711" t="str">
        <f t="shared" ref="L134:L138" si="151">IF(J134&gt;85,("A"),IF(J134&gt;80,("A-"),IF(J134&gt;75,("B+"),IF(J134&gt;70,("B"),IF(J134&gt;65,("B-"),IF(J134&gt;60,("C+"),IF(J134&gt;55,("C"),IF(J134&gt;50,("C-"),"D+"))))))))</f>
        <v>D+</v>
      </c>
      <c r="M134" s="712" t="str">
        <f t="shared" ref="M134:M138" si="152">IF(J134&gt;80,("SB"),IF(J134&gt;65,("B"),IF(J134&gt;50,("C"),IF(J134&gt;0,("K"),"0"))))</f>
        <v>0</v>
      </c>
      <c r="N134" s="620"/>
      <c r="O134" s="621"/>
      <c r="P134" s="621"/>
      <c r="Q134" s="621"/>
      <c r="R134" s="621"/>
      <c r="S134" s="622"/>
      <c r="T134" s="622"/>
      <c r="U134" s="622"/>
      <c r="V134" s="622"/>
      <c r="W134" s="622"/>
      <c r="X134" s="1251"/>
      <c r="Y134" s="1252"/>
    </row>
    <row r="135" spans="1:25" ht="24.95" customHeight="1" x14ac:dyDescent="0.25">
      <c r="A135" s="360"/>
      <c r="B135" s="683">
        <v>22</v>
      </c>
      <c r="C135" s="634"/>
      <c r="D135" s="1893" t="s">
        <v>10</v>
      </c>
      <c r="E135" s="1891">
        <f>VLOOKUP(A133,UHT_BI,34,FALSE)</f>
        <v>0</v>
      </c>
      <c r="F135" s="1905">
        <f t="shared" si="147"/>
        <v>0</v>
      </c>
      <c r="G135" s="362"/>
      <c r="H135" s="627">
        <f>VLOOKUP(A133,REKAP_NILAI,11,FALSE)</f>
        <v>0</v>
      </c>
      <c r="I135" s="709">
        <f t="shared" si="148"/>
        <v>0</v>
      </c>
      <c r="J135" s="710">
        <f t="shared" si="149"/>
        <v>0</v>
      </c>
      <c r="K135" s="711" t="str">
        <f t="shared" si="150"/>
        <v>1.33</v>
      </c>
      <c r="L135" s="711" t="str">
        <f t="shared" si="151"/>
        <v>D+</v>
      </c>
      <c r="M135" s="712" t="str">
        <f t="shared" si="152"/>
        <v>0</v>
      </c>
      <c r="N135" s="623"/>
      <c r="O135" s="613"/>
      <c r="P135" s="613"/>
      <c r="Q135" s="613"/>
      <c r="R135" s="613"/>
      <c r="S135" s="615"/>
      <c r="T135" s="615"/>
      <c r="U135" s="615"/>
      <c r="V135" s="615"/>
      <c r="W135" s="615"/>
      <c r="X135" s="1253"/>
      <c r="Y135" s="1254"/>
    </row>
    <row r="136" spans="1:25" ht="24.95" customHeight="1" x14ac:dyDescent="0.25">
      <c r="A136" s="360"/>
      <c r="B136" s="683">
        <v>22</v>
      </c>
      <c r="C136" s="634"/>
      <c r="D136" s="1799" t="s">
        <v>8</v>
      </c>
      <c r="E136" s="1891">
        <f>VLOOKUP(A133,UHT_BI,35,FALSE)</f>
        <v>0</v>
      </c>
      <c r="F136" s="1905">
        <f t="shared" si="147"/>
        <v>0</v>
      </c>
      <c r="G136" s="362"/>
      <c r="H136" s="627">
        <f>VLOOKUP(A133,REKAP_NILAI,12,FALSE)</f>
        <v>0</v>
      </c>
      <c r="I136" s="709">
        <f t="shared" si="148"/>
        <v>0</v>
      </c>
      <c r="J136" s="710">
        <f t="shared" si="149"/>
        <v>0</v>
      </c>
      <c r="K136" s="711" t="str">
        <f t="shared" si="150"/>
        <v>1.33</v>
      </c>
      <c r="L136" s="711" t="str">
        <f t="shared" si="151"/>
        <v>D+</v>
      </c>
      <c r="M136" s="712" t="str">
        <f t="shared" si="152"/>
        <v>0</v>
      </c>
      <c r="N136" s="623"/>
      <c r="O136" s="613"/>
      <c r="P136" s="613"/>
      <c r="Q136" s="613"/>
      <c r="R136" s="613"/>
      <c r="S136" s="615"/>
      <c r="T136" s="615"/>
      <c r="U136" s="615"/>
      <c r="V136" s="615"/>
      <c r="W136" s="615"/>
      <c r="X136" s="1253"/>
      <c r="Y136" s="1254"/>
    </row>
    <row r="137" spans="1:25" ht="24.95" customHeight="1" x14ac:dyDescent="0.25">
      <c r="A137" s="360"/>
      <c r="B137" s="683">
        <v>22</v>
      </c>
      <c r="C137" s="634"/>
      <c r="D137" s="1893" t="s">
        <v>18</v>
      </c>
      <c r="E137" s="1891">
        <f>-VLOOKUP(A133,UHT_BI,36,FALSE)</f>
        <v>0</v>
      </c>
      <c r="F137" s="1905">
        <f t="shared" si="147"/>
        <v>0</v>
      </c>
      <c r="G137" s="362"/>
      <c r="H137" s="627">
        <f>VLOOKUP(A133,REKAP_NILAI,13,FALSE)</f>
        <v>0</v>
      </c>
      <c r="I137" s="709">
        <f t="shared" si="148"/>
        <v>0</v>
      </c>
      <c r="J137" s="710">
        <f t="shared" si="149"/>
        <v>0</v>
      </c>
      <c r="K137" s="711" t="str">
        <f t="shared" si="150"/>
        <v>1.33</v>
      </c>
      <c r="L137" s="711" t="str">
        <f t="shared" si="151"/>
        <v>D+</v>
      </c>
      <c r="M137" s="712" t="str">
        <f t="shared" si="152"/>
        <v>0</v>
      </c>
      <c r="N137" s="624"/>
      <c r="O137" s="614"/>
      <c r="P137" s="614"/>
      <c r="Q137" s="614"/>
      <c r="R137" s="614"/>
      <c r="S137" s="616"/>
      <c r="T137" s="616"/>
      <c r="U137" s="616"/>
      <c r="V137" s="616"/>
      <c r="W137" s="616"/>
      <c r="X137" s="1255"/>
      <c r="Y137" s="1256"/>
    </row>
    <row r="138" spans="1:25" ht="24.95" customHeight="1" x14ac:dyDescent="0.25">
      <c r="A138" s="363"/>
      <c r="B138" s="698"/>
      <c r="C138" s="635" t="s">
        <v>464</v>
      </c>
      <c r="D138" s="629">
        <v>22</v>
      </c>
      <c r="E138" s="363"/>
      <c r="F138" s="1907"/>
      <c r="G138" s="363"/>
      <c r="H138" s="1189">
        <f>AVERAGE(H133:H137)</f>
        <v>0</v>
      </c>
      <c r="I138" s="1250"/>
      <c r="J138" s="713">
        <f>AVERAGE(J133:J137)</f>
        <v>0</v>
      </c>
      <c r="K138" s="714" t="str">
        <f t="shared" si="150"/>
        <v>1.33</v>
      </c>
      <c r="L138" s="714" t="str">
        <f t="shared" si="151"/>
        <v>D+</v>
      </c>
      <c r="M138" s="888" t="str">
        <f t="shared" si="152"/>
        <v>0</v>
      </c>
      <c r="N138" s="630"/>
      <c r="O138" s="631"/>
      <c r="P138" s="631"/>
      <c r="Q138" s="631"/>
      <c r="R138" s="631"/>
      <c r="S138" s="631"/>
      <c r="T138" s="631"/>
      <c r="U138" s="631"/>
      <c r="V138" s="631"/>
      <c r="W138" s="631"/>
      <c r="X138" s="1257"/>
      <c r="Y138" s="1258"/>
    </row>
    <row r="139" spans="1:25" ht="24.95" customHeight="1" x14ac:dyDescent="0.25">
      <c r="A139" s="360">
        <v>23</v>
      </c>
      <c r="B139" s="683">
        <v>23</v>
      </c>
      <c r="C139" s="633" t="str">
        <f>VLOOKUP(A139,data_siswa,4,FALSE)</f>
        <v xml:space="preserve">Tania Kaori Angelita </v>
      </c>
      <c r="D139" s="1893" t="s">
        <v>12</v>
      </c>
      <c r="E139" s="1891">
        <f>VLOOKUP(A139,UHT_BI,32,FALSE)</f>
        <v>0</v>
      </c>
      <c r="F139" s="1904">
        <f>E139*2</f>
        <v>0</v>
      </c>
      <c r="G139" s="1891"/>
      <c r="H139" s="627">
        <f>VLOOKUP(B139,REKAP_NILAI,9,FALSE)</f>
        <v>0</v>
      </c>
      <c r="I139" s="706">
        <f>F139+G139+H139</f>
        <v>0</v>
      </c>
      <c r="J139" s="707">
        <f>(F139+G139+H139)/4</f>
        <v>0</v>
      </c>
      <c r="K139" s="708" t="str">
        <f>IF(J139&gt;85,("4"),IF(J139&gt;80,("3.66"),IF(J139&gt;75,("3.33"),IF(J139&gt;70,("3.00"),IF(J139&gt;65,("2.66"),IF(J139&gt;60,("2.33"),IF(J139&gt;55,("2"),IF(J139&gt;50,("1.66"),"1.33"))))))))</f>
        <v>1.33</v>
      </c>
      <c r="L139" s="708" t="str">
        <f>IF(J139&gt;85,("A"),IF(J139&gt;80,("A-"),IF(J139&gt;75,("B+"),IF(J139&gt;70,("B"),IF(J139&gt;65,("B-"),IF(J139&gt;60,("C+"),IF(J139&gt;55,("C"),IF(J139&gt;50,("C-"),"D+"))))))))</f>
        <v>D+</v>
      </c>
      <c r="M139" s="708" t="str">
        <f>IF(J139&gt;80,("SB"),IF(J139&gt;65,("B"),IF(J139&gt;50,("C"),IF(J139&gt;0,("K"),"0"))))</f>
        <v>0</v>
      </c>
      <c r="N139" s="617"/>
      <c r="O139" s="1889"/>
      <c r="P139" s="1889"/>
      <c r="Q139" s="1889"/>
      <c r="R139" s="1889"/>
      <c r="S139" s="619"/>
      <c r="T139" s="619"/>
      <c r="U139" s="619"/>
      <c r="V139" s="619"/>
      <c r="W139" s="623"/>
      <c r="X139" s="1057">
        <f t="shared" ref="X139" si="153">J144</f>
        <v>0</v>
      </c>
      <c r="Y139" s="1194" t="str">
        <f>IF(X139&gt;85,("A"),IF(X139&gt;80,("A-"),IF(X139&gt;75,("B+"),IF(X139&gt;70,("B"),IF(X139&gt;65,("B-"),IF(X139&gt;60,("C+"),IF(X139&gt;55,("C"),IF(X139&gt;50,("C-"),"D+"))))))))</f>
        <v>D+</v>
      </c>
    </row>
    <row r="140" spans="1:25" ht="24.95" customHeight="1" x14ac:dyDescent="0.25">
      <c r="A140" s="360"/>
      <c r="B140" s="683">
        <v>23</v>
      </c>
      <c r="C140" s="634"/>
      <c r="D140" s="1799" t="s">
        <v>7</v>
      </c>
      <c r="E140" s="1891">
        <f>VLOOKUP(A139,UHT_BI,33,FALSE)</f>
        <v>0</v>
      </c>
      <c r="F140" s="1905">
        <f t="shared" ref="F140:F143" si="154">E140*2</f>
        <v>0</v>
      </c>
      <c r="G140" s="362"/>
      <c r="H140" s="627">
        <f>VLOOKUP(B139,REKAP_NILAI,10,FALSE)</f>
        <v>0</v>
      </c>
      <c r="I140" s="709">
        <f t="shared" ref="I140:I143" si="155">F140+G140+H140</f>
        <v>0</v>
      </c>
      <c r="J140" s="710">
        <f t="shared" ref="J140:J143" si="156">(F140+G140+H140)/4</f>
        <v>0</v>
      </c>
      <c r="K140" s="711" t="str">
        <f t="shared" ref="K140:K144" si="157">IF(J140&gt;85,("4"),IF(J140&gt;80,("3.66"),IF(J140&gt;75,("3.33"),IF(J140&gt;70,("3.00"),IF(J140&gt;65,("2.66"),IF(J140&gt;60,("2.33"),IF(J140&gt;55,("2"),IF(J140&gt;50,("1.66"),"1.33"))))))))</f>
        <v>1.33</v>
      </c>
      <c r="L140" s="711" t="str">
        <f t="shared" ref="L140:L144" si="158">IF(J140&gt;85,("A"),IF(J140&gt;80,("A-"),IF(J140&gt;75,("B+"),IF(J140&gt;70,("B"),IF(J140&gt;65,("B-"),IF(J140&gt;60,("C+"),IF(J140&gt;55,("C"),IF(J140&gt;50,("C-"),"D+"))))))))</f>
        <v>D+</v>
      </c>
      <c r="M140" s="712" t="str">
        <f t="shared" ref="M140:M144" si="159">IF(J140&gt;80,("SB"),IF(J140&gt;65,("B"),IF(J140&gt;50,("C"),IF(J140&gt;0,("K"),"0"))))</f>
        <v>0</v>
      </c>
      <c r="N140" s="620"/>
      <c r="O140" s="621"/>
      <c r="P140" s="621"/>
      <c r="Q140" s="621"/>
      <c r="R140" s="621"/>
      <c r="S140" s="622"/>
      <c r="T140" s="622"/>
      <c r="U140" s="622"/>
      <c r="V140" s="622"/>
      <c r="W140" s="622"/>
      <c r="X140" s="1251"/>
      <c r="Y140" s="1252"/>
    </row>
    <row r="141" spans="1:25" ht="24.95" customHeight="1" x14ac:dyDescent="0.25">
      <c r="A141" s="360"/>
      <c r="B141" s="683">
        <v>23</v>
      </c>
      <c r="C141" s="634"/>
      <c r="D141" s="1893" t="s">
        <v>10</v>
      </c>
      <c r="E141" s="1891">
        <f>VLOOKUP(A139,UHT_BI,34,FALSE)</f>
        <v>0</v>
      </c>
      <c r="F141" s="1905">
        <f t="shared" si="154"/>
        <v>0</v>
      </c>
      <c r="G141" s="362"/>
      <c r="H141" s="627">
        <f>VLOOKUP(A139,REKAP_NILAI,11,FALSE)</f>
        <v>0</v>
      </c>
      <c r="I141" s="709">
        <f t="shared" si="155"/>
        <v>0</v>
      </c>
      <c r="J141" s="710">
        <f t="shared" si="156"/>
        <v>0</v>
      </c>
      <c r="K141" s="711" t="str">
        <f t="shared" si="157"/>
        <v>1.33</v>
      </c>
      <c r="L141" s="711" t="str">
        <f t="shared" si="158"/>
        <v>D+</v>
      </c>
      <c r="M141" s="712" t="str">
        <f t="shared" si="159"/>
        <v>0</v>
      </c>
      <c r="N141" s="623"/>
      <c r="O141" s="613"/>
      <c r="P141" s="613"/>
      <c r="Q141" s="613"/>
      <c r="R141" s="613"/>
      <c r="S141" s="615"/>
      <c r="T141" s="615"/>
      <c r="U141" s="615"/>
      <c r="V141" s="615"/>
      <c r="W141" s="615"/>
      <c r="X141" s="1253"/>
      <c r="Y141" s="1254"/>
    </row>
    <row r="142" spans="1:25" ht="24.95" customHeight="1" x14ac:dyDescent="0.25">
      <c r="A142" s="360"/>
      <c r="B142" s="683">
        <v>23</v>
      </c>
      <c r="C142" s="634"/>
      <c r="D142" s="1799" t="s">
        <v>8</v>
      </c>
      <c r="E142" s="1891">
        <f>VLOOKUP(A139,UHT_BI,35,FALSE)</f>
        <v>0</v>
      </c>
      <c r="F142" s="1905">
        <f t="shared" si="154"/>
        <v>0</v>
      </c>
      <c r="G142" s="362"/>
      <c r="H142" s="627">
        <f>VLOOKUP(A139,REKAP_NILAI,12,FALSE)</f>
        <v>0</v>
      </c>
      <c r="I142" s="709">
        <f t="shared" si="155"/>
        <v>0</v>
      </c>
      <c r="J142" s="710">
        <f t="shared" si="156"/>
        <v>0</v>
      </c>
      <c r="K142" s="711" t="str">
        <f t="shared" si="157"/>
        <v>1.33</v>
      </c>
      <c r="L142" s="711" t="str">
        <f t="shared" si="158"/>
        <v>D+</v>
      </c>
      <c r="M142" s="712" t="str">
        <f t="shared" si="159"/>
        <v>0</v>
      </c>
      <c r="N142" s="623"/>
      <c r="O142" s="613"/>
      <c r="P142" s="613"/>
      <c r="Q142" s="613"/>
      <c r="R142" s="613"/>
      <c r="S142" s="615"/>
      <c r="T142" s="615"/>
      <c r="U142" s="615"/>
      <c r="V142" s="615"/>
      <c r="W142" s="615"/>
      <c r="X142" s="1253"/>
      <c r="Y142" s="1254"/>
    </row>
    <row r="143" spans="1:25" ht="24.95" customHeight="1" x14ac:dyDescent="0.25">
      <c r="A143" s="360"/>
      <c r="B143" s="683">
        <v>23</v>
      </c>
      <c r="C143" s="634"/>
      <c r="D143" s="1893" t="s">
        <v>18</v>
      </c>
      <c r="E143" s="1891">
        <f>-VLOOKUP(A139,UHT_BI,36,FALSE)</f>
        <v>0</v>
      </c>
      <c r="F143" s="1905">
        <f t="shared" si="154"/>
        <v>0</v>
      </c>
      <c r="G143" s="362"/>
      <c r="H143" s="627">
        <f>VLOOKUP(A139,REKAP_NILAI,13,FALSE)</f>
        <v>0</v>
      </c>
      <c r="I143" s="709">
        <f t="shared" si="155"/>
        <v>0</v>
      </c>
      <c r="J143" s="710">
        <f t="shared" si="156"/>
        <v>0</v>
      </c>
      <c r="K143" s="711" t="str">
        <f t="shared" si="157"/>
        <v>1.33</v>
      </c>
      <c r="L143" s="711" t="str">
        <f t="shared" si="158"/>
        <v>D+</v>
      </c>
      <c r="M143" s="712" t="str">
        <f t="shared" si="159"/>
        <v>0</v>
      </c>
      <c r="N143" s="624"/>
      <c r="O143" s="614"/>
      <c r="P143" s="614"/>
      <c r="Q143" s="614"/>
      <c r="R143" s="614"/>
      <c r="S143" s="616"/>
      <c r="T143" s="616"/>
      <c r="U143" s="616"/>
      <c r="V143" s="616"/>
      <c r="W143" s="616"/>
      <c r="X143" s="1255"/>
      <c r="Y143" s="1256"/>
    </row>
    <row r="144" spans="1:25" ht="24.95" customHeight="1" x14ac:dyDescent="0.25">
      <c r="A144" s="363"/>
      <c r="B144" s="698"/>
      <c r="C144" s="635" t="s">
        <v>464</v>
      </c>
      <c r="D144" s="629">
        <v>23</v>
      </c>
      <c r="E144" s="363"/>
      <c r="F144" s="1907"/>
      <c r="G144" s="363"/>
      <c r="H144" s="1189">
        <f>AVERAGE(H139:H143)</f>
        <v>0</v>
      </c>
      <c r="I144" s="1250"/>
      <c r="J144" s="713">
        <f>AVERAGE(J139:J143)</f>
        <v>0</v>
      </c>
      <c r="K144" s="714" t="str">
        <f t="shared" si="157"/>
        <v>1.33</v>
      </c>
      <c r="L144" s="714" t="str">
        <f t="shared" si="158"/>
        <v>D+</v>
      </c>
      <c r="M144" s="888" t="str">
        <f t="shared" si="159"/>
        <v>0</v>
      </c>
      <c r="N144" s="630"/>
      <c r="O144" s="631"/>
      <c r="P144" s="631"/>
      <c r="Q144" s="631"/>
      <c r="R144" s="631"/>
      <c r="S144" s="631"/>
      <c r="T144" s="631"/>
      <c r="U144" s="631"/>
      <c r="V144" s="631"/>
      <c r="W144" s="631"/>
      <c r="X144" s="1257"/>
      <c r="Y144" s="1258"/>
    </row>
    <row r="145" spans="1:25" ht="24.95" customHeight="1" x14ac:dyDescent="0.25">
      <c r="A145" s="360">
        <v>24</v>
      </c>
      <c r="B145" s="683">
        <v>24</v>
      </c>
      <c r="C145" s="633" t="str">
        <f>VLOOKUP(A145,data_siswa,4,FALSE)</f>
        <v>Romzy Oka Ramadhani P</v>
      </c>
      <c r="D145" s="1893" t="s">
        <v>12</v>
      </c>
      <c r="E145" s="1891">
        <f>VLOOKUP(A145,UHT_BI,32,FALSE)</f>
        <v>0</v>
      </c>
      <c r="F145" s="1904">
        <f>E145*2</f>
        <v>0</v>
      </c>
      <c r="G145" s="1891"/>
      <c r="H145" s="627">
        <f>VLOOKUP(B145,REKAP_NILAI,9,FALSE)</f>
        <v>0</v>
      </c>
      <c r="I145" s="706">
        <f>F145+G145+H145</f>
        <v>0</v>
      </c>
      <c r="J145" s="707">
        <f>(F145+G145+H145)/4</f>
        <v>0</v>
      </c>
      <c r="K145" s="708" t="str">
        <f>IF(J145&gt;85,("4"),IF(J145&gt;80,("3.66"),IF(J145&gt;75,("3.33"),IF(J145&gt;70,("3.00"),IF(J145&gt;65,("2.66"),IF(J145&gt;60,("2.33"),IF(J145&gt;55,("2"),IF(J145&gt;50,("1.66"),"1.33"))))))))</f>
        <v>1.33</v>
      </c>
      <c r="L145" s="708" t="str">
        <f>IF(J145&gt;85,("A"),IF(J145&gt;80,("A-"),IF(J145&gt;75,("B+"),IF(J145&gt;70,("B"),IF(J145&gt;65,("B-"),IF(J145&gt;60,("C+"),IF(J145&gt;55,("C"),IF(J145&gt;50,("C-"),"D+"))))))))</f>
        <v>D+</v>
      </c>
      <c r="M145" s="708" t="str">
        <f>IF(J145&gt;80,("SB"),IF(J145&gt;65,("B"),IF(J145&gt;50,("C"),IF(J145&gt;0,("K"),"0"))))</f>
        <v>0</v>
      </c>
      <c r="N145" s="617"/>
      <c r="O145" s="1889"/>
      <c r="P145" s="1889"/>
      <c r="Q145" s="1889"/>
      <c r="R145" s="1889"/>
      <c r="S145" s="619"/>
      <c r="T145" s="619"/>
      <c r="U145" s="619"/>
      <c r="V145" s="619"/>
      <c r="W145" s="623"/>
      <c r="X145" s="1057">
        <f t="shared" ref="X145" si="160">J150</f>
        <v>0</v>
      </c>
      <c r="Y145" s="1194" t="str">
        <f>IF(X145&gt;85,("A"),IF(X145&gt;80,("A-"),IF(X145&gt;75,("B+"),IF(X145&gt;70,("B"),IF(X145&gt;65,("B-"),IF(X145&gt;60,("C+"),IF(X145&gt;55,("C"),IF(X145&gt;50,("C-"),"D+"))))))))</f>
        <v>D+</v>
      </c>
    </row>
    <row r="146" spans="1:25" ht="24.95" customHeight="1" x14ac:dyDescent="0.25">
      <c r="A146" s="360"/>
      <c r="B146" s="683">
        <v>24</v>
      </c>
      <c r="C146" s="634"/>
      <c r="D146" s="1799" t="s">
        <v>7</v>
      </c>
      <c r="E146" s="1891">
        <f>VLOOKUP(A145,UHT_BI,33,FALSE)</f>
        <v>0</v>
      </c>
      <c r="F146" s="1905">
        <f t="shared" ref="F146:F149" si="161">E146*2</f>
        <v>0</v>
      </c>
      <c r="G146" s="362"/>
      <c r="H146" s="627">
        <f>VLOOKUP(B145,REKAP_NILAI,10,FALSE)</f>
        <v>0</v>
      </c>
      <c r="I146" s="709">
        <f t="shared" ref="I146:I149" si="162">F146+G146+H146</f>
        <v>0</v>
      </c>
      <c r="J146" s="710">
        <f t="shared" ref="J146:J149" si="163">(F146+G146+H146)/4</f>
        <v>0</v>
      </c>
      <c r="K146" s="711" t="str">
        <f t="shared" ref="K146:K150" si="164">IF(J146&gt;85,("4"),IF(J146&gt;80,("3.66"),IF(J146&gt;75,("3.33"),IF(J146&gt;70,("3.00"),IF(J146&gt;65,("2.66"),IF(J146&gt;60,("2.33"),IF(J146&gt;55,("2"),IF(J146&gt;50,("1.66"),"1.33"))))))))</f>
        <v>1.33</v>
      </c>
      <c r="L146" s="711" t="str">
        <f t="shared" ref="L146:L150" si="165">IF(J146&gt;85,("A"),IF(J146&gt;80,("A-"),IF(J146&gt;75,("B+"),IF(J146&gt;70,("B"),IF(J146&gt;65,("B-"),IF(J146&gt;60,("C+"),IF(J146&gt;55,("C"),IF(J146&gt;50,("C-"),"D+"))))))))</f>
        <v>D+</v>
      </c>
      <c r="M146" s="712" t="str">
        <f t="shared" ref="M146:M150" si="166">IF(J146&gt;80,("SB"),IF(J146&gt;65,("B"),IF(J146&gt;50,("C"),IF(J146&gt;0,("K"),"0"))))</f>
        <v>0</v>
      </c>
      <c r="N146" s="620"/>
      <c r="O146" s="621"/>
      <c r="P146" s="621"/>
      <c r="Q146" s="621"/>
      <c r="R146" s="621"/>
      <c r="S146" s="622"/>
      <c r="T146" s="622"/>
      <c r="U146" s="622"/>
      <c r="V146" s="622"/>
      <c r="W146" s="622"/>
      <c r="X146" s="1251"/>
      <c r="Y146" s="1252"/>
    </row>
    <row r="147" spans="1:25" ht="24.95" customHeight="1" x14ac:dyDescent="0.25">
      <c r="A147" s="360"/>
      <c r="B147" s="683">
        <v>24</v>
      </c>
      <c r="C147" s="634"/>
      <c r="D147" s="1893" t="s">
        <v>10</v>
      </c>
      <c r="E147" s="1891">
        <f>VLOOKUP(A145,UHT_BI,34,FALSE)</f>
        <v>0</v>
      </c>
      <c r="F147" s="1905">
        <f t="shared" si="161"/>
        <v>0</v>
      </c>
      <c r="G147" s="362"/>
      <c r="H147" s="627">
        <f>VLOOKUP(A145,REKAP_NILAI,11,FALSE)</f>
        <v>0</v>
      </c>
      <c r="I147" s="709">
        <f t="shared" si="162"/>
        <v>0</v>
      </c>
      <c r="J147" s="710">
        <f t="shared" si="163"/>
        <v>0</v>
      </c>
      <c r="K147" s="711" t="str">
        <f t="shared" si="164"/>
        <v>1.33</v>
      </c>
      <c r="L147" s="711" t="str">
        <f t="shared" si="165"/>
        <v>D+</v>
      </c>
      <c r="M147" s="712" t="str">
        <f t="shared" si="166"/>
        <v>0</v>
      </c>
      <c r="N147" s="623"/>
      <c r="O147" s="613"/>
      <c r="P147" s="613"/>
      <c r="Q147" s="613"/>
      <c r="R147" s="613"/>
      <c r="S147" s="615"/>
      <c r="T147" s="615"/>
      <c r="U147" s="615"/>
      <c r="V147" s="615"/>
      <c r="W147" s="615"/>
      <c r="X147" s="1253"/>
      <c r="Y147" s="1254"/>
    </row>
    <row r="148" spans="1:25" ht="24.95" customHeight="1" x14ac:dyDescent="0.25">
      <c r="A148" s="360"/>
      <c r="B148" s="683">
        <v>24</v>
      </c>
      <c r="C148" s="634"/>
      <c r="D148" s="1799" t="s">
        <v>8</v>
      </c>
      <c r="E148" s="1891">
        <f>VLOOKUP(A145,UHT_BI,35,FALSE)</f>
        <v>0</v>
      </c>
      <c r="F148" s="1905">
        <f t="shared" si="161"/>
        <v>0</v>
      </c>
      <c r="G148" s="362"/>
      <c r="H148" s="627">
        <f>VLOOKUP(A145,REKAP_NILAI,12,FALSE)</f>
        <v>0</v>
      </c>
      <c r="I148" s="709">
        <f t="shared" si="162"/>
        <v>0</v>
      </c>
      <c r="J148" s="710">
        <f t="shared" si="163"/>
        <v>0</v>
      </c>
      <c r="K148" s="711" t="str">
        <f t="shared" si="164"/>
        <v>1.33</v>
      </c>
      <c r="L148" s="711" t="str">
        <f t="shared" si="165"/>
        <v>D+</v>
      </c>
      <c r="M148" s="712" t="str">
        <f t="shared" si="166"/>
        <v>0</v>
      </c>
      <c r="N148" s="623"/>
      <c r="O148" s="613"/>
      <c r="P148" s="613"/>
      <c r="Q148" s="613"/>
      <c r="R148" s="613"/>
      <c r="S148" s="615"/>
      <c r="T148" s="615"/>
      <c r="U148" s="615"/>
      <c r="V148" s="615"/>
      <c r="W148" s="615"/>
      <c r="X148" s="1253"/>
      <c r="Y148" s="1254"/>
    </row>
    <row r="149" spans="1:25" ht="24.95" customHeight="1" x14ac:dyDescent="0.25">
      <c r="A149" s="360"/>
      <c r="B149" s="683">
        <v>24</v>
      </c>
      <c r="C149" s="634"/>
      <c r="D149" s="1893" t="s">
        <v>18</v>
      </c>
      <c r="E149" s="1891">
        <f>-VLOOKUP(A145,UHT_BI,36,FALSE)</f>
        <v>0</v>
      </c>
      <c r="F149" s="1905">
        <f t="shared" si="161"/>
        <v>0</v>
      </c>
      <c r="G149" s="362"/>
      <c r="H149" s="627">
        <f>VLOOKUP(A145,REKAP_NILAI,13,FALSE)</f>
        <v>0</v>
      </c>
      <c r="I149" s="709">
        <f t="shared" si="162"/>
        <v>0</v>
      </c>
      <c r="J149" s="710">
        <f t="shared" si="163"/>
        <v>0</v>
      </c>
      <c r="K149" s="711" t="str">
        <f t="shared" si="164"/>
        <v>1.33</v>
      </c>
      <c r="L149" s="711" t="str">
        <f t="shared" si="165"/>
        <v>D+</v>
      </c>
      <c r="M149" s="712" t="str">
        <f t="shared" si="166"/>
        <v>0</v>
      </c>
      <c r="N149" s="624"/>
      <c r="O149" s="614"/>
      <c r="P149" s="614"/>
      <c r="Q149" s="614"/>
      <c r="R149" s="614"/>
      <c r="S149" s="616"/>
      <c r="T149" s="616"/>
      <c r="U149" s="616"/>
      <c r="V149" s="616"/>
      <c r="W149" s="616"/>
      <c r="X149" s="1255"/>
      <c r="Y149" s="1256"/>
    </row>
    <row r="150" spans="1:25" ht="24.95" customHeight="1" x14ac:dyDescent="0.25">
      <c r="A150" s="363"/>
      <c r="B150" s="698"/>
      <c r="C150" s="635" t="s">
        <v>464</v>
      </c>
      <c r="D150" s="629">
        <v>24</v>
      </c>
      <c r="E150" s="363"/>
      <c r="F150" s="1907"/>
      <c r="G150" s="363"/>
      <c r="H150" s="1189">
        <f>AVERAGE(H145:H149)</f>
        <v>0</v>
      </c>
      <c r="I150" s="1250"/>
      <c r="J150" s="713">
        <f>AVERAGE(J145:J149)</f>
        <v>0</v>
      </c>
      <c r="K150" s="714" t="str">
        <f t="shared" si="164"/>
        <v>1.33</v>
      </c>
      <c r="L150" s="714" t="str">
        <f t="shared" si="165"/>
        <v>D+</v>
      </c>
      <c r="M150" s="888" t="str">
        <f t="shared" si="166"/>
        <v>0</v>
      </c>
      <c r="N150" s="630"/>
      <c r="O150" s="631"/>
      <c r="P150" s="631"/>
      <c r="Q150" s="631"/>
      <c r="R150" s="631"/>
      <c r="S150" s="631"/>
      <c r="T150" s="631"/>
      <c r="U150" s="631"/>
      <c r="V150" s="631"/>
      <c r="W150" s="631"/>
      <c r="X150" s="1257"/>
      <c r="Y150" s="1258"/>
    </row>
    <row r="151" spans="1:25" ht="24.95" customHeight="1" x14ac:dyDescent="0.25">
      <c r="A151" s="360">
        <v>25</v>
      </c>
      <c r="B151" s="683">
        <v>25</v>
      </c>
      <c r="C151" s="633" t="str">
        <f>VLOOKUP(A151,data_siswa,4,FALSE)</f>
        <v>Larasati Jagadhita P</v>
      </c>
      <c r="D151" s="1893" t="s">
        <v>12</v>
      </c>
      <c r="E151" s="1891">
        <f>VLOOKUP(A151,UHT_BI,32,FALSE)</f>
        <v>0</v>
      </c>
      <c r="F151" s="1904">
        <f>E151*2</f>
        <v>0</v>
      </c>
      <c r="G151" s="1891"/>
      <c r="H151" s="627">
        <f>VLOOKUP(B151,REKAP_NILAI,9,FALSE)</f>
        <v>0</v>
      </c>
      <c r="I151" s="706">
        <f>F151+G151+H151</f>
        <v>0</v>
      </c>
      <c r="J151" s="707">
        <f>(F151+G151+H151)/4</f>
        <v>0</v>
      </c>
      <c r="K151" s="708" t="str">
        <f>IF(J151&gt;85,("4"),IF(J151&gt;80,("3.66"),IF(J151&gt;75,("3.33"),IF(J151&gt;70,("3.00"),IF(J151&gt;65,("2.66"),IF(J151&gt;60,("2.33"),IF(J151&gt;55,("2"),IF(J151&gt;50,("1.66"),"1.33"))))))))</f>
        <v>1.33</v>
      </c>
      <c r="L151" s="708" t="str">
        <f>IF(J151&gt;85,("A"),IF(J151&gt;80,("A-"),IF(J151&gt;75,("B+"),IF(J151&gt;70,("B"),IF(J151&gt;65,("B-"),IF(J151&gt;60,("C+"),IF(J151&gt;55,("C"),IF(J151&gt;50,("C-"),"D+"))))))))</f>
        <v>D+</v>
      </c>
      <c r="M151" s="708" t="str">
        <f>IF(J151&gt;80,("SB"),IF(J151&gt;65,("B"),IF(J151&gt;50,("C"),IF(J151&gt;0,("K"),"0"))))</f>
        <v>0</v>
      </c>
      <c r="N151" s="617"/>
      <c r="O151" s="1889"/>
      <c r="P151" s="1889"/>
      <c r="Q151" s="1889"/>
      <c r="R151" s="1889"/>
      <c r="S151" s="619"/>
      <c r="T151" s="619"/>
      <c r="U151" s="619"/>
      <c r="V151" s="619"/>
      <c r="W151" s="623"/>
      <c r="X151" s="1057">
        <f t="shared" ref="X151" si="167">J156</f>
        <v>0</v>
      </c>
      <c r="Y151" s="1194" t="str">
        <f>IF(X151&gt;85,("A"),IF(X151&gt;80,("A-"),IF(X151&gt;75,("B+"),IF(X151&gt;70,("B"),IF(X151&gt;65,("B-"),IF(X151&gt;60,("C+"),IF(X151&gt;55,("C"),IF(X151&gt;50,("C-"),"D+"))))))))</f>
        <v>D+</v>
      </c>
    </row>
    <row r="152" spans="1:25" ht="24.95" customHeight="1" x14ac:dyDescent="0.25">
      <c r="A152" s="360"/>
      <c r="B152" s="683">
        <v>25</v>
      </c>
      <c r="C152" s="634"/>
      <c r="D152" s="1799" t="s">
        <v>7</v>
      </c>
      <c r="E152" s="1891">
        <f>VLOOKUP(A151,UHT_BI,33,FALSE)</f>
        <v>0</v>
      </c>
      <c r="F152" s="1905">
        <f t="shared" ref="F152:F155" si="168">E152*2</f>
        <v>0</v>
      </c>
      <c r="G152" s="362"/>
      <c r="H152" s="627">
        <f>VLOOKUP(B151,REKAP_NILAI,10,FALSE)</f>
        <v>0</v>
      </c>
      <c r="I152" s="709">
        <f t="shared" ref="I152:I155" si="169">F152+G152+H152</f>
        <v>0</v>
      </c>
      <c r="J152" s="710">
        <f t="shared" ref="J152:J155" si="170">(F152+G152+H152)/4</f>
        <v>0</v>
      </c>
      <c r="K152" s="711" t="str">
        <f t="shared" ref="K152:K156" si="171">IF(J152&gt;85,("4"),IF(J152&gt;80,("3.66"),IF(J152&gt;75,("3.33"),IF(J152&gt;70,("3.00"),IF(J152&gt;65,("2.66"),IF(J152&gt;60,("2.33"),IF(J152&gt;55,("2"),IF(J152&gt;50,("1.66"),"1.33"))))))))</f>
        <v>1.33</v>
      </c>
      <c r="L152" s="711" t="str">
        <f t="shared" ref="L152:L156" si="172">IF(J152&gt;85,("A"),IF(J152&gt;80,("A-"),IF(J152&gt;75,("B+"),IF(J152&gt;70,("B"),IF(J152&gt;65,("B-"),IF(J152&gt;60,("C+"),IF(J152&gt;55,("C"),IF(J152&gt;50,("C-"),"D+"))))))))</f>
        <v>D+</v>
      </c>
      <c r="M152" s="712" t="str">
        <f t="shared" ref="M152:M156" si="173">IF(J152&gt;80,("SB"),IF(J152&gt;65,("B"),IF(J152&gt;50,("C"),IF(J152&gt;0,("K"),"0"))))</f>
        <v>0</v>
      </c>
      <c r="N152" s="620"/>
      <c r="O152" s="621"/>
      <c r="P152" s="621"/>
      <c r="Q152" s="621"/>
      <c r="R152" s="621"/>
      <c r="S152" s="622"/>
      <c r="T152" s="622"/>
      <c r="U152" s="622"/>
      <c r="V152" s="622"/>
      <c r="W152" s="622"/>
      <c r="X152" s="1251"/>
      <c r="Y152" s="1252"/>
    </row>
    <row r="153" spans="1:25" ht="24.95" customHeight="1" x14ac:dyDescent="0.25">
      <c r="A153" s="360"/>
      <c r="B153" s="683">
        <v>25</v>
      </c>
      <c r="C153" s="634"/>
      <c r="D153" s="1893" t="s">
        <v>10</v>
      </c>
      <c r="E153" s="1891">
        <f>VLOOKUP(A151,UHT_BI,34,FALSE)</f>
        <v>0</v>
      </c>
      <c r="F153" s="1905">
        <f t="shared" si="168"/>
        <v>0</v>
      </c>
      <c r="G153" s="362"/>
      <c r="H153" s="627">
        <f>VLOOKUP(A151,REKAP_NILAI,11,FALSE)</f>
        <v>0</v>
      </c>
      <c r="I153" s="709">
        <f t="shared" si="169"/>
        <v>0</v>
      </c>
      <c r="J153" s="710">
        <f t="shared" si="170"/>
        <v>0</v>
      </c>
      <c r="K153" s="711" t="str">
        <f t="shared" si="171"/>
        <v>1.33</v>
      </c>
      <c r="L153" s="711" t="str">
        <f t="shared" si="172"/>
        <v>D+</v>
      </c>
      <c r="M153" s="712" t="str">
        <f t="shared" si="173"/>
        <v>0</v>
      </c>
      <c r="N153" s="623"/>
      <c r="O153" s="613"/>
      <c r="P153" s="613"/>
      <c r="Q153" s="613"/>
      <c r="R153" s="613"/>
      <c r="S153" s="615"/>
      <c r="T153" s="615"/>
      <c r="U153" s="615"/>
      <c r="V153" s="615"/>
      <c r="W153" s="615"/>
      <c r="X153" s="1253"/>
      <c r="Y153" s="1254"/>
    </row>
    <row r="154" spans="1:25" ht="24.95" customHeight="1" x14ac:dyDescent="0.25">
      <c r="A154" s="360"/>
      <c r="B154" s="683">
        <v>25</v>
      </c>
      <c r="C154" s="634"/>
      <c r="D154" s="1799" t="s">
        <v>8</v>
      </c>
      <c r="E154" s="1891">
        <f>VLOOKUP(A151,UHT_BI,35,FALSE)</f>
        <v>0</v>
      </c>
      <c r="F154" s="1905">
        <f t="shared" si="168"/>
        <v>0</v>
      </c>
      <c r="G154" s="362"/>
      <c r="H154" s="627">
        <f>VLOOKUP(A151,REKAP_NILAI,12,FALSE)</f>
        <v>0</v>
      </c>
      <c r="I154" s="709">
        <f t="shared" si="169"/>
        <v>0</v>
      </c>
      <c r="J154" s="710">
        <f t="shared" si="170"/>
        <v>0</v>
      </c>
      <c r="K154" s="711" t="str">
        <f t="shared" si="171"/>
        <v>1.33</v>
      </c>
      <c r="L154" s="711" t="str">
        <f t="shared" si="172"/>
        <v>D+</v>
      </c>
      <c r="M154" s="712" t="str">
        <f t="shared" si="173"/>
        <v>0</v>
      </c>
      <c r="N154" s="623"/>
      <c r="O154" s="613"/>
      <c r="P154" s="613"/>
      <c r="Q154" s="613"/>
      <c r="R154" s="613"/>
      <c r="S154" s="615"/>
      <c r="T154" s="615"/>
      <c r="U154" s="615"/>
      <c r="V154" s="615"/>
      <c r="W154" s="615"/>
      <c r="X154" s="1253"/>
      <c r="Y154" s="1254"/>
    </row>
    <row r="155" spans="1:25" ht="24.95" customHeight="1" x14ac:dyDescent="0.25">
      <c r="A155" s="360"/>
      <c r="B155" s="683">
        <v>25</v>
      </c>
      <c r="C155" s="634"/>
      <c r="D155" s="1893" t="s">
        <v>18</v>
      </c>
      <c r="E155" s="1891">
        <f>-VLOOKUP(A151,UHT_BI,36,FALSE)</f>
        <v>0</v>
      </c>
      <c r="F155" s="1905">
        <f t="shared" si="168"/>
        <v>0</v>
      </c>
      <c r="G155" s="362"/>
      <c r="H155" s="627">
        <f>VLOOKUP(A151,REKAP_NILAI,13,FALSE)</f>
        <v>0</v>
      </c>
      <c r="I155" s="709">
        <f t="shared" si="169"/>
        <v>0</v>
      </c>
      <c r="J155" s="710">
        <f t="shared" si="170"/>
        <v>0</v>
      </c>
      <c r="K155" s="711" t="str">
        <f t="shared" si="171"/>
        <v>1.33</v>
      </c>
      <c r="L155" s="711" t="str">
        <f t="shared" si="172"/>
        <v>D+</v>
      </c>
      <c r="M155" s="712" t="str">
        <f t="shared" si="173"/>
        <v>0</v>
      </c>
      <c r="N155" s="624"/>
      <c r="O155" s="614"/>
      <c r="P155" s="614"/>
      <c r="Q155" s="614"/>
      <c r="R155" s="614"/>
      <c r="S155" s="616"/>
      <c r="T155" s="616"/>
      <c r="U155" s="616"/>
      <c r="V155" s="616"/>
      <c r="W155" s="616"/>
      <c r="X155" s="1255"/>
      <c r="Y155" s="1256"/>
    </row>
    <row r="156" spans="1:25" ht="24.95" customHeight="1" x14ac:dyDescent="0.25">
      <c r="A156" s="363"/>
      <c r="B156" s="698"/>
      <c r="C156" s="635" t="s">
        <v>464</v>
      </c>
      <c r="D156" s="629">
        <v>25</v>
      </c>
      <c r="E156" s="363"/>
      <c r="F156" s="1907"/>
      <c r="G156" s="363"/>
      <c r="H156" s="1189">
        <f>AVERAGE(H151:H155)</f>
        <v>0</v>
      </c>
      <c r="I156" s="1250"/>
      <c r="J156" s="713">
        <f>AVERAGE(J151:J155)</f>
        <v>0</v>
      </c>
      <c r="K156" s="714" t="str">
        <f t="shared" si="171"/>
        <v>1.33</v>
      </c>
      <c r="L156" s="714" t="str">
        <f t="shared" si="172"/>
        <v>D+</v>
      </c>
      <c r="M156" s="888" t="str">
        <f t="shared" si="173"/>
        <v>0</v>
      </c>
      <c r="N156" s="630"/>
      <c r="O156" s="631"/>
      <c r="P156" s="631"/>
      <c r="Q156" s="631"/>
      <c r="R156" s="631"/>
      <c r="S156" s="631"/>
      <c r="T156" s="631"/>
      <c r="U156" s="631"/>
      <c r="V156" s="631"/>
      <c r="W156" s="631"/>
      <c r="X156" s="1257"/>
      <c r="Y156" s="1258"/>
    </row>
    <row r="157" spans="1:25" ht="24.95" customHeight="1" x14ac:dyDescent="0.25">
      <c r="A157" s="360">
        <v>26</v>
      </c>
      <c r="B157" s="683">
        <v>26</v>
      </c>
      <c r="C157" s="633" t="str">
        <f>VLOOKUP(A157,data_siswa,4,FALSE)</f>
        <v>Meliana Citra A</v>
      </c>
      <c r="D157" s="1893" t="s">
        <v>12</v>
      </c>
      <c r="E157" s="1891">
        <f>VLOOKUP(A157,UHT_BI,32,FALSE)</f>
        <v>0</v>
      </c>
      <c r="F157" s="1904">
        <f>E157*2</f>
        <v>0</v>
      </c>
      <c r="G157" s="1891"/>
      <c r="H157" s="627">
        <f>VLOOKUP(B157,REKAP_NILAI,9,FALSE)</f>
        <v>0</v>
      </c>
      <c r="I157" s="706">
        <f>F157+G157+H157</f>
        <v>0</v>
      </c>
      <c r="J157" s="707">
        <f>(F157+G157+H157)/4</f>
        <v>0</v>
      </c>
      <c r="K157" s="708" t="str">
        <f>IF(J157&gt;85,("4"),IF(J157&gt;80,("3.66"),IF(J157&gt;75,("3.33"),IF(J157&gt;70,("3.00"),IF(J157&gt;65,("2.66"),IF(J157&gt;60,("2.33"),IF(J157&gt;55,("2"),IF(J157&gt;50,("1.66"),"1.33"))))))))</f>
        <v>1.33</v>
      </c>
      <c r="L157" s="708" t="str">
        <f>IF(J157&gt;85,("A"),IF(J157&gt;80,("A-"),IF(J157&gt;75,("B+"),IF(J157&gt;70,("B"),IF(J157&gt;65,("B-"),IF(J157&gt;60,("C+"),IF(J157&gt;55,("C"),IF(J157&gt;50,("C-"),"D+"))))))))</f>
        <v>D+</v>
      </c>
      <c r="M157" s="708" t="str">
        <f>IF(J157&gt;80,("SB"),IF(J157&gt;65,("B"),IF(J157&gt;50,("C"),IF(J157&gt;0,("K"),"0"))))</f>
        <v>0</v>
      </c>
      <c r="N157" s="617"/>
      <c r="O157" s="1889"/>
      <c r="P157" s="1889"/>
      <c r="Q157" s="1889"/>
      <c r="R157" s="1889"/>
      <c r="S157" s="619"/>
      <c r="T157" s="619"/>
      <c r="U157" s="619"/>
      <c r="V157" s="619"/>
      <c r="W157" s="623"/>
      <c r="X157" s="1057">
        <f t="shared" ref="X157" si="174">J162</f>
        <v>0</v>
      </c>
      <c r="Y157" s="1194" t="str">
        <f>IF(X157&gt;85,("A"),IF(X157&gt;80,("A-"),IF(X157&gt;75,("B+"),IF(X157&gt;70,("B"),IF(X157&gt;65,("B-"),IF(X157&gt;60,("C+"),IF(X157&gt;55,("C"),IF(X157&gt;50,("C-"),"D+"))))))))</f>
        <v>D+</v>
      </c>
    </row>
    <row r="158" spans="1:25" ht="24.95" customHeight="1" x14ac:dyDescent="0.25">
      <c r="A158" s="360"/>
      <c r="B158" s="683">
        <v>26</v>
      </c>
      <c r="C158" s="634"/>
      <c r="D158" s="1799" t="s">
        <v>7</v>
      </c>
      <c r="E158" s="1891">
        <f>VLOOKUP(A157,UHT_BI,33,FALSE)</f>
        <v>0</v>
      </c>
      <c r="F158" s="1905">
        <f t="shared" ref="F158:F161" si="175">E158*2</f>
        <v>0</v>
      </c>
      <c r="G158" s="362"/>
      <c r="H158" s="627">
        <f>VLOOKUP(B157,REKAP_NILAI,10,FALSE)</f>
        <v>0</v>
      </c>
      <c r="I158" s="709">
        <f t="shared" ref="I158:I161" si="176">F158+G158+H158</f>
        <v>0</v>
      </c>
      <c r="J158" s="710">
        <f t="shared" ref="J158:J161" si="177">(F158+G158+H158)/4</f>
        <v>0</v>
      </c>
      <c r="K158" s="711" t="str">
        <f t="shared" ref="K158:K162" si="178">IF(J158&gt;85,("4"),IF(J158&gt;80,("3.66"),IF(J158&gt;75,("3.33"),IF(J158&gt;70,("3.00"),IF(J158&gt;65,("2.66"),IF(J158&gt;60,("2.33"),IF(J158&gt;55,("2"),IF(J158&gt;50,("1.66"),"1.33"))))))))</f>
        <v>1.33</v>
      </c>
      <c r="L158" s="711" t="str">
        <f t="shared" ref="L158:L162" si="179">IF(J158&gt;85,("A"),IF(J158&gt;80,("A-"),IF(J158&gt;75,("B+"),IF(J158&gt;70,("B"),IF(J158&gt;65,("B-"),IF(J158&gt;60,("C+"),IF(J158&gt;55,("C"),IF(J158&gt;50,("C-"),"D+"))))))))</f>
        <v>D+</v>
      </c>
      <c r="M158" s="712" t="str">
        <f t="shared" ref="M158:M162" si="180">IF(J158&gt;80,("SB"),IF(J158&gt;65,("B"),IF(J158&gt;50,("C"),IF(J158&gt;0,("K"),"0"))))</f>
        <v>0</v>
      </c>
      <c r="N158" s="620"/>
      <c r="O158" s="621"/>
      <c r="P158" s="621"/>
      <c r="Q158" s="621"/>
      <c r="R158" s="621"/>
      <c r="S158" s="622"/>
      <c r="T158" s="622"/>
      <c r="U158" s="622"/>
      <c r="V158" s="622"/>
      <c r="W158" s="622"/>
      <c r="X158" s="1251"/>
      <c r="Y158" s="1252"/>
    </row>
    <row r="159" spans="1:25" ht="24.95" customHeight="1" x14ac:dyDescent="0.25">
      <c r="A159" s="360"/>
      <c r="B159" s="683">
        <v>26</v>
      </c>
      <c r="C159" s="634"/>
      <c r="D159" s="1893" t="s">
        <v>10</v>
      </c>
      <c r="E159" s="1891">
        <f>VLOOKUP(A157,UHT_BI,34,FALSE)</f>
        <v>0</v>
      </c>
      <c r="F159" s="1905">
        <f t="shared" si="175"/>
        <v>0</v>
      </c>
      <c r="G159" s="362"/>
      <c r="H159" s="627">
        <f>VLOOKUP(A157,REKAP_NILAI,11,FALSE)</f>
        <v>0</v>
      </c>
      <c r="I159" s="709">
        <f t="shared" si="176"/>
        <v>0</v>
      </c>
      <c r="J159" s="710">
        <f t="shared" si="177"/>
        <v>0</v>
      </c>
      <c r="K159" s="711" t="str">
        <f t="shared" si="178"/>
        <v>1.33</v>
      </c>
      <c r="L159" s="711" t="str">
        <f t="shared" si="179"/>
        <v>D+</v>
      </c>
      <c r="M159" s="712" t="str">
        <f t="shared" si="180"/>
        <v>0</v>
      </c>
      <c r="N159" s="623"/>
      <c r="O159" s="613"/>
      <c r="P159" s="613"/>
      <c r="Q159" s="613"/>
      <c r="R159" s="613"/>
      <c r="S159" s="615"/>
      <c r="T159" s="615"/>
      <c r="U159" s="615"/>
      <c r="V159" s="615"/>
      <c r="W159" s="615"/>
      <c r="X159" s="1253"/>
      <c r="Y159" s="1254"/>
    </row>
    <row r="160" spans="1:25" ht="24.95" customHeight="1" x14ac:dyDescent="0.25">
      <c r="A160" s="360"/>
      <c r="B160" s="683">
        <v>26</v>
      </c>
      <c r="C160" s="634"/>
      <c r="D160" s="1799" t="s">
        <v>8</v>
      </c>
      <c r="E160" s="1891">
        <f>VLOOKUP(A157,UHT_BI,35,FALSE)</f>
        <v>0</v>
      </c>
      <c r="F160" s="1905">
        <f t="shared" si="175"/>
        <v>0</v>
      </c>
      <c r="G160" s="362"/>
      <c r="H160" s="627">
        <f>VLOOKUP(A157,REKAP_NILAI,12,FALSE)</f>
        <v>0</v>
      </c>
      <c r="I160" s="709">
        <f t="shared" si="176"/>
        <v>0</v>
      </c>
      <c r="J160" s="710">
        <f t="shared" si="177"/>
        <v>0</v>
      </c>
      <c r="K160" s="711" t="str">
        <f t="shared" si="178"/>
        <v>1.33</v>
      </c>
      <c r="L160" s="711" t="str">
        <f t="shared" si="179"/>
        <v>D+</v>
      </c>
      <c r="M160" s="712" t="str">
        <f t="shared" si="180"/>
        <v>0</v>
      </c>
      <c r="N160" s="623"/>
      <c r="O160" s="613"/>
      <c r="P160" s="613"/>
      <c r="Q160" s="613"/>
      <c r="R160" s="613"/>
      <c r="S160" s="615"/>
      <c r="T160" s="615"/>
      <c r="U160" s="615"/>
      <c r="V160" s="615"/>
      <c r="W160" s="615"/>
      <c r="X160" s="1253"/>
      <c r="Y160" s="1254"/>
    </row>
    <row r="161" spans="1:25" ht="24.95" customHeight="1" x14ac:dyDescent="0.25">
      <c r="A161" s="360"/>
      <c r="B161" s="683">
        <v>26</v>
      </c>
      <c r="C161" s="634"/>
      <c r="D161" s="1893" t="s">
        <v>18</v>
      </c>
      <c r="E161" s="1891">
        <f>-VLOOKUP(A157,UHT_BI,36,FALSE)</f>
        <v>0</v>
      </c>
      <c r="F161" s="1905">
        <f t="shared" si="175"/>
        <v>0</v>
      </c>
      <c r="G161" s="362"/>
      <c r="H161" s="627">
        <f>VLOOKUP(A157,REKAP_NILAI,13,FALSE)</f>
        <v>0</v>
      </c>
      <c r="I161" s="709">
        <f t="shared" si="176"/>
        <v>0</v>
      </c>
      <c r="J161" s="710">
        <f t="shared" si="177"/>
        <v>0</v>
      </c>
      <c r="K161" s="711" t="str">
        <f t="shared" si="178"/>
        <v>1.33</v>
      </c>
      <c r="L161" s="711" t="str">
        <f t="shared" si="179"/>
        <v>D+</v>
      </c>
      <c r="M161" s="712" t="str">
        <f t="shared" si="180"/>
        <v>0</v>
      </c>
      <c r="N161" s="624"/>
      <c r="O161" s="614"/>
      <c r="P161" s="614"/>
      <c r="Q161" s="614"/>
      <c r="R161" s="614"/>
      <c r="S161" s="616"/>
      <c r="T161" s="616"/>
      <c r="U161" s="616"/>
      <c r="V161" s="616"/>
      <c r="W161" s="616"/>
      <c r="X161" s="1255"/>
      <c r="Y161" s="1256"/>
    </row>
    <row r="162" spans="1:25" ht="24.95" customHeight="1" x14ac:dyDescent="0.25">
      <c r="A162" s="363"/>
      <c r="B162" s="698"/>
      <c r="C162" s="635" t="s">
        <v>464</v>
      </c>
      <c r="D162" s="629">
        <v>26</v>
      </c>
      <c r="E162" s="363"/>
      <c r="F162" s="1907"/>
      <c r="G162" s="363"/>
      <c r="H162" s="1189">
        <f>AVERAGE(H157:H161)</f>
        <v>0</v>
      </c>
      <c r="I162" s="1250"/>
      <c r="J162" s="713">
        <f>AVERAGE(J157:J161)</f>
        <v>0</v>
      </c>
      <c r="K162" s="714" t="str">
        <f t="shared" si="178"/>
        <v>1.33</v>
      </c>
      <c r="L162" s="714" t="str">
        <f t="shared" si="179"/>
        <v>D+</v>
      </c>
      <c r="M162" s="888" t="str">
        <f t="shared" si="180"/>
        <v>0</v>
      </c>
      <c r="N162" s="630"/>
      <c r="O162" s="631"/>
      <c r="P162" s="631"/>
      <c r="Q162" s="631"/>
      <c r="R162" s="631"/>
      <c r="S162" s="631"/>
      <c r="T162" s="631"/>
      <c r="U162" s="631"/>
      <c r="V162" s="631"/>
      <c r="W162" s="631"/>
      <c r="X162" s="1257"/>
      <c r="Y162" s="1258"/>
    </row>
    <row r="163" spans="1:25" ht="24.95" customHeight="1" x14ac:dyDescent="0.25">
      <c r="A163" s="360">
        <v>27</v>
      </c>
      <c r="B163" s="683">
        <v>27</v>
      </c>
      <c r="C163" s="633" t="str">
        <f>VLOOKUP(A163,data_siswa,4,FALSE)</f>
        <v>Mohammad Rizky</v>
      </c>
      <c r="D163" s="1893" t="s">
        <v>12</v>
      </c>
      <c r="E163" s="1891">
        <f>VLOOKUP(A163,UHT_BI,32,FALSE)</f>
        <v>0</v>
      </c>
      <c r="F163" s="1904">
        <f>E163*2</f>
        <v>0</v>
      </c>
      <c r="G163" s="1891"/>
      <c r="H163" s="627">
        <f>VLOOKUP(B163,REKAP_NILAI,9,FALSE)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708" t="str">
        <f>IF(J163&gt;80,("SB"),IF(J163&gt;65,("B"),IF(J163&gt;50,("C"),IF(J163&gt;0,("K"),"0"))))</f>
        <v>0</v>
      </c>
      <c r="N163" s="617"/>
      <c r="O163" s="1889"/>
      <c r="P163" s="1889"/>
      <c r="Q163" s="1889"/>
      <c r="R163" s="1889"/>
      <c r="S163" s="619"/>
      <c r="T163" s="619"/>
      <c r="U163" s="619"/>
      <c r="V163" s="619"/>
      <c r="W163" s="623"/>
      <c r="X163" s="1057">
        <f t="shared" ref="X163" si="181">J168</f>
        <v>0</v>
      </c>
      <c r="Y163" s="1194" t="str">
        <f>IF(X163&gt;85,("A"),IF(X163&gt;80,("A-"),IF(X163&gt;75,("B+"),IF(X163&gt;70,("B"),IF(X163&gt;65,("B-"),IF(X163&gt;60,("C+"),IF(X163&gt;55,("C"),IF(X163&gt;50,("C-"),"D+"))))))))</f>
        <v>D+</v>
      </c>
    </row>
    <row r="164" spans="1:25" ht="24.95" customHeight="1" x14ac:dyDescent="0.25">
      <c r="A164" s="360"/>
      <c r="B164" s="683">
        <v>27</v>
      </c>
      <c r="C164" s="634"/>
      <c r="D164" s="1799" t="s">
        <v>7</v>
      </c>
      <c r="E164" s="1891">
        <f>VLOOKUP(A163,UHT_BI,33,FALSE)</f>
        <v>0</v>
      </c>
      <c r="F164" s="1905">
        <f t="shared" ref="F164:F167" si="182">E164*2</f>
        <v>0</v>
      </c>
      <c r="G164" s="362"/>
      <c r="H164" s="627">
        <f>VLOOKUP(B163,REKAP_NILAI,10,FALSE)</f>
        <v>0</v>
      </c>
      <c r="I164" s="709">
        <f t="shared" ref="I164:I167" si="183">F164+G164+H164</f>
        <v>0</v>
      </c>
      <c r="J164" s="710">
        <f t="shared" ref="J164:J167" si="184">(F164+G164+H164)/4</f>
        <v>0</v>
      </c>
      <c r="K164" s="711" t="str">
        <f t="shared" ref="K164:K168" si="185">IF(J164&gt;85,("4"),IF(J164&gt;80,("3.66"),IF(J164&gt;75,("3.33"),IF(J164&gt;70,("3.00"),IF(J164&gt;65,("2.66"),IF(J164&gt;60,("2.33"),IF(J164&gt;55,("2"),IF(J164&gt;50,("1.66"),"1.33"))))))))</f>
        <v>1.33</v>
      </c>
      <c r="L164" s="711" t="str">
        <f t="shared" ref="L164:L168" si="186">IF(J164&gt;85,("A"),IF(J164&gt;80,("A-"),IF(J164&gt;75,("B+"),IF(J164&gt;70,("B"),IF(J164&gt;65,("B-"),IF(J164&gt;60,("C+"),IF(J164&gt;55,("C"),IF(J164&gt;50,("C-"),"D+"))))))))</f>
        <v>D+</v>
      </c>
      <c r="M164" s="712" t="str">
        <f t="shared" ref="M164:M168" si="187">IF(J164&gt;80,("SB"),IF(J164&gt;65,("B"),IF(J164&gt;50,("C"),IF(J164&gt;0,("K"),"0"))))</f>
        <v>0</v>
      </c>
      <c r="N164" s="620"/>
      <c r="O164" s="621"/>
      <c r="P164" s="621"/>
      <c r="Q164" s="621"/>
      <c r="R164" s="621"/>
      <c r="S164" s="622"/>
      <c r="T164" s="622"/>
      <c r="U164" s="622"/>
      <c r="V164" s="622"/>
      <c r="W164" s="622"/>
      <c r="X164" s="1251"/>
      <c r="Y164" s="1252"/>
    </row>
    <row r="165" spans="1:25" ht="24.95" customHeight="1" x14ac:dyDescent="0.25">
      <c r="A165" s="360"/>
      <c r="B165" s="683">
        <v>27</v>
      </c>
      <c r="C165" s="634"/>
      <c r="D165" s="1893" t="s">
        <v>10</v>
      </c>
      <c r="E165" s="1891">
        <f>VLOOKUP(A163,UHT_BI,34,FALSE)</f>
        <v>0</v>
      </c>
      <c r="F165" s="1905">
        <f t="shared" si="182"/>
        <v>0</v>
      </c>
      <c r="G165" s="362"/>
      <c r="H165" s="627">
        <f>VLOOKUP(A163,REKAP_NILAI,11,FALSE)</f>
        <v>0</v>
      </c>
      <c r="I165" s="709">
        <f t="shared" si="183"/>
        <v>0</v>
      </c>
      <c r="J165" s="710">
        <f t="shared" si="184"/>
        <v>0</v>
      </c>
      <c r="K165" s="711" t="str">
        <f t="shared" si="185"/>
        <v>1.33</v>
      </c>
      <c r="L165" s="711" t="str">
        <f t="shared" si="186"/>
        <v>D+</v>
      </c>
      <c r="M165" s="712" t="str">
        <f t="shared" si="187"/>
        <v>0</v>
      </c>
      <c r="N165" s="623"/>
      <c r="O165" s="613"/>
      <c r="P165" s="613"/>
      <c r="Q165" s="613"/>
      <c r="R165" s="613"/>
      <c r="S165" s="615"/>
      <c r="T165" s="615"/>
      <c r="U165" s="615"/>
      <c r="V165" s="615"/>
      <c r="W165" s="615"/>
      <c r="X165" s="1253"/>
      <c r="Y165" s="1254"/>
    </row>
    <row r="166" spans="1:25" ht="24.95" customHeight="1" x14ac:dyDescent="0.25">
      <c r="A166" s="360"/>
      <c r="B166" s="683">
        <v>27</v>
      </c>
      <c r="C166" s="634"/>
      <c r="D166" s="1799" t="s">
        <v>8</v>
      </c>
      <c r="E166" s="1891">
        <f>VLOOKUP(A163,UHT_BI,35,FALSE)</f>
        <v>0</v>
      </c>
      <c r="F166" s="1905">
        <f t="shared" si="182"/>
        <v>0</v>
      </c>
      <c r="G166" s="362"/>
      <c r="H166" s="627">
        <f>VLOOKUP(A163,REKAP_NILAI,12,FALSE)</f>
        <v>0</v>
      </c>
      <c r="I166" s="709">
        <f t="shared" si="183"/>
        <v>0</v>
      </c>
      <c r="J166" s="710">
        <f t="shared" si="184"/>
        <v>0</v>
      </c>
      <c r="K166" s="711" t="str">
        <f t="shared" si="185"/>
        <v>1.33</v>
      </c>
      <c r="L166" s="711" t="str">
        <f t="shared" si="186"/>
        <v>D+</v>
      </c>
      <c r="M166" s="712" t="str">
        <f t="shared" si="187"/>
        <v>0</v>
      </c>
      <c r="N166" s="623"/>
      <c r="O166" s="613"/>
      <c r="P166" s="613"/>
      <c r="Q166" s="613"/>
      <c r="R166" s="613"/>
      <c r="S166" s="615"/>
      <c r="T166" s="615"/>
      <c r="U166" s="615"/>
      <c r="V166" s="615"/>
      <c r="W166" s="615"/>
      <c r="X166" s="1253"/>
      <c r="Y166" s="1254"/>
    </row>
    <row r="167" spans="1:25" ht="24.95" customHeight="1" x14ac:dyDescent="0.25">
      <c r="A167" s="360"/>
      <c r="B167" s="683">
        <v>27</v>
      </c>
      <c r="C167" s="634"/>
      <c r="D167" s="1893" t="s">
        <v>18</v>
      </c>
      <c r="E167" s="1891">
        <f>-VLOOKUP(A163,UHT_BI,36,FALSE)</f>
        <v>0</v>
      </c>
      <c r="F167" s="1905">
        <f t="shared" si="182"/>
        <v>0</v>
      </c>
      <c r="G167" s="362"/>
      <c r="H167" s="627">
        <f>VLOOKUP(A163,REKAP_NILAI,13,FALSE)</f>
        <v>0</v>
      </c>
      <c r="I167" s="709">
        <f t="shared" si="183"/>
        <v>0</v>
      </c>
      <c r="J167" s="710">
        <f t="shared" si="184"/>
        <v>0</v>
      </c>
      <c r="K167" s="711" t="str">
        <f t="shared" si="185"/>
        <v>1.33</v>
      </c>
      <c r="L167" s="711" t="str">
        <f t="shared" si="186"/>
        <v>D+</v>
      </c>
      <c r="M167" s="712" t="str">
        <f t="shared" si="187"/>
        <v>0</v>
      </c>
      <c r="N167" s="624"/>
      <c r="O167" s="614"/>
      <c r="P167" s="614"/>
      <c r="Q167" s="614"/>
      <c r="R167" s="614"/>
      <c r="S167" s="616"/>
      <c r="T167" s="616"/>
      <c r="U167" s="616"/>
      <c r="V167" s="616"/>
      <c r="W167" s="616"/>
      <c r="X167" s="1255"/>
      <c r="Y167" s="1256"/>
    </row>
    <row r="168" spans="1:25" ht="24.95" customHeight="1" x14ac:dyDescent="0.25">
      <c r="A168" s="363"/>
      <c r="B168" s="698"/>
      <c r="C168" s="635" t="s">
        <v>464</v>
      </c>
      <c r="D168" s="629">
        <v>27</v>
      </c>
      <c r="E168" s="363"/>
      <c r="F168" s="1907"/>
      <c r="G168" s="363"/>
      <c r="H168" s="1189">
        <f>AVERAGE(H163:H167)</f>
        <v>0</v>
      </c>
      <c r="I168" s="1250"/>
      <c r="J168" s="713">
        <f>AVERAGE(J163:J167)</f>
        <v>0</v>
      </c>
      <c r="K168" s="714" t="str">
        <f t="shared" si="185"/>
        <v>1.33</v>
      </c>
      <c r="L168" s="714" t="str">
        <f t="shared" si="186"/>
        <v>D+</v>
      </c>
      <c r="M168" s="888" t="str">
        <f t="shared" si="187"/>
        <v>0</v>
      </c>
      <c r="N168" s="630"/>
      <c r="O168" s="631"/>
      <c r="P168" s="631"/>
      <c r="Q168" s="631"/>
      <c r="R168" s="631"/>
      <c r="S168" s="631"/>
      <c r="T168" s="631"/>
      <c r="U168" s="631"/>
      <c r="V168" s="631"/>
      <c r="W168" s="631"/>
      <c r="X168" s="1257"/>
      <c r="Y168" s="1258"/>
    </row>
    <row r="169" spans="1:25" ht="24.95" customHeight="1" x14ac:dyDescent="0.25">
      <c r="A169" s="360">
        <v>28</v>
      </c>
      <c r="B169" s="683">
        <v>28</v>
      </c>
      <c r="C169" s="633" t="e">
        <f>VLOOKUP(A169,data_siswa,4,FALSE)</f>
        <v>#N/A</v>
      </c>
      <c r="D169" s="1893" t="s">
        <v>12</v>
      </c>
      <c r="E169" s="1891">
        <f>VLOOKUP(A169,UHT_BI,32,FALSE)</f>
        <v>0</v>
      </c>
      <c r="F169" s="1904">
        <f>E169*2</f>
        <v>0</v>
      </c>
      <c r="G169" s="1891"/>
      <c r="H169" s="627">
        <f>VLOOKUP(B169,REKAP_NILAI,9,FALSE)</f>
        <v>0</v>
      </c>
      <c r="I169" s="706">
        <f>F169+G169+H169</f>
        <v>0</v>
      </c>
      <c r="J169" s="707">
        <f>(F169+G169+H169)/4</f>
        <v>0</v>
      </c>
      <c r="K169" s="708" t="str">
        <f>IF(J169&gt;85,("4"),IF(J169&gt;80,("3.66"),IF(J169&gt;75,("3.33"),IF(J169&gt;70,("3.00"),IF(J169&gt;65,("2.66"),IF(J169&gt;60,("2.33"),IF(J169&gt;55,("2"),IF(J169&gt;50,("1.66"),"1.33"))))))))</f>
        <v>1.33</v>
      </c>
      <c r="L169" s="708" t="str">
        <f>IF(J169&gt;85,("A"),IF(J169&gt;80,("A-"),IF(J169&gt;75,("B+"),IF(J169&gt;70,("B"),IF(J169&gt;65,("B-"),IF(J169&gt;60,("C+"),IF(J169&gt;55,("C"),IF(J169&gt;50,("C-"),"D+"))))))))</f>
        <v>D+</v>
      </c>
      <c r="M169" s="708" t="str">
        <f>IF(J169&gt;80,("SB"),IF(J169&gt;65,("B"),IF(J169&gt;50,("C"),IF(J169&gt;0,("K"),"0"))))</f>
        <v>0</v>
      </c>
      <c r="N169" s="617"/>
      <c r="O169" s="1889"/>
      <c r="P169" s="1889"/>
      <c r="Q169" s="1889"/>
      <c r="R169" s="1889"/>
      <c r="S169" s="619"/>
      <c r="T169" s="619"/>
      <c r="U169" s="619"/>
      <c r="V169" s="619"/>
      <c r="W169" s="623"/>
      <c r="X169" s="1057">
        <f t="shared" ref="X169" si="188">J174</f>
        <v>0</v>
      </c>
      <c r="Y169" s="1194" t="str">
        <f>IF(X169&gt;85,("A"),IF(X169&gt;80,("A-"),IF(X169&gt;75,("B+"),IF(X169&gt;70,("B"),IF(X169&gt;65,("B-"),IF(X169&gt;60,("C+"),IF(X169&gt;55,("C"),IF(X169&gt;50,("C-"),"D+"))))))))</f>
        <v>D+</v>
      </c>
    </row>
    <row r="170" spans="1:25" ht="24.95" customHeight="1" x14ac:dyDescent="0.25">
      <c r="A170" s="360"/>
      <c r="B170" s="683">
        <v>28</v>
      </c>
      <c r="C170" s="634"/>
      <c r="D170" s="1799" t="s">
        <v>7</v>
      </c>
      <c r="E170" s="1891">
        <f>VLOOKUP(A169,UHT_BI,33,FALSE)</f>
        <v>0</v>
      </c>
      <c r="F170" s="1905">
        <f t="shared" ref="F170:F173" si="189">E170*2</f>
        <v>0</v>
      </c>
      <c r="G170" s="362"/>
      <c r="H170" s="627">
        <f>VLOOKUP(B169,REKAP_NILAI,10,FALSE)</f>
        <v>0</v>
      </c>
      <c r="I170" s="709">
        <f t="shared" ref="I170:I173" si="190">F170+G170+H170</f>
        <v>0</v>
      </c>
      <c r="J170" s="710">
        <f t="shared" ref="J170:J173" si="191">(F170+G170+H170)/4</f>
        <v>0</v>
      </c>
      <c r="K170" s="711" t="str">
        <f t="shared" ref="K170:K174" si="192">IF(J170&gt;85,("4"),IF(J170&gt;80,("3.66"),IF(J170&gt;75,("3.33"),IF(J170&gt;70,("3.00"),IF(J170&gt;65,("2.66"),IF(J170&gt;60,("2.33"),IF(J170&gt;55,("2"),IF(J170&gt;50,("1.66"),"1.33"))))))))</f>
        <v>1.33</v>
      </c>
      <c r="L170" s="711" t="str">
        <f t="shared" ref="L170:L174" si="193">IF(J170&gt;85,("A"),IF(J170&gt;80,("A-"),IF(J170&gt;75,("B+"),IF(J170&gt;70,("B"),IF(J170&gt;65,("B-"),IF(J170&gt;60,("C+"),IF(J170&gt;55,("C"),IF(J170&gt;50,("C-"),"D+"))))))))</f>
        <v>D+</v>
      </c>
      <c r="M170" s="712" t="str">
        <f t="shared" ref="M170:M174" si="194">IF(J170&gt;80,("SB"),IF(J170&gt;65,("B"),IF(J170&gt;50,("C"),IF(J170&gt;0,("K"),"0"))))</f>
        <v>0</v>
      </c>
      <c r="N170" s="620"/>
      <c r="O170" s="621"/>
      <c r="P170" s="621"/>
      <c r="Q170" s="621"/>
      <c r="R170" s="621"/>
      <c r="S170" s="622"/>
      <c r="T170" s="622"/>
      <c r="U170" s="622"/>
      <c r="V170" s="622"/>
      <c r="W170" s="622"/>
      <c r="X170" s="1251"/>
      <c r="Y170" s="1252"/>
    </row>
    <row r="171" spans="1:25" ht="24.95" customHeight="1" x14ac:dyDescent="0.25">
      <c r="A171" s="360"/>
      <c r="B171" s="683">
        <v>28</v>
      </c>
      <c r="C171" s="634"/>
      <c r="D171" s="1893" t="s">
        <v>10</v>
      </c>
      <c r="E171" s="1891">
        <f>VLOOKUP(A169,UHT_BI,34,FALSE)</f>
        <v>0</v>
      </c>
      <c r="F171" s="1905">
        <f t="shared" si="189"/>
        <v>0</v>
      </c>
      <c r="G171" s="362"/>
      <c r="H171" s="627">
        <f>VLOOKUP(A169,REKAP_NILAI,11,FALSE)</f>
        <v>0</v>
      </c>
      <c r="I171" s="709">
        <f t="shared" si="190"/>
        <v>0</v>
      </c>
      <c r="J171" s="710">
        <f t="shared" si="191"/>
        <v>0</v>
      </c>
      <c r="K171" s="711" t="str">
        <f t="shared" si="192"/>
        <v>1.33</v>
      </c>
      <c r="L171" s="711" t="str">
        <f t="shared" si="193"/>
        <v>D+</v>
      </c>
      <c r="M171" s="712" t="str">
        <f t="shared" si="194"/>
        <v>0</v>
      </c>
      <c r="N171" s="623"/>
      <c r="O171" s="613"/>
      <c r="P171" s="613"/>
      <c r="Q171" s="613"/>
      <c r="R171" s="613"/>
      <c r="S171" s="615"/>
      <c r="T171" s="615"/>
      <c r="U171" s="615"/>
      <c r="V171" s="615"/>
      <c r="W171" s="615"/>
      <c r="X171" s="1253"/>
      <c r="Y171" s="1254"/>
    </row>
    <row r="172" spans="1:25" ht="24.95" customHeight="1" x14ac:dyDescent="0.25">
      <c r="A172" s="360"/>
      <c r="B172" s="683">
        <v>28</v>
      </c>
      <c r="C172" s="634"/>
      <c r="D172" s="1799" t="s">
        <v>8</v>
      </c>
      <c r="E172" s="1891">
        <f>VLOOKUP(A169,UHT_BI,35,FALSE)</f>
        <v>0</v>
      </c>
      <c r="F172" s="1905">
        <f t="shared" si="189"/>
        <v>0</v>
      </c>
      <c r="G172" s="362"/>
      <c r="H172" s="627">
        <f>VLOOKUP(A169,REKAP_NILAI,12,FALSE)</f>
        <v>0</v>
      </c>
      <c r="I172" s="709">
        <f t="shared" si="190"/>
        <v>0</v>
      </c>
      <c r="J172" s="710">
        <f t="shared" si="191"/>
        <v>0</v>
      </c>
      <c r="K172" s="711" t="str">
        <f t="shared" si="192"/>
        <v>1.33</v>
      </c>
      <c r="L172" s="711" t="str">
        <f t="shared" si="193"/>
        <v>D+</v>
      </c>
      <c r="M172" s="712" t="str">
        <f t="shared" si="194"/>
        <v>0</v>
      </c>
      <c r="N172" s="623"/>
      <c r="O172" s="613"/>
      <c r="P172" s="613"/>
      <c r="Q172" s="613"/>
      <c r="R172" s="613"/>
      <c r="S172" s="615"/>
      <c r="T172" s="615"/>
      <c r="U172" s="615"/>
      <c r="V172" s="615"/>
      <c r="W172" s="615"/>
      <c r="X172" s="1253"/>
      <c r="Y172" s="1254"/>
    </row>
    <row r="173" spans="1:25" ht="24.95" customHeight="1" x14ac:dyDescent="0.25">
      <c r="A173" s="360"/>
      <c r="B173" s="683">
        <v>28</v>
      </c>
      <c r="C173" s="634"/>
      <c r="D173" s="1893" t="s">
        <v>18</v>
      </c>
      <c r="E173" s="1891">
        <f>-VLOOKUP(A169,UHT_BI,36,FALSE)</f>
        <v>0</v>
      </c>
      <c r="F173" s="1905">
        <f t="shared" si="189"/>
        <v>0</v>
      </c>
      <c r="G173" s="362"/>
      <c r="H173" s="627">
        <f>VLOOKUP(A169,REKAP_NILAI,13,FALSE)</f>
        <v>0</v>
      </c>
      <c r="I173" s="709">
        <f t="shared" si="190"/>
        <v>0</v>
      </c>
      <c r="J173" s="710">
        <f t="shared" si="191"/>
        <v>0</v>
      </c>
      <c r="K173" s="711" t="str">
        <f t="shared" si="192"/>
        <v>1.33</v>
      </c>
      <c r="L173" s="711" t="str">
        <f t="shared" si="193"/>
        <v>D+</v>
      </c>
      <c r="M173" s="712" t="str">
        <f t="shared" si="194"/>
        <v>0</v>
      </c>
      <c r="N173" s="624"/>
      <c r="O173" s="614"/>
      <c r="P173" s="614"/>
      <c r="Q173" s="614"/>
      <c r="R173" s="614"/>
      <c r="S173" s="616"/>
      <c r="T173" s="616"/>
      <c r="U173" s="616"/>
      <c r="V173" s="616"/>
      <c r="W173" s="616"/>
      <c r="X173" s="1255"/>
      <c r="Y173" s="1256"/>
    </row>
    <row r="174" spans="1:25" ht="24.95" customHeight="1" x14ac:dyDescent="0.25">
      <c r="A174" s="363"/>
      <c r="B174" s="698"/>
      <c r="C174" s="635" t="s">
        <v>464</v>
      </c>
      <c r="D174" s="629">
        <v>28</v>
      </c>
      <c r="E174" s="363"/>
      <c r="F174" s="1907"/>
      <c r="G174" s="363"/>
      <c r="H174" s="1189">
        <f>AVERAGE(H169:H173)</f>
        <v>0</v>
      </c>
      <c r="I174" s="1250"/>
      <c r="J174" s="713">
        <f>AVERAGE(J169:J173)</f>
        <v>0</v>
      </c>
      <c r="K174" s="714" t="str">
        <f t="shared" si="192"/>
        <v>1.33</v>
      </c>
      <c r="L174" s="714" t="str">
        <f t="shared" si="193"/>
        <v>D+</v>
      </c>
      <c r="M174" s="888" t="str">
        <f t="shared" si="194"/>
        <v>0</v>
      </c>
      <c r="N174" s="630"/>
      <c r="O174" s="631"/>
      <c r="P174" s="631"/>
      <c r="Q174" s="631"/>
      <c r="R174" s="631"/>
      <c r="S174" s="631"/>
      <c r="T174" s="631"/>
      <c r="U174" s="631"/>
      <c r="V174" s="631"/>
      <c r="W174" s="631"/>
      <c r="X174" s="1257"/>
      <c r="Y174" s="1258"/>
    </row>
    <row r="175" spans="1:25" ht="24.95" customHeight="1" x14ac:dyDescent="0.25">
      <c r="A175" s="360">
        <v>29</v>
      </c>
      <c r="B175" s="683">
        <v>29</v>
      </c>
      <c r="C175" s="633" t="e">
        <f>VLOOKUP(A175,data_siswa,4,FALSE)</f>
        <v>#N/A</v>
      </c>
      <c r="D175" s="1893" t="s">
        <v>12</v>
      </c>
      <c r="E175" s="1891">
        <f>VLOOKUP(A175,UHT_BI,32,FALSE)</f>
        <v>0</v>
      </c>
      <c r="F175" s="1904">
        <f>E175*2</f>
        <v>0</v>
      </c>
      <c r="G175" s="1891"/>
      <c r="H175" s="627">
        <f>VLOOKUP(B175,REKAP_NILAI,9,FALSE)</f>
        <v>0</v>
      </c>
      <c r="I175" s="706">
        <f>F175+G175+H175</f>
        <v>0</v>
      </c>
      <c r="J175" s="707">
        <f>(F175+G175+H175)/4</f>
        <v>0</v>
      </c>
      <c r="K175" s="708" t="str">
        <f>IF(J175&gt;85,("4"),IF(J175&gt;80,("3.66"),IF(J175&gt;75,("3.33"),IF(J175&gt;70,("3.00"),IF(J175&gt;65,("2.66"),IF(J175&gt;60,("2.33"),IF(J175&gt;55,("2"),IF(J175&gt;50,("1.66"),"1.33"))))))))</f>
        <v>1.33</v>
      </c>
      <c r="L175" s="708" t="str">
        <f>IF(J175&gt;85,("A"),IF(J175&gt;80,("A-"),IF(J175&gt;75,("B+"),IF(J175&gt;70,("B"),IF(J175&gt;65,("B-"),IF(J175&gt;60,("C+"),IF(J175&gt;55,("C"),IF(J175&gt;50,("C-"),"D+"))))))))</f>
        <v>D+</v>
      </c>
      <c r="M175" s="708" t="str">
        <f>IF(J175&gt;80,("SB"),IF(J175&gt;65,("B"),IF(J175&gt;50,("C"),IF(J175&gt;0,("K"),"0"))))</f>
        <v>0</v>
      </c>
      <c r="N175" s="617"/>
      <c r="O175" s="1889"/>
      <c r="P175" s="1889"/>
      <c r="Q175" s="1889"/>
      <c r="R175" s="1889"/>
      <c r="S175" s="619"/>
      <c r="T175" s="619"/>
      <c r="U175" s="619"/>
      <c r="V175" s="619"/>
      <c r="W175" s="623"/>
      <c r="X175" s="1057">
        <f t="shared" ref="X175" si="195">J180</f>
        <v>0</v>
      </c>
      <c r="Y175" s="1194" t="str">
        <f>IF(X175&gt;85,("A"),IF(X175&gt;80,("A-"),IF(X175&gt;75,("B+"),IF(X175&gt;70,("B"),IF(X175&gt;65,("B-"),IF(X175&gt;60,("C+"),IF(X175&gt;55,("C"),IF(X175&gt;50,("C-"),"D+"))))))))</f>
        <v>D+</v>
      </c>
    </row>
    <row r="176" spans="1:25" ht="24.95" customHeight="1" x14ac:dyDescent="0.25">
      <c r="A176" s="360"/>
      <c r="B176" s="683">
        <v>29</v>
      </c>
      <c r="C176" s="634"/>
      <c r="D176" s="1799" t="s">
        <v>7</v>
      </c>
      <c r="E176" s="1891">
        <f>VLOOKUP(A175,UHT_BI,33,FALSE)</f>
        <v>0</v>
      </c>
      <c r="F176" s="1905">
        <f t="shared" ref="F176:F179" si="196">E176*2</f>
        <v>0</v>
      </c>
      <c r="G176" s="362"/>
      <c r="H176" s="627">
        <f>VLOOKUP(B175,REKAP_NILAI,10,FALSE)</f>
        <v>0</v>
      </c>
      <c r="I176" s="709">
        <f t="shared" ref="I176:I179" si="197">F176+G176+H176</f>
        <v>0</v>
      </c>
      <c r="J176" s="710">
        <f t="shared" ref="J176:J179" si="198">(F176+G176+H176)/4</f>
        <v>0</v>
      </c>
      <c r="K176" s="711" t="str">
        <f t="shared" ref="K176:K180" si="199">IF(J176&gt;85,("4"),IF(J176&gt;80,("3.66"),IF(J176&gt;75,("3.33"),IF(J176&gt;70,("3.00"),IF(J176&gt;65,("2.66"),IF(J176&gt;60,("2.33"),IF(J176&gt;55,("2"),IF(J176&gt;50,("1.66"),"1.33"))))))))</f>
        <v>1.33</v>
      </c>
      <c r="L176" s="711" t="str">
        <f t="shared" ref="L176:L180" si="200">IF(J176&gt;85,("A"),IF(J176&gt;80,("A-"),IF(J176&gt;75,("B+"),IF(J176&gt;70,("B"),IF(J176&gt;65,("B-"),IF(J176&gt;60,("C+"),IF(J176&gt;55,("C"),IF(J176&gt;50,("C-"),"D+"))))))))</f>
        <v>D+</v>
      </c>
      <c r="M176" s="712" t="str">
        <f t="shared" ref="M176:M180" si="201">IF(J176&gt;80,("SB"),IF(J176&gt;65,("B"),IF(J176&gt;50,("C"),IF(J176&gt;0,("K"),"0"))))</f>
        <v>0</v>
      </c>
      <c r="N176" s="620"/>
      <c r="O176" s="621"/>
      <c r="P176" s="621"/>
      <c r="Q176" s="621"/>
      <c r="R176" s="621"/>
      <c r="S176" s="622"/>
      <c r="T176" s="622"/>
      <c r="U176" s="622"/>
      <c r="V176" s="622"/>
      <c r="W176" s="622"/>
      <c r="X176" s="1251"/>
      <c r="Y176" s="1252"/>
    </row>
    <row r="177" spans="1:25" ht="24.95" customHeight="1" x14ac:dyDescent="0.25">
      <c r="A177" s="360"/>
      <c r="B177" s="683">
        <v>29</v>
      </c>
      <c r="C177" s="634"/>
      <c r="D177" s="1893" t="s">
        <v>10</v>
      </c>
      <c r="E177" s="1891">
        <f>VLOOKUP(A175,UHT_BI,34,FALSE)</f>
        <v>0</v>
      </c>
      <c r="F177" s="1905">
        <f t="shared" si="196"/>
        <v>0</v>
      </c>
      <c r="G177" s="362"/>
      <c r="H177" s="627">
        <f>VLOOKUP(A175,REKAP_NILAI,11,FALSE)</f>
        <v>0</v>
      </c>
      <c r="I177" s="709">
        <f t="shared" si="197"/>
        <v>0</v>
      </c>
      <c r="J177" s="710">
        <f t="shared" si="198"/>
        <v>0</v>
      </c>
      <c r="K177" s="711" t="str">
        <f t="shared" si="199"/>
        <v>1.33</v>
      </c>
      <c r="L177" s="711" t="str">
        <f t="shared" si="200"/>
        <v>D+</v>
      </c>
      <c r="M177" s="712" t="str">
        <f t="shared" si="201"/>
        <v>0</v>
      </c>
      <c r="N177" s="623"/>
      <c r="O177" s="613"/>
      <c r="P177" s="613"/>
      <c r="Q177" s="613"/>
      <c r="R177" s="613"/>
      <c r="S177" s="615"/>
      <c r="T177" s="615"/>
      <c r="U177" s="615"/>
      <c r="V177" s="615"/>
      <c r="W177" s="615"/>
      <c r="X177" s="1253"/>
      <c r="Y177" s="1254"/>
    </row>
    <row r="178" spans="1:25" ht="24.95" customHeight="1" x14ac:dyDescent="0.25">
      <c r="A178" s="360"/>
      <c r="B178" s="683">
        <v>29</v>
      </c>
      <c r="C178" s="634"/>
      <c r="D178" s="1799" t="s">
        <v>8</v>
      </c>
      <c r="E178" s="1891">
        <f>VLOOKUP(A175,UHT_BI,35,FALSE)</f>
        <v>0</v>
      </c>
      <c r="F178" s="1905">
        <f t="shared" si="196"/>
        <v>0</v>
      </c>
      <c r="G178" s="362"/>
      <c r="H178" s="627">
        <f>VLOOKUP(A175,REKAP_NILAI,12,FALSE)</f>
        <v>0</v>
      </c>
      <c r="I178" s="709">
        <f t="shared" si="197"/>
        <v>0</v>
      </c>
      <c r="J178" s="710">
        <f t="shared" si="198"/>
        <v>0</v>
      </c>
      <c r="K178" s="711" t="str">
        <f t="shared" si="199"/>
        <v>1.33</v>
      </c>
      <c r="L178" s="711" t="str">
        <f t="shared" si="200"/>
        <v>D+</v>
      </c>
      <c r="M178" s="712" t="str">
        <f t="shared" si="201"/>
        <v>0</v>
      </c>
      <c r="N178" s="623"/>
      <c r="O178" s="613"/>
      <c r="P178" s="613"/>
      <c r="Q178" s="613"/>
      <c r="R178" s="613"/>
      <c r="S178" s="615"/>
      <c r="T178" s="615"/>
      <c r="U178" s="615"/>
      <c r="V178" s="615"/>
      <c r="W178" s="615"/>
      <c r="X178" s="1253"/>
      <c r="Y178" s="1254"/>
    </row>
    <row r="179" spans="1:25" ht="24.95" customHeight="1" x14ac:dyDescent="0.25">
      <c r="A179" s="360"/>
      <c r="B179" s="683">
        <v>29</v>
      </c>
      <c r="C179" s="634"/>
      <c r="D179" s="1893" t="s">
        <v>18</v>
      </c>
      <c r="E179" s="1891">
        <f>-VLOOKUP(A175,UHT_BI,36,FALSE)</f>
        <v>0</v>
      </c>
      <c r="F179" s="1905">
        <f t="shared" si="196"/>
        <v>0</v>
      </c>
      <c r="G179" s="362"/>
      <c r="H179" s="627">
        <f>VLOOKUP(A175,REKAP_NILAI,13,FALSE)</f>
        <v>0</v>
      </c>
      <c r="I179" s="709">
        <f t="shared" si="197"/>
        <v>0</v>
      </c>
      <c r="J179" s="710">
        <f t="shared" si="198"/>
        <v>0</v>
      </c>
      <c r="K179" s="711" t="str">
        <f t="shared" si="199"/>
        <v>1.33</v>
      </c>
      <c r="L179" s="711" t="str">
        <f t="shared" si="200"/>
        <v>D+</v>
      </c>
      <c r="M179" s="712" t="str">
        <f t="shared" si="201"/>
        <v>0</v>
      </c>
      <c r="N179" s="624"/>
      <c r="O179" s="614"/>
      <c r="P179" s="614"/>
      <c r="Q179" s="614"/>
      <c r="R179" s="614"/>
      <c r="S179" s="616"/>
      <c r="T179" s="616"/>
      <c r="U179" s="616"/>
      <c r="V179" s="616"/>
      <c r="W179" s="616"/>
      <c r="X179" s="1255"/>
      <c r="Y179" s="1256"/>
    </row>
    <row r="180" spans="1:25" ht="24.95" customHeight="1" x14ac:dyDescent="0.25">
      <c r="A180" s="363"/>
      <c r="B180" s="698"/>
      <c r="C180" s="635" t="s">
        <v>464</v>
      </c>
      <c r="D180" s="629">
        <v>29</v>
      </c>
      <c r="E180" s="363"/>
      <c r="F180" s="1907"/>
      <c r="G180" s="363"/>
      <c r="H180" s="1189">
        <f>AVERAGE(H175:H179)</f>
        <v>0</v>
      </c>
      <c r="I180" s="1250"/>
      <c r="J180" s="713">
        <f>AVERAGE(J175:J179)</f>
        <v>0</v>
      </c>
      <c r="K180" s="714" t="str">
        <f t="shared" si="199"/>
        <v>1.33</v>
      </c>
      <c r="L180" s="714" t="str">
        <f t="shared" si="200"/>
        <v>D+</v>
      </c>
      <c r="M180" s="888" t="str">
        <f t="shared" si="201"/>
        <v>0</v>
      </c>
      <c r="N180" s="630"/>
      <c r="O180" s="631"/>
      <c r="P180" s="631"/>
      <c r="Q180" s="631"/>
      <c r="R180" s="631"/>
      <c r="S180" s="631"/>
      <c r="T180" s="631"/>
      <c r="U180" s="631"/>
      <c r="V180" s="631"/>
      <c r="W180" s="631"/>
      <c r="X180" s="1257"/>
      <c r="Y180" s="1258"/>
    </row>
    <row r="181" spans="1:25" ht="24.95" customHeight="1" x14ac:dyDescent="0.25">
      <c r="A181" s="360">
        <v>30</v>
      </c>
      <c r="B181" s="683">
        <v>30</v>
      </c>
      <c r="C181" s="633" t="e">
        <f>VLOOKUP(A181,data_siswa,4,FALSE)</f>
        <v>#N/A</v>
      </c>
      <c r="D181" s="1893" t="s">
        <v>12</v>
      </c>
      <c r="E181" s="1891">
        <f>VLOOKUP(A181,UHT_BI,32,FALSE)</f>
        <v>0</v>
      </c>
      <c r="F181" s="1904">
        <f>E181*2</f>
        <v>0</v>
      </c>
      <c r="G181" s="1891"/>
      <c r="H181" s="627">
        <f>VLOOKUP(B181,REKAP_NILAI,9,FALSE)</f>
        <v>0</v>
      </c>
      <c r="I181" s="706">
        <f>F181+G181+H181</f>
        <v>0</v>
      </c>
      <c r="J181" s="707">
        <f>(F181+G181+H181)/4</f>
        <v>0</v>
      </c>
      <c r="K181" s="708" t="str">
        <f>IF(J181&gt;85,("4"),IF(J181&gt;80,("3.66"),IF(J181&gt;75,("3.33"),IF(J181&gt;70,("3.00"),IF(J181&gt;65,("2.66"),IF(J181&gt;60,("2.33"),IF(J181&gt;55,("2"),IF(J181&gt;50,("1.66"),"1.33"))))))))</f>
        <v>1.33</v>
      </c>
      <c r="L181" s="708" t="str">
        <f>IF(J181&gt;85,("A"),IF(J181&gt;80,("A-"),IF(J181&gt;75,("B+"),IF(J181&gt;70,("B"),IF(J181&gt;65,("B-"),IF(J181&gt;60,("C+"),IF(J181&gt;55,("C"),IF(J181&gt;50,("C-"),"D+"))))))))</f>
        <v>D+</v>
      </c>
      <c r="M181" s="708" t="str">
        <f>IF(J181&gt;80,("SB"),IF(J181&gt;65,("B"),IF(J181&gt;50,("C"),IF(J181&gt;0,("K"),"0"))))</f>
        <v>0</v>
      </c>
      <c r="N181" s="617"/>
      <c r="O181" s="1889"/>
      <c r="P181" s="1889"/>
      <c r="Q181" s="1889"/>
      <c r="R181" s="1889"/>
      <c r="S181" s="619"/>
      <c r="T181" s="619"/>
      <c r="U181" s="619"/>
      <c r="V181" s="619"/>
      <c r="W181" s="623"/>
      <c r="X181" s="1057">
        <f t="shared" ref="X181" si="202">J186</f>
        <v>0</v>
      </c>
      <c r="Y181" s="1194" t="str">
        <f>IF(X181&gt;85,("A"),IF(X181&gt;80,("A-"),IF(X181&gt;75,("B+"),IF(X181&gt;70,("B"),IF(X181&gt;65,("B-"),IF(X181&gt;60,("C+"),IF(X181&gt;55,("C"),IF(X181&gt;50,("C-"),"D+"))))))))</f>
        <v>D+</v>
      </c>
    </row>
    <row r="182" spans="1:25" ht="24.95" customHeight="1" x14ac:dyDescent="0.25">
      <c r="A182" s="360"/>
      <c r="B182" s="683">
        <v>30</v>
      </c>
      <c r="C182" s="634"/>
      <c r="D182" s="1799" t="s">
        <v>7</v>
      </c>
      <c r="E182" s="1891">
        <f>VLOOKUP(A181,UHT_BI,33,FALSE)</f>
        <v>0</v>
      </c>
      <c r="F182" s="1905">
        <f t="shared" ref="F182:F185" si="203">E182*2</f>
        <v>0</v>
      </c>
      <c r="G182" s="362"/>
      <c r="H182" s="627">
        <f>VLOOKUP(B181,REKAP_NILAI,10,FALSE)</f>
        <v>0</v>
      </c>
      <c r="I182" s="709">
        <f t="shared" ref="I182:I185" si="204">F182+G182+H182</f>
        <v>0</v>
      </c>
      <c r="J182" s="710">
        <f t="shared" ref="J182:J185" si="205">(F182+G182+H182)/4</f>
        <v>0</v>
      </c>
      <c r="K182" s="711" t="str">
        <f t="shared" ref="K182:K186" si="206">IF(J182&gt;85,("4"),IF(J182&gt;80,("3.66"),IF(J182&gt;75,("3.33"),IF(J182&gt;70,("3.00"),IF(J182&gt;65,("2.66"),IF(J182&gt;60,("2.33"),IF(J182&gt;55,("2"),IF(J182&gt;50,("1.66"),"1.33"))))))))</f>
        <v>1.33</v>
      </c>
      <c r="L182" s="711" t="str">
        <f t="shared" ref="L182:L186" si="207">IF(J182&gt;85,("A"),IF(J182&gt;80,("A-"),IF(J182&gt;75,("B+"),IF(J182&gt;70,("B"),IF(J182&gt;65,("B-"),IF(J182&gt;60,("C+"),IF(J182&gt;55,("C"),IF(J182&gt;50,("C-"),"D+"))))))))</f>
        <v>D+</v>
      </c>
      <c r="M182" s="712" t="str">
        <f t="shared" ref="M182:M186" si="208">IF(J182&gt;80,("SB"),IF(J182&gt;65,("B"),IF(J182&gt;50,("C"),IF(J182&gt;0,("K"),"0"))))</f>
        <v>0</v>
      </c>
      <c r="N182" s="620"/>
      <c r="O182" s="621"/>
      <c r="P182" s="621"/>
      <c r="Q182" s="621"/>
      <c r="R182" s="621"/>
      <c r="S182" s="622"/>
      <c r="T182" s="622"/>
      <c r="U182" s="622"/>
      <c r="V182" s="622"/>
      <c r="W182" s="622"/>
      <c r="X182" s="1251"/>
      <c r="Y182" s="1252"/>
    </row>
    <row r="183" spans="1:25" ht="24.95" customHeight="1" x14ac:dyDescent="0.25">
      <c r="A183" s="360"/>
      <c r="B183" s="683">
        <v>30</v>
      </c>
      <c r="C183" s="634"/>
      <c r="D183" s="1893" t="s">
        <v>10</v>
      </c>
      <c r="E183" s="1891">
        <f>VLOOKUP(A181,UHT_BI,34,FALSE)</f>
        <v>0</v>
      </c>
      <c r="F183" s="1905">
        <f t="shared" si="203"/>
        <v>0</v>
      </c>
      <c r="G183" s="362"/>
      <c r="H183" s="627">
        <f>VLOOKUP(A181,REKAP_NILAI,11,FALSE)</f>
        <v>0</v>
      </c>
      <c r="I183" s="709">
        <f t="shared" si="204"/>
        <v>0</v>
      </c>
      <c r="J183" s="710">
        <f t="shared" si="205"/>
        <v>0</v>
      </c>
      <c r="K183" s="711" t="str">
        <f t="shared" si="206"/>
        <v>1.33</v>
      </c>
      <c r="L183" s="711" t="str">
        <f t="shared" si="207"/>
        <v>D+</v>
      </c>
      <c r="M183" s="712" t="str">
        <f t="shared" si="208"/>
        <v>0</v>
      </c>
      <c r="N183" s="623"/>
      <c r="O183" s="613"/>
      <c r="P183" s="613"/>
      <c r="Q183" s="613"/>
      <c r="R183" s="613"/>
      <c r="S183" s="615"/>
      <c r="T183" s="615"/>
      <c r="U183" s="615"/>
      <c r="V183" s="615"/>
      <c r="W183" s="615"/>
      <c r="X183" s="1253"/>
      <c r="Y183" s="1254"/>
    </row>
    <row r="184" spans="1:25" ht="24.95" customHeight="1" x14ac:dyDescent="0.25">
      <c r="A184" s="360"/>
      <c r="B184" s="683">
        <v>30</v>
      </c>
      <c r="C184" s="634"/>
      <c r="D184" s="1799" t="s">
        <v>8</v>
      </c>
      <c r="E184" s="1891">
        <f>VLOOKUP(A181,UHT_BI,35,FALSE)</f>
        <v>0</v>
      </c>
      <c r="F184" s="1905">
        <f t="shared" si="203"/>
        <v>0</v>
      </c>
      <c r="G184" s="362"/>
      <c r="H184" s="627">
        <f>VLOOKUP(A181,REKAP_NILAI,12,FALSE)</f>
        <v>0</v>
      </c>
      <c r="I184" s="709">
        <f t="shared" si="204"/>
        <v>0</v>
      </c>
      <c r="J184" s="710">
        <f t="shared" si="205"/>
        <v>0</v>
      </c>
      <c r="K184" s="711" t="str">
        <f t="shared" si="206"/>
        <v>1.33</v>
      </c>
      <c r="L184" s="711" t="str">
        <f t="shared" si="207"/>
        <v>D+</v>
      </c>
      <c r="M184" s="712" t="str">
        <f t="shared" si="208"/>
        <v>0</v>
      </c>
      <c r="N184" s="623"/>
      <c r="O184" s="613"/>
      <c r="P184" s="613"/>
      <c r="Q184" s="613"/>
      <c r="R184" s="613"/>
      <c r="S184" s="615"/>
      <c r="T184" s="615"/>
      <c r="U184" s="615"/>
      <c r="V184" s="615"/>
      <c r="W184" s="615"/>
      <c r="X184" s="1253"/>
      <c r="Y184" s="1254"/>
    </row>
    <row r="185" spans="1:25" ht="24.95" customHeight="1" x14ac:dyDescent="0.25">
      <c r="A185" s="360"/>
      <c r="B185" s="683">
        <v>30</v>
      </c>
      <c r="C185" s="634"/>
      <c r="D185" s="1893" t="s">
        <v>18</v>
      </c>
      <c r="E185" s="1891">
        <f>-VLOOKUP(A181,UHT_BI,36,FALSE)</f>
        <v>0</v>
      </c>
      <c r="F185" s="1905">
        <f t="shared" si="203"/>
        <v>0</v>
      </c>
      <c r="G185" s="362"/>
      <c r="H185" s="627">
        <f>VLOOKUP(A181,REKAP_NILAI,13,FALSE)</f>
        <v>0</v>
      </c>
      <c r="I185" s="709">
        <f t="shared" si="204"/>
        <v>0</v>
      </c>
      <c r="J185" s="710">
        <f t="shared" si="205"/>
        <v>0</v>
      </c>
      <c r="K185" s="711" t="str">
        <f t="shared" si="206"/>
        <v>1.33</v>
      </c>
      <c r="L185" s="711" t="str">
        <f t="shared" si="207"/>
        <v>D+</v>
      </c>
      <c r="M185" s="712" t="str">
        <f t="shared" si="208"/>
        <v>0</v>
      </c>
      <c r="N185" s="624"/>
      <c r="O185" s="614"/>
      <c r="P185" s="614"/>
      <c r="Q185" s="614"/>
      <c r="R185" s="614"/>
      <c r="S185" s="616"/>
      <c r="T185" s="616"/>
      <c r="U185" s="616"/>
      <c r="V185" s="616"/>
      <c r="W185" s="616"/>
      <c r="X185" s="1255"/>
      <c r="Y185" s="1256"/>
    </row>
    <row r="186" spans="1:25" ht="24.95" customHeight="1" x14ac:dyDescent="0.25">
      <c r="A186" s="363"/>
      <c r="B186" s="698"/>
      <c r="C186" s="635" t="s">
        <v>464</v>
      </c>
      <c r="D186" s="629">
        <v>30</v>
      </c>
      <c r="E186" s="363"/>
      <c r="F186" s="1907"/>
      <c r="G186" s="363"/>
      <c r="H186" s="1189">
        <f>AVERAGE(H181:H185)</f>
        <v>0</v>
      </c>
      <c r="I186" s="1250"/>
      <c r="J186" s="713">
        <f>AVERAGE(J181:J185)</f>
        <v>0</v>
      </c>
      <c r="K186" s="714" t="str">
        <f t="shared" si="206"/>
        <v>1.33</v>
      </c>
      <c r="L186" s="714" t="str">
        <f t="shared" si="207"/>
        <v>D+</v>
      </c>
      <c r="M186" s="888" t="str">
        <f t="shared" si="208"/>
        <v>0</v>
      </c>
      <c r="N186" s="630"/>
      <c r="O186" s="631"/>
      <c r="P186" s="631"/>
      <c r="Q186" s="631"/>
      <c r="R186" s="631"/>
      <c r="S186" s="631"/>
      <c r="T186" s="631"/>
      <c r="U186" s="631"/>
      <c r="V186" s="631"/>
      <c r="W186" s="631"/>
      <c r="X186" s="1257"/>
      <c r="Y186" s="1258"/>
    </row>
    <row r="187" spans="1:25" ht="24.95" customHeight="1" x14ac:dyDescent="0.25">
      <c r="A187" s="360">
        <v>31</v>
      </c>
      <c r="B187" s="683">
        <v>21</v>
      </c>
      <c r="C187" s="633" t="e">
        <f>VLOOKUP(A187,data_siswa,4,FALSE)</f>
        <v>#N/A</v>
      </c>
      <c r="D187" s="1893" t="s">
        <v>12</v>
      </c>
      <c r="E187" s="1891">
        <f>VLOOKUP(A187,UHT_BI,32,FALSE)</f>
        <v>0</v>
      </c>
      <c r="F187" s="1904">
        <f>E187*2</f>
        <v>0</v>
      </c>
      <c r="G187" s="1891"/>
      <c r="H187" s="627">
        <f>VLOOKUP(B187,REKAP_NILAI,9,FALSE)</f>
        <v>0</v>
      </c>
      <c r="I187" s="706">
        <f>F187+G187+H187</f>
        <v>0</v>
      </c>
      <c r="J187" s="707">
        <f>(F187+G187+H187)/4</f>
        <v>0</v>
      </c>
      <c r="K187" s="708" t="str">
        <f>IF(J187&gt;85,("4"),IF(J187&gt;80,("3.66"),IF(J187&gt;75,("3.33"),IF(J187&gt;70,("3.00"),IF(J187&gt;65,("2.66"),IF(J187&gt;60,("2.33"),IF(J187&gt;55,("2"),IF(J187&gt;50,("1.66"),"1.33"))))))))</f>
        <v>1.33</v>
      </c>
      <c r="L187" s="708" t="str">
        <f>IF(J187&gt;85,("A"),IF(J187&gt;80,("A-"),IF(J187&gt;75,("B+"),IF(J187&gt;70,("B"),IF(J187&gt;65,("B-"),IF(J187&gt;60,("C+"),IF(J187&gt;55,("C"),IF(J187&gt;50,("C-"),"D+"))))))))</f>
        <v>D+</v>
      </c>
      <c r="M187" s="708" t="str">
        <f>IF(J187&gt;80,("SB"),IF(J187&gt;65,("B"),IF(J187&gt;50,("C"),IF(J187&gt;0,("K"),"0"))))</f>
        <v>0</v>
      </c>
      <c r="N187" s="617"/>
      <c r="O187" s="1889"/>
      <c r="P187" s="1889"/>
      <c r="Q187" s="1889"/>
      <c r="R187" s="1889"/>
      <c r="S187" s="619"/>
      <c r="T187" s="619"/>
      <c r="U187" s="619"/>
      <c r="V187" s="619"/>
      <c r="W187" s="623"/>
      <c r="X187" s="1057">
        <f t="shared" ref="X187" si="209">J192</f>
        <v>0</v>
      </c>
      <c r="Y187" s="1194" t="str">
        <f>IF(X187&gt;85,("A"),IF(X187&gt;80,("A-"),IF(X187&gt;75,("B+"),IF(X187&gt;70,("B"),IF(X187&gt;65,("B-"),IF(X187&gt;60,("C+"),IF(X187&gt;55,("C"),IF(X187&gt;50,("C-"),"D+"))))))))</f>
        <v>D+</v>
      </c>
    </row>
    <row r="188" spans="1:25" ht="24.95" customHeight="1" x14ac:dyDescent="0.25">
      <c r="A188" s="360"/>
      <c r="B188" s="683">
        <v>21</v>
      </c>
      <c r="C188" s="634"/>
      <c r="D188" s="1799" t="s">
        <v>7</v>
      </c>
      <c r="E188" s="1891">
        <f>VLOOKUP(A187,UHT_BI,33,FALSE)</f>
        <v>0</v>
      </c>
      <c r="F188" s="1905">
        <f t="shared" ref="F188:F191" si="210">E188*2</f>
        <v>0</v>
      </c>
      <c r="G188" s="362"/>
      <c r="H188" s="627">
        <f>VLOOKUP(B187,REKAP_NILAI,10,FALSE)</f>
        <v>0</v>
      </c>
      <c r="I188" s="709">
        <f t="shared" ref="I188:I191" si="211">F188+G188+H188</f>
        <v>0</v>
      </c>
      <c r="J188" s="710">
        <f t="shared" ref="J188:J191" si="212">(F188+G188+H188)/4</f>
        <v>0</v>
      </c>
      <c r="K188" s="711" t="str">
        <f t="shared" ref="K188:K192" si="213">IF(J188&gt;85,("4"),IF(J188&gt;80,("3.66"),IF(J188&gt;75,("3.33"),IF(J188&gt;70,("3.00"),IF(J188&gt;65,("2.66"),IF(J188&gt;60,("2.33"),IF(J188&gt;55,("2"),IF(J188&gt;50,("1.66"),"1.33"))))))))</f>
        <v>1.33</v>
      </c>
      <c r="L188" s="711" t="str">
        <f t="shared" ref="L188:L192" si="214">IF(J188&gt;85,("A"),IF(J188&gt;80,("A-"),IF(J188&gt;75,("B+"),IF(J188&gt;70,("B"),IF(J188&gt;65,("B-"),IF(J188&gt;60,("C+"),IF(J188&gt;55,("C"),IF(J188&gt;50,("C-"),"D+"))))))))</f>
        <v>D+</v>
      </c>
      <c r="M188" s="712" t="str">
        <f t="shared" ref="M188:M192" si="215">IF(J188&gt;80,("SB"),IF(J188&gt;65,("B"),IF(J188&gt;50,("C"),IF(J188&gt;0,("K"),"0"))))</f>
        <v>0</v>
      </c>
      <c r="N188" s="620"/>
      <c r="O188" s="621"/>
      <c r="P188" s="621"/>
      <c r="Q188" s="621"/>
      <c r="R188" s="621"/>
      <c r="S188" s="622"/>
      <c r="T188" s="622"/>
      <c r="U188" s="622"/>
      <c r="V188" s="622"/>
      <c r="W188" s="622"/>
      <c r="X188" s="1251"/>
      <c r="Y188" s="1252"/>
    </row>
    <row r="189" spans="1:25" ht="24.95" customHeight="1" x14ac:dyDescent="0.25">
      <c r="A189" s="360"/>
      <c r="B189" s="683">
        <v>21</v>
      </c>
      <c r="C189" s="634"/>
      <c r="D189" s="1893" t="s">
        <v>10</v>
      </c>
      <c r="E189" s="1891">
        <f>VLOOKUP(A187,UHT_BI,34,FALSE)</f>
        <v>0</v>
      </c>
      <c r="F189" s="1905">
        <f t="shared" si="210"/>
        <v>0</v>
      </c>
      <c r="G189" s="362"/>
      <c r="H189" s="627">
        <f>VLOOKUP(A187,REKAP_NILAI,11,FALSE)</f>
        <v>0</v>
      </c>
      <c r="I189" s="709">
        <f t="shared" si="211"/>
        <v>0</v>
      </c>
      <c r="J189" s="710">
        <f t="shared" si="212"/>
        <v>0</v>
      </c>
      <c r="K189" s="711" t="str">
        <f t="shared" si="213"/>
        <v>1.33</v>
      </c>
      <c r="L189" s="711" t="str">
        <f t="shared" si="214"/>
        <v>D+</v>
      </c>
      <c r="M189" s="712" t="str">
        <f t="shared" si="215"/>
        <v>0</v>
      </c>
      <c r="N189" s="623"/>
      <c r="O189" s="613"/>
      <c r="P189" s="613"/>
      <c r="Q189" s="613"/>
      <c r="R189" s="613"/>
      <c r="S189" s="615"/>
      <c r="T189" s="615"/>
      <c r="U189" s="615"/>
      <c r="V189" s="615"/>
      <c r="W189" s="615"/>
      <c r="X189" s="1253"/>
      <c r="Y189" s="1254"/>
    </row>
    <row r="190" spans="1:25" ht="24.95" customHeight="1" x14ac:dyDescent="0.25">
      <c r="A190" s="360"/>
      <c r="B190" s="683">
        <v>21</v>
      </c>
      <c r="C190" s="634"/>
      <c r="D190" s="1799" t="s">
        <v>8</v>
      </c>
      <c r="E190" s="1891">
        <f>VLOOKUP(A187,UHT_BI,35,FALSE)</f>
        <v>0</v>
      </c>
      <c r="F190" s="1905">
        <f t="shared" si="210"/>
        <v>0</v>
      </c>
      <c r="G190" s="362"/>
      <c r="H190" s="627">
        <f>VLOOKUP(A187,REKAP_NILAI,12,FALSE)</f>
        <v>0</v>
      </c>
      <c r="I190" s="709">
        <f t="shared" si="211"/>
        <v>0</v>
      </c>
      <c r="J190" s="710">
        <f t="shared" si="212"/>
        <v>0</v>
      </c>
      <c r="K190" s="711" t="str">
        <f t="shared" si="213"/>
        <v>1.33</v>
      </c>
      <c r="L190" s="711" t="str">
        <f t="shared" si="214"/>
        <v>D+</v>
      </c>
      <c r="M190" s="712" t="str">
        <f t="shared" si="215"/>
        <v>0</v>
      </c>
      <c r="N190" s="623"/>
      <c r="O190" s="613"/>
      <c r="P190" s="613"/>
      <c r="Q190" s="613"/>
      <c r="R190" s="613"/>
      <c r="S190" s="615"/>
      <c r="T190" s="615"/>
      <c r="U190" s="615"/>
      <c r="V190" s="615"/>
      <c r="W190" s="615"/>
      <c r="X190" s="1253"/>
      <c r="Y190" s="1254"/>
    </row>
    <row r="191" spans="1:25" ht="24.95" customHeight="1" x14ac:dyDescent="0.25">
      <c r="A191" s="360"/>
      <c r="B191" s="683">
        <v>21</v>
      </c>
      <c r="C191" s="634"/>
      <c r="D191" s="1893" t="s">
        <v>18</v>
      </c>
      <c r="E191" s="1891">
        <f>-VLOOKUP(A187,UHT_BI,36,FALSE)</f>
        <v>0</v>
      </c>
      <c r="F191" s="1905">
        <f t="shared" si="210"/>
        <v>0</v>
      </c>
      <c r="G191" s="362"/>
      <c r="H191" s="627">
        <f>VLOOKUP(A187,REKAP_NILAI,13,FALSE)</f>
        <v>0</v>
      </c>
      <c r="I191" s="709">
        <f t="shared" si="211"/>
        <v>0</v>
      </c>
      <c r="J191" s="710">
        <f t="shared" si="212"/>
        <v>0</v>
      </c>
      <c r="K191" s="711" t="str">
        <f t="shared" si="213"/>
        <v>1.33</v>
      </c>
      <c r="L191" s="711" t="str">
        <f t="shared" si="214"/>
        <v>D+</v>
      </c>
      <c r="M191" s="712" t="str">
        <f t="shared" si="215"/>
        <v>0</v>
      </c>
      <c r="N191" s="624"/>
      <c r="O191" s="614"/>
      <c r="P191" s="614"/>
      <c r="Q191" s="614"/>
      <c r="R191" s="614"/>
      <c r="S191" s="616"/>
      <c r="T191" s="616"/>
      <c r="U191" s="616"/>
      <c r="V191" s="616"/>
      <c r="W191" s="616"/>
      <c r="X191" s="1255"/>
      <c r="Y191" s="1256"/>
    </row>
    <row r="192" spans="1:25" ht="24.95" customHeight="1" x14ac:dyDescent="0.25">
      <c r="A192" s="363"/>
      <c r="B192" s="698"/>
      <c r="C192" s="635" t="s">
        <v>464</v>
      </c>
      <c r="D192" s="629">
        <v>31</v>
      </c>
      <c r="E192" s="363"/>
      <c r="F192" s="1907"/>
      <c r="G192" s="363"/>
      <c r="H192" s="1189">
        <f>AVERAGE(H187:H191)</f>
        <v>0</v>
      </c>
      <c r="I192" s="1250"/>
      <c r="J192" s="713">
        <f>AVERAGE(J187:J191)</f>
        <v>0</v>
      </c>
      <c r="K192" s="714" t="str">
        <f t="shared" si="213"/>
        <v>1.33</v>
      </c>
      <c r="L192" s="714" t="str">
        <f t="shared" si="214"/>
        <v>D+</v>
      </c>
      <c r="M192" s="888" t="str">
        <f t="shared" si="215"/>
        <v>0</v>
      </c>
      <c r="N192" s="630"/>
      <c r="O192" s="631"/>
      <c r="P192" s="631"/>
      <c r="Q192" s="631"/>
      <c r="R192" s="631"/>
      <c r="S192" s="631"/>
      <c r="T192" s="631"/>
      <c r="U192" s="631"/>
      <c r="V192" s="631"/>
      <c r="W192" s="631"/>
      <c r="X192" s="1257"/>
      <c r="Y192" s="1258"/>
    </row>
    <row r="193" spans="1:25" ht="24.95" customHeight="1" x14ac:dyDescent="0.25">
      <c r="A193" s="360">
        <v>32</v>
      </c>
      <c r="B193" s="683">
        <v>22</v>
      </c>
      <c r="C193" s="633" t="e">
        <f>VLOOKUP(A193,data_siswa,4,FALSE)</f>
        <v>#N/A</v>
      </c>
      <c r="D193" s="1893" t="s">
        <v>12</v>
      </c>
      <c r="E193" s="1891">
        <f>VLOOKUP(A193,UHT_BI,32,FALSE)</f>
        <v>0</v>
      </c>
      <c r="F193" s="1904">
        <f>E193*2</f>
        <v>0</v>
      </c>
      <c r="G193" s="1891"/>
      <c r="H193" s="627">
        <f>VLOOKUP(B193,REKAP_NILAI,9,FALSE)</f>
        <v>0</v>
      </c>
      <c r="I193" s="706">
        <f>F193+G193+H193</f>
        <v>0</v>
      </c>
      <c r="J193" s="707">
        <f>(F193+G193+H193)/4</f>
        <v>0</v>
      </c>
      <c r="K193" s="708" t="str">
        <f>IF(J193&gt;85,("4"),IF(J193&gt;80,("3.66"),IF(J193&gt;75,("3.33"),IF(J193&gt;70,("3.00"),IF(J193&gt;65,("2.66"),IF(J193&gt;60,("2.33"),IF(J193&gt;55,("2"),IF(J193&gt;50,("1.66"),"1.33"))))))))</f>
        <v>1.33</v>
      </c>
      <c r="L193" s="708" t="str">
        <f>IF(J193&gt;85,("A"),IF(J193&gt;80,("A-"),IF(J193&gt;75,("B+"),IF(J193&gt;70,("B"),IF(J193&gt;65,("B-"),IF(J193&gt;60,("C+"),IF(J193&gt;55,("C"),IF(J193&gt;50,("C-"),"D+"))))))))</f>
        <v>D+</v>
      </c>
      <c r="M193" s="708" t="str">
        <f>IF(J193&gt;80,("SB"),IF(J193&gt;65,("B"),IF(J193&gt;50,("C"),IF(J193&gt;0,("K"),"0"))))</f>
        <v>0</v>
      </c>
      <c r="N193" s="617"/>
      <c r="O193" s="1889"/>
      <c r="P193" s="1889"/>
      <c r="Q193" s="1889"/>
      <c r="R193" s="1889"/>
      <c r="S193" s="619"/>
      <c r="T193" s="619"/>
      <c r="U193" s="619"/>
      <c r="V193" s="619"/>
      <c r="W193" s="623"/>
      <c r="X193" s="1057">
        <f t="shared" ref="X193" si="216">J198</f>
        <v>0</v>
      </c>
      <c r="Y193" s="1194" t="str">
        <f>IF(X193&gt;85,("A"),IF(X193&gt;80,("A-"),IF(X193&gt;75,("B+"),IF(X193&gt;70,("B"),IF(X193&gt;65,("B-"),IF(X193&gt;60,("C+"),IF(X193&gt;55,("C"),IF(X193&gt;50,("C-"),"D+"))))))))</f>
        <v>D+</v>
      </c>
    </row>
    <row r="194" spans="1:25" ht="24.95" customHeight="1" x14ac:dyDescent="0.25">
      <c r="A194" s="360"/>
      <c r="B194" s="683">
        <v>22</v>
      </c>
      <c r="C194" s="634"/>
      <c r="D194" s="1799" t="s">
        <v>7</v>
      </c>
      <c r="E194" s="1891">
        <f>VLOOKUP(A193,UHT_BI,33,FALSE)</f>
        <v>0</v>
      </c>
      <c r="F194" s="1905">
        <f t="shared" ref="F194:F197" si="217">E194*2</f>
        <v>0</v>
      </c>
      <c r="G194" s="362"/>
      <c r="H194" s="627">
        <f>VLOOKUP(B193,REKAP_NILAI,10,FALSE)</f>
        <v>0</v>
      </c>
      <c r="I194" s="709">
        <f t="shared" ref="I194:I197" si="218">F194+G194+H194</f>
        <v>0</v>
      </c>
      <c r="J194" s="710">
        <f t="shared" ref="J194:J197" si="219">(F194+G194+H194)/4</f>
        <v>0</v>
      </c>
      <c r="K194" s="711" t="str">
        <f t="shared" ref="K194:K198" si="220">IF(J194&gt;85,("4"),IF(J194&gt;80,("3.66"),IF(J194&gt;75,("3.33"),IF(J194&gt;70,("3.00"),IF(J194&gt;65,("2.66"),IF(J194&gt;60,("2.33"),IF(J194&gt;55,("2"),IF(J194&gt;50,("1.66"),"1.33"))))))))</f>
        <v>1.33</v>
      </c>
      <c r="L194" s="711" t="str">
        <f t="shared" ref="L194:L198" si="221">IF(J194&gt;85,("A"),IF(J194&gt;80,("A-"),IF(J194&gt;75,("B+"),IF(J194&gt;70,("B"),IF(J194&gt;65,("B-"),IF(J194&gt;60,("C+"),IF(J194&gt;55,("C"),IF(J194&gt;50,("C-"),"D+"))))))))</f>
        <v>D+</v>
      </c>
      <c r="M194" s="712" t="str">
        <f t="shared" ref="M194:M198" si="222">IF(J194&gt;80,("SB"),IF(J194&gt;65,("B"),IF(J194&gt;50,("C"),IF(J194&gt;0,("K"),"0"))))</f>
        <v>0</v>
      </c>
      <c r="N194" s="620"/>
      <c r="O194" s="621"/>
      <c r="P194" s="621"/>
      <c r="Q194" s="621"/>
      <c r="R194" s="621"/>
      <c r="S194" s="622"/>
      <c r="T194" s="622"/>
      <c r="U194" s="622"/>
      <c r="V194" s="622"/>
      <c r="W194" s="622"/>
      <c r="X194" s="1251"/>
      <c r="Y194" s="1252"/>
    </row>
    <row r="195" spans="1:25" ht="24.95" customHeight="1" x14ac:dyDescent="0.25">
      <c r="A195" s="360"/>
      <c r="B195" s="683">
        <v>22</v>
      </c>
      <c r="C195" s="634"/>
      <c r="D195" s="1893" t="s">
        <v>10</v>
      </c>
      <c r="E195" s="1891">
        <f>VLOOKUP(A193,UHT_BI,34,FALSE)</f>
        <v>0</v>
      </c>
      <c r="F195" s="1905">
        <f t="shared" si="217"/>
        <v>0</v>
      </c>
      <c r="G195" s="362"/>
      <c r="H195" s="627">
        <f>VLOOKUP(A193,REKAP_NILAI,11,FALSE)</f>
        <v>0</v>
      </c>
      <c r="I195" s="709">
        <f t="shared" si="218"/>
        <v>0</v>
      </c>
      <c r="J195" s="710">
        <f t="shared" si="219"/>
        <v>0</v>
      </c>
      <c r="K195" s="711" t="str">
        <f t="shared" si="220"/>
        <v>1.33</v>
      </c>
      <c r="L195" s="711" t="str">
        <f t="shared" si="221"/>
        <v>D+</v>
      </c>
      <c r="M195" s="712" t="str">
        <f t="shared" si="222"/>
        <v>0</v>
      </c>
      <c r="N195" s="623"/>
      <c r="O195" s="613"/>
      <c r="P195" s="613"/>
      <c r="Q195" s="613"/>
      <c r="R195" s="613"/>
      <c r="S195" s="615"/>
      <c r="T195" s="615"/>
      <c r="U195" s="615"/>
      <c r="V195" s="615"/>
      <c r="W195" s="615"/>
      <c r="X195" s="1253"/>
      <c r="Y195" s="1254"/>
    </row>
    <row r="196" spans="1:25" ht="24.95" customHeight="1" x14ac:dyDescent="0.25">
      <c r="A196" s="360"/>
      <c r="B196" s="683">
        <v>22</v>
      </c>
      <c r="C196" s="634"/>
      <c r="D196" s="1799" t="s">
        <v>8</v>
      </c>
      <c r="E196" s="1891">
        <f>VLOOKUP(A193,UHT_BI,35,FALSE)</f>
        <v>0</v>
      </c>
      <c r="F196" s="1905">
        <f t="shared" si="217"/>
        <v>0</v>
      </c>
      <c r="G196" s="362"/>
      <c r="H196" s="627">
        <f>VLOOKUP(A193,REKAP_NILAI,12,FALSE)</f>
        <v>0</v>
      </c>
      <c r="I196" s="709">
        <f t="shared" si="218"/>
        <v>0</v>
      </c>
      <c r="J196" s="710">
        <f t="shared" si="219"/>
        <v>0</v>
      </c>
      <c r="K196" s="711" t="str">
        <f t="shared" si="220"/>
        <v>1.33</v>
      </c>
      <c r="L196" s="711" t="str">
        <f t="shared" si="221"/>
        <v>D+</v>
      </c>
      <c r="M196" s="712" t="str">
        <f t="shared" si="222"/>
        <v>0</v>
      </c>
      <c r="N196" s="623"/>
      <c r="O196" s="613"/>
      <c r="P196" s="613"/>
      <c r="Q196" s="613"/>
      <c r="R196" s="613"/>
      <c r="S196" s="615"/>
      <c r="T196" s="615"/>
      <c r="U196" s="615"/>
      <c r="V196" s="615"/>
      <c r="W196" s="615"/>
      <c r="X196" s="1253"/>
      <c r="Y196" s="1254"/>
    </row>
    <row r="197" spans="1:25" ht="24.95" customHeight="1" x14ac:dyDescent="0.25">
      <c r="A197" s="360"/>
      <c r="B197" s="683">
        <v>22</v>
      </c>
      <c r="C197" s="634"/>
      <c r="D197" s="1893" t="s">
        <v>18</v>
      </c>
      <c r="E197" s="1891">
        <f>-VLOOKUP(A193,UHT_BI,36,FALSE)</f>
        <v>0</v>
      </c>
      <c r="F197" s="1905">
        <f t="shared" si="217"/>
        <v>0</v>
      </c>
      <c r="G197" s="362"/>
      <c r="H197" s="627">
        <f>VLOOKUP(A193,REKAP_NILAI,13,FALSE)</f>
        <v>0</v>
      </c>
      <c r="I197" s="709">
        <f t="shared" si="218"/>
        <v>0</v>
      </c>
      <c r="J197" s="710">
        <f t="shared" si="219"/>
        <v>0</v>
      </c>
      <c r="K197" s="711" t="str">
        <f t="shared" si="220"/>
        <v>1.33</v>
      </c>
      <c r="L197" s="711" t="str">
        <f t="shared" si="221"/>
        <v>D+</v>
      </c>
      <c r="M197" s="712" t="str">
        <f t="shared" si="222"/>
        <v>0</v>
      </c>
      <c r="N197" s="624"/>
      <c r="O197" s="614"/>
      <c r="P197" s="614"/>
      <c r="Q197" s="614"/>
      <c r="R197" s="614"/>
      <c r="S197" s="616"/>
      <c r="T197" s="616"/>
      <c r="U197" s="616"/>
      <c r="V197" s="616"/>
      <c r="W197" s="616"/>
      <c r="X197" s="1255"/>
      <c r="Y197" s="1256"/>
    </row>
    <row r="198" spans="1:25" ht="24.95" customHeight="1" x14ac:dyDescent="0.25">
      <c r="A198" s="363"/>
      <c r="B198" s="698"/>
      <c r="C198" s="635" t="s">
        <v>464</v>
      </c>
      <c r="D198" s="629">
        <v>32</v>
      </c>
      <c r="E198" s="363"/>
      <c r="F198" s="1907"/>
      <c r="G198" s="363"/>
      <c r="H198" s="1189">
        <f>AVERAGE(H193:H197)</f>
        <v>0</v>
      </c>
      <c r="I198" s="1250"/>
      <c r="J198" s="713">
        <f>AVERAGE(J193:J197)</f>
        <v>0</v>
      </c>
      <c r="K198" s="714" t="str">
        <f t="shared" si="220"/>
        <v>1.33</v>
      </c>
      <c r="L198" s="714" t="str">
        <f t="shared" si="221"/>
        <v>D+</v>
      </c>
      <c r="M198" s="888" t="str">
        <f t="shared" si="222"/>
        <v>0</v>
      </c>
      <c r="N198" s="630"/>
      <c r="O198" s="631"/>
      <c r="P198" s="631"/>
      <c r="Q198" s="631"/>
      <c r="R198" s="631"/>
      <c r="S198" s="631"/>
      <c r="T198" s="631"/>
      <c r="U198" s="631"/>
      <c r="V198" s="631"/>
      <c r="W198" s="631"/>
      <c r="X198" s="1257"/>
      <c r="Y198" s="1258"/>
    </row>
    <row r="199" spans="1:25" ht="24.95" customHeight="1" x14ac:dyDescent="0.25">
      <c r="A199" s="360">
        <v>33</v>
      </c>
      <c r="B199" s="683">
        <v>23</v>
      </c>
      <c r="C199" s="633" t="e">
        <f>VLOOKUP(A199,data_siswa,4,FALSE)</f>
        <v>#N/A</v>
      </c>
      <c r="D199" s="1893" t="s">
        <v>12</v>
      </c>
      <c r="E199" s="1891">
        <f>VLOOKUP(A199,UHT_BI,32,FALSE)</f>
        <v>0</v>
      </c>
      <c r="F199" s="1904">
        <f>E199*2</f>
        <v>0</v>
      </c>
      <c r="G199" s="1891"/>
      <c r="H199" s="627">
        <f>VLOOKUP(B199,REKAP_NILAI,9,FALSE)</f>
        <v>0</v>
      </c>
      <c r="I199" s="706">
        <f>F199+G199+H199</f>
        <v>0</v>
      </c>
      <c r="J199" s="707">
        <f>(F199+G199+H199)/4</f>
        <v>0</v>
      </c>
      <c r="K199" s="708" t="str">
        <f>IF(J199&gt;85,("4"),IF(J199&gt;80,("3.66"),IF(J199&gt;75,("3.33"),IF(J199&gt;70,("3.00"),IF(J199&gt;65,("2.66"),IF(J199&gt;60,("2.33"),IF(J199&gt;55,("2"),IF(J199&gt;50,("1.66"),"1.33"))))))))</f>
        <v>1.33</v>
      </c>
      <c r="L199" s="708" t="str">
        <f>IF(J199&gt;85,("A"),IF(J199&gt;80,("A-"),IF(J199&gt;75,("B+"),IF(J199&gt;70,("B"),IF(J199&gt;65,("B-"),IF(J199&gt;60,("C+"),IF(J199&gt;55,("C"),IF(J199&gt;50,("C-"),"D+"))))))))</f>
        <v>D+</v>
      </c>
      <c r="M199" s="708" t="str">
        <f>IF(J199&gt;80,("SB"),IF(J199&gt;65,("B"),IF(J199&gt;50,("C"),IF(J199&gt;0,("K"),"0"))))</f>
        <v>0</v>
      </c>
      <c r="N199" s="617"/>
      <c r="O199" s="1889"/>
      <c r="P199" s="1889"/>
      <c r="Q199" s="1889"/>
      <c r="R199" s="1889"/>
      <c r="S199" s="619"/>
      <c r="T199" s="619"/>
      <c r="U199" s="619"/>
      <c r="V199" s="619"/>
      <c r="W199" s="623"/>
      <c r="X199" s="1057">
        <f t="shared" ref="X199" si="223">J204</f>
        <v>0</v>
      </c>
      <c r="Y199" s="1194" t="str">
        <f>IF(X199&gt;85,("A"),IF(X199&gt;80,("A-"),IF(X199&gt;75,("B+"),IF(X199&gt;70,("B"),IF(X199&gt;65,("B-"),IF(X199&gt;60,("C+"),IF(X199&gt;55,("C"),IF(X199&gt;50,("C-"),"D+"))))))))</f>
        <v>D+</v>
      </c>
    </row>
    <row r="200" spans="1:25" ht="24.95" customHeight="1" x14ac:dyDescent="0.25">
      <c r="A200" s="360"/>
      <c r="B200" s="683">
        <v>23</v>
      </c>
      <c r="C200" s="634"/>
      <c r="D200" s="1799" t="s">
        <v>7</v>
      </c>
      <c r="E200" s="1891">
        <f>VLOOKUP(A199,UHT_BI,33,FALSE)</f>
        <v>0</v>
      </c>
      <c r="F200" s="1905">
        <f t="shared" ref="F200:F203" si="224">E200*2</f>
        <v>0</v>
      </c>
      <c r="G200" s="362"/>
      <c r="H200" s="627">
        <f>VLOOKUP(B199,REKAP_NILAI,10,FALSE)</f>
        <v>0</v>
      </c>
      <c r="I200" s="709">
        <f t="shared" ref="I200:I203" si="225">F200+G200+H200</f>
        <v>0</v>
      </c>
      <c r="J200" s="710">
        <f t="shared" ref="J200:J203" si="226">(F200+G200+H200)/4</f>
        <v>0</v>
      </c>
      <c r="K200" s="711" t="str">
        <f t="shared" ref="K200:K204" si="227">IF(J200&gt;85,("4"),IF(J200&gt;80,("3.66"),IF(J200&gt;75,("3.33"),IF(J200&gt;70,("3.00"),IF(J200&gt;65,("2.66"),IF(J200&gt;60,("2.33"),IF(J200&gt;55,("2"),IF(J200&gt;50,("1.66"),"1.33"))))))))</f>
        <v>1.33</v>
      </c>
      <c r="L200" s="711" t="str">
        <f t="shared" ref="L200:L204" si="228">IF(J200&gt;85,("A"),IF(J200&gt;80,("A-"),IF(J200&gt;75,("B+"),IF(J200&gt;70,("B"),IF(J200&gt;65,("B-"),IF(J200&gt;60,("C+"),IF(J200&gt;55,("C"),IF(J200&gt;50,("C-"),"D+"))))))))</f>
        <v>D+</v>
      </c>
      <c r="M200" s="712" t="str">
        <f t="shared" ref="M200:M204" si="229">IF(J200&gt;80,("SB"),IF(J200&gt;65,("B"),IF(J200&gt;50,("C"),IF(J200&gt;0,("K"),"0"))))</f>
        <v>0</v>
      </c>
      <c r="N200" s="620"/>
      <c r="O200" s="621"/>
      <c r="P200" s="621"/>
      <c r="Q200" s="621"/>
      <c r="R200" s="621"/>
      <c r="S200" s="622"/>
      <c r="T200" s="622"/>
      <c r="U200" s="622"/>
      <c r="V200" s="622"/>
      <c r="W200" s="622"/>
      <c r="X200" s="1251"/>
      <c r="Y200" s="1252"/>
    </row>
    <row r="201" spans="1:25" ht="24.95" customHeight="1" x14ac:dyDescent="0.25">
      <c r="A201" s="360"/>
      <c r="B201" s="683">
        <v>23</v>
      </c>
      <c r="C201" s="634"/>
      <c r="D201" s="1893" t="s">
        <v>10</v>
      </c>
      <c r="E201" s="1891">
        <f>VLOOKUP(A199,UHT_BI,34,FALSE)</f>
        <v>0</v>
      </c>
      <c r="F201" s="1905">
        <f t="shared" si="224"/>
        <v>0</v>
      </c>
      <c r="G201" s="362"/>
      <c r="H201" s="627">
        <f>VLOOKUP(A199,REKAP_NILAI,11,FALSE)</f>
        <v>0</v>
      </c>
      <c r="I201" s="709">
        <f t="shared" si="225"/>
        <v>0</v>
      </c>
      <c r="J201" s="710">
        <f t="shared" si="226"/>
        <v>0</v>
      </c>
      <c r="K201" s="711" t="str">
        <f t="shared" si="227"/>
        <v>1.33</v>
      </c>
      <c r="L201" s="711" t="str">
        <f t="shared" si="228"/>
        <v>D+</v>
      </c>
      <c r="M201" s="712" t="str">
        <f t="shared" si="229"/>
        <v>0</v>
      </c>
      <c r="N201" s="623"/>
      <c r="O201" s="613"/>
      <c r="P201" s="613"/>
      <c r="Q201" s="613"/>
      <c r="R201" s="613"/>
      <c r="S201" s="615"/>
      <c r="T201" s="615"/>
      <c r="U201" s="615"/>
      <c r="V201" s="615"/>
      <c r="W201" s="615"/>
      <c r="X201" s="1253"/>
      <c r="Y201" s="1254"/>
    </row>
    <row r="202" spans="1:25" ht="24.95" customHeight="1" x14ac:dyDescent="0.25">
      <c r="A202" s="360"/>
      <c r="B202" s="683">
        <v>23</v>
      </c>
      <c r="C202" s="634"/>
      <c r="D202" s="1799" t="s">
        <v>8</v>
      </c>
      <c r="E202" s="1891">
        <f>VLOOKUP(A199,UHT_BI,35,FALSE)</f>
        <v>0</v>
      </c>
      <c r="F202" s="1905">
        <f t="shared" si="224"/>
        <v>0</v>
      </c>
      <c r="G202" s="362"/>
      <c r="H202" s="627">
        <f>VLOOKUP(A199,REKAP_NILAI,12,FALSE)</f>
        <v>0</v>
      </c>
      <c r="I202" s="709">
        <f t="shared" si="225"/>
        <v>0</v>
      </c>
      <c r="J202" s="710">
        <f t="shared" si="226"/>
        <v>0</v>
      </c>
      <c r="K202" s="711" t="str">
        <f t="shared" si="227"/>
        <v>1.33</v>
      </c>
      <c r="L202" s="711" t="str">
        <f t="shared" si="228"/>
        <v>D+</v>
      </c>
      <c r="M202" s="712" t="str">
        <f t="shared" si="229"/>
        <v>0</v>
      </c>
      <c r="N202" s="623"/>
      <c r="O202" s="613"/>
      <c r="P202" s="613"/>
      <c r="Q202" s="613"/>
      <c r="R202" s="613"/>
      <c r="S202" s="615"/>
      <c r="T202" s="615"/>
      <c r="U202" s="615"/>
      <c r="V202" s="615"/>
      <c r="W202" s="615"/>
      <c r="X202" s="1253"/>
      <c r="Y202" s="1254"/>
    </row>
    <row r="203" spans="1:25" ht="24.95" customHeight="1" x14ac:dyDescent="0.25">
      <c r="A203" s="360"/>
      <c r="B203" s="683">
        <v>23</v>
      </c>
      <c r="C203" s="634"/>
      <c r="D203" s="1893" t="s">
        <v>18</v>
      </c>
      <c r="E203" s="1891">
        <f>-VLOOKUP(A199,UHT_BI,36,FALSE)</f>
        <v>0</v>
      </c>
      <c r="F203" s="1905">
        <f t="shared" si="224"/>
        <v>0</v>
      </c>
      <c r="G203" s="362"/>
      <c r="H203" s="627">
        <f>VLOOKUP(A199,REKAP_NILAI,13,FALSE)</f>
        <v>0</v>
      </c>
      <c r="I203" s="709">
        <f t="shared" si="225"/>
        <v>0</v>
      </c>
      <c r="J203" s="710">
        <f t="shared" si="226"/>
        <v>0</v>
      </c>
      <c r="K203" s="711" t="str">
        <f t="shared" si="227"/>
        <v>1.33</v>
      </c>
      <c r="L203" s="711" t="str">
        <f t="shared" si="228"/>
        <v>D+</v>
      </c>
      <c r="M203" s="712" t="str">
        <f t="shared" si="229"/>
        <v>0</v>
      </c>
      <c r="N203" s="624"/>
      <c r="O203" s="614"/>
      <c r="P203" s="614"/>
      <c r="Q203" s="614"/>
      <c r="R203" s="614"/>
      <c r="S203" s="616"/>
      <c r="T203" s="616"/>
      <c r="U203" s="616"/>
      <c r="V203" s="616"/>
      <c r="W203" s="616"/>
      <c r="X203" s="1255"/>
      <c r="Y203" s="1256"/>
    </row>
    <row r="204" spans="1:25" ht="24.95" customHeight="1" x14ac:dyDescent="0.25">
      <c r="A204" s="363"/>
      <c r="B204" s="698"/>
      <c r="C204" s="635" t="s">
        <v>464</v>
      </c>
      <c r="D204" s="629">
        <v>33</v>
      </c>
      <c r="E204" s="363"/>
      <c r="F204" s="1907"/>
      <c r="G204" s="363"/>
      <c r="H204" s="1189">
        <f>AVERAGE(H199:H203)</f>
        <v>0</v>
      </c>
      <c r="I204" s="1250"/>
      <c r="J204" s="713">
        <f>AVERAGE(J199:J203)</f>
        <v>0</v>
      </c>
      <c r="K204" s="714" t="str">
        <f t="shared" si="227"/>
        <v>1.33</v>
      </c>
      <c r="L204" s="714" t="str">
        <f t="shared" si="228"/>
        <v>D+</v>
      </c>
      <c r="M204" s="888" t="str">
        <f t="shared" si="229"/>
        <v>0</v>
      </c>
      <c r="N204" s="630"/>
      <c r="O204" s="631"/>
      <c r="P204" s="631"/>
      <c r="Q204" s="631"/>
      <c r="R204" s="631"/>
      <c r="S204" s="631"/>
      <c r="T204" s="631"/>
      <c r="U204" s="631"/>
      <c r="V204" s="631"/>
      <c r="W204" s="631"/>
      <c r="X204" s="1257"/>
      <c r="Y204" s="1258"/>
    </row>
    <row r="205" spans="1:25" ht="24.95" customHeight="1" x14ac:dyDescent="0.25">
      <c r="A205" s="360">
        <v>34</v>
      </c>
      <c r="B205" s="683">
        <v>24</v>
      </c>
      <c r="C205" s="633" t="e">
        <f>VLOOKUP(A205,data_siswa,4,FALSE)</f>
        <v>#N/A</v>
      </c>
      <c r="D205" s="1893" t="s">
        <v>12</v>
      </c>
      <c r="E205" s="1891">
        <f>VLOOKUP(A205,UHT_BI,32,FALSE)</f>
        <v>0</v>
      </c>
      <c r="F205" s="1904">
        <f>E205*2</f>
        <v>0</v>
      </c>
      <c r="G205" s="1891"/>
      <c r="H205" s="627">
        <f>VLOOKUP(B205,REKAP_NILAI,9,FALSE)</f>
        <v>0</v>
      </c>
      <c r="I205" s="706">
        <f>F205+G205+H205</f>
        <v>0</v>
      </c>
      <c r="J205" s="707">
        <f>(F205+G205+H205)/4</f>
        <v>0</v>
      </c>
      <c r="K205" s="708" t="str">
        <f>IF(J205&gt;85,("4"),IF(J205&gt;80,("3.66"),IF(J205&gt;75,("3.33"),IF(J205&gt;70,("3.00"),IF(J205&gt;65,("2.66"),IF(J205&gt;60,("2.33"),IF(J205&gt;55,("2"),IF(J205&gt;50,("1.66"),"1.33"))))))))</f>
        <v>1.33</v>
      </c>
      <c r="L205" s="708" t="str">
        <f>IF(J205&gt;85,("A"),IF(J205&gt;80,("A-"),IF(J205&gt;75,("B+"),IF(J205&gt;70,("B"),IF(J205&gt;65,("B-"),IF(J205&gt;60,("C+"),IF(J205&gt;55,("C"),IF(J205&gt;50,("C-"),"D+"))))))))</f>
        <v>D+</v>
      </c>
      <c r="M205" s="708" t="str">
        <f>IF(J205&gt;80,("SB"),IF(J205&gt;65,("B"),IF(J205&gt;50,("C"),IF(J205&gt;0,("K"),"0"))))</f>
        <v>0</v>
      </c>
      <c r="N205" s="617"/>
      <c r="O205" s="1889"/>
      <c r="P205" s="1889"/>
      <c r="Q205" s="1889"/>
      <c r="R205" s="1889"/>
      <c r="S205" s="619"/>
      <c r="T205" s="619"/>
      <c r="U205" s="619"/>
      <c r="V205" s="619"/>
      <c r="W205" s="623"/>
      <c r="X205" s="1057">
        <f t="shared" ref="X205" si="230">J210</f>
        <v>0</v>
      </c>
      <c r="Y205" s="1194" t="str">
        <f>IF(X205&gt;85,("A"),IF(X205&gt;80,("A-"),IF(X205&gt;75,("B+"),IF(X205&gt;70,("B"),IF(X205&gt;65,("B-"),IF(X205&gt;60,("C+"),IF(X205&gt;55,("C"),IF(X205&gt;50,("C-"),"D+"))))))))</f>
        <v>D+</v>
      </c>
    </row>
    <row r="206" spans="1:25" ht="24.95" customHeight="1" x14ac:dyDescent="0.25">
      <c r="A206" s="360"/>
      <c r="B206" s="683">
        <v>24</v>
      </c>
      <c r="C206" s="634"/>
      <c r="D206" s="1799" t="s">
        <v>7</v>
      </c>
      <c r="E206" s="1891">
        <f>VLOOKUP(A205,UHT_BI,33,FALSE)</f>
        <v>0</v>
      </c>
      <c r="F206" s="1905">
        <f t="shared" ref="F206:F209" si="231">E206*2</f>
        <v>0</v>
      </c>
      <c r="G206" s="362"/>
      <c r="H206" s="627">
        <f>VLOOKUP(B205,REKAP_NILAI,10,FALSE)</f>
        <v>0</v>
      </c>
      <c r="I206" s="709">
        <f t="shared" ref="I206:I209" si="232">F206+G206+H206</f>
        <v>0</v>
      </c>
      <c r="J206" s="710">
        <f t="shared" ref="J206:J209" si="233">(F206+G206+H206)/4</f>
        <v>0</v>
      </c>
      <c r="K206" s="711" t="str">
        <f t="shared" ref="K206:K210" si="234">IF(J206&gt;85,("4"),IF(J206&gt;80,("3.66"),IF(J206&gt;75,("3.33"),IF(J206&gt;70,("3.00"),IF(J206&gt;65,("2.66"),IF(J206&gt;60,("2.33"),IF(J206&gt;55,("2"),IF(J206&gt;50,("1.66"),"1.33"))))))))</f>
        <v>1.33</v>
      </c>
      <c r="L206" s="711" t="str">
        <f t="shared" ref="L206:L210" si="235">IF(J206&gt;85,("A"),IF(J206&gt;80,("A-"),IF(J206&gt;75,("B+"),IF(J206&gt;70,("B"),IF(J206&gt;65,("B-"),IF(J206&gt;60,("C+"),IF(J206&gt;55,("C"),IF(J206&gt;50,("C-"),"D+"))))))))</f>
        <v>D+</v>
      </c>
      <c r="M206" s="712" t="str">
        <f t="shared" ref="M206:M210" si="236">IF(J206&gt;80,("SB"),IF(J206&gt;65,("B"),IF(J206&gt;50,("C"),IF(J206&gt;0,("K"),"0"))))</f>
        <v>0</v>
      </c>
      <c r="N206" s="620"/>
      <c r="O206" s="621"/>
      <c r="P206" s="621"/>
      <c r="Q206" s="621"/>
      <c r="R206" s="621"/>
      <c r="S206" s="622"/>
      <c r="T206" s="622"/>
      <c r="U206" s="622"/>
      <c r="V206" s="622"/>
      <c r="W206" s="622"/>
      <c r="X206" s="1251"/>
      <c r="Y206" s="1252"/>
    </row>
    <row r="207" spans="1:25" ht="24.95" customHeight="1" x14ac:dyDescent="0.25">
      <c r="A207" s="360"/>
      <c r="B207" s="683">
        <v>24</v>
      </c>
      <c r="C207" s="634"/>
      <c r="D207" s="1893" t="s">
        <v>10</v>
      </c>
      <c r="E207" s="1891">
        <f>VLOOKUP(A205,UHT_BI,34,FALSE)</f>
        <v>0</v>
      </c>
      <c r="F207" s="1905">
        <f t="shared" si="231"/>
        <v>0</v>
      </c>
      <c r="G207" s="362"/>
      <c r="H207" s="627">
        <f>VLOOKUP(A205,REKAP_NILAI,11,FALSE)</f>
        <v>0</v>
      </c>
      <c r="I207" s="709">
        <f t="shared" si="232"/>
        <v>0</v>
      </c>
      <c r="J207" s="710">
        <f t="shared" si="233"/>
        <v>0</v>
      </c>
      <c r="K207" s="711" t="str">
        <f t="shared" si="234"/>
        <v>1.33</v>
      </c>
      <c r="L207" s="711" t="str">
        <f t="shared" si="235"/>
        <v>D+</v>
      </c>
      <c r="M207" s="712" t="str">
        <f t="shared" si="236"/>
        <v>0</v>
      </c>
      <c r="N207" s="623"/>
      <c r="O207" s="613"/>
      <c r="P207" s="613"/>
      <c r="Q207" s="613"/>
      <c r="R207" s="613"/>
      <c r="S207" s="615"/>
      <c r="T207" s="615"/>
      <c r="U207" s="615"/>
      <c r="V207" s="615"/>
      <c r="W207" s="615"/>
      <c r="X207" s="1253"/>
      <c r="Y207" s="1254"/>
    </row>
    <row r="208" spans="1:25" ht="24.95" customHeight="1" x14ac:dyDescent="0.25">
      <c r="A208" s="360"/>
      <c r="B208" s="683">
        <v>24</v>
      </c>
      <c r="C208" s="634"/>
      <c r="D208" s="1799" t="s">
        <v>8</v>
      </c>
      <c r="E208" s="1891">
        <f>VLOOKUP(A205,UHT_BI,35,FALSE)</f>
        <v>0</v>
      </c>
      <c r="F208" s="1905">
        <f t="shared" si="231"/>
        <v>0</v>
      </c>
      <c r="G208" s="362"/>
      <c r="H208" s="627">
        <f>VLOOKUP(A205,REKAP_NILAI,12,FALSE)</f>
        <v>0</v>
      </c>
      <c r="I208" s="709">
        <f t="shared" si="232"/>
        <v>0</v>
      </c>
      <c r="J208" s="710">
        <f t="shared" si="233"/>
        <v>0</v>
      </c>
      <c r="K208" s="711" t="str">
        <f t="shared" si="234"/>
        <v>1.33</v>
      </c>
      <c r="L208" s="711" t="str">
        <f t="shared" si="235"/>
        <v>D+</v>
      </c>
      <c r="M208" s="712" t="str">
        <f t="shared" si="236"/>
        <v>0</v>
      </c>
      <c r="N208" s="623"/>
      <c r="O208" s="613"/>
      <c r="P208" s="613"/>
      <c r="Q208" s="613"/>
      <c r="R208" s="613"/>
      <c r="S208" s="615"/>
      <c r="T208" s="615"/>
      <c r="U208" s="615"/>
      <c r="V208" s="615"/>
      <c r="W208" s="615"/>
      <c r="X208" s="1253"/>
      <c r="Y208" s="1254"/>
    </row>
    <row r="209" spans="1:25" ht="24.95" customHeight="1" x14ac:dyDescent="0.25">
      <c r="A209" s="360"/>
      <c r="B209" s="683">
        <v>24</v>
      </c>
      <c r="C209" s="634"/>
      <c r="D209" s="1893" t="s">
        <v>18</v>
      </c>
      <c r="E209" s="1891">
        <f>-VLOOKUP(A205,UHT_BI,36,FALSE)</f>
        <v>0</v>
      </c>
      <c r="F209" s="1905">
        <f t="shared" si="231"/>
        <v>0</v>
      </c>
      <c r="G209" s="362"/>
      <c r="H209" s="627">
        <f>VLOOKUP(A205,REKAP_NILAI,13,FALSE)</f>
        <v>0</v>
      </c>
      <c r="I209" s="709">
        <f t="shared" si="232"/>
        <v>0</v>
      </c>
      <c r="J209" s="710">
        <f t="shared" si="233"/>
        <v>0</v>
      </c>
      <c r="K209" s="711" t="str">
        <f t="shared" si="234"/>
        <v>1.33</v>
      </c>
      <c r="L209" s="711" t="str">
        <f t="shared" si="235"/>
        <v>D+</v>
      </c>
      <c r="M209" s="712" t="str">
        <f t="shared" si="236"/>
        <v>0</v>
      </c>
      <c r="N209" s="624"/>
      <c r="O209" s="614"/>
      <c r="P209" s="614"/>
      <c r="Q209" s="614"/>
      <c r="R209" s="614"/>
      <c r="S209" s="616"/>
      <c r="T209" s="616"/>
      <c r="U209" s="616"/>
      <c r="V209" s="616"/>
      <c r="W209" s="616"/>
      <c r="X209" s="1255"/>
      <c r="Y209" s="1256"/>
    </row>
    <row r="210" spans="1:25" ht="24.95" customHeight="1" x14ac:dyDescent="0.25">
      <c r="A210" s="363"/>
      <c r="B210" s="698"/>
      <c r="C210" s="635" t="s">
        <v>464</v>
      </c>
      <c r="D210" s="629">
        <v>34</v>
      </c>
      <c r="E210" s="363"/>
      <c r="F210" s="1907"/>
      <c r="G210" s="363"/>
      <c r="H210" s="1189">
        <f>AVERAGE(H205:H209)</f>
        <v>0</v>
      </c>
      <c r="I210" s="1250"/>
      <c r="J210" s="713">
        <f>AVERAGE(J205:J209)</f>
        <v>0</v>
      </c>
      <c r="K210" s="714" t="str">
        <f t="shared" si="234"/>
        <v>1.33</v>
      </c>
      <c r="L210" s="714" t="str">
        <f t="shared" si="235"/>
        <v>D+</v>
      </c>
      <c r="M210" s="888" t="str">
        <f t="shared" si="236"/>
        <v>0</v>
      </c>
      <c r="N210" s="630"/>
      <c r="O210" s="631"/>
      <c r="P210" s="631"/>
      <c r="Q210" s="631"/>
      <c r="R210" s="631"/>
      <c r="S210" s="631"/>
      <c r="T210" s="631"/>
      <c r="U210" s="631"/>
      <c r="V210" s="631"/>
      <c r="W210" s="631"/>
      <c r="X210" s="1257"/>
      <c r="Y210" s="1258"/>
    </row>
    <row r="211" spans="1:25" ht="24.95" customHeight="1" x14ac:dyDescent="0.25">
      <c r="A211" s="360">
        <v>35</v>
      </c>
      <c r="B211" s="683">
        <v>25</v>
      </c>
      <c r="C211" s="633" t="e">
        <f>VLOOKUP(A211,data_siswa,4,FALSE)</f>
        <v>#N/A</v>
      </c>
      <c r="D211" s="1893" t="s">
        <v>12</v>
      </c>
      <c r="E211" s="1891">
        <f>VLOOKUP(A211,UHT_BI,32,FALSE)</f>
        <v>0</v>
      </c>
      <c r="F211" s="1904">
        <f>E211*2</f>
        <v>0</v>
      </c>
      <c r="G211" s="1891"/>
      <c r="H211" s="627">
        <f>VLOOKUP(B211,REKAP_NILAI,9,FALSE)</f>
        <v>0</v>
      </c>
      <c r="I211" s="706">
        <f>F211+G211+H211</f>
        <v>0</v>
      </c>
      <c r="J211" s="707">
        <f>(F211+G211+H211)/4</f>
        <v>0</v>
      </c>
      <c r="K211" s="708" t="str">
        <f>IF(J211&gt;85,("4"),IF(J211&gt;80,("3.66"),IF(J211&gt;75,("3.33"),IF(J211&gt;70,("3.00"),IF(J211&gt;65,("2.66"),IF(J211&gt;60,("2.33"),IF(J211&gt;55,("2"),IF(J211&gt;50,("1.66"),"1.33"))))))))</f>
        <v>1.33</v>
      </c>
      <c r="L211" s="708" t="str">
        <f>IF(J211&gt;85,("A"),IF(J211&gt;80,("A-"),IF(J211&gt;75,("B+"),IF(J211&gt;70,("B"),IF(J211&gt;65,("B-"),IF(J211&gt;60,("C+"),IF(J211&gt;55,("C"),IF(J211&gt;50,("C-"),"D+"))))))))</f>
        <v>D+</v>
      </c>
      <c r="M211" s="708" t="str">
        <f>IF(J211&gt;80,("SB"),IF(J211&gt;65,("B"),IF(J211&gt;50,("C"),IF(J211&gt;0,("K"),"0"))))</f>
        <v>0</v>
      </c>
      <c r="N211" s="617"/>
      <c r="O211" s="1889"/>
      <c r="P211" s="1889"/>
      <c r="Q211" s="1889"/>
      <c r="R211" s="1889"/>
      <c r="S211" s="619"/>
      <c r="T211" s="619"/>
      <c r="U211" s="619"/>
      <c r="V211" s="619"/>
      <c r="W211" s="623"/>
      <c r="X211" s="1057">
        <f t="shared" ref="X211" si="237">J216</f>
        <v>0</v>
      </c>
      <c r="Y211" s="1194" t="str">
        <f>IF(X211&gt;85,("A"),IF(X211&gt;80,("A-"),IF(X211&gt;75,("B+"),IF(X211&gt;70,("B"),IF(X211&gt;65,("B-"),IF(X211&gt;60,("C+"),IF(X211&gt;55,("C"),IF(X211&gt;50,("C-"),"D+"))))))))</f>
        <v>D+</v>
      </c>
    </row>
    <row r="212" spans="1:25" ht="24.95" customHeight="1" x14ac:dyDescent="0.25">
      <c r="A212" s="360"/>
      <c r="B212" s="683">
        <v>25</v>
      </c>
      <c r="C212" s="634"/>
      <c r="D212" s="1799" t="s">
        <v>7</v>
      </c>
      <c r="E212" s="1891">
        <f>VLOOKUP(A211,UHT_BI,33,FALSE)</f>
        <v>0</v>
      </c>
      <c r="F212" s="1905">
        <f t="shared" ref="F212:F215" si="238">E212*2</f>
        <v>0</v>
      </c>
      <c r="G212" s="362"/>
      <c r="H212" s="627">
        <f>VLOOKUP(B211,REKAP_NILAI,10,FALSE)</f>
        <v>0</v>
      </c>
      <c r="I212" s="709">
        <f t="shared" ref="I212:I215" si="239">F212+G212+H212</f>
        <v>0</v>
      </c>
      <c r="J212" s="710">
        <f t="shared" ref="J212:J215" si="240">(F212+G212+H212)/4</f>
        <v>0</v>
      </c>
      <c r="K212" s="711" t="str">
        <f t="shared" ref="K212:K216" si="241">IF(J212&gt;85,("4"),IF(J212&gt;80,("3.66"),IF(J212&gt;75,("3.33"),IF(J212&gt;70,("3.00"),IF(J212&gt;65,("2.66"),IF(J212&gt;60,("2.33"),IF(J212&gt;55,("2"),IF(J212&gt;50,("1.66"),"1.33"))))))))</f>
        <v>1.33</v>
      </c>
      <c r="L212" s="711" t="str">
        <f t="shared" ref="L212:L216" si="242">IF(J212&gt;85,("A"),IF(J212&gt;80,("A-"),IF(J212&gt;75,("B+"),IF(J212&gt;70,("B"),IF(J212&gt;65,("B-"),IF(J212&gt;60,("C+"),IF(J212&gt;55,("C"),IF(J212&gt;50,("C-"),"D+"))))))))</f>
        <v>D+</v>
      </c>
      <c r="M212" s="712" t="str">
        <f t="shared" ref="M212:M216" si="243">IF(J212&gt;80,("SB"),IF(J212&gt;65,("B"),IF(J212&gt;50,("C"),IF(J212&gt;0,("K"),"0"))))</f>
        <v>0</v>
      </c>
      <c r="N212" s="620"/>
      <c r="O212" s="621"/>
      <c r="P212" s="621"/>
      <c r="Q212" s="621"/>
      <c r="R212" s="621"/>
      <c r="S212" s="622"/>
      <c r="T212" s="622"/>
      <c r="U212" s="622"/>
      <c r="V212" s="622"/>
      <c r="W212" s="622"/>
      <c r="X212" s="1251"/>
      <c r="Y212" s="1252"/>
    </row>
    <row r="213" spans="1:25" ht="24.95" customHeight="1" x14ac:dyDescent="0.25">
      <c r="A213" s="360"/>
      <c r="B213" s="683">
        <v>25</v>
      </c>
      <c r="C213" s="634"/>
      <c r="D213" s="1893" t="s">
        <v>10</v>
      </c>
      <c r="E213" s="1891">
        <f>VLOOKUP(A211,UHT_BI,34,FALSE)</f>
        <v>0</v>
      </c>
      <c r="F213" s="1905">
        <f t="shared" si="238"/>
        <v>0</v>
      </c>
      <c r="G213" s="362"/>
      <c r="H213" s="627">
        <f>VLOOKUP(A211,REKAP_NILAI,11,FALSE)</f>
        <v>0</v>
      </c>
      <c r="I213" s="709">
        <f t="shared" si="239"/>
        <v>0</v>
      </c>
      <c r="J213" s="710">
        <f t="shared" si="240"/>
        <v>0</v>
      </c>
      <c r="K213" s="711" t="str">
        <f t="shared" si="241"/>
        <v>1.33</v>
      </c>
      <c r="L213" s="711" t="str">
        <f t="shared" si="242"/>
        <v>D+</v>
      </c>
      <c r="M213" s="712" t="str">
        <f t="shared" si="243"/>
        <v>0</v>
      </c>
      <c r="N213" s="623"/>
      <c r="O213" s="613"/>
      <c r="P213" s="613"/>
      <c r="Q213" s="613"/>
      <c r="R213" s="613"/>
      <c r="S213" s="615"/>
      <c r="T213" s="615"/>
      <c r="U213" s="615"/>
      <c r="V213" s="615"/>
      <c r="W213" s="615"/>
      <c r="X213" s="1253"/>
      <c r="Y213" s="1254"/>
    </row>
    <row r="214" spans="1:25" ht="24.95" customHeight="1" x14ac:dyDescent="0.25">
      <c r="A214" s="360"/>
      <c r="B214" s="683">
        <v>25</v>
      </c>
      <c r="C214" s="634"/>
      <c r="D214" s="1799" t="s">
        <v>8</v>
      </c>
      <c r="E214" s="1891">
        <f>VLOOKUP(A211,UHT_BI,35,FALSE)</f>
        <v>0</v>
      </c>
      <c r="F214" s="1905">
        <f t="shared" si="238"/>
        <v>0</v>
      </c>
      <c r="G214" s="362"/>
      <c r="H214" s="627">
        <f>VLOOKUP(A211,REKAP_NILAI,12,FALSE)</f>
        <v>0</v>
      </c>
      <c r="I214" s="709">
        <f t="shared" si="239"/>
        <v>0</v>
      </c>
      <c r="J214" s="710">
        <f t="shared" si="240"/>
        <v>0</v>
      </c>
      <c r="K214" s="711" t="str">
        <f t="shared" si="241"/>
        <v>1.33</v>
      </c>
      <c r="L214" s="711" t="str">
        <f t="shared" si="242"/>
        <v>D+</v>
      </c>
      <c r="M214" s="712" t="str">
        <f t="shared" si="243"/>
        <v>0</v>
      </c>
      <c r="N214" s="623"/>
      <c r="O214" s="613"/>
      <c r="P214" s="613"/>
      <c r="Q214" s="613"/>
      <c r="R214" s="613"/>
      <c r="S214" s="615"/>
      <c r="T214" s="615"/>
      <c r="U214" s="615"/>
      <c r="V214" s="615"/>
      <c r="W214" s="615"/>
      <c r="X214" s="1253"/>
      <c r="Y214" s="1254"/>
    </row>
    <row r="215" spans="1:25" ht="24.95" customHeight="1" x14ac:dyDescent="0.25">
      <c r="A215" s="360"/>
      <c r="B215" s="683">
        <v>25</v>
      </c>
      <c r="C215" s="634"/>
      <c r="D215" s="1893" t="s">
        <v>18</v>
      </c>
      <c r="E215" s="1891">
        <f>-VLOOKUP(A211,UHT_BI,36,FALSE)</f>
        <v>0</v>
      </c>
      <c r="F215" s="1905">
        <f t="shared" si="238"/>
        <v>0</v>
      </c>
      <c r="G215" s="362"/>
      <c r="H215" s="627">
        <f>VLOOKUP(A211,REKAP_NILAI,13,FALSE)</f>
        <v>0</v>
      </c>
      <c r="I215" s="709">
        <f t="shared" si="239"/>
        <v>0</v>
      </c>
      <c r="J215" s="710">
        <f t="shared" si="240"/>
        <v>0</v>
      </c>
      <c r="K215" s="711" t="str">
        <f t="shared" si="241"/>
        <v>1.33</v>
      </c>
      <c r="L215" s="711" t="str">
        <f t="shared" si="242"/>
        <v>D+</v>
      </c>
      <c r="M215" s="712" t="str">
        <f t="shared" si="243"/>
        <v>0</v>
      </c>
      <c r="N215" s="624"/>
      <c r="O215" s="614"/>
      <c r="P215" s="614"/>
      <c r="Q215" s="614"/>
      <c r="R215" s="614"/>
      <c r="S215" s="616"/>
      <c r="T215" s="616"/>
      <c r="U215" s="616"/>
      <c r="V215" s="616"/>
      <c r="W215" s="616"/>
      <c r="X215" s="1255"/>
      <c r="Y215" s="1256"/>
    </row>
    <row r="216" spans="1:25" ht="24.95" customHeight="1" x14ac:dyDescent="0.25">
      <c r="A216" s="363"/>
      <c r="B216" s="698"/>
      <c r="C216" s="635" t="s">
        <v>464</v>
      </c>
      <c r="D216" s="629">
        <v>35</v>
      </c>
      <c r="E216" s="363"/>
      <c r="F216" s="1907"/>
      <c r="G216" s="363"/>
      <c r="H216" s="1189">
        <f>AVERAGE(H211:H215)</f>
        <v>0</v>
      </c>
      <c r="I216" s="1250"/>
      <c r="J216" s="713">
        <f>AVERAGE(J211:J215)</f>
        <v>0</v>
      </c>
      <c r="K216" s="714" t="str">
        <f t="shared" si="241"/>
        <v>1.33</v>
      </c>
      <c r="L216" s="714" t="str">
        <f t="shared" si="242"/>
        <v>D+</v>
      </c>
      <c r="M216" s="888" t="str">
        <f t="shared" si="243"/>
        <v>0</v>
      </c>
      <c r="N216" s="630"/>
      <c r="O216" s="631"/>
      <c r="P216" s="631"/>
      <c r="Q216" s="631"/>
      <c r="R216" s="631"/>
      <c r="S216" s="631"/>
      <c r="T216" s="631"/>
      <c r="U216" s="631"/>
      <c r="V216" s="631"/>
      <c r="W216" s="631"/>
      <c r="X216" s="1257"/>
      <c r="Y216" s="1258"/>
    </row>
    <row r="217" spans="1:25" ht="24.95" customHeight="1" x14ac:dyDescent="0.25">
      <c r="A217" s="360">
        <v>36</v>
      </c>
      <c r="B217" s="683">
        <v>26</v>
      </c>
      <c r="C217" s="633" t="e">
        <f>VLOOKUP(A217,data_siswa,4,FALSE)</f>
        <v>#N/A</v>
      </c>
      <c r="D217" s="1893" t="s">
        <v>12</v>
      </c>
      <c r="E217" s="1891">
        <f>VLOOKUP(A217,UHT_BI,32,FALSE)</f>
        <v>0</v>
      </c>
      <c r="F217" s="1904">
        <f>E217*2</f>
        <v>0</v>
      </c>
      <c r="G217" s="1891"/>
      <c r="H217" s="627">
        <f>VLOOKUP(B217,REKAP_NILAI,9,FALSE)</f>
        <v>0</v>
      </c>
      <c r="I217" s="706">
        <f>F217+G217+H217</f>
        <v>0</v>
      </c>
      <c r="J217" s="707">
        <f>(F217+G217+H217)/4</f>
        <v>0</v>
      </c>
      <c r="K217" s="708" t="str">
        <f>IF(J217&gt;85,("4"),IF(J217&gt;80,("3.66"),IF(J217&gt;75,("3.33"),IF(J217&gt;70,("3.00"),IF(J217&gt;65,("2.66"),IF(J217&gt;60,("2.33"),IF(J217&gt;55,("2"),IF(J217&gt;50,("1.66"),"1.33"))))))))</f>
        <v>1.33</v>
      </c>
      <c r="L217" s="708" t="str">
        <f>IF(J217&gt;85,("A"),IF(J217&gt;80,("A-"),IF(J217&gt;75,("B+"),IF(J217&gt;70,("B"),IF(J217&gt;65,("B-"),IF(J217&gt;60,("C+"),IF(J217&gt;55,("C"),IF(J217&gt;50,("C-"),"D+"))))))))</f>
        <v>D+</v>
      </c>
      <c r="M217" s="708" t="str">
        <f>IF(J217&gt;80,("SB"),IF(J217&gt;65,("B"),IF(J217&gt;50,("C"),IF(J217&gt;0,("K"),"0"))))</f>
        <v>0</v>
      </c>
      <c r="N217" s="617"/>
      <c r="O217" s="1889"/>
      <c r="P217" s="1889"/>
      <c r="Q217" s="1889"/>
      <c r="R217" s="1889"/>
      <c r="S217" s="619"/>
      <c r="T217" s="619"/>
      <c r="U217" s="619"/>
      <c r="V217" s="619"/>
      <c r="W217" s="623"/>
      <c r="X217" s="1057">
        <f t="shared" ref="X217" si="244">J222</f>
        <v>0</v>
      </c>
      <c r="Y217" s="1194" t="str">
        <f>IF(X217&gt;85,("A"),IF(X217&gt;80,("A-"),IF(X217&gt;75,("B+"),IF(X217&gt;70,("B"),IF(X217&gt;65,("B-"),IF(X217&gt;60,("C+"),IF(X217&gt;55,("C"),IF(X217&gt;50,("C-"),"D+"))))))))</f>
        <v>D+</v>
      </c>
    </row>
    <row r="218" spans="1:25" ht="24.95" customHeight="1" x14ac:dyDescent="0.25">
      <c r="A218" s="360"/>
      <c r="B218" s="683">
        <v>26</v>
      </c>
      <c r="C218" s="634"/>
      <c r="D218" s="1799" t="s">
        <v>7</v>
      </c>
      <c r="E218" s="1891">
        <f>VLOOKUP(A217,UHT_BI,33,FALSE)</f>
        <v>0</v>
      </c>
      <c r="F218" s="1905">
        <f t="shared" ref="F218:F221" si="245">E218*2</f>
        <v>0</v>
      </c>
      <c r="G218" s="362"/>
      <c r="H218" s="627">
        <f>VLOOKUP(B217,REKAP_NILAI,10,FALSE)</f>
        <v>0</v>
      </c>
      <c r="I218" s="709">
        <f t="shared" ref="I218:I221" si="246">F218+G218+H218</f>
        <v>0</v>
      </c>
      <c r="J218" s="710">
        <f t="shared" ref="J218:J221" si="247">(F218+G218+H218)/4</f>
        <v>0</v>
      </c>
      <c r="K218" s="711" t="str">
        <f t="shared" ref="K218:K222" si="248">IF(J218&gt;85,("4"),IF(J218&gt;80,("3.66"),IF(J218&gt;75,("3.33"),IF(J218&gt;70,("3.00"),IF(J218&gt;65,("2.66"),IF(J218&gt;60,("2.33"),IF(J218&gt;55,("2"),IF(J218&gt;50,("1.66"),"1.33"))))))))</f>
        <v>1.33</v>
      </c>
      <c r="L218" s="711" t="str">
        <f t="shared" ref="L218:L222" si="249">IF(J218&gt;85,("A"),IF(J218&gt;80,("A-"),IF(J218&gt;75,("B+"),IF(J218&gt;70,("B"),IF(J218&gt;65,("B-"),IF(J218&gt;60,("C+"),IF(J218&gt;55,("C"),IF(J218&gt;50,("C-"),"D+"))))))))</f>
        <v>D+</v>
      </c>
      <c r="M218" s="712" t="str">
        <f t="shared" ref="M218:M222" si="250">IF(J218&gt;80,("SB"),IF(J218&gt;65,("B"),IF(J218&gt;50,("C"),IF(J218&gt;0,("K"),"0"))))</f>
        <v>0</v>
      </c>
      <c r="N218" s="620"/>
      <c r="O218" s="621"/>
      <c r="P218" s="621"/>
      <c r="Q218" s="621"/>
      <c r="R218" s="621"/>
      <c r="S218" s="622"/>
      <c r="T218" s="622"/>
      <c r="U218" s="622"/>
      <c r="V218" s="622"/>
      <c r="W218" s="622"/>
      <c r="X218" s="1251"/>
      <c r="Y218" s="1252"/>
    </row>
    <row r="219" spans="1:25" ht="24.95" customHeight="1" x14ac:dyDescent="0.25">
      <c r="A219" s="360"/>
      <c r="B219" s="683">
        <v>26</v>
      </c>
      <c r="C219" s="634"/>
      <c r="D219" s="1893" t="s">
        <v>10</v>
      </c>
      <c r="E219" s="1891">
        <f>VLOOKUP(A217,UHT_BI,34,FALSE)</f>
        <v>0</v>
      </c>
      <c r="F219" s="1905">
        <f t="shared" si="245"/>
        <v>0</v>
      </c>
      <c r="G219" s="362"/>
      <c r="H219" s="627">
        <f>VLOOKUP(A217,REKAP_NILAI,11,FALSE)</f>
        <v>0</v>
      </c>
      <c r="I219" s="709">
        <f t="shared" si="246"/>
        <v>0</v>
      </c>
      <c r="J219" s="710">
        <f t="shared" si="247"/>
        <v>0</v>
      </c>
      <c r="K219" s="711" t="str">
        <f t="shared" si="248"/>
        <v>1.33</v>
      </c>
      <c r="L219" s="711" t="str">
        <f t="shared" si="249"/>
        <v>D+</v>
      </c>
      <c r="M219" s="712" t="str">
        <f t="shared" si="250"/>
        <v>0</v>
      </c>
      <c r="N219" s="623"/>
      <c r="O219" s="613"/>
      <c r="P219" s="613"/>
      <c r="Q219" s="613"/>
      <c r="R219" s="613"/>
      <c r="S219" s="615"/>
      <c r="T219" s="615"/>
      <c r="U219" s="615"/>
      <c r="V219" s="615"/>
      <c r="W219" s="615"/>
      <c r="X219" s="1253"/>
      <c r="Y219" s="1254"/>
    </row>
    <row r="220" spans="1:25" ht="24.95" customHeight="1" x14ac:dyDescent="0.25">
      <c r="A220" s="360"/>
      <c r="B220" s="683">
        <v>26</v>
      </c>
      <c r="C220" s="634"/>
      <c r="D220" s="1799" t="s">
        <v>8</v>
      </c>
      <c r="E220" s="1891">
        <f>VLOOKUP(A217,UHT_BI,35,FALSE)</f>
        <v>0</v>
      </c>
      <c r="F220" s="1905">
        <f t="shared" si="245"/>
        <v>0</v>
      </c>
      <c r="G220" s="362"/>
      <c r="H220" s="627">
        <f>VLOOKUP(A217,REKAP_NILAI,12,FALSE)</f>
        <v>0</v>
      </c>
      <c r="I220" s="709">
        <f t="shared" si="246"/>
        <v>0</v>
      </c>
      <c r="J220" s="710">
        <f t="shared" si="247"/>
        <v>0</v>
      </c>
      <c r="K220" s="711" t="str">
        <f t="shared" si="248"/>
        <v>1.33</v>
      </c>
      <c r="L220" s="711" t="str">
        <f t="shared" si="249"/>
        <v>D+</v>
      </c>
      <c r="M220" s="712" t="str">
        <f t="shared" si="250"/>
        <v>0</v>
      </c>
      <c r="N220" s="623"/>
      <c r="O220" s="613"/>
      <c r="P220" s="613"/>
      <c r="Q220" s="613"/>
      <c r="R220" s="613"/>
      <c r="S220" s="615"/>
      <c r="T220" s="615"/>
      <c r="U220" s="615"/>
      <c r="V220" s="615"/>
      <c r="W220" s="615"/>
      <c r="X220" s="1253"/>
      <c r="Y220" s="1254"/>
    </row>
    <row r="221" spans="1:25" ht="24.95" customHeight="1" x14ac:dyDescent="0.25">
      <c r="A221" s="360"/>
      <c r="B221" s="683">
        <v>26</v>
      </c>
      <c r="C221" s="634"/>
      <c r="D221" s="1893" t="s">
        <v>18</v>
      </c>
      <c r="E221" s="1891">
        <f>-VLOOKUP(A217,UHT_BI,36,FALSE)</f>
        <v>0</v>
      </c>
      <c r="F221" s="1905">
        <f t="shared" si="245"/>
        <v>0</v>
      </c>
      <c r="G221" s="362"/>
      <c r="H221" s="627">
        <f>VLOOKUP(A217,REKAP_NILAI,13,FALSE)</f>
        <v>0</v>
      </c>
      <c r="I221" s="709">
        <f t="shared" si="246"/>
        <v>0</v>
      </c>
      <c r="J221" s="710">
        <f t="shared" si="247"/>
        <v>0</v>
      </c>
      <c r="K221" s="711" t="str">
        <f t="shared" si="248"/>
        <v>1.33</v>
      </c>
      <c r="L221" s="711" t="str">
        <f t="shared" si="249"/>
        <v>D+</v>
      </c>
      <c r="M221" s="712" t="str">
        <f t="shared" si="250"/>
        <v>0</v>
      </c>
      <c r="N221" s="624"/>
      <c r="O221" s="614"/>
      <c r="P221" s="614"/>
      <c r="Q221" s="614"/>
      <c r="R221" s="614"/>
      <c r="S221" s="616"/>
      <c r="T221" s="616"/>
      <c r="U221" s="616"/>
      <c r="V221" s="616"/>
      <c r="W221" s="616"/>
      <c r="X221" s="1255"/>
      <c r="Y221" s="1256"/>
    </row>
    <row r="222" spans="1:25" ht="24.95" customHeight="1" x14ac:dyDescent="0.25">
      <c r="A222" s="363"/>
      <c r="B222" s="698"/>
      <c r="C222" s="635" t="s">
        <v>464</v>
      </c>
      <c r="D222" s="629">
        <v>36</v>
      </c>
      <c r="E222" s="363"/>
      <c r="F222" s="1907"/>
      <c r="G222" s="363"/>
      <c r="H222" s="1189">
        <f>AVERAGE(H217:H221)</f>
        <v>0</v>
      </c>
      <c r="I222" s="1250"/>
      <c r="J222" s="713">
        <f>AVERAGE(J217:J221)</f>
        <v>0</v>
      </c>
      <c r="K222" s="714" t="str">
        <f t="shared" si="248"/>
        <v>1.33</v>
      </c>
      <c r="L222" s="714" t="str">
        <f t="shared" si="249"/>
        <v>D+</v>
      </c>
      <c r="M222" s="888" t="str">
        <f t="shared" si="250"/>
        <v>0</v>
      </c>
      <c r="N222" s="630"/>
      <c r="O222" s="631"/>
      <c r="P222" s="631"/>
      <c r="Q222" s="631"/>
      <c r="R222" s="631"/>
      <c r="S222" s="631"/>
      <c r="T222" s="631"/>
      <c r="U222" s="631"/>
      <c r="V222" s="631"/>
      <c r="W222" s="631"/>
      <c r="X222" s="1257"/>
      <c r="Y222" s="1258"/>
    </row>
    <row r="223" spans="1:25" ht="24.95" customHeight="1" x14ac:dyDescent="0.25">
      <c r="A223" s="360">
        <v>37</v>
      </c>
      <c r="B223" s="683">
        <v>27</v>
      </c>
      <c r="C223" s="633" t="e">
        <f>VLOOKUP(A223,data_siswa,4,FALSE)</f>
        <v>#N/A</v>
      </c>
      <c r="D223" s="1893" t="s">
        <v>12</v>
      </c>
      <c r="E223" s="1891">
        <f>VLOOKUP(A223,UHT_BI,32,FALSE)</f>
        <v>0</v>
      </c>
      <c r="F223" s="1904">
        <f>E223*2</f>
        <v>0</v>
      </c>
      <c r="G223" s="1891"/>
      <c r="H223" s="627">
        <f>VLOOKUP(B223,REKAP_NILAI,9,FALSE)</f>
        <v>0</v>
      </c>
      <c r="I223" s="706">
        <f>F223+G223+H223</f>
        <v>0</v>
      </c>
      <c r="J223" s="707">
        <f>(F223+G223+H223)/4</f>
        <v>0</v>
      </c>
      <c r="K223" s="708" t="str">
        <f>IF(J223&gt;85,("4"),IF(J223&gt;80,("3.66"),IF(J223&gt;75,("3.33"),IF(J223&gt;70,("3.00"),IF(J223&gt;65,("2.66"),IF(J223&gt;60,("2.33"),IF(J223&gt;55,("2"),IF(J223&gt;50,("1.66"),"1.33"))))))))</f>
        <v>1.33</v>
      </c>
      <c r="L223" s="708" t="str">
        <f>IF(J223&gt;85,("A"),IF(J223&gt;80,("A-"),IF(J223&gt;75,("B+"),IF(J223&gt;70,("B"),IF(J223&gt;65,("B-"),IF(J223&gt;60,("C+"),IF(J223&gt;55,("C"),IF(J223&gt;50,("C-"),"D+"))))))))</f>
        <v>D+</v>
      </c>
      <c r="M223" s="708" t="str">
        <f>IF(J223&gt;80,("SB"),IF(J223&gt;65,("B"),IF(J223&gt;50,("C"),IF(J223&gt;0,("K"),"0"))))</f>
        <v>0</v>
      </c>
      <c r="N223" s="617"/>
      <c r="O223" s="1889"/>
      <c r="P223" s="1889"/>
      <c r="Q223" s="1889"/>
      <c r="R223" s="1889"/>
      <c r="S223" s="619"/>
      <c r="T223" s="619"/>
      <c r="U223" s="619"/>
      <c r="V223" s="619"/>
      <c r="W223" s="623"/>
      <c r="X223" s="1057">
        <f t="shared" ref="X223" si="251">J228</f>
        <v>0</v>
      </c>
      <c r="Y223" s="1194" t="str">
        <f>IF(X223&gt;85,("A"),IF(X223&gt;80,("A-"),IF(X223&gt;75,("B+"),IF(X223&gt;70,("B"),IF(X223&gt;65,("B-"),IF(X223&gt;60,("C+"),IF(X223&gt;55,("C"),IF(X223&gt;50,("C-"),"D+"))))))))</f>
        <v>D+</v>
      </c>
    </row>
    <row r="224" spans="1:25" ht="24.95" customHeight="1" x14ac:dyDescent="0.25">
      <c r="A224" s="360"/>
      <c r="B224" s="683">
        <v>27</v>
      </c>
      <c r="C224" s="634"/>
      <c r="D224" s="1799" t="s">
        <v>7</v>
      </c>
      <c r="E224" s="1891">
        <f>VLOOKUP(A223,UHT_BI,33,FALSE)</f>
        <v>0</v>
      </c>
      <c r="F224" s="1905">
        <f t="shared" ref="F224:F227" si="252">E224*2</f>
        <v>0</v>
      </c>
      <c r="G224" s="362"/>
      <c r="H224" s="627">
        <f>VLOOKUP(B223,REKAP_NILAI,10,FALSE)</f>
        <v>0</v>
      </c>
      <c r="I224" s="709">
        <f t="shared" ref="I224:I227" si="253">F224+G224+H224</f>
        <v>0</v>
      </c>
      <c r="J224" s="710">
        <f t="shared" ref="J224:J227" si="254">(F224+G224+H224)/4</f>
        <v>0</v>
      </c>
      <c r="K224" s="711" t="str">
        <f t="shared" ref="K224:K228" si="255">IF(J224&gt;85,("4"),IF(J224&gt;80,("3.66"),IF(J224&gt;75,("3.33"),IF(J224&gt;70,("3.00"),IF(J224&gt;65,("2.66"),IF(J224&gt;60,("2.33"),IF(J224&gt;55,("2"),IF(J224&gt;50,("1.66"),"1.33"))))))))</f>
        <v>1.33</v>
      </c>
      <c r="L224" s="711" t="str">
        <f t="shared" ref="L224:L228" si="256">IF(J224&gt;85,("A"),IF(J224&gt;80,("A-"),IF(J224&gt;75,("B+"),IF(J224&gt;70,("B"),IF(J224&gt;65,("B-"),IF(J224&gt;60,("C+"),IF(J224&gt;55,("C"),IF(J224&gt;50,("C-"),"D+"))))))))</f>
        <v>D+</v>
      </c>
      <c r="M224" s="712" t="str">
        <f t="shared" ref="M224:M228" si="257">IF(J224&gt;80,("SB"),IF(J224&gt;65,("B"),IF(J224&gt;50,("C"),IF(J224&gt;0,("K"),"0"))))</f>
        <v>0</v>
      </c>
      <c r="N224" s="620"/>
      <c r="O224" s="621"/>
      <c r="P224" s="621"/>
      <c r="Q224" s="621"/>
      <c r="R224" s="621"/>
      <c r="S224" s="622"/>
      <c r="T224" s="622"/>
      <c r="U224" s="622"/>
      <c r="V224" s="622"/>
      <c r="W224" s="622"/>
      <c r="X224" s="1251"/>
      <c r="Y224" s="1252"/>
    </row>
    <row r="225" spans="1:25" ht="24.95" customHeight="1" x14ac:dyDescent="0.25">
      <c r="A225" s="360"/>
      <c r="B225" s="683">
        <v>27</v>
      </c>
      <c r="C225" s="634"/>
      <c r="D225" s="1893" t="s">
        <v>10</v>
      </c>
      <c r="E225" s="1891">
        <f>VLOOKUP(A223,UHT_BI,34,FALSE)</f>
        <v>0</v>
      </c>
      <c r="F225" s="1905">
        <f t="shared" si="252"/>
        <v>0</v>
      </c>
      <c r="G225" s="362"/>
      <c r="H225" s="627">
        <f>VLOOKUP(A223,REKAP_NILAI,11,FALSE)</f>
        <v>0</v>
      </c>
      <c r="I225" s="709">
        <f t="shared" si="253"/>
        <v>0</v>
      </c>
      <c r="J225" s="710">
        <f t="shared" si="254"/>
        <v>0</v>
      </c>
      <c r="K225" s="711" t="str">
        <f t="shared" si="255"/>
        <v>1.33</v>
      </c>
      <c r="L225" s="711" t="str">
        <f t="shared" si="256"/>
        <v>D+</v>
      </c>
      <c r="M225" s="712" t="str">
        <f t="shared" si="257"/>
        <v>0</v>
      </c>
      <c r="N225" s="623"/>
      <c r="O225" s="613"/>
      <c r="P225" s="613"/>
      <c r="Q225" s="613"/>
      <c r="R225" s="613"/>
      <c r="S225" s="615"/>
      <c r="T225" s="615"/>
      <c r="U225" s="615"/>
      <c r="V225" s="615"/>
      <c r="W225" s="615"/>
      <c r="X225" s="1253"/>
      <c r="Y225" s="1254"/>
    </row>
    <row r="226" spans="1:25" ht="24.95" customHeight="1" x14ac:dyDescent="0.25">
      <c r="A226" s="360"/>
      <c r="B226" s="683">
        <v>27</v>
      </c>
      <c r="C226" s="634"/>
      <c r="D226" s="1799" t="s">
        <v>8</v>
      </c>
      <c r="E226" s="1891">
        <f>VLOOKUP(A223,UHT_BI,35,FALSE)</f>
        <v>0</v>
      </c>
      <c r="F226" s="1905">
        <f t="shared" si="252"/>
        <v>0</v>
      </c>
      <c r="G226" s="362"/>
      <c r="H226" s="627">
        <f>VLOOKUP(A223,REKAP_NILAI,12,FALSE)</f>
        <v>0</v>
      </c>
      <c r="I226" s="709">
        <f t="shared" si="253"/>
        <v>0</v>
      </c>
      <c r="J226" s="710">
        <f t="shared" si="254"/>
        <v>0</v>
      </c>
      <c r="K226" s="711" t="str">
        <f t="shared" si="255"/>
        <v>1.33</v>
      </c>
      <c r="L226" s="711" t="str">
        <f t="shared" si="256"/>
        <v>D+</v>
      </c>
      <c r="M226" s="712" t="str">
        <f t="shared" si="257"/>
        <v>0</v>
      </c>
      <c r="N226" s="623"/>
      <c r="O226" s="613"/>
      <c r="P226" s="613"/>
      <c r="Q226" s="613"/>
      <c r="R226" s="613"/>
      <c r="S226" s="615"/>
      <c r="T226" s="615"/>
      <c r="U226" s="615"/>
      <c r="V226" s="615"/>
      <c r="W226" s="615"/>
      <c r="X226" s="1253"/>
      <c r="Y226" s="1254"/>
    </row>
    <row r="227" spans="1:25" ht="24.95" customHeight="1" x14ac:dyDescent="0.25">
      <c r="A227" s="360"/>
      <c r="B227" s="683">
        <v>27</v>
      </c>
      <c r="C227" s="634"/>
      <c r="D227" s="1893" t="s">
        <v>18</v>
      </c>
      <c r="E227" s="1891">
        <f>-VLOOKUP(A223,UHT_BI,36,FALSE)</f>
        <v>0</v>
      </c>
      <c r="F227" s="1905">
        <f t="shared" si="252"/>
        <v>0</v>
      </c>
      <c r="G227" s="362"/>
      <c r="H227" s="627">
        <f>VLOOKUP(A223,REKAP_NILAI,13,FALSE)</f>
        <v>0</v>
      </c>
      <c r="I227" s="709">
        <f t="shared" si="253"/>
        <v>0</v>
      </c>
      <c r="J227" s="710">
        <f t="shared" si="254"/>
        <v>0</v>
      </c>
      <c r="K227" s="711" t="str">
        <f t="shared" si="255"/>
        <v>1.33</v>
      </c>
      <c r="L227" s="711" t="str">
        <f t="shared" si="256"/>
        <v>D+</v>
      </c>
      <c r="M227" s="712" t="str">
        <f t="shared" si="257"/>
        <v>0</v>
      </c>
      <c r="N227" s="624"/>
      <c r="O227" s="614"/>
      <c r="P227" s="614"/>
      <c r="Q227" s="614"/>
      <c r="R227" s="614"/>
      <c r="S227" s="616"/>
      <c r="T227" s="616"/>
      <c r="U227" s="616"/>
      <c r="V227" s="616"/>
      <c r="W227" s="616"/>
      <c r="X227" s="1255"/>
      <c r="Y227" s="1256"/>
    </row>
    <row r="228" spans="1:25" ht="24.95" customHeight="1" x14ac:dyDescent="0.25">
      <c r="A228" s="363"/>
      <c r="B228" s="698"/>
      <c r="C228" s="635" t="s">
        <v>464</v>
      </c>
      <c r="D228" s="629">
        <v>37</v>
      </c>
      <c r="E228" s="363"/>
      <c r="F228" s="1907"/>
      <c r="G228" s="363"/>
      <c r="H228" s="1189">
        <f>AVERAGE(H223:H227)</f>
        <v>0</v>
      </c>
      <c r="I228" s="1250"/>
      <c r="J228" s="713">
        <f>AVERAGE(J223:J227)</f>
        <v>0</v>
      </c>
      <c r="K228" s="714" t="str">
        <f t="shared" si="255"/>
        <v>1.33</v>
      </c>
      <c r="L228" s="714" t="str">
        <f t="shared" si="256"/>
        <v>D+</v>
      </c>
      <c r="M228" s="888" t="str">
        <f t="shared" si="257"/>
        <v>0</v>
      </c>
      <c r="N228" s="630"/>
      <c r="O228" s="631"/>
      <c r="P228" s="631"/>
      <c r="Q228" s="631"/>
      <c r="R228" s="631"/>
      <c r="S228" s="631"/>
      <c r="T228" s="631"/>
      <c r="U228" s="631"/>
      <c r="V228" s="631"/>
      <c r="W228" s="631"/>
      <c r="X228" s="1257"/>
      <c r="Y228" s="1258"/>
    </row>
    <row r="229" spans="1:25" ht="24.95" customHeight="1" x14ac:dyDescent="0.25">
      <c r="A229" s="360">
        <v>38</v>
      </c>
      <c r="B229" s="683">
        <v>28</v>
      </c>
      <c r="C229" s="633" t="e">
        <f>VLOOKUP(A229,data_siswa,4,FALSE)</f>
        <v>#N/A</v>
      </c>
      <c r="D229" s="1893" t="s">
        <v>12</v>
      </c>
      <c r="E229" s="1891">
        <f>VLOOKUP(A229,UHT_BI,32,FALSE)</f>
        <v>0</v>
      </c>
      <c r="F229" s="1904">
        <f>E229*2</f>
        <v>0</v>
      </c>
      <c r="G229" s="1891"/>
      <c r="H229" s="627">
        <f>VLOOKUP(B229,REKAP_NILAI,9,FALSE)</f>
        <v>0</v>
      </c>
      <c r="I229" s="706">
        <f>F229+G229+H229</f>
        <v>0</v>
      </c>
      <c r="J229" s="707">
        <f>(F229+G229+H229)/4</f>
        <v>0</v>
      </c>
      <c r="K229" s="708" t="str">
        <f>IF(J229&gt;85,("4"),IF(J229&gt;80,("3.66"),IF(J229&gt;75,("3.33"),IF(J229&gt;70,("3.00"),IF(J229&gt;65,("2.66"),IF(J229&gt;60,("2.33"),IF(J229&gt;55,("2"),IF(J229&gt;50,("1.66"),"1.33"))))))))</f>
        <v>1.33</v>
      </c>
      <c r="L229" s="708" t="str">
        <f>IF(J229&gt;85,("A"),IF(J229&gt;80,("A-"),IF(J229&gt;75,("B+"),IF(J229&gt;70,("B"),IF(J229&gt;65,("B-"),IF(J229&gt;60,("C+"),IF(J229&gt;55,("C"),IF(J229&gt;50,("C-"),"D+"))))))))</f>
        <v>D+</v>
      </c>
      <c r="M229" s="708" t="str">
        <f>IF(J229&gt;80,("SB"),IF(J229&gt;65,("B"),IF(J229&gt;50,("C"),IF(J229&gt;0,("K"),"0"))))</f>
        <v>0</v>
      </c>
      <c r="N229" s="617"/>
      <c r="O229" s="1889"/>
      <c r="P229" s="1889"/>
      <c r="Q229" s="1889"/>
      <c r="R229" s="1889"/>
      <c r="S229" s="619"/>
      <c r="T229" s="619"/>
      <c r="U229" s="619"/>
      <c r="V229" s="619"/>
      <c r="W229" s="623"/>
      <c r="X229" s="1057">
        <f t="shared" ref="X229" si="258">J234</f>
        <v>0</v>
      </c>
      <c r="Y229" s="1194" t="str">
        <f>IF(X229&gt;85,("A"),IF(X229&gt;80,("A-"),IF(X229&gt;75,("B+"),IF(X229&gt;70,("B"),IF(X229&gt;65,("B-"),IF(X229&gt;60,("C+"),IF(X229&gt;55,("C"),IF(X229&gt;50,("C-"),"D+"))))))))</f>
        <v>D+</v>
      </c>
    </row>
    <row r="230" spans="1:25" ht="24.95" customHeight="1" x14ac:dyDescent="0.25">
      <c r="A230" s="360"/>
      <c r="B230" s="683">
        <v>28</v>
      </c>
      <c r="C230" s="634"/>
      <c r="D230" s="1799" t="s">
        <v>7</v>
      </c>
      <c r="E230" s="1891">
        <f>VLOOKUP(A229,UHT_BI,33,FALSE)</f>
        <v>0</v>
      </c>
      <c r="F230" s="1905">
        <f t="shared" ref="F230:F233" si="259">E230*2</f>
        <v>0</v>
      </c>
      <c r="G230" s="362"/>
      <c r="H230" s="627">
        <f>VLOOKUP(B229,REKAP_NILAI,10,FALSE)</f>
        <v>0</v>
      </c>
      <c r="I230" s="709">
        <f t="shared" ref="I230:I233" si="260">F230+G230+H230</f>
        <v>0</v>
      </c>
      <c r="J230" s="710">
        <f t="shared" ref="J230:J233" si="261">(F230+G230+H230)/4</f>
        <v>0</v>
      </c>
      <c r="K230" s="711" t="str">
        <f t="shared" ref="K230:K234" si="262">IF(J230&gt;85,("4"),IF(J230&gt;80,("3.66"),IF(J230&gt;75,("3.33"),IF(J230&gt;70,("3.00"),IF(J230&gt;65,("2.66"),IF(J230&gt;60,("2.33"),IF(J230&gt;55,("2"),IF(J230&gt;50,("1.66"),"1.33"))))))))</f>
        <v>1.33</v>
      </c>
      <c r="L230" s="711" t="str">
        <f t="shared" ref="L230:L234" si="263">IF(J230&gt;85,("A"),IF(J230&gt;80,("A-"),IF(J230&gt;75,("B+"),IF(J230&gt;70,("B"),IF(J230&gt;65,("B-"),IF(J230&gt;60,("C+"),IF(J230&gt;55,("C"),IF(J230&gt;50,("C-"),"D+"))))))))</f>
        <v>D+</v>
      </c>
      <c r="M230" s="712" t="str">
        <f t="shared" ref="M230:M234" si="264">IF(J230&gt;80,("SB"),IF(J230&gt;65,("B"),IF(J230&gt;50,("C"),IF(J230&gt;0,("K"),"0"))))</f>
        <v>0</v>
      </c>
      <c r="N230" s="620"/>
      <c r="O230" s="621"/>
      <c r="P230" s="621"/>
      <c r="Q230" s="621"/>
      <c r="R230" s="621"/>
      <c r="S230" s="622"/>
      <c r="T230" s="622"/>
      <c r="U230" s="622"/>
      <c r="V230" s="622"/>
      <c r="W230" s="622"/>
      <c r="X230" s="1251"/>
      <c r="Y230" s="1252"/>
    </row>
    <row r="231" spans="1:25" ht="24.95" customHeight="1" x14ac:dyDescent="0.25">
      <c r="A231" s="360"/>
      <c r="B231" s="683">
        <v>28</v>
      </c>
      <c r="C231" s="634"/>
      <c r="D231" s="1893" t="s">
        <v>10</v>
      </c>
      <c r="E231" s="1891">
        <f>VLOOKUP(A229,UHT_BI,34,FALSE)</f>
        <v>0</v>
      </c>
      <c r="F231" s="1905">
        <f t="shared" si="259"/>
        <v>0</v>
      </c>
      <c r="G231" s="362"/>
      <c r="H231" s="627">
        <f>VLOOKUP(A229,REKAP_NILAI,11,FALSE)</f>
        <v>0</v>
      </c>
      <c r="I231" s="709">
        <f t="shared" si="260"/>
        <v>0</v>
      </c>
      <c r="J231" s="710">
        <f t="shared" si="261"/>
        <v>0</v>
      </c>
      <c r="K231" s="711" t="str">
        <f t="shared" si="262"/>
        <v>1.33</v>
      </c>
      <c r="L231" s="711" t="str">
        <f t="shared" si="263"/>
        <v>D+</v>
      </c>
      <c r="M231" s="712" t="str">
        <f t="shared" si="264"/>
        <v>0</v>
      </c>
      <c r="N231" s="623"/>
      <c r="O231" s="613"/>
      <c r="P231" s="613"/>
      <c r="Q231" s="613"/>
      <c r="R231" s="613"/>
      <c r="S231" s="615"/>
      <c r="T231" s="615"/>
      <c r="U231" s="615"/>
      <c r="V231" s="615"/>
      <c r="W231" s="615"/>
      <c r="X231" s="1253"/>
      <c r="Y231" s="1254"/>
    </row>
    <row r="232" spans="1:25" ht="24.95" customHeight="1" x14ac:dyDescent="0.25">
      <c r="A232" s="360"/>
      <c r="B232" s="683">
        <v>28</v>
      </c>
      <c r="C232" s="634"/>
      <c r="D232" s="1799" t="s">
        <v>8</v>
      </c>
      <c r="E232" s="1891">
        <f>VLOOKUP(A229,UHT_BI,35,FALSE)</f>
        <v>0</v>
      </c>
      <c r="F232" s="1905">
        <f t="shared" si="259"/>
        <v>0</v>
      </c>
      <c r="G232" s="362"/>
      <c r="H232" s="627">
        <f>VLOOKUP(A229,REKAP_NILAI,12,FALSE)</f>
        <v>0</v>
      </c>
      <c r="I232" s="709">
        <f t="shared" si="260"/>
        <v>0</v>
      </c>
      <c r="J232" s="710">
        <f t="shared" si="261"/>
        <v>0</v>
      </c>
      <c r="K232" s="711" t="str">
        <f t="shared" si="262"/>
        <v>1.33</v>
      </c>
      <c r="L232" s="711" t="str">
        <f t="shared" si="263"/>
        <v>D+</v>
      </c>
      <c r="M232" s="712" t="str">
        <f t="shared" si="264"/>
        <v>0</v>
      </c>
      <c r="N232" s="623"/>
      <c r="O232" s="613"/>
      <c r="P232" s="613"/>
      <c r="Q232" s="613"/>
      <c r="R232" s="613"/>
      <c r="S232" s="615"/>
      <c r="T232" s="615"/>
      <c r="U232" s="615"/>
      <c r="V232" s="615"/>
      <c r="W232" s="615"/>
      <c r="X232" s="1253"/>
      <c r="Y232" s="1254"/>
    </row>
    <row r="233" spans="1:25" ht="24.95" customHeight="1" x14ac:dyDescent="0.25">
      <c r="A233" s="360"/>
      <c r="B233" s="683">
        <v>28</v>
      </c>
      <c r="C233" s="634"/>
      <c r="D233" s="1893" t="s">
        <v>18</v>
      </c>
      <c r="E233" s="1891">
        <f>-VLOOKUP(A229,UHT_BI,36,FALSE)</f>
        <v>0</v>
      </c>
      <c r="F233" s="1905">
        <f t="shared" si="259"/>
        <v>0</v>
      </c>
      <c r="G233" s="362"/>
      <c r="H233" s="627">
        <f>VLOOKUP(A229,REKAP_NILAI,13,FALSE)</f>
        <v>0</v>
      </c>
      <c r="I233" s="709">
        <f t="shared" si="260"/>
        <v>0</v>
      </c>
      <c r="J233" s="710">
        <f t="shared" si="261"/>
        <v>0</v>
      </c>
      <c r="K233" s="711" t="str">
        <f t="shared" si="262"/>
        <v>1.33</v>
      </c>
      <c r="L233" s="711" t="str">
        <f t="shared" si="263"/>
        <v>D+</v>
      </c>
      <c r="M233" s="712" t="str">
        <f t="shared" si="264"/>
        <v>0</v>
      </c>
      <c r="N233" s="624"/>
      <c r="O233" s="614"/>
      <c r="P233" s="614"/>
      <c r="Q233" s="614"/>
      <c r="R233" s="614"/>
      <c r="S233" s="616"/>
      <c r="T233" s="616"/>
      <c r="U233" s="616"/>
      <c r="V233" s="616"/>
      <c r="W233" s="616"/>
      <c r="X233" s="1255"/>
      <c r="Y233" s="1256"/>
    </row>
    <row r="234" spans="1:25" ht="24.95" customHeight="1" x14ac:dyDescent="0.25">
      <c r="A234" s="363"/>
      <c r="B234" s="698"/>
      <c r="C234" s="635" t="s">
        <v>464</v>
      </c>
      <c r="D234" s="629">
        <v>38</v>
      </c>
      <c r="E234" s="363"/>
      <c r="F234" s="1907"/>
      <c r="G234" s="363"/>
      <c r="H234" s="1189">
        <f>AVERAGE(H229:H233)</f>
        <v>0</v>
      </c>
      <c r="I234" s="1250"/>
      <c r="J234" s="713">
        <f>AVERAGE(J229:J233)</f>
        <v>0</v>
      </c>
      <c r="K234" s="714" t="str">
        <f t="shared" si="262"/>
        <v>1.33</v>
      </c>
      <c r="L234" s="714" t="str">
        <f t="shared" si="263"/>
        <v>D+</v>
      </c>
      <c r="M234" s="888" t="str">
        <f t="shared" si="264"/>
        <v>0</v>
      </c>
      <c r="N234" s="630"/>
      <c r="O234" s="631"/>
      <c r="P234" s="631"/>
      <c r="Q234" s="631"/>
      <c r="R234" s="631"/>
      <c r="S234" s="631"/>
      <c r="T234" s="631"/>
      <c r="U234" s="631"/>
      <c r="V234" s="631"/>
      <c r="W234" s="631"/>
      <c r="X234" s="1257"/>
      <c r="Y234" s="1258"/>
    </row>
    <row r="235" spans="1:25" ht="24.95" customHeight="1" x14ac:dyDescent="0.25">
      <c r="A235" s="360">
        <v>39</v>
      </c>
      <c r="B235" s="683">
        <v>29</v>
      </c>
      <c r="C235" s="633" t="e">
        <f>VLOOKUP(A235,data_siswa,4,FALSE)</f>
        <v>#N/A</v>
      </c>
      <c r="D235" s="1893" t="s">
        <v>12</v>
      </c>
      <c r="E235" s="1891">
        <f>VLOOKUP(A235,UHT_BI,32,FALSE)</f>
        <v>0</v>
      </c>
      <c r="F235" s="1904">
        <f>E235*2</f>
        <v>0</v>
      </c>
      <c r="G235" s="1891"/>
      <c r="H235" s="627">
        <f>VLOOKUP(B235,REKAP_NILAI,9,FALSE)</f>
        <v>0</v>
      </c>
      <c r="I235" s="706">
        <f>F235+G235+H235</f>
        <v>0</v>
      </c>
      <c r="J235" s="707">
        <f>(F235+G235+H235)/4</f>
        <v>0</v>
      </c>
      <c r="K235" s="708" t="str">
        <f>IF(J235&gt;85,("4"),IF(J235&gt;80,("3.66"),IF(J235&gt;75,("3.33"),IF(J235&gt;70,("3.00"),IF(J235&gt;65,("2.66"),IF(J235&gt;60,("2.33"),IF(J235&gt;55,("2"),IF(J235&gt;50,("1.66"),"1.33"))))))))</f>
        <v>1.33</v>
      </c>
      <c r="L235" s="708" t="str">
        <f>IF(J235&gt;85,("A"),IF(J235&gt;80,("A-"),IF(J235&gt;75,("B+"),IF(J235&gt;70,("B"),IF(J235&gt;65,("B-"),IF(J235&gt;60,("C+"),IF(J235&gt;55,("C"),IF(J235&gt;50,("C-"),"D+"))))))))</f>
        <v>D+</v>
      </c>
      <c r="M235" s="708" t="str">
        <f>IF(J235&gt;80,("SB"),IF(J235&gt;65,("B"),IF(J235&gt;50,("C"),IF(J235&gt;0,("K"),"0"))))</f>
        <v>0</v>
      </c>
      <c r="N235" s="617"/>
      <c r="O235" s="1889"/>
      <c r="P235" s="1889"/>
      <c r="Q235" s="1889"/>
      <c r="R235" s="1889"/>
      <c r="S235" s="619"/>
      <c r="T235" s="619"/>
      <c r="U235" s="619"/>
      <c r="V235" s="619"/>
      <c r="W235" s="623"/>
      <c r="X235" s="1057">
        <f t="shared" ref="X235" si="265">J240</f>
        <v>0</v>
      </c>
      <c r="Y235" s="1194" t="str">
        <f>IF(X235&gt;85,("A"),IF(X235&gt;80,("A-"),IF(X235&gt;75,("B+"),IF(X235&gt;70,("B"),IF(X235&gt;65,("B-"),IF(X235&gt;60,("C+"),IF(X235&gt;55,("C"),IF(X235&gt;50,("C-"),"D+"))))))))</f>
        <v>D+</v>
      </c>
    </row>
    <row r="236" spans="1:25" ht="24.95" customHeight="1" x14ac:dyDescent="0.25">
      <c r="A236" s="360"/>
      <c r="B236" s="683">
        <v>29</v>
      </c>
      <c r="C236" s="634"/>
      <c r="D236" s="1799" t="s">
        <v>7</v>
      </c>
      <c r="E236" s="1891">
        <f>VLOOKUP(A235,UHT_BI,33,FALSE)</f>
        <v>0</v>
      </c>
      <c r="F236" s="1905">
        <f t="shared" ref="F236:F239" si="266">E236*2</f>
        <v>0</v>
      </c>
      <c r="G236" s="362"/>
      <c r="H236" s="627">
        <f>VLOOKUP(B235,REKAP_NILAI,10,FALSE)</f>
        <v>0</v>
      </c>
      <c r="I236" s="709">
        <f t="shared" ref="I236:I239" si="267">F236+G236+H236</f>
        <v>0</v>
      </c>
      <c r="J236" s="710">
        <f t="shared" ref="J236:J239" si="268">(F236+G236+H236)/4</f>
        <v>0</v>
      </c>
      <c r="K236" s="711" t="str">
        <f t="shared" ref="K236:K240" si="269">IF(J236&gt;85,("4"),IF(J236&gt;80,("3.66"),IF(J236&gt;75,("3.33"),IF(J236&gt;70,("3.00"),IF(J236&gt;65,("2.66"),IF(J236&gt;60,("2.33"),IF(J236&gt;55,("2"),IF(J236&gt;50,("1.66"),"1.33"))))))))</f>
        <v>1.33</v>
      </c>
      <c r="L236" s="711" t="str">
        <f t="shared" ref="L236:L240" si="270">IF(J236&gt;85,("A"),IF(J236&gt;80,("A-"),IF(J236&gt;75,("B+"),IF(J236&gt;70,("B"),IF(J236&gt;65,("B-"),IF(J236&gt;60,("C+"),IF(J236&gt;55,("C"),IF(J236&gt;50,("C-"),"D+"))))))))</f>
        <v>D+</v>
      </c>
      <c r="M236" s="712" t="str">
        <f t="shared" ref="M236:M240" si="271">IF(J236&gt;80,("SB"),IF(J236&gt;65,("B"),IF(J236&gt;50,("C"),IF(J236&gt;0,("K"),"0"))))</f>
        <v>0</v>
      </c>
      <c r="N236" s="620"/>
      <c r="O236" s="621"/>
      <c r="P236" s="621"/>
      <c r="Q236" s="621"/>
      <c r="R236" s="621"/>
      <c r="S236" s="622"/>
      <c r="T236" s="622"/>
      <c r="U236" s="622"/>
      <c r="V236" s="622"/>
      <c r="W236" s="622"/>
      <c r="X236" s="1251"/>
      <c r="Y236" s="1252"/>
    </row>
    <row r="237" spans="1:25" ht="24.95" customHeight="1" x14ac:dyDescent="0.25">
      <c r="A237" s="360"/>
      <c r="B237" s="683">
        <v>29</v>
      </c>
      <c r="C237" s="634"/>
      <c r="D237" s="1893" t="s">
        <v>10</v>
      </c>
      <c r="E237" s="1891">
        <f>VLOOKUP(A235,UHT_BI,34,FALSE)</f>
        <v>0</v>
      </c>
      <c r="F237" s="1905">
        <f t="shared" si="266"/>
        <v>0</v>
      </c>
      <c r="G237" s="362"/>
      <c r="H237" s="627">
        <f>VLOOKUP(A235,REKAP_NILAI,11,FALSE)</f>
        <v>0</v>
      </c>
      <c r="I237" s="709">
        <f t="shared" si="267"/>
        <v>0</v>
      </c>
      <c r="J237" s="710">
        <f t="shared" si="268"/>
        <v>0</v>
      </c>
      <c r="K237" s="711" t="str">
        <f t="shared" si="269"/>
        <v>1.33</v>
      </c>
      <c r="L237" s="711" t="str">
        <f t="shared" si="270"/>
        <v>D+</v>
      </c>
      <c r="M237" s="712" t="str">
        <f t="shared" si="271"/>
        <v>0</v>
      </c>
      <c r="N237" s="623"/>
      <c r="O237" s="613"/>
      <c r="P237" s="613"/>
      <c r="Q237" s="613"/>
      <c r="R237" s="613"/>
      <c r="S237" s="615"/>
      <c r="T237" s="615"/>
      <c r="U237" s="615"/>
      <c r="V237" s="615"/>
      <c r="W237" s="615"/>
      <c r="X237" s="1253"/>
      <c r="Y237" s="1254"/>
    </row>
    <row r="238" spans="1:25" ht="24.95" customHeight="1" x14ac:dyDescent="0.25">
      <c r="A238" s="360"/>
      <c r="B238" s="683">
        <v>29</v>
      </c>
      <c r="C238" s="634"/>
      <c r="D238" s="1799" t="s">
        <v>8</v>
      </c>
      <c r="E238" s="1891">
        <f>VLOOKUP(A235,UHT_BI,35,FALSE)</f>
        <v>0</v>
      </c>
      <c r="F238" s="1905">
        <f t="shared" si="266"/>
        <v>0</v>
      </c>
      <c r="G238" s="362"/>
      <c r="H238" s="627">
        <f>VLOOKUP(A235,REKAP_NILAI,12,FALSE)</f>
        <v>0</v>
      </c>
      <c r="I238" s="709">
        <f t="shared" si="267"/>
        <v>0</v>
      </c>
      <c r="J238" s="710">
        <f t="shared" si="268"/>
        <v>0</v>
      </c>
      <c r="K238" s="711" t="str">
        <f t="shared" si="269"/>
        <v>1.33</v>
      </c>
      <c r="L238" s="711" t="str">
        <f t="shared" si="270"/>
        <v>D+</v>
      </c>
      <c r="M238" s="712" t="str">
        <f t="shared" si="271"/>
        <v>0</v>
      </c>
      <c r="N238" s="623"/>
      <c r="O238" s="613"/>
      <c r="P238" s="613"/>
      <c r="Q238" s="613"/>
      <c r="R238" s="613"/>
      <c r="S238" s="615"/>
      <c r="T238" s="615"/>
      <c r="U238" s="615"/>
      <c r="V238" s="615"/>
      <c r="W238" s="615"/>
      <c r="X238" s="1253"/>
      <c r="Y238" s="1254"/>
    </row>
    <row r="239" spans="1:25" ht="24.95" customHeight="1" x14ac:dyDescent="0.25">
      <c r="A239" s="360"/>
      <c r="B239" s="683">
        <v>29</v>
      </c>
      <c r="C239" s="634"/>
      <c r="D239" s="1893" t="s">
        <v>18</v>
      </c>
      <c r="E239" s="1891">
        <f>-VLOOKUP(A235,UHT_BI,36,FALSE)</f>
        <v>0</v>
      </c>
      <c r="F239" s="1905">
        <f t="shared" si="266"/>
        <v>0</v>
      </c>
      <c r="G239" s="362"/>
      <c r="H239" s="627">
        <f>VLOOKUP(A235,REKAP_NILAI,13,FALSE)</f>
        <v>0</v>
      </c>
      <c r="I239" s="709">
        <f t="shared" si="267"/>
        <v>0</v>
      </c>
      <c r="J239" s="710">
        <f t="shared" si="268"/>
        <v>0</v>
      </c>
      <c r="K239" s="711" t="str">
        <f t="shared" si="269"/>
        <v>1.33</v>
      </c>
      <c r="L239" s="711" t="str">
        <f t="shared" si="270"/>
        <v>D+</v>
      </c>
      <c r="M239" s="712" t="str">
        <f t="shared" si="271"/>
        <v>0</v>
      </c>
      <c r="N239" s="624"/>
      <c r="O239" s="614"/>
      <c r="P239" s="614"/>
      <c r="Q239" s="614"/>
      <c r="R239" s="614"/>
      <c r="S239" s="616"/>
      <c r="T239" s="616"/>
      <c r="U239" s="616"/>
      <c r="V239" s="616"/>
      <c r="W239" s="616"/>
      <c r="X239" s="1255"/>
      <c r="Y239" s="1256"/>
    </row>
    <row r="240" spans="1:25" ht="24.95" customHeight="1" x14ac:dyDescent="0.25">
      <c r="A240" s="363"/>
      <c r="B240" s="698"/>
      <c r="C240" s="635" t="s">
        <v>464</v>
      </c>
      <c r="D240" s="629">
        <v>39</v>
      </c>
      <c r="E240" s="363"/>
      <c r="F240" s="1907"/>
      <c r="G240" s="363"/>
      <c r="H240" s="1189">
        <f>AVERAGE(H235:H239)</f>
        <v>0</v>
      </c>
      <c r="I240" s="1250"/>
      <c r="J240" s="713">
        <f>AVERAGE(J235:J239)</f>
        <v>0</v>
      </c>
      <c r="K240" s="714" t="str">
        <f t="shared" si="269"/>
        <v>1.33</v>
      </c>
      <c r="L240" s="714" t="str">
        <f t="shared" si="270"/>
        <v>D+</v>
      </c>
      <c r="M240" s="888" t="str">
        <f t="shared" si="271"/>
        <v>0</v>
      </c>
      <c r="N240" s="630"/>
      <c r="O240" s="631"/>
      <c r="P240" s="631"/>
      <c r="Q240" s="631"/>
      <c r="R240" s="631"/>
      <c r="S240" s="631"/>
      <c r="T240" s="631"/>
      <c r="U240" s="631"/>
      <c r="V240" s="631"/>
      <c r="W240" s="631"/>
      <c r="X240" s="1257"/>
      <c r="Y240" s="1258"/>
    </row>
    <row r="241" spans="1:25" ht="24.95" customHeight="1" x14ac:dyDescent="0.25">
      <c r="A241" s="360">
        <v>40</v>
      </c>
      <c r="B241" s="683">
        <v>30</v>
      </c>
      <c r="C241" s="633" t="e">
        <f>VLOOKUP(A241,data_siswa,4,FALSE)</f>
        <v>#N/A</v>
      </c>
      <c r="D241" s="1893" t="s">
        <v>12</v>
      </c>
      <c r="E241" s="1891">
        <f>VLOOKUP(A241,UHT_BI,32,FALSE)</f>
        <v>0</v>
      </c>
      <c r="F241" s="1904">
        <f>E241*2</f>
        <v>0</v>
      </c>
      <c r="G241" s="1891"/>
      <c r="H241" s="627">
        <f>VLOOKUP(B241,REKAP_NILAI,9,FALSE)</f>
        <v>0</v>
      </c>
      <c r="I241" s="706">
        <f>F241+G241+H241</f>
        <v>0</v>
      </c>
      <c r="J241" s="707">
        <f>(F241+G241+H241)/4</f>
        <v>0</v>
      </c>
      <c r="K241" s="708" t="str">
        <f>IF(J241&gt;85,("4"),IF(J241&gt;80,("3.66"),IF(J241&gt;75,("3.33"),IF(J241&gt;70,("3.00"),IF(J241&gt;65,("2.66"),IF(J241&gt;60,("2.33"),IF(J241&gt;55,("2"),IF(J241&gt;50,("1.66"),"1.33"))))))))</f>
        <v>1.33</v>
      </c>
      <c r="L241" s="708" t="str">
        <f>IF(J241&gt;85,("A"),IF(J241&gt;80,("A-"),IF(J241&gt;75,("B+"),IF(J241&gt;70,("B"),IF(J241&gt;65,("B-"),IF(J241&gt;60,("C+"),IF(J241&gt;55,("C"),IF(J241&gt;50,("C-"),"D+"))))))))</f>
        <v>D+</v>
      </c>
      <c r="M241" s="708" t="str">
        <f>IF(J241&gt;80,("SB"),IF(J241&gt;65,("B"),IF(J241&gt;50,("C"),IF(J241&gt;0,("K"),"0"))))</f>
        <v>0</v>
      </c>
      <c r="N241" s="617"/>
      <c r="O241" s="1889"/>
      <c r="P241" s="1889"/>
      <c r="Q241" s="1889"/>
      <c r="R241" s="1889"/>
      <c r="S241" s="619"/>
      <c r="T241" s="619"/>
      <c r="U241" s="619"/>
      <c r="V241" s="619"/>
      <c r="W241" s="623"/>
      <c r="X241" s="1057">
        <f t="shared" ref="X241" si="272">J246</f>
        <v>0</v>
      </c>
      <c r="Y241" s="1194" t="str">
        <f>IF(X241&gt;85,("A"),IF(X241&gt;80,("A-"),IF(X241&gt;75,("B+"),IF(X241&gt;70,("B"),IF(X241&gt;65,("B-"),IF(X241&gt;60,("C+"),IF(X241&gt;55,("C"),IF(X241&gt;50,("C-"),"D+"))))))))</f>
        <v>D+</v>
      </c>
    </row>
    <row r="242" spans="1:25" ht="24.95" customHeight="1" x14ac:dyDescent="0.25">
      <c r="A242" s="360"/>
      <c r="B242" s="683">
        <v>30</v>
      </c>
      <c r="C242" s="634"/>
      <c r="D242" s="1799" t="s">
        <v>7</v>
      </c>
      <c r="E242" s="1891">
        <f>VLOOKUP(A241,UHT_BI,33,FALSE)</f>
        <v>0</v>
      </c>
      <c r="F242" s="1905">
        <f t="shared" ref="F242:F245" si="273">E242*2</f>
        <v>0</v>
      </c>
      <c r="G242" s="362"/>
      <c r="H242" s="627">
        <f>VLOOKUP(B241,REKAP_NILAI,10,FALSE)</f>
        <v>0</v>
      </c>
      <c r="I242" s="709">
        <f t="shared" ref="I242:I245" si="274">F242+G242+H242</f>
        <v>0</v>
      </c>
      <c r="J242" s="710">
        <f t="shared" ref="J242:J245" si="275">(F242+G242+H242)/4</f>
        <v>0</v>
      </c>
      <c r="K242" s="711" t="str">
        <f t="shared" ref="K242:K246" si="276">IF(J242&gt;85,("4"),IF(J242&gt;80,("3.66"),IF(J242&gt;75,("3.33"),IF(J242&gt;70,("3.00"),IF(J242&gt;65,("2.66"),IF(J242&gt;60,("2.33"),IF(J242&gt;55,("2"),IF(J242&gt;50,("1.66"),"1.33"))))))))</f>
        <v>1.33</v>
      </c>
      <c r="L242" s="711" t="str">
        <f t="shared" ref="L242:L246" si="277">IF(J242&gt;85,("A"),IF(J242&gt;80,("A-"),IF(J242&gt;75,("B+"),IF(J242&gt;70,("B"),IF(J242&gt;65,("B-"),IF(J242&gt;60,("C+"),IF(J242&gt;55,("C"),IF(J242&gt;50,("C-"),"D+"))))))))</f>
        <v>D+</v>
      </c>
      <c r="M242" s="712" t="str">
        <f t="shared" ref="M242:M246" si="278">IF(J242&gt;80,("SB"),IF(J242&gt;65,("B"),IF(J242&gt;50,("C"),IF(J242&gt;0,("K"),"0"))))</f>
        <v>0</v>
      </c>
      <c r="N242" s="620"/>
      <c r="O242" s="621"/>
      <c r="P242" s="621"/>
      <c r="Q242" s="621"/>
      <c r="R242" s="621"/>
      <c r="S242" s="622"/>
      <c r="T242" s="622"/>
      <c r="U242" s="622"/>
      <c r="V242" s="622"/>
      <c r="W242" s="622"/>
      <c r="X242" s="1251"/>
      <c r="Y242" s="1252"/>
    </row>
    <row r="243" spans="1:25" ht="24.95" customHeight="1" x14ac:dyDescent="0.25">
      <c r="A243" s="360"/>
      <c r="B243" s="683">
        <v>30</v>
      </c>
      <c r="C243" s="634"/>
      <c r="D243" s="1893" t="s">
        <v>10</v>
      </c>
      <c r="E243" s="1891">
        <f>VLOOKUP(A241,UHT_BI,34,FALSE)</f>
        <v>0</v>
      </c>
      <c r="F243" s="1905">
        <f t="shared" si="273"/>
        <v>0</v>
      </c>
      <c r="G243" s="362"/>
      <c r="H243" s="627">
        <f>VLOOKUP(A241,REKAP_NILAI,11,FALSE)</f>
        <v>0</v>
      </c>
      <c r="I243" s="709">
        <f t="shared" si="274"/>
        <v>0</v>
      </c>
      <c r="J243" s="710">
        <f t="shared" si="275"/>
        <v>0</v>
      </c>
      <c r="K243" s="711" t="str">
        <f t="shared" si="276"/>
        <v>1.33</v>
      </c>
      <c r="L243" s="711" t="str">
        <f t="shared" si="277"/>
        <v>D+</v>
      </c>
      <c r="M243" s="712" t="str">
        <f t="shared" si="278"/>
        <v>0</v>
      </c>
      <c r="N243" s="623"/>
      <c r="O243" s="613"/>
      <c r="P243" s="613"/>
      <c r="Q243" s="613"/>
      <c r="R243" s="613"/>
      <c r="S243" s="615"/>
      <c r="T243" s="615"/>
      <c r="U243" s="615"/>
      <c r="V243" s="615"/>
      <c r="W243" s="615"/>
      <c r="X243" s="1253"/>
      <c r="Y243" s="1254"/>
    </row>
    <row r="244" spans="1:25" ht="24.95" customHeight="1" x14ac:dyDescent="0.25">
      <c r="A244" s="360"/>
      <c r="B244" s="683">
        <v>30</v>
      </c>
      <c r="C244" s="634"/>
      <c r="D244" s="1799" t="s">
        <v>8</v>
      </c>
      <c r="E244" s="1891">
        <f>VLOOKUP(A241,UHT_BI,35,FALSE)</f>
        <v>0</v>
      </c>
      <c r="F244" s="1905">
        <f t="shared" si="273"/>
        <v>0</v>
      </c>
      <c r="G244" s="362"/>
      <c r="H244" s="627">
        <f>VLOOKUP(A241,REKAP_NILAI,12,FALSE)</f>
        <v>0</v>
      </c>
      <c r="I244" s="709">
        <f t="shared" si="274"/>
        <v>0</v>
      </c>
      <c r="J244" s="710">
        <f t="shared" si="275"/>
        <v>0</v>
      </c>
      <c r="K244" s="711" t="str">
        <f t="shared" si="276"/>
        <v>1.33</v>
      </c>
      <c r="L244" s="711" t="str">
        <f t="shared" si="277"/>
        <v>D+</v>
      </c>
      <c r="M244" s="712" t="str">
        <f t="shared" si="278"/>
        <v>0</v>
      </c>
      <c r="N244" s="623"/>
      <c r="O244" s="613"/>
      <c r="P244" s="613"/>
      <c r="Q244" s="613"/>
      <c r="R244" s="613"/>
      <c r="S244" s="615"/>
      <c r="T244" s="615"/>
      <c r="U244" s="615"/>
      <c r="V244" s="615"/>
      <c r="W244" s="615"/>
      <c r="X244" s="1253"/>
      <c r="Y244" s="1254"/>
    </row>
    <row r="245" spans="1:25" ht="24.95" customHeight="1" x14ac:dyDescent="0.25">
      <c r="A245" s="360"/>
      <c r="B245" s="683">
        <v>30</v>
      </c>
      <c r="C245" s="634"/>
      <c r="D245" s="1893" t="s">
        <v>18</v>
      </c>
      <c r="E245" s="1891">
        <f>-VLOOKUP(A241,UHT_BI,36,FALSE)</f>
        <v>0</v>
      </c>
      <c r="F245" s="1905">
        <f t="shared" si="273"/>
        <v>0</v>
      </c>
      <c r="G245" s="362"/>
      <c r="H245" s="627">
        <f>VLOOKUP(A241,REKAP_NILAI,13,FALSE)</f>
        <v>0</v>
      </c>
      <c r="I245" s="709">
        <f t="shared" si="274"/>
        <v>0</v>
      </c>
      <c r="J245" s="710">
        <f t="shared" si="275"/>
        <v>0</v>
      </c>
      <c r="K245" s="711" t="str">
        <f t="shared" si="276"/>
        <v>1.33</v>
      </c>
      <c r="L245" s="711" t="str">
        <f t="shared" si="277"/>
        <v>D+</v>
      </c>
      <c r="M245" s="712" t="str">
        <f t="shared" si="278"/>
        <v>0</v>
      </c>
      <c r="N245" s="624"/>
      <c r="O245" s="614"/>
      <c r="P245" s="614"/>
      <c r="Q245" s="614"/>
      <c r="R245" s="614"/>
      <c r="S245" s="616"/>
      <c r="T245" s="616"/>
      <c r="U245" s="616"/>
      <c r="V245" s="616"/>
      <c r="W245" s="616"/>
      <c r="X245" s="1255"/>
      <c r="Y245" s="1256"/>
    </row>
    <row r="246" spans="1:25" ht="24.95" customHeight="1" x14ac:dyDescent="0.25">
      <c r="A246" s="363"/>
      <c r="B246" s="698"/>
      <c r="C246" s="635" t="s">
        <v>464</v>
      </c>
      <c r="D246" s="629">
        <v>40</v>
      </c>
      <c r="E246" s="363"/>
      <c r="F246" s="1907"/>
      <c r="G246" s="363"/>
      <c r="H246" s="1189">
        <f>AVERAGE(H241:H245)</f>
        <v>0</v>
      </c>
      <c r="I246" s="1250"/>
      <c r="J246" s="713">
        <f>AVERAGE(J241:J245)</f>
        <v>0</v>
      </c>
      <c r="K246" s="714" t="str">
        <f t="shared" si="276"/>
        <v>1.33</v>
      </c>
      <c r="L246" s="714" t="str">
        <f t="shared" si="277"/>
        <v>D+</v>
      </c>
      <c r="M246" s="888" t="str">
        <f t="shared" si="278"/>
        <v>0</v>
      </c>
      <c r="N246" s="630"/>
      <c r="O246" s="631"/>
      <c r="P246" s="631"/>
      <c r="Q246" s="631"/>
      <c r="R246" s="631"/>
      <c r="S246" s="631"/>
      <c r="T246" s="631"/>
      <c r="U246" s="631"/>
      <c r="V246" s="631"/>
      <c r="W246" s="631"/>
      <c r="X246" s="1257"/>
      <c r="Y246" s="1258"/>
    </row>
  </sheetData>
  <sheetProtection password="C6F9" sheet="1" objects="1" scenarios="1"/>
  <mergeCells count="14">
    <mergeCell ref="Y5:Y6"/>
    <mergeCell ref="A5:A6"/>
    <mergeCell ref="B5:B6"/>
    <mergeCell ref="C5:C6"/>
    <mergeCell ref="D5:D6"/>
    <mergeCell ref="E5:H5"/>
    <mergeCell ref="X5:X6"/>
    <mergeCell ref="I5:I6"/>
    <mergeCell ref="N5:R5"/>
    <mergeCell ref="S5:W5"/>
    <mergeCell ref="J5:J6"/>
    <mergeCell ref="K5:K6"/>
    <mergeCell ref="L5:L6"/>
    <mergeCell ref="M5:M6"/>
  </mergeCells>
  <conditionalFormatting sqref="J7:J11">
    <cfRule type="top10" dxfId="2005" priority="302" bottom="1" rank="1"/>
    <cfRule type="top10" dxfId="2004" priority="303" rank="1"/>
  </conditionalFormatting>
  <conditionalFormatting sqref="J13:J17">
    <cfRule type="top10" dxfId="2003" priority="77" bottom="1" rank="1"/>
    <cfRule type="top10" dxfId="2002" priority="78" rank="1"/>
  </conditionalFormatting>
  <conditionalFormatting sqref="J19:J23">
    <cfRule type="top10" dxfId="2001" priority="75" bottom="1" rank="1"/>
    <cfRule type="top10" dxfId="2000" priority="76" rank="1"/>
  </conditionalFormatting>
  <conditionalFormatting sqref="J25:J29">
    <cfRule type="top10" dxfId="1999" priority="73" bottom="1" rank="1"/>
    <cfRule type="top10" dxfId="1998" priority="74" rank="1"/>
  </conditionalFormatting>
  <conditionalFormatting sqref="J31:J35">
    <cfRule type="top10" dxfId="1997" priority="71" bottom="1" rank="1"/>
    <cfRule type="top10" dxfId="1996" priority="72" rank="1"/>
  </conditionalFormatting>
  <conditionalFormatting sqref="J37:J41">
    <cfRule type="top10" dxfId="1995" priority="69" bottom="1" rank="1"/>
    <cfRule type="top10" dxfId="1994" priority="70" rank="1"/>
  </conditionalFormatting>
  <conditionalFormatting sqref="J43:J47">
    <cfRule type="top10" dxfId="1993" priority="67" bottom="1" rank="1"/>
    <cfRule type="top10" dxfId="1992" priority="68" rank="1"/>
  </conditionalFormatting>
  <conditionalFormatting sqref="J49:J53">
    <cfRule type="top10" dxfId="1991" priority="65" bottom="1" rank="1"/>
    <cfRule type="top10" dxfId="1990" priority="66" rank="1"/>
  </conditionalFormatting>
  <conditionalFormatting sqref="J55:J59">
    <cfRule type="top10" dxfId="1989" priority="63" bottom="1" rank="1"/>
    <cfRule type="top10" dxfId="1988" priority="64" rank="1"/>
  </conditionalFormatting>
  <conditionalFormatting sqref="J61:J65">
    <cfRule type="top10" dxfId="1987" priority="61" bottom="1" rank="1"/>
    <cfRule type="top10" dxfId="1986" priority="62" rank="1"/>
  </conditionalFormatting>
  <conditionalFormatting sqref="J67:J71">
    <cfRule type="top10" dxfId="1985" priority="59" bottom="1" rank="1"/>
    <cfRule type="top10" dxfId="1984" priority="60" rank="1"/>
  </conditionalFormatting>
  <conditionalFormatting sqref="J73:J77">
    <cfRule type="top10" dxfId="1983" priority="57" bottom="1" rank="1"/>
    <cfRule type="top10" dxfId="1982" priority="58" rank="1"/>
  </conditionalFormatting>
  <conditionalFormatting sqref="J79:J83">
    <cfRule type="top10" dxfId="1981" priority="55" bottom="1" rank="1"/>
    <cfRule type="top10" dxfId="1980" priority="56" rank="1"/>
  </conditionalFormatting>
  <conditionalFormatting sqref="J85:J89">
    <cfRule type="top10" dxfId="1979" priority="53" bottom="1" rank="1"/>
    <cfRule type="top10" dxfId="1978" priority="54" rank="1"/>
  </conditionalFormatting>
  <conditionalFormatting sqref="J91:J95">
    <cfRule type="top10" dxfId="1977" priority="51" bottom="1" rank="1"/>
    <cfRule type="top10" dxfId="1976" priority="52" rank="1"/>
  </conditionalFormatting>
  <conditionalFormatting sqref="J97:J101">
    <cfRule type="top10" dxfId="1975" priority="49" bottom="1" rank="1"/>
    <cfRule type="top10" dxfId="1974" priority="50" rank="1"/>
  </conditionalFormatting>
  <conditionalFormatting sqref="J103:J107">
    <cfRule type="top10" dxfId="1973" priority="47" bottom="1" rank="1"/>
    <cfRule type="top10" dxfId="1972" priority="48" rank="1"/>
  </conditionalFormatting>
  <conditionalFormatting sqref="J109:J113">
    <cfRule type="top10" dxfId="1971" priority="45" bottom="1" rank="1"/>
    <cfRule type="top10" dxfId="1970" priority="46" rank="1"/>
  </conditionalFormatting>
  <conditionalFormatting sqref="J115:J119">
    <cfRule type="top10" dxfId="1969" priority="43" bottom="1" rank="1"/>
    <cfRule type="top10" dxfId="1968" priority="44" rank="1"/>
  </conditionalFormatting>
  <conditionalFormatting sqref="J121:J125">
    <cfRule type="top10" dxfId="1967" priority="41" bottom="1" rank="1"/>
    <cfRule type="top10" dxfId="1966" priority="42" rank="1"/>
  </conditionalFormatting>
  <conditionalFormatting sqref="J127:J131">
    <cfRule type="top10" dxfId="1965" priority="39" bottom="1" rank="1"/>
    <cfRule type="top10" dxfId="1964" priority="40" rank="1"/>
  </conditionalFormatting>
  <conditionalFormatting sqref="J133:J137">
    <cfRule type="top10" dxfId="1963" priority="37" bottom="1" rank="1"/>
    <cfRule type="top10" dxfId="1962" priority="38" rank="1"/>
  </conditionalFormatting>
  <conditionalFormatting sqref="J139:J143">
    <cfRule type="top10" dxfId="1961" priority="35" bottom="1" rank="1"/>
    <cfRule type="top10" dxfId="1960" priority="36" rank="1"/>
  </conditionalFormatting>
  <conditionalFormatting sqref="J145:J149">
    <cfRule type="top10" dxfId="1959" priority="33" bottom="1" rank="1"/>
    <cfRule type="top10" dxfId="1958" priority="34" rank="1"/>
  </conditionalFormatting>
  <conditionalFormatting sqref="J151:J155">
    <cfRule type="top10" dxfId="1957" priority="31" bottom="1" rank="1"/>
    <cfRule type="top10" dxfId="1956" priority="32" rank="1"/>
  </conditionalFormatting>
  <conditionalFormatting sqref="J157:J161">
    <cfRule type="top10" dxfId="1955" priority="29" bottom="1" rank="1"/>
    <cfRule type="top10" dxfId="1954" priority="30" rank="1"/>
  </conditionalFormatting>
  <conditionalFormatting sqref="J163:J167">
    <cfRule type="top10" dxfId="1953" priority="27" bottom="1" rank="1"/>
    <cfRule type="top10" dxfId="1952" priority="28" rank="1"/>
  </conditionalFormatting>
  <conditionalFormatting sqref="J169:J173">
    <cfRule type="top10" dxfId="1951" priority="25" bottom="1" rank="1"/>
    <cfRule type="top10" dxfId="1950" priority="26" rank="1"/>
  </conditionalFormatting>
  <conditionalFormatting sqref="J175:J179">
    <cfRule type="top10" dxfId="1949" priority="23" bottom="1" rank="1"/>
    <cfRule type="top10" dxfId="1948" priority="24" rank="1"/>
  </conditionalFormatting>
  <conditionalFormatting sqref="J181:J185">
    <cfRule type="top10" dxfId="1947" priority="21" bottom="1" rank="1"/>
    <cfRule type="top10" dxfId="1946" priority="22" rank="1"/>
  </conditionalFormatting>
  <conditionalFormatting sqref="J187:J191">
    <cfRule type="top10" dxfId="1945" priority="19" bottom="1" rank="1"/>
    <cfRule type="top10" dxfId="1944" priority="20" rank="1"/>
  </conditionalFormatting>
  <conditionalFormatting sqref="J193:J197">
    <cfRule type="top10" dxfId="1943" priority="17" bottom="1" rank="1"/>
    <cfRule type="top10" dxfId="1942" priority="18" rank="1"/>
  </conditionalFormatting>
  <conditionalFormatting sqref="J199:J203">
    <cfRule type="top10" dxfId="1941" priority="15" bottom="1" rank="1"/>
    <cfRule type="top10" dxfId="1940" priority="16" rank="1"/>
  </conditionalFormatting>
  <conditionalFormatting sqref="J205:J209">
    <cfRule type="top10" dxfId="1939" priority="13" bottom="1" rank="1"/>
    <cfRule type="top10" dxfId="1938" priority="14" rank="1"/>
  </conditionalFormatting>
  <conditionalFormatting sqref="J211:J215">
    <cfRule type="top10" dxfId="1937" priority="11" bottom="1" rank="1"/>
    <cfRule type="top10" dxfId="1936" priority="12" rank="1"/>
  </conditionalFormatting>
  <conditionalFormatting sqref="J217:J221">
    <cfRule type="top10" dxfId="1935" priority="9" bottom="1" rank="1"/>
    <cfRule type="top10" dxfId="1934" priority="10" rank="1"/>
  </conditionalFormatting>
  <conditionalFormatting sqref="J223:J227">
    <cfRule type="top10" dxfId="1933" priority="7" bottom="1" rank="1"/>
    <cfRule type="top10" dxfId="1932" priority="8" rank="1"/>
  </conditionalFormatting>
  <conditionalFormatting sqref="J229:J233">
    <cfRule type="top10" dxfId="1931" priority="5" bottom="1" rank="1"/>
    <cfRule type="top10" dxfId="1930" priority="6" rank="1"/>
  </conditionalFormatting>
  <conditionalFormatting sqref="J235:J239">
    <cfRule type="top10" dxfId="1929" priority="3" bottom="1" rank="1"/>
    <cfRule type="top10" dxfId="1928" priority="4" rank="1"/>
  </conditionalFormatting>
  <conditionalFormatting sqref="J241:J245">
    <cfRule type="top10" dxfId="1927" priority="1" bottom="1" rank="1"/>
    <cfRule type="top10" dxfId="1926" priority="2" rank="1"/>
  </conditionalFormatting>
  <pageMargins left="0.7" right="0.7" top="0.75" bottom="0.75" header="0.3" footer="0.3"/>
  <pageSetup paperSize="9" orientation="landscape"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F0"/>
  </sheetPr>
  <dimension ref="A1:AC327"/>
  <sheetViews>
    <sheetView showGridLines="0" zoomScale="80" zoomScaleNormal="80" workbookViewId="0">
      <pane xSplit="3" ySplit="6" topLeftCell="D7" activePane="bottomRight" state="frozen"/>
      <selection pane="topRight" activeCell="D1" sqref="D1"/>
      <selection pane="bottomLeft" activeCell="A7" sqref="A7"/>
      <selection pane="bottomRight" activeCell="L14" sqref="L14"/>
    </sheetView>
  </sheetViews>
  <sheetFormatPr defaultRowHeight="18.75" x14ac:dyDescent="0.3"/>
  <cols>
    <col min="1" max="1" width="5.85546875" style="1366" customWidth="1"/>
    <col min="2" max="2" width="5" style="745" customWidth="1"/>
    <col min="3" max="3" width="29.7109375" style="632" customWidth="1"/>
    <col min="4" max="4" width="6.5703125" style="352" customWidth="1"/>
    <col min="5" max="9" width="6.7109375" style="352" customWidth="1"/>
    <col min="10" max="10" width="7.5703125" style="352" customWidth="1"/>
    <col min="11" max="11" width="9.140625" style="352"/>
    <col min="12" max="12" width="8.28515625" style="352" customWidth="1"/>
    <col min="13" max="13" width="8.140625" style="352" customWidth="1"/>
    <col min="14" max="14" width="5.5703125" style="353" customWidth="1"/>
    <col min="15" max="27" width="5.5703125" style="352" customWidth="1"/>
    <col min="28" max="16384" width="9.140625" style="352"/>
  </cols>
  <sheetData>
    <row r="1" spans="1:29" ht="26.25" x14ac:dyDescent="0.4">
      <c r="A1" s="374" t="s">
        <v>184</v>
      </c>
      <c r="D1" s="69"/>
      <c r="E1" s="69"/>
      <c r="F1" s="69"/>
      <c r="G1" s="69"/>
      <c r="H1" s="69"/>
      <c r="I1" s="69"/>
      <c r="J1" s="69"/>
      <c r="K1" s="69"/>
    </row>
    <row r="2" spans="1:29" ht="26.25" x14ac:dyDescent="0.4">
      <c r="A2" s="1300" t="s">
        <v>185</v>
      </c>
    </row>
    <row r="3" spans="1:29" ht="26.25" x14ac:dyDescent="0.4">
      <c r="A3" s="1301" t="s">
        <v>568</v>
      </c>
      <c r="J3" s="1302"/>
    </row>
    <row r="4" spans="1:29" s="1304" customFormat="1" ht="21.75" thickBot="1" x14ac:dyDescent="0.4">
      <c r="A4" s="1303">
        <v>1</v>
      </c>
      <c r="B4" s="1303">
        <v>2</v>
      </c>
      <c r="C4" s="1303">
        <v>3</v>
      </c>
      <c r="D4" s="1303">
        <v>4</v>
      </c>
      <c r="E4" s="1303">
        <v>5</v>
      </c>
      <c r="F4" s="1303">
        <v>6</v>
      </c>
      <c r="G4" s="1303">
        <v>7</v>
      </c>
      <c r="H4" s="1303">
        <v>8</v>
      </c>
      <c r="I4" s="1303">
        <v>9</v>
      </c>
      <c r="J4" s="1303">
        <v>10</v>
      </c>
      <c r="K4" s="1303">
        <v>11</v>
      </c>
      <c r="L4" s="1303">
        <v>12</v>
      </c>
      <c r="M4" s="1303">
        <v>13</v>
      </c>
      <c r="N4" s="1303">
        <v>14</v>
      </c>
      <c r="O4" s="1303">
        <v>15</v>
      </c>
      <c r="P4" s="1303">
        <v>16</v>
      </c>
      <c r="Q4" s="1303">
        <v>17</v>
      </c>
      <c r="R4" s="1303">
        <v>18</v>
      </c>
      <c r="S4" s="1303">
        <v>19</v>
      </c>
      <c r="T4" s="1303">
        <v>20</v>
      </c>
      <c r="U4" s="1303">
        <v>21</v>
      </c>
      <c r="V4" s="1303">
        <v>22</v>
      </c>
      <c r="W4" s="1303">
        <v>23</v>
      </c>
      <c r="X4" s="1303">
        <v>24</v>
      </c>
      <c r="Y4" s="1303">
        <v>25</v>
      </c>
      <c r="Z4" s="1303">
        <v>26</v>
      </c>
      <c r="AA4" s="1303">
        <v>27</v>
      </c>
      <c r="AB4" s="1303">
        <v>28</v>
      </c>
      <c r="AC4" s="1303">
        <v>29</v>
      </c>
    </row>
    <row r="5" spans="1:29" s="886" customFormat="1" ht="24.75" customHeight="1" x14ac:dyDescent="0.25">
      <c r="A5" s="2571" t="s">
        <v>0</v>
      </c>
      <c r="B5" s="2573" t="s">
        <v>55</v>
      </c>
      <c r="C5" s="2575" t="s">
        <v>1</v>
      </c>
      <c r="D5" s="2520" t="s">
        <v>56</v>
      </c>
      <c r="E5" s="2524" t="s">
        <v>32</v>
      </c>
      <c r="F5" s="2524"/>
      <c r="G5" s="2524"/>
      <c r="H5" s="2524"/>
      <c r="I5" s="2524" t="s">
        <v>59</v>
      </c>
      <c r="J5" s="2524" t="s">
        <v>60</v>
      </c>
      <c r="K5" s="2548" t="s">
        <v>61</v>
      </c>
      <c r="L5" s="2577" t="s">
        <v>509</v>
      </c>
      <c r="M5" s="2579" t="s">
        <v>465</v>
      </c>
      <c r="N5" s="2570" t="s">
        <v>173</v>
      </c>
      <c r="O5" s="2570"/>
      <c r="P5" s="2570"/>
      <c r="Q5" s="2570"/>
      <c r="R5" s="2570"/>
      <c r="S5" s="2570"/>
      <c r="T5" s="2581"/>
      <c r="U5" s="2570" t="s">
        <v>799</v>
      </c>
      <c r="V5" s="2570"/>
      <c r="W5" s="2570"/>
      <c r="X5" s="2570"/>
      <c r="Y5" s="2570"/>
      <c r="Z5" s="2570"/>
      <c r="AA5" s="2570"/>
      <c r="AB5" s="2568" t="s">
        <v>60</v>
      </c>
      <c r="AC5" s="2566" t="s">
        <v>5</v>
      </c>
    </row>
    <row r="6" spans="1:29" ht="30" customHeight="1" thickBot="1" x14ac:dyDescent="0.3">
      <c r="A6" s="2572"/>
      <c r="B6" s="2574"/>
      <c r="C6" s="2576"/>
      <c r="D6" s="2521"/>
      <c r="E6" s="1887" t="s">
        <v>57</v>
      </c>
      <c r="F6" s="1887" t="s">
        <v>58</v>
      </c>
      <c r="G6" s="1887" t="s">
        <v>13</v>
      </c>
      <c r="H6" s="1887" t="s">
        <v>14</v>
      </c>
      <c r="I6" s="2525"/>
      <c r="J6" s="2525"/>
      <c r="K6" s="2549"/>
      <c r="L6" s="2578"/>
      <c r="M6" s="2580"/>
      <c r="N6" s="1826" t="s">
        <v>10</v>
      </c>
      <c r="O6" s="1826" t="s">
        <v>20</v>
      </c>
      <c r="P6" s="1826" t="s">
        <v>19</v>
      </c>
      <c r="Q6" s="1826" t="s">
        <v>181</v>
      </c>
      <c r="R6" s="1826" t="s">
        <v>182</v>
      </c>
      <c r="S6" s="1826" t="s">
        <v>566</v>
      </c>
      <c r="T6" s="1827" t="s">
        <v>567</v>
      </c>
      <c r="U6" s="1828" t="s">
        <v>10</v>
      </c>
      <c r="V6" s="1829" t="s">
        <v>20</v>
      </c>
      <c r="W6" s="1829" t="s">
        <v>19</v>
      </c>
      <c r="X6" s="1829" t="s">
        <v>181</v>
      </c>
      <c r="Y6" s="1829" t="s">
        <v>182</v>
      </c>
      <c r="Z6" s="1829" t="s">
        <v>566</v>
      </c>
      <c r="AA6" s="1829" t="s">
        <v>567</v>
      </c>
      <c r="AB6" s="2569"/>
      <c r="AC6" s="2567"/>
    </row>
    <row r="7" spans="1:29" ht="24.95" customHeight="1" x14ac:dyDescent="0.25">
      <c r="A7" s="1306">
        <v>1</v>
      </c>
      <c r="B7" s="683">
        <v>1</v>
      </c>
      <c r="C7" s="1307" t="str">
        <f>VLOOKUP(A7,data_siswa,4)</f>
        <v>Achmad Zacky</v>
      </c>
      <c r="D7" s="1305" t="s">
        <v>10</v>
      </c>
      <c r="E7" s="1308">
        <f>VLOOKUP(A7,UHT_MAT,49,FALSE)</f>
        <v>71</v>
      </c>
      <c r="F7" s="1908">
        <f>E7*2</f>
        <v>142</v>
      </c>
      <c r="G7" s="1308">
        <v>75</v>
      </c>
      <c r="H7" s="1309">
        <f>VLOOKUP(B7,REKAP_NILAI,16,FALSE)</f>
        <v>75</v>
      </c>
      <c r="I7" s="1367">
        <f>F7+G7+H7</f>
        <v>292</v>
      </c>
      <c r="J7" s="1368">
        <f>(F7+G7+H7)/4</f>
        <v>73</v>
      </c>
      <c r="K7" s="1369" t="str">
        <f>IF(J7&gt;85,("4"),IF(J7&gt;80,("3.66"),IF(J7&gt;75,("3.33"),IF(J7&gt;70,("3.00"),IF(J7&gt;65,("2.66"),IF(J7&gt;60,("2.33"),IF(J7&gt;55,("2"),IF(J7&gt;50,("1.66"),"1.33"))))))))</f>
        <v>3.00</v>
      </c>
      <c r="L7" s="1369" t="str">
        <f>IF(J7&gt;85,("A"),IF(J7&gt;80,("A-"),IF(J7&gt;75,("B+"),IF(J7&gt;70,("B"),IF(J7&gt;65,("B-"),IF(J7&gt;60,("C+"),IF(J7&gt;55,("C"),IF(J7&gt;50,("C-"),"D+"))))))))</f>
        <v>B</v>
      </c>
      <c r="M7" s="1370" t="str">
        <f>IF(J7&gt;80,("SB"),IF(J7&gt;65,("B"),IF(J7&gt;50,("C"),IF(J7&gt;0,("K"),"0"))))</f>
        <v>B</v>
      </c>
      <c r="N7" s="1823"/>
      <c r="O7" s="1823"/>
      <c r="P7" s="1823">
        <v>3</v>
      </c>
      <c r="Q7" s="1823"/>
      <c r="R7" s="1823"/>
      <c r="S7" s="1823"/>
      <c r="T7" s="1824"/>
      <c r="U7" s="1825">
        <v>3</v>
      </c>
      <c r="V7" s="1825"/>
      <c r="W7" s="1825"/>
      <c r="X7" s="1825"/>
      <c r="Y7" s="1825"/>
      <c r="Z7" s="1825"/>
      <c r="AA7" s="1825"/>
      <c r="AB7" s="704">
        <f>J14</f>
        <v>76.958660387231816</v>
      </c>
      <c r="AC7" s="1481" t="str">
        <f>IF(AB7&gt;85,("A"),IF(AB7&gt;80,("A-"),IF(AB7&gt;75,("B+"),IF(AB7&gt;70,("B"),IF(AB7&gt;65,("B-"),IF(AB7&gt;60,("C+"),IF(AB7&gt;55,("C"),IF(AB7&gt;50,("C-"),"D+"))))))))</f>
        <v>B+</v>
      </c>
    </row>
    <row r="8" spans="1:29" ht="24.95" customHeight="1" x14ac:dyDescent="0.25">
      <c r="A8" s="1306"/>
      <c r="B8" s="683">
        <v>1</v>
      </c>
      <c r="C8" s="1310"/>
      <c r="D8" s="1305" t="s">
        <v>20</v>
      </c>
      <c r="E8" s="1308">
        <f>VLOOKUP(A7,UHT_MAT,50,FALSE)</f>
        <v>78.833333333333329</v>
      </c>
      <c r="F8" s="1908">
        <f t="shared" ref="F8:F13" si="0">E8*2</f>
        <v>157.66666666666666</v>
      </c>
      <c r="G8" s="1308">
        <v>75</v>
      </c>
      <c r="H8" s="1309">
        <f>VLOOKUP(B7,REKAP_NILAI,17,FALSE)</f>
        <v>83.333333333333329</v>
      </c>
      <c r="I8" s="1371">
        <f t="shared" ref="I8:I13" si="1">F8+G8+H8</f>
        <v>316</v>
      </c>
      <c r="J8" s="1372">
        <f t="shared" ref="J8:J13" si="2">(F8+G8+H8)/4</f>
        <v>79</v>
      </c>
      <c r="K8" s="1373" t="str">
        <f t="shared" ref="K8:K14" si="3">IF(J8&gt;85,("4"),IF(J8&gt;80,("3.66"),IF(J8&gt;75,("3.33"),IF(J8&gt;70,("3.00"),IF(J8&gt;65,("2.66"),IF(J8&gt;60,("2.33"),IF(J8&gt;55,("2"),IF(J8&gt;50,("1.66"),"1.33"))))))))</f>
        <v>3.33</v>
      </c>
      <c r="L8" s="1373" t="str">
        <f t="shared" ref="L8:L14" si="4">IF(J8&gt;85,("A"),IF(J8&gt;80,("A-"),IF(J8&gt;75,("B+"),IF(J8&gt;70,("B"),IF(J8&gt;65,("B-"),IF(J8&gt;60,("C+"),IF(J8&gt;55,("C"),IF(J8&gt;50,("C-"),"D+"))))))))</f>
        <v>B+</v>
      </c>
      <c r="M8" s="1374" t="str">
        <f t="shared" ref="M8:M14" si="5">IF(J8&gt;80,("SB"),IF(J8&gt;65,("B"),IF(J8&gt;50,("C"),IF(J8&gt;0,("K"),"0"))))</f>
        <v>B</v>
      </c>
      <c r="N8" s="1311"/>
      <c r="O8" s="1312"/>
      <c r="P8" s="1312"/>
      <c r="Q8" s="1312"/>
      <c r="R8" s="1312"/>
      <c r="S8" s="1312"/>
      <c r="T8" s="1312"/>
      <c r="U8" s="1313"/>
      <c r="V8" s="1314"/>
      <c r="W8" s="1314"/>
      <c r="X8" s="1314"/>
      <c r="Y8" s="1314"/>
      <c r="Z8" s="1314"/>
      <c r="AA8" s="1315"/>
      <c r="AB8" s="1251"/>
      <c r="AC8" s="1252"/>
    </row>
    <row r="9" spans="1:29" ht="24.95" customHeight="1" x14ac:dyDescent="0.25">
      <c r="A9" s="1306"/>
      <c r="B9" s="683">
        <v>1</v>
      </c>
      <c r="C9" s="1310"/>
      <c r="D9" s="1305" t="s">
        <v>19</v>
      </c>
      <c r="E9" s="1308">
        <f>VLOOKUP(A7,UHT_MAT,51,FALSE)</f>
        <v>81.333333333333329</v>
      </c>
      <c r="F9" s="1908">
        <f t="shared" si="0"/>
        <v>162.66666666666666</v>
      </c>
      <c r="G9" s="1308">
        <v>75</v>
      </c>
      <c r="H9" s="1309">
        <f>VLOOKUP(B7,REKAP_NILAI,18,FALSE)</f>
        <v>81.593406593406598</v>
      </c>
      <c r="I9" s="1371">
        <f t="shared" si="1"/>
        <v>319.26007326007323</v>
      </c>
      <c r="J9" s="1372">
        <f t="shared" si="2"/>
        <v>79.815018315018307</v>
      </c>
      <c r="K9" s="1373" t="str">
        <f t="shared" si="3"/>
        <v>3.33</v>
      </c>
      <c r="L9" s="1373" t="str">
        <f t="shared" si="4"/>
        <v>B+</v>
      </c>
      <c r="M9" s="1374" t="str">
        <f t="shared" si="5"/>
        <v>B</v>
      </c>
      <c r="N9" s="1311"/>
      <c r="O9" s="1312"/>
      <c r="P9" s="1312"/>
      <c r="Q9" s="1312"/>
      <c r="R9" s="1312"/>
      <c r="S9" s="1312"/>
      <c r="T9" s="1312"/>
      <c r="U9" s="1313"/>
      <c r="V9" s="1314"/>
      <c r="W9" s="1314"/>
      <c r="X9" s="1314"/>
      <c r="Y9" s="1314"/>
      <c r="Z9" s="1314"/>
      <c r="AA9" s="1315"/>
      <c r="AB9" s="1253"/>
      <c r="AC9" s="1254"/>
    </row>
    <row r="10" spans="1:29" ht="24.95" customHeight="1" x14ac:dyDescent="0.25">
      <c r="A10" s="1306"/>
      <c r="B10" s="683">
        <v>1</v>
      </c>
      <c r="C10" s="1310"/>
      <c r="D10" s="1305" t="s">
        <v>181</v>
      </c>
      <c r="E10" s="1308">
        <f>VLOOKUP(A7,UHT_MAT,52,FALSE)</f>
        <v>75.333333333333329</v>
      </c>
      <c r="F10" s="1908">
        <f t="shared" si="0"/>
        <v>150.66666666666666</v>
      </c>
      <c r="G10" s="1308">
        <v>75</v>
      </c>
      <c r="H10" s="1309">
        <f>VLOOKUP(B7,REKAP_NILAI,19,FALSE)</f>
        <v>87.728937728937737</v>
      </c>
      <c r="I10" s="1371">
        <f t="shared" si="1"/>
        <v>313.39560439560438</v>
      </c>
      <c r="J10" s="1372">
        <f t="shared" si="2"/>
        <v>78.348901098901095</v>
      </c>
      <c r="K10" s="1373" t="str">
        <f t="shared" si="3"/>
        <v>3.33</v>
      </c>
      <c r="L10" s="1373" t="str">
        <f t="shared" si="4"/>
        <v>B+</v>
      </c>
      <c r="M10" s="1374" t="str">
        <f t="shared" si="5"/>
        <v>B</v>
      </c>
      <c r="N10" s="1311"/>
      <c r="O10" s="1312"/>
      <c r="P10" s="1312"/>
      <c r="Q10" s="1312"/>
      <c r="R10" s="1312"/>
      <c r="S10" s="1312"/>
      <c r="T10" s="1312"/>
      <c r="U10" s="1313"/>
      <c r="V10" s="1314"/>
      <c r="W10" s="1314"/>
      <c r="X10" s="1314"/>
      <c r="Y10" s="1314"/>
      <c r="Z10" s="1314"/>
      <c r="AA10" s="1315"/>
      <c r="AB10" s="1253"/>
      <c r="AC10" s="1254"/>
    </row>
    <row r="11" spans="1:29" ht="24.95" customHeight="1" x14ac:dyDescent="0.25">
      <c r="A11" s="1306"/>
      <c r="B11" s="683">
        <v>1</v>
      </c>
      <c r="C11" s="1310"/>
      <c r="D11" s="1305" t="s">
        <v>182</v>
      </c>
      <c r="E11" s="1308">
        <f>VLOOKUP(A7,UHT_MAT,53,FALSE)</f>
        <v>75</v>
      </c>
      <c r="F11" s="1908">
        <f t="shared" si="0"/>
        <v>150</v>
      </c>
      <c r="G11" s="1308">
        <v>75</v>
      </c>
      <c r="H11" s="1309">
        <f>VLOOKUP(B7,REKAP_NILAI,20,FALSE)</f>
        <v>81.593406593406598</v>
      </c>
      <c r="I11" s="1371">
        <f t="shared" si="1"/>
        <v>306.5934065934066</v>
      </c>
      <c r="J11" s="1372">
        <f t="shared" si="2"/>
        <v>76.64835164835165</v>
      </c>
      <c r="K11" s="1373" t="str">
        <f t="shared" si="3"/>
        <v>3.33</v>
      </c>
      <c r="L11" s="1373" t="str">
        <f t="shared" si="4"/>
        <v>B+</v>
      </c>
      <c r="M11" s="1374" t="str">
        <f t="shared" si="5"/>
        <v>B</v>
      </c>
      <c r="N11" s="1311"/>
      <c r="O11" s="1312"/>
      <c r="P11" s="1312"/>
      <c r="Q11" s="1312"/>
      <c r="R11" s="1312"/>
      <c r="S11" s="1312"/>
      <c r="T11" s="1312"/>
      <c r="U11" s="1313"/>
      <c r="V11" s="1314"/>
      <c r="W11" s="1314"/>
      <c r="X11" s="1314"/>
      <c r="Y11" s="1314"/>
      <c r="Z11" s="1314"/>
      <c r="AA11" s="1315"/>
      <c r="AB11" s="1253"/>
      <c r="AC11" s="1254"/>
    </row>
    <row r="12" spans="1:29" ht="24.95" customHeight="1" x14ac:dyDescent="0.25">
      <c r="A12" s="1306"/>
      <c r="B12" s="683">
        <v>1</v>
      </c>
      <c r="C12" s="1310"/>
      <c r="D12" s="1305" t="s">
        <v>566</v>
      </c>
      <c r="E12" s="1308">
        <f>VLOOKUP(A7,UHT_MAT,54,FALSE)</f>
        <v>70</v>
      </c>
      <c r="F12" s="1908">
        <f t="shared" si="0"/>
        <v>140</v>
      </c>
      <c r="G12" s="1308">
        <v>75</v>
      </c>
      <c r="H12" s="1309">
        <f>VLOOKUP(B7,REKAP_NILAI,21,FALSE)</f>
        <v>81.593406593406598</v>
      </c>
      <c r="I12" s="1371">
        <f t="shared" si="1"/>
        <v>296.5934065934066</v>
      </c>
      <c r="J12" s="1372">
        <f t="shared" si="2"/>
        <v>74.14835164835165</v>
      </c>
      <c r="K12" s="1373" t="str">
        <f t="shared" si="3"/>
        <v>3.00</v>
      </c>
      <c r="L12" s="1373" t="str">
        <f t="shared" si="4"/>
        <v>B</v>
      </c>
      <c r="M12" s="1374" t="str">
        <f t="shared" si="5"/>
        <v>B</v>
      </c>
      <c r="N12" s="1311"/>
      <c r="O12" s="1312"/>
      <c r="P12" s="1312"/>
      <c r="Q12" s="1312"/>
      <c r="R12" s="1312"/>
      <c r="S12" s="1312"/>
      <c r="T12" s="1312"/>
      <c r="U12" s="1313"/>
      <c r="V12" s="1314"/>
      <c r="W12" s="1314"/>
      <c r="X12" s="1314"/>
      <c r="Y12" s="1314"/>
      <c r="Z12" s="1314"/>
      <c r="AA12" s="1315"/>
      <c r="AB12" s="1253"/>
      <c r="AC12" s="1254"/>
    </row>
    <row r="13" spans="1:29" ht="24.95" customHeight="1" x14ac:dyDescent="0.25">
      <c r="A13" s="1306"/>
      <c r="B13" s="683">
        <v>1</v>
      </c>
      <c r="C13" s="1310"/>
      <c r="D13" s="1305" t="s">
        <v>567</v>
      </c>
      <c r="E13" s="1308">
        <f>VLOOKUP(A7,UHT_MAT,55,FALSE)</f>
        <v>80</v>
      </c>
      <c r="F13" s="1908">
        <f t="shared" si="0"/>
        <v>160</v>
      </c>
      <c r="G13" s="1308">
        <v>76</v>
      </c>
      <c r="H13" s="1309">
        <f>VLOOKUP(B7,REKAP_NILAI,22,FALSE)</f>
        <v>75</v>
      </c>
      <c r="I13" s="1371">
        <f t="shared" si="1"/>
        <v>311</v>
      </c>
      <c r="J13" s="1372">
        <f t="shared" si="2"/>
        <v>77.75</v>
      </c>
      <c r="K13" s="1373" t="str">
        <f t="shared" si="3"/>
        <v>3.33</v>
      </c>
      <c r="L13" s="1373" t="str">
        <f t="shared" si="4"/>
        <v>B+</v>
      </c>
      <c r="M13" s="1374" t="str">
        <f t="shared" si="5"/>
        <v>B</v>
      </c>
      <c r="N13" s="1311"/>
      <c r="O13" s="1312"/>
      <c r="P13" s="1312"/>
      <c r="Q13" s="1312"/>
      <c r="R13" s="1312"/>
      <c r="S13" s="1312"/>
      <c r="T13" s="1312"/>
      <c r="U13" s="1313"/>
      <c r="V13" s="1314"/>
      <c r="W13" s="1314"/>
      <c r="X13" s="1314"/>
      <c r="Y13" s="1314"/>
      <c r="Z13" s="1314"/>
      <c r="AA13" s="1315"/>
      <c r="AB13" s="1255"/>
      <c r="AC13" s="1256"/>
    </row>
    <row r="14" spans="1:29" ht="24.95" customHeight="1" x14ac:dyDescent="0.3">
      <c r="A14" s="1316"/>
      <c r="B14" s="1317"/>
      <c r="C14" s="1318" t="s">
        <v>149</v>
      </c>
      <c r="D14" s="1319">
        <v>1</v>
      </c>
      <c r="E14" s="1320"/>
      <c r="F14" s="1909"/>
      <c r="G14" s="1320"/>
      <c r="H14" s="1321">
        <f>AVERAGE(H7:H13)</f>
        <v>80.834641548927266</v>
      </c>
      <c r="I14" s="1375"/>
      <c r="J14" s="1376">
        <f>AVERAGE(J7:J13)</f>
        <v>76.958660387231816</v>
      </c>
      <c r="K14" s="1377" t="str">
        <f t="shared" si="3"/>
        <v>3.33</v>
      </c>
      <c r="L14" s="1377" t="str">
        <f t="shared" si="4"/>
        <v>B+</v>
      </c>
      <c r="M14" s="1378" t="str">
        <f t="shared" si="5"/>
        <v>B</v>
      </c>
      <c r="N14" s="1322"/>
      <c r="O14" s="1323"/>
      <c r="P14" s="1323"/>
      <c r="Q14" s="1323"/>
      <c r="R14" s="1323"/>
      <c r="S14" s="1323"/>
      <c r="T14" s="1323"/>
      <c r="U14" s="1322"/>
      <c r="V14" s="1323"/>
      <c r="W14" s="1322"/>
      <c r="X14" s="1323"/>
      <c r="Y14" s="1323"/>
      <c r="Z14" s="1323"/>
      <c r="AA14" s="1324"/>
      <c r="AB14" s="1257"/>
      <c r="AC14" s="1258"/>
    </row>
    <row r="15" spans="1:29" ht="24.95" customHeight="1" x14ac:dyDescent="0.25">
      <c r="A15" s="1325">
        <v>2</v>
      </c>
      <c r="B15" s="1326">
        <v>2</v>
      </c>
      <c r="C15" s="1327" t="str">
        <f>VLOOKUP(A15,data_siswa,4)</f>
        <v>Angelia Vabel R</v>
      </c>
      <c r="D15" s="1305" t="s">
        <v>10</v>
      </c>
      <c r="E15" s="1308">
        <f>VLOOKUP(A15,UHT_MAT,49,FALSE)</f>
        <v>0</v>
      </c>
      <c r="F15" s="1908">
        <f>E15*2</f>
        <v>0</v>
      </c>
      <c r="G15" s="1308"/>
      <c r="H15" s="1309">
        <f>VLOOKUP(B15,REKAP_NILAI,16,FALSE)</f>
        <v>0</v>
      </c>
      <c r="I15" s="1367">
        <f>F15+G15+H15</f>
        <v>0</v>
      </c>
      <c r="J15" s="1368">
        <f>(F15+G15+H15)/4</f>
        <v>0</v>
      </c>
      <c r="K15" s="1369" t="str">
        <f>IF(J15&gt;85,("4"),IF(J15&gt;80,("3.66"),IF(J15&gt;75,("3.33"),IF(J15&gt;70,("3.00"),IF(J15&gt;65,("2.66"),IF(J15&gt;60,("2.33"),IF(J15&gt;55,("2"),IF(J15&gt;50,("1.66"),"1.33"))))))))</f>
        <v>1.33</v>
      </c>
      <c r="L15" s="1369" t="str">
        <f>IF(J15&gt;85,("A"),IF(J15&gt;80,("A-"),IF(J15&gt;75,("B+"),IF(J15&gt;70,("B"),IF(J15&gt;65,("B-"),IF(J15&gt;60,("C+"),IF(J15&gt;55,("C"),IF(J15&gt;50,("C-"),"D+"))))))))</f>
        <v>D+</v>
      </c>
      <c r="M15" s="1370" t="str">
        <f>IF(J15&gt;80,("SB"),IF(J15&gt;65,("B"),IF(J15&gt;50,("C"),IF(J15&gt;0,("K"),"0"))))</f>
        <v>0</v>
      </c>
      <c r="N15" s="1328"/>
      <c r="O15" s="1329"/>
      <c r="P15" s="1329"/>
      <c r="Q15" s="1329"/>
      <c r="R15" s="1329"/>
      <c r="S15" s="1329"/>
      <c r="T15" s="1330"/>
      <c r="U15" s="1331"/>
      <c r="V15" s="1331"/>
      <c r="W15" s="1331"/>
      <c r="X15" s="1331"/>
      <c r="Y15" s="1331"/>
      <c r="Z15" s="1331"/>
      <c r="AA15" s="1331"/>
      <c r="AB15" s="1057">
        <f>J22</f>
        <v>0</v>
      </c>
      <c r="AC15" s="1194" t="str">
        <f>IF(AB15&gt;85,("A"),IF(AB15&gt;80,("A-"),IF(AB15&gt;75,("B+"),IF(AB15&gt;70,("B"),IF(AB15&gt;65,("B-"),IF(AB15&gt;60,("C+"),IF(AB15&gt;55,("C"),IF(AB15&gt;50,("C-"),"D+"))))))))</f>
        <v>D+</v>
      </c>
    </row>
    <row r="16" spans="1:29" ht="24.95" customHeight="1" x14ac:dyDescent="0.25">
      <c r="A16" s="1306"/>
      <c r="B16" s="683">
        <v>2</v>
      </c>
      <c r="C16" s="1310"/>
      <c r="D16" s="1305" t="s">
        <v>20</v>
      </c>
      <c r="E16" s="1308">
        <f>VLOOKUP(A15,UHT_MAT,50,FALSE)</f>
        <v>0</v>
      </c>
      <c r="F16" s="1908">
        <f t="shared" ref="F16:F21" si="6">E16*2</f>
        <v>0</v>
      </c>
      <c r="G16" s="1308"/>
      <c r="H16" s="1309">
        <f>VLOOKUP(B15,REKAP_NILAI,17,FALSE)</f>
        <v>0</v>
      </c>
      <c r="I16" s="1371">
        <f t="shared" ref="I16:I21" si="7">F16+G16+H16</f>
        <v>0</v>
      </c>
      <c r="J16" s="1372">
        <f t="shared" ref="J16:J21" si="8">(F16+G16+H16)/4</f>
        <v>0</v>
      </c>
      <c r="K16" s="1373" t="str">
        <f t="shared" ref="K16:K21" si="9">IF(J16&gt;85,("4"),IF(J16&gt;80,("3.66"),IF(J16&gt;75,("3.33"),IF(J16&gt;70,("3.00"),IF(J16&gt;65,("2.66"),IF(J16&gt;60,("2.33"),IF(J16&gt;55,("2"),IF(J16&gt;50,("1.66"),"1.33"))))))))</f>
        <v>1.33</v>
      </c>
      <c r="L16" s="1373" t="str">
        <f t="shared" ref="L16:L21" si="10">IF(J16&gt;85,("A"),IF(J16&gt;80,("A-"),IF(J16&gt;75,("B+"),IF(J16&gt;70,("B"),IF(J16&gt;65,("B-"),IF(J16&gt;60,("C+"),IF(J16&gt;55,("C"),IF(J16&gt;50,("C-"),"D+"))))))))</f>
        <v>D+</v>
      </c>
      <c r="M16" s="1374" t="str">
        <f t="shared" ref="M16:M21" si="11">IF(J16&gt;80,("SB"),IF(J16&gt;65,("B"),IF(J16&gt;50,("C"),IF(J16&gt;0,("K"),"0"))))</f>
        <v>0</v>
      </c>
      <c r="N16" s="1332"/>
      <c r="O16" s="1333"/>
      <c r="P16" s="1333"/>
      <c r="Q16" s="1333"/>
      <c r="R16" s="1333"/>
      <c r="S16" s="1333"/>
      <c r="T16" s="1333"/>
      <c r="U16" s="1334"/>
      <c r="V16" s="1335"/>
      <c r="W16" s="1335"/>
      <c r="X16" s="1335"/>
      <c r="Y16" s="1335"/>
      <c r="Z16" s="1335"/>
      <c r="AA16" s="1336"/>
      <c r="AB16" s="1251"/>
      <c r="AC16" s="1252"/>
    </row>
    <row r="17" spans="1:29" ht="24.95" customHeight="1" x14ac:dyDescent="0.25">
      <c r="A17" s="1306"/>
      <c r="B17" s="683">
        <v>2</v>
      </c>
      <c r="C17" s="1310"/>
      <c r="D17" s="1305" t="s">
        <v>19</v>
      </c>
      <c r="E17" s="1308">
        <f>VLOOKUP(A15,UHT_MAT,51,FALSE)</f>
        <v>0</v>
      </c>
      <c r="F17" s="1908">
        <f t="shared" si="6"/>
        <v>0</v>
      </c>
      <c r="G17" s="1308"/>
      <c r="H17" s="1309">
        <f>VLOOKUP(B15,REKAP_NILAI,18,FALSE)</f>
        <v>0</v>
      </c>
      <c r="I17" s="1371">
        <f t="shared" si="7"/>
        <v>0</v>
      </c>
      <c r="J17" s="1372">
        <f t="shared" si="8"/>
        <v>0</v>
      </c>
      <c r="K17" s="1373" t="str">
        <f t="shared" si="9"/>
        <v>1.33</v>
      </c>
      <c r="L17" s="1373" t="str">
        <f t="shared" si="10"/>
        <v>D+</v>
      </c>
      <c r="M17" s="1374" t="str">
        <f t="shared" si="11"/>
        <v>0</v>
      </c>
      <c r="N17" s="1311"/>
      <c r="O17" s="1312"/>
      <c r="P17" s="1312"/>
      <c r="Q17" s="1312"/>
      <c r="R17" s="1312"/>
      <c r="S17" s="1312"/>
      <c r="T17" s="1312"/>
      <c r="U17" s="1313"/>
      <c r="V17" s="1314"/>
      <c r="W17" s="1314"/>
      <c r="X17" s="1314"/>
      <c r="Y17" s="1314"/>
      <c r="Z17" s="1314"/>
      <c r="AA17" s="1315"/>
      <c r="AB17" s="1253"/>
      <c r="AC17" s="1254"/>
    </row>
    <row r="18" spans="1:29" ht="24.95" customHeight="1" x14ac:dyDescent="0.25">
      <c r="A18" s="1306"/>
      <c r="B18" s="683">
        <v>2</v>
      </c>
      <c r="C18" s="1310"/>
      <c r="D18" s="1305" t="s">
        <v>181</v>
      </c>
      <c r="E18" s="1308">
        <f>VLOOKUP(A15,UHT_MAT,52,FALSE)</f>
        <v>0</v>
      </c>
      <c r="F18" s="1908">
        <f t="shared" si="6"/>
        <v>0</v>
      </c>
      <c r="G18" s="1308"/>
      <c r="H18" s="1309">
        <f>VLOOKUP(B15,REKAP_NILAI,19,FALSE)</f>
        <v>0</v>
      </c>
      <c r="I18" s="1371">
        <f t="shared" si="7"/>
        <v>0</v>
      </c>
      <c r="J18" s="1372">
        <f t="shared" si="8"/>
        <v>0</v>
      </c>
      <c r="K18" s="1373" t="str">
        <f t="shared" si="9"/>
        <v>1.33</v>
      </c>
      <c r="L18" s="1373" t="str">
        <f t="shared" si="10"/>
        <v>D+</v>
      </c>
      <c r="M18" s="1374" t="str">
        <f t="shared" si="11"/>
        <v>0</v>
      </c>
      <c r="N18" s="1311"/>
      <c r="O18" s="1312"/>
      <c r="P18" s="1312"/>
      <c r="Q18" s="1312"/>
      <c r="R18" s="1312"/>
      <c r="S18" s="1312"/>
      <c r="T18" s="1312"/>
      <c r="U18" s="1313"/>
      <c r="V18" s="1314"/>
      <c r="W18" s="1314"/>
      <c r="X18" s="1314"/>
      <c r="Y18" s="1314"/>
      <c r="Z18" s="1314"/>
      <c r="AA18" s="1315"/>
      <c r="AB18" s="1253"/>
      <c r="AC18" s="1254"/>
    </row>
    <row r="19" spans="1:29" ht="24.95" customHeight="1" x14ac:dyDescent="0.25">
      <c r="A19" s="1306"/>
      <c r="B19" s="683">
        <v>2</v>
      </c>
      <c r="C19" s="1310"/>
      <c r="D19" s="1305" t="s">
        <v>182</v>
      </c>
      <c r="E19" s="1308">
        <f>VLOOKUP(A15,UHT_MAT,53,FALSE)</f>
        <v>0</v>
      </c>
      <c r="F19" s="1908">
        <f t="shared" si="6"/>
        <v>0</v>
      </c>
      <c r="G19" s="1308"/>
      <c r="H19" s="1309">
        <f>VLOOKUP(B15,REKAP_NILAI,20,FALSE)</f>
        <v>0</v>
      </c>
      <c r="I19" s="1371">
        <f t="shared" si="7"/>
        <v>0</v>
      </c>
      <c r="J19" s="1372">
        <f t="shared" si="8"/>
        <v>0</v>
      </c>
      <c r="K19" s="1373" t="str">
        <f t="shared" si="9"/>
        <v>1.33</v>
      </c>
      <c r="L19" s="1373" t="str">
        <f t="shared" si="10"/>
        <v>D+</v>
      </c>
      <c r="M19" s="1374" t="str">
        <f t="shared" si="11"/>
        <v>0</v>
      </c>
      <c r="N19" s="1311"/>
      <c r="O19" s="1312"/>
      <c r="P19" s="1312"/>
      <c r="Q19" s="1312"/>
      <c r="R19" s="1312"/>
      <c r="S19" s="1312"/>
      <c r="T19" s="1312"/>
      <c r="U19" s="1313"/>
      <c r="V19" s="1314"/>
      <c r="W19" s="1314"/>
      <c r="X19" s="1314"/>
      <c r="Y19" s="1314"/>
      <c r="Z19" s="1314"/>
      <c r="AA19" s="1315"/>
      <c r="AB19" s="1253"/>
      <c r="AC19" s="1254"/>
    </row>
    <row r="20" spans="1:29" ht="24.95" customHeight="1" x14ac:dyDescent="0.25">
      <c r="A20" s="1306"/>
      <c r="B20" s="683">
        <v>2</v>
      </c>
      <c r="C20" s="1310"/>
      <c r="D20" s="1305" t="s">
        <v>566</v>
      </c>
      <c r="E20" s="1308">
        <f>VLOOKUP(A15,UHT_MAT,54,FALSE)</f>
        <v>0</v>
      </c>
      <c r="F20" s="1908">
        <f t="shared" si="6"/>
        <v>0</v>
      </c>
      <c r="G20" s="1308"/>
      <c r="H20" s="1309">
        <f>VLOOKUP(B15,REKAP_NILAI,21,FALSE)</f>
        <v>0</v>
      </c>
      <c r="I20" s="1371">
        <f t="shared" si="7"/>
        <v>0</v>
      </c>
      <c r="J20" s="1372">
        <f t="shared" si="8"/>
        <v>0</v>
      </c>
      <c r="K20" s="1373" t="str">
        <f t="shared" si="9"/>
        <v>1.33</v>
      </c>
      <c r="L20" s="1373" t="str">
        <f t="shared" si="10"/>
        <v>D+</v>
      </c>
      <c r="M20" s="1374" t="str">
        <f t="shared" si="11"/>
        <v>0</v>
      </c>
      <c r="N20" s="1311"/>
      <c r="O20" s="1312"/>
      <c r="P20" s="1312"/>
      <c r="Q20" s="1312"/>
      <c r="R20" s="1312"/>
      <c r="S20" s="1312"/>
      <c r="T20" s="1312"/>
      <c r="U20" s="1313"/>
      <c r="V20" s="1314"/>
      <c r="W20" s="1314"/>
      <c r="X20" s="1314"/>
      <c r="Y20" s="1314"/>
      <c r="Z20" s="1314"/>
      <c r="AA20" s="1315"/>
      <c r="AB20" s="1253"/>
      <c r="AC20" s="1254"/>
    </row>
    <row r="21" spans="1:29" ht="24.95" customHeight="1" x14ac:dyDescent="0.25">
      <c r="A21" s="1306"/>
      <c r="B21" s="683">
        <v>2</v>
      </c>
      <c r="C21" s="1310"/>
      <c r="D21" s="1305" t="s">
        <v>567</v>
      </c>
      <c r="E21" s="1308">
        <f>VLOOKUP(A15,UHT_MAT,55,FALSE)</f>
        <v>0</v>
      </c>
      <c r="F21" s="1908">
        <f t="shared" si="6"/>
        <v>0</v>
      </c>
      <c r="G21" s="1308"/>
      <c r="H21" s="1309">
        <f>VLOOKUP(B15,REKAP_NILAI,22,FALSE)</f>
        <v>0</v>
      </c>
      <c r="I21" s="1371">
        <f t="shared" si="7"/>
        <v>0</v>
      </c>
      <c r="J21" s="1372">
        <f t="shared" si="8"/>
        <v>0</v>
      </c>
      <c r="K21" s="1373" t="str">
        <f t="shared" si="9"/>
        <v>1.33</v>
      </c>
      <c r="L21" s="1373" t="str">
        <f t="shared" si="10"/>
        <v>D+</v>
      </c>
      <c r="M21" s="1374" t="str">
        <f t="shared" si="11"/>
        <v>0</v>
      </c>
      <c r="N21" s="1311"/>
      <c r="O21" s="1312"/>
      <c r="P21" s="1312"/>
      <c r="Q21" s="1312"/>
      <c r="R21" s="1312"/>
      <c r="S21" s="1312"/>
      <c r="T21" s="1312"/>
      <c r="U21" s="1313"/>
      <c r="V21" s="1314"/>
      <c r="W21" s="1314"/>
      <c r="X21" s="1314"/>
      <c r="Y21" s="1314"/>
      <c r="Z21" s="1314"/>
      <c r="AA21" s="1315"/>
      <c r="AB21" s="1255"/>
      <c r="AC21" s="1256"/>
    </row>
    <row r="22" spans="1:29" ht="24.95" customHeight="1" x14ac:dyDescent="0.3">
      <c r="A22" s="1337"/>
      <c r="B22" s="1338"/>
      <c r="C22" s="1339" t="s">
        <v>149</v>
      </c>
      <c r="D22" s="1319">
        <v>2</v>
      </c>
      <c r="E22" s="1320"/>
      <c r="F22" s="1909"/>
      <c r="G22" s="1320"/>
      <c r="H22" s="1321">
        <f>AVERAGE(H15:H21)</f>
        <v>0</v>
      </c>
      <c r="I22" s="1375"/>
      <c r="J22" s="1376">
        <f>AVERAGE(J15:J21)</f>
        <v>0</v>
      </c>
      <c r="K22" s="1377" t="str">
        <f t="shared" ref="K22" si="12">IF(J22&gt;85,("4"),IF(J22&gt;80,("3.66"),IF(J22&gt;75,("3.33"),IF(J22&gt;70,("3.00"),IF(J22&gt;65,("2.66"),IF(J22&gt;60,("2.33"),IF(J22&gt;55,("2"),IF(J22&gt;50,("1.66"),"1.33"))))))))</f>
        <v>1.33</v>
      </c>
      <c r="L22" s="1377" t="str">
        <f t="shared" ref="L22" si="13">IF(J22&gt;85,("A"),IF(J22&gt;80,("A-"),IF(J22&gt;75,("B+"),IF(J22&gt;70,("B"),IF(J22&gt;65,("B-"),IF(J22&gt;60,("C+"),IF(J22&gt;55,("C"),IF(J22&gt;50,("C-"),"D+"))))))))</f>
        <v>D+</v>
      </c>
      <c r="M22" s="1378" t="str">
        <f t="shared" ref="M22" si="14">IF(J22&gt;80,("SB"),IF(J22&gt;65,("B"),IF(J22&gt;50,("C"),IF(J22&gt;0,("K"),"0"))))</f>
        <v>0</v>
      </c>
      <c r="N22" s="1340"/>
      <c r="O22" s="1341"/>
      <c r="P22" s="1341"/>
      <c r="Q22" s="1341"/>
      <c r="R22" s="1341"/>
      <c r="S22" s="1341"/>
      <c r="T22" s="1341"/>
      <c r="U22" s="1340"/>
      <c r="V22" s="1341"/>
      <c r="W22" s="1341"/>
      <c r="X22" s="1341"/>
      <c r="Y22" s="1341"/>
      <c r="Z22" s="1341"/>
      <c r="AA22" s="1342"/>
      <c r="AB22" s="1257"/>
      <c r="AC22" s="1258"/>
    </row>
    <row r="23" spans="1:29" ht="24.95" customHeight="1" thickBot="1" x14ac:dyDescent="0.3">
      <c r="A23" s="1325">
        <v>3</v>
      </c>
      <c r="B23" s="1326">
        <v>3</v>
      </c>
      <c r="C23" s="1327" t="str">
        <f>VLOOKUP(A23,data_siswa,4)</f>
        <v>Anggun Dwi P.I</v>
      </c>
      <c r="D23" s="1305" t="s">
        <v>10</v>
      </c>
      <c r="E23" s="1308">
        <f>VLOOKUP(A23,UHT_MAT,49,FALSE)</f>
        <v>0</v>
      </c>
      <c r="F23" s="1908">
        <f>E23*2</f>
        <v>0</v>
      </c>
      <c r="G23" s="1308"/>
      <c r="H23" s="1309">
        <f>VLOOKUP(B23,REKAP_NILAI,16,FALSE)</f>
        <v>0</v>
      </c>
      <c r="I23" s="1367">
        <f>F23+G23+H23</f>
        <v>0</v>
      </c>
      <c r="J23" s="1368">
        <f>(F23+G23+H23)/4</f>
        <v>0</v>
      </c>
      <c r="K23" s="1369" t="str">
        <f>IF(J23&gt;85,("4"),IF(J23&gt;80,("3.66"),IF(J23&gt;75,("3.33"),IF(J23&gt;70,("3.00"),IF(J23&gt;65,("2.66"),IF(J23&gt;60,("2.33"),IF(J23&gt;55,("2"),IF(J23&gt;50,("1.66"),"1.33"))))))))</f>
        <v>1.33</v>
      </c>
      <c r="L23" s="1369" t="str">
        <f>IF(J23&gt;85,("A"),IF(J23&gt;80,("A-"),IF(J23&gt;75,("B+"),IF(J23&gt;70,("B"),IF(J23&gt;65,("B-"),IF(J23&gt;60,("C+"),IF(J23&gt;55,("C"),IF(J23&gt;50,("C-"),"D+"))))))))</f>
        <v>D+</v>
      </c>
      <c r="M23" s="1370" t="str">
        <f>IF(J23&gt;80,("SB"),IF(J23&gt;65,("B"),IF(J23&gt;50,("C"),IF(J23&gt;0,("K"),"0"))))</f>
        <v>0</v>
      </c>
      <c r="N23" s="1343"/>
      <c r="O23" s="1344"/>
      <c r="P23" s="1344"/>
      <c r="Q23" s="1344"/>
      <c r="R23" s="1344"/>
      <c r="S23" s="1344"/>
      <c r="T23" s="1345"/>
      <c r="U23" s="1346"/>
      <c r="V23" s="1346"/>
      <c r="W23" s="1346"/>
      <c r="X23" s="1346"/>
      <c r="Y23" s="1346"/>
      <c r="Z23" s="1346"/>
      <c r="AA23" s="1346"/>
      <c r="AB23" s="1057">
        <f>J30</f>
        <v>0</v>
      </c>
      <c r="AC23" s="1194" t="str">
        <f>IF(AB23&gt;85,("A"),IF(AB23&gt;80,("A-"),IF(AB23&gt;75,("B+"),IF(AB23&gt;70,("B"),IF(AB23&gt;65,("B-"),IF(AB23&gt;60,("C+"),IF(AB23&gt;55,("C"),IF(AB23&gt;50,("C-"),"D+"))))))))</f>
        <v>D+</v>
      </c>
    </row>
    <row r="24" spans="1:29" ht="24.95" customHeight="1" x14ac:dyDescent="0.25">
      <c r="A24" s="1306"/>
      <c r="B24" s="683">
        <v>3</v>
      </c>
      <c r="C24" s="1310"/>
      <c r="D24" s="1305" t="s">
        <v>20</v>
      </c>
      <c r="E24" s="1308">
        <f>VLOOKUP(A23,UHT_MAT,50,FALSE)</f>
        <v>0</v>
      </c>
      <c r="F24" s="1908">
        <f t="shared" ref="F24:F29" si="15">E24*2</f>
        <v>0</v>
      </c>
      <c r="G24" s="1308"/>
      <c r="H24" s="1309">
        <f>VLOOKUP(B23,REKAP_NILAI,17,FALSE)</f>
        <v>0</v>
      </c>
      <c r="I24" s="1371">
        <f t="shared" ref="I24:I29" si="16">F24+G24+H24</f>
        <v>0</v>
      </c>
      <c r="J24" s="1372">
        <f t="shared" ref="J24:J29" si="17">(F24+G24+H24)/4</f>
        <v>0</v>
      </c>
      <c r="K24" s="1373" t="str">
        <f t="shared" ref="K24:K29" si="18">IF(J24&gt;85,("4"),IF(J24&gt;80,("3.66"),IF(J24&gt;75,("3.33"),IF(J24&gt;70,("3.00"),IF(J24&gt;65,("2.66"),IF(J24&gt;60,("2.33"),IF(J24&gt;55,("2"),IF(J24&gt;50,("1.66"),"1.33"))))))))</f>
        <v>1.33</v>
      </c>
      <c r="L24" s="1373" t="str">
        <f t="shared" ref="L24:L29" si="19">IF(J24&gt;85,("A"),IF(J24&gt;80,("A-"),IF(J24&gt;75,("B+"),IF(J24&gt;70,("B"),IF(J24&gt;65,("B-"),IF(J24&gt;60,("C+"),IF(J24&gt;55,("C"),IF(J24&gt;50,("C-"),"D+"))))))))</f>
        <v>D+</v>
      </c>
      <c r="M24" s="1374" t="str">
        <f t="shared" ref="M24:M29" si="20">IF(J24&gt;80,("SB"),IF(J24&gt;65,("B"),IF(J24&gt;50,("C"),IF(J24&gt;0,("K"),"0"))))</f>
        <v>0</v>
      </c>
      <c r="N24" s="1332"/>
      <c r="O24" s="1333"/>
      <c r="P24" s="1333"/>
      <c r="Q24" s="1333"/>
      <c r="R24" s="1333"/>
      <c r="S24" s="1333"/>
      <c r="T24" s="1333"/>
      <c r="U24" s="1334"/>
      <c r="V24" s="1335"/>
      <c r="W24" s="1335"/>
      <c r="X24" s="1335"/>
      <c r="Y24" s="1335"/>
      <c r="Z24" s="1335"/>
      <c r="AA24" s="1336"/>
      <c r="AB24" s="1251"/>
      <c r="AC24" s="1252"/>
    </row>
    <row r="25" spans="1:29" ht="24.95" customHeight="1" x14ac:dyDescent="0.25">
      <c r="A25" s="1306"/>
      <c r="B25" s="683">
        <v>3</v>
      </c>
      <c r="C25" s="1310"/>
      <c r="D25" s="1305" t="s">
        <v>19</v>
      </c>
      <c r="E25" s="1308">
        <f>VLOOKUP(A23,UHT_MAT,51,FALSE)</f>
        <v>0</v>
      </c>
      <c r="F25" s="1908">
        <f t="shared" si="15"/>
        <v>0</v>
      </c>
      <c r="G25" s="1308"/>
      <c r="H25" s="1309">
        <f>VLOOKUP(B23,REKAP_NILAI,18,FALSE)</f>
        <v>0</v>
      </c>
      <c r="I25" s="1371">
        <f t="shared" si="16"/>
        <v>0</v>
      </c>
      <c r="J25" s="1372">
        <f t="shared" si="17"/>
        <v>0</v>
      </c>
      <c r="K25" s="1373" t="str">
        <f t="shared" si="18"/>
        <v>1.33</v>
      </c>
      <c r="L25" s="1373" t="str">
        <f t="shared" si="19"/>
        <v>D+</v>
      </c>
      <c r="M25" s="1374" t="str">
        <f t="shared" si="20"/>
        <v>0</v>
      </c>
      <c r="N25" s="1311"/>
      <c r="O25" s="1312"/>
      <c r="P25" s="1312"/>
      <c r="Q25" s="1312"/>
      <c r="R25" s="1312"/>
      <c r="S25" s="1312"/>
      <c r="T25" s="1312"/>
      <c r="U25" s="1313"/>
      <c r="V25" s="1314"/>
      <c r="W25" s="1314"/>
      <c r="X25" s="1314"/>
      <c r="Y25" s="1314"/>
      <c r="Z25" s="1314"/>
      <c r="AA25" s="1315"/>
      <c r="AB25" s="1253"/>
      <c r="AC25" s="1254"/>
    </row>
    <row r="26" spans="1:29" ht="24.95" customHeight="1" x14ac:dyDescent="0.25">
      <c r="A26" s="1306"/>
      <c r="B26" s="683">
        <v>3</v>
      </c>
      <c r="C26" s="1310"/>
      <c r="D26" s="1305" t="s">
        <v>181</v>
      </c>
      <c r="E26" s="1308">
        <f>VLOOKUP(A23,UHT_MAT,52,FALSE)</f>
        <v>0</v>
      </c>
      <c r="F26" s="1908">
        <f t="shared" si="15"/>
        <v>0</v>
      </c>
      <c r="G26" s="1308"/>
      <c r="H26" s="1309">
        <f>VLOOKUP(B23,REKAP_NILAI,19,FALSE)</f>
        <v>0</v>
      </c>
      <c r="I26" s="1371">
        <f t="shared" si="16"/>
        <v>0</v>
      </c>
      <c r="J26" s="1372">
        <f t="shared" si="17"/>
        <v>0</v>
      </c>
      <c r="K26" s="1373" t="str">
        <f t="shared" si="18"/>
        <v>1.33</v>
      </c>
      <c r="L26" s="1373" t="str">
        <f t="shared" si="19"/>
        <v>D+</v>
      </c>
      <c r="M26" s="1374" t="str">
        <f t="shared" si="20"/>
        <v>0</v>
      </c>
      <c r="N26" s="1311"/>
      <c r="O26" s="1312"/>
      <c r="P26" s="1312"/>
      <c r="Q26" s="1312"/>
      <c r="R26" s="1312"/>
      <c r="S26" s="1312"/>
      <c r="T26" s="1312"/>
      <c r="U26" s="1313"/>
      <c r="V26" s="1314"/>
      <c r="W26" s="1314"/>
      <c r="X26" s="1314"/>
      <c r="Y26" s="1314"/>
      <c r="Z26" s="1314"/>
      <c r="AA26" s="1315"/>
      <c r="AB26" s="1253"/>
      <c r="AC26" s="1254"/>
    </row>
    <row r="27" spans="1:29" ht="24.95" customHeight="1" x14ac:dyDescent="0.25">
      <c r="A27" s="1306"/>
      <c r="B27" s="683">
        <v>3</v>
      </c>
      <c r="C27" s="1310"/>
      <c r="D27" s="1305" t="s">
        <v>182</v>
      </c>
      <c r="E27" s="1308">
        <f>VLOOKUP(A23,UHT_MAT,53,FALSE)</f>
        <v>0</v>
      </c>
      <c r="F27" s="1908">
        <f t="shared" si="15"/>
        <v>0</v>
      </c>
      <c r="G27" s="1308"/>
      <c r="H27" s="1309">
        <f>VLOOKUP(B23,REKAP_NILAI,20,FALSE)</f>
        <v>0</v>
      </c>
      <c r="I27" s="1371">
        <f t="shared" si="16"/>
        <v>0</v>
      </c>
      <c r="J27" s="1372">
        <f t="shared" si="17"/>
        <v>0</v>
      </c>
      <c r="K27" s="1373" t="str">
        <f t="shared" si="18"/>
        <v>1.33</v>
      </c>
      <c r="L27" s="1373" t="str">
        <f t="shared" si="19"/>
        <v>D+</v>
      </c>
      <c r="M27" s="1374" t="str">
        <f t="shared" si="20"/>
        <v>0</v>
      </c>
      <c r="N27" s="1311"/>
      <c r="O27" s="1312"/>
      <c r="P27" s="1312"/>
      <c r="Q27" s="1312"/>
      <c r="R27" s="1312"/>
      <c r="S27" s="1312"/>
      <c r="T27" s="1312"/>
      <c r="U27" s="1313"/>
      <c r="V27" s="1314"/>
      <c r="W27" s="1314"/>
      <c r="X27" s="1314"/>
      <c r="Y27" s="1314"/>
      <c r="Z27" s="1314"/>
      <c r="AA27" s="1315"/>
      <c r="AB27" s="1253"/>
      <c r="AC27" s="1254"/>
    </row>
    <row r="28" spans="1:29" ht="24.95" customHeight="1" x14ac:dyDescent="0.25">
      <c r="A28" s="1306"/>
      <c r="B28" s="683">
        <v>3</v>
      </c>
      <c r="C28" s="1310"/>
      <c r="D28" s="1305" t="s">
        <v>566</v>
      </c>
      <c r="E28" s="1308">
        <f>VLOOKUP(A23,UHT_MAT,54,FALSE)</f>
        <v>0</v>
      </c>
      <c r="F28" s="1908">
        <f t="shared" si="15"/>
        <v>0</v>
      </c>
      <c r="G28" s="1308"/>
      <c r="H28" s="1309">
        <f>VLOOKUP(B23,REKAP_NILAI,21,FALSE)</f>
        <v>0</v>
      </c>
      <c r="I28" s="1371">
        <f t="shared" si="16"/>
        <v>0</v>
      </c>
      <c r="J28" s="1372">
        <f t="shared" si="17"/>
        <v>0</v>
      </c>
      <c r="K28" s="1373" t="str">
        <f t="shared" si="18"/>
        <v>1.33</v>
      </c>
      <c r="L28" s="1373" t="str">
        <f t="shared" si="19"/>
        <v>D+</v>
      </c>
      <c r="M28" s="1374" t="str">
        <f t="shared" si="20"/>
        <v>0</v>
      </c>
      <c r="N28" s="1311"/>
      <c r="O28" s="1312"/>
      <c r="P28" s="1312"/>
      <c r="Q28" s="1312"/>
      <c r="R28" s="1312"/>
      <c r="S28" s="1312"/>
      <c r="T28" s="1312"/>
      <c r="U28" s="1313"/>
      <c r="V28" s="1314"/>
      <c r="W28" s="1314"/>
      <c r="X28" s="1314"/>
      <c r="Y28" s="1314"/>
      <c r="Z28" s="1314"/>
      <c r="AA28" s="1315"/>
      <c r="AB28" s="1253"/>
      <c r="AC28" s="1254"/>
    </row>
    <row r="29" spans="1:29" ht="24.95" customHeight="1" x14ac:dyDescent="0.25">
      <c r="A29" s="1306"/>
      <c r="B29" s="683">
        <v>3</v>
      </c>
      <c r="C29" s="1310"/>
      <c r="D29" s="1305" t="s">
        <v>567</v>
      </c>
      <c r="E29" s="1308">
        <f>VLOOKUP(A23,UHT_MAT,55,FALSE)</f>
        <v>0</v>
      </c>
      <c r="F29" s="1908">
        <f t="shared" si="15"/>
        <v>0</v>
      </c>
      <c r="G29" s="1308"/>
      <c r="H29" s="1309">
        <f>VLOOKUP(B23,REKAP_NILAI,22,FALSE)</f>
        <v>0</v>
      </c>
      <c r="I29" s="1371">
        <f t="shared" si="16"/>
        <v>0</v>
      </c>
      <c r="J29" s="1372">
        <f t="shared" si="17"/>
        <v>0</v>
      </c>
      <c r="K29" s="1373" t="str">
        <f t="shared" si="18"/>
        <v>1.33</v>
      </c>
      <c r="L29" s="1373" t="str">
        <f t="shared" si="19"/>
        <v>D+</v>
      </c>
      <c r="M29" s="1374" t="str">
        <f t="shared" si="20"/>
        <v>0</v>
      </c>
      <c r="N29" s="1311"/>
      <c r="O29" s="1312"/>
      <c r="P29" s="1312"/>
      <c r="Q29" s="1312"/>
      <c r="R29" s="1312"/>
      <c r="S29" s="1312"/>
      <c r="T29" s="1312"/>
      <c r="U29" s="1313"/>
      <c r="V29" s="1314"/>
      <c r="W29" s="1314"/>
      <c r="X29" s="1314"/>
      <c r="Y29" s="1314"/>
      <c r="Z29" s="1314"/>
      <c r="AA29" s="1315"/>
      <c r="AB29" s="1255"/>
      <c r="AC29" s="1256"/>
    </row>
    <row r="30" spans="1:29" ht="24.95" customHeight="1" x14ac:dyDescent="0.3">
      <c r="A30" s="1337"/>
      <c r="B30" s="1338"/>
      <c r="C30" s="1339" t="s">
        <v>149</v>
      </c>
      <c r="D30" s="1319">
        <v>3</v>
      </c>
      <c r="E30" s="1320"/>
      <c r="F30" s="1909"/>
      <c r="G30" s="1320"/>
      <c r="H30" s="1321">
        <f>AVERAGE(H23:H29)</f>
        <v>0</v>
      </c>
      <c r="I30" s="1375"/>
      <c r="J30" s="1376">
        <f>AVERAGE(J23:J29)</f>
        <v>0</v>
      </c>
      <c r="K30" s="1377" t="str">
        <f t="shared" ref="K30" si="21">IF(J30&gt;85,("4"),IF(J30&gt;80,("3.66"),IF(J30&gt;75,("3.33"),IF(J30&gt;70,("3.00"),IF(J30&gt;65,("2.66"),IF(J30&gt;60,("2.33"),IF(J30&gt;55,("2"),IF(J30&gt;50,("1.66"),"1.33"))))))))</f>
        <v>1.33</v>
      </c>
      <c r="L30" s="1377" t="str">
        <f t="shared" ref="L30" si="22">IF(J30&gt;85,("A"),IF(J30&gt;80,("A-"),IF(J30&gt;75,("B+"),IF(J30&gt;70,("B"),IF(J30&gt;65,("B-"),IF(J30&gt;60,("C+"),IF(J30&gt;55,("C"),IF(J30&gt;50,("C-"),"D+"))))))))</f>
        <v>D+</v>
      </c>
      <c r="M30" s="1378" t="str">
        <f t="shared" ref="M30" si="23">IF(J30&gt;80,("SB"),IF(J30&gt;65,("B"),IF(J30&gt;50,("C"),IF(J30&gt;0,("K"),"0"))))</f>
        <v>0</v>
      </c>
      <c r="N30" s="1347"/>
      <c r="O30" s="1348"/>
      <c r="P30" s="1348"/>
      <c r="Q30" s="1348"/>
      <c r="R30" s="1348"/>
      <c r="S30" s="1348"/>
      <c r="T30" s="1348"/>
      <c r="U30" s="1347"/>
      <c r="V30" s="1348"/>
      <c r="W30" s="1348"/>
      <c r="X30" s="1348"/>
      <c r="Y30" s="1348"/>
      <c r="Z30" s="1348"/>
      <c r="AA30" s="1349"/>
      <c r="AB30" s="1257"/>
      <c r="AC30" s="1258"/>
    </row>
    <row r="31" spans="1:29" ht="24.95" customHeight="1" thickBot="1" x14ac:dyDescent="0.3">
      <c r="A31" s="1350">
        <v>4</v>
      </c>
      <c r="B31" s="1326">
        <v>4</v>
      </c>
      <c r="C31" s="1327" t="str">
        <f>VLOOKUP(A31,data_siswa,4)</f>
        <v>Antonio Permata A</v>
      </c>
      <c r="D31" s="1305" t="s">
        <v>10</v>
      </c>
      <c r="E31" s="1308">
        <f>VLOOKUP(A31,UHT_MAT,49,FALSE)</f>
        <v>0</v>
      </c>
      <c r="F31" s="1908">
        <f>E31*2</f>
        <v>0</v>
      </c>
      <c r="G31" s="1308"/>
      <c r="H31" s="1309">
        <f>VLOOKUP(B31,REKAP_NILAI,16,FALSE)</f>
        <v>0</v>
      </c>
      <c r="I31" s="1367">
        <f>F31+G31+H31</f>
        <v>0</v>
      </c>
      <c r="J31" s="1368">
        <f>(F31+G31+H31)/4</f>
        <v>0</v>
      </c>
      <c r="K31" s="1369" t="str">
        <f>IF(J31&gt;85,("4"),IF(J31&gt;80,("3.66"),IF(J31&gt;75,("3.33"),IF(J31&gt;70,("3.00"),IF(J31&gt;65,("2.66"),IF(J31&gt;60,("2.33"),IF(J31&gt;55,("2"),IF(J31&gt;50,("1.66"),"1.33"))))))))</f>
        <v>1.33</v>
      </c>
      <c r="L31" s="1369" t="str">
        <f>IF(J31&gt;85,("A"),IF(J31&gt;80,("A-"),IF(J31&gt;75,("B+"),IF(J31&gt;70,("B"),IF(J31&gt;65,("B-"),IF(J31&gt;60,("C+"),IF(J31&gt;55,("C"),IF(J31&gt;50,("C-"),"D+"))))))))</f>
        <v>D+</v>
      </c>
      <c r="M31" s="1370" t="str">
        <f>IF(J31&gt;80,("SB"),IF(J31&gt;65,("B"),IF(J31&gt;50,("C"),IF(J31&gt;0,("K"),"0"))))</f>
        <v>0</v>
      </c>
      <c r="N31" s="1343"/>
      <c r="O31" s="1344"/>
      <c r="P31" s="1344"/>
      <c r="Q31" s="1344"/>
      <c r="R31" s="1344"/>
      <c r="S31" s="1344"/>
      <c r="T31" s="1345"/>
      <c r="U31" s="1346"/>
      <c r="V31" s="1346"/>
      <c r="W31" s="1346"/>
      <c r="X31" s="1346"/>
      <c r="Y31" s="1346"/>
      <c r="Z31" s="1346"/>
      <c r="AA31" s="1346"/>
      <c r="AB31" s="1057">
        <f>J38</f>
        <v>0</v>
      </c>
      <c r="AC31" s="1194" t="str">
        <f>IF(AB31&gt;85,("A"),IF(AB31&gt;80,("A-"),IF(AB31&gt;75,("B+"),IF(AB31&gt;70,("B"),IF(AB31&gt;65,("B-"),IF(AB31&gt;60,("C+"),IF(AB31&gt;55,("C"),IF(AB31&gt;50,("C-"),"D+"))))))))</f>
        <v>D+</v>
      </c>
    </row>
    <row r="32" spans="1:29" ht="24.95" customHeight="1" x14ac:dyDescent="0.25">
      <c r="A32" s="1351"/>
      <c r="B32" s="1352">
        <v>4</v>
      </c>
      <c r="C32" s="1310"/>
      <c r="D32" s="1305" t="s">
        <v>20</v>
      </c>
      <c r="E32" s="1308">
        <f>VLOOKUP(A31,UHT_MAT,50,FALSE)</f>
        <v>0</v>
      </c>
      <c r="F32" s="1908">
        <f t="shared" ref="F32:F37" si="24">E32*2</f>
        <v>0</v>
      </c>
      <c r="G32" s="1308"/>
      <c r="H32" s="1309">
        <f>VLOOKUP(B31,REKAP_NILAI,17,FALSE)</f>
        <v>0</v>
      </c>
      <c r="I32" s="1371">
        <f t="shared" ref="I32:I37" si="25">F32+G32+H32</f>
        <v>0</v>
      </c>
      <c r="J32" s="1372">
        <f t="shared" ref="J32:J37" si="26">(F32+G32+H32)/4</f>
        <v>0</v>
      </c>
      <c r="K32" s="1373" t="str">
        <f t="shared" ref="K32:K37" si="27">IF(J32&gt;85,("4"),IF(J32&gt;80,("3.66"),IF(J32&gt;75,("3.33"),IF(J32&gt;70,("3.00"),IF(J32&gt;65,("2.66"),IF(J32&gt;60,("2.33"),IF(J32&gt;55,("2"),IF(J32&gt;50,("1.66"),"1.33"))))))))</f>
        <v>1.33</v>
      </c>
      <c r="L32" s="1373" t="str">
        <f t="shared" ref="L32:L37" si="28">IF(J32&gt;85,("A"),IF(J32&gt;80,("A-"),IF(J32&gt;75,("B+"),IF(J32&gt;70,("B"),IF(J32&gt;65,("B-"),IF(J32&gt;60,("C+"),IF(J32&gt;55,("C"),IF(J32&gt;50,("C-"),"D+"))))))))</f>
        <v>D+</v>
      </c>
      <c r="M32" s="1374" t="str">
        <f t="shared" ref="M32:M37" si="29">IF(J32&gt;80,("SB"),IF(J32&gt;65,("B"),IF(J32&gt;50,("C"),IF(J32&gt;0,("K"),"0"))))</f>
        <v>0</v>
      </c>
      <c r="N32" s="1332"/>
      <c r="O32" s="1333"/>
      <c r="P32" s="1333"/>
      <c r="Q32" s="1333"/>
      <c r="R32" s="1333"/>
      <c r="S32" s="1333"/>
      <c r="T32" s="1333"/>
      <c r="U32" s="1334"/>
      <c r="V32" s="1335"/>
      <c r="W32" s="1335"/>
      <c r="X32" s="1335"/>
      <c r="Y32" s="1335"/>
      <c r="Z32" s="1335"/>
      <c r="AA32" s="1336"/>
      <c r="AB32" s="1251"/>
      <c r="AC32" s="1252"/>
    </row>
    <row r="33" spans="1:29" ht="24.95" customHeight="1" x14ac:dyDescent="0.25">
      <c r="A33" s="1351"/>
      <c r="B33" s="1352">
        <v>4</v>
      </c>
      <c r="C33" s="1310"/>
      <c r="D33" s="1305" t="s">
        <v>19</v>
      </c>
      <c r="E33" s="1308">
        <f>VLOOKUP(A31,UHT_MAT,51,FALSE)</f>
        <v>0</v>
      </c>
      <c r="F33" s="1908">
        <f t="shared" si="24"/>
        <v>0</v>
      </c>
      <c r="G33" s="1308"/>
      <c r="H33" s="1309">
        <f>VLOOKUP(B31,REKAP_NILAI,18,FALSE)</f>
        <v>0</v>
      </c>
      <c r="I33" s="1371">
        <f t="shared" si="25"/>
        <v>0</v>
      </c>
      <c r="J33" s="1372">
        <f t="shared" si="26"/>
        <v>0</v>
      </c>
      <c r="K33" s="1373" t="str">
        <f t="shared" si="27"/>
        <v>1.33</v>
      </c>
      <c r="L33" s="1373" t="str">
        <f t="shared" si="28"/>
        <v>D+</v>
      </c>
      <c r="M33" s="1374" t="str">
        <f t="shared" si="29"/>
        <v>0</v>
      </c>
      <c r="N33" s="1311"/>
      <c r="O33" s="1312"/>
      <c r="P33" s="1312"/>
      <c r="Q33" s="1312"/>
      <c r="R33" s="1312"/>
      <c r="S33" s="1312"/>
      <c r="T33" s="1312"/>
      <c r="U33" s="1313"/>
      <c r="V33" s="1314"/>
      <c r="W33" s="1314"/>
      <c r="X33" s="1314"/>
      <c r="Y33" s="1314"/>
      <c r="Z33" s="1314"/>
      <c r="AA33" s="1315"/>
      <c r="AB33" s="1253"/>
      <c r="AC33" s="1254"/>
    </row>
    <row r="34" spans="1:29" ht="24.95" customHeight="1" x14ac:dyDescent="0.25">
      <c r="A34" s="1351"/>
      <c r="B34" s="1352">
        <v>4</v>
      </c>
      <c r="C34" s="1310"/>
      <c r="D34" s="1305" t="s">
        <v>181</v>
      </c>
      <c r="E34" s="1308">
        <f>VLOOKUP(A31,UHT_MAT,52,FALSE)</f>
        <v>0</v>
      </c>
      <c r="F34" s="1908">
        <f t="shared" si="24"/>
        <v>0</v>
      </c>
      <c r="G34" s="1308"/>
      <c r="H34" s="1309">
        <f>VLOOKUP(B31,REKAP_NILAI,19,FALSE)</f>
        <v>0</v>
      </c>
      <c r="I34" s="1371">
        <f t="shared" si="25"/>
        <v>0</v>
      </c>
      <c r="J34" s="1372">
        <f t="shared" si="26"/>
        <v>0</v>
      </c>
      <c r="K34" s="1373" t="str">
        <f t="shared" si="27"/>
        <v>1.33</v>
      </c>
      <c r="L34" s="1373" t="str">
        <f t="shared" si="28"/>
        <v>D+</v>
      </c>
      <c r="M34" s="1374" t="str">
        <f t="shared" si="29"/>
        <v>0</v>
      </c>
      <c r="N34" s="1311"/>
      <c r="O34" s="1312"/>
      <c r="P34" s="1312"/>
      <c r="Q34" s="1312"/>
      <c r="R34" s="1312"/>
      <c r="S34" s="1312"/>
      <c r="T34" s="1312"/>
      <c r="U34" s="1313"/>
      <c r="V34" s="1314"/>
      <c r="W34" s="1314"/>
      <c r="X34" s="1314"/>
      <c r="Y34" s="1314"/>
      <c r="Z34" s="1314"/>
      <c r="AA34" s="1315"/>
      <c r="AB34" s="1253"/>
      <c r="AC34" s="1254"/>
    </row>
    <row r="35" spans="1:29" ht="24.95" customHeight="1" x14ac:dyDescent="0.25">
      <c r="A35" s="1351"/>
      <c r="B35" s="1352">
        <v>4</v>
      </c>
      <c r="C35" s="1310"/>
      <c r="D35" s="1305" t="s">
        <v>182</v>
      </c>
      <c r="E35" s="1308">
        <f>VLOOKUP(A31,UHT_MAT,53,FALSE)</f>
        <v>0</v>
      </c>
      <c r="F35" s="1908">
        <f t="shared" si="24"/>
        <v>0</v>
      </c>
      <c r="G35" s="1308"/>
      <c r="H35" s="1309">
        <f>VLOOKUP(B31,REKAP_NILAI,20,FALSE)</f>
        <v>0</v>
      </c>
      <c r="I35" s="1371">
        <f t="shared" si="25"/>
        <v>0</v>
      </c>
      <c r="J35" s="1372">
        <f t="shared" si="26"/>
        <v>0</v>
      </c>
      <c r="K35" s="1373" t="str">
        <f t="shared" si="27"/>
        <v>1.33</v>
      </c>
      <c r="L35" s="1373" t="str">
        <f t="shared" si="28"/>
        <v>D+</v>
      </c>
      <c r="M35" s="1374" t="str">
        <f t="shared" si="29"/>
        <v>0</v>
      </c>
      <c r="N35" s="1311"/>
      <c r="O35" s="1312"/>
      <c r="P35" s="1312"/>
      <c r="Q35" s="1312"/>
      <c r="R35" s="1312"/>
      <c r="S35" s="1312"/>
      <c r="T35" s="1312"/>
      <c r="U35" s="1313"/>
      <c r="V35" s="1314"/>
      <c r="W35" s="1314"/>
      <c r="X35" s="1314"/>
      <c r="Y35" s="1314"/>
      <c r="Z35" s="1314"/>
      <c r="AA35" s="1315"/>
      <c r="AB35" s="1253"/>
      <c r="AC35" s="1254"/>
    </row>
    <row r="36" spans="1:29" ht="24.95" customHeight="1" x14ac:dyDescent="0.25">
      <c r="A36" s="1351"/>
      <c r="B36" s="1352">
        <v>4</v>
      </c>
      <c r="C36" s="1310"/>
      <c r="D36" s="1305" t="s">
        <v>566</v>
      </c>
      <c r="E36" s="1308">
        <f>VLOOKUP(A31,UHT_MAT,54,FALSE)</f>
        <v>0</v>
      </c>
      <c r="F36" s="1908">
        <f t="shared" si="24"/>
        <v>0</v>
      </c>
      <c r="G36" s="1308"/>
      <c r="H36" s="1309">
        <f>VLOOKUP(B31,REKAP_NILAI,21,FALSE)</f>
        <v>0</v>
      </c>
      <c r="I36" s="1371">
        <f t="shared" si="25"/>
        <v>0</v>
      </c>
      <c r="J36" s="1372">
        <f t="shared" si="26"/>
        <v>0</v>
      </c>
      <c r="K36" s="1373" t="str">
        <f t="shared" si="27"/>
        <v>1.33</v>
      </c>
      <c r="L36" s="1373" t="str">
        <f t="shared" si="28"/>
        <v>D+</v>
      </c>
      <c r="M36" s="1374" t="str">
        <f t="shared" si="29"/>
        <v>0</v>
      </c>
      <c r="N36" s="1311"/>
      <c r="O36" s="1312"/>
      <c r="P36" s="1312"/>
      <c r="Q36" s="1312"/>
      <c r="R36" s="1312"/>
      <c r="S36" s="1312"/>
      <c r="T36" s="1312"/>
      <c r="U36" s="1313"/>
      <c r="V36" s="1314"/>
      <c r="W36" s="1314"/>
      <c r="X36" s="1314"/>
      <c r="Y36" s="1314"/>
      <c r="Z36" s="1314"/>
      <c r="AA36" s="1315"/>
      <c r="AB36" s="1253"/>
      <c r="AC36" s="1254"/>
    </row>
    <row r="37" spans="1:29" ht="24.95" customHeight="1" x14ac:dyDescent="0.25">
      <c r="A37" s="1351"/>
      <c r="B37" s="1352">
        <v>4</v>
      </c>
      <c r="C37" s="1310"/>
      <c r="D37" s="1305" t="s">
        <v>567</v>
      </c>
      <c r="E37" s="1308">
        <f>VLOOKUP(A31,UHT_MAT,55,FALSE)</f>
        <v>0</v>
      </c>
      <c r="F37" s="1908">
        <f t="shared" si="24"/>
        <v>0</v>
      </c>
      <c r="G37" s="1308"/>
      <c r="H37" s="1309">
        <f>VLOOKUP(B31,REKAP_NILAI,22,FALSE)</f>
        <v>0</v>
      </c>
      <c r="I37" s="1371">
        <f t="shared" si="25"/>
        <v>0</v>
      </c>
      <c r="J37" s="1372">
        <f t="shared" si="26"/>
        <v>0</v>
      </c>
      <c r="K37" s="1373" t="str">
        <f t="shared" si="27"/>
        <v>1.33</v>
      </c>
      <c r="L37" s="1373" t="str">
        <f t="shared" si="28"/>
        <v>D+</v>
      </c>
      <c r="M37" s="1374" t="str">
        <f t="shared" si="29"/>
        <v>0</v>
      </c>
      <c r="N37" s="1311"/>
      <c r="O37" s="1312"/>
      <c r="P37" s="1312"/>
      <c r="Q37" s="1312"/>
      <c r="R37" s="1312"/>
      <c r="S37" s="1312"/>
      <c r="T37" s="1312"/>
      <c r="U37" s="1313"/>
      <c r="V37" s="1314"/>
      <c r="W37" s="1314"/>
      <c r="X37" s="1314"/>
      <c r="Y37" s="1314"/>
      <c r="Z37" s="1314"/>
      <c r="AA37" s="1315"/>
      <c r="AB37" s="1255"/>
      <c r="AC37" s="1256"/>
    </row>
    <row r="38" spans="1:29" ht="24.95" customHeight="1" x14ac:dyDescent="0.3">
      <c r="A38" s="1337"/>
      <c r="B38" s="1338"/>
      <c r="C38" s="1339" t="s">
        <v>149</v>
      </c>
      <c r="D38" s="1319">
        <v>4</v>
      </c>
      <c r="E38" s="1320"/>
      <c r="F38" s="1909"/>
      <c r="G38" s="1320"/>
      <c r="H38" s="1321">
        <f>AVERAGE(H31:H37)</f>
        <v>0</v>
      </c>
      <c r="I38" s="1375"/>
      <c r="J38" s="1376">
        <f>AVERAGE(J31:J37)</f>
        <v>0</v>
      </c>
      <c r="K38" s="1377" t="str">
        <f t="shared" ref="K38" si="30">IF(J38&gt;85,("4"),IF(J38&gt;80,("3.66"),IF(J38&gt;75,("3.33"),IF(J38&gt;70,("3.00"),IF(J38&gt;65,("2.66"),IF(J38&gt;60,("2.33"),IF(J38&gt;55,("2"),IF(J38&gt;50,("1.66"),"1.33"))))))))</f>
        <v>1.33</v>
      </c>
      <c r="L38" s="1377" t="str">
        <f t="shared" ref="L38" si="31">IF(J38&gt;85,("A"),IF(J38&gt;80,("A-"),IF(J38&gt;75,("B+"),IF(J38&gt;70,("B"),IF(J38&gt;65,("B-"),IF(J38&gt;60,("C+"),IF(J38&gt;55,("C"),IF(J38&gt;50,("C-"),"D+"))))))))</f>
        <v>D+</v>
      </c>
      <c r="M38" s="1378" t="str">
        <f t="shared" ref="M38" si="32">IF(J38&gt;80,("SB"),IF(J38&gt;65,("B"),IF(J38&gt;50,("C"),IF(J38&gt;0,("K"),"0"))))</f>
        <v>0</v>
      </c>
      <c r="N38" s="1347"/>
      <c r="O38" s="1348"/>
      <c r="P38" s="1348"/>
      <c r="Q38" s="1348"/>
      <c r="R38" s="1348"/>
      <c r="S38" s="1348"/>
      <c r="T38" s="1348"/>
      <c r="U38" s="1347"/>
      <c r="V38" s="1348"/>
      <c r="W38" s="1348"/>
      <c r="X38" s="1348"/>
      <c r="Y38" s="1348"/>
      <c r="Z38" s="1348"/>
      <c r="AA38" s="1349"/>
      <c r="AB38" s="1257"/>
      <c r="AC38" s="1258"/>
    </row>
    <row r="39" spans="1:29" ht="24.95" customHeight="1" thickBot="1" x14ac:dyDescent="0.3">
      <c r="A39" s="1350">
        <v>5</v>
      </c>
      <c r="B39" s="1326">
        <v>5</v>
      </c>
      <c r="C39" s="1327" t="str">
        <f>VLOOKUP(A39,data_siswa,4)</f>
        <v>Arya Pratama G</v>
      </c>
      <c r="D39" s="1305" t="s">
        <v>10</v>
      </c>
      <c r="E39" s="1308">
        <f>VLOOKUP(A39,UHT_MAT,49,FALSE)</f>
        <v>0</v>
      </c>
      <c r="F39" s="1908">
        <f>E39*2</f>
        <v>0</v>
      </c>
      <c r="G39" s="1308"/>
      <c r="H39" s="1309">
        <f>VLOOKUP(B39,REKAP_NILAI,16,FALSE)</f>
        <v>0</v>
      </c>
      <c r="I39" s="1367">
        <f>F39+G39+H39</f>
        <v>0</v>
      </c>
      <c r="J39" s="1368">
        <f>(F39+G39+H39)/4</f>
        <v>0</v>
      </c>
      <c r="K39" s="1369" t="str">
        <f>IF(J39&gt;85,("4"),IF(J39&gt;80,("3.66"),IF(J39&gt;75,("3.33"),IF(J39&gt;70,("3.00"),IF(J39&gt;65,("2.66"),IF(J39&gt;60,("2.33"),IF(J39&gt;55,("2"),IF(J39&gt;50,("1.66"),"1.33"))))))))</f>
        <v>1.33</v>
      </c>
      <c r="L39" s="1369" t="str">
        <f>IF(J39&gt;85,("A"),IF(J39&gt;80,("A-"),IF(J39&gt;75,("B+"),IF(J39&gt;70,("B"),IF(J39&gt;65,("B-"),IF(J39&gt;60,("C+"),IF(J39&gt;55,("C"),IF(J39&gt;50,("C-"),"D+"))))))))</f>
        <v>D+</v>
      </c>
      <c r="M39" s="1370" t="str">
        <f>IF(J39&gt;80,("SB"),IF(J39&gt;65,("B"),IF(J39&gt;50,("C"),IF(J39&gt;0,("K"),"0"))))</f>
        <v>0</v>
      </c>
      <c r="N39" s="1343"/>
      <c r="O39" s="1344"/>
      <c r="P39" s="1344"/>
      <c r="Q39" s="1344"/>
      <c r="R39" s="1344"/>
      <c r="S39" s="1344"/>
      <c r="T39" s="1345"/>
      <c r="U39" s="1346"/>
      <c r="V39" s="1346"/>
      <c r="W39" s="1346"/>
      <c r="X39" s="1346"/>
      <c r="Y39" s="1346"/>
      <c r="Z39" s="1346"/>
      <c r="AA39" s="1346"/>
      <c r="AB39" s="1057">
        <f>J46</f>
        <v>0</v>
      </c>
      <c r="AC39" s="1194" t="str">
        <f>IF(AB39&gt;85,("A"),IF(AB39&gt;80,("A-"),IF(AB39&gt;75,("B+"),IF(AB39&gt;70,("B"),IF(AB39&gt;65,("B-"),IF(AB39&gt;60,("C+"),IF(AB39&gt;55,("C"),IF(AB39&gt;50,("C-"),"D+"))))))))</f>
        <v>D+</v>
      </c>
    </row>
    <row r="40" spans="1:29" ht="24.95" customHeight="1" x14ac:dyDescent="0.25">
      <c r="A40" s="1351"/>
      <c r="B40" s="1352">
        <v>5</v>
      </c>
      <c r="C40" s="1310"/>
      <c r="D40" s="1305" t="s">
        <v>20</v>
      </c>
      <c r="E40" s="1308">
        <f>VLOOKUP(A39,UHT_MAT,50,FALSE)</f>
        <v>0</v>
      </c>
      <c r="F40" s="1908">
        <f t="shared" ref="F40:F45" si="33">E40*2</f>
        <v>0</v>
      </c>
      <c r="G40" s="1308"/>
      <c r="H40" s="1309">
        <f>VLOOKUP(B39,REKAP_NILAI,17,FALSE)</f>
        <v>0</v>
      </c>
      <c r="I40" s="1371">
        <f t="shared" ref="I40:I45" si="34">F40+G40+H40</f>
        <v>0</v>
      </c>
      <c r="J40" s="1372">
        <f t="shared" ref="J40:J45" si="35">(F40+G40+H40)/4</f>
        <v>0</v>
      </c>
      <c r="K40" s="1373" t="str">
        <f t="shared" ref="K40:K45" si="36">IF(J40&gt;85,("4"),IF(J40&gt;80,("3.66"),IF(J40&gt;75,("3.33"),IF(J40&gt;70,("3.00"),IF(J40&gt;65,("2.66"),IF(J40&gt;60,("2.33"),IF(J40&gt;55,("2"),IF(J40&gt;50,("1.66"),"1.33"))))))))</f>
        <v>1.33</v>
      </c>
      <c r="L40" s="1373" t="str">
        <f t="shared" ref="L40:L45" si="37">IF(J40&gt;85,("A"),IF(J40&gt;80,("A-"),IF(J40&gt;75,("B+"),IF(J40&gt;70,("B"),IF(J40&gt;65,("B-"),IF(J40&gt;60,("C+"),IF(J40&gt;55,("C"),IF(J40&gt;50,("C-"),"D+"))))))))</f>
        <v>D+</v>
      </c>
      <c r="M40" s="1374" t="str">
        <f t="shared" ref="M40:M45" si="38">IF(J40&gt;80,("SB"),IF(J40&gt;65,("B"),IF(J40&gt;50,("C"),IF(J40&gt;0,("K"),"0"))))</f>
        <v>0</v>
      </c>
      <c r="N40" s="1332"/>
      <c r="O40" s="1333"/>
      <c r="P40" s="1333"/>
      <c r="Q40" s="1333"/>
      <c r="R40" s="1333"/>
      <c r="S40" s="1333"/>
      <c r="T40" s="1333"/>
      <c r="U40" s="1334"/>
      <c r="V40" s="1335"/>
      <c r="W40" s="1335"/>
      <c r="X40" s="1335"/>
      <c r="Y40" s="1335"/>
      <c r="Z40" s="1335"/>
      <c r="AA40" s="1336"/>
      <c r="AB40" s="1251"/>
      <c r="AC40" s="1252"/>
    </row>
    <row r="41" spans="1:29" ht="24.95" customHeight="1" x14ac:dyDescent="0.25">
      <c r="A41" s="1351"/>
      <c r="B41" s="1352">
        <v>5</v>
      </c>
      <c r="C41" s="1310"/>
      <c r="D41" s="1305" t="s">
        <v>19</v>
      </c>
      <c r="E41" s="1308">
        <f>VLOOKUP(A39,UHT_MAT,51,FALSE)</f>
        <v>0</v>
      </c>
      <c r="F41" s="1908">
        <f t="shared" si="33"/>
        <v>0</v>
      </c>
      <c r="G41" s="1308"/>
      <c r="H41" s="1309">
        <f>VLOOKUP(B39,REKAP_NILAI,18,FALSE)</f>
        <v>0</v>
      </c>
      <c r="I41" s="1371">
        <f t="shared" si="34"/>
        <v>0</v>
      </c>
      <c r="J41" s="1372">
        <f t="shared" si="35"/>
        <v>0</v>
      </c>
      <c r="K41" s="1373" t="str">
        <f t="shared" si="36"/>
        <v>1.33</v>
      </c>
      <c r="L41" s="1373" t="str">
        <f t="shared" si="37"/>
        <v>D+</v>
      </c>
      <c r="M41" s="1374" t="str">
        <f t="shared" si="38"/>
        <v>0</v>
      </c>
      <c r="N41" s="1311"/>
      <c r="O41" s="1312"/>
      <c r="P41" s="1312"/>
      <c r="Q41" s="1312"/>
      <c r="R41" s="1312"/>
      <c r="S41" s="1312"/>
      <c r="T41" s="1312"/>
      <c r="U41" s="1313"/>
      <c r="V41" s="1314"/>
      <c r="W41" s="1314"/>
      <c r="X41" s="1314"/>
      <c r="Y41" s="1314"/>
      <c r="Z41" s="1314"/>
      <c r="AA41" s="1315"/>
      <c r="AB41" s="1253"/>
      <c r="AC41" s="1254"/>
    </row>
    <row r="42" spans="1:29" ht="24.95" customHeight="1" x14ac:dyDescent="0.25">
      <c r="A42" s="1351"/>
      <c r="B42" s="1352">
        <v>5</v>
      </c>
      <c r="C42" s="1310"/>
      <c r="D42" s="1305" t="s">
        <v>181</v>
      </c>
      <c r="E42" s="1308">
        <f>VLOOKUP(A39,UHT_MAT,52,FALSE)</f>
        <v>0</v>
      </c>
      <c r="F42" s="1908">
        <f t="shared" si="33"/>
        <v>0</v>
      </c>
      <c r="G42" s="1308"/>
      <c r="H42" s="1309">
        <f>VLOOKUP(B39,REKAP_NILAI,19,FALSE)</f>
        <v>0</v>
      </c>
      <c r="I42" s="1371">
        <f t="shared" si="34"/>
        <v>0</v>
      </c>
      <c r="J42" s="1372">
        <f t="shared" si="35"/>
        <v>0</v>
      </c>
      <c r="K42" s="1373" t="str">
        <f t="shared" si="36"/>
        <v>1.33</v>
      </c>
      <c r="L42" s="1373" t="str">
        <f t="shared" si="37"/>
        <v>D+</v>
      </c>
      <c r="M42" s="1374" t="str">
        <f t="shared" si="38"/>
        <v>0</v>
      </c>
      <c r="N42" s="1311"/>
      <c r="O42" s="1312"/>
      <c r="P42" s="1312"/>
      <c r="Q42" s="1312"/>
      <c r="R42" s="1312"/>
      <c r="S42" s="1312"/>
      <c r="T42" s="1312"/>
      <c r="U42" s="1313"/>
      <c r="V42" s="1314"/>
      <c r="W42" s="1314"/>
      <c r="X42" s="1314"/>
      <c r="Y42" s="1314"/>
      <c r="Z42" s="1314"/>
      <c r="AA42" s="1315"/>
      <c r="AB42" s="1253"/>
      <c r="AC42" s="1254"/>
    </row>
    <row r="43" spans="1:29" ht="24.95" customHeight="1" x14ac:dyDescent="0.25">
      <c r="A43" s="1351"/>
      <c r="B43" s="1352">
        <v>5</v>
      </c>
      <c r="C43" s="1310"/>
      <c r="D43" s="1305" t="s">
        <v>182</v>
      </c>
      <c r="E43" s="1308">
        <f>VLOOKUP(A39,UHT_MAT,53,FALSE)</f>
        <v>0</v>
      </c>
      <c r="F43" s="1908">
        <f t="shared" si="33"/>
        <v>0</v>
      </c>
      <c r="G43" s="1308"/>
      <c r="H43" s="1309">
        <f>VLOOKUP(B39,REKAP_NILAI,20,FALSE)</f>
        <v>0</v>
      </c>
      <c r="I43" s="1371">
        <f t="shared" si="34"/>
        <v>0</v>
      </c>
      <c r="J43" s="1372">
        <f t="shared" si="35"/>
        <v>0</v>
      </c>
      <c r="K43" s="1373" t="str">
        <f t="shared" si="36"/>
        <v>1.33</v>
      </c>
      <c r="L43" s="1373" t="str">
        <f t="shared" si="37"/>
        <v>D+</v>
      </c>
      <c r="M43" s="1374" t="str">
        <f t="shared" si="38"/>
        <v>0</v>
      </c>
      <c r="N43" s="1311"/>
      <c r="O43" s="1312"/>
      <c r="P43" s="1312"/>
      <c r="Q43" s="1312"/>
      <c r="R43" s="1312"/>
      <c r="S43" s="1312"/>
      <c r="T43" s="1312"/>
      <c r="U43" s="1313"/>
      <c r="V43" s="1314"/>
      <c r="W43" s="1314"/>
      <c r="X43" s="1314"/>
      <c r="Y43" s="1314"/>
      <c r="Z43" s="1314"/>
      <c r="AA43" s="1315"/>
      <c r="AB43" s="1253"/>
      <c r="AC43" s="1254"/>
    </row>
    <row r="44" spans="1:29" ht="24.95" customHeight="1" x14ac:dyDescent="0.25">
      <c r="A44" s="1351"/>
      <c r="B44" s="1352">
        <v>5</v>
      </c>
      <c r="C44" s="1310"/>
      <c r="D44" s="1305" t="s">
        <v>566</v>
      </c>
      <c r="E44" s="1308">
        <f>VLOOKUP(A39,UHT_MAT,54,FALSE)</f>
        <v>0</v>
      </c>
      <c r="F44" s="1908">
        <f t="shared" si="33"/>
        <v>0</v>
      </c>
      <c r="G44" s="1308"/>
      <c r="H44" s="1309">
        <f>VLOOKUP(B39,REKAP_NILAI,21,FALSE)</f>
        <v>0</v>
      </c>
      <c r="I44" s="1371">
        <f t="shared" si="34"/>
        <v>0</v>
      </c>
      <c r="J44" s="1372">
        <f t="shared" si="35"/>
        <v>0</v>
      </c>
      <c r="K44" s="1373" t="str">
        <f t="shared" si="36"/>
        <v>1.33</v>
      </c>
      <c r="L44" s="1373" t="str">
        <f t="shared" si="37"/>
        <v>D+</v>
      </c>
      <c r="M44" s="1374" t="str">
        <f t="shared" si="38"/>
        <v>0</v>
      </c>
      <c r="N44" s="1311"/>
      <c r="O44" s="1312"/>
      <c r="P44" s="1312"/>
      <c r="Q44" s="1312"/>
      <c r="R44" s="1312"/>
      <c r="S44" s="1312"/>
      <c r="T44" s="1312"/>
      <c r="U44" s="1313"/>
      <c r="V44" s="1314"/>
      <c r="W44" s="1314"/>
      <c r="X44" s="1314"/>
      <c r="Y44" s="1314"/>
      <c r="Z44" s="1314"/>
      <c r="AA44" s="1315"/>
      <c r="AB44" s="1253"/>
      <c r="AC44" s="1254"/>
    </row>
    <row r="45" spans="1:29" ht="24.95" customHeight="1" x14ac:dyDescent="0.25">
      <c r="A45" s="1351"/>
      <c r="B45" s="1352">
        <v>5</v>
      </c>
      <c r="C45" s="1310"/>
      <c r="D45" s="1305" t="s">
        <v>567</v>
      </c>
      <c r="E45" s="1308">
        <f>VLOOKUP(A39,UHT_MAT,55,FALSE)</f>
        <v>0</v>
      </c>
      <c r="F45" s="1908">
        <f t="shared" si="33"/>
        <v>0</v>
      </c>
      <c r="G45" s="1308"/>
      <c r="H45" s="1309">
        <f>VLOOKUP(B39,REKAP_NILAI,22,FALSE)</f>
        <v>0</v>
      </c>
      <c r="I45" s="1371">
        <f t="shared" si="34"/>
        <v>0</v>
      </c>
      <c r="J45" s="1372">
        <f t="shared" si="35"/>
        <v>0</v>
      </c>
      <c r="K45" s="1373" t="str">
        <f t="shared" si="36"/>
        <v>1.33</v>
      </c>
      <c r="L45" s="1373" t="str">
        <f t="shared" si="37"/>
        <v>D+</v>
      </c>
      <c r="M45" s="1374" t="str">
        <f t="shared" si="38"/>
        <v>0</v>
      </c>
      <c r="N45" s="1311"/>
      <c r="O45" s="1312"/>
      <c r="P45" s="1312"/>
      <c r="Q45" s="1312"/>
      <c r="R45" s="1312"/>
      <c r="S45" s="1312"/>
      <c r="T45" s="1312"/>
      <c r="U45" s="1313"/>
      <c r="V45" s="1314"/>
      <c r="W45" s="1314"/>
      <c r="X45" s="1314"/>
      <c r="Y45" s="1314"/>
      <c r="Z45" s="1314"/>
      <c r="AA45" s="1315"/>
      <c r="AB45" s="1255"/>
      <c r="AC45" s="1256"/>
    </row>
    <row r="46" spans="1:29" ht="24.95" customHeight="1" x14ac:dyDescent="0.3">
      <c r="A46" s="1337"/>
      <c r="B46" s="1338"/>
      <c r="C46" s="1339" t="s">
        <v>149</v>
      </c>
      <c r="D46" s="1319">
        <v>5</v>
      </c>
      <c r="E46" s="1320"/>
      <c r="F46" s="1909"/>
      <c r="G46" s="1320"/>
      <c r="H46" s="1321">
        <f>AVERAGE(H39:H45)</f>
        <v>0</v>
      </c>
      <c r="I46" s="1375"/>
      <c r="J46" s="1376">
        <f>AVERAGE(J39:J45)</f>
        <v>0</v>
      </c>
      <c r="K46" s="1377" t="str">
        <f t="shared" ref="K46" si="39">IF(J46&gt;85,("4"),IF(J46&gt;80,("3.66"),IF(J46&gt;75,("3.33"),IF(J46&gt;70,("3.00"),IF(J46&gt;65,("2.66"),IF(J46&gt;60,("2.33"),IF(J46&gt;55,("2"),IF(J46&gt;50,("1.66"),"1.33"))))))))</f>
        <v>1.33</v>
      </c>
      <c r="L46" s="1377" t="str">
        <f t="shared" ref="L46" si="40">IF(J46&gt;85,("A"),IF(J46&gt;80,("A-"),IF(J46&gt;75,("B+"),IF(J46&gt;70,("B"),IF(J46&gt;65,("B-"),IF(J46&gt;60,("C+"),IF(J46&gt;55,("C"),IF(J46&gt;50,("C-"),"D+"))))))))</f>
        <v>D+</v>
      </c>
      <c r="M46" s="1378" t="str">
        <f t="shared" ref="M46" si="41">IF(J46&gt;80,("SB"),IF(J46&gt;65,("B"),IF(J46&gt;50,("C"),IF(J46&gt;0,("K"),"0"))))</f>
        <v>0</v>
      </c>
      <c r="N46" s="1347"/>
      <c r="O46" s="1348"/>
      <c r="P46" s="1348"/>
      <c r="Q46" s="1348"/>
      <c r="R46" s="1348"/>
      <c r="S46" s="1348"/>
      <c r="T46" s="1348"/>
      <c r="U46" s="1347"/>
      <c r="V46" s="1348"/>
      <c r="W46" s="1348"/>
      <c r="X46" s="1348"/>
      <c r="Y46" s="1348"/>
      <c r="Z46" s="1348"/>
      <c r="AA46" s="1349"/>
      <c r="AB46" s="1257"/>
      <c r="AC46" s="1258"/>
    </row>
    <row r="47" spans="1:29" ht="24.95" customHeight="1" thickBot="1" x14ac:dyDescent="0.3">
      <c r="A47" s="1350">
        <v>6</v>
      </c>
      <c r="B47" s="1326">
        <v>6</v>
      </c>
      <c r="C47" s="1327" t="str">
        <f>VLOOKUP(A47,data_siswa,4)</f>
        <v>Asyam Hanif Ihsan H</v>
      </c>
      <c r="D47" s="1305" t="s">
        <v>10</v>
      </c>
      <c r="E47" s="1308">
        <f>VLOOKUP(A47,UHT_MAT,49,FALSE)</f>
        <v>0</v>
      </c>
      <c r="F47" s="1908">
        <f>E47*2</f>
        <v>0</v>
      </c>
      <c r="G47" s="1308"/>
      <c r="H47" s="1309">
        <f>VLOOKUP(B47,REKAP_NILAI,16,FALSE)</f>
        <v>0</v>
      </c>
      <c r="I47" s="1367">
        <f>F47+G47+H47</f>
        <v>0</v>
      </c>
      <c r="J47" s="1368">
        <f>(F47+G47+H47)/4</f>
        <v>0</v>
      </c>
      <c r="K47" s="1369" t="str">
        <f>IF(J47&gt;85,("4"),IF(J47&gt;80,("3.66"),IF(J47&gt;75,("3.33"),IF(J47&gt;70,("3.00"),IF(J47&gt;65,("2.66"),IF(J47&gt;60,("2.33"),IF(J47&gt;55,("2"),IF(J47&gt;50,("1.66"),"1.33"))))))))</f>
        <v>1.33</v>
      </c>
      <c r="L47" s="1369" t="str">
        <f>IF(J47&gt;85,("A"),IF(J47&gt;80,("A-"),IF(J47&gt;75,("B+"),IF(J47&gt;70,("B"),IF(J47&gt;65,("B-"),IF(J47&gt;60,("C+"),IF(J47&gt;55,("C"),IF(J47&gt;50,("C-"),"D+"))))))))</f>
        <v>D+</v>
      </c>
      <c r="M47" s="1370" t="str">
        <f>IF(J47&gt;80,("SB"),IF(J47&gt;65,("B"),IF(J47&gt;50,("C"),IF(J47&gt;0,("K"),"0"))))</f>
        <v>0</v>
      </c>
      <c r="N47" s="1343"/>
      <c r="O47" s="1344"/>
      <c r="P47" s="1344"/>
      <c r="Q47" s="1344"/>
      <c r="R47" s="1344"/>
      <c r="S47" s="1344"/>
      <c r="T47" s="1345"/>
      <c r="U47" s="1346"/>
      <c r="V47" s="1346"/>
      <c r="W47" s="1346"/>
      <c r="X47" s="1346"/>
      <c r="Y47" s="1346"/>
      <c r="Z47" s="1346"/>
      <c r="AA47" s="1346"/>
      <c r="AB47" s="1057">
        <f>J54</f>
        <v>0</v>
      </c>
      <c r="AC47" s="1194" t="str">
        <f>IF(AB47&gt;85,("A"),IF(AB47&gt;80,("A-"),IF(AB47&gt;75,("B+"),IF(AB47&gt;70,("B"),IF(AB47&gt;65,("B-"),IF(AB47&gt;60,("C+"),IF(AB47&gt;55,("C"),IF(AB47&gt;50,("C-"),"D+"))))))))</f>
        <v>D+</v>
      </c>
    </row>
    <row r="48" spans="1:29" ht="24.95" customHeight="1" x14ac:dyDescent="0.25">
      <c r="A48" s="1351"/>
      <c r="B48" s="1352">
        <v>6</v>
      </c>
      <c r="C48" s="1310"/>
      <c r="D48" s="1305" t="s">
        <v>20</v>
      </c>
      <c r="E48" s="1308">
        <f>VLOOKUP(A47,UHT_MAT,50,FALSE)</f>
        <v>0</v>
      </c>
      <c r="F48" s="1908">
        <f t="shared" ref="F48:F53" si="42">E48*2</f>
        <v>0</v>
      </c>
      <c r="G48" s="1308"/>
      <c r="H48" s="1309">
        <f>VLOOKUP(B47,REKAP_NILAI,17,FALSE)</f>
        <v>0</v>
      </c>
      <c r="I48" s="1371">
        <f t="shared" ref="I48:I53" si="43">F48+G48+H48</f>
        <v>0</v>
      </c>
      <c r="J48" s="1372">
        <f t="shared" ref="J48:J53" si="44">(F48+G48+H48)/4</f>
        <v>0</v>
      </c>
      <c r="K48" s="1373" t="str">
        <f t="shared" ref="K48:K54" si="45">IF(J48&gt;85,("4"),IF(J48&gt;80,("3.66"),IF(J48&gt;75,("3.33"),IF(J48&gt;70,("3.00"),IF(J48&gt;65,("2.66"),IF(J48&gt;60,("2.33"),IF(J48&gt;55,("2"),IF(J48&gt;50,("1.66"),"1.33"))))))))</f>
        <v>1.33</v>
      </c>
      <c r="L48" s="1373" t="str">
        <f t="shared" ref="L48:L54" si="46">IF(J48&gt;85,("A"),IF(J48&gt;80,("A-"),IF(J48&gt;75,("B+"),IF(J48&gt;70,("B"),IF(J48&gt;65,("B-"),IF(J48&gt;60,("C+"),IF(J48&gt;55,("C"),IF(J48&gt;50,("C-"),"D+"))))))))</f>
        <v>D+</v>
      </c>
      <c r="M48" s="1374" t="str">
        <f t="shared" ref="M48:M54" si="47">IF(J48&gt;80,("SB"),IF(J48&gt;65,("B"),IF(J48&gt;50,("C"),IF(J48&gt;0,("K"),"0"))))</f>
        <v>0</v>
      </c>
      <c r="N48" s="1332"/>
      <c r="O48" s="1333"/>
      <c r="P48" s="1333"/>
      <c r="Q48" s="1333"/>
      <c r="R48" s="1333"/>
      <c r="S48" s="1333"/>
      <c r="T48" s="1333"/>
      <c r="U48" s="1334"/>
      <c r="V48" s="1335"/>
      <c r="W48" s="1335"/>
      <c r="X48" s="1335"/>
      <c r="Y48" s="1335"/>
      <c r="Z48" s="1335"/>
      <c r="AA48" s="1336"/>
      <c r="AB48" s="1251"/>
      <c r="AC48" s="1252"/>
    </row>
    <row r="49" spans="1:29" ht="24.95" customHeight="1" x14ac:dyDescent="0.25">
      <c r="A49" s="1351"/>
      <c r="B49" s="1352">
        <v>6</v>
      </c>
      <c r="C49" s="1310"/>
      <c r="D49" s="1305" t="s">
        <v>19</v>
      </c>
      <c r="E49" s="1308">
        <f>VLOOKUP(A47,UHT_MAT,51,FALSE)</f>
        <v>0</v>
      </c>
      <c r="F49" s="1908">
        <f t="shared" si="42"/>
        <v>0</v>
      </c>
      <c r="G49" s="1308"/>
      <c r="H49" s="1309">
        <f>VLOOKUP(B47,REKAP_NILAI,18,FALSE)</f>
        <v>0</v>
      </c>
      <c r="I49" s="1371">
        <f t="shared" si="43"/>
        <v>0</v>
      </c>
      <c r="J49" s="1372">
        <f t="shared" si="44"/>
        <v>0</v>
      </c>
      <c r="K49" s="1373" t="str">
        <f t="shared" si="45"/>
        <v>1.33</v>
      </c>
      <c r="L49" s="1373" t="str">
        <f t="shared" si="46"/>
        <v>D+</v>
      </c>
      <c r="M49" s="1374" t="str">
        <f t="shared" si="47"/>
        <v>0</v>
      </c>
      <c r="N49" s="1311"/>
      <c r="O49" s="1312"/>
      <c r="P49" s="1312"/>
      <c r="Q49" s="1312"/>
      <c r="R49" s="1312"/>
      <c r="S49" s="1312"/>
      <c r="T49" s="1312"/>
      <c r="U49" s="1313"/>
      <c r="V49" s="1314"/>
      <c r="W49" s="1314"/>
      <c r="X49" s="1314"/>
      <c r="Y49" s="1314"/>
      <c r="Z49" s="1314"/>
      <c r="AA49" s="1315"/>
      <c r="AB49" s="1253"/>
      <c r="AC49" s="1254"/>
    </row>
    <row r="50" spans="1:29" ht="24.95" customHeight="1" x14ac:dyDescent="0.25">
      <c r="A50" s="1351"/>
      <c r="B50" s="1352">
        <v>6</v>
      </c>
      <c r="C50" s="1310"/>
      <c r="D50" s="1305" t="s">
        <v>181</v>
      </c>
      <c r="E50" s="1308">
        <f>VLOOKUP(A47,UHT_MAT,52,FALSE)</f>
        <v>0</v>
      </c>
      <c r="F50" s="1908">
        <f t="shared" si="42"/>
        <v>0</v>
      </c>
      <c r="G50" s="1308"/>
      <c r="H50" s="1309">
        <f>VLOOKUP(B47,REKAP_NILAI,19,FALSE)</f>
        <v>0</v>
      </c>
      <c r="I50" s="1371">
        <f t="shared" si="43"/>
        <v>0</v>
      </c>
      <c r="J50" s="1372">
        <f t="shared" si="44"/>
        <v>0</v>
      </c>
      <c r="K50" s="1373" t="str">
        <f t="shared" si="45"/>
        <v>1.33</v>
      </c>
      <c r="L50" s="1373" t="str">
        <f t="shared" si="46"/>
        <v>D+</v>
      </c>
      <c r="M50" s="1374" t="str">
        <f t="shared" si="47"/>
        <v>0</v>
      </c>
      <c r="N50" s="1311"/>
      <c r="O50" s="1312"/>
      <c r="P50" s="1312"/>
      <c r="Q50" s="1312"/>
      <c r="R50" s="1312"/>
      <c r="S50" s="1312"/>
      <c r="T50" s="1312"/>
      <c r="U50" s="1313"/>
      <c r="V50" s="1314"/>
      <c r="W50" s="1314"/>
      <c r="X50" s="1314"/>
      <c r="Y50" s="1314"/>
      <c r="Z50" s="1314"/>
      <c r="AA50" s="1315"/>
      <c r="AB50" s="1253"/>
      <c r="AC50" s="1254"/>
    </row>
    <row r="51" spans="1:29" ht="24.95" customHeight="1" x14ac:dyDescent="0.25">
      <c r="A51" s="1351"/>
      <c r="B51" s="1352">
        <v>6</v>
      </c>
      <c r="C51" s="1310"/>
      <c r="D51" s="1305" t="s">
        <v>182</v>
      </c>
      <c r="E51" s="1308">
        <f>VLOOKUP(A47,UHT_MAT,53,FALSE)</f>
        <v>0</v>
      </c>
      <c r="F51" s="1908">
        <f t="shared" si="42"/>
        <v>0</v>
      </c>
      <c r="G51" s="1308"/>
      <c r="H51" s="1309">
        <f>VLOOKUP(B47,REKAP_NILAI,20,FALSE)</f>
        <v>0</v>
      </c>
      <c r="I51" s="1371">
        <f t="shared" si="43"/>
        <v>0</v>
      </c>
      <c r="J51" s="1372">
        <f t="shared" si="44"/>
        <v>0</v>
      </c>
      <c r="K51" s="1373" t="str">
        <f t="shared" si="45"/>
        <v>1.33</v>
      </c>
      <c r="L51" s="1373" t="str">
        <f t="shared" si="46"/>
        <v>D+</v>
      </c>
      <c r="M51" s="1374" t="str">
        <f t="shared" si="47"/>
        <v>0</v>
      </c>
      <c r="N51" s="1311"/>
      <c r="O51" s="1312"/>
      <c r="P51" s="1312"/>
      <c r="Q51" s="1312"/>
      <c r="R51" s="1312"/>
      <c r="S51" s="1312"/>
      <c r="T51" s="1312"/>
      <c r="U51" s="1313"/>
      <c r="V51" s="1314"/>
      <c r="W51" s="1314"/>
      <c r="X51" s="1314"/>
      <c r="Y51" s="1314"/>
      <c r="Z51" s="1314"/>
      <c r="AA51" s="1315"/>
      <c r="AB51" s="1253"/>
      <c r="AC51" s="1254"/>
    </row>
    <row r="52" spans="1:29" ht="24.95" customHeight="1" x14ac:dyDescent="0.25">
      <c r="A52" s="1351"/>
      <c r="B52" s="1352">
        <v>6</v>
      </c>
      <c r="C52" s="1310"/>
      <c r="D52" s="1305" t="s">
        <v>566</v>
      </c>
      <c r="E52" s="1308">
        <f>VLOOKUP(A47,UHT_MAT,54,FALSE)</f>
        <v>0</v>
      </c>
      <c r="F52" s="1908">
        <f t="shared" si="42"/>
        <v>0</v>
      </c>
      <c r="G52" s="1308"/>
      <c r="H52" s="1309">
        <f>VLOOKUP(B47,REKAP_NILAI,21,FALSE)</f>
        <v>0</v>
      </c>
      <c r="I52" s="1371">
        <f t="shared" si="43"/>
        <v>0</v>
      </c>
      <c r="J52" s="1372">
        <f t="shared" si="44"/>
        <v>0</v>
      </c>
      <c r="K52" s="1373" t="str">
        <f t="shared" si="45"/>
        <v>1.33</v>
      </c>
      <c r="L52" s="1373" t="str">
        <f t="shared" si="46"/>
        <v>D+</v>
      </c>
      <c r="M52" s="1374" t="str">
        <f t="shared" si="47"/>
        <v>0</v>
      </c>
      <c r="N52" s="1311"/>
      <c r="O52" s="1312"/>
      <c r="P52" s="1312"/>
      <c r="Q52" s="1312"/>
      <c r="R52" s="1312"/>
      <c r="S52" s="1312"/>
      <c r="T52" s="1312"/>
      <c r="U52" s="1313"/>
      <c r="V52" s="1314"/>
      <c r="W52" s="1314"/>
      <c r="X52" s="1314"/>
      <c r="Y52" s="1314"/>
      <c r="Z52" s="1314"/>
      <c r="AA52" s="1315"/>
      <c r="AB52" s="1253"/>
      <c r="AC52" s="1254"/>
    </row>
    <row r="53" spans="1:29" ht="24.95" customHeight="1" x14ac:dyDescent="0.25">
      <c r="A53" s="1351"/>
      <c r="B53" s="1352">
        <v>6</v>
      </c>
      <c r="C53" s="1310"/>
      <c r="D53" s="1305" t="s">
        <v>567</v>
      </c>
      <c r="E53" s="1308">
        <f>VLOOKUP(A47,UHT_MAT,55,FALSE)</f>
        <v>0</v>
      </c>
      <c r="F53" s="1908">
        <f t="shared" si="42"/>
        <v>0</v>
      </c>
      <c r="G53" s="1308"/>
      <c r="H53" s="1309">
        <f>VLOOKUP(B47,REKAP_NILAI,22,FALSE)</f>
        <v>0</v>
      </c>
      <c r="I53" s="1371">
        <f t="shared" si="43"/>
        <v>0</v>
      </c>
      <c r="J53" s="1372">
        <f t="shared" si="44"/>
        <v>0</v>
      </c>
      <c r="K53" s="1373" t="str">
        <f t="shared" si="45"/>
        <v>1.33</v>
      </c>
      <c r="L53" s="1373" t="str">
        <f t="shared" si="46"/>
        <v>D+</v>
      </c>
      <c r="M53" s="1374" t="str">
        <f t="shared" si="47"/>
        <v>0</v>
      </c>
      <c r="N53" s="1311"/>
      <c r="O53" s="1312"/>
      <c r="P53" s="1312"/>
      <c r="Q53" s="1312"/>
      <c r="R53" s="1312"/>
      <c r="S53" s="1312"/>
      <c r="T53" s="1312"/>
      <c r="U53" s="1313"/>
      <c r="V53" s="1314"/>
      <c r="W53" s="1314"/>
      <c r="X53" s="1314"/>
      <c r="Y53" s="1314"/>
      <c r="Z53" s="1314"/>
      <c r="AA53" s="1315"/>
      <c r="AB53" s="1255"/>
      <c r="AC53" s="1256"/>
    </row>
    <row r="54" spans="1:29" ht="24.95" customHeight="1" x14ac:dyDescent="0.3">
      <c r="A54" s="1337"/>
      <c r="B54" s="1338"/>
      <c r="C54" s="1339" t="s">
        <v>149</v>
      </c>
      <c r="D54" s="1319">
        <v>6</v>
      </c>
      <c r="E54" s="1320"/>
      <c r="F54" s="1909"/>
      <c r="G54" s="1320"/>
      <c r="H54" s="1321">
        <f>AVERAGE(H47:H53)</f>
        <v>0</v>
      </c>
      <c r="I54" s="1375"/>
      <c r="J54" s="1376">
        <f>AVERAGE(J47:J53)</f>
        <v>0</v>
      </c>
      <c r="K54" s="1377" t="str">
        <f t="shared" si="45"/>
        <v>1.33</v>
      </c>
      <c r="L54" s="1377" t="str">
        <f t="shared" si="46"/>
        <v>D+</v>
      </c>
      <c r="M54" s="1378" t="str">
        <f t="shared" si="47"/>
        <v>0</v>
      </c>
      <c r="N54" s="1347"/>
      <c r="O54" s="1348"/>
      <c r="P54" s="1348"/>
      <c r="Q54" s="1348"/>
      <c r="R54" s="1348"/>
      <c r="S54" s="1348"/>
      <c r="T54" s="1348"/>
      <c r="U54" s="1347"/>
      <c r="V54" s="1348"/>
      <c r="W54" s="1348"/>
      <c r="X54" s="1348"/>
      <c r="Y54" s="1348"/>
      <c r="Z54" s="1348"/>
      <c r="AA54" s="1349"/>
      <c r="AB54" s="1257"/>
      <c r="AC54" s="1258"/>
    </row>
    <row r="55" spans="1:29" ht="24.95" customHeight="1" thickBot="1" x14ac:dyDescent="0.3">
      <c r="A55" s="1350">
        <v>7</v>
      </c>
      <c r="B55" s="1326">
        <v>7</v>
      </c>
      <c r="C55" s="1327" t="str">
        <f>VLOOKUP(A55,data_siswa,4)</f>
        <v>Athaya Salsabilla Z</v>
      </c>
      <c r="D55" s="1305" t="s">
        <v>10</v>
      </c>
      <c r="E55" s="1308">
        <f>VLOOKUP(A55,UHT_MAT,49,FALSE)</f>
        <v>0</v>
      </c>
      <c r="F55" s="1908">
        <f>E55*2</f>
        <v>0</v>
      </c>
      <c r="G55" s="1308"/>
      <c r="H55" s="1309">
        <f>VLOOKUP(B55,REKAP_NILAI,16,FALSE)</f>
        <v>0</v>
      </c>
      <c r="I55" s="1367">
        <f>F55+G55+H55</f>
        <v>0</v>
      </c>
      <c r="J55" s="1368">
        <f>(F55+G55+H55)/4</f>
        <v>0</v>
      </c>
      <c r="K55" s="1369" t="str">
        <f>IF(J55&gt;85,("4"),IF(J55&gt;80,("3.66"),IF(J55&gt;75,("3.33"),IF(J55&gt;70,("3.00"),IF(J55&gt;65,("2.66"),IF(J55&gt;60,("2.33"),IF(J55&gt;55,("2"),IF(J55&gt;50,("1.66"),"1.33"))))))))</f>
        <v>1.33</v>
      </c>
      <c r="L55" s="1369" t="str">
        <f>IF(J55&gt;85,("A"),IF(J55&gt;80,("A-"),IF(J55&gt;75,("B+"),IF(J55&gt;70,("B"),IF(J55&gt;65,("B-"),IF(J55&gt;60,("C+"),IF(J55&gt;55,("C"),IF(J55&gt;50,("C-"),"D+"))))))))</f>
        <v>D+</v>
      </c>
      <c r="M55" s="1370" t="str">
        <f>IF(J55&gt;80,("SB"),IF(J55&gt;65,("B"),IF(J55&gt;50,("C"),IF(J55&gt;0,("K"),"0"))))</f>
        <v>0</v>
      </c>
      <c r="N55" s="1343"/>
      <c r="O55" s="1344"/>
      <c r="P55" s="1344"/>
      <c r="Q55" s="1344"/>
      <c r="R55" s="1344"/>
      <c r="S55" s="1344"/>
      <c r="T55" s="1345"/>
      <c r="U55" s="1346"/>
      <c r="V55" s="1346"/>
      <c r="W55" s="1346"/>
      <c r="X55" s="1346"/>
      <c r="Y55" s="1346"/>
      <c r="Z55" s="1346"/>
      <c r="AA55" s="1346"/>
      <c r="AB55" s="1057">
        <f>J62</f>
        <v>0</v>
      </c>
      <c r="AC55" s="1194" t="str">
        <f>IF(AB55&gt;85,("A"),IF(AB55&gt;80,("A-"),IF(AB55&gt;75,("B+"),IF(AB55&gt;70,("B"),IF(AB55&gt;65,("B-"),IF(AB55&gt;60,("C+"),IF(AB55&gt;55,("C"),IF(AB55&gt;50,("C-"),"D+"))))))))</f>
        <v>D+</v>
      </c>
    </row>
    <row r="56" spans="1:29" ht="24.95" customHeight="1" x14ac:dyDescent="0.25">
      <c r="A56" s="1351"/>
      <c r="B56" s="1352">
        <v>7</v>
      </c>
      <c r="C56" s="1310"/>
      <c r="D56" s="1305" t="s">
        <v>20</v>
      </c>
      <c r="E56" s="1308">
        <f>VLOOKUP(A55,UHT_MAT,50,FALSE)</f>
        <v>0</v>
      </c>
      <c r="F56" s="1908">
        <f t="shared" ref="F56:F61" si="48">E56*2</f>
        <v>0</v>
      </c>
      <c r="G56" s="1308"/>
      <c r="H56" s="1309">
        <f>VLOOKUP(B55,REKAP_NILAI,17,FALSE)</f>
        <v>0</v>
      </c>
      <c r="I56" s="1371">
        <f t="shared" ref="I56:I61" si="49">F56+G56+H56</f>
        <v>0</v>
      </c>
      <c r="J56" s="1372">
        <f t="shared" ref="J56:J61" si="50">(F56+G56+H56)/4</f>
        <v>0</v>
      </c>
      <c r="K56" s="1373" t="str">
        <f t="shared" ref="K56:K62" si="51">IF(J56&gt;85,("4"),IF(J56&gt;80,("3.66"),IF(J56&gt;75,("3.33"),IF(J56&gt;70,("3.00"),IF(J56&gt;65,("2.66"),IF(J56&gt;60,("2.33"),IF(J56&gt;55,("2"),IF(J56&gt;50,("1.66"),"1.33"))))))))</f>
        <v>1.33</v>
      </c>
      <c r="L56" s="1373" t="str">
        <f t="shared" ref="L56:L62" si="52">IF(J56&gt;85,("A"),IF(J56&gt;80,("A-"),IF(J56&gt;75,("B+"),IF(J56&gt;70,("B"),IF(J56&gt;65,("B-"),IF(J56&gt;60,("C+"),IF(J56&gt;55,("C"),IF(J56&gt;50,("C-"),"D+"))))))))</f>
        <v>D+</v>
      </c>
      <c r="M56" s="1374" t="str">
        <f t="shared" ref="M56:M62" si="53">IF(J56&gt;80,("SB"),IF(J56&gt;65,("B"),IF(J56&gt;50,("C"),IF(J56&gt;0,("K"),"0"))))</f>
        <v>0</v>
      </c>
      <c r="N56" s="1332"/>
      <c r="O56" s="1333"/>
      <c r="P56" s="1333"/>
      <c r="Q56" s="1333"/>
      <c r="R56" s="1333"/>
      <c r="S56" s="1333"/>
      <c r="T56" s="1333"/>
      <c r="U56" s="1334"/>
      <c r="V56" s="1335"/>
      <c r="W56" s="1335"/>
      <c r="X56" s="1335"/>
      <c r="Y56" s="1335"/>
      <c r="Z56" s="1335"/>
      <c r="AA56" s="1336"/>
      <c r="AB56" s="1251"/>
      <c r="AC56" s="1252"/>
    </row>
    <row r="57" spans="1:29" ht="24.95" customHeight="1" x14ac:dyDescent="0.25">
      <c r="A57" s="1351"/>
      <c r="B57" s="1352">
        <v>7</v>
      </c>
      <c r="C57" s="1310"/>
      <c r="D57" s="1305" t="s">
        <v>19</v>
      </c>
      <c r="E57" s="1308">
        <f>VLOOKUP(A55,UHT_MAT,51,FALSE)</f>
        <v>0</v>
      </c>
      <c r="F57" s="1908">
        <f t="shared" si="48"/>
        <v>0</v>
      </c>
      <c r="G57" s="1308"/>
      <c r="H57" s="1309">
        <f>VLOOKUP(B55,REKAP_NILAI,18,FALSE)</f>
        <v>0</v>
      </c>
      <c r="I57" s="1371">
        <f t="shared" si="49"/>
        <v>0</v>
      </c>
      <c r="J57" s="1372">
        <f t="shared" si="50"/>
        <v>0</v>
      </c>
      <c r="K57" s="1373" t="str">
        <f t="shared" si="51"/>
        <v>1.33</v>
      </c>
      <c r="L57" s="1373" t="str">
        <f t="shared" si="52"/>
        <v>D+</v>
      </c>
      <c r="M57" s="1374" t="str">
        <f t="shared" si="53"/>
        <v>0</v>
      </c>
      <c r="N57" s="1311"/>
      <c r="O57" s="1312"/>
      <c r="P57" s="1312"/>
      <c r="Q57" s="1312"/>
      <c r="R57" s="1312"/>
      <c r="S57" s="1312"/>
      <c r="T57" s="1312"/>
      <c r="U57" s="1313"/>
      <c r="V57" s="1314"/>
      <c r="W57" s="1314"/>
      <c r="X57" s="1314"/>
      <c r="Y57" s="1314"/>
      <c r="Z57" s="1314"/>
      <c r="AA57" s="1315"/>
      <c r="AB57" s="1253"/>
      <c r="AC57" s="1254"/>
    </row>
    <row r="58" spans="1:29" ht="24.95" customHeight="1" x14ac:dyDescent="0.25">
      <c r="A58" s="1351"/>
      <c r="B58" s="1352">
        <v>7</v>
      </c>
      <c r="C58" s="1310"/>
      <c r="D58" s="1305" t="s">
        <v>181</v>
      </c>
      <c r="E58" s="1308">
        <f>VLOOKUP(A55,UHT_MAT,52,FALSE)</f>
        <v>0</v>
      </c>
      <c r="F58" s="1908">
        <f t="shared" si="48"/>
        <v>0</v>
      </c>
      <c r="G58" s="1308"/>
      <c r="H58" s="1309">
        <f>VLOOKUP(B55,REKAP_NILAI,19,FALSE)</f>
        <v>0</v>
      </c>
      <c r="I58" s="1371">
        <f t="shared" si="49"/>
        <v>0</v>
      </c>
      <c r="J58" s="1372">
        <f t="shared" si="50"/>
        <v>0</v>
      </c>
      <c r="K58" s="1373" t="str">
        <f t="shared" si="51"/>
        <v>1.33</v>
      </c>
      <c r="L58" s="1373" t="str">
        <f t="shared" si="52"/>
        <v>D+</v>
      </c>
      <c r="M58" s="1374" t="str">
        <f t="shared" si="53"/>
        <v>0</v>
      </c>
      <c r="N58" s="1311"/>
      <c r="O58" s="1312"/>
      <c r="P58" s="1312"/>
      <c r="Q58" s="1312"/>
      <c r="R58" s="1312"/>
      <c r="S58" s="1312"/>
      <c r="T58" s="1312"/>
      <c r="U58" s="1313"/>
      <c r="V58" s="1314"/>
      <c r="W58" s="1314"/>
      <c r="X58" s="1314"/>
      <c r="Y58" s="1314"/>
      <c r="Z58" s="1314"/>
      <c r="AA58" s="1315"/>
      <c r="AB58" s="1253"/>
      <c r="AC58" s="1254"/>
    </row>
    <row r="59" spans="1:29" ht="24.95" customHeight="1" x14ac:dyDescent="0.25">
      <c r="A59" s="1351"/>
      <c r="B59" s="1352">
        <v>7</v>
      </c>
      <c r="C59" s="1310"/>
      <c r="D59" s="1305" t="s">
        <v>182</v>
      </c>
      <c r="E59" s="1308">
        <f>VLOOKUP(A55,UHT_MAT,53,FALSE)</f>
        <v>0</v>
      </c>
      <c r="F59" s="1908">
        <f t="shared" si="48"/>
        <v>0</v>
      </c>
      <c r="G59" s="1308"/>
      <c r="H59" s="1309">
        <f>VLOOKUP(B55,REKAP_NILAI,20,FALSE)</f>
        <v>0</v>
      </c>
      <c r="I59" s="1371">
        <f t="shared" si="49"/>
        <v>0</v>
      </c>
      <c r="J59" s="1372">
        <f t="shared" si="50"/>
        <v>0</v>
      </c>
      <c r="K59" s="1373" t="str">
        <f t="shared" si="51"/>
        <v>1.33</v>
      </c>
      <c r="L59" s="1373" t="str">
        <f t="shared" si="52"/>
        <v>D+</v>
      </c>
      <c r="M59" s="1374" t="str">
        <f t="shared" si="53"/>
        <v>0</v>
      </c>
      <c r="N59" s="1311"/>
      <c r="O59" s="1312"/>
      <c r="P59" s="1312"/>
      <c r="Q59" s="1312"/>
      <c r="R59" s="1312"/>
      <c r="S59" s="1312"/>
      <c r="T59" s="1312"/>
      <c r="U59" s="1313"/>
      <c r="V59" s="1314"/>
      <c r="W59" s="1314"/>
      <c r="X59" s="1314"/>
      <c r="Y59" s="1314"/>
      <c r="Z59" s="1314"/>
      <c r="AA59" s="1315"/>
      <c r="AB59" s="1253"/>
      <c r="AC59" s="1254"/>
    </row>
    <row r="60" spans="1:29" ht="24.95" customHeight="1" x14ac:dyDescent="0.25">
      <c r="A60" s="1351"/>
      <c r="B60" s="1352">
        <v>7</v>
      </c>
      <c r="C60" s="1310"/>
      <c r="D60" s="1305" t="s">
        <v>566</v>
      </c>
      <c r="E60" s="1308">
        <f>VLOOKUP(A55,UHT_MAT,54,FALSE)</f>
        <v>0</v>
      </c>
      <c r="F60" s="1908">
        <f t="shared" si="48"/>
        <v>0</v>
      </c>
      <c r="G60" s="1308"/>
      <c r="H60" s="1309">
        <f>VLOOKUP(B55,REKAP_NILAI,21,FALSE)</f>
        <v>0</v>
      </c>
      <c r="I60" s="1371">
        <f t="shared" si="49"/>
        <v>0</v>
      </c>
      <c r="J60" s="1372">
        <f t="shared" si="50"/>
        <v>0</v>
      </c>
      <c r="K60" s="1373" t="str">
        <f t="shared" si="51"/>
        <v>1.33</v>
      </c>
      <c r="L60" s="1373" t="str">
        <f t="shared" si="52"/>
        <v>D+</v>
      </c>
      <c r="M60" s="1374" t="str">
        <f t="shared" si="53"/>
        <v>0</v>
      </c>
      <c r="N60" s="1311"/>
      <c r="O60" s="1312"/>
      <c r="P60" s="1312"/>
      <c r="Q60" s="1312"/>
      <c r="R60" s="1312"/>
      <c r="S60" s="1312"/>
      <c r="T60" s="1312"/>
      <c r="U60" s="1313"/>
      <c r="V60" s="1314"/>
      <c r="W60" s="1314"/>
      <c r="X60" s="1314"/>
      <c r="Y60" s="1314"/>
      <c r="Z60" s="1314"/>
      <c r="AA60" s="1315"/>
      <c r="AB60" s="1253"/>
      <c r="AC60" s="1254"/>
    </row>
    <row r="61" spans="1:29" ht="24.95" customHeight="1" x14ac:dyDescent="0.25">
      <c r="A61" s="1351"/>
      <c r="B61" s="1352">
        <v>7</v>
      </c>
      <c r="C61" s="1310"/>
      <c r="D61" s="1305" t="s">
        <v>567</v>
      </c>
      <c r="E61" s="1308">
        <f>VLOOKUP(A55,UHT_MAT,55,FALSE)</f>
        <v>0</v>
      </c>
      <c r="F61" s="1908">
        <f t="shared" si="48"/>
        <v>0</v>
      </c>
      <c r="G61" s="1308"/>
      <c r="H61" s="1309">
        <f>VLOOKUP(B55,REKAP_NILAI,22,FALSE)</f>
        <v>0</v>
      </c>
      <c r="I61" s="1371">
        <f t="shared" si="49"/>
        <v>0</v>
      </c>
      <c r="J61" s="1372">
        <f t="shared" si="50"/>
        <v>0</v>
      </c>
      <c r="K61" s="1373" t="str">
        <f t="shared" si="51"/>
        <v>1.33</v>
      </c>
      <c r="L61" s="1373" t="str">
        <f t="shared" si="52"/>
        <v>D+</v>
      </c>
      <c r="M61" s="1374" t="str">
        <f t="shared" si="53"/>
        <v>0</v>
      </c>
      <c r="N61" s="1311"/>
      <c r="O61" s="1312"/>
      <c r="P61" s="1312"/>
      <c r="Q61" s="1312"/>
      <c r="R61" s="1312"/>
      <c r="S61" s="1312"/>
      <c r="T61" s="1312"/>
      <c r="U61" s="1313"/>
      <c r="V61" s="1314"/>
      <c r="W61" s="1314"/>
      <c r="X61" s="1314"/>
      <c r="Y61" s="1314"/>
      <c r="Z61" s="1314"/>
      <c r="AA61" s="1315"/>
      <c r="AB61" s="1255"/>
      <c r="AC61" s="1256"/>
    </row>
    <row r="62" spans="1:29" ht="24.95" customHeight="1" x14ac:dyDescent="0.3">
      <c r="A62" s="1337"/>
      <c r="B62" s="1338"/>
      <c r="C62" s="1339" t="s">
        <v>149</v>
      </c>
      <c r="D62" s="1319">
        <v>7</v>
      </c>
      <c r="E62" s="1320"/>
      <c r="F62" s="1909"/>
      <c r="G62" s="1320"/>
      <c r="H62" s="1321">
        <f>AVERAGE(H55:H61)</f>
        <v>0</v>
      </c>
      <c r="I62" s="1375"/>
      <c r="J62" s="1376">
        <f>AVERAGE(J55:J61)</f>
        <v>0</v>
      </c>
      <c r="K62" s="1377" t="str">
        <f t="shared" si="51"/>
        <v>1.33</v>
      </c>
      <c r="L62" s="1377" t="str">
        <f t="shared" si="52"/>
        <v>D+</v>
      </c>
      <c r="M62" s="1378" t="str">
        <f t="shared" si="53"/>
        <v>0</v>
      </c>
      <c r="N62" s="1347"/>
      <c r="O62" s="1348"/>
      <c r="P62" s="1348"/>
      <c r="Q62" s="1348"/>
      <c r="R62" s="1348"/>
      <c r="S62" s="1348"/>
      <c r="T62" s="1348"/>
      <c r="U62" s="1347"/>
      <c r="V62" s="1348"/>
      <c r="W62" s="1348"/>
      <c r="X62" s="1348"/>
      <c r="Y62" s="1348"/>
      <c r="Z62" s="1348"/>
      <c r="AA62" s="1349"/>
      <c r="AB62" s="1257"/>
      <c r="AC62" s="1258"/>
    </row>
    <row r="63" spans="1:29" ht="24.95" customHeight="1" thickBot="1" x14ac:dyDescent="0.3">
      <c r="A63" s="1350">
        <v>8</v>
      </c>
      <c r="B63" s="1326">
        <v>8</v>
      </c>
      <c r="C63" s="1327" t="str">
        <f>VLOOKUP(A63,data_siswa,4)</f>
        <v>Aulia Dea Rosalinda</v>
      </c>
      <c r="D63" s="1305" t="s">
        <v>10</v>
      </c>
      <c r="E63" s="1308">
        <f>VLOOKUP(A63,UHT_MAT,49,FALSE)</f>
        <v>0</v>
      </c>
      <c r="F63" s="1908">
        <f>E63*2</f>
        <v>0</v>
      </c>
      <c r="G63" s="1308"/>
      <c r="H63" s="1309">
        <f>VLOOKUP(B63,REKAP_NILAI,16,FALSE)</f>
        <v>0</v>
      </c>
      <c r="I63" s="1367">
        <f>F63+G63+H63</f>
        <v>0</v>
      </c>
      <c r="J63" s="1368">
        <f>(F63+G63+H63)/4</f>
        <v>0</v>
      </c>
      <c r="K63" s="1369" t="str">
        <f>IF(J63&gt;85,("4"),IF(J63&gt;80,("3.66"),IF(J63&gt;75,("3.33"),IF(J63&gt;70,("3.00"),IF(J63&gt;65,("2.66"),IF(J63&gt;60,("2.33"),IF(J63&gt;55,("2"),IF(J63&gt;50,("1.66"),"1.33"))))))))</f>
        <v>1.33</v>
      </c>
      <c r="L63" s="1369" t="str">
        <f>IF(J63&gt;85,("A"),IF(J63&gt;80,("A-"),IF(J63&gt;75,("B+"),IF(J63&gt;70,("B"),IF(J63&gt;65,("B-"),IF(J63&gt;60,("C+"),IF(J63&gt;55,("C"),IF(J63&gt;50,("C-"),"D+"))))))))</f>
        <v>D+</v>
      </c>
      <c r="M63" s="1370" t="str">
        <f>IF(J63&gt;80,("SB"),IF(J63&gt;65,("B"),IF(J63&gt;50,("C"),IF(J63&gt;0,("K"),"0"))))</f>
        <v>0</v>
      </c>
      <c r="N63" s="1343"/>
      <c r="O63" s="1344"/>
      <c r="P63" s="1344"/>
      <c r="Q63" s="1344"/>
      <c r="R63" s="1344"/>
      <c r="S63" s="1344"/>
      <c r="T63" s="1345"/>
      <c r="U63" s="1346"/>
      <c r="V63" s="1346"/>
      <c r="W63" s="1346"/>
      <c r="X63" s="1346"/>
      <c r="Y63" s="1346"/>
      <c r="Z63" s="1346"/>
      <c r="AA63" s="1346"/>
      <c r="AB63" s="1057">
        <f>J70</f>
        <v>0</v>
      </c>
      <c r="AC63" s="1194" t="str">
        <f>IF(AB63&gt;85,("A"),IF(AB63&gt;80,("A-"),IF(AB63&gt;75,("B+"),IF(AB63&gt;70,("B"),IF(AB63&gt;65,("B-"),IF(AB63&gt;60,("C+"),IF(AB63&gt;55,("C"),IF(AB63&gt;50,("C-"),"D+"))))))))</f>
        <v>D+</v>
      </c>
    </row>
    <row r="64" spans="1:29" ht="24.95" customHeight="1" x14ac:dyDescent="0.25">
      <c r="A64" s="1351"/>
      <c r="B64" s="1352">
        <v>8</v>
      </c>
      <c r="C64" s="1310"/>
      <c r="D64" s="1305" t="s">
        <v>20</v>
      </c>
      <c r="E64" s="1308">
        <f>VLOOKUP(A63,UHT_MAT,50,FALSE)</f>
        <v>0</v>
      </c>
      <c r="F64" s="1908">
        <f t="shared" ref="F64:F69" si="54">E64*2</f>
        <v>0</v>
      </c>
      <c r="G64" s="1308"/>
      <c r="H64" s="1309">
        <f>VLOOKUP(B63,REKAP_NILAI,17,FALSE)</f>
        <v>0</v>
      </c>
      <c r="I64" s="1371">
        <f t="shared" ref="I64:I69" si="55">F64+G64+H64</f>
        <v>0</v>
      </c>
      <c r="J64" s="1372">
        <f t="shared" ref="J64:J69" si="56">(F64+G64+H64)/4</f>
        <v>0</v>
      </c>
      <c r="K64" s="1373" t="str">
        <f t="shared" ref="K64:K70" si="57">IF(J64&gt;85,("4"),IF(J64&gt;80,("3.66"),IF(J64&gt;75,("3.33"),IF(J64&gt;70,("3.00"),IF(J64&gt;65,("2.66"),IF(J64&gt;60,("2.33"),IF(J64&gt;55,("2"),IF(J64&gt;50,("1.66"),"1.33"))))))))</f>
        <v>1.33</v>
      </c>
      <c r="L64" s="1373" t="str">
        <f t="shared" ref="L64:L70" si="58">IF(J64&gt;85,("A"),IF(J64&gt;80,("A-"),IF(J64&gt;75,("B+"),IF(J64&gt;70,("B"),IF(J64&gt;65,("B-"),IF(J64&gt;60,("C+"),IF(J64&gt;55,("C"),IF(J64&gt;50,("C-"),"D+"))))))))</f>
        <v>D+</v>
      </c>
      <c r="M64" s="1374" t="str">
        <f t="shared" ref="M64:M70" si="59">IF(J64&gt;80,("SB"),IF(J64&gt;65,("B"),IF(J64&gt;50,("C"),IF(J64&gt;0,("K"),"0"))))</f>
        <v>0</v>
      </c>
      <c r="N64" s="1332"/>
      <c r="O64" s="1333"/>
      <c r="P64" s="1333"/>
      <c r="Q64" s="1333"/>
      <c r="R64" s="1333"/>
      <c r="S64" s="1333"/>
      <c r="T64" s="1333"/>
      <c r="U64" s="1334"/>
      <c r="V64" s="1335"/>
      <c r="W64" s="1335"/>
      <c r="X64" s="1335"/>
      <c r="Y64" s="1335"/>
      <c r="Z64" s="1335"/>
      <c r="AA64" s="1336"/>
      <c r="AB64" s="1251"/>
      <c r="AC64" s="1252"/>
    </row>
    <row r="65" spans="1:29" ht="24.95" customHeight="1" x14ac:dyDescent="0.25">
      <c r="A65" s="1351"/>
      <c r="B65" s="1352">
        <v>8</v>
      </c>
      <c r="C65" s="1310"/>
      <c r="D65" s="1305" t="s">
        <v>19</v>
      </c>
      <c r="E65" s="1308">
        <f>VLOOKUP(A63,UHT_MAT,51,FALSE)</f>
        <v>0</v>
      </c>
      <c r="F65" s="1908">
        <f t="shared" si="54"/>
        <v>0</v>
      </c>
      <c r="G65" s="1308"/>
      <c r="H65" s="1309">
        <f>VLOOKUP(B63,REKAP_NILAI,18,FALSE)</f>
        <v>0</v>
      </c>
      <c r="I65" s="1371">
        <f t="shared" si="55"/>
        <v>0</v>
      </c>
      <c r="J65" s="1372">
        <f t="shared" si="56"/>
        <v>0</v>
      </c>
      <c r="K65" s="1373" t="str">
        <f t="shared" si="57"/>
        <v>1.33</v>
      </c>
      <c r="L65" s="1373" t="str">
        <f t="shared" si="58"/>
        <v>D+</v>
      </c>
      <c r="M65" s="1374" t="str">
        <f t="shared" si="59"/>
        <v>0</v>
      </c>
      <c r="N65" s="1311"/>
      <c r="O65" s="1312"/>
      <c r="P65" s="1312"/>
      <c r="Q65" s="1312"/>
      <c r="R65" s="1312"/>
      <c r="S65" s="1312"/>
      <c r="T65" s="1312"/>
      <c r="U65" s="1313"/>
      <c r="V65" s="1314"/>
      <c r="W65" s="1314"/>
      <c r="X65" s="1314"/>
      <c r="Y65" s="1314"/>
      <c r="Z65" s="1314"/>
      <c r="AA65" s="1315"/>
      <c r="AB65" s="1253"/>
      <c r="AC65" s="1254"/>
    </row>
    <row r="66" spans="1:29" ht="24.95" customHeight="1" x14ac:dyDescent="0.25">
      <c r="A66" s="1351"/>
      <c r="B66" s="1352">
        <v>8</v>
      </c>
      <c r="C66" s="1310"/>
      <c r="D66" s="1305" t="s">
        <v>181</v>
      </c>
      <c r="E66" s="1308">
        <f>VLOOKUP(A63,UHT_MAT,52,FALSE)</f>
        <v>0</v>
      </c>
      <c r="F66" s="1908">
        <f t="shared" si="54"/>
        <v>0</v>
      </c>
      <c r="G66" s="1308"/>
      <c r="H66" s="1309">
        <f>VLOOKUP(B63,REKAP_NILAI,19,FALSE)</f>
        <v>0</v>
      </c>
      <c r="I66" s="1371">
        <f t="shared" si="55"/>
        <v>0</v>
      </c>
      <c r="J66" s="1372">
        <f t="shared" si="56"/>
        <v>0</v>
      </c>
      <c r="K66" s="1373" t="str">
        <f t="shared" si="57"/>
        <v>1.33</v>
      </c>
      <c r="L66" s="1373" t="str">
        <f t="shared" si="58"/>
        <v>D+</v>
      </c>
      <c r="M66" s="1374" t="str">
        <f t="shared" si="59"/>
        <v>0</v>
      </c>
      <c r="N66" s="1311"/>
      <c r="O66" s="1312"/>
      <c r="P66" s="1312"/>
      <c r="Q66" s="1312"/>
      <c r="R66" s="1312"/>
      <c r="S66" s="1312"/>
      <c r="T66" s="1312"/>
      <c r="U66" s="1313"/>
      <c r="V66" s="1314"/>
      <c r="W66" s="1314"/>
      <c r="X66" s="1314"/>
      <c r="Y66" s="1314"/>
      <c r="Z66" s="1314"/>
      <c r="AA66" s="1315"/>
      <c r="AB66" s="1253"/>
      <c r="AC66" s="1254"/>
    </row>
    <row r="67" spans="1:29" ht="24.95" customHeight="1" x14ac:dyDescent="0.25">
      <c r="A67" s="1351"/>
      <c r="B67" s="1352">
        <v>8</v>
      </c>
      <c r="C67" s="1310"/>
      <c r="D67" s="1305" t="s">
        <v>182</v>
      </c>
      <c r="E67" s="1308">
        <f>VLOOKUP(A63,UHT_MAT,53,FALSE)</f>
        <v>0</v>
      </c>
      <c r="F67" s="1908">
        <f t="shared" si="54"/>
        <v>0</v>
      </c>
      <c r="G67" s="1308"/>
      <c r="H67" s="1309">
        <f>VLOOKUP(B63,REKAP_NILAI,20,FALSE)</f>
        <v>0</v>
      </c>
      <c r="I67" s="1371">
        <f t="shared" si="55"/>
        <v>0</v>
      </c>
      <c r="J67" s="1372">
        <f t="shared" si="56"/>
        <v>0</v>
      </c>
      <c r="K67" s="1373" t="str">
        <f t="shared" si="57"/>
        <v>1.33</v>
      </c>
      <c r="L67" s="1373" t="str">
        <f t="shared" si="58"/>
        <v>D+</v>
      </c>
      <c r="M67" s="1374" t="str">
        <f t="shared" si="59"/>
        <v>0</v>
      </c>
      <c r="N67" s="1311"/>
      <c r="O67" s="1312"/>
      <c r="P67" s="1312"/>
      <c r="Q67" s="1312"/>
      <c r="R67" s="1312"/>
      <c r="S67" s="1312"/>
      <c r="T67" s="1312"/>
      <c r="U67" s="1313"/>
      <c r="V67" s="1314"/>
      <c r="W67" s="1314"/>
      <c r="X67" s="1314"/>
      <c r="Y67" s="1314"/>
      <c r="Z67" s="1314"/>
      <c r="AA67" s="1315"/>
      <c r="AB67" s="1253"/>
      <c r="AC67" s="1254"/>
    </row>
    <row r="68" spans="1:29" ht="24.95" customHeight="1" x14ac:dyDescent="0.25">
      <c r="A68" s="1351"/>
      <c r="B68" s="1352">
        <v>8</v>
      </c>
      <c r="C68" s="1310"/>
      <c r="D68" s="1305" t="s">
        <v>566</v>
      </c>
      <c r="E68" s="1308">
        <f>VLOOKUP(A63,UHT_MAT,54,FALSE)</f>
        <v>0</v>
      </c>
      <c r="F68" s="1908">
        <f t="shared" si="54"/>
        <v>0</v>
      </c>
      <c r="G68" s="1308"/>
      <c r="H68" s="1309">
        <f>VLOOKUP(B63,REKAP_NILAI,21,FALSE)</f>
        <v>0</v>
      </c>
      <c r="I68" s="1371">
        <f t="shared" si="55"/>
        <v>0</v>
      </c>
      <c r="J68" s="1372">
        <f t="shared" si="56"/>
        <v>0</v>
      </c>
      <c r="K68" s="1373" t="str">
        <f t="shared" si="57"/>
        <v>1.33</v>
      </c>
      <c r="L68" s="1373" t="str">
        <f t="shared" si="58"/>
        <v>D+</v>
      </c>
      <c r="M68" s="1374" t="str">
        <f t="shared" si="59"/>
        <v>0</v>
      </c>
      <c r="N68" s="1311"/>
      <c r="O68" s="1312"/>
      <c r="P68" s="1312"/>
      <c r="Q68" s="1312"/>
      <c r="R68" s="1312"/>
      <c r="S68" s="1312"/>
      <c r="T68" s="1312"/>
      <c r="U68" s="1313"/>
      <c r="V68" s="1314"/>
      <c r="W68" s="1314"/>
      <c r="X68" s="1314"/>
      <c r="Y68" s="1314"/>
      <c r="Z68" s="1314"/>
      <c r="AA68" s="1315"/>
      <c r="AB68" s="1253"/>
      <c r="AC68" s="1254"/>
    </row>
    <row r="69" spans="1:29" ht="24.95" customHeight="1" x14ac:dyDescent="0.25">
      <c r="A69" s="1351"/>
      <c r="B69" s="1352">
        <v>8</v>
      </c>
      <c r="C69" s="1310"/>
      <c r="D69" s="1305" t="s">
        <v>567</v>
      </c>
      <c r="E69" s="1308">
        <f>VLOOKUP(A63,UHT_MAT,55,FALSE)</f>
        <v>0</v>
      </c>
      <c r="F69" s="1908">
        <f t="shared" si="54"/>
        <v>0</v>
      </c>
      <c r="G69" s="1308"/>
      <c r="H69" s="1309">
        <f>VLOOKUP(B63,REKAP_NILAI,22,FALSE)</f>
        <v>0</v>
      </c>
      <c r="I69" s="1371">
        <f t="shared" si="55"/>
        <v>0</v>
      </c>
      <c r="J69" s="1372">
        <f t="shared" si="56"/>
        <v>0</v>
      </c>
      <c r="K69" s="1373" t="str">
        <f t="shared" si="57"/>
        <v>1.33</v>
      </c>
      <c r="L69" s="1373" t="str">
        <f t="shared" si="58"/>
        <v>D+</v>
      </c>
      <c r="M69" s="1374" t="str">
        <f t="shared" si="59"/>
        <v>0</v>
      </c>
      <c r="N69" s="1311"/>
      <c r="O69" s="1312"/>
      <c r="P69" s="1312"/>
      <c r="Q69" s="1312"/>
      <c r="R69" s="1312"/>
      <c r="S69" s="1312"/>
      <c r="T69" s="1312"/>
      <c r="U69" s="1313"/>
      <c r="V69" s="1314"/>
      <c r="W69" s="1314"/>
      <c r="X69" s="1314"/>
      <c r="Y69" s="1314"/>
      <c r="Z69" s="1314"/>
      <c r="AA69" s="1315"/>
      <c r="AB69" s="1255"/>
      <c r="AC69" s="1256"/>
    </row>
    <row r="70" spans="1:29" ht="24.95" customHeight="1" x14ac:dyDescent="0.3">
      <c r="A70" s="1337"/>
      <c r="B70" s="1338"/>
      <c r="C70" s="1339" t="s">
        <v>149</v>
      </c>
      <c r="D70" s="1319">
        <v>8</v>
      </c>
      <c r="E70" s="1320"/>
      <c r="F70" s="1909"/>
      <c r="G70" s="1320"/>
      <c r="H70" s="1321">
        <f>AVERAGE(H63:H69)</f>
        <v>0</v>
      </c>
      <c r="I70" s="1375"/>
      <c r="J70" s="1376">
        <f>AVERAGE(J63:J69)</f>
        <v>0</v>
      </c>
      <c r="K70" s="1377" t="str">
        <f t="shared" si="57"/>
        <v>1.33</v>
      </c>
      <c r="L70" s="1377" t="str">
        <f t="shared" si="58"/>
        <v>D+</v>
      </c>
      <c r="M70" s="1378" t="str">
        <f t="shared" si="59"/>
        <v>0</v>
      </c>
      <c r="N70" s="1347"/>
      <c r="O70" s="1348"/>
      <c r="P70" s="1348"/>
      <c r="Q70" s="1348"/>
      <c r="R70" s="1348"/>
      <c r="S70" s="1348"/>
      <c r="T70" s="1348"/>
      <c r="U70" s="1347"/>
      <c r="V70" s="1348"/>
      <c r="W70" s="1348"/>
      <c r="X70" s="1348"/>
      <c r="Y70" s="1348"/>
      <c r="Z70" s="1348"/>
      <c r="AA70" s="1349"/>
      <c r="AB70" s="1257"/>
      <c r="AC70" s="1258"/>
    </row>
    <row r="71" spans="1:29" ht="24.95" customHeight="1" thickBot="1" x14ac:dyDescent="0.3">
      <c r="A71" s="1350">
        <v>9</v>
      </c>
      <c r="B71" s="1326">
        <v>9</v>
      </c>
      <c r="C71" s="1327" t="str">
        <f>VLOOKUP(A71,data_siswa,4)</f>
        <v>Claudia Gabriella L</v>
      </c>
      <c r="D71" s="1305" t="s">
        <v>10</v>
      </c>
      <c r="E71" s="1308">
        <f>VLOOKUP(A71,UHT_MAT,49,FALSE)</f>
        <v>0</v>
      </c>
      <c r="F71" s="1908">
        <f>E71*2</f>
        <v>0</v>
      </c>
      <c r="G71" s="1308"/>
      <c r="H71" s="1309">
        <f>VLOOKUP(B71,REKAP_NILAI,16,FALSE)</f>
        <v>0</v>
      </c>
      <c r="I71" s="1367">
        <f>F71+G71+H71</f>
        <v>0</v>
      </c>
      <c r="J71" s="1368">
        <f>(F71+G71+H71)/4</f>
        <v>0</v>
      </c>
      <c r="K71" s="1369" t="str">
        <f>IF(J71&gt;85,("4"),IF(J71&gt;80,("3.66"),IF(J71&gt;75,("3.33"),IF(J71&gt;70,("3.00"),IF(J71&gt;65,("2.66"),IF(J71&gt;60,("2.33"),IF(J71&gt;55,("2"),IF(J71&gt;50,("1.66"),"1.33"))))))))</f>
        <v>1.33</v>
      </c>
      <c r="L71" s="1369" t="str">
        <f>IF(J71&gt;85,("A"),IF(J71&gt;80,("A-"),IF(J71&gt;75,("B+"),IF(J71&gt;70,("B"),IF(J71&gt;65,("B-"),IF(J71&gt;60,("C+"),IF(J71&gt;55,("C"),IF(J71&gt;50,("C-"),"D+"))))))))</f>
        <v>D+</v>
      </c>
      <c r="M71" s="1370" t="str">
        <f>IF(J71&gt;80,("SB"),IF(J71&gt;65,("B"),IF(J71&gt;50,("C"),IF(J71&gt;0,("K"),"0"))))</f>
        <v>0</v>
      </c>
      <c r="N71" s="1343"/>
      <c r="O71" s="1344"/>
      <c r="P71" s="1344"/>
      <c r="Q71" s="1344"/>
      <c r="R71" s="1344"/>
      <c r="S71" s="1344"/>
      <c r="T71" s="1345"/>
      <c r="U71" s="1346"/>
      <c r="V71" s="1346"/>
      <c r="W71" s="1346"/>
      <c r="X71" s="1346"/>
      <c r="Y71" s="1346"/>
      <c r="Z71" s="1346"/>
      <c r="AA71" s="1346"/>
      <c r="AB71" s="1057">
        <f>J78</f>
        <v>0</v>
      </c>
      <c r="AC71" s="1194" t="str">
        <f>IF(AB71&gt;85,("A"),IF(AB71&gt;80,("A-"),IF(AB71&gt;75,("B+"),IF(AB71&gt;70,("B"),IF(AB71&gt;65,("B-"),IF(AB71&gt;60,("C+"),IF(AB71&gt;55,("C"),IF(AB71&gt;50,("C-"),"D+"))))))))</f>
        <v>D+</v>
      </c>
    </row>
    <row r="72" spans="1:29" ht="24.95" customHeight="1" x14ac:dyDescent="0.25">
      <c r="A72" s="1351"/>
      <c r="B72" s="1352">
        <v>9</v>
      </c>
      <c r="C72" s="1310"/>
      <c r="D72" s="1305" t="s">
        <v>20</v>
      </c>
      <c r="E72" s="1308">
        <f>VLOOKUP(A71,UHT_MAT,50,FALSE)</f>
        <v>0</v>
      </c>
      <c r="F72" s="1908">
        <f t="shared" ref="F72:F77" si="60">E72*2</f>
        <v>0</v>
      </c>
      <c r="G72" s="1308"/>
      <c r="H72" s="1309">
        <f>VLOOKUP(B71,REKAP_NILAI,17,FALSE)</f>
        <v>0</v>
      </c>
      <c r="I72" s="1371">
        <f t="shared" ref="I72:I77" si="61">F72+G72+H72</f>
        <v>0</v>
      </c>
      <c r="J72" s="1372">
        <f t="shared" ref="J72:J77" si="62">(F72+G72+H72)/4</f>
        <v>0</v>
      </c>
      <c r="K72" s="1373" t="str">
        <f t="shared" ref="K72:K78" si="63">IF(J72&gt;85,("4"),IF(J72&gt;80,("3.66"),IF(J72&gt;75,("3.33"),IF(J72&gt;70,("3.00"),IF(J72&gt;65,("2.66"),IF(J72&gt;60,("2.33"),IF(J72&gt;55,("2"),IF(J72&gt;50,("1.66"),"1.33"))))))))</f>
        <v>1.33</v>
      </c>
      <c r="L72" s="1373" t="str">
        <f t="shared" ref="L72:L78" si="64">IF(J72&gt;85,("A"),IF(J72&gt;80,("A-"),IF(J72&gt;75,("B+"),IF(J72&gt;70,("B"),IF(J72&gt;65,("B-"),IF(J72&gt;60,("C+"),IF(J72&gt;55,("C"),IF(J72&gt;50,("C-"),"D+"))))))))</f>
        <v>D+</v>
      </c>
      <c r="M72" s="1374" t="str">
        <f t="shared" ref="M72:M78" si="65">IF(J72&gt;80,("SB"),IF(J72&gt;65,("B"),IF(J72&gt;50,("C"),IF(J72&gt;0,("K"),"0"))))</f>
        <v>0</v>
      </c>
      <c r="N72" s="1332"/>
      <c r="O72" s="1333"/>
      <c r="P72" s="1333"/>
      <c r="Q72" s="1333"/>
      <c r="R72" s="1333"/>
      <c r="S72" s="1333"/>
      <c r="T72" s="1333"/>
      <c r="U72" s="1334"/>
      <c r="V72" s="1335"/>
      <c r="W72" s="1335"/>
      <c r="X72" s="1335"/>
      <c r="Y72" s="1335"/>
      <c r="Z72" s="1335"/>
      <c r="AA72" s="1336"/>
      <c r="AB72" s="1251"/>
      <c r="AC72" s="1252"/>
    </row>
    <row r="73" spans="1:29" ht="24.95" customHeight="1" x14ac:dyDescent="0.25">
      <c r="A73" s="1351"/>
      <c r="B73" s="1352">
        <v>9</v>
      </c>
      <c r="C73" s="1310"/>
      <c r="D73" s="1305" t="s">
        <v>19</v>
      </c>
      <c r="E73" s="1308">
        <f>VLOOKUP(A71,UHT_MAT,51,FALSE)</f>
        <v>0</v>
      </c>
      <c r="F73" s="1908">
        <f t="shared" si="60"/>
        <v>0</v>
      </c>
      <c r="G73" s="1308"/>
      <c r="H73" s="1309">
        <f>VLOOKUP(B71,REKAP_NILAI,18,FALSE)</f>
        <v>0</v>
      </c>
      <c r="I73" s="1371">
        <f t="shared" si="61"/>
        <v>0</v>
      </c>
      <c r="J73" s="1372">
        <f t="shared" si="62"/>
        <v>0</v>
      </c>
      <c r="K73" s="1373" t="str">
        <f t="shared" si="63"/>
        <v>1.33</v>
      </c>
      <c r="L73" s="1373" t="str">
        <f t="shared" si="64"/>
        <v>D+</v>
      </c>
      <c r="M73" s="1374" t="str">
        <f t="shared" si="65"/>
        <v>0</v>
      </c>
      <c r="N73" s="1311"/>
      <c r="O73" s="1312"/>
      <c r="P73" s="1312"/>
      <c r="Q73" s="1312"/>
      <c r="R73" s="1312"/>
      <c r="S73" s="1312"/>
      <c r="T73" s="1312"/>
      <c r="U73" s="1313"/>
      <c r="V73" s="1314"/>
      <c r="W73" s="1314"/>
      <c r="X73" s="1314"/>
      <c r="Y73" s="1314"/>
      <c r="Z73" s="1314"/>
      <c r="AA73" s="1315"/>
      <c r="AB73" s="1253"/>
      <c r="AC73" s="1254"/>
    </row>
    <row r="74" spans="1:29" ht="24.95" customHeight="1" x14ac:dyDescent="0.25">
      <c r="A74" s="1351"/>
      <c r="B74" s="1352">
        <v>9</v>
      </c>
      <c r="C74" s="1310"/>
      <c r="D74" s="1305" t="s">
        <v>181</v>
      </c>
      <c r="E74" s="1308">
        <f>VLOOKUP(A71,UHT_MAT,52,FALSE)</f>
        <v>0</v>
      </c>
      <c r="F74" s="1908">
        <f t="shared" si="60"/>
        <v>0</v>
      </c>
      <c r="G74" s="1308"/>
      <c r="H74" s="1309">
        <f>VLOOKUP(B71,REKAP_NILAI,19,FALSE)</f>
        <v>0</v>
      </c>
      <c r="I74" s="1371">
        <f t="shared" si="61"/>
        <v>0</v>
      </c>
      <c r="J74" s="1372">
        <f t="shared" si="62"/>
        <v>0</v>
      </c>
      <c r="K74" s="1373" t="str">
        <f t="shared" si="63"/>
        <v>1.33</v>
      </c>
      <c r="L74" s="1373" t="str">
        <f t="shared" si="64"/>
        <v>D+</v>
      </c>
      <c r="M74" s="1374" t="str">
        <f t="shared" si="65"/>
        <v>0</v>
      </c>
      <c r="N74" s="1311"/>
      <c r="O74" s="1312"/>
      <c r="P74" s="1312"/>
      <c r="Q74" s="1312"/>
      <c r="R74" s="1312"/>
      <c r="S74" s="1312"/>
      <c r="T74" s="1312"/>
      <c r="U74" s="1313"/>
      <c r="V74" s="1314"/>
      <c r="W74" s="1314"/>
      <c r="X74" s="1314"/>
      <c r="Y74" s="1314"/>
      <c r="Z74" s="1314"/>
      <c r="AA74" s="1315"/>
      <c r="AB74" s="1253"/>
      <c r="AC74" s="1254"/>
    </row>
    <row r="75" spans="1:29" ht="24.95" customHeight="1" x14ac:dyDescent="0.25">
      <c r="A75" s="1351"/>
      <c r="B75" s="1352">
        <v>9</v>
      </c>
      <c r="C75" s="1310"/>
      <c r="D75" s="1305" t="s">
        <v>182</v>
      </c>
      <c r="E75" s="1308">
        <f>VLOOKUP(A71,UHT_MAT,53,FALSE)</f>
        <v>0</v>
      </c>
      <c r="F75" s="1908">
        <f t="shared" si="60"/>
        <v>0</v>
      </c>
      <c r="G75" s="1308"/>
      <c r="H75" s="1309">
        <f>VLOOKUP(B71,REKAP_NILAI,20,FALSE)</f>
        <v>0</v>
      </c>
      <c r="I75" s="1371">
        <f t="shared" si="61"/>
        <v>0</v>
      </c>
      <c r="J75" s="1372">
        <f t="shared" si="62"/>
        <v>0</v>
      </c>
      <c r="K75" s="1373" t="str">
        <f t="shared" si="63"/>
        <v>1.33</v>
      </c>
      <c r="L75" s="1373" t="str">
        <f t="shared" si="64"/>
        <v>D+</v>
      </c>
      <c r="M75" s="1374" t="str">
        <f t="shared" si="65"/>
        <v>0</v>
      </c>
      <c r="N75" s="1311"/>
      <c r="O75" s="1312"/>
      <c r="P75" s="1312"/>
      <c r="Q75" s="1312"/>
      <c r="R75" s="1312"/>
      <c r="S75" s="1312"/>
      <c r="T75" s="1312"/>
      <c r="U75" s="1313"/>
      <c r="V75" s="1314"/>
      <c r="W75" s="1314"/>
      <c r="X75" s="1314"/>
      <c r="Y75" s="1314"/>
      <c r="Z75" s="1314"/>
      <c r="AA75" s="1315"/>
      <c r="AB75" s="1253"/>
      <c r="AC75" s="1254"/>
    </row>
    <row r="76" spans="1:29" ht="24.95" customHeight="1" x14ac:dyDescent="0.25">
      <c r="A76" s="1351"/>
      <c r="B76" s="1352">
        <v>9</v>
      </c>
      <c r="C76" s="1310"/>
      <c r="D76" s="1305" t="s">
        <v>566</v>
      </c>
      <c r="E76" s="1308">
        <f>VLOOKUP(A71,UHT_MAT,54,FALSE)</f>
        <v>0</v>
      </c>
      <c r="F76" s="1908">
        <f t="shared" si="60"/>
        <v>0</v>
      </c>
      <c r="G76" s="1308"/>
      <c r="H76" s="1309">
        <f>VLOOKUP(B71,REKAP_NILAI,21,FALSE)</f>
        <v>0</v>
      </c>
      <c r="I76" s="1371">
        <f t="shared" si="61"/>
        <v>0</v>
      </c>
      <c r="J76" s="1372">
        <f t="shared" si="62"/>
        <v>0</v>
      </c>
      <c r="K76" s="1373" t="str">
        <f t="shared" si="63"/>
        <v>1.33</v>
      </c>
      <c r="L76" s="1373" t="str">
        <f t="shared" si="64"/>
        <v>D+</v>
      </c>
      <c r="M76" s="1374" t="str">
        <f t="shared" si="65"/>
        <v>0</v>
      </c>
      <c r="N76" s="1311"/>
      <c r="O76" s="1312"/>
      <c r="P76" s="1312"/>
      <c r="Q76" s="1312"/>
      <c r="R76" s="1312"/>
      <c r="S76" s="1312"/>
      <c r="T76" s="1312"/>
      <c r="U76" s="1313"/>
      <c r="V76" s="1314"/>
      <c r="W76" s="1314"/>
      <c r="X76" s="1314"/>
      <c r="Y76" s="1314"/>
      <c r="Z76" s="1314"/>
      <c r="AA76" s="1315"/>
      <c r="AB76" s="1253"/>
      <c r="AC76" s="1254"/>
    </row>
    <row r="77" spans="1:29" ht="24.95" customHeight="1" x14ac:dyDescent="0.25">
      <c r="A77" s="1351"/>
      <c r="B77" s="1352">
        <v>9</v>
      </c>
      <c r="C77" s="1310"/>
      <c r="D77" s="1305" t="s">
        <v>567</v>
      </c>
      <c r="E77" s="1308">
        <f>VLOOKUP(A71,UHT_MAT,55,FALSE)</f>
        <v>0</v>
      </c>
      <c r="F77" s="1908">
        <f t="shared" si="60"/>
        <v>0</v>
      </c>
      <c r="G77" s="1308"/>
      <c r="H77" s="1309">
        <f>VLOOKUP(B71,REKAP_NILAI,22,FALSE)</f>
        <v>0</v>
      </c>
      <c r="I77" s="1371">
        <f t="shared" si="61"/>
        <v>0</v>
      </c>
      <c r="J77" s="1372">
        <f t="shared" si="62"/>
        <v>0</v>
      </c>
      <c r="K77" s="1373" t="str">
        <f t="shared" si="63"/>
        <v>1.33</v>
      </c>
      <c r="L77" s="1373" t="str">
        <f t="shared" si="64"/>
        <v>D+</v>
      </c>
      <c r="M77" s="1374" t="str">
        <f t="shared" si="65"/>
        <v>0</v>
      </c>
      <c r="N77" s="1311"/>
      <c r="O77" s="1312"/>
      <c r="P77" s="1312"/>
      <c r="Q77" s="1312"/>
      <c r="R77" s="1312"/>
      <c r="S77" s="1312"/>
      <c r="T77" s="1312"/>
      <c r="U77" s="1313"/>
      <c r="V77" s="1314"/>
      <c r="W77" s="1314"/>
      <c r="X77" s="1314"/>
      <c r="Y77" s="1314"/>
      <c r="Z77" s="1314"/>
      <c r="AA77" s="1315"/>
      <c r="AB77" s="1255"/>
      <c r="AC77" s="1256"/>
    </row>
    <row r="78" spans="1:29" ht="24.95" customHeight="1" x14ac:dyDescent="0.3">
      <c r="A78" s="1337"/>
      <c r="B78" s="1338"/>
      <c r="C78" s="1339" t="s">
        <v>149</v>
      </c>
      <c r="D78" s="1319">
        <v>9</v>
      </c>
      <c r="E78" s="1320"/>
      <c r="F78" s="1909"/>
      <c r="G78" s="1320"/>
      <c r="H78" s="1321">
        <f>AVERAGE(H71:H77)</f>
        <v>0</v>
      </c>
      <c r="I78" s="1375"/>
      <c r="J78" s="1376">
        <f>AVERAGE(J71:J77)</f>
        <v>0</v>
      </c>
      <c r="K78" s="1377" t="str">
        <f t="shared" si="63"/>
        <v>1.33</v>
      </c>
      <c r="L78" s="1377" t="str">
        <f t="shared" si="64"/>
        <v>D+</v>
      </c>
      <c r="M78" s="1378" t="str">
        <f t="shared" si="65"/>
        <v>0</v>
      </c>
      <c r="N78" s="1347"/>
      <c r="O78" s="1348"/>
      <c r="P78" s="1348"/>
      <c r="Q78" s="1348"/>
      <c r="R78" s="1348"/>
      <c r="S78" s="1348"/>
      <c r="T78" s="1348"/>
      <c r="U78" s="1347"/>
      <c r="V78" s="1348"/>
      <c r="W78" s="1348"/>
      <c r="X78" s="1348"/>
      <c r="Y78" s="1348"/>
      <c r="Z78" s="1348"/>
      <c r="AA78" s="1349"/>
      <c r="AB78" s="1257"/>
      <c r="AC78" s="1258"/>
    </row>
    <row r="79" spans="1:29" ht="24.95" customHeight="1" thickBot="1" x14ac:dyDescent="0.3">
      <c r="A79" s="1325">
        <v>10</v>
      </c>
      <c r="B79" s="1326">
        <v>10</v>
      </c>
      <c r="C79" s="1327" t="str">
        <f>VLOOKUP(A79,data_siswa,4)</f>
        <v xml:space="preserve">Deco Badarus Zaman </v>
      </c>
      <c r="D79" s="1305" t="s">
        <v>10</v>
      </c>
      <c r="E79" s="1308">
        <f>VLOOKUP(A79,UHT_MAT,49,FALSE)</f>
        <v>0</v>
      </c>
      <c r="F79" s="1908">
        <f>E79*2</f>
        <v>0</v>
      </c>
      <c r="G79" s="1308"/>
      <c r="H79" s="1309">
        <f>VLOOKUP(B79,REKAP_NILAI,16,FALSE)</f>
        <v>0</v>
      </c>
      <c r="I79" s="1367">
        <f>F79+G79+H79</f>
        <v>0</v>
      </c>
      <c r="J79" s="1368">
        <f>(F79+G79+H79)/4</f>
        <v>0</v>
      </c>
      <c r="K79" s="1369" t="str">
        <f>IF(J79&gt;85,("4"),IF(J79&gt;80,("3.66"),IF(J79&gt;75,("3.33"),IF(J79&gt;70,("3.00"),IF(J79&gt;65,("2.66"),IF(J79&gt;60,("2.33"),IF(J79&gt;55,("2"),IF(J79&gt;50,("1.66"),"1.33"))))))))</f>
        <v>1.33</v>
      </c>
      <c r="L79" s="1369" t="str">
        <f>IF(J79&gt;85,("A"),IF(J79&gt;80,("A-"),IF(J79&gt;75,("B+"),IF(J79&gt;70,("B"),IF(J79&gt;65,("B-"),IF(J79&gt;60,("C+"),IF(J79&gt;55,("C"),IF(J79&gt;50,("C-"),"D+"))))))))</f>
        <v>D+</v>
      </c>
      <c r="M79" s="1370" t="str">
        <f>IF(J79&gt;80,("SB"),IF(J79&gt;65,("B"),IF(J79&gt;50,("C"),IF(J79&gt;0,("K"),"0"))))</f>
        <v>0</v>
      </c>
      <c r="N79" s="1343"/>
      <c r="O79" s="1344"/>
      <c r="P79" s="1344"/>
      <c r="Q79" s="1344"/>
      <c r="R79" s="1344"/>
      <c r="S79" s="1344"/>
      <c r="T79" s="1345"/>
      <c r="U79" s="1346"/>
      <c r="V79" s="1346"/>
      <c r="W79" s="1346"/>
      <c r="X79" s="1346"/>
      <c r="Y79" s="1346"/>
      <c r="Z79" s="1346"/>
      <c r="AA79" s="1346"/>
      <c r="AB79" s="1057">
        <f>J86</f>
        <v>0</v>
      </c>
      <c r="AC79" s="1194" t="str">
        <f>IF(AB79&gt;85,("A"),IF(AB79&gt;80,("A-"),IF(AB79&gt;75,("B+"),IF(AB79&gt;70,("B"),IF(AB79&gt;65,("B-"),IF(AB79&gt;60,("C+"),IF(AB79&gt;55,("C"),IF(AB79&gt;50,("C-"),"D+"))))))))</f>
        <v>D+</v>
      </c>
    </row>
    <row r="80" spans="1:29" ht="24.95" customHeight="1" x14ac:dyDescent="0.25">
      <c r="A80" s="1306"/>
      <c r="B80" s="683">
        <v>10</v>
      </c>
      <c r="C80" s="1310"/>
      <c r="D80" s="1305" t="s">
        <v>20</v>
      </c>
      <c r="E80" s="1308">
        <f>VLOOKUP(A79,UHT_MAT,50,FALSE)</f>
        <v>0</v>
      </c>
      <c r="F80" s="1908">
        <f t="shared" ref="F80:F85" si="66">E80*2</f>
        <v>0</v>
      </c>
      <c r="G80" s="1308"/>
      <c r="H80" s="1309">
        <f>VLOOKUP(B79,REKAP_NILAI,17,FALSE)</f>
        <v>0</v>
      </c>
      <c r="I80" s="1371">
        <f t="shared" ref="I80:I85" si="67">F80+G80+H80</f>
        <v>0</v>
      </c>
      <c r="J80" s="1372">
        <f t="shared" ref="J80:J85" si="68">(F80+G80+H80)/4</f>
        <v>0</v>
      </c>
      <c r="K80" s="1373" t="str">
        <f t="shared" ref="K80:K85" si="69">IF(J80&gt;85,("4"),IF(J80&gt;80,("3.66"),IF(J80&gt;75,("3.33"),IF(J80&gt;70,("3.00"),IF(J80&gt;65,("2.66"),IF(J80&gt;60,("2.33"),IF(J80&gt;55,("2"),IF(J80&gt;50,("1.66"),"1.33"))))))))</f>
        <v>1.33</v>
      </c>
      <c r="L80" s="1373" t="str">
        <f t="shared" ref="L80:L85" si="70">IF(J80&gt;85,("A"),IF(J80&gt;80,("A-"),IF(J80&gt;75,("B+"),IF(J80&gt;70,("B"),IF(J80&gt;65,("B-"),IF(J80&gt;60,("C+"),IF(J80&gt;55,("C"),IF(J80&gt;50,("C-"),"D+"))))))))</f>
        <v>D+</v>
      </c>
      <c r="M80" s="1374" t="str">
        <f t="shared" ref="M80:M85" si="71">IF(J80&gt;80,("SB"),IF(J80&gt;65,("B"),IF(J80&gt;50,("C"),IF(J80&gt;0,("K"),"0"))))</f>
        <v>0</v>
      </c>
      <c r="N80" s="1332"/>
      <c r="O80" s="1333"/>
      <c r="P80" s="1333"/>
      <c r="Q80" s="1333"/>
      <c r="R80" s="1333"/>
      <c r="S80" s="1333"/>
      <c r="T80" s="1333"/>
      <c r="U80" s="1334"/>
      <c r="V80" s="1335"/>
      <c r="W80" s="1335"/>
      <c r="X80" s="1335"/>
      <c r="Y80" s="1335"/>
      <c r="Z80" s="1335"/>
      <c r="AA80" s="1336"/>
      <c r="AB80" s="1251"/>
      <c r="AC80" s="1252"/>
    </row>
    <row r="81" spans="1:29" ht="24.95" customHeight="1" x14ac:dyDescent="0.25">
      <c r="A81" s="1306"/>
      <c r="B81" s="683">
        <v>10</v>
      </c>
      <c r="C81" s="1310"/>
      <c r="D81" s="1305" t="s">
        <v>19</v>
      </c>
      <c r="E81" s="1308">
        <f>VLOOKUP(A79,UHT_MAT,51,FALSE)</f>
        <v>0</v>
      </c>
      <c r="F81" s="1908">
        <f t="shared" si="66"/>
        <v>0</v>
      </c>
      <c r="G81" s="1308"/>
      <c r="H81" s="1309">
        <f>VLOOKUP(B79,REKAP_NILAI,18,FALSE)</f>
        <v>0</v>
      </c>
      <c r="I81" s="1371">
        <f t="shared" si="67"/>
        <v>0</v>
      </c>
      <c r="J81" s="1372">
        <f t="shared" si="68"/>
        <v>0</v>
      </c>
      <c r="K81" s="1373" t="str">
        <f t="shared" si="69"/>
        <v>1.33</v>
      </c>
      <c r="L81" s="1373" t="str">
        <f t="shared" si="70"/>
        <v>D+</v>
      </c>
      <c r="M81" s="1374" t="str">
        <f t="shared" si="71"/>
        <v>0</v>
      </c>
      <c r="N81" s="1311"/>
      <c r="O81" s="1312"/>
      <c r="P81" s="1312"/>
      <c r="Q81" s="1312"/>
      <c r="R81" s="1312"/>
      <c r="S81" s="1312"/>
      <c r="T81" s="1312"/>
      <c r="U81" s="1313"/>
      <c r="V81" s="1314"/>
      <c r="W81" s="1314"/>
      <c r="X81" s="1314"/>
      <c r="Y81" s="1314"/>
      <c r="Z81" s="1314"/>
      <c r="AA81" s="1315"/>
      <c r="AB81" s="1253"/>
      <c r="AC81" s="1254"/>
    </row>
    <row r="82" spans="1:29" ht="24.95" customHeight="1" x14ac:dyDescent="0.25">
      <c r="A82" s="1306"/>
      <c r="B82" s="683">
        <v>10</v>
      </c>
      <c r="C82" s="1310"/>
      <c r="D82" s="1305" t="s">
        <v>181</v>
      </c>
      <c r="E82" s="1308">
        <f>VLOOKUP(A79,UHT_MAT,52,FALSE)</f>
        <v>0</v>
      </c>
      <c r="F82" s="1908">
        <f t="shared" si="66"/>
        <v>0</v>
      </c>
      <c r="G82" s="1308"/>
      <c r="H82" s="1309">
        <f>VLOOKUP(B79,REKAP_NILAI,19,FALSE)</f>
        <v>0</v>
      </c>
      <c r="I82" s="1371">
        <f t="shared" si="67"/>
        <v>0</v>
      </c>
      <c r="J82" s="1372">
        <f t="shared" si="68"/>
        <v>0</v>
      </c>
      <c r="K82" s="1373" t="str">
        <f t="shared" si="69"/>
        <v>1.33</v>
      </c>
      <c r="L82" s="1373" t="str">
        <f t="shared" si="70"/>
        <v>D+</v>
      </c>
      <c r="M82" s="1374" t="str">
        <f t="shared" si="71"/>
        <v>0</v>
      </c>
      <c r="N82" s="1311"/>
      <c r="O82" s="1312"/>
      <c r="P82" s="1312"/>
      <c r="Q82" s="1312"/>
      <c r="R82" s="1312"/>
      <c r="S82" s="1312"/>
      <c r="T82" s="1312"/>
      <c r="U82" s="1313"/>
      <c r="V82" s="1314"/>
      <c r="W82" s="1314"/>
      <c r="X82" s="1314"/>
      <c r="Y82" s="1314"/>
      <c r="Z82" s="1314"/>
      <c r="AA82" s="1315"/>
      <c r="AB82" s="1253"/>
      <c r="AC82" s="1254"/>
    </row>
    <row r="83" spans="1:29" ht="24.95" customHeight="1" x14ac:dyDescent="0.25">
      <c r="A83" s="1306"/>
      <c r="B83" s="683">
        <v>10</v>
      </c>
      <c r="C83" s="1310"/>
      <c r="D83" s="1305" t="s">
        <v>182</v>
      </c>
      <c r="E83" s="1308">
        <f>VLOOKUP(A79,UHT_MAT,53,FALSE)</f>
        <v>0</v>
      </c>
      <c r="F83" s="1908">
        <f t="shared" si="66"/>
        <v>0</v>
      </c>
      <c r="G83" s="1308"/>
      <c r="H83" s="1309">
        <f>VLOOKUP(B79,REKAP_NILAI,20,FALSE)</f>
        <v>0</v>
      </c>
      <c r="I83" s="1371">
        <f t="shared" si="67"/>
        <v>0</v>
      </c>
      <c r="J83" s="1372">
        <f t="shared" si="68"/>
        <v>0</v>
      </c>
      <c r="K83" s="1373" t="str">
        <f t="shared" si="69"/>
        <v>1.33</v>
      </c>
      <c r="L83" s="1373" t="str">
        <f t="shared" si="70"/>
        <v>D+</v>
      </c>
      <c r="M83" s="1374" t="str">
        <f t="shared" si="71"/>
        <v>0</v>
      </c>
      <c r="N83" s="1311"/>
      <c r="O83" s="1312"/>
      <c r="P83" s="1312"/>
      <c r="Q83" s="1312"/>
      <c r="R83" s="1312"/>
      <c r="S83" s="1312"/>
      <c r="T83" s="1312"/>
      <c r="U83" s="1313"/>
      <c r="V83" s="1314"/>
      <c r="W83" s="1314"/>
      <c r="X83" s="1314"/>
      <c r="Y83" s="1314"/>
      <c r="Z83" s="1314"/>
      <c r="AA83" s="1315"/>
      <c r="AB83" s="1253"/>
      <c r="AC83" s="1254"/>
    </row>
    <row r="84" spans="1:29" ht="24.95" customHeight="1" x14ac:dyDescent="0.25">
      <c r="A84" s="1306"/>
      <c r="B84" s="683">
        <v>10</v>
      </c>
      <c r="C84" s="1310"/>
      <c r="D84" s="1305" t="s">
        <v>566</v>
      </c>
      <c r="E84" s="1308">
        <f>VLOOKUP(A79,UHT_MAT,54,FALSE)</f>
        <v>0</v>
      </c>
      <c r="F84" s="1908">
        <f t="shared" si="66"/>
        <v>0</v>
      </c>
      <c r="G84" s="1308"/>
      <c r="H84" s="1309">
        <f>VLOOKUP(B79,REKAP_NILAI,21,FALSE)</f>
        <v>0</v>
      </c>
      <c r="I84" s="1371">
        <f t="shared" si="67"/>
        <v>0</v>
      </c>
      <c r="J84" s="1372">
        <f t="shared" si="68"/>
        <v>0</v>
      </c>
      <c r="K84" s="1373" t="str">
        <f t="shared" si="69"/>
        <v>1.33</v>
      </c>
      <c r="L84" s="1373" t="str">
        <f t="shared" si="70"/>
        <v>D+</v>
      </c>
      <c r="M84" s="1374" t="str">
        <f t="shared" si="71"/>
        <v>0</v>
      </c>
      <c r="N84" s="1311"/>
      <c r="O84" s="1312"/>
      <c r="P84" s="1312"/>
      <c r="Q84" s="1312"/>
      <c r="R84" s="1312"/>
      <c r="S84" s="1312"/>
      <c r="T84" s="1312"/>
      <c r="U84" s="1313"/>
      <c r="V84" s="1314"/>
      <c r="W84" s="1314"/>
      <c r="X84" s="1314"/>
      <c r="Y84" s="1314"/>
      <c r="Z84" s="1314"/>
      <c r="AA84" s="1315"/>
      <c r="AB84" s="1253"/>
      <c r="AC84" s="1254"/>
    </row>
    <row r="85" spans="1:29" ht="24.95" customHeight="1" x14ac:dyDescent="0.25">
      <c r="A85" s="1306"/>
      <c r="B85" s="683">
        <v>10</v>
      </c>
      <c r="C85" s="1310"/>
      <c r="D85" s="1305" t="s">
        <v>567</v>
      </c>
      <c r="E85" s="1308">
        <f>VLOOKUP(A79,UHT_MAT,55,FALSE)</f>
        <v>0</v>
      </c>
      <c r="F85" s="1908">
        <f t="shared" si="66"/>
        <v>0</v>
      </c>
      <c r="G85" s="1308"/>
      <c r="H85" s="1309">
        <f>VLOOKUP(B79,REKAP_NILAI,22,FALSE)</f>
        <v>0</v>
      </c>
      <c r="I85" s="1371">
        <f t="shared" si="67"/>
        <v>0</v>
      </c>
      <c r="J85" s="1372">
        <f t="shared" si="68"/>
        <v>0</v>
      </c>
      <c r="K85" s="1373" t="str">
        <f t="shared" si="69"/>
        <v>1.33</v>
      </c>
      <c r="L85" s="1373" t="str">
        <f t="shared" si="70"/>
        <v>D+</v>
      </c>
      <c r="M85" s="1374" t="str">
        <f t="shared" si="71"/>
        <v>0</v>
      </c>
      <c r="N85" s="1311"/>
      <c r="O85" s="1312"/>
      <c r="P85" s="1312"/>
      <c r="Q85" s="1312"/>
      <c r="R85" s="1312"/>
      <c r="S85" s="1312"/>
      <c r="T85" s="1312"/>
      <c r="U85" s="1313"/>
      <c r="V85" s="1314"/>
      <c r="W85" s="1314"/>
      <c r="X85" s="1314"/>
      <c r="Y85" s="1314"/>
      <c r="Z85" s="1314"/>
      <c r="AA85" s="1315"/>
      <c r="AB85" s="1255"/>
      <c r="AC85" s="1256"/>
    </row>
    <row r="86" spans="1:29" ht="24.95" customHeight="1" x14ac:dyDescent="0.3">
      <c r="A86" s="1337"/>
      <c r="B86" s="1338"/>
      <c r="C86" s="1339" t="s">
        <v>149</v>
      </c>
      <c r="D86" s="1319">
        <v>10</v>
      </c>
      <c r="E86" s="1320"/>
      <c r="F86" s="1909"/>
      <c r="G86" s="1320"/>
      <c r="H86" s="1321">
        <f>AVERAGE(H79:H85)</f>
        <v>0</v>
      </c>
      <c r="I86" s="1375"/>
      <c r="J86" s="1376">
        <f>AVERAGE(J79:J85)</f>
        <v>0</v>
      </c>
      <c r="K86" s="1377" t="str">
        <f t="shared" ref="K86" si="72">IF(J86&gt;85,("4"),IF(J86&gt;80,("3.66"),IF(J86&gt;75,("3.33"),IF(J86&gt;70,("3.00"),IF(J86&gt;65,("2.66"),IF(J86&gt;60,("2.33"),IF(J86&gt;55,("2"),IF(J86&gt;50,("1.66"),"1.33"))))))))</f>
        <v>1.33</v>
      </c>
      <c r="L86" s="1377" t="str">
        <f t="shared" ref="L86" si="73">IF(J86&gt;85,("A"),IF(J86&gt;80,("A-"),IF(J86&gt;75,("B+"),IF(J86&gt;70,("B"),IF(J86&gt;65,("B-"),IF(J86&gt;60,("C+"),IF(J86&gt;55,("C"),IF(J86&gt;50,("C-"),"D+"))))))))</f>
        <v>D+</v>
      </c>
      <c r="M86" s="1378" t="str">
        <f t="shared" ref="M86" si="74">IF(J86&gt;80,("SB"),IF(J86&gt;65,("B"),IF(J86&gt;50,("C"),IF(J86&gt;0,("K"),"0"))))</f>
        <v>0</v>
      </c>
      <c r="N86" s="1347"/>
      <c r="O86" s="1348"/>
      <c r="P86" s="1348"/>
      <c r="Q86" s="1348"/>
      <c r="R86" s="1348"/>
      <c r="S86" s="1348"/>
      <c r="T86" s="1348"/>
      <c r="U86" s="1347"/>
      <c r="V86" s="1348"/>
      <c r="W86" s="1348"/>
      <c r="X86" s="1348"/>
      <c r="Y86" s="1348"/>
      <c r="Z86" s="1348"/>
      <c r="AA86" s="1349"/>
      <c r="AB86" s="1257"/>
      <c r="AC86" s="1258"/>
    </row>
    <row r="87" spans="1:29" ht="24.95" customHeight="1" thickBot="1" x14ac:dyDescent="0.3">
      <c r="A87" s="1325">
        <v>11</v>
      </c>
      <c r="B87" s="1326">
        <v>11</v>
      </c>
      <c r="C87" s="1327" t="str">
        <f>VLOOKUP(A87,data_siswa,4)</f>
        <v>Fania Mutiara Felichia</v>
      </c>
      <c r="D87" s="1305" t="s">
        <v>10</v>
      </c>
      <c r="E87" s="1308">
        <f>VLOOKUP(A87,UHT_MAT,49,FALSE)</f>
        <v>0</v>
      </c>
      <c r="F87" s="1908">
        <f>E87*2</f>
        <v>0</v>
      </c>
      <c r="G87" s="1308"/>
      <c r="H87" s="1309">
        <f>VLOOKUP(B87,REKAP_NILAI,16,FALSE)</f>
        <v>0</v>
      </c>
      <c r="I87" s="1367">
        <f>F87+G87+H87</f>
        <v>0</v>
      </c>
      <c r="J87" s="1368">
        <f>(F87+G87+H87)/4</f>
        <v>0</v>
      </c>
      <c r="K87" s="1369" t="str">
        <f>IF(J87&gt;85,("4"),IF(J87&gt;80,("3.66"),IF(J87&gt;75,("3.33"),IF(J87&gt;70,("3.00"),IF(J87&gt;65,("2.66"),IF(J87&gt;60,("2.33"),IF(J87&gt;55,("2"),IF(J87&gt;50,("1.66"),"1.33"))))))))</f>
        <v>1.33</v>
      </c>
      <c r="L87" s="1369" t="str">
        <f>IF(J87&gt;85,("A"),IF(J87&gt;80,("A-"),IF(J87&gt;75,("B+"),IF(J87&gt;70,("B"),IF(J87&gt;65,("B-"),IF(J87&gt;60,("C+"),IF(J87&gt;55,("C"),IF(J87&gt;50,("C-"),"D+"))))))))</f>
        <v>D+</v>
      </c>
      <c r="M87" s="1370" t="str">
        <f>IF(J87&gt;80,("SB"),IF(J87&gt;65,("B"),IF(J87&gt;50,("C"),IF(J87&gt;0,("K"),"0"))))</f>
        <v>0</v>
      </c>
      <c r="N87" s="1343"/>
      <c r="O87" s="1344"/>
      <c r="P87" s="1344"/>
      <c r="Q87" s="1344"/>
      <c r="R87" s="1344"/>
      <c r="S87" s="1344"/>
      <c r="T87" s="1345"/>
      <c r="U87" s="1346"/>
      <c r="V87" s="1346"/>
      <c r="W87" s="1346"/>
      <c r="X87" s="1346"/>
      <c r="Y87" s="1346"/>
      <c r="Z87" s="1346"/>
      <c r="AA87" s="1346"/>
      <c r="AB87" s="1057">
        <f>J94</f>
        <v>0</v>
      </c>
      <c r="AC87" s="1194" t="str">
        <f>IF(AB87&gt;85,("A"),IF(AB87&gt;80,("A-"),IF(AB87&gt;75,("B+"),IF(AB87&gt;70,("B"),IF(AB87&gt;65,("B-"),IF(AB87&gt;60,("C+"),IF(AB87&gt;55,("C"),IF(AB87&gt;50,("C-"),"D+"))))))))</f>
        <v>D+</v>
      </c>
    </row>
    <row r="88" spans="1:29" ht="24.95" customHeight="1" x14ac:dyDescent="0.25">
      <c r="A88" s="1306"/>
      <c r="B88" s="683">
        <v>11</v>
      </c>
      <c r="C88" s="1310"/>
      <c r="D88" s="1305" t="s">
        <v>20</v>
      </c>
      <c r="E88" s="1308">
        <f>VLOOKUP(A87,UHT_MAT,50,FALSE)</f>
        <v>0</v>
      </c>
      <c r="F88" s="1908">
        <f t="shared" ref="F88:F93" si="75">E88*2</f>
        <v>0</v>
      </c>
      <c r="G88" s="1308"/>
      <c r="H88" s="1309">
        <f>VLOOKUP(B87,REKAP_NILAI,17,FALSE)</f>
        <v>0</v>
      </c>
      <c r="I88" s="1371">
        <f t="shared" ref="I88:I93" si="76">F88+G88+H88</f>
        <v>0</v>
      </c>
      <c r="J88" s="1372">
        <f t="shared" ref="J88:J93" si="77">(F88+G88+H88)/4</f>
        <v>0</v>
      </c>
      <c r="K88" s="1373" t="str">
        <f t="shared" ref="K88:K94" si="78">IF(J88&gt;85,("4"),IF(J88&gt;80,("3.66"),IF(J88&gt;75,("3.33"),IF(J88&gt;70,("3.00"),IF(J88&gt;65,("2.66"),IF(J88&gt;60,("2.33"),IF(J88&gt;55,("2"),IF(J88&gt;50,("1.66"),"1.33"))))))))</f>
        <v>1.33</v>
      </c>
      <c r="L88" s="1373" t="str">
        <f t="shared" ref="L88:L94" si="79">IF(J88&gt;85,("A"),IF(J88&gt;80,("A-"),IF(J88&gt;75,("B+"),IF(J88&gt;70,("B"),IF(J88&gt;65,("B-"),IF(J88&gt;60,("C+"),IF(J88&gt;55,("C"),IF(J88&gt;50,("C-"),"D+"))))))))</f>
        <v>D+</v>
      </c>
      <c r="M88" s="1374" t="str">
        <f t="shared" ref="M88:M94" si="80">IF(J88&gt;80,("SB"),IF(J88&gt;65,("B"),IF(J88&gt;50,("C"),IF(J88&gt;0,("K"),"0"))))</f>
        <v>0</v>
      </c>
      <c r="N88" s="1332"/>
      <c r="O88" s="1333"/>
      <c r="P88" s="1333"/>
      <c r="Q88" s="1333"/>
      <c r="R88" s="1333"/>
      <c r="S88" s="1333"/>
      <c r="T88" s="1333"/>
      <c r="U88" s="1334"/>
      <c r="V88" s="1335"/>
      <c r="W88" s="1335"/>
      <c r="X88" s="1335"/>
      <c r="Y88" s="1335"/>
      <c r="Z88" s="1335"/>
      <c r="AA88" s="1336"/>
      <c r="AB88" s="1251"/>
      <c r="AC88" s="1252"/>
    </row>
    <row r="89" spans="1:29" ht="24.95" customHeight="1" x14ac:dyDescent="0.25">
      <c r="A89" s="1306"/>
      <c r="B89" s="683">
        <v>11</v>
      </c>
      <c r="C89" s="1310"/>
      <c r="D89" s="1305" t="s">
        <v>19</v>
      </c>
      <c r="E89" s="1308">
        <f>VLOOKUP(A87,UHT_MAT,51,FALSE)</f>
        <v>0</v>
      </c>
      <c r="F89" s="1908">
        <f t="shared" si="75"/>
        <v>0</v>
      </c>
      <c r="G89" s="1308"/>
      <c r="H89" s="1309">
        <f>VLOOKUP(B87,REKAP_NILAI,18,FALSE)</f>
        <v>0</v>
      </c>
      <c r="I89" s="1371">
        <f t="shared" si="76"/>
        <v>0</v>
      </c>
      <c r="J89" s="1372">
        <f t="shared" si="77"/>
        <v>0</v>
      </c>
      <c r="K89" s="1373" t="str">
        <f t="shared" si="78"/>
        <v>1.33</v>
      </c>
      <c r="L89" s="1373" t="str">
        <f t="shared" si="79"/>
        <v>D+</v>
      </c>
      <c r="M89" s="1374" t="str">
        <f t="shared" si="80"/>
        <v>0</v>
      </c>
      <c r="N89" s="1311"/>
      <c r="O89" s="1312"/>
      <c r="P89" s="1312"/>
      <c r="Q89" s="1312"/>
      <c r="R89" s="1312"/>
      <c r="S89" s="1312"/>
      <c r="T89" s="1312"/>
      <c r="U89" s="1313"/>
      <c r="V89" s="1314"/>
      <c r="W89" s="1314"/>
      <c r="X89" s="1314"/>
      <c r="Y89" s="1314"/>
      <c r="Z89" s="1314"/>
      <c r="AA89" s="1315"/>
      <c r="AB89" s="1253"/>
      <c r="AC89" s="1254"/>
    </row>
    <row r="90" spans="1:29" ht="24.95" customHeight="1" x14ac:dyDescent="0.25">
      <c r="A90" s="1306"/>
      <c r="B90" s="683">
        <v>11</v>
      </c>
      <c r="C90" s="1310"/>
      <c r="D90" s="1305" t="s">
        <v>181</v>
      </c>
      <c r="E90" s="1308">
        <f>VLOOKUP(A87,UHT_MAT,52,FALSE)</f>
        <v>0</v>
      </c>
      <c r="F90" s="1908">
        <f t="shared" si="75"/>
        <v>0</v>
      </c>
      <c r="G90" s="1308"/>
      <c r="H90" s="1309">
        <f>VLOOKUP(B87,REKAP_NILAI,19,FALSE)</f>
        <v>0</v>
      </c>
      <c r="I90" s="1371">
        <f t="shared" si="76"/>
        <v>0</v>
      </c>
      <c r="J90" s="1372">
        <f t="shared" si="77"/>
        <v>0</v>
      </c>
      <c r="K90" s="1373" t="str">
        <f t="shared" si="78"/>
        <v>1.33</v>
      </c>
      <c r="L90" s="1373" t="str">
        <f t="shared" si="79"/>
        <v>D+</v>
      </c>
      <c r="M90" s="1374" t="str">
        <f t="shared" si="80"/>
        <v>0</v>
      </c>
      <c r="N90" s="1311"/>
      <c r="O90" s="1312"/>
      <c r="P90" s="1312"/>
      <c r="Q90" s="1312"/>
      <c r="R90" s="1312"/>
      <c r="S90" s="1312"/>
      <c r="T90" s="1312"/>
      <c r="U90" s="1313"/>
      <c r="V90" s="1314"/>
      <c r="W90" s="1314"/>
      <c r="X90" s="1314"/>
      <c r="Y90" s="1314"/>
      <c r="Z90" s="1314"/>
      <c r="AA90" s="1315"/>
      <c r="AB90" s="1253"/>
      <c r="AC90" s="1254"/>
    </row>
    <row r="91" spans="1:29" ht="24.95" customHeight="1" x14ac:dyDescent="0.25">
      <c r="A91" s="1306"/>
      <c r="B91" s="683">
        <v>11</v>
      </c>
      <c r="C91" s="1310"/>
      <c r="D91" s="1305" t="s">
        <v>182</v>
      </c>
      <c r="E91" s="1308">
        <f>VLOOKUP(A87,UHT_MAT,53,FALSE)</f>
        <v>0</v>
      </c>
      <c r="F91" s="1908">
        <f t="shared" si="75"/>
        <v>0</v>
      </c>
      <c r="G91" s="1308"/>
      <c r="H91" s="1309">
        <f>VLOOKUP(B87,REKAP_NILAI,20,FALSE)</f>
        <v>0</v>
      </c>
      <c r="I91" s="1371">
        <f t="shared" si="76"/>
        <v>0</v>
      </c>
      <c r="J91" s="1372">
        <f t="shared" si="77"/>
        <v>0</v>
      </c>
      <c r="K91" s="1373" t="str">
        <f t="shared" si="78"/>
        <v>1.33</v>
      </c>
      <c r="L91" s="1373" t="str">
        <f t="shared" si="79"/>
        <v>D+</v>
      </c>
      <c r="M91" s="1374" t="str">
        <f t="shared" si="80"/>
        <v>0</v>
      </c>
      <c r="N91" s="1311"/>
      <c r="O91" s="1312"/>
      <c r="P91" s="1312"/>
      <c r="Q91" s="1312"/>
      <c r="R91" s="1312"/>
      <c r="S91" s="1312"/>
      <c r="T91" s="1312"/>
      <c r="U91" s="1313"/>
      <c r="V91" s="1314"/>
      <c r="W91" s="1314"/>
      <c r="X91" s="1314"/>
      <c r="Y91" s="1314"/>
      <c r="Z91" s="1314"/>
      <c r="AA91" s="1315"/>
      <c r="AB91" s="1253"/>
      <c r="AC91" s="1254"/>
    </row>
    <row r="92" spans="1:29" ht="24.95" customHeight="1" x14ac:dyDescent="0.25">
      <c r="A92" s="1306"/>
      <c r="B92" s="683">
        <v>11</v>
      </c>
      <c r="C92" s="1310"/>
      <c r="D92" s="1305" t="s">
        <v>566</v>
      </c>
      <c r="E92" s="1308">
        <f>VLOOKUP(A87,UHT_MAT,54,FALSE)</f>
        <v>0</v>
      </c>
      <c r="F92" s="1908">
        <f t="shared" si="75"/>
        <v>0</v>
      </c>
      <c r="G92" s="1308"/>
      <c r="H92" s="1309">
        <f>VLOOKUP(B87,REKAP_NILAI,21,FALSE)</f>
        <v>0</v>
      </c>
      <c r="I92" s="1371">
        <f t="shared" si="76"/>
        <v>0</v>
      </c>
      <c r="J92" s="1372">
        <f t="shared" si="77"/>
        <v>0</v>
      </c>
      <c r="K92" s="1373" t="str">
        <f t="shared" si="78"/>
        <v>1.33</v>
      </c>
      <c r="L92" s="1373" t="str">
        <f t="shared" si="79"/>
        <v>D+</v>
      </c>
      <c r="M92" s="1374" t="str">
        <f t="shared" si="80"/>
        <v>0</v>
      </c>
      <c r="N92" s="1311"/>
      <c r="O92" s="1312"/>
      <c r="P92" s="1312"/>
      <c r="Q92" s="1312"/>
      <c r="R92" s="1312"/>
      <c r="S92" s="1312"/>
      <c r="T92" s="1312"/>
      <c r="U92" s="1313"/>
      <c r="V92" s="1314"/>
      <c r="W92" s="1314"/>
      <c r="X92" s="1314"/>
      <c r="Y92" s="1314"/>
      <c r="Z92" s="1314"/>
      <c r="AA92" s="1315"/>
      <c r="AB92" s="1253"/>
      <c r="AC92" s="1254"/>
    </row>
    <row r="93" spans="1:29" ht="24.95" customHeight="1" x14ac:dyDescent="0.25">
      <c r="A93" s="1306"/>
      <c r="B93" s="683">
        <v>11</v>
      </c>
      <c r="C93" s="1310"/>
      <c r="D93" s="1305" t="s">
        <v>567</v>
      </c>
      <c r="E93" s="1308">
        <f>VLOOKUP(A87,UHT_MAT,55,FALSE)</f>
        <v>0</v>
      </c>
      <c r="F93" s="1908">
        <f t="shared" si="75"/>
        <v>0</v>
      </c>
      <c r="G93" s="1308"/>
      <c r="H93" s="1309">
        <f>VLOOKUP(B87,REKAP_NILAI,22,FALSE)</f>
        <v>0</v>
      </c>
      <c r="I93" s="1371">
        <f t="shared" si="76"/>
        <v>0</v>
      </c>
      <c r="J93" s="1372">
        <f t="shared" si="77"/>
        <v>0</v>
      </c>
      <c r="K93" s="1373" t="str">
        <f t="shared" si="78"/>
        <v>1.33</v>
      </c>
      <c r="L93" s="1373" t="str">
        <f t="shared" si="79"/>
        <v>D+</v>
      </c>
      <c r="M93" s="1374" t="str">
        <f t="shared" si="80"/>
        <v>0</v>
      </c>
      <c r="N93" s="1311"/>
      <c r="O93" s="1312"/>
      <c r="P93" s="1312"/>
      <c r="Q93" s="1312"/>
      <c r="R93" s="1312"/>
      <c r="S93" s="1312"/>
      <c r="T93" s="1312"/>
      <c r="U93" s="1313"/>
      <c r="V93" s="1314"/>
      <c r="W93" s="1314"/>
      <c r="X93" s="1314"/>
      <c r="Y93" s="1314"/>
      <c r="Z93" s="1314"/>
      <c r="AA93" s="1315"/>
      <c r="AB93" s="1255"/>
      <c r="AC93" s="1256"/>
    </row>
    <row r="94" spans="1:29" ht="24.95" customHeight="1" x14ac:dyDescent="0.3">
      <c r="A94" s="1337"/>
      <c r="B94" s="1338"/>
      <c r="C94" s="1339" t="s">
        <v>149</v>
      </c>
      <c r="D94" s="1319">
        <v>11</v>
      </c>
      <c r="E94" s="1320"/>
      <c r="F94" s="1909"/>
      <c r="G94" s="1320"/>
      <c r="H94" s="1321">
        <f>AVERAGE(H87:H93)</f>
        <v>0</v>
      </c>
      <c r="I94" s="1375"/>
      <c r="J94" s="1376">
        <f>AVERAGE(J87:J93)</f>
        <v>0</v>
      </c>
      <c r="K94" s="1377" t="str">
        <f t="shared" si="78"/>
        <v>1.33</v>
      </c>
      <c r="L94" s="1377" t="str">
        <f t="shared" si="79"/>
        <v>D+</v>
      </c>
      <c r="M94" s="1378" t="str">
        <f t="shared" si="80"/>
        <v>0</v>
      </c>
      <c r="N94" s="1347"/>
      <c r="O94" s="1348"/>
      <c r="P94" s="1348"/>
      <c r="Q94" s="1348"/>
      <c r="R94" s="1348"/>
      <c r="S94" s="1348"/>
      <c r="T94" s="1348"/>
      <c r="U94" s="1347"/>
      <c r="V94" s="1348"/>
      <c r="W94" s="1348"/>
      <c r="X94" s="1348"/>
      <c r="Y94" s="1348"/>
      <c r="Z94" s="1348"/>
      <c r="AA94" s="1349"/>
      <c r="AB94" s="1257"/>
      <c r="AC94" s="1258"/>
    </row>
    <row r="95" spans="1:29" ht="24.95" customHeight="1" thickBot="1" x14ac:dyDescent="0.3">
      <c r="A95" s="1325">
        <v>12</v>
      </c>
      <c r="B95" s="1326">
        <v>12</v>
      </c>
      <c r="C95" s="1327" t="str">
        <f>VLOOKUP(A95,data_siswa,4)</f>
        <v>Intan Dyah Nowari</v>
      </c>
      <c r="D95" s="1305" t="s">
        <v>10</v>
      </c>
      <c r="E95" s="1308">
        <f>VLOOKUP(A95,UHT_MAT,49,FALSE)</f>
        <v>0</v>
      </c>
      <c r="F95" s="1908">
        <f>E95*2</f>
        <v>0</v>
      </c>
      <c r="G95" s="1308"/>
      <c r="H95" s="1309">
        <f>VLOOKUP(B95,REKAP_NILAI,16,FALSE)</f>
        <v>0</v>
      </c>
      <c r="I95" s="1367">
        <f>F95+G95+H95</f>
        <v>0</v>
      </c>
      <c r="J95" s="1368">
        <f>(F95+G95+H95)/4</f>
        <v>0</v>
      </c>
      <c r="K95" s="1369" t="str">
        <f>IF(J95&gt;85,("4"),IF(J95&gt;80,("3.66"),IF(J95&gt;75,("3.33"),IF(J95&gt;70,("3.00"),IF(J95&gt;65,("2.66"),IF(J95&gt;60,("2.33"),IF(J95&gt;55,("2"),IF(J95&gt;50,("1.66"),"1.33"))))))))</f>
        <v>1.33</v>
      </c>
      <c r="L95" s="1369" t="str">
        <f>IF(J95&gt;85,("A"),IF(J95&gt;80,("A-"),IF(J95&gt;75,("B+"),IF(J95&gt;70,("B"),IF(J95&gt;65,("B-"),IF(J95&gt;60,("C+"),IF(J95&gt;55,("C"),IF(J95&gt;50,("C-"),"D+"))))))))</f>
        <v>D+</v>
      </c>
      <c r="M95" s="1370" t="str">
        <f>IF(J95&gt;80,("SB"),IF(J95&gt;65,("B"),IF(J95&gt;50,("C"),IF(J95&gt;0,("K"),"0"))))</f>
        <v>0</v>
      </c>
      <c r="N95" s="1343"/>
      <c r="O95" s="1344"/>
      <c r="P95" s="1344"/>
      <c r="Q95" s="1344"/>
      <c r="R95" s="1344"/>
      <c r="S95" s="1344"/>
      <c r="T95" s="1345"/>
      <c r="U95" s="1346"/>
      <c r="V95" s="1346"/>
      <c r="W95" s="1346"/>
      <c r="X95" s="1346"/>
      <c r="Y95" s="1346"/>
      <c r="Z95" s="1346"/>
      <c r="AA95" s="1346"/>
      <c r="AB95" s="1057">
        <f>J102</f>
        <v>0</v>
      </c>
      <c r="AC95" s="1194" t="str">
        <f>IF(AB95&gt;85,("A"),IF(AB95&gt;80,("A-"),IF(AB95&gt;75,("B+"),IF(AB95&gt;70,("B"),IF(AB95&gt;65,("B-"),IF(AB95&gt;60,("C+"),IF(AB95&gt;55,("C"),IF(AB95&gt;50,("C-"),"D+"))))))))</f>
        <v>D+</v>
      </c>
    </row>
    <row r="96" spans="1:29" ht="24.95" customHeight="1" x14ac:dyDescent="0.25">
      <c r="A96" s="1306"/>
      <c r="B96" s="683">
        <v>12</v>
      </c>
      <c r="C96" s="1310"/>
      <c r="D96" s="1305" t="s">
        <v>20</v>
      </c>
      <c r="E96" s="1308">
        <f>VLOOKUP(A95,UHT_MAT,50,FALSE)</f>
        <v>0</v>
      </c>
      <c r="F96" s="1908">
        <f t="shared" ref="F96:F101" si="81">E96*2</f>
        <v>0</v>
      </c>
      <c r="G96" s="1308"/>
      <c r="H96" s="1309">
        <f>VLOOKUP(B95,REKAP_NILAI,17,FALSE)</f>
        <v>0</v>
      </c>
      <c r="I96" s="1371">
        <f t="shared" ref="I96:I101" si="82">F96+G96+H96</f>
        <v>0</v>
      </c>
      <c r="J96" s="1372">
        <f t="shared" ref="J96:J101" si="83">(F96+G96+H96)/4</f>
        <v>0</v>
      </c>
      <c r="K96" s="1373" t="str">
        <f t="shared" ref="K96:K102" si="84">IF(J96&gt;85,("4"),IF(J96&gt;80,("3.66"),IF(J96&gt;75,("3.33"),IF(J96&gt;70,("3.00"),IF(J96&gt;65,("2.66"),IF(J96&gt;60,("2.33"),IF(J96&gt;55,("2"),IF(J96&gt;50,("1.66"),"1.33"))))))))</f>
        <v>1.33</v>
      </c>
      <c r="L96" s="1373" t="str">
        <f t="shared" ref="L96:L102" si="85">IF(J96&gt;85,("A"),IF(J96&gt;80,("A-"),IF(J96&gt;75,("B+"),IF(J96&gt;70,("B"),IF(J96&gt;65,("B-"),IF(J96&gt;60,("C+"),IF(J96&gt;55,("C"),IF(J96&gt;50,("C-"),"D+"))))))))</f>
        <v>D+</v>
      </c>
      <c r="M96" s="1374" t="str">
        <f t="shared" ref="M96:M102" si="86">IF(J96&gt;80,("SB"),IF(J96&gt;65,("B"),IF(J96&gt;50,("C"),IF(J96&gt;0,("K"),"0"))))</f>
        <v>0</v>
      </c>
      <c r="N96" s="1332"/>
      <c r="O96" s="1333"/>
      <c r="P96" s="1333"/>
      <c r="Q96" s="1333"/>
      <c r="R96" s="1333"/>
      <c r="S96" s="1333"/>
      <c r="T96" s="1333"/>
      <c r="U96" s="1334"/>
      <c r="V96" s="1335"/>
      <c r="W96" s="1335"/>
      <c r="X96" s="1335"/>
      <c r="Y96" s="1335"/>
      <c r="Z96" s="1335"/>
      <c r="AA96" s="1336"/>
      <c r="AB96" s="1251"/>
      <c r="AC96" s="1252"/>
    </row>
    <row r="97" spans="1:29" ht="24.95" customHeight="1" x14ac:dyDescent="0.25">
      <c r="A97" s="1306"/>
      <c r="B97" s="683">
        <v>12</v>
      </c>
      <c r="C97" s="1310"/>
      <c r="D97" s="1305" t="s">
        <v>19</v>
      </c>
      <c r="E97" s="1308">
        <f>VLOOKUP(A95,UHT_MAT,51,FALSE)</f>
        <v>0</v>
      </c>
      <c r="F97" s="1908">
        <f t="shared" si="81"/>
        <v>0</v>
      </c>
      <c r="G97" s="1308"/>
      <c r="H97" s="1309">
        <f>VLOOKUP(B95,REKAP_NILAI,18,FALSE)</f>
        <v>0</v>
      </c>
      <c r="I97" s="1371">
        <f t="shared" si="82"/>
        <v>0</v>
      </c>
      <c r="J97" s="1372">
        <f t="shared" si="83"/>
        <v>0</v>
      </c>
      <c r="K97" s="1373" t="str">
        <f t="shared" si="84"/>
        <v>1.33</v>
      </c>
      <c r="L97" s="1373" t="str">
        <f t="shared" si="85"/>
        <v>D+</v>
      </c>
      <c r="M97" s="1374" t="str">
        <f t="shared" si="86"/>
        <v>0</v>
      </c>
      <c r="N97" s="1311"/>
      <c r="O97" s="1312"/>
      <c r="P97" s="1312"/>
      <c r="Q97" s="1312"/>
      <c r="R97" s="1312"/>
      <c r="S97" s="1312"/>
      <c r="T97" s="1312"/>
      <c r="U97" s="1313"/>
      <c r="V97" s="1314"/>
      <c r="W97" s="1314"/>
      <c r="X97" s="1314"/>
      <c r="Y97" s="1314"/>
      <c r="Z97" s="1314"/>
      <c r="AA97" s="1315"/>
      <c r="AB97" s="1253"/>
      <c r="AC97" s="1254"/>
    </row>
    <row r="98" spans="1:29" ht="24.95" customHeight="1" x14ac:dyDescent="0.25">
      <c r="A98" s="1306"/>
      <c r="B98" s="683">
        <v>12</v>
      </c>
      <c r="C98" s="1310"/>
      <c r="D98" s="1305" t="s">
        <v>181</v>
      </c>
      <c r="E98" s="1308">
        <f>VLOOKUP(A95,UHT_MAT,52,FALSE)</f>
        <v>0</v>
      </c>
      <c r="F98" s="1908">
        <f t="shared" si="81"/>
        <v>0</v>
      </c>
      <c r="G98" s="1308"/>
      <c r="H98" s="1309">
        <f>VLOOKUP(B95,REKAP_NILAI,19,FALSE)</f>
        <v>0</v>
      </c>
      <c r="I98" s="1371">
        <f t="shared" si="82"/>
        <v>0</v>
      </c>
      <c r="J98" s="1372">
        <f t="shared" si="83"/>
        <v>0</v>
      </c>
      <c r="K98" s="1373" t="str">
        <f t="shared" si="84"/>
        <v>1.33</v>
      </c>
      <c r="L98" s="1373" t="str">
        <f t="shared" si="85"/>
        <v>D+</v>
      </c>
      <c r="M98" s="1374" t="str">
        <f t="shared" si="86"/>
        <v>0</v>
      </c>
      <c r="N98" s="1311"/>
      <c r="O98" s="1312"/>
      <c r="P98" s="1312"/>
      <c r="Q98" s="1312"/>
      <c r="R98" s="1312"/>
      <c r="S98" s="1312"/>
      <c r="T98" s="1312"/>
      <c r="U98" s="1313"/>
      <c r="V98" s="1314"/>
      <c r="W98" s="1314"/>
      <c r="X98" s="1314"/>
      <c r="Y98" s="1314"/>
      <c r="Z98" s="1314"/>
      <c r="AA98" s="1315"/>
      <c r="AB98" s="1253"/>
      <c r="AC98" s="1254"/>
    </row>
    <row r="99" spans="1:29" ht="24.95" customHeight="1" x14ac:dyDescent="0.25">
      <c r="A99" s="1306"/>
      <c r="B99" s="683">
        <v>12</v>
      </c>
      <c r="C99" s="1310"/>
      <c r="D99" s="1305" t="s">
        <v>182</v>
      </c>
      <c r="E99" s="1308">
        <f>VLOOKUP(A95,UHT_MAT,53,FALSE)</f>
        <v>0</v>
      </c>
      <c r="F99" s="1908">
        <f t="shared" si="81"/>
        <v>0</v>
      </c>
      <c r="G99" s="1308"/>
      <c r="H99" s="1309">
        <f>VLOOKUP(B95,REKAP_NILAI,20,FALSE)</f>
        <v>0</v>
      </c>
      <c r="I99" s="1371">
        <f t="shared" si="82"/>
        <v>0</v>
      </c>
      <c r="J99" s="1372">
        <f t="shared" si="83"/>
        <v>0</v>
      </c>
      <c r="K99" s="1373" t="str">
        <f t="shared" si="84"/>
        <v>1.33</v>
      </c>
      <c r="L99" s="1373" t="str">
        <f t="shared" si="85"/>
        <v>D+</v>
      </c>
      <c r="M99" s="1374" t="str">
        <f t="shared" si="86"/>
        <v>0</v>
      </c>
      <c r="N99" s="1311"/>
      <c r="O99" s="1312"/>
      <c r="P99" s="1312"/>
      <c r="Q99" s="1312"/>
      <c r="R99" s="1312"/>
      <c r="S99" s="1312"/>
      <c r="T99" s="1312"/>
      <c r="U99" s="1313"/>
      <c r="V99" s="1314"/>
      <c r="W99" s="1314"/>
      <c r="X99" s="1314"/>
      <c r="Y99" s="1314"/>
      <c r="Z99" s="1314"/>
      <c r="AA99" s="1315"/>
      <c r="AB99" s="1253"/>
      <c r="AC99" s="1254"/>
    </row>
    <row r="100" spans="1:29" ht="24.95" customHeight="1" x14ac:dyDescent="0.25">
      <c r="A100" s="1306"/>
      <c r="B100" s="683">
        <v>12</v>
      </c>
      <c r="C100" s="1310"/>
      <c r="D100" s="1305" t="s">
        <v>566</v>
      </c>
      <c r="E100" s="1308">
        <f>VLOOKUP(A95,UHT_MAT,54,FALSE)</f>
        <v>0</v>
      </c>
      <c r="F100" s="1908">
        <f t="shared" si="81"/>
        <v>0</v>
      </c>
      <c r="G100" s="1308"/>
      <c r="H100" s="1309">
        <f>VLOOKUP(B95,REKAP_NILAI,21,FALSE)</f>
        <v>0</v>
      </c>
      <c r="I100" s="1371">
        <f t="shared" si="82"/>
        <v>0</v>
      </c>
      <c r="J100" s="1372">
        <f t="shared" si="83"/>
        <v>0</v>
      </c>
      <c r="K100" s="1373" t="str">
        <f t="shared" si="84"/>
        <v>1.33</v>
      </c>
      <c r="L100" s="1373" t="str">
        <f t="shared" si="85"/>
        <v>D+</v>
      </c>
      <c r="M100" s="1374" t="str">
        <f t="shared" si="86"/>
        <v>0</v>
      </c>
      <c r="N100" s="1311"/>
      <c r="O100" s="1312"/>
      <c r="P100" s="1312"/>
      <c r="Q100" s="1312"/>
      <c r="R100" s="1312"/>
      <c r="S100" s="1312"/>
      <c r="T100" s="1312"/>
      <c r="U100" s="1313"/>
      <c r="V100" s="1314"/>
      <c r="W100" s="1314"/>
      <c r="X100" s="1314"/>
      <c r="Y100" s="1314"/>
      <c r="Z100" s="1314"/>
      <c r="AA100" s="1315"/>
      <c r="AB100" s="1253"/>
      <c r="AC100" s="1254"/>
    </row>
    <row r="101" spans="1:29" ht="24.95" customHeight="1" x14ac:dyDescent="0.25">
      <c r="A101" s="1306"/>
      <c r="B101" s="683">
        <v>12</v>
      </c>
      <c r="C101" s="1310"/>
      <c r="D101" s="1305" t="s">
        <v>567</v>
      </c>
      <c r="E101" s="1308">
        <f>VLOOKUP(A95,UHT_MAT,55,FALSE)</f>
        <v>0</v>
      </c>
      <c r="F101" s="1908">
        <f t="shared" si="81"/>
        <v>0</v>
      </c>
      <c r="G101" s="1308"/>
      <c r="H101" s="1309">
        <f>VLOOKUP(B95,REKAP_NILAI,22,FALSE)</f>
        <v>0</v>
      </c>
      <c r="I101" s="1371">
        <f t="shared" si="82"/>
        <v>0</v>
      </c>
      <c r="J101" s="1372">
        <f t="shared" si="83"/>
        <v>0</v>
      </c>
      <c r="K101" s="1373" t="str">
        <f t="shared" si="84"/>
        <v>1.33</v>
      </c>
      <c r="L101" s="1373" t="str">
        <f t="shared" si="85"/>
        <v>D+</v>
      </c>
      <c r="M101" s="1374" t="str">
        <f t="shared" si="86"/>
        <v>0</v>
      </c>
      <c r="N101" s="1311"/>
      <c r="O101" s="1312"/>
      <c r="P101" s="1312"/>
      <c r="Q101" s="1312"/>
      <c r="R101" s="1312"/>
      <c r="S101" s="1312"/>
      <c r="T101" s="1312"/>
      <c r="U101" s="1313"/>
      <c r="V101" s="1314"/>
      <c r="W101" s="1314"/>
      <c r="X101" s="1314"/>
      <c r="Y101" s="1314"/>
      <c r="Z101" s="1314"/>
      <c r="AA101" s="1315"/>
      <c r="AB101" s="1255"/>
      <c r="AC101" s="1256"/>
    </row>
    <row r="102" spans="1:29" ht="24.95" customHeight="1" x14ac:dyDescent="0.3">
      <c r="A102" s="1337"/>
      <c r="B102" s="1338"/>
      <c r="C102" s="1339" t="s">
        <v>149</v>
      </c>
      <c r="D102" s="1319">
        <v>12</v>
      </c>
      <c r="E102" s="1320"/>
      <c r="F102" s="1909"/>
      <c r="G102" s="1320"/>
      <c r="H102" s="1321">
        <f>AVERAGE(H95:H101)</f>
        <v>0</v>
      </c>
      <c r="I102" s="1375"/>
      <c r="J102" s="1376">
        <f>AVERAGE(J95:J101)</f>
        <v>0</v>
      </c>
      <c r="K102" s="1377" t="str">
        <f t="shared" si="84"/>
        <v>1.33</v>
      </c>
      <c r="L102" s="1377" t="str">
        <f t="shared" si="85"/>
        <v>D+</v>
      </c>
      <c r="M102" s="1378" t="str">
        <f t="shared" si="86"/>
        <v>0</v>
      </c>
      <c r="N102" s="1347"/>
      <c r="O102" s="1348"/>
      <c r="P102" s="1348"/>
      <c r="Q102" s="1348"/>
      <c r="R102" s="1348"/>
      <c r="S102" s="1348"/>
      <c r="T102" s="1348"/>
      <c r="U102" s="1347"/>
      <c r="V102" s="1348"/>
      <c r="W102" s="1348"/>
      <c r="X102" s="1348"/>
      <c r="Y102" s="1348"/>
      <c r="Z102" s="1348"/>
      <c r="AA102" s="1349"/>
      <c r="AB102" s="1257"/>
      <c r="AC102" s="1258"/>
    </row>
    <row r="103" spans="1:29" ht="24.95" customHeight="1" thickBot="1" x14ac:dyDescent="0.3">
      <c r="A103" s="1350">
        <v>13</v>
      </c>
      <c r="B103" s="1326">
        <v>13</v>
      </c>
      <c r="C103" s="1327" t="str">
        <f>VLOOKUP(A103,data_siswa,4)</f>
        <v>Misyanita Nurfitri S</v>
      </c>
      <c r="D103" s="1305" t="s">
        <v>10</v>
      </c>
      <c r="E103" s="1308">
        <f>VLOOKUP(A103,UHT_MAT,49,FALSE)</f>
        <v>0</v>
      </c>
      <c r="F103" s="1908">
        <f>E103*2</f>
        <v>0</v>
      </c>
      <c r="G103" s="1308"/>
      <c r="H103" s="1309">
        <f>VLOOKUP(B103,REKAP_NILAI,16,FALSE)</f>
        <v>0</v>
      </c>
      <c r="I103" s="1367">
        <f>F103+G103+H103</f>
        <v>0</v>
      </c>
      <c r="J103" s="1368">
        <f>(F103+G103+H103)/4</f>
        <v>0</v>
      </c>
      <c r="K103" s="1369" t="str">
        <f>IF(J103&gt;85,("4"),IF(J103&gt;80,("3.66"),IF(J103&gt;75,("3.33"),IF(J103&gt;70,("3.00"),IF(J103&gt;65,("2.66"),IF(J103&gt;60,("2.33"),IF(J103&gt;55,("2"),IF(J103&gt;50,("1.66"),"1.33"))))))))</f>
        <v>1.33</v>
      </c>
      <c r="L103" s="1369" t="str">
        <f>IF(J103&gt;85,("A"),IF(J103&gt;80,("A-"),IF(J103&gt;75,("B+"),IF(J103&gt;70,("B"),IF(J103&gt;65,("B-"),IF(J103&gt;60,("C+"),IF(J103&gt;55,("C"),IF(J103&gt;50,("C-"),"D+"))))))))</f>
        <v>D+</v>
      </c>
      <c r="M103" s="1370" t="str">
        <f>IF(J103&gt;80,("SB"),IF(J103&gt;65,("B"),IF(J103&gt;50,("C"),IF(J103&gt;0,("K"),"0"))))</f>
        <v>0</v>
      </c>
      <c r="N103" s="1343"/>
      <c r="O103" s="1344"/>
      <c r="P103" s="1344"/>
      <c r="Q103" s="1344"/>
      <c r="R103" s="1344"/>
      <c r="S103" s="1344"/>
      <c r="T103" s="1345"/>
      <c r="U103" s="1346"/>
      <c r="V103" s="1346"/>
      <c r="W103" s="1346"/>
      <c r="X103" s="1346"/>
      <c r="Y103" s="1346"/>
      <c r="Z103" s="1346"/>
      <c r="AA103" s="1346"/>
      <c r="AB103" s="1057">
        <f>J110</f>
        <v>0</v>
      </c>
      <c r="AC103" s="1194" t="str">
        <f>IF(AB103&gt;85,("A"),IF(AB103&gt;80,("A-"),IF(AB103&gt;75,("B+"),IF(AB103&gt;70,("B"),IF(AB103&gt;65,("B-"),IF(AB103&gt;60,("C+"),IF(AB103&gt;55,("C"),IF(AB103&gt;50,("C-"),"D+"))))))))</f>
        <v>D+</v>
      </c>
    </row>
    <row r="104" spans="1:29" ht="24.95" customHeight="1" x14ac:dyDescent="0.25">
      <c r="A104" s="1351"/>
      <c r="B104" s="683">
        <v>12</v>
      </c>
      <c r="C104" s="1310"/>
      <c r="D104" s="1305" t="s">
        <v>20</v>
      </c>
      <c r="E104" s="1308">
        <f>VLOOKUP(A103,UHT_MAT,50,FALSE)</f>
        <v>0</v>
      </c>
      <c r="F104" s="1908">
        <f t="shared" ref="F104:F109" si="87">E104*2</f>
        <v>0</v>
      </c>
      <c r="G104" s="1308"/>
      <c r="H104" s="1309">
        <f>VLOOKUP(B103,REKAP_NILAI,17,FALSE)</f>
        <v>0</v>
      </c>
      <c r="I104" s="1371">
        <f t="shared" ref="I104:I109" si="88">F104+G104+H104</f>
        <v>0</v>
      </c>
      <c r="J104" s="1372">
        <f t="shared" ref="J104:J109" si="89">(F104+G104+H104)/4</f>
        <v>0</v>
      </c>
      <c r="K104" s="1373" t="str">
        <f t="shared" ref="K104:K110" si="90">IF(J104&gt;85,("4"),IF(J104&gt;80,("3.66"),IF(J104&gt;75,("3.33"),IF(J104&gt;70,("3.00"),IF(J104&gt;65,("2.66"),IF(J104&gt;60,("2.33"),IF(J104&gt;55,("2"),IF(J104&gt;50,("1.66"),"1.33"))))))))</f>
        <v>1.33</v>
      </c>
      <c r="L104" s="1373" t="str">
        <f t="shared" ref="L104:L110" si="91">IF(J104&gt;85,("A"),IF(J104&gt;80,("A-"),IF(J104&gt;75,("B+"),IF(J104&gt;70,("B"),IF(J104&gt;65,("B-"),IF(J104&gt;60,("C+"),IF(J104&gt;55,("C"),IF(J104&gt;50,("C-"),"D+"))))))))</f>
        <v>D+</v>
      </c>
      <c r="M104" s="1374" t="str">
        <f t="shared" ref="M104:M110" si="92">IF(J104&gt;80,("SB"),IF(J104&gt;65,("B"),IF(J104&gt;50,("C"),IF(J104&gt;0,("K"),"0"))))</f>
        <v>0</v>
      </c>
      <c r="N104" s="1332"/>
      <c r="O104" s="1333"/>
      <c r="P104" s="1333"/>
      <c r="Q104" s="1333"/>
      <c r="R104" s="1333"/>
      <c r="S104" s="1333"/>
      <c r="T104" s="1333"/>
      <c r="U104" s="1334"/>
      <c r="V104" s="1335"/>
      <c r="W104" s="1335"/>
      <c r="X104" s="1335"/>
      <c r="Y104" s="1335"/>
      <c r="Z104" s="1335"/>
      <c r="AA104" s="1336"/>
      <c r="AB104" s="1251"/>
      <c r="AC104" s="1252"/>
    </row>
    <row r="105" spans="1:29" ht="24.95" customHeight="1" x14ac:dyDescent="0.25">
      <c r="A105" s="1351"/>
      <c r="B105" s="683">
        <v>13</v>
      </c>
      <c r="C105" s="1310"/>
      <c r="D105" s="1305" t="s">
        <v>19</v>
      </c>
      <c r="E105" s="1308">
        <f>VLOOKUP(A103,UHT_MAT,51,FALSE)</f>
        <v>0</v>
      </c>
      <c r="F105" s="1908">
        <f t="shared" si="87"/>
        <v>0</v>
      </c>
      <c r="G105" s="1308"/>
      <c r="H105" s="1309">
        <f>VLOOKUP(B103,REKAP_NILAI,18,FALSE)</f>
        <v>0</v>
      </c>
      <c r="I105" s="1371">
        <f t="shared" si="88"/>
        <v>0</v>
      </c>
      <c r="J105" s="1372">
        <f t="shared" si="89"/>
        <v>0</v>
      </c>
      <c r="K105" s="1373" t="str">
        <f t="shared" si="90"/>
        <v>1.33</v>
      </c>
      <c r="L105" s="1373" t="str">
        <f t="shared" si="91"/>
        <v>D+</v>
      </c>
      <c r="M105" s="1374" t="str">
        <f t="shared" si="92"/>
        <v>0</v>
      </c>
      <c r="N105" s="1311"/>
      <c r="O105" s="1312"/>
      <c r="P105" s="1312"/>
      <c r="Q105" s="1312"/>
      <c r="R105" s="1312"/>
      <c r="S105" s="1312"/>
      <c r="T105" s="1312"/>
      <c r="U105" s="1313"/>
      <c r="V105" s="1314"/>
      <c r="W105" s="1314"/>
      <c r="X105" s="1314"/>
      <c r="Y105" s="1314"/>
      <c r="Z105" s="1314"/>
      <c r="AA105" s="1315"/>
      <c r="AB105" s="1253"/>
      <c r="AC105" s="1254"/>
    </row>
    <row r="106" spans="1:29" ht="24.95" customHeight="1" x14ac:dyDescent="0.25">
      <c r="A106" s="1351"/>
      <c r="B106" s="683">
        <v>13</v>
      </c>
      <c r="C106" s="1310"/>
      <c r="D106" s="1305" t="s">
        <v>181</v>
      </c>
      <c r="E106" s="1308">
        <f>VLOOKUP(A103,UHT_MAT,52,FALSE)</f>
        <v>0</v>
      </c>
      <c r="F106" s="1908">
        <f t="shared" si="87"/>
        <v>0</v>
      </c>
      <c r="G106" s="1308"/>
      <c r="H106" s="1309">
        <f>VLOOKUP(B103,REKAP_NILAI,19,FALSE)</f>
        <v>0</v>
      </c>
      <c r="I106" s="1371">
        <f t="shared" si="88"/>
        <v>0</v>
      </c>
      <c r="J106" s="1372">
        <f t="shared" si="89"/>
        <v>0</v>
      </c>
      <c r="K106" s="1373" t="str">
        <f t="shared" si="90"/>
        <v>1.33</v>
      </c>
      <c r="L106" s="1373" t="str">
        <f t="shared" si="91"/>
        <v>D+</v>
      </c>
      <c r="M106" s="1374" t="str">
        <f t="shared" si="92"/>
        <v>0</v>
      </c>
      <c r="N106" s="1311"/>
      <c r="O106" s="1312"/>
      <c r="P106" s="1312"/>
      <c r="Q106" s="1312"/>
      <c r="R106" s="1312"/>
      <c r="S106" s="1312"/>
      <c r="T106" s="1312"/>
      <c r="U106" s="1313"/>
      <c r="V106" s="1314"/>
      <c r="W106" s="1314"/>
      <c r="X106" s="1314"/>
      <c r="Y106" s="1314"/>
      <c r="Z106" s="1314"/>
      <c r="AA106" s="1315"/>
      <c r="AB106" s="1253"/>
      <c r="AC106" s="1254"/>
    </row>
    <row r="107" spans="1:29" ht="24.95" customHeight="1" x14ac:dyDescent="0.25">
      <c r="A107" s="1351"/>
      <c r="B107" s="683">
        <v>13</v>
      </c>
      <c r="C107" s="1310"/>
      <c r="D107" s="1305" t="s">
        <v>182</v>
      </c>
      <c r="E107" s="1308">
        <f>VLOOKUP(A103,UHT_MAT,53,FALSE)</f>
        <v>0</v>
      </c>
      <c r="F107" s="1908">
        <f t="shared" si="87"/>
        <v>0</v>
      </c>
      <c r="G107" s="1308"/>
      <c r="H107" s="1309">
        <f>VLOOKUP(B103,REKAP_NILAI,20,FALSE)</f>
        <v>0</v>
      </c>
      <c r="I107" s="1371">
        <f t="shared" si="88"/>
        <v>0</v>
      </c>
      <c r="J107" s="1372">
        <f t="shared" si="89"/>
        <v>0</v>
      </c>
      <c r="K107" s="1373" t="str">
        <f t="shared" si="90"/>
        <v>1.33</v>
      </c>
      <c r="L107" s="1373" t="str">
        <f t="shared" si="91"/>
        <v>D+</v>
      </c>
      <c r="M107" s="1374" t="str">
        <f t="shared" si="92"/>
        <v>0</v>
      </c>
      <c r="N107" s="1311"/>
      <c r="O107" s="1312"/>
      <c r="P107" s="1312"/>
      <c r="Q107" s="1312"/>
      <c r="R107" s="1312"/>
      <c r="S107" s="1312"/>
      <c r="T107" s="1312"/>
      <c r="U107" s="1313"/>
      <c r="V107" s="1314"/>
      <c r="W107" s="1314"/>
      <c r="X107" s="1314"/>
      <c r="Y107" s="1314"/>
      <c r="Z107" s="1314"/>
      <c r="AA107" s="1315"/>
      <c r="AB107" s="1253"/>
      <c r="AC107" s="1254"/>
    </row>
    <row r="108" spans="1:29" ht="24.95" customHeight="1" x14ac:dyDescent="0.25">
      <c r="A108" s="1351"/>
      <c r="B108" s="683">
        <v>13</v>
      </c>
      <c r="C108" s="1310"/>
      <c r="D108" s="1305" t="s">
        <v>566</v>
      </c>
      <c r="E108" s="1308">
        <f>VLOOKUP(A103,UHT_MAT,54,FALSE)</f>
        <v>0</v>
      </c>
      <c r="F108" s="1908">
        <f t="shared" si="87"/>
        <v>0</v>
      </c>
      <c r="G108" s="1308"/>
      <c r="H108" s="1309">
        <f>VLOOKUP(B103,REKAP_NILAI,21,FALSE)</f>
        <v>0</v>
      </c>
      <c r="I108" s="1371">
        <f t="shared" si="88"/>
        <v>0</v>
      </c>
      <c r="J108" s="1372">
        <f t="shared" si="89"/>
        <v>0</v>
      </c>
      <c r="K108" s="1373" t="str">
        <f t="shared" si="90"/>
        <v>1.33</v>
      </c>
      <c r="L108" s="1373" t="str">
        <f t="shared" si="91"/>
        <v>D+</v>
      </c>
      <c r="M108" s="1374" t="str">
        <f t="shared" si="92"/>
        <v>0</v>
      </c>
      <c r="N108" s="1311"/>
      <c r="O108" s="1312"/>
      <c r="P108" s="1312"/>
      <c r="Q108" s="1312"/>
      <c r="R108" s="1312"/>
      <c r="S108" s="1312"/>
      <c r="T108" s="1312"/>
      <c r="U108" s="1313"/>
      <c r="V108" s="1314"/>
      <c r="W108" s="1314"/>
      <c r="X108" s="1314"/>
      <c r="Y108" s="1314"/>
      <c r="Z108" s="1314"/>
      <c r="AA108" s="1315"/>
      <c r="AB108" s="1253"/>
      <c r="AC108" s="1254"/>
    </row>
    <row r="109" spans="1:29" ht="24.95" customHeight="1" x14ac:dyDescent="0.25">
      <c r="A109" s="1351"/>
      <c r="B109" s="683">
        <v>13</v>
      </c>
      <c r="C109" s="1310"/>
      <c r="D109" s="1305" t="s">
        <v>567</v>
      </c>
      <c r="E109" s="1308">
        <f>VLOOKUP(A103,UHT_MAT,55,FALSE)</f>
        <v>0</v>
      </c>
      <c r="F109" s="1908">
        <f t="shared" si="87"/>
        <v>0</v>
      </c>
      <c r="G109" s="1308"/>
      <c r="H109" s="1309">
        <f>VLOOKUP(B103,REKAP_NILAI,22,FALSE)</f>
        <v>0</v>
      </c>
      <c r="I109" s="1371">
        <f t="shared" si="88"/>
        <v>0</v>
      </c>
      <c r="J109" s="1372">
        <f t="shared" si="89"/>
        <v>0</v>
      </c>
      <c r="K109" s="1373" t="str">
        <f t="shared" si="90"/>
        <v>1.33</v>
      </c>
      <c r="L109" s="1373" t="str">
        <f t="shared" si="91"/>
        <v>D+</v>
      </c>
      <c r="M109" s="1374" t="str">
        <f t="shared" si="92"/>
        <v>0</v>
      </c>
      <c r="N109" s="1311"/>
      <c r="O109" s="1312"/>
      <c r="P109" s="1312"/>
      <c r="Q109" s="1312"/>
      <c r="R109" s="1312"/>
      <c r="S109" s="1312"/>
      <c r="T109" s="1312"/>
      <c r="U109" s="1313"/>
      <c r="V109" s="1314"/>
      <c r="W109" s="1314"/>
      <c r="X109" s="1314"/>
      <c r="Y109" s="1314"/>
      <c r="Z109" s="1314"/>
      <c r="AA109" s="1315"/>
      <c r="AB109" s="1255"/>
      <c r="AC109" s="1256"/>
    </row>
    <row r="110" spans="1:29" ht="24.95" customHeight="1" x14ac:dyDescent="0.3">
      <c r="A110" s="1337"/>
      <c r="B110" s="1338"/>
      <c r="C110" s="1339" t="s">
        <v>149</v>
      </c>
      <c r="D110" s="1319">
        <v>13</v>
      </c>
      <c r="E110" s="1320"/>
      <c r="F110" s="1909"/>
      <c r="G110" s="1320"/>
      <c r="H110" s="1321">
        <f>AVERAGE(H103:H109)</f>
        <v>0</v>
      </c>
      <c r="I110" s="1375"/>
      <c r="J110" s="1376">
        <f>AVERAGE(J103:J109)</f>
        <v>0</v>
      </c>
      <c r="K110" s="1377" t="str">
        <f t="shared" si="90"/>
        <v>1.33</v>
      </c>
      <c r="L110" s="1377" t="str">
        <f t="shared" si="91"/>
        <v>D+</v>
      </c>
      <c r="M110" s="1378" t="str">
        <f t="shared" si="92"/>
        <v>0</v>
      </c>
      <c r="N110" s="1347"/>
      <c r="O110" s="1348"/>
      <c r="P110" s="1348"/>
      <c r="Q110" s="1348"/>
      <c r="R110" s="1348"/>
      <c r="S110" s="1348"/>
      <c r="T110" s="1348"/>
      <c r="U110" s="1347"/>
      <c r="V110" s="1348"/>
      <c r="W110" s="1348"/>
      <c r="X110" s="1348"/>
      <c r="Y110" s="1348"/>
      <c r="Z110" s="1348"/>
      <c r="AA110" s="1349"/>
      <c r="AB110" s="1257"/>
      <c r="AC110" s="1258"/>
    </row>
    <row r="111" spans="1:29" ht="24.95" customHeight="1" thickBot="1" x14ac:dyDescent="0.3">
      <c r="A111" s="1350">
        <v>14</v>
      </c>
      <c r="B111" s="1326">
        <v>14</v>
      </c>
      <c r="C111" s="1327" t="str">
        <f>VLOOKUP(A111,data_siswa,4)</f>
        <v>Moch Zidane Hita L. U</v>
      </c>
      <c r="D111" s="1305" t="s">
        <v>10</v>
      </c>
      <c r="E111" s="1308">
        <f>VLOOKUP(A111,UHT_MAT,49,FALSE)</f>
        <v>0</v>
      </c>
      <c r="F111" s="1908">
        <f>E111*2</f>
        <v>0</v>
      </c>
      <c r="G111" s="1308"/>
      <c r="H111" s="1309">
        <f>VLOOKUP(B111,REKAP_NILAI,16,FALSE)</f>
        <v>0</v>
      </c>
      <c r="I111" s="1367">
        <f>F111+G111+H111</f>
        <v>0</v>
      </c>
      <c r="J111" s="1368">
        <f>(F111+G111+H111)/4</f>
        <v>0</v>
      </c>
      <c r="K111" s="1369" t="str">
        <f>IF(J111&gt;85,("4"),IF(J111&gt;80,("3.66"),IF(J111&gt;75,("3.33"),IF(J111&gt;70,("3.00"),IF(J111&gt;65,("2.66"),IF(J111&gt;60,("2.33"),IF(J111&gt;55,("2"),IF(J111&gt;50,("1.66"),"1.33"))))))))</f>
        <v>1.33</v>
      </c>
      <c r="L111" s="1369" t="str">
        <f>IF(J111&gt;85,("A"),IF(J111&gt;80,("A-"),IF(J111&gt;75,("B+"),IF(J111&gt;70,("B"),IF(J111&gt;65,("B-"),IF(J111&gt;60,("C+"),IF(J111&gt;55,("C"),IF(J111&gt;50,("C-"),"D+"))))))))</f>
        <v>D+</v>
      </c>
      <c r="M111" s="1370" t="str">
        <f>IF(J111&gt;80,("SB"),IF(J111&gt;65,("B"),IF(J111&gt;50,("C"),IF(J111&gt;0,("K"),"0"))))</f>
        <v>0</v>
      </c>
      <c r="N111" s="1343"/>
      <c r="O111" s="1344"/>
      <c r="P111" s="1344"/>
      <c r="Q111" s="1344"/>
      <c r="R111" s="1344"/>
      <c r="S111" s="1344"/>
      <c r="T111" s="1345"/>
      <c r="U111" s="1346"/>
      <c r="V111" s="1346"/>
      <c r="W111" s="1346"/>
      <c r="X111" s="1346"/>
      <c r="Y111" s="1346"/>
      <c r="Z111" s="1346"/>
      <c r="AA111" s="1346"/>
      <c r="AB111" s="1057">
        <f>J118</f>
        <v>0</v>
      </c>
      <c r="AC111" s="1194" t="str">
        <f>IF(AB111&gt;85,("A"),IF(AB111&gt;80,("A-"),IF(AB111&gt;75,("B+"),IF(AB111&gt;70,("B"),IF(AB111&gt;65,("B-"),IF(AB111&gt;60,("C+"),IF(AB111&gt;55,("C"),IF(AB111&gt;50,("C-"),"D+"))))))))</f>
        <v>D+</v>
      </c>
    </row>
    <row r="112" spans="1:29" ht="24.95" customHeight="1" x14ac:dyDescent="0.25">
      <c r="A112" s="1351"/>
      <c r="B112" s="683">
        <v>14</v>
      </c>
      <c r="C112" s="1310"/>
      <c r="D112" s="1305" t="s">
        <v>20</v>
      </c>
      <c r="E112" s="1308">
        <f>VLOOKUP(A111,UHT_MAT,50,FALSE)</f>
        <v>0</v>
      </c>
      <c r="F112" s="1908">
        <f t="shared" ref="F112:F117" si="93">E112*2</f>
        <v>0</v>
      </c>
      <c r="G112" s="1308"/>
      <c r="H112" s="1309">
        <f>VLOOKUP(B111,REKAP_NILAI,17,FALSE)</f>
        <v>0</v>
      </c>
      <c r="I112" s="1371">
        <f t="shared" ref="I112:I117" si="94">F112+G112+H112</f>
        <v>0</v>
      </c>
      <c r="J112" s="1372">
        <f t="shared" ref="J112:J117" si="95">(F112+G112+H112)/4</f>
        <v>0</v>
      </c>
      <c r="K112" s="1373" t="str">
        <f t="shared" ref="K112:K118" si="96">IF(J112&gt;85,("4"),IF(J112&gt;80,("3.66"),IF(J112&gt;75,("3.33"),IF(J112&gt;70,("3.00"),IF(J112&gt;65,("2.66"),IF(J112&gt;60,("2.33"),IF(J112&gt;55,("2"),IF(J112&gt;50,("1.66"),"1.33"))))))))</f>
        <v>1.33</v>
      </c>
      <c r="L112" s="1373" t="str">
        <f t="shared" ref="L112:L118" si="97">IF(J112&gt;85,("A"),IF(J112&gt;80,("A-"),IF(J112&gt;75,("B+"),IF(J112&gt;70,("B"),IF(J112&gt;65,("B-"),IF(J112&gt;60,("C+"),IF(J112&gt;55,("C"),IF(J112&gt;50,("C-"),"D+"))))))))</f>
        <v>D+</v>
      </c>
      <c r="M112" s="1374" t="str">
        <f t="shared" ref="M112:M118" si="98">IF(J112&gt;80,("SB"),IF(J112&gt;65,("B"),IF(J112&gt;50,("C"),IF(J112&gt;0,("K"),"0"))))</f>
        <v>0</v>
      </c>
      <c r="N112" s="1332"/>
      <c r="O112" s="1333"/>
      <c r="P112" s="1333"/>
      <c r="Q112" s="1333"/>
      <c r="R112" s="1333"/>
      <c r="S112" s="1333"/>
      <c r="T112" s="1333"/>
      <c r="U112" s="1334"/>
      <c r="V112" s="1335"/>
      <c r="W112" s="1335"/>
      <c r="X112" s="1335"/>
      <c r="Y112" s="1335"/>
      <c r="Z112" s="1335"/>
      <c r="AA112" s="1336"/>
      <c r="AB112" s="1251"/>
      <c r="AC112" s="1252"/>
    </row>
    <row r="113" spans="1:29" ht="24.95" customHeight="1" x14ac:dyDescent="0.25">
      <c r="A113" s="1351"/>
      <c r="B113" s="683">
        <v>14</v>
      </c>
      <c r="C113" s="1310"/>
      <c r="D113" s="1305" t="s">
        <v>19</v>
      </c>
      <c r="E113" s="1308">
        <f>VLOOKUP(A111,UHT_MAT,51,FALSE)</f>
        <v>0</v>
      </c>
      <c r="F113" s="1908">
        <f t="shared" si="93"/>
        <v>0</v>
      </c>
      <c r="G113" s="1308"/>
      <c r="H113" s="1309">
        <f>VLOOKUP(B111,REKAP_NILAI,18,FALSE)</f>
        <v>0</v>
      </c>
      <c r="I113" s="1371">
        <f t="shared" si="94"/>
        <v>0</v>
      </c>
      <c r="J113" s="1372">
        <f t="shared" si="95"/>
        <v>0</v>
      </c>
      <c r="K113" s="1373" t="str">
        <f t="shared" si="96"/>
        <v>1.33</v>
      </c>
      <c r="L113" s="1373" t="str">
        <f t="shared" si="97"/>
        <v>D+</v>
      </c>
      <c r="M113" s="1374" t="str">
        <f t="shared" si="98"/>
        <v>0</v>
      </c>
      <c r="N113" s="1311"/>
      <c r="O113" s="1312"/>
      <c r="P113" s="1312"/>
      <c r="Q113" s="1312"/>
      <c r="R113" s="1312"/>
      <c r="S113" s="1312"/>
      <c r="T113" s="1312"/>
      <c r="U113" s="1313"/>
      <c r="V113" s="1314"/>
      <c r="W113" s="1314"/>
      <c r="X113" s="1314"/>
      <c r="Y113" s="1314"/>
      <c r="Z113" s="1314"/>
      <c r="AA113" s="1315"/>
      <c r="AB113" s="1253"/>
      <c r="AC113" s="1254"/>
    </row>
    <row r="114" spans="1:29" ht="24.95" customHeight="1" x14ac:dyDescent="0.25">
      <c r="A114" s="1351"/>
      <c r="B114" s="683">
        <v>14</v>
      </c>
      <c r="C114" s="1310"/>
      <c r="D114" s="1305" t="s">
        <v>181</v>
      </c>
      <c r="E114" s="1308">
        <f>VLOOKUP(A111,UHT_MAT,52,FALSE)</f>
        <v>0</v>
      </c>
      <c r="F114" s="1908">
        <f t="shared" si="93"/>
        <v>0</v>
      </c>
      <c r="G114" s="1308"/>
      <c r="H114" s="1309">
        <f>VLOOKUP(B111,REKAP_NILAI,19,FALSE)</f>
        <v>0</v>
      </c>
      <c r="I114" s="1371">
        <f t="shared" si="94"/>
        <v>0</v>
      </c>
      <c r="J114" s="1372">
        <f t="shared" si="95"/>
        <v>0</v>
      </c>
      <c r="K114" s="1373" t="str">
        <f t="shared" si="96"/>
        <v>1.33</v>
      </c>
      <c r="L114" s="1373" t="str">
        <f t="shared" si="97"/>
        <v>D+</v>
      </c>
      <c r="M114" s="1374" t="str">
        <f t="shared" si="98"/>
        <v>0</v>
      </c>
      <c r="N114" s="1311"/>
      <c r="O114" s="1312"/>
      <c r="P114" s="1312"/>
      <c r="Q114" s="1312"/>
      <c r="R114" s="1312"/>
      <c r="S114" s="1312"/>
      <c r="T114" s="1312"/>
      <c r="U114" s="1313"/>
      <c r="V114" s="1314"/>
      <c r="W114" s="1314"/>
      <c r="X114" s="1314"/>
      <c r="Y114" s="1314"/>
      <c r="Z114" s="1314"/>
      <c r="AA114" s="1315"/>
      <c r="AB114" s="1253"/>
      <c r="AC114" s="1254"/>
    </row>
    <row r="115" spans="1:29" ht="24.95" customHeight="1" x14ac:dyDescent="0.25">
      <c r="A115" s="1351"/>
      <c r="B115" s="683">
        <v>14</v>
      </c>
      <c r="C115" s="1310"/>
      <c r="D115" s="1305" t="s">
        <v>182</v>
      </c>
      <c r="E115" s="1308">
        <f>VLOOKUP(A111,UHT_MAT,53,FALSE)</f>
        <v>0</v>
      </c>
      <c r="F115" s="1908">
        <f t="shared" si="93"/>
        <v>0</v>
      </c>
      <c r="G115" s="1308"/>
      <c r="H115" s="1309">
        <f>VLOOKUP(B111,REKAP_NILAI,20,FALSE)</f>
        <v>0</v>
      </c>
      <c r="I115" s="1371">
        <f t="shared" si="94"/>
        <v>0</v>
      </c>
      <c r="J115" s="1372">
        <f t="shared" si="95"/>
        <v>0</v>
      </c>
      <c r="K115" s="1373" t="str">
        <f t="shared" si="96"/>
        <v>1.33</v>
      </c>
      <c r="L115" s="1373" t="str">
        <f t="shared" si="97"/>
        <v>D+</v>
      </c>
      <c r="M115" s="1374" t="str">
        <f t="shared" si="98"/>
        <v>0</v>
      </c>
      <c r="N115" s="1311"/>
      <c r="O115" s="1312"/>
      <c r="P115" s="1312"/>
      <c r="Q115" s="1312"/>
      <c r="R115" s="1312"/>
      <c r="S115" s="1312"/>
      <c r="T115" s="1312"/>
      <c r="U115" s="1313"/>
      <c r="V115" s="1314"/>
      <c r="W115" s="1314"/>
      <c r="X115" s="1314"/>
      <c r="Y115" s="1314"/>
      <c r="Z115" s="1314"/>
      <c r="AA115" s="1315"/>
      <c r="AB115" s="1253"/>
      <c r="AC115" s="1254"/>
    </row>
    <row r="116" spans="1:29" ht="24.95" customHeight="1" x14ac:dyDescent="0.25">
      <c r="A116" s="1351"/>
      <c r="B116" s="683">
        <v>14</v>
      </c>
      <c r="C116" s="1310"/>
      <c r="D116" s="1305" t="s">
        <v>566</v>
      </c>
      <c r="E116" s="1308">
        <f>VLOOKUP(A111,UHT_MAT,54,FALSE)</f>
        <v>0</v>
      </c>
      <c r="F116" s="1908">
        <f t="shared" si="93"/>
        <v>0</v>
      </c>
      <c r="G116" s="1308"/>
      <c r="H116" s="1309">
        <f>VLOOKUP(B111,REKAP_NILAI,21,FALSE)</f>
        <v>0</v>
      </c>
      <c r="I116" s="1371">
        <f t="shared" si="94"/>
        <v>0</v>
      </c>
      <c r="J116" s="1372">
        <f t="shared" si="95"/>
        <v>0</v>
      </c>
      <c r="K116" s="1373" t="str">
        <f t="shared" si="96"/>
        <v>1.33</v>
      </c>
      <c r="L116" s="1373" t="str">
        <f t="shared" si="97"/>
        <v>D+</v>
      </c>
      <c r="M116" s="1374" t="str">
        <f t="shared" si="98"/>
        <v>0</v>
      </c>
      <c r="N116" s="1311"/>
      <c r="O116" s="1312"/>
      <c r="P116" s="1312"/>
      <c r="Q116" s="1312"/>
      <c r="R116" s="1312"/>
      <c r="S116" s="1312"/>
      <c r="T116" s="1312"/>
      <c r="U116" s="1313"/>
      <c r="V116" s="1314"/>
      <c r="W116" s="1314"/>
      <c r="X116" s="1314"/>
      <c r="Y116" s="1314"/>
      <c r="Z116" s="1314"/>
      <c r="AA116" s="1315"/>
      <c r="AB116" s="1253"/>
      <c r="AC116" s="1254"/>
    </row>
    <row r="117" spans="1:29" ht="24.95" customHeight="1" x14ac:dyDescent="0.25">
      <c r="A117" s="1351"/>
      <c r="B117" s="683">
        <v>14</v>
      </c>
      <c r="C117" s="1310"/>
      <c r="D117" s="1305" t="s">
        <v>567</v>
      </c>
      <c r="E117" s="1308">
        <f>VLOOKUP(A111,UHT_MAT,55,FALSE)</f>
        <v>0</v>
      </c>
      <c r="F117" s="1908">
        <f t="shared" si="93"/>
        <v>0</v>
      </c>
      <c r="G117" s="1308"/>
      <c r="H117" s="1309">
        <f>VLOOKUP(B111,REKAP_NILAI,22,FALSE)</f>
        <v>0</v>
      </c>
      <c r="I117" s="1371">
        <f t="shared" si="94"/>
        <v>0</v>
      </c>
      <c r="J117" s="1372">
        <f t="shared" si="95"/>
        <v>0</v>
      </c>
      <c r="K117" s="1373" t="str">
        <f t="shared" si="96"/>
        <v>1.33</v>
      </c>
      <c r="L117" s="1373" t="str">
        <f t="shared" si="97"/>
        <v>D+</v>
      </c>
      <c r="M117" s="1374" t="str">
        <f t="shared" si="98"/>
        <v>0</v>
      </c>
      <c r="N117" s="1311"/>
      <c r="O117" s="1312"/>
      <c r="P117" s="1312"/>
      <c r="Q117" s="1312"/>
      <c r="R117" s="1312"/>
      <c r="S117" s="1312"/>
      <c r="T117" s="1312"/>
      <c r="U117" s="1313"/>
      <c r="V117" s="1314"/>
      <c r="W117" s="1314"/>
      <c r="X117" s="1314"/>
      <c r="Y117" s="1314"/>
      <c r="Z117" s="1314"/>
      <c r="AA117" s="1315"/>
      <c r="AB117" s="1255"/>
      <c r="AC117" s="1256"/>
    </row>
    <row r="118" spans="1:29" ht="24.95" customHeight="1" x14ac:dyDescent="0.3">
      <c r="A118" s="1337"/>
      <c r="B118" s="1338"/>
      <c r="C118" s="1339" t="s">
        <v>149</v>
      </c>
      <c r="D118" s="1319">
        <v>14</v>
      </c>
      <c r="E118" s="1320"/>
      <c r="F118" s="1909"/>
      <c r="G118" s="1320"/>
      <c r="H118" s="1321">
        <f>AVERAGE(H111:H117)</f>
        <v>0</v>
      </c>
      <c r="I118" s="1375"/>
      <c r="J118" s="1376">
        <f>AVERAGE(J111:J117)</f>
        <v>0</v>
      </c>
      <c r="K118" s="1377" t="str">
        <f t="shared" si="96"/>
        <v>1.33</v>
      </c>
      <c r="L118" s="1377" t="str">
        <f t="shared" si="97"/>
        <v>D+</v>
      </c>
      <c r="M118" s="1378" t="str">
        <f t="shared" si="98"/>
        <v>0</v>
      </c>
      <c r="N118" s="1347"/>
      <c r="O118" s="1348"/>
      <c r="P118" s="1348"/>
      <c r="Q118" s="1348"/>
      <c r="R118" s="1348"/>
      <c r="S118" s="1348"/>
      <c r="T118" s="1348"/>
      <c r="U118" s="1347"/>
      <c r="V118" s="1348"/>
      <c r="W118" s="1348"/>
      <c r="X118" s="1348"/>
      <c r="Y118" s="1348"/>
      <c r="Z118" s="1348"/>
      <c r="AA118" s="1349"/>
      <c r="AB118" s="1257"/>
      <c r="AC118" s="1258"/>
    </row>
    <row r="119" spans="1:29" ht="24.95" customHeight="1" thickBot="1" x14ac:dyDescent="0.3">
      <c r="A119" s="1325">
        <v>15</v>
      </c>
      <c r="B119" s="1326">
        <v>15</v>
      </c>
      <c r="C119" s="1327" t="str">
        <f>VLOOKUP(A119,data_siswa,4)</f>
        <v>Muhammad Ibra Maulana</v>
      </c>
      <c r="D119" s="1305" t="s">
        <v>10</v>
      </c>
      <c r="E119" s="1308">
        <f>VLOOKUP(A119,UHT_MAT,49,FALSE)</f>
        <v>0</v>
      </c>
      <c r="F119" s="1908">
        <f>E119*2</f>
        <v>0</v>
      </c>
      <c r="G119" s="1308"/>
      <c r="H119" s="1309">
        <f>VLOOKUP(B119,REKAP_NILAI,16,FALSE)</f>
        <v>0</v>
      </c>
      <c r="I119" s="1367">
        <f>F119+G119+H119</f>
        <v>0</v>
      </c>
      <c r="J119" s="1368">
        <f>(F119+G119+H119)/4</f>
        <v>0</v>
      </c>
      <c r="K119" s="1369" t="str">
        <f>IF(J119&gt;85,("4"),IF(J119&gt;80,("3.66"),IF(J119&gt;75,("3.33"),IF(J119&gt;70,("3.00"),IF(J119&gt;65,("2.66"),IF(J119&gt;60,("2.33"),IF(J119&gt;55,("2"),IF(J119&gt;50,("1.66"),"1.33"))))))))</f>
        <v>1.33</v>
      </c>
      <c r="L119" s="1369" t="str">
        <f>IF(J119&gt;85,("A"),IF(J119&gt;80,("A-"),IF(J119&gt;75,("B+"),IF(J119&gt;70,("B"),IF(J119&gt;65,("B-"),IF(J119&gt;60,("C+"),IF(J119&gt;55,("C"),IF(J119&gt;50,("C-"),"D+"))))))))</f>
        <v>D+</v>
      </c>
      <c r="M119" s="1370" t="str">
        <f>IF(J119&gt;80,("SB"),IF(J119&gt;65,("B"),IF(J119&gt;50,("C"),IF(J119&gt;0,("K"),"0"))))</f>
        <v>0</v>
      </c>
      <c r="N119" s="1343"/>
      <c r="O119" s="1344"/>
      <c r="P119" s="1344"/>
      <c r="Q119" s="1344"/>
      <c r="R119" s="1344"/>
      <c r="S119" s="1344"/>
      <c r="T119" s="1345"/>
      <c r="U119" s="1346"/>
      <c r="V119" s="1346"/>
      <c r="W119" s="1346"/>
      <c r="X119" s="1346"/>
      <c r="Y119" s="1346"/>
      <c r="Z119" s="1346"/>
      <c r="AA119" s="1346"/>
      <c r="AB119" s="1057">
        <f>J126</f>
        <v>0</v>
      </c>
      <c r="AC119" s="1194" t="str">
        <f>IF(AB119&gt;85,("A"),IF(AB119&gt;80,("A-"),IF(AB119&gt;75,("B+"),IF(AB119&gt;70,("B"),IF(AB119&gt;65,("B-"),IF(AB119&gt;60,("C+"),IF(AB119&gt;55,("C"),IF(AB119&gt;50,("C-"),"D+"))))))))</f>
        <v>D+</v>
      </c>
    </row>
    <row r="120" spans="1:29" ht="24.95" customHeight="1" x14ac:dyDescent="0.25">
      <c r="A120" s="1306"/>
      <c r="B120" s="683">
        <v>15</v>
      </c>
      <c r="C120" s="1310"/>
      <c r="D120" s="1305" t="s">
        <v>20</v>
      </c>
      <c r="E120" s="1308">
        <f>VLOOKUP(A119,UHT_MAT,50,FALSE)</f>
        <v>0</v>
      </c>
      <c r="F120" s="1908">
        <f t="shared" ref="F120:F125" si="99">E120*2</f>
        <v>0</v>
      </c>
      <c r="G120" s="1308"/>
      <c r="H120" s="1309">
        <f>VLOOKUP(B119,REKAP_NILAI,17,FALSE)</f>
        <v>0</v>
      </c>
      <c r="I120" s="1371">
        <f t="shared" ref="I120:I125" si="100">F120+G120+H120</f>
        <v>0</v>
      </c>
      <c r="J120" s="1372">
        <f t="shared" ref="J120:J125" si="101">(F120+G120+H120)/4</f>
        <v>0</v>
      </c>
      <c r="K120" s="1373" t="str">
        <f t="shared" ref="K120:K125" si="102">IF(J120&gt;85,("4"),IF(J120&gt;80,("3.66"),IF(J120&gt;75,("3.33"),IF(J120&gt;70,("3.00"),IF(J120&gt;65,("2.66"),IF(J120&gt;60,("2.33"),IF(J120&gt;55,("2"),IF(J120&gt;50,("1.66"),"1.33"))))))))</f>
        <v>1.33</v>
      </c>
      <c r="L120" s="1373" t="str">
        <f t="shared" ref="L120:L125" si="103">IF(J120&gt;85,("A"),IF(J120&gt;80,("A-"),IF(J120&gt;75,("B+"),IF(J120&gt;70,("B"),IF(J120&gt;65,("B-"),IF(J120&gt;60,("C+"),IF(J120&gt;55,("C"),IF(J120&gt;50,("C-"),"D+"))))))))</f>
        <v>D+</v>
      </c>
      <c r="M120" s="1374" t="str">
        <f t="shared" ref="M120:M125" si="104">IF(J120&gt;80,("SB"),IF(J120&gt;65,("B"),IF(J120&gt;50,("C"),IF(J120&gt;0,("K"),"0"))))</f>
        <v>0</v>
      </c>
      <c r="N120" s="1332"/>
      <c r="O120" s="1333"/>
      <c r="P120" s="1333"/>
      <c r="Q120" s="1333"/>
      <c r="R120" s="1333"/>
      <c r="S120" s="1333"/>
      <c r="T120" s="1333"/>
      <c r="U120" s="1334"/>
      <c r="V120" s="1335"/>
      <c r="W120" s="1335"/>
      <c r="X120" s="1335"/>
      <c r="Y120" s="1335"/>
      <c r="Z120" s="1335"/>
      <c r="AA120" s="1336"/>
      <c r="AB120" s="1251"/>
      <c r="AC120" s="1252"/>
    </row>
    <row r="121" spans="1:29" ht="24.95" customHeight="1" x14ac:dyDescent="0.25">
      <c r="A121" s="1306"/>
      <c r="B121" s="683">
        <v>15</v>
      </c>
      <c r="C121" s="1310"/>
      <c r="D121" s="1305" t="s">
        <v>19</v>
      </c>
      <c r="E121" s="1308">
        <f>VLOOKUP(A119,UHT_MAT,51,FALSE)</f>
        <v>0</v>
      </c>
      <c r="F121" s="1908">
        <f t="shared" si="99"/>
        <v>0</v>
      </c>
      <c r="G121" s="1308"/>
      <c r="H121" s="1309">
        <f>VLOOKUP(B119,REKAP_NILAI,18,FALSE)</f>
        <v>0</v>
      </c>
      <c r="I121" s="1371">
        <f t="shared" si="100"/>
        <v>0</v>
      </c>
      <c r="J121" s="1372">
        <f t="shared" si="101"/>
        <v>0</v>
      </c>
      <c r="K121" s="1373" t="str">
        <f t="shared" si="102"/>
        <v>1.33</v>
      </c>
      <c r="L121" s="1373" t="str">
        <f t="shared" si="103"/>
        <v>D+</v>
      </c>
      <c r="M121" s="1374" t="str">
        <f t="shared" si="104"/>
        <v>0</v>
      </c>
      <c r="N121" s="1311"/>
      <c r="O121" s="1312"/>
      <c r="P121" s="1312"/>
      <c r="Q121" s="1312"/>
      <c r="R121" s="1312"/>
      <c r="S121" s="1312"/>
      <c r="T121" s="1312"/>
      <c r="U121" s="1313"/>
      <c r="V121" s="1314"/>
      <c r="W121" s="1314"/>
      <c r="X121" s="1314"/>
      <c r="Y121" s="1314"/>
      <c r="Z121" s="1314"/>
      <c r="AA121" s="1315"/>
      <c r="AB121" s="1253"/>
      <c r="AC121" s="1254"/>
    </row>
    <row r="122" spans="1:29" ht="24.95" customHeight="1" x14ac:dyDescent="0.25">
      <c r="A122" s="1306"/>
      <c r="B122" s="683">
        <v>15</v>
      </c>
      <c r="C122" s="1310"/>
      <c r="D122" s="1305" t="s">
        <v>181</v>
      </c>
      <c r="E122" s="1308">
        <f>VLOOKUP(A119,UHT_MAT,52,FALSE)</f>
        <v>0</v>
      </c>
      <c r="F122" s="1908">
        <f t="shared" si="99"/>
        <v>0</v>
      </c>
      <c r="G122" s="1308"/>
      <c r="H122" s="1309">
        <f>VLOOKUP(B119,REKAP_NILAI,19,FALSE)</f>
        <v>0</v>
      </c>
      <c r="I122" s="1371">
        <f t="shared" si="100"/>
        <v>0</v>
      </c>
      <c r="J122" s="1372">
        <f t="shared" si="101"/>
        <v>0</v>
      </c>
      <c r="K122" s="1373" t="str">
        <f t="shared" si="102"/>
        <v>1.33</v>
      </c>
      <c r="L122" s="1373" t="str">
        <f t="shared" si="103"/>
        <v>D+</v>
      </c>
      <c r="M122" s="1374" t="str">
        <f t="shared" si="104"/>
        <v>0</v>
      </c>
      <c r="N122" s="1311"/>
      <c r="O122" s="1312"/>
      <c r="P122" s="1312"/>
      <c r="Q122" s="1312"/>
      <c r="R122" s="1312"/>
      <c r="S122" s="1312"/>
      <c r="T122" s="1312"/>
      <c r="U122" s="1313"/>
      <c r="V122" s="1314"/>
      <c r="W122" s="1314"/>
      <c r="X122" s="1314"/>
      <c r="Y122" s="1314"/>
      <c r="Z122" s="1314"/>
      <c r="AA122" s="1315"/>
      <c r="AB122" s="1253"/>
      <c r="AC122" s="1254"/>
    </row>
    <row r="123" spans="1:29" ht="24.95" customHeight="1" x14ac:dyDescent="0.25">
      <c r="A123" s="1306"/>
      <c r="B123" s="683">
        <v>15</v>
      </c>
      <c r="C123" s="1310"/>
      <c r="D123" s="1305" t="s">
        <v>182</v>
      </c>
      <c r="E123" s="1308">
        <f>VLOOKUP(A119,UHT_MAT,53,FALSE)</f>
        <v>0</v>
      </c>
      <c r="F123" s="1908">
        <f t="shared" si="99"/>
        <v>0</v>
      </c>
      <c r="G123" s="1308"/>
      <c r="H123" s="1309">
        <f>VLOOKUP(B119,REKAP_NILAI,20,FALSE)</f>
        <v>0</v>
      </c>
      <c r="I123" s="1371">
        <f t="shared" si="100"/>
        <v>0</v>
      </c>
      <c r="J123" s="1372">
        <f t="shared" si="101"/>
        <v>0</v>
      </c>
      <c r="K123" s="1373" t="str">
        <f t="shared" si="102"/>
        <v>1.33</v>
      </c>
      <c r="L123" s="1373" t="str">
        <f t="shared" si="103"/>
        <v>D+</v>
      </c>
      <c r="M123" s="1374" t="str">
        <f t="shared" si="104"/>
        <v>0</v>
      </c>
      <c r="N123" s="1311"/>
      <c r="O123" s="1312"/>
      <c r="P123" s="1312"/>
      <c r="Q123" s="1312"/>
      <c r="R123" s="1312"/>
      <c r="S123" s="1312"/>
      <c r="T123" s="1312"/>
      <c r="U123" s="1313"/>
      <c r="V123" s="1314"/>
      <c r="W123" s="1314"/>
      <c r="X123" s="1314"/>
      <c r="Y123" s="1314"/>
      <c r="Z123" s="1314"/>
      <c r="AA123" s="1315"/>
      <c r="AB123" s="1253"/>
      <c r="AC123" s="1254"/>
    </row>
    <row r="124" spans="1:29" ht="24.95" customHeight="1" x14ac:dyDescent="0.25">
      <c r="A124" s="1306"/>
      <c r="B124" s="683">
        <v>15</v>
      </c>
      <c r="C124" s="1310"/>
      <c r="D124" s="1305" t="s">
        <v>566</v>
      </c>
      <c r="E124" s="1308">
        <f>VLOOKUP(A119,UHT_MAT,54,FALSE)</f>
        <v>0</v>
      </c>
      <c r="F124" s="1908">
        <f t="shared" si="99"/>
        <v>0</v>
      </c>
      <c r="G124" s="1308"/>
      <c r="H124" s="1309">
        <f>VLOOKUP(B119,REKAP_NILAI,21,FALSE)</f>
        <v>0</v>
      </c>
      <c r="I124" s="1371">
        <f t="shared" si="100"/>
        <v>0</v>
      </c>
      <c r="J124" s="1372">
        <f t="shared" si="101"/>
        <v>0</v>
      </c>
      <c r="K124" s="1373" t="str">
        <f t="shared" si="102"/>
        <v>1.33</v>
      </c>
      <c r="L124" s="1373" t="str">
        <f t="shared" si="103"/>
        <v>D+</v>
      </c>
      <c r="M124" s="1374" t="str">
        <f t="shared" si="104"/>
        <v>0</v>
      </c>
      <c r="N124" s="1311"/>
      <c r="O124" s="1312"/>
      <c r="P124" s="1312"/>
      <c r="Q124" s="1312"/>
      <c r="R124" s="1312"/>
      <c r="S124" s="1312"/>
      <c r="T124" s="1312"/>
      <c r="U124" s="1313"/>
      <c r="V124" s="1314"/>
      <c r="W124" s="1314"/>
      <c r="X124" s="1314"/>
      <c r="Y124" s="1314"/>
      <c r="Z124" s="1314"/>
      <c r="AA124" s="1315"/>
      <c r="AB124" s="1253"/>
      <c r="AC124" s="1254"/>
    </row>
    <row r="125" spans="1:29" ht="24.95" customHeight="1" x14ac:dyDescent="0.25">
      <c r="A125" s="1306"/>
      <c r="B125" s="683">
        <v>15</v>
      </c>
      <c r="C125" s="1310"/>
      <c r="D125" s="1305" t="s">
        <v>567</v>
      </c>
      <c r="E125" s="1308">
        <f>VLOOKUP(A119,UHT_MAT,55,FALSE)</f>
        <v>0</v>
      </c>
      <c r="F125" s="1908">
        <f t="shared" si="99"/>
        <v>0</v>
      </c>
      <c r="G125" s="1308"/>
      <c r="H125" s="1309">
        <f>VLOOKUP(B119,REKAP_NILAI,22,FALSE)</f>
        <v>0</v>
      </c>
      <c r="I125" s="1371">
        <f t="shared" si="100"/>
        <v>0</v>
      </c>
      <c r="J125" s="1372">
        <f t="shared" si="101"/>
        <v>0</v>
      </c>
      <c r="K125" s="1373" t="str">
        <f t="shared" si="102"/>
        <v>1.33</v>
      </c>
      <c r="L125" s="1373" t="str">
        <f t="shared" si="103"/>
        <v>D+</v>
      </c>
      <c r="M125" s="1374" t="str">
        <f t="shared" si="104"/>
        <v>0</v>
      </c>
      <c r="N125" s="1311"/>
      <c r="O125" s="1312"/>
      <c r="P125" s="1312"/>
      <c r="Q125" s="1312"/>
      <c r="R125" s="1312"/>
      <c r="S125" s="1312"/>
      <c r="T125" s="1312"/>
      <c r="U125" s="1313"/>
      <c r="V125" s="1314"/>
      <c r="W125" s="1314"/>
      <c r="X125" s="1314"/>
      <c r="Y125" s="1314"/>
      <c r="Z125" s="1314"/>
      <c r="AA125" s="1315"/>
      <c r="AB125" s="1255"/>
      <c r="AC125" s="1256"/>
    </row>
    <row r="126" spans="1:29" ht="24.95" customHeight="1" x14ac:dyDescent="0.3">
      <c r="A126" s="1337"/>
      <c r="B126" s="1338"/>
      <c r="C126" s="1339" t="s">
        <v>149</v>
      </c>
      <c r="D126" s="1319">
        <v>15</v>
      </c>
      <c r="E126" s="1320"/>
      <c r="F126" s="1909"/>
      <c r="G126" s="1320"/>
      <c r="H126" s="1321">
        <f>AVERAGE(H119:H125)</f>
        <v>0</v>
      </c>
      <c r="I126" s="1375"/>
      <c r="J126" s="1376">
        <f>AVERAGE(J119:J125)</f>
        <v>0</v>
      </c>
      <c r="K126" s="1377" t="str">
        <f t="shared" ref="K126" si="105">IF(J126&gt;85,("4"),IF(J126&gt;80,("3.66"),IF(J126&gt;75,("3.33"),IF(J126&gt;70,("3.00"),IF(J126&gt;65,("2.66"),IF(J126&gt;60,("2.33"),IF(J126&gt;55,("2"),IF(J126&gt;50,("1.66"),"1.33"))))))))</f>
        <v>1.33</v>
      </c>
      <c r="L126" s="1377" t="str">
        <f t="shared" ref="L126" si="106">IF(J126&gt;85,("A"),IF(J126&gt;80,("A-"),IF(J126&gt;75,("B+"),IF(J126&gt;70,("B"),IF(J126&gt;65,("B-"),IF(J126&gt;60,("C+"),IF(J126&gt;55,("C"),IF(J126&gt;50,("C-"),"D+"))))))))</f>
        <v>D+</v>
      </c>
      <c r="M126" s="1378" t="str">
        <f t="shared" ref="M126" si="107">IF(J126&gt;80,("SB"),IF(J126&gt;65,("B"),IF(J126&gt;50,("C"),IF(J126&gt;0,("K"),"0"))))</f>
        <v>0</v>
      </c>
      <c r="N126" s="1347"/>
      <c r="O126" s="1348"/>
      <c r="P126" s="1348"/>
      <c r="Q126" s="1348"/>
      <c r="R126" s="1348"/>
      <c r="S126" s="1348"/>
      <c r="T126" s="1348"/>
      <c r="U126" s="1347"/>
      <c r="V126" s="1348"/>
      <c r="W126" s="1348"/>
      <c r="X126" s="1348"/>
      <c r="Y126" s="1348"/>
      <c r="Z126" s="1348"/>
      <c r="AA126" s="1349"/>
      <c r="AB126" s="1257"/>
      <c r="AC126" s="1258"/>
    </row>
    <row r="127" spans="1:29" ht="24.95" customHeight="1" thickBot="1" x14ac:dyDescent="0.3">
      <c r="A127" s="1325">
        <v>16</v>
      </c>
      <c r="B127" s="1326">
        <v>16</v>
      </c>
      <c r="C127" s="1327" t="str">
        <f>VLOOKUP(A127,data_siswa,4)</f>
        <v>Nabilla Shiva Putri</v>
      </c>
      <c r="D127" s="1305" t="s">
        <v>10</v>
      </c>
      <c r="E127" s="1308">
        <f>VLOOKUP(A127,UHT_MAT,49,FALSE)</f>
        <v>0</v>
      </c>
      <c r="F127" s="1908">
        <f>E127*2</f>
        <v>0</v>
      </c>
      <c r="G127" s="1308"/>
      <c r="H127" s="1309">
        <f>VLOOKUP(B127,REKAP_NILAI,16,FALSE)</f>
        <v>0</v>
      </c>
      <c r="I127" s="1367">
        <f>F127+G127+H127</f>
        <v>0</v>
      </c>
      <c r="J127" s="1368">
        <f>(F127+G127+H127)/4</f>
        <v>0</v>
      </c>
      <c r="K127" s="1369" t="str">
        <f>IF(J127&gt;85,("4"),IF(J127&gt;80,("3.66"),IF(J127&gt;75,("3.33"),IF(J127&gt;70,("3.00"),IF(J127&gt;65,("2.66"),IF(J127&gt;60,("2.33"),IF(J127&gt;55,("2"),IF(J127&gt;50,("1.66"),"1.33"))))))))</f>
        <v>1.33</v>
      </c>
      <c r="L127" s="1369" t="str">
        <f>IF(J127&gt;85,("A"),IF(J127&gt;80,("A-"),IF(J127&gt;75,("B+"),IF(J127&gt;70,("B"),IF(J127&gt;65,("B-"),IF(J127&gt;60,("C+"),IF(J127&gt;55,("C"),IF(J127&gt;50,("C-"),"D+"))))))))</f>
        <v>D+</v>
      </c>
      <c r="M127" s="1370" t="str">
        <f>IF(J127&gt;80,("SB"),IF(J127&gt;65,("B"),IF(J127&gt;50,("C"),IF(J127&gt;0,("K"),"0"))))</f>
        <v>0</v>
      </c>
      <c r="N127" s="1343"/>
      <c r="O127" s="1344"/>
      <c r="P127" s="1344"/>
      <c r="Q127" s="1344"/>
      <c r="R127" s="1344"/>
      <c r="S127" s="1344"/>
      <c r="T127" s="1345"/>
      <c r="U127" s="1346"/>
      <c r="V127" s="1346"/>
      <c r="W127" s="1346"/>
      <c r="X127" s="1346"/>
      <c r="Y127" s="1346"/>
      <c r="Z127" s="1346"/>
      <c r="AA127" s="1346"/>
      <c r="AB127" s="1057">
        <f>J134</f>
        <v>0</v>
      </c>
      <c r="AC127" s="1194" t="str">
        <f>IF(AB127&gt;85,("A"),IF(AB127&gt;80,("A-"),IF(AB127&gt;75,("B+"),IF(AB127&gt;70,("B"),IF(AB127&gt;65,("B-"),IF(AB127&gt;60,("C+"),IF(AB127&gt;55,("C"),IF(AB127&gt;50,("C-"),"D+"))))))))</f>
        <v>D+</v>
      </c>
    </row>
    <row r="128" spans="1:29" ht="24.95" customHeight="1" x14ac:dyDescent="0.25">
      <c r="A128" s="1306"/>
      <c r="B128" s="683">
        <v>16</v>
      </c>
      <c r="C128" s="1310"/>
      <c r="D128" s="1305" t="s">
        <v>20</v>
      </c>
      <c r="E128" s="1308">
        <f>VLOOKUP(A127,UHT_MAT,50,FALSE)</f>
        <v>0</v>
      </c>
      <c r="F128" s="1908">
        <f t="shared" ref="F128:F133" si="108">E128*2</f>
        <v>0</v>
      </c>
      <c r="G128" s="1308"/>
      <c r="H128" s="1309">
        <f>VLOOKUP(B127,REKAP_NILAI,17,FALSE)</f>
        <v>0</v>
      </c>
      <c r="I128" s="1371">
        <f t="shared" ref="I128:I133" si="109">F128+G128+H128</f>
        <v>0</v>
      </c>
      <c r="J128" s="1372">
        <f t="shared" ref="J128:J133" si="110">(F128+G128+H128)/4</f>
        <v>0</v>
      </c>
      <c r="K128" s="1373" t="str">
        <f t="shared" ref="K128:K134" si="111">IF(J128&gt;85,("4"),IF(J128&gt;80,("3.66"),IF(J128&gt;75,("3.33"),IF(J128&gt;70,("3.00"),IF(J128&gt;65,("2.66"),IF(J128&gt;60,("2.33"),IF(J128&gt;55,("2"),IF(J128&gt;50,("1.66"),"1.33"))))))))</f>
        <v>1.33</v>
      </c>
      <c r="L128" s="1373" t="str">
        <f t="shared" ref="L128:L134" si="112">IF(J128&gt;85,("A"),IF(J128&gt;80,("A-"),IF(J128&gt;75,("B+"),IF(J128&gt;70,("B"),IF(J128&gt;65,("B-"),IF(J128&gt;60,("C+"),IF(J128&gt;55,("C"),IF(J128&gt;50,("C-"),"D+"))))))))</f>
        <v>D+</v>
      </c>
      <c r="M128" s="1374" t="str">
        <f t="shared" ref="M128:M134" si="113">IF(J128&gt;80,("SB"),IF(J128&gt;65,("B"),IF(J128&gt;50,("C"),IF(J128&gt;0,("K"),"0"))))</f>
        <v>0</v>
      </c>
      <c r="N128" s="1332"/>
      <c r="O128" s="1333"/>
      <c r="P128" s="1333"/>
      <c r="Q128" s="1333"/>
      <c r="R128" s="1333"/>
      <c r="S128" s="1333"/>
      <c r="T128" s="1333"/>
      <c r="U128" s="1334"/>
      <c r="V128" s="1335"/>
      <c r="W128" s="1335"/>
      <c r="X128" s="1335"/>
      <c r="Y128" s="1335"/>
      <c r="Z128" s="1335"/>
      <c r="AA128" s="1336"/>
      <c r="AB128" s="1251"/>
      <c r="AC128" s="1252"/>
    </row>
    <row r="129" spans="1:29" ht="24.95" customHeight="1" x14ac:dyDescent="0.25">
      <c r="A129" s="1306"/>
      <c r="B129" s="683">
        <v>16</v>
      </c>
      <c r="C129" s="1310"/>
      <c r="D129" s="1305" t="s">
        <v>19</v>
      </c>
      <c r="E129" s="1308">
        <f>VLOOKUP(A127,UHT_MAT,51,FALSE)</f>
        <v>0</v>
      </c>
      <c r="F129" s="1908">
        <f t="shared" si="108"/>
        <v>0</v>
      </c>
      <c r="G129" s="1308"/>
      <c r="H129" s="1309">
        <f>VLOOKUP(B127,REKAP_NILAI,18,FALSE)</f>
        <v>0</v>
      </c>
      <c r="I129" s="1371">
        <f t="shared" si="109"/>
        <v>0</v>
      </c>
      <c r="J129" s="1372">
        <f t="shared" si="110"/>
        <v>0</v>
      </c>
      <c r="K129" s="1373" t="str">
        <f t="shared" si="111"/>
        <v>1.33</v>
      </c>
      <c r="L129" s="1373" t="str">
        <f t="shared" si="112"/>
        <v>D+</v>
      </c>
      <c r="M129" s="1374" t="str">
        <f t="shared" si="113"/>
        <v>0</v>
      </c>
      <c r="N129" s="1311"/>
      <c r="O129" s="1312"/>
      <c r="P129" s="1312"/>
      <c r="Q129" s="1312"/>
      <c r="R129" s="1312"/>
      <c r="S129" s="1312"/>
      <c r="T129" s="1312"/>
      <c r="U129" s="1313"/>
      <c r="V129" s="1314"/>
      <c r="W129" s="1314"/>
      <c r="X129" s="1314"/>
      <c r="Y129" s="1314"/>
      <c r="Z129" s="1314"/>
      <c r="AA129" s="1315"/>
      <c r="AB129" s="1253"/>
      <c r="AC129" s="1254"/>
    </row>
    <row r="130" spans="1:29" ht="24.95" customHeight="1" x14ac:dyDescent="0.25">
      <c r="A130" s="1306"/>
      <c r="B130" s="683">
        <v>16</v>
      </c>
      <c r="C130" s="1310"/>
      <c r="D130" s="1305" t="s">
        <v>181</v>
      </c>
      <c r="E130" s="1308">
        <f>VLOOKUP(A127,UHT_MAT,52,FALSE)</f>
        <v>0</v>
      </c>
      <c r="F130" s="1908">
        <f t="shared" si="108"/>
        <v>0</v>
      </c>
      <c r="G130" s="1308"/>
      <c r="H130" s="1309">
        <f>VLOOKUP(B127,REKAP_NILAI,19,FALSE)</f>
        <v>0</v>
      </c>
      <c r="I130" s="1371">
        <f t="shared" si="109"/>
        <v>0</v>
      </c>
      <c r="J130" s="1372">
        <f t="shared" si="110"/>
        <v>0</v>
      </c>
      <c r="K130" s="1373" t="str">
        <f t="shared" si="111"/>
        <v>1.33</v>
      </c>
      <c r="L130" s="1373" t="str">
        <f t="shared" si="112"/>
        <v>D+</v>
      </c>
      <c r="M130" s="1374" t="str">
        <f t="shared" si="113"/>
        <v>0</v>
      </c>
      <c r="N130" s="1311"/>
      <c r="O130" s="1312"/>
      <c r="P130" s="1312"/>
      <c r="Q130" s="1312"/>
      <c r="R130" s="1312"/>
      <c r="S130" s="1312"/>
      <c r="T130" s="1312"/>
      <c r="U130" s="1313"/>
      <c r="V130" s="1314"/>
      <c r="W130" s="1314"/>
      <c r="X130" s="1314"/>
      <c r="Y130" s="1314"/>
      <c r="Z130" s="1314"/>
      <c r="AA130" s="1315"/>
      <c r="AB130" s="1253"/>
      <c r="AC130" s="1254"/>
    </row>
    <row r="131" spans="1:29" ht="24.95" customHeight="1" x14ac:dyDescent="0.25">
      <c r="A131" s="1306"/>
      <c r="B131" s="683">
        <v>16</v>
      </c>
      <c r="C131" s="1310"/>
      <c r="D131" s="1305" t="s">
        <v>182</v>
      </c>
      <c r="E131" s="1308">
        <f>VLOOKUP(A127,UHT_MAT,53,FALSE)</f>
        <v>0</v>
      </c>
      <c r="F131" s="1908">
        <f t="shared" si="108"/>
        <v>0</v>
      </c>
      <c r="G131" s="1308"/>
      <c r="H131" s="1309">
        <f>VLOOKUP(B127,REKAP_NILAI,20,FALSE)</f>
        <v>0</v>
      </c>
      <c r="I131" s="1371">
        <f t="shared" si="109"/>
        <v>0</v>
      </c>
      <c r="J131" s="1372">
        <f t="shared" si="110"/>
        <v>0</v>
      </c>
      <c r="K131" s="1373" t="str">
        <f t="shared" si="111"/>
        <v>1.33</v>
      </c>
      <c r="L131" s="1373" t="str">
        <f t="shared" si="112"/>
        <v>D+</v>
      </c>
      <c r="M131" s="1374" t="str">
        <f t="shared" si="113"/>
        <v>0</v>
      </c>
      <c r="N131" s="1311"/>
      <c r="O131" s="1312"/>
      <c r="P131" s="1312"/>
      <c r="Q131" s="1312"/>
      <c r="R131" s="1312"/>
      <c r="S131" s="1312"/>
      <c r="T131" s="1312"/>
      <c r="U131" s="1313"/>
      <c r="V131" s="1314"/>
      <c r="W131" s="1314"/>
      <c r="X131" s="1314"/>
      <c r="Y131" s="1314"/>
      <c r="Z131" s="1314"/>
      <c r="AA131" s="1315"/>
      <c r="AB131" s="1253"/>
      <c r="AC131" s="1254"/>
    </row>
    <row r="132" spans="1:29" ht="24.95" customHeight="1" x14ac:dyDescent="0.25">
      <c r="A132" s="1306"/>
      <c r="B132" s="683">
        <v>16</v>
      </c>
      <c r="C132" s="1310"/>
      <c r="D132" s="1305" t="s">
        <v>566</v>
      </c>
      <c r="E132" s="1308">
        <f>VLOOKUP(A127,UHT_MAT,54,FALSE)</f>
        <v>0</v>
      </c>
      <c r="F132" s="1908">
        <f t="shared" si="108"/>
        <v>0</v>
      </c>
      <c r="G132" s="1308"/>
      <c r="H132" s="1309">
        <f>VLOOKUP(B127,REKAP_NILAI,21,FALSE)</f>
        <v>0</v>
      </c>
      <c r="I132" s="1371">
        <f t="shared" si="109"/>
        <v>0</v>
      </c>
      <c r="J132" s="1372">
        <f t="shared" si="110"/>
        <v>0</v>
      </c>
      <c r="K132" s="1373" t="str">
        <f t="shared" si="111"/>
        <v>1.33</v>
      </c>
      <c r="L132" s="1373" t="str">
        <f t="shared" si="112"/>
        <v>D+</v>
      </c>
      <c r="M132" s="1374" t="str">
        <f t="shared" si="113"/>
        <v>0</v>
      </c>
      <c r="N132" s="1311"/>
      <c r="O132" s="1312"/>
      <c r="P132" s="1312"/>
      <c r="Q132" s="1312"/>
      <c r="R132" s="1312"/>
      <c r="S132" s="1312"/>
      <c r="T132" s="1312"/>
      <c r="U132" s="1313"/>
      <c r="V132" s="1314"/>
      <c r="W132" s="1314"/>
      <c r="X132" s="1314"/>
      <c r="Y132" s="1314"/>
      <c r="Z132" s="1314"/>
      <c r="AA132" s="1315"/>
      <c r="AB132" s="1253"/>
      <c r="AC132" s="1254"/>
    </row>
    <row r="133" spans="1:29" ht="24.95" customHeight="1" x14ac:dyDescent="0.25">
      <c r="A133" s="1306"/>
      <c r="B133" s="683">
        <v>16</v>
      </c>
      <c r="C133" s="1310"/>
      <c r="D133" s="1305" t="s">
        <v>567</v>
      </c>
      <c r="E133" s="1308">
        <f>VLOOKUP(A127,UHT_MAT,55,FALSE)</f>
        <v>0</v>
      </c>
      <c r="F133" s="1908">
        <f t="shared" si="108"/>
        <v>0</v>
      </c>
      <c r="G133" s="1308"/>
      <c r="H133" s="1309">
        <f>VLOOKUP(B127,REKAP_NILAI,22,FALSE)</f>
        <v>0</v>
      </c>
      <c r="I133" s="1371">
        <f t="shared" si="109"/>
        <v>0</v>
      </c>
      <c r="J133" s="1372">
        <f t="shared" si="110"/>
        <v>0</v>
      </c>
      <c r="K133" s="1373" t="str">
        <f t="shared" si="111"/>
        <v>1.33</v>
      </c>
      <c r="L133" s="1373" t="str">
        <f t="shared" si="112"/>
        <v>D+</v>
      </c>
      <c r="M133" s="1374" t="str">
        <f t="shared" si="113"/>
        <v>0</v>
      </c>
      <c r="N133" s="1311"/>
      <c r="O133" s="1312"/>
      <c r="P133" s="1312"/>
      <c r="Q133" s="1312"/>
      <c r="R133" s="1312"/>
      <c r="S133" s="1312"/>
      <c r="T133" s="1312"/>
      <c r="U133" s="1313"/>
      <c r="V133" s="1314"/>
      <c r="W133" s="1314"/>
      <c r="X133" s="1314"/>
      <c r="Y133" s="1314"/>
      <c r="Z133" s="1314"/>
      <c r="AA133" s="1315"/>
      <c r="AB133" s="1255"/>
      <c r="AC133" s="1256"/>
    </row>
    <row r="134" spans="1:29" ht="24.95" customHeight="1" x14ac:dyDescent="0.3">
      <c r="A134" s="1337"/>
      <c r="B134" s="1338"/>
      <c r="C134" s="1339" t="s">
        <v>149</v>
      </c>
      <c r="D134" s="1319">
        <v>16</v>
      </c>
      <c r="E134" s="1320"/>
      <c r="F134" s="1909"/>
      <c r="G134" s="1320"/>
      <c r="H134" s="1321">
        <f>AVERAGE(H127:H133)</f>
        <v>0</v>
      </c>
      <c r="I134" s="1375"/>
      <c r="J134" s="1376">
        <f>AVERAGE(J127:J133)</f>
        <v>0</v>
      </c>
      <c r="K134" s="1377" t="str">
        <f t="shared" si="111"/>
        <v>1.33</v>
      </c>
      <c r="L134" s="1377" t="str">
        <f t="shared" si="112"/>
        <v>D+</v>
      </c>
      <c r="M134" s="1378" t="str">
        <f t="shared" si="113"/>
        <v>0</v>
      </c>
      <c r="N134" s="1347"/>
      <c r="O134" s="1348"/>
      <c r="P134" s="1348"/>
      <c r="Q134" s="1348"/>
      <c r="R134" s="1348"/>
      <c r="S134" s="1348"/>
      <c r="T134" s="1348"/>
      <c r="U134" s="1347"/>
      <c r="V134" s="1348"/>
      <c r="W134" s="1348"/>
      <c r="X134" s="1348"/>
      <c r="Y134" s="1348"/>
      <c r="Z134" s="1348"/>
      <c r="AA134" s="1349"/>
      <c r="AB134" s="1257"/>
      <c r="AC134" s="1258"/>
    </row>
    <row r="135" spans="1:29" ht="24.95" customHeight="1" thickBot="1" x14ac:dyDescent="0.3">
      <c r="A135" s="1325">
        <v>17</v>
      </c>
      <c r="B135" s="1326">
        <v>17</v>
      </c>
      <c r="C135" s="1327" t="str">
        <f>VLOOKUP(A135,data_siswa,4)</f>
        <v>Naufal Falih F</v>
      </c>
      <c r="D135" s="1305" t="s">
        <v>10</v>
      </c>
      <c r="E135" s="1308">
        <f>VLOOKUP(A135,UHT_MAT,49,FALSE)</f>
        <v>0</v>
      </c>
      <c r="F135" s="1908">
        <f>E135*2</f>
        <v>0</v>
      </c>
      <c r="G135" s="1308"/>
      <c r="H135" s="1309">
        <f>VLOOKUP(B135,REKAP_NILAI,16,FALSE)</f>
        <v>0</v>
      </c>
      <c r="I135" s="1367">
        <f>F135+G135+H135</f>
        <v>0</v>
      </c>
      <c r="J135" s="1368">
        <f>(F135+G135+H135)/4</f>
        <v>0</v>
      </c>
      <c r="K135" s="1369" t="str">
        <f>IF(J135&gt;85,("4"),IF(J135&gt;80,("3.66"),IF(J135&gt;75,("3.33"),IF(J135&gt;70,("3.00"),IF(J135&gt;65,("2.66"),IF(J135&gt;60,("2.33"),IF(J135&gt;55,("2"),IF(J135&gt;50,("1.66"),"1.33"))))))))</f>
        <v>1.33</v>
      </c>
      <c r="L135" s="1369" t="str">
        <f>IF(J135&gt;85,("A"),IF(J135&gt;80,("A-"),IF(J135&gt;75,("B+"),IF(J135&gt;70,("B"),IF(J135&gt;65,("B-"),IF(J135&gt;60,("C+"),IF(J135&gt;55,("C"),IF(J135&gt;50,("C-"),"D+"))))))))</f>
        <v>D+</v>
      </c>
      <c r="M135" s="1370" t="str">
        <f>IF(J135&gt;80,("SB"),IF(J135&gt;65,("B"),IF(J135&gt;50,("C"),IF(J135&gt;0,("K"),"0"))))</f>
        <v>0</v>
      </c>
      <c r="N135" s="1343"/>
      <c r="O135" s="1344"/>
      <c r="P135" s="1344"/>
      <c r="Q135" s="1344"/>
      <c r="R135" s="1344"/>
      <c r="S135" s="1344"/>
      <c r="T135" s="1345"/>
      <c r="U135" s="1346"/>
      <c r="V135" s="1346"/>
      <c r="W135" s="1346"/>
      <c r="X135" s="1346"/>
      <c r="Y135" s="1346"/>
      <c r="Z135" s="1346"/>
      <c r="AA135" s="1346"/>
      <c r="AB135" s="1057">
        <f>J142</f>
        <v>0</v>
      </c>
      <c r="AC135" s="1194" t="str">
        <f>IF(AB135&gt;85,("A"),IF(AB135&gt;80,("A-"),IF(AB135&gt;75,("B+"),IF(AB135&gt;70,("B"),IF(AB135&gt;65,("B-"),IF(AB135&gt;60,("C+"),IF(AB135&gt;55,("C"),IF(AB135&gt;50,("C-"),"D+"))))))))</f>
        <v>D+</v>
      </c>
    </row>
    <row r="136" spans="1:29" ht="24.95" customHeight="1" x14ac:dyDescent="0.25">
      <c r="A136" s="1306"/>
      <c r="B136" s="683">
        <v>17</v>
      </c>
      <c r="C136" s="1310"/>
      <c r="D136" s="1305" t="s">
        <v>20</v>
      </c>
      <c r="E136" s="1308">
        <f>VLOOKUP(A135,UHT_MAT,50,FALSE)</f>
        <v>0</v>
      </c>
      <c r="F136" s="1908">
        <f t="shared" ref="F136:F141" si="114">E136*2</f>
        <v>0</v>
      </c>
      <c r="G136" s="1308"/>
      <c r="H136" s="1309">
        <f>VLOOKUP(B135,REKAP_NILAI,17,FALSE)</f>
        <v>0</v>
      </c>
      <c r="I136" s="1371">
        <f t="shared" ref="I136:I141" si="115">F136+G136+H136</f>
        <v>0</v>
      </c>
      <c r="J136" s="1372">
        <f t="shared" ref="J136:J141" si="116">(F136+G136+H136)/4</f>
        <v>0</v>
      </c>
      <c r="K136" s="1373" t="str">
        <f t="shared" ref="K136:K142" si="117">IF(J136&gt;85,("4"),IF(J136&gt;80,("3.66"),IF(J136&gt;75,("3.33"),IF(J136&gt;70,("3.00"),IF(J136&gt;65,("2.66"),IF(J136&gt;60,("2.33"),IF(J136&gt;55,("2"),IF(J136&gt;50,("1.66"),"1.33"))))))))</f>
        <v>1.33</v>
      </c>
      <c r="L136" s="1373" t="str">
        <f t="shared" ref="L136:L142" si="118">IF(J136&gt;85,("A"),IF(J136&gt;80,("A-"),IF(J136&gt;75,("B+"),IF(J136&gt;70,("B"),IF(J136&gt;65,("B-"),IF(J136&gt;60,("C+"),IF(J136&gt;55,("C"),IF(J136&gt;50,("C-"),"D+"))))))))</f>
        <v>D+</v>
      </c>
      <c r="M136" s="1374" t="str">
        <f t="shared" ref="M136:M142" si="119">IF(J136&gt;80,("SB"),IF(J136&gt;65,("B"),IF(J136&gt;50,("C"),IF(J136&gt;0,("K"),"0"))))</f>
        <v>0</v>
      </c>
      <c r="N136" s="1332"/>
      <c r="O136" s="1333"/>
      <c r="P136" s="1333"/>
      <c r="Q136" s="1333"/>
      <c r="R136" s="1333"/>
      <c r="S136" s="1333"/>
      <c r="T136" s="1333"/>
      <c r="U136" s="1334"/>
      <c r="V136" s="1335"/>
      <c r="W136" s="1335"/>
      <c r="X136" s="1335"/>
      <c r="Y136" s="1335"/>
      <c r="Z136" s="1335"/>
      <c r="AA136" s="1336"/>
      <c r="AB136" s="1251"/>
      <c r="AC136" s="1252"/>
    </row>
    <row r="137" spans="1:29" ht="24.95" customHeight="1" x14ac:dyDescent="0.25">
      <c r="A137" s="1306"/>
      <c r="B137" s="683">
        <v>17</v>
      </c>
      <c r="C137" s="1310"/>
      <c r="D137" s="1305" t="s">
        <v>19</v>
      </c>
      <c r="E137" s="1308">
        <f>VLOOKUP(A135,UHT_MAT,51,FALSE)</f>
        <v>0</v>
      </c>
      <c r="F137" s="1908">
        <f t="shared" si="114"/>
        <v>0</v>
      </c>
      <c r="G137" s="1308"/>
      <c r="H137" s="1309">
        <f>VLOOKUP(B135,REKAP_NILAI,18,FALSE)</f>
        <v>0</v>
      </c>
      <c r="I137" s="1371">
        <f t="shared" si="115"/>
        <v>0</v>
      </c>
      <c r="J137" s="1372">
        <f t="shared" si="116"/>
        <v>0</v>
      </c>
      <c r="K137" s="1373" t="str">
        <f t="shared" si="117"/>
        <v>1.33</v>
      </c>
      <c r="L137" s="1373" t="str">
        <f t="shared" si="118"/>
        <v>D+</v>
      </c>
      <c r="M137" s="1374" t="str">
        <f t="shared" si="119"/>
        <v>0</v>
      </c>
      <c r="N137" s="1311"/>
      <c r="O137" s="1312"/>
      <c r="P137" s="1312"/>
      <c r="Q137" s="1312"/>
      <c r="R137" s="1312"/>
      <c r="S137" s="1312"/>
      <c r="T137" s="1312"/>
      <c r="U137" s="1313"/>
      <c r="V137" s="1314"/>
      <c r="W137" s="1314"/>
      <c r="X137" s="1314"/>
      <c r="Y137" s="1314"/>
      <c r="Z137" s="1314"/>
      <c r="AA137" s="1315"/>
      <c r="AB137" s="1253"/>
      <c r="AC137" s="1254"/>
    </row>
    <row r="138" spans="1:29" ht="24.95" customHeight="1" x14ac:dyDescent="0.25">
      <c r="A138" s="1306"/>
      <c r="B138" s="683">
        <v>17</v>
      </c>
      <c r="C138" s="1310"/>
      <c r="D138" s="1305" t="s">
        <v>181</v>
      </c>
      <c r="E138" s="1308">
        <f>VLOOKUP(A135,UHT_MAT,52,FALSE)</f>
        <v>0</v>
      </c>
      <c r="F138" s="1908">
        <f t="shared" si="114"/>
        <v>0</v>
      </c>
      <c r="G138" s="1308"/>
      <c r="H138" s="1309">
        <f>VLOOKUP(B135,REKAP_NILAI,19,FALSE)</f>
        <v>0</v>
      </c>
      <c r="I138" s="1371">
        <f t="shared" si="115"/>
        <v>0</v>
      </c>
      <c r="J138" s="1372">
        <f t="shared" si="116"/>
        <v>0</v>
      </c>
      <c r="K138" s="1373" t="str">
        <f t="shared" si="117"/>
        <v>1.33</v>
      </c>
      <c r="L138" s="1373" t="str">
        <f t="shared" si="118"/>
        <v>D+</v>
      </c>
      <c r="M138" s="1374" t="str">
        <f t="shared" si="119"/>
        <v>0</v>
      </c>
      <c r="N138" s="1311"/>
      <c r="O138" s="1312"/>
      <c r="P138" s="1312"/>
      <c r="Q138" s="1312"/>
      <c r="R138" s="1312"/>
      <c r="S138" s="1312"/>
      <c r="T138" s="1312"/>
      <c r="U138" s="1313"/>
      <c r="V138" s="1314"/>
      <c r="W138" s="1314"/>
      <c r="X138" s="1314"/>
      <c r="Y138" s="1314"/>
      <c r="Z138" s="1314"/>
      <c r="AA138" s="1315"/>
      <c r="AB138" s="1253"/>
      <c r="AC138" s="1254"/>
    </row>
    <row r="139" spans="1:29" ht="24.95" customHeight="1" x14ac:dyDescent="0.25">
      <c r="A139" s="1306"/>
      <c r="B139" s="683">
        <v>17</v>
      </c>
      <c r="C139" s="1310"/>
      <c r="D139" s="1305" t="s">
        <v>182</v>
      </c>
      <c r="E139" s="1308">
        <f>VLOOKUP(A135,UHT_MAT,53,FALSE)</f>
        <v>0</v>
      </c>
      <c r="F139" s="1908">
        <f t="shared" si="114"/>
        <v>0</v>
      </c>
      <c r="G139" s="1308"/>
      <c r="H139" s="1309">
        <f>VLOOKUP(B135,REKAP_NILAI,20,FALSE)</f>
        <v>0</v>
      </c>
      <c r="I139" s="1371">
        <f t="shared" si="115"/>
        <v>0</v>
      </c>
      <c r="J139" s="1372">
        <f t="shared" si="116"/>
        <v>0</v>
      </c>
      <c r="K139" s="1373" t="str">
        <f t="shared" si="117"/>
        <v>1.33</v>
      </c>
      <c r="L139" s="1373" t="str">
        <f t="shared" si="118"/>
        <v>D+</v>
      </c>
      <c r="M139" s="1374" t="str">
        <f t="shared" si="119"/>
        <v>0</v>
      </c>
      <c r="N139" s="1311"/>
      <c r="O139" s="1312"/>
      <c r="P139" s="1312"/>
      <c r="Q139" s="1312"/>
      <c r="R139" s="1312"/>
      <c r="S139" s="1312"/>
      <c r="T139" s="1312"/>
      <c r="U139" s="1313"/>
      <c r="V139" s="1314"/>
      <c r="W139" s="1314"/>
      <c r="X139" s="1314"/>
      <c r="Y139" s="1314"/>
      <c r="Z139" s="1314"/>
      <c r="AA139" s="1315"/>
      <c r="AB139" s="1253"/>
      <c r="AC139" s="1254"/>
    </row>
    <row r="140" spans="1:29" ht="24.95" customHeight="1" x14ac:dyDescent="0.25">
      <c r="A140" s="1306"/>
      <c r="B140" s="683">
        <v>17</v>
      </c>
      <c r="C140" s="1310"/>
      <c r="D140" s="1305" t="s">
        <v>566</v>
      </c>
      <c r="E140" s="1308">
        <f>VLOOKUP(A135,UHT_MAT,54,FALSE)</f>
        <v>0</v>
      </c>
      <c r="F140" s="1908">
        <f t="shared" si="114"/>
        <v>0</v>
      </c>
      <c r="G140" s="1308"/>
      <c r="H140" s="1309">
        <f>VLOOKUP(B135,REKAP_NILAI,21,FALSE)</f>
        <v>0</v>
      </c>
      <c r="I140" s="1371">
        <f t="shared" si="115"/>
        <v>0</v>
      </c>
      <c r="J140" s="1372">
        <f t="shared" si="116"/>
        <v>0</v>
      </c>
      <c r="K140" s="1373" t="str">
        <f t="shared" si="117"/>
        <v>1.33</v>
      </c>
      <c r="L140" s="1373" t="str">
        <f t="shared" si="118"/>
        <v>D+</v>
      </c>
      <c r="M140" s="1374" t="str">
        <f t="shared" si="119"/>
        <v>0</v>
      </c>
      <c r="N140" s="1311"/>
      <c r="O140" s="1312"/>
      <c r="P140" s="1312"/>
      <c r="Q140" s="1312"/>
      <c r="R140" s="1312"/>
      <c r="S140" s="1312"/>
      <c r="T140" s="1312"/>
      <c r="U140" s="1313"/>
      <c r="V140" s="1314"/>
      <c r="W140" s="1314"/>
      <c r="X140" s="1314"/>
      <c r="Y140" s="1314"/>
      <c r="Z140" s="1314"/>
      <c r="AA140" s="1315"/>
      <c r="AB140" s="1253"/>
      <c r="AC140" s="1254"/>
    </row>
    <row r="141" spans="1:29" ht="24.95" customHeight="1" x14ac:dyDescent="0.25">
      <c r="A141" s="1306"/>
      <c r="B141" s="683">
        <v>17</v>
      </c>
      <c r="C141" s="1310"/>
      <c r="D141" s="1305" t="s">
        <v>567</v>
      </c>
      <c r="E141" s="1308">
        <f>VLOOKUP(A135,UHT_MAT,55,FALSE)</f>
        <v>0</v>
      </c>
      <c r="F141" s="1908">
        <f t="shared" si="114"/>
        <v>0</v>
      </c>
      <c r="G141" s="1308"/>
      <c r="H141" s="1309">
        <f>VLOOKUP(B135,REKAP_NILAI,22,FALSE)</f>
        <v>0</v>
      </c>
      <c r="I141" s="1371">
        <f t="shared" si="115"/>
        <v>0</v>
      </c>
      <c r="J141" s="1372">
        <f t="shared" si="116"/>
        <v>0</v>
      </c>
      <c r="K141" s="1373" t="str">
        <f t="shared" si="117"/>
        <v>1.33</v>
      </c>
      <c r="L141" s="1373" t="str">
        <f t="shared" si="118"/>
        <v>D+</v>
      </c>
      <c r="M141" s="1374" t="str">
        <f t="shared" si="119"/>
        <v>0</v>
      </c>
      <c r="N141" s="1311"/>
      <c r="O141" s="1312"/>
      <c r="P141" s="1312"/>
      <c r="Q141" s="1312"/>
      <c r="R141" s="1312"/>
      <c r="S141" s="1312"/>
      <c r="T141" s="1312"/>
      <c r="U141" s="1313"/>
      <c r="V141" s="1314"/>
      <c r="W141" s="1314"/>
      <c r="X141" s="1314"/>
      <c r="Y141" s="1314"/>
      <c r="Z141" s="1314"/>
      <c r="AA141" s="1315"/>
      <c r="AB141" s="1255"/>
      <c r="AC141" s="1256"/>
    </row>
    <row r="142" spans="1:29" ht="24.95" customHeight="1" x14ac:dyDescent="0.3">
      <c r="A142" s="1337"/>
      <c r="B142" s="1338"/>
      <c r="C142" s="1339" t="s">
        <v>149</v>
      </c>
      <c r="D142" s="1319">
        <v>17</v>
      </c>
      <c r="E142" s="1320"/>
      <c r="F142" s="1909"/>
      <c r="G142" s="1320"/>
      <c r="H142" s="1321">
        <f>AVERAGE(H135:H141)</f>
        <v>0</v>
      </c>
      <c r="I142" s="1375"/>
      <c r="J142" s="1376">
        <f>AVERAGE(J135:J141)</f>
        <v>0</v>
      </c>
      <c r="K142" s="1377" t="str">
        <f t="shared" si="117"/>
        <v>1.33</v>
      </c>
      <c r="L142" s="1377" t="str">
        <f t="shared" si="118"/>
        <v>D+</v>
      </c>
      <c r="M142" s="1378" t="str">
        <f t="shared" si="119"/>
        <v>0</v>
      </c>
      <c r="N142" s="1347"/>
      <c r="O142" s="1348"/>
      <c r="P142" s="1348"/>
      <c r="Q142" s="1348"/>
      <c r="R142" s="1348"/>
      <c r="S142" s="1348"/>
      <c r="T142" s="1348"/>
      <c r="U142" s="1347"/>
      <c r="V142" s="1348"/>
      <c r="W142" s="1348"/>
      <c r="X142" s="1348"/>
      <c r="Y142" s="1348"/>
      <c r="Z142" s="1348"/>
      <c r="AA142" s="1349"/>
      <c r="AB142" s="1257"/>
      <c r="AC142" s="1258"/>
    </row>
    <row r="143" spans="1:29" ht="24.95" customHeight="1" thickBot="1" x14ac:dyDescent="0.3">
      <c r="A143" s="1325">
        <v>18</v>
      </c>
      <c r="B143" s="1326">
        <v>18</v>
      </c>
      <c r="C143" s="1327" t="str">
        <f>VLOOKUP(A143,data_siswa,4)</f>
        <v>Nayla Annora Nobel W</v>
      </c>
      <c r="D143" s="1305" t="s">
        <v>10</v>
      </c>
      <c r="E143" s="1308">
        <f>VLOOKUP(A143,UHT_MAT,49,FALSE)</f>
        <v>0</v>
      </c>
      <c r="F143" s="1908">
        <f>E143*2</f>
        <v>0</v>
      </c>
      <c r="G143" s="1308"/>
      <c r="H143" s="1309">
        <f>VLOOKUP(B143,REKAP_NILAI,16,FALSE)</f>
        <v>0</v>
      </c>
      <c r="I143" s="1367">
        <f>F143+G143+H143</f>
        <v>0</v>
      </c>
      <c r="J143" s="1368">
        <f>(F143+G143+H143)/4</f>
        <v>0</v>
      </c>
      <c r="K143" s="1369" t="str">
        <f>IF(J143&gt;85,("4"),IF(J143&gt;80,("3.66"),IF(J143&gt;75,("3.33"),IF(J143&gt;70,("3.00"),IF(J143&gt;65,("2.66"),IF(J143&gt;60,("2.33"),IF(J143&gt;55,("2"),IF(J143&gt;50,("1.66"),"1.33"))))))))</f>
        <v>1.33</v>
      </c>
      <c r="L143" s="1369" t="str">
        <f>IF(J143&gt;85,("A"),IF(J143&gt;80,("A-"),IF(J143&gt;75,("B+"),IF(J143&gt;70,("B"),IF(J143&gt;65,("B-"),IF(J143&gt;60,("C+"),IF(J143&gt;55,("C"),IF(J143&gt;50,("C-"),"D+"))))))))</f>
        <v>D+</v>
      </c>
      <c r="M143" s="1370" t="str">
        <f>IF(J143&gt;80,("SB"),IF(J143&gt;65,("B"),IF(J143&gt;50,("C"),IF(J143&gt;0,("K"),"0"))))</f>
        <v>0</v>
      </c>
      <c r="N143" s="1343"/>
      <c r="O143" s="1344"/>
      <c r="P143" s="1344"/>
      <c r="Q143" s="1344"/>
      <c r="R143" s="1344"/>
      <c r="S143" s="1344"/>
      <c r="T143" s="1345"/>
      <c r="U143" s="1346"/>
      <c r="V143" s="1346"/>
      <c r="W143" s="1346"/>
      <c r="X143" s="1346"/>
      <c r="Y143" s="1346"/>
      <c r="Z143" s="1346"/>
      <c r="AA143" s="1346"/>
      <c r="AB143" s="1057">
        <f>J150</f>
        <v>0</v>
      </c>
      <c r="AC143" s="1194" t="str">
        <f>IF(AB143&gt;85,("A"),IF(AB143&gt;80,("A-"),IF(AB143&gt;75,("B+"),IF(AB143&gt;70,("B"),IF(AB143&gt;65,("B-"),IF(AB143&gt;60,("C+"),IF(AB143&gt;55,("C"),IF(AB143&gt;50,("C-"),"D+"))))))))</f>
        <v>D+</v>
      </c>
    </row>
    <row r="144" spans="1:29" ht="24.95" customHeight="1" x14ac:dyDescent="0.25">
      <c r="A144" s="1306"/>
      <c r="B144" s="683">
        <v>18</v>
      </c>
      <c r="C144" s="1310"/>
      <c r="D144" s="1305" t="s">
        <v>20</v>
      </c>
      <c r="E144" s="1308">
        <f>VLOOKUP(A143,UHT_MAT,50,FALSE)</f>
        <v>0</v>
      </c>
      <c r="F144" s="1908">
        <f t="shared" ref="F144:F149" si="120">E144*2</f>
        <v>0</v>
      </c>
      <c r="G144" s="1308"/>
      <c r="H144" s="1309">
        <f>VLOOKUP(B143,REKAP_NILAI,17,FALSE)</f>
        <v>0</v>
      </c>
      <c r="I144" s="1371">
        <f t="shared" ref="I144:I149" si="121">F144+G144+H144</f>
        <v>0</v>
      </c>
      <c r="J144" s="1372">
        <f t="shared" ref="J144:J149" si="122">(F144+G144+H144)/4</f>
        <v>0</v>
      </c>
      <c r="K144" s="1373" t="str">
        <f t="shared" ref="K144:K150" si="123">IF(J144&gt;85,("4"),IF(J144&gt;80,("3.66"),IF(J144&gt;75,("3.33"),IF(J144&gt;70,("3.00"),IF(J144&gt;65,("2.66"),IF(J144&gt;60,("2.33"),IF(J144&gt;55,("2"),IF(J144&gt;50,("1.66"),"1.33"))))))))</f>
        <v>1.33</v>
      </c>
      <c r="L144" s="1373" t="str">
        <f t="shared" ref="L144:L150" si="124">IF(J144&gt;85,("A"),IF(J144&gt;80,("A-"),IF(J144&gt;75,("B+"),IF(J144&gt;70,("B"),IF(J144&gt;65,("B-"),IF(J144&gt;60,("C+"),IF(J144&gt;55,("C"),IF(J144&gt;50,("C-"),"D+"))))))))</f>
        <v>D+</v>
      </c>
      <c r="M144" s="1374" t="str">
        <f t="shared" ref="M144:M150" si="125">IF(J144&gt;80,("SB"),IF(J144&gt;65,("B"),IF(J144&gt;50,("C"),IF(J144&gt;0,("K"),"0"))))</f>
        <v>0</v>
      </c>
      <c r="N144" s="1332"/>
      <c r="O144" s="1333"/>
      <c r="P144" s="1333"/>
      <c r="Q144" s="1333"/>
      <c r="R144" s="1333"/>
      <c r="S144" s="1333"/>
      <c r="T144" s="1333"/>
      <c r="U144" s="1334"/>
      <c r="V144" s="1335"/>
      <c r="W144" s="1335"/>
      <c r="X144" s="1335"/>
      <c r="Y144" s="1335"/>
      <c r="Z144" s="1335"/>
      <c r="AA144" s="1336"/>
      <c r="AB144" s="1251"/>
      <c r="AC144" s="1252"/>
    </row>
    <row r="145" spans="1:29" ht="24.95" customHeight="1" x14ac:dyDescent="0.25">
      <c r="A145" s="1306"/>
      <c r="B145" s="683">
        <v>18</v>
      </c>
      <c r="C145" s="1310"/>
      <c r="D145" s="1305" t="s">
        <v>19</v>
      </c>
      <c r="E145" s="1308">
        <f>VLOOKUP(A143,UHT_MAT,51,FALSE)</f>
        <v>0</v>
      </c>
      <c r="F145" s="1908">
        <f t="shared" si="120"/>
        <v>0</v>
      </c>
      <c r="G145" s="1308"/>
      <c r="H145" s="1309">
        <f>VLOOKUP(B143,REKAP_NILAI,18,FALSE)</f>
        <v>0</v>
      </c>
      <c r="I145" s="1371">
        <f t="shared" si="121"/>
        <v>0</v>
      </c>
      <c r="J145" s="1372">
        <f t="shared" si="122"/>
        <v>0</v>
      </c>
      <c r="K145" s="1373" t="str">
        <f t="shared" si="123"/>
        <v>1.33</v>
      </c>
      <c r="L145" s="1373" t="str">
        <f t="shared" si="124"/>
        <v>D+</v>
      </c>
      <c r="M145" s="1374" t="str">
        <f t="shared" si="125"/>
        <v>0</v>
      </c>
      <c r="N145" s="1311"/>
      <c r="O145" s="1312"/>
      <c r="P145" s="1312"/>
      <c r="Q145" s="1312"/>
      <c r="R145" s="1312"/>
      <c r="S145" s="1312"/>
      <c r="T145" s="1312"/>
      <c r="U145" s="1313"/>
      <c r="V145" s="1314"/>
      <c r="W145" s="1314"/>
      <c r="X145" s="1314"/>
      <c r="Y145" s="1314"/>
      <c r="Z145" s="1314"/>
      <c r="AA145" s="1315"/>
      <c r="AB145" s="1253"/>
      <c r="AC145" s="1254"/>
    </row>
    <row r="146" spans="1:29" ht="24.95" customHeight="1" x14ac:dyDescent="0.25">
      <c r="A146" s="1306"/>
      <c r="B146" s="683">
        <v>18</v>
      </c>
      <c r="C146" s="1310"/>
      <c r="D146" s="1305" t="s">
        <v>181</v>
      </c>
      <c r="E146" s="1308">
        <f>VLOOKUP(A143,UHT_MAT,52,FALSE)</f>
        <v>0</v>
      </c>
      <c r="F146" s="1908">
        <f t="shared" si="120"/>
        <v>0</v>
      </c>
      <c r="G146" s="1308"/>
      <c r="H146" s="1309">
        <f>VLOOKUP(B143,REKAP_NILAI,19,FALSE)</f>
        <v>0</v>
      </c>
      <c r="I146" s="1371">
        <f t="shared" si="121"/>
        <v>0</v>
      </c>
      <c r="J146" s="1372">
        <f t="shared" si="122"/>
        <v>0</v>
      </c>
      <c r="K146" s="1373" t="str">
        <f t="shared" si="123"/>
        <v>1.33</v>
      </c>
      <c r="L146" s="1373" t="str">
        <f t="shared" si="124"/>
        <v>D+</v>
      </c>
      <c r="M146" s="1374" t="str">
        <f t="shared" si="125"/>
        <v>0</v>
      </c>
      <c r="N146" s="1311"/>
      <c r="O146" s="1312"/>
      <c r="P146" s="1312"/>
      <c r="Q146" s="1312"/>
      <c r="R146" s="1312"/>
      <c r="S146" s="1312"/>
      <c r="T146" s="1312"/>
      <c r="U146" s="1313"/>
      <c r="V146" s="1314"/>
      <c r="W146" s="1314"/>
      <c r="X146" s="1314"/>
      <c r="Y146" s="1314"/>
      <c r="Z146" s="1314"/>
      <c r="AA146" s="1315"/>
      <c r="AB146" s="1253"/>
      <c r="AC146" s="1254"/>
    </row>
    <row r="147" spans="1:29" ht="24.95" customHeight="1" x14ac:dyDescent="0.25">
      <c r="A147" s="1306"/>
      <c r="B147" s="683">
        <v>18</v>
      </c>
      <c r="C147" s="1310"/>
      <c r="D147" s="1305" t="s">
        <v>182</v>
      </c>
      <c r="E147" s="1308">
        <f>VLOOKUP(A143,UHT_MAT,53,FALSE)</f>
        <v>0</v>
      </c>
      <c r="F147" s="1908">
        <f t="shared" si="120"/>
        <v>0</v>
      </c>
      <c r="G147" s="1308"/>
      <c r="H147" s="1309">
        <f>VLOOKUP(B143,REKAP_NILAI,20,FALSE)</f>
        <v>0</v>
      </c>
      <c r="I147" s="1371">
        <f t="shared" si="121"/>
        <v>0</v>
      </c>
      <c r="J147" s="1372">
        <f t="shared" si="122"/>
        <v>0</v>
      </c>
      <c r="K147" s="1373" t="str">
        <f t="shared" si="123"/>
        <v>1.33</v>
      </c>
      <c r="L147" s="1373" t="str">
        <f t="shared" si="124"/>
        <v>D+</v>
      </c>
      <c r="M147" s="1374" t="str">
        <f t="shared" si="125"/>
        <v>0</v>
      </c>
      <c r="N147" s="1311"/>
      <c r="O147" s="1312"/>
      <c r="P147" s="1312"/>
      <c r="Q147" s="1312"/>
      <c r="R147" s="1312"/>
      <c r="S147" s="1312"/>
      <c r="T147" s="1312"/>
      <c r="U147" s="1313"/>
      <c r="V147" s="1314"/>
      <c r="W147" s="1314"/>
      <c r="X147" s="1314"/>
      <c r="Y147" s="1314"/>
      <c r="Z147" s="1314"/>
      <c r="AA147" s="1315"/>
      <c r="AB147" s="1253"/>
      <c r="AC147" s="1254"/>
    </row>
    <row r="148" spans="1:29" ht="24.95" customHeight="1" x14ac:dyDescent="0.25">
      <c r="A148" s="1306"/>
      <c r="B148" s="683">
        <v>18</v>
      </c>
      <c r="C148" s="1310"/>
      <c r="D148" s="1305" t="s">
        <v>566</v>
      </c>
      <c r="E148" s="1308">
        <f>VLOOKUP(A143,UHT_MAT,54,FALSE)</f>
        <v>0</v>
      </c>
      <c r="F148" s="1908">
        <f t="shared" si="120"/>
        <v>0</v>
      </c>
      <c r="G148" s="1308"/>
      <c r="H148" s="1309">
        <f>VLOOKUP(B143,REKAP_NILAI,21,FALSE)</f>
        <v>0</v>
      </c>
      <c r="I148" s="1371">
        <f t="shared" si="121"/>
        <v>0</v>
      </c>
      <c r="J148" s="1372">
        <f t="shared" si="122"/>
        <v>0</v>
      </c>
      <c r="K148" s="1373" t="str">
        <f t="shared" si="123"/>
        <v>1.33</v>
      </c>
      <c r="L148" s="1373" t="str">
        <f t="shared" si="124"/>
        <v>D+</v>
      </c>
      <c r="M148" s="1374" t="str">
        <f t="shared" si="125"/>
        <v>0</v>
      </c>
      <c r="N148" s="1311"/>
      <c r="O148" s="1312"/>
      <c r="P148" s="1312"/>
      <c r="Q148" s="1312"/>
      <c r="R148" s="1312"/>
      <c r="S148" s="1312"/>
      <c r="T148" s="1312"/>
      <c r="U148" s="1313"/>
      <c r="V148" s="1314"/>
      <c r="W148" s="1314"/>
      <c r="X148" s="1314"/>
      <c r="Y148" s="1314"/>
      <c r="Z148" s="1314"/>
      <c r="AA148" s="1315"/>
      <c r="AB148" s="1253"/>
      <c r="AC148" s="1254"/>
    </row>
    <row r="149" spans="1:29" ht="24.95" customHeight="1" x14ac:dyDescent="0.25">
      <c r="A149" s="1306"/>
      <c r="B149" s="683">
        <v>18</v>
      </c>
      <c r="C149" s="1310"/>
      <c r="D149" s="1305" t="s">
        <v>567</v>
      </c>
      <c r="E149" s="1308">
        <f>VLOOKUP(A143,UHT_MAT,55,FALSE)</f>
        <v>0</v>
      </c>
      <c r="F149" s="1908">
        <f t="shared" si="120"/>
        <v>0</v>
      </c>
      <c r="G149" s="1308"/>
      <c r="H149" s="1309">
        <f>VLOOKUP(B143,REKAP_NILAI,22,FALSE)</f>
        <v>0</v>
      </c>
      <c r="I149" s="1371">
        <f t="shared" si="121"/>
        <v>0</v>
      </c>
      <c r="J149" s="1372">
        <f t="shared" si="122"/>
        <v>0</v>
      </c>
      <c r="K149" s="1373" t="str">
        <f t="shared" si="123"/>
        <v>1.33</v>
      </c>
      <c r="L149" s="1373" t="str">
        <f t="shared" si="124"/>
        <v>D+</v>
      </c>
      <c r="M149" s="1374" t="str">
        <f t="shared" si="125"/>
        <v>0</v>
      </c>
      <c r="N149" s="1311"/>
      <c r="O149" s="1312"/>
      <c r="P149" s="1312"/>
      <c r="Q149" s="1312"/>
      <c r="R149" s="1312"/>
      <c r="S149" s="1312"/>
      <c r="T149" s="1312"/>
      <c r="U149" s="1313"/>
      <c r="V149" s="1314"/>
      <c r="W149" s="1314"/>
      <c r="X149" s="1314"/>
      <c r="Y149" s="1314"/>
      <c r="Z149" s="1314"/>
      <c r="AA149" s="1315"/>
      <c r="AB149" s="1255"/>
      <c r="AC149" s="1256"/>
    </row>
    <row r="150" spans="1:29" ht="24.95" customHeight="1" x14ac:dyDescent="0.3">
      <c r="A150" s="1337"/>
      <c r="B150" s="1338"/>
      <c r="C150" s="1339" t="s">
        <v>149</v>
      </c>
      <c r="D150" s="1319">
        <v>18</v>
      </c>
      <c r="E150" s="1320"/>
      <c r="F150" s="1909"/>
      <c r="G150" s="1320"/>
      <c r="H150" s="1321">
        <f>AVERAGE(H143:H149)</f>
        <v>0</v>
      </c>
      <c r="I150" s="1375"/>
      <c r="J150" s="1376">
        <f>AVERAGE(J143:J149)</f>
        <v>0</v>
      </c>
      <c r="K150" s="1377" t="str">
        <f t="shared" si="123"/>
        <v>1.33</v>
      </c>
      <c r="L150" s="1377" t="str">
        <f t="shared" si="124"/>
        <v>D+</v>
      </c>
      <c r="M150" s="1378" t="str">
        <f t="shared" si="125"/>
        <v>0</v>
      </c>
      <c r="N150" s="1347"/>
      <c r="O150" s="1348"/>
      <c r="P150" s="1348"/>
      <c r="Q150" s="1348"/>
      <c r="R150" s="1348"/>
      <c r="S150" s="1348"/>
      <c r="T150" s="1348"/>
      <c r="U150" s="1347"/>
      <c r="V150" s="1348"/>
      <c r="W150" s="1348"/>
      <c r="X150" s="1348"/>
      <c r="Y150" s="1348"/>
      <c r="Z150" s="1348"/>
      <c r="AA150" s="1349"/>
      <c r="AB150" s="1257"/>
      <c r="AC150" s="1258"/>
    </row>
    <row r="151" spans="1:29" ht="24.95" customHeight="1" thickBot="1" x14ac:dyDescent="0.3">
      <c r="A151" s="1325">
        <v>19</v>
      </c>
      <c r="B151" s="1326">
        <v>19</v>
      </c>
      <c r="C151" s="1327" t="str">
        <f>VLOOKUP(A151,data_siswa,4)</f>
        <v>Raihan Danang P</v>
      </c>
      <c r="D151" s="1305" t="s">
        <v>10</v>
      </c>
      <c r="E151" s="1308">
        <f>VLOOKUP(A151,UHT_MAT,49,FALSE)</f>
        <v>0</v>
      </c>
      <c r="F151" s="1908">
        <f>E151*2</f>
        <v>0</v>
      </c>
      <c r="G151" s="1308"/>
      <c r="H151" s="1309">
        <f>VLOOKUP(B151,REKAP_NILAI,16,FALSE)</f>
        <v>0</v>
      </c>
      <c r="I151" s="1367">
        <f>F151+G151+H151</f>
        <v>0</v>
      </c>
      <c r="J151" s="1368">
        <f>(F151+G151+H151)/4</f>
        <v>0</v>
      </c>
      <c r="K151" s="1369" t="str">
        <f>IF(J151&gt;85,("4"),IF(J151&gt;80,("3.66"),IF(J151&gt;75,("3.33"),IF(J151&gt;70,("3.00"),IF(J151&gt;65,("2.66"),IF(J151&gt;60,("2.33"),IF(J151&gt;55,("2"),IF(J151&gt;50,("1.66"),"1.33"))))))))</f>
        <v>1.33</v>
      </c>
      <c r="L151" s="1369" t="str">
        <f>IF(J151&gt;85,("A"),IF(J151&gt;80,("A-"),IF(J151&gt;75,("B+"),IF(J151&gt;70,("B"),IF(J151&gt;65,("B-"),IF(J151&gt;60,("C+"),IF(J151&gt;55,("C"),IF(J151&gt;50,("C-"),"D+"))))))))</f>
        <v>D+</v>
      </c>
      <c r="M151" s="1370" t="str">
        <f>IF(J151&gt;80,("SB"),IF(J151&gt;65,("B"),IF(J151&gt;50,("C"),IF(J151&gt;0,("K"),"0"))))</f>
        <v>0</v>
      </c>
      <c r="N151" s="1343"/>
      <c r="O151" s="1344"/>
      <c r="P151" s="1344"/>
      <c r="Q151" s="1344"/>
      <c r="R151" s="1344"/>
      <c r="S151" s="1344"/>
      <c r="T151" s="1345"/>
      <c r="U151" s="1346"/>
      <c r="V151" s="1346"/>
      <c r="W151" s="1346"/>
      <c r="X151" s="1346"/>
      <c r="Y151" s="1346"/>
      <c r="Z151" s="1346"/>
      <c r="AA151" s="1346"/>
      <c r="AB151" s="1057">
        <f>J158</f>
        <v>0</v>
      </c>
      <c r="AC151" s="1194" t="str">
        <f>IF(AB151&gt;85,("A"),IF(AB151&gt;80,("A-"),IF(AB151&gt;75,("B+"),IF(AB151&gt;70,("B"),IF(AB151&gt;65,("B-"),IF(AB151&gt;60,("C+"),IF(AB151&gt;55,("C"),IF(AB151&gt;50,("C-"),"D+"))))))))</f>
        <v>D+</v>
      </c>
    </row>
    <row r="152" spans="1:29" ht="24.95" customHeight="1" x14ac:dyDescent="0.25">
      <c r="A152" s="1306"/>
      <c r="B152" s="683">
        <v>19</v>
      </c>
      <c r="C152" s="1310"/>
      <c r="D152" s="1305" t="s">
        <v>20</v>
      </c>
      <c r="E152" s="1308">
        <f>VLOOKUP(A151,UHT_MAT,50,FALSE)</f>
        <v>0</v>
      </c>
      <c r="F152" s="1908">
        <f t="shared" ref="F152:F157" si="126">E152*2</f>
        <v>0</v>
      </c>
      <c r="G152" s="1308"/>
      <c r="H152" s="1309">
        <f>VLOOKUP(B151,REKAP_NILAI,17,FALSE)</f>
        <v>0</v>
      </c>
      <c r="I152" s="1371">
        <f t="shared" ref="I152:I157" si="127">F152+G152+H152</f>
        <v>0</v>
      </c>
      <c r="J152" s="1372">
        <f t="shared" ref="J152:J157" si="128">(F152+G152+H152)/4</f>
        <v>0</v>
      </c>
      <c r="K152" s="1373" t="str">
        <f t="shared" ref="K152:K158" si="129">IF(J152&gt;85,("4"),IF(J152&gt;80,("3.66"),IF(J152&gt;75,("3.33"),IF(J152&gt;70,("3.00"),IF(J152&gt;65,("2.66"),IF(J152&gt;60,("2.33"),IF(J152&gt;55,("2"),IF(J152&gt;50,("1.66"),"1.33"))))))))</f>
        <v>1.33</v>
      </c>
      <c r="L152" s="1373" t="str">
        <f t="shared" ref="L152:L158" si="130">IF(J152&gt;85,("A"),IF(J152&gt;80,("A-"),IF(J152&gt;75,("B+"),IF(J152&gt;70,("B"),IF(J152&gt;65,("B-"),IF(J152&gt;60,("C+"),IF(J152&gt;55,("C"),IF(J152&gt;50,("C-"),"D+"))))))))</f>
        <v>D+</v>
      </c>
      <c r="M152" s="1374" t="str">
        <f t="shared" ref="M152:M158" si="131">IF(J152&gt;80,("SB"),IF(J152&gt;65,("B"),IF(J152&gt;50,("C"),IF(J152&gt;0,("K"),"0"))))</f>
        <v>0</v>
      </c>
      <c r="N152" s="1332"/>
      <c r="O152" s="1333"/>
      <c r="P152" s="1333"/>
      <c r="Q152" s="1333"/>
      <c r="R152" s="1333"/>
      <c r="S152" s="1333"/>
      <c r="T152" s="1333"/>
      <c r="U152" s="1334"/>
      <c r="V152" s="1335"/>
      <c r="W152" s="1335"/>
      <c r="X152" s="1335"/>
      <c r="Y152" s="1335"/>
      <c r="Z152" s="1335"/>
      <c r="AA152" s="1336"/>
      <c r="AB152" s="1251"/>
      <c r="AC152" s="1252"/>
    </row>
    <row r="153" spans="1:29" ht="24.95" customHeight="1" x14ac:dyDescent="0.25">
      <c r="A153" s="1306"/>
      <c r="B153" s="683">
        <v>19</v>
      </c>
      <c r="C153" s="1310"/>
      <c r="D153" s="1305" t="s">
        <v>19</v>
      </c>
      <c r="E153" s="1308">
        <f>VLOOKUP(A151,UHT_MAT,51,FALSE)</f>
        <v>0</v>
      </c>
      <c r="F153" s="1908">
        <f t="shared" si="126"/>
        <v>0</v>
      </c>
      <c r="G153" s="1308"/>
      <c r="H153" s="1309">
        <f>VLOOKUP(B151,REKAP_NILAI,18,FALSE)</f>
        <v>0</v>
      </c>
      <c r="I153" s="1371">
        <f t="shared" si="127"/>
        <v>0</v>
      </c>
      <c r="J153" s="1372">
        <f t="shared" si="128"/>
        <v>0</v>
      </c>
      <c r="K153" s="1373" t="str">
        <f t="shared" si="129"/>
        <v>1.33</v>
      </c>
      <c r="L153" s="1373" t="str">
        <f t="shared" si="130"/>
        <v>D+</v>
      </c>
      <c r="M153" s="1374" t="str">
        <f t="shared" si="131"/>
        <v>0</v>
      </c>
      <c r="N153" s="1311"/>
      <c r="O153" s="1312"/>
      <c r="P153" s="1312"/>
      <c r="Q153" s="1312"/>
      <c r="R153" s="1312"/>
      <c r="S153" s="1312"/>
      <c r="T153" s="1312"/>
      <c r="U153" s="1313"/>
      <c r="V153" s="1314"/>
      <c r="W153" s="1314"/>
      <c r="X153" s="1314"/>
      <c r="Y153" s="1314"/>
      <c r="Z153" s="1314"/>
      <c r="AA153" s="1315"/>
      <c r="AB153" s="1253"/>
      <c r="AC153" s="1254"/>
    </row>
    <row r="154" spans="1:29" ht="24.95" customHeight="1" x14ac:dyDescent="0.25">
      <c r="A154" s="1306"/>
      <c r="B154" s="683">
        <v>19</v>
      </c>
      <c r="C154" s="1310"/>
      <c r="D154" s="1305" t="s">
        <v>181</v>
      </c>
      <c r="E154" s="1308">
        <f>VLOOKUP(A151,UHT_MAT,52,FALSE)</f>
        <v>0</v>
      </c>
      <c r="F154" s="1908">
        <f t="shared" si="126"/>
        <v>0</v>
      </c>
      <c r="G154" s="1308"/>
      <c r="H154" s="1309">
        <f>VLOOKUP(B151,REKAP_NILAI,19,FALSE)</f>
        <v>0</v>
      </c>
      <c r="I154" s="1371">
        <f t="shared" si="127"/>
        <v>0</v>
      </c>
      <c r="J154" s="1372">
        <f t="shared" si="128"/>
        <v>0</v>
      </c>
      <c r="K154" s="1373" t="str">
        <f t="shared" si="129"/>
        <v>1.33</v>
      </c>
      <c r="L154" s="1373" t="str">
        <f t="shared" si="130"/>
        <v>D+</v>
      </c>
      <c r="M154" s="1374" t="str">
        <f t="shared" si="131"/>
        <v>0</v>
      </c>
      <c r="N154" s="1311"/>
      <c r="O154" s="1312"/>
      <c r="P154" s="1312"/>
      <c r="Q154" s="1312"/>
      <c r="R154" s="1312"/>
      <c r="S154" s="1312"/>
      <c r="T154" s="1312"/>
      <c r="U154" s="1313"/>
      <c r="V154" s="1314"/>
      <c r="W154" s="1314"/>
      <c r="X154" s="1314"/>
      <c r="Y154" s="1314"/>
      <c r="Z154" s="1314"/>
      <c r="AA154" s="1315"/>
      <c r="AB154" s="1253"/>
      <c r="AC154" s="1254"/>
    </row>
    <row r="155" spans="1:29" ht="24.95" customHeight="1" x14ac:dyDescent="0.25">
      <c r="A155" s="1306"/>
      <c r="B155" s="683">
        <v>19</v>
      </c>
      <c r="C155" s="1310"/>
      <c r="D155" s="1305" t="s">
        <v>182</v>
      </c>
      <c r="E155" s="1308">
        <f>VLOOKUP(A151,UHT_MAT,53,FALSE)</f>
        <v>0</v>
      </c>
      <c r="F155" s="1908">
        <f t="shared" si="126"/>
        <v>0</v>
      </c>
      <c r="G155" s="1308"/>
      <c r="H155" s="1309">
        <f>VLOOKUP(B151,REKAP_NILAI,20,FALSE)</f>
        <v>0</v>
      </c>
      <c r="I155" s="1371">
        <f t="shared" si="127"/>
        <v>0</v>
      </c>
      <c r="J155" s="1372">
        <f t="shared" si="128"/>
        <v>0</v>
      </c>
      <c r="K155" s="1373" t="str">
        <f t="shared" si="129"/>
        <v>1.33</v>
      </c>
      <c r="L155" s="1373" t="str">
        <f t="shared" si="130"/>
        <v>D+</v>
      </c>
      <c r="M155" s="1374" t="str">
        <f t="shared" si="131"/>
        <v>0</v>
      </c>
      <c r="N155" s="1311"/>
      <c r="O155" s="1312"/>
      <c r="P155" s="1312"/>
      <c r="Q155" s="1312"/>
      <c r="R155" s="1312"/>
      <c r="S155" s="1312"/>
      <c r="T155" s="1312"/>
      <c r="U155" s="1313"/>
      <c r="V155" s="1314"/>
      <c r="W155" s="1314"/>
      <c r="X155" s="1314"/>
      <c r="Y155" s="1314"/>
      <c r="Z155" s="1314"/>
      <c r="AA155" s="1315"/>
      <c r="AB155" s="1253"/>
      <c r="AC155" s="1254"/>
    </row>
    <row r="156" spans="1:29" ht="24.95" customHeight="1" x14ac:dyDescent="0.25">
      <c r="A156" s="1306"/>
      <c r="B156" s="683">
        <v>19</v>
      </c>
      <c r="C156" s="1310"/>
      <c r="D156" s="1305" t="s">
        <v>566</v>
      </c>
      <c r="E156" s="1308">
        <f>VLOOKUP(A151,UHT_MAT,54,FALSE)</f>
        <v>0</v>
      </c>
      <c r="F156" s="1908">
        <f t="shared" si="126"/>
        <v>0</v>
      </c>
      <c r="G156" s="1308"/>
      <c r="H156" s="1309">
        <f>VLOOKUP(B151,REKAP_NILAI,21,FALSE)</f>
        <v>0</v>
      </c>
      <c r="I156" s="1371">
        <f t="shared" si="127"/>
        <v>0</v>
      </c>
      <c r="J156" s="1372">
        <f t="shared" si="128"/>
        <v>0</v>
      </c>
      <c r="K156" s="1373" t="str">
        <f t="shared" si="129"/>
        <v>1.33</v>
      </c>
      <c r="L156" s="1373" t="str">
        <f t="shared" si="130"/>
        <v>D+</v>
      </c>
      <c r="M156" s="1374" t="str">
        <f t="shared" si="131"/>
        <v>0</v>
      </c>
      <c r="N156" s="1311"/>
      <c r="O156" s="1312"/>
      <c r="P156" s="1312"/>
      <c r="Q156" s="1312"/>
      <c r="R156" s="1312"/>
      <c r="S156" s="1312"/>
      <c r="T156" s="1312"/>
      <c r="U156" s="1313"/>
      <c r="V156" s="1314"/>
      <c r="W156" s="1314"/>
      <c r="X156" s="1314"/>
      <c r="Y156" s="1314"/>
      <c r="Z156" s="1314"/>
      <c r="AA156" s="1315"/>
      <c r="AB156" s="1253"/>
      <c r="AC156" s="1254"/>
    </row>
    <row r="157" spans="1:29" ht="24.95" customHeight="1" x14ac:dyDescent="0.25">
      <c r="A157" s="1306"/>
      <c r="B157" s="683">
        <v>19</v>
      </c>
      <c r="C157" s="1310"/>
      <c r="D157" s="1305" t="s">
        <v>567</v>
      </c>
      <c r="E157" s="1308">
        <f>VLOOKUP(A151,UHT_MAT,55,FALSE)</f>
        <v>0</v>
      </c>
      <c r="F157" s="1908">
        <f t="shared" si="126"/>
        <v>0</v>
      </c>
      <c r="G157" s="1308"/>
      <c r="H157" s="1309">
        <f>VLOOKUP(B151,REKAP_NILAI,22,FALSE)</f>
        <v>0</v>
      </c>
      <c r="I157" s="1371">
        <f t="shared" si="127"/>
        <v>0</v>
      </c>
      <c r="J157" s="1372">
        <f t="shared" si="128"/>
        <v>0</v>
      </c>
      <c r="K157" s="1373" t="str">
        <f t="shared" si="129"/>
        <v>1.33</v>
      </c>
      <c r="L157" s="1373" t="str">
        <f t="shared" si="130"/>
        <v>D+</v>
      </c>
      <c r="M157" s="1374" t="str">
        <f t="shared" si="131"/>
        <v>0</v>
      </c>
      <c r="N157" s="1311"/>
      <c r="O157" s="1312"/>
      <c r="P157" s="1312"/>
      <c r="Q157" s="1312"/>
      <c r="R157" s="1312"/>
      <c r="S157" s="1312"/>
      <c r="T157" s="1312"/>
      <c r="U157" s="1313"/>
      <c r="V157" s="1314"/>
      <c r="W157" s="1314"/>
      <c r="X157" s="1314"/>
      <c r="Y157" s="1314"/>
      <c r="Z157" s="1314"/>
      <c r="AA157" s="1315"/>
      <c r="AB157" s="1255"/>
      <c r="AC157" s="1256"/>
    </row>
    <row r="158" spans="1:29" ht="24.95" customHeight="1" x14ac:dyDescent="0.3">
      <c r="A158" s="1337"/>
      <c r="B158" s="1338"/>
      <c r="C158" s="1339" t="s">
        <v>149</v>
      </c>
      <c r="D158" s="1319">
        <v>19</v>
      </c>
      <c r="E158" s="1320"/>
      <c r="F158" s="1909"/>
      <c r="G158" s="1320"/>
      <c r="H158" s="1321">
        <f>AVERAGE(H151:H157)</f>
        <v>0</v>
      </c>
      <c r="I158" s="1375"/>
      <c r="J158" s="1376">
        <f>AVERAGE(J151:J157)</f>
        <v>0</v>
      </c>
      <c r="K158" s="1377" t="str">
        <f t="shared" si="129"/>
        <v>1.33</v>
      </c>
      <c r="L158" s="1377" t="str">
        <f t="shared" si="130"/>
        <v>D+</v>
      </c>
      <c r="M158" s="1378" t="str">
        <f t="shared" si="131"/>
        <v>0</v>
      </c>
      <c r="N158" s="1347"/>
      <c r="O158" s="1348"/>
      <c r="P158" s="1348"/>
      <c r="Q158" s="1348"/>
      <c r="R158" s="1348"/>
      <c r="S158" s="1348"/>
      <c r="T158" s="1348"/>
      <c r="U158" s="1347"/>
      <c r="V158" s="1348"/>
      <c r="W158" s="1348"/>
      <c r="X158" s="1348"/>
      <c r="Y158" s="1348"/>
      <c r="Z158" s="1348"/>
      <c r="AA158" s="1349"/>
      <c r="AB158" s="1257"/>
      <c r="AC158" s="1258"/>
    </row>
    <row r="159" spans="1:29" ht="24.95" customHeight="1" thickBot="1" x14ac:dyDescent="0.3">
      <c r="A159" s="1325">
        <v>20</v>
      </c>
      <c r="B159" s="1326">
        <v>20</v>
      </c>
      <c r="C159" s="1327" t="str">
        <f>VLOOKUP(A159,data_siswa,4)</f>
        <v>Roby Ardiyansyah</v>
      </c>
      <c r="D159" s="1305" t="s">
        <v>10</v>
      </c>
      <c r="E159" s="1308">
        <f>VLOOKUP(A159,UHT_MAT,49,FALSE)</f>
        <v>0</v>
      </c>
      <c r="F159" s="1908">
        <f>E159*2</f>
        <v>0</v>
      </c>
      <c r="G159" s="1308"/>
      <c r="H159" s="1309">
        <f>VLOOKUP(B159,REKAP_NILAI,16,FALSE)</f>
        <v>0</v>
      </c>
      <c r="I159" s="1367">
        <f>F159+G159+H159</f>
        <v>0</v>
      </c>
      <c r="J159" s="1368">
        <f>(F159+G159+H159)/4</f>
        <v>0</v>
      </c>
      <c r="K159" s="1369" t="str">
        <f>IF(J159&gt;85,("4"),IF(J159&gt;80,("3.66"),IF(J159&gt;75,("3.33"),IF(J159&gt;70,("3.00"),IF(J159&gt;65,("2.66"),IF(J159&gt;60,("2.33"),IF(J159&gt;55,("2"),IF(J159&gt;50,("1.66"),"1.33"))))))))</f>
        <v>1.33</v>
      </c>
      <c r="L159" s="1369" t="str">
        <f>IF(J159&gt;85,("A"),IF(J159&gt;80,("A-"),IF(J159&gt;75,("B+"),IF(J159&gt;70,("B"),IF(J159&gt;65,("B-"),IF(J159&gt;60,("C+"),IF(J159&gt;55,("C"),IF(J159&gt;50,("C-"),"D+"))))))))</f>
        <v>D+</v>
      </c>
      <c r="M159" s="1370" t="str">
        <f>IF(J159&gt;80,("SB"),IF(J159&gt;65,("B"),IF(J159&gt;50,("C"),IF(J159&gt;0,("K"),"0"))))</f>
        <v>0</v>
      </c>
      <c r="N159" s="1343"/>
      <c r="O159" s="1344"/>
      <c r="P159" s="1344"/>
      <c r="Q159" s="1344"/>
      <c r="R159" s="1344"/>
      <c r="S159" s="1344"/>
      <c r="T159" s="1345"/>
      <c r="U159" s="1346"/>
      <c r="V159" s="1346"/>
      <c r="W159" s="1346"/>
      <c r="X159" s="1346"/>
      <c r="Y159" s="1346"/>
      <c r="Z159" s="1346"/>
      <c r="AA159" s="1346"/>
      <c r="AB159" s="1057">
        <f>J166</f>
        <v>0</v>
      </c>
      <c r="AC159" s="1194" t="str">
        <f>IF(AB159&gt;85,("A"),IF(AB159&gt;80,("A-"),IF(AB159&gt;75,("B+"),IF(AB159&gt;70,("B"),IF(AB159&gt;65,("B-"),IF(AB159&gt;60,("C+"),IF(AB159&gt;55,("C"),IF(AB159&gt;50,("C-"),"D+"))))))))</f>
        <v>D+</v>
      </c>
    </row>
    <row r="160" spans="1:29" ht="24.95" customHeight="1" x14ac:dyDescent="0.25">
      <c r="A160" s="1306"/>
      <c r="B160" s="683">
        <v>20</v>
      </c>
      <c r="C160" s="1310"/>
      <c r="D160" s="1305" t="s">
        <v>20</v>
      </c>
      <c r="E160" s="1308">
        <f>VLOOKUP(A159,UHT_MAT,50,FALSE)</f>
        <v>0</v>
      </c>
      <c r="F160" s="1908">
        <f t="shared" ref="F160:F165" si="132">E160*2</f>
        <v>0</v>
      </c>
      <c r="G160" s="1308"/>
      <c r="H160" s="1309">
        <f>VLOOKUP(B159,REKAP_NILAI,17,FALSE)</f>
        <v>0</v>
      </c>
      <c r="I160" s="1371">
        <f t="shared" ref="I160:I165" si="133">F160+G160+H160</f>
        <v>0</v>
      </c>
      <c r="J160" s="1372">
        <f t="shared" ref="J160:J165" si="134">(F160+G160+H160)/4</f>
        <v>0</v>
      </c>
      <c r="K160" s="1373" t="str">
        <f t="shared" ref="K160:K165" si="135">IF(J160&gt;85,("4"),IF(J160&gt;80,("3.66"),IF(J160&gt;75,("3.33"),IF(J160&gt;70,("3.00"),IF(J160&gt;65,("2.66"),IF(J160&gt;60,("2.33"),IF(J160&gt;55,("2"),IF(J160&gt;50,("1.66"),"1.33"))))))))</f>
        <v>1.33</v>
      </c>
      <c r="L160" s="1373" t="str">
        <f t="shared" ref="L160:L165" si="136">IF(J160&gt;85,("A"),IF(J160&gt;80,("A-"),IF(J160&gt;75,("B+"),IF(J160&gt;70,("B"),IF(J160&gt;65,("B-"),IF(J160&gt;60,("C+"),IF(J160&gt;55,("C"),IF(J160&gt;50,("C-"),"D+"))))))))</f>
        <v>D+</v>
      </c>
      <c r="M160" s="1374" t="str">
        <f t="shared" ref="M160:M165" si="137">IF(J160&gt;80,("SB"),IF(J160&gt;65,("B"),IF(J160&gt;50,("C"),IF(J160&gt;0,("K"),"0"))))</f>
        <v>0</v>
      </c>
      <c r="N160" s="1332"/>
      <c r="O160" s="1333"/>
      <c r="P160" s="1333"/>
      <c r="Q160" s="1333"/>
      <c r="R160" s="1333"/>
      <c r="S160" s="1333"/>
      <c r="T160" s="1333"/>
      <c r="U160" s="1334"/>
      <c r="V160" s="1335"/>
      <c r="W160" s="1335"/>
      <c r="X160" s="1335"/>
      <c r="Y160" s="1335"/>
      <c r="Z160" s="1335"/>
      <c r="AA160" s="1336"/>
      <c r="AB160" s="1251"/>
      <c r="AC160" s="1252"/>
    </row>
    <row r="161" spans="1:29" ht="24.95" customHeight="1" x14ac:dyDescent="0.25">
      <c r="A161" s="1306"/>
      <c r="B161" s="683">
        <v>20</v>
      </c>
      <c r="C161" s="1310"/>
      <c r="D161" s="1305" t="s">
        <v>19</v>
      </c>
      <c r="E161" s="1308">
        <f>VLOOKUP(A159,UHT_MAT,51,FALSE)</f>
        <v>0</v>
      </c>
      <c r="F161" s="1908">
        <f t="shared" si="132"/>
        <v>0</v>
      </c>
      <c r="G161" s="1308"/>
      <c r="H161" s="1309">
        <f>VLOOKUP(B159,REKAP_NILAI,18,FALSE)</f>
        <v>0</v>
      </c>
      <c r="I161" s="1371">
        <f t="shared" si="133"/>
        <v>0</v>
      </c>
      <c r="J161" s="1372">
        <f t="shared" si="134"/>
        <v>0</v>
      </c>
      <c r="K161" s="1373" t="str">
        <f t="shared" si="135"/>
        <v>1.33</v>
      </c>
      <c r="L161" s="1373" t="str">
        <f t="shared" si="136"/>
        <v>D+</v>
      </c>
      <c r="M161" s="1374" t="str">
        <f t="shared" si="137"/>
        <v>0</v>
      </c>
      <c r="N161" s="1311"/>
      <c r="O161" s="1312"/>
      <c r="P161" s="1312"/>
      <c r="Q161" s="1312"/>
      <c r="R161" s="1312"/>
      <c r="S161" s="1312"/>
      <c r="T161" s="1312"/>
      <c r="U161" s="1313"/>
      <c r="V161" s="1314"/>
      <c r="W161" s="1314"/>
      <c r="X161" s="1314"/>
      <c r="Y161" s="1314"/>
      <c r="Z161" s="1314"/>
      <c r="AA161" s="1315"/>
      <c r="AB161" s="1253"/>
      <c r="AC161" s="1254"/>
    </row>
    <row r="162" spans="1:29" ht="24.95" customHeight="1" x14ac:dyDescent="0.25">
      <c r="A162" s="1306"/>
      <c r="B162" s="683">
        <v>20</v>
      </c>
      <c r="C162" s="1310"/>
      <c r="D162" s="1305" t="s">
        <v>181</v>
      </c>
      <c r="E162" s="1308">
        <f>VLOOKUP(A159,UHT_MAT,52,FALSE)</f>
        <v>0</v>
      </c>
      <c r="F162" s="1908">
        <f t="shared" si="132"/>
        <v>0</v>
      </c>
      <c r="G162" s="1308"/>
      <c r="H162" s="1309">
        <f>VLOOKUP(B159,REKAP_NILAI,19,FALSE)</f>
        <v>0</v>
      </c>
      <c r="I162" s="1371">
        <f t="shared" si="133"/>
        <v>0</v>
      </c>
      <c r="J162" s="1372">
        <f t="shared" si="134"/>
        <v>0</v>
      </c>
      <c r="K162" s="1373" t="str">
        <f t="shared" si="135"/>
        <v>1.33</v>
      </c>
      <c r="L162" s="1373" t="str">
        <f t="shared" si="136"/>
        <v>D+</v>
      </c>
      <c r="M162" s="1374" t="str">
        <f t="shared" si="137"/>
        <v>0</v>
      </c>
      <c r="N162" s="1311"/>
      <c r="O162" s="1312"/>
      <c r="P162" s="1312"/>
      <c r="Q162" s="1312"/>
      <c r="R162" s="1312"/>
      <c r="S162" s="1312"/>
      <c r="T162" s="1312"/>
      <c r="U162" s="1313"/>
      <c r="V162" s="1314"/>
      <c r="W162" s="1314"/>
      <c r="X162" s="1314"/>
      <c r="Y162" s="1314"/>
      <c r="Z162" s="1314"/>
      <c r="AA162" s="1315"/>
      <c r="AB162" s="1253"/>
      <c r="AC162" s="1254"/>
    </row>
    <row r="163" spans="1:29" ht="24.95" customHeight="1" x14ac:dyDescent="0.25">
      <c r="A163" s="1306"/>
      <c r="B163" s="683">
        <v>20</v>
      </c>
      <c r="C163" s="1310"/>
      <c r="D163" s="1305" t="s">
        <v>182</v>
      </c>
      <c r="E163" s="1308">
        <f>VLOOKUP(A159,UHT_MAT,53,FALSE)</f>
        <v>0</v>
      </c>
      <c r="F163" s="1908">
        <f t="shared" si="132"/>
        <v>0</v>
      </c>
      <c r="G163" s="1308"/>
      <c r="H163" s="1309">
        <f>VLOOKUP(B159,REKAP_NILAI,20,FALSE)</f>
        <v>0</v>
      </c>
      <c r="I163" s="1371">
        <f t="shared" si="133"/>
        <v>0</v>
      </c>
      <c r="J163" s="1372">
        <f t="shared" si="134"/>
        <v>0</v>
      </c>
      <c r="K163" s="1373" t="str">
        <f t="shared" si="135"/>
        <v>1.33</v>
      </c>
      <c r="L163" s="1373" t="str">
        <f t="shared" si="136"/>
        <v>D+</v>
      </c>
      <c r="M163" s="1374" t="str">
        <f t="shared" si="137"/>
        <v>0</v>
      </c>
      <c r="N163" s="1311"/>
      <c r="O163" s="1312"/>
      <c r="P163" s="1312"/>
      <c r="Q163" s="1312"/>
      <c r="R163" s="1312"/>
      <c r="S163" s="1312"/>
      <c r="T163" s="1312"/>
      <c r="U163" s="1313"/>
      <c r="V163" s="1314"/>
      <c r="W163" s="1314"/>
      <c r="X163" s="1314"/>
      <c r="Y163" s="1314"/>
      <c r="Z163" s="1314"/>
      <c r="AA163" s="1315"/>
      <c r="AB163" s="1253"/>
      <c r="AC163" s="1254"/>
    </row>
    <row r="164" spans="1:29" ht="24.95" customHeight="1" x14ac:dyDescent="0.25">
      <c r="A164" s="1306"/>
      <c r="B164" s="683">
        <v>20</v>
      </c>
      <c r="C164" s="1310"/>
      <c r="D164" s="1305" t="s">
        <v>566</v>
      </c>
      <c r="E164" s="1308">
        <f>VLOOKUP(A159,UHT_MAT,54,FALSE)</f>
        <v>0</v>
      </c>
      <c r="F164" s="1908">
        <f t="shared" si="132"/>
        <v>0</v>
      </c>
      <c r="G164" s="1308"/>
      <c r="H164" s="1309">
        <f>VLOOKUP(B159,REKAP_NILAI,21,FALSE)</f>
        <v>0</v>
      </c>
      <c r="I164" s="1371">
        <f t="shared" si="133"/>
        <v>0</v>
      </c>
      <c r="J164" s="1372">
        <f t="shared" si="134"/>
        <v>0</v>
      </c>
      <c r="K164" s="1373" t="str">
        <f t="shared" si="135"/>
        <v>1.33</v>
      </c>
      <c r="L164" s="1373" t="str">
        <f t="shared" si="136"/>
        <v>D+</v>
      </c>
      <c r="M164" s="1374" t="str">
        <f t="shared" si="137"/>
        <v>0</v>
      </c>
      <c r="N164" s="1311"/>
      <c r="O164" s="1312"/>
      <c r="P164" s="1312"/>
      <c r="Q164" s="1312"/>
      <c r="R164" s="1312"/>
      <c r="S164" s="1312"/>
      <c r="T164" s="1312"/>
      <c r="U164" s="1313"/>
      <c r="V164" s="1314"/>
      <c r="W164" s="1314"/>
      <c r="X164" s="1314"/>
      <c r="Y164" s="1314"/>
      <c r="Z164" s="1314"/>
      <c r="AA164" s="1315"/>
      <c r="AB164" s="1253"/>
      <c r="AC164" s="1254"/>
    </row>
    <row r="165" spans="1:29" ht="24.95" customHeight="1" x14ac:dyDescent="0.25">
      <c r="A165" s="1306"/>
      <c r="B165" s="683">
        <v>20</v>
      </c>
      <c r="C165" s="1310"/>
      <c r="D165" s="1305" t="s">
        <v>567</v>
      </c>
      <c r="E165" s="1308">
        <f>VLOOKUP(A159,UHT_MAT,55,FALSE)</f>
        <v>0</v>
      </c>
      <c r="F165" s="1908">
        <f t="shared" si="132"/>
        <v>0</v>
      </c>
      <c r="G165" s="1308"/>
      <c r="H165" s="1309">
        <f>VLOOKUP(B159,REKAP_NILAI,22,FALSE)</f>
        <v>0</v>
      </c>
      <c r="I165" s="1371">
        <f t="shared" si="133"/>
        <v>0</v>
      </c>
      <c r="J165" s="1372">
        <f t="shared" si="134"/>
        <v>0</v>
      </c>
      <c r="K165" s="1373" t="str">
        <f t="shared" si="135"/>
        <v>1.33</v>
      </c>
      <c r="L165" s="1373" t="str">
        <f t="shared" si="136"/>
        <v>D+</v>
      </c>
      <c r="M165" s="1374" t="str">
        <f t="shared" si="137"/>
        <v>0</v>
      </c>
      <c r="N165" s="1311"/>
      <c r="O165" s="1312"/>
      <c r="P165" s="1312"/>
      <c r="Q165" s="1312"/>
      <c r="R165" s="1312"/>
      <c r="S165" s="1312"/>
      <c r="T165" s="1312"/>
      <c r="U165" s="1313"/>
      <c r="V165" s="1314"/>
      <c r="W165" s="1314"/>
      <c r="X165" s="1314"/>
      <c r="Y165" s="1314"/>
      <c r="Z165" s="1314"/>
      <c r="AA165" s="1315"/>
      <c r="AB165" s="1255"/>
      <c r="AC165" s="1256"/>
    </row>
    <row r="166" spans="1:29" ht="24.95" customHeight="1" x14ac:dyDescent="0.3">
      <c r="A166" s="1337"/>
      <c r="B166" s="1338"/>
      <c r="C166" s="1339" t="s">
        <v>149</v>
      </c>
      <c r="D166" s="1319">
        <v>20</v>
      </c>
      <c r="E166" s="1320"/>
      <c r="F166" s="1909"/>
      <c r="G166" s="1320"/>
      <c r="H166" s="1321">
        <f>AVERAGE(H159:H165)</f>
        <v>0</v>
      </c>
      <c r="I166" s="1375"/>
      <c r="J166" s="1376">
        <f>AVERAGE(J159:J165)</f>
        <v>0</v>
      </c>
      <c r="K166" s="1377" t="str">
        <f t="shared" ref="K166" si="138">IF(J166&gt;85,("4"),IF(J166&gt;80,("3.66"),IF(J166&gt;75,("3.33"),IF(J166&gt;70,("3.00"),IF(J166&gt;65,("2.66"),IF(J166&gt;60,("2.33"),IF(J166&gt;55,("2"),IF(J166&gt;50,("1.66"),"1.33"))))))))</f>
        <v>1.33</v>
      </c>
      <c r="L166" s="1377" t="str">
        <f t="shared" ref="L166" si="139">IF(J166&gt;85,("A"),IF(J166&gt;80,("A-"),IF(J166&gt;75,("B+"),IF(J166&gt;70,("B"),IF(J166&gt;65,("B-"),IF(J166&gt;60,("C+"),IF(J166&gt;55,("C"),IF(J166&gt;50,("C-"),"D+"))))))))</f>
        <v>D+</v>
      </c>
      <c r="M166" s="1378" t="str">
        <f t="shared" ref="M166" si="140">IF(J166&gt;80,("SB"),IF(J166&gt;65,("B"),IF(J166&gt;50,("C"),IF(J166&gt;0,("K"),"0"))))</f>
        <v>0</v>
      </c>
      <c r="N166" s="1347"/>
      <c r="O166" s="1348"/>
      <c r="P166" s="1348"/>
      <c r="Q166" s="1348"/>
      <c r="R166" s="1348"/>
      <c r="S166" s="1348"/>
      <c r="T166" s="1348"/>
      <c r="U166" s="1347"/>
      <c r="V166" s="1348"/>
      <c r="W166" s="1348"/>
      <c r="X166" s="1348"/>
      <c r="Y166" s="1348"/>
      <c r="Z166" s="1348"/>
      <c r="AA166" s="1349"/>
      <c r="AB166" s="1257"/>
      <c r="AC166" s="1258"/>
    </row>
    <row r="167" spans="1:29" ht="24.95" customHeight="1" thickBot="1" x14ac:dyDescent="0.3">
      <c r="A167" s="1325">
        <v>21</v>
      </c>
      <c r="B167" s="1326">
        <v>21</v>
      </c>
      <c r="C167" s="1327" t="str">
        <f>VLOOKUP(A167,data_siswa,4)</f>
        <v>Rojalingga Prana A</v>
      </c>
      <c r="D167" s="1305" t="s">
        <v>10</v>
      </c>
      <c r="E167" s="1308">
        <f>VLOOKUP(A167,UHT_MAT,49,FALSE)</f>
        <v>0</v>
      </c>
      <c r="F167" s="1908">
        <f>E167*2</f>
        <v>0</v>
      </c>
      <c r="G167" s="1308"/>
      <c r="H167" s="1309">
        <f>VLOOKUP(B167,REKAP_NILAI,16,FALSE)</f>
        <v>0</v>
      </c>
      <c r="I167" s="1367">
        <f>F167+G167+H167</f>
        <v>0</v>
      </c>
      <c r="J167" s="1368">
        <f>(F167+G167+H167)/4</f>
        <v>0</v>
      </c>
      <c r="K167" s="1369" t="str">
        <f>IF(J167&gt;85,("4"),IF(J167&gt;80,("3.66"),IF(J167&gt;75,("3.33"),IF(J167&gt;70,("3.00"),IF(J167&gt;65,("2.66"),IF(J167&gt;60,("2.33"),IF(J167&gt;55,("2"),IF(J167&gt;50,("1.66"),"1.33"))))))))</f>
        <v>1.33</v>
      </c>
      <c r="L167" s="1369" t="str">
        <f>IF(J167&gt;85,("A"),IF(J167&gt;80,("A-"),IF(J167&gt;75,("B+"),IF(J167&gt;70,("B"),IF(J167&gt;65,("B-"),IF(J167&gt;60,("C+"),IF(J167&gt;55,("C"),IF(J167&gt;50,("C-"),"D+"))))))))</f>
        <v>D+</v>
      </c>
      <c r="M167" s="1370" t="str">
        <f>IF(J167&gt;80,("SB"),IF(J167&gt;65,("B"),IF(J167&gt;50,("C"),IF(J167&gt;0,("K"),"0"))))</f>
        <v>0</v>
      </c>
      <c r="N167" s="1343"/>
      <c r="O167" s="1344"/>
      <c r="P167" s="1344"/>
      <c r="Q167" s="1344"/>
      <c r="R167" s="1344"/>
      <c r="S167" s="1344"/>
      <c r="T167" s="1345"/>
      <c r="U167" s="1346"/>
      <c r="V167" s="1346"/>
      <c r="W167" s="1346"/>
      <c r="X167" s="1346"/>
      <c r="Y167" s="1346"/>
      <c r="Z167" s="1346"/>
      <c r="AA167" s="1346"/>
      <c r="AB167" s="1057">
        <f>J174</f>
        <v>0</v>
      </c>
      <c r="AC167" s="1194" t="str">
        <f>IF(AB167&gt;85,("A"),IF(AB167&gt;80,("A-"),IF(AB167&gt;75,("B+"),IF(AB167&gt;70,("B"),IF(AB167&gt;65,("B-"),IF(AB167&gt;60,("C+"),IF(AB167&gt;55,("C"),IF(AB167&gt;50,("C-"),"D+"))))))))</f>
        <v>D+</v>
      </c>
    </row>
    <row r="168" spans="1:29" ht="24.95" customHeight="1" x14ac:dyDescent="0.25">
      <c r="A168" s="1306"/>
      <c r="B168" s="683">
        <v>21</v>
      </c>
      <c r="C168" s="1310"/>
      <c r="D168" s="1305" t="s">
        <v>20</v>
      </c>
      <c r="E168" s="1308">
        <f>VLOOKUP(A167,UHT_MAT,50,FALSE)</f>
        <v>0</v>
      </c>
      <c r="F168" s="1908">
        <f t="shared" ref="F168:F173" si="141">E168*2</f>
        <v>0</v>
      </c>
      <c r="G168" s="1308"/>
      <c r="H168" s="1309">
        <f>VLOOKUP(B167,REKAP_NILAI,17,FALSE)</f>
        <v>0</v>
      </c>
      <c r="I168" s="1371">
        <f t="shared" ref="I168:I173" si="142">F168+G168+H168</f>
        <v>0</v>
      </c>
      <c r="J168" s="1372">
        <f t="shared" ref="J168:J173" si="143">(F168+G168+H168)/4</f>
        <v>0</v>
      </c>
      <c r="K168" s="1373" t="str">
        <f t="shared" ref="K168:K174" si="144">IF(J168&gt;85,("4"),IF(J168&gt;80,("3.66"),IF(J168&gt;75,("3.33"),IF(J168&gt;70,("3.00"),IF(J168&gt;65,("2.66"),IF(J168&gt;60,("2.33"),IF(J168&gt;55,("2"),IF(J168&gt;50,("1.66"),"1.33"))))))))</f>
        <v>1.33</v>
      </c>
      <c r="L168" s="1373" t="str">
        <f t="shared" ref="L168:L174" si="145">IF(J168&gt;85,("A"),IF(J168&gt;80,("A-"),IF(J168&gt;75,("B+"),IF(J168&gt;70,("B"),IF(J168&gt;65,("B-"),IF(J168&gt;60,("C+"),IF(J168&gt;55,("C"),IF(J168&gt;50,("C-"),"D+"))))))))</f>
        <v>D+</v>
      </c>
      <c r="M168" s="1374" t="str">
        <f t="shared" ref="M168:M174" si="146">IF(J168&gt;80,("SB"),IF(J168&gt;65,("B"),IF(J168&gt;50,("C"),IF(J168&gt;0,("K"),"0"))))</f>
        <v>0</v>
      </c>
      <c r="N168" s="1332"/>
      <c r="O168" s="1333"/>
      <c r="P168" s="1333"/>
      <c r="Q168" s="1333"/>
      <c r="R168" s="1333"/>
      <c r="S168" s="1333"/>
      <c r="T168" s="1333"/>
      <c r="U168" s="1334"/>
      <c r="V168" s="1335"/>
      <c r="W168" s="1335"/>
      <c r="X168" s="1335"/>
      <c r="Y168" s="1335"/>
      <c r="Z168" s="1335"/>
      <c r="AA168" s="1336"/>
      <c r="AB168" s="1251"/>
      <c r="AC168" s="1252"/>
    </row>
    <row r="169" spans="1:29" ht="24.95" customHeight="1" x14ac:dyDescent="0.25">
      <c r="A169" s="1306"/>
      <c r="B169" s="683">
        <v>21</v>
      </c>
      <c r="C169" s="1310"/>
      <c r="D169" s="1305" t="s">
        <v>19</v>
      </c>
      <c r="E169" s="1308">
        <f>VLOOKUP(A167,UHT_MAT,51,FALSE)</f>
        <v>0</v>
      </c>
      <c r="F169" s="1908">
        <f t="shared" si="141"/>
        <v>0</v>
      </c>
      <c r="G169" s="1308"/>
      <c r="H169" s="1309">
        <f>VLOOKUP(B167,REKAP_NILAI,18,FALSE)</f>
        <v>0</v>
      </c>
      <c r="I169" s="1371">
        <f t="shared" si="142"/>
        <v>0</v>
      </c>
      <c r="J169" s="1372">
        <f t="shared" si="143"/>
        <v>0</v>
      </c>
      <c r="K169" s="1373" t="str">
        <f t="shared" si="144"/>
        <v>1.33</v>
      </c>
      <c r="L169" s="1373" t="str">
        <f t="shared" si="145"/>
        <v>D+</v>
      </c>
      <c r="M169" s="1374" t="str">
        <f t="shared" si="146"/>
        <v>0</v>
      </c>
      <c r="N169" s="1311"/>
      <c r="O169" s="1312"/>
      <c r="P169" s="1312"/>
      <c r="Q169" s="1312"/>
      <c r="R169" s="1312"/>
      <c r="S169" s="1312"/>
      <c r="T169" s="1312"/>
      <c r="U169" s="1313"/>
      <c r="V169" s="1314"/>
      <c r="W169" s="1314"/>
      <c r="X169" s="1314"/>
      <c r="Y169" s="1314"/>
      <c r="Z169" s="1314"/>
      <c r="AA169" s="1315"/>
      <c r="AB169" s="1253"/>
      <c r="AC169" s="1254"/>
    </row>
    <row r="170" spans="1:29" ht="24.95" customHeight="1" x14ac:dyDescent="0.25">
      <c r="A170" s="1306"/>
      <c r="B170" s="683">
        <v>21</v>
      </c>
      <c r="C170" s="1310"/>
      <c r="D170" s="1305" t="s">
        <v>181</v>
      </c>
      <c r="E170" s="1308">
        <f>VLOOKUP(A167,UHT_MAT,52,FALSE)</f>
        <v>0</v>
      </c>
      <c r="F170" s="1908">
        <f t="shared" si="141"/>
        <v>0</v>
      </c>
      <c r="G170" s="1308"/>
      <c r="H170" s="1309">
        <f>VLOOKUP(B167,REKAP_NILAI,19,FALSE)</f>
        <v>0</v>
      </c>
      <c r="I170" s="1371">
        <f t="shared" si="142"/>
        <v>0</v>
      </c>
      <c r="J170" s="1372">
        <f t="shared" si="143"/>
        <v>0</v>
      </c>
      <c r="K170" s="1373" t="str">
        <f t="shared" si="144"/>
        <v>1.33</v>
      </c>
      <c r="L170" s="1373" t="str">
        <f t="shared" si="145"/>
        <v>D+</v>
      </c>
      <c r="M170" s="1374" t="str">
        <f t="shared" si="146"/>
        <v>0</v>
      </c>
      <c r="N170" s="1311"/>
      <c r="O170" s="1312"/>
      <c r="P170" s="1312"/>
      <c r="Q170" s="1312"/>
      <c r="R170" s="1312"/>
      <c r="S170" s="1312"/>
      <c r="T170" s="1312"/>
      <c r="U170" s="1313"/>
      <c r="V170" s="1314"/>
      <c r="W170" s="1314"/>
      <c r="X170" s="1314"/>
      <c r="Y170" s="1314"/>
      <c r="Z170" s="1314"/>
      <c r="AA170" s="1315"/>
      <c r="AB170" s="1253"/>
      <c r="AC170" s="1254"/>
    </row>
    <row r="171" spans="1:29" ht="24.95" customHeight="1" x14ac:dyDescent="0.25">
      <c r="A171" s="1306"/>
      <c r="B171" s="683">
        <v>21</v>
      </c>
      <c r="C171" s="1310"/>
      <c r="D171" s="1305" t="s">
        <v>182</v>
      </c>
      <c r="E171" s="1308">
        <f>VLOOKUP(A167,UHT_MAT,53,FALSE)</f>
        <v>0</v>
      </c>
      <c r="F171" s="1908">
        <f t="shared" si="141"/>
        <v>0</v>
      </c>
      <c r="G171" s="1308"/>
      <c r="H171" s="1309">
        <f>VLOOKUP(B167,REKAP_NILAI,20,FALSE)</f>
        <v>0</v>
      </c>
      <c r="I171" s="1371">
        <f t="shared" si="142"/>
        <v>0</v>
      </c>
      <c r="J171" s="1372">
        <f t="shared" si="143"/>
        <v>0</v>
      </c>
      <c r="K171" s="1373" t="str">
        <f t="shared" si="144"/>
        <v>1.33</v>
      </c>
      <c r="L171" s="1373" t="str">
        <f t="shared" si="145"/>
        <v>D+</v>
      </c>
      <c r="M171" s="1374" t="str">
        <f t="shared" si="146"/>
        <v>0</v>
      </c>
      <c r="N171" s="1311"/>
      <c r="O171" s="1312"/>
      <c r="P171" s="1312"/>
      <c r="Q171" s="1312"/>
      <c r="R171" s="1312"/>
      <c r="S171" s="1312"/>
      <c r="T171" s="1312"/>
      <c r="U171" s="1313"/>
      <c r="V171" s="1314"/>
      <c r="W171" s="1314"/>
      <c r="X171" s="1314"/>
      <c r="Y171" s="1314"/>
      <c r="Z171" s="1314"/>
      <c r="AA171" s="1315"/>
      <c r="AB171" s="1253"/>
      <c r="AC171" s="1254"/>
    </row>
    <row r="172" spans="1:29" ht="24.95" customHeight="1" x14ac:dyDescent="0.25">
      <c r="A172" s="1306"/>
      <c r="B172" s="683">
        <v>21</v>
      </c>
      <c r="C172" s="1310"/>
      <c r="D172" s="1305" t="s">
        <v>566</v>
      </c>
      <c r="E172" s="1308">
        <f>VLOOKUP(A167,UHT_MAT,54,FALSE)</f>
        <v>0</v>
      </c>
      <c r="F172" s="1908">
        <f t="shared" si="141"/>
        <v>0</v>
      </c>
      <c r="G172" s="1308"/>
      <c r="H172" s="1309">
        <f>VLOOKUP(B167,REKAP_NILAI,21,FALSE)</f>
        <v>0</v>
      </c>
      <c r="I172" s="1371">
        <f t="shared" si="142"/>
        <v>0</v>
      </c>
      <c r="J172" s="1372">
        <f t="shared" si="143"/>
        <v>0</v>
      </c>
      <c r="K172" s="1373" t="str">
        <f t="shared" si="144"/>
        <v>1.33</v>
      </c>
      <c r="L172" s="1373" t="str">
        <f t="shared" si="145"/>
        <v>D+</v>
      </c>
      <c r="M172" s="1374" t="str">
        <f t="shared" si="146"/>
        <v>0</v>
      </c>
      <c r="N172" s="1311"/>
      <c r="O172" s="1312"/>
      <c r="P172" s="1312"/>
      <c r="Q172" s="1312"/>
      <c r="R172" s="1312"/>
      <c r="S172" s="1312"/>
      <c r="T172" s="1312"/>
      <c r="U172" s="1313"/>
      <c r="V172" s="1314"/>
      <c r="W172" s="1314"/>
      <c r="X172" s="1314"/>
      <c r="Y172" s="1314"/>
      <c r="Z172" s="1314"/>
      <c r="AA172" s="1315"/>
      <c r="AB172" s="1253"/>
      <c r="AC172" s="1254"/>
    </row>
    <row r="173" spans="1:29" ht="24.95" customHeight="1" x14ac:dyDescent="0.25">
      <c r="A173" s="1306"/>
      <c r="B173" s="683">
        <v>21</v>
      </c>
      <c r="C173" s="1310"/>
      <c r="D173" s="1305" t="s">
        <v>567</v>
      </c>
      <c r="E173" s="1308">
        <f>VLOOKUP(A167,UHT_MAT,55,FALSE)</f>
        <v>0</v>
      </c>
      <c r="F173" s="1908">
        <f t="shared" si="141"/>
        <v>0</v>
      </c>
      <c r="G173" s="1308"/>
      <c r="H173" s="1309">
        <f>VLOOKUP(B167,REKAP_NILAI,22,FALSE)</f>
        <v>0</v>
      </c>
      <c r="I173" s="1371">
        <f t="shared" si="142"/>
        <v>0</v>
      </c>
      <c r="J173" s="1372">
        <f t="shared" si="143"/>
        <v>0</v>
      </c>
      <c r="K173" s="1373" t="str">
        <f t="shared" si="144"/>
        <v>1.33</v>
      </c>
      <c r="L173" s="1373" t="str">
        <f t="shared" si="145"/>
        <v>D+</v>
      </c>
      <c r="M173" s="1374" t="str">
        <f t="shared" si="146"/>
        <v>0</v>
      </c>
      <c r="N173" s="1311"/>
      <c r="O173" s="1312"/>
      <c r="P173" s="1312"/>
      <c r="Q173" s="1312"/>
      <c r="R173" s="1312"/>
      <c r="S173" s="1312"/>
      <c r="T173" s="1312"/>
      <c r="U173" s="1313"/>
      <c r="V173" s="1314"/>
      <c r="W173" s="1314"/>
      <c r="X173" s="1314"/>
      <c r="Y173" s="1314"/>
      <c r="Z173" s="1314"/>
      <c r="AA173" s="1315"/>
      <c r="AB173" s="1255"/>
      <c r="AC173" s="1256"/>
    </row>
    <row r="174" spans="1:29" ht="24.95" customHeight="1" x14ac:dyDescent="0.3">
      <c r="A174" s="1337"/>
      <c r="B174" s="1338"/>
      <c r="C174" s="1339" t="s">
        <v>149</v>
      </c>
      <c r="D174" s="1319">
        <v>21</v>
      </c>
      <c r="E174" s="1320"/>
      <c r="F174" s="1909"/>
      <c r="G174" s="1320"/>
      <c r="H174" s="1321">
        <f>AVERAGE(H167:H173)</f>
        <v>0</v>
      </c>
      <c r="I174" s="1375"/>
      <c r="J174" s="1376">
        <f>AVERAGE(J167:J173)</f>
        <v>0</v>
      </c>
      <c r="K174" s="1377" t="str">
        <f t="shared" si="144"/>
        <v>1.33</v>
      </c>
      <c r="L174" s="1377" t="str">
        <f t="shared" si="145"/>
        <v>D+</v>
      </c>
      <c r="M174" s="1378" t="str">
        <f t="shared" si="146"/>
        <v>0</v>
      </c>
      <c r="N174" s="1347"/>
      <c r="O174" s="1348"/>
      <c r="P174" s="1348"/>
      <c r="Q174" s="1348"/>
      <c r="R174" s="1348"/>
      <c r="S174" s="1348"/>
      <c r="T174" s="1348"/>
      <c r="U174" s="1347"/>
      <c r="V174" s="1348"/>
      <c r="W174" s="1348"/>
      <c r="X174" s="1348"/>
      <c r="Y174" s="1348"/>
      <c r="Z174" s="1348"/>
      <c r="AA174" s="1349"/>
      <c r="AB174" s="1257"/>
      <c r="AC174" s="1258"/>
    </row>
    <row r="175" spans="1:29" ht="24.95" customHeight="1" x14ac:dyDescent="0.25">
      <c r="A175" s="1353">
        <v>22</v>
      </c>
      <c r="B175" s="1326">
        <v>22</v>
      </c>
      <c r="C175" s="1327" t="str">
        <f>VLOOKUP(A175,data_siswa,4)</f>
        <v>Sally Savista A</v>
      </c>
      <c r="D175" s="1305" t="s">
        <v>10</v>
      </c>
      <c r="E175" s="1308">
        <f>VLOOKUP(A175,UHT_MAT,49,FALSE)</f>
        <v>0</v>
      </c>
      <c r="F175" s="1908">
        <f>E175*2</f>
        <v>0</v>
      </c>
      <c r="G175" s="1308"/>
      <c r="H175" s="1309">
        <f>VLOOKUP(B175,REKAP_NILAI,16,FALSE)</f>
        <v>0</v>
      </c>
      <c r="I175" s="1367">
        <f>F175+G175+H175</f>
        <v>0</v>
      </c>
      <c r="J175" s="1368">
        <f>(F175+G175+H175)/4</f>
        <v>0</v>
      </c>
      <c r="K175" s="1369" t="str">
        <f>IF(J175&gt;85,("4"),IF(J175&gt;80,("3.66"),IF(J175&gt;75,("3.33"),IF(J175&gt;70,("3.00"),IF(J175&gt;65,("2.66"),IF(J175&gt;60,("2.33"),IF(J175&gt;55,("2"),IF(J175&gt;50,("1.66"),"1.33"))))))))</f>
        <v>1.33</v>
      </c>
      <c r="L175" s="1369" t="str">
        <f>IF(J175&gt;85,("A"),IF(J175&gt;80,("A-"),IF(J175&gt;75,("B+"),IF(J175&gt;70,("B"),IF(J175&gt;65,("B-"),IF(J175&gt;60,("C+"),IF(J175&gt;55,("C"),IF(J175&gt;50,("C-"),"D+"))))))))</f>
        <v>D+</v>
      </c>
      <c r="M175" s="1370" t="str">
        <f>IF(J175&gt;80,("SB"),IF(J175&gt;65,("B"),IF(J175&gt;50,("C"),IF(J175&gt;0,("K"),"0"))))</f>
        <v>0</v>
      </c>
      <c r="N175" s="1354"/>
      <c r="O175" s="1355"/>
      <c r="P175" s="1355"/>
      <c r="Q175" s="1355"/>
      <c r="R175" s="1355"/>
      <c r="S175" s="1355"/>
      <c r="T175" s="1356"/>
      <c r="U175" s="1357"/>
      <c r="V175" s="1357"/>
      <c r="W175" s="1357"/>
      <c r="X175" s="1357"/>
      <c r="Y175" s="1357"/>
      <c r="Z175" s="1357"/>
      <c r="AA175" s="1357"/>
      <c r="AB175" s="1057">
        <f>J182</f>
        <v>0</v>
      </c>
      <c r="AC175" s="1194" t="str">
        <f>IF(AB175&gt;85,("A"),IF(AB175&gt;80,("A-"),IF(AB175&gt;75,("B+"),IF(AB175&gt;70,("B"),IF(AB175&gt;65,("B-"),IF(AB175&gt;60,("C+"),IF(AB175&gt;55,("C"),IF(AB175&gt;50,("C-"),"D+"))))))))</f>
        <v>D+</v>
      </c>
    </row>
    <row r="176" spans="1:29" ht="24.95" customHeight="1" x14ac:dyDescent="0.25">
      <c r="A176" s="1306"/>
      <c r="B176" s="683">
        <v>22</v>
      </c>
      <c r="C176" s="1310"/>
      <c r="D176" s="1305" t="s">
        <v>20</v>
      </c>
      <c r="E176" s="1308">
        <f>VLOOKUP(A175,UHT_MAT,50,FALSE)</f>
        <v>0</v>
      </c>
      <c r="F176" s="1908">
        <f t="shared" ref="F176:F181" si="147">E176*2</f>
        <v>0</v>
      </c>
      <c r="G176" s="1308"/>
      <c r="H176" s="1309">
        <f>VLOOKUP(B175,REKAP_NILAI,17,FALSE)</f>
        <v>0</v>
      </c>
      <c r="I176" s="1371">
        <f t="shared" ref="I176:I181" si="148">F176+G176+H176</f>
        <v>0</v>
      </c>
      <c r="J176" s="1372">
        <f t="shared" ref="J176:J181" si="149">(F176+G176+H176)/4</f>
        <v>0</v>
      </c>
      <c r="K176" s="1373" t="str">
        <f t="shared" ref="K176:K182" si="150">IF(J176&gt;85,("4"),IF(J176&gt;80,("3.66"),IF(J176&gt;75,("3.33"),IF(J176&gt;70,("3.00"),IF(J176&gt;65,("2.66"),IF(J176&gt;60,("2.33"),IF(J176&gt;55,("2"),IF(J176&gt;50,("1.66"),"1.33"))))))))</f>
        <v>1.33</v>
      </c>
      <c r="L176" s="1373" t="str">
        <f t="shared" ref="L176:L182" si="151">IF(J176&gt;85,("A"),IF(J176&gt;80,("A-"),IF(J176&gt;75,("B+"),IF(J176&gt;70,("B"),IF(J176&gt;65,("B-"),IF(J176&gt;60,("C+"),IF(J176&gt;55,("C"),IF(J176&gt;50,("C-"),"D+"))))))))</f>
        <v>D+</v>
      </c>
      <c r="M176" s="1374" t="str">
        <f t="shared" ref="M176:M182" si="152">IF(J176&gt;80,("SB"),IF(J176&gt;65,("B"),IF(J176&gt;50,("C"),IF(J176&gt;0,("K"),"0"))))</f>
        <v>0</v>
      </c>
      <c r="N176" s="1332"/>
      <c r="O176" s="1333"/>
      <c r="P176" s="1333"/>
      <c r="Q176" s="1333"/>
      <c r="R176" s="1333"/>
      <c r="S176" s="1333"/>
      <c r="T176" s="1333"/>
      <c r="U176" s="1334"/>
      <c r="V176" s="1335"/>
      <c r="W176" s="1335"/>
      <c r="X176" s="1335"/>
      <c r="Y176" s="1335"/>
      <c r="Z176" s="1335"/>
      <c r="AA176" s="1336"/>
      <c r="AB176" s="1251"/>
      <c r="AC176" s="1252"/>
    </row>
    <row r="177" spans="1:29" ht="24.95" customHeight="1" x14ac:dyDescent="0.25">
      <c r="A177" s="1306"/>
      <c r="B177" s="683">
        <v>22</v>
      </c>
      <c r="C177" s="1310"/>
      <c r="D177" s="1305" t="s">
        <v>19</v>
      </c>
      <c r="E177" s="1308">
        <f>VLOOKUP(A175,UHT_MAT,51,FALSE)</f>
        <v>0</v>
      </c>
      <c r="F177" s="1908">
        <f t="shared" si="147"/>
        <v>0</v>
      </c>
      <c r="G177" s="1308"/>
      <c r="H177" s="1309">
        <f>VLOOKUP(B175,REKAP_NILAI,18,FALSE)</f>
        <v>0</v>
      </c>
      <c r="I177" s="1371">
        <f t="shared" si="148"/>
        <v>0</v>
      </c>
      <c r="J177" s="1372">
        <f t="shared" si="149"/>
        <v>0</v>
      </c>
      <c r="K177" s="1373" t="str">
        <f t="shared" si="150"/>
        <v>1.33</v>
      </c>
      <c r="L177" s="1373" t="str">
        <f t="shared" si="151"/>
        <v>D+</v>
      </c>
      <c r="M177" s="1374" t="str">
        <f t="shared" si="152"/>
        <v>0</v>
      </c>
      <c r="N177" s="1311"/>
      <c r="O177" s="1312"/>
      <c r="P177" s="1312"/>
      <c r="Q177" s="1312"/>
      <c r="R177" s="1312"/>
      <c r="S177" s="1312"/>
      <c r="T177" s="1312"/>
      <c r="U177" s="1313"/>
      <c r="V177" s="1314"/>
      <c r="W177" s="1314"/>
      <c r="X177" s="1314"/>
      <c r="Y177" s="1314"/>
      <c r="Z177" s="1314"/>
      <c r="AA177" s="1315"/>
      <c r="AB177" s="1253"/>
      <c r="AC177" s="1254"/>
    </row>
    <row r="178" spans="1:29" ht="24.95" customHeight="1" x14ac:dyDescent="0.25">
      <c r="A178" s="1306"/>
      <c r="B178" s="683">
        <v>22</v>
      </c>
      <c r="C178" s="1310"/>
      <c r="D178" s="1305" t="s">
        <v>181</v>
      </c>
      <c r="E178" s="1308">
        <f>VLOOKUP(A175,UHT_MAT,52,FALSE)</f>
        <v>0</v>
      </c>
      <c r="F178" s="1908">
        <f t="shared" si="147"/>
        <v>0</v>
      </c>
      <c r="G178" s="1308"/>
      <c r="H178" s="1309">
        <f>VLOOKUP(B175,REKAP_NILAI,19,FALSE)</f>
        <v>0</v>
      </c>
      <c r="I178" s="1371">
        <f t="shared" si="148"/>
        <v>0</v>
      </c>
      <c r="J178" s="1372">
        <f t="shared" si="149"/>
        <v>0</v>
      </c>
      <c r="K178" s="1373" t="str">
        <f t="shared" si="150"/>
        <v>1.33</v>
      </c>
      <c r="L178" s="1373" t="str">
        <f t="shared" si="151"/>
        <v>D+</v>
      </c>
      <c r="M178" s="1374" t="str">
        <f t="shared" si="152"/>
        <v>0</v>
      </c>
      <c r="N178" s="1311"/>
      <c r="O178" s="1312"/>
      <c r="P178" s="1312"/>
      <c r="Q178" s="1312"/>
      <c r="R178" s="1312"/>
      <c r="S178" s="1312"/>
      <c r="T178" s="1312"/>
      <c r="U178" s="1313"/>
      <c r="V178" s="1314"/>
      <c r="W178" s="1314"/>
      <c r="X178" s="1314"/>
      <c r="Y178" s="1314"/>
      <c r="Z178" s="1314"/>
      <c r="AA178" s="1315"/>
      <c r="AB178" s="1253"/>
      <c r="AC178" s="1254"/>
    </row>
    <row r="179" spans="1:29" ht="24.95" customHeight="1" x14ac:dyDescent="0.25">
      <c r="A179" s="1306"/>
      <c r="B179" s="683">
        <v>22</v>
      </c>
      <c r="C179" s="1310"/>
      <c r="D179" s="1305" t="s">
        <v>182</v>
      </c>
      <c r="E179" s="1308">
        <f>VLOOKUP(A175,UHT_MAT,53,FALSE)</f>
        <v>0</v>
      </c>
      <c r="F179" s="1908">
        <f t="shared" si="147"/>
        <v>0</v>
      </c>
      <c r="G179" s="1308"/>
      <c r="H179" s="1309">
        <f>VLOOKUP(B175,REKAP_NILAI,20,FALSE)</f>
        <v>0</v>
      </c>
      <c r="I179" s="1371">
        <f t="shared" si="148"/>
        <v>0</v>
      </c>
      <c r="J179" s="1372">
        <f t="shared" si="149"/>
        <v>0</v>
      </c>
      <c r="K179" s="1373" t="str">
        <f t="shared" si="150"/>
        <v>1.33</v>
      </c>
      <c r="L179" s="1373" t="str">
        <f t="shared" si="151"/>
        <v>D+</v>
      </c>
      <c r="M179" s="1374" t="str">
        <f t="shared" si="152"/>
        <v>0</v>
      </c>
      <c r="N179" s="1311"/>
      <c r="O179" s="1312"/>
      <c r="P179" s="1312"/>
      <c r="Q179" s="1312"/>
      <c r="R179" s="1312"/>
      <c r="S179" s="1312"/>
      <c r="T179" s="1312"/>
      <c r="U179" s="1313"/>
      <c r="V179" s="1314"/>
      <c r="W179" s="1314"/>
      <c r="X179" s="1314"/>
      <c r="Y179" s="1314"/>
      <c r="Z179" s="1314"/>
      <c r="AA179" s="1315"/>
      <c r="AB179" s="1253"/>
      <c r="AC179" s="1254"/>
    </row>
    <row r="180" spans="1:29" ht="24.95" customHeight="1" x14ac:dyDescent="0.25">
      <c r="A180" s="1306"/>
      <c r="B180" s="683">
        <v>22</v>
      </c>
      <c r="C180" s="1310"/>
      <c r="D180" s="1305" t="s">
        <v>566</v>
      </c>
      <c r="E180" s="1308">
        <f>VLOOKUP(A175,UHT_MAT,54,FALSE)</f>
        <v>0</v>
      </c>
      <c r="F180" s="1908">
        <f t="shared" si="147"/>
        <v>0</v>
      </c>
      <c r="G180" s="1308"/>
      <c r="H180" s="1309">
        <f>VLOOKUP(B175,REKAP_NILAI,21,FALSE)</f>
        <v>0</v>
      </c>
      <c r="I180" s="1371">
        <f t="shared" si="148"/>
        <v>0</v>
      </c>
      <c r="J180" s="1372">
        <f t="shared" si="149"/>
        <v>0</v>
      </c>
      <c r="K180" s="1373" t="str">
        <f t="shared" si="150"/>
        <v>1.33</v>
      </c>
      <c r="L180" s="1373" t="str">
        <f t="shared" si="151"/>
        <v>D+</v>
      </c>
      <c r="M180" s="1374" t="str">
        <f t="shared" si="152"/>
        <v>0</v>
      </c>
      <c r="N180" s="1311"/>
      <c r="O180" s="1312"/>
      <c r="P180" s="1312"/>
      <c r="Q180" s="1312"/>
      <c r="R180" s="1312"/>
      <c r="S180" s="1312"/>
      <c r="T180" s="1312"/>
      <c r="U180" s="1313"/>
      <c r="V180" s="1314"/>
      <c r="W180" s="1314"/>
      <c r="X180" s="1314"/>
      <c r="Y180" s="1314"/>
      <c r="Z180" s="1314"/>
      <c r="AA180" s="1315"/>
      <c r="AB180" s="1253"/>
      <c r="AC180" s="1254"/>
    </row>
    <row r="181" spans="1:29" ht="24.95" customHeight="1" x14ac:dyDescent="0.25">
      <c r="A181" s="1306"/>
      <c r="B181" s="683">
        <v>22</v>
      </c>
      <c r="C181" s="1310"/>
      <c r="D181" s="1305" t="s">
        <v>567</v>
      </c>
      <c r="E181" s="1308">
        <f>VLOOKUP(A175,UHT_MAT,55,FALSE)</f>
        <v>0</v>
      </c>
      <c r="F181" s="1908">
        <f t="shared" si="147"/>
        <v>0</v>
      </c>
      <c r="G181" s="1308"/>
      <c r="H181" s="1309">
        <f>VLOOKUP(B175,REKAP_NILAI,22,FALSE)</f>
        <v>0</v>
      </c>
      <c r="I181" s="1371">
        <f t="shared" si="148"/>
        <v>0</v>
      </c>
      <c r="J181" s="1372">
        <f t="shared" si="149"/>
        <v>0</v>
      </c>
      <c r="K181" s="1373" t="str">
        <f t="shared" si="150"/>
        <v>1.33</v>
      </c>
      <c r="L181" s="1373" t="str">
        <f t="shared" si="151"/>
        <v>D+</v>
      </c>
      <c r="M181" s="1374" t="str">
        <f t="shared" si="152"/>
        <v>0</v>
      </c>
      <c r="N181" s="1311"/>
      <c r="O181" s="1312"/>
      <c r="P181" s="1312"/>
      <c r="Q181" s="1312"/>
      <c r="R181" s="1312"/>
      <c r="S181" s="1312"/>
      <c r="T181" s="1312"/>
      <c r="U181" s="1313"/>
      <c r="V181" s="1314"/>
      <c r="W181" s="1314"/>
      <c r="X181" s="1314"/>
      <c r="Y181" s="1314"/>
      <c r="Z181" s="1314"/>
      <c r="AA181" s="1315"/>
      <c r="AB181" s="1255"/>
      <c r="AC181" s="1256"/>
    </row>
    <row r="182" spans="1:29" ht="24.95" customHeight="1" x14ac:dyDescent="0.3">
      <c r="A182" s="1337"/>
      <c r="B182" s="1338"/>
      <c r="C182" s="1339" t="s">
        <v>149</v>
      </c>
      <c r="D182" s="1319">
        <v>22</v>
      </c>
      <c r="E182" s="1320"/>
      <c r="F182" s="1909"/>
      <c r="G182" s="1320"/>
      <c r="H182" s="1321">
        <f>AVERAGE(H175:H181)</f>
        <v>0</v>
      </c>
      <c r="I182" s="1375"/>
      <c r="J182" s="1376">
        <f>AVERAGE(J175:J181)</f>
        <v>0</v>
      </c>
      <c r="K182" s="1377" t="str">
        <f t="shared" si="150"/>
        <v>1.33</v>
      </c>
      <c r="L182" s="1377" t="str">
        <f t="shared" si="151"/>
        <v>D+</v>
      </c>
      <c r="M182" s="1378" t="str">
        <f t="shared" si="152"/>
        <v>0</v>
      </c>
      <c r="N182" s="1322"/>
      <c r="O182" s="1323"/>
      <c r="P182" s="1323"/>
      <c r="Q182" s="1323"/>
      <c r="R182" s="1323"/>
      <c r="S182" s="1323"/>
      <c r="T182" s="1323"/>
      <c r="U182" s="1322"/>
      <c r="V182" s="1323"/>
      <c r="W182" s="1323"/>
      <c r="X182" s="1323"/>
      <c r="Y182" s="1323"/>
      <c r="Z182" s="1323"/>
      <c r="AA182" s="1324"/>
      <c r="AB182" s="1257"/>
      <c r="AC182" s="1258"/>
    </row>
    <row r="183" spans="1:29" ht="24.95" customHeight="1" x14ac:dyDescent="0.25">
      <c r="A183" s="1325">
        <v>23</v>
      </c>
      <c r="B183" s="1326">
        <v>23</v>
      </c>
      <c r="C183" s="1327" t="str">
        <f>VLOOKUP(A183,data_siswa,4)</f>
        <v xml:space="preserve">Tania Kaori Angelita </v>
      </c>
      <c r="D183" s="1305" t="s">
        <v>10</v>
      </c>
      <c r="E183" s="1308">
        <f>VLOOKUP(A183,UHT_MAT,49,FALSE)</f>
        <v>0</v>
      </c>
      <c r="F183" s="1908">
        <f>E183*2</f>
        <v>0</v>
      </c>
      <c r="G183" s="1308"/>
      <c r="H183" s="1309">
        <f>VLOOKUP(B183,REKAP_NILAI,16,FALSE)</f>
        <v>0</v>
      </c>
      <c r="I183" s="1367">
        <f>F183+G183+H183</f>
        <v>0</v>
      </c>
      <c r="J183" s="1368">
        <f>(F183+G183+H183)/4</f>
        <v>0</v>
      </c>
      <c r="K183" s="1369" t="str">
        <f>IF(J183&gt;85,("4"),IF(J183&gt;80,("3.66"),IF(J183&gt;75,("3.33"),IF(J183&gt;70,("3.00"),IF(J183&gt;65,("2.66"),IF(J183&gt;60,("2.33"),IF(J183&gt;55,("2"),IF(J183&gt;50,("1.66"),"1.33"))))))))</f>
        <v>1.33</v>
      </c>
      <c r="L183" s="1369" t="str">
        <f>IF(J183&gt;85,("A"),IF(J183&gt;80,("A-"),IF(J183&gt;75,("B+"),IF(J183&gt;70,("B"),IF(J183&gt;65,("B-"),IF(J183&gt;60,("C+"),IF(J183&gt;55,("C"),IF(J183&gt;50,("C-"),"D+"))))))))</f>
        <v>D+</v>
      </c>
      <c r="M183" s="1370" t="str">
        <f>IF(J183&gt;80,("SB"),IF(J183&gt;65,("B"),IF(J183&gt;50,("C"),IF(J183&gt;0,("K"),"0"))))</f>
        <v>0</v>
      </c>
      <c r="N183" s="1328"/>
      <c r="O183" s="1329"/>
      <c r="P183" s="1329"/>
      <c r="Q183" s="1329"/>
      <c r="R183" s="1329"/>
      <c r="S183" s="1329"/>
      <c r="T183" s="1330"/>
      <c r="U183" s="1331"/>
      <c r="V183" s="1331"/>
      <c r="W183" s="1331"/>
      <c r="X183" s="1331"/>
      <c r="Y183" s="1331"/>
      <c r="Z183" s="1331"/>
      <c r="AA183" s="1331"/>
      <c r="AB183" s="1057">
        <f>J190</f>
        <v>0</v>
      </c>
      <c r="AC183" s="1194" t="str">
        <f>IF(AB183&gt;85,("A"),IF(AB183&gt;80,("A-"),IF(AB183&gt;75,("B+"),IF(AB183&gt;70,("B"),IF(AB183&gt;65,("B-"),IF(AB183&gt;60,("C+"),IF(AB183&gt;55,("C"),IF(AB183&gt;50,("C-"),"D+"))))))))</f>
        <v>D+</v>
      </c>
    </row>
    <row r="184" spans="1:29" ht="24.95" customHeight="1" x14ac:dyDescent="0.25">
      <c r="A184" s="1306"/>
      <c r="B184" s="683">
        <v>23</v>
      </c>
      <c r="C184" s="1310"/>
      <c r="D184" s="1305" t="s">
        <v>20</v>
      </c>
      <c r="E184" s="1308">
        <f>VLOOKUP(A183,UHT_MAT,50,FALSE)</f>
        <v>0</v>
      </c>
      <c r="F184" s="1908">
        <f t="shared" ref="F184:F189" si="153">E184*2</f>
        <v>0</v>
      </c>
      <c r="G184" s="1308"/>
      <c r="H184" s="1309">
        <f>VLOOKUP(B183,REKAP_NILAI,17,FALSE)</f>
        <v>0</v>
      </c>
      <c r="I184" s="1371">
        <f t="shared" ref="I184:I189" si="154">F184+G184+H184</f>
        <v>0</v>
      </c>
      <c r="J184" s="1372">
        <f t="shared" ref="J184:J189" si="155">(F184+G184+H184)/4</f>
        <v>0</v>
      </c>
      <c r="K184" s="1373" t="str">
        <f t="shared" ref="K184:K190" si="156">IF(J184&gt;85,("4"),IF(J184&gt;80,("3.66"),IF(J184&gt;75,("3.33"),IF(J184&gt;70,("3.00"),IF(J184&gt;65,("2.66"),IF(J184&gt;60,("2.33"),IF(J184&gt;55,("2"),IF(J184&gt;50,("1.66"),"1.33"))))))))</f>
        <v>1.33</v>
      </c>
      <c r="L184" s="1373" t="str">
        <f t="shared" ref="L184:L190" si="157">IF(J184&gt;85,("A"),IF(J184&gt;80,("A-"),IF(J184&gt;75,("B+"),IF(J184&gt;70,("B"),IF(J184&gt;65,("B-"),IF(J184&gt;60,("C+"),IF(J184&gt;55,("C"),IF(J184&gt;50,("C-"),"D+"))))))))</f>
        <v>D+</v>
      </c>
      <c r="M184" s="1374" t="str">
        <f t="shared" ref="M184:M190" si="158">IF(J184&gt;80,("SB"),IF(J184&gt;65,("B"),IF(J184&gt;50,("C"),IF(J184&gt;0,("K"),"0"))))</f>
        <v>0</v>
      </c>
      <c r="N184" s="1332"/>
      <c r="O184" s="1333"/>
      <c r="P184" s="1333"/>
      <c r="Q184" s="1333"/>
      <c r="R184" s="1333"/>
      <c r="S184" s="1333"/>
      <c r="T184" s="1333"/>
      <c r="U184" s="1334"/>
      <c r="V184" s="1335"/>
      <c r="W184" s="1335"/>
      <c r="X184" s="1335"/>
      <c r="Y184" s="1335"/>
      <c r="Z184" s="1335"/>
      <c r="AA184" s="1336"/>
      <c r="AB184" s="1251"/>
      <c r="AC184" s="1252"/>
    </row>
    <row r="185" spans="1:29" ht="24.95" customHeight="1" x14ac:dyDescent="0.25">
      <c r="A185" s="1306"/>
      <c r="B185" s="683">
        <v>23</v>
      </c>
      <c r="C185" s="1310"/>
      <c r="D185" s="1305" t="s">
        <v>19</v>
      </c>
      <c r="E185" s="1308">
        <f>VLOOKUP(A183,UHT_MAT,51,FALSE)</f>
        <v>0</v>
      </c>
      <c r="F185" s="1908">
        <f t="shared" si="153"/>
        <v>0</v>
      </c>
      <c r="G185" s="1308"/>
      <c r="H185" s="1309">
        <f>VLOOKUP(B183,REKAP_NILAI,18,FALSE)</f>
        <v>0</v>
      </c>
      <c r="I185" s="1371">
        <f t="shared" si="154"/>
        <v>0</v>
      </c>
      <c r="J185" s="1372">
        <f t="shared" si="155"/>
        <v>0</v>
      </c>
      <c r="K185" s="1373" t="str">
        <f t="shared" si="156"/>
        <v>1.33</v>
      </c>
      <c r="L185" s="1373" t="str">
        <f t="shared" si="157"/>
        <v>D+</v>
      </c>
      <c r="M185" s="1374" t="str">
        <f t="shared" si="158"/>
        <v>0</v>
      </c>
      <c r="N185" s="1311"/>
      <c r="O185" s="1312"/>
      <c r="P185" s="1312"/>
      <c r="Q185" s="1312"/>
      <c r="R185" s="1312"/>
      <c r="S185" s="1312"/>
      <c r="T185" s="1312"/>
      <c r="U185" s="1313"/>
      <c r="V185" s="1314"/>
      <c r="W185" s="1314"/>
      <c r="X185" s="1314"/>
      <c r="Y185" s="1314"/>
      <c r="Z185" s="1314"/>
      <c r="AA185" s="1315"/>
      <c r="AB185" s="1253"/>
      <c r="AC185" s="1254"/>
    </row>
    <row r="186" spans="1:29" ht="24.95" customHeight="1" x14ac:dyDescent="0.25">
      <c r="A186" s="1306"/>
      <c r="B186" s="683">
        <v>23</v>
      </c>
      <c r="C186" s="1310"/>
      <c r="D186" s="1305" t="s">
        <v>181</v>
      </c>
      <c r="E186" s="1308">
        <f>VLOOKUP(A183,UHT_MAT,52,FALSE)</f>
        <v>0</v>
      </c>
      <c r="F186" s="1908">
        <f t="shared" si="153"/>
        <v>0</v>
      </c>
      <c r="G186" s="1308"/>
      <c r="H186" s="1309">
        <f>VLOOKUP(B183,REKAP_NILAI,19,FALSE)</f>
        <v>0</v>
      </c>
      <c r="I186" s="1371">
        <f t="shared" si="154"/>
        <v>0</v>
      </c>
      <c r="J186" s="1372">
        <f t="shared" si="155"/>
        <v>0</v>
      </c>
      <c r="K186" s="1373" t="str">
        <f t="shared" si="156"/>
        <v>1.33</v>
      </c>
      <c r="L186" s="1373" t="str">
        <f t="shared" si="157"/>
        <v>D+</v>
      </c>
      <c r="M186" s="1374" t="str">
        <f t="shared" si="158"/>
        <v>0</v>
      </c>
      <c r="N186" s="1311"/>
      <c r="O186" s="1312"/>
      <c r="P186" s="1312"/>
      <c r="Q186" s="1312"/>
      <c r="R186" s="1312"/>
      <c r="S186" s="1312"/>
      <c r="T186" s="1312"/>
      <c r="U186" s="1313"/>
      <c r="V186" s="1314"/>
      <c r="W186" s="1314"/>
      <c r="X186" s="1314"/>
      <c r="Y186" s="1314"/>
      <c r="Z186" s="1314"/>
      <c r="AA186" s="1315"/>
      <c r="AB186" s="1253"/>
      <c r="AC186" s="1254"/>
    </row>
    <row r="187" spans="1:29" ht="24.95" customHeight="1" x14ac:dyDescent="0.25">
      <c r="A187" s="1306"/>
      <c r="B187" s="683">
        <v>23</v>
      </c>
      <c r="C187" s="1310"/>
      <c r="D187" s="1305" t="s">
        <v>182</v>
      </c>
      <c r="E187" s="1308">
        <f>VLOOKUP(A183,UHT_MAT,53,FALSE)</f>
        <v>0</v>
      </c>
      <c r="F187" s="1908">
        <f t="shared" si="153"/>
        <v>0</v>
      </c>
      <c r="G187" s="1308"/>
      <c r="H187" s="1309">
        <f>VLOOKUP(B183,REKAP_NILAI,20,FALSE)</f>
        <v>0</v>
      </c>
      <c r="I187" s="1371">
        <f t="shared" si="154"/>
        <v>0</v>
      </c>
      <c r="J187" s="1372">
        <f t="shared" si="155"/>
        <v>0</v>
      </c>
      <c r="K187" s="1373" t="str">
        <f t="shared" si="156"/>
        <v>1.33</v>
      </c>
      <c r="L187" s="1373" t="str">
        <f t="shared" si="157"/>
        <v>D+</v>
      </c>
      <c r="M187" s="1374" t="str">
        <f t="shared" si="158"/>
        <v>0</v>
      </c>
      <c r="N187" s="1311"/>
      <c r="O187" s="1312"/>
      <c r="P187" s="1312"/>
      <c r="Q187" s="1312"/>
      <c r="R187" s="1312"/>
      <c r="S187" s="1312"/>
      <c r="T187" s="1312"/>
      <c r="U187" s="1313"/>
      <c r="V187" s="1314"/>
      <c r="W187" s="1314"/>
      <c r="X187" s="1314"/>
      <c r="Y187" s="1314"/>
      <c r="Z187" s="1314"/>
      <c r="AA187" s="1315"/>
      <c r="AB187" s="1253"/>
      <c r="AC187" s="1254"/>
    </row>
    <row r="188" spans="1:29" ht="24.95" customHeight="1" x14ac:dyDescent="0.25">
      <c r="A188" s="1306"/>
      <c r="B188" s="683">
        <v>23</v>
      </c>
      <c r="C188" s="1310"/>
      <c r="D188" s="1305" t="s">
        <v>566</v>
      </c>
      <c r="E188" s="1308">
        <f>VLOOKUP(A183,UHT_MAT,54,FALSE)</f>
        <v>0</v>
      </c>
      <c r="F188" s="1908">
        <f t="shared" si="153"/>
        <v>0</v>
      </c>
      <c r="G188" s="1308"/>
      <c r="H188" s="1309">
        <f>VLOOKUP(B183,REKAP_NILAI,21,FALSE)</f>
        <v>0</v>
      </c>
      <c r="I188" s="1371">
        <f t="shared" si="154"/>
        <v>0</v>
      </c>
      <c r="J188" s="1372">
        <f t="shared" si="155"/>
        <v>0</v>
      </c>
      <c r="K188" s="1373" t="str">
        <f t="shared" si="156"/>
        <v>1.33</v>
      </c>
      <c r="L188" s="1373" t="str">
        <f t="shared" si="157"/>
        <v>D+</v>
      </c>
      <c r="M188" s="1374" t="str">
        <f t="shared" si="158"/>
        <v>0</v>
      </c>
      <c r="N188" s="1311"/>
      <c r="O188" s="1312"/>
      <c r="P188" s="1312"/>
      <c r="Q188" s="1312"/>
      <c r="R188" s="1312"/>
      <c r="S188" s="1312"/>
      <c r="T188" s="1312"/>
      <c r="U188" s="1313"/>
      <c r="V188" s="1314"/>
      <c r="W188" s="1314"/>
      <c r="X188" s="1314"/>
      <c r="Y188" s="1314"/>
      <c r="Z188" s="1314"/>
      <c r="AA188" s="1315"/>
      <c r="AB188" s="1253"/>
      <c r="AC188" s="1254"/>
    </row>
    <row r="189" spans="1:29" ht="24.95" customHeight="1" x14ac:dyDescent="0.25">
      <c r="A189" s="1306"/>
      <c r="B189" s="683">
        <v>23</v>
      </c>
      <c r="C189" s="1310"/>
      <c r="D189" s="1305" t="s">
        <v>567</v>
      </c>
      <c r="E189" s="1308">
        <f>VLOOKUP(A183,UHT_MAT,55,FALSE)</f>
        <v>0</v>
      </c>
      <c r="F189" s="1908">
        <f t="shared" si="153"/>
        <v>0</v>
      </c>
      <c r="G189" s="1308"/>
      <c r="H189" s="1309">
        <f>VLOOKUP(B183,REKAP_NILAI,22,FALSE)</f>
        <v>0</v>
      </c>
      <c r="I189" s="1371">
        <f t="shared" si="154"/>
        <v>0</v>
      </c>
      <c r="J189" s="1372">
        <f t="shared" si="155"/>
        <v>0</v>
      </c>
      <c r="K189" s="1373" t="str">
        <f t="shared" si="156"/>
        <v>1.33</v>
      </c>
      <c r="L189" s="1373" t="str">
        <f t="shared" si="157"/>
        <v>D+</v>
      </c>
      <c r="M189" s="1374" t="str">
        <f t="shared" si="158"/>
        <v>0</v>
      </c>
      <c r="N189" s="1311"/>
      <c r="O189" s="1312"/>
      <c r="P189" s="1312"/>
      <c r="Q189" s="1312"/>
      <c r="R189" s="1312"/>
      <c r="S189" s="1312"/>
      <c r="T189" s="1312"/>
      <c r="U189" s="1313"/>
      <c r="V189" s="1314"/>
      <c r="W189" s="1314"/>
      <c r="X189" s="1314"/>
      <c r="Y189" s="1314"/>
      <c r="Z189" s="1314"/>
      <c r="AA189" s="1315"/>
      <c r="AB189" s="1255"/>
      <c r="AC189" s="1256"/>
    </row>
    <row r="190" spans="1:29" ht="24.95" customHeight="1" x14ac:dyDescent="0.3">
      <c r="A190" s="1337"/>
      <c r="B190" s="1338"/>
      <c r="C190" s="1339" t="s">
        <v>149</v>
      </c>
      <c r="D190" s="1319">
        <v>23</v>
      </c>
      <c r="E190" s="1320"/>
      <c r="F190" s="1909"/>
      <c r="G190" s="1320"/>
      <c r="H190" s="1321">
        <f>AVERAGE(H183:H189)</f>
        <v>0</v>
      </c>
      <c r="I190" s="1375"/>
      <c r="J190" s="1376">
        <f>AVERAGE(J183:J189)</f>
        <v>0</v>
      </c>
      <c r="K190" s="1377" t="str">
        <f t="shared" si="156"/>
        <v>1.33</v>
      </c>
      <c r="L190" s="1377" t="str">
        <f t="shared" si="157"/>
        <v>D+</v>
      </c>
      <c r="M190" s="1378" t="str">
        <f t="shared" si="158"/>
        <v>0</v>
      </c>
      <c r="N190" s="1340"/>
      <c r="O190" s="1341"/>
      <c r="P190" s="1341"/>
      <c r="Q190" s="1341"/>
      <c r="R190" s="1341"/>
      <c r="S190" s="1341"/>
      <c r="T190" s="1341"/>
      <c r="U190" s="1340"/>
      <c r="V190" s="1341"/>
      <c r="W190" s="1341"/>
      <c r="X190" s="1341"/>
      <c r="Y190" s="1341"/>
      <c r="Z190" s="1341"/>
      <c r="AA190" s="1342"/>
      <c r="AB190" s="1257"/>
      <c r="AC190" s="1258"/>
    </row>
    <row r="191" spans="1:29" ht="24.95" customHeight="1" thickBot="1" x14ac:dyDescent="0.3">
      <c r="A191" s="1325">
        <v>24</v>
      </c>
      <c r="B191" s="1326">
        <v>24</v>
      </c>
      <c r="C191" s="1327" t="str">
        <f>VLOOKUP(A191,data_siswa,4)</f>
        <v>Romzy Oka Ramadhani P</v>
      </c>
      <c r="D191" s="1305" t="s">
        <v>10</v>
      </c>
      <c r="E191" s="1308">
        <f>VLOOKUP(A191,UHT_MAT,49,FALSE)</f>
        <v>0</v>
      </c>
      <c r="F191" s="1908">
        <f>E191*2</f>
        <v>0</v>
      </c>
      <c r="G191" s="1308"/>
      <c r="H191" s="1309">
        <f>VLOOKUP(B191,REKAP_NILAI,16,FALSE)</f>
        <v>0</v>
      </c>
      <c r="I191" s="1367">
        <f>F191+G191+H191</f>
        <v>0</v>
      </c>
      <c r="J191" s="1368">
        <f>(F191+G191+H191)/4</f>
        <v>0</v>
      </c>
      <c r="K191" s="1369" t="str">
        <f>IF(J191&gt;85,("4"),IF(J191&gt;80,("3.66"),IF(J191&gt;75,("3.33"),IF(J191&gt;70,("3.00"),IF(J191&gt;65,("2.66"),IF(J191&gt;60,("2.33"),IF(J191&gt;55,("2"),IF(J191&gt;50,("1.66"),"1.33"))))))))</f>
        <v>1.33</v>
      </c>
      <c r="L191" s="1369" t="str">
        <f>IF(J191&gt;85,("A"),IF(J191&gt;80,("A-"),IF(J191&gt;75,("B+"),IF(J191&gt;70,("B"),IF(J191&gt;65,("B-"),IF(J191&gt;60,("C+"),IF(J191&gt;55,("C"),IF(J191&gt;50,("C-"),"D+"))))))))</f>
        <v>D+</v>
      </c>
      <c r="M191" s="1370" t="str">
        <f>IF(J191&gt;80,("SB"),IF(J191&gt;65,("B"),IF(J191&gt;50,("C"),IF(J191&gt;0,("K"),"0"))))</f>
        <v>0</v>
      </c>
      <c r="N191" s="1343"/>
      <c r="O191" s="1344"/>
      <c r="P191" s="1344"/>
      <c r="Q191" s="1344"/>
      <c r="R191" s="1344"/>
      <c r="S191" s="1344"/>
      <c r="T191" s="1345"/>
      <c r="U191" s="1346"/>
      <c r="V191" s="1346"/>
      <c r="W191" s="1346"/>
      <c r="X191" s="1346"/>
      <c r="Y191" s="1346"/>
      <c r="Z191" s="1346"/>
      <c r="AA191" s="1346"/>
      <c r="AB191" s="1057">
        <f>J198</f>
        <v>0</v>
      </c>
      <c r="AC191" s="1194" t="str">
        <f>IF(AB191&gt;85,("A"),IF(AB191&gt;80,("A-"),IF(AB191&gt;75,("B+"),IF(AB191&gt;70,("B"),IF(AB191&gt;65,("B-"),IF(AB191&gt;60,("C+"),IF(AB191&gt;55,("C"),IF(AB191&gt;50,("C-"),"D+"))))))))</f>
        <v>D+</v>
      </c>
    </row>
    <row r="192" spans="1:29" ht="24.95" customHeight="1" x14ac:dyDescent="0.25">
      <c r="A192" s="1306"/>
      <c r="B192" s="683">
        <v>24</v>
      </c>
      <c r="C192" s="1310"/>
      <c r="D192" s="1305" t="s">
        <v>20</v>
      </c>
      <c r="E192" s="1308">
        <f>VLOOKUP(A191,UHT_MAT,50,FALSE)</f>
        <v>0</v>
      </c>
      <c r="F192" s="1908">
        <f t="shared" ref="F192:F197" si="159">E192*2</f>
        <v>0</v>
      </c>
      <c r="G192" s="1308"/>
      <c r="H192" s="1309">
        <f>VLOOKUP(B191,REKAP_NILAI,17,FALSE)</f>
        <v>0</v>
      </c>
      <c r="I192" s="1371">
        <f t="shared" ref="I192:I197" si="160">F192+G192+H192</f>
        <v>0</v>
      </c>
      <c r="J192" s="1372">
        <f t="shared" ref="J192:J197" si="161">(F192+G192+H192)/4</f>
        <v>0</v>
      </c>
      <c r="K192" s="1373" t="str">
        <f t="shared" ref="K192:K198" si="162">IF(J192&gt;85,("4"),IF(J192&gt;80,("3.66"),IF(J192&gt;75,("3.33"),IF(J192&gt;70,("3.00"),IF(J192&gt;65,("2.66"),IF(J192&gt;60,("2.33"),IF(J192&gt;55,("2"),IF(J192&gt;50,("1.66"),"1.33"))))))))</f>
        <v>1.33</v>
      </c>
      <c r="L192" s="1373" t="str">
        <f t="shared" ref="L192:L198" si="163">IF(J192&gt;85,("A"),IF(J192&gt;80,("A-"),IF(J192&gt;75,("B+"),IF(J192&gt;70,("B"),IF(J192&gt;65,("B-"),IF(J192&gt;60,("C+"),IF(J192&gt;55,("C"),IF(J192&gt;50,("C-"),"D+"))))))))</f>
        <v>D+</v>
      </c>
      <c r="M192" s="1374" t="str">
        <f t="shared" ref="M192:M198" si="164">IF(J192&gt;80,("SB"),IF(J192&gt;65,("B"),IF(J192&gt;50,("C"),IF(J192&gt;0,("K"),"0"))))</f>
        <v>0</v>
      </c>
      <c r="N192" s="1332"/>
      <c r="O192" s="1333"/>
      <c r="P192" s="1333"/>
      <c r="Q192" s="1333"/>
      <c r="R192" s="1333"/>
      <c r="S192" s="1333"/>
      <c r="T192" s="1333"/>
      <c r="U192" s="1334"/>
      <c r="V192" s="1335"/>
      <c r="W192" s="1335"/>
      <c r="X192" s="1335"/>
      <c r="Y192" s="1335"/>
      <c r="Z192" s="1335"/>
      <c r="AA192" s="1336"/>
      <c r="AB192" s="1251"/>
      <c r="AC192" s="1252"/>
    </row>
    <row r="193" spans="1:29" ht="24.95" customHeight="1" x14ac:dyDescent="0.25">
      <c r="A193" s="1306"/>
      <c r="B193" s="683">
        <v>24</v>
      </c>
      <c r="C193" s="1310"/>
      <c r="D193" s="1305" t="s">
        <v>19</v>
      </c>
      <c r="E193" s="1308">
        <f>VLOOKUP(A191,UHT_MAT,51,FALSE)</f>
        <v>0</v>
      </c>
      <c r="F193" s="1908">
        <f t="shared" si="159"/>
        <v>0</v>
      </c>
      <c r="G193" s="1308"/>
      <c r="H193" s="1309">
        <f>VLOOKUP(B191,REKAP_NILAI,18,FALSE)</f>
        <v>0</v>
      </c>
      <c r="I193" s="1371">
        <f t="shared" si="160"/>
        <v>0</v>
      </c>
      <c r="J193" s="1372">
        <f t="shared" si="161"/>
        <v>0</v>
      </c>
      <c r="K193" s="1373" t="str">
        <f t="shared" si="162"/>
        <v>1.33</v>
      </c>
      <c r="L193" s="1373" t="str">
        <f t="shared" si="163"/>
        <v>D+</v>
      </c>
      <c r="M193" s="1374" t="str">
        <f t="shared" si="164"/>
        <v>0</v>
      </c>
      <c r="N193" s="1311"/>
      <c r="O193" s="1312"/>
      <c r="P193" s="1312"/>
      <c r="Q193" s="1312"/>
      <c r="R193" s="1312"/>
      <c r="S193" s="1312"/>
      <c r="T193" s="1312"/>
      <c r="U193" s="1313"/>
      <c r="V193" s="1314"/>
      <c r="W193" s="1314"/>
      <c r="X193" s="1314"/>
      <c r="Y193" s="1314"/>
      <c r="Z193" s="1314"/>
      <c r="AA193" s="1315"/>
      <c r="AB193" s="1253"/>
      <c r="AC193" s="1254"/>
    </row>
    <row r="194" spans="1:29" ht="24.95" customHeight="1" x14ac:dyDescent="0.25">
      <c r="A194" s="1306"/>
      <c r="B194" s="683">
        <v>24</v>
      </c>
      <c r="C194" s="1310"/>
      <c r="D194" s="1305" t="s">
        <v>181</v>
      </c>
      <c r="E194" s="1308">
        <f>VLOOKUP(A191,UHT_MAT,52,FALSE)</f>
        <v>0</v>
      </c>
      <c r="F194" s="1908">
        <f t="shared" si="159"/>
        <v>0</v>
      </c>
      <c r="G194" s="1308"/>
      <c r="H194" s="1309">
        <f>VLOOKUP(B191,REKAP_NILAI,19,FALSE)</f>
        <v>0</v>
      </c>
      <c r="I194" s="1371">
        <f t="shared" si="160"/>
        <v>0</v>
      </c>
      <c r="J194" s="1372">
        <f t="shared" si="161"/>
        <v>0</v>
      </c>
      <c r="K194" s="1373" t="str">
        <f t="shared" si="162"/>
        <v>1.33</v>
      </c>
      <c r="L194" s="1373" t="str">
        <f t="shared" si="163"/>
        <v>D+</v>
      </c>
      <c r="M194" s="1374" t="str">
        <f t="shared" si="164"/>
        <v>0</v>
      </c>
      <c r="N194" s="1311"/>
      <c r="O194" s="1312"/>
      <c r="P194" s="1312"/>
      <c r="Q194" s="1312"/>
      <c r="R194" s="1312"/>
      <c r="S194" s="1312"/>
      <c r="T194" s="1312"/>
      <c r="U194" s="1313"/>
      <c r="V194" s="1314"/>
      <c r="W194" s="1314"/>
      <c r="X194" s="1314"/>
      <c r="Y194" s="1314"/>
      <c r="Z194" s="1314"/>
      <c r="AA194" s="1315"/>
      <c r="AB194" s="1253"/>
      <c r="AC194" s="1254"/>
    </row>
    <row r="195" spans="1:29" ht="24.95" customHeight="1" x14ac:dyDescent="0.25">
      <c r="A195" s="1306"/>
      <c r="B195" s="683">
        <v>24</v>
      </c>
      <c r="C195" s="1310"/>
      <c r="D195" s="1305" t="s">
        <v>182</v>
      </c>
      <c r="E195" s="1308">
        <f>VLOOKUP(A191,UHT_MAT,53,FALSE)</f>
        <v>0</v>
      </c>
      <c r="F195" s="1908">
        <f t="shared" si="159"/>
        <v>0</v>
      </c>
      <c r="G195" s="1308"/>
      <c r="H195" s="1309">
        <f>VLOOKUP(B191,REKAP_NILAI,20,FALSE)</f>
        <v>0</v>
      </c>
      <c r="I195" s="1371">
        <f t="shared" si="160"/>
        <v>0</v>
      </c>
      <c r="J195" s="1372">
        <f t="shared" si="161"/>
        <v>0</v>
      </c>
      <c r="K195" s="1373" t="str">
        <f t="shared" si="162"/>
        <v>1.33</v>
      </c>
      <c r="L195" s="1373" t="str">
        <f t="shared" si="163"/>
        <v>D+</v>
      </c>
      <c r="M195" s="1374" t="str">
        <f t="shared" si="164"/>
        <v>0</v>
      </c>
      <c r="N195" s="1311"/>
      <c r="O195" s="1312"/>
      <c r="P195" s="1312"/>
      <c r="Q195" s="1312"/>
      <c r="R195" s="1312"/>
      <c r="S195" s="1312"/>
      <c r="T195" s="1312"/>
      <c r="U195" s="1313"/>
      <c r="V195" s="1314"/>
      <c r="W195" s="1314"/>
      <c r="X195" s="1314"/>
      <c r="Y195" s="1314"/>
      <c r="Z195" s="1314"/>
      <c r="AA195" s="1315"/>
      <c r="AB195" s="1253"/>
      <c r="AC195" s="1254"/>
    </row>
    <row r="196" spans="1:29" ht="24.95" customHeight="1" x14ac:dyDescent="0.25">
      <c r="A196" s="1306"/>
      <c r="B196" s="683">
        <v>24</v>
      </c>
      <c r="C196" s="1310"/>
      <c r="D196" s="1305" t="s">
        <v>566</v>
      </c>
      <c r="E196" s="1308">
        <f>VLOOKUP(A191,UHT_MAT,54,FALSE)</f>
        <v>0</v>
      </c>
      <c r="F196" s="1908">
        <f t="shared" si="159"/>
        <v>0</v>
      </c>
      <c r="G196" s="1308"/>
      <c r="H196" s="1309">
        <f>VLOOKUP(B191,REKAP_NILAI,21,FALSE)</f>
        <v>0</v>
      </c>
      <c r="I196" s="1371">
        <f t="shared" si="160"/>
        <v>0</v>
      </c>
      <c r="J196" s="1372">
        <f t="shared" si="161"/>
        <v>0</v>
      </c>
      <c r="K196" s="1373" t="str">
        <f t="shared" si="162"/>
        <v>1.33</v>
      </c>
      <c r="L196" s="1373" t="str">
        <f t="shared" si="163"/>
        <v>D+</v>
      </c>
      <c r="M196" s="1374" t="str">
        <f t="shared" si="164"/>
        <v>0</v>
      </c>
      <c r="N196" s="1311"/>
      <c r="O196" s="1312"/>
      <c r="P196" s="1312"/>
      <c r="Q196" s="1312"/>
      <c r="R196" s="1312"/>
      <c r="S196" s="1312"/>
      <c r="T196" s="1312"/>
      <c r="U196" s="1313"/>
      <c r="V196" s="1314"/>
      <c r="W196" s="1314"/>
      <c r="X196" s="1314"/>
      <c r="Y196" s="1314"/>
      <c r="Z196" s="1314"/>
      <c r="AA196" s="1315"/>
      <c r="AB196" s="1253"/>
      <c r="AC196" s="1254"/>
    </row>
    <row r="197" spans="1:29" ht="24.95" customHeight="1" x14ac:dyDescent="0.25">
      <c r="A197" s="1306"/>
      <c r="B197" s="683">
        <v>24</v>
      </c>
      <c r="C197" s="1310"/>
      <c r="D197" s="1305" t="s">
        <v>567</v>
      </c>
      <c r="E197" s="1308">
        <f>VLOOKUP(A191,UHT_MAT,55,FALSE)</f>
        <v>0</v>
      </c>
      <c r="F197" s="1908">
        <f t="shared" si="159"/>
        <v>0</v>
      </c>
      <c r="G197" s="1308"/>
      <c r="H197" s="1309">
        <f>VLOOKUP(B191,REKAP_NILAI,22,FALSE)</f>
        <v>0</v>
      </c>
      <c r="I197" s="1371">
        <f t="shared" si="160"/>
        <v>0</v>
      </c>
      <c r="J197" s="1372">
        <f t="shared" si="161"/>
        <v>0</v>
      </c>
      <c r="K197" s="1373" t="str">
        <f t="shared" si="162"/>
        <v>1.33</v>
      </c>
      <c r="L197" s="1373" t="str">
        <f t="shared" si="163"/>
        <v>D+</v>
      </c>
      <c r="M197" s="1374" t="str">
        <f t="shared" si="164"/>
        <v>0</v>
      </c>
      <c r="N197" s="1311"/>
      <c r="O197" s="1312"/>
      <c r="P197" s="1312"/>
      <c r="Q197" s="1312"/>
      <c r="R197" s="1312"/>
      <c r="S197" s="1312"/>
      <c r="T197" s="1312"/>
      <c r="U197" s="1313"/>
      <c r="V197" s="1314"/>
      <c r="W197" s="1314"/>
      <c r="X197" s="1314"/>
      <c r="Y197" s="1314"/>
      <c r="Z197" s="1314"/>
      <c r="AA197" s="1315"/>
      <c r="AB197" s="1255"/>
      <c r="AC197" s="1256"/>
    </row>
    <row r="198" spans="1:29" ht="24.95" customHeight="1" x14ac:dyDescent="0.3">
      <c r="A198" s="1337"/>
      <c r="B198" s="1338"/>
      <c r="C198" s="1339" t="s">
        <v>149</v>
      </c>
      <c r="D198" s="1319">
        <v>24</v>
      </c>
      <c r="E198" s="1320"/>
      <c r="F198" s="1909"/>
      <c r="G198" s="1320"/>
      <c r="H198" s="1321">
        <f>AVERAGE(H191:H197)</f>
        <v>0</v>
      </c>
      <c r="I198" s="1375"/>
      <c r="J198" s="1376">
        <f>AVERAGE(J191:J197)</f>
        <v>0</v>
      </c>
      <c r="K198" s="1377" t="str">
        <f t="shared" si="162"/>
        <v>1.33</v>
      </c>
      <c r="L198" s="1377" t="str">
        <f t="shared" si="163"/>
        <v>D+</v>
      </c>
      <c r="M198" s="1378" t="str">
        <f t="shared" si="164"/>
        <v>0</v>
      </c>
      <c r="N198" s="1347"/>
      <c r="O198" s="1348"/>
      <c r="P198" s="1348"/>
      <c r="Q198" s="1348"/>
      <c r="R198" s="1348"/>
      <c r="S198" s="1348"/>
      <c r="T198" s="1348"/>
      <c r="U198" s="1347"/>
      <c r="V198" s="1348"/>
      <c r="W198" s="1348"/>
      <c r="X198" s="1348"/>
      <c r="Y198" s="1348"/>
      <c r="Z198" s="1348"/>
      <c r="AA198" s="1349"/>
      <c r="AB198" s="1257"/>
      <c r="AC198" s="1258"/>
    </row>
    <row r="199" spans="1:29" ht="24.95" customHeight="1" thickBot="1" x14ac:dyDescent="0.3">
      <c r="A199" s="1350">
        <v>25</v>
      </c>
      <c r="B199" s="1326">
        <v>25</v>
      </c>
      <c r="C199" s="1327" t="str">
        <f>VLOOKUP(A199,data_siswa,4)</f>
        <v>Larasati Jagadhita P</v>
      </c>
      <c r="D199" s="1305" t="s">
        <v>10</v>
      </c>
      <c r="E199" s="1308">
        <f>VLOOKUP(A199,UHT_MAT,49,FALSE)</f>
        <v>0</v>
      </c>
      <c r="F199" s="1908">
        <f>E199*2</f>
        <v>0</v>
      </c>
      <c r="G199" s="1308"/>
      <c r="H199" s="1309">
        <f>VLOOKUP(B199,REKAP_NILAI,16,FALSE)</f>
        <v>0</v>
      </c>
      <c r="I199" s="1367">
        <f>F199+G199+H199</f>
        <v>0</v>
      </c>
      <c r="J199" s="1368">
        <f>(F199+G199+H199)/4</f>
        <v>0</v>
      </c>
      <c r="K199" s="1369" t="str">
        <f>IF(J199&gt;85,("4"),IF(J199&gt;80,("3.66"),IF(J199&gt;75,("3.33"),IF(J199&gt;70,("3.00"),IF(J199&gt;65,("2.66"),IF(J199&gt;60,("2.33"),IF(J199&gt;55,("2"),IF(J199&gt;50,("1.66"),"1.33"))))))))</f>
        <v>1.33</v>
      </c>
      <c r="L199" s="1369" t="str">
        <f>IF(J199&gt;85,("A"),IF(J199&gt;80,("A-"),IF(J199&gt;75,("B+"),IF(J199&gt;70,("B"),IF(J199&gt;65,("B-"),IF(J199&gt;60,("C+"),IF(J199&gt;55,("C"),IF(J199&gt;50,("C-"),"D+"))))))))</f>
        <v>D+</v>
      </c>
      <c r="M199" s="1370" t="str">
        <f>IF(J199&gt;80,("SB"),IF(J199&gt;65,("B"),IF(J199&gt;50,("C"),IF(J199&gt;0,("K"),"0"))))</f>
        <v>0</v>
      </c>
      <c r="N199" s="1343"/>
      <c r="O199" s="1344"/>
      <c r="P199" s="1344"/>
      <c r="Q199" s="1344"/>
      <c r="R199" s="1344"/>
      <c r="S199" s="1344"/>
      <c r="T199" s="1345"/>
      <c r="U199" s="1346"/>
      <c r="V199" s="1346"/>
      <c r="W199" s="1346"/>
      <c r="X199" s="1346"/>
      <c r="Y199" s="1346"/>
      <c r="Z199" s="1346"/>
      <c r="AA199" s="1346"/>
      <c r="AB199" s="1057">
        <f>J206</f>
        <v>0</v>
      </c>
      <c r="AC199" s="1194" t="str">
        <f>IF(AB199&gt;85,("A"),IF(AB199&gt;80,("A-"),IF(AB199&gt;75,("B+"),IF(AB199&gt;70,("B"),IF(AB199&gt;65,("B-"),IF(AB199&gt;60,("C+"),IF(AB199&gt;55,("C"),IF(AB199&gt;50,("C-"),"D+"))))))))</f>
        <v>D+</v>
      </c>
    </row>
    <row r="200" spans="1:29" ht="24.95" customHeight="1" x14ac:dyDescent="0.25">
      <c r="A200" s="1306"/>
      <c r="B200" s="1326">
        <v>25</v>
      </c>
      <c r="C200" s="1310"/>
      <c r="D200" s="1305" t="s">
        <v>20</v>
      </c>
      <c r="E200" s="1308">
        <f>VLOOKUP(A199,UHT_MAT,50,FALSE)</f>
        <v>0</v>
      </c>
      <c r="F200" s="1908">
        <f t="shared" ref="F200:F205" si="165">E200*2</f>
        <v>0</v>
      </c>
      <c r="G200" s="1308"/>
      <c r="H200" s="1309">
        <f>VLOOKUP(B199,REKAP_NILAI,17,FALSE)</f>
        <v>0</v>
      </c>
      <c r="I200" s="1371">
        <f t="shared" ref="I200:I205" si="166">F200+G200+H200</f>
        <v>0</v>
      </c>
      <c r="J200" s="1372">
        <f t="shared" ref="J200:J205" si="167">(F200+G200+H200)/4</f>
        <v>0</v>
      </c>
      <c r="K200" s="1373" t="str">
        <f t="shared" ref="K200:K205" si="168">IF(J200&gt;85,("4"),IF(J200&gt;80,("3.66"),IF(J200&gt;75,("3.33"),IF(J200&gt;70,("3.00"),IF(J200&gt;65,("2.66"),IF(J200&gt;60,("2.33"),IF(J200&gt;55,("2"),IF(J200&gt;50,("1.66"),"1.33"))))))))</f>
        <v>1.33</v>
      </c>
      <c r="L200" s="1373" t="str">
        <f t="shared" ref="L200:L205" si="169">IF(J200&gt;85,("A"),IF(J200&gt;80,("A-"),IF(J200&gt;75,("B+"),IF(J200&gt;70,("B"),IF(J200&gt;65,("B-"),IF(J200&gt;60,("C+"),IF(J200&gt;55,("C"),IF(J200&gt;50,("C-"),"D+"))))))))</f>
        <v>D+</v>
      </c>
      <c r="M200" s="1374" t="str">
        <f t="shared" ref="M200:M205" si="170">IF(J200&gt;80,("SB"),IF(J200&gt;65,("B"),IF(J200&gt;50,("C"),IF(J200&gt;0,("K"),"0"))))</f>
        <v>0</v>
      </c>
      <c r="N200" s="1332"/>
      <c r="O200" s="1333"/>
      <c r="P200" s="1333"/>
      <c r="Q200" s="1333"/>
      <c r="R200" s="1333"/>
      <c r="S200" s="1333"/>
      <c r="T200" s="1333"/>
      <c r="U200" s="1334"/>
      <c r="V200" s="1335"/>
      <c r="W200" s="1335"/>
      <c r="X200" s="1335"/>
      <c r="Y200" s="1335"/>
      <c r="Z200" s="1335"/>
      <c r="AA200" s="1336"/>
      <c r="AB200" s="1251"/>
      <c r="AC200" s="1252"/>
    </row>
    <row r="201" spans="1:29" ht="24.95" customHeight="1" x14ac:dyDescent="0.25">
      <c r="A201" s="1306"/>
      <c r="B201" s="683">
        <v>25</v>
      </c>
      <c r="C201" s="1310"/>
      <c r="D201" s="1305" t="s">
        <v>19</v>
      </c>
      <c r="E201" s="1308">
        <f>VLOOKUP(A199,UHT_MAT,51,FALSE)</f>
        <v>0</v>
      </c>
      <c r="F201" s="1908">
        <f t="shared" si="165"/>
        <v>0</v>
      </c>
      <c r="G201" s="1308"/>
      <c r="H201" s="1309">
        <f>VLOOKUP(B199,REKAP_NILAI,18,FALSE)</f>
        <v>0</v>
      </c>
      <c r="I201" s="1371">
        <f t="shared" si="166"/>
        <v>0</v>
      </c>
      <c r="J201" s="1372">
        <f t="shared" si="167"/>
        <v>0</v>
      </c>
      <c r="K201" s="1373" t="str">
        <f t="shared" si="168"/>
        <v>1.33</v>
      </c>
      <c r="L201" s="1373" t="str">
        <f t="shared" si="169"/>
        <v>D+</v>
      </c>
      <c r="M201" s="1374" t="str">
        <f t="shared" si="170"/>
        <v>0</v>
      </c>
      <c r="N201" s="1311"/>
      <c r="O201" s="1312"/>
      <c r="P201" s="1312"/>
      <c r="Q201" s="1312"/>
      <c r="R201" s="1312"/>
      <c r="S201" s="1312"/>
      <c r="T201" s="1312"/>
      <c r="U201" s="1313"/>
      <c r="V201" s="1314"/>
      <c r="W201" s="1314"/>
      <c r="X201" s="1314"/>
      <c r="Y201" s="1314"/>
      <c r="Z201" s="1314"/>
      <c r="AA201" s="1315"/>
      <c r="AB201" s="1253"/>
      <c r="AC201" s="1254"/>
    </row>
    <row r="202" spans="1:29" ht="24.95" customHeight="1" x14ac:dyDescent="0.25">
      <c r="A202" s="1306"/>
      <c r="B202" s="683">
        <v>25</v>
      </c>
      <c r="C202" s="1310"/>
      <c r="D202" s="1305" t="s">
        <v>181</v>
      </c>
      <c r="E202" s="1308">
        <f>VLOOKUP(A199,UHT_MAT,52,FALSE)</f>
        <v>0</v>
      </c>
      <c r="F202" s="1908">
        <f t="shared" si="165"/>
        <v>0</v>
      </c>
      <c r="G202" s="1308"/>
      <c r="H202" s="1309">
        <f>VLOOKUP(B199,REKAP_NILAI,19,FALSE)</f>
        <v>0</v>
      </c>
      <c r="I202" s="1371">
        <f t="shared" si="166"/>
        <v>0</v>
      </c>
      <c r="J202" s="1372">
        <f t="shared" si="167"/>
        <v>0</v>
      </c>
      <c r="K202" s="1373" t="str">
        <f t="shared" si="168"/>
        <v>1.33</v>
      </c>
      <c r="L202" s="1373" t="str">
        <f t="shared" si="169"/>
        <v>D+</v>
      </c>
      <c r="M202" s="1374" t="str">
        <f t="shared" si="170"/>
        <v>0</v>
      </c>
      <c r="N202" s="1311"/>
      <c r="O202" s="1312"/>
      <c r="P202" s="1312"/>
      <c r="Q202" s="1312"/>
      <c r="R202" s="1312"/>
      <c r="S202" s="1312"/>
      <c r="T202" s="1312"/>
      <c r="U202" s="1313"/>
      <c r="V202" s="1314"/>
      <c r="W202" s="1314"/>
      <c r="X202" s="1314"/>
      <c r="Y202" s="1314"/>
      <c r="Z202" s="1314"/>
      <c r="AA202" s="1315"/>
      <c r="AB202" s="1253"/>
      <c r="AC202" s="1254"/>
    </row>
    <row r="203" spans="1:29" ht="24.95" customHeight="1" x14ac:dyDescent="0.25">
      <c r="A203" s="1306"/>
      <c r="B203" s="683">
        <v>25</v>
      </c>
      <c r="C203" s="1310"/>
      <c r="D203" s="1305" t="s">
        <v>182</v>
      </c>
      <c r="E203" s="1308">
        <f>VLOOKUP(A199,UHT_MAT,53,FALSE)</f>
        <v>0</v>
      </c>
      <c r="F203" s="1908">
        <f t="shared" si="165"/>
        <v>0</v>
      </c>
      <c r="G203" s="1308"/>
      <c r="H203" s="1309">
        <f>VLOOKUP(B199,REKAP_NILAI,20,FALSE)</f>
        <v>0</v>
      </c>
      <c r="I203" s="1371">
        <f t="shared" si="166"/>
        <v>0</v>
      </c>
      <c r="J203" s="1372">
        <f t="shared" si="167"/>
        <v>0</v>
      </c>
      <c r="K203" s="1373" t="str">
        <f t="shared" si="168"/>
        <v>1.33</v>
      </c>
      <c r="L203" s="1373" t="str">
        <f t="shared" si="169"/>
        <v>D+</v>
      </c>
      <c r="M203" s="1374" t="str">
        <f t="shared" si="170"/>
        <v>0</v>
      </c>
      <c r="N203" s="1311"/>
      <c r="O203" s="1312"/>
      <c r="P203" s="1312"/>
      <c r="Q203" s="1312"/>
      <c r="R203" s="1312"/>
      <c r="S203" s="1312"/>
      <c r="T203" s="1312"/>
      <c r="U203" s="1313"/>
      <c r="V203" s="1314"/>
      <c r="W203" s="1314"/>
      <c r="X203" s="1314"/>
      <c r="Y203" s="1314"/>
      <c r="Z203" s="1314"/>
      <c r="AA203" s="1315"/>
      <c r="AB203" s="1253"/>
      <c r="AC203" s="1254"/>
    </row>
    <row r="204" spans="1:29" ht="24.95" customHeight="1" x14ac:dyDescent="0.25">
      <c r="A204" s="1306"/>
      <c r="B204" s="683">
        <v>25</v>
      </c>
      <c r="C204" s="1310"/>
      <c r="D204" s="1305" t="s">
        <v>566</v>
      </c>
      <c r="E204" s="1308">
        <f>VLOOKUP(A199,UHT_MAT,54,FALSE)</f>
        <v>0</v>
      </c>
      <c r="F204" s="1908">
        <f t="shared" si="165"/>
        <v>0</v>
      </c>
      <c r="G204" s="1308"/>
      <c r="H204" s="1309">
        <f>VLOOKUP(B199,REKAP_NILAI,21,FALSE)</f>
        <v>0</v>
      </c>
      <c r="I204" s="1371">
        <f t="shared" si="166"/>
        <v>0</v>
      </c>
      <c r="J204" s="1372">
        <f t="shared" si="167"/>
        <v>0</v>
      </c>
      <c r="K204" s="1373" t="str">
        <f t="shared" si="168"/>
        <v>1.33</v>
      </c>
      <c r="L204" s="1373" t="str">
        <f t="shared" si="169"/>
        <v>D+</v>
      </c>
      <c r="M204" s="1374" t="str">
        <f t="shared" si="170"/>
        <v>0</v>
      </c>
      <c r="N204" s="1311"/>
      <c r="O204" s="1312"/>
      <c r="P204" s="1312"/>
      <c r="Q204" s="1312"/>
      <c r="R204" s="1312"/>
      <c r="S204" s="1312"/>
      <c r="T204" s="1312"/>
      <c r="U204" s="1313"/>
      <c r="V204" s="1314"/>
      <c r="W204" s="1314"/>
      <c r="X204" s="1314"/>
      <c r="Y204" s="1314"/>
      <c r="Z204" s="1314"/>
      <c r="AA204" s="1315"/>
      <c r="AB204" s="1253"/>
      <c r="AC204" s="1254"/>
    </row>
    <row r="205" spans="1:29" ht="24.95" customHeight="1" x14ac:dyDescent="0.25">
      <c r="A205" s="1306"/>
      <c r="B205" s="683">
        <v>25</v>
      </c>
      <c r="C205" s="1310"/>
      <c r="D205" s="1305" t="s">
        <v>567</v>
      </c>
      <c r="E205" s="1308">
        <f>VLOOKUP(A199,UHT_MAT,55,FALSE)</f>
        <v>0</v>
      </c>
      <c r="F205" s="1908">
        <f t="shared" si="165"/>
        <v>0</v>
      </c>
      <c r="G205" s="1308"/>
      <c r="H205" s="1309">
        <f>VLOOKUP(B199,REKAP_NILAI,22,FALSE)</f>
        <v>0</v>
      </c>
      <c r="I205" s="1371">
        <f t="shared" si="166"/>
        <v>0</v>
      </c>
      <c r="J205" s="1372">
        <f t="shared" si="167"/>
        <v>0</v>
      </c>
      <c r="K205" s="1373" t="str">
        <f t="shared" si="168"/>
        <v>1.33</v>
      </c>
      <c r="L205" s="1373" t="str">
        <f t="shared" si="169"/>
        <v>D+</v>
      </c>
      <c r="M205" s="1374" t="str">
        <f t="shared" si="170"/>
        <v>0</v>
      </c>
      <c r="N205" s="1311"/>
      <c r="O205" s="1312"/>
      <c r="P205" s="1312"/>
      <c r="Q205" s="1312"/>
      <c r="R205" s="1312"/>
      <c r="S205" s="1312"/>
      <c r="T205" s="1312"/>
      <c r="U205" s="1313"/>
      <c r="V205" s="1314"/>
      <c r="W205" s="1314"/>
      <c r="X205" s="1314"/>
      <c r="Y205" s="1314"/>
      <c r="Z205" s="1314"/>
      <c r="AA205" s="1315"/>
      <c r="AB205" s="1255"/>
      <c r="AC205" s="1256"/>
    </row>
    <row r="206" spans="1:29" ht="24.95" customHeight="1" x14ac:dyDescent="0.3">
      <c r="A206" s="1337"/>
      <c r="B206" s="1338"/>
      <c r="C206" s="1339" t="s">
        <v>149</v>
      </c>
      <c r="D206" s="1319">
        <v>25</v>
      </c>
      <c r="E206" s="1320"/>
      <c r="F206" s="1909"/>
      <c r="G206" s="1320"/>
      <c r="H206" s="1321">
        <f>AVERAGE(H199:H205)</f>
        <v>0</v>
      </c>
      <c r="I206" s="1375"/>
      <c r="J206" s="1376">
        <f>AVERAGE(J199:J205)</f>
        <v>0</v>
      </c>
      <c r="K206" s="1377" t="str">
        <f t="shared" ref="K206" si="171">IF(J206&gt;85,("4"),IF(J206&gt;80,("3.66"),IF(J206&gt;75,("3.33"),IF(J206&gt;70,("3.00"),IF(J206&gt;65,("2.66"),IF(J206&gt;60,("2.33"),IF(J206&gt;55,("2"),IF(J206&gt;50,("1.66"),"1.33"))))))))</f>
        <v>1.33</v>
      </c>
      <c r="L206" s="1377" t="str">
        <f t="shared" ref="L206" si="172">IF(J206&gt;85,("A"),IF(J206&gt;80,("A-"),IF(J206&gt;75,("B+"),IF(J206&gt;70,("B"),IF(J206&gt;65,("B-"),IF(J206&gt;60,("C+"),IF(J206&gt;55,("C"),IF(J206&gt;50,("C-"),"D+"))))))))</f>
        <v>D+</v>
      </c>
      <c r="M206" s="1378" t="str">
        <f t="shared" ref="M206" si="173">IF(J206&gt;80,("SB"),IF(J206&gt;65,("B"),IF(J206&gt;50,("C"),IF(J206&gt;0,("K"),"0"))))</f>
        <v>0</v>
      </c>
      <c r="N206" s="1347"/>
      <c r="O206" s="1348"/>
      <c r="P206" s="1348"/>
      <c r="Q206" s="1348"/>
      <c r="R206" s="1348"/>
      <c r="S206" s="1348"/>
      <c r="T206" s="1348"/>
      <c r="U206" s="1347"/>
      <c r="V206" s="1348"/>
      <c r="W206" s="1348"/>
      <c r="X206" s="1348"/>
      <c r="Y206" s="1348"/>
      <c r="Z206" s="1348"/>
      <c r="AA206" s="1349"/>
      <c r="AB206" s="1257"/>
      <c r="AC206" s="1258"/>
    </row>
    <row r="207" spans="1:29" ht="24.95" customHeight="1" thickBot="1" x14ac:dyDescent="0.3">
      <c r="A207" s="1325">
        <v>26</v>
      </c>
      <c r="B207" s="1326">
        <v>26</v>
      </c>
      <c r="C207" s="1327" t="str">
        <f>VLOOKUP(A207,data_siswa,4)</f>
        <v>Meliana Citra A</v>
      </c>
      <c r="D207" s="1305" t="s">
        <v>10</v>
      </c>
      <c r="E207" s="1308">
        <f>VLOOKUP(A207,UHT_MAT,49,FALSE)</f>
        <v>0</v>
      </c>
      <c r="F207" s="1908">
        <f>E207*2</f>
        <v>0</v>
      </c>
      <c r="G207" s="1308"/>
      <c r="H207" s="1309">
        <f>VLOOKUP(B207,REKAP_NILAI,16,FALSE)</f>
        <v>0</v>
      </c>
      <c r="I207" s="1367">
        <f>F207+G207+H207</f>
        <v>0</v>
      </c>
      <c r="J207" s="1368">
        <f>(F207+G207+H207)/4</f>
        <v>0</v>
      </c>
      <c r="K207" s="1369" t="str">
        <f>IF(J207&gt;85,("4"),IF(J207&gt;80,("3.66"),IF(J207&gt;75,("3.33"),IF(J207&gt;70,("3.00"),IF(J207&gt;65,("2.66"),IF(J207&gt;60,("2.33"),IF(J207&gt;55,("2"),IF(J207&gt;50,("1.66"),"1.33"))))))))</f>
        <v>1.33</v>
      </c>
      <c r="L207" s="1369" t="str">
        <f>IF(J207&gt;85,("A"),IF(J207&gt;80,("A-"),IF(J207&gt;75,("B+"),IF(J207&gt;70,("B"),IF(J207&gt;65,("B-"),IF(J207&gt;60,("C+"),IF(J207&gt;55,("C"),IF(J207&gt;50,("C-"),"D+"))))))))</f>
        <v>D+</v>
      </c>
      <c r="M207" s="1370" t="str">
        <f>IF(J207&gt;80,("SB"),IF(J207&gt;65,("B"),IF(J207&gt;50,("C"),IF(J207&gt;0,("K"),"0"))))</f>
        <v>0</v>
      </c>
      <c r="N207" s="1343"/>
      <c r="O207" s="1344"/>
      <c r="P207" s="1344"/>
      <c r="Q207" s="1344"/>
      <c r="R207" s="1344"/>
      <c r="S207" s="1344"/>
      <c r="T207" s="1345"/>
      <c r="U207" s="1346"/>
      <c r="V207" s="1346"/>
      <c r="W207" s="1346"/>
      <c r="X207" s="1346"/>
      <c r="Y207" s="1346"/>
      <c r="Z207" s="1346"/>
      <c r="AA207" s="1346"/>
      <c r="AB207" s="1057">
        <f>J214</f>
        <v>0</v>
      </c>
      <c r="AC207" s="1194" t="str">
        <f>IF(AB207&gt;85,("A"),IF(AB207&gt;80,("A-"),IF(AB207&gt;75,("B+"),IF(AB207&gt;70,("B"),IF(AB207&gt;65,("B-"),IF(AB207&gt;60,("C+"),IF(AB207&gt;55,("C"),IF(AB207&gt;50,("C-"),"D+"))))))))</f>
        <v>D+</v>
      </c>
    </row>
    <row r="208" spans="1:29" ht="24.95" customHeight="1" x14ac:dyDescent="0.25">
      <c r="A208" s="1306"/>
      <c r="B208" s="683">
        <v>26</v>
      </c>
      <c r="C208" s="1310"/>
      <c r="D208" s="1305" t="s">
        <v>20</v>
      </c>
      <c r="E208" s="1308">
        <f>VLOOKUP(A207,UHT_MAT,50,FALSE)</f>
        <v>0</v>
      </c>
      <c r="F208" s="1908">
        <f t="shared" ref="F208:F213" si="174">E208*2</f>
        <v>0</v>
      </c>
      <c r="G208" s="1308"/>
      <c r="H208" s="1309">
        <f>VLOOKUP(B207,REKAP_NILAI,17,FALSE)</f>
        <v>0</v>
      </c>
      <c r="I208" s="1371">
        <f t="shared" ref="I208:I213" si="175">F208+G208+H208</f>
        <v>0</v>
      </c>
      <c r="J208" s="1372">
        <f t="shared" ref="J208:J213" si="176">(F208+G208+H208)/4</f>
        <v>0</v>
      </c>
      <c r="K208" s="1373" t="str">
        <f t="shared" ref="K208:K214" si="177">IF(J208&gt;85,("4"),IF(J208&gt;80,("3.66"),IF(J208&gt;75,("3.33"),IF(J208&gt;70,("3.00"),IF(J208&gt;65,("2.66"),IF(J208&gt;60,("2.33"),IF(J208&gt;55,("2"),IF(J208&gt;50,("1.66"),"1.33"))))))))</f>
        <v>1.33</v>
      </c>
      <c r="L208" s="1373" t="str">
        <f t="shared" ref="L208:L214" si="178">IF(J208&gt;85,("A"),IF(J208&gt;80,("A-"),IF(J208&gt;75,("B+"),IF(J208&gt;70,("B"),IF(J208&gt;65,("B-"),IF(J208&gt;60,("C+"),IF(J208&gt;55,("C"),IF(J208&gt;50,("C-"),"D+"))))))))</f>
        <v>D+</v>
      </c>
      <c r="M208" s="1374" t="str">
        <f t="shared" ref="M208:M214" si="179">IF(J208&gt;80,("SB"),IF(J208&gt;65,("B"),IF(J208&gt;50,("C"),IF(J208&gt;0,("K"),"0"))))</f>
        <v>0</v>
      </c>
      <c r="N208" s="1332"/>
      <c r="O208" s="1333"/>
      <c r="P208" s="1333"/>
      <c r="Q208" s="1333"/>
      <c r="R208" s="1333"/>
      <c r="S208" s="1333"/>
      <c r="T208" s="1333"/>
      <c r="U208" s="1334"/>
      <c r="V208" s="1335"/>
      <c r="W208" s="1335"/>
      <c r="X208" s="1335"/>
      <c r="Y208" s="1335"/>
      <c r="Z208" s="1335"/>
      <c r="AA208" s="1336"/>
      <c r="AB208" s="1251"/>
      <c r="AC208" s="1252"/>
    </row>
    <row r="209" spans="1:29" ht="24.95" customHeight="1" x14ac:dyDescent="0.25">
      <c r="A209" s="1306"/>
      <c r="B209" s="683">
        <v>26</v>
      </c>
      <c r="C209" s="1310"/>
      <c r="D209" s="1305" t="s">
        <v>19</v>
      </c>
      <c r="E209" s="1308">
        <f>VLOOKUP(A207,UHT_MAT,51,FALSE)</f>
        <v>0</v>
      </c>
      <c r="F209" s="1908">
        <f t="shared" si="174"/>
        <v>0</v>
      </c>
      <c r="G209" s="1308"/>
      <c r="H209" s="1309">
        <f>VLOOKUP(B207,REKAP_NILAI,18,FALSE)</f>
        <v>0</v>
      </c>
      <c r="I209" s="1371">
        <f t="shared" si="175"/>
        <v>0</v>
      </c>
      <c r="J209" s="1372">
        <f t="shared" si="176"/>
        <v>0</v>
      </c>
      <c r="K209" s="1373" t="str">
        <f t="shared" si="177"/>
        <v>1.33</v>
      </c>
      <c r="L209" s="1373" t="str">
        <f t="shared" si="178"/>
        <v>D+</v>
      </c>
      <c r="M209" s="1374" t="str">
        <f t="shared" si="179"/>
        <v>0</v>
      </c>
      <c r="N209" s="1311"/>
      <c r="O209" s="1312"/>
      <c r="P209" s="1312"/>
      <c r="Q209" s="1312"/>
      <c r="R209" s="1312"/>
      <c r="S209" s="1312"/>
      <c r="T209" s="1312"/>
      <c r="U209" s="1313"/>
      <c r="V209" s="1314"/>
      <c r="W209" s="1314"/>
      <c r="X209" s="1314"/>
      <c r="Y209" s="1314"/>
      <c r="Z209" s="1314"/>
      <c r="AA209" s="1315"/>
      <c r="AB209" s="1253"/>
      <c r="AC209" s="1254"/>
    </row>
    <row r="210" spans="1:29" ht="24.95" customHeight="1" x14ac:dyDescent="0.25">
      <c r="A210" s="1306"/>
      <c r="B210" s="683">
        <v>26</v>
      </c>
      <c r="C210" s="1310"/>
      <c r="D210" s="1305" t="s">
        <v>181</v>
      </c>
      <c r="E210" s="1308">
        <f>VLOOKUP(A207,UHT_MAT,52,FALSE)</f>
        <v>0</v>
      </c>
      <c r="F210" s="1908">
        <f t="shared" si="174"/>
        <v>0</v>
      </c>
      <c r="G210" s="1308"/>
      <c r="H210" s="1309">
        <f>VLOOKUP(B207,REKAP_NILAI,19,FALSE)</f>
        <v>0</v>
      </c>
      <c r="I210" s="1371">
        <f t="shared" si="175"/>
        <v>0</v>
      </c>
      <c r="J210" s="1372">
        <f t="shared" si="176"/>
        <v>0</v>
      </c>
      <c r="K210" s="1373" t="str">
        <f t="shared" si="177"/>
        <v>1.33</v>
      </c>
      <c r="L210" s="1373" t="str">
        <f t="shared" si="178"/>
        <v>D+</v>
      </c>
      <c r="M210" s="1374" t="str">
        <f t="shared" si="179"/>
        <v>0</v>
      </c>
      <c r="N210" s="1311"/>
      <c r="O210" s="1312"/>
      <c r="P210" s="1312"/>
      <c r="Q210" s="1312"/>
      <c r="R210" s="1312"/>
      <c r="S210" s="1312"/>
      <c r="T210" s="1312"/>
      <c r="U210" s="1313"/>
      <c r="V210" s="1314"/>
      <c r="W210" s="1314"/>
      <c r="X210" s="1314"/>
      <c r="Y210" s="1314"/>
      <c r="Z210" s="1314"/>
      <c r="AA210" s="1315"/>
      <c r="AB210" s="1253"/>
      <c r="AC210" s="1254"/>
    </row>
    <row r="211" spans="1:29" ht="24.95" customHeight="1" x14ac:dyDescent="0.25">
      <c r="A211" s="1306"/>
      <c r="B211" s="683">
        <v>26</v>
      </c>
      <c r="C211" s="1310"/>
      <c r="D211" s="1305" t="s">
        <v>182</v>
      </c>
      <c r="E211" s="1308">
        <f>VLOOKUP(A207,UHT_MAT,53,FALSE)</f>
        <v>0</v>
      </c>
      <c r="F211" s="1908">
        <f t="shared" si="174"/>
        <v>0</v>
      </c>
      <c r="G211" s="1308"/>
      <c r="H211" s="1309">
        <f>VLOOKUP(B207,REKAP_NILAI,20,FALSE)</f>
        <v>0</v>
      </c>
      <c r="I211" s="1371">
        <f t="shared" si="175"/>
        <v>0</v>
      </c>
      <c r="J211" s="1372">
        <f t="shared" si="176"/>
        <v>0</v>
      </c>
      <c r="K211" s="1373" t="str">
        <f t="shared" si="177"/>
        <v>1.33</v>
      </c>
      <c r="L211" s="1373" t="str">
        <f t="shared" si="178"/>
        <v>D+</v>
      </c>
      <c r="M211" s="1374" t="str">
        <f t="shared" si="179"/>
        <v>0</v>
      </c>
      <c r="N211" s="1311"/>
      <c r="O211" s="1312"/>
      <c r="P211" s="1312"/>
      <c r="Q211" s="1312"/>
      <c r="R211" s="1312"/>
      <c r="S211" s="1312"/>
      <c r="T211" s="1312"/>
      <c r="U211" s="1313"/>
      <c r="V211" s="1314"/>
      <c r="W211" s="1314"/>
      <c r="X211" s="1314"/>
      <c r="Y211" s="1314"/>
      <c r="Z211" s="1314"/>
      <c r="AA211" s="1315"/>
      <c r="AB211" s="1253"/>
      <c r="AC211" s="1254"/>
    </row>
    <row r="212" spans="1:29" ht="24.95" customHeight="1" x14ac:dyDescent="0.25">
      <c r="A212" s="1306"/>
      <c r="B212" s="683">
        <v>26</v>
      </c>
      <c r="C212" s="1310"/>
      <c r="D212" s="1305" t="s">
        <v>566</v>
      </c>
      <c r="E212" s="1308">
        <f>VLOOKUP(A207,UHT_MAT,54,FALSE)</f>
        <v>0</v>
      </c>
      <c r="F212" s="1908">
        <f t="shared" si="174"/>
        <v>0</v>
      </c>
      <c r="G212" s="1308"/>
      <c r="H212" s="1309">
        <f>VLOOKUP(B207,REKAP_NILAI,21,FALSE)</f>
        <v>0</v>
      </c>
      <c r="I212" s="1371">
        <f t="shared" si="175"/>
        <v>0</v>
      </c>
      <c r="J212" s="1372">
        <f t="shared" si="176"/>
        <v>0</v>
      </c>
      <c r="K212" s="1373" t="str">
        <f t="shared" si="177"/>
        <v>1.33</v>
      </c>
      <c r="L212" s="1373" t="str">
        <f t="shared" si="178"/>
        <v>D+</v>
      </c>
      <c r="M212" s="1374" t="str">
        <f t="shared" si="179"/>
        <v>0</v>
      </c>
      <c r="N212" s="1311"/>
      <c r="O212" s="1312"/>
      <c r="P212" s="1312"/>
      <c r="Q212" s="1312"/>
      <c r="R212" s="1312"/>
      <c r="S212" s="1312"/>
      <c r="T212" s="1312"/>
      <c r="U212" s="1313"/>
      <c r="V212" s="1314"/>
      <c r="W212" s="1314"/>
      <c r="X212" s="1314"/>
      <c r="Y212" s="1314"/>
      <c r="Z212" s="1314"/>
      <c r="AA212" s="1315"/>
      <c r="AB212" s="1253"/>
      <c r="AC212" s="1254"/>
    </row>
    <row r="213" spans="1:29" ht="24.95" customHeight="1" x14ac:dyDescent="0.25">
      <c r="A213" s="1306"/>
      <c r="B213" s="683">
        <v>26</v>
      </c>
      <c r="C213" s="1310"/>
      <c r="D213" s="1305" t="s">
        <v>567</v>
      </c>
      <c r="E213" s="1308">
        <f>VLOOKUP(A207,UHT_MAT,55,FALSE)</f>
        <v>0</v>
      </c>
      <c r="F213" s="1908">
        <f t="shared" si="174"/>
        <v>0</v>
      </c>
      <c r="G213" s="1308"/>
      <c r="H213" s="1309">
        <f>VLOOKUP(B207,REKAP_NILAI,22,FALSE)</f>
        <v>0</v>
      </c>
      <c r="I213" s="1371">
        <f t="shared" si="175"/>
        <v>0</v>
      </c>
      <c r="J213" s="1372">
        <f t="shared" si="176"/>
        <v>0</v>
      </c>
      <c r="K213" s="1373" t="str">
        <f t="shared" si="177"/>
        <v>1.33</v>
      </c>
      <c r="L213" s="1373" t="str">
        <f t="shared" si="178"/>
        <v>D+</v>
      </c>
      <c r="M213" s="1374" t="str">
        <f t="shared" si="179"/>
        <v>0</v>
      </c>
      <c r="N213" s="1311"/>
      <c r="O213" s="1312"/>
      <c r="P213" s="1312"/>
      <c r="Q213" s="1312"/>
      <c r="R213" s="1312"/>
      <c r="S213" s="1312"/>
      <c r="T213" s="1312"/>
      <c r="U213" s="1313"/>
      <c r="V213" s="1314"/>
      <c r="W213" s="1314"/>
      <c r="X213" s="1314"/>
      <c r="Y213" s="1314"/>
      <c r="Z213" s="1314"/>
      <c r="AA213" s="1315"/>
      <c r="AB213" s="1255"/>
      <c r="AC213" s="1256"/>
    </row>
    <row r="214" spans="1:29" ht="24.95" customHeight="1" x14ac:dyDescent="0.3">
      <c r="A214" s="1337"/>
      <c r="B214" s="1338"/>
      <c r="C214" s="1339" t="s">
        <v>149</v>
      </c>
      <c r="D214" s="1319">
        <v>26</v>
      </c>
      <c r="E214" s="1320"/>
      <c r="F214" s="1909"/>
      <c r="G214" s="1320"/>
      <c r="H214" s="1321">
        <f>AVERAGE(H207:H213)</f>
        <v>0</v>
      </c>
      <c r="I214" s="1375"/>
      <c r="J214" s="1376">
        <f>AVERAGE(J207:J213)</f>
        <v>0</v>
      </c>
      <c r="K214" s="1377" t="str">
        <f t="shared" si="177"/>
        <v>1.33</v>
      </c>
      <c r="L214" s="1377" t="str">
        <f t="shared" si="178"/>
        <v>D+</v>
      </c>
      <c r="M214" s="1378" t="str">
        <f t="shared" si="179"/>
        <v>0</v>
      </c>
      <c r="N214" s="1347"/>
      <c r="O214" s="1348"/>
      <c r="P214" s="1348"/>
      <c r="Q214" s="1348"/>
      <c r="R214" s="1348"/>
      <c r="S214" s="1348"/>
      <c r="T214" s="1348"/>
      <c r="U214" s="1347"/>
      <c r="V214" s="1348"/>
      <c r="W214" s="1348"/>
      <c r="X214" s="1348"/>
      <c r="Y214" s="1348"/>
      <c r="Z214" s="1348"/>
      <c r="AA214" s="1349"/>
      <c r="AB214" s="1257"/>
      <c r="AC214" s="1258"/>
    </row>
    <row r="215" spans="1:29" ht="24.95" customHeight="1" thickBot="1" x14ac:dyDescent="0.3">
      <c r="A215" s="1325">
        <v>27</v>
      </c>
      <c r="B215" s="1326">
        <v>27</v>
      </c>
      <c r="C215" s="1327" t="str">
        <f>VLOOKUP(A215,data_siswa,4,FALSE)</f>
        <v>Mohammad Rizky</v>
      </c>
      <c r="D215" s="1305" t="s">
        <v>10</v>
      </c>
      <c r="E215" s="1308">
        <f>VLOOKUP(A215,UHT_MAT,49,FALSE)</f>
        <v>0</v>
      </c>
      <c r="F215" s="1908">
        <f>E215*2</f>
        <v>0</v>
      </c>
      <c r="G215" s="1308"/>
      <c r="H215" s="1309">
        <f>VLOOKUP(B215,REKAP_NILAI,16,FALSE)</f>
        <v>0</v>
      </c>
      <c r="I215" s="1367">
        <f>F215+G215+H215</f>
        <v>0</v>
      </c>
      <c r="J215" s="1368">
        <f>(F215+G215+H215)/4</f>
        <v>0</v>
      </c>
      <c r="K215" s="1369" t="str">
        <f>IF(J215&gt;85,("4"),IF(J215&gt;80,("3.66"),IF(J215&gt;75,("3.33"),IF(J215&gt;70,("3.00"),IF(J215&gt;65,("2.66"),IF(J215&gt;60,("2.33"),IF(J215&gt;55,("2"),IF(J215&gt;50,("1.66"),"1.33"))))))))</f>
        <v>1.33</v>
      </c>
      <c r="L215" s="1369" t="str">
        <f>IF(J215&gt;85,("A"),IF(J215&gt;80,("A-"),IF(J215&gt;75,("B+"),IF(J215&gt;70,("B"),IF(J215&gt;65,("B-"),IF(J215&gt;60,("C+"),IF(J215&gt;55,("C"),IF(J215&gt;50,("C-"),"D+"))))))))</f>
        <v>D+</v>
      </c>
      <c r="M215" s="1370" t="str">
        <f>IF(J215&gt;80,("SB"),IF(J215&gt;65,("B"),IF(J215&gt;50,("C"),IF(J215&gt;0,("K"),"0"))))</f>
        <v>0</v>
      </c>
      <c r="N215" s="1343"/>
      <c r="O215" s="1344"/>
      <c r="P215" s="1344"/>
      <c r="Q215" s="1344"/>
      <c r="R215" s="1344"/>
      <c r="S215" s="1344"/>
      <c r="T215" s="1345"/>
      <c r="U215" s="1346"/>
      <c r="V215" s="1346"/>
      <c r="W215" s="1346"/>
      <c r="X215" s="1346"/>
      <c r="Y215" s="1346"/>
      <c r="Z215" s="1346"/>
      <c r="AA215" s="1346"/>
      <c r="AB215" s="1057">
        <f>J222</f>
        <v>0</v>
      </c>
      <c r="AC215" s="1194" t="str">
        <f>IF(AB215&gt;85,("A"),IF(AB215&gt;80,("A-"),IF(AB215&gt;75,("B+"),IF(AB215&gt;70,("B"),IF(AB215&gt;65,("B-"),IF(AB215&gt;60,("C+"),IF(AB215&gt;55,("C"),IF(AB215&gt;50,("C-"),"D+"))))))))</f>
        <v>D+</v>
      </c>
    </row>
    <row r="216" spans="1:29" ht="24.95" customHeight="1" x14ac:dyDescent="0.25">
      <c r="A216" s="1306"/>
      <c r="B216" s="683">
        <v>27</v>
      </c>
      <c r="C216" s="1310"/>
      <c r="D216" s="1305" t="s">
        <v>20</v>
      </c>
      <c r="E216" s="1308">
        <f>VLOOKUP(A215,UHT_MAT,50,FALSE)</f>
        <v>0</v>
      </c>
      <c r="F216" s="1908">
        <f t="shared" ref="F216:F221" si="180">E216*2</f>
        <v>0</v>
      </c>
      <c r="G216" s="1308"/>
      <c r="H216" s="1309">
        <f>VLOOKUP(B215,REKAP_NILAI,17,FALSE)</f>
        <v>0</v>
      </c>
      <c r="I216" s="1371">
        <f t="shared" ref="I216:I221" si="181">F216+G216+H216</f>
        <v>0</v>
      </c>
      <c r="J216" s="1372">
        <f t="shared" ref="J216:J221" si="182">(F216+G216+H216)/4</f>
        <v>0</v>
      </c>
      <c r="K216" s="1373" t="str">
        <f t="shared" ref="K216:K222" si="183">IF(J216&gt;85,("4"),IF(J216&gt;80,("3.66"),IF(J216&gt;75,("3.33"),IF(J216&gt;70,("3.00"),IF(J216&gt;65,("2.66"),IF(J216&gt;60,("2.33"),IF(J216&gt;55,("2"),IF(J216&gt;50,("1.66"),"1.33"))))))))</f>
        <v>1.33</v>
      </c>
      <c r="L216" s="1373" t="str">
        <f t="shared" ref="L216:L222" si="184">IF(J216&gt;85,("A"),IF(J216&gt;80,("A-"),IF(J216&gt;75,("B+"),IF(J216&gt;70,("B"),IF(J216&gt;65,("B-"),IF(J216&gt;60,("C+"),IF(J216&gt;55,("C"),IF(J216&gt;50,("C-"),"D+"))))))))</f>
        <v>D+</v>
      </c>
      <c r="M216" s="1374" t="str">
        <f t="shared" ref="M216:M222" si="185">IF(J216&gt;80,("SB"),IF(J216&gt;65,("B"),IF(J216&gt;50,("C"),IF(J216&gt;0,("K"),"0"))))</f>
        <v>0</v>
      </c>
      <c r="N216" s="1332"/>
      <c r="O216" s="1333"/>
      <c r="P216" s="1333"/>
      <c r="Q216" s="1333"/>
      <c r="R216" s="1333"/>
      <c r="S216" s="1333"/>
      <c r="T216" s="1333"/>
      <c r="U216" s="1334"/>
      <c r="V216" s="1335"/>
      <c r="W216" s="1335"/>
      <c r="X216" s="1335"/>
      <c r="Y216" s="1335"/>
      <c r="Z216" s="1335"/>
      <c r="AA216" s="1336"/>
      <c r="AB216" s="1251"/>
      <c r="AC216" s="1252"/>
    </row>
    <row r="217" spans="1:29" ht="24.95" customHeight="1" x14ac:dyDescent="0.25">
      <c r="A217" s="1306"/>
      <c r="B217" s="683">
        <v>27</v>
      </c>
      <c r="C217" s="1310"/>
      <c r="D217" s="1305" t="s">
        <v>19</v>
      </c>
      <c r="E217" s="1308">
        <f>VLOOKUP(A215,UHT_MAT,51,FALSE)</f>
        <v>0</v>
      </c>
      <c r="F217" s="1908">
        <f t="shared" si="180"/>
        <v>0</v>
      </c>
      <c r="G217" s="1308"/>
      <c r="H217" s="1309">
        <f>VLOOKUP(B215,REKAP_NILAI,18,FALSE)</f>
        <v>0</v>
      </c>
      <c r="I217" s="1371">
        <f t="shared" si="181"/>
        <v>0</v>
      </c>
      <c r="J217" s="1372">
        <f t="shared" si="182"/>
        <v>0</v>
      </c>
      <c r="K217" s="1373" t="str">
        <f t="shared" si="183"/>
        <v>1.33</v>
      </c>
      <c r="L217" s="1373" t="str">
        <f t="shared" si="184"/>
        <v>D+</v>
      </c>
      <c r="M217" s="1374" t="str">
        <f t="shared" si="185"/>
        <v>0</v>
      </c>
      <c r="N217" s="1311"/>
      <c r="O217" s="1312"/>
      <c r="P217" s="1312"/>
      <c r="Q217" s="1312"/>
      <c r="R217" s="1312"/>
      <c r="S217" s="1312"/>
      <c r="T217" s="1312"/>
      <c r="U217" s="1313"/>
      <c r="V217" s="1314"/>
      <c r="W217" s="1314"/>
      <c r="X217" s="1314"/>
      <c r="Y217" s="1314"/>
      <c r="Z217" s="1314"/>
      <c r="AA217" s="1315"/>
      <c r="AB217" s="1253"/>
      <c r="AC217" s="1254"/>
    </row>
    <row r="218" spans="1:29" ht="24.95" customHeight="1" x14ac:dyDescent="0.25">
      <c r="A218" s="1306"/>
      <c r="B218" s="683">
        <v>27</v>
      </c>
      <c r="C218" s="1310"/>
      <c r="D218" s="1305" t="s">
        <v>181</v>
      </c>
      <c r="E218" s="1308">
        <f>VLOOKUP(A215,UHT_MAT,52,FALSE)</f>
        <v>0</v>
      </c>
      <c r="F218" s="1908">
        <f t="shared" si="180"/>
        <v>0</v>
      </c>
      <c r="G218" s="1308"/>
      <c r="H218" s="1309">
        <f>VLOOKUP(B215,REKAP_NILAI,19,FALSE)</f>
        <v>0</v>
      </c>
      <c r="I218" s="1371">
        <f t="shared" si="181"/>
        <v>0</v>
      </c>
      <c r="J218" s="1372">
        <f t="shared" si="182"/>
        <v>0</v>
      </c>
      <c r="K218" s="1373" t="str">
        <f t="shared" si="183"/>
        <v>1.33</v>
      </c>
      <c r="L218" s="1373" t="str">
        <f t="shared" si="184"/>
        <v>D+</v>
      </c>
      <c r="M218" s="1374" t="str">
        <f t="shared" si="185"/>
        <v>0</v>
      </c>
      <c r="N218" s="1311"/>
      <c r="O218" s="1312"/>
      <c r="P218" s="1312"/>
      <c r="Q218" s="1312"/>
      <c r="R218" s="1312"/>
      <c r="S218" s="1312"/>
      <c r="T218" s="1312"/>
      <c r="U218" s="1313"/>
      <c r="V218" s="1314"/>
      <c r="W218" s="1314"/>
      <c r="X218" s="1314"/>
      <c r="Y218" s="1314"/>
      <c r="Z218" s="1314"/>
      <c r="AA218" s="1315"/>
      <c r="AB218" s="1253"/>
      <c r="AC218" s="1254"/>
    </row>
    <row r="219" spans="1:29" ht="24.95" customHeight="1" x14ac:dyDescent="0.25">
      <c r="A219" s="1306"/>
      <c r="B219" s="683">
        <v>27</v>
      </c>
      <c r="C219" s="1310"/>
      <c r="D219" s="1305" t="s">
        <v>182</v>
      </c>
      <c r="E219" s="1308">
        <f>VLOOKUP(A215,UHT_MAT,53,FALSE)</f>
        <v>0</v>
      </c>
      <c r="F219" s="1908">
        <f t="shared" si="180"/>
        <v>0</v>
      </c>
      <c r="G219" s="1308"/>
      <c r="H219" s="1309">
        <f>VLOOKUP(B215,REKAP_NILAI,20,FALSE)</f>
        <v>0</v>
      </c>
      <c r="I219" s="1371">
        <f t="shared" si="181"/>
        <v>0</v>
      </c>
      <c r="J219" s="1372">
        <f t="shared" si="182"/>
        <v>0</v>
      </c>
      <c r="K219" s="1373" t="str">
        <f t="shared" si="183"/>
        <v>1.33</v>
      </c>
      <c r="L219" s="1373" t="str">
        <f t="shared" si="184"/>
        <v>D+</v>
      </c>
      <c r="M219" s="1374" t="str">
        <f t="shared" si="185"/>
        <v>0</v>
      </c>
      <c r="N219" s="1311"/>
      <c r="O219" s="1312"/>
      <c r="P219" s="1312"/>
      <c r="Q219" s="1312"/>
      <c r="R219" s="1312"/>
      <c r="S219" s="1312"/>
      <c r="T219" s="1312"/>
      <c r="U219" s="1313"/>
      <c r="V219" s="1314"/>
      <c r="W219" s="1314"/>
      <c r="X219" s="1314"/>
      <c r="Y219" s="1314"/>
      <c r="Z219" s="1314"/>
      <c r="AA219" s="1315"/>
      <c r="AB219" s="1253"/>
      <c r="AC219" s="1254"/>
    </row>
    <row r="220" spans="1:29" ht="24.95" customHeight="1" x14ac:dyDescent="0.25">
      <c r="A220" s="1306"/>
      <c r="B220" s="683">
        <v>27</v>
      </c>
      <c r="C220" s="1310"/>
      <c r="D220" s="1305" t="s">
        <v>566</v>
      </c>
      <c r="E220" s="1308">
        <f>VLOOKUP(A215,UHT_MAT,54,FALSE)</f>
        <v>0</v>
      </c>
      <c r="F220" s="1908">
        <f t="shared" si="180"/>
        <v>0</v>
      </c>
      <c r="G220" s="1308"/>
      <c r="H220" s="1309">
        <f>VLOOKUP(B215,REKAP_NILAI,21,FALSE)</f>
        <v>0</v>
      </c>
      <c r="I220" s="1371">
        <f t="shared" si="181"/>
        <v>0</v>
      </c>
      <c r="J220" s="1372">
        <f t="shared" si="182"/>
        <v>0</v>
      </c>
      <c r="K220" s="1373" t="str">
        <f t="shared" si="183"/>
        <v>1.33</v>
      </c>
      <c r="L220" s="1373" t="str">
        <f t="shared" si="184"/>
        <v>D+</v>
      </c>
      <c r="M220" s="1374" t="str">
        <f t="shared" si="185"/>
        <v>0</v>
      </c>
      <c r="N220" s="1311"/>
      <c r="O220" s="1312"/>
      <c r="P220" s="1312"/>
      <c r="Q220" s="1312"/>
      <c r="R220" s="1312"/>
      <c r="S220" s="1312"/>
      <c r="T220" s="1312"/>
      <c r="U220" s="1313"/>
      <c r="V220" s="1314"/>
      <c r="W220" s="1314"/>
      <c r="X220" s="1314"/>
      <c r="Y220" s="1314"/>
      <c r="Z220" s="1314"/>
      <c r="AA220" s="1315"/>
      <c r="AB220" s="1253"/>
      <c r="AC220" s="1254"/>
    </row>
    <row r="221" spans="1:29" ht="24.95" customHeight="1" x14ac:dyDescent="0.25">
      <c r="A221" s="1306"/>
      <c r="B221" s="683">
        <v>27</v>
      </c>
      <c r="C221" s="1310"/>
      <c r="D221" s="1305" t="s">
        <v>567</v>
      </c>
      <c r="E221" s="1308">
        <f>VLOOKUP(A215,UHT_MAT,55,FALSE)</f>
        <v>0</v>
      </c>
      <c r="F221" s="1908">
        <f t="shared" si="180"/>
        <v>0</v>
      </c>
      <c r="G221" s="1308"/>
      <c r="H221" s="1309">
        <f>VLOOKUP(B215,REKAP_NILAI,22,FALSE)</f>
        <v>0</v>
      </c>
      <c r="I221" s="1371">
        <f t="shared" si="181"/>
        <v>0</v>
      </c>
      <c r="J221" s="1372">
        <f t="shared" si="182"/>
        <v>0</v>
      </c>
      <c r="K221" s="1373" t="str">
        <f t="shared" si="183"/>
        <v>1.33</v>
      </c>
      <c r="L221" s="1373" t="str">
        <f t="shared" si="184"/>
        <v>D+</v>
      </c>
      <c r="M221" s="1374" t="str">
        <f t="shared" si="185"/>
        <v>0</v>
      </c>
      <c r="N221" s="1311"/>
      <c r="O221" s="1312"/>
      <c r="P221" s="1312"/>
      <c r="Q221" s="1312"/>
      <c r="R221" s="1312"/>
      <c r="S221" s="1312"/>
      <c r="T221" s="1312"/>
      <c r="U221" s="1313"/>
      <c r="V221" s="1314"/>
      <c r="W221" s="1314"/>
      <c r="X221" s="1314"/>
      <c r="Y221" s="1314"/>
      <c r="Z221" s="1314"/>
      <c r="AA221" s="1315"/>
      <c r="AB221" s="1255"/>
      <c r="AC221" s="1256"/>
    </row>
    <row r="222" spans="1:29" ht="24.95" customHeight="1" x14ac:dyDescent="0.3">
      <c r="A222" s="1337"/>
      <c r="B222" s="1338"/>
      <c r="C222" s="1339" t="s">
        <v>149</v>
      </c>
      <c r="D222" s="1319">
        <v>27</v>
      </c>
      <c r="E222" s="1320"/>
      <c r="F222" s="1909"/>
      <c r="G222" s="1320"/>
      <c r="H222" s="1321">
        <f>AVERAGE(H215:H221)</f>
        <v>0</v>
      </c>
      <c r="I222" s="1375"/>
      <c r="J222" s="1376">
        <f>AVERAGE(J215:J221)</f>
        <v>0</v>
      </c>
      <c r="K222" s="1377" t="str">
        <f t="shared" si="183"/>
        <v>1.33</v>
      </c>
      <c r="L222" s="1377" t="str">
        <f t="shared" si="184"/>
        <v>D+</v>
      </c>
      <c r="M222" s="1378" t="str">
        <f t="shared" si="185"/>
        <v>0</v>
      </c>
      <c r="N222" s="1347"/>
      <c r="O222" s="1348"/>
      <c r="P222" s="1348"/>
      <c r="Q222" s="1348"/>
      <c r="R222" s="1348"/>
      <c r="S222" s="1348"/>
      <c r="T222" s="1348"/>
      <c r="U222" s="1347"/>
      <c r="V222" s="1348"/>
      <c r="W222" s="1348"/>
      <c r="X222" s="1348"/>
      <c r="Y222" s="1348"/>
      <c r="Z222" s="1348"/>
      <c r="AA222" s="1349"/>
      <c r="AB222" s="1257"/>
      <c r="AC222" s="1258"/>
    </row>
    <row r="223" spans="1:29" ht="24.95" customHeight="1" thickBot="1" x14ac:dyDescent="0.3">
      <c r="A223" s="1325">
        <v>28</v>
      </c>
      <c r="B223" s="1326">
        <v>28</v>
      </c>
      <c r="C223" s="1327">
        <f>VLOOKUP(A223,data_siswa,4)</f>
        <v>0</v>
      </c>
      <c r="D223" s="1305" t="s">
        <v>10</v>
      </c>
      <c r="E223" s="1308">
        <f>VLOOKUP(A223,UHT_MAT,49,FALSE)</f>
        <v>0</v>
      </c>
      <c r="F223" s="1908">
        <f>E223*2</f>
        <v>0</v>
      </c>
      <c r="G223" s="1308"/>
      <c r="H223" s="1309">
        <f>VLOOKUP(B223,REKAP_NILAI,16,FALSE)</f>
        <v>0</v>
      </c>
      <c r="I223" s="1367">
        <f>F223+G223+H223</f>
        <v>0</v>
      </c>
      <c r="J223" s="1368">
        <f>(F223+G223+H223)/4</f>
        <v>0</v>
      </c>
      <c r="K223" s="1369" t="str">
        <f>IF(J223&gt;85,("4"),IF(J223&gt;80,("3.66"),IF(J223&gt;75,("3.33"),IF(J223&gt;70,("3.00"),IF(J223&gt;65,("2.66"),IF(J223&gt;60,("2.33"),IF(J223&gt;55,("2"),IF(J223&gt;50,("1.66"),"1.33"))))))))</f>
        <v>1.33</v>
      </c>
      <c r="L223" s="1369" t="str">
        <f>IF(J223&gt;85,("A"),IF(J223&gt;80,("A-"),IF(J223&gt;75,("B+"),IF(J223&gt;70,("B"),IF(J223&gt;65,("B-"),IF(J223&gt;60,("C+"),IF(J223&gt;55,("C"),IF(J223&gt;50,("C-"),"D+"))))))))</f>
        <v>D+</v>
      </c>
      <c r="M223" s="1370" t="str">
        <f>IF(J223&gt;80,("SB"),IF(J223&gt;65,("B"),IF(J223&gt;50,("C"),IF(J223&gt;0,("K"),"0"))))</f>
        <v>0</v>
      </c>
      <c r="N223" s="1343"/>
      <c r="O223" s="1344"/>
      <c r="P223" s="1344"/>
      <c r="Q223" s="1344"/>
      <c r="R223" s="1344"/>
      <c r="S223" s="1344"/>
      <c r="T223" s="1345"/>
      <c r="U223" s="1346"/>
      <c r="V223" s="1346"/>
      <c r="W223" s="1346"/>
      <c r="X223" s="1346"/>
      <c r="Y223" s="1346"/>
      <c r="Z223" s="1346"/>
      <c r="AA223" s="1346"/>
      <c r="AB223" s="1057">
        <f>J230</f>
        <v>0</v>
      </c>
      <c r="AC223" s="1194" t="str">
        <f>IF(AB223&gt;85,("A"),IF(AB223&gt;80,("A-"),IF(AB223&gt;75,("B+"),IF(AB223&gt;70,("B"),IF(AB223&gt;65,("B-"),IF(AB223&gt;60,("C+"),IF(AB223&gt;55,("C"),IF(AB223&gt;50,("C-"),"D+"))))))))</f>
        <v>D+</v>
      </c>
    </row>
    <row r="224" spans="1:29" ht="24.95" customHeight="1" x14ac:dyDescent="0.25">
      <c r="A224" s="1306"/>
      <c r="B224" s="683">
        <v>28</v>
      </c>
      <c r="C224" s="1310"/>
      <c r="D224" s="1305" t="s">
        <v>20</v>
      </c>
      <c r="E224" s="1308">
        <f>VLOOKUP(A223,UHT_MAT,50,FALSE)</f>
        <v>0</v>
      </c>
      <c r="F224" s="1908">
        <f t="shared" ref="F224:F229" si="186">E224*2</f>
        <v>0</v>
      </c>
      <c r="G224" s="1308"/>
      <c r="H224" s="1309">
        <f>VLOOKUP(B223,REKAP_NILAI,17,FALSE)</f>
        <v>0</v>
      </c>
      <c r="I224" s="1371">
        <f t="shared" ref="I224:I229" si="187">F224+G224+H224</f>
        <v>0</v>
      </c>
      <c r="J224" s="1372">
        <f t="shared" ref="J224:J229" si="188">(F224+G224+H224)/4</f>
        <v>0</v>
      </c>
      <c r="K224" s="1373" t="str">
        <f t="shared" ref="K224:K230" si="189">IF(J224&gt;85,("4"),IF(J224&gt;80,("3.66"),IF(J224&gt;75,("3.33"),IF(J224&gt;70,("3.00"),IF(J224&gt;65,("2.66"),IF(J224&gt;60,("2.33"),IF(J224&gt;55,("2"),IF(J224&gt;50,("1.66"),"1.33"))))))))</f>
        <v>1.33</v>
      </c>
      <c r="L224" s="1373" t="str">
        <f t="shared" ref="L224:L230" si="190">IF(J224&gt;85,("A"),IF(J224&gt;80,("A-"),IF(J224&gt;75,("B+"),IF(J224&gt;70,("B"),IF(J224&gt;65,("B-"),IF(J224&gt;60,("C+"),IF(J224&gt;55,("C"),IF(J224&gt;50,("C-"),"D+"))))))))</f>
        <v>D+</v>
      </c>
      <c r="M224" s="1374" t="str">
        <f t="shared" ref="M224:M230" si="191">IF(J224&gt;80,("SB"),IF(J224&gt;65,("B"),IF(J224&gt;50,("C"),IF(J224&gt;0,("K"),"0"))))</f>
        <v>0</v>
      </c>
      <c r="N224" s="1332"/>
      <c r="O224" s="1333"/>
      <c r="P224" s="1333"/>
      <c r="Q224" s="1333"/>
      <c r="R224" s="1333"/>
      <c r="S224" s="1333"/>
      <c r="T224" s="1333"/>
      <c r="U224" s="1334"/>
      <c r="V224" s="1335"/>
      <c r="W224" s="1335"/>
      <c r="X224" s="1335"/>
      <c r="Y224" s="1335"/>
      <c r="Z224" s="1335"/>
      <c r="AA224" s="1336"/>
      <c r="AB224" s="1251"/>
      <c r="AC224" s="1252"/>
    </row>
    <row r="225" spans="1:29" ht="24.95" customHeight="1" x14ac:dyDescent="0.25">
      <c r="A225" s="1306"/>
      <c r="B225" s="683">
        <v>28</v>
      </c>
      <c r="C225" s="1310"/>
      <c r="D225" s="1305" t="s">
        <v>19</v>
      </c>
      <c r="E225" s="1308">
        <f>VLOOKUP(A223,UHT_MAT,51,FALSE)</f>
        <v>0</v>
      </c>
      <c r="F225" s="1908">
        <f t="shared" si="186"/>
        <v>0</v>
      </c>
      <c r="G225" s="1308"/>
      <c r="H225" s="1309">
        <f>VLOOKUP(B223,REKAP_NILAI,18,FALSE)</f>
        <v>0</v>
      </c>
      <c r="I225" s="1371">
        <f t="shared" si="187"/>
        <v>0</v>
      </c>
      <c r="J225" s="1372">
        <f t="shared" si="188"/>
        <v>0</v>
      </c>
      <c r="K225" s="1373" t="str">
        <f t="shared" si="189"/>
        <v>1.33</v>
      </c>
      <c r="L225" s="1373" t="str">
        <f t="shared" si="190"/>
        <v>D+</v>
      </c>
      <c r="M225" s="1374" t="str">
        <f t="shared" si="191"/>
        <v>0</v>
      </c>
      <c r="N225" s="1311"/>
      <c r="O225" s="1312"/>
      <c r="P225" s="1312"/>
      <c r="Q225" s="1312"/>
      <c r="R225" s="1312"/>
      <c r="S225" s="1312"/>
      <c r="T225" s="1312"/>
      <c r="U225" s="1313"/>
      <c r="V225" s="1314"/>
      <c r="W225" s="1314"/>
      <c r="X225" s="1314"/>
      <c r="Y225" s="1314"/>
      <c r="Z225" s="1314"/>
      <c r="AA225" s="1315"/>
      <c r="AB225" s="1253"/>
      <c r="AC225" s="1254"/>
    </row>
    <row r="226" spans="1:29" ht="24.95" customHeight="1" x14ac:dyDescent="0.25">
      <c r="A226" s="1306"/>
      <c r="B226" s="683">
        <v>28</v>
      </c>
      <c r="C226" s="1310"/>
      <c r="D226" s="1305" t="s">
        <v>181</v>
      </c>
      <c r="E226" s="1308">
        <f>VLOOKUP(A223,UHT_MAT,52,FALSE)</f>
        <v>0</v>
      </c>
      <c r="F226" s="1908">
        <f t="shared" si="186"/>
        <v>0</v>
      </c>
      <c r="G226" s="1308"/>
      <c r="H226" s="1309">
        <f>VLOOKUP(B223,REKAP_NILAI,19,FALSE)</f>
        <v>0</v>
      </c>
      <c r="I226" s="1371">
        <f t="shared" si="187"/>
        <v>0</v>
      </c>
      <c r="J226" s="1372">
        <f t="shared" si="188"/>
        <v>0</v>
      </c>
      <c r="K226" s="1373" t="str">
        <f t="shared" si="189"/>
        <v>1.33</v>
      </c>
      <c r="L226" s="1373" t="str">
        <f t="shared" si="190"/>
        <v>D+</v>
      </c>
      <c r="M226" s="1374" t="str">
        <f t="shared" si="191"/>
        <v>0</v>
      </c>
      <c r="N226" s="1311"/>
      <c r="O226" s="1312"/>
      <c r="P226" s="1312"/>
      <c r="Q226" s="1312"/>
      <c r="R226" s="1312"/>
      <c r="S226" s="1312"/>
      <c r="T226" s="1312"/>
      <c r="U226" s="1313"/>
      <c r="V226" s="1314"/>
      <c r="W226" s="1314"/>
      <c r="X226" s="1314"/>
      <c r="Y226" s="1314"/>
      <c r="Z226" s="1314"/>
      <c r="AA226" s="1315"/>
      <c r="AB226" s="1253"/>
      <c r="AC226" s="1254"/>
    </row>
    <row r="227" spans="1:29" ht="24.95" customHeight="1" x14ac:dyDescent="0.25">
      <c r="A227" s="1306"/>
      <c r="B227" s="683">
        <v>28</v>
      </c>
      <c r="C227" s="1310"/>
      <c r="D227" s="1305" t="s">
        <v>182</v>
      </c>
      <c r="E227" s="1308">
        <f>VLOOKUP(A223,UHT_MAT,53,FALSE)</f>
        <v>0</v>
      </c>
      <c r="F227" s="1908">
        <f t="shared" si="186"/>
        <v>0</v>
      </c>
      <c r="G227" s="1308"/>
      <c r="H227" s="1309">
        <f>VLOOKUP(B223,REKAP_NILAI,20,FALSE)</f>
        <v>0</v>
      </c>
      <c r="I227" s="1371">
        <f t="shared" si="187"/>
        <v>0</v>
      </c>
      <c r="J227" s="1372">
        <f t="shared" si="188"/>
        <v>0</v>
      </c>
      <c r="K227" s="1373" t="str">
        <f t="shared" si="189"/>
        <v>1.33</v>
      </c>
      <c r="L227" s="1373" t="str">
        <f t="shared" si="190"/>
        <v>D+</v>
      </c>
      <c r="M227" s="1374" t="str">
        <f t="shared" si="191"/>
        <v>0</v>
      </c>
      <c r="N227" s="1311"/>
      <c r="O227" s="1312"/>
      <c r="P227" s="1312"/>
      <c r="Q227" s="1312"/>
      <c r="R227" s="1312"/>
      <c r="S227" s="1312"/>
      <c r="T227" s="1312"/>
      <c r="U227" s="1313"/>
      <c r="V227" s="1314"/>
      <c r="W227" s="1314"/>
      <c r="X227" s="1314"/>
      <c r="Y227" s="1314"/>
      <c r="Z227" s="1314"/>
      <c r="AA227" s="1315"/>
      <c r="AB227" s="1253"/>
      <c r="AC227" s="1254"/>
    </row>
    <row r="228" spans="1:29" ht="24.95" customHeight="1" x14ac:dyDescent="0.25">
      <c r="A228" s="1306"/>
      <c r="B228" s="683">
        <v>28</v>
      </c>
      <c r="C228" s="1310"/>
      <c r="D228" s="1305" t="s">
        <v>566</v>
      </c>
      <c r="E228" s="1308">
        <f>VLOOKUP(A223,UHT_MAT,54,FALSE)</f>
        <v>0</v>
      </c>
      <c r="F228" s="1908">
        <f t="shared" si="186"/>
        <v>0</v>
      </c>
      <c r="G228" s="1308"/>
      <c r="H228" s="1309">
        <f>VLOOKUP(B223,REKAP_NILAI,21,FALSE)</f>
        <v>0</v>
      </c>
      <c r="I228" s="1371">
        <f t="shared" si="187"/>
        <v>0</v>
      </c>
      <c r="J228" s="1372">
        <f t="shared" si="188"/>
        <v>0</v>
      </c>
      <c r="K228" s="1373" t="str">
        <f t="shared" si="189"/>
        <v>1.33</v>
      </c>
      <c r="L228" s="1373" t="str">
        <f t="shared" si="190"/>
        <v>D+</v>
      </c>
      <c r="M228" s="1374" t="str">
        <f t="shared" si="191"/>
        <v>0</v>
      </c>
      <c r="N228" s="1311"/>
      <c r="O228" s="1312"/>
      <c r="P228" s="1312"/>
      <c r="Q228" s="1312"/>
      <c r="R228" s="1312"/>
      <c r="S228" s="1312"/>
      <c r="T228" s="1312"/>
      <c r="U228" s="1313"/>
      <c r="V228" s="1314"/>
      <c r="W228" s="1314"/>
      <c r="X228" s="1314"/>
      <c r="Y228" s="1314"/>
      <c r="Z228" s="1314"/>
      <c r="AA228" s="1315"/>
      <c r="AB228" s="1253"/>
      <c r="AC228" s="1254"/>
    </row>
    <row r="229" spans="1:29" ht="24.95" customHeight="1" x14ac:dyDescent="0.25">
      <c r="A229" s="1306"/>
      <c r="B229" s="683">
        <v>28</v>
      </c>
      <c r="C229" s="1310"/>
      <c r="D229" s="1305" t="s">
        <v>567</v>
      </c>
      <c r="E229" s="1308">
        <f>VLOOKUP(A223,UHT_MAT,55,FALSE)</f>
        <v>0</v>
      </c>
      <c r="F229" s="1908">
        <f t="shared" si="186"/>
        <v>0</v>
      </c>
      <c r="G229" s="1308"/>
      <c r="H229" s="1309">
        <f>VLOOKUP(B223,REKAP_NILAI,22,FALSE)</f>
        <v>0</v>
      </c>
      <c r="I229" s="1371">
        <f t="shared" si="187"/>
        <v>0</v>
      </c>
      <c r="J229" s="1372">
        <f t="shared" si="188"/>
        <v>0</v>
      </c>
      <c r="K229" s="1373" t="str">
        <f t="shared" si="189"/>
        <v>1.33</v>
      </c>
      <c r="L229" s="1373" t="str">
        <f t="shared" si="190"/>
        <v>D+</v>
      </c>
      <c r="M229" s="1374" t="str">
        <f t="shared" si="191"/>
        <v>0</v>
      </c>
      <c r="N229" s="1311"/>
      <c r="O229" s="1312"/>
      <c r="P229" s="1312"/>
      <c r="Q229" s="1312"/>
      <c r="R229" s="1312"/>
      <c r="S229" s="1312"/>
      <c r="T229" s="1312"/>
      <c r="U229" s="1313"/>
      <c r="V229" s="1314"/>
      <c r="W229" s="1314"/>
      <c r="X229" s="1314"/>
      <c r="Y229" s="1314"/>
      <c r="Z229" s="1314"/>
      <c r="AA229" s="1315"/>
      <c r="AB229" s="1255"/>
      <c r="AC229" s="1256"/>
    </row>
    <row r="230" spans="1:29" ht="24.95" customHeight="1" x14ac:dyDescent="0.3">
      <c r="A230" s="1337"/>
      <c r="B230" s="1338"/>
      <c r="C230" s="1339" t="s">
        <v>149</v>
      </c>
      <c r="D230" s="1319">
        <v>28</v>
      </c>
      <c r="E230" s="1320"/>
      <c r="F230" s="1909"/>
      <c r="G230" s="1320"/>
      <c r="H230" s="1321">
        <f>AVERAGE(H223:H229)</f>
        <v>0</v>
      </c>
      <c r="I230" s="1375"/>
      <c r="J230" s="1376">
        <f>AVERAGE(J223:J229)</f>
        <v>0</v>
      </c>
      <c r="K230" s="1377" t="str">
        <f t="shared" si="189"/>
        <v>1.33</v>
      </c>
      <c r="L230" s="1377" t="str">
        <f t="shared" si="190"/>
        <v>D+</v>
      </c>
      <c r="M230" s="1378" t="str">
        <f t="shared" si="191"/>
        <v>0</v>
      </c>
      <c r="N230" s="1347"/>
      <c r="O230" s="1348"/>
      <c r="P230" s="1348"/>
      <c r="Q230" s="1348"/>
      <c r="R230" s="1348"/>
      <c r="S230" s="1348"/>
      <c r="T230" s="1348"/>
      <c r="U230" s="1347"/>
      <c r="V230" s="1348"/>
      <c r="W230" s="1348"/>
      <c r="X230" s="1348"/>
      <c r="Y230" s="1348"/>
      <c r="Z230" s="1348"/>
      <c r="AA230" s="1349"/>
      <c r="AB230" s="1257"/>
      <c r="AC230" s="1258"/>
    </row>
    <row r="231" spans="1:29" ht="24.95" customHeight="1" thickBot="1" x14ac:dyDescent="0.3">
      <c r="A231" s="1325">
        <v>29</v>
      </c>
      <c r="B231" s="1326">
        <v>29</v>
      </c>
      <c r="C231" s="1327">
        <f>VLOOKUP(A231,data_siswa,4)</f>
        <v>0</v>
      </c>
      <c r="D231" s="1305" t="s">
        <v>10</v>
      </c>
      <c r="E231" s="1308">
        <f>VLOOKUP(A231,UHT_MAT,49,FALSE)</f>
        <v>0</v>
      </c>
      <c r="F231" s="1908">
        <f>E231*2</f>
        <v>0</v>
      </c>
      <c r="G231" s="1308"/>
      <c r="H231" s="1309">
        <f>VLOOKUP(B231,REKAP_NILAI,16,FALSE)</f>
        <v>0</v>
      </c>
      <c r="I231" s="1367">
        <f>F231+G231+H231</f>
        <v>0</v>
      </c>
      <c r="J231" s="1368">
        <f>(F231+G231+H231)/4</f>
        <v>0</v>
      </c>
      <c r="K231" s="1369" t="str">
        <f>IF(J231&gt;85,("4"),IF(J231&gt;80,("3.66"),IF(J231&gt;75,("3.33"),IF(J231&gt;70,("3.00"),IF(J231&gt;65,("2.66"),IF(J231&gt;60,("2.33"),IF(J231&gt;55,("2"),IF(J231&gt;50,("1.66"),"1.33"))))))))</f>
        <v>1.33</v>
      </c>
      <c r="L231" s="1369" t="str">
        <f>IF(J231&gt;85,("A"),IF(J231&gt;80,("A-"),IF(J231&gt;75,("B+"),IF(J231&gt;70,("B"),IF(J231&gt;65,("B-"),IF(J231&gt;60,("C+"),IF(J231&gt;55,("C"),IF(J231&gt;50,("C-"),"D+"))))))))</f>
        <v>D+</v>
      </c>
      <c r="M231" s="1370" t="str">
        <f>IF(J231&gt;80,("SB"),IF(J231&gt;65,("B"),IF(J231&gt;50,("C"),IF(J231&gt;0,("K"),"0"))))</f>
        <v>0</v>
      </c>
      <c r="N231" s="1343"/>
      <c r="O231" s="1344"/>
      <c r="P231" s="1344"/>
      <c r="Q231" s="1344"/>
      <c r="R231" s="1344"/>
      <c r="S231" s="1344"/>
      <c r="T231" s="1345"/>
      <c r="U231" s="1346"/>
      <c r="V231" s="1346"/>
      <c r="W231" s="1346"/>
      <c r="X231" s="1346"/>
      <c r="Y231" s="1346"/>
      <c r="Z231" s="1346"/>
      <c r="AA231" s="1346"/>
      <c r="AB231" s="1057">
        <f>J238</f>
        <v>0</v>
      </c>
      <c r="AC231" s="1194" t="str">
        <f>IF(AB231&gt;85,("A"),IF(AB231&gt;80,("A-"),IF(AB231&gt;75,("B+"),IF(AB231&gt;70,("B"),IF(AB231&gt;65,("B-"),IF(AB231&gt;60,("C+"),IF(AB231&gt;55,("C"),IF(AB231&gt;50,("C-"),"D+"))))))))</f>
        <v>D+</v>
      </c>
    </row>
    <row r="232" spans="1:29" ht="24.95" customHeight="1" x14ac:dyDescent="0.25">
      <c r="A232" s="1306"/>
      <c r="B232" s="683">
        <v>29</v>
      </c>
      <c r="C232" s="1310"/>
      <c r="D232" s="1305" t="s">
        <v>20</v>
      </c>
      <c r="E232" s="1308">
        <f>VLOOKUP(A231,UHT_MAT,50,FALSE)</f>
        <v>0</v>
      </c>
      <c r="F232" s="1908">
        <f t="shared" ref="F232:F237" si="192">E232*2</f>
        <v>0</v>
      </c>
      <c r="G232" s="1308"/>
      <c r="H232" s="1309">
        <f>VLOOKUP(B231,REKAP_NILAI,17,FALSE)</f>
        <v>0</v>
      </c>
      <c r="I232" s="1371">
        <f t="shared" ref="I232:I237" si="193">F232+G232+H232</f>
        <v>0</v>
      </c>
      <c r="J232" s="1372">
        <f t="shared" ref="J232:J237" si="194">(F232+G232+H232)/4</f>
        <v>0</v>
      </c>
      <c r="K232" s="1373" t="str">
        <f t="shared" ref="K232:K238" si="195">IF(J232&gt;85,("4"),IF(J232&gt;80,("3.66"),IF(J232&gt;75,("3.33"),IF(J232&gt;70,("3.00"),IF(J232&gt;65,("2.66"),IF(J232&gt;60,("2.33"),IF(J232&gt;55,("2"),IF(J232&gt;50,("1.66"),"1.33"))))))))</f>
        <v>1.33</v>
      </c>
      <c r="L232" s="1373" t="str">
        <f t="shared" ref="L232:L238" si="196">IF(J232&gt;85,("A"),IF(J232&gt;80,("A-"),IF(J232&gt;75,("B+"),IF(J232&gt;70,("B"),IF(J232&gt;65,("B-"),IF(J232&gt;60,("C+"),IF(J232&gt;55,("C"),IF(J232&gt;50,("C-"),"D+"))))))))</f>
        <v>D+</v>
      </c>
      <c r="M232" s="1374" t="str">
        <f t="shared" ref="M232:M238" si="197">IF(J232&gt;80,("SB"),IF(J232&gt;65,("B"),IF(J232&gt;50,("C"),IF(J232&gt;0,("K"),"0"))))</f>
        <v>0</v>
      </c>
      <c r="N232" s="1332"/>
      <c r="O232" s="1333"/>
      <c r="P232" s="1333"/>
      <c r="Q232" s="1333"/>
      <c r="R232" s="1333"/>
      <c r="S232" s="1333"/>
      <c r="T232" s="1333"/>
      <c r="U232" s="1334"/>
      <c r="V232" s="1335"/>
      <c r="W232" s="1335"/>
      <c r="X232" s="1335"/>
      <c r="Y232" s="1335"/>
      <c r="Z232" s="1335"/>
      <c r="AA232" s="1336"/>
      <c r="AB232" s="1251"/>
      <c r="AC232" s="1252"/>
    </row>
    <row r="233" spans="1:29" ht="24.95" customHeight="1" x14ac:dyDescent="0.25">
      <c r="A233" s="1306"/>
      <c r="B233" s="683">
        <v>29</v>
      </c>
      <c r="C233" s="1310"/>
      <c r="D233" s="1305" t="s">
        <v>19</v>
      </c>
      <c r="E233" s="1308">
        <f>VLOOKUP(A231,UHT_MAT,51,FALSE)</f>
        <v>0</v>
      </c>
      <c r="F233" s="1908">
        <f t="shared" si="192"/>
        <v>0</v>
      </c>
      <c r="G233" s="1308"/>
      <c r="H233" s="1309">
        <f>VLOOKUP(B231,REKAP_NILAI,18,FALSE)</f>
        <v>0</v>
      </c>
      <c r="I233" s="1371">
        <f t="shared" si="193"/>
        <v>0</v>
      </c>
      <c r="J233" s="1372">
        <f t="shared" si="194"/>
        <v>0</v>
      </c>
      <c r="K233" s="1373" t="str">
        <f t="shared" si="195"/>
        <v>1.33</v>
      </c>
      <c r="L233" s="1373" t="str">
        <f t="shared" si="196"/>
        <v>D+</v>
      </c>
      <c r="M233" s="1374" t="str">
        <f t="shared" si="197"/>
        <v>0</v>
      </c>
      <c r="N233" s="1311"/>
      <c r="O233" s="1312"/>
      <c r="P233" s="1312"/>
      <c r="Q233" s="1312"/>
      <c r="R233" s="1312"/>
      <c r="S233" s="1312"/>
      <c r="T233" s="1312"/>
      <c r="U233" s="1313"/>
      <c r="V233" s="1314"/>
      <c r="W233" s="1314"/>
      <c r="X233" s="1314"/>
      <c r="Y233" s="1314"/>
      <c r="Z233" s="1314"/>
      <c r="AA233" s="1315"/>
      <c r="AB233" s="1253"/>
      <c r="AC233" s="1254"/>
    </row>
    <row r="234" spans="1:29" ht="24.95" customHeight="1" x14ac:dyDescent="0.25">
      <c r="A234" s="1306"/>
      <c r="B234" s="683">
        <v>29</v>
      </c>
      <c r="C234" s="1310"/>
      <c r="D234" s="1305" t="s">
        <v>181</v>
      </c>
      <c r="E234" s="1308">
        <f>VLOOKUP(A231,UHT_MAT,52,FALSE)</f>
        <v>0</v>
      </c>
      <c r="F234" s="1908">
        <f t="shared" si="192"/>
        <v>0</v>
      </c>
      <c r="G234" s="1308"/>
      <c r="H234" s="1309">
        <f>VLOOKUP(B231,REKAP_NILAI,19,FALSE)</f>
        <v>0</v>
      </c>
      <c r="I234" s="1371">
        <f t="shared" si="193"/>
        <v>0</v>
      </c>
      <c r="J234" s="1372">
        <f t="shared" si="194"/>
        <v>0</v>
      </c>
      <c r="K234" s="1373" t="str">
        <f t="shared" si="195"/>
        <v>1.33</v>
      </c>
      <c r="L234" s="1373" t="str">
        <f t="shared" si="196"/>
        <v>D+</v>
      </c>
      <c r="M234" s="1374" t="str">
        <f t="shared" si="197"/>
        <v>0</v>
      </c>
      <c r="N234" s="1311"/>
      <c r="O234" s="1312"/>
      <c r="P234" s="1312"/>
      <c r="Q234" s="1312"/>
      <c r="R234" s="1312"/>
      <c r="S234" s="1312"/>
      <c r="T234" s="1312"/>
      <c r="U234" s="1313"/>
      <c r="V234" s="1314"/>
      <c r="W234" s="1314"/>
      <c r="X234" s="1314"/>
      <c r="Y234" s="1314"/>
      <c r="Z234" s="1314"/>
      <c r="AA234" s="1315"/>
      <c r="AB234" s="1253"/>
      <c r="AC234" s="1254"/>
    </row>
    <row r="235" spans="1:29" ht="24.95" customHeight="1" x14ac:dyDescent="0.25">
      <c r="A235" s="1306"/>
      <c r="B235" s="683">
        <v>29</v>
      </c>
      <c r="C235" s="1310"/>
      <c r="D235" s="1305" t="s">
        <v>182</v>
      </c>
      <c r="E235" s="1308">
        <f>VLOOKUP(A231,UHT_MAT,53,FALSE)</f>
        <v>0</v>
      </c>
      <c r="F235" s="1908">
        <f t="shared" si="192"/>
        <v>0</v>
      </c>
      <c r="G235" s="1308"/>
      <c r="H235" s="1309">
        <f>VLOOKUP(B231,REKAP_NILAI,20,FALSE)</f>
        <v>0</v>
      </c>
      <c r="I235" s="1371">
        <f t="shared" si="193"/>
        <v>0</v>
      </c>
      <c r="J235" s="1372">
        <f t="shared" si="194"/>
        <v>0</v>
      </c>
      <c r="K235" s="1373" t="str">
        <f t="shared" si="195"/>
        <v>1.33</v>
      </c>
      <c r="L235" s="1373" t="str">
        <f t="shared" si="196"/>
        <v>D+</v>
      </c>
      <c r="M235" s="1374" t="str">
        <f t="shared" si="197"/>
        <v>0</v>
      </c>
      <c r="N235" s="1311"/>
      <c r="O235" s="1312"/>
      <c r="P235" s="1312"/>
      <c r="Q235" s="1312"/>
      <c r="R235" s="1312"/>
      <c r="S235" s="1312"/>
      <c r="T235" s="1312"/>
      <c r="U235" s="1313"/>
      <c r="V235" s="1314"/>
      <c r="W235" s="1314"/>
      <c r="X235" s="1314"/>
      <c r="Y235" s="1314"/>
      <c r="Z235" s="1314"/>
      <c r="AA235" s="1315"/>
      <c r="AB235" s="1253"/>
      <c r="AC235" s="1254"/>
    </row>
    <row r="236" spans="1:29" ht="24.95" customHeight="1" x14ac:dyDescent="0.25">
      <c r="A236" s="1306"/>
      <c r="B236" s="683">
        <v>29</v>
      </c>
      <c r="C236" s="1310"/>
      <c r="D236" s="1305" t="s">
        <v>566</v>
      </c>
      <c r="E236" s="1308">
        <f>VLOOKUP(A231,UHT_MAT,54,FALSE)</f>
        <v>0</v>
      </c>
      <c r="F236" s="1908">
        <f t="shared" si="192"/>
        <v>0</v>
      </c>
      <c r="G236" s="1308"/>
      <c r="H236" s="1309">
        <f>VLOOKUP(B231,REKAP_NILAI,21,FALSE)</f>
        <v>0</v>
      </c>
      <c r="I236" s="1371">
        <f t="shared" si="193"/>
        <v>0</v>
      </c>
      <c r="J236" s="1372">
        <f t="shared" si="194"/>
        <v>0</v>
      </c>
      <c r="K236" s="1373" t="str">
        <f t="shared" si="195"/>
        <v>1.33</v>
      </c>
      <c r="L236" s="1373" t="str">
        <f t="shared" si="196"/>
        <v>D+</v>
      </c>
      <c r="M236" s="1374" t="str">
        <f t="shared" si="197"/>
        <v>0</v>
      </c>
      <c r="N236" s="1311"/>
      <c r="O236" s="1312"/>
      <c r="P236" s="1312"/>
      <c r="Q236" s="1312"/>
      <c r="R236" s="1312"/>
      <c r="S236" s="1312"/>
      <c r="T236" s="1312"/>
      <c r="U236" s="1313"/>
      <c r="V236" s="1314"/>
      <c r="W236" s="1314"/>
      <c r="X236" s="1314"/>
      <c r="Y236" s="1314"/>
      <c r="Z236" s="1314"/>
      <c r="AA236" s="1315"/>
      <c r="AB236" s="1253"/>
      <c r="AC236" s="1254"/>
    </row>
    <row r="237" spans="1:29" ht="24.95" customHeight="1" x14ac:dyDescent="0.25">
      <c r="A237" s="1306"/>
      <c r="B237" s="683">
        <v>29</v>
      </c>
      <c r="C237" s="1310"/>
      <c r="D237" s="1305" t="s">
        <v>567</v>
      </c>
      <c r="E237" s="1308">
        <f>VLOOKUP(A231,UHT_MAT,55,FALSE)</f>
        <v>0</v>
      </c>
      <c r="F237" s="1908">
        <f t="shared" si="192"/>
        <v>0</v>
      </c>
      <c r="G237" s="1308"/>
      <c r="H237" s="1309">
        <f>VLOOKUP(B231,REKAP_NILAI,22,FALSE)</f>
        <v>0</v>
      </c>
      <c r="I237" s="1371">
        <f t="shared" si="193"/>
        <v>0</v>
      </c>
      <c r="J237" s="1372">
        <f t="shared" si="194"/>
        <v>0</v>
      </c>
      <c r="K237" s="1373" t="str">
        <f t="shared" si="195"/>
        <v>1.33</v>
      </c>
      <c r="L237" s="1373" t="str">
        <f t="shared" si="196"/>
        <v>D+</v>
      </c>
      <c r="M237" s="1374" t="str">
        <f t="shared" si="197"/>
        <v>0</v>
      </c>
      <c r="N237" s="1311"/>
      <c r="O237" s="1312"/>
      <c r="P237" s="1312"/>
      <c r="Q237" s="1312"/>
      <c r="R237" s="1312"/>
      <c r="S237" s="1312"/>
      <c r="T237" s="1312"/>
      <c r="U237" s="1313"/>
      <c r="V237" s="1314"/>
      <c r="W237" s="1314"/>
      <c r="X237" s="1314"/>
      <c r="Y237" s="1314"/>
      <c r="Z237" s="1314"/>
      <c r="AA237" s="1315"/>
      <c r="AB237" s="1255"/>
      <c r="AC237" s="1256"/>
    </row>
    <row r="238" spans="1:29" ht="24.95" customHeight="1" x14ac:dyDescent="0.3">
      <c r="A238" s="1337"/>
      <c r="B238" s="1338"/>
      <c r="C238" s="1339" t="s">
        <v>149</v>
      </c>
      <c r="D238" s="1319">
        <v>29</v>
      </c>
      <c r="E238" s="1320"/>
      <c r="F238" s="1909"/>
      <c r="G238" s="1320"/>
      <c r="H238" s="1321">
        <f>AVERAGE(H231:H237)</f>
        <v>0</v>
      </c>
      <c r="I238" s="1375"/>
      <c r="J238" s="1376">
        <f>AVERAGE(J231:J237)</f>
        <v>0</v>
      </c>
      <c r="K238" s="1377" t="str">
        <f t="shared" si="195"/>
        <v>1.33</v>
      </c>
      <c r="L238" s="1377" t="str">
        <f t="shared" si="196"/>
        <v>D+</v>
      </c>
      <c r="M238" s="1378" t="str">
        <f t="shared" si="197"/>
        <v>0</v>
      </c>
      <c r="N238" s="1347"/>
      <c r="O238" s="1348"/>
      <c r="P238" s="1348"/>
      <c r="Q238" s="1348"/>
      <c r="R238" s="1348"/>
      <c r="S238" s="1348"/>
      <c r="T238" s="1348"/>
      <c r="U238" s="1347"/>
      <c r="V238" s="1348"/>
      <c r="W238" s="1348"/>
      <c r="X238" s="1348"/>
      <c r="Y238" s="1348"/>
      <c r="Z238" s="1348"/>
      <c r="AA238" s="1349"/>
      <c r="AB238" s="1257"/>
      <c r="AC238" s="1258"/>
    </row>
    <row r="239" spans="1:29" ht="24.95" customHeight="1" thickBot="1" x14ac:dyDescent="0.3">
      <c r="A239" s="1325">
        <v>30</v>
      </c>
      <c r="B239" s="1326">
        <v>30</v>
      </c>
      <c r="C239" s="1327">
        <f>VLOOKUP(A239,data_siswa,4)</f>
        <v>0</v>
      </c>
      <c r="D239" s="1305" t="s">
        <v>10</v>
      </c>
      <c r="E239" s="1308">
        <f>VLOOKUP(A239,UHT_MAT,49,FALSE)</f>
        <v>0</v>
      </c>
      <c r="F239" s="1908">
        <f>E239*2</f>
        <v>0</v>
      </c>
      <c r="G239" s="1308"/>
      <c r="H239" s="1309">
        <f>VLOOKUP(B239,REKAP_NILAI,16,FALSE)</f>
        <v>0</v>
      </c>
      <c r="I239" s="1367">
        <f>F239+G239+H239</f>
        <v>0</v>
      </c>
      <c r="J239" s="1368">
        <f>(F239+G239+H239)/4</f>
        <v>0</v>
      </c>
      <c r="K239" s="1369" t="str">
        <f>IF(J239&gt;85,("4"),IF(J239&gt;80,("3.66"),IF(J239&gt;75,("3.33"),IF(J239&gt;70,("3.00"),IF(J239&gt;65,("2.66"),IF(J239&gt;60,("2.33"),IF(J239&gt;55,("2"),IF(J239&gt;50,("1.66"),"1.33"))))))))</f>
        <v>1.33</v>
      </c>
      <c r="L239" s="1369" t="str">
        <f>IF(J239&gt;85,("A"),IF(J239&gt;80,("A-"),IF(J239&gt;75,("B+"),IF(J239&gt;70,("B"),IF(J239&gt;65,("B-"),IF(J239&gt;60,("C+"),IF(J239&gt;55,("C"),IF(J239&gt;50,("C-"),"D+"))))))))</f>
        <v>D+</v>
      </c>
      <c r="M239" s="1370" t="str">
        <f>IF(J239&gt;80,("SB"),IF(J239&gt;65,("B"),IF(J239&gt;50,("C"),IF(J239&gt;0,("K"),"0"))))</f>
        <v>0</v>
      </c>
      <c r="N239" s="1343"/>
      <c r="O239" s="1344"/>
      <c r="P239" s="1344"/>
      <c r="Q239" s="1344"/>
      <c r="R239" s="1344"/>
      <c r="S239" s="1344"/>
      <c r="T239" s="1345"/>
      <c r="U239" s="1346"/>
      <c r="V239" s="1346"/>
      <c r="W239" s="1346"/>
      <c r="X239" s="1346"/>
      <c r="Y239" s="1346"/>
      <c r="Z239" s="1346"/>
      <c r="AA239" s="1346"/>
      <c r="AB239" s="1057">
        <f>J246</f>
        <v>0</v>
      </c>
      <c r="AC239" s="1194" t="str">
        <f>IF(AB239&gt;85,("A"),IF(AB239&gt;80,("A-"),IF(AB239&gt;75,("B+"),IF(AB239&gt;70,("B"),IF(AB239&gt;65,("B-"),IF(AB239&gt;60,("C+"),IF(AB239&gt;55,("C"),IF(AB239&gt;50,("C-"),"D+"))))))))</f>
        <v>D+</v>
      </c>
    </row>
    <row r="240" spans="1:29" ht="24.95" customHeight="1" x14ac:dyDescent="0.25">
      <c r="A240" s="1306"/>
      <c r="B240" s="683">
        <v>30</v>
      </c>
      <c r="C240" s="1310"/>
      <c r="D240" s="1305" t="s">
        <v>20</v>
      </c>
      <c r="E240" s="1308">
        <f>VLOOKUP(A239,UHT_MAT,50,FALSE)</f>
        <v>0</v>
      </c>
      <c r="F240" s="1908">
        <f t="shared" ref="F240:F245" si="198">E240*2</f>
        <v>0</v>
      </c>
      <c r="G240" s="1308"/>
      <c r="H240" s="1309">
        <f>VLOOKUP(B239,REKAP_NILAI,17,FALSE)</f>
        <v>0</v>
      </c>
      <c r="I240" s="1371">
        <f t="shared" ref="I240:I245" si="199">F240+G240+H240</f>
        <v>0</v>
      </c>
      <c r="J240" s="1372">
        <f t="shared" ref="J240:J245" si="200">(F240+G240+H240)/4</f>
        <v>0</v>
      </c>
      <c r="K240" s="1373" t="str">
        <f t="shared" ref="K240:K245" si="201">IF(J240&gt;85,("4"),IF(J240&gt;80,("3.66"),IF(J240&gt;75,("3.33"),IF(J240&gt;70,("3.00"),IF(J240&gt;65,("2.66"),IF(J240&gt;60,("2.33"),IF(J240&gt;55,("2"),IF(J240&gt;50,("1.66"),"1.33"))))))))</f>
        <v>1.33</v>
      </c>
      <c r="L240" s="1373" t="str">
        <f t="shared" ref="L240:L245" si="202">IF(J240&gt;85,("A"),IF(J240&gt;80,("A-"),IF(J240&gt;75,("B+"),IF(J240&gt;70,("B"),IF(J240&gt;65,("B-"),IF(J240&gt;60,("C+"),IF(J240&gt;55,("C"),IF(J240&gt;50,("C-"),"D+"))))))))</f>
        <v>D+</v>
      </c>
      <c r="M240" s="1374" t="str">
        <f t="shared" ref="M240:M245" si="203">IF(J240&gt;80,("SB"),IF(J240&gt;65,("B"),IF(J240&gt;50,("C"),IF(J240&gt;0,("K"),"0"))))</f>
        <v>0</v>
      </c>
      <c r="N240" s="1332"/>
      <c r="O240" s="1333"/>
      <c r="P240" s="1333"/>
      <c r="Q240" s="1333"/>
      <c r="R240" s="1333"/>
      <c r="S240" s="1333"/>
      <c r="T240" s="1333"/>
      <c r="U240" s="1334"/>
      <c r="V240" s="1335"/>
      <c r="W240" s="1335"/>
      <c r="X240" s="1335"/>
      <c r="Y240" s="1335"/>
      <c r="Z240" s="1335"/>
      <c r="AA240" s="1336"/>
      <c r="AB240" s="1251"/>
      <c r="AC240" s="1252"/>
    </row>
    <row r="241" spans="1:29" ht="24.95" customHeight="1" x14ac:dyDescent="0.25">
      <c r="A241" s="1306"/>
      <c r="B241" s="683">
        <v>30</v>
      </c>
      <c r="C241" s="1310"/>
      <c r="D241" s="1305" t="s">
        <v>19</v>
      </c>
      <c r="E241" s="1308">
        <f>VLOOKUP(A239,UHT_MAT,51,FALSE)</f>
        <v>0</v>
      </c>
      <c r="F241" s="1908">
        <f t="shared" si="198"/>
        <v>0</v>
      </c>
      <c r="G241" s="1308"/>
      <c r="H241" s="1309">
        <f>VLOOKUP(B239,REKAP_NILAI,18,FALSE)</f>
        <v>0</v>
      </c>
      <c r="I241" s="1371">
        <f t="shared" si="199"/>
        <v>0</v>
      </c>
      <c r="J241" s="1372">
        <f t="shared" si="200"/>
        <v>0</v>
      </c>
      <c r="K241" s="1373" t="str">
        <f t="shared" si="201"/>
        <v>1.33</v>
      </c>
      <c r="L241" s="1373" t="str">
        <f t="shared" si="202"/>
        <v>D+</v>
      </c>
      <c r="M241" s="1374" t="str">
        <f t="shared" si="203"/>
        <v>0</v>
      </c>
      <c r="N241" s="1311"/>
      <c r="O241" s="1312"/>
      <c r="P241" s="1312"/>
      <c r="Q241" s="1312"/>
      <c r="R241" s="1312"/>
      <c r="S241" s="1312"/>
      <c r="T241" s="1312"/>
      <c r="U241" s="1313"/>
      <c r="V241" s="1314"/>
      <c r="W241" s="1314"/>
      <c r="X241" s="1314"/>
      <c r="Y241" s="1314"/>
      <c r="Z241" s="1314"/>
      <c r="AA241" s="1315"/>
      <c r="AB241" s="1253"/>
      <c r="AC241" s="1254"/>
    </row>
    <row r="242" spans="1:29" ht="24.95" customHeight="1" x14ac:dyDescent="0.25">
      <c r="A242" s="1306"/>
      <c r="B242" s="683">
        <v>30</v>
      </c>
      <c r="C242" s="1310"/>
      <c r="D242" s="1305" t="s">
        <v>181</v>
      </c>
      <c r="E242" s="1308">
        <f>VLOOKUP(A239,UHT_MAT,52,FALSE)</f>
        <v>0</v>
      </c>
      <c r="F242" s="1908">
        <f t="shared" si="198"/>
        <v>0</v>
      </c>
      <c r="G242" s="1308"/>
      <c r="H242" s="1309">
        <f>VLOOKUP(B239,REKAP_NILAI,19,FALSE)</f>
        <v>0</v>
      </c>
      <c r="I242" s="1371">
        <f t="shared" si="199"/>
        <v>0</v>
      </c>
      <c r="J242" s="1372">
        <f t="shared" si="200"/>
        <v>0</v>
      </c>
      <c r="K242" s="1373" t="str">
        <f t="shared" si="201"/>
        <v>1.33</v>
      </c>
      <c r="L242" s="1373" t="str">
        <f t="shared" si="202"/>
        <v>D+</v>
      </c>
      <c r="M242" s="1374" t="str">
        <f t="shared" si="203"/>
        <v>0</v>
      </c>
      <c r="N242" s="1311"/>
      <c r="O242" s="1312"/>
      <c r="P242" s="1312"/>
      <c r="Q242" s="1312"/>
      <c r="R242" s="1312"/>
      <c r="S242" s="1312"/>
      <c r="T242" s="1312"/>
      <c r="U242" s="1313"/>
      <c r="V242" s="1314"/>
      <c r="W242" s="1314"/>
      <c r="X242" s="1314"/>
      <c r="Y242" s="1314"/>
      <c r="Z242" s="1314"/>
      <c r="AA242" s="1315"/>
      <c r="AB242" s="1253"/>
      <c r="AC242" s="1254"/>
    </row>
    <row r="243" spans="1:29" ht="24.95" customHeight="1" x14ac:dyDescent="0.25">
      <c r="A243" s="1306"/>
      <c r="B243" s="683">
        <v>30</v>
      </c>
      <c r="C243" s="1310"/>
      <c r="D243" s="1305" t="s">
        <v>182</v>
      </c>
      <c r="E243" s="1308">
        <f>VLOOKUP(A239,UHT_MAT,53,FALSE)</f>
        <v>0</v>
      </c>
      <c r="F243" s="1908">
        <f t="shared" si="198"/>
        <v>0</v>
      </c>
      <c r="G243" s="1308"/>
      <c r="H243" s="1309">
        <f>VLOOKUP(B239,REKAP_NILAI,20,FALSE)</f>
        <v>0</v>
      </c>
      <c r="I243" s="1371">
        <f t="shared" si="199"/>
        <v>0</v>
      </c>
      <c r="J243" s="1372">
        <f t="shared" si="200"/>
        <v>0</v>
      </c>
      <c r="K243" s="1373" t="str">
        <f t="shared" si="201"/>
        <v>1.33</v>
      </c>
      <c r="L243" s="1373" t="str">
        <f t="shared" si="202"/>
        <v>D+</v>
      </c>
      <c r="M243" s="1374" t="str">
        <f t="shared" si="203"/>
        <v>0</v>
      </c>
      <c r="N243" s="1311"/>
      <c r="O243" s="1312"/>
      <c r="P243" s="1312"/>
      <c r="Q243" s="1312"/>
      <c r="R243" s="1312"/>
      <c r="S243" s="1312"/>
      <c r="T243" s="1312"/>
      <c r="U243" s="1313"/>
      <c r="V243" s="1314"/>
      <c r="W243" s="1314"/>
      <c r="X243" s="1314"/>
      <c r="Y243" s="1314"/>
      <c r="Z243" s="1314"/>
      <c r="AA243" s="1315"/>
      <c r="AB243" s="1253"/>
      <c r="AC243" s="1254"/>
    </row>
    <row r="244" spans="1:29" ht="24.95" customHeight="1" x14ac:dyDescent="0.25">
      <c r="A244" s="1306"/>
      <c r="B244" s="683">
        <v>30</v>
      </c>
      <c r="C244" s="1310"/>
      <c r="D244" s="1305" t="s">
        <v>566</v>
      </c>
      <c r="E244" s="1308">
        <f>VLOOKUP(A239,UHT_MAT,54,FALSE)</f>
        <v>0</v>
      </c>
      <c r="F244" s="1908">
        <f t="shared" si="198"/>
        <v>0</v>
      </c>
      <c r="G244" s="1308"/>
      <c r="H244" s="1309">
        <f>VLOOKUP(B239,REKAP_NILAI,21,FALSE)</f>
        <v>0</v>
      </c>
      <c r="I244" s="1371">
        <f t="shared" si="199"/>
        <v>0</v>
      </c>
      <c r="J244" s="1372">
        <f t="shared" si="200"/>
        <v>0</v>
      </c>
      <c r="K244" s="1373" t="str">
        <f t="shared" si="201"/>
        <v>1.33</v>
      </c>
      <c r="L244" s="1373" t="str">
        <f t="shared" si="202"/>
        <v>D+</v>
      </c>
      <c r="M244" s="1374" t="str">
        <f t="shared" si="203"/>
        <v>0</v>
      </c>
      <c r="N244" s="1311"/>
      <c r="O244" s="1312"/>
      <c r="P244" s="1312"/>
      <c r="Q244" s="1312"/>
      <c r="R244" s="1312"/>
      <c r="S244" s="1312"/>
      <c r="T244" s="1312"/>
      <c r="U244" s="1313"/>
      <c r="V244" s="1314"/>
      <c r="W244" s="1314"/>
      <c r="X244" s="1314"/>
      <c r="Y244" s="1314"/>
      <c r="Z244" s="1314"/>
      <c r="AA244" s="1315"/>
      <c r="AB244" s="1253"/>
      <c r="AC244" s="1254"/>
    </row>
    <row r="245" spans="1:29" ht="24.95" customHeight="1" x14ac:dyDescent="0.25">
      <c r="A245" s="1306"/>
      <c r="B245" s="683">
        <v>30</v>
      </c>
      <c r="C245" s="1310"/>
      <c r="D245" s="1305" t="s">
        <v>567</v>
      </c>
      <c r="E245" s="1308">
        <f>VLOOKUP(A239,UHT_MAT,55,FALSE)</f>
        <v>0</v>
      </c>
      <c r="F245" s="1908">
        <f t="shared" si="198"/>
        <v>0</v>
      </c>
      <c r="G245" s="1308"/>
      <c r="H245" s="1309">
        <f>VLOOKUP(B239,REKAP_NILAI,22,FALSE)</f>
        <v>0</v>
      </c>
      <c r="I245" s="1371">
        <f t="shared" si="199"/>
        <v>0</v>
      </c>
      <c r="J245" s="1372">
        <f t="shared" si="200"/>
        <v>0</v>
      </c>
      <c r="K245" s="1373" t="str">
        <f t="shared" si="201"/>
        <v>1.33</v>
      </c>
      <c r="L245" s="1373" t="str">
        <f t="shared" si="202"/>
        <v>D+</v>
      </c>
      <c r="M245" s="1374" t="str">
        <f t="shared" si="203"/>
        <v>0</v>
      </c>
      <c r="N245" s="1311"/>
      <c r="O245" s="1312"/>
      <c r="P245" s="1312"/>
      <c r="Q245" s="1312"/>
      <c r="R245" s="1312"/>
      <c r="S245" s="1312"/>
      <c r="T245" s="1312"/>
      <c r="U245" s="1313"/>
      <c r="V245" s="1314"/>
      <c r="W245" s="1314"/>
      <c r="X245" s="1314"/>
      <c r="Y245" s="1314"/>
      <c r="Z245" s="1314"/>
      <c r="AA245" s="1315"/>
      <c r="AB245" s="1255"/>
      <c r="AC245" s="1256"/>
    </row>
    <row r="246" spans="1:29" ht="24.95" customHeight="1" x14ac:dyDescent="0.3">
      <c r="A246" s="1337"/>
      <c r="B246" s="1338"/>
      <c r="C246" s="1339" t="s">
        <v>149</v>
      </c>
      <c r="D246" s="1319">
        <v>30</v>
      </c>
      <c r="E246" s="1320"/>
      <c r="F246" s="1909"/>
      <c r="G246" s="1320"/>
      <c r="H246" s="1321">
        <f>AVERAGE(H239:H245)</f>
        <v>0</v>
      </c>
      <c r="I246" s="1375"/>
      <c r="J246" s="1376">
        <f>AVERAGE(J239:J245)</f>
        <v>0</v>
      </c>
      <c r="K246" s="1377" t="str">
        <f t="shared" ref="K246" si="204">IF(J246&gt;85,("4"),IF(J246&gt;80,("3.66"),IF(J246&gt;75,("3.33"),IF(J246&gt;70,("3.00"),IF(J246&gt;65,("2.66"),IF(J246&gt;60,("2.33"),IF(J246&gt;55,("2"),IF(J246&gt;50,("1.66"),"1.33"))))))))</f>
        <v>1.33</v>
      </c>
      <c r="L246" s="1377" t="str">
        <f t="shared" ref="L246" si="205">IF(J246&gt;85,("A"),IF(J246&gt;80,("A-"),IF(J246&gt;75,("B+"),IF(J246&gt;70,("B"),IF(J246&gt;65,("B-"),IF(J246&gt;60,("C+"),IF(J246&gt;55,("C"),IF(J246&gt;50,("C-"),"D+"))))))))</f>
        <v>D+</v>
      </c>
      <c r="M246" s="1378" t="str">
        <f t="shared" ref="M246" si="206">IF(J246&gt;80,("SB"),IF(J246&gt;65,("B"),IF(J246&gt;50,("C"),IF(J246&gt;0,("K"),"0"))))</f>
        <v>0</v>
      </c>
      <c r="N246" s="1347"/>
      <c r="O246" s="1348"/>
      <c r="P246" s="1348"/>
      <c r="Q246" s="1348"/>
      <c r="R246" s="1348"/>
      <c r="S246" s="1348"/>
      <c r="T246" s="1348"/>
      <c r="U246" s="1347"/>
      <c r="V246" s="1348"/>
      <c r="W246" s="1348"/>
      <c r="X246" s="1348"/>
      <c r="Y246" s="1348"/>
      <c r="Z246" s="1348"/>
      <c r="AA246" s="1349"/>
      <c r="AB246" s="1257"/>
      <c r="AC246" s="1258"/>
    </row>
    <row r="247" spans="1:29" ht="24.95" customHeight="1" thickBot="1" x14ac:dyDescent="0.3">
      <c r="A247" s="1325">
        <v>31</v>
      </c>
      <c r="B247" s="1326">
        <v>31</v>
      </c>
      <c r="C247" s="1327">
        <f>VLOOKUP(A247,data_siswa,4)</f>
        <v>0</v>
      </c>
      <c r="D247" s="1305" t="s">
        <v>10</v>
      </c>
      <c r="E247" s="1308">
        <f>VLOOKUP(A247,UHT_MAT,49,FALSE)</f>
        <v>0</v>
      </c>
      <c r="F247" s="1908">
        <f>E247*2</f>
        <v>0</v>
      </c>
      <c r="G247" s="1308"/>
      <c r="H247" s="1309">
        <f>VLOOKUP(B247,REKAP_NILAI,16,FALSE)</f>
        <v>0</v>
      </c>
      <c r="I247" s="1367">
        <f>F247+G247+H247</f>
        <v>0</v>
      </c>
      <c r="J247" s="1368">
        <f>(F247+G247+H247)/4</f>
        <v>0</v>
      </c>
      <c r="K247" s="1369" t="str">
        <f>IF(J247&gt;85,("4"),IF(J247&gt;80,("3.66"),IF(J247&gt;75,("3.33"),IF(J247&gt;70,("3.00"),IF(J247&gt;65,("2.66"),IF(J247&gt;60,("2.33"),IF(J247&gt;55,("2"),IF(J247&gt;50,("1.66"),"1.33"))))))))</f>
        <v>1.33</v>
      </c>
      <c r="L247" s="1369" t="str">
        <f>IF(J247&gt;85,("A"),IF(J247&gt;80,("A-"),IF(J247&gt;75,("B+"),IF(J247&gt;70,("B"),IF(J247&gt;65,("B-"),IF(J247&gt;60,("C+"),IF(J247&gt;55,("C"),IF(J247&gt;50,("C-"),"D+"))))))))</f>
        <v>D+</v>
      </c>
      <c r="M247" s="1370" t="str">
        <f>IF(J247&gt;80,("SB"),IF(J247&gt;65,("B"),IF(J247&gt;50,("C"),IF(J247&gt;0,("K"),"0"))))</f>
        <v>0</v>
      </c>
      <c r="N247" s="1343"/>
      <c r="O247" s="1344"/>
      <c r="P247" s="1344"/>
      <c r="Q247" s="1344"/>
      <c r="R247" s="1344"/>
      <c r="S247" s="1344"/>
      <c r="T247" s="1345"/>
      <c r="U247" s="1346"/>
      <c r="V247" s="1346"/>
      <c r="W247" s="1346"/>
      <c r="X247" s="1346"/>
      <c r="Y247" s="1346"/>
      <c r="Z247" s="1346"/>
      <c r="AA247" s="1346"/>
      <c r="AB247" s="1057">
        <f>J254</f>
        <v>0</v>
      </c>
      <c r="AC247" s="1194" t="str">
        <f>IF(AB247&gt;85,("A"),IF(AB247&gt;80,("A-"),IF(AB247&gt;75,("B+"),IF(AB247&gt;70,("B"),IF(AB247&gt;65,("B-"),IF(AB247&gt;60,("C+"),IF(AB247&gt;55,("C"),IF(AB247&gt;50,("C-"),"D+"))))))))</f>
        <v>D+</v>
      </c>
    </row>
    <row r="248" spans="1:29" ht="24.95" customHeight="1" x14ac:dyDescent="0.25">
      <c r="A248" s="1306"/>
      <c r="B248" s="683">
        <v>31</v>
      </c>
      <c r="C248" s="1310"/>
      <c r="D248" s="1305" t="s">
        <v>20</v>
      </c>
      <c r="E248" s="1308">
        <f>VLOOKUP(A247,UHT_MAT,50,FALSE)</f>
        <v>0</v>
      </c>
      <c r="F248" s="1908">
        <f t="shared" ref="F248:F253" si="207">E248*2</f>
        <v>0</v>
      </c>
      <c r="G248" s="1308"/>
      <c r="H248" s="1309">
        <f>VLOOKUP(B247,REKAP_NILAI,17,FALSE)</f>
        <v>0</v>
      </c>
      <c r="I248" s="1371">
        <f t="shared" ref="I248:I253" si="208">F248+G248+H248</f>
        <v>0</v>
      </c>
      <c r="J248" s="1372">
        <f t="shared" ref="J248:J253" si="209">(F248+G248+H248)/4</f>
        <v>0</v>
      </c>
      <c r="K248" s="1373" t="str">
        <f t="shared" ref="K248:K254" si="210">IF(J248&gt;85,("4"),IF(J248&gt;80,("3.66"),IF(J248&gt;75,("3.33"),IF(J248&gt;70,("3.00"),IF(J248&gt;65,("2.66"),IF(J248&gt;60,("2.33"),IF(J248&gt;55,("2"),IF(J248&gt;50,("1.66"),"1.33"))))))))</f>
        <v>1.33</v>
      </c>
      <c r="L248" s="1373" t="str">
        <f t="shared" ref="L248:L254" si="211">IF(J248&gt;85,("A"),IF(J248&gt;80,("A-"),IF(J248&gt;75,("B+"),IF(J248&gt;70,("B"),IF(J248&gt;65,("B-"),IF(J248&gt;60,("C+"),IF(J248&gt;55,("C"),IF(J248&gt;50,("C-"),"D+"))))))))</f>
        <v>D+</v>
      </c>
      <c r="M248" s="1374" t="str">
        <f t="shared" ref="M248:M254" si="212">IF(J248&gt;80,("SB"),IF(J248&gt;65,("B"),IF(J248&gt;50,("C"),IF(J248&gt;0,("K"),"0"))))</f>
        <v>0</v>
      </c>
      <c r="N248" s="1332"/>
      <c r="O248" s="1333"/>
      <c r="P248" s="1333"/>
      <c r="Q248" s="1333"/>
      <c r="R248" s="1333"/>
      <c r="S248" s="1333"/>
      <c r="T248" s="1333"/>
      <c r="U248" s="1334"/>
      <c r="V248" s="1335"/>
      <c r="W248" s="1335"/>
      <c r="X248" s="1335"/>
      <c r="Y248" s="1335"/>
      <c r="Z248" s="1335"/>
      <c r="AA248" s="1336"/>
      <c r="AB248" s="1251"/>
      <c r="AC248" s="1252"/>
    </row>
    <row r="249" spans="1:29" ht="24.95" customHeight="1" x14ac:dyDescent="0.25">
      <c r="A249" s="1306"/>
      <c r="B249" s="683">
        <v>31</v>
      </c>
      <c r="C249" s="1310"/>
      <c r="D249" s="1305" t="s">
        <v>19</v>
      </c>
      <c r="E249" s="1308">
        <f>VLOOKUP(A247,UHT_MAT,51,FALSE)</f>
        <v>0</v>
      </c>
      <c r="F249" s="1908">
        <f t="shared" si="207"/>
        <v>0</v>
      </c>
      <c r="G249" s="1308"/>
      <c r="H249" s="1309">
        <f>VLOOKUP(B247,REKAP_NILAI,18,FALSE)</f>
        <v>0</v>
      </c>
      <c r="I249" s="1371">
        <f t="shared" si="208"/>
        <v>0</v>
      </c>
      <c r="J249" s="1372">
        <f t="shared" si="209"/>
        <v>0</v>
      </c>
      <c r="K249" s="1373" t="str">
        <f t="shared" si="210"/>
        <v>1.33</v>
      </c>
      <c r="L249" s="1373" t="str">
        <f t="shared" si="211"/>
        <v>D+</v>
      </c>
      <c r="M249" s="1374" t="str">
        <f t="shared" si="212"/>
        <v>0</v>
      </c>
      <c r="N249" s="1311"/>
      <c r="O249" s="1312"/>
      <c r="P249" s="1312"/>
      <c r="Q249" s="1312"/>
      <c r="R249" s="1312"/>
      <c r="S249" s="1312"/>
      <c r="T249" s="1312"/>
      <c r="U249" s="1313"/>
      <c r="V249" s="1314"/>
      <c r="W249" s="1314"/>
      <c r="X249" s="1314"/>
      <c r="Y249" s="1314"/>
      <c r="Z249" s="1314"/>
      <c r="AA249" s="1315"/>
      <c r="AB249" s="1253"/>
      <c r="AC249" s="1254"/>
    </row>
    <row r="250" spans="1:29" ht="24.95" customHeight="1" x14ac:dyDescent="0.25">
      <c r="A250" s="1306"/>
      <c r="B250" s="683">
        <v>31</v>
      </c>
      <c r="C250" s="1310"/>
      <c r="D250" s="1305" t="s">
        <v>181</v>
      </c>
      <c r="E250" s="1308">
        <f>VLOOKUP(A247,UHT_MAT,52,FALSE)</f>
        <v>0</v>
      </c>
      <c r="F250" s="1908">
        <f t="shared" si="207"/>
        <v>0</v>
      </c>
      <c r="G250" s="1308"/>
      <c r="H250" s="1309">
        <f>VLOOKUP(B247,REKAP_NILAI,19,FALSE)</f>
        <v>0</v>
      </c>
      <c r="I250" s="1371">
        <f t="shared" si="208"/>
        <v>0</v>
      </c>
      <c r="J250" s="1372">
        <f t="shared" si="209"/>
        <v>0</v>
      </c>
      <c r="K250" s="1373" t="str">
        <f t="shared" si="210"/>
        <v>1.33</v>
      </c>
      <c r="L250" s="1373" t="str">
        <f t="shared" si="211"/>
        <v>D+</v>
      </c>
      <c r="M250" s="1374" t="str">
        <f t="shared" si="212"/>
        <v>0</v>
      </c>
      <c r="N250" s="1311"/>
      <c r="O250" s="1312"/>
      <c r="P250" s="1312"/>
      <c r="Q250" s="1312"/>
      <c r="R250" s="1312"/>
      <c r="S250" s="1312"/>
      <c r="T250" s="1312"/>
      <c r="U250" s="1313"/>
      <c r="V250" s="1314"/>
      <c r="W250" s="1314"/>
      <c r="X250" s="1314"/>
      <c r="Y250" s="1314"/>
      <c r="Z250" s="1314"/>
      <c r="AA250" s="1315"/>
      <c r="AB250" s="1253"/>
      <c r="AC250" s="1254"/>
    </row>
    <row r="251" spans="1:29" ht="24.95" customHeight="1" x14ac:dyDescent="0.25">
      <c r="A251" s="1306"/>
      <c r="B251" s="683">
        <v>31</v>
      </c>
      <c r="C251" s="1310"/>
      <c r="D251" s="1305" t="s">
        <v>182</v>
      </c>
      <c r="E251" s="1308">
        <f>VLOOKUP(A247,UHT_MAT,53,FALSE)</f>
        <v>0</v>
      </c>
      <c r="F251" s="1908">
        <f t="shared" si="207"/>
        <v>0</v>
      </c>
      <c r="G251" s="1308"/>
      <c r="H251" s="1309">
        <f>VLOOKUP(B247,REKAP_NILAI,20,FALSE)</f>
        <v>0</v>
      </c>
      <c r="I251" s="1371">
        <f t="shared" si="208"/>
        <v>0</v>
      </c>
      <c r="J251" s="1372">
        <f t="shared" si="209"/>
        <v>0</v>
      </c>
      <c r="K251" s="1373" t="str">
        <f t="shared" si="210"/>
        <v>1.33</v>
      </c>
      <c r="L251" s="1373" t="str">
        <f t="shared" si="211"/>
        <v>D+</v>
      </c>
      <c r="M251" s="1374" t="str">
        <f t="shared" si="212"/>
        <v>0</v>
      </c>
      <c r="N251" s="1311"/>
      <c r="O251" s="1312"/>
      <c r="P251" s="1312"/>
      <c r="Q251" s="1312"/>
      <c r="R251" s="1312"/>
      <c r="S251" s="1312"/>
      <c r="T251" s="1312"/>
      <c r="U251" s="1313"/>
      <c r="V251" s="1314"/>
      <c r="W251" s="1314"/>
      <c r="X251" s="1314"/>
      <c r="Y251" s="1314"/>
      <c r="Z251" s="1314"/>
      <c r="AA251" s="1315"/>
      <c r="AB251" s="1253"/>
      <c r="AC251" s="1254"/>
    </row>
    <row r="252" spans="1:29" ht="24.95" customHeight="1" x14ac:dyDescent="0.25">
      <c r="A252" s="1306"/>
      <c r="B252" s="683">
        <v>31</v>
      </c>
      <c r="C252" s="1310"/>
      <c r="D252" s="1305" t="s">
        <v>566</v>
      </c>
      <c r="E252" s="1308">
        <f>VLOOKUP(A247,UHT_MAT,54,FALSE)</f>
        <v>0</v>
      </c>
      <c r="F252" s="1908">
        <f t="shared" si="207"/>
        <v>0</v>
      </c>
      <c r="G252" s="1308"/>
      <c r="H252" s="1309">
        <f>VLOOKUP(B247,REKAP_NILAI,21,FALSE)</f>
        <v>0</v>
      </c>
      <c r="I252" s="1371">
        <f t="shared" si="208"/>
        <v>0</v>
      </c>
      <c r="J252" s="1372">
        <f t="shared" si="209"/>
        <v>0</v>
      </c>
      <c r="K252" s="1373" t="str">
        <f t="shared" si="210"/>
        <v>1.33</v>
      </c>
      <c r="L252" s="1373" t="str">
        <f t="shared" si="211"/>
        <v>D+</v>
      </c>
      <c r="M252" s="1374" t="str">
        <f t="shared" si="212"/>
        <v>0</v>
      </c>
      <c r="N252" s="1311"/>
      <c r="O252" s="1312"/>
      <c r="P252" s="1312"/>
      <c r="Q252" s="1312"/>
      <c r="R252" s="1312"/>
      <c r="S252" s="1312"/>
      <c r="T252" s="1312"/>
      <c r="U252" s="1313"/>
      <c r="V252" s="1314"/>
      <c r="W252" s="1314"/>
      <c r="X252" s="1314"/>
      <c r="Y252" s="1314"/>
      <c r="Z252" s="1314"/>
      <c r="AA252" s="1315"/>
      <c r="AB252" s="1253"/>
      <c r="AC252" s="1254"/>
    </row>
    <row r="253" spans="1:29" ht="24.95" customHeight="1" x14ac:dyDescent="0.25">
      <c r="A253" s="1306"/>
      <c r="B253" s="683">
        <v>31</v>
      </c>
      <c r="C253" s="1310"/>
      <c r="D253" s="1305" t="s">
        <v>567</v>
      </c>
      <c r="E253" s="1308">
        <f>VLOOKUP(A247,UHT_MAT,55,FALSE)</f>
        <v>0</v>
      </c>
      <c r="F253" s="1908">
        <f t="shared" si="207"/>
        <v>0</v>
      </c>
      <c r="G253" s="1308"/>
      <c r="H253" s="1309">
        <f>VLOOKUP(B247,REKAP_NILAI,22,FALSE)</f>
        <v>0</v>
      </c>
      <c r="I253" s="1371">
        <f t="shared" si="208"/>
        <v>0</v>
      </c>
      <c r="J253" s="1372">
        <f t="shared" si="209"/>
        <v>0</v>
      </c>
      <c r="K253" s="1373" t="str">
        <f t="shared" si="210"/>
        <v>1.33</v>
      </c>
      <c r="L253" s="1373" t="str">
        <f t="shared" si="211"/>
        <v>D+</v>
      </c>
      <c r="M253" s="1374" t="str">
        <f t="shared" si="212"/>
        <v>0</v>
      </c>
      <c r="N253" s="1311"/>
      <c r="O253" s="1312"/>
      <c r="P253" s="1312"/>
      <c r="Q253" s="1312"/>
      <c r="R253" s="1312"/>
      <c r="S253" s="1312"/>
      <c r="T253" s="1312"/>
      <c r="U253" s="1313"/>
      <c r="V253" s="1314"/>
      <c r="W253" s="1314"/>
      <c r="X253" s="1314"/>
      <c r="Y253" s="1314"/>
      <c r="Z253" s="1314"/>
      <c r="AA253" s="1315"/>
      <c r="AB253" s="1255"/>
      <c r="AC253" s="1256"/>
    </row>
    <row r="254" spans="1:29" ht="24.95" customHeight="1" x14ac:dyDescent="0.3">
      <c r="A254" s="1337"/>
      <c r="B254" s="1338"/>
      <c r="C254" s="1339" t="s">
        <v>149</v>
      </c>
      <c r="D254" s="1319">
        <v>31</v>
      </c>
      <c r="E254" s="1320"/>
      <c r="F254" s="1909"/>
      <c r="G254" s="1320"/>
      <c r="H254" s="1321">
        <f>AVERAGE(H247:H253)</f>
        <v>0</v>
      </c>
      <c r="I254" s="1375"/>
      <c r="J254" s="1376">
        <f>AVERAGE(J247:J253)</f>
        <v>0</v>
      </c>
      <c r="K254" s="1377" t="str">
        <f t="shared" si="210"/>
        <v>1.33</v>
      </c>
      <c r="L254" s="1377" t="str">
        <f t="shared" si="211"/>
        <v>D+</v>
      </c>
      <c r="M254" s="1378" t="str">
        <f t="shared" si="212"/>
        <v>0</v>
      </c>
      <c r="N254" s="1347"/>
      <c r="O254" s="1348"/>
      <c r="P254" s="1348"/>
      <c r="Q254" s="1348"/>
      <c r="R254" s="1348"/>
      <c r="S254" s="1348"/>
      <c r="T254" s="1348"/>
      <c r="U254" s="1347"/>
      <c r="V254" s="1348"/>
      <c r="W254" s="1348"/>
      <c r="X254" s="1348"/>
      <c r="Y254" s="1348"/>
      <c r="Z254" s="1348"/>
      <c r="AA254" s="1349"/>
      <c r="AB254" s="1257"/>
      <c r="AC254" s="1258"/>
    </row>
    <row r="255" spans="1:29" ht="24.95" customHeight="1" thickBot="1" x14ac:dyDescent="0.3">
      <c r="A255" s="1325">
        <v>32</v>
      </c>
      <c r="B255" s="1326">
        <v>32</v>
      </c>
      <c r="C255" s="1327">
        <f>VLOOKUP(A255,data_siswa,4)</f>
        <v>0</v>
      </c>
      <c r="D255" s="1305" t="s">
        <v>10</v>
      </c>
      <c r="E255" s="1308">
        <f>VLOOKUP(A255,UHT_MAT,49,FALSE)</f>
        <v>0</v>
      </c>
      <c r="F255" s="1908">
        <f>E255*2</f>
        <v>0</v>
      </c>
      <c r="G255" s="1308"/>
      <c r="H255" s="1309">
        <f>VLOOKUP(B255,REKAP_NILAI,16,FALSE)</f>
        <v>0</v>
      </c>
      <c r="I255" s="1367">
        <f>F255+G255+H255</f>
        <v>0</v>
      </c>
      <c r="J255" s="1368">
        <f>(F255+G255+H255)/4</f>
        <v>0</v>
      </c>
      <c r="K255" s="1369" t="str">
        <f>IF(J255&gt;85,("4"),IF(J255&gt;80,("3.66"),IF(J255&gt;75,("3.33"),IF(J255&gt;70,("3.00"),IF(J255&gt;65,("2.66"),IF(J255&gt;60,("2.33"),IF(J255&gt;55,("2"),IF(J255&gt;50,("1.66"),"1.33"))))))))</f>
        <v>1.33</v>
      </c>
      <c r="L255" s="1369" t="str">
        <f>IF(J255&gt;85,("A"),IF(J255&gt;80,("A-"),IF(J255&gt;75,("B+"),IF(J255&gt;70,("B"),IF(J255&gt;65,("B-"),IF(J255&gt;60,("C+"),IF(J255&gt;55,("C"),IF(J255&gt;50,("C-"),"D+"))))))))</f>
        <v>D+</v>
      </c>
      <c r="M255" s="1370" t="str">
        <f>IF(J255&gt;80,("SB"),IF(J255&gt;65,("B"),IF(J255&gt;50,("C"),IF(J255&gt;0,("K"),"0"))))</f>
        <v>0</v>
      </c>
      <c r="N255" s="1343"/>
      <c r="O255" s="1344"/>
      <c r="P255" s="1344"/>
      <c r="Q255" s="1344"/>
      <c r="R255" s="1344"/>
      <c r="S255" s="1344"/>
      <c r="T255" s="1345"/>
      <c r="U255" s="1346"/>
      <c r="V255" s="1346"/>
      <c r="W255" s="1346"/>
      <c r="X255" s="1346"/>
      <c r="Y255" s="1346"/>
      <c r="Z255" s="1346"/>
      <c r="AA255" s="1346"/>
      <c r="AB255" s="1057">
        <f>J262</f>
        <v>0</v>
      </c>
      <c r="AC255" s="1194" t="str">
        <f>IF(AB255&gt;85,("A"),IF(AB255&gt;80,("A-"),IF(AB255&gt;75,("B+"),IF(AB255&gt;70,("B"),IF(AB255&gt;65,("B-"),IF(AB255&gt;60,("C+"),IF(AB255&gt;55,("C"),IF(AB255&gt;50,("C-"),"D+"))))))))</f>
        <v>D+</v>
      </c>
    </row>
    <row r="256" spans="1:29" ht="24.95" customHeight="1" x14ac:dyDescent="0.25">
      <c r="A256" s="1306"/>
      <c r="B256" s="683">
        <v>32</v>
      </c>
      <c r="C256" s="1310"/>
      <c r="D256" s="1305" t="s">
        <v>20</v>
      </c>
      <c r="E256" s="1308">
        <f>VLOOKUP(A255,UHT_MAT,50,FALSE)</f>
        <v>0</v>
      </c>
      <c r="F256" s="1908">
        <f t="shared" ref="F256:F261" si="213">E256*2</f>
        <v>0</v>
      </c>
      <c r="G256" s="1308"/>
      <c r="H256" s="1309">
        <f>VLOOKUP(B255,REKAP_NILAI,17,FALSE)</f>
        <v>0</v>
      </c>
      <c r="I256" s="1371">
        <f t="shared" ref="I256:I261" si="214">F256+G256+H256</f>
        <v>0</v>
      </c>
      <c r="J256" s="1372">
        <f t="shared" ref="J256:J261" si="215">(F256+G256+H256)/4</f>
        <v>0</v>
      </c>
      <c r="K256" s="1373" t="str">
        <f t="shared" ref="K256:K262" si="216">IF(J256&gt;85,("4"),IF(J256&gt;80,("3.66"),IF(J256&gt;75,("3.33"),IF(J256&gt;70,("3.00"),IF(J256&gt;65,("2.66"),IF(J256&gt;60,("2.33"),IF(J256&gt;55,("2"),IF(J256&gt;50,("1.66"),"1.33"))))))))</f>
        <v>1.33</v>
      </c>
      <c r="L256" s="1373" t="str">
        <f t="shared" ref="L256:L262" si="217">IF(J256&gt;85,("A"),IF(J256&gt;80,("A-"),IF(J256&gt;75,("B+"),IF(J256&gt;70,("B"),IF(J256&gt;65,("B-"),IF(J256&gt;60,("C+"),IF(J256&gt;55,("C"),IF(J256&gt;50,("C-"),"D+"))))))))</f>
        <v>D+</v>
      </c>
      <c r="M256" s="1374" t="str">
        <f t="shared" ref="M256:M262" si="218">IF(J256&gt;80,("SB"),IF(J256&gt;65,("B"),IF(J256&gt;50,("C"),IF(J256&gt;0,("K"),"0"))))</f>
        <v>0</v>
      </c>
      <c r="N256" s="1332"/>
      <c r="O256" s="1333"/>
      <c r="P256" s="1333"/>
      <c r="Q256" s="1333"/>
      <c r="R256" s="1333"/>
      <c r="S256" s="1333"/>
      <c r="T256" s="1333"/>
      <c r="U256" s="1334"/>
      <c r="V256" s="1335"/>
      <c r="W256" s="1335"/>
      <c r="X256" s="1335"/>
      <c r="Y256" s="1335"/>
      <c r="Z256" s="1335"/>
      <c r="AA256" s="1336"/>
      <c r="AB256" s="1251"/>
      <c r="AC256" s="1252"/>
    </row>
    <row r="257" spans="1:29" ht="24.95" customHeight="1" x14ac:dyDescent="0.25">
      <c r="A257" s="1306"/>
      <c r="B257" s="683">
        <v>32</v>
      </c>
      <c r="C257" s="1310"/>
      <c r="D257" s="1305" t="s">
        <v>19</v>
      </c>
      <c r="E257" s="1308">
        <f>VLOOKUP(A255,UHT_MAT,51,FALSE)</f>
        <v>0</v>
      </c>
      <c r="F257" s="1908">
        <f t="shared" si="213"/>
        <v>0</v>
      </c>
      <c r="G257" s="1308"/>
      <c r="H257" s="1309">
        <f>VLOOKUP(B255,REKAP_NILAI,18,FALSE)</f>
        <v>0</v>
      </c>
      <c r="I257" s="1371">
        <f t="shared" si="214"/>
        <v>0</v>
      </c>
      <c r="J257" s="1372">
        <f t="shared" si="215"/>
        <v>0</v>
      </c>
      <c r="K257" s="1373" t="str">
        <f t="shared" si="216"/>
        <v>1.33</v>
      </c>
      <c r="L257" s="1373" t="str">
        <f t="shared" si="217"/>
        <v>D+</v>
      </c>
      <c r="M257" s="1374" t="str">
        <f t="shared" si="218"/>
        <v>0</v>
      </c>
      <c r="N257" s="1311"/>
      <c r="O257" s="1312"/>
      <c r="P257" s="1312"/>
      <c r="Q257" s="1312"/>
      <c r="R257" s="1312"/>
      <c r="S257" s="1312"/>
      <c r="T257" s="1312"/>
      <c r="U257" s="1313"/>
      <c r="V257" s="1314"/>
      <c r="W257" s="1314"/>
      <c r="X257" s="1314"/>
      <c r="Y257" s="1314"/>
      <c r="Z257" s="1314"/>
      <c r="AA257" s="1315"/>
      <c r="AB257" s="1253"/>
      <c r="AC257" s="1254"/>
    </row>
    <row r="258" spans="1:29" ht="24.95" customHeight="1" x14ac:dyDescent="0.25">
      <c r="A258" s="1306"/>
      <c r="B258" s="683">
        <v>32</v>
      </c>
      <c r="C258" s="1310"/>
      <c r="D258" s="1305" t="s">
        <v>181</v>
      </c>
      <c r="E258" s="1308">
        <f>VLOOKUP(A255,UHT_MAT,52,FALSE)</f>
        <v>0</v>
      </c>
      <c r="F258" s="1908">
        <f t="shared" si="213"/>
        <v>0</v>
      </c>
      <c r="G258" s="1308"/>
      <c r="H258" s="1309">
        <f>VLOOKUP(B255,REKAP_NILAI,19,FALSE)</f>
        <v>0</v>
      </c>
      <c r="I258" s="1371">
        <f t="shared" si="214"/>
        <v>0</v>
      </c>
      <c r="J258" s="1372">
        <f t="shared" si="215"/>
        <v>0</v>
      </c>
      <c r="K258" s="1373" t="str">
        <f t="shared" si="216"/>
        <v>1.33</v>
      </c>
      <c r="L258" s="1373" t="str">
        <f t="shared" si="217"/>
        <v>D+</v>
      </c>
      <c r="M258" s="1374" t="str">
        <f t="shared" si="218"/>
        <v>0</v>
      </c>
      <c r="N258" s="1311"/>
      <c r="O258" s="1312"/>
      <c r="P258" s="1312"/>
      <c r="Q258" s="1312"/>
      <c r="R258" s="1312"/>
      <c r="S258" s="1312"/>
      <c r="T258" s="1312"/>
      <c r="U258" s="1313"/>
      <c r="V258" s="1314"/>
      <c r="W258" s="1314"/>
      <c r="X258" s="1314"/>
      <c r="Y258" s="1314"/>
      <c r="Z258" s="1314"/>
      <c r="AA258" s="1315"/>
      <c r="AB258" s="1253"/>
      <c r="AC258" s="1254"/>
    </row>
    <row r="259" spans="1:29" ht="24.95" customHeight="1" x14ac:dyDescent="0.25">
      <c r="A259" s="1306"/>
      <c r="B259" s="683">
        <v>32</v>
      </c>
      <c r="C259" s="1310"/>
      <c r="D259" s="1305" t="s">
        <v>182</v>
      </c>
      <c r="E259" s="1308">
        <f>VLOOKUP(A255,UHT_MAT,53,FALSE)</f>
        <v>0</v>
      </c>
      <c r="F259" s="1908">
        <f t="shared" si="213"/>
        <v>0</v>
      </c>
      <c r="G259" s="1308"/>
      <c r="H259" s="1309">
        <f>VLOOKUP(B255,REKAP_NILAI,20,FALSE)</f>
        <v>0</v>
      </c>
      <c r="I259" s="1371">
        <f t="shared" si="214"/>
        <v>0</v>
      </c>
      <c r="J259" s="1372">
        <f t="shared" si="215"/>
        <v>0</v>
      </c>
      <c r="K259" s="1373" t="str">
        <f t="shared" si="216"/>
        <v>1.33</v>
      </c>
      <c r="L259" s="1373" t="str">
        <f t="shared" si="217"/>
        <v>D+</v>
      </c>
      <c r="M259" s="1374" t="str">
        <f t="shared" si="218"/>
        <v>0</v>
      </c>
      <c r="N259" s="1311"/>
      <c r="O259" s="1312"/>
      <c r="P259" s="1312"/>
      <c r="Q259" s="1312"/>
      <c r="R259" s="1312"/>
      <c r="S259" s="1312"/>
      <c r="T259" s="1312"/>
      <c r="U259" s="1313"/>
      <c r="V259" s="1314"/>
      <c r="W259" s="1314"/>
      <c r="X259" s="1314"/>
      <c r="Y259" s="1314"/>
      <c r="Z259" s="1314"/>
      <c r="AA259" s="1315"/>
      <c r="AB259" s="1253"/>
      <c r="AC259" s="1254"/>
    </row>
    <row r="260" spans="1:29" ht="24.95" customHeight="1" x14ac:dyDescent="0.25">
      <c r="A260" s="1306"/>
      <c r="B260" s="683">
        <v>32</v>
      </c>
      <c r="C260" s="1310"/>
      <c r="D260" s="1305" t="s">
        <v>566</v>
      </c>
      <c r="E260" s="1308">
        <f>VLOOKUP(A255,UHT_MAT,54,FALSE)</f>
        <v>0</v>
      </c>
      <c r="F260" s="1908">
        <f t="shared" si="213"/>
        <v>0</v>
      </c>
      <c r="G260" s="1308"/>
      <c r="H260" s="1309">
        <f>VLOOKUP(B255,REKAP_NILAI,21,FALSE)</f>
        <v>0</v>
      </c>
      <c r="I260" s="1371">
        <f t="shared" si="214"/>
        <v>0</v>
      </c>
      <c r="J260" s="1372">
        <f t="shared" si="215"/>
        <v>0</v>
      </c>
      <c r="K260" s="1373" t="str">
        <f t="shared" si="216"/>
        <v>1.33</v>
      </c>
      <c r="L260" s="1373" t="str">
        <f t="shared" si="217"/>
        <v>D+</v>
      </c>
      <c r="M260" s="1374" t="str">
        <f t="shared" si="218"/>
        <v>0</v>
      </c>
      <c r="N260" s="1311"/>
      <c r="O260" s="1312"/>
      <c r="P260" s="1312"/>
      <c r="Q260" s="1312"/>
      <c r="R260" s="1312"/>
      <c r="S260" s="1312"/>
      <c r="T260" s="1312"/>
      <c r="U260" s="1313"/>
      <c r="V260" s="1314"/>
      <c r="W260" s="1314"/>
      <c r="X260" s="1314"/>
      <c r="Y260" s="1314"/>
      <c r="Z260" s="1314"/>
      <c r="AA260" s="1315"/>
      <c r="AB260" s="1253"/>
      <c r="AC260" s="1254"/>
    </row>
    <row r="261" spans="1:29" ht="24.95" customHeight="1" x14ac:dyDescent="0.25">
      <c r="A261" s="1306"/>
      <c r="B261" s="683">
        <v>32</v>
      </c>
      <c r="C261" s="1310"/>
      <c r="D261" s="1305" t="s">
        <v>567</v>
      </c>
      <c r="E261" s="1308">
        <f>VLOOKUP(A255,UHT_MAT,55,FALSE)</f>
        <v>0</v>
      </c>
      <c r="F261" s="1908">
        <f t="shared" si="213"/>
        <v>0</v>
      </c>
      <c r="G261" s="1308"/>
      <c r="H261" s="1309">
        <f>VLOOKUP(B255,REKAP_NILAI,22,FALSE)</f>
        <v>0</v>
      </c>
      <c r="I261" s="1371">
        <f t="shared" si="214"/>
        <v>0</v>
      </c>
      <c r="J261" s="1372">
        <f t="shared" si="215"/>
        <v>0</v>
      </c>
      <c r="K261" s="1373" t="str">
        <f t="shared" si="216"/>
        <v>1.33</v>
      </c>
      <c r="L261" s="1373" t="str">
        <f t="shared" si="217"/>
        <v>D+</v>
      </c>
      <c r="M261" s="1374" t="str">
        <f t="shared" si="218"/>
        <v>0</v>
      </c>
      <c r="N261" s="1311"/>
      <c r="O261" s="1312"/>
      <c r="P261" s="1312"/>
      <c r="Q261" s="1312"/>
      <c r="R261" s="1312"/>
      <c r="S261" s="1312"/>
      <c r="T261" s="1312"/>
      <c r="U261" s="1313"/>
      <c r="V261" s="1314"/>
      <c r="W261" s="1314"/>
      <c r="X261" s="1314"/>
      <c r="Y261" s="1314"/>
      <c r="Z261" s="1314"/>
      <c r="AA261" s="1315"/>
      <c r="AB261" s="1255"/>
      <c r="AC261" s="1256"/>
    </row>
    <row r="262" spans="1:29" ht="24.95" customHeight="1" x14ac:dyDescent="0.3">
      <c r="A262" s="1337"/>
      <c r="B262" s="1338"/>
      <c r="C262" s="1339" t="s">
        <v>149</v>
      </c>
      <c r="D262" s="1319">
        <v>32</v>
      </c>
      <c r="E262" s="1320"/>
      <c r="F262" s="1909"/>
      <c r="G262" s="1320"/>
      <c r="H262" s="1321">
        <f>AVERAGE(H255:H261)</f>
        <v>0</v>
      </c>
      <c r="I262" s="1375"/>
      <c r="J262" s="1376">
        <f>AVERAGE(J255:J261)</f>
        <v>0</v>
      </c>
      <c r="K262" s="1377" t="str">
        <f t="shared" si="216"/>
        <v>1.33</v>
      </c>
      <c r="L262" s="1377" t="str">
        <f t="shared" si="217"/>
        <v>D+</v>
      </c>
      <c r="M262" s="1378" t="str">
        <f t="shared" si="218"/>
        <v>0</v>
      </c>
      <c r="N262" s="1347"/>
      <c r="O262" s="1348"/>
      <c r="P262" s="1348"/>
      <c r="Q262" s="1348"/>
      <c r="R262" s="1348"/>
      <c r="S262" s="1348"/>
      <c r="T262" s="1348"/>
      <c r="U262" s="1347"/>
      <c r="V262" s="1348"/>
      <c r="W262" s="1348"/>
      <c r="X262" s="1348"/>
      <c r="Y262" s="1348"/>
      <c r="Z262" s="1348"/>
      <c r="AA262" s="1349"/>
      <c r="AB262" s="1257"/>
      <c r="AC262" s="1258"/>
    </row>
    <row r="263" spans="1:29" ht="24.95" customHeight="1" thickBot="1" x14ac:dyDescent="0.3">
      <c r="A263" s="1325">
        <v>33</v>
      </c>
      <c r="B263" s="1326">
        <v>33</v>
      </c>
      <c r="C263" s="1327">
        <f>VLOOKUP(A263,data_siswa,4)</f>
        <v>0</v>
      </c>
      <c r="D263" s="1305" t="s">
        <v>10</v>
      </c>
      <c r="E263" s="1308">
        <f>VLOOKUP(A263,UHT_MAT,49,FALSE)</f>
        <v>0</v>
      </c>
      <c r="F263" s="1908">
        <f>E263*2</f>
        <v>0</v>
      </c>
      <c r="G263" s="1308"/>
      <c r="H263" s="1309">
        <f>VLOOKUP(B263,REKAP_NILAI,16,FALSE)</f>
        <v>0</v>
      </c>
      <c r="I263" s="1367">
        <f>F263+G263+H263</f>
        <v>0</v>
      </c>
      <c r="J263" s="1368">
        <f>(F263+G263+H263)/4</f>
        <v>0</v>
      </c>
      <c r="K263" s="1369" t="str">
        <f>IF(J263&gt;85,("4"),IF(J263&gt;80,("3.66"),IF(J263&gt;75,("3.33"),IF(J263&gt;70,("3.00"),IF(J263&gt;65,("2.66"),IF(J263&gt;60,("2.33"),IF(J263&gt;55,("2"),IF(J263&gt;50,("1.66"),"1.33"))))))))</f>
        <v>1.33</v>
      </c>
      <c r="L263" s="1369" t="str">
        <f>IF(J263&gt;85,("A"),IF(J263&gt;80,("A-"),IF(J263&gt;75,("B+"),IF(J263&gt;70,("B"),IF(J263&gt;65,("B-"),IF(J263&gt;60,("C+"),IF(J263&gt;55,("C"),IF(J263&gt;50,("C-"),"D+"))))))))</f>
        <v>D+</v>
      </c>
      <c r="M263" s="1370" t="str">
        <f>IF(J263&gt;80,("SB"),IF(J263&gt;65,("B"),IF(J263&gt;50,("C"),IF(J263&gt;0,("K"),"0"))))</f>
        <v>0</v>
      </c>
      <c r="N263" s="1343"/>
      <c r="O263" s="1344"/>
      <c r="P263" s="1344"/>
      <c r="Q263" s="1344"/>
      <c r="R263" s="1344"/>
      <c r="S263" s="1344"/>
      <c r="T263" s="1345"/>
      <c r="U263" s="1346"/>
      <c r="V263" s="1346"/>
      <c r="W263" s="1346"/>
      <c r="X263" s="1346"/>
      <c r="Y263" s="1346"/>
      <c r="Z263" s="1346"/>
      <c r="AA263" s="1346"/>
      <c r="AB263" s="1057">
        <f>J270</f>
        <v>0</v>
      </c>
      <c r="AC263" s="1194" t="str">
        <f>IF(AB263&gt;85,("A"),IF(AB263&gt;80,("A-"),IF(AB263&gt;75,("B+"),IF(AB263&gt;70,("B"),IF(AB263&gt;65,("B-"),IF(AB263&gt;60,("C+"),IF(AB263&gt;55,("C"),IF(AB263&gt;50,("C-"),"D+"))))))))</f>
        <v>D+</v>
      </c>
    </row>
    <row r="264" spans="1:29" ht="24.95" customHeight="1" x14ac:dyDescent="0.25">
      <c r="A264" s="1306"/>
      <c r="B264" s="683">
        <v>33</v>
      </c>
      <c r="C264" s="1310"/>
      <c r="D264" s="1305" t="s">
        <v>20</v>
      </c>
      <c r="E264" s="1308">
        <f>VLOOKUP(A263,UHT_MAT,50,FALSE)</f>
        <v>0</v>
      </c>
      <c r="F264" s="1908">
        <f t="shared" ref="F264:F269" si="219">E264*2</f>
        <v>0</v>
      </c>
      <c r="G264" s="1308"/>
      <c r="H264" s="1309">
        <f>VLOOKUP(B263,REKAP_NILAI,17,FALSE)</f>
        <v>0</v>
      </c>
      <c r="I264" s="1371">
        <f t="shared" ref="I264:I269" si="220">F264+G264+H264</f>
        <v>0</v>
      </c>
      <c r="J264" s="1372">
        <f t="shared" ref="J264:J269" si="221">(F264+G264+H264)/4</f>
        <v>0</v>
      </c>
      <c r="K264" s="1373" t="str">
        <f t="shared" ref="K264:K270" si="222">IF(J264&gt;85,("4"),IF(J264&gt;80,("3.66"),IF(J264&gt;75,("3.33"),IF(J264&gt;70,("3.00"),IF(J264&gt;65,("2.66"),IF(J264&gt;60,("2.33"),IF(J264&gt;55,("2"),IF(J264&gt;50,("1.66"),"1.33"))))))))</f>
        <v>1.33</v>
      </c>
      <c r="L264" s="1373" t="str">
        <f t="shared" ref="L264:L270" si="223">IF(J264&gt;85,("A"),IF(J264&gt;80,("A-"),IF(J264&gt;75,("B+"),IF(J264&gt;70,("B"),IF(J264&gt;65,("B-"),IF(J264&gt;60,("C+"),IF(J264&gt;55,("C"),IF(J264&gt;50,("C-"),"D+"))))))))</f>
        <v>D+</v>
      </c>
      <c r="M264" s="1374" t="str">
        <f t="shared" ref="M264:M270" si="224">IF(J264&gt;80,("SB"),IF(J264&gt;65,("B"),IF(J264&gt;50,("C"),IF(J264&gt;0,("K"),"0"))))</f>
        <v>0</v>
      </c>
      <c r="N264" s="1332"/>
      <c r="O264" s="1333"/>
      <c r="P264" s="1333"/>
      <c r="Q264" s="1333"/>
      <c r="R264" s="1333"/>
      <c r="S264" s="1333"/>
      <c r="T264" s="1333"/>
      <c r="U264" s="1334"/>
      <c r="V264" s="1335"/>
      <c r="W264" s="1335"/>
      <c r="X264" s="1335"/>
      <c r="Y264" s="1335"/>
      <c r="Z264" s="1335"/>
      <c r="AA264" s="1336"/>
      <c r="AB264" s="1251"/>
      <c r="AC264" s="1252"/>
    </row>
    <row r="265" spans="1:29" ht="24.95" customHeight="1" x14ac:dyDescent="0.25">
      <c r="A265" s="1306"/>
      <c r="B265" s="683">
        <v>33</v>
      </c>
      <c r="C265" s="1310"/>
      <c r="D265" s="1305" t="s">
        <v>19</v>
      </c>
      <c r="E265" s="1308">
        <f>VLOOKUP(A263,UHT_MAT,51,FALSE)</f>
        <v>0</v>
      </c>
      <c r="F265" s="1908">
        <f t="shared" si="219"/>
        <v>0</v>
      </c>
      <c r="G265" s="1308"/>
      <c r="H265" s="1309">
        <f>VLOOKUP(B263,REKAP_NILAI,18,FALSE)</f>
        <v>0</v>
      </c>
      <c r="I265" s="1371">
        <f t="shared" si="220"/>
        <v>0</v>
      </c>
      <c r="J265" s="1372">
        <f t="shared" si="221"/>
        <v>0</v>
      </c>
      <c r="K265" s="1373" t="str">
        <f t="shared" si="222"/>
        <v>1.33</v>
      </c>
      <c r="L265" s="1373" t="str">
        <f t="shared" si="223"/>
        <v>D+</v>
      </c>
      <c r="M265" s="1374" t="str">
        <f t="shared" si="224"/>
        <v>0</v>
      </c>
      <c r="N265" s="1311"/>
      <c r="O265" s="1312"/>
      <c r="P265" s="1312"/>
      <c r="Q265" s="1312"/>
      <c r="R265" s="1312"/>
      <c r="S265" s="1312"/>
      <c r="T265" s="1312"/>
      <c r="U265" s="1313"/>
      <c r="V265" s="1314"/>
      <c r="W265" s="1314"/>
      <c r="X265" s="1314"/>
      <c r="Y265" s="1314"/>
      <c r="Z265" s="1314"/>
      <c r="AA265" s="1315"/>
      <c r="AB265" s="1253"/>
      <c r="AC265" s="1254"/>
    </row>
    <row r="266" spans="1:29" ht="24.95" customHeight="1" x14ac:dyDescent="0.25">
      <c r="A266" s="1306"/>
      <c r="B266" s="683">
        <v>33</v>
      </c>
      <c r="C266" s="1310"/>
      <c r="D266" s="1305" t="s">
        <v>181</v>
      </c>
      <c r="E266" s="1308">
        <f>VLOOKUP(A263,UHT_MAT,52,FALSE)</f>
        <v>0</v>
      </c>
      <c r="F266" s="1908">
        <f t="shared" si="219"/>
        <v>0</v>
      </c>
      <c r="G266" s="1308"/>
      <c r="H266" s="1309">
        <f>VLOOKUP(B263,REKAP_NILAI,19,FALSE)</f>
        <v>0</v>
      </c>
      <c r="I266" s="1371">
        <f t="shared" si="220"/>
        <v>0</v>
      </c>
      <c r="J266" s="1372">
        <f t="shared" si="221"/>
        <v>0</v>
      </c>
      <c r="K266" s="1373" t="str">
        <f t="shared" si="222"/>
        <v>1.33</v>
      </c>
      <c r="L266" s="1373" t="str">
        <f t="shared" si="223"/>
        <v>D+</v>
      </c>
      <c r="M266" s="1374" t="str">
        <f t="shared" si="224"/>
        <v>0</v>
      </c>
      <c r="N266" s="1311"/>
      <c r="O266" s="1312"/>
      <c r="P266" s="1312"/>
      <c r="Q266" s="1312"/>
      <c r="R266" s="1312"/>
      <c r="S266" s="1312"/>
      <c r="T266" s="1312"/>
      <c r="U266" s="1313"/>
      <c r="V266" s="1314"/>
      <c r="W266" s="1314"/>
      <c r="X266" s="1314"/>
      <c r="Y266" s="1314"/>
      <c r="Z266" s="1314"/>
      <c r="AA266" s="1315"/>
      <c r="AB266" s="1253"/>
      <c r="AC266" s="1254"/>
    </row>
    <row r="267" spans="1:29" ht="24.95" customHeight="1" x14ac:dyDescent="0.25">
      <c r="A267" s="1306"/>
      <c r="B267" s="683">
        <v>33</v>
      </c>
      <c r="C267" s="1310"/>
      <c r="D267" s="1305" t="s">
        <v>182</v>
      </c>
      <c r="E267" s="1308">
        <f>VLOOKUP(A263,UHT_MAT,53,FALSE)</f>
        <v>0</v>
      </c>
      <c r="F267" s="1908">
        <f t="shared" si="219"/>
        <v>0</v>
      </c>
      <c r="G267" s="1308"/>
      <c r="H267" s="1309">
        <f>VLOOKUP(B263,REKAP_NILAI,20,FALSE)</f>
        <v>0</v>
      </c>
      <c r="I267" s="1371">
        <f t="shared" si="220"/>
        <v>0</v>
      </c>
      <c r="J267" s="1372">
        <f t="shared" si="221"/>
        <v>0</v>
      </c>
      <c r="K267" s="1373" t="str">
        <f t="shared" si="222"/>
        <v>1.33</v>
      </c>
      <c r="L267" s="1373" t="str">
        <f t="shared" si="223"/>
        <v>D+</v>
      </c>
      <c r="M267" s="1374" t="str">
        <f t="shared" si="224"/>
        <v>0</v>
      </c>
      <c r="N267" s="1311"/>
      <c r="O267" s="1312"/>
      <c r="P267" s="1312"/>
      <c r="Q267" s="1312"/>
      <c r="R267" s="1312"/>
      <c r="S267" s="1312"/>
      <c r="T267" s="1312"/>
      <c r="U267" s="1313"/>
      <c r="V267" s="1314"/>
      <c r="W267" s="1314"/>
      <c r="X267" s="1314"/>
      <c r="Y267" s="1314"/>
      <c r="Z267" s="1314"/>
      <c r="AA267" s="1315"/>
      <c r="AB267" s="1253"/>
      <c r="AC267" s="1254"/>
    </row>
    <row r="268" spans="1:29" ht="24.95" customHeight="1" x14ac:dyDescent="0.25">
      <c r="A268" s="1306"/>
      <c r="B268" s="683">
        <v>33</v>
      </c>
      <c r="C268" s="1310"/>
      <c r="D268" s="1305" t="s">
        <v>566</v>
      </c>
      <c r="E268" s="1308">
        <f>VLOOKUP(A263,UHT_MAT,54,FALSE)</f>
        <v>0</v>
      </c>
      <c r="F268" s="1908">
        <f t="shared" si="219"/>
        <v>0</v>
      </c>
      <c r="G268" s="1308"/>
      <c r="H268" s="1309">
        <f>VLOOKUP(B263,REKAP_NILAI,21,FALSE)</f>
        <v>0</v>
      </c>
      <c r="I268" s="1371">
        <f t="shared" si="220"/>
        <v>0</v>
      </c>
      <c r="J268" s="1372">
        <f t="shared" si="221"/>
        <v>0</v>
      </c>
      <c r="K268" s="1373" t="str">
        <f t="shared" si="222"/>
        <v>1.33</v>
      </c>
      <c r="L268" s="1373" t="str">
        <f t="shared" si="223"/>
        <v>D+</v>
      </c>
      <c r="M268" s="1374" t="str">
        <f t="shared" si="224"/>
        <v>0</v>
      </c>
      <c r="N268" s="1311"/>
      <c r="O268" s="1312"/>
      <c r="P268" s="1312"/>
      <c r="Q268" s="1312"/>
      <c r="R268" s="1312"/>
      <c r="S268" s="1312"/>
      <c r="T268" s="1312"/>
      <c r="U268" s="1313"/>
      <c r="V268" s="1314"/>
      <c r="W268" s="1314"/>
      <c r="X268" s="1314"/>
      <c r="Y268" s="1314"/>
      <c r="Z268" s="1314"/>
      <c r="AA268" s="1315"/>
      <c r="AB268" s="1253"/>
      <c r="AC268" s="1254"/>
    </row>
    <row r="269" spans="1:29" ht="24.95" customHeight="1" x14ac:dyDescent="0.25">
      <c r="A269" s="1306"/>
      <c r="B269" s="683">
        <v>33</v>
      </c>
      <c r="C269" s="1310"/>
      <c r="D269" s="1305" t="s">
        <v>567</v>
      </c>
      <c r="E269" s="1308">
        <f>VLOOKUP(A263,UHT_MAT,55,FALSE)</f>
        <v>0</v>
      </c>
      <c r="F269" s="1908">
        <f t="shared" si="219"/>
        <v>0</v>
      </c>
      <c r="G269" s="1308"/>
      <c r="H269" s="1309">
        <f>VLOOKUP(B263,REKAP_NILAI,22,FALSE)</f>
        <v>0</v>
      </c>
      <c r="I269" s="1371">
        <f t="shared" si="220"/>
        <v>0</v>
      </c>
      <c r="J269" s="1372">
        <f t="shared" si="221"/>
        <v>0</v>
      </c>
      <c r="K269" s="1373" t="str">
        <f t="shared" si="222"/>
        <v>1.33</v>
      </c>
      <c r="L269" s="1373" t="str">
        <f t="shared" si="223"/>
        <v>D+</v>
      </c>
      <c r="M269" s="1374" t="str">
        <f t="shared" si="224"/>
        <v>0</v>
      </c>
      <c r="N269" s="1311"/>
      <c r="O269" s="1312"/>
      <c r="P269" s="1312"/>
      <c r="Q269" s="1312"/>
      <c r="R269" s="1312"/>
      <c r="S269" s="1312"/>
      <c r="T269" s="1312"/>
      <c r="U269" s="1313"/>
      <c r="V269" s="1314"/>
      <c r="W269" s="1314"/>
      <c r="X269" s="1314"/>
      <c r="Y269" s="1314"/>
      <c r="Z269" s="1314"/>
      <c r="AA269" s="1315"/>
      <c r="AB269" s="1255"/>
      <c r="AC269" s="1256"/>
    </row>
    <row r="270" spans="1:29" ht="24.95" customHeight="1" x14ac:dyDescent="0.3">
      <c r="A270" s="1337"/>
      <c r="B270" s="1338"/>
      <c r="C270" s="1339" t="s">
        <v>149</v>
      </c>
      <c r="D270" s="1319">
        <v>33</v>
      </c>
      <c r="E270" s="1320"/>
      <c r="F270" s="1909"/>
      <c r="G270" s="1320"/>
      <c r="H270" s="1321">
        <f>AVERAGE(H263:H269)</f>
        <v>0</v>
      </c>
      <c r="I270" s="1375"/>
      <c r="J270" s="1376">
        <f>AVERAGE(J263:J269)</f>
        <v>0</v>
      </c>
      <c r="K270" s="1377" t="str">
        <f t="shared" si="222"/>
        <v>1.33</v>
      </c>
      <c r="L270" s="1377" t="str">
        <f t="shared" si="223"/>
        <v>D+</v>
      </c>
      <c r="M270" s="1378" t="str">
        <f t="shared" si="224"/>
        <v>0</v>
      </c>
      <c r="N270" s="1347"/>
      <c r="O270" s="1348"/>
      <c r="P270" s="1348"/>
      <c r="Q270" s="1348"/>
      <c r="R270" s="1348"/>
      <c r="S270" s="1348"/>
      <c r="T270" s="1348"/>
      <c r="U270" s="1347"/>
      <c r="V270" s="1348"/>
      <c r="W270" s="1348"/>
      <c r="X270" s="1348"/>
      <c r="Y270" s="1348"/>
      <c r="Z270" s="1348"/>
      <c r="AA270" s="1349"/>
      <c r="AB270" s="1257"/>
      <c r="AC270" s="1258"/>
    </row>
    <row r="271" spans="1:29" ht="24.95" customHeight="1" thickBot="1" x14ac:dyDescent="0.3">
      <c r="A271" s="1325">
        <v>34</v>
      </c>
      <c r="B271" s="1326">
        <v>34</v>
      </c>
      <c r="C271" s="1327">
        <f>VLOOKUP(A271,data_siswa,4)</f>
        <v>0</v>
      </c>
      <c r="D271" s="1305" t="s">
        <v>10</v>
      </c>
      <c r="E271" s="1308">
        <f>VLOOKUP(A271,UHT_MAT,49,FALSE)</f>
        <v>0</v>
      </c>
      <c r="F271" s="1908">
        <f>E271*2</f>
        <v>0</v>
      </c>
      <c r="G271" s="1308"/>
      <c r="H271" s="1309">
        <f>VLOOKUP(B271,REKAP_NILAI,16,FALSE)</f>
        <v>0</v>
      </c>
      <c r="I271" s="1367">
        <f>F271+G271+H271</f>
        <v>0</v>
      </c>
      <c r="J271" s="1368">
        <f>(F271+G271+H271)/4</f>
        <v>0</v>
      </c>
      <c r="K271" s="1369" t="str">
        <f>IF(J271&gt;85,("4"),IF(J271&gt;80,("3.66"),IF(J271&gt;75,("3.33"),IF(J271&gt;70,("3.00"),IF(J271&gt;65,("2.66"),IF(J271&gt;60,("2.33"),IF(J271&gt;55,("2"),IF(J271&gt;50,("1.66"),"1.33"))))))))</f>
        <v>1.33</v>
      </c>
      <c r="L271" s="1369" t="str">
        <f>IF(J271&gt;85,("A"),IF(J271&gt;80,("A-"),IF(J271&gt;75,("B+"),IF(J271&gt;70,("B"),IF(J271&gt;65,("B-"),IF(J271&gt;60,("C+"),IF(J271&gt;55,("C"),IF(J271&gt;50,("C-"),"D+"))))))))</f>
        <v>D+</v>
      </c>
      <c r="M271" s="1370" t="str">
        <f>IF(J271&gt;80,("SB"),IF(J271&gt;65,("B"),IF(J271&gt;50,("C"),IF(J271&gt;0,("K"),"0"))))</f>
        <v>0</v>
      </c>
      <c r="N271" s="1343"/>
      <c r="O271" s="1344"/>
      <c r="P271" s="1344"/>
      <c r="Q271" s="1344"/>
      <c r="R271" s="1344"/>
      <c r="S271" s="1344"/>
      <c r="T271" s="1345"/>
      <c r="U271" s="1346"/>
      <c r="V271" s="1346"/>
      <c r="W271" s="1346"/>
      <c r="X271" s="1346"/>
      <c r="Y271" s="1346"/>
      <c r="Z271" s="1346"/>
      <c r="AA271" s="1346"/>
      <c r="AB271" s="1057">
        <f>J278</f>
        <v>0</v>
      </c>
      <c r="AC271" s="1194" t="str">
        <f>IF(AB271&gt;85,("A"),IF(AB271&gt;80,("A-"),IF(AB271&gt;75,("B+"),IF(AB271&gt;70,("B"),IF(AB271&gt;65,("B-"),IF(AB271&gt;60,("C+"),IF(AB271&gt;55,("C"),IF(AB271&gt;50,("C-"),"D+"))))))))</f>
        <v>D+</v>
      </c>
    </row>
    <row r="272" spans="1:29" ht="24.95" customHeight="1" x14ac:dyDescent="0.25">
      <c r="A272" s="1306"/>
      <c r="B272" s="683">
        <v>34</v>
      </c>
      <c r="C272" s="1310"/>
      <c r="D272" s="1305" t="s">
        <v>20</v>
      </c>
      <c r="E272" s="1308">
        <f>VLOOKUP(A271,UHT_MAT,50,FALSE)</f>
        <v>0</v>
      </c>
      <c r="F272" s="1908">
        <f t="shared" ref="F272:F277" si="225">E272*2</f>
        <v>0</v>
      </c>
      <c r="G272" s="1308"/>
      <c r="H272" s="1309">
        <f>VLOOKUP(B271,REKAP_NILAI,17,FALSE)</f>
        <v>0</v>
      </c>
      <c r="I272" s="1371">
        <f t="shared" ref="I272:I277" si="226">F272+G272+H272</f>
        <v>0</v>
      </c>
      <c r="J272" s="1372">
        <f t="shared" ref="J272:J277" si="227">(F272+G272+H272)/4</f>
        <v>0</v>
      </c>
      <c r="K272" s="1373" t="str">
        <f t="shared" ref="K272:K278" si="228">IF(J272&gt;85,("4"),IF(J272&gt;80,("3.66"),IF(J272&gt;75,("3.33"),IF(J272&gt;70,("3.00"),IF(J272&gt;65,("2.66"),IF(J272&gt;60,("2.33"),IF(J272&gt;55,("2"),IF(J272&gt;50,("1.66"),"1.33"))))))))</f>
        <v>1.33</v>
      </c>
      <c r="L272" s="1373" t="str">
        <f t="shared" ref="L272:L278" si="229">IF(J272&gt;85,("A"),IF(J272&gt;80,("A-"),IF(J272&gt;75,("B+"),IF(J272&gt;70,("B"),IF(J272&gt;65,("B-"),IF(J272&gt;60,("C+"),IF(J272&gt;55,("C"),IF(J272&gt;50,("C-"),"D+"))))))))</f>
        <v>D+</v>
      </c>
      <c r="M272" s="1374" t="str">
        <f t="shared" ref="M272:M278" si="230">IF(J272&gt;80,("SB"),IF(J272&gt;65,("B"),IF(J272&gt;50,("C"),IF(J272&gt;0,("K"),"0"))))</f>
        <v>0</v>
      </c>
      <c r="N272" s="1332"/>
      <c r="O272" s="1333"/>
      <c r="P272" s="1333"/>
      <c r="Q272" s="1333"/>
      <c r="R272" s="1333"/>
      <c r="S272" s="1333"/>
      <c r="T272" s="1333"/>
      <c r="U272" s="1334"/>
      <c r="V272" s="1335"/>
      <c r="W272" s="1335"/>
      <c r="X272" s="1335"/>
      <c r="Y272" s="1335"/>
      <c r="Z272" s="1335"/>
      <c r="AA272" s="1336"/>
      <c r="AB272" s="1251"/>
      <c r="AC272" s="1252"/>
    </row>
    <row r="273" spans="1:29" ht="24.95" customHeight="1" x14ac:dyDescent="0.25">
      <c r="A273" s="1306"/>
      <c r="B273" s="683">
        <v>34</v>
      </c>
      <c r="C273" s="1310"/>
      <c r="D273" s="1305" t="s">
        <v>19</v>
      </c>
      <c r="E273" s="1308">
        <f>VLOOKUP(A271,UHT_MAT,51,FALSE)</f>
        <v>0</v>
      </c>
      <c r="F273" s="1908">
        <f t="shared" si="225"/>
        <v>0</v>
      </c>
      <c r="G273" s="1308"/>
      <c r="H273" s="1309">
        <f>VLOOKUP(B271,REKAP_NILAI,18,FALSE)</f>
        <v>0</v>
      </c>
      <c r="I273" s="1371">
        <f t="shared" si="226"/>
        <v>0</v>
      </c>
      <c r="J273" s="1372">
        <f t="shared" si="227"/>
        <v>0</v>
      </c>
      <c r="K273" s="1373" t="str">
        <f t="shared" si="228"/>
        <v>1.33</v>
      </c>
      <c r="L273" s="1373" t="str">
        <f t="shared" si="229"/>
        <v>D+</v>
      </c>
      <c r="M273" s="1374" t="str">
        <f t="shared" si="230"/>
        <v>0</v>
      </c>
      <c r="N273" s="1311"/>
      <c r="O273" s="1312"/>
      <c r="P273" s="1312"/>
      <c r="Q273" s="1312"/>
      <c r="R273" s="1312"/>
      <c r="S273" s="1312"/>
      <c r="T273" s="1312"/>
      <c r="U273" s="1313"/>
      <c r="V273" s="1314"/>
      <c r="W273" s="1314"/>
      <c r="X273" s="1314"/>
      <c r="Y273" s="1314"/>
      <c r="Z273" s="1314"/>
      <c r="AA273" s="1315"/>
      <c r="AB273" s="1253"/>
      <c r="AC273" s="1254"/>
    </row>
    <row r="274" spans="1:29" ht="24.95" customHeight="1" x14ac:dyDescent="0.25">
      <c r="A274" s="1306"/>
      <c r="B274" s="683">
        <v>34</v>
      </c>
      <c r="C274" s="1310"/>
      <c r="D274" s="1305" t="s">
        <v>181</v>
      </c>
      <c r="E274" s="1308">
        <f>VLOOKUP(A271,UHT_MAT,52,FALSE)</f>
        <v>0</v>
      </c>
      <c r="F274" s="1908">
        <f t="shared" si="225"/>
        <v>0</v>
      </c>
      <c r="G274" s="1308"/>
      <c r="H274" s="1309">
        <f>VLOOKUP(B271,REKAP_NILAI,19,FALSE)</f>
        <v>0</v>
      </c>
      <c r="I274" s="1371">
        <f t="shared" si="226"/>
        <v>0</v>
      </c>
      <c r="J274" s="1372">
        <f t="shared" si="227"/>
        <v>0</v>
      </c>
      <c r="K274" s="1373" t="str">
        <f t="shared" si="228"/>
        <v>1.33</v>
      </c>
      <c r="L274" s="1373" t="str">
        <f t="shared" si="229"/>
        <v>D+</v>
      </c>
      <c r="M274" s="1374" t="str">
        <f t="shared" si="230"/>
        <v>0</v>
      </c>
      <c r="N274" s="1311"/>
      <c r="O274" s="1312"/>
      <c r="P274" s="1312"/>
      <c r="Q274" s="1312"/>
      <c r="R274" s="1312"/>
      <c r="S274" s="1312"/>
      <c r="T274" s="1312"/>
      <c r="U274" s="1313"/>
      <c r="V274" s="1314"/>
      <c r="W274" s="1314"/>
      <c r="X274" s="1314"/>
      <c r="Y274" s="1314"/>
      <c r="Z274" s="1314"/>
      <c r="AA274" s="1315"/>
      <c r="AB274" s="1253"/>
      <c r="AC274" s="1254"/>
    </row>
    <row r="275" spans="1:29" ht="24.95" customHeight="1" x14ac:dyDescent="0.25">
      <c r="A275" s="1306"/>
      <c r="B275" s="683">
        <v>34</v>
      </c>
      <c r="C275" s="1310"/>
      <c r="D275" s="1305" t="s">
        <v>182</v>
      </c>
      <c r="E275" s="1308">
        <f>VLOOKUP(A271,UHT_MAT,53,FALSE)</f>
        <v>0</v>
      </c>
      <c r="F275" s="1908">
        <f t="shared" si="225"/>
        <v>0</v>
      </c>
      <c r="G275" s="1308"/>
      <c r="H275" s="1309">
        <f>VLOOKUP(B271,REKAP_NILAI,20,FALSE)</f>
        <v>0</v>
      </c>
      <c r="I275" s="1371">
        <f t="shared" si="226"/>
        <v>0</v>
      </c>
      <c r="J275" s="1372">
        <f t="shared" si="227"/>
        <v>0</v>
      </c>
      <c r="K275" s="1373" t="str">
        <f t="shared" si="228"/>
        <v>1.33</v>
      </c>
      <c r="L275" s="1373" t="str">
        <f t="shared" si="229"/>
        <v>D+</v>
      </c>
      <c r="M275" s="1374" t="str">
        <f t="shared" si="230"/>
        <v>0</v>
      </c>
      <c r="N275" s="1311"/>
      <c r="O275" s="1312"/>
      <c r="P275" s="1312"/>
      <c r="Q275" s="1312"/>
      <c r="R275" s="1312"/>
      <c r="S275" s="1312"/>
      <c r="T275" s="1312"/>
      <c r="U275" s="1313"/>
      <c r="V275" s="1314"/>
      <c r="W275" s="1314"/>
      <c r="X275" s="1314"/>
      <c r="Y275" s="1314"/>
      <c r="Z275" s="1314"/>
      <c r="AA275" s="1315"/>
      <c r="AB275" s="1253"/>
      <c r="AC275" s="1254"/>
    </row>
    <row r="276" spans="1:29" ht="24.95" customHeight="1" x14ac:dyDescent="0.25">
      <c r="A276" s="1306"/>
      <c r="B276" s="683">
        <v>34</v>
      </c>
      <c r="C276" s="1310"/>
      <c r="D276" s="1305" t="s">
        <v>566</v>
      </c>
      <c r="E276" s="1308">
        <f>VLOOKUP(A271,UHT_MAT,54,FALSE)</f>
        <v>0</v>
      </c>
      <c r="F276" s="1908">
        <f t="shared" si="225"/>
        <v>0</v>
      </c>
      <c r="G276" s="1308"/>
      <c r="H276" s="1309">
        <f>VLOOKUP(B271,REKAP_NILAI,21,FALSE)</f>
        <v>0</v>
      </c>
      <c r="I276" s="1371">
        <f t="shared" si="226"/>
        <v>0</v>
      </c>
      <c r="J276" s="1372">
        <f t="shared" si="227"/>
        <v>0</v>
      </c>
      <c r="K276" s="1373" t="str">
        <f t="shared" si="228"/>
        <v>1.33</v>
      </c>
      <c r="L276" s="1373" t="str">
        <f t="shared" si="229"/>
        <v>D+</v>
      </c>
      <c r="M276" s="1374" t="str">
        <f t="shared" si="230"/>
        <v>0</v>
      </c>
      <c r="N276" s="1311"/>
      <c r="O276" s="1312"/>
      <c r="P276" s="1312"/>
      <c r="Q276" s="1312"/>
      <c r="R276" s="1312"/>
      <c r="S276" s="1312"/>
      <c r="T276" s="1312"/>
      <c r="U276" s="1313"/>
      <c r="V276" s="1314"/>
      <c r="W276" s="1314"/>
      <c r="X276" s="1314"/>
      <c r="Y276" s="1314"/>
      <c r="Z276" s="1314"/>
      <c r="AA276" s="1315"/>
      <c r="AB276" s="1253"/>
      <c r="AC276" s="1254"/>
    </row>
    <row r="277" spans="1:29" ht="24.95" customHeight="1" x14ac:dyDescent="0.25">
      <c r="A277" s="1306"/>
      <c r="B277" s="683">
        <v>34</v>
      </c>
      <c r="C277" s="1310"/>
      <c r="D277" s="1305" t="s">
        <v>567</v>
      </c>
      <c r="E277" s="1308">
        <f>VLOOKUP(A271,UHT_MAT,55,FALSE)</f>
        <v>0</v>
      </c>
      <c r="F277" s="1908">
        <f t="shared" si="225"/>
        <v>0</v>
      </c>
      <c r="G277" s="1308"/>
      <c r="H277" s="1309">
        <f>VLOOKUP(B271,REKAP_NILAI,22,FALSE)</f>
        <v>0</v>
      </c>
      <c r="I277" s="1371">
        <f t="shared" si="226"/>
        <v>0</v>
      </c>
      <c r="J277" s="1372">
        <f t="shared" si="227"/>
        <v>0</v>
      </c>
      <c r="K277" s="1373" t="str">
        <f t="shared" si="228"/>
        <v>1.33</v>
      </c>
      <c r="L277" s="1373" t="str">
        <f t="shared" si="229"/>
        <v>D+</v>
      </c>
      <c r="M277" s="1374" t="str">
        <f t="shared" si="230"/>
        <v>0</v>
      </c>
      <c r="N277" s="1311"/>
      <c r="O277" s="1312"/>
      <c r="P277" s="1312"/>
      <c r="Q277" s="1312"/>
      <c r="R277" s="1312"/>
      <c r="S277" s="1312"/>
      <c r="T277" s="1312"/>
      <c r="U277" s="1313"/>
      <c r="V277" s="1314"/>
      <c r="W277" s="1314"/>
      <c r="X277" s="1314"/>
      <c r="Y277" s="1314"/>
      <c r="Z277" s="1314"/>
      <c r="AA277" s="1315"/>
      <c r="AB277" s="1255"/>
      <c r="AC277" s="1256"/>
    </row>
    <row r="278" spans="1:29" ht="24.95" customHeight="1" x14ac:dyDescent="0.3">
      <c r="A278" s="1337"/>
      <c r="B278" s="1338"/>
      <c r="C278" s="1339" t="s">
        <v>149</v>
      </c>
      <c r="D278" s="1319">
        <v>34</v>
      </c>
      <c r="E278" s="1320"/>
      <c r="F278" s="1909"/>
      <c r="G278" s="1320"/>
      <c r="H278" s="1321">
        <f>AVERAGE(H271:H277)</f>
        <v>0</v>
      </c>
      <c r="I278" s="1375"/>
      <c r="J278" s="1376">
        <f>AVERAGE(J271:J277)</f>
        <v>0</v>
      </c>
      <c r="K278" s="1377" t="str">
        <f t="shared" si="228"/>
        <v>1.33</v>
      </c>
      <c r="L278" s="1377" t="str">
        <f t="shared" si="229"/>
        <v>D+</v>
      </c>
      <c r="M278" s="1378" t="str">
        <f t="shared" si="230"/>
        <v>0</v>
      </c>
      <c r="N278" s="1347"/>
      <c r="O278" s="1348"/>
      <c r="P278" s="1348"/>
      <c r="Q278" s="1348"/>
      <c r="R278" s="1348"/>
      <c r="S278" s="1348"/>
      <c r="T278" s="1348"/>
      <c r="U278" s="1347"/>
      <c r="V278" s="1348"/>
      <c r="W278" s="1348"/>
      <c r="X278" s="1348"/>
      <c r="Y278" s="1348"/>
      <c r="Z278" s="1348"/>
      <c r="AA278" s="1349"/>
      <c r="AB278" s="1257"/>
      <c r="AC278" s="1258"/>
    </row>
    <row r="279" spans="1:29" ht="24.95" customHeight="1" thickBot="1" x14ac:dyDescent="0.3">
      <c r="A279" s="1325">
        <v>35</v>
      </c>
      <c r="B279" s="1326">
        <v>35</v>
      </c>
      <c r="C279" s="1327">
        <f>VLOOKUP(A279,data_siswa,4)</f>
        <v>0</v>
      </c>
      <c r="D279" s="1305" t="s">
        <v>10</v>
      </c>
      <c r="E279" s="1308">
        <f>VLOOKUP(A279,UHT_MAT,49,FALSE)</f>
        <v>0</v>
      </c>
      <c r="F279" s="1908">
        <f>E279*2</f>
        <v>0</v>
      </c>
      <c r="G279" s="1308"/>
      <c r="H279" s="1309">
        <f>VLOOKUP(B279,REKAP_NILAI,16,FALSE)</f>
        <v>0</v>
      </c>
      <c r="I279" s="1367">
        <f>F279+G279+H279</f>
        <v>0</v>
      </c>
      <c r="J279" s="1368">
        <f>(F279+G279+H279)/4</f>
        <v>0</v>
      </c>
      <c r="K279" s="1369" t="str">
        <f>IF(J279&gt;85,("4"),IF(J279&gt;80,("3.66"),IF(J279&gt;75,("3.33"),IF(J279&gt;70,("3.00"),IF(J279&gt;65,("2.66"),IF(J279&gt;60,("2.33"),IF(J279&gt;55,("2"),IF(J279&gt;50,("1.66"),"1.33"))))))))</f>
        <v>1.33</v>
      </c>
      <c r="L279" s="1369" t="str">
        <f>IF(J279&gt;85,("A"),IF(J279&gt;80,("A-"),IF(J279&gt;75,("B+"),IF(J279&gt;70,("B"),IF(J279&gt;65,("B-"),IF(J279&gt;60,("C+"),IF(J279&gt;55,("C"),IF(J279&gt;50,("C-"),"D+"))))))))</f>
        <v>D+</v>
      </c>
      <c r="M279" s="1370" t="str">
        <f>IF(J279&gt;80,("SB"),IF(J279&gt;65,("B"),IF(J279&gt;50,("C"),IF(J279&gt;0,("K"),"0"))))</f>
        <v>0</v>
      </c>
      <c r="N279" s="1343"/>
      <c r="O279" s="1344"/>
      <c r="P279" s="1344"/>
      <c r="Q279" s="1344"/>
      <c r="R279" s="1344"/>
      <c r="S279" s="1344"/>
      <c r="T279" s="1345"/>
      <c r="U279" s="1346"/>
      <c r="V279" s="1346"/>
      <c r="W279" s="1346"/>
      <c r="X279" s="1346"/>
      <c r="Y279" s="1346"/>
      <c r="Z279" s="1346"/>
      <c r="AA279" s="1346"/>
      <c r="AB279" s="1057">
        <f>J286</f>
        <v>0</v>
      </c>
      <c r="AC279" s="1194" t="str">
        <f>IF(AB279&gt;85,("A"),IF(AB279&gt;80,("A-"),IF(AB279&gt;75,("B+"),IF(AB279&gt;70,("B"),IF(AB279&gt;65,("B-"),IF(AB279&gt;60,("C+"),IF(AB279&gt;55,("C"),IF(AB279&gt;50,("C-"),"D+"))))))))</f>
        <v>D+</v>
      </c>
    </row>
    <row r="280" spans="1:29" ht="24.95" customHeight="1" x14ac:dyDescent="0.25">
      <c r="A280" s="1306"/>
      <c r="B280" s="683">
        <v>35</v>
      </c>
      <c r="C280" s="1310"/>
      <c r="D280" s="1305" t="s">
        <v>20</v>
      </c>
      <c r="E280" s="1308">
        <f>VLOOKUP(A279,UHT_MAT,50,FALSE)</f>
        <v>0</v>
      </c>
      <c r="F280" s="1908">
        <f t="shared" ref="F280:F285" si="231">E280*2</f>
        <v>0</v>
      </c>
      <c r="G280" s="1308"/>
      <c r="H280" s="1309">
        <f>VLOOKUP(B279,REKAP_NILAI,17,FALSE)</f>
        <v>0</v>
      </c>
      <c r="I280" s="1371">
        <f t="shared" ref="I280:I285" si="232">F280+G280+H280</f>
        <v>0</v>
      </c>
      <c r="J280" s="1372">
        <f t="shared" ref="J280:J285" si="233">(F280+G280+H280)/4</f>
        <v>0</v>
      </c>
      <c r="K280" s="1373" t="str">
        <f t="shared" ref="K280:K285" si="234">IF(J280&gt;85,("4"),IF(J280&gt;80,("3.66"),IF(J280&gt;75,("3.33"),IF(J280&gt;70,("3.00"),IF(J280&gt;65,("2.66"),IF(J280&gt;60,("2.33"),IF(J280&gt;55,("2"),IF(J280&gt;50,("1.66"),"1.33"))))))))</f>
        <v>1.33</v>
      </c>
      <c r="L280" s="1373" t="str">
        <f t="shared" ref="L280:L285" si="235">IF(J280&gt;85,("A"),IF(J280&gt;80,("A-"),IF(J280&gt;75,("B+"),IF(J280&gt;70,("B"),IF(J280&gt;65,("B-"),IF(J280&gt;60,("C+"),IF(J280&gt;55,("C"),IF(J280&gt;50,("C-"),"D+"))))))))</f>
        <v>D+</v>
      </c>
      <c r="M280" s="1374" t="str">
        <f t="shared" ref="M280:M285" si="236">IF(J280&gt;80,("SB"),IF(J280&gt;65,("B"),IF(J280&gt;50,("C"),IF(J280&gt;0,("K"),"0"))))</f>
        <v>0</v>
      </c>
      <c r="N280" s="1332"/>
      <c r="O280" s="1333"/>
      <c r="P280" s="1333"/>
      <c r="Q280" s="1333"/>
      <c r="R280" s="1333"/>
      <c r="S280" s="1333"/>
      <c r="T280" s="1333"/>
      <c r="U280" s="1334"/>
      <c r="V280" s="1335"/>
      <c r="W280" s="1335"/>
      <c r="X280" s="1335"/>
      <c r="Y280" s="1335"/>
      <c r="Z280" s="1335"/>
      <c r="AA280" s="1336"/>
      <c r="AB280" s="1251"/>
      <c r="AC280" s="1252"/>
    </row>
    <row r="281" spans="1:29" ht="24.95" customHeight="1" x14ac:dyDescent="0.25">
      <c r="A281" s="1306"/>
      <c r="B281" s="683">
        <v>35</v>
      </c>
      <c r="C281" s="1310"/>
      <c r="D281" s="1305" t="s">
        <v>19</v>
      </c>
      <c r="E281" s="1308">
        <f>VLOOKUP(A279,UHT_MAT,51,FALSE)</f>
        <v>0</v>
      </c>
      <c r="F281" s="1908">
        <f t="shared" si="231"/>
        <v>0</v>
      </c>
      <c r="G281" s="1308"/>
      <c r="H281" s="1309">
        <f>VLOOKUP(B279,REKAP_NILAI,18,FALSE)</f>
        <v>0</v>
      </c>
      <c r="I281" s="1371">
        <f t="shared" si="232"/>
        <v>0</v>
      </c>
      <c r="J281" s="1372">
        <f t="shared" si="233"/>
        <v>0</v>
      </c>
      <c r="K281" s="1373" t="str">
        <f t="shared" si="234"/>
        <v>1.33</v>
      </c>
      <c r="L281" s="1373" t="str">
        <f t="shared" si="235"/>
        <v>D+</v>
      </c>
      <c r="M281" s="1374" t="str">
        <f t="shared" si="236"/>
        <v>0</v>
      </c>
      <c r="N281" s="1311"/>
      <c r="O281" s="1312"/>
      <c r="P281" s="1312"/>
      <c r="Q281" s="1312"/>
      <c r="R281" s="1312"/>
      <c r="S281" s="1312"/>
      <c r="T281" s="1312"/>
      <c r="U281" s="1313"/>
      <c r="V281" s="1314"/>
      <c r="W281" s="1314"/>
      <c r="X281" s="1314"/>
      <c r="Y281" s="1314"/>
      <c r="Z281" s="1314"/>
      <c r="AA281" s="1315"/>
      <c r="AB281" s="1253"/>
      <c r="AC281" s="1254"/>
    </row>
    <row r="282" spans="1:29" ht="24.95" customHeight="1" x14ac:dyDescent="0.25">
      <c r="A282" s="1306"/>
      <c r="B282" s="683">
        <v>35</v>
      </c>
      <c r="C282" s="1310"/>
      <c r="D282" s="1305" t="s">
        <v>181</v>
      </c>
      <c r="E282" s="1308">
        <f>VLOOKUP(A279,UHT_MAT,52,FALSE)</f>
        <v>0</v>
      </c>
      <c r="F282" s="1908">
        <f t="shared" si="231"/>
        <v>0</v>
      </c>
      <c r="G282" s="1308"/>
      <c r="H282" s="1309">
        <f>VLOOKUP(B279,REKAP_NILAI,19,FALSE)</f>
        <v>0</v>
      </c>
      <c r="I282" s="1371">
        <f t="shared" si="232"/>
        <v>0</v>
      </c>
      <c r="J282" s="1372">
        <f t="shared" si="233"/>
        <v>0</v>
      </c>
      <c r="K282" s="1373" t="str">
        <f t="shared" si="234"/>
        <v>1.33</v>
      </c>
      <c r="L282" s="1373" t="str">
        <f t="shared" si="235"/>
        <v>D+</v>
      </c>
      <c r="M282" s="1374" t="str">
        <f t="shared" si="236"/>
        <v>0</v>
      </c>
      <c r="N282" s="1311"/>
      <c r="O282" s="1312"/>
      <c r="P282" s="1312"/>
      <c r="Q282" s="1312"/>
      <c r="R282" s="1312"/>
      <c r="S282" s="1312"/>
      <c r="T282" s="1312"/>
      <c r="U282" s="1313"/>
      <c r="V282" s="1314"/>
      <c r="W282" s="1314"/>
      <c r="X282" s="1314"/>
      <c r="Y282" s="1314"/>
      <c r="Z282" s="1314"/>
      <c r="AA282" s="1315"/>
      <c r="AB282" s="1253"/>
      <c r="AC282" s="1254"/>
    </row>
    <row r="283" spans="1:29" ht="24.95" customHeight="1" x14ac:dyDescent="0.25">
      <c r="A283" s="1306"/>
      <c r="B283" s="683">
        <v>35</v>
      </c>
      <c r="C283" s="1310"/>
      <c r="D283" s="1305" t="s">
        <v>182</v>
      </c>
      <c r="E283" s="1308">
        <f>VLOOKUP(A279,UHT_MAT,53,FALSE)</f>
        <v>0</v>
      </c>
      <c r="F283" s="1908">
        <f t="shared" si="231"/>
        <v>0</v>
      </c>
      <c r="G283" s="1308"/>
      <c r="H283" s="1309">
        <f>VLOOKUP(B279,REKAP_NILAI,20,FALSE)</f>
        <v>0</v>
      </c>
      <c r="I283" s="1371">
        <f t="shared" si="232"/>
        <v>0</v>
      </c>
      <c r="J283" s="1372">
        <f t="shared" si="233"/>
        <v>0</v>
      </c>
      <c r="K283" s="1373" t="str">
        <f t="shared" si="234"/>
        <v>1.33</v>
      </c>
      <c r="L283" s="1373" t="str">
        <f t="shared" si="235"/>
        <v>D+</v>
      </c>
      <c r="M283" s="1374" t="str">
        <f t="shared" si="236"/>
        <v>0</v>
      </c>
      <c r="N283" s="1311"/>
      <c r="O283" s="1312"/>
      <c r="P283" s="1312"/>
      <c r="Q283" s="1312"/>
      <c r="R283" s="1312"/>
      <c r="S283" s="1312"/>
      <c r="T283" s="1312"/>
      <c r="U283" s="1313"/>
      <c r="V283" s="1314"/>
      <c r="W283" s="1314"/>
      <c r="X283" s="1314"/>
      <c r="Y283" s="1314"/>
      <c r="Z283" s="1314"/>
      <c r="AA283" s="1315"/>
      <c r="AB283" s="1253"/>
      <c r="AC283" s="1254"/>
    </row>
    <row r="284" spans="1:29" ht="24.95" customHeight="1" x14ac:dyDescent="0.25">
      <c r="A284" s="1306"/>
      <c r="B284" s="683">
        <v>35</v>
      </c>
      <c r="C284" s="1310"/>
      <c r="D284" s="1305" t="s">
        <v>566</v>
      </c>
      <c r="E284" s="1308">
        <f>VLOOKUP(A279,UHT_MAT,54,FALSE)</f>
        <v>0</v>
      </c>
      <c r="F284" s="1908">
        <f t="shared" si="231"/>
        <v>0</v>
      </c>
      <c r="G284" s="1308"/>
      <c r="H284" s="1309">
        <f>VLOOKUP(B279,REKAP_NILAI,21,FALSE)</f>
        <v>0</v>
      </c>
      <c r="I284" s="1371">
        <f t="shared" si="232"/>
        <v>0</v>
      </c>
      <c r="J284" s="1372">
        <f t="shared" si="233"/>
        <v>0</v>
      </c>
      <c r="K284" s="1373" t="str">
        <f t="shared" si="234"/>
        <v>1.33</v>
      </c>
      <c r="L284" s="1373" t="str">
        <f t="shared" si="235"/>
        <v>D+</v>
      </c>
      <c r="M284" s="1374" t="str">
        <f t="shared" si="236"/>
        <v>0</v>
      </c>
      <c r="N284" s="1311"/>
      <c r="O284" s="1312"/>
      <c r="P284" s="1312"/>
      <c r="Q284" s="1312"/>
      <c r="R284" s="1312"/>
      <c r="S284" s="1312"/>
      <c r="T284" s="1312"/>
      <c r="U284" s="1313"/>
      <c r="V284" s="1314"/>
      <c r="W284" s="1314"/>
      <c r="X284" s="1314"/>
      <c r="Y284" s="1314"/>
      <c r="Z284" s="1314"/>
      <c r="AA284" s="1315"/>
      <c r="AB284" s="1253"/>
      <c r="AC284" s="1254"/>
    </row>
    <row r="285" spans="1:29" ht="24.95" customHeight="1" x14ac:dyDescent="0.25">
      <c r="A285" s="1306"/>
      <c r="B285" s="683">
        <v>35</v>
      </c>
      <c r="C285" s="1310"/>
      <c r="D285" s="1305" t="s">
        <v>567</v>
      </c>
      <c r="E285" s="1308">
        <f>VLOOKUP(A279,UHT_MAT,55,FALSE)</f>
        <v>0</v>
      </c>
      <c r="F285" s="1908">
        <f t="shared" si="231"/>
        <v>0</v>
      </c>
      <c r="G285" s="1308"/>
      <c r="H285" s="1309">
        <f>VLOOKUP(B279,REKAP_NILAI,22,FALSE)</f>
        <v>0</v>
      </c>
      <c r="I285" s="1371">
        <f t="shared" si="232"/>
        <v>0</v>
      </c>
      <c r="J285" s="1372">
        <f t="shared" si="233"/>
        <v>0</v>
      </c>
      <c r="K285" s="1373" t="str">
        <f t="shared" si="234"/>
        <v>1.33</v>
      </c>
      <c r="L285" s="1373" t="str">
        <f t="shared" si="235"/>
        <v>D+</v>
      </c>
      <c r="M285" s="1374" t="str">
        <f t="shared" si="236"/>
        <v>0</v>
      </c>
      <c r="N285" s="1311"/>
      <c r="O285" s="1312"/>
      <c r="P285" s="1312"/>
      <c r="Q285" s="1312"/>
      <c r="R285" s="1312"/>
      <c r="S285" s="1312"/>
      <c r="T285" s="1312"/>
      <c r="U285" s="1313"/>
      <c r="V285" s="1314"/>
      <c r="W285" s="1314"/>
      <c r="X285" s="1314"/>
      <c r="Y285" s="1314"/>
      <c r="Z285" s="1314"/>
      <c r="AA285" s="1315"/>
      <c r="AB285" s="1255"/>
      <c r="AC285" s="1256"/>
    </row>
    <row r="286" spans="1:29" ht="24.95" customHeight="1" x14ac:dyDescent="0.3">
      <c r="A286" s="1337"/>
      <c r="B286" s="1338"/>
      <c r="C286" s="1339" t="s">
        <v>149</v>
      </c>
      <c r="D286" s="1319">
        <v>35</v>
      </c>
      <c r="E286" s="1320"/>
      <c r="F286" s="1909"/>
      <c r="G286" s="1320"/>
      <c r="H286" s="1321">
        <f>AVERAGE(H279:H285)</f>
        <v>0</v>
      </c>
      <c r="I286" s="1375"/>
      <c r="J286" s="1376">
        <f>AVERAGE(J279:J285)</f>
        <v>0</v>
      </c>
      <c r="K286" s="1377" t="str">
        <f t="shared" ref="K286" si="237">IF(J286&gt;85,("4"),IF(J286&gt;80,("3.66"),IF(J286&gt;75,("3.33"),IF(J286&gt;70,("3.00"),IF(J286&gt;65,("2.66"),IF(J286&gt;60,("2.33"),IF(J286&gt;55,("2"),IF(J286&gt;50,("1.66"),"1.33"))))))))</f>
        <v>1.33</v>
      </c>
      <c r="L286" s="1377" t="str">
        <f t="shared" ref="L286" si="238">IF(J286&gt;85,("A"),IF(J286&gt;80,("A-"),IF(J286&gt;75,("B+"),IF(J286&gt;70,("B"),IF(J286&gt;65,("B-"),IF(J286&gt;60,("C+"),IF(J286&gt;55,("C"),IF(J286&gt;50,("C-"),"D+"))))))))</f>
        <v>D+</v>
      </c>
      <c r="M286" s="1378" t="str">
        <f t="shared" ref="M286" si="239">IF(J286&gt;80,("SB"),IF(J286&gt;65,("B"),IF(J286&gt;50,("C"),IF(J286&gt;0,("K"),"0"))))</f>
        <v>0</v>
      </c>
      <c r="N286" s="1347"/>
      <c r="O286" s="1348"/>
      <c r="P286" s="1348"/>
      <c r="Q286" s="1348"/>
      <c r="R286" s="1348"/>
      <c r="S286" s="1348"/>
      <c r="T286" s="1348"/>
      <c r="U286" s="1347"/>
      <c r="V286" s="1348"/>
      <c r="W286" s="1348"/>
      <c r="X286" s="1348"/>
      <c r="Y286" s="1348"/>
      <c r="Z286" s="1348"/>
      <c r="AA286" s="1349"/>
      <c r="AB286" s="1257"/>
      <c r="AC286" s="1258"/>
    </row>
    <row r="287" spans="1:29" ht="24.95" customHeight="1" thickBot="1" x14ac:dyDescent="0.3">
      <c r="A287" s="1325">
        <v>36</v>
      </c>
      <c r="B287" s="1326">
        <v>36</v>
      </c>
      <c r="C287" s="1327">
        <f>VLOOKUP(A287,data_siswa,4)</f>
        <v>0</v>
      </c>
      <c r="D287" s="1305" t="s">
        <v>10</v>
      </c>
      <c r="E287" s="1308">
        <f>VLOOKUP(A287,UHT_MAT,49,FALSE)</f>
        <v>0</v>
      </c>
      <c r="F287" s="1908">
        <f>E287*2</f>
        <v>0</v>
      </c>
      <c r="G287" s="1308"/>
      <c r="H287" s="1309">
        <f>VLOOKUP(B287,REKAP_NILAI,16,FALSE)</f>
        <v>0</v>
      </c>
      <c r="I287" s="1367">
        <f>F287+G287+H287</f>
        <v>0</v>
      </c>
      <c r="J287" s="1368">
        <f>(F287+G287+H287)/4</f>
        <v>0</v>
      </c>
      <c r="K287" s="1369" t="str">
        <f>IF(J287&gt;85,("4"),IF(J287&gt;80,("3.66"),IF(J287&gt;75,("3.33"),IF(J287&gt;70,("3.00"),IF(J287&gt;65,("2.66"),IF(J287&gt;60,("2.33"),IF(J287&gt;55,("2"),IF(J287&gt;50,("1.66"),"1.33"))))))))</f>
        <v>1.33</v>
      </c>
      <c r="L287" s="1369" t="str">
        <f>IF(J287&gt;85,("A"),IF(J287&gt;80,("A-"),IF(J287&gt;75,("B+"),IF(J287&gt;70,("B"),IF(J287&gt;65,("B-"),IF(J287&gt;60,("C+"),IF(J287&gt;55,("C"),IF(J287&gt;50,("C-"),"D+"))))))))</f>
        <v>D+</v>
      </c>
      <c r="M287" s="1370" t="str">
        <f>IF(J287&gt;80,("SB"),IF(J287&gt;65,("B"),IF(J287&gt;50,("C"),IF(J287&gt;0,("K"),"0"))))</f>
        <v>0</v>
      </c>
      <c r="N287" s="1343"/>
      <c r="O287" s="1344"/>
      <c r="P287" s="1344"/>
      <c r="Q287" s="1344"/>
      <c r="R287" s="1344"/>
      <c r="S287" s="1344"/>
      <c r="T287" s="1345"/>
      <c r="U287" s="1346"/>
      <c r="V287" s="1346"/>
      <c r="W287" s="1346"/>
      <c r="X287" s="1346"/>
      <c r="Y287" s="1346"/>
      <c r="Z287" s="1346"/>
      <c r="AA287" s="1346"/>
      <c r="AB287" s="1057">
        <f>J294</f>
        <v>0</v>
      </c>
      <c r="AC287" s="1194" t="str">
        <f>IF(AB287&gt;85,("A"),IF(AB287&gt;80,("A-"),IF(AB287&gt;75,("B+"),IF(AB287&gt;70,("B"),IF(AB287&gt;65,("B-"),IF(AB287&gt;60,("C+"),IF(AB287&gt;55,("C"),IF(AB287&gt;50,("C-"),"D+"))))))))</f>
        <v>D+</v>
      </c>
    </row>
    <row r="288" spans="1:29" ht="24.95" customHeight="1" x14ac:dyDescent="0.25">
      <c r="A288" s="1306"/>
      <c r="B288" s="683">
        <v>36</v>
      </c>
      <c r="C288" s="1310"/>
      <c r="D288" s="1305" t="s">
        <v>20</v>
      </c>
      <c r="E288" s="1308">
        <f>VLOOKUP(A287,UHT_MAT,50,FALSE)</f>
        <v>0</v>
      </c>
      <c r="F288" s="1908">
        <f t="shared" ref="F288:F293" si="240">E288*2</f>
        <v>0</v>
      </c>
      <c r="G288" s="1308"/>
      <c r="H288" s="1309">
        <f>VLOOKUP(B287,REKAP_NILAI,17,FALSE)</f>
        <v>0</v>
      </c>
      <c r="I288" s="1371">
        <f t="shared" ref="I288:I293" si="241">F288+G288+H288</f>
        <v>0</v>
      </c>
      <c r="J288" s="1372">
        <f t="shared" ref="J288:J293" si="242">(F288+G288+H288)/4</f>
        <v>0</v>
      </c>
      <c r="K288" s="1373" t="str">
        <f t="shared" ref="K288:K294" si="243">IF(J288&gt;85,("4"),IF(J288&gt;80,("3.66"),IF(J288&gt;75,("3.33"),IF(J288&gt;70,("3.00"),IF(J288&gt;65,("2.66"),IF(J288&gt;60,("2.33"),IF(J288&gt;55,("2"),IF(J288&gt;50,("1.66"),"1.33"))))))))</f>
        <v>1.33</v>
      </c>
      <c r="L288" s="1373" t="str">
        <f t="shared" ref="L288:L294" si="244">IF(J288&gt;85,("A"),IF(J288&gt;80,("A-"),IF(J288&gt;75,("B+"),IF(J288&gt;70,("B"),IF(J288&gt;65,("B-"),IF(J288&gt;60,("C+"),IF(J288&gt;55,("C"),IF(J288&gt;50,("C-"),"D+"))))))))</f>
        <v>D+</v>
      </c>
      <c r="M288" s="1374" t="str">
        <f t="shared" ref="M288:M294" si="245">IF(J288&gt;80,("SB"),IF(J288&gt;65,("B"),IF(J288&gt;50,("C"),IF(J288&gt;0,("K"),"0"))))</f>
        <v>0</v>
      </c>
      <c r="N288" s="1332"/>
      <c r="O288" s="1333"/>
      <c r="P288" s="1333"/>
      <c r="Q288" s="1333"/>
      <c r="R288" s="1333"/>
      <c r="S288" s="1333"/>
      <c r="T288" s="1333"/>
      <c r="U288" s="1334"/>
      <c r="V288" s="1335"/>
      <c r="W288" s="1335"/>
      <c r="X288" s="1335"/>
      <c r="Y288" s="1335"/>
      <c r="Z288" s="1335"/>
      <c r="AA288" s="1336"/>
      <c r="AB288" s="1251"/>
      <c r="AC288" s="1252"/>
    </row>
    <row r="289" spans="1:29" ht="24.95" customHeight="1" x14ac:dyDescent="0.25">
      <c r="A289" s="1306"/>
      <c r="B289" s="683">
        <v>36</v>
      </c>
      <c r="C289" s="1310"/>
      <c r="D289" s="1305" t="s">
        <v>19</v>
      </c>
      <c r="E289" s="1308">
        <f>VLOOKUP(A287,UHT_MAT,51,FALSE)</f>
        <v>0</v>
      </c>
      <c r="F289" s="1908">
        <f t="shared" si="240"/>
        <v>0</v>
      </c>
      <c r="G289" s="1308"/>
      <c r="H289" s="1309">
        <f>VLOOKUP(B287,REKAP_NILAI,18,FALSE)</f>
        <v>0</v>
      </c>
      <c r="I289" s="1371">
        <f t="shared" si="241"/>
        <v>0</v>
      </c>
      <c r="J289" s="1372">
        <f t="shared" si="242"/>
        <v>0</v>
      </c>
      <c r="K289" s="1373" t="str">
        <f t="shared" si="243"/>
        <v>1.33</v>
      </c>
      <c r="L289" s="1373" t="str">
        <f t="shared" si="244"/>
        <v>D+</v>
      </c>
      <c r="M289" s="1374" t="str">
        <f t="shared" si="245"/>
        <v>0</v>
      </c>
      <c r="N289" s="1311"/>
      <c r="O289" s="1312"/>
      <c r="P289" s="1312"/>
      <c r="Q289" s="1312"/>
      <c r="R289" s="1312"/>
      <c r="S289" s="1312"/>
      <c r="T289" s="1312"/>
      <c r="U289" s="1313"/>
      <c r="V289" s="1314"/>
      <c r="W289" s="1314"/>
      <c r="X289" s="1314"/>
      <c r="Y289" s="1314"/>
      <c r="Z289" s="1314"/>
      <c r="AA289" s="1315"/>
      <c r="AB289" s="1253"/>
      <c r="AC289" s="1254"/>
    </row>
    <row r="290" spans="1:29" ht="24.95" customHeight="1" x14ac:dyDescent="0.25">
      <c r="A290" s="1306"/>
      <c r="B290" s="683">
        <v>36</v>
      </c>
      <c r="C290" s="1310"/>
      <c r="D290" s="1305" t="s">
        <v>181</v>
      </c>
      <c r="E290" s="1308">
        <f>VLOOKUP(A287,UHT_MAT,52,FALSE)</f>
        <v>0</v>
      </c>
      <c r="F290" s="1908">
        <f t="shared" si="240"/>
        <v>0</v>
      </c>
      <c r="G290" s="1308"/>
      <c r="H290" s="1309">
        <f>VLOOKUP(B287,REKAP_NILAI,19,FALSE)</f>
        <v>0</v>
      </c>
      <c r="I290" s="1371">
        <f t="shared" si="241"/>
        <v>0</v>
      </c>
      <c r="J290" s="1372">
        <f t="shared" si="242"/>
        <v>0</v>
      </c>
      <c r="K290" s="1373" t="str">
        <f t="shared" si="243"/>
        <v>1.33</v>
      </c>
      <c r="L290" s="1373" t="str">
        <f t="shared" si="244"/>
        <v>D+</v>
      </c>
      <c r="M290" s="1374" t="str">
        <f t="shared" si="245"/>
        <v>0</v>
      </c>
      <c r="N290" s="1311"/>
      <c r="O290" s="1312"/>
      <c r="P290" s="1312"/>
      <c r="Q290" s="1312"/>
      <c r="R290" s="1312"/>
      <c r="S290" s="1312"/>
      <c r="T290" s="1312"/>
      <c r="U290" s="1313"/>
      <c r="V290" s="1314"/>
      <c r="W290" s="1314"/>
      <c r="X290" s="1314"/>
      <c r="Y290" s="1314"/>
      <c r="Z290" s="1314"/>
      <c r="AA290" s="1315"/>
      <c r="AB290" s="1253"/>
      <c r="AC290" s="1254"/>
    </row>
    <row r="291" spans="1:29" ht="24.95" customHeight="1" x14ac:dyDescent="0.25">
      <c r="A291" s="1306"/>
      <c r="B291" s="683">
        <v>36</v>
      </c>
      <c r="C291" s="1310"/>
      <c r="D291" s="1305" t="s">
        <v>182</v>
      </c>
      <c r="E291" s="1308">
        <f>VLOOKUP(A287,UHT_MAT,53,FALSE)</f>
        <v>0</v>
      </c>
      <c r="F291" s="1908">
        <f t="shared" si="240"/>
        <v>0</v>
      </c>
      <c r="G291" s="1308"/>
      <c r="H291" s="1309">
        <f>VLOOKUP(B287,REKAP_NILAI,20,FALSE)</f>
        <v>0</v>
      </c>
      <c r="I291" s="1371">
        <f t="shared" si="241"/>
        <v>0</v>
      </c>
      <c r="J291" s="1372">
        <f t="shared" si="242"/>
        <v>0</v>
      </c>
      <c r="K291" s="1373" t="str">
        <f t="shared" si="243"/>
        <v>1.33</v>
      </c>
      <c r="L291" s="1373" t="str">
        <f t="shared" si="244"/>
        <v>D+</v>
      </c>
      <c r="M291" s="1374" t="str">
        <f t="shared" si="245"/>
        <v>0</v>
      </c>
      <c r="N291" s="1311"/>
      <c r="O291" s="1312"/>
      <c r="P291" s="1312"/>
      <c r="Q291" s="1312"/>
      <c r="R291" s="1312"/>
      <c r="S291" s="1312"/>
      <c r="T291" s="1312"/>
      <c r="U291" s="1313"/>
      <c r="V291" s="1314"/>
      <c r="W291" s="1314"/>
      <c r="X291" s="1314"/>
      <c r="Y291" s="1314"/>
      <c r="Z291" s="1314"/>
      <c r="AA291" s="1315"/>
      <c r="AB291" s="1253"/>
      <c r="AC291" s="1254"/>
    </row>
    <row r="292" spans="1:29" ht="24.95" customHeight="1" x14ac:dyDescent="0.25">
      <c r="A292" s="1306"/>
      <c r="B292" s="683">
        <v>36</v>
      </c>
      <c r="C292" s="1310"/>
      <c r="D292" s="1305" t="s">
        <v>566</v>
      </c>
      <c r="E292" s="1308">
        <f>VLOOKUP(A287,UHT_MAT,54,FALSE)</f>
        <v>0</v>
      </c>
      <c r="F292" s="1908">
        <f t="shared" si="240"/>
        <v>0</v>
      </c>
      <c r="G292" s="1308"/>
      <c r="H292" s="1309">
        <f>VLOOKUP(B287,REKAP_NILAI,21,FALSE)</f>
        <v>0</v>
      </c>
      <c r="I292" s="1371">
        <f t="shared" si="241"/>
        <v>0</v>
      </c>
      <c r="J292" s="1372">
        <f t="shared" si="242"/>
        <v>0</v>
      </c>
      <c r="K292" s="1373" t="str">
        <f t="shared" si="243"/>
        <v>1.33</v>
      </c>
      <c r="L292" s="1373" t="str">
        <f t="shared" si="244"/>
        <v>D+</v>
      </c>
      <c r="M292" s="1374" t="str">
        <f t="shared" si="245"/>
        <v>0</v>
      </c>
      <c r="N292" s="1311"/>
      <c r="O292" s="1312"/>
      <c r="P292" s="1312"/>
      <c r="Q292" s="1312"/>
      <c r="R292" s="1312"/>
      <c r="S292" s="1312"/>
      <c r="T292" s="1312"/>
      <c r="U292" s="1313"/>
      <c r="V292" s="1314"/>
      <c r="W292" s="1314"/>
      <c r="X292" s="1314"/>
      <c r="Y292" s="1314"/>
      <c r="Z292" s="1314"/>
      <c r="AA292" s="1315"/>
      <c r="AB292" s="1253"/>
      <c r="AC292" s="1254"/>
    </row>
    <row r="293" spans="1:29" ht="24.95" customHeight="1" x14ac:dyDescent="0.25">
      <c r="A293" s="1306"/>
      <c r="B293" s="683">
        <v>36</v>
      </c>
      <c r="C293" s="1310"/>
      <c r="D293" s="1305" t="s">
        <v>567</v>
      </c>
      <c r="E293" s="1308">
        <f>VLOOKUP(A287,UHT_MAT,55,FALSE)</f>
        <v>0</v>
      </c>
      <c r="F293" s="1908">
        <f t="shared" si="240"/>
        <v>0</v>
      </c>
      <c r="G293" s="1308"/>
      <c r="H293" s="1309">
        <f>VLOOKUP(B287,REKAP_NILAI,22,FALSE)</f>
        <v>0</v>
      </c>
      <c r="I293" s="1371">
        <f t="shared" si="241"/>
        <v>0</v>
      </c>
      <c r="J293" s="1372">
        <f t="shared" si="242"/>
        <v>0</v>
      </c>
      <c r="K293" s="1373" t="str">
        <f t="shared" si="243"/>
        <v>1.33</v>
      </c>
      <c r="L293" s="1373" t="str">
        <f t="shared" si="244"/>
        <v>D+</v>
      </c>
      <c r="M293" s="1374" t="str">
        <f t="shared" si="245"/>
        <v>0</v>
      </c>
      <c r="N293" s="1311"/>
      <c r="O293" s="1312"/>
      <c r="P293" s="1312"/>
      <c r="Q293" s="1312"/>
      <c r="R293" s="1312"/>
      <c r="S293" s="1312"/>
      <c r="T293" s="1312"/>
      <c r="U293" s="1313"/>
      <c r="V293" s="1314"/>
      <c r="W293" s="1314"/>
      <c r="X293" s="1314"/>
      <c r="Y293" s="1314"/>
      <c r="Z293" s="1314"/>
      <c r="AA293" s="1315"/>
      <c r="AB293" s="1255"/>
      <c r="AC293" s="1256"/>
    </row>
    <row r="294" spans="1:29" ht="24.95" customHeight="1" x14ac:dyDescent="0.3">
      <c r="A294" s="1337"/>
      <c r="B294" s="1338"/>
      <c r="C294" s="1339" t="s">
        <v>149</v>
      </c>
      <c r="D294" s="1319">
        <v>36</v>
      </c>
      <c r="E294" s="1320"/>
      <c r="F294" s="1909"/>
      <c r="G294" s="1320"/>
      <c r="H294" s="1321">
        <f>AVERAGE(H287:H293)</f>
        <v>0</v>
      </c>
      <c r="I294" s="1375"/>
      <c r="J294" s="1376">
        <f>AVERAGE(J287:J293)</f>
        <v>0</v>
      </c>
      <c r="K294" s="1377" t="str">
        <f t="shared" si="243"/>
        <v>1.33</v>
      </c>
      <c r="L294" s="1377" t="str">
        <f t="shared" si="244"/>
        <v>D+</v>
      </c>
      <c r="M294" s="1378" t="str">
        <f t="shared" si="245"/>
        <v>0</v>
      </c>
      <c r="N294" s="1347"/>
      <c r="O294" s="1348"/>
      <c r="P294" s="1348"/>
      <c r="Q294" s="1348"/>
      <c r="R294" s="1348"/>
      <c r="S294" s="1348"/>
      <c r="T294" s="1348"/>
      <c r="U294" s="1347"/>
      <c r="V294" s="1348"/>
      <c r="W294" s="1348"/>
      <c r="X294" s="1348"/>
      <c r="Y294" s="1348"/>
      <c r="Z294" s="1348"/>
      <c r="AA294" s="1349"/>
      <c r="AB294" s="1257"/>
      <c r="AC294" s="1258"/>
    </row>
    <row r="295" spans="1:29" ht="24.95" customHeight="1" thickBot="1" x14ac:dyDescent="0.3">
      <c r="A295" s="1325">
        <v>37</v>
      </c>
      <c r="B295" s="1326">
        <v>37</v>
      </c>
      <c r="C295" s="1327">
        <f>VLOOKUP(A295,data_siswa,4)</f>
        <v>0</v>
      </c>
      <c r="D295" s="1305" t="s">
        <v>10</v>
      </c>
      <c r="E295" s="1308">
        <f>VLOOKUP(A295,UHT_MAT,49,FALSE)</f>
        <v>0</v>
      </c>
      <c r="F295" s="1908">
        <f>E295*2</f>
        <v>0</v>
      </c>
      <c r="G295" s="1308"/>
      <c r="H295" s="1309">
        <f>VLOOKUP(B295,REKAP_NILAI,16,FALSE)</f>
        <v>0</v>
      </c>
      <c r="I295" s="1367">
        <f>F295+G295+H295</f>
        <v>0</v>
      </c>
      <c r="J295" s="1368">
        <f>(F295+G295+H295)/4</f>
        <v>0</v>
      </c>
      <c r="K295" s="1369" t="str">
        <f>IF(J295&gt;85,("4"),IF(J295&gt;80,("3.66"),IF(J295&gt;75,("3.33"),IF(J295&gt;70,("3.00"),IF(J295&gt;65,("2.66"),IF(J295&gt;60,("2.33"),IF(J295&gt;55,("2"),IF(J295&gt;50,("1.66"),"1.33"))))))))</f>
        <v>1.33</v>
      </c>
      <c r="L295" s="1369" t="str">
        <f>IF(J295&gt;85,("A"),IF(J295&gt;80,("A-"),IF(J295&gt;75,("B+"),IF(J295&gt;70,("B"),IF(J295&gt;65,("B-"),IF(J295&gt;60,("C+"),IF(J295&gt;55,("C"),IF(J295&gt;50,("C-"),"D+"))))))))</f>
        <v>D+</v>
      </c>
      <c r="M295" s="1370" t="str">
        <f>IF(J295&gt;80,("SB"),IF(J295&gt;65,("B"),IF(J295&gt;50,("C"),IF(J295&gt;0,("K"),"0"))))</f>
        <v>0</v>
      </c>
      <c r="N295" s="1343"/>
      <c r="O295" s="1344"/>
      <c r="P295" s="1344"/>
      <c r="Q295" s="1344"/>
      <c r="R295" s="1344"/>
      <c r="S295" s="1344"/>
      <c r="T295" s="1345"/>
      <c r="U295" s="1346"/>
      <c r="V295" s="1346"/>
      <c r="W295" s="1346"/>
      <c r="X295" s="1346"/>
      <c r="Y295" s="1346"/>
      <c r="Z295" s="1346"/>
      <c r="AA295" s="1346"/>
      <c r="AB295" s="1057">
        <f>J302</f>
        <v>0</v>
      </c>
      <c r="AC295" s="1194" t="str">
        <f>IF(AB295&gt;85,("A"),IF(AB295&gt;80,("A-"),IF(AB295&gt;75,("B+"),IF(AB295&gt;70,("B"),IF(AB295&gt;65,("B-"),IF(AB295&gt;60,("C+"),IF(AB295&gt;55,("C"),IF(AB295&gt;50,("C-"),"D+"))))))))</f>
        <v>D+</v>
      </c>
    </row>
    <row r="296" spans="1:29" ht="24.95" customHeight="1" x14ac:dyDescent="0.25">
      <c r="A296" s="1306"/>
      <c r="B296" s="683">
        <v>37</v>
      </c>
      <c r="C296" s="1310"/>
      <c r="D296" s="1305" t="s">
        <v>20</v>
      </c>
      <c r="E296" s="1308">
        <f>VLOOKUP(A295,UHT_MAT,50,FALSE)</f>
        <v>0</v>
      </c>
      <c r="F296" s="1908">
        <f t="shared" ref="F296:F301" si="246">E296*2</f>
        <v>0</v>
      </c>
      <c r="G296" s="1308"/>
      <c r="H296" s="1309">
        <f>VLOOKUP(B295,REKAP_NILAI,17,FALSE)</f>
        <v>0</v>
      </c>
      <c r="I296" s="1371">
        <f t="shared" ref="I296:I301" si="247">F296+G296+H296</f>
        <v>0</v>
      </c>
      <c r="J296" s="1372">
        <f t="shared" ref="J296:J301" si="248">(F296+G296+H296)/4</f>
        <v>0</v>
      </c>
      <c r="K296" s="1373" t="str">
        <f t="shared" ref="K296:K302" si="249">IF(J296&gt;85,("4"),IF(J296&gt;80,("3.66"),IF(J296&gt;75,("3.33"),IF(J296&gt;70,("3.00"),IF(J296&gt;65,("2.66"),IF(J296&gt;60,("2.33"),IF(J296&gt;55,("2"),IF(J296&gt;50,("1.66"),"1.33"))))))))</f>
        <v>1.33</v>
      </c>
      <c r="L296" s="1373" t="str">
        <f t="shared" ref="L296:L302" si="250">IF(J296&gt;85,("A"),IF(J296&gt;80,("A-"),IF(J296&gt;75,("B+"),IF(J296&gt;70,("B"),IF(J296&gt;65,("B-"),IF(J296&gt;60,("C+"),IF(J296&gt;55,("C"),IF(J296&gt;50,("C-"),"D+"))))))))</f>
        <v>D+</v>
      </c>
      <c r="M296" s="1374" t="str">
        <f t="shared" ref="M296:M302" si="251">IF(J296&gt;80,("SB"),IF(J296&gt;65,("B"),IF(J296&gt;50,("C"),IF(J296&gt;0,("K"),"0"))))</f>
        <v>0</v>
      </c>
      <c r="N296" s="1332"/>
      <c r="O296" s="1333"/>
      <c r="P296" s="1333"/>
      <c r="Q296" s="1333"/>
      <c r="R296" s="1333"/>
      <c r="S296" s="1333"/>
      <c r="T296" s="1333"/>
      <c r="U296" s="1334"/>
      <c r="V296" s="1335"/>
      <c r="W296" s="1335"/>
      <c r="X296" s="1335"/>
      <c r="Y296" s="1335"/>
      <c r="Z296" s="1335"/>
      <c r="AA296" s="1336"/>
      <c r="AB296" s="1251"/>
      <c r="AC296" s="1252"/>
    </row>
    <row r="297" spans="1:29" ht="24.95" customHeight="1" x14ac:dyDescent="0.25">
      <c r="A297" s="1306"/>
      <c r="B297" s="683">
        <v>37</v>
      </c>
      <c r="C297" s="1310"/>
      <c r="D297" s="1305" t="s">
        <v>19</v>
      </c>
      <c r="E297" s="1308">
        <f>VLOOKUP(A295,UHT_MAT,51,FALSE)</f>
        <v>0</v>
      </c>
      <c r="F297" s="1908">
        <f t="shared" si="246"/>
        <v>0</v>
      </c>
      <c r="G297" s="1308"/>
      <c r="H297" s="1309">
        <f>VLOOKUP(B295,REKAP_NILAI,18,FALSE)</f>
        <v>0</v>
      </c>
      <c r="I297" s="1371">
        <f t="shared" si="247"/>
        <v>0</v>
      </c>
      <c r="J297" s="1372">
        <f t="shared" si="248"/>
        <v>0</v>
      </c>
      <c r="K297" s="1373" t="str">
        <f t="shared" si="249"/>
        <v>1.33</v>
      </c>
      <c r="L297" s="1373" t="str">
        <f t="shared" si="250"/>
        <v>D+</v>
      </c>
      <c r="M297" s="1374" t="str">
        <f t="shared" si="251"/>
        <v>0</v>
      </c>
      <c r="N297" s="1311"/>
      <c r="O297" s="1312"/>
      <c r="P297" s="1312"/>
      <c r="Q297" s="1312"/>
      <c r="R297" s="1312"/>
      <c r="S297" s="1312"/>
      <c r="T297" s="1312"/>
      <c r="U297" s="1313"/>
      <c r="V297" s="1314"/>
      <c r="W297" s="1314"/>
      <c r="X297" s="1314"/>
      <c r="Y297" s="1314"/>
      <c r="Z297" s="1314"/>
      <c r="AA297" s="1315"/>
      <c r="AB297" s="1253"/>
      <c r="AC297" s="1254"/>
    </row>
    <row r="298" spans="1:29" ht="24.95" customHeight="1" x14ac:dyDescent="0.25">
      <c r="A298" s="1306"/>
      <c r="B298" s="683">
        <v>37</v>
      </c>
      <c r="C298" s="1310"/>
      <c r="D298" s="1305" t="s">
        <v>181</v>
      </c>
      <c r="E298" s="1308">
        <f>VLOOKUP(A295,UHT_MAT,52,FALSE)</f>
        <v>0</v>
      </c>
      <c r="F298" s="1908">
        <f t="shared" si="246"/>
        <v>0</v>
      </c>
      <c r="G298" s="1308"/>
      <c r="H298" s="1309">
        <f>VLOOKUP(B295,REKAP_NILAI,19,FALSE)</f>
        <v>0</v>
      </c>
      <c r="I298" s="1371">
        <f t="shared" si="247"/>
        <v>0</v>
      </c>
      <c r="J298" s="1372">
        <f t="shared" si="248"/>
        <v>0</v>
      </c>
      <c r="K298" s="1373" t="str">
        <f t="shared" si="249"/>
        <v>1.33</v>
      </c>
      <c r="L298" s="1373" t="str">
        <f t="shared" si="250"/>
        <v>D+</v>
      </c>
      <c r="M298" s="1374" t="str">
        <f t="shared" si="251"/>
        <v>0</v>
      </c>
      <c r="N298" s="1311"/>
      <c r="O298" s="1312"/>
      <c r="P298" s="1312"/>
      <c r="Q298" s="1312"/>
      <c r="R298" s="1312"/>
      <c r="S298" s="1312"/>
      <c r="T298" s="1312"/>
      <c r="U298" s="1313"/>
      <c r="V298" s="1314"/>
      <c r="W298" s="1314"/>
      <c r="X298" s="1314"/>
      <c r="Y298" s="1314"/>
      <c r="Z298" s="1314"/>
      <c r="AA298" s="1315"/>
      <c r="AB298" s="1253"/>
      <c r="AC298" s="1254"/>
    </row>
    <row r="299" spans="1:29" ht="24.95" customHeight="1" x14ac:dyDescent="0.25">
      <c r="A299" s="1306"/>
      <c r="B299" s="683">
        <v>37</v>
      </c>
      <c r="C299" s="1310"/>
      <c r="D299" s="1305" t="s">
        <v>182</v>
      </c>
      <c r="E299" s="1308">
        <f>VLOOKUP(A295,UHT_MAT,53,FALSE)</f>
        <v>0</v>
      </c>
      <c r="F299" s="1908">
        <f t="shared" si="246"/>
        <v>0</v>
      </c>
      <c r="G299" s="1308"/>
      <c r="H299" s="1309">
        <f>VLOOKUP(B295,REKAP_NILAI,20,FALSE)</f>
        <v>0</v>
      </c>
      <c r="I299" s="1371">
        <f t="shared" si="247"/>
        <v>0</v>
      </c>
      <c r="J299" s="1372">
        <f t="shared" si="248"/>
        <v>0</v>
      </c>
      <c r="K299" s="1373" t="str">
        <f t="shared" si="249"/>
        <v>1.33</v>
      </c>
      <c r="L299" s="1373" t="str">
        <f t="shared" si="250"/>
        <v>D+</v>
      </c>
      <c r="M299" s="1374" t="str">
        <f t="shared" si="251"/>
        <v>0</v>
      </c>
      <c r="N299" s="1311"/>
      <c r="O299" s="1312"/>
      <c r="P299" s="1312"/>
      <c r="Q299" s="1312"/>
      <c r="R299" s="1312"/>
      <c r="S299" s="1312"/>
      <c r="T299" s="1312"/>
      <c r="U299" s="1313"/>
      <c r="V299" s="1314"/>
      <c r="W299" s="1314"/>
      <c r="X299" s="1314"/>
      <c r="Y299" s="1314"/>
      <c r="Z299" s="1314"/>
      <c r="AA299" s="1315"/>
      <c r="AB299" s="1253"/>
      <c r="AC299" s="1254"/>
    </row>
    <row r="300" spans="1:29" ht="24.95" customHeight="1" x14ac:dyDescent="0.25">
      <c r="A300" s="1306"/>
      <c r="B300" s="683">
        <v>37</v>
      </c>
      <c r="C300" s="1310"/>
      <c r="D300" s="1305" t="s">
        <v>566</v>
      </c>
      <c r="E300" s="1308">
        <f>VLOOKUP(A295,UHT_MAT,54,FALSE)</f>
        <v>0</v>
      </c>
      <c r="F300" s="1908">
        <f t="shared" si="246"/>
        <v>0</v>
      </c>
      <c r="G300" s="1308"/>
      <c r="H300" s="1309">
        <f>VLOOKUP(B295,REKAP_NILAI,21,FALSE)</f>
        <v>0</v>
      </c>
      <c r="I300" s="1371">
        <f t="shared" si="247"/>
        <v>0</v>
      </c>
      <c r="J300" s="1372">
        <f t="shared" si="248"/>
        <v>0</v>
      </c>
      <c r="K300" s="1373" t="str">
        <f t="shared" si="249"/>
        <v>1.33</v>
      </c>
      <c r="L300" s="1373" t="str">
        <f t="shared" si="250"/>
        <v>D+</v>
      </c>
      <c r="M300" s="1374" t="str">
        <f t="shared" si="251"/>
        <v>0</v>
      </c>
      <c r="N300" s="1311"/>
      <c r="O300" s="1312"/>
      <c r="P300" s="1312"/>
      <c r="Q300" s="1312"/>
      <c r="R300" s="1312"/>
      <c r="S300" s="1312"/>
      <c r="T300" s="1312"/>
      <c r="U300" s="1313"/>
      <c r="V300" s="1314"/>
      <c r="W300" s="1314"/>
      <c r="X300" s="1314"/>
      <c r="Y300" s="1314"/>
      <c r="Z300" s="1314"/>
      <c r="AA300" s="1315"/>
      <c r="AB300" s="1253"/>
      <c r="AC300" s="1254"/>
    </row>
    <row r="301" spans="1:29" ht="24.95" customHeight="1" x14ac:dyDescent="0.25">
      <c r="A301" s="1306"/>
      <c r="B301" s="683">
        <v>37</v>
      </c>
      <c r="C301" s="1310"/>
      <c r="D301" s="1358" t="s">
        <v>567</v>
      </c>
      <c r="E301" s="1308">
        <f>VLOOKUP(A295,UHT_MAT,55,FALSE)</f>
        <v>0</v>
      </c>
      <c r="F301" s="1908">
        <f t="shared" si="246"/>
        <v>0</v>
      </c>
      <c r="G301" s="1308"/>
      <c r="H301" s="1309">
        <f>VLOOKUP(B295,REKAP_NILAI,22,FALSE)</f>
        <v>0</v>
      </c>
      <c r="I301" s="1371">
        <f t="shared" si="247"/>
        <v>0</v>
      </c>
      <c r="J301" s="1372">
        <f t="shared" si="248"/>
        <v>0</v>
      </c>
      <c r="K301" s="1373" t="str">
        <f t="shared" si="249"/>
        <v>1.33</v>
      </c>
      <c r="L301" s="1373" t="str">
        <f t="shared" si="250"/>
        <v>D+</v>
      </c>
      <c r="M301" s="1374" t="str">
        <f t="shared" si="251"/>
        <v>0</v>
      </c>
      <c r="N301" s="1311"/>
      <c r="O301" s="1312"/>
      <c r="P301" s="1312"/>
      <c r="Q301" s="1312"/>
      <c r="R301" s="1312"/>
      <c r="S301" s="1312"/>
      <c r="T301" s="1312"/>
      <c r="U301" s="1313"/>
      <c r="V301" s="1314"/>
      <c r="W301" s="1314"/>
      <c r="X301" s="1314"/>
      <c r="Y301" s="1314"/>
      <c r="Z301" s="1314"/>
      <c r="AA301" s="1315"/>
      <c r="AB301" s="1255"/>
      <c r="AC301" s="1256"/>
    </row>
    <row r="302" spans="1:29" ht="24.95" customHeight="1" x14ac:dyDescent="0.3">
      <c r="A302" s="1337"/>
      <c r="B302" s="1338"/>
      <c r="C302" s="1339" t="s">
        <v>149</v>
      </c>
      <c r="D302" s="1319">
        <v>37</v>
      </c>
      <c r="E302" s="1320"/>
      <c r="F302" s="1909"/>
      <c r="G302" s="1320"/>
      <c r="H302" s="1321">
        <f>AVERAGE(H295:H301)</f>
        <v>0</v>
      </c>
      <c r="I302" s="1375"/>
      <c r="J302" s="1376">
        <f>AVERAGE(J295:J301)</f>
        <v>0</v>
      </c>
      <c r="K302" s="1377" t="str">
        <f t="shared" si="249"/>
        <v>1.33</v>
      </c>
      <c r="L302" s="1377" t="str">
        <f t="shared" si="250"/>
        <v>D+</v>
      </c>
      <c r="M302" s="1378" t="str">
        <f t="shared" si="251"/>
        <v>0</v>
      </c>
      <c r="N302" s="1347"/>
      <c r="O302" s="1348"/>
      <c r="P302" s="1348"/>
      <c r="Q302" s="1348"/>
      <c r="R302" s="1348"/>
      <c r="S302" s="1348"/>
      <c r="T302" s="1348"/>
      <c r="U302" s="1347"/>
      <c r="V302" s="1348"/>
      <c r="W302" s="1348"/>
      <c r="X302" s="1348"/>
      <c r="Y302" s="1348"/>
      <c r="Z302" s="1348"/>
      <c r="AA302" s="1349"/>
      <c r="AB302" s="1257"/>
      <c r="AC302" s="1258"/>
    </row>
    <row r="303" spans="1:29" ht="24.95" customHeight="1" thickBot="1" x14ac:dyDescent="0.3">
      <c r="A303" s="1325">
        <v>38</v>
      </c>
      <c r="B303" s="1326">
        <v>38</v>
      </c>
      <c r="C303" s="1327">
        <f>VLOOKUP(A303,data_siswa,4)</f>
        <v>0</v>
      </c>
      <c r="D303" s="1305" t="s">
        <v>10</v>
      </c>
      <c r="E303" s="1308">
        <f>VLOOKUP(A303,UHT_MAT,49,FALSE)</f>
        <v>0</v>
      </c>
      <c r="F303" s="1908">
        <f>E303*2</f>
        <v>0</v>
      </c>
      <c r="G303" s="1308"/>
      <c r="H303" s="1309">
        <f>VLOOKUP(B303,REKAP_NILAI,16,FALSE)</f>
        <v>0</v>
      </c>
      <c r="I303" s="1367">
        <f>F303+G303+H303</f>
        <v>0</v>
      </c>
      <c r="J303" s="1368">
        <f>(F303+G303+H303)/4</f>
        <v>0</v>
      </c>
      <c r="K303" s="1369" t="str">
        <f>IF(J303&gt;85,("4"),IF(J303&gt;80,("3.66"),IF(J303&gt;75,("3.33"),IF(J303&gt;70,("3.00"),IF(J303&gt;65,("2.66"),IF(J303&gt;60,("2.33"),IF(J303&gt;55,("2"),IF(J303&gt;50,("1.66"),"1.33"))))))))</f>
        <v>1.33</v>
      </c>
      <c r="L303" s="1369" t="str">
        <f>IF(J303&gt;85,("A"),IF(J303&gt;80,("A-"),IF(J303&gt;75,("B+"),IF(J303&gt;70,("B"),IF(J303&gt;65,("B-"),IF(J303&gt;60,("C+"),IF(J303&gt;55,("C"),IF(J303&gt;50,("C-"),"D+"))))))))</f>
        <v>D+</v>
      </c>
      <c r="M303" s="1370" t="str">
        <f>IF(J303&gt;80,("SB"),IF(J303&gt;65,("B"),IF(J303&gt;50,("C"),IF(J303&gt;0,("K"),"0"))))</f>
        <v>0</v>
      </c>
      <c r="N303" s="1343"/>
      <c r="O303" s="1344"/>
      <c r="P303" s="1344"/>
      <c r="Q303" s="1344"/>
      <c r="R303" s="1344"/>
      <c r="S303" s="1344"/>
      <c r="T303" s="1345"/>
      <c r="U303" s="1346"/>
      <c r="V303" s="1346"/>
      <c r="W303" s="1346"/>
      <c r="X303" s="1346"/>
      <c r="Y303" s="1346"/>
      <c r="Z303" s="1346"/>
      <c r="AA303" s="1346"/>
      <c r="AB303" s="1057">
        <f>J310</f>
        <v>0</v>
      </c>
      <c r="AC303" s="1194" t="str">
        <f>IF(AB303&gt;85,("A"),IF(AB303&gt;80,("A-"),IF(AB303&gt;75,("B+"),IF(AB303&gt;70,("B"),IF(AB303&gt;65,("B-"),IF(AB303&gt;60,("C+"),IF(AB303&gt;55,("C"),IF(AB303&gt;50,("C-"),"D+"))))))))</f>
        <v>D+</v>
      </c>
    </row>
    <row r="304" spans="1:29" ht="24.95" customHeight="1" x14ac:dyDescent="0.25">
      <c r="A304" s="1306"/>
      <c r="B304" s="683">
        <v>38</v>
      </c>
      <c r="C304" s="1310"/>
      <c r="D304" s="1305" t="s">
        <v>20</v>
      </c>
      <c r="E304" s="1308">
        <f>VLOOKUP(A303,UHT_MAT,50,FALSE)</f>
        <v>0</v>
      </c>
      <c r="F304" s="1908">
        <f t="shared" ref="F304:F309" si="252">E304*2</f>
        <v>0</v>
      </c>
      <c r="G304" s="1308"/>
      <c r="H304" s="1309">
        <f>VLOOKUP(B303,REKAP_NILAI,17,FALSE)</f>
        <v>0</v>
      </c>
      <c r="I304" s="1371">
        <f t="shared" ref="I304:I309" si="253">F304+G304+H304</f>
        <v>0</v>
      </c>
      <c r="J304" s="1372">
        <f t="shared" ref="J304:J309" si="254">(F304+G304+H304)/4</f>
        <v>0</v>
      </c>
      <c r="K304" s="1373" t="str">
        <f t="shared" ref="K304:K310" si="255">IF(J304&gt;85,("4"),IF(J304&gt;80,("3.66"),IF(J304&gt;75,("3.33"),IF(J304&gt;70,("3.00"),IF(J304&gt;65,("2.66"),IF(J304&gt;60,("2.33"),IF(J304&gt;55,("2"),IF(J304&gt;50,("1.66"),"1.33"))))))))</f>
        <v>1.33</v>
      </c>
      <c r="L304" s="1373" t="str">
        <f t="shared" ref="L304:L310" si="256">IF(J304&gt;85,("A"),IF(J304&gt;80,("A-"),IF(J304&gt;75,("B+"),IF(J304&gt;70,("B"),IF(J304&gt;65,("B-"),IF(J304&gt;60,("C+"),IF(J304&gt;55,("C"),IF(J304&gt;50,("C-"),"D+"))))))))</f>
        <v>D+</v>
      </c>
      <c r="M304" s="1374" t="str">
        <f t="shared" ref="M304:M310" si="257">IF(J304&gt;80,("SB"),IF(J304&gt;65,("B"),IF(J304&gt;50,("C"),IF(J304&gt;0,("K"),"0"))))</f>
        <v>0</v>
      </c>
      <c r="N304" s="1332"/>
      <c r="O304" s="1333"/>
      <c r="P304" s="1333"/>
      <c r="Q304" s="1333"/>
      <c r="R304" s="1333"/>
      <c r="S304" s="1333"/>
      <c r="T304" s="1333"/>
      <c r="U304" s="1334"/>
      <c r="V304" s="1335"/>
      <c r="W304" s="1335"/>
      <c r="X304" s="1335"/>
      <c r="Y304" s="1335"/>
      <c r="Z304" s="1335"/>
      <c r="AA304" s="1336"/>
      <c r="AB304" s="1251"/>
      <c r="AC304" s="1252"/>
    </row>
    <row r="305" spans="1:29" ht="24.95" customHeight="1" x14ac:dyDescent="0.25">
      <c r="A305" s="1306"/>
      <c r="B305" s="683">
        <v>38</v>
      </c>
      <c r="C305" s="1310"/>
      <c r="D305" s="1305" t="s">
        <v>19</v>
      </c>
      <c r="E305" s="1308">
        <f>VLOOKUP(A303,UHT_MAT,51,FALSE)</f>
        <v>0</v>
      </c>
      <c r="F305" s="1908">
        <f t="shared" si="252"/>
        <v>0</v>
      </c>
      <c r="G305" s="1308"/>
      <c r="H305" s="1309">
        <f>VLOOKUP(B303,REKAP_NILAI,18,FALSE)</f>
        <v>0</v>
      </c>
      <c r="I305" s="1371">
        <f t="shared" si="253"/>
        <v>0</v>
      </c>
      <c r="J305" s="1372">
        <f t="shared" si="254"/>
        <v>0</v>
      </c>
      <c r="K305" s="1373" t="str">
        <f t="shared" si="255"/>
        <v>1.33</v>
      </c>
      <c r="L305" s="1373" t="str">
        <f t="shared" si="256"/>
        <v>D+</v>
      </c>
      <c r="M305" s="1374" t="str">
        <f t="shared" si="257"/>
        <v>0</v>
      </c>
      <c r="N305" s="1311"/>
      <c r="O305" s="1312"/>
      <c r="P305" s="1312"/>
      <c r="Q305" s="1312"/>
      <c r="R305" s="1312"/>
      <c r="S305" s="1312"/>
      <c r="T305" s="1312"/>
      <c r="U305" s="1313"/>
      <c r="V305" s="1314"/>
      <c r="W305" s="1314"/>
      <c r="X305" s="1314"/>
      <c r="Y305" s="1314"/>
      <c r="Z305" s="1314"/>
      <c r="AA305" s="1315"/>
      <c r="AB305" s="1253"/>
      <c r="AC305" s="1254"/>
    </row>
    <row r="306" spans="1:29" ht="24.95" customHeight="1" x14ac:dyDescent="0.25">
      <c r="A306" s="1306"/>
      <c r="B306" s="683">
        <v>38</v>
      </c>
      <c r="C306" s="1310"/>
      <c r="D306" s="1305" t="s">
        <v>181</v>
      </c>
      <c r="E306" s="1308">
        <f>VLOOKUP(A303,UHT_MAT,52,FALSE)</f>
        <v>0</v>
      </c>
      <c r="F306" s="1908">
        <f t="shared" si="252"/>
        <v>0</v>
      </c>
      <c r="G306" s="1308"/>
      <c r="H306" s="1309">
        <f>VLOOKUP(B303,REKAP_NILAI,19,FALSE)</f>
        <v>0</v>
      </c>
      <c r="I306" s="1371">
        <f t="shared" si="253"/>
        <v>0</v>
      </c>
      <c r="J306" s="1372">
        <f t="shared" si="254"/>
        <v>0</v>
      </c>
      <c r="K306" s="1373" t="str">
        <f t="shared" si="255"/>
        <v>1.33</v>
      </c>
      <c r="L306" s="1373" t="str">
        <f t="shared" si="256"/>
        <v>D+</v>
      </c>
      <c r="M306" s="1374" t="str">
        <f t="shared" si="257"/>
        <v>0</v>
      </c>
      <c r="N306" s="1311"/>
      <c r="O306" s="1312"/>
      <c r="P306" s="1312"/>
      <c r="Q306" s="1312"/>
      <c r="R306" s="1312"/>
      <c r="S306" s="1312"/>
      <c r="T306" s="1312"/>
      <c r="U306" s="1313"/>
      <c r="V306" s="1314"/>
      <c r="W306" s="1314"/>
      <c r="X306" s="1314"/>
      <c r="Y306" s="1314"/>
      <c r="Z306" s="1314"/>
      <c r="AA306" s="1315"/>
      <c r="AB306" s="1253"/>
      <c r="AC306" s="1254"/>
    </row>
    <row r="307" spans="1:29" ht="24.95" customHeight="1" x14ac:dyDescent="0.25">
      <c r="A307" s="1306"/>
      <c r="B307" s="683">
        <v>38</v>
      </c>
      <c r="C307" s="1310"/>
      <c r="D307" s="1305" t="s">
        <v>182</v>
      </c>
      <c r="E307" s="1308">
        <f>VLOOKUP(A303,UHT_MAT,53,FALSE)</f>
        <v>0</v>
      </c>
      <c r="F307" s="1908">
        <f t="shared" si="252"/>
        <v>0</v>
      </c>
      <c r="G307" s="1308"/>
      <c r="H307" s="1309">
        <f>VLOOKUP(B303,REKAP_NILAI,20,FALSE)</f>
        <v>0</v>
      </c>
      <c r="I307" s="1371">
        <f t="shared" si="253"/>
        <v>0</v>
      </c>
      <c r="J307" s="1372">
        <f t="shared" si="254"/>
        <v>0</v>
      </c>
      <c r="K307" s="1373" t="str">
        <f t="shared" si="255"/>
        <v>1.33</v>
      </c>
      <c r="L307" s="1373" t="str">
        <f t="shared" si="256"/>
        <v>D+</v>
      </c>
      <c r="M307" s="1374" t="str">
        <f t="shared" si="257"/>
        <v>0</v>
      </c>
      <c r="N307" s="1311"/>
      <c r="O307" s="1312"/>
      <c r="P307" s="1312"/>
      <c r="Q307" s="1312"/>
      <c r="R307" s="1312"/>
      <c r="S307" s="1312"/>
      <c r="T307" s="1312"/>
      <c r="U307" s="1313"/>
      <c r="V307" s="1314"/>
      <c r="W307" s="1314"/>
      <c r="X307" s="1314"/>
      <c r="Y307" s="1314"/>
      <c r="Z307" s="1314"/>
      <c r="AA307" s="1315"/>
      <c r="AB307" s="1253"/>
      <c r="AC307" s="1254"/>
    </row>
    <row r="308" spans="1:29" ht="24.95" customHeight="1" x14ac:dyDescent="0.25">
      <c r="A308" s="1306"/>
      <c r="B308" s="683">
        <v>38</v>
      </c>
      <c r="C308" s="1310"/>
      <c r="D308" s="1305" t="s">
        <v>566</v>
      </c>
      <c r="E308" s="1308">
        <f>VLOOKUP(A303,UHT_MAT,54,FALSE)</f>
        <v>0</v>
      </c>
      <c r="F308" s="1908">
        <f t="shared" si="252"/>
        <v>0</v>
      </c>
      <c r="G308" s="1308"/>
      <c r="H308" s="1309">
        <f>VLOOKUP(B303,REKAP_NILAI,21,FALSE)</f>
        <v>0</v>
      </c>
      <c r="I308" s="1371">
        <f t="shared" si="253"/>
        <v>0</v>
      </c>
      <c r="J308" s="1372">
        <f t="shared" si="254"/>
        <v>0</v>
      </c>
      <c r="K308" s="1373" t="str">
        <f t="shared" si="255"/>
        <v>1.33</v>
      </c>
      <c r="L308" s="1373" t="str">
        <f t="shared" si="256"/>
        <v>D+</v>
      </c>
      <c r="M308" s="1374" t="str">
        <f t="shared" si="257"/>
        <v>0</v>
      </c>
      <c r="N308" s="1311"/>
      <c r="O308" s="1312"/>
      <c r="P308" s="1312"/>
      <c r="Q308" s="1312"/>
      <c r="R308" s="1312"/>
      <c r="S308" s="1312"/>
      <c r="T308" s="1312"/>
      <c r="U308" s="1313"/>
      <c r="V308" s="1314"/>
      <c r="W308" s="1314"/>
      <c r="X308" s="1314"/>
      <c r="Y308" s="1314"/>
      <c r="Z308" s="1314"/>
      <c r="AA308" s="1315"/>
      <c r="AB308" s="1253"/>
      <c r="AC308" s="1254"/>
    </row>
    <row r="309" spans="1:29" ht="24.95" customHeight="1" x14ac:dyDescent="0.25">
      <c r="A309" s="1306"/>
      <c r="B309" s="683">
        <v>38</v>
      </c>
      <c r="C309" s="1310"/>
      <c r="D309" s="1305" t="s">
        <v>567</v>
      </c>
      <c r="E309" s="1308">
        <f>VLOOKUP(A303,UHT_MAT,55,FALSE)</f>
        <v>0</v>
      </c>
      <c r="F309" s="1908">
        <f t="shared" si="252"/>
        <v>0</v>
      </c>
      <c r="G309" s="1308"/>
      <c r="H309" s="1309">
        <f>VLOOKUP(B303,REKAP_NILAI,22,FALSE)</f>
        <v>0</v>
      </c>
      <c r="I309" s="1371">
        <f t="shared" si="253"/>
        <v>0</v>
      </c>
      <c r="J309" s="1372">
        <f t="shared" si="254"/>
        <v>0</v>
      </c>
      <c r="K309" s="1373" t="str">
        <f t="shared" si="255"/>
        <v>1.33</v>
      </c>
      <c r="L309" s="1373" t="str">
        <f t="shared" si="256"/>
        <v>D+</v>
      </c>
      <c r="M309" s="1374" t="str">
        <f t="shared" si="257"/>
        <v>0</v>
      </c>
      <c r="N309" s="1311"/>
      <c r="O309" s="1312"/>
      <c r="P309" s="1312"/>
      <c r="Q309" s="1312"/>
      <c r="R309" s="1312"/>
      <c r="S309" s="1312"/>
      <c r="T309" s="1312"/>
      <c r="U309" s="1313"/>
      <c r="V309" s="1314"/>
      <c r="W309" s="1314"/>
      <c r="X309" s="1314"/>
      <c r="Y309" s="1314"/>
      <c r="Z309" s="1314"/>
      <c r="AA309" s="1315"/>
      <c r="AB309" s="1255"/>
      <c r="AC309" s="1256"/>
    </row>
    <row r="310" spans="1:29" ht="24.95" customHeight="1" x14ac:dyDescent="0.3">
      <c r="A310" s="1359"/>
      <c r="B310" s="1360"/>
      <c r="C310" s="1361" t="s">
        <v>149</v>
      </c>
      <c r="D310" s="1319">
        <v>38</v>
      </c>
      <c r="E310" s="1320"/>
      <c r="F310" s="1909"/>
      <c r="G310" s="1320"/>
      <c r="H310" s="1321">
        <f>AVERAGE(H303:H309)</f>
        <v>0</v>
      </c>
      <c r="I310" s="1375"/>
      <c r="J310" s="1376">
        <f>AVERAGE(J303:J309)</f>
        <v>0</v>
      </c>
      <c r="K310" s="1377" t="str">
        <f t="shared" si="255"/>
        <v>1.33</v>
      </c>
      <c r="L310" s="1377" t="str">
        <f t="shared" si="256"/>
        <v>D+</v>
      </c>
      <c r="M310" s="1378" t="str">
        <f t="shared" si="257"/>
        <v>0</v>
      </c>
      <c r="N310" s="1347"/>
      <c r="O310" s="1348"/>
      <c r="P310" s="1348"/>
      <c r="Q310" s="1348"/>
      <c r="R310" s="1348"/>
      <c r="S310" s="1348"/>
      <c r="T310" s="1348"/>
      <c r="U310" s="1347"/>
      <c r="V310" s="1348"/>
      <c r="W310" s="1348"/>
      <c r="X310" s="1348"/>
      <c r="Y310" s="1348"/>
      <c r="Z310" s="1348"/>
      <c r="AA310" s="1349"/>
      <c r="AB310" s="1257"/>
      <c r="AC310" s="1258"/>
    </row>
    <row r="311" spans="1:29" ht="24.95" customHeight="1" thickBot="1" x14ac:dyDescent="0.3">
      <c r="A311" s="1325">
        <v>39</v>
      </c>
      <c r="B311" s="1326">
        <v>39</v>
      </c>
      <c r="C311" s="1327">
        <f>VLOOKUP(A311,data_siswa,4)</f>
        <v>0</v>
      </c>
      <c r="D311" s="1305" t="s">
        <v>10</v>
      </c>
      <c r="E311" s="1308">
        <f>VLOOKUP(A311,UHT_MAT,49,FALSE)</f>
        <v>0</v>
      </c>
      <c r="F311" s="1908">
        <f>E311*2</f>
        <v>0</v>
      </c>
      <c r="G311" s="1308"/>
      <c r="H311" s="1309">
        <f>VLOOKUP(B311,REKAP_NILAI,16,FALSE)</f>
        <v>0</v>
      </c>
      <c r="I311" s="1367">
        <f>F311+G311+H311</f>
        <v>0</v>
      </c>
      <c r="J311" s="1368">
        <f>(F311+G311+H311)/4</f>
        <v>0</v>
      </c>
      <c r="K311" s="1369" t="str">
        <f>IF(J311&gt;85,("4"),IF(J311&gt;80,("3.66"),IF(J311&gt;75,("3.33"),IF(J311&gt;70,("3.00"),IF(J311&gt;65,("2.66"),IF(J311&gt;60,("2.33"),IF(J311&gt;55,("2"),IF(J311&gt;50,("1.66"),"1.33"))))))))</f>
        <v>1.33</v>
      </c>
      <c r="L311" s="1369" t="str">
        <f>IF(J311&gt;85,("A"),IF(J311&gt;80,("A-"),IF(J311&gt;75,("B+"),IF(J311&gt;70,("B"),IF(J311&gt;65,("B-"),IF(J311&gt;60,("C+"),IF(J311&gt;55,("C"),IF(J311&gt;50,("C-"),"D+"))))))))</f>
        <v>D+</v>
      </c>
      <c r="M311" s="1370" t="str">
        <f>IF(J311&gt;80,("SB"),IF(J311&gt;65,("B"),IF(J311&gt;50,("C"),IF(J311&gt;0,("K"),"0"))))</f>
        <v>0</v>
      </c>
      <c r="N311" s="1343"/>
      <c r="O311" s="1344"/>
      <c r="P311" s="1344"/>
      <c r="Q311" s="1344"/>
      <c r="R311" s="1344"/>
      <c r="S311" s="1344"/>
      <c r="T311" s="1345"/>
      <c r="U311" s="1346"/>
      <c r="V311" s="1346"/>
      <c r="W311" s="1346"/>
      <c r="X311" s="1346"/>
      <c r="Y311" s="1346"/>
      <c r="Z311" s="1346"/>
      <c r="AA311" s="1346"/>
      <c r="AB311" s="1057">
        <f>J318</f>
        <v>0</v>
      </c>
      <c r="AC311" s="1194" t="str">
        <f>IF(AB311&gt;85,("A"),IF(AB311&gt;80,("A-"),IF(AB311&gt;75,("B+"),IF(AB311&gt;70,("B"),IF(AB311&gt;65,("B-"),IF(AB311&gt;60,("C+"),IF(AB311&gt;55,("C"),IF(AB311&gt;50,("C-"),"D+"))))))))</f>
        <v>D+</v>
      </c>
    </row>
    <row r="312" spans="1:29" ht="24.95" customHeight="1" x14ac:dyDescent="0.25">
      <c r="A312" s="1306"/>
      <c r="B312" s="683">
        <v>39</v>
      </c>
      <c r="C312" s="1310"/>
      <c r="D312" s="1305" t="s">
        <v>20</v>
      </c>
      <c r="E312" s="1308">
        <f>VLOOKUP(A311,UHT_MAT,50,FALSE)</f>
        <v>0</v>
      </c>
      <c r="F312" s="1908">
        <f t="shared" ref="F312:F317" si="258">E312*2</f>
        <v>0</v>
      </c>
      <c r="G312" s="1308"/>
      <c r="H312" s="1309">
        <f>VLOOKUP(B311,REKAP_NILAI,17,FALSE)</f>
        <v>0</v>
      </c>
      <c r="I312" s="1371">
        <f t="shared" ref="I312:I317" si="259">F312+G312+H312</f>
        <v>0</v>
      </c>
      <c r="J312" s="1372">
        <f t="shared" ref="J312:J317" si="260">(F312+G312+H312)/4</f>
        <v>0</v>
      </c>
      <c r="K312" s="1373" t="str">
        <f t="shared" ref="K312:K318" si="261">IF(J312&gt;85,("4"),IF(J312&gt;80,("3.66"),IF(J312&gt;75,("3.33"),IF(J312&gt;70,("3.00"),IF(J312&gt;65,("2.66"),IF(J312&gt;60,("2.33"),IF(J312&gt;55,("2"),IF(J312&gt;50,("1.66"),"1.33"))))))))</f>
        <v>1.33</v>
      </c>
      <c r="L312" s="1373" t="str">
        <f t="shared" ref="L312:L318" si="262">IF(J312&gt;85,("A"),IF(J312&gt;80,("A-"),IF(J312&gt;75,("B+"),IF(J312&gt;70,("B"),IF(J312&gt;65,("B-"),IF(J312&gt;60,("C+"),IF(J312&gt;55,("C"),IF(J312&gt;50,("C-"),"D+"))))))))</f>
        <v>D+</v>
      </c>
      <c r="M312" s="1374" t="str">
        <f t="shared" ref="M312:M318" si="263">IF(J312&gt;80,("SB"),IF(J312&gt;65,("B"),IF(J312&gt;50,("C"),IF(J312&gt;0,("K"),"0"))))</f>
        <v>0</v>
      </c>
      <c r="N312" s="1332"/>
      <c r="O312" s="1333"/>
      <c r="P312" s="1333"/>
      <c r="Q312" s="1333"/>
      <c r="R312" s="1333"/>
      <c r="S312" s="1333"/>
      <c r="T312" s="1333"/>
      <c r="U312" s="1334"/>
      <c r="V312" s="1335"/>
      <c r="W312" s="1335"/>
      <c r="X312" s="1335"/>
      <c r="Y312" s="1335"/>
      <c r="Z312" s="1335"/>
      <c r="AA312" s="1336"/>
      <c r="AB312" s="1251"/>
      <c r="AC312" s="1252"/>
    </row>
    <row r="313" spans="1:29" ht="24.95" customHeight="1" x14ac:dyDescent="0.25">
      <c r="A313" s="1306"/>
      <c r="B313" s="683">
        <v>39</v>
      </c>
      <c r="C313" s="1310"/>
      <c r="D313" s="1305" t="s">
        <v>19</v>
      </c>
      <c r="E313" s="1308">
        <f>VLOOKUP(A311,UHT_MAT,51,FALSE)</f>
        <v>0</v>
      </c>
      <c r="F313" s="1908">
        <f t="shared" si="258"/>
        <v>0</v>
      </c>
      <c r="G313" s="1308"/>
      <c r="H313" s="1309">
        <f>VLOOKUP(B311,REKAP_NILAI,18,FALSE)</f>
        <v>0</v>
      </c>
      <c r="I313" s="1371">
        <f t="shared" si="259"/>
        <v>0</v>
      </c>
      <c r="J313" s="1372">
        <f t="shared" si="260"/>
        <v>0</v>
      </c>
      <c r="K313" s="1373" t="str">
        <f t="shared" si="261"/>
        <v>1.33</v>
      </c>
      <c r="L313" s="1373" t="str">
        <f t="shared" si="262"/>
        <v>D+</v>
      </c>
      <c r="M313" s="1374" t="str">
        <f t="shared" si="263"/>
        <v>0</v>
      </c>
      <c r="N313" s="1311"/>
      <c r="O313" s="1312"/>
      <c r="P313" s="1312"/>
      <c r="Q313" s="1312"/>
      <c r="R313" s="1312"/>
      <c r="S313" s="1312"/>
      <c r="T313" s="1312"/>
      <c r="U313" s="1313"/>
      <c r="V313" s="1314"/>
      <c r="W313" s="1314"/>
      <c r="X313" s="1314"/>
      <c r="Y313" s="1314"/>
      <c r="Z313" s="1314"/>
      <c r="AA313" s="1315"/>
      <c r="AB313" s="1253"/>
      <c r="AC313" s="1254"/>
    </row>
    <row r="314" spans="1:29" ht="24.95" customHeight="1" x14ac:dyDescent="0.25">
      <c r="A314" s="1306"/>
      <c r="B314" s="683">
        <v>39</v>
      </c>
      <c r="C314" s="1310"/>
      <c r="D314" s="1305" t="s">
        <v>181</v>
      </c>
      <c r="E314" s="1308">
        <f>VLOOKUP(A311,UHT_MAT,52,FALSE)</f>
        <v>0</v>
      </c>
      <c r="F314" s="1908">
        <f t="shared" si="258"/>
        <v>0</v>
      </c>
      <c r="G314" s="1308"/>
      <c r="H314" s="1309">
        <f>VLOOKUP(B311,REKAP_NILAI,19,FALSE)</f>
        <v>0</v>
      </c>
      <c r="I314" s="1371">
        <f t="shared" si="259"/>
        <v>0</v>
      </c>
      <c r="J314" s="1372">
        <f t="shared" si="260"/>
        <v>0</v>
      </c>
      <c r="K314" s="1373" t="str">
        <f t="shared" si="261"/>
        <v>1.33</v>
      </c>
      <c r="L314" s="1373" t="str">
        <f t="shared" si="262"/>
        <v>D+</v>
      </c>
      <c r="M314" s="1374" t="str">
        <f t="shared" si="263"/>
        <v>0</v>
      </c>
      <c r="N314" s="1311"/>
      <c r="O314" s="1312"/>
      <c r="P314" s="1312"/>
      <c r="Q314" s="1312"/>
      <c r="R314" s="1312"/>
      <c r="S314" s="1312"/>
      <c r="T314" s="1312"/>
      <c r="U314" s="1313"/>
      <c r="V314" s="1314"/>
      <c r="W314" s="1314"/>
      <c r="X314" s="1314"/>
      <c r="Y314" s="1314"/>
      <c r="Z314" s="1314"/>
      <c r="AA314" s="1315"/>
      <c r="AB314" s="1253"/>
      <c r="AC314" s="1254"/>
    </row>
    <row r="315" spans="1:29" ht="24.95" customHeight="1" x14ac:dyDescent="0.25">
      <c r="A315" s="1306"/>
      <c r="B315" s="683">
        <v>39</v>
      </c>
      <c r="C315" s="1310"/>
      <c r="D315" s="1305" t="s">
        <v>182</v>
      </c>
      <c r="E315" s="1308">
        <f>VLOOKUP(A311,UHT_MAT,53,FALSE)</f>
        <v>0</v>
      </c>
      <c r="F315" s="1908">
        <f t="shared" si="258"/>
        <v>0</v>
      </c>
      <c r="G315" s="1308"/>
      <c r="H315" s="1309">
        <f>VLOOKUP(B311,REKAP_NILAI,20,FALSE)</f>
        <v>0</v>
      </c>
      <c r="I315" s="1371">
        <f t="shared" si="259"/>
        <v>0</v>
      </c>
      <c r="J315" s="1372">
        <f t="shared" si="260"/>
        <v>0</v>
      </c>
      <c r="K315" s="1373" t="str">
        <f t="shared" si="261"/>
        <v>1.33</v>
      </c>
      <c r="L315" s="1373" t="str">
        <f t="shared" si="262"/>
        <v>D+</v>
      </c>
      <c r="M315" s="1374" t="str">
        <f t="shared" si="263"/>
        <v>0</v>
      </c>
      <c r="N315" s="1311"/>
      <c r="O315" s="1312"/>
      <c r="P315" s="1312"/>
      <c r="Q315" s="1312"/>
      <c r="R315" s="1312"/>
      <c r="S315" s="1312"/>
      <c r="T315" s="1312"/>
      <c r="U315" s="1313"/>
      <c r="V315" s="1314"/>
      <c r="W315" s="1314"/>
      <c r="X315" s="1314"/>
      <c r="Y315" s="1314"/>
      <c r="Z315" s="1314"/>
      <c r="AA315" s="1315"/>
      <c r="AB315" s="1253"/>
      <c r="AC315" s="1254"/>
    </row>
    <row r="316" spans="1:29" ht="24.95" customHeight="1" x14ac:dyDescent="0.25">
      <c r="A316" s="1306"/>
      <c r="B316" s="683">
        <v>39</v>
      </c>
      <c r="C316" s="1310"/>
      <c r="D316" s="1305" t="s">
        <v>566</v>
      </c>
      <c r="E316" s="1308">
        <f>VLOOKUP(A311,UHT_MAT,54,FALSE)</f>
        <v>0</v>
      </c>
      <c r="F316" s="1908">
        <f t="shared" si="258"/>
        <v>0</v>
      </c>
      <c r="G316" s="1308"/>
      <c r="H316" s="1309">
        <f>VLOOKUP(B311,REKAP_NILAI,21,FALSE)</f>
        <v>0</v>
      </c>
      <c r="I316" s="1371">
        <f t="shared" si="259"/>
        <v>0</v>
      </c>
      <c r="J316" s="1372">
        <f t="shared" si="260"/>
        <v>0</v>
      </c>
      <c r="K316" s="1373" t="str">
        <f t="shared" si="261"/>
        <v>1.33</v>
      </c>
      <c r="L316" s="1373" t="str">
        <f t="shared" si="262"/>
        <v>D+</v>
      </c>
      <c r="M316" s="1374" t="str">
        <f t="shared" si="263"/>
        <v>0</v>
      </c>
      <c r="N316" s="1311"/>
      <c r="O316" s="1312"/>
      <c r="P316" s="1312"/>
      <c r="Q316" s="1312"/>
      <c r="R316" s="1312"/>
      <c r="S316" s="1312"/>
      <c r="T316" s="1312"/>
      <c r="U316" s="1313"/>
      <c r="V316" s="1314"/>
      <c r="W316" s="1314"/>
      <c r="X316" s="1314"/>
      <c r="Y316" s="1314"/>
      <c r="Z316" s="1314"/>
      <c r="AA316" s="1315"/>
      <c r="AB316" s="1253"/>
      <c r="AC316" s="1254"/>
    </row>
    <row r="317" spans="1:29" ht="24.95" customHeight="1" x14ac:dyDescent="0.25">
      <c r="A317" s="1306"/>
      <c r="B317" s="683">
        <v>39</v>
      </c>
      <c r="C317" s="1310"/>
      <c r="D317" s="1305" t="s">
        <v>567</v>
      </c>
      <c r="E317" s="1308">
        <f>VLOOKUP(A311,UHT_MAT,55,FALSE)</f>
        <v>0</v>
      </c>
      <c r="F317" s="1908">
        <f t="shared" si="258"/>
        <v>0</v>
      </c>
      <c r="G317" s="1308"/>
      <c r="H317" s="1309">
        <f>VLOOKUP(B311,REKAP_NILAI,22,FALSE)</f>
        <v>0</v>
      </c>
      <c r="I317" s="1371">
        <f t="shared" si="259"/>
        <v>0</v>
      </c>
      <c r="J317" s="1372">
        <f t="shared" si="260"/>
        <v>0</v>
      </c>
      <c r="K317" s="1373" t="str">
        <f t="shared" si="261"/>
        <v>1.33</v>
      </c>
      <c r="L317" s="1373" t="str">
        <f t="shared" si="262"/>
        <v>D+</v>
      </c>
      <c r="M317" s="1374" t="str">
        <f t="shared" si="263"/>
        <v>0</v>
      </c>
      <c r="N317" s="1311"/>
      <c r="O317" s="1312"/>
      <c r="P317" s="1312"/>
      <c r="Q317" s="1312"/>
      <c r="R317" s="1312"/>
      <c r="S317" s="1312"/>
      <c r="T317" s="1312"/>
      <c r="U317" s="1313"/>
      <c r="V317" s="1314"/>
      <c r="W317" s="1314"/>
      <c r="X317" s="1314"/>
      <c r="Y317" s="1314"/>
      <c r="Z317" s="1314"/>
      <c r="AA317" s="1315"/>
      <c r="AB317" s="1255"/>
      <c r="AC317" s="1256"/>
    </row>
    <row r="318" spans="1:29" ht="24.95" customHeight="1" x14ac:dyDescent="0.3">
      <c r="A318" s="1316"/>
      <c r="B318" s="1317"/>
      <c r="C318" s="1318" t="s">
        <v>149</v>
      </c>
      <c r="D318" s="1319">
        <v>39</v>
      </c>
      <c r="E318" s="1320"/>
      <c r="F318" s="1909"/>
      <c r="G318" s="1320"/>
      <c r="H318" s="1321">
        <f>AVERAGE(H311:H317)</f>
        <v>0</v>
      </c>
      <c r="I318" s="1375"/>
      <c r="J318" s="1376">
        <f>AVERAGE(J311:J317)</f>
        <v>0</v>
      </c>
      <c r="K318" s="1377" t="str">
        <f t="shared" si="261"/>
        <v>1.33</v>
      </c>
      <c r="L318" s="1377" t="str">
        <f t="shared" si="262"/>
        <v>D+</v>
      </c>
      <c r="M318" s="1378" t="str">
        <f t="shared" si="263"/>
        <v>0</v>
      </c>
      <c r="N318" s="1347"/>
      <c r="O318" s="1348"/>
      <c r="P318" s="1348"/>
      <c r="Q318" s="1348"/>
      <c r="R318" s="1348"/>
      <c r="S318" s="1348"/>
      <c r="T318" s="1348"/>
      <c r="U318" s="1347"/>
      <c r="V318" s="1348"/>
      <c r="W318" s="1348"/>
      <c r="X318" s="1348"/>
      <c r="Y318" s="1348"/>
      <c r="Z318" s="1348"/>
      <c r="AA318" s="1349"/>
      <c r="AB318" s="1257"/>
      <c r="AC318" s="1258"/>
    </row>
    <row r="319" spans="1:29" ht="24.95" customHeight="1" thickBot="1" x14ac:dyDescent="0.3">
      <c r="A319" s="1325">
        <v>40</v>
      </c>
      <c r="B319" s="1326">
        <v>40</v>
      </c>
      <c r="C319" s="1327">
        <f>VLOOKUP(A319,data_siswa,4)</f>
        <v>0</v>
      </c>
      <c r="D319" s="1305" t="s">
        <v>10</v>
      </c>
      <c r="E319" s="1308">
        <f>VLOOKUP(A319,UHT_MAT,49,FALSE)</f>
        <v>0</v>
      </c>
      <c r="F319" s="1908">
        <f>E319*2</f>
        <v>0</v>
      </c>
      <c r="G319" s="1308"/>
      <c r="H319" s="1309">
        <f>VLOOKUP(B319,REKAP_NILAI,16,FALSE)</f>
        <v>0</v>
      </c>
      <c r="I319" s="1367">
        <f>F319+G319+H319</f>
        <v>0</v>
      </c>
      <c r="J319" s="1368">
        <f>(F319+G319+H319)/4</f>
        <v>0</v>
      </c>
      <c r="K319" s="1369" t="str">
        <f>IF(J319&gt;85,("4"),IF(J319&gt;80,("3.66"),IF(J319&gt;75,("3.33"),IF(J319&gt;70,("3.00"),IF(J319&gt;65,("2.66"),IF(J319&gt;60,("2.33"),IF(J319&gt;55,("2"),IF(J319&gt;50,("1.66"),"1.33"))))))))</f>
        <v>1.33</v>
      </c>
      <c r="L319" s="1369" t="str">
        <f>IF(J319&gt;85,("A"),IF(J319&gt;80,("A-"),IF(J319&gt;75,("B+"),IF(J319&gt;70,("B"),IF(J319&gt;65,("B-"),IF(J319&gt;60,("C+"),IF(J319&gt;55,("C"),IF(J319&gt;50,("C-"),"D+"))))))))</f>
        <v>D+</v>
      </c>
      <c r="M319" s="1370" t="str">
        <f>IF(J319&gt;80,("SB"),IF(J319&gt;65,("B"),IF(J319&gt;50,("C"),IF(J319&gt;0,("K"),"0"))))</f>
        <v>0</v>
      </c>
      <c r="N319" s="1343"/>
      <c r="O319" s="1344"/>
      <c r="P319" s="1344"/>
      <c r="Q319" s="1344"/>
      <c r="R319" s="1344"/>
      <c r="S319" s="1344"/>
      <c r="T319" s="1345"/>
      <c r="U319" s="1346"/>
      <c r="V319" s="1346"/>
      <c r="W319" s="1346"/>
      <c r="X319" s="1346"/>
      <c r="Y319" s="1346"/>
      <c r="Z319" s="1346"/>
      <c r="AA319" s="1346"/>
      <c r="AB319" s="1057">
        <f>J326</f>
        <v>1.7316017316017318</v>
      </c>
      <c r="AC319" s="1194" t="str">
        <f>IF(AB319&gt;85,("A"),IF(AB319&gt;80,("A-"),IF(AB319&gt;75,("B+"),IF(AB319&gt;70,("B"),IF(AB319&gt;65,("B-"),IF(AB319&gt;60,("C+"),IF(AB319&gt;55,("C"),IF(AB319&gt;50,("C-"),"D+"))))))))</f>
        <v>D+</v>
      </c>
    </row>
    <row r="320" spans="1:29" ht="24.95" customHeight="1" x14ac:dyDescent="0.25">
      <c r="A320" s="1306"/>
      <c r="B320" s="683">
        <v>40</v>
      </c>
      <c r="C320" s="1310"/>
      <c r="D320" s="1305" t="s">
        <v>20</v>
      </c>
      <c r="E320" s="1308">
        <f>VLOOKUP(A319,UHT_MAT,50,FALSE)</f>
        <v>0</v>
      </c>
      <c r="F320" s="1908">
        <f t="shared" ref="F320:F325" si="264">E320*2</f>
        <v>0</v>
      </c>
      <c r="G320" s="1308"/>
      <c r="H320" s="1309">
        <f>VLOOKUP(B319,REKAP_NILAI,17,FALSE)</f>
        <v>24.242424242424246</v>
      </c>
      <c r="I320" s="1371">
        <f t="shared" ref="I320:I325" si="265">F320+G320+H320</f>
        <v>24.242424242424246</v>
      </c>
      <c r="J320" s="1372">
        <f t="shared" ref="J320:J325" si="266">(F320+G320+H320)/4</f>
        <v>6.0606060606060614</v>
      </c>
      <c r="K320" s="1373" t="str">
        <f t="shared" ref="K320:K325" si="267">IF(J320&gt;85,("4"),IF(J320&gt;80,("3.66"),IF(J320&gt;75,("3.33"),IF(J320&gt;70,("3.00"),IF(J320&gt;65,("2.66"),IF(J320&gt;60,("2.33"),IF(J320&gt;55,("2"),IF(J320&gt;50,("1.66"),"1.33"))))))))</f>
        <v>1.33</v>
      </c>
      <c r="L320" s="1373" t="str">
        <f t="shared" ref="L320:L325" si="268">IF(J320&gt;85,("A"),IF(J320&gt;80,("A-"),IF(J320&gt;75,("B+"),IF(J320&gt;70,("B"),IF(J320&gt;65,("B-"),IF(J320&gt;60,("C+"),IF(J320&gt;55,("C"),IF(J320&gt;50,("C-"),"D+"))))))))</f>
        <v>D+</v>
      </c>
      <c r="M320" s="1374" t="str">
        <f t="shared" ref="M320:M325" si="269">IF(J320&gt;80,("SB"),IF(J320&gt;65,("B"),IF(J320&gt;50,("C"),IF(J320&gt;0,("K"),"0"))))</f>
        <v>K</v>
      </c>
      <c r="N320" s="1332"/>
      <c r="O320" s="1333"/>
      <c r="P320" s="1333"/>
      <c r="Q320" s="1333"/>
      <c r="R320" s="1333"/>
      <c r="S320" s="1333"/>
      <c r="T320" s="1333"/>
      <c r="U320" s="1334"/>
      <c r="V320" s="1335"/>
      <c r="W320" s="1335"/>
      <c r="X320" s="1335"/>
      <c r="Y320" s="1335"/>
      <c r="Z320" s="1335"/>
      <c r="AA320" s="1336"/>
      <c r="AB320" s="1251"/>
      <c r="AC320" s="1252"/>
    </row>
    <row r="321" spans="1:29" ht="24.95" customHeight="1" x14ac:dyDescent="0.25">
      <c r="A321" s="1306"/>
      <c r="B321" s="683">
        <v>40</v>
      </c>
      <c r="C321" s="1310"/>
      <c r="D321" s="1305" t="s">
        <v>19</v>
      </c>
      <c r="E321" s="1308">
        <f>VLOOKUP(A319,UHT_MAT,51,FALSE)</f>
        <v>0</v>
      </c>
      <c r="F321" s="1908">
        <f t="shared" si="264"/>
        <v>0</v>
      </c>
      <c r="G321" s="1308"/>
      <c r="H321" s="1309">
        <f>VLOOKUP(B319,REKAP_NILAI,18,FALSE)</f>
        <v>0</v>
      </c>
      <c r="I321" s="1371">
        <f t="shared" si="265"/>
        <v>0</v>
      </c>
      <c r="J321" s="1372">
        <f t="shared" si="266"/>
        <v>0</v>
      </c>
      <c r="K321" s="1373" t="str">
        <f t="shared" si="267"/>
        <v>1.33</v>
      </c>
      <c r="L321" s="1373" t="str">
        <f t="shared" si="268"/>
        <v>D+</v>
      </c>
      <c r="M321" s="1374" t="str">
        <f t="shared" si="269"/>
        <v>0</v>
      </c>
      <c r="N321" s="1311"/>
      <c r="O321" s="1312"/>
      <c r="P321" s="1312"/>
      <c r="Q321" s="1312"/>
      <c r="R321" s="1312"/>
      <c r="S321" s="1312"/>
      <c r="T321" s="1312"/>
      <c r="U321" s="1313"/>
      <c r="V321" s="1314"/>
      <c r="W321" s="1314"/>
      <c r="X321" s="1314"/>
      <c r="Y321" s="1314"/>
      <c r="Z321" s="1314"/>
      <c r="AA321" s="1315"/>
      <c r="AB321" s="1253"/>
      <c r="AC321" s="1254"/>
    </row>
    <row r="322" spans="1:29" ht="24.95" customHeight="1" x14ac:dyDescent="0.25">
      <c r="A322" s="1306"/>
      <c r="B322" s="683">
        <v>40</v>
      </c>
      <c r="C322" s="1310"/>
      <c r="D322" s="1305" t="s">
        <v>181</v>
      </c>
      <c r="E322" s="1308">
        <f>VLOOKUP(A319,UHT_MAT,52,FALSE)</f>
        <v>0</v>
      </c>
      <c r="F322" s="1908">
        <f t="shared" si="264"/>
        <v>0</v>
      </c>
      <c r="G322" s="1308"/>
      <c r="H322" s="1309">
        <f>VLOOKUP(B319,REKAP_NILAI,19,FALSE)</f>
        <v>24.242424242424246</v>
      </c>
      <c r="I322" s="1371">
        <f t="shared" si="265"/>
        <v>24.242424242424246</v>
      </c>
      <c r="J322" s="1372">
        <f t="shared" si="266"/>
        <v>6.0606060606060614</v>
      </c>
      <c r="K322" s="1373" t="str">
        <f t="shared" si="267"/>
        <v>1.33</v>
      </c>
      <c r="L322" s="1373" t="str">
        <f t="shared" si="268"/>
        <v>D+</v>
      </c>
      <c r="M322" s="1374" t="str">
        <f t="shared" si="269"/>
        <v>K</v>
      </c>
      <c r="N322" s="1311"/>
      <c r="O322" s="1312"/>
      <c r="P322" s="1312"/>
      <c r="Q322" s="1312"/>
      <c r="R322" s="1312"/>
      <c r="S322" s="1312"/>
      <c r="T322" s="1312"/>
      <c r="U322" s="1313"/>
      <c r="V322" s="1314"/>
      <c r="W322" s="1314"/>
      <c r="X322" s="1314"/>
      <c r="Y322" s="1314"/>
      <c r="Z322" s="1314"/>
      <c r="AA322" s="1315"/>
      <c r="AB322" s="1253"/>
      <c r="AC322" s="1254"/>
    </row>
    <row r="323" spans="1:29" ht="24.95" customHeight="1" x14ac:dyDescent="0.25">
      <c r="A323" s="1306"/>
      <c r="B323" s="683">
        <v>40</v>
      </c>
      <c r="C323" s="1310"/>
      <c r="D323" s="1305" t="s">
        <v>182</v>
      </c>
      <c r="E323" s="1308">
        <f>VLOOKUP(A319,UHT_MAT,53,FALSE)</f>
        <v>0</v>
      </c>
      <c r="F323" s="1908">
        <f t="shared" si="264"/>
        <v>0</v>
      </c>
      <c r="G323" s="1308"/>
      <c r="H323" s="1309">
        <f>VLOOKUP(B319,REKAP_NILAI,20,FALSE)</f>
        <v>0</v>
      </c>
      <c r="I323" s="1371">
        <f t="shared" si="265"/>
        <v>0</v>
      </c>
      <c r="J323" s="1372">
        <f t="shared" si="266"/>
        <v>0</v>
      </c>
      <c r="K323" s="1373" t="str">
        <f t="shared" si="267"/>
        <v>1.33</v>
      </c>
      <c r="L323" s="1373" t="str">
        <f t="shared" si="268"/>
        <v>D+</v>
      </c>
      <c r="M323" s="1374" t="str">
        <f t="shared" si="269"/>
        <v>0</v>
      </c>
      <c r="N323" s="1311"/>
      <c r="O323" s="1312"/>
      <c r="P323" s="1312"/>
      <c r="Q323" s="1312"/>
      <c r="R323" s="1312"/>
      <c r="S323" s="1312"/>
      <c r="T323" s="1312"/>
      <c r="U323" s="1313"/>
      <c r="V323" s="1314"/>
      <c r="W323" s="1314"/>
      <c r="X323" s="1314"/>
      <c r="Y323" s="1314"/>
      <c r="Z323" s="1314"/>
      <c r="AA323" s="1315"/>
      <c r="AB323" s="1253"/>
      <c r="AC323" s="1254"/>
    </row>
    <row r="324" spans="1:29" ht="24.95" customHeight="1" x14ac:dyDescent="0.25">
      <c r="A324" s="1306"/>
      <c r="B324" s="683">
        <v>40</v>
      </c>
      <c r="C324" s="1310"/>
      <c r="D324" s="1305" t="s">
        <v>566</v>
      </c>
      <c r="E324" s="1308">
        <f>VLOOKUP(A319,UHT_MAT,54,FALSE)</f>
        <v>0</v>
      </c>
      <c r="F324" s="1908">
        <f t="shared" si="264"/>
        <v>0</v>
      </c>
      <c r="G324" s="1308"/>
      <c r="H324" s="1309">
        <f>VLOOKUP(B319,REKAP_NILAI,21,FALSE)</f>
        <v>0</v>
      </c>
      <c r="I324" s="1371">
        <f t="shared" si="265"/>
        <v>0</v>
      </c>
      <c r="J324" s="1372">
        <f t="shared" si="266"/>
        <v>0</v>
      </c>
      <c r="K324" s="1373" t="str">
        <f t="shared" si="267"/>
        <v>1.33</v>
      </c>
      <c r="L324" s="1373" t="str">
        <f t="shared" si="268"/>
        <v>D+</v>
      </c>
      <c r="M324" s="1374" t="str">
        <f t="shared" si="269"/>
        <v>0</v>
      </c>
      <c r="N324" s="1311"/>
      <c r="O324" s="1312"/>
      <c r="P324" s="1312"/>
      <c r="Q324" s="1312"/>
      <c r="R324" s="1312"/>
      <c r="S324" s="1312"/>
      <c r="T324" s="1312"/>
      <c r="U324" s="1313"/>
      <c r="V324" s="1314"/>
      <c r="W324" s="1314"/>
      <c r="X324" s="1314"/>
      <c r="Y324" s="1314"/>
      <c r="Z324" s="1314"/>
      <c r="AA324" s="1315"/>
      <c r="AB324" s="1253"/>
      <c r="AC324" s="1254"/>
    </row>
    <row r="325" spans="1:29" ht="24.95" customHeight="1" x14ac:dyDescent="0.25">
      <c r="A325" s="1306"/>
      <c r="B325" s="683">
        <v>40</v>
      </c>
      <c r="C325" s="1310"/>
      <c r="D325" s="1305" t="s">
        <v>567</v>
      </c>
      <c r="E325" s="1308">
        <f>VLOOKUP(A319,UHT_MAT,55,FALSE)</f>
        <v>0</v>
      </c>
      <c r="F325" s="1908">
        <f t="shared" si="264"/>
        <v>0</v>
      </c>
      <c r="G325" s="1308"/>
      <c r="H325" s="1309">
        <f>VLOOKUP(B319,REKAP_NILAI,22,FALSE)</f>
        <v>0</v>
      </c>
      <c r="I325" s="1371">
        <f t="shared" si="265"/>
        <v>0</v>
      </c>
      <c r="J325" s="1372">
        <f t="shared" si="266"/>
        <v>0</v>
      </c>
      <c r="K325" s="1373" t="str">
        <f t="shared" si="267"/>
        <v>1.33</v>
      </c>
      <c r="L325" s="1373" t="str">
        <f t="shared" si="268"/>
        <v>D+</v>
      </c>
      <c r="M325" s="1374" t="str">
        <f t="shared" si="269"/>
        <v>0</v>
      </c>
      <c r="N325" s="1311"/>
      <c r="O325" s="1312"/>
      <c r="P325" s="1312"/>
      <c r="Q325" s="1312"/>
      <c r="R325" s="1312"/>
      <c r="S325" s="1312"/>
      <c r="T325" s="1312"/>
      <c r="U325" s="1313"/>
      <c r="V325" s="1314"/>
      <c r="W325" s="1314"/>
      <c r="X325" s="1314"/>
      <c r="Y325" s="1314"/>
      <c r="Z325" s="1314"/>
      <c r="AA325" s="1315"/>
      <c r="AB325" s="1255"/>
      <c r="AC325" s="1256"/>
    </row>
    <row r="326" spans="1:29" ht="24.95" customHeight="1" x14ac:dyDescent="0.3">
      <c r="A326" s="1316"/>
      <c r="B326" s="1338"/>
      <c r="C326" s="1318" t="s">
        <v>149</v>
      </c>
      <c r="D326" s="1319">
        <v>40</v>
      </c>
      <c r="E326" s="1320"/>
      <c r="F326" s="1909"/>
      <c r="G326" s="1320"/>
      <c r="H326" s="1321">
        <f>AVERAGE(H319:H325)</f>
        <v>6.9264069264069272</v>
      </c>
      <c r="I326" s="1375"/>
      <c r="J326" s="1376">
        <f>AVERAGE(J319:J325)</f>
        <v>1.7316017316017318</v>
      </c>
      <c r="K326" s="1377" t="str">
        <f t="shared" ref="K326" si="270">IF(J326&gt;85,("4"),IF(J326&gt;80,("3.66"),IF(J326&gt;75,("3.33"),IF(J326&gt;70,("3.00"),IF(J326&gt;65,("2.66"),IF(J326&gt;60,("2.33"),IF(J326&gt;55,("2"),IF(J326&gt;50,("1.66"),"1.33"))))))))</f>
        <v>1.33</v>
      </c>
      <c r="L326" s="1377" t="str">
        <f t="shared" ref="L326" si="271">IF(J326&gt;85,("A"),IF(J326&gt;80,("A-"),IF(J326&gt;75,("B+"),IF(J326&gt;70,("B"),IF(J326&gt;65,("B-"),IF(J326&gt;60,("C+"),IF(J326&gt;55,("C"),IF(J326&gt;50,("C-"),"D+"))))))))</f>
        <v>D+</v>
      </c>
      <c r="M326" s="1378" t="str">
        <f t="shared" ref="M326" si="272">IF(J326&gt;80,("SB"),IF(J326&gt;65,("B"),IF(J326&gt;50,("C"),IF(J326&gt;0,("K"),"0"))))</f>
        <v>K</v>
      </c>
      <c r="N326" s="1347"/>
      <c r="O326" s="1348"/>
      <c r="P326" s="1348"/>
      <c r="Q326" s="1348"/>
      <c r="R326" s="1348"/>
      <c r="S326" s="1348"/>
      <c r="T326" s="1348"/>
      <c r="U326" s="1347"/>
      <c r="V326" s="1348"/>
      <c r="W326" s="1348"/>
      <c r="X326" s="1348"/>
      <c r="Y326" s="1348"/>
      <c r="Z326" s="1348"/>
      <c r="AA326" s="1349"/>
      <c r="AB326" s="1257"/>
      <c r="AC326" s="1258"/>
    </row>
    <row r="327" spans="1:29" s="1365" customFormat="1" x14ac:dyDescent="0.3">
      <c r="A327" s="1362"/>
      <c r="B327" s="1363"/>
      <c r="C327" s="1364"/>
    </row>
  </sheetData>
  <sheetProtection password="C6F9" sheet="1" objects="1" scenarios="1"/>
  <mergeCells count="14">
    <mergeCell ref="AC5:AC6"/>
    <mergeCell ref="AB5:AB6"/>
    <mergeCell ref="U5:AA5"/>
    <mergeCell ref="A5:A6"/>
    <mergeCell ref="B5:B6"/>
    <mergeCell ref="C5:C6"/>
    <mergeCell ref="D5:D6"/>
    <mergeCell ref="E5:H5"/>
    <mergeCell ref="I5:I6"/>
    <mergeCell ref="J5:J6"/>
    <mergeCell ref="K5:K6"/>
    <mergeCell ref="L5:L6"/>
    <mergeCell ref="M5:M6"/>
    <mergeCell ref="N5:T5"/>
  </mergeCells>
  <conditionalFormatting sqref="J7:J13">
    <cfRule type="top10" dxfId="1925" priority="1384" bottom="1" rank="1"/>
    <cfRule type="top10" dxfId="1924" priority="1385" rank="1"/>
  </conditionalFormatting>
  <conditionalFormatting sqref="J15:J21">
    <cfRule type="top10" dxfId="1923" priority="77" bottom="1" rank="1"/>
    <cfRule type="top10" dxfId="1922" priority="78" rank="1"/>
  </conditionalFormatting>
  <conditionalFormatting sqref="J23:J29">
    <cfRule type="top10" dxfId="1921" priority="75" bottom="1" rank="1"/>
    <cfRule type="top10" dxfId="1920" priority="76" rank="1"/>
  </conditionalFormatting>
  <conditionalFormatting sqref="J31:J37">
    <cfRule type="top10" dxfId="1919" priority="73" bottom="1" rank="1"/>
    <cfRule type="top10" dxfId="1918" priority="74" rank="1"/>
  </conditionalFormatting>
  <conditionalFormatting sqref="J39:J45">
    <cfRule type="top10" dxfId="1917" priority="71" bottom="1" rank="1"/>
    <cfRule type="top10" dxfId="1916" priority="72" rank="1"/>
  </conditionalFormatting>
  <conditionalFormatting sqref="J47:J53">
    <cfRule type="top10" dxfId="1915" priority="69" bottom="1" rank="1"/>
    <cfRule type="top10" dxfId="1914" priority="70" rank="1"/>
  </conditionalFormatting>
  <conditionalFormatting sqref="J55:J61">
    <cfRule type="top10" dxfId="1913" priority="67" bottom="1" rank="1"/>
    <cfRule type="top10" dxfId="1912" priority="68" rank="1"/>
  </conditionalFormatting>
  <conditionalFormatting sqref="J63:J69">
    <cfRule type="top10" dxfId="1911" priority="65" bottom="1" rank="1"/>
    <cfRule type="top10" dxfId="1910" priority="66" rank="1"/>
  </conditionalFormatting>
  <conditionalFormatting sqref="J71:J77">
    <cfRule type="top10" dxfId="1909" priority="63" bottom="1" rank="1"/>
    <cfRule type="top10" dxfId="1908" priority="64" rank="1"/>
  </conditionalFormatting>
  <conditionalFormatting sqref="J79:J85">
    <cfRule type="top10" dxfId="1907" priority="61" bottom="1" rank="1"/>
    <cfRule type="top10" dxfId="1906" priority="62" rank="1"/>
  </conditionalFormatting>
  <conditionalFormatting sqref="J87:J93">
    <cfRule type="top10" dxfId="1905" priority="59" bottom="1" rank="1"/>
    <cfRule type="top10" dxfId="1904" priority="60" rank="1"/>
  </conditionalFormatting>
  <conditionalFormatting sqref="J95:J101">
    <cfRule type="top10" dxfId="1903" priority="57" bottom="1" rank="1"/>
    <cfRule type="top10" dxfId="1902" priority="58" rank="1"/>
  </conditionalFormatting>
  <conditionalFormatting sqref="J103:J109">
    <cfRule type="top10" dxfId="1901" priority="55" bottom="1" rank="1"/>
    <cfRule type="top10" dxfId="1900" priority="56" rank="1"/>
  </conditionalFormatting>
  <conditionalFormatting sqref="J111:J117">
    <cfRule type="top10" dxfId="1899" priority="53" bottom="1" rank="1"/>
    <cfRule type="top10" dxfId="1898" priority="54" rank="1"/>
  </conditionalFormatting>
  <conditionalFormatting sqref="J119:J125">
    <cfRule type="top10" dxfId="1897" priority="51" bottom="1" rank="1"/>
    <cfRule type="top10" dxfId="1896" priority="52" rank="1"/>
  </conditionalFormatting>
  <conditionalFormatting sqref="J127:J133">
    <cfRule type="top10" dxfId="1895" priority="49" bottom="1" rank="1"/>
    <cfRule type="top10" dxfId="1894" priority="50" rank="1"/>
  </conditionalFormatting>
  <conditionalFormatting sqref="J135:J141">
    <cfRule type="top10" dxfId="1893" priority="47" bottom="1" rank="1"/>
    <cfRule type="top10" dxfId="1892" priority="48" rank="1"/>
  </conditionalFormatting>
  <conditionalFormatting sqref="J143:J149">
    <cfRule type="top10" dxfId="1891" priority="45" bottom="1" rank="1"/>
    <cfRule type="top10" dxfId="1890" priority="46" rank="1"/>
  </conditionalFormatting>
  <conditionalFormatting sqref="J151:J157">
    <cfRule type="top10" dxfId="1889" priority="43" bottom="1" rank="1"/>
    <cfRule type="top10" dxfId="1888" priority="44" rank="1"/>
  </conditionalFormatting>
  <conditionalFormatting sqref="J159:J165">
    <cfRule type="top10" dxfId="1887" priority="41" bottom="1" rank="1"/>
    <cfRule type="top10" dxfId="1886" priority="42" rank="1"/>
  </conditionalFormatting>
  <conditionalFormatting sqref="J167:J173">
    <cfRule type="top10" dxfId="1885" priority="39" bottom="1" rank="1"/>
    <cfRule type="top10" dxfId="1884" priority="40" rank="1"/>
  </conditionalFormatting>
  <conditionalFormatting sqref="J175:J181">
    <cfRule type="top10" dxfId="1883" priority="37" bottom="1" rank="1"/>
    <cfRule type="top10" dxfId="1882" priority="38" rank="1"/>
  </conditionalFormatting>
  <conditionalFormatting sqref="J183:J189">
    <cfRule type="top10" dxfId="1881" priority="35" bottom="1" rank="1"/>
    <cfRule type="top10" dxfId="1880" priority="36" rank="1"/>
  </conditionalFormatting>
  <conditionalFormatting sqref="J191:J197">
    <cfRule type="top10" dxfId="1879" priority="33" bottom="1" rank="1"/>
    <cfRule type="top10" dxfId="1878" priority="34" rank="1"/>
  </conditionalFormatting>
  <conditionalFormatting sqref="J199:J205">
    <cfRule type="top10" dxfId="1877" priority="31" bottom="1" rank="1"/>
    <cfRule type="top10" dxfId="1876" priority="32" rank="1"/>
  </conditionalFormatting>
  <conditionalFormatting sqref="J207:J213">
    <cfRule type="top10" dxfId="1875" priority="29" bottom="1" rank="1"/>
    <cfRule type="top10" dxfId="1874" priority="30" rank="1"/>
  </conditionalFormatting>
  <conditionalFormatting sqref="J215:J221">
    <cfRule type="top10" dxfId="1873" priority="27" bottom="1" rank="1"/>
    <cfRule type="top10" dxfId="1872" priority="28" rank="1"/>
  </conditionalFormatting>
  <conditionalFormatting sqref="J223:J229">
    <cfRule type="top10" dxfId="1871" priority="25" bottom="1" rank="1"/>
    <cfRule type="top10" dxfId="1870" priority="26" rank="1"/>
  </conditionalFormatting>
  <conditionalFormatting sqref="J231:J237">
    <cfRule type="top10" dxfId="1869" priority="23" bottom="1" rank="1"/>
    <cfRule type="top10" dxfId="1868" priority="24" rank="1"/>
  </conditionalFormatting>
  <conditionalFormatting sqref="J239:J245">
    <cfRule type="top10" dxfId="1867" priority="21" bottom="1" rank="1"/>
    <cfRule type="top10" dxfId="1866" priority="22" rank="1"/>
  </conditionalFormatting>
  <conditionalFormatting sqref="J247:J253">
    <cfRule type="top10" dxfId="1865" priority="19" bottom="1" rank="1"/>
    <cfRule type="top10" dxfId="1864" priority="20" rank="1"/>
  </conditionalFormatting>
  <conditionalFormatting sqref="J255:J261">
    <cfRule type="top10" dxfId="1863" priority="17" bottom="1" rank="1"/>
    <cfRule type="top10" dxfId="1862" priority="18" rank="1"/>
  </conditionalFormatting>
  <conditionalFormatting sqref="J263:J269">
    <cfRule type="top10" dxfId="1861" priority="15" bottom="1" rank="1"/>
    <cfRule type="top10" dxfId="1860" priority="16" rank="1"/>
  </conditionalFormatting>
  <conditionalFormatting sqref="J271:J277">
    <cfRule type="top10" dxfId="1859" priority="13" bottom="1" rank="1"/>
    <cfRule type="top10" dxfId="1858" priority="14" rank="1"/>
  </conditionalFormatting>
  <conditionalFormatting sqref="J279:J285">
    <cfRule type="top10" dxfId="1857" priority="11" bottom="1" rank="1"/>
    <cfRule type="top10" dxfId="1856" priority="12" rank="1"/>
  </conditionalFormatting>
  <conditionalFormatting sqref="J287:J293">
    <cfRule type="top10" dxfId="1855" priority="9" bottom="1" rank="1"/>
    <cfRule type="top10" dxfId="1854" priority="10" rank="1"/>
  </conditionalFormatting>
  <conditionalFormatting sqref="J295:J301">
    <cfRule type="top10" dxfId="1853" priority="7" bottom="1" rank="1"/>
    <cfRule type="top10" dxfId="1852" priority="8" rank="1"/>
  </conditionalFormatting>
  <conditionalFormatting sqref="J303:J309">
    <cfRule type="top10" dxfId="1851" priority="5" bottom="1" rank="1"/>
    <cfRule type="top10" dxfId="1850" priority="6" rank="1"/>
  </conditionalFormatting>
  <conditionalFormatting sqref="J311:J317">
    <cfRule type="top10" dxfId="1849" priority="3" bottom="1" rank="1"/>
    <cfRule type="top10" dxfId="1848" priority="4" rank="1"/>
  </conditionalFormatting>
  <conditionalFormatting sqref="J319:J325">
    <cfRule type="top10" dxfId="1847" priority="1" bottom="1" rank="1"/>
    <cfRule type="top10" dxfId="1846" priority="2" rank="1"/>
  </conditionalFormatting>
  <pageMargins left="0.7" right="0.7" top="0.75" bottom="0.75" header="0.3" footer="0.3"/>
  <pageSetup paperSize="9" orientation="landscape" horizontalDpi="0"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rgb="FF00B0F0"/>
  </sheetPr>
  <dimension ref="A1:S126"/>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x14ac:dyDescent="0.25"/>
  <cols>
    <col min="1" max="1" width="4.85546875" style="432" customWidth="1"/>
    <col min="2" max="2" width="7.7109375" style="1417" customWidth="1"/>
    <col min="3" max="3" width="30.85546875" style="1418" customWidth="1"/>
    <col min="4" max="4" width="5.7109375" style="1420" customWidth="1"/>
    <col min="5" max="10" width="6.7109375" style="432" customWidth="1"/>
    <col min="11" max="11" width="9.140625" style="432"/>
    <col min="12" max="12" width="10" style="432" customWidth="1"/>
    <col min="13" max="13" width="10.42578125" style="432" customWidth="1"/>
    <col min="14" max="14" width="7.7109375" style="1419" customWidth="1"/>
    <col min="15" max="17" width="7.7109375" style="432" customWidth="1"/>
    <col min="18" max="18" width="9.28515625" style="432" customWidth="1"/>
    <col min="19" max="19" width="8.140625" style="432" customWidth="1"/>
    <col min="20" max="16384" width="9.140625" style="432"/>
  </cols>
  <sheetData>
    <row r="1" spans="1:19" ht="21" x14ac:dyDescent="0.35">
      <c r="A1" s="1200" t="s">
        <v>781</v>
      </c>
      <c r="D1" s="435"/>
      <c r="E1" s="435"/>
      <c r="F1" s="435"/>
      <c r="G1" s="435"/>
      <c r="H1" s="435"/>
      <c r="I1" s="435"/>
      <c r="J1" s="435"/>
      <c r="K1" s="435"/>
    </row>
    <row r="2" spans="1:19" ht="21" x14ac:dyDescent="0.35">
      <c r="A2" s="1200" t="s">
        <v>54</v>
      </c>
    </row>
    <row r="3" spans="1:19" ht="18.75" x14ac:dyDescent="0.3">
      <c r="A3" s="1202" t="s">
        <v>562</v>
      </c>
    </row>
    <row r="4" spans="1:19" s="1422" customFormat="1" ht="15.75" thickBot="1" x14ac:dyDescent="0.3">
      <c r="A4" s="1421">
        <v>1</v>
      </c>
      <c r="B4" s="1421">
        <v>2</v>
      </c>
      <c r="C4" s="1421">
        <v>3</v>
      </c>
      <c r="D4" s="1421">
        <v>4</v>
      </c>
      <c r="E4" s="1421">
        <v>5</v>
      </c>
      <c r="F4" s="1421">
        <v>6</v>
      </c>
      <c r="G4" s="1421">
        <v>7</v>
      </c>
      <c r="H4" s="1421">
        <v>8</v>
      </c>
      <c r="I4" s="1421">
        <v>9</v>
      </c>
      <c r="J4" s="1421">
        <v>10</v>
      </c>
      <c r="K4" s="1421">
        <v>11</v>
      </c>
      <c r="L4" s="1421">
        <v>12</v>
      </c>
      <c r="M4" s="1421">
        <v>13</v>
      </c>
      <c r="N4" s="1421">
        <v>14</v>
      </c>
      <c r="O4" s="1421">
        <v>15</v>
      </c>
      <c r="P4" s="1421">
        <v>16</v>
      </c>
      <c r="Q4" s="1421">
        <v>17</v>
      </c>
      <c r="R4" s="1421">
        <v>18</v>
      </c>
      <c r="S4" s="1421">
        <v>19</v>
      </c>
    </row>
    <row r="5" spans="1:19" ht="18.75" customHeight="1" x14ac:dyDescent="0.25">
      <c r="A5" s="2588" t="s">
        <v>0</v>
      </c>
      <c r="B5" s="2590" t="s">
        <v>55</v>
      </c>
      <c r="C5" s="2592" t="s">
        <v>1</v>
      </c>
      <c r="D5" s="2594" t="s">
        <v>56</v>
      </c>
      <c r="E5" s="2594" t="s">
        <v>32</v>
      </c>
      <c r="F5" s="2594"/>
      <c r="G5" s="2594"/>
      <c r="H5" s="2594"/>
      <c r="I5" s="2594" t="s">
        <v>59</v>
      </c>
      <c r="J5" s="2594" t="s">
        <v>60</v>
      </c>
      <c r="K5" s="2596" t="s">
        <v>61</v>
      </c>
      <c r="L5" s="2596" t="s">
        <v>62</v>
      </c>
      <c r="M5" s="2598" t="s">
        <v>63</v>
      </c>
      <c r="N5" s="2600" t="s">
        <v>800</v>
      </c>
      <c r="O5" s="2601"/>
      <c r="P5" s="2586" t="s">
        <v>801</v>
      </c>
      <c r="Q5" s="2587"/>
      <c r="R5" s="2584" t="s">
        <v>60</v>
      </c>
      <c r="S5" s="2582" t="s">
        <v>5</v>
      </c>
    </row>
    <row r="6" spans="1:19" ht="20.25" customHeight="1" thickBot="1" x14ac:dyDescent="0.3">
      <c r="A6" s="2589"/>
      <c r="B6" s="2591"/>
      <c r="C6" s="2593"/>
      <c r="D6" s="2595"/>
      <c r="E6" s="1888" t="s">
        <v>57</v>
      </c>
      <c r="F6" s="1888" t="s">
        <v>58</v>
      </c>
      <c r="G6" s="1888" t="s">
        <v>13</v>
      </c>
      <c r="H6" s="1888" t="s">
        <v>14</v>
      </c>
      <c r="I6" s="2595"/>
      <c r="J6" s="2595"/>
      <c r="K6" s="2597"/>
      <c r="L6" s="2597"/>
      <c r="M6" s="2599"/>
      <c r="N6" s="1423" t="s">
        <v>18</v>
      </c>
      <c r="O6" s="1423" t="s">
        <v>20</v>
      </c>
      <c r="P6" s="1424" t="s">
        <v>18</v>
      </c>
      <c r="Q6" s="1425" t="s">
        <v>20</v>
      </c>
      <c r="R6" s="2585"/>
      <c r="S6" s="2583"/>
    </row>
    <row r="7" spans="1:19" ht="24.95" customHeight="1" x14ac:dyDescent="0.25">
      <c r="A7" s="1207">
        <v>1</v>
      </c>
      <c r="B7" s="1426">
        <v>1</v>
      </c>
      <c r="C7" s="1427" t="str">
        <f>VLOOKUP(A7,data_siswa,4,FALSE)</f>
        <v>Achmad Zacky</v>
      </c>
      <c r="D7" s="361" t="s">
        <v>18</v>
      </c>
      <c r="E7" s="361">
        <f>VLOOKUP(A7,UHT_IPA,24,FALSE)</f>
        <v>68.416666666666671</v>
      </c>
      <c r="F7" s="1190">
        <f>E7*2</f>
        <v>136.83333333333334</v>
      </c>
      <c r="G7" s="361">
        <v>67</v>
      </c>
      <c r="H7" s="1428">
        <f>VLOOKUP(B7,REKAP_NILAI,46,FALSE)</f>
        <v>90.909090909090907</v>
      </c>
      <c r="I7" s="706">
        <f>F7+G7+H7</f>
        <v>294.74242424242425</v>
      </c>
      <c r="J7" s="1449">
        <f>(F7+G7+H7)/4</f>
        <v>73.685606060606062</v>
      </c>
      <c r="K7" s="706" t="str">
        <f>IF(J7&gt;85,("4"),IF(J7&gt;80,("3.66"),IF(J7&gt;75,("3.33"),IF(J7&gt;70,("3.00"),IF(J7&gt;65,("2.66"),IF(J7&gt;60,("2.33"),IF(J7&gt;55,("2"),IF(J7&gt;50,("1.66"),"1.33"))))))))</f>
        <v>3.00</v>
      </c>
      <c r="L7" s="706" t="str">
        <f>IF(J7&gt;85,("A"),IF(J7&gt;80,("A-"),IF(J7&gt;75,("B+"),IF(J7&gt;70,("B"),IF(J7&gt;65,("B-"),IF(J7&gt;60,("C+"),IF(J7&gt;55,("C"),IF(J7&gt;50,("C-"),"D+"))))))))</f>
        <v>B</v>
      </c>
      <c r="M7" s="1450" t="str">
        <f>IF(J7&gt;80,("SB"),IF(J7&gt;65,("B"),IF(J7&gt;50,("C"),IF(J7&gt;0,("K"),"0"))))</f>
        <v>B</v>
      </c>
      <c r="N7" s="1429"/>
      <c r="O7" s="1207">
        <v>3</v>
      </c>
      <c r="P7" s="1430">
        <v>3</v>
      </c>
      <c r="Q7" s="1430"/>
      <c r="R7" s="704">
        <f>J9</f>
        <v>74.846590909090907</v>
      </c>
      <c r="S7" s="1910" t="str">
        <f>IF(R7&gt;85,("A"),IF(R7&gt;80,("A-"),IF(R7&gt;75,("B+"),IF(R7&gt;70,("B"),IF(R7&gt;65,("B-"),IF(R7&gt;60,("C+"),IF(R7&gt;55,("C"),IF(R7&gt;50,("C-"),"D+"))))))))</f>
        <v>B</v>
      </c>
    </row>
    <row r="8" spans="1:19" ht="24.95" customHeight="1" x14ac:dyDescent="0.25">
      <c r="A8" s="1431"/>
      <c r="B8" s="1426">
        <v>1</v>
      </c>
      <c r="C8" s="1432"/>
      <c r="D8" s="361" t="s">
        <v>20</v>
      </c>
      <c r="E8" s="361">
        <f>VLOOKUP(A7,UHT_IPA,25,FALSE)</f>
        <v>69.833333333333329</v>
      </c>
      <c r="F8" s="1191">
        <f t="shared" ref="F8" si="0">E8*2</f>
        <v>139.66666666666666</v>
      </c>
      <c r="G8" s="361">
        <v>78</v>
      </c>
      <c r="H8" s="457">
        <f>VLOOKUP(B7,REKAP_NILAI,47,FALSE)</f>
        <v>86.36363636363636</v>
      </c>
      <c r="I8" s="709">
        <f t="shared" ref="I8" si="1">F8+G8+H8</f>
        <v>304.030303030303</v>
      </c>
      <c r="J8" s="1451">
        <f t="shared" ref="J8" si="2">(F8+G8+H8)/4</f>
        <v>76.007575757575751</v>
      </c>
      <c r="K8" s="709" t="str">
        <f t="shared" ref="K8:K9" si="3">IF(J8&gt;85,("4"),IF(J8&gt;80,("3.66"),IF(J8&gt;75,("3.33"),IF(J8&gt;70,("3.00"),IF(J8&gt;65,("2.66"),IF(J8&gt;60,("2.33"),IF(J8&gt;55,("2"),IF(J8&gt;50,("1.66"),"1.33"))))))))</f>
        <v>3.33</v>
      </c>
      <c r="L8" s="709" t="str">
        <f t="shared" ref="L8:L9" si="4">IF(J8&gt;85,("A"),IF(J8&gt;80,("A-"),IF(J8&gt;75,("B+"),IF(J8&gt;70,("B"),IF(J8&gt;65,("B-"),IF(J8&gt;60,("C+"),IF(J8&gt;55,("C"),IF(J8&gt;50,("C-"),"D+"))))))))</f>
        <v>B+</v>
      </c>
      <c r="M8" s="1452" t="str">
        <f t="shared" ref="M8:M9" si="5">IF(J8&gt;80,("SB"),IF(J8&gt;65,("B"),IF(J8&gt;50,("C"),IF(J8&gt;0,("K"),"0"))))</f>
        <v>B</v>
      </c>
      <c r="N8" s="1433"/>
      <c r="O8" s="1434"/>
      <c r="P8" s="1434"/>
      <c r="Q8" s="1435"/>
      <c r="R8" s="1830"/>
      <c r="S8" s="1456"/>
    </row>
    <row r="9" spans="1:19" s="1419" customFormat="1" ht="24.95" customHeight="1" x14ac:dyDescent="0.25">
      <c r="A9" s="1436"/>
      <c r="B9" s="1437">
        <v>1</v>
      </c>
      <c r="C9" s="1438" t="s">
        <v>149</v>
      </c>
      <c r="D9" s="1439">
        <v>1</v>
      </c>
      <c r="E9" s="1436"/>
      <c r="F9" s="1448"/>
      <c r="G9" s="1436"/>
      <c r="H9" s="1440">
        <f>AVERAGE(H7:H8)</f>
        <v>88.636363636363626</v>
      </c>
      <c r="I9" s="1453"/>
      <c r="J9" s="1454">
        <f>AVERAGE(J7:J8)</f>
        <v>74.846590909090907</v>
      </c>
      <c r="K9" s="1454" t="str">
        <f t="shared" si="3"/>
        <v>3.00</v>
      </c>
      <c r="L9" s="1454" t="str">
        <f t="shared" si="4"/>
        <v>B</v>
      </c>
      <c r="M9" s="1455" t="str">
        <f t="shared" si="5"/>
        <v>B</v>
      </c>
      <c r="N9" s="1441"/>
      <c r="O9" s="1442"/>
      <c r="P9" s="1442"/>
      <c r="Q9" s="1443"/>
      <c r="R9" s="1831"/>
      <c r="S9" s="1457"/>
    </row>
    <row r="10" spans="1:19" ht="24.95" customHeight="1" x14ac:dyDescent="0.25">
      <c r="A10" s="1207">
        <v>2</v>
      </c>
      <c r="B10" s="1426">
        <v>2</v>
      </c>
      <c r="C10" s="1427" t="str">
        <f>VLOOKUP(A10,data_siswa,4,FALSE)</f>
        <v>Angelia Vabel R</v>
      </c>
      <c r="D10" s="361" t="s">
        <v>18</v>
      </c>
      <c r="E10" s="362"/>
      <c r="F10" s="1191">
        <f>E10*2</f>
        <v>0</v>
      </c>
      <c r="G10" s="362"/>
      <c r="H10" s="457">
        <f>VLOOKUP(B10,REKAP_NILAI,46,FALSE)</f>
        <v>0</v>
      </c>
      <c r="I10" s="709">
        <f>F10+G10+H10</f>
        <v>0</v>
      </c>
      <c r="J10" s="1451">
        <f>(F10+G10+H10)/4</f>
        <v>0</v>
      </c>
      <c r="K10" s="709" t="str">
        <f>IF(J10&gt;85,("4"),IF(J10&gt;80,("3.66"),IF(J10&gt;75,("3.33"),IF(J10&gt;70,("3.00"),IF(J10&gt;65,("2.66"),IF(J10&gt;60,("2.33"),IF(J10&gt;55,("2"),IF(J10&gt;50,("1.66"),"1.33"))))))))</f>
        <v>1.33</v>
      </c>
      <c r="L10" s="709" t="str">
        <f>IF(J10&gt;85,("A"),IF(J10&gt;80,("A-"),IF(J10&gt;75,("B+"),IF(J10&gt;70,("B"),IF(J10&gt;65,("B-"),IF(J10&gt;60,("C+"),IF(J10&gt;55,("C"),IF(J10&gt;50,("C-"),"D+"))))))))</f>
        <v>D+</v>
      </c>
      <c r="M10" s="1452" t="str">
        <f>IF(J10&gt;80,("SB"),IF(J10&gt;65,("B"),IF(J10&gt;50,("C"),IF(J10&gt;0,("K"),"0"))))</f>
        <v>0</v>
      </c>
      <c r="N10" s="1429">
        <v>4</v>
      </c>
      <c r="O10" s="1207"/>
      <c r="P10" s="1430"/>
      <c r="Q10" s="1430">
        <v>2</v>
      </c>
      <c r="R10" s="704">
        <f t="shared" ref="R10" si="6">J12</f>
        <v>0</v>
      </c>
      <c r="S10" s="466" t="str">
        <f>IF(R10&gt;85,("A"),IF(R10&gt;80,("A-"),IF(R10&gt;75,("B+"),IF(R10&gt;70,("B"),IF(R10&gt;65,("B-"),IF(R10&gt;60,("C+"),IF(R10&gt;55,("C"),IF(R10&gt;50,("C-"),"D+"))))))))</f>
        <v>D+</v>
      </c>
    </row>
    <row r="11" spans="1:19" ht="24.95" customHeight="1" x14ac:dyDescent="0.25">
      <c r="A11" s="1431"/>
      <c r="B11" s="1426">
        <v>2</v>
      </c>
      <c r="C11" s="1432"/>
      <c r="D11" s="361" t="s">
        <v>20</v>
      </c>
      <c r="E11" s="361"/>
      <c r="F11" s="1191">
        <f t="shared" ref="F11" si="7">E11*2</f>
        <v>0</v>
      </c>
      <c r="G11" s="361"/>
      <c r="H11" s="457">
        <f>VLOOKUP(B10,REKAP_NILAI,47,FALSE)</f>
        <v>0</v>
      </c>
      <c r="I11" s="709">
        <f t="shared" ref="I11" si="8">F11+G11+H11</f>
        <v>0</v>
      </c>
      <c r="J11" s="1451">
        <f t="shared" ref="J11" si="9">(F11+G11+H11)/4</f>
        <v>0</v>
      </c>
      <c r="K11" s="709" t="str">
        <f t="shared" ref="K11" si="10">IF(J11&gt;85,("4"),IF(J11&gt;80,("3.66"),IF(J11&gt;75,("3.33"),IF(J11&gt;70,("3.00"),IF(J11&gt;65,("2.66"),IF(J11&gt;60,("2.33"),IF(J11&gt;55,("2"),IF(J11&gt;50,("1.66"),"1.33"))))))))</f>
        <v>1.33</v>
      </c>
      <c r="L11" s="709" t="str">
        <f t="shared" ref="L11" si="11">IF(J11&gt;85,("A"),IF(J11&gt;80,("A-"),IF(J11&gt;75,("B+"),IF(J11&gt;70,("B"),IF(J11&gt;65,("B-"),IF(J11&gt;60,("C+"),IF(J11&gt;55,("C"),IF(J11&gt;50,("C-"),"D+"))))))))</f>
        <v>D+</v>
      </c>
      <c r="M11" s="1452" t="str">
        <f t="shared" ref="M11" si="12">IF(J11&gt;80,("SB"),IF(J11&gt;65,("B"),IF(J11&gt;50,("C"),IF(J11&gt;0,("K"),"0"))))</f>
        <v>0</v>
      </c>
      <c r="N11" s="1433"/>
      <c r="O11" s="1434"/>
      <c r="P11" s="1434"/>
      <c r="Q11" s="1435"/>
      <c r="R11" s="1830"/>
      <c r="S11" s="1456"/>
    </row>
    <row r="12" spans="1:19" ht="24.95" customHeight="1" x14ac:dyDescent="0.25">
      <c r="A12" s="1436"/>
      <c r="B12" s="1437">
        <v>2</v>
      </c>
      <c r="C12" s="1438" t="s">
        <v>149</v>
      </c>
      <c r="D12" s="1439">
        <v>2</v>
      </c>
      <c r="E12" s="1436"/>
      <c r="F12" s="1448"/>
      <c r="G12" s="1436"/>
      <c r="H12" s="1440">
        <f>AVERAGE(H10:H11)</f>
        <v>0</v>
      </c>
      <c r="I12" s="1453"/>
      <c r="J12" s="1454">
        <f>AVERAGE(J10:J11)</f>
        <v>0</v>
      </c>
      <c r="K12" s="1454" t="str">
        <f t="shared" ref="K12" si="13">IF(J12&gt;85,("4"),IF(J12&gt;80,("3.66"),IF(J12&gt;75,("3.33"),IF(J12&gt;70,("3.00"),IF(J12&gt;65,("2.66"),IF(J12&gt;60,("2.33"),IF(J12&gt;55,("2"),IF(J12&gt;50,("1.66"),"1.33"))))))))</f>
        <v>1.33</v>
      </c>
      <c r="L12" s="1454" t="str">
        <f t="shared" ref="L12" si="14">IF(J12&gt;85,("A"),IF(J12&gt;80,("A-"),IF(J12&gt;75,("B+"),IF(J12&gt;70,("B"),IF(J12&gt;65,("B-"),IF(J12&gt;60,("C+"),IF(J12&gt;55,("C"),IF(J12&gt;50,("C-"),"D+"))))))))</f>
        <v>D+</v>
      </c>
      <c r="M12" s="1455" t="str">
        <f t="shared" ref="M12" si="15">IF(J12&gt;80,("SB"),IF(J12&gt;65,("B"),IF(J12&gt;50,("C"),IF(J12&gt;0,("K"),"0"))))</f>
        <v>0</v>
      </c>
      <c r="N12" s="1441"/>
      <c r="O12" s="1442"/>
      <c r="P12" s="1442"/>
      <c r="Q12" s="1443"/>
      <c r="R12" s="1831"/>
      <c r="S12" s="1457"/>
    </row>
    <row r="13" spans="1:19" ht="24.95" customHeight="1" x14ac:dyDescent="0.25">
      <c r="A13" s="1207">
        <v>3</v>
      </c>
      <c r="B13" s="1426">
        <v>3</v>
      </c>
      <c r="C13" s="1427" t="str">
        <f>VLOOKUP(A13,data_siswa,4,FALSE)</f>
        <v>Anggun Dwi P.I</v>
      </c>
      <c r="D13" s="361" t="s">
        <v>18</v>
      </c>
      <c r="E13" s="362"/>
      <c r="F13" s="1191">
        <f>E13*2</f>
        <v>0</v>
      </c>
      <c r="G13" s="362"/>
      <c r="H13" s="457">
        <f>VLOOKUP(B13,REKAP_NILAI,46,FALSE)</f>
        <v>0</v>
      </c>
      <c r="I13" s="709">
        <f>F13+G13+H13</f>
        <v>0</v>
      </c>
      <c r="J13" s="1451">
        <f>(F13+G13+H13)/4</f>
        <v>0</v>
      </c>
      <c r="K13" s="709" t="str">
        <f>IF(J13&gt;85,("4"),IF(J13&gt;80,("3.66"),IF(J13&gt;75,("3.33"),IF(J13&gt;70,("3.00"),IF(J13&gt;65,("2.66"),IF(J13&gt;60,("2.33"),IF(J13&gt;55,("2"),IF(J13&gt;50,("1.66"),"1.33"))))))))</f>
        <v>1.33</v>
      </c>
      <c r="L13" s="709" t="str">
        <f>IF(J13&gt;85,("A"),IF(J13&gt;80,("A-"),IF(J13&gt;75,("B+"),IF(J13&gt;70,("B"),IF(J13&gt;65,("B-"),IF(J13&gt;60,("C+"),IF(J13&gt;55,("C"),IF(J13&gt;50,("C-"),"D+"))))))))</f>
        <v>D+</v>
      </c>
      <c r="M13" s="1452" t="str">
        <f>IF(J13&gt;80,("SB"),IF(J13&gt;65,("B"),IF(J13&gt;50,("C"),IF(J13&gt;0,("K"),"0"))))</f>
        <v>0</v>
      </c>
      <c r="N13" s="1429"/>
      <c r="O13" s="1207"/>
      <c r="P13" s="1430"/>
      <c r="Q13" s="1430"/>
      <c r="R13" s="704">
        <f t="shared" ref="R13" si="16">J15</f>
        <v>0</v>
      </c>
      <c r="S13" s="466" t="str">
        <f>IF(R13&gt;85,("A"),IF(R13&gt;80,("A-"),IF(R13&gt;75,("B+"),IF(R13&gt;70,("B"),IF(R13&gt;65,("B-"),IF(R13&gt;60,("C+"),IF(R13&gt;55,("C"),IF(R13&gt;50,("C-"),"D+"))))))))</f>
        <v>D+</v>
      </c>
    </row>
    <row r="14" spans="1:19" ht="24.95" customHeight="1" x14ac:dyDescent="0.25">
      <c r="A14" s="1431"/>
      <c r="B14" s="1426">
        <v>3</v>
      </c>
      <c r="C14" s="1432"/>
      <c r="D14" s="361" t="s">
        <v>20</v>
      </c>
      <c r="E14" s="361"/>
      <c r="F14" s="1191">
        <f t="shared" ref="F14" si="17">E14*2</f>
        <v>0</v>
      </c>
      <c r="G14" s="361"/>
      <c r="H14" s="457">
        <f>VLOOKUP(B13,REKAP_NILAI,47,FALSE)</f>
        <v>0</v>
      </c>
      <c r="I14" s="709">
        <f t="shared" ref="I14" si="18">F14+G14+H14</f>
        <v>0</v>
      </c>
      <c r="J14" s="1451">
        <f t="shared" ref="J14" si="19">(F14+G14+H14)/4</f>
        <v>0</v>
      </c>
      <c r="K14" s="709" t="str">
        <f t="shared" ref="K14" si="20">IF(J14&gt;85,("4"),IF(J14&gt;80,("3.66"),IF(J14&gt;75,("3.33"),IF(J14&gt;70,("3.00"),IF(J14&gt;65,("2.66"),IF(J14&gt;60,("2.33"),IF(J14&gt;55,("2"),IF(J14&gt;50,("1.66"),"1.33"))))))))</f>
        <v>1.33</v>
      </c>
      <c r="L14" s="709" t="str">
        <f t="shared" ref="L14" si="21">IF(J14&gt;85,("A"),IF(J14&gt;80,("A-"),IF(J14&gt;75,("B+"),IF(J14&gt;70,("B"),IF(J14&gt;65,("B-"),IF(J14&gt;60,("C+"),IF(J14&gt;55,("C"),IF(J14&gt;50,("C-"),"D+"))))))))</f>
        <v>D+</v>
      </c>
      <c r="M14" s="1452" t="str">
        <f t="shared" ref="M14" si="22">IF(J14&gt;80,("SB"),IF(J14&gt;65,("B"),IF(J14&gt;50,("C"),IF(J14&gt;0,("K"),"0"))))</f>
        <v>0</v>
      </c>
      <c r="N14" s="1444"/>
      <c r="O14" s="1445"/>
      <c r="P14" s="1446"/>
      <c r="Q14" s="1447"/>
      <c r="R14" s="1830"/>
      <c r="S14" s="1456"/>
    </row>
    <row r="15" spans="1:19" ht="24.95" customHeight="1" x14ac:dyDescent="0.25">
      <c r="A15" s="1436"/>
      <c r="B15" s="1437"/>
      <c r="C15" s="1438" t="s">
        <v>149</v>
      </c>
      <c r="D15" s="1439">
        <v>3</v>
      </c>
      <c r="E15" s="1436"/>
      <c r="F15" s="1448"/>
      <c r="G15" s="1436"/>
      <c r="H15" s="1440">
        <f>AVERAGE(H13:H14)</f>
        <v>0</v>
      </c>
      <c r="I15" s="1453"/>
      <c r="J15" s="1454">
        <f>AVERAGE(J13:J14)</f>
        <v>0</v>
      </c>
      <c r="K15" s="1454" t="str">
        <f t="shared" ref="K15" si="23">IF(J15&gt;85,("4"),IF(J15&gt;80,("3.66"),IF(J15&gt;75,("3.33"),IF(J15&gt;70,("3.00"),IF(J15&gt;65,("2.66"),IF(J15&gt;60,("2.33"),IF(J15&gt;55,("2"),IF(J15&gt;50,("1.66"),"1.33"))))))))</f>
        <v>1.33</v>
      </c>
      <c r="L15" s="1454" t="str">
        <f t="shared" ref="L15" si="24">IF(J15&gt;85,("A"),IF(J15&gt;80,("A-"),IF(J15&gt;75,("B+"),IF(J15&gt;70,("B"),IF(J15&gt;65,("B-"),IF(J15&gt;60,("C+"),IF(J15&gt;55,("C"),IF(J15&gt;50,("C-"),"D+"))))))))</f>
        <v>D+</v>
      </c>
      <c r="M15" s="1455" t="str">
        <f t="shared" ref="M15" si="25">IF(J15&gt;80,("SB"),IF(J15&gt;65,("B"),IF(J15&gt;50,("C"),IF(J15&gt;0,("K"),"0"))))</f>
        <v>0</v>
      </c>
      <c r="N15" s="1441"/>
      <c r="O15" s="1442"/>
      <c r="P15" s="1442"/>
      <c r="Q15" s="1443"/>
      <c r="R15" s="1831"/>
      <c r="S15" s="1457"/>
    </row>
    <row r="16" spans="1:19" ht="24.95" customHeight="1" x14ac:dyDescent="0.25">
      <c r="A16" s="1207">
        <v>4</v>
      </c>
      <c r="B16" s="1426">
        <v>4</v>
      </c>
      <c r="C16" s="1427" t="str">
        <f>VLOOKUP(A16,data_siswa,4,FALSE)</f>
        <v>Antonio Permata A</v>
      </c>
      <c r="D16" s="361" t="s">
        <v>18</v>
      </c>
      <c r="E16" s="362"/>
      <c r="F16" s="1191">
        <f>E16*2</f>
        <v>0</v>
      </c>
      <c r="G16" s="362"/>
      <c r="H16" s="457">
        <f>VLOOKUP(B16,REKAP_NILAI,46,FALSE)</f>
        <v>0</v>
      </c>
      <c r="I16" s="709">
        <f>F16+G16+H16</f>
        <v>0</v>
      </c>
      <c r="J16" s="1451">
        <f>(F16+G16+H16)/4</f>
        <v>0</v>
      </c>
      <c r="K16" s="709" t="str">
        <f>IF(J16&gt;85,("4"),IF(J16&gt;80,("3.66"),IF(J16&gt;75,("3.33"),IF(J16&gt;70,("3.00"),IF(J16&gt;65,("2.66"),IF(J16&gt;60,("2.33"),IF(J16&gt;55,("2"),IF(J16&gt;50,("1.66"),"1.33"))))))))</f>
        <v>1.33</v>
      </c>
      <c r="L16" s="709" t="str">
        <f>IF(J16&gt;85,("A"),IF(J16&gt;80,("A-"),IF(J16&gt;75,("B+"),IF(J16&gt;70,("B"),IF(J16&gt;65,("B-"),IF(J16&gt;60,("C+"),IF(J16&gt;55,("C"),IF(J16&gt;50,("C-"),"D+"))))))))</f>
        <v>D+</v>
      </c>
      <c r="M16" s="1452" t="str">
        <f>IF(J16&gt;80,("SB"),IF(J16&gt;65,("B"),IF(J16&gt;50,("C"),IF(J16&gt;0,("K"),"0"))))</f>
        <v>0</v>
      </c>
      <c r="N16" s="1429"/>
      <c r="O16" s="1207"/>
      <c r="P16" s="1430"/>
      <c r="Q16" s="1430"/>
      <c r="R16" s="704">
        <f t="shared" ref="R16" si="26">J18</f>
        <v>0</v>
      </c>
      <c r="S16" s="466" t="str">
        <f>IF(R16&gt;85,("A"),IF(R16&gt;80,("A-"),IF(R16&gt;75,("B+"),IF(R16&gt;70,("B"),IF(R16&gt;65,("B-"),IF(R16&gt;60,("C+"),IF(R16&gt;55,("C"),IF(R16&gt;50,("C-"),"D+"))))))))</f>
        <v>D+</v>
      </c>
    </row>
    <row r="17" spans="1:19" ht="24.95" customHeight="1" x14ac:dyDescent="0.25">
      <c r="A17" s="1431"/>
      <c r="B17" s="1426">
        <v>4</v>
      </c>
      <c r="C17" s="1432"/>
      <c r="D17" s="361" t="s">
        <v>20</v>
      </c>
      <c r="E17" s="361"/>
      <c r="F17" s="1191">
        <f t="shared" ref="F17" si="27">E17*2</f>
        <v>0</v>
      </c>
      <c r="G17" s="361"/>
      <c r="H17" s="457">
        <f>VLOOKUP(B16,REKAP_NILAI,47,FALSE)</f>
        <v>0</v>
      </c>
      <c r="I17" s="709">
        <f t="shared" ref="I17" si="28">F17+G17+H17</f>
        <v>0</v>
      </c>
      <c r="J17" s="1451">
        <f t="shared" ref="J17" si="29">(F17+G17+H17)/4</f>
        <v>0</v>
      </c>
      <c r="K17" s="709" t="str">
        <f t="shared" ref="K17" si="30">IF(J17&gt;85,("4"),IF(J17&gt;80,("3.66"),IF(J17&gt;75,("3.33"),IF(J17&gt;70,("3.00"),IF(J17&gt;65,("2.66"),IF(J17&gt;60,("2.33"),IF(J17&gt;55,("2"),IF(J17&gt;50,("1.66"),"1.33"))))))))</f>
        <v>1.33</v>
      </c>
      <c r="L17" s="709" t="str">
        <f t="shared" ref="L17" si="31">IF(J17&gt;85,("A"),IF(J17&gt;80,("A-"),IF(J17&gt;75,("B+"),IF(J17&gt;70,("B"),IF(J17&gt;65,("B-"),IF(J17&gt;60,("C+"),IF(J17&gt;55,("C"),IF(J17&gt;50,("C-"),"D+"))))))))</f>
        <v>D+</v>
      </c>
      <c r="M17" s="1452" t="str">
        <f t="shared" ref="M17" si="32">IF(J17&gt;80,("SB"),IF(J17&gt;65,("B"),IF(J17&gt;50,("C"),IF(J17&gt;0,("K"),"0"))))</f>
        <v>0</v>
      </c>
      <c r="N17" s="1444"/>
      <c r="O17" s="1445"/>
      <c r="P17" s="1446"/>
      <c r="Q17" s="1447"/>
      <c r="R17" s="1830"/>
      <c r="S17" s="1456"/>
    </row>
    <row r="18" spans="1:19" ht="24.95" customHeight="1" x14ac:dyDescent="0.25">
      <c r="A18" s="1436"/>
      <c r="B18" s="1437"/>
      <c r="C18" s="1438" t="s">
        <v>149</v>
      </c>
      <c r="D18" s="1439">
        <v>4</v>
      </c>
      <c r="E18" s="1436"/>
      <c r="F18" s="1448"/>
      <c r="G18" s="1436"/>
      <c r="H18" s="1440">
        <f>AVERAGE(H16:H17)</f>
        <v>0</v>
      </c>
      <c r="I18" s="1453"/>
      <c r="J18" s="1454">
        <f>AVERAGE(J16:J17)</f>
        <v>0</v>
      </c>
      <c r="K18" s="1454" t="str">
        <f t="shared" ref="K18" si="33">IF(J18&gt;85,("4"),IF(J18&gt;80,("3.66"),IF(J18&gt;75,("3.33"),IF(J18&gt;70,("3.00"),IF(J18&gt;65,("2.66"),IF(J18&gt;60,("2.33"),IF(J18&gt;55,("2"),IF(J18&gt;50,("1.66"),"1.33"))))))))</f>
        <v>1.33</v>
      </c>
      <c r="L18" s="1454" t="str">
        <f t="shared" ref="L18" si="34">IF(J18&gt;85,("A"),IF(J18&gt;80,("A-"),IF(J18&gt;75,("B+"),IF(J18&gt;70,("B"),IF(J18&gt;65,("B-"),IF(J18&gt;60,("C+"),IF(J18&gt;55,("C"),IF(J18&gt;50,("C-"),"D+"))))))))</f>
        <v>D+</v>
      </c>
      <c r="M18" s="1455" t="str">
        <f t="shared" ref="M18" si="35">IF(J18&gt;80,("SB"),IF(J18&gt;65,("B"),IF(J18&gt;50,("C"),IF(J18&gt;0,("K"),"0"))))</f>
        <v>0</v>
      </c>
      <c r="N18" s="1441"/>
      <c r="O18" s="1442"/>
      <c r="P18" s="1442"/>
      <c r="Q18" s="1443"/>
      <c r="R18" s="1831"/>
      <c r="S18" s="1457"/>
    </row>
    <row r="19" spans="1:19" ht="24.95" customHeight="1" x14ac:dyDescent="0.25">
      <c r="A19" s="1207">
        <v>5</v>
      </c>
      <c r="B19" s="1426">
        <v>5</v>
      </c>
      <c r="C19" s="1427" t="str">
        <f>VLOOKUP(A19,data_siswa,4,FALSE)</f>
        <v>Arya Pratama G</v>
      </c>
      <c r="D19" s="361" t="s">
        <v>18</v>
      </c>
      <c r="E19" s="362"/>
      <c r="F19" s="1191">
        <f>E19*2</f>
        <v>0</v>
      </c>
      <c r="G19" s="362"/>
      <c r="H19" s="457">
        <f>VLOOKUP(B19,REKAP_NILAI,46,FALSE)</f>
        <v>0</v>
      </c>
      <c r="I19" s="709">
        <f>F19+G19+H19</f>
        <v>0</v>
      </c>
      <c r="J19" s="1451">
        <f>(F19+G19+H19)/4</f>
        <v>0</v>
      </c>
      <c r="K19" s="709" t="str">
        <f>IF(J19&gt;85,("4"),IF(J19&gt;80,("3.66"),IF(J19&gt;75,("3.33"),IF(J19&gt;70,("3.00"),IF(J19&gt;65,("2.66"),IF(J19&gt;60,("2.33"),IF(J19&gt;55,("2"),IF(J19&gt;50,("1.66"),"1.33"))))))))</f>
        <v>1.33</v>
      </c>
      <c r="L19" s="709" t="str">
        <f>IF(J19&gt;85,("A"),IF(J19&gt;80,("A-"),IF(J19&gt;75,("B+"),IF(J19&gt;70,("B"),IF(J19&gt;65,("B-"),IF(J19&gt;60,("C+"),IF(J19&gt;55,("C"),IF(J19&gt;50,("C-"),"D+"))))))))</f>
        <v>D+</v>
      </c>
      <c r="M19" s="1452" t="str">
        <f>IF(J19&gt;80,("SB"),IF(J19&gt;65,("B"),IF(J19&gt;50,("C"),IF(J19&gt;0,("K"),"0"))))</f>
        <v>0</v>
      </c>
      <c r="N19" s="1429"/>
      <c r="O19" s="1207"/>
      <c r="P19" s="1430"/>
      <c r="Q19" s="1430"/>
      <c r="R19" s="704">
        <f t="shared" ref="R19" si="36">J21</f>
        <v>0</v>
      </c>
      <c r="S19" s="466" t="str">
        <f>IF(R19&gt;85,("A"),IF(R19&gt;80,("A-"),IF(R19&gt;75,("B+"),IF(R19&gt;70,("B"),IF(R19&gt;65,("B-"),IF(R19&gt;60,("C+"),IF(R19&gt;55,("C"),IF(R19&gt;50,("C-"),"D+"))))))))</f>
        <v>D+</v>
      </c>
    </row>
    <row r="20" spans="1:19" ht="24.95" customHeight="1" x14ac:dyDescent="0.25">
      <c r="A20" s="1431"/>
      <c r="B20" s="1426">
        <v>5</v>
      </c>
      <c r="C20" s="1432"/>
      <c r="D20" s="361" t="s">
        <v>20</v>
      </c>
      <c r="E20" s="361"/>
      <c r="F20" s="1191">
        <f t="shared" ref="F20" si="37">E20*2</f>
        <v>0</v>
      </c>
      <c r="G20" s="361"/>
      <c r="H20" s="457">
        <f>VLOOKUP(B19,REKAP_NILAI,47,FALSE)</f>
        <v>0</v>
      </c>
      <c r="I20" s="709">
        <f t="shared" ref="I20" si="38">F20+G20+H20</f>
        <v>0</v>
      </c>
      <c r="J20" s="1451">
        <f t="shared" ref="J20" si="39">(F20+G20+H20)/4</f>
        <v>0</v>
      </c>
      <c r="K20" s="709" t="str">
        <f t="shared" ref="K20" si="40">IF(J20&gt;85,("4"),IF(J20&gt;80,("3.66"),IF(J20&gt;75,("3.33"),IF(J20&gt;70,("3.00"),IF(J20&gt;65,("2.66"),IF(J20&gt;60,("2.33"),IF(J20&gt;55,("2"),IF(J20&gt;50,("1.66"),"1.33"))))))))</f>
        <v>1.33</v>
      </c>
      <c r="L20" s="709" t="str">
        <f t="shared" ref="L20" si="41">IF(J20&gt;85,("A"),IF(J20&gt;80,("A-"),IF(J20&gt;75,("B+"),IF(J20&gt;70,("B"),IF(J20&gt;65,("B-"),IF(J20&gt;60,("C+"),IF(J20&gt;55,("C"),IF(J20&gt;50,("C-"),"D+"))))))))</f>
        <v>D+</v>
      </c>
      <c r="M20" s="1452" t="str">
        <f t="shared" ref="M20" si="42">IF(J20&gt;80,("SB"),IF(J20&gt;65,("B"),IF(J20&gt;50,("C"),IF(J20&gt;0,("K"),"0"))))</f>
        <v>0</v>
      </c>
      <c r="N20" s="1444"/>
      <c r="O20" s="1445"/>
      <c r="P20" s="1446"/>
      <c r="Q20" s="1447"/>
      <c r="R20" s="1830"/>
      <c r="S20" s="1456"/>
    </row>
    <row r="21" spans="1:19" ht="24.95" customHeight="1" x14ac:dyDescent="0.25">
      <c r="A21" s="1436"/>
      <c r="B21" s="1437"/>
      <c r="C21" s="1438" t="s">
        <v>149</v>
      </c>
      <c r="D21" s="1439">
        <v>5</v>
      </c>
      <c r="E21" s="1436"/>
      <c r="F21" s="1448"/>
      <c r="G21" s="1436"/>
      <c r="H21" s="1440">
        <f>AVERAGE(H19:H20)</f>
        <v>0</v>
      </c>
      <c r="I21" s="1453"/>
      <c r="J21" s="1454">
        <f>AVERAGE(J19:J20)</f>
        <v>0</v>
      </c>
      <c r="K21" s="1454" t="str">
        <f t="shared" ref="K21" si="43">IF(J21&gt;85,("4"),IF(J21&gt;80,("3.66"),IF(J21&gt;75,("3.33"),IF(J21&gt;70,("3.00"),IF(J21&gt;65,("2.66"),IF(J21&gt;60,("2.33"),IF(J21&gt;55,("2"),IF(J21&gt;50,("1.66"),"1.33"))))))))</f>
        <v>1.33</v>
      </c>
      <c r="L21" s="1454" t="str">
        <f t="shared" ref="L21" si="44">IF(J21&gt;85,("A"),IF(J21&gt;80,("A-"),IF(J21&gt;75,("B+"),IF(J21&gt;70,("B"),IF(J21&gt;65,("B-"),IF(J21&gt;60,("C+"),IF(J21&gt;55,("C"),IF(J21&gt;50,("C-"),"D+"))))))))</f>
        <v>D+</v>
      </c>
      <c r="M21" s="1455" t="str">
        <f t="shared" ref="M21" si="45">IF(J21&gt;80,("SB"),IF(J21&gt;65,("B"),IF(J21&gt;50,("C"),IF(J21&gt;0,("K"),"0"))))</f>
        <v>0</v>
      </c>
      <c r="N21" s="1441"/>
      <c r="O21" s="1442"/>
      <c r="P21" s="1442"/>
      <c r="Q21" s="1443"/>
      <c r="R21" s="1831"/>
      <c r="S21" s="1457"/>
    </row>
    <row r="22" spans="1:19" ht="24.95" customHeight="1" x14ac:dyDescent="0.25">
      <c r="A22" s="1207">
        <v>6</v>
      </c>
      <c r="B22" s="1426">
        <v>6</v>
      </c>
      <c r="C22" s="1427" t="str">
        <f>VLOOKUP(A22,data_siswa,4,FALSE)</f>
        <v>Asyam Hanif Ihsan H</v>
      </c>
      <c r="D22" s="361" t="s">
        <v>18</v>
      </c>
      <c r="E22" s="362"/>
      <c r="F22" s="1191">
        <f>E22*2</f>
        <v>0</v>
      </c>
      <c r="G22" s="362"/>
      <c r="H22" s="457">
        <f>VLOOKUP(B22,REKAP_NILAI,46,FALSE)</f>
        <v>0</v>
      </c>
      <c r="I22" s="709">
        <f>F22+G22+H22</f>
        <v>0</v>
      </c>
      <c r="J22" s="1451">
        <f>(F22+G22+H22)/4</f>
        <v>0</v>
      </c>
      <c r="K22" s="709" t="str">
        <f>IF(J22&gt;85,("4"),IF(J22&gt;80,("3.66"),IF(J22&gt;75,("3.33"),IF(J22&gt;70,("3.00"),IF(J22&gt;65,("2.66"),IF(J22&gt;60,("2.33"),IF(J22&gt;55,("2"),IF(J22&gt;50,("1.66"),"1.33"))))))))</f>
        <v>1.33</v>
      </c>
      <c r="L22" s="709" t="str">
        <f>IF(J22&gt;85,("A"),IF(J22&gt;80,("A-"),IF(J22&gt;75,("B+"),IF(J22&gt;70,("B"),IF(J22&gt;65,("B-"),IF(J22&gt;60,("C+"),IF(J22&gt;55,("C"),IF(J22&gt;50,("C-"),"D+"))))))))</f>
        <v>D+</v>
      </c>
      <c r="M22" s="1452" t="str">
        <f>IF(J22&gt;80,("SB"),IF(J22&gt;65,("B"),IF(J22&gt;50,("C"),IF(J22&gt;0,("K"),"0"))))</f>
        <v>0</v>
      </c>
      <c r="N22" s="1429"/>
      <c r="O22" s="1207"/>
      <c r="P22" s="1430"/>
      <c r="Q22" s="1430"/>
      <c r="R22" s="704">
        <f t="shared" ref="R22" si="46">J24</f>
        <v>0</v>
      </c>
      <c r="S22" s="466" t="str">
        <f>IF(R22&gt;85,("A"),IF(R22&gt;80,("A-"),IF(R22&gt;75,("B+"),IF(R22&gt;70,("B"),IF(R22&gt;65,("B-"),IF(R22&gt;60,("C+"),IF(R22&gt;55,("C"),IF(R22&gt;50,("C-"),"D+"))))))))</f>
        <v>D+</v>
      </c>
    </row>
    <row r="23" spans="1:19" ht="24.95" customHeight="1" x14ac:dyDescent="0.25">
      <c r="A23" s="1431"/>
      <c r="B23" s="1426">
        <v>6</v>
      </c>
      <c r="C23" s="1432"/>
      <c r="D23" s="361" t="s">
        <v>20</v>
      </c>
      <c r="E23" s="361"/>
      <c r="F23" s="1191">
        <f t="shared" ref="F23" si="47">E23*2</f>
        <v>0</v>
      </c>
      <c r="G23" s="361"/>
      <c r="H23" s="457">
        <f>VLOOKUP(B22,REKAP_NILAI,47,FALSE)</f>
        <v>0</v>
      </c>
      <c r="I23" s="709">
        <f t="shared" ref="I23" si="48">F23+G23+H23</f>
        <v>0</v>
      </c>
      <c r="J23" s="1451">
        <f t="shared" ref="J23" si="49">(F23+G23+H23)/4</f>
        <v>0</v>
      </c>
      <c r="K23" s="709" t="str">
        <f t="shared" ref="K23:K24" si="50">IF(J23&gt;85,("4"),IF(J23&gt;80,("3.66"),IF(J23&gt;75,("3.33"),IF(J23&gt;70,("3.00"),IF(J23&gt;65,("2.66"),IF(J23&gt;60,("2.33"),IF(J23&gt;55,("2"),IF(J23&gt;50,("1.66"),"1.33"))))))))</f>
        <v>1.33</v>
      </c>
      <c r="L23" s="709" t="str">
        <f t="shared" ref="L23:L24" si="51">IF(J23&gt;85,("A"),IF(J23&gt;80,("A-"),IF(J23&gt;75,("B+"),IF(J23&gt;70,("B"),IF(J23&gt;65,("B-"),IF(J23&gt;60,("C+"),IF(J23&gt;55,("C"),IF(J23&gt;50,("C-"),"D+"))))))))</f>
        <v>D+</v>
      </c>
      <c r="M23" s="1452" t="str">
        <f t="shared" ref="M23:M24" si="52">IF(J23&gt;80,("SB"),IF(J23&gt;65,("B"),IF(J23&gt;50,("C"),IF(J23&gt;0,("K"),"0"))))</f>
        <v>0</v>
      </c>
      <c r="N23" s="1444"/>
      <c r="O23" s="1445"/>
      <c r="P23" s="1446"/>
      <c r="Q23" s="1447"/>
      <c r="R23" s="1830"/>
      <c r="S23" s="1456"/>
    </row>
    <row r="24" spans="1:19" ht="24.95" customHeight="1" x14ac:dyDescent="0.25">
      <c r="A24" s="1436"/>
      <c r="B24" s="1437"/>
      <c r="C24" s="1438" t="s">
        <v>149</v>
      </c>
      <c r="D24" s="1439">
        <v>6</v>
      </c>
      <c r="E24" s="1436"/>
      <c r="F24" s="1448"/>
      <c r="G24" s="1436"/>
      <c r="H24" s="1440">
        <f>AVERAGE(H22:H23)</f>
        <v>0</v>
      </c>
      <c r="I24" s="1453"/>
      <c r="J24" s="1454">
        <f>AVERAGE(J22:J23)</f>
        <v>0</v>
      </c>
      <c r="K24" s="1454" t="str">
        <f t="shared" si="50"/>
        <v>1.33</v>
      </c>
      <c r="L24" s="1454" t="str">
        <f t="shared" si="51"/>
        <v>D+</v>
      </c>
      <c r="M24" s="1455" t="str">
        <f t="shared" si="52"/>
        <v>0</v>
      </c>
      <c r="N24" s="1441"/>
      <c r="O24" s="1442"/>
      <c r="P24" s="1442"/>
      <c r="Q24" s="1443"/>
      <c r="R24" s="1831"/>
      <c r="S24" s="1457"/>
    </row>
    <row r="25" spans="1:19" ht="24.95" customHeight="1" x14ac:dyDescent="0.25">
      <c r="A25" s="1207">
        <v>7</v>
      </c>
      <c r="B25" s="1426">
        <v>7</v>
      </c>
      <c r="C25" s="1427" t="str">
        <f>VLOOKUP(A25,data_siswa,4,FALSE)</f>
        <v>Athaya Salsabilla Z</v>
      </c>
      <c r="D25" s="361" t="s">
        <v>18</v>
      </c>
      <c r="E25" s="362"/>
      <c r="F25" s="1191">
        <f>E25*2</f>
        <v>0</v>
      </c>
      <c r="G25" s="362"/>
      <c r="H25" s="457">
        <f>VLOOKUP(B25,REKAP_NILAI,46,FALSE)</f>
        <v>0</v>
      </c>
      <c r="I25" s="709">
        <f>F25+G25+H25</f>
        <v>0</v>
      </c>
      <c r="J25" s="1451">
        <f>(F25+G25+H25)/4</f>
        <v>0</v>
      </c>
      <c r="K25" s="709" t="str">
        <f>IF(J25&gt;85,("4"),IF(J25&gt;80,("3.66"),IF(J25&gt;75,("3.33"),IF(J25&gt;70,("3.00"),IF(J25&gt;65,("2.66"),IF(J25&gt;60,("2.33"),IF(J25&gt;55,("2"),IF(J25&gt;50,("1.66"),"1.33"))))))))</f>
        <v>1.33</v>
      </c>
      <c r="L25" s="709" t="str">
        <f>IF(J25&gt;85,("A"),IF(J25&gt;80,("A-"),IF(J25&gt;75,("B+"),IF(J25&gt;70,("B"),IF(J25&gt;65,("B-"),IF(J25&gt;60,("C+"),IF(J25&gt;55,("C"),IF(J25&gt;50,("C-"),"D+"))))))))</f>
        <v>D+</v>
      </c>
      <c r="M25" s="1452" t="str">
        <f>IF(J25&gt;80,("SB"),IF(J25&gt;65,("B"),IF(J25&gt;50,("C"),IF(J25&gt;0,("K"),"0"))))</f>
        <v>0</v>
      </c>
      <c r="N25" s="1429"/>
      <c r="O25" s="1207"/>
      <c r="P25" s="1430"/>
      <c r="Q25" s="1430"/>
      <c r="R25" s="704">
        <f t="shared" ref="R25" si="53">J27</f>
        <v>0</v>
      </c>
      <c r="S25" s="466" t="str">
        <f>IF(R25&gt;85,("A"),IF(R25&gt;80,("A-"),IF(R25&gt;75,("B+"),IF(R25&gt;70,("B"),IF(R25&gt;65,("B-"),IF(R25&gt;60,("C+"),IF(R25&gt;55,("C"),IF(R25&gt;50,("C-"),"D+"))))))))</f>
        <v>D+</v>
      </c>
    </row>
    <row r="26" spans="1:19" ht="24.95" customHeight="1" x14ac:dyDescent="0.25">
      <c r="A26" s="1431"/>
      <c r="B26" s="1426">
        <v>7</v>
      </c>
      <c r="C26" s="1432"/>
      <c r="D26" s="361" t="s">
        <v>20</v>
      </c>
      <c r="E26" s="361"/>
      <c r="F26" s="1191">
        <f t="shared" ref="F26" si="54">E26*2</f>
        <v>0</v>
      </c>
      <c r="G26" s="361"/>
      <c r="H26" s="457">
        <f>VLOOKUP(B25,REKAP_NILAI,47,FALSE)</f>
        <v>0</v>
      </c>
      <c r="I26" s="709">
        <f t="shared" ref="I26" si="55">F26+G26+H26</f>
        <v>0</v>
      </c>
      <c r="J26" s="1451">
        <f t="shared" ref="J26" si="56">(F26+G26+H26)/4</f>
        <v>0</v>
      </c>
      <c r="K26" s="709" t="str">
        <f t="shared" ref="K26:K27" si="57">IF(J26&gt;85,("4"),IF(J26&gt;80,("3.66"),IF(J26&gt;75,("3.33"),IF(J26&gt;70,("3.00"),IF(J26&gt;65,("2.66"),IF(J26&gt;60,("2.33"),IF(J26&gt;55,("2"),IF(J26&gt;50,("1.66"),"1.33"))))))))</f>
        <v>1.33</v>
      </c>
      <c r="L26" s="709" t="str">
        <f t="shared" ref="L26:L27" si="58">IF(J26&gt;85,("A"),IF(J26&gt;80,("A-"),IF(J26&gt;75,("B+"),IF(J26&gt;70,("B"),IF(J26&gt;65,("B-"),IF(J26&gt;60,("C+"),IF(J26&gt;55,("C"),IF(J26&gt;50,("C-"),"D+"))))))))</f>
        <v>D+</v>
      </c>
      <c r="M26" s="1452" t="str">
        <f t="shared" ref="M26:M27" si="59">IF(J26&gt;80,("SB"),IF(J26&gt;65,("B"),IF(J26&gt;50,("C"),IF(J26&gt;0,("K"),"0"))))</f>
        <v>0</v>
      </c>
      <c r="N26" s="1444"/>
      <c r="O26" s="1445"/>
      <c r="P26" s="1446"/>
      <c r="Q26" s="1447"/>
      <c r="R26" s="1830"/>
      <c r="S26" s="1456"/>
    </row>
    <row r="27" spans="1:19" ht="24.95" customHeight="1" x14ac:dyDescent="0.25">
      <c r="A27" s="1436"/>
      <c r="B27" s="1437"/>
      <c r="C27" s="1438" t="s">
        <v>149</v>
      </c>
      <c r="D27" s="1439">
        <v>7</v>
      </c>
      <c r="E27" s="1436"/>
      <c r="F27" s="1448"/>
      <c r="G27" s="1436"/>
      <c r="H27" s="1440">
        <f>AVERAGE(H25:H26)</f>
        <v>0</v>
      </c>
      <c r="I27" s="1453"/>
      <c r="J27" s="1454">
        <f>AVERAGE(J25:J26)</f>
        <v>0</v>
      </c>
      <c r="K27" s="1454" t="str">
        <f t="shared" si="57"/>
        <v>1.33</v>
      </c>
      <c r="L27" s="1454" t="str">
        <f t="shared" si="58"/>
        <v>D+</v>
      </c>
      <c r="M27" s="1455" t="str">
        <f t="shared" si="59"/>
        <v>0</v>
      </c>
      <c r="N27" s="1441"/>
      <c r="O27" s="1442"/>
      <c r="P27" s="1442"/>
      <c r="Q27" s="1443"/>
      <c r="R27" s="1831"/>
      <c r="S27" s="1457"/>
    </row>
    <row r="28" spans="1:19" ht="24.95" customHeight="1" x14ac:dyDescent="0.25">
      <c r="A28" s="1207">
        <v>8</v>
      </c>
      <c r="B28" s="1426">
        <v>8</v>
      </c>
      <c r="C28" s="1427" t="str">
        <f>VLOOKUP(A28,data_siswa,4,FALSE)</f>
        <v>Aulia Dea Rosalinda</v>
      </c>
      <c r="D28" s="361" t="s">
        <v>18</v>
      </c>
      <c r="E28" s="362"/>
      <c r="F28" s="1191">
        <f>E28*2</f>
        <v>0</v>
      </c>
      <c r="G28" s="362"/>
      <c r="H28" s="457">
        <f>VLOOKUP(B28,REKAP_NILAI,46,FALSE)</f>
        <v>0</v>
      </c>
      <c r="I28" s="709">
        <f>F28+G28+H28</f>
        <v>0</v>
      </c>
      <c r="J28" s="1451">
        <f>(F28+G28+H28)/4</f>
        <v>0</v>
      </c>
      <c r="K28" s="709" t="str">
        <f>IF(J28&gt;85,("4"),IF(J28&gt;80,("3.66"),IF(J28&gt;75,("3.33"),IF(J28&gt;70,("3.00"),IF(J28&gt;65,("2.66"),IF(J28&gt;60,("2.33"),IF(J28&gt;55,("2"),IF(J28&gt;50,("1.66"),"1.33"))))))))</f>
        <v>1.33</v>
      </c>
      <c r="L28" s="709" t="str">
        <f>IF(J28&gt;85,("A"),IF(J28&gt;80,("A-"),IF(J28&gt;75,("B+"),IF(J28&gt;70,("B"),IF(J28&gt;65,("B-"),IF(J28&gt;60,("C+"),IF(J28&gt;55,("C"),IF(J28&gt;50,("C-"),"D+"))))))))</f>
        <v>D+</v>
      </c>
      <c r="M28" s="1452" t="str">
        <f>IF(J28&gt;80,("SB"),IF(J28&gt;65,("B"),IF(J28&gt;50,("C"),IF(J28&gt;0,("K"),"0"))))</f>
        <v>0</v>
      </c>
      <c r="N28" s="1429"/>
      <c r="O28" s="1207"/>
      <c r="P28" s="1430"/>
      <c r="Q28" s="1430"/>
      <c r="R28" s="704">
        <f t="shared" ref="R28" si="60">J30</f>
        <v>0</v>
      </c>
      <c r="S28" s="466" t="str">
        <f>IF(R28&gt;85,("A"),IF(R28&gt;80,("A-"),IF(R28&gt;75,("B+"),IF(R28&gt;70,("B"),IF(R28&gt;65,("B-"),IF(R28&gt;60,("C+"),IF(R28&gt;55,("C"),IF(R28&gt;50,("C-"),"D+"))))))))</f>
        <v>D+</v>
      </c>
    </row>
    <row r="29" spans="1:19" ht="24.95" customHeight="1" x14ac:dyDescent="0.25">
      <c r="A29" s="1431"/>
      <c r="B29" s="1426">
        <v>8</v>
      </c>
      <c r="C29" s="1432"/>
      <c r="D29" s="361" t="s">
        <v>20</v>
      </c>
      <c r="E29" s="361"/>
      <c r="F29" s="1191">
        <f t="shared" ref="F29" si="61">E29*2</f>
        <v>0</v>
      </c>
      <c r="G29" s="361"/>
      <c r="H29" s="457">
        <f>VLOOKUP(B28,REKAP_NILAI,47,FALSE)</f>
        <v>0</v>
      </c>
      <c r="I29" s="709">
        <f t="shared" ref="I29" si="62">F29+G29+H29</f>
        <v>0</v>
      </c>
      <c r="J29" s="1451">
        <f t="shared" ref="J29" si="63">(F29+G29+H29)/4</f>
        <v>0</v>
      </c>
      <c r="K29" s="709" t="str">
        <f t="shared" ref="K29:K30" si="64">IF(J29&gt;85,("4"),IF(J29&gt;80,("3.66"),IF(J29&gt;75,("3.33"),IF(J29&gt;70,("3.00"),IF(J29&gt;65,("2.66"),IF(J29&gt;60,("2.33"),IF(J29&gt;55,("2"),IF(J29&gt;50,("1.66"),"1.33"))))))))</f>
        <v>1.33</v>
      </c>
      <c r="L29" s="709" t="str">
        <f t="shared" ref="L29:L30" si="65">IF(J29&gt;85,("A"),IF(J29&gt;80,("A-"),IF(J29&gt;75,("B+"),IF(J29&gt;70,("B"),IF(J29&gt;65,("B-"),IF(J29&gt;60,("C+"),IF(J29&gt;55,("C"),IF(J29&gt;50,("C-"),"D+"))))))))</f>
        <v>D+</v>
      </c>
      <c r="M29" s="1452" t="str">
        <f t="shared" ref="M29:M30" si="66">IF(J29&gt;80,("SB"),IF(J29&gt;65,("B"),IF(J29&gt;50,("C"),IF(J29&gt;0,("K"),"0"))))</f>
        <v>0</v>
      </c>
      <c r="N29" s="1444"/>
      <c r="O29" s="1445"/>
      <c r="P29" s="1446"/>
      <c r="Q29" s="1447"/>
      <c r="R29" s="1830"/>
      <c r="S29" s="1456"/>
    </row>
    <row r="30" spans="1:19" ht="24.95" customHeight="1" x14ac:dyDescent="0.25">
      <c r="A30" s="1436"/>
      <c r="B30" s="1437"/>
      <c r="C30" s="1438" t="s">
        <v>149</v>
      </c>
      <c r="D30" s="1439">
        <v>8</v>
      </c>
      <c r="E30" s="1436"/>
      <c r="F30" s="1448"/>
      <c r="G30" s="1436"/>
      <c r="H30" s="1440">
        <f>AVERAGE(H28:H29)</f>
        <v>0</v>
      </c>
      <c r="I30" s="1453"/>
      <c r="J30" s="1454">
        <f>AVERAGE(J28:J29)</f>
        <v>0</v>
      </c>
      <c r="K30" s="1454" t="str">
        <f t="shared" si="64"/>
        <v>1.33</v>
      </c>
      <c r="L30" s="1454" t="str">
        <f t="shared" si="65"/>
        <v>D+</v>
      </c>
      <c r="M30" s="1455" t="str">
        <f t="shared" si="66"/>
        <v>0</v>
      </c>
      <c r="N30" s="1441"/>
      <c r="O30" s="1442"/>
      <c r="P30" s="1442"/>
      <c r="Q30" s="1443"/>
      <c r="R30" s="1831"/>
      <c r="S30" s="1457"/>
    </row>
    <row r="31" spans="1:19" ht="24.95" customHeight="1" x14ac:dyDescent="0.25">
      <c r="A31" s="1207">
        <v>9</v>
      </c>
      <c r="B31" s="1426">
        <v>9</v>
      </c>
      <c r="C31" s="1427" t="str">
        <f>VLOOKUP(A31,data_siswa,4,FALSE)</f>
        <v>Claudia Gabriella L</v>
      </c>
      <c r="D31" s="361" t="s">
        <v>18</v>
      </c>
      <c r="E31" s="362"/>
      <c r="F31" s="1191">
        <f>E31*2</f>
        <v>0</v>
      </c>
      <c r="G31" s="362"/>
      <c r="H31" s="457">
        <f>VLOOKUP(B31,REKAP_NILAI,46,FALSE)</f>
        <v>0</v>
      </c>
      <c r="I31" s="709">
        <f>F31+G31+H31</f>
        <v>0</v>
      </c>
      <c r="J31" s="1451">
        <f>(F31+G31+H31)/4</f>
        <v>0</v>
      </c>
      <c r="K31" s="709" t="str">
        <f>IF(J31&gt;85,("4"),IF(J31&gt;80,("3.66"),IF(J31&gt;75,("3.33"),IF(J31&gt;70,("3.00"),IF(J31&gt;65,("2.66"),IF(J31&gt;60,("2.33"),IF(J31&gt;55,("2"),IF(J31&gt;50,("1.66"),"1.33"))))))))</f>
        <v>1.33</v>
      </c>
      <c r="L31" s="709" t="str">
        <f>IF(J31&gt;85,("A"),IF(J31&gt;80,("A-"),IF(J31&gt;75,("B+"),IF(J31&gt;70,("B"),IF(J31&gt;65,("B-"),IF(J31&gt;60,("C+"),IF(J31&gt;55,("C"),IF(J31&gt;50,("C-"),"D+"))))))))</f>
        <v>D+</v>
      </c>
      <c r="M31" s="1452" t="str">
        <f>IF(J31&gt;80,("SB"),IF(J31&gt;65,("B"),IF(J31&gt;50,("C"),IF(J31&gt;0,("K"),"0"))))</f>
        <v>0</v>
      </c>
      <c r="N31" s="1429"/>
      <c r="O31" s="1207"/>
      <c r="P31" s="1430"/>
      <c r="Q31" s="1430"/>
      <c r="R31" s="704">
        <f t="shared" ref="R31" si="67">J33</f>
        <v>0</v>
      </c>
      <c r="S31" s="466" t="str">
        <f>IF(R31&gt;85,("A"),IF(R31&gt;80,("A-"),IF(R31&gt;75,("B+"),IF(R31&gt;70,("B"),IF(R31&gt;65,("B-"),IF(R31&gt;60,("C+"),IF(R31&gt;55,("C"),IF(R31&gt;50,("C-"),"D+"))))))))</f>
        <v>D+</v>
      </c>
    </row>
    <row r="32" spans="1:19" ht="24.95" customHeight="1" x14ac:dyDescent="0.25">
      <c r="A32" s="1431"/>
      <c r="B32" s="1426">
        <v>9</v>
      </c>
      <c r="C32" s="1432"/>
      <c r="D32" s="361" t="s">
        <v>20</v>
      </c>
      <c r="E32" s="361"/>
      <c r="F32" s="1191">
        <f t="shared" ref="F32" si="68">E32*2</f>
        <v>0</v>
      </c>
      <c r="G32" s="361"/>
      <c r="H32" s="457">
        <f>VLOOKUP(B31,REKAP_NILAI,47,FALSE)</f>
        <v>0</v>
      </c>
      <c r="I32" s="709">
        <f t="shared" ref="I32" si="69">F32+G32+H32</f>
        <v>0</v>
      </c>
      <c r="J32" s="1451">
        <f t="shared" ref="J32" si="70">(F32+G32+H32)/4</f>
        <v>0</v>
      </c>
      <c r="K32" s="709" t="str">
        <f t="shared" ref="K32" si="71">IF(J32&gt;85,("4"),IF(J32&gt;80,("3.66"),IF(J32&gt;75,("3.33"),IF(J32&gt;70,("3.00"),IF(J32&gt;65,("2.66"),IF(J32&gt;60,("2.33"),IF(J32&gt;55,("2"),IF(J32&gt;50,("1.66"),"1.33"))))))))</f>
        <v>1.33</v>
      </c>
      <c r="L32" s="709" t="str">
        <f t="shared" ref="L32" si="72">IF(J32&gt;85,("A"),IF(J32&gt;80,("A-"),IF(J32&gt;75,("B+"),IF(J32&gt;70,("B"),IF(J32&gt;65,("B-"),IF(J32&gt;60,("C+"),IF(J32&gt;55,("C"),IF(J32&gt;50,("C-"),"D+"))))))))</f>
        <v>D+</v>
      </c>
      <c r="M32" s="1452" t="str">
        <f t="shared" ref="M32" si="73">IF(J32&gt;80,("SB"),IF(J32&gt;65,("B"),IF(J32&gt;50,("C"),IF(J32&gt;0,("K"),"0"))))</f>
        <v>0</v>
      </c>
      <c r="N32" s="1444"/>
      <c r="O32" s="1445"/>
      <c r="P32" s="1446"/>
      <c r="Q32" s="1447"/>
      <c r="R32" s="1830"/>
      <c r="S32" s="1456"/>
    </row>
    <row r="33" spans="1:19" ht="24.95" customHeight="1" x14ac:dyDescent="0.25">
      <c r="A33" s="1436"/>
      <c r="B33" s="1437"/>
      <c r="C33" s="1438" t="s">
        <v>149</v>
      </c>
      <c r="D33" s="1439">
        <v>9</v>
      </c>
      <c r="E33" s="1436"/>
      <c r="F33" s="1448"/>
      <c r="G33" s="1436"/>
      <c r="H33" s="1440">
        <f>AVERAGE(H31:H32)</f>
        <v>0</v>
      </c>
      <c r="I33" s="1453"/>
      <c r="J33" s="1454">
        <f>AVERAGE(J31:J32)</f>
        <v>0</v>
      </c>
      <c r="K33" s="1454" t="str">
        <f t="shared" ref="K33" si="74">IF(J33&gt;85,("4"),IF(J33&gt;80,("3.66"),IF(J33&gt;75,("3.33"),IF(J33&gt;70,("3.00"),IF(J33&gt;65,("2.66"),IF(J33&gt;60,("2.33"),IF(J33&gt;55,("2"),IF(J33&gt;50,("1.66"),"1.33"))))))))</f>
        <v>1.33</v>
      </c>
      <c r="L33" s="1454" t="str">
        <f t="shared" ref="L33" si="75">IF(J33&gt;85,("A"),IF(J33&gt;80,("A-"),IF(J33&gt;75,("B+"),IF(J33&gt;70,("B"),IF(J33&gt;65,("B-"),IF(J33&gt;60,("C+"),IF(J33&gt;55,("C"),IF(J33&gt;50,("C-"),"D+"))))))))</f>
        <v>D+</v>
      </c>
      <c r="M33" s="1455" t="str">
        <f t="shared" ref="M33" si="76">IF(J33&gt;80,("SB"),IF(J33&gt;65,("B"),IF(J33&gt;50,("C"),IF(J33&gt;0,("K"),"0"))))</f>
        <v>0</v>
      </c>
      <c r="N33" s="1441"/>
      <c r="O33" s="1442"/>
      <c r="P33" s="1442"/>
      <c r="Q33" s="1443"/>
      <c r="R33" s="1831"/>
      <c r="S33" s="1457"/>
    </row>
    <row r="34" spans="1:19" ht="24.95" customHeight="1" x14ac:dyDescent="0.25">
      <c r="A34" s="1207">
        <v>10</v>
      </c>
      <c r="B34" s="1426">
        <v>10</v>
      </c>
      <c r="C34" s="1427" t="str">
        <f>VLOOKUP(A34,data_siswa,4,FALSE)</f>
        <v xml:space="preserve">Deco Badarus Zaman </v>
      </c>
      <c r="D34" s="361" t="s">
        <v>18</v>
      </c>
      <c r="E34" s="362"/>
      <c r="F34" s="1191">
        <f>E34*2</f>
        <v>0</v>
      </c>
      <c r="G34" s="362"/>
      <c r="H34" s="457">
        <f>VLOOKUP(B34,REKAP_NILAI,46,FALSE)</f>
        <v>0</v>
      </c>
      <c r="I34" s="709">
        <f>F34+G34+H34</f>
        <v>0</v>
      </c>
      <c r="J34" s="1451">
        <f>(F34+G34+H34)/4</f>
        <v>0</v>
      </c>
      <c r="K34" s="709" t="str">
        <f>IF(J34&gt;85,("4"),IF(J34&gt;80,("3.66"),IF(J34&gt;75,("3.33"),IF(J34&gt;70,("3.00"),IF(J34&gt;65,("2.66"),IF(J34&gt;60,("2.33"),IF(J34&gt;55,("2"),IF(J34&gt;50,("1.66"),"1.33"))))))))</f>
        <v>1.33</v>
      </c>
      <c r="L34" s="709" t="str">
        <f>IF(J34&gt;85,("A"),IF(J34&gt;80,("A-"),IF(J34&gt;75,("B+"),IF(J34&gt;70,("B"),IF(J34&gt;65,("B-"),IF(J34&gt;60,("C+"),IF(J34&gt;55,("C"),IF(J34&gt;50,("C-"),"D+"))))))))</f>
        <v>D+</v>
      </c>
      <c r="M34" s="1452" t="str">
        <f>IF(J34&gt;80,("SB"),IF(J34&gt;65,("B"),IF(J34&gt;50,("C"),IF(J34&gt;0,("K"),"0"))))</f>
        <v>0</v>
      </c>
      <c r="N34" s="1429"/>
      <c r="O34" s="1207"/>
      <c r="P34" s="1430"/>
      <c r="Q34" s="1430"/>
      <c r="R34" s="704">
        <f t="shared" ref="R34" si="77">J36</f>
        <v>0</v>
      </c>
      <c r="S34" s="466" t="str">
        <f>IF(R34&gt;85,("A"),IF(R34&gt;80,("A-"),IF(R34&gt;75,("B+"),IF(R34&gt;70,("B"),IF(R34&gt;65,("B-"),IF(R34&gt;60,("C+"),IF(R34&gt;55,("C"),IF(R34&gt;50,("C-"),"D+"))))))))</f>
        <v>D+</v>
      </c>
    </row>
    <row r="35" spans="1:19" ht="24.95" customHeight="1" x14ac:dyDescent="0.25">
      <c r="A35" s="1431"/>
      <c r="B35" s="1426">
        <v>10</v>
      </c>
      <c r="C35" s="1432"/>
      <c r="D35" s="361" t="s">
        <v>20</v>
      </c>
      <c r="E35" s="361"/>
      <c r="F35" s="1191">
        <f t="shared" ref="F35" si="78">E35*2</f>
        <v>0</v>
      </c>
      <c r="G35" s="361"/>
      <c r="H35" s="457">
        <f>VLOOKUP(B34,REKAP_NILAI,47,FALSE)</f>
        <v>0</v>
      </c>
      <c r="I35" s="709">
        <f t="shared" ref="I35" si="79">F35+G35+H35</f>
        <v>0</v>
      </c>
      <c r="J35" s="1451">
        <f t="shared" ref="J35" si="80">(F35+G35+H35)/4</f>
        <v>0</v>
      </c>
      <c r="K35" s="709" t="str">
        <f t="shared" ref="K35:K36" si="81">IF(J35&gt;85,("4"),IF(J35&gt;80,("3.66"),IF(J35&gt;75,("3.33"),IF(J35&gt;70,("3.00"),IF(J35&gt;65,("2.66"),IF(J35&gt;60,("2.33"),IF(J35&gt;55,("2"),IF(J35&gt;50,("1.66"),"1.33"))))))))</f>
        <v>1.33</v>
      </c>
      <c r="L35" s="709" t="str">
        <f t="shared" ref="L35:L36" si="82">IF(J35&gt;85,("A"),IF(J35&gt;80,("A-"),IF(J35&gt;75,("B+"),IF(J35&gt;70,("B"),IF(J35&gt;65,("B-"),IF(J35&gt;60,("C+"),IF(J35&gt;55,("C"),IF(J35&gt;50,("C-"),"D+"))))))))</f>
        <v>D+</v>
      </c>
      <c r="M35" s="1452" t="str">
        <f t="shared" ref="M35:M36" si="83">IF(J35&gt;80,("SB"),IF(J35&gt;65,("B"),IF(J35&gt;50,("C"),IF(J35&gt;0,("K"),"0"))))</f>
        <v>0</v>
      </c>
      <c r="N35" s="1444"/>
      <c r="O35" s="1445"/>
      <c r="P35" s="1446"/>
      <c r="Q35" s="1447"/>
      <c r="R35" s="1830"/>
      <c r="S35" s="1456"/>
    </row>
    <row r="36" spans="1:19" ht="24.95" customHeight="1" x14ac:dyDescent="0.25">
      <c r="A36" s="1436"/>
      <c r="B36" s="1437"/>
      <c r="C36" s="1438" t="s">
        <v>149</v>
      </c>
      <c r="D36" s="1439">
        <v>10</v>
      </c>
      <c r="E36" s="1436"/>
      <c r="F36" s="1448"/>
      <c r="G36" s="1436"/>
      <c r="H36" s="1440">
        <f>AVERAGE(H34:H35)</f>
        <v>0</v>
      </c>
      <c r="I36" s="1453"/>
      <c r="J36" s="1454">
        <f>AVERAGE(J34:J35)</f>
        <v>0</v>
      </c>
      <c r="K36" s="1454" t="str">
        <f t="shared" si="81"/>
        <v>1.33</v>
      </c>
      <c r="L36" s="1454" t="str">
        <f t="shared" si="82"/>
        <v>D+</v>
      </c>
      <c r="M36" s="1455" t="str">
        <f t="shared" si="83"/>
        <v>0</v>
      </c>
      <c r="N36" s="1441"/>
      <c r="O36" s="1442"/>
      <c r="P36" s="1442"/>
      <c r="Q36" s="1443"/>
      <c r="R36" s="1831"/>
      <c r="S36" s="1457"/>
    </row>
    <row r="37" spans="1:19" ht="24.95" customHeight="1" x14ac:dyDescent="0.25">
      <c r="A37" s="1207">
        <v>11</v>
      </c>
      <c r="B37" s="1426">
        <v>11</v>
      </c>
      <c r="C37" s="1427" t="str">
        <f>VLOOKUP(A37,data_siswa,4,FALSE)</f>
        <v>Fania Mutiara Felichia</v>
      </c>
      <c r="D37" s="361" t="s">
        <v>18</v>
      </c>
      <c r="E37" s="362"/>
      <c r="F37" s="1191">
        <f>E37*2</f>
        <v>0</v>
      </c>
      <c r="G37" s="362"/>
      <c r="H37" s="457">
        <f>VLOOKUP(B37,REKAP_NILAI,46,FALSE)</f>
        <v>0</v>
      </c>
      <c r="I37" s="709">
        <f>F37+G37+H37</f>
        <v>0</v>
      </c>
      <c r="J37" s="1451">
        <f>(F37+G37+H37)/4</f>
        <v>0</v>
      </c>
      <c r="K37" s="709" t="str">
        <f>IF(J37&gt;85,("4"),IF(J37&gt;80,("3.66"),IF(J37&gt;75,("3.33"),IF(J37&gt;70,("3.00"),IF(J37&gt;65,("2.66"),IF(J37&gt;60,("2.33"),IF(J37&gt;55,("2"),IF(J37&gt;50,("1.66"),"1.33"))))))))</f>
        <v>1.33</v>
      </c>
      <c r="L37" s="709" t="str">
        <f>IF(J37&gt;85,("A"),IF(J37&gt;80,("A-"),IF(J37&gt;75,("B+"),IF(J37&gt;70,("B"),IF(J37&gt;65,("B-"),IF(J37&gt;60,("C+"),IF(J37&gt;55,("C"),IF(J37&gt;50,("C-"),"D+"))))))))</f>
        <v>D+</v>
      </c>
      <c r="M37" s="1452" t="str">
        <f>IF(J37&gt;80,("SB"),IF(J37&gt;65,("B"),IF(J37&gt;50,("C"),IF(J37&gt;0,("K"),"0"))))</f>
        <v>0</v>
      </c>
      <c r="N37" s="1429"/>
      <c r="O37" s="1207"/>
      <c r="P37" s="1430"/>
      <c r="Q37" s="1430"/>
      <c r="R37" s="704">
        <f t="shared" ref="R37" si="84">J39</f>
        <v>0</v>
      </c>
      <c r="S37" s="466" t="str">
        <f>IF(R37&gt;85,("A"),IF(R37&gt;80,("A-"),IF(R37&gt;75,("B+"),IF(R37&gt;70,("B"),IF(R37&gt;65,("B-"),IF(R37&gt;60,("C+"),IF(R37&gt;55,("C"),IF(R37&gt;50,("C-"),"D+"))))))))</f>
        <v>D+</v>
      </c>
    </row>
    <row r="38" spans="1:19" ht="24.95" customHeight="1" x14ac:dyDescent="0.25">
      <c r="A38" s="1431"/>
      <c r="B38" s="1426">
        <v>11</v>
      </c>
      <c r="C38" s="1432"/>
      <c r="D38" s="361" t="s">
        <v>20</v>
      </c>
      <c r="E38" s="361"/>
      <c r="F38" s="1191">
        <f t="shared" ref="F38" si="85">E38*2</f>
        <v>0</v>
      </c>
      <c r="G38" s="361"/>
      <c r="H38" s="457">
        <f>VLOOKUP(B37,REKAP_NILAI,47,FALSE)</f>
        <v>0</v>
      </c>
      <c r="I38" s="709">
        <f t="shared" ref="I38" si="86">F38+G38+H38</f>
        <v>0</v>
      </c>
      <c r="J38" s="1451">
        <f t="shared" ref="J38" si="87">(F38+G38+H38)/4</f>
        <v>0</v>
      </c>
      <c r="K38" s="709" t="str">
        <f t="shared" ref="K38:K39" si="88">IF(J38&gt;85,("4"),IF(J38&gt;80,("3.66"),IF(J38&gt;75,("3.33"),IF(J38&gt;70,("3.00"),IF(J38&gt;65,("2.66"),IF(J38&gt;60,("2.33"),IF(J38&gt;55,("2"),IF(J38&gt;50,("1.66"),"1.33"))))))))</f>
        <v>1.33</v>
      </c>
      <c r="L38" s="709" t="str">
        <f t="shared" ref="L38:L39" si="89">IF(J38&gt;85,("A"),IF(J38&gt;80,("A-"),IF(J38&gt;75,("B+"),IF(J38&gt;70,("B"),IF(J38&gt;65,("B-"),IF(J38&gt;60,("C+"),IF(J38&gt;55,("C"),IF(J38&gt;50,("C-"),"D+"))))))))</f>
        <v>D+</v>
      </c>
      <c r="M38" s="1452" t="str">
        <f t="shared" ref="M38:M39" si="90">IF(J38&gt;80,("SB"),IF(J38&gt;65,("B"),IF(J38&gt;50,("C"),IF(J38&gt;0,("K"),"0"))))</f>
        <v>0</v>
      </c>
      <c r="N38" s="1444"/>
      <c r="O38" s="1445"/>
      <c r="P38" s="1446"/>
      <c r="Q38" s="1447"/>
      <c r="R38" s="1830"/>
      <c r="S38" s="1456"/>
    </row>
    <row r="39" spans="1:19" ht="24.95" customHeight="1" x14ac:dyDescent="0.25">
      <c r="A39" s="1436"/>
      <c r="B39" s="1437"/>
      <c r="C39" s="1438" t="s">
        <v>149</v>
      </c>
      <c r="D39" s="1439">
        <v>11</v>
      </c>
      <c r="E39" s="1436"/>
      <c r="F39" s="1448"/>
      <c r="G39" s="1436"/>
      <c r="H39" s="1440">
        <f>AVERAGE(H37:H38)</f>
        <v>0</v>
      </c>
      <c r="I39" s="1453"/>
      <c r="J39" s="1454">
        <f>AVERAGE(J37:J38)</f>
        <v>0</v>
      </c>
      <c r="K39" s="1454" t="str">
        <f t="shared" si="88"/>
        <v>1.33</v>
      </c>
      <c r="L39" s="1454" t="str">
        <f t="shared" si="89"/>
        <v>D+</v>
      </c>
      <c r="M39" s="1455" t="str">
        <f t="shared" si="90"/>
        <v>0</v>
      </c>
      <c r="N39" s="1441"/>
      <c r="O39" s="1442"/>
      <c r="P39" s="1442"/>
      <c r="Q39" s="1443"/>
      <c r="R39" s="1831"/>
      <c r="S39" s="1457"/>
    </row>
    <row r="40" spans="1:19" ht="24.95" customHeight="1" x14ac:dyDescent="0.25">
      <c r="A40" s="1207">
        <v>12</v>
      </c>
      <c r="B40" s="1426">
        <v>12</v>
      </c>
      <c r="C40" s="1427" t="str">
        <f>VLOOKUP(A40,data_siswa,4,FALSE)</f>
        <v>Intan Dyah Nowari</v>
      </c>
      <c r="D40" s="361" t="s">
        <v>18</v>
      </c>
      <c r="E40" s="362"/>
      <c r="F40" s="1191">
        <f>E40*2</f>
        <v>0</v>
      </c>
      <c r="G40" s="362"/>
      <c r="H40" s="457">
        <f>VLOOKUP(B40,REKAP_NILAI,46,FALSE)</f>
        <v>0</v>
      </c>
      <c r="I40" s="709">
        <f>F40+G40+H40</f>
        <v>0</v>
      </c>
      <c r="J40" s="1451">
        <f>(F40+G40+H40)/4</f>
        <v>0</v>
      </c>
      <c r="K40" s="709" t="str">
        <f>IF(J40&gt;85,("4"),IF(J40&gt;80,("3.66"),IF(J40&gt;75,("3.33"),IF(J40&gt;70,("3.00"),IF(J40&gt;65,("2.66"),IF(J40&gt;60,("2.33"),IF(J40&gt;55,("2"),IF(J40&gt;50,("1.66"),"1.33"))))))))</f>
        <v>1.33</v>
      </c>
      <c r="L40" s="709" t="str">
        <f>IF(J40&gt;85,("A"),IF(J40&gt;80,("A-"),IF(J40&gt;75,("B+"),IF(J40&gt;70,("B"),IF(J40&gt;65,("B-"),IF(J40&gt;60,("C+"),IF(J40&gt;55,("C"),IF(J40&gt;50,("C-"),"D+"))))))))</f>
        <v>D+</v>
      </c>
      <c r="M40" s="1452" t="str">
        <f>IF(J40&gt;80,("SB"),IF(J40&gt;65,("B"),IF(J40&gt;50,("C"),IF(J40&gt;0,("K"),"0"))))</f>
        <v>0</v>
      </c>
      <c r="N40" s="1429"/>
      <c r="O40" s="1207"/>
      <c r="P40" s="1430"/>
      <c r="Q40" s="1430"/>
      <c r="R40" s="704">
        <f t="shared" ref="R40" si="91">J42</f>
        <v>0</v>
      </c>
      <c r="S40" s="466" t="str">
        <f>IF(R40&gt;85,("A"),IF(R40&gt;80,("A-"),IF(R40&gt;75,("B+"),IF(R40&gt;70,("B"),IF(R40&gt;65,("B-"),IF(R40&gt;60,("C+"),IF(R40&gt;55,("C"),IF(R40&gt;50,("C-"),"D+"))))))))</f>
        <v>D+</v>
      </c>
    </row>
    <row r="41" spans="1:19" ht="24.95" customHeight="1" x14ac:dyDescent="0.25">
      <c r="A41" s="1431"/>
      <c r="B41" s="1426">
        <v>12</v>
      </c>
      <c r="C41" s="1432"/>
      <c r="D41" s="361" t="s">
        <v>20</v>
      </c>
      <c r="E41" s="361"/>
      <c r="F41" s="1191">
        <f t="shared" ref="F41" si="92">E41*2</f>
        <v>0</v>
      </c>
      <c r="G41" s="361"/>
      <c r="H41" s="457">
        <f>VLOOKUP(B40,REKAP_NILAI,47,FALSE)</f>
        <v>0</v>
      </c>
      <c r="I41" s="709">
        <f t="shared" ref="I41" si="93">F41+G41+H41</f>
        <v>0</v>
      </c>
      <c r="J41" s="1451">
        <f t="shared" ref="J41" si="94">(F41+G41+H41)/4</f>
        <v>0</v>
      </c>
      <c r="K41" s="709" t="str">
        <f t="shared" ref="K41:K42" si="95">IF(J41&gt;85,("4"),IF(J41&gt;80,("3.66"),IF(J41&gt;75,("3.33"),IF(J41&gt;70,("3.00"),IF(J41&gt;65,("2.66"),IF(J41&gt;60,("2.33"),IF(J41&gt;55,("2"),IF(J41&gt;50,("1.66"),"1.33"))))))))</f>
        <v>1.33</v>
      </c>
      <c r="L41" s="709" t="str">
        <f t="shared" ref="L41:L42" si="96">IF(J41&gt;85,("A"),IF(J41&gt;80,("A-"),IF(J41&gt;75,("B+"),IF(J41&gt;70,("B"),IF(J41&gt;65,("B-"),IF(J41&gt;60,("C+"),IF(J41&gt;55,("C"),IF(J41&gt;50,("C-"),"D+"))))))))</f>
        <v>D+</v>
      </c>
      <c r="M41" s="1452" t="str">
        <f t="shared" ref="M41:M42" si="97">IF(J41&gt;80,("SB"),IF(J41&gt;65,("B"),IF(J41&gt;50,("C"),IF(J41&gt;0,("K"),"0"))))</f>
        <v>0</v>
      </c>
      <c r="N41" s="1444"/>
      <c r="O41" s="1445"/>
      <c r="P41" s="1446"/>
      <c r="Q41" s="1447"/>
      <c r="R41" s="1830"/>
      <c r="S41" s="1456"/>
    </row>
    <row r="42" spans="1:19" ht="24.95" customHeight="1" x14ac:dyDescent="0.25">
      <c r="A42" s="1436"/>
      <c r="B42" s="1437"/>
      <c r="C42" s="1438" t="s">
        <v>149</v>
      </c>
      <c r="D42" s="1439">
        <v>12</v>
      </c>
      <c r="E42" s="1436"/>
      <c r="F42" s="1448"/>
      <c r="G42" s="1436"/>
      <c r="H42" s="1440">
        <f>AVERAGE(H40:H41)</f>
        <v>0</v>
      </c>
      <c r="I42" s="1453"/>
      <c r="J42" s="1454">
        <f>AVERAGE(J40:J41)</f>
        <v>0</v>
      </c>
      <c r="K42" s="1454" t="str">
        <f t="shared" si="95"/>
        <v>1.33</v>
      </c>
      <c r="L42" s="1454" t="str">
        <f t="shared" si="96"/>
        <v>D+</v>
      </c>
      <c r="M42" s="1455" t="str">
        <f t="shared" si="97"/>
        <v>0</v>
      </c>
      <c r="N42" s="1441"/>
      <c r="O42" s="1442"/>
      <c r="P42" s="1442"/>
      <c r="Q42" s="1443"/>
      <c r="R42" s="1831"/>
      <c r="S42" s="1457"/>
    </row>
    <row r="43" spans="1:19" ht="24.95" customHeight="1" x14ac:dyDescent="0.25">
      <c r="A43" s="1207">
        <v>13</v>
      </c>
      <c r="B43" s="1426">
        <v>13</v>
      </c>
      <c r="C43" s="1427" t="str">
        <f>VLOOKUP(A43,data_siswa,4,FALSE)</f>
        <v>Misyanita Nurfitri S</v>
      </c>
      <c r="D43" s="361" t="s">
        <v>18</v>
      </c>
      <c r="E43" s="362"/>
      <c r="F43" s="1191">
        <f>E43*2</f>
        <v>0</v>
      </c>
      <c r="G43" s="362"/>
      <c r="H43" s="457">
        <f>VLOOKUP(B43,REKAP_NILAI,46,FALSE)</f>
        <v>0</v>
      </c>
      <c r="I43" s="709">
        <f>F43+G43+H43</f>
        <v>0</v>
      </c>
      <c r="J43" s="1451">
        <f>(F43+G43+H43)/4</f>
        <v>0</v>
      </c>
      <c r="K43" s="709" t="str">
        <f>IF(J43&gt;85,("4"),IF(J43&gt;80,("3.66"),IF(J43&gt;75,("3.33"),IF(J43&gt;70,("3.00"),IF(J43&gt;65,("2.66"),IF(J43&gt;60,("2.33"),IF(J43&gt;55,("2"),IF(J43&gt;50,("1.66"),"1.33"))))))))</f>
        <v>1.33</v>
      </c>
      <c r="L43" s="709" t="str">
        <f>IF(J43&gt;85,("A"),IF(J43&gt;80,("A-"),IF(J43&gt;75,("B+"),IF(J43&gt;70,("B"),IF(J43&gt;65,("B-"),IF(J43&gt;60,("C+"),IF(J43&gt;55,("C"),IF(J43&gt;50,("C-"),"D+"))))))))</f>
        <v>D+</v>
      </c>
      <c r="M43" s="1452" t="str">
        <f>IF(J43&gt;80,("SB"),IF(J43&gt;65,("B"),IF(J43&gt;50,("C"),IF(J43&gt;0,("K"),"0"))))</f>
        <v>0</v>
      </c>
      <c r="N43" s="1429"/>
      <c r="O43" s="1207"/>
      <c r="P43" s="1430"/>
      <c r="Q43" s="1430"/>
      <c r="R43" s="704">
        <f t="shared" ref="R43" si="98">J45</f>
        <v>0</v>
      </c>
      <c r="S43" s="466" t="str">
        <f>IF(R43&gt;85,("A"),IF(R43&gt;80,("A-"),IF(R43&gt;75,("B+"),IF(R43&gt;70,("B"),IF(R43&gt;65,("B-"),IF(R43&gt;60,("C+"),IF(R43&gt;55,("C"),IF(R43&gt;50,("C-"),"D+"))))))))</f>
        <v>D+</v>
      </c>
    </row>
    <row r="44" spans="1:19" ht="24.95" customHeight="1" x14ac:dyDescent="0.25">
      <c r="A44" s="1431"/>
      <c r="B44" s="1426">
        <v>13</v>
      </c>
      <c r="C44" s="1432"/>
      <c r="D44" s="361" t="s">
        <v>20</v>
      </c>
      <c r="E44" s="361"/>
      <c r="F44" s="1191">
        <f t="shared" ref="F44" si="99">E44*2</f>
        <v>0</v>
      </c>
      <c r="G44" s="361"/>
      <c r="H44" s="457">
        <f>VLOOKUP(B43,REKAP_NILAI,47,FALSE)</f>
        <v>0</v>
      </c>
      <c r="I44" s="709">
        <f t="shared" ref="I44" si="100">F44+G44+H44</f>
        <v>0</v>
      </c>
      <c r="J44" s="1451">
        <f t="shared" ref="J44" si="101">(F44+G44+H44)/4</f>
        <v>0</v>
      </c>
      <c r="K44" s="709" t="str">
        <f t="shared" ref="K44" si="102">IF(J44&gt;85,("4"),IF(J44&gt;80,("3.66"),IF(J44&gt;75,("3.33"),IF(J44&gt;70,("3.00"),IF(J44&gt;65,("2.66"),IF(J44&gt;60,("2.33"),IF(J44&gt;55,("2"),IF(J44&gt;50,("1.66"),"1.33"))))))))</f>
        <v>1.33</v>
      </c>
      <c r="L44" s="709" t="str">
        <f t="shared" ref="L44" si="103">IF(J44&gt;85,("A"),IF(J44&gt;80,("A-"),IF(J44&gt;75,("B+"),IF(J44&gt;70,("B"),IF(J44&gt;65,("B-"),IF(J44&gt;60,("C+"),IF(J44&gt;55,("C"),IF(J44&gt;50,("C-"),"D+"))))))))</f>
        <v>D+</v>
      </c>
      <c r="M44" s="1452" t="str">
        <f t="shared" ref="M44" si="104">IF(J44&gt;80,("SB"),IF(J44&gt;65,("B"),IF(J44&gt;50,("C"),IF(J44&gt;0,("K"),"0"))))</f>
        <v>0</v>
      </c>
      <c r="N44" s="1444"/>
      <c r="O44" s="1445"/>
      <c r="P44" s="1446"/>
      <c r="Q44" s="1447"/>
      <c r="R44" s="1830"/>
      <c r="S44" s="1456"/>
    </row>
    <row r="45" spans="1:19" ht="24.95" customHeight="1" x14ac:dyDescent="0.25">
      <c r="A45" s="1436"/>
      <c r="B45" s="1437"/>
      <c r="C45" s="1438" t="s">
        <v>149</v>
      </c>
      <c r="D45" s="1439">
        <v>13</v>
      </c>
      <c r="E45" s="1436"/>
      <c r="F45" s="1448"/>
      <c r="G45" s="1436"/>
      <c r="H45" s="1440">
        <f>AVERAGE(H43:H44)</f>
        <v>0</v>
      </c>
      <c r="I45" s="1453"/>
      <c r="J45" s="1454">
        <f>AVERAGE(J43:J44)</f>
        <v>0</v>
      </c>
      <c r="K45" s="1454" t="str">
        <f t="shared" ref="K45" si="105">IF(J45&gt;85,("4"),IF(J45&gt;80,("3.66"),IF(J45&gt;75,("3.33"),IF(J45&gt;70,("3.00"),IF(J45&gt;65,("2.66"),IF(J45&gt;60,("2.33"),IF(J45&gt;55,("2"),IF(J45&gt;50,("1.66"),"1.33"))))))))</f>
        <v>1.33</v>
      </c>
      <c r="L45" s="1454" t="str">
        <f t="shared" ref="L45" si="106">IF(J45&gt;85,("A"),IF(J45&gt;80,("A-"),IF(J45&gt;75,("B+"),IF(J45&gt;70,("B"),IF(J45&gt;65,("B-"),IF(J45&gt;60,("C+"),IF(J45&gt;55,("C"),IF(J45&gt;50,("C-"),"D+"))))))))</f>
        <v>D+</v>
      </c>
      <c r="M45" s="1455" t="str">
        <f t="shared" ref="M45" si="107">IF(J45&gt;80,("SB"),IF(J45&gt;65,("B"),IF(J45&gt;50,("C"),IF(J45&gt;0,("K"),"0"))))</f>
        <v>0</v>
      </c>
      <c r="N45" s="1441"/>
      <c r="O45" s="1442"/>
      <c r="P45" s="1442"/>
      <c r="Q45" s="1443"/>
      <c r="R45" s="1831"/>
      <c r="S45" s="1457"/>
    </row>
    <row r="46" spans="1:19" ht="24.95" customHeight="1" x14ac:dyDescent="0.25">
      <c r="A46" s="1207">
        <v>14</v>
      </c>
      <c r="B46" s="1426">
        <v>14</v>
      </c>
      <c r="C46" s="1427" t="str">
        <f>VLOOKUP(A46,data_siswa,4,FALSE)</f>
        <v>Moch Zidane Hita L. U</v>
      </c>
      <c r="D46" s="361" t="s">
        <v>18</v>
      </c>
      <c r="E46" s="362"/>
      <c r="F46" s="1191">
        <f>E46*2</f>
        <v>0</v>
      </c>
      <c r="G46" s="362"/>
      <c r="H46" s="457">
        <f>VLOOKUP(B46,REKAP_NILAI,46,FALSE)</f>
        <v>0</v>
      </c>
      <c r="I46" s="709">
        <f>F46+G46+H46</f>
        <v>0</v>
      </c>
      <c r="J46" s="1451">
        <f>(F46+G46+H46)/4</f>
        <v>0</v>
      </c>
      <c r="K46" s="709" t="str">
        <f>IF(J46&gt;85,("4"),IF(J46&gt;80,("3.66"),IF(J46&gt;75,("3.33"),IF(J46&gt;70,("3.00"),IF(J46&gt;65,("2.66"),IF(J46&gt;60,("2.33"),IF(J46&gt;55,("2"),IF(J46&gt;50,("1.66"),"1.33"))))))))</f>
        <v>1.33</v>
      </c>
      <c r="L46" s="709" t="str">
        <f>IF(J46&gt;85,("A"),IF(J46&gt;80,("A-"),IF(J46&gt;75,("B+"),IF(J46&gt;70,("B"),IF(J46&gt;65,("B-"),IF(J46&gt;60,("C+"),IF(J46&gt;55,("C"),IF(J46&gt;50,("C-"),"D+"))))))))</f>
        <v>D+</v>
      </c>
      <c r="M46" s="1452" t="str">
        <f>IF(J46&gt;80,("SB"),IF(J46&gt;65,("B"),IF(J46&gt;50,("C"),IF(J46&gt;0,("K"),"0"))))</f>
        <v>0</v>
      </c>
      <c r="N46" s="1429"/>
      <c r="O46" s="1207"/>
      <c r="P46" s="1430"/>
      <c r="Q46" s="1430"/>
      <c r="R46" s="704">
        <f t="shared" ref="R46" si="108">J48</f>
        <v>0</v>
      </c>
      <c r="S46" s="466" t="str">
        <f>IF(R46&gt;85,("A"),IF(R46&gt;80,("A-"),IF(R46&gt;75,("B+"),IF(R46&gt;70,("B"),IF(R46&gt;65,("B-"),IF(R46&gt;60,("C+"),IF(R46&gt;55,("C"),IF(R46&gt;50,("C-"),"D+"))))))))</f>
        <v>D+</v>
      </c>
    </row>
    <row r="47" spans="1:19" ht="24.95" customHeight="1" x14ac:dyDescent="0.25">
      <c r="A47" s="1431"/>
      <c r="B47" s="1426">
        <v>14</v>
      </c>
      <c r="C47" s="1432"/>
      <c r="D47" s="361" t="s">
        <v>20</v>
      </c>
      <c r="E47" s="361"/>
      <c r="F47" s="1191">
        <f t="shared" ref="F47" si="109">E47*2</f>
        <v>0</v>
      </c>
      <c r="G47" s="361"/>
      <c r="H47" s="457">
        <f>VLOOKUP(B46,REKAP_NILAI,47,FALSE)</f>
        <v>0</v>
      </c>
      <c r="I47" s="709">
        <f t="shared" ref="I47" si="110">F47+G47+H47</f>
        <v>0</v>
      </c>
      <c r="J47" s="1451">
        <f t="shared" ref="J47" si="111">(F47+G47+H47)/4</f>
        <v>0</v>
      </c>
      <c r="K47" s="709" t="str">
        <f t="shared" ref="K47:K48" si="112">IF(J47&gt;85,("4"),IF(J47&gt;80,("3.66"),IF(J47&gt;75,("3.33"),IF(J47&gt;70,("3.00"),IF(J47&gt;65,("2.66"),IF(J47&gt;60,("2.33"),IF(J47&gt;55,("2"),IF(J47&gt;50,("1.66"),"1.33"))))))))</f>
        <v>1.33</v>
      </c>
      <c r="L47" s="709" t="str">
        <f t="shared" ref="L47:L48" si="113">IF(J47&gt;85,("A"),IF(J47&gt;80,("A-"),IF(J47&gt;75,("B+"),IF(J47&gt;70,("B"),IF(J47&gt;65,("B-"),IF(J47&gt;60,("C+"),IF(J47&gt;55,("C"),IF(J47&gt;50,("C-"),"D+"))))))))</f>
        <v>D+</v>
      </c>
      <c r="M47" s="1452" t="str">
        <f t="shared" ref="M47:M48" si="114">IF(J47&gt;80,("SB"),IF(J47&gt;65,("B"),IF(J47&gt;50,("C"),IF(J47&gt;0,("K"),"0"))))</f>
        <v>0</v>
      </c>
      <c r="N47" s="1444"/>
      <c r="O47" s="1445"/>
      <c r="P47" s="1446"/>
      <c r="Q47" s="1447"/>
      <c r="R47" s="1830"/>
      <c r="S47" s="1456"/>
    </row>
    <row r="48" spans="1:19" ht="24.95" customHeight="1" x14ac:dyDescent="0.25">
      <c r="A48" s="1436"/>
      <c r="B48" s="1437"/>
      <c r="C48" s="1438" t="s">
        <v>149</v>
      </c>
      <c r="D48" s="1439">
        <v>14</v>
      </c>
      <c r="E48" s="1436"/>
      <c r="F48" s="1448"/>
      <c r="G48" s="1436"/>
      <c r="H48" s="1440">
        <f>AVERAGE(H46:H47)</f>
        <v>0</v>
      </c>
      <c r="I48" s="1453"/>
      <c r="J48" s="1454">
        <f>AVERAGE(J46:J47)</f>
        <v>0</v>
      </c>
      <c r="K48" s="1454" t="str">
        <f t="shared" si="112"/>
        <v>1.33</v>
      </c>
      <c r="L48" s="1454" t="str">
        <f t="shared" si="113"/>
        <v>D+</v>
      </c>
      <c r="M48" s="1455" t="str">
        <f t="shared" si="114"/>
        <v>0</v>
      </c>
      <c r="N48" s="1441"/>
      <c r="O48" s="1442"/>
      <c r="P48" s="1442"/>
      <c r="Q48" s="1443"/>
      <c r="R48" s="1831"/>
      <c r="S48" s="1457"/>
    </row>
    <row r="49" spans="1:19" ht="24.95" customHeight="1" x14ac:dyDescent="0.25">
      <c r="A49" s="1207">
        <v>15</v>
      </c>
      <c r="B49" s="1426">
        <v>15</v>
      </c>
      <c r="C49" s="1427" t="str">
        <f>VLOOKUP(A49,data_siswa,4,FALSE)</f>
        <v>Muhammad Ibra Maulana</v>
      </c>
      <c r="D49" s="361" t="s">
        <v>18</v>
      </c>
      <c r="E49" s="362"/>
      <c r="F49" s="1191">
        <f>E49*2</f>
        <v>0</v>
      </c>
      <c r="G49" s="362"/>
      <c r="H49" s="457">
        <f>VLOOKUP(B49,REKAP_NILAI,46,FALSE)</f>
        <v>0</v>
      </c>
      <c r="I49" s="709">
        <f>F49+G49+H49</f>
        <v>0</v>
      </c>
      <c r="J49" s="1451">
        <f>(F49+G49+H49)/4</f>
        <v>0</v>
      </c>
      <c r="K49" s="709" t="str">
        <f>IF(J49&gt;85,("4"),IF(J49&gt;80,("3.66"),IF(J49&gt;75,("3.33"),IF(J49&gt;70,("3.00"),IF(J49&gt;65,("2.66"),IF(J49&gt;60,("2.33"),IF(J49&gt;55,("2"),IF(J49&gt;50,("1.66"),"1.33"))))))))</f>
        <v>1.33</v>
      </c>
      <c r="L49" s="709" t="str">
        <f>IF(J49&gt;85,("A"),IF(J49&gt;80,("A-"),IF(J49&gt;75,("B+"),IF(J49&gt;70,("B"),IF(J49&gt;65,("B-"),IF(J49&gt;60,("C+"),IF(J49&gt;55,("C"),IF(J49&gt;50,("C-"),"D+"))))))))</f>
        <v>D+</v>
      </c>
      <c r="M49" s="1452" t="str">
        <f>IF(J49&gt;80,("SB"),IF(J49&gt;65,("B"),IF(J49&gt;50,("C"),IF(J49&gt;0,("K"),"0"))))</f>
        <v>0</v>
      </c>
      <c r="N49" s="1429"/>
      <c r="O49" s="1207"/>
      <c r="P49" s="1430"/>
      <c r="Q49" s="1430"/>
      <c r="R49" s="704">
        <f t="shared" ref="R49" si="115">J51</f>
        <v>0</v>
      </c>
      <c r="S49" s="466" t="str">
        <f>IF(R49&gt;85,("A"),IF(R49&gt;80,("A-"),IF(R49&gt;75,("B+"),IF(R49&gt;70,("B"),IF(R49&gt;65,("B-"),IF(R49&gt;60,("C+"),IF(R49&gt;55,("C"),IF(R49&gt;50,("C-"),"D+"))))))))</f>
        <v>D+</v>
      </c>
    </row>
    <row r="50" spans="1:19" ht="24.95" customHeight="1" x14ac:dyDescent="0.25">
      <c r="A50" s="1431"/>
      <c r="B50" s="1426">
        <v>15</v>
      </c>
      <c r="C50" s="1432"/>
      <c r="D50" s="361" t="s">
        <v>20</v>
      </c>
      <c r="E50" s="361"/>
      <c r="F50" s="1191">
        <f t="shared" ref="F50" si="116">E50*2</f>
        <v>0</v>
      </c>
      <c r="G50" s="361"/>
      <c r="H50" s="457">
        <f>VLOOKUP(B49,REKAP_NILAI,47,FALSE)</f>
        <v>0</v>
      </c>
      <c r="I50" s="709">
        <f t="shared" ref="I50" si="117">F50+G50+H50</f>
        <v>0</v>
      </c>
      <c r="J50" s="1451">
        <f t="shared" ref="J50" si="118">(F50+G50+H50)/4</f>
        <v>0</v>
      </c>
      <c r="K50" s="709" t="str">
        <f t="shared" ref="K50:K51" si="119">IF(J50&gt;85,("4"),IF(J50&gt;80,("3.66"),IF(J50&gt;75,("3.33"),IF(J50&gt;70,("3.00"),IF(J50&gt;65,("2.66"),IF(J50&gt;60,("2.33"),IF(J50&gt;55,("2"),IF(J50&gt;50,("1.66"),"1.33"))))))))</f>
        <v>1.33</v>
      </c>
      <c r="L50" s="709" t="str">
        <f t="shared" ref="L50:L51" si="120">IF(J50&gt;85,("A"),IF(J50&gt;80,("A-"),IF(J50&gt;75,("B+"),IF(J50&gt;70,("B"),IF(J50&gt;65,("B-"),IF(J50&gt;60,("C+"),IF(J50&gt;55,("C"),IF(J50&gt;50,("C-"),"D+"))))))))</f>
        <v>D+</v>
      </c>
      <c r="M50" s="1452" t="str">
        <f t="shared" ref="M50:M51" si="121">IF(J50&gt;80,("SB"),IF(J50&gt;65,("B"),IF(J50&gt;50,("C"),IF(J50&gt;0,("K"),"0"))))</f>
        <v>0</v>
      </c>
      <c r="N50" s="1444"/>
      <c r="O50" s="1445"/>
      <c r="P50" s="1446"/>
      <c r="Q50" s="1447"/>
      <c r="R50" s="1830"/>
      <c r="S50" s="1456"/>
    </row>
    <row r="51" spans="1:19" ht="24.95" customHeight="1" x14ac:dyDescent="0.25">
      <c r="A51" s="1436"/>
      <c r="B51" s="1437"/>
      <c r="C51" s="1438" t="s">
        <v>149</v>
      </c>
      <c r="D51" s="1439">
        <v>15</v>
      </c>
      <c r="E51" s="1436"/>
      <c r="F51" s="1448"/>
      <c r="G51" s="1436"/>
      <c r="H51" s="1440">
        <f>AVERAGE(H49:H50)</f>
        <v>0</v>
      </c>
      <c r="I51" s="1453"/>
      <c r="J51" s="1454">
        <f>AVERAGE(J49:J50)</f>
        <v>0</v>
      </c>
      <c r="K51" s="1454" t="str">
        <f t="shared" si="119"/>
        <v>1.33</v>
      </c>
      <c r="L51" s="1454" t="str">
        <f t="shared" si="120"/>
        <v>D+</v>
      </c>
      <c r="M51" s="1455" t="str">
        <f t="shared" si="121"/>
        <v>0</v>
      </c>
      <c r="N51" s="1441"/>
      <c r="O51" s="1442"/>
      <c r="P51" s="1442"/>
      <c r="Q51" s="1443"/>
      <c r="R51" s="1831"/>
      <c r="S51" s="1457"/>
    </row>
    <row r="52" spans="1:19" ht="24.95" customHeight="1" x14ac:dyDescent="0.25">
      <c r="A52" s="1207">
        <v>16</v>
      </c>
      <c r="B52" s="1426">
        <v>16</v>
      </c>
      <c r="C52" s="1427" t="str">
        <f>VLOOKUP(A52,data_siswa,4,FALSE)</f>
        <v>Nabilla Shiva Putri</v>
      </c>
      <c r="D52" s="361" t="s">
        <v>18</v>
      </c>
      <c r="E52" s="362"/>
      <c r="F52" s="1191">
        <f>E52*2</f>
        <v>0</v>
      </c>
      <c r="G52" s="362"/>
      <c r="H52" s="457">
        <f>VLOOKUP(B52,REKAP_NILAI,46,FALSE)</f>
        <v>0</v>
      </c>
      <c r="I52" s="709">
        <f>F52+G52+H52</f>
        <v>0</v>
      </c>
      <c r="J52" s="1451">
        <f>(F52+G52+H52)/4</f>
        <v>0</v>
      </c>
      <c r="K52" s="709" t="str">
        <f>IF(J52&gt;85,("4"),IF(J52&gt;80,("3.66"),IF(J52&gt;75,("3.33"),IF(J52&gt;70,("3.00"),IF(J52&gt;65,("2.66"),IF(J52&gt;60,("2.33"),IF(J52&gt;55,("2"),IF(J52&gt;50,("1.66"),"1.33"))))))))</f>
        <v>1.33</v>
      </c>
      <c r="L52" s="709" t="str">
        <f>IF(J52&gt;85,("A"),IF(J52&gt;80,("A-"),IF(J52&gt;75,("B+"),IF(J52&gt;70,("B"),IF(J52&gt;65,("B-"),IF(J52&gt;60,("C+"),IF(J52&gt;55,("C"),IF(J52&gt;50,("C-"),"D+"))))))))</f>
        <v>D+</v>
      </c>
      <c r="M52" s="1452" t="str">
        <f>IF(J52&gt;80,("SB"),IF(J52&gt;65,("B"),IF(J52&gt;50,("C"),IF(J52&gt;0,("K"),"0"))))</f>
        <v>0</v>
      </c>
      <c r="N52" s="1429"/>
      <c r="O52" s="1207"/>
      <c r="P52" s="1430"/>
      <c r="Q52" s="1430"/>
      <c r="R52" s="704">
        <f t="shared" ref="R52" si="122">J54</f>
        <v>0</v>
      </c>
      <c r="S52" s="466" t="str">
        <f>IF(R52&gt;85,("A"),IF(R52&gt;80,("A-"),IF(R52&gt;75,("B+"),IF(R52&gt;70,("B"),IF(R52&gt;65,("B-"),IF(R52&gt;60,("C+"),IF(R52&gt;55,("C"),IF(R52&gt;50,("C-"),"D+"))))))))</f>
        <v>D+</v>
      </c>
    </row>
    <row r="53" spans="1:19" ht="24.95" customHeight="1" x14ac:dyDescent="0.25">
      <c r="A53" s="1431"/>
      <c r="B53" s="1426">
        <v>16</v>
      </c>
      <c r="C53" s="1432"/>
      <c r="D53" s="361" t="s">
        <v>20</v>
      </c>
      <c r="E53" s="361"/>
      <c r="F53" s="1191">
        <f t="shared" ref="F53" si="123">E53*2</f>
        <v>0</v>
      </c>
      <c r="G53" s="361"/>
      <c r="H53" s="457">
        <f>VLOOKUP(B52,REKAP_NILAI,47,FALSE)</f>
        <v>0</v>
      </c>
      <c r="I53" s="709">
        <f t="shared" ref="I53" si="124">F53+G53+H53</f>
        <v>0</v>
      </c>
      <c r="J53" s="1451">
        <f t="shared" ref="J53" si="125">(F53+G53+H53)/4</f>
        <v>0</v>
      </c>
      <c r="K53" s="709" t="str">
        <f t="shared" ref="K53:K54" si="126">IF(J53&gt;85,("4"),IF(J53&gt;80,("3.66"),IF(J53&gt;75,("3.33"),IF(J53&gt;70,("3.00"),IF(J53&gt;65,("2.66"),IF(J53&gt;60,("2.33"),IF(J53&gt;55,("2"),IF(J53&gt;50,("1.66"),"1.33"))))))))</f>
        <v>1.33</v>
      </c>
      <c r="L53" s="709" t="str">
        <f t="shared" ref="L53:L54" si="127">IF(J53&gt;85,("A"),IF(J53&gt;80,("A-"),IF(J53&gt;75,("B+"),IF(J53&gt;70,("B"),IF(J53&gt;65,("B-"),IF(J53&gt;60,("C+"),IF(J53&gt;55,("C"),IF(J53&gt;50,("C-"),"D+"))))))))</f>
        <v>D+</v>
      </c>
      <c r="M53" s="1452" t="str">
        <f t="shared" ref="M53:M54" si="128">IF(J53&gt;80,("SB"),IF(J53&gt;65,("B"),IF(J53&gt;50,("C"),IF(J53&gt;0,("K"),"0"))))</f>
        <v>0</v>
      </c>
      <c r="N53" s="1444"/>
      <c r="O53" s="1445"/>
      <c r="P53" s="1446"/>
      <c r="Q53" s="1447"/>
      <c r="R53" s="1830"/>
      <c r="S53" s="1456"/>
    </row>
    <row r="54" spans="1:19" ht="24.95" customHeight="1" x14ac:dyDescent="0.25">
      <c r="A54" s="1436"/>
      <c r="B54" s="1437"/>
      <c r="C54" s="1438" t="s">
        <v>149</v>
      </c>
      <c r="D54" s="1439">
        <v>16</v>
      </c>
      <c r="E54" s="1436"/>
      <c r="F54" s="1448"/>
      <c r="G54" s="1436"/>
      <c r="H54" s="1440">
        <f>AVERAGE(H52:H53)</f>
        <v>0</v>
      </c>
      <c r="I54" s="1453"/>
      <c r="J54" s="1454">
        <f>AVERAGE(J52:J53)</f>
        <v>0</v>
      </c>
      <c r="K54" s="1454" t="str">
        <f t="shared" si="126"/>
        <v>1.33</v>
      </c>
      <c r="L54" s="1454" t="str">
        <f t="shared" si="127"/>
        <v>D+</v>
      </c>
      <c r="M54" s="1455" t="str">
        <f t="shared" si="128"/>
        <v>0</v>
      </c>
      <c r="N54" s="1441"/>
      <c r="O54" s="1442"/>
      <c r="P54" s="1442"/>
      <c r="Q54" s="1443"/>
      <c r="R54" s="1831"/>
      <c r="S54" s="1457"/>
    </row>
    <row r="55" spans="1:19" ht="24.95" customHeight="1" x14ac:dyDescent="0.25">
      <c r="A55" s="1207">
        <v>17</v>
      </c>
      <c r="B55" s="1426">
        <v>17</v>
      </c>
      <c r="C55" s="1427" t="str">
        <f>VLOOKUP(A55,data_siswa,4,FALSE)</f>
        <v>Naufal Falih F</v>
      </c>
      <c r="D55" s="361" t="s">
        <v>18</v>
      </c>
      <c r="E55" s="362"/>
      <c r="F55" s="1191">
        <f>E55*2</f>
        <v>0</v>
      </c>
      <c r="G55" s="362"/>
      <c r="H55" s="457">
        <f>VLOOKUP(B55,REKAP_NILAI,46,FALSE)</f>
        <v>0</v>
      </c>
      <c r="I55" s="709">
        <f>F55+G55+H55</f>
        <v>0</v>
      </c>
      <c r="J55" s="1451">
        <f>(F55+G55+H55)/4</f>
        <v>0</v>
      </c>
      <c r="K55" s="709" t="str">
        <f>IF(J55&gt;85,("4"),IF(J55&gt;80,("3.66"),IF(J55&gt;75,("3.33"),IF(J55&gt;70,("3.00"),IF(J55&gt;65,("2.66"),IF(J55&gt;60,("2.33"),IF(J55&gt;55,("2"),IF(J55&gt;50,("1.66"),"1.33"))))))))</f>
        <v>1.33</v>
      </c>
      <c r="L55" s="709" t="str">
        <f>IF(J55&gt;85,("A"),IF(J55&gt;80,("A-"),IF(J55&gt;75,("B+"),IF(J55&gt;70,("B"),IF(J55&gt;65,("B-"),IF(J55&gt;60,("C+"),IF(J55&gt;55,("C"),IF(J55&gt;50,("C-"),"D+"))))))))</f>
        <v>D+</v>
      </c>
      <c r="M55" s="1452" t="str">
        <f>IF(J55&gt;80,("SB"),IF(J55&gt;65,("B"),IF(J55&gt;50,("C"),IF(J55&gt;0,("K"),"0"))))</f>
        <v>0</v>
      </c>
      <c r="N55" s="1429"/>
      <c r="O55" s="1207"/>
      <c r="P55" s="1430"/>
      <c r="Q55" s="1430"/>
      <c r="R55" s="704">
        <f t="shared" ref="R55" si="129">J57</f>
        <v>0</v>
      </c>
      <c r="S55" s="466" t="str">
        <f>IF(R55&gt;85,("A"),IF(R55&gt;80,("A-"),IF(R55&gt;75,("B+"),IF(R55&gt;70,("B"),IF(R55&gt;65,("B-"),IF(R55&gt;60,("C+"),IF(R55&gt;55,("C"),IF(R55&gt;50,("C-"),"D+"))))))))</f>
        <v>D+</v>
      </c>
    </row>
    <row r="56" spans="1:19" ht="24.95" customHeight="1" x14ac:dyDescent="0.25">
      <c r="A56" s="1431"/>
      <c r="B56" s="1426">
        <v>17</v>
      </c>
      <c r="C56" s="1432"/>
      <c r="D56" s="361" t="s">
        <v>20</v>
      </c>
      <c r="E56" s="361"/>
      <c r="F56" s="1191">
        <f t="shared" ref="F56" si="130">E56*2</f>
        <v>0</v>
      </c>
      <c r="G56" s="361"/>
      <c r="H56" s="457">
        <f>VLOOKUP(B55,REKAP_NILAI,47,FALSE)</f>
        <v>0</v>
      </c>
      <c r="I56" s="709">
        <f t="shared" ref="I56" si="131">F56+G56+H56</f>
        <v>0</v>
      </c>
      <c r="J56" s="1451">
        <f t="shared" ref="J56" si="132">(F56+G56+H56)/4</f>
        <v>0</v>
      </c>
      <c r="K56" s="709" t="str">
        <f t="shared" ref="K56" si="133">IF(J56&gt;85,("4"),IF(J56&gt;80,("3.66"),IF(J56&gt;75,("3.33"),IF(J56&gt;70,("3.00"),IF(J56&gt;65,("2.66"),IF(J56&gt;60,("2.33"),IF(J56&gt;55,("2"),IF(J56&gt;50,("1.66"),"1.33"))))))))</f>
        <v>1.33</v>
      </c>
      <c r="L56" s="709" t="str">
        <f t="shared" ref="L56" si="134">IF(J56&gt;85,("A"),IF(J56&gt;80,("A-"),IF(J56&gt;75,("B+"),IF(J56&gt;70,("B"),IF(J56&gt;65,("B-"),IF(J56&gt;60,("C+"),IF(J56&gt;55,("C"),IF(J56&gt;50,("C-"),"D+"))))))))</f>
        <v>D+</v>
      </c>
      <c r="M56" s="1452" t="str">
        <f t="shared" ref="M56" si="135">IF(J56&gt;80,("SB"),IF(J56&gt;65,("B"),IF(J56&gt;50,("C"),IF(J56&gt;0,("K"),"0"))))</f>
        <v>0</v>
      </c>
      <c r="N56" s="1444"/>
      <c r="O56" s="1445"/>
      <c r="P56" s="1446"/>
      <c r="Q56" s="1447"/>
      <c r="R56" s="1830"/>
      <c r="S56" s="1456"/>
    </row>
    <row r="57" spans="1:19" ht="24.95" customHeight="1" x14ac:dyDescent="0.25">
      <c r="A57" s="1436"/>
      <c r="B57" s="1437"/>
      <c r="C57" s="1438" t="s">
        <v>149</v>
      </c>
      <c r="D57" s="1439">
        <v>17</v>
      </c>
      <c r="E57" s="1436"/>
      <c r="F57" s="1448"/>
      <c r="G57" s="1436"/>
      <c r="H57" s="1440">
        <f>AVERAGE(H55:H56)</f>
        <v>0</v>
      </c>
      <c r="I57" s="1453"/>
      <c r="J57" s="1454">
        <f>AVERAGE(J55:J56)</f>
        <v>0</v>
      </c>
      <c r="K57" s="1454" t="str">
        <f t="shared" ref="K57" si="136">IF(J57&gt;85,("4"),IF(J57&gt;80,("3.66"),IF(J57&gt;75,("3.33"),IF(J57&gt;70,("3.00"),IF(J57&gt;65,("2.66"),IF(J57&gt;60,("2.33"),IF(J57&gt;55,("2"),IF(J57&gt;50,("1.66"),"1.33"))))))))</f>
        <v>1.33</v>
      </c>
      <c r="L57" s="1454" t="str">
        <f t="shared" ref="L57" si="137">IF(J57&gt;85,("A"),IF(J57&gt;80,("A-"),IF(J57&gt;75,("B+"),IF(J57&gt;70,("B"),IF(J57&gt;65,("B-"),IF(J57&gt;60,("C+"),IF(J57&gt;55,("C"),IF(J57&gt;50,("C-"),"D+"))))))))</f>
        <v>D+</v>
      </c>
      <c r="M57" s="1455" t="str">
        <f t="shared" ref="M57" si="138">IF(J57&gt;80,("SB"),IF(J57&gt;65,("B"),IF(J57&gt;50,("C"),IF(J57&gt;0,("K"),"0"))))</f>
        <v>0</v>
      </c>
      <c r="N57" s="1441"/>
      <c r="O57" s="1442"/>
      <c r="P57" s="1442"/>
      <c r="Q57" s="1443"/>
      <c r="R57" s="1831"/>
      <c r="S57" s="1457"/>
    </row>
    <row r="58" spans="1:19" ht="24.95" customHeight="1" x14ac:dyDescent="0.25">
      <c r="A58" s="1207">
        <v>18</v>
      </c>
      <c r="B58" s="1426">
        <v>18</v>
      </c>
      <c r="C58" s="1427" t="str">
        <f>VLOOKUP(A58,data_siswa,4,FALSE)</f>
        <v>Nayla Annora Nobel W</v>
      </c>
      <c r="D58" s="361" t="s">
        <v>18</v>
      </c>
      <c r="E58" s="362"/>
      <c r="F58" s="1191">
        <f>E58*2</f>
        <v>0</v>
      </c>
      <c r="G58" s="362"/>
      <c r="H58" s="457">
        <f>VLOOKUP(B58,REKAP_NILAI,46,FALSE)</f>
        <v>0</v>
      </c>
      <c r="I58" s="709">
        <f>F58+G58+H58</f>
        <v>0</v>
      </c>
      <c r="J58" s="1451">
        <f>(F58+G58+H58)/4</f>
        <v>0</v>
      </c>
      <c r="K58" s="709" t="str">
        <f>IF(J58&gt;85,("4"),IF(J58&gt;80,("3.66"),IF(J58&gt;75,("3.33"),IF(J58&gt;70,("3.00"),IF(J58&gt;65,("2.66"),IF(J58&gt;60,("2.33"),IF(J58&gt;55,("2"),IF(J58&gt;50,("1.66"),"1.33"))))))))</f>
        <v>1.33</v>
      </c>
      <c r="L58" s="709" t="str">
        <f>IF(J58&gt;85,("A"),IF(J58&gt;80,("A-"),IF(J58&gt;75,("B+"),IF(J58&gt;70,("B"),IF(J58&gt;65,("B-"),IF(J58&gt;60,("C+"),IF(J58&gt;55,("C"),IF(J58&gt;50,("C-"),"D+"))))))))</f>
        <v>D+</v>
      </c>
      <c r="M58" s="1452" t="str">
        <f>IF(J58&gt;80,("SB"),IF(J58&gt;65,("B"),IF(J58&gt;50,("C"),IF(J58&gt;0,("K"),"0"))))</f>
        <v>0</v>
      </c>
      <c r="N58" s="1429"/>
      <c r="O58" s="1207"/>
      <c r="P58" s="1430"/>
      <c r="Q58" s="1430"/>
      <c r="R58" s="704">
        <f t="shared" ref="R58" si="139">J60</f>
        <v>0</v>
      </c>
      <c r="S58" s="466" t="str">
        <f>IF(R58&gt;85,("A"),IF(R58&gt;80,("A-"),IF(R58&gt;75,("B+"),IF(R58&gt;70,("B"),IF(R58&gt;65,("B-"),IF(R58&gt;60,("C+"),IF(R58&gt;55,("C"),IF(R58&gt;50,("C-"),"D+"))))))))</f>
        <v>D+</v>
      </c>
    </row>
    <row r="59" spans="1:19" ht="24.95" customHeight="1" x14ac:dyDescent="0.25">
      <c r="A59" s="1431"/>
      <c r="B59" s="1426">
        <v>18</v>
      </c>
      <c r="C59" s="1432"/>
      <c r="D59" s="361" t="s">
        <v>20</v>
      </c>
      <c r="E59" s="361"/>
      <c r="F59" s="1191">
        <f t="shared" ref="F59" si="140">E59*2</f>
        <v>0</v>
      </c>
      <c r="G59" s="361"/>
      <c r="H59" s="457">
        <f>VLOOKUP(B58,REKAP_NILAI,47,FALSE)</f>
        <v>0</v>
      </c>
      <c r="I59" s="709">
        <f t="shared" ref="I59" si="141">F59+G59+H59</f>
        <v>0</v>
      </c>
      <c r="J59" s="1451">
        <f t="shared" ref="J59" si="142">(F59+G59+H59)/4</f>
        <v>0</v>
      </c>
      <c r="K59" s="709" t="str">
        <f t="shared" ref="K59:K60" si="143">IF(J59&gt;85,("4"),IF(J59&gt;80,("3.66"),IF(J59&gt;75,("3.33"),IF(J59&gt;70,("3.00"),IF(J59&gt;65,("2.66"),IF(J59&gt;60,("2.33"),IF(J59&gt;55,("2"),IF(J59&gt;50,("1.66"),"1.33"))))))))</f>
        <v>1.33</v>
      </c>
      <c r="L59" s="709" t="str">
        <f t="shared" ref="L59:L60" si="144">IF(J59&gt;85,("A"),IF(J59&gt;80,("A-"),IF(J59&gt;75,("B+"),IF(J59&gt;70,("B"),IF(J59&gt;65,("B-"),IF(J59&gt;60,("C+"),IF(J59&gt;55,("C"),IF(J59&gt;50,("C-"),"D+"))))))))</f>
        <v>D+</v>
      </c>
      <c r="M59" s="1452" t="str">
        <f t="shared" ref="M59:M60" si="145">IF(J59&gt;80,("SB"),IF(J59&gt;65,("B"),IF(J59&gt;50,("C"),IF(J59&gt;0,("K"),"0"))))</f>
        <v>0</v>
      </c>
      <c r="N59" s="1444"/>
      <c r="O59" s="1445"/>
      <c r="P59" s="1446"/>
      <c r="Q59" s="1447"/>
      <c r="R59" s="1830"/>
      <c r="S59" s="1456"/>
    </row>
    <row r="60" spans="1:19" ht="24.95" customHeight="1" x14ac:dyDescent="0.25">
      <c r="A60" s="1436"/>
      <c r="B60" s="1437"/>
      <c r="C60" s="1438" t="s">
        <v>149</v>
      </c>
      <c r="D60" s="1439">
        <v>18</v>
      </c>
      <c r="E60" s="1436"/>
      <c r="F60" s="1448"/>
      <c r="G60" s="1436"/>
      <c r="H60" s="1440">
        <f>AVERAGE(H58:H59)</f>
        <v>0</v>
      </c>
      <c r="I60" s="1453"/>
      <c r="J60" s="1454">
        <f>AVERAGE(J58:J59)</f>
        <v>0</v>
      </c>
      <c r="K60" s="1454" t="str">
        <f t="shared" si="143"/>
        <v>1.33</v>
      </c>
      <c r="L60" s="1454" t="str">
        <f t="shared" si="144"/>
        <v>D+</v>
      </c>
      <c r="M60" s="1455" t="str">
        <f t="shared" si="145"/>
        <v>0</v>
      </c>
      <c r="N60" s="1441"/>
      <c r="O60" s="1442"/>
      <c r="P60" s="1442"/>
      <c r="Q60" s="1443"/>
      <c r="R60" s="1831"/>
      <c r="S60" s="1457"/>
    </row>
    <row r="61" spans="1:19" ht="24.95" customHeight="1" x14ac:dyDescent="0.25">
      <c r="A61" s="1207">
        <v>19</v>
      </c>
      <c r="B61" s="1426">
        <v>19</v>
      </c>
      <c r="C61" s="1427" t="str">
        <f>VLOOKUP(A61,data_siswa,4,FALSE)</f>
        <v>Raihan Danang P</v>
      </c>
      <c r="D61" s="361" t="s">
        <v>18</v>
      </c>
      <c r="E61" s="362"/>
      <c r="F61" s="1191">
        <f>E61*2</f>
        <v>0</v>
      </c>
      <c r="G61" s="362"/>
      <c r="H61" s="457">
        <f>VLOOKUP(B61,REKAP_NILAI,46,FALSE)</f>
        <v>0</v>
      </c>
      <c r="I61" s="709">
        <f>F61+G61+H61</f>
        <v>0</v>
      </c>
      <c r="J61" s="1451">
        <f>(F61+G61+H61)/4</f>
        <v>0</v>
      </c>
      <c r="K61" s="709" t="str">
        <f>IF(J61&gt;85,("4"),IF(J61&gt;80,("3.66"),IF(J61&gt;75,("3.33"),IF(J61&gt;70,("3.00"),IF(J61&gt;65,("2.66"),IF(J61&gt;60,("2.33"),IF(J61&gt;55,("2"),IF(J61&gt;50,("1.66"),"1.33"))))))))</f>
        <v>1.33</v>
      </c>
      <c r="L61" s="709" t="str">
        <f>IF(J61&gt;85,("A"),IF(J61&gt;80,("A-"),IF(J61&gt;75,("B+"),IF(J61&gt;70,("B"),IF(J61&gt;65,("B-"),IF(J61&gt;60,("C+"),IF(J61&gt;55,("C"),IF(J61&gt;50,("C-"),"D+"))))))))</f>
        <v>D+</v>
      </c>
      <c r="M61" s="1452" t="str">
        <f>IF(J61&gt;80,("SB"),IF(J61&gt;65,("B"),IF(J61&gt;50,("C"),IF(J61&gt;0,("K"),"0"))))</f>
        <v>0</v>
      </c>
      <c r="N61" s="1429"/>
      <c r="O61" s="1207"/>
      <c r="P61" s="1430"/>
      <c r="Q61" s="1430"/>
      <c r="R61" s="704">
        <f t="shared" ref="R61" si="146">J63</f>
        <v>0</v>
      </c>
      <c r="S61" s="466" t="str">
        <f>IF(R61&gt;85,("A"),IF(R61&gt;80,("A-"),IF(R61&gt;75,("B+"),IF(R61&gt;70,("B"),IF(R61&gt;65,("B-"),IF(R61&gt;60,("C+"),IF(R61&gt;55,("C"),IF(R61&gt;50,("C-"),"D+"))))))))</f>
        <v>D+</v>
      </c>
    </row>
    <row r="62" spans="1:19" ht="24.95" customHeight="1" x14ac:dyDescent="0.25">
      <c r="A62" s="1431"/>
      <c r="B62" s="1426">
        <v>19</v>
      </c>
      <c r="C62" s="1432"/>
      <c r="D62" s="361" t="s">
        <v>20</v>
      </c>
      <c r="E62" s="361"/>
      <c r="F62" s="1191">
        <f t="shared" ref="F62" si="147">E62*2</f>
        <v>0</v>
      </c>
      <c r="G62" s="361"/>
      <c r="H62" s="457">
        <f>VLOOKUP(B61,REKAP_NILAI,47,FALSE)</f>
        <v>0</v>
      </c>
      <c r="I62" s="709">
        <f t="shared" ref="I62" si="148">F62+G62+H62</f>
        <v>0</v>
      </c>
      <c r="J62" s="1451">
        <f t="shared" ref="J62" si="149">(F62+G62+H62)/4</f>
        <v>0</v>
      </c>
      <c r="K62" s="709" t="str">
        <f t="shared" ref="K62:K63" si="150">IF(J62&gt;85,("4"),IF(J62&gt;80,("3.66"),IF(J62&gt;75,("3.33"),IF(J62&gt;70,("3.00"),IF(J62&gt;65,("2.66"),IF(J62&gt;60,("2.33"),IF(J62&gt;55,("2"),IF(J62&gt;50,("1.66"),"1.33"))))))))</f>
        <v>1.33</v>
      </c>
      <c r="L62" s="709" t="str">
        <f t="shared" ref="L62:L63" si="151">IF(J62&gt;85,("A"),IF(J62&gt;80,("A-"),IF(J62&gt;75,("B+"),IF(J62&gt;70,("B"),IF(J62&gt;65,("B-"),IF(J62&gt;60,("C+"),IF(J62&gt;55,("C"),IF(J62&gt;50,("C-"),"D+"))))))))</f>
        <v>D+</v>
      </c>
      <c r="M62" s="1452" t="str">
        <f t="shared" ref="M62:M63" si="152">IF(J62&gt;80,("SB"),IF(J62&gt;65,("B"),IF(J62&gt;50,("C"),IF(J62&gt;0,("K"),"0"))))</f>
        <v>0</v>
      </c>
      <c r="N62" s="1444"/>
      <c r="O62" s="1445"/>
      <c r="P62" s="1446"/>
      <c r="Q62" s="1447"/>
      <c r="R62" s="1830"/>
      <c r="S62" s="1456"/>
    </row>
    <row r="63" spans="1:19" ht="24.95" customHeight="1" x14ac:dyDescent="0.25">
      <c r="A63" s="1436"/>
      <c r="B63" s="1437"/>
      <c r="C63" s="1438" t="s">
        <v>149</v>
      </c>
      <c r="D63" s="1439">
        <v>19</v>
      </c>
      <c r="E63" s="1436"/>
      <c r="F63" s="1448"/>
      <c r="G63" s="1436"/>
      <c r="H63" s="1440">
        <f>AVERAGE(H61:H62)</f>
        <v>0</v>
      </c>
      <c r="I63" s="1453"/>
      <c r="J63" s="1454">
        <f>AVERAGE(J61:J62)</f>
        <v>0</v>
      </c>
      <c r="K63" s="1454" t="str">
        <f t="shared" si="150"/>
        <v>1.33</v>
      </c>
      <c r="L63" s="1454" t="str">
        <f t="shared" si="151"/>
        <v>D+</v>
      </c>
      <c r="M63" s="1455" t="str">
        <f t="shared" si="152"/>
        <v>0</v>
      </c>
      <c r="N63" s="1441"/>
      <c r="O63" s="1442"/>
      <c r="P63" s="1442"/>
      <c r="Q63" s="1443"/>
      <c r="R63" s="1831"/>
      <c r="S63" s="1457"/>
    </row>
    <row r="64" spans="1:19" ht="24.95" customHeight="1" x14ac:dyDescent="0.25">
      <c r="A64" s="1207">
        <v>20</v>
      </c>
      <c r="B64" s="1426">
        <v>20</v>
      </c>
      <c r="C64" s="1427" t="str">
        <f>VLOOKUP(A64,data_siswa,4,FALSE)</f>
        <v>Roby Ardiyansyah</v>
      </c>
      <c r="D64" s="361" t="s">
        <v>18</v>
      </c>
      <c r="E64" s="362"/>
      <c r="F64" s="1191">
        <f>E64*2</f>
        <v>0</v>
      </c>
      <c r="G64" s="362"/>
      <c r="H64" s="457">
        <f>VLOOKUP(B64,REKAP_NILAI,46,FALSE)</f>
        <v>0</v>
      </c>
      <c r="I64" s="709">
        <f>F64+G64+H64</f>
        <v>0</v>
      </c>
      <c r="J64" s="1451">
        <f>(F64+G64+H64)/4</f>
        <v>0</v>
      </c>
      <c r="K64" s="709" t="str">
        <f>IF(J64&gt;85,("4"),IF(J64&gt;80,("3.66"),IF(J64&gt;75,("3.33"),IF(J64&gt;70,("3.00"),IF(J64&gt;65,("2.66"),IF(J64&gt;60,("2.33"),IF(J64&gt;55,("2"),IF(J64&gt;50,("1.66"),"1.33"))))))))</f>
        <v>1.33</v>
      </c>
      <c r="L64" s="709" t="str">
        <f>IF(J64&gt;85,("A"),IF(J64&gt;80,("A-"),IF(J64&gt;75,("B+"),IF(J64&gt;70,("B"),IF(J64&gt;65,("B-"),IF(J64&gt;60,("C+"),IF(J64&gt;55,("C"),IF(J64&gt;50,("C-"),"D+"))))))))</f>
        <v>D+</v>
      </c>
      <c r="M64" s="1452" t="str">
        <f>IF(J64&gt;80,("SB"),IF(J64&gt;65,("B"),IF(J64&gt;50,("C"),IF(J64&gt;0,("K"),"0"))))</f>
        <v>0</v>
      </c>
      <c r="N64" s="1429"/>
      <c r="O64" s="1207"/>
      <c r="P64" s="1430"/>
      <c r="Q64" s="1430"/>
      <c r="R64" s="704">
        <f t="shared" ref="R64" si="153">J66</f>
        <v>0</v>
      </c>
      <c r="S64" s="466" t="str">
        <f>IF(R64&gt;85,("A"),IF(R64&gt;80,("A-"),IF(R64&gt;75,("B+"),IF(R64&gt;70,("B"),IF(R64&gt;65,("B-"),IF(R64&gt;60,("C+"),IF(R64&gt;55,("C"),IF(R64&gt;50,("C-"),"D+"))))))))</f>
        <v>D+</v>
      </c>
    </row>
    <row r="65" spans="1:19" ht="24.95" customHeight="1" x14ac:dyDescent="0.25">
      <c r="A65" s="1431"/>
      <c r="B65" s="1426">
        <v>20</v>
      </c>
      <c r="C65" s="1432"/>
      <c r="D65" s="361" t="s">
        <v>20</v>
      </c>
      <c r="E65" s="361"/>
      <c r="F65" s="1191">
        <f t="shared" ref="F65" si="154">E65*2</f>
        <v>0</v>
      </c>
      <c r="G65" s="361"/>
      <c r="H65" s="457">
        <f>VLOOKUP(B64,REKAP_NILAI,47,FALSE)</f>
        <v>0</v>
      </c>
      <c r="I65" s="709">
        <f t="shared" ref="I65" si="155">F65+G65+H65</f>
        <v>0</v>
      </c>
      <c r="J65" s="1451">
        <f t="shared" ref="J65" si="156">(F65+G65+H65)/4</f>
        <v>0</v>
      </c>
      <c r="K65" s="709" t="str">
        <f t="shared" ref="K65:K66" si="157">IF(J65&gt;85,("4"),IF(J65&gt;80,("3.66"),IF(J65&gt;75,("3.33"),IF(J65&gt;70,("3.00"),IF(J65&gt;65,("2.66"),IF(J65&gt;60,("2.33"),IF(J65&gt;55,("2"),IF(J65&gt;50,("1.66"),"1.33"))))))))</f>
        <v>1.33</v>
      </c>
      <c r="L65" s="709" t="str">
        <f t="shared" ref="L65:L66" si="158">IF(J65&gt;85,("A"),IF(J65&gt;80,("A-"),IF(J65&gt;75,("B+"),IF(J65&gt;70,("B"),IF(J65&gt;65,("B-"),IF(J65&gt;60,("C+"),IF(J65&gt;55,("C"),IF(J65&gt;50,("C-"),"D+"))))))))</f>
        <v>D+</v>
      </c>
      <c r="M65" s="1452" t="str">
        <f t="shared" ref="M65:M66" si="159">IF(J65&gt;80,("SB"),IF(J65&gt;65,("B"),IF(J65&gt;50,("C"),IF(J65&gt;0,("K"),"0"))))</f>
        <v>0</v>
      </c>
      <c r="N65" s="1444"/>
      <c r="O65" s="1445"/>
      <c r="P65" s="1446"/>
      <c r="Q65" s="1447"/>
      <c r="R65" s="1830"/>
      <c r="S65" s="1456"/>
    </row>
    <row r="66" spans="1:19" ht="24.95" customHeight="1" x14ac:dyDescent="0.25">
      <c r="A66" s="1436"/>
      <c r="B66" s="1437"/>
      <c r="C66" s="1438" t="s">
        <v>149</v>
      </c>
      <c r="D66" s="1439">
        <v>20</v>
      </c>
      <c r="E66" s="1436"/>
      <c r="F66" s="1448"/>
      <c r="G66" s="1436"/>
      <c r="H66" s="1440">
        <f>AVERAGE(H64:H65)</f>
        <v>0</v>
      </c>
      <c r="I66" s="1453"/>
      <c r="J66" s="1454">
        <f>AVERAGE(J64:J65)</f>
        <v>0</v>
      </c>
      <c r="K66" s="1454" t="str">
        <f t="shared" si="157"/>
        <v>1.33</v>
      </c>
      <c r="L66" s="1454" t="str">
        <f t="shared" si="158"/>
        <v>D+</v>
      </c>
      <c r="M66" s="1455" t="str">
        <f t="shared" si="159"/>
        <v>0</v>
      </c>
      <c r="N66" s="1441"/>
      <c r="O66" s="1442"/>
      <c r="P66" s="1442"/>
      <c r="Q66" s="1443"/>
      <c r="R66" s="1831"/>
      <c r="S66" s="1457"/>
    </row>
    <row r="67" spans="1:19" ht="24.95" customHeight="1" x14ac:dyDescent="0.25">
      <c r="A67" s="1207">
        <v>21</v>
      </c>
      <c r="B67" s="1426">
        <v>21</v>
      </c>
      <c r="C67" s="1427" t="str">
        <f>VLOOKUP(A67,data_siswa,4,FALSE)</f>
        <v>Rojalingga Prana A</v>
      </c>
      <c r="D67" s="361" t="s">
        <v>18</v>
      </c>
      <c r="E67" s="362"/>
      <c r="F67" s="1191">
        <f>E67*2</f>
        <v>0</v>
      </c>
      <c r="G67" s="362"/>
      <c r="H67" s="457">
        <f>VLOOKUP(B67,REKAP_NILAI,46,FALSE)</f>
        <v>0</v>
      </c>
      <c r="I67" s="709">
        <f>F67+G67+H67</f>
        <v>0</v>
      </c>
      <c r="J67" s="1451">
        <f>(F67+G67+H67)/4</f>
        <v>0</v>
      </c>
      <c r="K67" s="709" t="str">
        <f>IF(J67&gt;85,("4"),IF(J67&gt;80,("3.66"),IF(J67&gt;75,("3.33"),IF(J67&gt;70,("3.00"),IF(J67&gt;65,("2.66"),IF(J67&gt;60,("2.33"),IF(J67&gt;55,("2"),IF(J67&gt;50,("1.66"),"1.33"))))))))</f>
        <v>1.33</v>
      </c>
      <c r="L67" s="709" t="str">
        <f>IF(J67&gt;85,("A"),IF(J67&gt;80,("A-"),IF(J67&gt;75,("B+"),IF(J67&gt;70,("B"),IF(J67&gt;65,("B-"),IF(J67&gt;60,("C+"),IF(J67&gt;55,("C"),IF(J67&gt;50,("C-"),"D+"))))))))</f>
        <v>D+</v>
      </c>
      <c r="M67" s="1452" t="str">
        <f>IF(J67&gt;80,("SB"),IF(J67&gt;65,("B"),IF(J67&gt;50,("C"),IF(J67&gt;0,("K"),"0"))))</f>
        <v>0</v>
      </c>
      <c r="N67" s="1429"/>
      <c r="O67" s="1207"/>
      <c r="P67" s="1430"/>
      <c r="Q67" s="1430"/>
      <c r="R67" s="704">
        <f t="shared" ref="R67" si="160">J69</f>
        <v>0</v>
      </c>
      <c r="S67" s="466" t="str">
        <f>IF(R67&gt;85,("A"),IF(R67&gt;80,("A-"),IF(R67&gt;75,("B+"),IF(R67&gt;70,("B"),IF(R67&gt;65,("B-"),IF(R67&gt;60,("C+"),IF(R67&gt;55,("C"),IF(R67&gt;50,("C-"),"D+"))))))))</f>
        <v>D+</v>
      </c>
    </row>
    <row r="68" spans="1:19" ht="24.95" customHeight="1" x14ac:dyDescent="0.25">
      <c r="A68" s="1431"/>
      <c r="B68" s="1426">
        <v>21</v>
      </c>
      <c r="C68" s="1432"/>
      <c r="D68" s="361" t="s">
        <v>20</v>
      </c>
      <c r="E68" s="361"/>
      <c r="F68" s="1191">
        <f t="shared" ref="F68" si="161">E68*2</f>
        <v>0</v>
      </c>
      <c r="G68" s="361"/>
      <c r="H68" s="457">
        <f>VLOOKUP(B67,REKAP_NILAI,47,FALSE)</f>
        <v>0</v>
      </c>
      <c r="I68" s="709">
        <f t="shared" ref="I68" si="162">F68+G68+H68</f>
        <v>0</v>
      </c>
      <c r="J68" s="1451">
        <f t="shared" ref="J68" si="163">(F68+G68+H68)/4</f>
        <v>0</v>
      </c>
      <c r="K68" s="709" t="str">
        <f t="shared" ref="K68" si="164">IF(J68&gt;85,("4"),IF(J68&gt;80,("3.66"),IF(J68&gt;75,("3.33"),IF(J68&gt;70,("3.00"),IF(J68&gt;65,("2.66"),IF(J68&gt;60,("2.33"),IF(J68&gt;55,("2"),IF(J68&gt;50,("1.66"),"1.33"))))))))</f>
        <v>1.33</v>
      </c>
      <c r="L68" s="709" t="str">
        <f t="shared" ref="L68" si="165">IF(J68&gt;85,("A"),IF(J68&gt;80,("A-"),IF(J68&gt;75,("B+"),IF(J68&gt;70,("B"),IF(J68&gt;65,("B-"),IF(J68&gt;60,("C+"),IF(J68&gt;55,("C"),IF(J68&gt;50,("C-"),"D+"))))))))</f>
        <v>D+</v>
      </c>
      <c r="M68" s="1452" t="str">
        <f t="shared" ref="M68" si="166">IF(J68&gt;80,("SB"),IF(J68&gt;65,("B"),IF(J68&gt;50,("C"),IF(J68&gt;0,("K"),"0"))))</f>
        <v>0</v>
      </c>
      <c r="N68" s="1444"/>
      <c r="O68" s="1445"/>
      <c r="P68" s="1446"/>
      <c r="Q68" s="1447"/>
      <c r="R68" s="1830"/>
      <c r="S68" s="1456"/>
    </row>
    <row r="69" spans="1:19" ht="24.95" customHeight="1" x14ac:dyDescent="0.25">
      <c r="A69" s="1436"/>
      <c r="B69" s="1437"/>
      <c r="C69" s="1438" t="s">
        <v>149</v>
      </c>
      <c r="D69" s="1439">
        <v>21</v>
      </c>
      <c r="E69" s="1436"/>
      <c r="F69" s="1448"/>
      <c r="G69" s="1436"/>
      <c r="H69" s="1440">
        <f>AVERAGE(H67:H68)</f>
        <v>0</v>
      </c>
      <c r="I69" s="1453"/>
      <c r="J69" s="1454">
        <f>AVERAGE(J67:J68)</f>
        <v>0</v>
      </c>
      <c r="K69" s="1454" t="str">
        <f t="shared" ref="K69" si="167">IF(J69&gt;85,("4"),IF(J69&gt;80,("3.66"),IF(J69&gt;75,("3.33"),IF(J69&gt;70,("3.00"),IF(J69&gt;65,("2.66"),IF(J69&gt;60,("2.33"),IF(J69&gt;55,("2"),IF(J69&gt;50,("1.66"),"1.33"))))))))</f>
        <v>1.33</v>
      </c>
      <c r="L69" s="1454" t="str">
        <f t="shared" ref="L69" si="168">IF(J69&gt;85,("A"),IF(J69&gt;80,("A-"),IF(J69&gt;75,("B+"),IF(J69&gt;70,("B"),IF(J69&gt;65,("B-"),IF(J69&gt;60,("C+"),IF(J69&gt;55,("C"),IF(J69&gt;50,("C-"),"D+"))))))))</f>
        <v>D+</v>
      </c>
      <c r="M69" s="1455" t="str">
        <f t="shared" ref="M69" si="169">IF(J69&gt;80,("SB"),IF(J69&gt;65,("B"),IF(J69&gt;50,("C"),IF(J69&gt;0,("K"),"0"))))</f>
        <v>0</v>
      </c>
      <c r="N69" s="1441"/>
      <c r="O69" s="1442"/>
      <c r="P69" s="1442"/>
      <c r="Q69" s="1443"/>
      <c r="R69" s="1831"/>
      <c r="S69" s="1457"/>
    </row>
    <row r="70" spans="1:19" ht="24.95" customHeight="1" x14ac:dyDescent="0.25">
      <c r="A70" s="1207">
        <v>22</v>
      </c>
      <c r="B70" s="1426">
        <v>22</v>
      </c>
      <c r="C70" s="1427" t="str">
        <f>VLOOKUP(A70,data_siswa,4,FALSE)</f>
        <v>Sally Savista A</v>
      </c>
      <c r="D70" s="361" t="s">
        <v>18</v>
      </c>
      <c r="E70" s="362"/>
      <c r="F70" s="1191">
        <f>E70*2</f>
        <v>0</v>
      </c>
      <c r="G70" s="362"/>
      <c r="H70" s="457">
        <f>VLOOKUP(B70,REKAP_NILAI,46,FALSE)</f>
        <v>0</v>
      </c>
      <c r="I70" s="709">
        <f>F70+G70+H70</f>
        <v>0</v>
      </c>
      <c r="J70" s="1451">
        <f>(F70+G70+H70)/4</f>
        <v>0</v>
      </c>
      <c r="K70" s="709" t="str">
        <f>IF(J70&gt;85,("4"),IF(J70&gt;80,("3.66"),IF(J70&gt;75,("3.33"),IF(J70&gt;70,("3.00"),IF(J70&gt;65,("2.66"),IF(J70&gt;60,("2.33"),IF(J70&gt;55,("2"),IF(J70&gt;50,("1.66"),"1.33"))))))))</f>
        <v>1.33</v>
      </c>
      <c r="L70" s="709" t="str">
        <f>IF(J70&gt;85,("A"),IF(J70&gt;80,("A-"),IF(J70&gt;75,("B+"),IF(J70&gt;70,("B"),IF(J70&gt;65,("B-"),IF(J70&gt;60,("C+"),IF(J70&gt;55,("C"),IF(J70&gt;50,("C-"),"D+"))))))))</f>
        <v>D+</v>
      </c>
      <c r="M70" s="1452" t="str">
        <f>IF(J70&gt;80,("SB"),IF(J70&gt;65,("B"),IF(J70&gt;50,("C"),IF(J70&gt;0,("K"),"0"))))</f>
        <v>0</v>
      </c>
      <c r="N70" s="1429"/>
      <c r="O70" s="1207"/>
      <c r="P70" s="1430"/>
      <c r="Q70" s="1430"/>
      <c r="R70" s="704">
        <f t="shared" ref="R70" si="170">J72</f>
        <v>0</v>
      </c>
      <c r="S70" s="466" t="str">
        <f>IF(R70&gt;85,("A"),IF(R70&gt;80,("A-"),IF(R70&gt;75,("B+"),IF(R70&gt;70,("B"),IF(R70&gt;65,("B-"),IF(R70&gt;60,("C+"),IF(R70&gt;55,("C"),IF(R70&gt;50,("C-"),"D+"))))))))</f>
        <v>D+</v>
      </c>
    </row>
    <row r="71" spans="1:19" ht="24.95" customHeight="1" x14ac:dyDescent="0.25">
      <c r="A71" s="1431"/>
      <c r="B71" s="1426">
        <v>22</v>
      </c>
      <c r="C71" s="1432"/>
      <c r="D71" s="361" t="s">
        <v>20</v>
      </c>
      <c r="E71" s="361"/>
      <c r="F71" s="1191">
        <f t="shared" ref="F71" si="171">E71*2</f>
        <v>0</v>
      </c>
      <c r="G71" s="361"/>
      <c r="H71" s="457">
        <f>VLOOKUP(B70,REKAP_NILAI,47,FALSE)</f>
        <v>0</v>
      </c>
      <c r="I71" s="709">
        <f t="shared" ref="I71" si="172">F71+G71+H71</f>
        <v>0</v>
      </c>
      <c r="J71" s="1451">
        <f t="shared" ref="J71" si="173">(F71+G71+H71)/4</f>
        <v>0</v>
      </c>
      <c r="K71" s="709" t="str">
        <f t="shared" ref="K71:K72" si="174">IF(J71&gt;85,("4"),IF(J71&gt;80,("3.66"),IF(J71&gt;75,("3.33"),IF(J71&gt;70,("3.00"),IF(J71&gt;65,("2.66"),IF(J71&gt;60,("2.33"),IF(J71&gt;55,("2"),IF(J71&gt;50,("1.66"),"1.33"))))))))</f>
        <v>1.33</v>
      </c>
      <c r="L71" s="709" t="str">
        <f t="shared" ref="L71:L72" si="175">IF(J71&gt;85,("A"),IF(J71&gt;80,("A-"),IF(J71&gt;75,("B+"),IF(J71&gt;70,("B"),IF(J71&gt;65,("B-"),IF(J71&gt;60,("C+"),IF(J71&gt;55,("C"),IF(J71&gt;50,("C-"),"D+"))))))))</f>
        <v>D+</v>
      </c>
      <c r="M71" s="1452" t="str">
        <f t="shared" ref="M71:M72" si="176">IF(J71&gt;80,("SB"),IF(J71&gt;65,("B"),IF(J71&gt;50,("C"),IF(J71&gt;0,("K"),"0"))))</f>
        <v>0</v>
      </c>
      <c r="N71" s="1444"/>
      <c r="O71" s="1445"/>
      <c r="P71" s="1446"/>
      <c r="Q71" s="1447"/>
      <c r="R71" s="1830"/>
      <c r="S71" s="1456"/>
    </row>
    <row r="72" spans="1:19" ht="24.95" customHeight="1" x14ac:dyDescent="0.25">
      <c r="A72" s="1436"/>
      <c r="B72" s="1437"/>
      <c r="C72" s="1438" t="s">
        <v>149</v>
      </c>
      <c r="D72" s="1439">
        <v>22</v>
      </c>
      <c r="E72" s="1436"/>
      <c r="F72" s="1448"/>
      <c r="G72" s="1436"/>
      <c r="H72" s="1440">
        <f>AVERAGE(H70:H71)</f>
        <v>0</v>
      </c>
      <c r="I72" s="1453"/>
      <c r="J72" s="1454">
        <f>AVERAGE(J70:J71)</f>
        <v>0</v>
      </c>
      <c r="K72" s="1454" t="str">
        <f t="shared" si="174"/>
        <v>1.33</v>
      </c>
      <c r="L72" s="1454" t="str">
        <f t="shared" si="175"/>
        <v>D+</v>
      </c>
      <c r="M72" s="1455" t="str">
        <f t="shared" si="176"/>
        <v>0</v>
      </c>
      <c r="N72" s="1441"/>
      <c r="O72" s="1442"/>
      <c r="P72" s="1442"/>
      <c r="Q72" s="1443"/>
      <c r="R72" s="1831"/>
      <c r="S72" s="1457"/>
    </row>
    <row r="73" spans="1:19" ht="24.95" customHeight="1" x14ac:dyDescent="0.25">
      <c r="A73" s="1207">
        <v>23</v>
      </c>
      <c r="B73" s="1426">
        <v>23</v>
      </c>
      <c r="C73" s="1427" t="str">
        <f>VLOOKUP(A73,data_siswa,4,FALSE)</f>
        <v xml:space="preserve">Tania Kaori Angelita </v>
      </c>
      <c r="D73" s="361" t="s">
        <v>18</v>
      </c>
      <c r="E73" s="362"/>
      <c r="F73" s="1191">
        <f>E73*2</f>
        <v>0</v>
      </c>
      <c r="G73" s="362"/>
      <c r="H73" s="457">
        <f>VLOOKUP(B73,REKAP_NILAI,46,FALSE)</f>
        <v>0</v>
      </c>
      <c r="I73" s="709">
        <f>F73+G73+H73</f>
        <v>0</v>
      </c>
      <c r="J73" s="1451">
        <f>(F73+G73+H73)/4</f>
        <v>0</v>
      </c>
      <c r="K73" s="709" t="str">
        <f>IF(J73&gt;85,("4"),IF(J73&gt;80,("3.66"),IF(J73&gt;75,("3.33"),IF(J73&gt;70,("3.00"),IF(J73&gt;65,("2.66"),IF(J73&gt;60,("2.33"),IF(J73&gt;55,("2"),IF(J73&gt;50,("1.66"),"1.33"))))))))</f>
        <v>1.33</v>
      </c>
      <c r="L73" s="709" t="str">
        <f>IF(J73&gt;85,("A"),IF(J73&gt;80,("A-"),IF(J73&gt;75,("B+"),IF(J73&gt;70,("B"),IF(J73&gt;65,("B-"),IF(J73&gt;60,("C+"),IF(J73&gt;55,("C"),IF(J73&gt;50,("C-"),"D+"))))))))</f>
        <v>D+</v>
      </c>
      <c r="M73" s="1452" t="str">
        <f>IF(J73&gt;80,("SB"),IF(J73&gt;65,("B"),IF(J73&gt;50,("C"),IF(J73&gt;0,("K"),"0"))))</f>
        <v>0</v>
      </c>
      <c r="N73" s="1429"/>
      <c r="O73" s="1207"/>
      <c r="P73" s="1430"/>
      <c r="Q73" s="1430"/>
      <c r="R73" s="704">
        <f t="shared" ref="R73" si="177">J75</f>
        <v>0</v>
      </c>
      <c r="S73" s="466" t="str">
        <f>IF(R73&gt;85,("A"),IF(R73&gt;80,("A-"),IF(R73&gt;75,("B+"),IF(R73&gt;70,("B"),IF(R73&gt;65,("B-"),IF(R73&gt;60,("C+"),IF(R73&gt;55,("C"),IF(R73&gt;50,("C-"),"D+"))))))))</f>
        <v>D+</v>
      </c>
    </row>
    <row r="74" spans="1:19" ht="24.95" customHeight="1" x14ac:dyDescent="0.25">
      <c r="A74" s="1431"/>
      <c r="B74" s="1426">
        <v>23</v>
      </c>
      <c r="C74" s="1432"/>
      <c r="D74" s="361" t="s">
        <v>20</v>
      </c>
      <c r="E74" s="361"/>
      <c r="F74" s="1191">
        <f t="shared" ref="F74" si="178">E74*2</f>
        <v>0</v>
      </c>
      <c r="G74" s="361"/>
      <c r="H74" s="457">
        <f>VLOOKUP(B73,REKAP_NILAI,47,FALSE)</f>
        <v>0</v>
      </c>
      <c r="I74" s="709">
        <f t="shared" ref="I74" si="179">F74+G74+H74</f>
        <v>0</v>
      </c>
      <c r="J74" s="1451">
        <f t="shared" ref="J74" si="180">(F74+G74+H74)/4</f>
        <v>0</v>
      </c>
      <c r="K74" s="709" t="str">
        <f t="shared" ref="K74:K75" si="181">IF(J74&gt;85,("4"),IF(J74&gt;80,("3.66"),IF(J74&gt;75,("3.33"),IF(J74&gt;70,("3.00"),IF(J74&gt;65,("2.66"),IF(J74&gt;60,("2.33"),IF(J74&gt;55,("2"),IF(J74&gt;50,("1.66"),"1.33"))))))))</f>
        <v>1.33</v>
      </c>
      <c r="L74" s="709" t="str">
        <f t="shared" ref="L74:L75" si="182">IF(J74&gt;85,("A"),IF(J74&gt;80,("A-"),IF(J74&gt;75,("B+"),IF(J74&gt;70,("B"),IF(J74&gt;65,("B-"),IF(J74&gt;60,("C+"),IF(J74&gt;55,("C"),IF(J74&gt;50,("C-"),"D+"))))))))</f>
        <v>D+</v>
      </c>
      <c r="M74" s="1452" t="str">
        <f t="shared" ref="M74:M75" si="183">IF(J74&gt;80,("SB"),IF(J74&gt;65,("B"),IF(J74&gt;50,("C"),IF(J74&gt;0,("K"),"0"))))</f>
        <v>0</v>
      </c>
      <c r="N74" s="1444"/>
      <c r="O74" s="1445"/>
      <c r="P74" s="1446"/>
      <c r="Q74" s="1447"/>
      <c r="R74" s="1830"/>
      <c r="S74" s="1456"/>
    </row>
    <row r="75" spans="1:19" ht="24.95" customHeight="1" x14ac:dyDescent="0.25">
      <c r="A75" s="1436"/>
      <c r="B75" s="1437"/>
      <c r="C75" s="1438" t="s">
        <v>149</v>
      </c>
      <c r="D75" s="1439">
        <v>23</v>
      </c>
      <c r="E75" s="1436"/>
      <c r="F75" s="1448"/>
      <c r="G75" s="1436"/>
      <c r="H75" s="1440">
        <f>AVERAGE(H73:H74)</f>
        <v>0</v>
      </c>
      <c r="I75" s="1453"/>
      <c r="J75" s="1454">
        <f>AVERAGE(J73:J74)</f>
        <v>0</v>
      </c>
      <c r="K75" s="1454" t="str">
        <f t="shared" si="181"/>
        <v>1.33</v>
      </c>
      <c r="L75" s="1454" t="str">
        <f t="shared" si="182"/>
        <v>D+</v>
      </c>
      <c r="M75" s="1455" t="str">
        <f t="shared" si="183"/>
        <v>0</v>
      </c>
      <c r="N75" s="1441"/>
      <c r="O75" s="1442"/>
      <c r="P75" s="1442"/>
      <c r="Q75" s="1443"/>
      <c r="R75" s="1831"/>
      <c r="S75" s="1457"/>
    </row>
    <row r="76" spans="1:19" ht="24.95" customHeight="1" x14ac:dyDescent="0.25">
      <c r="A76" s="1207">
        <v>24</v>
      </c>
      <c r="B76" s="1426">
        <v>24</v>
      </c>
      <c r="C76" s="1427" t="str">
        <f>VLOOKUP(A76,data_siswa,4,FALSE)</f>
        <v>Romzy Oka Ramadhani P</v>
      </c>
      <c r="D76" s="361" t="s">
        <v>18</v>
      </c>
      <c r="E76" s="362"/>
      <c r="F76" s="1191">
        <f>E76*2</f>
        <v>0</v>
      </c>
      <c r="G76" s="362"/>
      <c r="H76" s="457">
        <f>VLOOKUP(B76,REKAP_NILAI,46,FALSE)</f>
        <v>0</v>
      </c>
      <c r="I76" s="709">
        <f>F76+G76+H76</f>
        <v>0</v>
      </c>
      <c r="J76" s="1451">
        <f>(F76+G76+H76)/4</f>
        <v>0</v>
      </c>
      <c r="K76" s="709" t="str">
        <f>IF(J76&gt;85,("4"),IF(J76&gt;80,("3.66"),IF(J76&gt;75,("3.33"),IF(J76&gt;70,("3.00"),IF(J76&gt;65,("2.66"),IF(J76&gt;60,("2.33"),IF(J76&gt;55,("2"),IF(J76&gt;50,("1.66"),"1.33"))))))))</f>
        <v>1.33</v>
      </c>
      <c r="L76" s="709" t="str">
        <f>IF(J76&gt;85,("A"),IF(J76&gt;80,("A-"),IF(J76&gt;75,("B+"),IF(J76&gt;70,("B"),IF(J76&gt;65,("B-"),IF(J76&gt;60,("C+"),IF(J76&gt;55,("C"),IF(J76&gt;50,("C-"),"D+"))))))))</f>
        <v>D+</v>
      </c>
      <c r="M76" s="1452" t="str">
        <f>IF(J76&gt;80,("SB"),IF(J76&gt;65,("B"),IF(J76&gt;50,("C"),IF(J76&gt;0,("K"),"0"))))</f>
        <v>0</v>
      </c>
      <c r="N76" s="1429"/>
      <c r="O76" s="1207"/>
      <c r="P76" s="1430"/>
      <c r="Q76" s="1430"/>
      <c r="R76" s="704">
        <f t="shared" ref="R76" si="184">J78</f>
        <v>0</v>
      </c>
      <c r="S76" s="466" t="str">
        <f>IF(R76&gt;85,("A"),IF(R76&gt;80,("A-"),IF(R76&gt;75,("B+"),IF(R76&gt;70,("B"),IF(R76&gt;65,("B-"),IF(R76&gt;60,("C+"),IF(R76&gt;55,("C"),IF(R76&gt;50,("C-"),"D+"))))))))</f>
        <v>D+</v>
      </c>
    </row>
    <row r="77" spans="1:19" ht="24.95" customHeight="1" x14ac:dyDescent="0.25">
      <c r="A77" s="1431"/>
      <c r="B77" s="1426">
        <v>24</v>
      </c>
      <c r="C77" s="1432"/>
      <c r="D77" s="361" t="s">
        <v>20</v>
      </c>
      <c r="E77" s="361"/>
      <c r="F77" s="1191">
        <f t="shared" ref="F77" si="185">E77*2</f>
        <v>0</v>
      </c>
      <c r="G77" s="361"/>
      <c r="H77" s="457">
        <f>VLOOKUP(B76,REKAP_NILAI,47,FALSE)</f>
        <v>0</v>
      </c>
      <c r="I77" s="709">
        <f t="shared" ref="I77" si="186">F77+G77+H77</f>
        <v>0</v>
      </c>
      <c r="J77" s="1451">
        <f t="shared" ref="J77" si="187">(F77+G77+H77)/4</f>
        <v>0</v>
      </c>
      <c r="K77" s="709" t="str">
        <f t="shared" ref="K77:K78" si="188">IF(J77&gt;85,("4"),IF(J77&gt;80,("3.66"),IF(J77&gt;75,("3.33"),IF(J77&gt;70,("3.00"),IF(J77&gt;65,("2.66"),IF(J77&gt;60,("2.33"),IF(J77&gt;55,("2"),IF(J77&gt;50,("1.66"),"1.33"))))))))</f>
        <v>1.33</v>
      </c>
      <c r="L77" s="709" t="str">
        <f t="shared" ref="L77:L78" si="189">IF(J77&gt;85,("A"),IF(J77&gt;80,("A-"),IF(J77&gt;75,("B+"),IF(J77&gt;70,("B"),IF(J77&gt;65,("B-"),IF(J77&gt;60,("C+"),IF(J77&gt;55,("C"),IF(J77&gt;50,("C-"),"D+"))))))))</f>
        <v>D+</v>
      </c>
      <c r="M77" s="1452" t="str">
        <f t="shared" ref="M77:M78" si="190">IF(J77&gt;80,("SB"),IF(J77&gt;65,("B"),IF(J77&gt;50,("C"),IF(J77&gt;0,("K"),"0"))))</f>
        <v>0</v>
      </c>
      <c r="N77" s="1444"/>
      <c r="O77" s="1445"/>
      <c r="P77" s="1446"/>
      <c r="Q77" s="1447"/>
      <c r="R77" s="1830"/>
      <c r="S77" s="1456"/>
    </row>
    <row r="78" spans="1:19" ht="24.95" customHeight="1" x14ac:dyDescent="0.25">
      <c r="A78" s="1436"/>
      <c r="B78" s="1437"/>
      <c r="C78" s="1438" t="s">
        <v>149</v>
      </c>
      <c r="D78" s="1439">
        <v>24</v>
      </c>
      <c r="E78" s="1436"/>
      <c r="F78" s="1448"/>
      <c r="G78" s="1436"/>
      <c r="H78" s="1440">
        <f>AVERAGE(H76:H77)</f>
        <v>0</v>
      </c>
      <c r="I78" s="1453"/>
      <c r="J78" s="1454">
        <f>AVERAGE(J76:J77)</f>
        <v>0</v>
      </c>
      <c r="K78" s="1454" t="str">
        <f t="shared" si="188"/>
        <v>1.33</v>
      </c>
      <c r="L78" s="1454" t="str">
        <f t="shared" si="189"/>
        <v>D+</v>
      </c>
      <c r="M78" s="1455" t="str">
        <f t="shared" si="190"/>
        <v>0</v>
      </c>
      <c r="N78" s="1441"/>
      <c r="O78" s="1442"/>
      <c r="P78" s="1442"/>
      <c r="Q78" s="1443"/>
      <c r="R78" s="1831"/>
      <c r="S78" s="1457"/>
    </row>
    <row r="79" spans="1:19" ht="24.95" customHeight="1" x14ac:dyDescent="0.25">
      <c r="A79" s="1207">
        <v>25</v>
      </c>
      <c r="B79" s="1426">
        <v>25</v>
      </c>
      <c r="C79" s="1427" t="str">
        <f>VLOOKUP(A79,data_siswa,4,FALSE)</f>
        <v>Larasati Jagadhita P</v>
      </c>
      <c r="D79" s="361" t="s">
        <v>18</v>
      </c>
      <c r="E79" s="362"/>
      <c r="F79" s="1191">
        <f>E79*2</f>
        <v>0</v>
      </c>
      <c r="G79" s="362"/>
      <c r="H79" s="457">
        <f>VLOOKUP(B79,REKAP_NILAI,46,FALSE)</f>
        <v>0</v>
      </c>
      <c r="I79" s="709">
        <f>F79+G79+H79</f>
        <v>0</v>
      </c>
      <c r="J79" s="1451">
        <f>(F79+G79+H79)/4</f>
        <v>0</v>
      </c>
      <c r="K79" s="709" t="str">
        <f>IF(J79&gt;85,("4"),IF(J79&gt;80,("3.66"),IF(J79&gt;75,("3.33"),IF(J79&gt;70,("3.00"),IF(J79&gt;65,("2.66"),IF(J79&gt;60,("2.33"),IF(J79&gt;55,("2"),IF(J79&gt;50,("1.66"),"1.33"))))))))</f>
        <v>1.33</v>
      </c>
      <c r="L79" s="709" t="str">
        <f>IF(J79&gt;85,("A"),IF(J79&gt;80,("A-"),IF(J79&gt;75,("B+"),IF(J79&gt;70,("B"),IF(J79&gt;65,("B-"),IF(J79&gt;60,("C+"),IF(J79&gt;55,("C"),IF(J79&gt;50,("C-"),"D+"))))))))</f>
        <v>D+</v>
      </c>
      <c r="M79" s="1452" t="str">
        <f>IF(J79&gt;80,("SB"),IF(J79&gt;65,("B"),IF(J79&gt;50,("C"),IF(J79&gt;0,("K"),"0"))))</f>
        <v>0</v>
      </c>
      <c r="N79" s="1429"/>
      <c r="O79" s="1207"/>
      <c r="P79" s="1430"/>
      <c r="Q79" s="1430"/>
      <c r="R79" s="704">
        <f t="shared" ref="R79" si="191">J81</f>
        <v>0</v>
      </c>
      <c r="S79" s="466" t="str">
        <f>IF(R79&gt;85,("A"),IF(R79&gt;80,("A-"),IF(R79&gt;75,("B+"),IF(R79&gt;70,("B"),IF(R79&gt;65,("B-"),IF(R79&gt;60,("C+"),IF(R79&gt;55,("C"),IF(R79&gt;50,("C-"),"D+"))))))))</f>
        <v>D+</v>
      </c>
    </row>
    <row r="80" spans="1:19" ht="24.95" customHeight="1" x14ac:dyDescent="0.25">
      <c r="A80" s="1431"/>
      <c r="B80" s="1426">
        <v>25</v>
      </c>
      <c r="C80" s="1432"/>
      <c r="D80" s="361" t="s">
        <v>20</v>
      </c>
      <c r="E80" s="361"/>
      <c r="F80" s="1191">
        <f t="shared" ref="F80" si="192">E80*2</f>
        <v>0</v>
      </c>
      <c r="G80" s="361"/>
      <c r="H80" s="457">
        <f>VLOOKUP(B79,REKAP_NILAI,47,FALSE)</f>
        <v>0</v>
      </c>
      <c r="I80" s="709">
        <f t="shared" ref="I80" si="193">F80+G80+H80</f>
        <v>0</v>
      </c>
      <c r="J80" s="1451">
        <f t="shared" ref="J80" si="194">(F80+G80+H80)/4</f>
        <v>0</v>
      </c>
      <c r="K80" s="709" t="str">
        <f t="shared" ref="K80" si="195">IF(J80&gt;85,("4"),IF(J80&gt;80,("3.66"),IF(J80&gt;75,("3.33"),IF(J80&gt;70,("3.00"),IF(J80&gt;65,("2.66"),IF(J80&gt;60,("2.33"),IF(J80&gt;55,("2"),IF(J80&gt;50,("1.66"),"1.33"))))))))</f>
        <v>1.33</v>
      </c>
      <c r="L80" s="709" t="str">
        <f t="shared" ref="L80" si="196">IF(J80&gt;85,("A"),IF(J80&gt;80,("A-"),IF(J80&gt;75,("B+"),IF(J80&gt;70,("B"),IF(J80&gt;65,("B-"),IF(J80&gt;60,("C+"),IF(J80&gt;55,("C"),IF(J80&gt;50,("C-"),"D+"))))))))</f>
        <v>D+</v>
      </c>
      <c r="M80" s="1452" t="str">
        <f t="shared" ref="M80" si="197">IF(J80&gt;80,("SB"),IF(J80&gt;65,("B"),IF(J80&gt;50,("C"),IF(J80&gt;0,("K"),"0"))))</f>
        <v>0</v>
      </c>
      <c r="N80" s="1444"/>
      <c r="O80" s="1445"/>
      <c r="P80" s="1446"/>
      <c r="Q80" s="1447"/>
      <c r="R80" s="1830"/>
      <c r="S80" s="1456"/>
    </row>
    <row r="81" spans="1:19" ht="24.95" customHeight="1" x14ac:dyDescent="0.25">
      <c r="A81" s="1436"/>
      <c r="B81" s="1437"/>
      <c r="C81" s="1438" t="s">
        <v>149</v>
      </c>
      <c r="D81" s="1439">
        <v>25</v>
      </c>
      <c r="E81" s="1436"/>
      <c r="F81" s="1448"/>
      <c r="G81" s="1436"/>
      <c r="H81" s="1440">
        <f>AVERAGE(H79:H80)</f>
        <v>0</v>
      </c>
      <c r="I81" s="1453"/>
      <c r="J81" s="1454">
        <f>AVERAGE(J79:J80)</f>
        <v>0</v>
      </c>
      <c r="K81" s="1454" t="str">
        <f t="shared" ref="K81" si="198">IF(J81&gt;85,("4"),IF(J81&gt;80,("3.66"),IF(J81&gt;75,("3.33"),IF(J81&gt;70,("3.00"),IF(J81&gt;65,("2.66"),IF(J81&gt;60,("2.33"),IF(J81&gt;55,("2"),IF(J81&gt;50,("1.66"),"1.33"))))))))</f>
        <v>1.33</v>
      </c>
      <c r="L81" s="1454" t="str">
        <f t="shared" ref="L81" si="199">IF(J81&gt;85,("A"),IF(J81&gt;80,("A-"),IF(J81&gt;75,("B+"),IF(J81&gt;70,("B"),IF(J81&gt;65,("B-"),IF(J81&gt;60,("C+"),IF(J81&gt;55,("C"),IF(J81&gt;50,("C-"),"D+"))))))))</f>
        <v>D+</v>
      </c>
      <c r="M81" s="1455" t="str">
        <f t="shared" ref="M81" si="200">IF(J81&gt;80,("SB"),IF(J81&gt;65,("B"),IF(J81&gt;50,("C"),IF(J81&gt;0,("K"),"0"))))</f>
        <v>0</v>
      </c>
      <c r="N81" s="1441"/>
      <c r="O81" s="1442"/>
      <c r="P81" s="1442"/>
      <c r="Q81" s="1443"/>
      <c r="R81" s="1831"/>
      <c r="S81" s="1457"/>
    </row>
    <row r="82" spans="1:19" ht="24.95" customHeight="1" x14ac:dyDescent="0.25">
      <c r="A82" s="1207">
        <v>26</v>
      </c>
      <c r="B82" s="1426">
        <v>26</v>
      </c>
      <c r="C82" s="1427" t="str">
        <f>VLOOKUP(A82,data_siswa,4,FALSE)</f>
        <v>Meliana Citra A</v>
      </c>
      <c r="D82" s="361" t="s">
        <v>18</v>
      </c>
      <c r="E82" s="362"/>
      <c r="F82" s="1191">
        <f>E82*2</f>
        <v>0</v>
      </c>
      <c r="G82" s="362"/>
      <c r="H82" s="457">
        <f>VLOOKUP(B82,REKAP_NILAI,46,FALSE)</f>
        <v>0</v>
      </c>
      <c r="I82" s="709">
        <f>F82+G82+H82</f>
        <v>0</v>
      </c>
      <c r="J82" s="1451">
        <f>(F82+G82+H82)/4</f>
        <v>0</v>
      </c>
      <c r="K82" s="709" t="str">
        <f>IF(J82&gt;85,("4"),IF(J82&gt;80,("3.66"),IF(J82&gt;75,("3.33"),IF(J82&gt;70,("3.00"),IF(J82&gt;65,("2.66"),IF(J82&gt;60,("2.33"),IF(J82&gt;55,("2"),IF(J82&gt;50,("1.66"),"1.33"))))))))</f>
        <v>1.33</v>
      </c>
      <c r="L82" s="709" t="str">
        <f>IF(J82&gt;85,("A"),IF(J82&gt;80,("A-"),IF(J82&gt;75,("B+"),IF(J82&gt;70,("B"),IF(J82&gt;65,("B-"),IF(J82&gt;60,("C+"),IF(J82&gt;55,("C"),IF(J82&gt;50,("C-"),"D+"))))))))</f>
        <v>D+</v>
      </c>
      <c r="M82" s="1452" t="str">
        <f>IF(J82&gt;80,("SB"),IF(J82&gt;65,("B"),IF(J82&gt;50,("C"),IF(J82&gt;0,("K"),"0"))))</f>
        <v>0</v>
      </c>
      <c r="N82" s="1429"/>
      <c r="O82" s="1207"/>
      <c r="P82" s="1430"/>
      <c r="Q82" s="1430"/>
      <c r="R82" s="704">
        <f t="shared" ref="R82" si="201">J84</f>
        <v>0</v>
      </c>
      <c r="S82" s="466" t="str">
        <f>IF(R82&gt;85,("A"),IF(R82&gt;80,("A-"),IF(R82&gt;75,("B+"),IF(R82&gt;70,("B"),IF(R82&gt;65,("B-"),IF(R82&gt;60,("C+"),IF(R82&gt;55,("C"),IF(R82&gt;50,("C-"),"D+"))))))))</f>
        <v>D+</v>
      </c>
    </row>
    <row r="83" spans="1:19" ht="24.95" customHeight="1" x14ac:dyDescent="0.25">
      <c r="A83" s="1431"/>
      <c r="B83" s="1426">
        <v>26</v>
      </c>
      <c r="C83" s="1432"/>
      <c r="D83" s="361" t="s">
        <v>20</v>
      </c>
      <c r="E83" s="361"/>
      <c r="F83" s="1191">
        <f t="shared" ref="F83" si="202">E83*2</f>
        <v>0</v>
      </c>
      <c r="G83" s="361"/>
      <c r="H83" s="457">
        <f>VLOOKUP(B82,REKAP_NILAI,47,FALSE)</f>
        <v>0</v>
      </c>
      <c r="I83" s="709">
        <f t="shared" ref="I83" si="203">F83+G83+H83</f>
        <v>0</v>
      </c>
      <c r="J83" s="1451">
        <f t="shared" ref="J83" si="204">(F83+G83+H83)/4</f>
        <v>0</v>
      </c>
      <c r="K83" s="709" t="str">
        <f t="shared" ref="K83:K84" si="205">IF(J83&gt;85,("4"),IF(J83&gt;80,("3.66"),IF(J83&gt;75,("3.33"),IF(J83&gt;70,("3.00"),IF(J83&gt;65,("2.66"),IF(J83&gt;60,("2.33"),IF(J83&gt;55,("2"),IF(J83&gt;50,("1.66"),"1.33"))))))))</f>
        <v>1.33</v>
      </c>
      <c r="L83" s="709" t="str">
        <f t="shared" ref="L83:L84" si="206">IF(J83&gt;85,("A"),IF(J83&gt;80,("A-"),IF(J83&gt;75,("B+"),IF(J83&gt;70,("B"),IF(J83&gt;65,("B-"),IF(J83&gt;60,("C+"),IF(J83&gt;55,("C"),IF(J83&gt;50,("C-"),"D+"))))))))</f>
        <v>D+</v>
      </c>
      <c r="M83" s="1452" t="str">
        <f t="shared" ref="M83:M84" si="207">IF(J83&gt;80,("SB"),IF(J83&gt;65,("B"),IF(J83&gt;50,("C"),IF(J83&gt;0,("K"),"0"))))</f>
        <v>0</v>
      </c>
      <c r="N83" s="1444"/>
      <c r="O83" s="1445"/>
      <c r="P83" s="1446"/>
      <c r="Q83" s="1447"/>
      <c r="R83" s="1830"/>
      <c r="S83" s="1456"/>
    </row>
    <row r="84" spans="1:19" ht="24.95" customHeight="1" x14ac:dyDescent="0.25">
      <c r="A84" s="1436"/>
      <c r="B84" s="1437"/>
      <c r="C84" s="1438" t="s">
        <v>149</v>
      </c>
      <c r="D84" s="1439">
        <v>26</v>
      </c>
      <c r="E84" s="1436"/>
      <c r="F84" s="1448"/>
      <c r="G84" s="1436"/>
      <c r="H84" s="1440">
        <f>AVERAGE(H82:H83)</f>
        <v>0</v>
      </c>
      <c r="I84" s="1453"/>
      <c r="J84" s="1454">
        <f>AVERAGE(J82:J83)</f>
        <v>0</v>
      </c>
      <c r="K84" s="1454" t="str">
        <f t="shared" si="205"/>
        <v>1.33</v>
      </c>
      <c r="L84" s="1454" t="str">
        <f t="shared" si="206"/>
        <v>D+</v>
      </c>
      <c r="M84" s="1455" t="str">
        <f t="shared" si="207"/>
        <v>0</v>
      </c>
      <c r="N84" s="1441"/>
      <c r="O84" s="1442"/>
      <c r="P84" s="1442"/>
      <c r="Q84" s="1443"/>
      <c r="R84" s="1831"/>
      <c r="S84" s="1457"/>
    </row>
    <row r="85" spans="1:19" ht="24.95" customHeight="1" x14ac:dyDescent="0.25">
      <c r="A85" s="1207">
        <v>27</v>
      </c>
      <c r="B85" s="1426">
        <v>27</v>
      </c>
      <c r="C85" s="1427" t="str">
        <f>VLOOKUP(A85,data_siswa,4,FALSE)</f>
        <v>Mohammad Rizky</v>
      </c>
      <c r="D85" s="361" t="s">
        <v>18</v>
      </c>
      <c r="E85" s="362"/>
      <c r="F85" s="1191">
        <f>E85*2</f>
        <v>0</v>
      </c>
      <c r="G85" s="362"/>
      <c r="H85" s="457">
        <f>VLOOKUP(B85,REKAP_NILAI,46,FALSE)</f>
        <v>0</v>
      </c>
      <c r="I85" s="709">
        <f>F85+G85+H85</f>
        <v>0</v>
      </c>
      <c r="J85" s="1451">
        <f>(F85+G85+H85)/4</f>
        <v>0</v>
      </c>
      <c r="K85" s="709" t="str">
        <f>IF(J85&gt;85,("4"),IF(J85&gt;80,("3.66"),IF(J85&gt;75,("3.33"),IF(J85&gt;70,("3.00"),IF(J85&gt;65,("2.66"),IF(J85&gt;60,("2.33"),IF(J85&gt;55,("2"),IF(J85&gt;50,("1.66"),"1.33"))))))))</f>
        <v>1.33</v>
      </c>
      <c r="L85" s="709" t="str">
        <f>IF(J85&gt;85,("A"),IF(J85&gt;80,("A-"),IF(J85&gt;75,("B+"),IF(J85&gt;70,("B"),IF(J85&gt;65,("B-"),IF(J85&gt;60,("C+"),IF(J85&gt;55,("C"),IF(J85&gt;50,("C-"),"D+"))))))))</f>
        <v>D+</v>
      </c>
      <c r="M85" s="1452" t="str">
        <f>IF(J85&gt;80,("SB"),IF(J85&gt;65,("B"),IF(J85&gt;50,("C"),IF(J85&gt;0,("K"),"0"))))</f>
        <v>0</v>
      </c>
      <c r="N85" s="1429"/>
      <c r="O85" s="1207"/>
      <c r="P85" s="1430"/>
      <c r="Q85" s="1430"/>
      <c r="R85" s="704">
        <f t="shared" ref="R85" si="208">J87</f>
        <v>0</v>
      </c>
      <c r="S85" s="466" t="str">
        <f>IF(R85&gt;85,("A"),IF(R85&gt;80,("A-"),IF(R85&gt;75,("B+"),IF(R85&gt;70,("B"),IF(R85&gt;65,("B-"),IF(R85&gt;60,("C+"),IF(R85&gt;55,("C"),IF(R85&gt;50,("C-"),"D+"))))))))</f>
        <v>D+</v>
      </c>
    </row>
    <row r="86" spans="1:19" ht="24.95" customHeight="1" x14ac:dyDescent="0.25">
      <c r="A86" s="1431"/>
      <c r="B86" s="1426">
        <v>27</v>
      </c>
      <c r="C86" s="1432"/>
      <c r="D86" s="361" t="s">
        <v>20</v>
      </c>
      <c r="E86" s="361"/>
      <c r="F86" s="1191">
        <f t="shared" ref="F86" si="209">E86*2</f>
        <v>0</v>
      </c>
      <c r="G86" s="361"/>
      <c r="H86" s="457">
        <f>VLOOKUP(B85,REKAP_NILAI,47,FALSE)</f>
        <v>0</v>
      </c>
      <c r="I86" s="709">
        <f t="shared" ref="I86" si="210">F86+G86+H86</f>
        <v>0</v>
      </c>
      <c r="J86" s="1451">
        <f t="shared" ref="J86" si="211">(F86+G86+H86)/4</f>
        <v>0</v>
      </c>
      <c r="K86" s="709" t="str">
        <f t="shared" ref="K86:K87" si="212">IF(J86&gt;85,("4"),IF(J86&gt;80,("3.66"),IF(J86&gt;75,("3.33"),IF(J86&gt;70,("3.00"),IF(J86&gt;65,("2.66"),IF(J86&gt;60,("2.33"),IF(J86&gt;55,("2"),IF(J86&gt;50,("1.66"),"1.33"))))))))</f>
        <v>1.33</v>
      </c>
      <c r="L86" s="709" t="str">
        <f t="shared" ref="L86:L87" si="213">IF(J86&gt;85,("A"),IF(J86&gt;80,("A-"),IF(J86&gt;75,("B+"),IF(J86&gt;70,("B"),IF(J86&gt;65,("B-"),IF(J86&gt;60,("C+"),IF(J86&gt;55,("C"),IF(J86&gt;50,("C-"),"D+"))))))))</f>
        <v>D+</v>
      </c>
      <c r="M86" s="1452" t="str">
        <f t="shared" ref="M86:M87" si="214">IF(J86&gt;80,("SB"),IF(J86&gt;65,("B"),IF(J86&gt;50,("C"),IF(J86&gt;0,("K"),"0"))))</f>
        <v>0</v>
      </c>
      <c r="N86" s="1444"/>
      <c r="O86" s="1445"/>
      <c r="P86" s="1446"/>
      <c r="Q86" s="1447"/>
      <c r="R86" s="1830"/>
      <c r="S86" s="1456"/>
    </row>
    <row r="87" spans="1:19" ht="24.95" customHeight="1" x14ac:dyDescent="0.25">
      <c r="A87" s="1436"/>
      <c r="B87" s="1437"/>
      <c r="C87" s="1438" t="s">
        <v>149</v>
      </c>
      <c r="D87" s="1439">
        <v>27</v>
      </c>
      <c r="E87" s="1436"/>
      <c r="F87" s="1448"/>
      <c r="G87" s="1436"/>
      <c r="H87" s="1440">
        <f>AVERAGE(H85:H86)</f>
        <v>0</v>
      </c>
      <c r="I87" s="1453"/>
      <c r="J87" s="1454">
        <f>AVERAGE(J85:J86)</f>
        <v>0</v>
      </c>
      <c r="K87" s="1454" t="str">
        <f t="shared" si="212"/>
        <v>1.33</v>
      </c>
      <c r="L87" s="1454" t="str">
        <f t="shared" si="213"/>
        <v>D+</v>
      </c>
      <c r="M87" s="1455" t="str">
        <f t="shared" si="214"/>
        <v>0</v>
      </c>
      <c r="N87" s="1441"/>
      <c r="O87" s="1442"/>
      <c r="P87" s="1442"/>
      <c r="Q87" s="1443"/>
      <c r="R87" s="1831"/>
      <c r="S87" s="1457"/>
    </row>
    <row r="88" spans="1:19" ht="24.95" customHeight="1" x14ac:dyDescent="0.25">
      <c r="A88" s="1207">
        <v>28</v>
      </c>
      <c r="B88" s="1426">
        <v>28</v>
      </c>
      <c r="C88" s="1427" t="e">
        <f>VLOOKUP(A88,data_siswa,4,FALSE)</f>
        <v>#N/A</v>
      </c>
      <c r="D88" s="361" t="s">
        <v>18</v>
      </c>
      <c r="E88" s="362"/>
      <c r="F88" s="1191">
        <f>E88*2</f>
        <v>0</v>
      </c>
      <c r="G88" s="362"/>
      <c r="H88" s="457">
        <f>VLOOKUP(B88,REKAP_NILAI,46,FALSE)</f>
        <v>0</v>
      </c>
      <c r="I88" s="709">
        <f>F88+G88+H88</f>
        <v>0</v>
      </c>
      <c r="J88" s="1451">
        <f>(F88+G88+H88)/4</f>
        <v>0</v>
      </c>
      <c r="K88" s="709" t="str">
        <f>IF(J88&gt;85,("4"),IF(J88&gt;80,("3.66"),IF(J88&gt;75,("3.33"),IF(J88&gt;70,("3.00"),IF(J88&gt;65,("2.66"),IF(J88&gt;60,("2.33"),IF(J88&gt;55,("2"),IF(J88&gt;50,("1.66"),"1.33"))))))))</f>
        <v>1.33</v>
      </c>
      <c r="L88" s="709" t="str">
        <f>IF(J88&gt;85,("A"),IF(J88&gt;80,("A-"),IF(J88&gt;75,("B+"),IF(J88&gt;70,("B"),IF(J88&gt;65,("B-"),IF(J88&gt;60,("C+"),IF(J88&gt;55,("C"),IF(J88&gt;50,("C-"),"D+"))))))))</f>
        <v>D+</v>
      </c>
      <c r="M88" s="1452" t="str">
        <f>IF(J88&gt;80,("SB"),IF(J88&gt;65,("B"),IF(J88&gt;50,("C"),IF(J88&gt;0,("K"),"0"))))</f>
        <v>0</v>
      </c>
      <c r="N88" s="1429"/>
      <c r="O88" s="1207"/>
      <c r="P88" s="1430"/>
      <c r="Q88" s="1430"/>
      <c r="R88" s="704">
        <f t="shared" ref="R88" si="215">J90</f>
        <v>0</v>
      </c>
      <c r="S88" s="466" t="str">
        <f>IF(R88&gt;85,("A"),IF(R88&gt;80,("A-"),IF(R88&gt;75,("B+"),IF(R88&gt;70,("B"),IF(R88&gt;65,("B-"),IF(R88&gt;60,("C+"),IF(R88&gt;55,("C"),IF(R88&gt;50,("C-"),"D+"))))))))</f>
        <v>D+</v>
      </c>
    </row>
    <row r="89" spans="1:19" ht="24.95" customHeight="1" x14ac:dyDescent="0.25">
      <c r="A89" s="1431"/>
      <c r="B89" s="1426">
        <v>28</v>
      </c>
      <c r="C89" s="1432"/>
      <c r="D89" s="361" t="s">
        <v>20</v>
      </c>
      <c r="E89" s="361"/>
      <c r="F89" s="1191">
        <f t="shared" ref="F89" si="216">E89*2</f>
        <v>0</v>
      </c>
      <c r="G89" s="361"/>
      <c r="H89" s="457">
        <f>VLOOKUP(B88,REKAP_NILAI,47,FALSE)</f>
        <v>0</v>
      </c>
      <c r="I89" s="709">
        <f t="shared" ref="I89" si="217">F89+G89+H89</f>
        <v>0</v>
      </c>
      <c r="J89" s="1451">
        <f t="shared" ref="J89" si="218">(F89+G89+H89)/4</f>
        <v>0</v>
      </c>
      <c r="K89" s="709" t="str">
        <f t="shared" ref="K89:K90" si="219">IF(J89&gt;85,("4"),IF(J89&gt;80,("3.66"),IF(J89&gt;75,("3.33"),IF(J89&gt;70,("3.00"),IF(J89&gt;65,("2.66"),IF(J89&gt;60,("2.33"),IF(J89&gt;55,("2"),IF(J89&gt;50,("1.66"),"1.33"))))))))</f>
        <v>1.33</v>
      </c>
      <c r="L89" s="709" t="str">
        <f t="shared" ref="L89:L90" si="220">IF(J89&gt;85,("A"),IF(J89&gt;80,("A-"),IF(J89&gt;75,("B+"),IF(J89&gt;70,("B"),IF(J89&gt;65,("B-"),IF(J89&gt;60,("C+"),IF(J89&gt;55,("C"),IF(J89&gt;50,("C-"),"D+"))))))))</f>
        <v>D+</v>
      </c>
      <c r="M89" s="1452" t="str">
        <f t="shared" ref="M89:M90" si="221">IF(J89&gt;80,("SB"),IF(J89&gt;65,("B"),IF(J89&gt;50,("C"),IF(J89&gt;0,("K"),"0"))))</f>
        <v>0</v>
      </c>
      <c r="N89" s="1444"/>
      <c r="O89" s="1445"/>
      <c r="P89" s="1446"/>
      <c r="Q89" s="1447"/>
      <c r="R89" s="1830"/>
      <c r="S89" s="1456"/>
    </row>
    <row r="90" spans="1:19" ht="24.95" customHeight="1" x14ac:dyDescent="0.25">
      <c r="A90" s="1436"/>
      <c r="B90" s="1437"/>
      <c r="C90" s="1438" t="s">
        <v>149</v>
      </c>
      <c r="D90" s="1439">
        <v>28</v>
      </c>
      <c r="E90" s="1436"/>
      <c r="F90" s="1448"/>
      <c r="G90" s="1436"/>
      <c r="H90" s="1440">
        <f>AVERAGE(H88:H89)</f>
        <v>0</v>
      </c>
      <c r="I90" s="1453"/>
      <c r="J90" s="1454">
        <f>AVERAGE(J88:J89)</f>
        <v>0</v>
      </c>
      <c r="K90" s="1454" t="str">
        <f t="shared" si="219"/>
        <v>1.33</v>
      </c>
      <c r="L90" s="1454" t="str">
        <f t="shared" si="220"/>
        <v>D+</v>
      </c>
      <c r="M90" s="1455" t="str">
        <f t="shared" si="221"/>
        <v>0</v>
      </c>
      <c r="N90" s="1441"/>
      <c r="O90" s="1442"/>
      <c r="P90" s="1442"/>
      <c r="Q90" s="1443"/>
      <c r="R90" s="1831"/>
      <c r="S90" s="1457"/>
    </row>
    <row r="91" spans="1:19" ht="24.95" customHeight="1" x14ac:dyDescent="0.25">
      <c r="A91" s="1207">
        <v>29</v>
      </c>
      <c r="B91" s="1426">
        <v>29</v>
      </c>
      <c r="C91" s="1427" t="e">
        <f>VLOOKUP(A91,data_siswa,4,FALSE)</f>
        <v>#N/A</v>
      </c>
      <c r="D91" s="361" t="s">
        <v>18</v>
      </c>
      <c r="E91" s="362"/>
      <c r="F91" s="1191">
        <f>E91*2</f>
        <v>0</v>
      </c>
      <c r="G91" s="362"/>
      <c r="H91" s="457">
        <f>VLOOKUP(B91,REKAP_NILAI,46,FALSE)</f>
        <v>0</v>
      </c>
      <c r="I91" s="709">
        <f>F91+G91+H91</f>
        <v>0</v>
      </c>
      <c r="J91" s="1451">
        <f>(F91+G91+H91)/4</f>
        <v>0</v>
      </c>
      <c r="K91" s="709" t="str">
        <f>IF(J91&gt;85,("4"),IF(J91&gt;80,("3.66"),IF(J91&gt;75,("3.33"),IF(J91&gt;70,("3.00"),IF(J91&gt;65,("2.66"),IF(J91&gt;60,("2.33"),IF(J91&gt;55,("2"),IF(J91&gt;50,("1.66"),"1.33"))))))))</f>
        <v>1.33</v>
      </c>
      <c r="L91" s="709" t="str">
        <f>IF(J91&gt;85,("A"),IF(J91&gt;80,("A-"),IF(J91&gt;75,("B+"),IF(J91&gt;70,("B"),IF(J91&gt;65,("B-"),IF(J91&gt;60,("C+"),IF(J91&gt;55,("C"),IF(J91&gt;50,("C-"),"D+"))))))))</f>
        <v>D+</v>
      </c>
      <c r="M91" s="1452" t="str">
        <f>IF(J91&gt;80,("SB"),IF(J91&gt;65,("B"),IF(J91&gt;50,("C"),IF(J91&gt;0,("K"),"0"))))</f>
        <v>0</v>
      </c>
      <c r="N91" s="1429"/>
      <c r="O91" s="1207"/>
      <c r="P91" s="1430"/>
      <c r="Q91" s="1430"/>
      <c r="R91" s="704">
        <f t="shared" ref="R91" si="222">J93</f>
        <v>0</v>
      </c>
      <c r="S91" s="466" t="str">
        <f>IF(R91&gt;85,("A"),IF(R91&gt;80,("A-"),IF(R91&gt;75,("B+"),IF(R91&gt;70,("B"),IF(R91&gt;65,("B-"),IF(R91&gt;60,("C+"),IF(R91&gt;55,("C"),IF(R91&gt;50,("C-"),"D+"))))))))</f>
        <v>D+</v>
      </c>
    </row>
    <row r="92" spans="1:19" ht="24.95" customHeight="1" x14ac:dyDescent="0.25">
      <c r="A92" s="1431"/>
      <c r="B92" s="1426">
        <v>29</v>
      </c>
      <c r="C92" s="1432"/>
      <c r="D92" s="361" t="s">
        <v>20</v>
      </c>
      <c r="E92" s="361"/>
      <c r="F92" s="1191">
        <f t="shared" ref="F92" si="223">E92*2</f>
        <v>0</v>
      </c>
      <c r="G92" s="361"/>
      <c r="H92" s="457">
        <f>VLOOKUP(B91,REKAP_NILAI,47,FALSE)</f>
        <v>0</v>
      </c>
      <c r="I92" s="709">
        <f t="shared" ref="I92" si="224">F92+G92+H92</f>
        <v>0</v>
      </c>
      <c r="J92" s="1451">
        <f t="shared" ref="J92" si="225">(F92+G92+H92)/4</f>
        <v>0</v>
      </c>
      <c r="K92" s="709" t="str">
        <f t="shared" ref="K92" si="226">IF(J92&gt;85,("4"),IF(J92&gt;80,("3.66"),IF(J92&gt;75,("3.33"),IF(J92&gt;70,("3.00"),IF(J92&gt;65,("2.66"),IF(J92&gt;60,("2.33"),IF(J92&gt;55,("2"),IF(J92&gt;50,("1.66"),"1.33"))))))))</f>
        <v>1.33</v>
      </c>
      <c r="L92" s="709" t="str">
        <f t="shared" ref="L92" si="227">IF(J92&gt;85,("A"),IF(J92&gt;80,("A-"),IF(J92&gt;75,("B+"),IF(J92&gt;70,("B"),IF(J92&gt;65,("B-"),IF(J92&gt;60,("C+"),IF(J92&gt;55,("C"),IF(J92&gt;50,("C-"),"D+"))))))))</f>
        <v>D+</v>
      </c>
      <c r="M92" s="1452" t="str">
        <f t="shared" ref="M92" si="228">IF(J92&gt;80,("SB"),IF(J92&gt;65,("B"),IF(J92&gt;50,("C"),IF(J92&gt;0,("K"),"0"))))</f>
        <v>0</v>
      </c>
      <c r="N92" s="1444"/>
      <c r="O92" s="1445"/>
      <c r="P92" s="1446"/>
      <c r="Q92" s="1447"/>
      <c r="R92" s="1830"/>
      <c r="S92" s="1456"/>
    </row>
    <row r="93" spans="1:19" ht="24.95" customHeight="1" x14ac:dyDescent="0.25">
      <c r="A93" s="1436"/>
      <c r="B93" s="1437"/>
      <c r="C93" s="1438" t="s">
        <v>149</v>
      </c>
      <c r="D93" s="1439">
        <v>29</v>
      </c>
      <c r="E93" s="1436"/>
      <c r="F93" s="1448"/>
      <c r="G93" s="1436"/>
      <c r="H93" s="1440">
        <f>AVERAGE(H91:H92)</f>
        <v>0</v>
      </c>
      <c r="I93" s="1453"/>
      <c r="J93" s="1454">
        <f>AVERAGE(J91:J92)</f>
        <v>0</v>
      </c>
      <c r="K93" s="1454" t="str">
        <f t="shared" ref="K93" si="229">IF(J93&gt;85,("4"),IF(J93&gt;80,("3.66"),IF(J93&gt;75,("3.33"),IF(J93&gt;70,("3.00"),IF(J93&gt;65,("2.66"),IF(J93&gt;60,("2.33"),IF(J93&gt;55,("2"),IF(J93&gt;50,("1.66"),"1.33"))))))))</f>
        <v>1.33</v>
      </c>
      <c r="L93" s="1454" t="str">
        <f t="shared" ref="L93" si="230">IF(J93&gt;85,("A"),IF(J93&gt;80,("A-"),IF(J93&gt;75,("B+"),IF(J93&gt;70,("B"),IF(J93&gt;65,("B-"),IF(J93&gt;60,("C+"),IF(J93&gt;55,("C"),IF(J93&gt;50,("C-"),"D+"))))))))</f>
        <v>D+</v>
      </c>
      <c r="M93" s="1455" t="str">
        <f t="shared" ref="M93" si="231">IF(J93&gt;80,("SB"),IF(J93&gt;65,("B"),IF(J93&gt;50,("C"),IF(J93&gt;0,("K"),"0"))))</f>
        <v>0</v>
      </c>
      <c r="N93" s="1441"/>
      <c r="O93" s="1442"/>
      <c r="P93" s="1442"/>
      <c r="Q93" s="1443"/>
      <c r="R93" s="1831"/>
      <c r="S93" s="1457"/>
    </row>
    <row r="94" spans="1:19" ht="24.95" customHeight="1" x14ac:dyDescent="0.25">
      <c r="A94" s="1207">
        <v>30</v>
      </c>
      <c r="B94" s="1426">
        <v>30</v>
      </c>
      <c r="C94" s="1427" t="e">
        <f>VLOOKUP(A94,data_siswa,4,FALSE)</f>
        <v>#N/A</v>
      </c>
      <c r="D94" s="361" t="s">
        <v>18</v>
      </c>
      <c r="E94" s="362"/>
      <c r="F94" s="1191">
        <f>E94*2</f>
        <v>0</v>
      </c>
      <c r="G94" s="362"/>
      <c r="H94" s="457">
        <f>VLOOKUP(B94,REKAP_NILAI,46,FALSE)</f>
        <v>0</v>
      </c>
      <c r="I94" s="709">
        <f>F94+G94+H94</f>
        <v>0</v>
      </c>
      <c r="J94" s="1451">
        <f>(F94+G94+H94)/4</f>
        <v>0</v>
      </c>
      <c r="K94" s="709" t="str">
        <f>IF(J94&gt;85,("4"),IF(J94&gt;80,("3.66"),IF(J94&gt;75,("3.33"),IF(J94&gt;70,("3.00"),IF(J94&gt;65,("2.66"),IF(J94&gt;60,("2.33"),IF(J94&gt;55,("2"),IF(J94&gt;50,("1.66"),"1.33"))))))))</f>
        <v>1.33</v>
      </c>
      <c r="L94" s="709" t="str">
        <f>IF(J94&gt;85,("A"),IF(J94&gt;80,("A-"),IF(J94&gt;75,("B+"),IF(J94&gt;70,("B"),IF(J94&gt;65,("B-"),IF(J94&gt;60,("C+"),IF(J94&gt;55,("C"),IF(J94&gt;50,("C-"),"D+"))))))))</f>
        <v>D+</v>
      </c>
      <c r="M94" s="1452" t="str">
        <f>IF(J94&gt;80,("SB"),IF(J94&gt;65,("B"),IF(J94&gt;50,("C"),IF(J94&gt;0,("K"),"0"))))</f>
        <v>0</v>
      </c>
      <c r="N94" s="1429"/>
      <c r="O94" s="1207"/>
      <c r="P94" s="1430"/>
      <c r="Q94" s="1430"/>
      <c r="R94" s="704">
        <f t="shared" ref="R94" si="232">J96</f>
        <v>0</v>
      </c>
      <c r="S94" s="466" t="str">
        <f>IF(R94&gt;85,("A"),IF(R94&gt;80,("A-"),IF(R94&gt;75,("B+"),IF(R94&gt;70,("B"),IF(R94&gt;65,("B-"),IF(R94&gt;60,("C+"),IF(R94&gt;55,("C"),IF(R94&gt;50,("C-"),"D+"))))))))</f>
        <v>D+</v>
      </c>
    </row>
    <row r="95" spans="1:19" ht="24.95" customHeight="1" x14ac:dyDescent="0.25">
      <c r="A95" s="1431"/>
      <c r="B95" s="1426">
        <v>30</v>
      </c>
      <c r="C95" s="1432"/>
      <c r="D95" s="361" t="s">
        <v>20</v>
      </c>
      <c r="E95" s="361"/>
      <c r="F95" s="1191">
        <f t="shared" ref="F95" si="233">E95*2</f>
        <v>0</v>
      </c>
      <c r="G95" s="361"/>
      <c r="H95" s="457">
        <f>VLOOKUP(B94,REKAP_NILAI,47,FALSE)</f>
        <v>0</v>
      </c>
      <c r="I95" s="709">
        <f t="shared" ref="I95" si="234">F95+G95+H95</f>
        <v>0</v>
      </c>
      <c r="J95" s="1451">
        <f t="shared" ref="J95" si="235">(F95+G95+H95)/4</f>
        <v>0</v>
      </c>
      <c r="K95" s="709" t="str">
        <f t="shared" ref="K95:K96" si="236">IF(J95&gt;85,("4"),IF(J95&gt;80,("3.66"),IF(J95&gt;75,("3.33"),IF(J95&gt;70,("3.00"),IF(J95&gt;65,("2.66"),IF(J95&gt;60,("2.33"),IF(J95&gt;55,("2"),IF(J95&gt;50,("1.66"),"1.33"))))))))</f>
        <v>1.33</v>
      </c>
      <c r="L95" s="709" t="str">
        <f t="shared" ref="L95:L96" si="237">IF(J95&gt;85,("A"),IF(J95&gt;80,("A-"),IF(J95&gt;75,("B+"),IF(J95&gt;70,("B"),IF(J95&gt;65,("B-"),IF(J95&gt;60,("C+"),IF(J95&gt;55,("C"),IF(J95&gt;50,("C-"),"D+"))))))))</f>
        <v>D+</v>
      </c>
      <c r="M95" s="1452" t="str">
        <f t="shared" ref="M95:M96" si="238">IF(J95&gt;80,("SB"),IF(J95&gt;65,("B"),IF(J95&gt;50,("C"),IF(J95&gt;0,("K"),"0"))))</f>
        <v>0</v>
      </c>
      <c r="N95" s="1444"/>
      <c r="O95" s="1445"/>
      <c r="P95" s="1446"/>
      <c r="Q95" s="1447"/>
      <c r="R95" s="1830"/>
      <c r="S95" s="1456"/>
    </row>
    <row r="96" spans="1:19" ht="24.95" customHeight="1" x14ac:dyDescent="0.25">
      <c r="A96" s="1436"/>
      <c r="B96" s="1437"/>
      <c r="C96" s="1438" t="s">
        <v>149</v>
      </c>
      <c r="D96" s="1439">
        <v>30</v>
      </c>
      <c r="E96" s="1436"/>
      <c r="F96" s="1448"/>
      <c r="G96" s="1436"/>
      <c r="H96" s="1440">
        <f>AVERAGE(H94:H95)</f>
        <v>0</v>
      </c>
      <c r="I96" s="1453"/>
      <c r="J96" s="1454">
        <f>AVERAGE(J94:J95)</f>
        <v>0</v>
      </c>
      <c r="K96" s="1454" t="str">
        <f t="shared" si="236"/>
        <v>1.33</v>
      </c>
      <c r="L96" s="1454" t="str">
        <f t="shared" si="237"/>
        <v>D+</v>
      </c>
      <c r="M96" s="1455" t="str">
        <f t="shared" si="238"/>
        <v>0</v>
      </c>
      <c r="N96" s="1441"/>
      <c r="O96" s="1442"/>
      <c r="P96" s="1442"/>
      <c r="Q96" s="1443"/>
      <c r="R96" s="1831"/>
      <c r="S96" s="1457"/>
    </row>
    <row r="97" spans="1:19" ht="24.95" customHeight="1" x14ac:dyDescent="0.25">
      <c r="A97" s="1207">
        <v>31</v>
      </c>
      <c r="B97" s="1426">
        <v>31</v>
      </c>
      <c r="C97" s="1427" t="e">
        <f>VLOOKUP(A97,data_siswa,4,FALSE)</f>
        <v>#N/A</v>
      </c>
      <c r="D97" s="361" t="s">
        <v>18</v>
      </c>
      <c r="E97" s="362"/>
      <c r="F97" s="1191">
        <f>E97*2</f>
        <v>0</v>
      </c>
      <c r="G97" s="362"/>
      <c r="H97" s="457">
        <f>VLOOKUP(B97,REKAP_NILAI,46,FALSE)</f>
        <v>0</v>
      </c>
      <c r="I97" s="709">
        <f>F97+G97+H97</f>
        <v>0</v>
      </c>
      <c r="J97" s="1451">
        <f>(F97+G97+H97)/4</f>
        <v>0</v>
      </c>
      <c r="K97" s="709" t="str">
        <f>IF(J97&gt;85,("4"),IF(J97&gt;80,("3.66"),IF(J97&gt;75,("3.33"),IF(J97&gt;70,("3.00"),IF(J97&gt;65,("2.66"),IF(J97&gt;60,("2.33"),IF(J97&gt;55,("2"),IF(J97&gt;50,("1.66"),"1.33"))))))))</f>
        <v>1.33</v>
      </c>
      <c r="L97" s="709" t="str">
        <f>IF(J97&gt;85,("A"),IF(J97&gt;80,("A-"),IF(J97&gt;75,("B+"),IF(J97&gt;70,("B"),IF(J97&gt;65,("B-"),IF(J97&gt;60,("C+"),IF(J97&gt;55,("C"),IF(J97&gt;50,("C-"),"D+"))))))))</f>
        <v>D+</v>
      </c>
      <c r="M97" s="1452" t="str">
        <f>IF(J97&gt;80,("SB"),IF(J97&gt;65,("B"),IF(J97&gt;50,("C"),IF(J97&gt;0,("K"),"0"))))</f>
        <v>0</v>
      </c>
      <c r="N97" s="1429"/>
      <c r="O97" s="1207"/>
      <c r="P97" s="1430"/>
      <c r="Q97" s="1430"/>
      <c r="R97" s="704">
        <f t="shared" ref="R97" si="239">J99</f>
        <v>0</v>
      </c>
      <c r="S97" s="466" t="str">
        <f>IF(R97&gt;85,("A"),IF(R97&gt;80,("A-"),IF(R97&gt;75,("B+"),IF(R97&gt;70,("B"),IF(R97&gt;65,("B-"),IF(R97&gt;60,("C+"),IF(R97&gt;55,("C"),IF(R97&gt;50,("C-"),"D+"))))))))</f>
        <v>D+</v>
      </c>
    </row>
    <row r="98" spans="1:19" ht="24.95" customHeight="1" x14ac:dyDescent="0.25">
      <c r="A98" s="1431"/>
      <c r="B98" s="1426">
        <v>31</v>
      </c>
      <c r="C98" s="1432"/>
      <c r="D98" s="361" t="s">
        <v>20</v>
      </c>
      <c r="E98" s="361"/>
      <c r="F98" s="1191">
        <f t="shared" ref="F98" si="240">E98*2</f>
        <v>0</v>
      </c>
      <c r="G98" s="361"/>
      <c r="H98" s="457">
        <f>VLOOKUP(B97,REKAP_NILAI,47,FALSE)</f>
        <v>0</v>
      </c>
      <c r="I98" s="709">
        <f t="shared" ref="I98" si="241">F98+G98+H98</f>
        <v>0</v>
      </c>
      <c r="J98" s="1451">
        <f t="shared" ref="J98" si="242">(F98+G98+H98)/4</f>
        <v>0</v>
      </c>
      <c r="K98" s="709" t="str">
        <f t="shared" ref="K98:K99" si="243">IF(J98&gt;85,("4"),IF(J98&gt;80,("3.66"),IF(J98&gt;75,("3.33"),IF(J98&gt;70,("3.00"),IF(J98&gt;65,("2.66"),IF(J98&gt;60,("2.33"),IF(J98&gt;55,("2"),IF(J98&gt;50,("1.66"),"1.33"))))))))</f>
        <v>1.33</v>
      </c>
      <c r="L98" s="709" t="str">
        <f t="shared" ref="L98:L99" si="244">IF(J98&gt;85,("A"),IF(J98&gt;80,("A-"),IF(J98&gt;75,("B+"),IF(J98&gt;70,("B"),IF(J98&gt;65,("B-"),IF(J98&gt;60,("C+"),IF(J98&gt;55,("C"),IF(J98&gt;50,("C-"),"D+"))))))))</f>
        <v>D+</v>
      </c>
      <c r="M98" s="1452" t="str">
        <f t="shared" ref="M98:M99" si="245">IF(J98&gt;80,("SB"),IF(J98&gt;65,("B"),IF(J98&gt;50,("C"),IF(J98&gt;0,("K"),"0"))))</f>
        <v>0</v>
      </c>
      <c r="N98" s="1444"/>
      <c r="O98" s="1445"/>
      <c r="P98" s="1446"/>
      <c r="Q98" s="1447"/>
      <c r="R98" s="1830"/>
      <c r="S98" s="1456"/>
    </row>
    <row r="99" spans="1:19" ht="24.95" customHeight="1" x14ac:dyDescent="0.25">
      <c r="A99" s="1436"/>
      <c r="B99" s="1437"/>
      <c r="C99" s="1438" t="s">
        <v>149</v>
      </c>
      <c r="D99" s="1439">
        <v>31</v>
      </c>
      <c r="E99" s="1436"/>
      <c r="F99" s="1448"/>
      <c r="G99" s="1436"/>
      <c r="H99" s="1440">
        <f>AVERAGE(H97:H98)</f>
        <v>0</v>
      </c>
      <c r="I99" s="1453"/>
      <c r="J99" s="1454">
        <f>AVERAGE(J97:J98)</f>
        <v>0</v>
      </c>
      <c r="K99" s="1454" t="str">
        <f t="shared" si="243"/>
        <v>1.33</v>
      </c>
      <c r="L99" s="1454" t="str">
        <f t="shared" si="244"/>
        <v>D+</v>
      </c>
      <c r="M99" s="1455" t="str">
        <f t="shared" si="245"/>
        <v>0</v>
      </c>
      <c r="N99" s="1441"/>
      <c r="O99" s="1442"/>
      <c r="P99" s="1442"/>
      <c r="Q99" s="1443"/>
      <c r="R99" s="1831"/>
      <c r="S99" s="1457"/>
    </row>
    <row r="100" spans="1:19" ht="24.95" customHeight="1" x14ac:dyDescent="0.25">
      <c r="A100" s="1207">
        <v>32</v>
      </c>
      <c r="B100" s="1426">
        <v>32</v>
      </c>
      <c r="C100" s="1427" t="e">
        <f>VLOOKUP(A100,data_siswa,4,FALSE)</f>
        <v>#N/A</v>
      </c>
      <c r="D100" s="361" t="s">
        <v>18</v>
      </c>
      <c r="E100" s="362"/>
      <c r="F100" s="1191">
        <f>E100*2</f>
        <v>0</v>
      </c>
      <c r="G100" s="362"/>
      <c r="H100" s="457">
        <f>VLOOKUP(B100,REKAP_NILAI,46,FALSE)</f>
        <v>0</v>
      </c>
      <c r="I100" s="709">
        <f>F100+G100+H100</f>
        <v>0</v>
      </c>
      <c r="J100" s="1451">
        <f>(F100+G100+H100)/4</f>
        <v>0</v>
      </c>
      <c r="K100" s="709" t="str">
        <f>IF(J100&gt;85,("4"),IF(J100&gt;80,("3.66"),IF(J100&gt;75,("3.33"),IF(J100&gt;70,("3.00"),IF(J100&gt;65,("2.66"),IF(J100&gt;60,("2.33"),IF(J100&gt;55,("2"),IF(J100&gt;50,("1.66"),"1.33"))))))))</f>
        <v>1.33</v>
      </c>
      <c r="L100" s="709" t="str">
        <f>IF(J100&gt;85,("A"),IF(J100&gt;80,("A-"),IF(J100&gt;75,("B+"),IF(J100&gt;70,("B"),IF(J100&gt;65,("B-"),IF(J100&gt;60,("C+"),IF(J100&gt;55,("C"),IF(J100&gt;50,("C-"),"D+"))))))))</f>
        <v>D+</v>
      </c>
      <c r="M100" s="1452" t="str">
        <f>IF(J100&gt;80,("SB"),IF(J100&gt;65,("B"),IF(J100&gt;50,("C"),IF(J100&gt;0,("K"),"0"))))</f>
        <v>0</v>
      </c>
      <c r="N100" s="1429"/>
      <c r="O100" s="1207"/>
      <c r="P100" s="1430"/>
      <c r="Q100" s="1430"/>
      <c r="R100" s="704">
        <f t="shared" ref="R100" si="246">J102</f>
        <v>0</v>
      </c>
      <c r="S100" s="466" t="str">
        <f>IF(R100&gt;85,("A"),IF(R100&gt;80,("A-"),IF(R100&gt;75,("B+"),IF(R100&gt;70,("B"),IF(R100&gt;65,("B-"),IF(R100&gt;60,("C+"),IF(R100&gt;55,("C"),IF(R100&gt;50,("C-"),"D+"))))))))</f>
        <v>D+</v>
      </c>
    </row>
    <row r="101" spans="1:19" ht="24.95" customHeight="1" x14ac:dyDescent="0.25">
      <c r="A101" s="1431"/>
      <c r="B101" s="1426">
        <v>32</v>
      </c>
      <c r="C101" s="1432"/>
      <c r="D101" s="361" t="s">
        <v>20</v>
      </c>
      <c r="E101" s="361"/>
      <c r="F101" s="1191">
        <f t="shared" ref="F101" si="247">E101*2</f>
        <v>0</v>
      </c>
      <c r="G101" s="361"/>
      <c r="H101" s="457">
        <f>VLOOKUP(B100,REKAP_NILAI,47,FALSE)</f>
        <v>0</v>
      </c>
      <c r="I101" s="709">
        <f t="shared" ref="I101" si="248">F101+G101+H101</f>
        <v>0</v>
      </c>
      <c r="J101" s="1451">
        <f t="shared" ref="J101" si="249">(F101+G101+H101)/4</f>
        <v>0</v>
      </c>
      <c r="K101" s="709" t="str">
        <f t="shared" ref="K101:K102" si="250">IF(J101&gt;85,("4"),IF(J101&gt;80,("3.66"),IF(J101&gt;75,("3.33"),IF(J101&gt;70,("3.00"),IF(J101&gt;65,("2.66"),IF(J101&gt;60,("2.33"),IF(J101&gt;55,("2"),IF(J101&gt;50,("1.66"),"1.33"))))))))</f>
        <v>1.33</v>
      </c>
      <c r="L101" s="709" t="str">
        <f t="shared" ref="L101:L102" si="251">IF(J101&gt;85,("A"),IF(J101&gt;80,("A-"),IF(J101&gt;75,("B+"),IF(J101&gt;70,("B"),IF(J101&gt;65,("B-"),IF(J101&gt;60,("C+"),IF(J101&gt;55,("C"),IF(J101&gt;50,("C-"),"D+"))))))))</f>
        <v>D+</v>
      </c>
      <c r="M101" s="1452" t="str">
        <f t="shared" ref="M101:M102" si="252">IF(J101&gt;80,("SB"),IF(J101&gt;65,("B"),IF(J101&gt;50,("C"),IF(J101&gt;0,("K"),"0"))))</f>
        <v>0</v>
      </c>
      <c r="N101" s="1444"/>
      <c r="O101" s="1445"/>
      <c r="P101" s="1446"/>
      <c r="Q101" s="1447"/>
      <c r="R101" s="1830"/>
      <c r="S101" s="1456"/>
    </row>
    <row r="102" spans="1:19" ht="24.95" customHeight="1" x14ac:dyDescent="0.25">
      <c r="A102" s="1436"/>
      <c r="B102" s="1437"/>
      <c r="C102" s="1438" t="s">
        <v>149</v>
      </c>
      <c r="D102" s="1439">
        <v>32</v>
      </c>
      <c r="E102" s="1436"/>
      <c r="F102" s="1448"/>
      <c r="G102" s="1436"/>
      <c r="H102" s="1440">
        <f>AVERAGE(H100:H101)</f>
        <v>0</v>
      </c>
      <c r="I102" s="1453"/>
      <c r="J102" s="1454">
        <f>AVERAGE(J100:J101)</f>
        <v>0</v>
      </c>
      <c r="K102" s="1454" t="str">
        <f t="shared" si="250"/>
        <v>1.33</v>
      </c>
      <c r="L102" s="1454" t="str">
        <f t="shared" si="251"/>
        <v>D+</v>
      </c>
      <c r="M102" s="1455" t="str">
        <f t="shared" si="252"/>
        <v>0</v>
      </c>
      <c r="N102" s="1441"/>
      <c r="O102" s="1442"/>
      <c r="P102" s="1442"/>
      <c r="Q102" s="1443"/>
      <c r="R102" s="1831"/>
      <c r="S102" s="1457"/>
    </row>
    <row r="103" spans="1:19" ht="24.95" customHeight="1" x14ac:dyDescent="0.25">
      <c r="A103" s="1207">
        <v>33</v>
      </c>
      <c r="B103" s="1426">
        <v>33</v>
      </c>
      <c r="C103" s="1427" t="e">
        <f>VLOOKUP(A103,data_siswa,4,FALSE)</f>
        <v>#N/A</v>
      </c>
      <c r="D103" s="361" t="s">
        <v>18</v>
      </c>
      <c r="E103" s="362"/>
      <c r="F103" s="1191">
        <f>E103*2</f>
        <v>0</v>
      </c>
      <c r="G103" s="362"/>
      <c r="H103" s="457">
        <f>VLOOKUP(B103,REKAP_NILAI,46,FALSE)</f>
        <v>0</v>
      </c>
      <c r="I103" s="709">
        <f>F103+G103+H103</f>
        <v>0</v>
      </c>
      <c r="J103" s="1451">
        <f>(F103+G103+H103)/4</f>
        <v>0</v>
      </c>
      <c r="K103" s="709" t="str">
        <f>IF(J103&gt;85,("4"),IF(J103&gt;80,("3.66"),IF(J103&gt;75,("3.33"),IF(J103&gt;70,("3.00"),IF(J103&gt;65,("2.66"),IF(J103&gt;60,("2.33"),IF(J103&gt;55,("2"),IF(J103&gt;50,("1.66"),"1.33"))))))))</f>
        <v>1.33</v>
      </c>
      <c r="L103" s="709" t="str">
        <f>IF(J103&gt;85,("A"),IF(J103&gt;80,("A-"),IF(J103&gt;75,("B+"),IF(J103&gt;70,("B"),IF(J103&gt;65,("B-"),IF(J103&gt;60,("C+"),IF(J103&gt;55,("C"),IF(J103&gt;50,("C-"),"D+"))))))))</f>
        <v>D+</v>
      </c>
      <c r="M103" s="1452" t="str">
        <f>IF(J103&gt;80,("SB"),IF(J103&gt;65,("B"),IF(J103&gt;50,("C"),IF(J103&gt;0,("K"),"0"))))</f>
        <v>0</v>
      </c>
      <c r="N103" s="1429"/>
      <c r="O103" s="1207"/>
      <c r="P103" s="1430"/>
      <c r="Q103" s="1430"/>
      <c r="R103" s="704">
        <f t="shared" ref="R103" si="253">J105</f>
        <v>0</v>
      </c>
      <c r="S103" s="466" t="str">
        <f>IF(R103&gt;85,("A"),IF(R103&gt;80,("A-"),IF(R103&gt;75,("B+"),IF(R103&gt;70,("B"),IF(R103&gt;65,("B-"),IF(R103&gt;60,("C+"),IF(R103&gt;55,("C"),IF(R103&gt;50,("C-"),"D+"))))))))</f>
        <v>D+</v>
      </c>
    </row>
    <row r="104" spans="1:19" ht="24.95" customHeight="1" x14ac:dyDescent="0.25">
      <c r="A104" s="1431"/>
      <c r="B104" s="1426">
        <v>33</v>
      </c>
      <c r="C104" s="1432"/>
      <c r="D104" s="361" t="s">
        <v>20</v>
      </c>
      <c r="E104" s="361"/>
      <c r="F104" s="1191">
        <f t="shared" ref="F104" si="254">E104*2</f>
        <v>0</v>
      </c>
      <c r="G104" s="361"/>
      <c r="H104" s="457">
        <f>VLOOKUP(B103,REKAP_NILAI,47,FALSE)</f>
        <v>0</v>
      </c>
      <c r="I104" s="709">
        <f t="shared" ref="I104" si="255">F104+G104+H104</f>
        <v>0</v>
      </c>
      <c r="J104" s="1451">
        <f t="shared" ref="J104" si="256">(F104+G104+H104)/4</f>
        <v>0</v>
      </c>
      <c r="K104" s="709" t="str">
        <f t="shared" ref="K104" si="257">IF(J104&gt;85,("4"),IF(J104&gt;80,("3.66"),IF(J104&gt;75,("3.33"),IF(J104&gt;70,("3.00"),IF(J104&gt;65,("2.66"),IF(J104&gt;60,("2.33"),IF(J104&gt;55,("2"),IF(J104&gt;50,("1.66"),"1.33"))))))))</f>
        <v>1.33</v>
      </c>
      <c r="L104" s="709" t="str">
        <f t="shared" ref="L104" si="258">IF(J104&gt;85,("A"),IF(J104&gt;80,("A-"),IF(J104&gt;75,("B+"),IF(J104&gt;70,("B"),IF(J104&gt;65,("B-"),IF(J104&gt;60,("C+"),IF(J104&gt;55,("C"),IF(J104&gt;50,("C-"),"D+"))))))))</f>
        <v>D+</v>
      </c>
      <c r="M104" s="1452" t="str">
        <f t="shared" ref="M104" si="259">IF(J104&gt;80,("SB"),IF(J104&gt;65,("B"),IF(J104&gt;50,("C"),IF(J104&gt;0,("K"),"0"))))</f>
        <v>0</v>
      </c>
      <c r="N104" s="1444"/>
      <c r="O104" s="1445"/>
      <c r="P104" s="1446"/>
      <c r="Q104" s="1447"/>
      <c r="R104" s="1830"/>
      <c r="S104" s="1456"/>
    </row>
    <row r="105" spans="1:19" ht="24.95" customHeight="1" x14ac:dyDescent="0.25">
      <c r="A105" s="1436"/>
      <c r="B105" s="1437"/>
      <c r="C105" s="1438" t="s">
        <v>149</v>
      </c>
      <c r="D105" s="1439">
        <v>33</v>
      </c>
      <c r="E105" s="1436"/>
      <c r="F105" s="1448"/>
      <c r="G105" s="1436"/>
      <c r="H105" s="1440">
        <f>AVERAGE(H103:H104)</f>
        <v>0</v>
      </c>
      <c r="I105" s="1453"/>
      <c r="J105" s="1454">
        <f>AVERAGE(J103:J104)</f>
        <v>0</v>
      </c>
      <c r="K105" s="1454" t="str">
        <f t="shared" ref="K105" si="260">IF(J105&gt;85,("4"),IF(J105&gt;80,("3.66"),IF(J105&gt;75,("3.33"),IF(J105&gt;70,("3.00"),IF(J105&gt;65,("2.66"),IF(J105&gt;60,("2.33"),IF(J105&gt;55,("2"),IF(J105&gt;50,("1.66"),"1.33"))))))))</f>
        <v>1.33</v>
      </c>
      <c r="L105" s="1454" t="str">
        <f t="shared" ref="L105" si="261">IF(J105&gt;85,("A"),IF(J105&gt;80,("A-"),IF(J105&gt;75,("B+"),IF(J105&gt;70,("B"),IF(J105&gt;65,("B-"),IF(J105&gt;60,("C+"),IF(J105&gt;55,("C"),IF(J105&gt;50,("C-"),"D+"))))))))</f>
        <v>D+</v>
      </c>
      <c r="M105" s="1455" t="str">
        <f t="shared" ref="M105" si="262">IF(J105&gt;80,("SB"),IF(J105&gt;65,("B"),IF(J105&gt;50,("C"),IF(J105&gt;0,("K"),"0"))))</f>
        <v>0</v>
      </c>
      <c r="N105" s="1441"/>
      <c r="O105" s="1442"/>
      <c r="P105" s="1442"/>
      <c r="Q105" s="1443"/>
      <c r="R105" s="1831"/>
      <c r="S105" s="1457"/>
    </row>
    <row r="106" spans="1:19" ht="24.95" customHeight="1" x14ac:dyDescent="0.25">
      <c r="A106" s="1207">
        <v>34</v>
      </c>
      <c r="B106" s="1426">
        <v>34</v>
      </c>
      <c r="C106" s="1427" t="e">
        <f>VLOOKUP(A106,data_siswa,4,FALSE)</f>
        <v>#N/A</v>
      </c>
      <c r="D106" s="361" t="s">
        <v>18</v>
      </c>
      <c r="E106" s="362"/>
      <c r="F106" s="1191">
        <f>E106*2</f>
        <v>0</v>
      </c>
      <c r="G106" s="362"/>
      <c r="H106" s="457">
        <f>VLOOKUP(B106,REKAP_NILAI,46,FALSE)</f>
        <v>0</v>
      </c>
      <c r="I106" s="709">
        <f>F106+G106+H106</f>
        <v>0</v>
      </c>
      <c r="J106" s="1451">
        <f>(F106+G106+H106)/4</f>
        <v>0</v>
      </c>
      <c r="K106" s="709" t="str">
        <f>IF(J106&gt;85,("4"),IF(J106&gt;80,("3.66"),IF(J106&gt;75,("3.33"),IF(J106&gt;70,("3.00"),IF(J106&gt;65,("2.66"),IF(J106&gt;60,("2.33"),IF(J106&gt;55,("2"),IF(J106&gt;50,("1.66"),"1.33"))))))))</f>
        <v>1.33</v>
      </c>
      <c r="L106" s="709" t="str">
        <f>IF(J106&gt;85,("A"),IF(J106&gt;80,("A-"),IF(J106&gt;75,("B+"),IF(J106&gt;70,("B"),IF(J106&gt;65,("B-"),IF(J106&gt;60,("C+"),IF(J106&gt;55,("C"),IF(J106&gt;50,("C-"),"D+"))))))))</f>
        <v>D+</v>
      </c>
      <c r="M106" s="1452" t="str">
        <f>IF(J106&gt;80,("SB"),IF(J106&gt;65,("B"),IF(J106&gt;50,("C"),IF(J106&gt;0,("K"),"0"))))</f>
        <v>0</v>
      </c>
      <c r="N106" s="1429"/>
      <c r="O106" s="1207"/>
      <c r="P106" s="1430"/>
      <c r="Q106" s="1430"/>
      <c r="R106" s="704">
        <f t="shared" ref="R106" si="263">J108</f>
        <v>0</v>
      </c>
      <c r="S106" s="466" t="str">
        <f>IF(R106&gt;85,("A"),IF(R106&gt;80,("A-"),IF(R106&gt;75,("B+"),IF(R106&gt;70,("B"),IF(R106&gt;65,("B-"),IF(R106&gt;60,("C+"),IF(R106&gt;55,("C"),IF(R106&gt;50,("C-"),"D+"))))))))</f>
        <v>D+</v>
      </c>
    </row>
    <row r="107" spans="1:19" ht="24.95" customHeight="1" x14ac:dyDescent="0.25">
      <c r="A107" s="1431"/>
      <c r="B107" s="1426">
        <v>34</v>
      </c>
      <c r="C107" s="1432"/>
      <c r="D107" s="361" t="s">
        <v>20</v>
      </c>
      <c r="E107" s="361"/>
      <c r="F107" s="1191">
        <f t="shared" ref="F107" si="264">E107*2</f>
        <v>0</v>
      </c>
      <c r="G107" s="361"/>
      <c r="H107" s="457">
        <f>VLOOKUP(B106,REKAP_NILAI,47,FALSE)</f>
        <v>0</v>
      </c>
      <c r="I107" s="709">
        <f t="shared" ref="I107" si="265">F107+G107+H107</f>
        <v>0</v>
      </c>
      <c r="J107" s="1451">
        <f t="shared" ref="J107" si="266">(F107+G107+H107)/4</f>
        <v>0</v>
      </c>
      <c r="K107" s="709" t="str">
        <f t="shared" ref="K107:K108" si="267">IF(J107&gt;85,("4"),IF(J107&gt;80,("3.66"),IF(J107&gt;75,("3.33"),IF(J107&gt;70,("3.00"),IF(J107&gt;65,("2.66"),IF(J107&gt;60,("2.33"),IF(J107&gt;55,("2"),IF(J107&gt;50,("1.66"),"1.33"))))))))</f>
        <v>1.33</v>
      </c>
      <c r="L107" s="709" t="str">
        <f t="shared" ref="L107:L108" si="268">IF(J107&gt;85,("A"),IF(J107&gt;80,("A-"),IF(J107&gt;75,("B+"),IF(J107&gt;70,("B"),IF(J107&gt;65,("B-"),IF(J107&gt;60,("C+"),IF(J107&gt;55,("C"),IF(J107&gt;50,("C-"),"D+"))))))))</f>
        <v>D+</v>
      </c>
      <c r="M107" s="1452" t="str">
        <f t="shared" ref="M107:M108" si="269">IF(J107&gt;80,("SB"),IF(J107&gt;65,("B"),IF(J107&gt;50,("C"),IF(J107&gt;0,("K"),"0"))))</f>
        <v>0</v>
      </c>
      <c r="N107" s="1444"/>
      <c r="O107" s="1445"/>
      <c r="P107" s="1446"/>
      <c r="Q107" s="1447"/>
      <c r="R107" s="1830"/>
      <c r="S107" s="1456"/>
    </row>
    <row r="108" spans="1:19" ht="24.95" customHeight="1" x14ac:dyDescent="0.25">
      <c r="A108" s="1436"/>
      <c r="B108" s="1437"/>
      <c r="C108" s="1438" t="s">
        <v>149</v>
      </c>
      <c r="D108" s="1439">
        <v>34</v>
      </c>
      <c r="E108" s="1436"/>
      <c r="F108" s="1448"/>
      <c r="G108" s="1436"/>
      <c r="H108" s="1440">
        <f>AVERAGE(H106:H107)</f>
        <v>0</v>
      </c>
      <c r="I108" s="1453"/>
      <c r="J108" s="1454">
        <f>AVERAGE(J106:J107)</f>
        <v>0</v>
      </c>
      <c r="K108" s="1454" t="str">
        <f t="shared" si="267"/>
        <v>1.33</v>
      </c>
      <c r="L108" s="1454" t="str">
        <f t="shared" si="268"/>
        <v>D+</v>
      </c>
      <c r="M108" s="1455" t="str">
        <f t="shared" si="269"/>
        <v>0</v>
      </c>
      <c r="N108" s="1441"/>
      <c r="O108" s="1442"/>
      <c r="P108" s="1442"/>
      <c r="Q108" s="1443"/>
      <c r="R108" s="1831"/>
      <c r="S108" s="1457"/>
    </row>
    <row r="109" spans="1:19" ht="24.95" customHeight="1" x14ac:dyDescent="0.25">
      <c r="A109" s="1207">
        <v>35</v>
      </c>
      <c r="B109" s="1426">
        <v>35</v>
      </c>
      <c r="C109" s="1427" t="e">
        <f>VLOOKUP(A109,data_siswa,4,FALSE)</f>
        <v>#N/A</v>
      </c>
      <c r="D109" s="361" t="s">
        <v>18</v>
      </c>
      <c r="E109" s="362"/>
      <c r="F109" s="1191">
        <f>E109*2</f>
        <v>0</v>
      </c>
      <c r="G109" s="362"/>
      <c r="H109" s="457">
        <f>VLOOKUP(B109,REKAP_NILAI,46,FALSE)</f>
        <v>0</v>
      </c>
      <c r="I109" s="709">
        <f>F109+G109+H109</f>
        <v>0</v>
      </c>
      <c r="J109" s="1451">
        <f>(F109+G109+H109)/4</f>
        <v>0</v>
      </c>
      <c r="K109" s="709" t="str">
        <f>IF(J109&gt;85,("4"),IF(J109&gt;80,("3.66"),IF(J109&gt;75,("3.33"),IF(J109&gt;70,("3.00"),IF(J109&gt;65,("2.66"),IF(J109&gt;60,("2.33"),IF(J109&gt;55,("2"),IF(J109&gt;50,("1.66"),"1.33"))))))))</f>
        <v>1.33</v>
      </c>
      <c r="L109" s="709" t="str">
        <f>IF(J109&gt;85,("A"),IF(J109&gt;80,("A-"),IF(J109&gt;75,("B+"),IF(J109&gt;70,("B"),IF(J109&gt;65,("B-"),IF(J109&gt;60,("C+"),IF(J109&gt;55,("C"),IF(J109&gt;50,("C-"),"D+"))))))))</f>
        <v>D+</v>
      </c>
      <c r="M109" s="1452" t="str">
        <f>IF(J109&gt;80,("SB"),IF(J109&gt;65,("B"),IF(J109&gt;50,("C"),IF(J109&gt;0,("K"),"0"))))</f>
        <v>0</v>
      </c>
      <c r="N109" s="1429"/>
      <c r="O109" s="1207"/>
      <c r="P109" s="1430"/>
      <c r="Q109" s="1430"/>
      <c r="R109" s="704">
        <f t="shared" ref="R109" si="270">J111</f>
        <v>0</v>
      </c>
      <c r="S109" s="466" t="str">
        <f>IF(R109&gt;85,("A"),IF(R109&gt;80,("A-"),IF(R109&gt;75,("B+"),IF(R109&gt;70,("B"),IF(R109&gt;65,("B-"),IF(R109&gt;60,("C+"),IF(R109&gt;55,("C"),IF(R109&gt;50,("C-"),"D+"))))))))</f>
        <v>D+</v>
      </c>
    </row>
    <row r="110" spans="1:19" ht="24.95" customHeight="1" x14ac:dyDescent="0.25">
      <c r="A110" s="1431"/>
      <c r="B110" s="1426">
        <v>35</v>
      </c>
      <c r="C110" s="1432"/>
      <c r="D110" s="361" t="s">
        <v>20</v>
      </c>
      <c r="E110" s="361"/>
      <c r="F110" s="1191">
        <f t="shared" ref="F110" si="271">E110*2</f>
        <v>0</v>
      </c>
      <c r="G110" s="361"/>
      <c r="H110" s="457">
        <f>VLOOKUP(B109,REKAP_NILAI,47,FALSE)</f>
        <v>0</v>
      </c>
      <c r="I110" s="709">
        <f t="shared" ref="I110" si="272">F110+G110+H110</f>
        <v>0</v>
      </c>
      <c r="J110" s="1451">
        <f t="shared" ref="J110" si="273">(F110+G110+H110)/4</f>
        <v>0</v>
      </c>
      <c r="K110" s="709" t="str">
        <f t="shared" ref="K110:K111" si="274">IF(J110&gt;85,("4"),IF(J110&gt;80,("3.66"),IF(J110&gt;75,("3.33"),IF(J110&gt;70,("3.00"),IF(J110&gt;65,("2.66"),IF(J110&gt;60,("2.33"),IF(J110&gt;55,("2"),IF(J110&gt;50,("1.66"),"1.33"))))))))</f>
        <v>1.33</v>
      </c>
      <c r="L110" s="709" t="str">
        <f t="shared" ref="L110:L111" si="275">IF(J110&gt;85,("A"),IF(J110&gt;80,("A-"),IF(J110&gt;75,("B+"),IF(J110&gt;70,("B"),IF(J110&gt;65,("B-"),IF(J110&gt;60,("C+"),IF(J110&gt;55,("C"),IF(J110&gt;50,("C-"),"D+"))))))))</f>
        <v>D+</v>
      </c>
      <c r="M110" s="1452" t="str">
        <f t="shared" ref="M110:M111" si="276">IF(J110&gt;80,("SB"),IF(J110&gt;65,("B"),IF(J110&gt;50,("C"),IF(J110&gt;0,("K"),"0"))))</f>
        <v>0</v>
      </c>
      <c r="N110" s="1444"/>
      <c r="O110" s="1445"/>
      <c r="P110" s="1446"/>
      <c r="Q110" s="1447"/>
      <c r="R110" s="1830"/>
      <c r="S110" s="1456"/>
    </row>
    <row r="111" spans="1:19" ht="24.95" customHeight="1" x14ac:dyDescent="0.25">
      <c r="A111" s="1436"/>
      <c r="B111" s="1437"/>
      <c r="C111" s="1438" t="s">
        <v>149</v>
      </c>
      <c r="D111" s="1439">
        <v>35</v>
      </c>
      <c r="E111" s="1436"/>
      <c r="F111" s="1448"/>
      <c r="G111" s="1436"/>
      <c r="H111" s="1440">
        <f>AVERAGE(H109:H110)</f>
        <v>0</v>
      </c>
      <c r="I111" s="1453"/>
      <c r="J111" s="1454">
        <f>AVERAGE(J109:J110)</f>
        <v>0</v>
      </c>
      <c r="K111" s="1454" t="str">
        <f t="shared" si="274"/>
        <v>1.33</v>
      </c>
      <c r="L111" s="1454" t="str">
        <f t="shared" si="275"/>
        <v>D+</v>
      </c>
      <c r="M111" s="1455" t="str">
        <f t="shared" si="276"/>
        <v>0</v>
      </c>
      <c r="N111" s="1441"/>
      <c r="O111" s="1442"/>
      <c r="P111" s="1442"/>
      <c r="Q111" s="1443"/>
      <c r="R111" s="1831"/>
      <c r="S111" s="1457"/>
    </row>
    <row r="112" spans="1:19" ht="24.95" customHeight="1" x14ac:dyDescent="0.25">
      <c r="A112" s="1207">
        <v>36</v>
      </c>
      <c r="B112" s="1426">
        <v>36</v>
      </c>
      <c r="C112" s="1427" t="e">
        <f>VLOOKUP(A112,data_siswa,4,FALSE)</f>
        <v>#N/A</v>
      </c>
      <c r="D112" s="361" t="s">
        <v>18</v>
      </c>
      <c r="E112" s="362"/>
      <c r="F112" s="1191">
        <f>E112*2</f>
        <v>0</v>
      </c>
      <c r="G112" s="362"/>
      <c r="H112" s="457">
        <f>VLOOKUP(B112,REKAP_NILAI,46,FALSE)</f>
        <v>0</v>
      </c>
      <c r="I112" s="709">
        <f>F112+G112+H112</f>
        <v>0</v>
      </c>
      <c r="J112" s="1451">
        <f>(F112+G112+H112)/4</f>
        <v>0</v>
      </c>
      <c r="K112" s="709" t="str">
        <f>IF(J112&gt;85,("4"),IF(J112&gt;80,("3.66"),IF(J112&gt;75,("3.33"),IF(J112&gt;70,("3.00"),IF(J112&gt;65,("2.66"),IF(J112&gt;60,("2.33"),IF(J112&gt;55,("2"),IF(J112&gt;50,("1.66"),"1.33"))))))))</f>
        <v>1.33</v>
      </c>
      <c r="L112" s="709" t="str">
        <f>IF(J112&gt;85,("A"),IF(J112&gt;80,("A-"),IF(J112&gt;75,("B+"),IF(J112&gt;70,("B"),IF(J112&gt;65,("B-"),IF(J112&gt;60,("C+"),IF(J112&gt;55,("C"),IF(J112&gt;50,("C-"),"D+"))))))))</f>
        <v>D+</v>
      </c>
      <c r="M112" s="1452" t="str">
        <f>IF(J112&gt;80,("SB"),IF(J112&gt;65,("B"),IF(J112&gt;50,("C"),IF(J112&gt;0,("K"),"0"))))</f>
        <v>0</v>
      </c>
      <c r="N112" s="1429"/>
      <c r="O112" s="1207"/>
      <c r="P112" s="1430"/>
      <c r="Q112" s="1430"/>
      <c r="R112" s="704">
        <f t="shared" ref="R112" si="277">J114</f>
        <v>0</v>
      </c>
      <c r="S112" s="466" t="str">
        <f>IF(R112&gt;85,("A"),IF(R112&gt;80,("A-"),IF(R112&gt;75,("B+"),IF(R112&gt;70,("B"),IF(R112&gt;65,("B-"),IF(R112&gt;60,("C+"),IF(R112&gt;55,("C"),IF(R112&gt;50,("C-"),"D+"))))))))</f>
        <v>D+</v>
      </c>
    </row>
    <row r="113" spans="1:19" ht="24.95" customHeight="1" x14ac:dyDescent="0.25">
      <c r="A113" s="1431"/>
      <c r="B113" s="1426">
        <v>36</v>
      </c>
      <c r="C113" s="1432"/>
      <c r="D113" s="361" t="s">
        <v>20</v>
      </c>
      <c r="E113" s="361"/>
      <c r="F113" s="1191">
        <f t="shared" ref="F113" si="278">E113*2</f>
        <v>0</v>
      </c>
      <c r="G113" s="361"/>
      <c r="H113" s="457">
        <f>VLOOKUP(B112,REKAP_NILAI,47,FALSE)</f>
        <v>0</v>
      </c>
      <c r="I113" s="709">
        <f t="shared" ref="I113" si="279">F113+G113+H113</f>
        <v>0</v>
      </c>
      <c r="J113" s="1451">
        <f t="shared" ref="J113" si="280">(F113+G113+H113)/4</f>
        <v>0</v>
      </c>
      <c r="K113" s="709" t="str">
        <f t="shared" ref="K113" si="281">IF(J113&gt;85,("4"),IF(J113&gt;80,("3.66"),IF(J113&gt;75,("3.33"),IF(J113&gt;70,("3.00"),IF(J113&gt;65,("2.66"),IF(J113&gt;60,("2.33"),IF(J113&gt;55,("2"),IF(J113&gt;50,("1.66"),"1.33"))))))))</f>
        <v>1.33</v>
      </c>
      <c r="L113" s="709" t="str">
        <f t="shared" ref="L113" si="282">IF(J113&gt;85,("A"),IF(J113&gt;80,("A-"),IF(J113&gt;75,("B+"),IF(J113&gt;70,("B"),IF(J113&gt;65,("B-"),IF(J113&gt;60,("C+"),IF(J113&gt;55,("C"),IF(J113&gt;50,("C-"),"D+"))))))))</f>
        <v>D+</v>
      </c>
      <c r="M113" s="1452" t="str">
        <f t="shared" ref="M113" si="283">IF(J113&gt;80,("SB"),IF(J113&gt;65,("B"),IF(J113&gt;50,("C"),IF(J113&gt;0,("K"),"0"))))</f>
        <v>0</v>
      </c>
      <c r="N113" s="1444"/>
      <c r="O113" s="1445"/>
      <c r="P113" s="1446"/>
      <c r="Q113" s="1447"/>
      <c r="R113" s="1830"/>
      <c r="S113" s="1456"/>
    </row>
    <row r="114" spans="1:19" ht="24.95" customHeight="1" x14ac:dyDescent="0.25">
      <c r="A114" s="1436"/>
      <c r="B114" s="1437"/>
      <c r="C114" s="1438" t="s">
        <v>149</v>
      </c>
      <c r="D114" s="1439">
        <v>36</v>
      </c>
      <c r="E114" s="1436"/>
      <c r="F114" s="1448"/>
      <c r="G114" s="1436"/>
      <c r="H114" s="1440">
        <f>AVERAGE(H112:H113)</f>
        <v>0</v>
      </c>
      <c r="I114" s="1453"/>
      <c r="J114" s="1454">
        <f>AVERAGE(J112:J113)</f>
        <v>0</v>
      </c>
      <c r="K114" s="1454" t="str">
        <f t="shared" ref="K114" si="284">IF(J114&gt;85,("4"),IF(J114&gt;80,("3.66"),IF(J114&gt;75,("3.33"),IF(J114&gt;70,("3.00"),IF(J114&gt;65,("2.66"),IF(J114&gt;60,("2.33"),IF(J114&gt;55,("2"),IF(J114&gt;50,("1.66"),"1.33"))))))))</f>
        <v>1.33</v>
      </c>
      <c r="L114" s="1454" t="str">
        <f t="shared" ref="L114" si="285">IF(J114&gt;85,("A"),IF(J114&gt;80,("A-"),IF(J114&gt;75,("B+"),IF(J114&gt;70,("B"),IF(J114&gt;65,("B-"),IF(J114&gt;60,("C+"),IF(J114&gt;55,("C"),IF(J114&gt;50,("C-"),"D+"))))))))</f>
        <v>D+</v>
      </c>
      <c r="M114" s="1455" t="str">
        <f t="shared" ref="M114" si="286">IF(J114&gt;80,("SB"),IF(J114&gt;65,("B"),IF(J114&gt;50,("C"),IF(J114&gt;0,("K"),"0"))))</f>
        <v>0</v>
      </c>
      <c r="N114" s="1441"/>
      <c r="O114" s="1442"/>
      <c r="P114" s="1442"/>
      <c r="Q114" s="1443"/>
      <c r="R114" s="1831"/>
      <c r="S114" s="1457"/>
    </row>
    <row r="115" spans="1:19" ht="24.95" customHeight="1" x14ac:dyDescent="0.25">
      <c r="A115" s="1207">
        <v>37</v>
      </c>
      <c r="B115" s="1426">
        <v>37</v>
      </c>
      <c r="C115" s="1427" t="e">
        <f>VLOOKUP(A115,data_siswa,4,FALSE)</f>
        <v>#N/A</v>
      </c>
      <c r="D115" s="361" t="s">
        <v>18</v>
      </c>
      <c r="E115" s="362"/>
      <c r="F115" s="1191">
        <f>E115*2</f>
        <v>0</v>
      </c>
      <c r="G115" s="362"/>
      <c r="H115" s="457">
        <f>VLOOKUP(B115,REKAP_NILAI,46,FALSE)</f>
        <v>0</v>
      </c>
      <c r="I115" s="709">
        <f>F115+G115+H115</f>
        <v>0</v>
      </c>
      <c r="J115" s="1451">
        <f>(F115+G115+H115)/4</f>
        <v>0</v>
      </c>
      <c r="K115" s="709" t="str">
        <f>IF(J115&gt;85,("4"),IF(J115&gt;80,("3.66"),IF(J115&gt;75,("3.33"),IF(J115&gt;70,("3.00"),IF(J115&gt;65,("2.66"),IF(J115&gt;60,("2.33"),IF(J115&gt;55,("2"),IF(J115&gt;50,("1.66"),"1.33"))))))))</f>
        <v>1.33</v>
      </c>
      <c r="L115" s="709" t="str">
        <f>IF(J115&gt;85,("A"),IF(J115&gt;80,("A-"),IF(J115&gt;75,("B+"),IF(J115&gt;70,("B"),IF(J115&gt;65,("B-"),IF(J115&gt;60,("C+"),IF(J115&gt;55,("C"),IF(J115&gt;50,("C-"),"D+"))))))))</f>
        <v>D+</v>
      </c>
      <c r="M115" s="1452" t="str">
        <f>IF(J115&gt;80,("SB"),IF(J115&gt;65,("B"),IF(J115&gt;50,("C"),IF(J115&gt;0,("K"),"0"))))</f>
        <v>0</v>
      </c>
      <c r="N115" s="1429"/>
      <c r="O115" s="1207"/>
      <c r="P115" s="1430"/>
      <c r="Q115" s="1430"/>
      <c r="R115" s="704">
        <f t="shared" ref="R115" si="287">J117</f>
        <v>0</v>
      </c>
      <c r="S115" s="466" t="str">
        <f>IF(R115&gt;85,("A"),IF(R115&gt;80,("A-"),IF(R115&gt;75,("B+"),IF(R115&gt;70,("B"),IF(R115&gt;65,("B-"),IF(R115&gt;60,("C+"),IF(R115&gt;55,("C"),IF(R115&gt;50,("C-"),"D+"))))))))</f>
        <v>D+</v>
      </c>
    </row>
    <row r="116" spans="1:19" ht="24.95" customHeight="1" x14ac:dyDescent="0.25">
      <c r="A116" s="1431"/>
      <c r="B116" s="1426">
        <v>37</v>
      </c>
      <c r="C116" s="1432"/>
      <c r="D116" s="361" t="s">
        <v>20</v>
      </c>
      <c r="E116" s="361"/>
      <c r="F116" s="1191">
        <f t="shared" ref="F116" si="288">E116*2</f>
        <v>0</v>
      </c>
      <c r="G116" s="361"/>
      <c r="H116" s="457">
        <f>VLOOKUP(B115,REKAP_NILAI,47,FALSE)</f>
        <v>0</v>
      </c>
      <c r="I116" s="709">
        <f t="shared" ref="I116" si="289">F116+G116+H116</f>
        <v>0</v>
      </c>
      <c r="J116" s="1451">
        <f t="shared" ref="J116" si="290">(F116+G116+H116)/4</f>
        <v>0</v>
      </c>
      <c r="K116" s="709" t="str">
        <f t="shared" ref="K116" si="291">IF(J116&gt;85,("4"),IF(J116&gt;80,("3.66"),IF(J116&gt;75,("3.33"),IF(J116&gt;70,("3.00"),IF(J116&gt;65,("2.66"),IF(J116&gt;60,("2.33"),IF(J116&gt;55,("2"),IF(J116&gt;50,("1.66"),"1.33"))))))))</f>
        <v>1.33</v>
      </c>
      <c r="L116" s="709" t="str">
        <f t="shared" ref="L116" si="292">IF(J116&gt;85,("A"),IF(J116&gt;80,("A-"),IF(J116&gt;75,("B+"),IF(J116&gt;70,("B"),IF(J116&gt;65,("B-"),IF(J116&gt;60,("C+"),IF(J116&gt;55,("C"),IF(J116&gt;50,("C-"),"D+"))))))))</f>
        <v>D+</v>
      </c>
      <c r="M116" s="1452" t="str">
        <f t="shared" ref="M116" si="293">IF(J116&gt;80,("SB"),IF(J116&gt;65,("B"),IF(J116&gt;50,("C"),IF(J116&gt;0,("K"),"0"))))</f>
        <v>0</v>
      </c>
      <c r="N116" s="1444"/>
      <c r="O116" s="1445"/>
      <c r="P116" s="1446"/>
      <c r="Q116" s="1447"/>
      <c r="R116" s="1830"/>
      <c r="S116" s="1456"/>
    </row>
    <row r="117" spans="1:19" ht="24.95" customHeight="1" x14ac:dyDescent="0.25">
      <c r="A117" s="1436"/>
      <c r="B117" s="1437"/>
      <c r="C117" s="1438" t="s">
        <v>149</v>
      </c>
      <c r="D117" s="1439">
        <v>37</v>
      </c>
      <c r="E117" s="1436"/>
      <c r="F117" s="1448"/>
      <c r="G117" s="1436"/>
      <c r="H117" s="1440">
        <f>AVERAGE(H115:H116)</f>
        <v>0</v>
      </c>
      <c r="I117" s="1453"/>
      <c r="J117" s="1454">
        <f>AVERAGE(J115:J116)</f>
        <v>0</v>
      </c>
      <c r="K117" s="1454" t="str">
        <f t="shared" ref="K117" si="294">IF(J117&gt;85,("4"),IF(J117&gt;80,("3.66"),IF(J117&gt;75,("3.33"),IF(J117&gt;70,("3.00"),IF(J117&gt;65,("2.66"),IF(J117&gt;60,("2.33"),IF(J117&gt;55,("2"),IF(J117&gt;50,("1.66"),"1.33"))))))))</f>
        <v>1.33</v>
      </c>
      <c r="L117" s="1454" t="str">
        <f t="shared" ref="L117" si="295">IF(J117&gt;85,("A"),IF(J117&gt;80,("A-"),IF(J117&gt;75,("B+"),IF(J117&gt;70,("B"),IF(J117&gt;65,("B-"),IF(J117&gt;60,("C+"),IF(J117&gt;55,("C"),IF(J117&gt;50,("C-"),"D+"))))))))</f>
        <v>D+</v>
      </c>
      <c r="M117" s="1455" t="str">
        <f t="shared" ref="M117" si="296">IF(J117&gt;80,("SB"),IF(J117&gt;65,("B"),IF(J117&gt;50,("C"),IF(J117&gt;0,("K"),"0"))))</f>
        <v>0</v>
      </c>
      <c r="N117" s="1441"/>
      <c r="O117" s="1442"/>
      <c r="P117" s="1442"/>
      <c r="Q117" s="1443"/>
      <c r="R117" s="1831"/>
      <c r="S117" s="1457"/>
    </row>
    <row r="118" spans="1:19" ht="24.95" customHeight="1" x14ac:dyDescent="0.25">
      <c r="A118" s="1207">
        <v>38</v>
      </c>
      <c r="B118" s="1426">
        <v>38</v>
      </c>
      <c r="C118" s="1427" t="e">
        <f>VLOOKUP(A118,data_siswa,4,FALSE)</f>
        <v>#N/A</v>
      </c>
      <c r="D118" s="361" t="s">
        <v>18</v>
      </c>
      <c r="E118" s="362"/>
      <c r="F118" s="1191">
        <f>E118*2</f>
        <v>0</v>
      </c>
      <c r="G118" s="362"/>
      <c r="H118" s="457">
        <f>VLOOKUP(B118,REKAP_NILAI,46,FALSE)</f>
        <v>0</v>
      </c>
      <c r="I118" s="709">
        <f>F118+G118+H118</f>
        <v>0</v>
      </c>
      <c r="J118" s="1451">
        <f>(F118+G118+H118)/4</f>
        <v>0</v>
      </c>
      <c r="K118" s="709" t="str">
        <f>IF(J118&gt;85,("4"),IF(J118&gt;80,("3.66"),IF(J118&gt;75,("3.33"),IF(J118&gt;70,("3.00"),IF(J118&gt;65,("2.66"),IF(J118&gt;60,("2.33"),IF(J118&gt;55,("2"),IF(J118&gt;50,("1.66"),"1.33"))))))))</f>
        <v>1.33</v>
      </c>
      <c r="L118" s="709" t="str">
        <f>IF(J118&gt;85,("A"),IF(J118&gt;80,("A-"),IF(J118&gt;75,("B+"),IF(J118&gt;70,("B"),IF(J118&gt;65,("B-"),IF(J118&gt;60,("C+"),IF(J118&gt;55,("C"),IF(J118&gt;50,("C-"),"D+"))))))))</f>
        <v>D+</v>
      </c>
      <c r="M118" s="1452" t="str">
        <f>IF(J118&gt;80,("SB"),IF(J118&gt;65,("B"),IF(J118&gt;50,("C"),IF(J118&gt;0,("K"),"0"))))</f>
        <v>0</v>
      </c>
      <c r="N118" s="1429"/>
      <c r="O118" s="1207"/>
      <c r="P118" s="1430"/>
      <c r="Q118" s="1430"/>
      <c r="R118" s="704">
        <f t="shared" ref="R118" si="297">J120</f>
        <v>0</v>
      </c>
      <c r="S118" s="466" t="str">
        <f>IF(R118&gt;85,("A"),IF(R118&gt;80,("A-"),IF(R118&gt;75,("B+"),IF(R118&gt;70,("B"),IF(R118&gt;65,("B-"),IF(R118&gt;60,("C+"),IF(R118&gt;55,("C"),IF(R118&gt;50,("C-"),"D+"))))))))</f>
        <v>D+</v>
      </c>
    </row>
    <row r="119" spans="1:19" ht="24.95" customHeight="1" x14ac:dyDescent="0.25">
      <c r="A119" s="1431"/>
      <c r="B119" s="1426">
        <v>38</v>
      </c>
      <c r="C119" s="1432"/>
      <c r="D119" s="361" t="s">
        <v>20</v>
      </c>
      <c r="E119" s="361"/>
      <c r="F119" s="1191">
        <f t="shared" ref="F119" si="298">E119*2</f>
        <v>0</v>
      </c>
      <c r="G119" s="361"/>
      <c r="H119" s="457">
        <f>VLOOKUP(B118,REKAP_NILAI,47,FALSE)</f>
        <v>0</v>
      </c>
      <c r="I119" s="709">
        <f t="shared" ref="I119" si="299">F119+G119+H119</f>
        <v>0</v>
      </c>
      <c r="J119" s="1451">
        <f t="shared" ref="J119" si="300">(F119+G119+H119)/4</f>
        <v>0</v>
      </c>
      <c r="K119" s="709" t="str">
        <f t="shared" ref="K119" si="301">IF(J119&gt;85,("4"),IF(J119&gt;80,("3.66"),IF(J119&gt;75,("3.33"),IF(J119&gt;70,("3.00"),IF(J119&gt;65,("2.66"),IF(J119&gt;60,("2.33"),IF(J119&gt;55,("2"),IF(J119&gt;50,("1.66"),"1.33"))))))))</f>
        <v>1.33</v>
      </c>
      <c r="L119" s="709" t="str">
        <f t="shared" ref="L119" si="302">IF(J119&gt;85,("A"),IF(J119&gt;80,("A-"),IF(J119&gt;75,("B+"),IF(J119&gt;70,("B"),IF(J119&gt;65,("B-"),IF(J119&gt;60,("C+"),IF(J119&gt;55,("C"),IF(J119&gt;50,("C-"),"D+"))))))))</f>
        <v>D+</v>
      </c>
      <c r="M119" s="1452" t="str">
        <f t="shared" ref="M119" si="303">IF(J119&gt;80,("SB"),IF(J119&gt;65,("B"),IF(J119&gt;50,("C"),IF(J119&gt;0,("K"),"0"))))</f>
        <v>0</v>
      </c>
      <c r="N119" s="1444"/>
      <c r="O119" s="1445"/>
      <c r="P119" s="1446"/>
      <c r="Q119" s="1447"/>
      <c r="R119" s="1830"/>
      <c r="S119" s="1456"/>
    </row>
    <row r="120" spans="1:19" ht="24.95" customHeight="1" x14ac:dyDescent="0.25">
      <c r="A120" s="1436"/>
      <c r="B120" s="1437"/>
      <c r="C120" s="1438" t="s">
        <v>149</v>
      </c>
      <c r="D120" s="1439">
        <v>38</v>
      </c>
      <c r="E120" s="1436"/>
      <c r="F120" s="1448"/>
      <c r="G120" s="1436"/>
      <c r="H120" s="1440">
        <f>AVERAGE(H118:H119)</f>
        <v>0</v>
      </c>
      <c r="I120" s="1453"/>
      <c r="J120" s="1454">
        <f>AVERAGE(J118:J119)</f>
        <v>0</v>
      </c>
      <c r="K120" s="1454" t="str">
        <f t="shared" ref="K120" si="304">IF(J120&gt;85,("4"),IF(J120&gt;80,("3.66"),IF(J120&gt;75,("3.33"),IF(J120&gt;70,("3.00"),IF(J120&gt;65,("2.66"),IF(J120&gt;60,("2.33"),IF(J120&gt;55,("2"),IF(J120&gt;50,("1.66"),"1.33"))))))))</f>
        <v>1.33</v>
      </c>
      <c r="L120" s="1454" t="str">
        <f t="shared" ref="L120" si="305">IF(J120&gt;85,("A"),IF(J120&gt;80,("A-"),IF(J120&gt;75,("B+"),IF(J120&gt;70,("B"),IF(J120&gt;65,("B-"),IF(J120&gt;60,("C+"),IF(J120&gt;55,("C"),IF(J120&gt;50,("C-"),"D+"))))))))</f>
        <v>D+</v>
      </c>
      <c r="M120" s="1455" t="str">
        <f t="shared" ref="M120" si="306">IF(J120&gt;80,("SB"),IF(J120&gt;65,("B"),IF(J120&gt;50,("C"),IF(J120&gt;0,("K"),"0"))))</f>
        <v>0</v>
      </c>
      <c r="N120" s="1441"/>
      <c r="O120" s="1442"/>
      <c r="P120" s="1442"/>
      <c r="Q120" s="1443"/>
      <c r="R120" s="1831"/>
      <c r="S120" s="1457"/>
    </row>
    <row r="121" spans="1:19" ht="24.95" customHeight="1" x14ac:dyDescent="0.25">
      <c r="A121" s="1207">
        <v>39</v>
      </c>
      <c r="B121" s="1426">
        <v>39</v>
      </c>
      <c r="C121" s="1427" t="e">
        <f>VLOOKUP(A121,data_siswa,4,FALSE)</f>
        <v>#N/A</v>
      </c>
      <c r="D121" s="361" t="s">
        <v>18</v>
      </c>
      <c r="E121" s="362"/>
      <c r="F121" s="1191">
        <f>E121*2</f>
        <v>0</v>
      </c>
      <c r="G121" s="362"/>
      <c r="H121" s="457">
        <f>VLOOKUP(B121,REKAP_NILAI,46,FALSE)</f>
        <v>0</v>
      </c>
      <c r="I121" s="709">
        <f>F121+G121+H121</f>
        <v>0</v>
      </c>
      <c r="J121" s="1451">
        <f>(F121+G121+H121)/4</f>
        <v>0</v>
      </c>
      <c r="K121" s="709" t="str">
        <f>IF(J121&gt;85,("4"),IF(J121&gt;80,("3.66"),IF(J121&gt;75,("3.33"),IF(J121&gt;70,("3.00"),IF(J121&gt;65,("2.66"),IF(J121&gt;60,("2.33"),IF(J121&gt;55,("2"),IF(J121&gt;50,("1.66"),"1.33"))))))))</f>
        <v>1.33</v>
      </c>
      <c r="L121" s="709" t="str">
        <f>IF(J121&gt;85,("A"),IF(J121&gt;80,("A-"),IF(J121&gt;75,("B+"),IF(J121&gt;70,("B"),IF(J121&gt;65,("B-"),IF(J121&gt;60,("C+"),IF(J121&gt;55,("C"),IF(J121&gt;50,("C-"),"D+"))))))))</f>
        <v>D+</v>
      </c>
      <c r="M121" s="1452" t="str">
        <f>IF(J121&gt;80,("SB"),IF(J121&gt;65,("B"),IF(J121&gt;50,("C"),IF(J121&gt;0,("K"),"0"))))</f>
        <v>0</v>
      </c>
      <c r="N121" s="1429"/>
      <c r="O121" s="1207"/>
      <c r="P121" s="1430"/>
      <c r="Q121" s="1430"/>
      <c r="R121" s="704">
        <f t="shared" ref="R121" si="307">J123</f>
        <v>0</v>
      </c>
      <c r="S121" s="466" t="str">
        <f>IF(R121&gt;85,("A"),IF(R121&gt;80,("A-"),IF(R121&gt;75,("B+"),IF(R121&gt;70,("B"),IF(R121&gt;65,("B-"),IF(R121&gt;60,("C+"),IF(R121&gt;55,("C"),IF(R121&gt;50,("C-"),"D+"))))))))</f>
        <v>D+</v>
      </c>
    </row>
    <row r="122" spans="1:19" ht="24.95" customHeight="1" x14ac:dyDescent="0.25">
      <c r="A122" s="1431"/>
      <c r="B122" s="1426">
        <v>39</v>
      </c>
      <c r="C122" s="1432"/>
      <c r="D122" s="361" t="s">
        <v>20</v>
      </c>
      <c r="E122" s="361"/>
      <c r="F122" s="1191">
        <f t="shared" ref="F122" si="308">E122*2</f>
        <v>0</v>
      </c>
      <c r="G122" s="361"/>
      <c r="H122" s="457">
        <f>VLOOKUP(B121,REKAP_NILAI,47,FALSE)</f>
        <v>0</v>
      </c>
      <c r="I122" s="709">
        <f t="shared" ref="I122" si="309">F122+G122+H122</f>
        <v>0</v>
      </c>
      <c r="J122" s="1451">
        <f t="shared" ref="J122" si="310">(F122+G122+H122)/4</f>
        <v>0</v>
      </c>
      <c r="K122" s="709" t="str">
        <f t="shared" ref="K122" si="311">IF(J122&gt;85,("4"),IF(J122&gt;80,("3.66"),IF(J122&gt;75,("3.33"),IF(J122&gt;70,("3.00"),IF(J122&gt;65,("2.66"),IF(J122&gt;60,("2.33"),IF(J122&gt;55,("2"),IF(J122&gt;50,("1.66"),"1.33"))))))))</f>
        <v>1.33</v>
      </c>
      <c r="L122" s="709" t="str">
        <f t="shared" ref="L122" si="312">IF(J122&gt;85,("A"),IF(J122&gt;80,("A-"),IF(J122&gt;75,("B+"),IF(J122&gt;70,("B"),IF(J122&gt;65,("B-"),IF(J122&gt;60,("C+"),IF(J122&gt;55,("C"),IF(J122&gt;50,("C-"),"D+"))))))))</f>
        <v>D+</v>
      </c>
      <c r="M122" s="1452" t="str">
        <f t="shared" ref="M122" si="313">IF(J122&gt;80,("SB"),IF(J122&gt;65,("B"),IF(J122&gt;50,("C"),IF(J122&gt;0,("K"),"0"))))</f>
        <v>0</v>
      </c>
      <c r="N122" s="1444"/>
      <c r="O122" s="1445"/>
      <c r="P122" s="1446"/>
      <c r="Q122" s="1447"/>
      <c r="R122" s="1830"/>
      <c r="S122" s="1456"/>
    </row>
    <row r="123" spans="1:19" ht="24.95" customHeight="1" x14ac:dyDescent="0.25">
      <c r="A123" s="1436"/>
      <c r="B123" s="1437"/>
      <c r="C123" s="1438" t="s">
        <v>149</v>
      </c>
      <c r="D123" s="1439">
        <v>39</v>
      </c>
      <c r="E123" s="1436"/>
      <c r="F123" s="1448"/>
      <c r="G123" s="1436"/>
      <c r="H123" s="1440">
        <f>AVERAGE(H121:H122)</f>
        <v>0</v>
      </c>
      <c r="I123" s="1453"/>
      <c r="J123" s="1454">
        <f>AVERAGE(J121:J122)</f>
        <v>0</v>
      </c>
      <c r="K123" s="1454" t="str">
        <f t="shared" ref="K123" si="314">IF(J123&gt;85,("4"),IF(J123&gt;80,("3.66"),IF(J123&gt;75,("3.33"),IF(J123&gt;70,("3.00"),IF(J123&gt;65,("2.66"),IF(J123&gt;60,("2.33"),IF(J123&gt;55,("2"),IF(J123&gt;50,("1.66"),"1.33"))))))))</f>
        <v>1.33</v>
      </c>
      <c r="L123" s="1454" t="str">
        <f t="shared" ref="L123" si="315">IF(J123&gt;85,("A"),IF(J123&gt;80,("A-"),IF(J123&gt;75,("B+"),IF(J123&gt;70,("B"),IF(J123&gt;65,("B-"),IF(J123&gt;60,("C+"),IF(J123&gt;55,("C"),IF(J123&gt;50,("C-"),"D+"))))))))</f>
        <v>D+</v>
      </c>
      <c r="M123" s="1455" t="str">
        <f t="shared" ref="M123" si="316">IF(J123&gt;80,("SB"),IF(J123&gt;65,("B"),IF(J123&gt;50,("C"),IF(J123&gt;0,("K"),"0"))))</f>
        <v>0</v>
      </c>
      <c r="N123" s="1441"/>
      <c r="O123" s="1442"/>
      <c r="P123" s="1442"/>
      <c r="Q123" s="1443"/>
      <c r="R123" s="1831"/>
      <c r="S123" s="1457"/>
    </row>
    <row r="124" spans="1:19" ht="24.95" customHeight="1" x14ac:dyDescent="0.25">
      <c r="A124" s="1207">
        <v>40</v>
      </c>
      <c r="B124" s="1426">
        <v>40</v>
      </c>
      <c r="C124" s="1427" t="e">
        <f>VLOOKUP(A124,data_siswa,4,FALSE)</f>
        <v>#N/A</v>
      </c>
      <c r="D124" s="361" t="s">
        <v>18</v>
      </c>
      <c r="E124" s="362"/>
      <c r="F124" s="1191">
        <f>E124*2</f>
        <v>0</v>
      </c>
      <c r="G124" s="362"/>
      <c r="H124" s="457">
        <f>VLOOKUP(B124,REKAP_NILAI,46,FALSE)</f>
        <v>0</v>
      </c>
      <c r="I124" s="709">
        <f>F124+G124+H124</f>
        <v>0</v>
      </c>
      <c r="J124" s="1451">
        <f>(F124+G124+H124)/4</f>
        <v>0</v>
      </c>
      <c r="K124" s="709" t="str">
        <f>IF(J124&gt;85,("4"),IF(J124&gt;80,("3.66"),IF(J124&gt;75,("3.33"),IF(J124&gt;70,("3.00"),IF(J124&gt;65,("2.66"),IF(J124&gt;60,("2.33"),IF(J124&gt;55,("2"),IF(J124&gt;50,("1.66"),"1.33"))))))))</f>
        <v>1.33</v>
      </c>
      <c r="L124" s="709" t="str">
        <f>IF(J124&gt;85,("A"),IF(J124&gt;80,("A-"),IF(J124&gt;75,("B+"),IF(J124&gt;70,("B"),IF(J124&gt;65,("B-"),IF(J124&gt;60,("C+"),IF(J124&gt;55,("C"),IF(J124&gt;50,("C-"),"D+"))))))))</f>
        <v>D+</v>
      </c>
      <c r="M124" s="1452" t="str">
        <f>IF(J124&gt;80,("SB"),IF(J124&gt;65,("B"),IF(J124&gt;50,("C"),IF(J124&gt;0,("K"),"0"))))</f>
        <v>0</v>
      </c>
      <c r="N124" s="1429"/>
      <c r="O124" s="1207"/>
      <c r="P124" s="1430"/>
      <c r="Q124" s="1430"/>
      <c r="R124" s="704">
        <f t="shared" ref="R124" si="317">J126</f>
        <v>0</v>
      </c>
      <c r="S124" s="466" t="str">
        <f>IF(R124&gt;85,("A"),IF(R124&gt;80,("A-"),IF(R124&gt;75,("B+"),IF(R124&gt;70,("B"),IF(R124&gt;65,("B-"),IF(R124&gt;60,("C+"),IF(R124&gt;55,("C"),IF(R124&gt;50,("C-"),"D+"))))))))</f>
        <v>D+</v>
      </c>
    </row>
    <row r="125" spans="1:19" ht="24.95" customHeight="1" x14ac:dyDescent="0.25">
      <c r="A125" s="1431"/>
      <c r="B125" s="1426">
        <v>40</v>
      </c>
      <c r="C125" s="1432"/>
      <c r="D125" s="361" t="s">
        <v>20</v>
      </c>
      <c r="E125" s="361"/>
      <c r="F125" s="1191">
        <f t="shared" ref="F125" si="318">E125*2</f>
        <v>0</v>
      </c>
      <c r="G125" s="361"/>
      <c r="H125" s="457">
        <f>VLOOKUP(B124,REKAP_NILAI,47,FALSE)</f>
        <v>0</v>
      </c>
      <c r="I125" s="709">
        <f t="shared" ref="I125" si="319">F125+G125+H125</f>
        <v>0</v>
      </c>
      <c r="J125" s="1451">
        <f t="shared" ref="J125" si="320">(F125+G125+H125)/4</f>
        <v>0</v>
      </c>
      <c r="K125" s="709" t="str">
        <f t="shared" ref="K125" si="321">IF(J125&gt;85,("4"),IF(J125&gt;80,("3.66"),IF(J125&gt;75,("3.33"),IF(J125&gt;70,("3.00"),IF(J125&gt;65,("2.66"),IF(J125&gt;60,("2.33"),IF(J125&gt;55,("2"),IF(J125&gt;50,("1.66"),"1.33"))))))))</f>
        <v>1.33</v>
      </c>
      <c r="L125" s="709" t="str">
        <f t="shared" ref="L125" si="322">IF(J125&gt;85,("A"),IF(J125&gt;80,("A-"),IF(J125&gt;75,("B+"),IF(J125&gt;70,("B"),IF(J125&gt;65,("B-"),IF(J125&gt;60,("C+"),IF(J125&gt;55,("C"),IF(J125&gt;50,("C-"),"D+"))))))))</f>
        <v>D+</v>
      </c>
      <c r="M125" s="1452" t="str">
        <f t="shared" ref="M125" si="323">IF(J125&gt;80,("SB"),IF(J125&gt;65,("B"),IF(J125&gt;50,("C"),IF(J125&gt;0,("K"),"0"))))</f>
        <v>0</v>
      </c>
      <c r="N125" s="1444"/>
      <c r="O125" s="1445"/>
      <c r="P125" s="1446"/>
      <c r="Q125" s="1447"/>
      <c r="R125" s="1830"/>
      <c r="S125" s="1456"/>
    </row>
    <row r="126" spans="1:19" ht="24.95" customHeight="1" x14ac:dyDescent="0.25">
      <c r="A126" s="1436"/>
      <c r="B126" s="1437"/>
      <c r="C126" s="1438" t="s">
        <v>149</v>
      </c>
      <c r="D126" s="1439">
        <v>40</v>
      </c>
      <c r="E126" s="1436"/>
      <c r="F126" s="1448"/>
      <c r="G126" s="1436"/>
      <c r="H126" s="1440">
        <f>AVERAGE(H124:H125)</f>
        <v>0</v>
      </c>
      <c r="I126" s="1453"/>
      <c r="J126" s="1454">
        <f>AVERAGE(J124:J125)</f>
        <v>0</v>
      </c>
      <c r="K126" s="1454" t="str">
        <f t="shared" ref="K126" si="324">IF(J126&gt;85,("4"),IF(J126&gt;80,("3.66"),IF(J126&gt;75,("3.33"),IF(J126&gt;70,("3.00"),IF(J126&gt;65,("2.66"),IF(J126&gt;60,("2.33"),IF(J126&gt;55,("2"),IF(J126&gt;50,("1.66"),"1.33"))))))))</f>
        <v>1.33</v>
      </c>
      <c r="L126" s="1454" t="str">
        <f t="shared" ref="L126" si="325">IF(J126&gt;85,("A"),IF(J126&gt;80,("A-"),IF(J126&gt;75,("B+"),IF(J126&gt;70,("B"),IF(J126&gt;65,("B-"),IF(J126&gt;60,("C+"),IF(J126&gt;55,("C"),IF(J126&gt;50,("C-"),"D+"))))))))</f>
        <v>D+</v>
      </c>
      <c r="M126" s="1455" t="str">
        <f t="shared" ref="M126" si="326">IF(J126&gt;80,("SB"),IF(J126&gt;65,("B"),IF(J126&gt;50,("C"),IF(J126&gt;0,("K"),"0"))))</f>
        <v>0</v>
      </c>
      <c r="N126" s="1441"/>
      <c r="O126" s="1442"/>
      <c r="P126" s="1442"/>
      <c r="Q126" s="1443"/>
      <c r="R126" s="1831"/>
      <c r="S126" s="1457"/>
    </row>
  </sheetData>
  <sheetProtection password="C6F9" sheet="1" objects="1" scenarios="1"/>
  <mergeCells count="14">
    <mergeCell ref="S5:S6"/>
    <mergeCell ref="R5:R6"/>
    <mergeCell ref="P5:Q5"/>
    <mergeCell ref="A5:A6"/>
    <mergeCell ref="B5:B6"/>
    <mergeCell ref="C5:C6"/>
    <mergeCell ref="D5:D6"/>
    <mergeCell ref="E5:H5"/>
    <mergeCell ref="I5:I6"/>
    <mergeCell ref="J5:J6"/>
    <mergeCell ref="K5:K6"/>
    <mergeCell ref="L5:L6"/>
    <mergeCell ref="M5:M6"/>
    <mergeCell ref="N5:O5"/>
  </mergeCells>
  <conditionalFormatting sqref="J7:J8">
    <cfRule type="top10" dxfId="1845" priority="1464" bottom="1" rank="1"/>
    <cfRule type="top10" dxfId="1844" priority="1465" rank="1"/>
  </conditionalFormatting>
  <conditionalFormatting sqref="J10:J11">
    <cfRule type="top10" dxfId="1843" priority="89" bottom="1" rank="1"/>
    <cfRule type="top10" dxfId="1842" priority="90" rank="1"/>
  </conditionalFormatting>
  <conditionalFormatting sqref="J13:J14">
    <cfRule type="top10" dxfId="1841" priority="87" bottom="1" rank="1"/>
    <cfRule type="top10" dxfId="1840" priority="88" rank="1"/>
  </conditionalFormatting>
  <conditionalFormatting sqref="J16:J17">
    <cfRule type="top10" dxfId="1839" priority="85" bottom="1" rank="1"/>
    <cfRule type="top10" dxfId="1838" priority="86" rank="1"/>
  </conditionalFormatting>
  <conditionalFormatting sqref="J19:J20">
    <cfRule type="top10" dxfId="1837" priority="83" bottom="1" rank="1"/>
    <cfRule type="top10" dxfId="1836" priority="84" rank="1"/>
  </conditionalFormatting>
  <conditionalFormatting sqref="J22:J23">
    <cfRule type="top10" dxfId="1835" priority="81" bottom="1" rank="1"/>
    <cfRule type="top10" dxfId="1834" priority="82" rank="1"/>
  </conditionalFormatting>
  <conditionalFormatting sqref="J25:J26">
    <cfRule type="top10" dxfId="1833" priority="79" bottom="1" rank="1"/>
    <cfRule type="top10" dxfId="1832" priority="80" rank="1"/>
  </conditionalFormatting>
  <conditionalFormatting sqref="J28:J29">
    <cfRule type="top10" dxfId="1831" priority="77" bottom="1" rank="1"/>
    <cfRule type="top10" dxfId="1830" priority="78" rank="1"/>
  </conditionalFormatting>
  <conditionalFormatting sqref="J31:J32">
    <cfRule type="top10" dxfId="1829" priority="75" bottom="1" rank="1"/>
    <cfRule type="top10" dxfId="1828" priority="76" rank="1"/>
  </conditionalFormatting>
  <conditionalFormatting sqref="J34:J35">
    <cfRule type="top10" dxfId="1827" priority="73" bottom="1" rank="1"/>
    <cfRule type="top10" dxfId="1826" priority="74" rank="1"/>
  </conditionalFormatting>
  <conditionalFormatting sqref="J37:J38">
    <cfRule type="top10" dxfId="1825" priority="71" bottom="1" rank="1"/>
    <cfRule type="top10" dxfId="1824" priority="72" rank="1"/>
  </conditionalFormatting>
  <conditionalFormatting sqref="J40:J41">
    <cfRule type="top10" dxfId="1823" priority="69" bottom="1" rank="1"/>
    <cfRule type="top10" dxfId="1822" priority="70" rank="1"/>
  </conditionalFormatting>
  <conditionalFormatting sqref="J43:J44">
    <cfRule type="top10" dxfId="1821" priority="67" bottom="1" rank="1"/>
    <cfRule type="top10" dxfId="1820" priority="68" rank="1"/>
  </conditionalFormatting>
  <conditionalFormatting sqref="J46:J47">
    <cfRule type="top10" dxfId="1819" priority="65" bottom="1" rank="1"/>
    <cfRule type="top10" dxfId="1818" priority="66" rank="1"/>
  </conditionalFormatting>
  <conditionalFormatting sqref="J49:J50">
    <cfRule type="top10" dxfId="1817" priority="63" bottom="1" rank="1"/>
    <cfRule type="top10" dxfId="1816" priority="64" rank="1"/>
  </conditionalFormatting>
  <conditionalFormatting sqref="J52:J53">
    <cfRule type="top10" dxfId="1815" priority="61" bottom="1" rank="1"/>
    <cfRule type="top10" dxfId="1814" priority="62" rank="1"/>
  </conditionalFormatting>
  <conditionalFormatting sqref="J55:J56">
    <cfRule type="top10" dxfId="1813" priority="59" bottom="1" rank="1"/>
    <cfRule type="top10" dxfId="1812" priority="60" rank="1"/>
  </conditionalFormatting>
  <conditionalFormatting sqref="J58:J59">
    <cfRule type="top10" dxfId="1811" priority="57" bottom="1" rank="1"/>
    <cfRule type="top10" dxfId="1810" priority="58" rank="1"/>
  </conditionalFormatting>
  <conditionalFormatting sqref="J61:J62">
    <cfRule type="top10" dxfId="1809" priority="55" bottom="1" rank="1"/>
    <cfRule type="top10" dxfId="1808" priority="56" rank="1"/>
  </conditionalFormatting>
  <conditionalFormatting sqref="J64:J65">
    <cfRule type="top10" dxfId="1807" priority="53" bottom="1" rank="1"/>
    <cfRule type="top10" dxfId="1806" priority="54" rank="1"/>
  </conditionalFormatting>
  <conditionalFormatting sqref="J67:J68">
    <cfRule type="top10" dxfId="1805" priority="51" bottom="1" rank="1"/>
    <cfRule type="top10" dxfId="1804" priority="52" rank="1"/>
  </conditionalFormatting>
  <conditionalFormatting sqref="J70:J71">
    <cfRule type="top10" dxfId="1803" priority="49" bottom="1" rank="1"/>
    <cfRule type="top10" dxfId="1802" priority="50" rank="1"/>
  </conditionalFormatting>
  <conditionalFormatting sqref="J73:J74">
    <cfRule type="top10" dxfId="1801" priority="47" bottom="1" rank="1"/>
    <cfRule type="top10" dxfId="1800" priority="48" rank="1"/>
  </conditionalFormatting>
  <conditionalFormatting sqref="J76:J77">
    <cfRule type="top10" dxfId="1799" priority="45" bottom="1" rank="1"/>
    <cfRule type="top10" dxfId="1798" priority="46" rank="1"/>
  </conditionalFormatting>
  <conditionalFormatting sqref="J79:J80">
    <cfRule type="top10" dxfId="1797" priority="43" bottom="1" rank="1"/>
    <cfRule type="top10" dxfId="1796" priority="44" rank="1"/>
  </conditionalFormatting>
  <conditionalFormatting sqref="J82:J83">
    <cfRule type="top10" dxfId="1795" priority="41" bottom="1" rank="1"/>
    <cfRule type="top10" dxfId="1794" priority="42" rank="1"/>
  </conditionalFormatting>
  <conditionalFormatting sqref="J85:J86">
    <cfRule type="top10" dxfId="1793" priority="39" bottom="1" rank="1"/>
    <cfRule type="top10" dxfId="1792" priority="40" rank="1"/>
  </conditionalFormatting>
  <conditionalFormatting sqref="J88:J89">
    <cfRule type="top10" dxfId="1791" priority="37" bottom="1" rank="1"/>
    <cfRule type="top10" dxfId="1790" priority="38" rank="1"/>
  </conditionalFormatting>
  <conditionalFormatting sqref="J91:J92">
    <cfRule type="top10" dxfId="1789" priority="35" bottom="1" rank="1"/>
    <cfRule type="top10" dxfId="1788" priority="36" rank="1"/>
  </conditionalFormatting>
  <conditionalFormatting sqref="J94:J95">
    <cfRule type="top10" dxfId="1787" priority="33" bottom="1" rank="1"/>
    <cfRule type="top10" dxfId="1786" priority="34" rank="1"/>
  </conditionalFormatting>
  <conditionalFormatting sqref="J97:J98">
    <cfRule type="top10" dxfId="1785" priority="31" bottom="1" rank="1"/>
    <cfRule type="top10" dxfId="1784" priority="32" rank="1"/>
  </conditionalFormatting>
  <conditionalFormatting sqref="J100:J101">
    <cfRule type="top10" dxfId="1783" priority="29" bottom="1" rank="1"/>
    <cfRule type="top10" dxfId="1782" priority="30" rank="1"/>
  </conditionalFormatting>
  <conditionalFormatting sqref="J103:J104">
    <cfRule type="top10" dxfId="1781" priority="27" bottom="1" rank="1"/>
    <cfRule type="top10" dxfId="1780" priority="28" rank="1"/>
  </conditionalFormatting>
  <conditionalFormatting sqref="J106:J107">
    <cfRule type="top10" dxfId="1779" priority="25" bottom="1" rank="1"/>
    <cfRule type="top10" dxfId="1778" priority="26" rank="1"/>
  </conditionalFormatting>
  <conditionalFormatting sqref="J109:J110">
    <cfRule type="top10" dxfId="1777" priority="23" bottom="1" rank="1"/>
    <cfRule type="top10" dxfId="1776" priority="24" rank="1"/>
  </conditionalFormatting>
  <conditionalFormatting sqref="J112:J113">
    <cfRule type="top10" dxfId="1775" priority="9" bottom="1" rank="1"/>
    <cfRule type="top10" dxfId="1774" priority="10" rank="1"/>
  </conditionalFormatting>
  <conditionalFormatting sqref="J115:J116">
    <cfRule type="top10" dxfId="1773" priority="7" bottom="1" rank="1"/>
    <cfRule type="top10" dxfId="1772" priority="8" rank="1"/>
  </conditionalFormatting>
  <conditionalFormatting sqref="J118:J119">
    <cfRule type="top10" dxfId="1771" priority="5" bottom="1" rank="1"/>
    <cfRule type="top10" dxfId="1770" priority="6" rank="1"/>
  </conditionalFormatting>
  <conditionalFormatting sqref="J121:J122">
    <cfRule type="top10" dxfId="1769" priority="3" bottom="1" rank="1"/>
    <cfRule type="top10" dxfId="1768" priority="4" rank="1"/>
  </conditionalFormatting>
  <conditionalFormatting sqref="J124:J125">
    <cfRule type="top10" dxfId="1767" priority="1" bottom="1" rank="1"/>
    <cfRule type="top10" dxfId="1766" priority="2" rank="1"/>
  </conditionalFormatting>
  <pageMargins left="0.7" right="0.7" top="0.75" bottom="0.75" header="0.3" footer="0.3"/>
  <pageSetup paperSize="9" orientation="landscape" horizontalDpi="0"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rgb="FF00B0F0"/>
  </sheetPr>
  <dimension ref="A1:U16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x14ac:dyDescent="0.25"/>
  <cols>
    <col min="1" max="1" width="4.28515625" style="352" customWidth="1"/>
    <col min="2" max="2" width="5.5703125" style="678" customWidth="1"/>
    <col min="3" max="3" width="29.140625" style="1537" customWidth="1"/>
    <col min="4" max="4" width="5.7109375" style="352" customWidth="1"/>
    <col min="5" max="10" width="6.7109375" style="352" customWidth="1"/>
    <col min="11" max="11" width="9.85546875" style="352" customWidth="1"/>
    <col min="12" max="12" width="8.85546875" style="352" customWidth="1"/>
    <col min="13" max="13" width="9" style="352" customWidth="1"/>
    <col min="14" max="14" width="6.7109375" style="353" customWidth="1"/>
    <col min="15" max="19" width="6.7109375" style="352" customWidth="1"/>
    <col min="20" max="16384" width="9.140625" style="352"/>
  </cols>
  <sheetData>
    <row r="1" spans="1:21" ht="21" x14ac:dyDescent="0.35">
      <c r="A1" s="351" t="s">
        <v>787</v>
      </c>
      <c r="D1" s="69"/>
      <c r="E1" s="69"/>
      <c r="F1" s="69"/>
      <c r="G1" s="69"/>
      <c r="H1" s="69"/>
      <c r="I1" s="69"/>
      <c r="J1" s="69"/>
      <c r="K1" s="69"/>
    </row>
    <row r="2" spans="1:21" ht="21" x14ac:dyDescent="0.35">
      <c r="A2" s="351" t="s">
        <v>54</v>
      </c>
    </row>
    <row r="3" spans="1:21" ht="18.75" x14ac:dyDescent="0.3">
      <c r="A3" s="354" t="s">
        <v>562</v>
      </c>
    </row>
    <row r="4" spans="1:21" s="1461" customFormat="1" ht="16.5" thickBot="1" x14ac:dyDescent="0.3">
      <c r="A4" s="1460">
        <v>1</v>
      </c>
      <c r="B4" s="1460">
        <v>2</v>
      </c>
      <c r="C4" s="1137">
        <v>3</v>
      </c>
      <c r="D4" s="1460">
        <v>4</v>
      </c>
      <c r="E4" s="1460">
        <v>5</v>
      </c>
      <c r="F4" s="1460">
        <v>6</v>
      </c>
      <c r="G4" s="1460">
        <v>7</v>
      </c>
      <c r="H4" s="1460">
        <v>8</v>
      </c>
      <c r="I4" s="1460">
        <v>9</v>
      </c>
      <c r="J4" s="1460">
        <v>10</v>
      </c>
      <c r="K4" s="1460">
        <v>11</v>
      </c>
      <c r="L4" s="1460">
        <v>12</v>
      </c>
      <c r="M4" s="1460">
        <v>13</v>
      </c>
      <c r="N4" s="1460">
        <v>14</v>
      </c>
      <c r="O4" s="1460">
        <v>15</v>
      </c>
      <c r="P4" s="1460">
        <v>16</v>
      </c>
      <c r="Q4" s="1460">
        <v>17</v>
      </c>
      <c r="R4" s="1460">
        <v>18</v>
      </c>
      <c r="S4" s="1460">
        <v>19</v>
      </c>
      <c r="T4" s="1460">
        <v>20</v>
      </c>
      <c r="U4" s="1460">
        <v>21</v>
      </c>
    </row>
    <row r="5" spans="1:21" ht="20.25" customHeight="1" x14ac:dyDescent="0.25">
      <c r="A5" s="2522" t="s">
        <v>0</v>
      </c>
      <c r="B5" s="2535" t="s">
        <v>55</v>
      </c>
      <c r="C5" s="2526" t="s">
        <v>1</v>
      </c>
      <c r="D5" s="2524" t="s">
        <v>56</v>
      </c>
      <c r="E5" s="2524" t="s">
        <v>32</v>
      </c>
      <c r="F5" s="2524"/>
      <c r="G5" s="2524"/>
      <c r="H5" s="2524"/>
      <c r="I5" s="2524" t="s">
        <v>59</v>
      </c>
      <c r="J5" s="2524" t="s">
        <v>60</v>
      </c>
      <c r="K5" s="2548" t="s">
        <v>61</v>
      </c>
      <c r="L5" s="2607" t="s">
        <v>62</v>
      </c>
      <c r="M5" s="2609" t="s">
        <v>63</v>
      </c>
      <c r="N5" s="2606" t="s">
        <v>173</v>
      </c>
      <c r="O5" s="2606"/>
      <c r="P5" s="2606"/>
      <c r="Q5" s="2606" t="s">
        <v>786</v>
      </c>
      <c r="R5" s="2606"/>
      <c r="S5" s="2606"/>
      <c r="T5" s="2604" t="s">
        <v>60</v>
      </c>
      <c r="U5" s="2602" t="s">
        <v>5</v>
      </c>
    </row>
    <row r="6" spans="1:21" ht="21.75" customHeight="1" thickBot="1" x14ac:dyDescent="0.3">
      <c r="A6" s="2523"/>
      <c r="B6" s="2536"/>
      <c r="C6" s="2527"/>
      <c r="D6" s="2525"/>
      <c r="E6" s="1887" t="s">
        <v>57</v>
      </c>
      <c r="F6" s="1887" t="s">
        <v>58</v>
      </c>
      <c r="G6" s="1887" t="s">
        <v>13</v>
      </c>
      <c r="H6" s="1887" t="s">
        <v>14</v>
      </c>
      <c r="I6" s="2525"/>
      <c r="J6" s="2525"/>
      <c r="K6" s="2549"/>
      <c r="L6" s="2608"/>
      <c r="M6" s="2610"/>
      <c r="N6" s="1835" t="s">
        <v>10</v>
      </c>
      <c r="O6" s="1835" t="s">
        <v>8</v>
      </c>
      <c r="P6" s="1835" t="s">
        <v>18</v>
      </c>
      <c r="Q6" s="1059" t="s">
        <v>10</v>
      </c>
      <c r="R6" s="1059" t="s">
        <v>8</v>
      </c>
      <c r="S6" s="1059" t="s">
        <v>18</v>
      </c>
      <c r="T6" s="2605"/>
      <c r="U6" s="2603"/>
    </row>
    <row r="7" spans="1:21" ht="20.100000000000001" customHeight="1" x14ac:dyDescent="0.25">
      <c r="A7" s="360">
        <v>1</v>
      </c>
      <c r="B7" s="683">
        <v>1</v>
      </c>
      <c r="C7" s="1838" t="str">
        <f>VLOOKUP(A7,data_siswa,4,FALSE)</f>
        <v>Achmad Zacky</v>
      </c>
      <c r="D7" s="1893" t="s">
        <v>10</v>
      </c>
      <c r="E7" s="627">
        <f>VLOOKUP(B7,UHT_IPS,32,FALSE)</f>
        <v>66.222222222222229</v>
      </c>
      <c r="F7" s="1904">
        <f>E7*2</f>
        <v>132.44444444444446</v>
      </c>
      <c r="G7" s="1891">
        <v>76</v>
      </c>
      <c r="H7" s="627">
        <f>VLOOKUP(B7,REKAP_NILAI,49,FALSE)</f>
        <v>78.787878787878782</v>
      </c>
      <c r="I7" s="706">
        <f>F7+G7+H7</f>
        <v>287.23232323232321</v>
      </c>
      <c r="J7" s="707">
        <f>(F7+G7+H7)/4</f>
        <v>71.808080808080803</v>
      </c>
      <c r="K7" s="708" t="str">
        <f>IF(J7&gt;85,("4"),IF(J7&gt;80,("3.66"),IF(J7&gt;75,("3.33"),IF(J7&gt;70,("3.00"),IF(J7&gt;65,("2.66"),IF(J7&gt;60,("2.33"),IF(J7&gt;55,("2"),IF(J7&gt;50,("1.66"),"1.33"))))))))</f>
        <v>3.00</v>
      </c>
      <c r="L7" s="708" t="str">
        <f>IF(J7&gt;85,("A"),IF(J7&gt;80,("A-"),IF(J7&gt;75,("B+"),IF(J7&gt;70,("B"),IF(J7&gt;65,("B-"),IF(J7&gt;60,("C+"),IF(J7&gt;55,("C"),IF(J7&gt;50,("C-"),"D+"))))))))</f>
        <v>B</v>
      </c>
      <c r="M7" s="887" t="str">
        <f>IF(J7&gt;80,("SB"),IF(J7&gt;65,("B"),IF(J7&gt;50,("C"),IF(J7&gt;0,("K"),"0"))))</f>
        <v>B</v>
      </c>
      <c r="N7" s="1833"/>
      <c r="O7" s="1833">
        <v>3</v>
      </c>
      <c r="P7" s="1833"/>
      <c r="Q7" s="1834">
        <v>3</v>
      </c>
      <c r="R7" s="686"/>
      <c r="S7" s="686"/>
      <c r="T7" s="704">
        <f>AVERAGE(J7:J9)</f>
        <v>73.539562289562284</v>
      </c>
      <c r="U7" s="1481" t="str">
        <f>IF(T7&gt;85,("A"),IF(T7&gt;80,("A-"),IF(T7&gt;75,("B+"),IF(T7&gt;70,("B"),IF(T7&gt;65,("B-"),IF(T7&gt;60,("C+"),IF(T7&gt;55,("C"),IF(T7&gt;50,("C-"),"D+"))))))))</f>
        <v>B</v>
      </c>
    </row>
    <row r="8" spans="1:21" ht="20.100000000000001" customHeight="1" x14ac:dyDescent="0.25">
      <c r="A8" s="360"/>
      <c r="B8" s="683">
        <v>1</v>
      </c>
      <c r="C8" s="1839"/>
      <c r="D8" s="1893" t="s">
        <v>8</v>
      </c>
      <c r="E8" s="627">
        <f>VLOOKUP(B7,UHT_IPS,33,FALSE)</f>
        <v>71.416666666666657</v>
      </c>
      <c r="F8" s="1905">
        <f t="shared" ref="F8:F9" si="0">E8*2</f>
        <v>142.83333333333331</v>
      </c>
      <c r="G8" s="1891">
        <v>75</v>
      </c>
      <c r="H8" s="627">
        <f>VLOOKUP(B8,REKAP_NILAI,50,FALSE)</f>
        <v>86.36363636363636</v>
      </c>
      <c r="I8" s="709">
        <f t="shared" ref="I8:I9" si="1">F8+G8+H8</f>
        <v>304.19696969696969</v>
      </c>
      <c r="J8" s="710">
        <f t="shared" ref="J8:J9" si="2">(F8+G8+H8)/4</f>
        <v>76.049242424242422</v>
      </c>
      <c r="K8" s="711" t="str">
        <f t="shared" ref="K8:K10" si="3">IF(J8&gt;85,("4"),IF(J8&gt;80,("3.66"),IF(J8&gt;75,("3.33"),IF(J8&gt;70,("3.00"),IF(J8&gt;65,("2.66"),IF(J8&gt;60,("2.33"),IF(J8&gt;55,("2"),IF(J8&gt;50,("1.66"),"1.33"))))))))</f>
        <v>3.33</v>
      </c>
      <c r="L8" s="711" t="str">
        <f t="shared" ref="L8:L10" si="4">IF(J8&gt;85,("A"),IF(J8&gt;80,("A-"),IF(J8&gt;75,("B+"),IF(J8&gt;70,("B"),IF(J8&gt;65,("B-"),IF(J8&gt;60,("C+"),IF(J8&gt;55,("C"),IF(J8&gt;50,("C-"),"D+"))))))))</f>
        <v>B+</v>
      </c>
      <c r="M8" s="712" t="str">
        <f t="shared" ref="M8:M10" si="5">IF(J8&gt;80,("SB"),IF(J8&gt;65,("B"),IF(J8&gt;50,("C"),IF(J8&gt;0,("K"),"0"))))</f>
        <v>B</v>
      </c>
      <c r="N8" s="1463"/>
      <c r="O8" s="1464"/>
      <c r="P8" s="1464"/>
      <c r="Q8" s="1465"/>
      <c r="R8" s="1465"/>
      <c r="S8" s="1466"/>
      <c r="T8" s="1482"/>
      <c r="U8" s="1483"/>
    </row>
    <row r="9" spans="1:21" ht="20.100000000000001" customHeight="1" x14ac:dyDescent="0.25">
      <c r="A9" s="360"/>
      <c r="B9" s="683">
        <v>1</v>
      </c>
      <c r="C9" s="1839"/>
      <c r="D9" s="1893" t="s">
        <v>18</v>
      </c>
      <c r="E9" s="627">
        <f>VLOOKUP(B7,UHT_IPS,34,FALSE)</f>
        <v>65.75</v>
      </c>
      <c r="F9" s="1905">
        <f t="shared" si="0"/>
        <v>131.5</v>
      </c>
      <c r="G9" s="1891">
        <v>80</v>
      </c>
      <c r="H9" s="627">
        <f>VLOOKUP(B9,REKAP_NILAI,51,FALSE)</f>
        <v>79.545454545454547</v>
      </c>
      <c r="I9" s="709">
        <f t="shared" si="1"/>
        <v>291.04545454545456</v>
      </c>
      <c r="J9" s="710">
        <f t="shared" si="2"/>
        <v>72.76136363636364</v>
      </c>
      <c r="K9" s="711" t="str">
        <f t="shared" si="3"/>
        <v>3.00</v>
      </c>
      <c r="L9" s="711" t="str">
        <f t="shared" si="4"/>
        <v>B</v>
      </c>
      <c r="M9" s="712" t="str">
        <f t="shared" si="5"/>
        <v>B</v>
      </c>
      <c r="N9" s="1467"/>
      <c r="O9" s="1468"/>
      <c r="P9" s="1468"/>
      <c r="Q9" s="1469"/>
      <c r="R9" s="1469"/>
      <c r="S9" s="1470"/>
      <c r="T9" s="1484"/>
      <c r="U9" s="1485"/>
    </row>
    <row r="10" spans="1:21" ht="20.100000000000001" customHeight="1" x14ac:dyDescent="0.25">
      <c r="A10" s="697"/>
      <c r="B10" s="698"/>
      <c r="C10" s="635" t="s">
        <v>149</v>
      </c>
      <c r="D10" s="700">
        <v>1</v>
      </c>
      <c r="E10" s="697"/>
      <c r="F10" s="1906"/>
      <c r="G10" s="697"/>
      <c r="H10" s="1189">
        <f>AVERAGE(H7:H9)</f>
        <v>81.565656565656568</v>
      </c>
      <c r="I10" s="705"/>
      <c r="J10" s="713">
        <f>AVERAGE(J7:J9)</f>
        <v>73.539562289562284</v>
      </c>
      <c r="K10" s="714" t="str">
        <f t="shared" si="3"/>
        <v>3.00</v>
      </c>
      <c r="L10" s="714" t="str">
        <f t="shared" si="4"/>
        <v>B</v>
      </c>
      <c r="M10" s="888" t="str">
        <f t="shared" si="5"/>
        <v>B</v>
      </c>
      <c r="N10" s="1154"/>
      <c r="O10" s="1155"/>
      <c r="P10" s="1155"/>
      <c r="Q10" s="1155"/>
      <c r="R10" s="1155"/>
      <c r="S10" s="1162"/>
      <c r="T10" s="1486"/>
      <c r="U10" s="1487"/>
    </row>
    <row r="11" spans="1:21" ht="20.100000000000001" customHeight="1" thickBot="1" x14ac:dyDescent="0.3">
      <c r="A11" s="360">
        <v>2</v>
      </c>
      <c r="B11" s="683">
        <v>2</v>
      </c>
      <c r="C11" s="1838" t="str">
        <f>VLOOKUP(A11,data_siswa,4,FALSE)</f>
        <v>Angelia Vabel R</v>
      </c>
      <c r="D11" s="1893" t="s">
        <v>10</v>
      </c>
      <c r="E11" s="627"/>
      <c r="F11" s="1904">
        <f>E11*2</f>
        <v>0</v>
      </c>
      <c r="G11" s="1891"/>
      <c r="H11" s="627">
        <f>VLOOKUP(B11,REKAP_NILAI,49,FALSE)</f>
        <v>0</v>
      </c>
      <c r="I11" s="706">
        <f>F11+G11+H11</f>
        <v>0</v>
      </c>
      <c r="J11" s="707">
        <f>(F11+G11+H11)/4</f>
        <v>0</v>
      </c>
      <c r="K11" s="708" t="str">
        <f>IF(J11&gt;85,("4"),IF(J11&gt;80,("3.66"),IF(J11&gt;75,("3.33"),IF(J11&gt;70,("3.00"),IF(J11&gt;65,("2.66"),IF(J11&gt;60,("2.33"),IF(J11&gt;55,("2"),IF(J11&gt;50,("1.66"),"1.33"))))))))</f>
        <v>1.33</v>
      </c>
      <c r="L11" s="708" t="str">
        <f>IF(J11&gt;85,("A"),IF(J11&gt;80,("A-"),IF(J11&gt;75,("B+"),IF(J11&gt;70,("B"),IF(J11&gt;65,("B-"),IF(J11&gt;60,("C+"),IF(J11&gt;55,("C"),IF(J11&gt;50,("C-"),"D+"))))))))</f>
        <v>D+</v>
      </c>
      <c r="M11" s="887" t="str">
        <f>IF(J11&gt;80,("SB"),IF(J11&gt;65,("B"),IF(J11&gt;50,("C"),IF(J11&gt;0,("K"),"0"))))</f>
        <v>0</v>
      </c>
      <c r="N11" s="1471">
        <v>4</v>
      </c>
      <c r="O11" s="1471"/>
      <c r="P11" s="1471"/>
      <c r="Q11" s="1472"/>
      <c r="R11" s="1473">
        <v>2</v>
      </c>
      <c r="S11" s="1473"/>
      <c r="T11" s="1057">
        <f>AVERAGE(J11:J13)</f>
        <v>0</v>
      </c>
      <c r="U11" s="1194" t="str">
        <f>IF(T11&gt;85,("A"),IF(T11&gt;80,("A-"),IF(T11&gt;75,("B+"),IF(T11&gt;70,("B"),IF(T11&gt;65,("B-"),IF(T11&gt;60,("C+"),IF(T11&gt;55,("C"),IF(T11&gt;50,("C-"),"D+"))))))))</f>
        <v>D+</v>
      </c>
    </row>
    <row r="12" spans="1:21" ht="20.100000000000001" customHeight="1" x14ac:dyDescent="0.25">
      <c r="A12" s="360"/>
      <c r="B12" s="683">
        <v>2</v>
      </c>
      <c r="C12" s="1839"/>
      <c r="D12" s="1893" t="s">
        <v>8</v>
      </c>
      <c r="E12" s="627"/>
      <c r="F12" s="1905">
        <f t="shared" ref="F12:F13" si="6">E12*2</f>
        <v>0</v>
      </c>
      <c r="G12" s="1891"/>
      <c r="H12" s="627">
        <f>VLOOKUP(B12,REKAP_NILAI,50,FALSE)</f>
        <v>0</v>
      </c>
      <c r="I12" s="709">
        <f t="shared" ref="I12:I13" si="7">F12+G12+H12</f>
        <v>0</v>
      </c>
      <c r="J12" s="710">
        <f t="shared" ref="J12:J13" si="8">(F12+G12+H12)/4</f>
        <v>0</v>
      </c>
      <c r="K12" s="711" t="str">
        <f t="shared" ref="K12:K14" si="9">IF(J12&gt;85,("4"),IF(J12&gt;80,("3.66"),IF(J12&gt;75,("3.33"),IF(J12&gt;70,("3.00"),IF(J12&gt;65,("2.66"),IF(J12&gt;60,("2.33"),IF(J12&gt;55,("2"),IF(J12&gt;50,("1.66"),"1.33"))))))))</f>
        <v>1.33</v>
      </c>
      <c r="L12" s="711" t="str">
        <f t="shared" ref="L12:L14" si="10">IF(J12&gt;85,("A"),IF(J12&gt;80,("A-"),IF(J12&gt;75,("B+"),IF(J12&gt;70,("B"),IF(J12&gt;65,("B-"),IF(J12&gt;60,("C+"),IF(J12&gt;55,("C"),IF(J12&gt;50,("C-"),"D+"))))))))</f>
        <v>D+</v>
      </c>
      <c r="M12" s="712" t="str">
        <f t="shared" ref="M12:M14" si="11">IF(J12&gt;80,("SB"),IF(J12&gt;65,("B"),IF(J12&gt;50,("C"),IF(J12&gt;0,("K"),"0"))))</f>
        <v>0</v>
      </c>
      <c r="N12" s="1463"/>
      <c r="O12" s="1464"/>
      <c r="P12" s="1464"/>
      <c r="Q12" s="1465"/>
      <c r="R12" s="1465"/>
      <c r="S12" s="1466"/>
      <c r="T12" s="1482"/>
      <c r="U12" s="1483"/>
    </row>
    <row r="13" spans="1:21" ht="20.100000000000001" customHeight="1" x14ac:dyDescent="0.25">
      <c r="A13" s="360"/>
      <c r="B13" s="683">
        <v>2</v>
      </c>
      <c r="C13" s="1839"/>
      <c r="D13" s="1893" t="s">
        <v>18</v>
      </c>
      <c r="E13" s="627"/>
      <c r="F13" s="1905">
        <f t="shared" si="6"/>
        <v>0</v>
      </c>
      <c r="G13" s="1891"/>
      <c r="H13" s="627">
        <f>VLOOKUP(B13,REKAP_NILAI,51,FALSE)</f>
        <v>0</v>
      </c>
      <c r="I13" s="709">
        <f t="shared" si="7"/>
        <v>0</v>
      </c>
      <c r="J13" s="710">
        <f t="shared" si="8"/>
        <v>0</v>
      </c>
      <c r="K13" s="711" t="str">
        <f t="shared" si="9"/>
        <v>1.33</v>
      </c>
      <c r="L13" s="711" t="str">
        <f t="shared" si="10"/>
        <v>D+</v>
      </c>
      <c r="M13" s="712" t="str">
        <f t="shared" si="11"/>
        <v>0</v>
      </c>
      <c r="N13" s="1467"/>
      <c r="O13" s="1468"/>
      <c r="P13" s="1468"/>
      <c r="Q13" s="1469"/>
      <c r="R13" s="1469"/>
      <c r="S13" s="1470"/>
      <c r="T13" s="1484"/>
      <c r="U13" s="1485"/>
    </row>
    <row r="14" spans="1:21" ht="20.100000000000001" customHeight="1" x14ac:dyDescent="0.25">
      <c r="A14" s="697"/>
      <c r="B14" s="698"/>
      <c r="C14" s="635" t="s">
        <v>149</v>
      </c>
      <c r="D14" s="700">
        <v>2</v>
      </c>
      <c r="E14" s="697"/>
      <c r="F14" s="1906"/>
      <c r="G14" s="697"/>
      <c r="H14" s="1189">
        <f>AVERAGE(H11:H13)</f>
        <v>0</v>
      </c>
      <c r="I14" s="705"/>
      <c r="J14" s="713">
        <f>AVERAGE(J11:J13)</f>
        <v>0</v>
      </c>
      <c r="K14" s="714" t="str">
        <f t="shared" si="9"/>
        <v>1.33</v>
      </c>
      <c r="L14" s="714" t="str">
        <f t="shared" si="10"/>
        <v>D+</v>
      </c>
      <c r="M14" s="888" t="str">
        <f t="shared" si="11"/>
        <v>0</v>
      </c>
      <c r="N14" s="701"/>
      <c r="O14" s="702"/>
      <c r="P14" s="702"/>
      <c r="Q14" s="1155"/>
      <c r="R14" s="1155"/>
      <c r="S14" s="1162"/>
      <c r="T14" s="1486"/>
      <c r="U14" s="1487"/>
    </row>
    <row r="15" spans="1:21" ht="20.100000000000001" customHeight="1" thickBot="1" x14ac:dyDescent="0.3">
      <c r="A15" s="360">
        <v>3</v>
      </c>
      <c r="B15" s="683">
        <v>3</v>
      </c>
      <c r="C15" s="1838" t="str">
        <f>VLOOKUP(A15,data_siswa,4,FALSE)</f>
        <v>Anggun Dwi P.I</v>
      </c>
      <c r="D15" s="1893" t="s">
        <v>10</v>
      </c>
      <c r="E15" s="627"/>
      <c r="F15" s="1904">
        <f>E15*2</f>
        <v>0</v>
      </c>
      <c r="G15" s="1891"/>
      <c r="H15" s="627">
        <f>VLOOKUP(B15,REKAP_NILAI,49,FALSE)</f>
        <v>0</v>
      </c>
      <c r="I15" s="706">
        <f>F15+G15+H15</f>
        <v>0</v>
      </c>
      <c r="J15" s="707">
        <f>(F15+G15+H15)/4</f>
        <v>0</v>
      </c>
      <c r="K15" s="708" t="str">
        <f>IF(J15&gt;85,("4"),IF(J15&gt;80,("3.66"),IF(J15&gt;75,("3.33"),IF(J15&gt;70,("3.00"),IF(J15&gt;65,("2.66"),IF(J15&gt;60,("2.33"),IF(J15&gt;55,("2"),IF(J15&gt;50,("1.66"),"1.33"))))))))</f>
        <v>1.33</v>
      </c>
      <c r="L15" s="708" t="str">
        <f>IF(J15&gt;85,("A"),IF(J15&gt;80,("A-"),IF(J15&gt;75,("B+"),IF(J15&gt;70,("B"),IF(J15&gt;65,("B-"),IF(J15&gt;60,("C+"),IF(J15&gt;55,("C"),IF(J15&gt;50,("C-"),"D+"))))))))</f>
        <v>D+</v>
      </c>
      <c r="M15" s="887" t="str">
        <f>IF(J15&gt;80,("SB"),IF(J15&gt;65,("B"),IF(J15&gt;50,("C"),IF(J15&gt;0,("K"),"0"))))</f>
        <v>0</v>
      </c>
      <c r="N15" s="1471"/>
      <c r="O15" s="1471">
        <v>4</v>
      </c>
      <c r="P15" s="1471"/>
      <c r="Q15" s="1472"/>
      <c r="R15" s="1473"/>
      <c r="S15" s="1473">
        <v>2</v>
      </c>
      <c r="T15" s="1057">
        <f>AVERAGE(J15:J17)</f>
        <v>0</v>
      </c>
      <c r="U15" s="1194" t="str">
        <f>IF(T15&gt;85,("A"),IF(T15&gt;80,("A-"),IF(T15&gt;75,("B+"),IF(T15&gt;70,("B"),IF(T15&gt;65,("B-"),IF(T15&gt;60,("C+"),IF(T15&gt;55,("C"),IF(T15&gt;50,("C-"),"D+"))))))))</f>
        <v>D+</v>
      </c>
    </row>
    <row r="16" spans="1:21" ht="20.100000000000001" customHeight="1" x14ac:dyDescent="0.25">
      <c r="A16" s="360"/>
      <c r="B16" s="683">
        <v>3</v>
      </c>
      <c r="C16" s="1839"/>
      <c r="D16" s="1893" t="s">
        <v>8</v>
      </c>
      <c r="E16" s="627"/>
      <c r="F16" s="1905">
        <f t="shared" ref="F16:F17" si="12">E16*2</f>
        <v>0</v>
      </c>
      <c r="G16" s="1891"/>
      <c r="H16" s="627">
        <f>VLOOKUP(B16,REKAP_NILAI,50,FALSE)</f>
        <v>0</v>
      </c>
      <c r="I16" s="709">
        <f t="shared" ref="I16:I17" si="13">F16+G16+H16</f>
        <v>0</v>
      </c>
      <c r="J16" s="710">
        <f t="shared" ref="J16:J17" si="14">(F16+G16+H16)/4</f>
        <v>0</v>
      </c>
      <c r="K16" s="711" t="str">
        <f t="shared" ref="K16:K18" si="15">IF(J16&gt;85,("4"),IF(J16&gt;80,("3.66"),IF(J16&gt;75,("3.33"),IF(J16&gt;70,("3.00"),IF(J16&gt;65,("2.66"),IF(J16&gt;60,("2.33"),IF(J16&gt;55,("2"),IF(J16&gt;50,("1.66"),"1.33"))))))))</f>
        <v>1.33</v>
      </c>
      <c r="L16" s="711" t="str">
        <f t="shared" ref="L16:L18" si="16">IF(J16&gt;85,("A"),IF(J16&gt;80,("A-"),IF(J16&gt;75,("B+"),IF(J16&gt;70,("B"),IF(J16&gt;65,("B-"),IF(J16&gt;60,("C+"),IF(J16&gt;55,("C"),IF(J16&gt;50,("C-"),"D+"))))))))</f>
        <v>D+</v>
      </c>
      <c r="M16" s="712" t="str">
        <f t="shared" ref="M16:M18" si="17">IF(J16&gt;80,("SB"),IF(J16&gt;65,("B"),IF(J16&gt;50,("C"),IF(J16&gt;0,("K"),"0"))))</f>
        <v>0</v>
      </c>
      <c r="N16" s="1463"/>
      <c r="O16" s="1464"/>
      <c r="P16" s="1464"/>
      <c r="Q16" s="1465"/>
      <c r="R16" s="1465"/>
      <c r="S16" s="1466"/>
      <c r="T16" s="1482"/>
      <c r="U16" s="1483"/>
    </row>
    <row r="17" spans="1:21" ht="20.100000000000001" customHeight="1" x14ac:dyDescent="0.25">
      <c r="A17" s="360"/>
      <c r="B17" s="683">
        <v>3</v>
      </c>
      <c r="C17" s="1839"/>
      <c r="D17" s="1893" t="s">
        <v>18</v>
      </c>
      <c r="E17" s="627"/>
      <c r="F17" s="1905">
        <f t="shared" si="12"/>
        <v>0</v>
      </c>
      <c r="G17" s="1891"/>
      <c r="H17" s="627">
        <f>VLOOKUP(B17,REKAP_NILAI,51,FALSE)</f>
        <v>0</v>
      </c>
      <c r="I17" s="709">
        <f t="shared" si="13"/>
        <v>0</v>
      </c>
      <c r="J17" s="710">
        <f t="shared" si="14"/>
        <v>0</v>
      </c>
      <c r="K17" s="711" t="str">
        <f t="shared" si="15"/>
        <v>1.33</v>
      </c>
      <c r="L17" s="711" t="str">
        <f t="shared" si="16"/>
        <v>D+</v>
      </c>
      <c r="M17" s="712" t="str">
        <f t="shared" si="17"/>
        <v>0</v>
      </c>
      <c r="N17" s="1467"/>
      <c r="O17" s="1468"/>
      <c r="P17" s="1468"/>
      <c r="Q17" s="1469"/>
      <c r="R17" s="1469"/>
      <c r="S17" s="1470"/>
      <c r="T17" s="1484"/>
      <c r="U17" s="1485"/>
    </row>
    <row r="18" spans="1:21" ht="20.100000000000001" customHeight="1" x14ac:dyDescent="0.25">
      <c r="A18" s="697"/>
      <c r="B18" s="698"/>
      <c r="C18" s="635" t="s">
        <v>149</v>
      </c>
      <c r="D18" s="700">
        <v>3</v>
      </c>
      <c r="E18" s="697"/>
      <c r="F18" s="1906"/>
      <c r="G18" s="697"/>
      <c r="H18" s="1189">
        <f>AVERAGE(H15:H17)</f>
        <v>0</v>
      </c>
      <c r="I18" s="705"/>
      <c r="J18" s="713">
        <f>AVERAGE(J15:J17)</f>
        <v>0</v>
      </c>
      <c r="K18" s="714" t="str">
        <f t="shared" si="15"/>
        <v>1.33</v>
      </c>
      <c r="L18" s="714" t="str">
        <f t="shared" si="16"/>
        <v>D+</v>
      </c>
      <c r="M18" s="888" t="str">
        <f t="shared" si="17"/>
        <v>0</v>
      </c>
      <c r="N18" s="701"/>
      <c r="O18" s="702"/>
      <c r="P18" s="702"/>
      <c r="Q18" s="1155"/>
      <c r="R18" s="1155"/>
      <c r="S18" s="1162"/>
      <c r="T18" s="1486"/>
      <c r="U18" s="1487"/>
    </row>
    <row r="19" spans="1:21" ht="20.100000000000001" customHeight="1" thickBot="1" x14ac:dyDescent="0.3">
      <c r="A19" s="360">
        <v>4</v>
      </c>
      <c r="B19" s="683">
        <v>4</v>
      </c>
      <c r="C19" s="1838" t="str">
        <f>VLOOKUP(A19,data_siswa,4,FALSE)</f>
        <v>Antonio Permata A</v>
      </c>
      <c r="D19" s="1893" t="s">
        <v>10</v>
      </c>
      <c r="E19" s="627"/>
      <c r="F19" s="1904">
        <f>E19*2</f>
        <v>0</v>
      </c>
      <c r="G19" s="1891"/>
      <c r="H19" s="627">
        <f>VLOOKUP(B19,REKAP_NILAI,49,FALSE)</f>
        <v>0</v>
      </c>
      <c r="I19" s="706">
        <f>F19+G19+H19</f>
        <v>0</v>
      </c>
      <c r="J19" s="707">
        <f>(F19+G19+H19)/4</f>
        <v>0</v>
      </c>
      <c r="K19" s="708" t="str">
        <f>IF(J19&gt;85,("4"),IF(J19&gt;80,("3.66"),IF(J19&gt;75,("3.33"),IF(J19&gt;70,("3.00"),IF(J19&gt;65,("2.66"),IF(J19&gt;60,("2.33"),IF(J19&gt;55,("2"),IF(J19&gt;50,("1.66"),"1.33"))))))))</f>
        <v>1.33</v>
      </c>
      <c r="L19" s="708" t="str">
        <f>IF(J19&gt;85,("A"),IF(J19&gt;80,("A-"),IF(J19&gt;75,("B+"),IF(J19&gt;70,("B"),IF(J19&gt;65,("B-"),IF(J19&gt;60,("C+"),IF(J19&gt;55,("C"),IF(J19&gt;50,("C-"),"D+"))))))))</f>
        <v>D+</v>
      </c>
      <c r="M19" s="887" t="str">
        <f>IF(J19&gt;80,("SB"),IF(J19&gt;65,("B"),IF(J19&gt;50,("C"),IF(J19&gt;0,("K"),"0"))))</f>
        <v>0</v>
      </c>
      <c r="N19" s="1471"/>
      <c r="O19" s="1471"/>
      <c r="P19" s="1471"/>
      <c r="Q19" s="1472"/>
      <c r="R19" s="1473"/>
      <c r="S19" s="1473"/>
      <c r="T19" s="1057">
        <f>AVERAGE(J19:J21)</f>
        <v>0</v>
      </c>
      <c r="U19" s="1194" t="str">
        <f>IF(T19&gt;85,("A"),IF(T19&gt;80,("A-"),IF(T19&gt;75,("B+"),IF(T19&gt;70,("B"),IF(T19&gt;65,("B-"),IF(T19&gt;60,("C+"),IF(T19&gt;55,("C"),IF(T19&gt;50,("C-"),"D+"))))))))</f>
        <v>D+</v>
      </c>
    </row>
    <row r="20" spans="1:21" ht="20.100000000000001" customHeight="1" x14ac:dyDescent="0.25">
      <c r="A20" s="360"/>
      <c r="B20" s="683">
        <v>4</v>
      </c>
      <c r="C20" s="1839"/>
      <c r="D20" s="1893" t="s">
        <v>8</v>
      </c>
      <c r="E20" s="627"/>
      <c r="F20" s="1905">
        <f t="shared" ref="F20:F21" si="18">E20*2</f>
        <v>0</v>
      </c>
      <c r="G20" s="1891"/>
      <c r="H20" s="627">
        <f>VLOOKUP(B19,REKAP_NILAI,50,FALSE)</f>
        <v>0</v>
      </c>
      <c r="I20" s="709">
        <f t="shared" ref="I20:I21" si="19">F20+G20+H20</f>
        <v>0</v>
      </c>
      <c r="J20" s="710">
        <f t="shared" ref="J20:J21" si="20">(F20+G20+H20)/4</f>
        <v>0</v>
      </c>
      <c r="K20" s="711" t="str">
        <f t="shared" ref="K20:K22" si="21">IF(J20&gt;85,("4"),IF(J20&gt;80,("3.66"),IF(J20&gt;75,("3.33"),IF(J20&gt;70,("3.00"),IF(J20&gt;65,("2.66"),IF(J20&gt;60,("2.33"),IF(J20&gt;55,("2"),IF(J20&gt;50,("1.66"),"1.33"))))))))</f>
        <v>1.33</v>
      </c>
      <c r="L20" s="711" t="str">
        <f t="shared" ref="L20:L22" si="22">IF(J20&gt;85,("A"),IF(J20&gt;80,("A-"),IF(J20&gt;75,("B+"),IF(J20&gt;70,("B"),IF(J20&gt;65,("B-"),IF(J20&gt;60,("C+"),IF(J20&gt;55,("C"),IF(J20&gt;50,("C-"),"D+"))))))))</f>
        <v>D+</v>
      </c>
      <c r="M20" s="712" t="str">
        <f t="shared" ref="M20:M22" si="23">IF(J20&gt;80,("SB"),IF(J20&gt;65,("B"),IF(J20&gt;50,("C"),IF(J20&gt;0,("K"),"0"))))</f>
        <v>0</v>
      </c>
      <c r="N20" s="1463"/>
      <c r="O20" s="1464"/>
      <c r="P20" s="1464"/>
      <c r="Q20" s="1465"/>
      <c r="R20" s="1465"/>
      <c r="S20" s="1466"/>
      <c r="T20" s="1482"/>
      <c r="U20" s="1483"/>
    </row>
    <row r="21" spans="1:21" ht="20.100000000000001" customHeight="1" x14ac:dyDescent="0.25">
      <c r="A21" s="360"/>
      <c r="B21" s="683">
        <v>4</v>
      </c>
      <c r="C21" s="1839"/>
      <c r="D21" s="1893" t="s">
        <v>18</v>
      </c>
      <c r="E21" s="627"/>
      <c r="F21" s="1905">
        <f t="shared" si="18"/>
        <v>0</v>
      </c>
      <c r="G21" s="1891"/>
      <c r="H21" s="627">
        <f>VLOOKUP(B19,REKAP_NILAI,51,FALSE)</f>
        <v>0</v>
      </c>
      <c r="I21" s="709">
        <f t="shared" si="19"/>
        <v>0</v>
      </c>
      <c r="J21" s="710">
        <f t="shared" si="20"/>
        <v>0</v>
      </c>
      <c r="K21" s="711" t="str">
        <f t="shared" si="21"/>
        <v>1.33</v>
      </c>
      <c r="L21" s="711" t="str">
        <f t="shared" si="22"/>
        <v>D+</v>
      </c>
      <c r="M21" s="712" t="str">
        <f t="shared" si="23"/>
        <v>0</v>
      </c>
      <c r="N21" s="1467"/>
      <c r="O21" s="1468"/>
      <c r="P21" s="1468"/>
      <c r="Q21" s="1469"/>
      <c r="R21" s="1469"/>
      <c r="S21" s="1470"/>
      <c r="T21" s="1484"/>
      <c r="U21" s="1485"/>
    </row>
    <row r="22" spans="1:21" ht="20.100000000000001" customHeight="1" x14ac:dyDescent="0.25">
      <c r="A22" s="697"/>
      <c r="B22" s="698"/>
      <c r="C22" s="635" t="s">
        <v>149</v>
      </c>
      <c r="D22" s="700">
        <v>4</v>
      </c>
      <c r="E22" s="697"/>
      <c r="F22" s="1906"/>
      <c r="G22" s="697"/>
      <c r="H22" s="1189">
        <f>AVERAGE(H19:H21)</f>
        <v>0</v>
      </c>
      <c r="I22" s="705"/>
      <c r="J22" s="713">
        <f>AVERAGE(J19:J21)</f>
        <v>0</v>
      </c>
      <c r="K22" s="714" t="str">
        <f t="shared" si="21"/>
        <v>1.33</v>
      </c>
      <c r="L22" s="714" t="str">
        <f t="shared" si="22"/>
        <v>D+</v>
      </c>
      <c r="M22" s="888" t="str">
        <f t="shared" si="23"/>
        <v>0</v>
      </c>
      <c r="N22" s="701"/>
      <c r="O22" s="702"/>
      <c r="P22" s="702"/>
      <c r="Q22" s="1155"/>
      <c r="R22" s="1155"/>
      <c r="S22" s="1162"/>
      <c r="T22" s="1486"/>
      <c r="U22" s="1487"/>
    </row>
    <row r="23" spans="1:21" ht="20.100000000000001" customHeight="1" thickBot="1" x14ac:dyDescent="0.3">
      <c r="A23" s="360">
        <v>5</v>
      </c>
      <c r="B23" s="683">
        <v>5</v>
      </c>
      <c r="C23" s="1838" t="str">
        <f>VLOOKUP(A23,data_siswa,4,FALSE)</f>
        <v>Arya Pratama G</v>
      </c>
      <c r="D23" s="1893" t="s">
        <v>10</v>
      </c>
      <c r="E23" s="627"/>
      <c r="F23" s="1904">
        <f>E23*2</f>
        <v>0</v>
      </c>
      <c r="G23" s="1891"/>
      <c r="H23" s="627">
        <f>VLOOKUP(B23,REKAP_NILAI,49,FALSE)</f>
        <v>0</v>
      </c>
      <c r="I23" s="706">
        <f>F23+G23+H23</f>
        <v>0</v>
      </c>
      <c r="J23" s="707">
        <f>(F23+G23+H23)/4</f>
        <v>0</v>
      </c>
      <c r="K23" s="708" t="str">
        <f>IF(J23&gt;85,("4"),IF(J23&gt;80,("3.66"),IF(J23&gt;75,("3.33"),IF(J23&gt;70,("3.00"),IF(J23&gt;65,("2.66"),IF(J23&gt;60,("2.33"),IF(J23&gt;55,("2"),IF(J23&gt;50,("1.66"),"1.33"))))))))</f>
        <v>1.33</v>
      </c>
      <c r="L23" s="708" t="str">
        <f>IF(J23&gt;85,("A"),IF(J23&gt;80,("A-"),IF(J23&gt;75,("B+"),IF(J23&gt;70,("B"),IF(J23&gt;65,("B-"),IF(J23&gt;60,("C+"),IF(J23&gt;55,("C"),IF(J23&gt;50,("C-"),"D+"))))))))</f>
        <v>D+</v>
      </c>
      <c r="M23" s="887" t="str">
        <f>IF(J23&gt;80,("SB"),IF(J23&gt;65,("B"),IF(J23&gt;50,("C"),IF(J23&gt;0,("K"),"0"))))</f>
        <v>0</v>
      </c>
      <c r="N23" s="1471"/>
      <c r="O23" s="1471"/>
      <c r="P23" s="1471"/>
      <c r="Q23" s="1472"/>
      <c r="R23" s="1473"/>
      <c r="S23" s="1473"/>
      <c r="T23" s="1057">
        <f>AVERAGE(J23:J25)</f>
        <v>0</v>
      </c>
      <c r="U23" s="1194" t="str">
        <f>IF(T23&gt;85,("A"),IF(T23&gt;80,("A-"),IF(T23&gt;75,("B+"),IF(T23&gt;70,("B"),IF(T23&gt;65,("B-"),IF(T23&gt;60,("C+"),IF(T23&gt;55,("C"),IF(T23&gt;50,("C-"),"D+"))))))))</f>
        <v>D+</v>
      </c>
    </row>
    <row r="24" spans="1:21" ht="20.100000000000001" customHeight="1" x14ac:dyDescent="0.25">
      <c r="A24" s="360"/>
      <c r="B24" s="683">
        <v>5</v>
      </c>
      <c r="C24" s="1839"/>
      <c r="D24" s="1893" t="s">
        <v>8</v>
      </c>
      <c r="E24" s="627"/>
      <c r="F24" s="1905">
        <f t="shared" ref="F24:F25" si="24">E24*2</f>
        <v>0</v>
      </c>
      <c r="G24" s="1891"/>
      <c r="H24" s="627">
        <f>VLOOKUP(B23,REKAP_NILAI,50,FALSE)</f>
        <v>0</v>
      </c>
      <c r="I24" s="709">
        <f t="shared" ref="I24:I25" si="25">F24+G24+H24</f>
        <v>0</v>
      </c>
      <c r="J24" s="710">
        <f t="shared" ref="J24:J25" si="26">(F24+G24+H24)/4</f>
        <v>0</v>
      </c>
      <c r="K24" s="711" t="str">
        <f t="shared" ref="K24:K26" si="27">IF(J24&gt;85,("4"),IF(J24&gt;80,("3.66"),IF(J24&gt;75,("3.33"),IF(J24&gt;70,("3.00"),IF(J24&gt;65,("2.66"),IF(J24&gt;60,("2.33"),IF(J24&gt;55,("2"),IF(J24&gt;50,("1.66"),"1.33"))))))))</f>
        <v>1.33</v>
      </c>
      <c r="L24" s="711" t="str">
        <f t="shared" ref="L24:L26" si="28">IF(J24&gt;85,("A"),IF(J24&gt;80,("A-"),IF(J24&gt;75,("B+"),IF(J24&gt;70,("B"),IF(J24&gt;65,("B-"),IF(J24&gt;60,("C+"),IF(J24&gt;55,("C"),IF(J24&gt;50,("C-"),"D+"))))))))</f>
        <v>D+</v>
      </c>
      <c r="M24" s="712" t="str">
        <f t="shared" ref="M24:M26" si="29">IF(J24&gt;80,("SB"),IF(J24&gt;65,("B"),IF(J24&gt;50,("C"),IF(J24&gt;0,("K"),"0"))))</f>
        <v>0</v>
      </c>
      <c r="N24" s="1463"/>
      <c r="O24" s="1464"/>
      <c r="P24" s="1464"/>
      <c r="Q24" s="1465"/>
      <c r="R24" s="1465"/>
      <c r="S24" s="1466"/>
      <c r="T24" s="1482"/>
      <c r="U24" s="1483"/>
    </row>
    <row r="25" spans="1:21" ht="20.100000000000001" customHeight="1" x14ac:dyDescent="0.25">
      <c r="A25" s="360"/>
      <c r="B25" s="683">
        <v>5</v>
      </c>
      <c r="C25" s="1839"/>
      <c r="D25" s="1893" t="s">
        <v>18</v>
      </c>
      <c r="E25" s="627"/>
      <c r="F25" s="1905">
        <f t="shared" si="24"/>
        <v>0</v>
      </c>
      <c r="G25" s="1891"/>
      <c r="H25" s="627">
        <f>VLOOKUP(B23,REKAP_NILAI,51,FALSE)</f>
        <v>0</v>
      </c>
      <c r="I25" s="709">
        <f t="shared" si="25"/>
        <v>0</v>
      </c>
      <c r="J25" s="710">
        <f t="shared" si="26"/>
        <v>0</v>
      </c>
      <c r="K25" s="711" t="str">
        <f t="shared" si="27"/>
        <v>1.33</v>
      </c>
      <c r="L25" s="711" t="str">
        <f t="shared" si="28"/>
        <v>D+</v>
      </c>
      <c r="M25" s="712" t="str">
        <f t="shared" si="29"/>
        <v>0</v>
      </c>
      <c r="N25" s="1467"/>
      <c r="O25" s="1468"/>
      <c r="P25" s="1468"/>
      <c r="Q25" s="1469"/>
      <c r="R25" s="1469"/>
      <c r="S25" s="1470"/>
      <c r="T25" s="1484"/>
      <c r="U25" s="1485"/>
    </row>
    <row r="26" spans="1:21" ht="20.100000000000001" customHeight="1" x14ac:dyDescent="0.25">
      <c r="A26" s="697"/>
      <c r="B26" s="698"/>
      <c r="C26" s="635" t="s">
        <v>149</v>
      </c>
      <c r="D26" s="700">
        <v>5</v>
      </c>
      <c r="E26" s="697"/>
      <c r="F26" s="1906"/>
      <c r="G26" s="697"/>
      <c r="H26" s="1189">
        <f>AVERAGE(H23:H25)</f>
        <v>0</v>
      </c>
      <c r="I26" s="705"/>
      <c r="J26" s="713">
        <f>AVERAGE(J23:J25)</f>
        <v>0</v>
      </c>
      <c r="K26" s="714" t="str">
        <f t="shared" si="27"/>
        <v>1.33</v>
      </c>
      <c r="L26" s="714" t="str">
        <f t="shared" si="28"/>
        <v>D+</v>
      </c>
      <c r="M26" s="888" t="str">
        <f t="shared" si="29"/>
        <v>0</v>
      </c>
      <c r="N26" s="701"/>
      <c r="O26" s="702"/>
      <c r="P26" s="702"/>
      <c r="Q26" s="1155"/>
      <c r="R26" s="1155"/>
      <c r="S26" s="1162"/>
      <c r="T26" s="1486"/>
      <c r="U26" s="1487"/>
    </row>
    <row r="27" spans="1:21" ht="20.100000000000001" customHeight="1" thickBot="1" x14ac:dyDescent="0.3">
      <c r="A27" s="1892">
        <v>6</v>
      </c>
      <c r="B27" s="1326">
        <v>6</v>
      </c>
      <c r="C27" s="1840" t="str">
        <f>VLOOKUP(A27,data_siswa,4,FALSE)</f>
        <v>Asyam Hanif Ihsan H</v>
      </c>
      <c r="D27" s="1893" t="s">
        <v>10</v>
      </c>
      <c r="E27" s="627"/>
      <c r="F27" s="1904">
        <f>E27*2</f>
        <v>0</v>
      </c>
      <c r="G27" s="1891"/>
      <c r="H27" s="627">
        <f>VLOOKUP(B27,REKAP_NILAI,49,FALSE)</f>
        <v>0</v>
      </c>
      <c r="I27" s="706">
        <f>F27+G27+H27</f>
        <v>0</v>
      </c>
      <c r="J27" s="707">
        <f>(F27+G27+H27)/4</f>
        <v>0</v>
      </c>
      <c r="K27" s="708" t="str">
        <f>IF(J27&gt;85,("4"),IF(J27&gt;80,("3.66"),IF(J27&gt;75,("3.33"),IF(J27&gt;70,("3.00"),IF(J27&gt;65,("2.66"),IF(J27&gt;60,("2.33"),IF(J27&gt;55,("2"),IF(J27&gt;50,("1.66"),"1.33"))))))))</f>
        <v>1.33</v>
      </c>
      <c r="L27" s="708" t="str">
        <f>IF(J27&gt;85,("A"),IF(J27&gt;80,("A-"),IF(J27&gt;75,("B+"),IF(J27&gt;70,("B"),IF(J27&gt;65,("B-"),IF(J27&gt;60,("C+"),IF(J27&gt;55,("C"),IF(J27&gt;50,("C-"),"D+"))))))))</f>
        <v>D+</v>
      </c>
      <c r="M27" s="887" t="str">
        <f>IF(J27&gt;80,("SB"),IF(J27&gt;65,("B"),IF(J27&gt;50,("C"),IF(J27&gt;0,("K"),"0"))))</f>
        <v>0</v>
      </c>
      <c r="N27" s="1474"/>
      <c r="O27" s="1474"/>
      <c r="P27" s="1474"/>
      <c r="Q27" s="1475"/>
      <c r="R27" s="1476"/>
      <c r="S27" s="1476"/>
      <c r="T27" s="1057">
        <f>AVERAGE(J27:J29)</f>
        <v>0</v>
      </c>
      <c r="U27" s="1194" t="str">
        <f>IF(T27&gt;85,("A"),IF(T27&gt;80,("A-"),IF(T27&gt;75,("B+"),IF(T27&gt;70,("B"),IF(T27&gt;65,("B-"),IF(T27&gt;60,("C+"),IF(T27&gt;55,("C"),IF(T27&gt;50,("C-"),"D+"))))))))</f>
        <v>D+</v>
      </c>
    </row>
    <row r="28" spans="1:21" ht="20.100000000000001" customHeight="1" x14ac:dyDescent="0.25">
      <c r="A28" s="360"/>
      <c r="B28" s="683">
        <v>6</v>
      </c>
      <c r="C28" s="1839"/>
      <c r="D28" s="1893" t="s">
        <v>8</v>
      </c>
      <c r="E28" s="627"/>
      <c r="F28" s="1905">
        <f t="shared" ref="F28:F29" si="30">E28*2</f>
        <v>0</v>
      </c>
      <c r="G28" s="1891"/>
      <c r="H28" s="627">
        <f>VLOOKUP(B27,REKAP_NILAI,50,FALSE)</f>
        <v>0</v>
      </c>
      <c r="I28" s="709">
        <f t="shared" ref="I28:I29" si="31">F28+G28+H28</f>
        <v>0</v>
      </c>
      <c r="J28" s="710">
        <f t="shared" ref="J28:J29" si="32">(F28+G28+H28)/4</f>
        <v>0</v>
      </c>
      <c r="K28" s="711" t="str">
        <f t="shared" ref="K28:K30" si="33">IF(J28&gt;85,("4"),IF(J28&gt;80,("3.66"),IF(J28&gt;75,("3.33"),IF(J28&gt;70,("3.00"),IF(J28&gt;65,("2.66"),IF(J28&gt;60,("2.33"),IF(J28&gt;55,("2"),IF(J28&gt;50,("1.66"),"1.33"))))))))</f>
        <v>1.33</v>
      </c>
      <c r="L28" s="711" t="str">
        <f t="shared" ref="L28:L30" si="34">IF(J28&gt;85,("A"),IF(J28&gt;80,("A-"),IF(J28&gt;75,("B+"),IF(J28&gt;70,("B"),IF(J28&gt;65,("B-"),IF(J28&gt;60,("C+"),IF(J28&gt;55,("C"),IF(J28&gt;50,("C-"),"D+"))))))))</f>
        <v>D+</v>
      </c>
      <c r="M28" s="712" t="str">
        <f t="shared" ref="M28:M30" si="35">IF(J28&gt;80,("SB"),IF(J28&gt;65,("B"),IF(J28&gt;50,("C"),IF(J28&gt;0,("K"),"0"))))</f>
        <v>0</v>
      </c>
      <c r="N28" s="1463"/>
      <c r="O28" s="1464"/>
      <c r="P28" s="1464"/>
      <c r="Q28" s="1465"/>
      <c r="R28" s="1465"/>
      <c r="S28" s="1466"/>
      <c r="T28" s="1482"/>
      <c r="U28" s="1483"/>
    </row>
    <row r="29" spans="1:21" ht="20.100000000000001" customHeight="1" x14ac:dyDescent="0.25">
      <c r="A29" s="360"/>
      <c r="B29" s="683">
        <v>6</v>
      </c>
      <c r="C29" s="1839"/>
      <c r="D29" s="1893" t="s">
        <v>18</v>
      </c>
      <c r="E29" s="627"/>
      <c r="F29" s="1905">
        <f t="shared" si="30"/>
        <v>0</v>
      </c>
      <c r="G29" s="1891"/>
      <c r="H29" s="627">
        <f>VLOOKUP(B27,REKAP_NILAI,51,FALSE)</f>
        <v>0</v>
      </c>
      <c r="I29" s="709">
        <f t="shared" si="31"/>
        <v>0</v>
      </c>
      <c r="J29" s="710">
        <f t="shared" si="32"/>
        <v>0</v>
      </c>
      <c r="K29" s="711" t="str">
        <f t="shared" si="33"/>
        <v>1.33</v>
      </c>
      <c r="L29" s="711" t="str">
        <f t="shared" si="34"/>
        <v>D+</v>
      </c>
      <c r="M29" s="712" t="str">
        <f t="shared" si="35"/>
        <v>0</v>
      </c>
      <c r="N29" s="1467"/>
      <c r="O29" s="1468"/>
      <c r="P29" s="1468"/>
      <c r="Q29" s="1469"/>
      <c r="R29" s="1469"/>
      <c r="S29" s="1470"/>
      <c r="T29" s="1484"/>
      <c r="U29" s="1485"/>
    </row>
    <row r="30" spans="1:21" ht="20.100000000000001" customHeight="1" x14ac:dyDescent="0.25">
      <c r="A30" s="697"/>
      <c r="B30" s="698"/>
      <c r="C30" s="635" t="s">
        <v>149</v>
      </c>
      <c r="D30" s="700">
        <v>6</v>
      </c>
      <c r="E30" s="697"/>
      <c r="F30" s="1906"/>
      <c r="G30" s="697"/>
      <c r="H30" s="1189">
        <f>AVERAGE(H27:H29)</f>
        <v>0</v>
      </c>
      <c r="I30" s="705"/>
      <c r="J30" s="713">
        <f>AVERAGE(J27:J29)</f>
        <v>0</v>
      </c>
      <c r="K30" s="714" t="str">
        <f t="shared" si="33"/>
        <v>1.33</v>
      </c>
      <c r="L30" s="714" t="str">
        <f t="shared" si="34"/>
        <v>D+</v>
      </c>
      <c r="M30" s="888" t="str">
        <f t="shared" si="35"/>
        <v>0</v>
      </c>
      <c r="N30" s="701"/>
      <c r="O30" s="702"/>
      <c r="P30" s="702"/>
      <c r="Q30" s="1155"/>
      <c r="R30" s="1155"/>
      <c r="S30" s="1162"/>
      <c r="T30" s="1486"/>
      <c r="U30" s="1487"/>
    </row>
    <row r="31" spans="1:21" ht="20.100000000000001" customHeight="1" thickBot="1" x14ac:dyDescent="0.3">
      <c r="A31" s="1892">
        <v>7</v>
      </c>
      <c r="B31" s="1326">
        <v>7</v>
      </c>
      <c r="C31" s="1840" t="str">
        <f>VLOOKUP(A31,data_siswa,4,FALSE)</f>
        <v>Athaya Salsabilla Z</v>
      </c>
      <c r="D31" s="1893" t="s">
        <v>10</v>
      </c>
      <c r="E31" s="627"/>
      <c r="F31" s="1904">
        <f>E31*2</f>
        <v>0</v>
      </c>
      <c r="G31" s="1891"/>
      <c r="H31" s="627">
        <f>VLOOKUP(B31,REKAP_NILAI,49,FALSE)</f>
        <v>0</v>
      </c>
      <c r="I31" s="706">
        <f>F31+G31+H31</f>
        <v>0</v>
      </c>
      <c r="J31" s="707">
        <f>(F31+G31+H31)/4</f>
        <v>0</v>
      </c>
      <c r="K31" s="708" t="str">
        <f>IF(J31&gt;85,("4"),IF(J31&gt;80,("3.66"),IF(J31&gt;75,("3.33"),IF(J31&gt;70,("3.00"),IF(J31&gt;65,("2.66"),IF(J31&gt;60,("2.33"),IF(J31&gt;55,("2"),IF(J31&gt;50,("1.66"),"1.33"))))))))</f>
        <v>1.33</v>
      </c>
      <c r="L31" s="708" t="str">
        <f>IF(J31&gt;85,("A"),IF(J31&gt;80,("A-"),IF(J31&gt;75,("B+"),IF(J31&gt;70,("B"),IF(J31&gt;65,("B-"),IF(J31&gt;60,("C+"),IF(J31&gt;55,("C"),IF(J31&gt;50,("C-"),"D+"))))))))</f>
        <v>D+</v>
      </c>
      <c r="M31" s="887" t="str">
        <f>IF(J31&gt;80,("SB"),IF(J31&gt;65,("B"),IF(J31&gt;50,("C"),IF(J31&gt;0,("K"),"0"))))</f>
        <v>0</v>
      </c>
      <c r="N31" s="1474"/>
      <c r="O31" s="1474"/>
      <c r="P31" s="1474"/>
      <c r="Q31" s="1475"/>
      <c r="R31" s="1476"/>
      <c r="S31" s="1476"/>
      <c r="T31" s="1057">
        <f>AVERAGE(J31:J33)</f>
        <v>0</v>
      </c>
      <c r="U31" s="1194" t="str">
        <f>IF(T31&gt;85,("A"),IF(T31&gt;80,("A-"),IF(T31&gt;75,("B+"),IF(T31&gt;70,("B"),IF(T31&gt;65,("B-"),IF(T31&gt;60,("C+"),IF(T31&gt;55,("C"),IF(T31&gt;50,("C-"),"D+"))))))))</f>
        <v>D+</v>
      </c>
    </row>
    <row r="32" spans="1:21" ht="20.100000000000001" customHeight="1" x14ac:dyDescent="0.25">
      <c r="A32" s="360"/>
      <c r="B32" s="683">
        <v>7</v>
      </c>
      <c r="C32" s="1839"/>
      <c r="D32" s="1893" t="s">
        <v>8</v>
      </c>
      <c r="E32" s="627"/>
      <c r="F32" s="1905">
        <f t="shared" ref="F32:F33" si="36">E32*2</f>
        <v>0</v>
      </c>
      <c r="G32" s="1891"/>
      <c r="H32" s="627">
        <f>VLOOKUP(B31,REKAP_NILAI,50,FALSE)</f>
        <v>0</v>
      </c>
      <c r="I32" s="709">
        <f t="shared" ref="I32:I33" si="37">F32+G32+H32</f>
        <v>0</v>
      </c>
      <c r="J32" s="710">
        <f t="shared" ref="J32:J33" si="38">(F32+G32+H32)/4</f>
        <v>0</v>
      </c>
      <c r="K32" s="711" t="str">
        <f t="shared" ref="K32:K34" si="39">IF(J32&gt;85,("4"),IF(J32&gt;80,("3.66"),IF(J32&gt;75,("3.33"),IF(J32&gt;70,("3.00"),IF(J32&gt;65,("2.66"),IF(J32&gt;60,("2.33"),IF(J32&gt;55,("2"),IF(J32&gt;50,("1.66"),"1.33"))))))))</f>
        <v>1.33</v>
      </c>
      <c r="L32" s="711" t="str">
        <f t="shared" ref="L32:L34" si="40">IF(J32&gt;85,("A"),IF(J32&gt;80,("A-"),IF(J32&gt;75,("B+"),IF(J32&gt;70,("B"),IF(J32&gt;65,("B-"),IF(J32&gt;60,("C+"),IF(J32&gt;55,("C"),IF(J32&gt;50,("C-"),"D+"))))))))</f>
        <v>D+</v>
      </c>
      <c r="M32" s="712" t="str">
        <f t="shared" ref="M32:M34" si="41">IF(J32&gt;80,("SB"),IF(J32&gt;65,("B"),IF(J32&gt;50,("C"),IF(J32&gt;0,("K"),"0"))))</f>
        <v>0</v>
      </c>
      <c r="N32" s="1463"/>
      <c r="O32" s="1464"/>
      <c r="P32" s="1464"/>
      <c r="Q32" s="1465"/>
      <c r="R32" s="1465"/>
      <c r="S32" s="1466"/>
      <c r="T32" s="1482"/>
      <c r="U32" s="1483"/>
    </row>
    <row r="33" spans="1:21" ht="20.100000000000001" customHeight="1" x14ac:dyDescent="0.25">
      <c r="A33" s="360"/>
      <c r="B33" s="683">
        <v>7</v>
      </c>
      <c r="C33" s="1839"/>
      <c r="D33" s="1893" t="s">
        <v>18</v>
      </c>
      <c r="E33" s="627"/>
      <c r="F33" s="1905">
        <f t="shared" si="36"/>
        <v>0</v>
      </c>
      <c r="G33" s="1891"/>
      <c r="H33" s="627">
        <f>VLOOKUP(B31,REKAP_NILAI,51,FALSE)</f>
        <v>0</v>
      </c>
      <c r="I33" s="709">
        <f t="shared" si="37"/>
        <v>0</v>
      </c>
      <c r="J33" s="710">
        <f t="shared" si="38"/>
        <v>0</v>
      </c>
      <c r="K33" s="711" t="str">
        <f t="shared" si="39"/>
        <v>1.33</v>
      </c>
      <c r="L33" s="711" t="str">
        <f t="shared" si="40"/>
        <v>D+</v>
      </c>
      <c r="M33" s="712" t="str">
        <f t="shared" si="41"/>
        <v>0</v>
      </c>
      <c r="N33" s="1467"/>
      <c r="O33" s="1468"/>
      <c r="P33" s="1468"/>
      <c r="Q33" s="1469"/>
      <c r="R33" s="1469"/>
      <c r="S33" s="1470"/>
      <c r="T33" s="1484"/>
      <c r="U33" s="1485"/>
    </row>
    <row r="34" spans="1:21" ht="20.100000000000001" customHeight="1" x14ac:dyDescent="0.25">
      <c r="A34" s="697"/>
      <c r="B34" s="698"/>
      <c r="C34" s="635" t="s">
        <v>149</v>
      </c>
      <c r="D34" s="700">
        <v>7</v>
      </c>
      <c r="E34" s="697"/>
      <c r="F34" s="1906"/>
      <c r="G34" s="697"/>
      <c r="H34" s="1189">
        <f>AVERAGE(H31:H33)</f>
        <v>0</v>
      </c>
      <c r="I34" s="705"/>
      <c r="J34" s="713">
        <f>AVERAGE(J31:J33)</f>
        <v>0</v>
      </c>
      <c r="K34" s="714" t="str">
        <f t="shared" si="39"/>
        <v>1.33</v>
      </c>
      <c r="L34" s="714" t="str">
        <f t="shared" si="40"/>
        <v>D+</v>
      </c>
      <c r="M34" s="888" t="str">
        <f t="shared" si="41"/>
        <v>0</v>
      </c>
      <c r="N34" s="701"/>
      <c r="O34" s="702"/>
      <c r="P34" s="702"/>
      <c r="Q34" s="1155"/>
      <c r="R34" s="1155"/>
      <c r="S34" s="1162"/>
      <c r="T34" s="1486"/>
      <c r="U34" s="1487"/>
    </row>
    <row r="35" spans="1:21" ht="20.100000000000001" customHeight="1" thickBot="1" x14ac:dyDescent="0.3">
      <c r="A35" s="1892">
        <v>8</v>
      </c>
      <c r="B35" s="1326">
        <v>8</v>
      </c>
      <c r="C35" s="1840" t="str">
        <f>VLOOKUP(A35,data_siswa,4,FALSE)</f>
        <v>Aulia Dea Rosalinda</v>
      </c>
      <c r="D35" s="1893" t="s">
        <v>10</v>
      </c>
      <c r="E35" s="627"/>
      <c r="F35" s="1904">
        <f>E35*2</f>
        <v>0</v>
      </c>
      <c r="G35" s="1891"/>
      <c r="H35" s="627">
        <f>VLOOKUP(B35,REKAP_NILAI,49,FALSE)</f>
        <v>0</v>
      </c>
      <c r="I35" s="706">
        <f>F35+G35+H35</f>
        <v>0</v>
      </c>
      <c r="J35" s="707">
        <f>(F35+G35+H35)/4</f>
        <v>0</v>
      </c>
      <c r="K35" s="708" t="str">
        <f>IF(J35&gt;85,("4"),IF(J35&gt;80,("3.66"),IF(J35&gt;75,("3.33"),IF(J35&gt;70,("3.00"),IF(J35&gt;65,("2.66"),IF(J35&gt;60,("2.33"),IF(J35&gt;55,("2"),IF(J35&gt;50,("1.66"),"1.33"))))))))</f>
        <v>1.33</v>
      </c>
      <c r="L35" s="708" t="str">
        <f>IF(J35&gt;85,("A"),IF(J35&gt;80,("A-"),IF(J35&gt;75,("B+"),IF(J35&gt;70,("B"),IF(J35&gt;65,("B-"),IF(J35&gt;60,("C+"),IF(J35&gt;55,("C"),IF(J35&gt;50,("C-"),"D+"))))))))</f>
        <v>D+</v>
      </c>
      <c r="M35" s="887" t="str">
        <f>IF(J35&gt;80,("SB"),IF(J35&gt;65,("B"),IF(J35&gt;50,("C"),IF(J35&gt;0,("K"),"0"))))</f>
        <v>0</v>
      </c>
      <c r="N35" s="1474"/>
      <c r="O35" s="1474"/>
      <c r="P35" s="1474"/>
      <c r="Q35" s="1475"/>
      <c r="R35" s="1476"/>
      <c r="S35" s="1476"/>
      <c r="T35" s="1057">
        <f>AVERAGE(J35:J37)</f>
        <v>0</v>
      </c>
      <c r="U35" s="1194" t="str">
        <f>IF(T35&gt;85,("A"),IF(T35&gt;80,("A-"),IF(T35&gt;75,("B+"),IF(T35&gt;70,("B"),IF(T35&gt;65,("B-"),IF(T35&gt;60,("C+"),IF(T35&gt;55,("C"),IF(T35&gt;50,("C-"),"D+"))))))))</f>
        <v>D+</v>
      </c>
    </row>
    <row r="36" spans="1:21" ht="20.100000000000001" customHeight="1" x14ac:dyDescent="0.25">
      <c r="A36" s="360"/>
      <c r="B36" s="683">
        <v>8</v>
      </c>
      <c r="C36" s="1839"/>
      <c r="D36" s="1893" t="s">
        <v>8</v>
      </c>
      <c r="E36" s="627"/>
      <c r="F36" s="1905">
        <f t="shared" ref="F36:F37" si="42">E36*2</f>
        <v>0</v>
      </c>
      <c r="G36" s="1891"/>
      <c r="H36" s="627">
        <f>VLOOKUP(B35,REKAP_NILAI,50,FALSE)</f>
        <v>0</v>
      </c>
      <c r="I36" s="709">
        <f t="shared" ref="I36:I37" si="43">F36+G36+H36</f>
        <v>0</v>
      </c>
      <c r="J36" s="710">
        <f t="shared" ref="J36:J37" si="44">(F36+G36+H36)/4</f>
        <v>0</v>
      </c>
      <c r="K36" s="711" t="str">
        <f t="shared" ref="K36:K38" si="45">IF(J36&gt;85,("4"),IF(J36&gt;80,("3.66"),IF(J36&gt;75,("3.33"),IF(J36&gt;70,("3.00"),IF(J36&gt;65,("2.66"),IF(J36&gt;60,("2.33"),IF(J36&gt;55,("2"),IF(J36&gt;50,("1.66"),"1.33"))))))))</f>
        <v>1.33</v>
      </c>
      <c r="L36" s="711" t="str">
        <f t="shared" ref="L36:L38" si="46">IF(J36&gt;85,("A"),IF(J36&gt;80,("A-"),IF(J36&gt;75,("B+"),IF(J36&gt;70,("B"),IF(J36&gt;65,("B-"),IF(J36&gt;60,("C+"),IF(J36&gt;55,("C"),IF(J36&gt;50,("C-"),"D+"))))))))</f>
        <v>D+</v>
      </c>
      <c r="M36" s="712" t="str">
        <f t="shared" ref="M36:M38" si="47">IF(J36&gt;80,("SB"),IF(J36&gt;65,("B"),IF(J36&gt;50,("C"),IF(J36&gt;0,("K"),"0"))))</f>
        <v>0</v>
      </c>
      <c r="N36" s="1463"/>
      <c r="O36" s="1464"/>
      <c r="P36" s="1464"/>
      <c r="Q36" s="1465"/>
      <c r="R36" s="1465"/>
      <c r="S36" s="1466"/>
      <c r="T36" s="1482"/>
      <c r="U36" s="1483"/>
    </row>
    <row r="37" spans="1:21" ht="20.100000000000001" customHeight="1" x14ac:dyDescent="0.25">
      <c r="A37" s="360"/>
      <c r="B37" s="683">
        <v>8</v>
      </c>
      <c r="C37" s="1839"/>
      <c r="D37" s="1893" t="s">
        <v>18</v>
      </c>
      <c r="E37" s="627"/>
      <c r="F37" s="1905">
        <f t="shared" si="42"/>
        <v>0</v>
      </c>
      <c r="G37" s="1891"/>
      <c r="H37" s="627">
        <f>VLOOKUP(B35,REKAP_NILAI,51,FALSE)</f>
        <v>0</v>
      </c>
      <c r="I37" s="709">
        <f t="shared" si="43"/>
        <v>0</v>
      </c>
      <c r="J37" s="710">
        <f t="shared" si="44"/>
        <v>0</v>
      </c>
      <c r="K37" s="711" t="str">
        <f t="shared" si="45"/>
        <v>1.33</v>
      </c>
      <c r="L37" s="711" t="str">
        <f t="shared" si="46"/>
        <v>D+</v>
      </c>
      <c r="M37" s="712" t="str">
        <f t="shared" si="47"/>
        <v>0</v>
      </c>
      <c r="N37" s="1467"/>
      <c r="O37" s="1468"/>
      <c r="P37" s="1468"/>
      <c r="Q37" s="1469"/>
      <c r="R37" s="1469"/>
      <c r="S37" s="1470"/>
      <c r="T37" s="1484"/>
      <c r="U37" s="1485"/>
    </row>
    <row r="38" spans="1:21" ht="20.100000000000001" customHeight="1" x14ac:dyDescent="0.25">
      <c r="A38" s="697"/>
      <c r="B38" s="698"/>
      <c r="C38" s="635" t="s">
        <v>149</v>
      </c>
      <c r="D38" s="700">
        <v>8</v>
      </c>
      <c r="E38" s="697"/>
      <c r="F38" s="1906"/>
      <c r="G38" s="697"/>
      <c r="H38" s="1189">
        <f>AVERAGE(H35:H37)</f>
        <v>0</v>
      </c>
      <c r="I38" s="705"/>
      <c r="J38" s="713">
        <f>AVERAGE(J35:J37)</f>
        <v>0</v>
      </c>
      <c r="K38" s="714" t="str">
        <f t="shared" si="45"/>
        <v>1.33</v>
      </c>
      <c r="L38" s="714" t="str">
        <f t="shared" si="46"/>
        <v>D+</v>
      </c>
      <c r="M38" s="888" t="str">
        <f t="shared" si="47"/>
        <v>0</v>
      </c>
      <c r="N38" s="701"/>
      <c r="O38" s="702"/>
      <c r="P38" s="702"/>
      <c r="Q38" s="1155"/>
      <c r="R38" s="1155"/>
      <c r="S38" s="1162"/>
      <c r="T38" s="1486"/>
      <c r="U38" s="1487"/>
    </row>
    <row r="39" spans="1:21" ht="20.100000000000001" customHeight="1" thickBot="1" x14ac:dyDescent="0.3">
      <c r="A39" s="1892">
        <v>9</v>
      </c>
      <c r="B39" s="1326">
        <v>9</v>
      </c>
      <c r="C39" s="1840" t="str">
        <f>VLOOKUP(A39,data_siswa,4,FALSE)</f>
        <v>Claudia Gabriella L</v>
      </c>
      <c r="D39" s="1893" t="s">
        <v>10</v>
      </c>
      <c r="E39" s="627"/>
      <c r="F39" s="1904">
        <f>E39*2</f>
        <v>0</v>
      </c>
      <c r="G39" s="1891"/>
      <c r="H39" s="627">
        <f>VLOOKUP(B39,REKAP_NILAI,49,FALSE)</f>
        <v>0</v>
      </c>
      <c r="I39" s="706">
        <f>F39+G39+H39</f>
        <v>0</v>
      </c>
      <c r="J39" s="707">
        <f>(F39+G39+H39)/4</f>
        <v>0</v>
      </c>
      <c r="K39" s="708" t="str">
        <f>IF(J39&gt;85,("4"),IF(J39&gt;80,("3.66"),IF(J39&gt;75,("3.33"),IF(J39&gt;70,("3.00"),IF(J39&gt;65,("2.66"),IF(J39&gt;60,("2.33"),IF(J39&gt;55,("2"),IF(J39&gt;50,("1.66"),"1.33"))))))))</f>
        <v>1.33</v>
      </c>
      <c r="L39" s="708" t="str">
        <f>IF(J39&gt;85,("A"),IF(J39&gt;80,("A-"),IF(J39&gt;75,("B+"),IF(J39&gt;70,("B"),IF(J39&gt;65,("B-"),IF(J39&gt;60,("C+"),IF(J39&gt;55,("C"),IF(J39&gt;50,("C-"),"D+"))))))))</f>
        <v>D+</v>
      </c>
      <c r="M39" s="887" t="str">
        <f>IF(J39&gt;80,("SB"),IF(J39&gt;65,("B"),IF(J39&gt;50,("C"),IF(J39&gt;0,("K"),"0"))))</f>
        <v>0</v>
      </c>
      <c r="N39" s="1474"/>
      <c r="O39" s="1474"/>
      <c r="P39" s="1474"/>
      <c r="Q39" s="1475"/>
      <c r="R39" s="1476"/>
      <c r="S39" s="1476"/>
      <c r="T39" s="1057">
        <f>AVERAGE(J39:J41)</f>
        <v>0</v>
      </c>
      <c r="U39" s="1194" t="str">
        <f>IF(T39&gt;85,("A"),IF(T39&gt;80,("A-"),IF(T39&gt;75,("B+"),IF(T39&gt;70,("B"),IF(T39&gt;65,("B-"),IF(T39&gt;60,("C+"),IF(T39&gt;55,("C"),IF(T39&gt;50,("C-"),"D+"))))))))</f>
        <v>D+</v>
      </c>
    </row>
    <row r="40" spans="1:21" ht="20.100000000000001" customHeight="1" x14ac:dyDescent="0.25">
      <c r="A40" s="360"/>
      <c r="B40" s="683">
        <v>9</v>
      </c>
      <c r="C40" s="1839"/>
      <c r="D40" s="1893" t="s">
        <v>8</v>
      </c>
      <c r="E40" s="627"/>
      <c r="F40" s="1905">
        <f t="shared" ref="F40:F41" si="48">E40*2</f>
        <v>0</v>
      </c>
      <c r="G40" s="1891"/>
      <c r="H40" s="627">
        <f>VLOOKUP(B39,REKAP_NILAI,50,FALSE)</f>
        <v>0</v>
      </c>
      <c r="I40" s="709">
        <f t="shared" ref="I40:I41" si="49">F40+G40+H40</f>
        <v>0</v>
      </c>
      <c r="J40" s="710">
        <f t="shared" ref="J40:J41" si="50">(F40+G40+H40)/4</f>
        <v>0</v>
      </c>
      <c r="K40" s="711" t="str">
        <f t="shared" ref="K40:K42" si="51">IF(J40&gt;85,("4"),IF(J40&gt;80,("3.66"),IF(J40&gt;75,("3.33"),IF(J40&gt;70,("3.00"),IF(J40&gt;65,("2.66"),IF(J40&gt;60,("2.33"),IF(J40&gt;55,("2"),IF(J40&gt;50,("1.66"),"1.33"))))))))</f>
        <v>1.33</v>
      </c>
      <c r="L40" s="711" t="str">
        <f t="shared" ref="L40:L42" si="52">IF(J40&gt;85,("A"),IF(J40&gt;80,("A-"),IF(J40&gt;75,("B+"),IF(J40&gt;70,("B"),IF(J40&gt;65,("B-"),IF(J40&gt;60,("C+"),IF(J40&gt;55,("C"),IF(J40&gt;50,("C-"),"D+"))))))))</f>
        <v>D+</v>
      </c>
      <c r="M40" s="712" t="str">
        <f t="shared" ref="M40:M42" si="53">IF(J40&gt;80,("SB"),IF(J40&gt;65,("B"),IF(J40&gt;50,("C"),IF(J40&gt;0,("K"),"0"))))</f>
        <v>0</v>
      </c>
      <c r="N40" s="1463"/>
      <c r="O40" s="1464"/>
      <c r="P40" s="1464"/>
      <c r="Q40" s="1465"/>
      <c r="R40" s="1465"/>
      <c r="S40" s="1466"/>
      <c r="T40" s="1482"/>
      <c r="U40" s="1483"/>
    </row>
    <row r="41" spans="1:21" ht="20.100000000000001" customHeight="1" x14ac:dyDescent="0.25">
      <c r="A41" s="360"/>
      <c r="B41" s="683">
        <v>9</v>
      </c>
      <c r="C41" s="1839"/>
      <c r="D41" s="1893" t="s">
        <v>18</v>
      </c>
      <c r="E41" s="627"/>
      <c r="F41" s="1905">
        <f t="shared" si="48"/>
        <v>0</v>
      </c>
      <c r="G41" s="1891"/>
      <c r="H41" s="627">
        <f>VLOOKUP(B39,REKAP_NILAI,51,FALSE)</f>
        <v>0</v>
      </c>
      <c r="I41" s="709">
        <f t="shared" si="49"/>
        <v>0</v>
      </c>
      <c r="J41" s="710">
        <f t="shared" si="50"/>
        <v>0</v>
      </c>
      <c r="K41" s="711" t="str">
        <f t="shared" si="51"/>
        <v>1.33</v>
      </c>
      <c r="L41" s="711" t="str">
        <f t="shared" si="52"/>
        <v>D+</v>
      </c>
      <c r="M41" s="712" t="str">
        <f t="shared" si="53"/>
        <v>0</v>
      </c>
      <c r="N41" s="1467"/>
      <c r="O41" s="1468"/>
      <c r="P41" s="1468"/>
      <c r="Q41" s="1469"/>
      <c r="R41" s="1469"/>
      <c r="S41" s="1470"/>
      <c r="T41" s="1484"/>
      <c r="U41" s="1485"/>
    </row>
    <row r="42" spans="1:21" ht="20.100000000000001" customHeight="1" x14ac:dyDescent="0.25">
      <c r="A42" s="697"/>
      <c r="B42" s="1360"/>
      <c r="C42" s="635" t="s">
        <v>149</v>
      </c>
      <c r="D42" s="700">
        <v>9</v>
      </c>
      <c r="E42" s="697"/>
      <c r="F42" s="1906"/>
      <c r="G42" s="697"/>
      <c r="H42" s="1189">
        <f>AVERAGE(H39:H41)</f>
        <v>0</v>
      </c>
      <c r="I42" s="705"/>
      <c r="J42" s="713">
        <f>AVERAGE(J39:J41)</f>
        <v>0</v>
      </c>
      <c r="K42" s="714" t="str">
        <f t="shared" si="51"/>
        <v>1.33</v>
      </c>
      <c r="L42" s="714" t="str">
        <f t="shared" si="52"/>
        <v>D+</v>
      </c>
      <c r="M42" s="888" t="str">
        <f t="shared" si="53"/>
        <v>0</v>
      </c>
      <c r="N42" s="701"/>
      <c r="O42" s="702"/>
      <c r="P42" s="702"/>
      <c r="Q42" s="1155"/>
      <c r="R42" s="1155"/>
      <c r="S42" s="1162"/>
      <c r="T42" s="1486"/>
      <c r="U42" s="1487"/>
    </row>
    <row r="43" spans="1:21" ht="20.100000000000001" customHeight="1" thickBot="1" x14ac:dyDescent="0.3">
      <c r="A43" s="1477">
        <v>10</v>
      </c>
      <c r="B43" s="1326">
        <v>10</v>
      </c>
      <c r="C43" s="1563" t="str">
        <f>VLOOKUP(A43,data_siswa,4,FALSE)</f>
        <v xml:space="preserve">Deco Badarus Zaman </v>
      </c>
      <c r="D43" s="1893" t="s">
        <v>10</v>
      </c>
      <c r="E43" s="627"/>
      <c r="F43" s="1904">
        <f>E43*2</f>
        <v>0</v>
      </c>
      <c r="G43" s="1891"/>
      <c r="H43" s="627">
        <f>VLOOKUP(B43,REKAP_NILAI,49,FALSE)</f>
        <v>0</v>
      </c>
      <c r="I43" s="706">
        <f>F43+G43+H43</f>
        <v>0</v>
      </c>
      <c r="J43" s="707">
        <f>(F43+G43+H43)/4</f>
        <v>0</v>
      </c>
      <c r="K43" s="708" t="str">
        <f>IF(J43&gt;85,("4"),IF(J43&gt;80,("3.66"),IF(J43&gt;75,("3.33"),IF(J43&gt;70,("3.00"),IF(J43&gt;65,("2.66"),IF(J43&gt;60,("2.33"),IF(J43&gt;55,("2"),IF(J43&gt;50,("1.66"),"1.33"))))))))</f>
        <v>1.33</v>
      </c>
      <c r="L43" s="708" t="str">
        <f>IF(J43&gt;85,("A"),IF(J43&gt;80,("A-"),IF(J43&gt;75,("B+"),IF(J43&gt;70,("B"),IF(J43&gt;65,("B-"),IF(J43&gt;60,("C+"),IF(J43&gt;55,("C"),IF(J43&gt;50,("C-"),"D+"))))))))</f>
        <v>D+</v>
      </c>
      <c r="M43" s="887" t="str">
        <f>IF(J43&gt;80,("SB"),IF(J43&gt;65,("B"),IF(J43&gt;50,("C"),IF(J43&gt;0,("K"),"0"))))</f>
        <v>0</v>
      </c>
      <c r="N43" s="1474"/>
      <c r="O43" s="1474"/>
      <c r="P43" s="1474"/>
      <c r="Q43" s="1475"/>
      <c r="R43" s="1476"/>
      <c r="S43" s="1476"/>
      <c r="T43" s="1057">
        <f>AVERAGE(J43:J45)</f>
        <v>0</v>
      </c>
      <c r="U43" s="1194" t="str">
        <f>IF(T43&gt;85,("A"),IF(T43&gt;80,("A-"),IF(T43&gt;75,("B+"),IF(T43&gt;70,("B"),IF(T43&gt;65,("B-"),IF(T43&gt;60,("C+"),IF(T43&gt;55,("C"),IF(T43&gt;50,("C-"),"D+"))))))))</f>
        <v>D+</v>
      </c>
    </row>
    <row r="44" spans="1:21" ht="20.100000000000001" customHeight="1" x14ac:dyDescent="0.25">
      <c r="A44" s="1478"/>
      <c r="B44" s="683">
        <v>10</v>
      </c>
      <c r="C44" s="1545"/>
      <c r="D44" s="1893" t="s">
        <v>8</v>
      </c>
      <c r="E44" s="627"/>
      <c r="F44" s="1905">
        <f t="shared" ref="F44:F45" si="54">E44*2</f>
        <v>0</v>
      </c>
      <c r="G44" s="1891"/>
      <c r="H44" s="627">
        <f>VLOOKUP(B43,REKAP_NILAI,50,FALSE)</f>
        <v>0</v>
      </c>
      <c r="I44" s="709">
        <f t="shared" ref="I44:I45" si="55">F44+G44+H44</f>
        <v>0</v>
      </c>
      <c r="J44" s="710">
        <f t="shared" ref="J44:J45" si="56">(F44+G44+H44)/4</f>
        <v>0</v>
      </c>
      <c r="K44" s="711" t="str">
        <f t="shared" ref="K44:K46" si="57">IF(J44&gt;85,("4"),IF(J44&gt;80,("3.66"),IF(J44&gt;75,("3.33"),IF(J44&gt;70,("3.00"),IF(J44&gt;65,("2.66"),IF(J44&gt;60,("2.33"),IF(J44&gt;55,("2"),IF(J44&gt;50,("1.66"),"1.33"))))))))</f>
        <v>1.33</v>
      </c>
      <c r="L44" s="711" t="str">
        <f t="shared" ref="L44:L46" si="58">IF(J44&gt;85,("A"),IF(J44&gt;80,("A-"),IF(J44&gt;75,("B+"),IF(J44&gt;70,("B"),IF(J44&gt;65,("B-"),IF(J44&gt;60,("C+"),IF(J44&gt;55,("C"),IF(J44&gt;50,("C-"),"D+"))))))))</f>
        <v>D+</v>
      </c>
      <c r="M44" s="712" t="str">
        <f t="shared" ref="M44:M46" si="59">IF(J44&gt;80,("SB"),IF(J44&gt;65,("B"),IF(J44&gt;50,("C"),IF(J44&gt;0,("K"),"0"))))</f>
        <v>0</v>
      </c>
      <c r="N44" s="1463"/>
      <c r="O44" s="1464"/>
      <c r="P44" s="1464"/>
      <c r="Q44" s="1465"/>
      <c r="R44" s="1465"/>
      <c r="S44" s="1466"/>
      <c r="T44" s="1482"/>
      <c r="U44" s="1483"/>
    </row>
    <row r="45" spans="1:21" ht="20.100000000000001" customHeight="1" x14ac:dyDescent="0.25">
      <c r="A45" s="1478"/>
      <c r="B45" s="683">
        <v>10</v>
      </c>
      <c r="C45" s="1545"/>
      <c r="D45" s="1893" t="s">
        <v>18</v>
      </c>
      <c r="E45" s="627"/>
      <c r="F45" s="1905">
        <f t="shared" si="54"/>
        <v>0</v>
      </c>
      <c r="G45" s="1891"/>
      <c r="H45" s="627">
        <f>VLOOKUP(B43,REKAP_NILAI,51,FALSE)</f>
        <v>0</v>
      </c>
      <c r="I45" s="709">
        <f t="shared" si="55"/>
        <v>0</v>
      </c>
      <c r="J45" s="710">
        <f t="shared" si="56"/>
        <v>0</v>
      </c>
      <c r="K45" s="711" t="str">
        <f t="shared" si="57"/>
        <v>1.33</v>
      </c>
      <c r="L45" s="711" t="str">
        <f t="shared" si="58"/>
        <v>D+</v>
      </c>
      <c r="M45" s="712" t="str">
        <f t="shared" si="59"/>
        <v>0</v>
      </c>
      <c r="N45" s="1467"/>
      <c r="O45" s="1468"/>
      <c r="P45" s="1468"/>
      <c r="Q45" s="1469"/>
      <c r="R45" s="1469"/>
      <c r="S45" s="1470"/>
      <c r="T45" s="1484"/>
      <c r="U45" s="1485"/>
    </row>
    <row r="46" spans="1:21" ht="20.100000000000001" customHeight="1" x14ac:dyDescent="0.25">
      <c r="A46" s="697"/>
      <c r="B46" s="1479"/>
      <c r="C46" s="635" t="s">
        <v>149</v>
      </c>
      <c r="D46" s="700">
        <v>10</v>
      </c>
      <c r="E46" s="697"/>
      <c r="F46" s="1906"/>
      <c r="G46" s="697"/>
      <c r="H46" s="1189">
        <f>AVERAGE(H43:H45)</f>
        <v>0</v>
      </c>
      <c r="I46" s="705"/>
      <c r="J46" s="713">
        <f>AVERAGE(J43:J45)</f>
        <v>0</v>
      </c>
      <c r="K46" s="714" t="str">
        <f t="shared" si="57"/>
        <v>1.33</v>
      </c>
      <c r="L46" s="714" t="str">
        <f t="shared" si="58"/>
        <v>D+</v>
      </c>
      <c r="M46" s="888" t="str">
        <f t="shared" si="59"/>
        <v>0</v>
      </c>
      <c r="N46" s="701"/>
      <c r="O46" s="702"/>
      <c r="P46" s="702"/>
      <c r="Q46" s="1155"/>
      <c r="R46" s="1155"/>
      <c r="S46" s="1162"/>
      <c r="T46" s="1486"/>
      <c r="U46" s="1487"/>
    </row>
    <row r="47" spans="1:21" ht="20.100000000000001" customHeight="1" thickBot="1" x14ac:dyDescent="0.3">
      <c r="A47" s="360">
        <v>11</v>
      </c>
      <c r="B47" s="683">
        <v>11</v>
      </c>
      <c r="C47" s="1838" t="str">
        <f>VLOOKUP(A47,data_siswa,4,FALSE)</f>
        <v>Fania Mutiara Felichia</v>
      </c>
      <c r="D47" s="1893" t="s">
        <v>10</v>
      </c>
      <c r="E47" s="627"/>
      <c r="F47" s="1904">
        <f>E47*2</f>
        <v>0</v>
      </c>
      <c r="G47" s="1891"/>
      <c r="H47" s="627">
        <f>VLOOKUP(B47,REKAP_NILAI,49,FALSE)</f>
        <v>0</v>
      </c>
      <c r="I47" s="706">
        <f>F47+G47+H47</f>
        <v>0</v>
      </c>
      <c r="J47" s="707">
        <f>(F47+G47+H47)/4</f>
        <v>0</v>
      </c>
      <c r="K47" s="708" t="str">
        <f>IF(J47&gt;85,("4"),IF(J47&gt;80,("3.66"),IF(J47&gt;75,("3.33"),IF(J47&gt;70,("3.00"),IF(J47&gt;65,("2.66"),IF(J47&gt;60,("2.33"),IF(J47&gt;55,("2"),IF(J47&gt;50,("1.66"),"1.33"))))))))</f>
        <v>1.33</v>
      </c>
      <c r="L47" s="708" t="str">
        <f>IF(J47&gt;85,("A"),IF(J47&gt;80,("A-"),IF(J47&gt;75,("B+"),IF(J47&gt;70,("B"),IF(J47&gt;65,("B-"),IF(J47&gt;60,("C+"),IF(J47&gt;55,("C"),IF(J47&gt;50,("C-"),"D+"))))))))</f>
        <v>D+</v>
      </c>
      <c r="M47" s="887" t="str">
        <f>IF(J47&gt;80,("SB"),IF(J47&gt;65,("B"),IF(J47&gt;50,("C"),IF(J47&gt;0,("K"),"0"))))</f>
        <v>0</v>
      </c>
      <c r="N47" s="1471"/>
      <c r="O47" s="1471"/>
      <c r="P47" s="1471"/>
      <c r="Q47" s="1472"/>
      <c r="R47" s="1473"/>
      <c r="S47" s="1473"/>
      <c r="T47" s="1057">
        <f>AVERAGE(J47:J49)</f>
        <v>0</v>
      </c>
      <c r="U47" s="1194" t="str">
        <f>IF(T47&gt;85,("A"),IF(T47&gt;80,("A-"),IF(T47&gt;75,("B+"),IF(T47&gt;70,("B"),IF(T47&gt;65,("B-"),IF(T47&gt;60,("C+"),IF(T47&gt;55,("C"),IF(T47&gt;50,("C-"),"D+"))))))))</f>
        <v>D+</v>
      </c>
    </row>
    <row r="48" spans="1:21" ht="20.100000000000001" customHeight="1" x14ac:dyDescent="0.25">
      <c r="A48" s="360"/>
      <c r="B48" s="683">
        <v>11</v>
      </c>
      <c r="C48" s="1839"/>
      <c r="D48" s="1893" t="s">
        <v>8</v>
      </c>
      <c r="E48" s="627"/>
      <c r="F48" s="1905">
        <f t="shared" ref="F48:F49" si="60">E48*2</f>
        <v>0</v>
      </c>
      <c r="G48" s="1891"/>
      <c r="H48" s="627">
        <f>VLOOKUP(B47,REKAP_NILAI,50,FALSE)</f>
        <v>0</v>
      </c>
      <c r="I48" s="709">
        <f t="shared" ref="I48:I49" si="61">F48+G48+H48</f>
        <v>0</v>
      </c>
      <c r="J48" s="710">
        <f t="shared" ref="J48:J49" si="62">(F48+G48+H48)/4</f>
        <v>0</v>
      </c>
      <c r="K48" s="711" t="str">
        <f t="shared" ref="K48:K50" si="63">IF(J48&gt;85,("4"),IF(J48&gt;80,("3.66"),IF(J48&gt;75,("3.33"),IF(J48&gt;70,("3.00"),IF(J48&gt;65,("2.66"),IF(J48&gt;60,("2.33"),IF(J48&gt;55,("2"),IF(J48&gt;50,("1.66"),"1.33"))))))))</f>
        <v>1.33</v>
      </c>
      <c r="L48" s="711" t="str">
        <f t="shared" ref="L48:L50" si="64">IF(J48&gt;85,("A"),IF(J48&gt;80,("A-"),IF(J48&gt;75,("B+"),IF(J48&gt;70,("B"),IF(J48&gt;65,("B-"),IF(J48&gt;60,("C+"),IF(J48&gt;55,("C"),IF(J48&gt;50,("C-"),"D+"))))))))</f>
        <v>D+</v>
      </c>
      <c r="M48" s="712" t="str">
        <f t="shared" ref="M48:M50" si="65">IF(J48&gt;80,("SB"),IF(J48&gt;65,("B"),IF(J48&gt;50,("C"),IF(J48&gt;0,("K"),"0"))))</f>
        <v>0</v>
      </c>
      <c r="N48" s="1463"/>
      <c r="O48" s="1464"/>
      <c r="P48" s="1464"/>
      <c r="Q48" s="1465"/>
      <c r="R48" s="1465"/>
      <c r="S48" s="1466"/>
      <c r="T48" s="1482"/>
      <c r="U48" s="1483"/>
    </row>
    <row r="49" spans="1:21" ht="20.100000000000001" customHeight="1" x14ac:dyDescent="0.25">
      <c r="A49" s="360"/>
      <c r="B49" s="683">
        <v>11</v>
      </c>
      <c r="C49" s="1839"/>
      <c r="D49" s="1893" t="s">
        <v>18</v>
      </c>
      <c r="E49" s="627"/>
      <c r="F49" s="1905">
        <f t="shared" si="60"/>
        <v>0</v>
      </c>
      <c r="G49" s="1891"/>
      <c r="H49" s="627">
        <f>VLOOKUP(B47,REKAP_NILAI,51,FALSE)</f>
        <v>0</v>
      </c>
      <c r="I49" s="709">
        <f t="shared" si="61"/>
        <v>0</v>
      </c>
      <c r="J49" s="710">
        <f t="shared" si="62"/>
        <v>0</v>
      </c>
      <c r="K49" s="711" t="str">
        <f t="shared" si="63"/>
        <v>1.33</v>
      </c>
      <c r="L49" s="711" t="str">
        <f t="shared" si="64"/>
        <v>D+</v>
      </c>
      <c r="M49" s="712" t="str">
        <f t="shared" si="65"/>
        <v>0</v>
      </c>
      <c r="N49" s="1467"/>
      <c r="O49" s="1468"/>
      <c r="P49" s="1468"/>
      <c r="Q49" s="1469"/>
      <c r="R49" s="1469"/>
      <c r="S49" s="1470"/>
      <c r="T49" s="1484"/>
      <c r="U49" s="1485"/>
    </row>
    <row r="50" spans="1:21" ht="20.100000000000001" customHeight="1" x14ac:dyDescent="0.25">
      <c r="A50" s="697"/>
      <c r="B50" s="698"/>
      <c r="C50" s="635" t="s">
        <v>149</v>
      </c>
      <c r="D50" s="700">
        <v>11</v>
      </c>
      <c r="E50" s="697"/>
      <c r="F50" s="1906"/>
      <c r="G50" s="697"/>
      <c r="H50" s="1189">
        <f>AVERAGE(H47:H49)</f>
        <v>0</v>
      </c>
      <c r="I50" s="705"/>
      <c r="J50" s="713">
        <f>AVERAGE(J47:J49)</f>
        <v>0</v>
      </c>
      <c r="K50" s="714" t="str">
        <f t="shared" si="63"/>
        <v>1.33</v>
      </c>
      <c r="L50" s="714" t="str">
        <f t="shared" si="64"/>
        <v>D+</v>
      </c>
      <c r="M50" s="888" t="str">
        <f t="shared" si="65"/>
        <v>0</v>
      </c>
      <c r="N50" s="701"/>
      <c r="O50" s="702"/>
      <c r="P50" s="702"/>
      <c r="Q50" s="1155"/>
      <c r="R50" s="1155"/>
      <c r="S50" s="1162"/>
      <c r="T50" s="1486"/>
      <c r="U50" s="1487"/>
    </row>
    <row r="51" spans="1:21" ht="20.100000000000001" customHeight="1" thickBot="1" x14ac:dyDescent="0.3">
      <c r="A51" s="360">
        <v>12</v>
      </c>
      <c r="B51" s="683">
        <v>12</v>
      </c>
      <c r="C51" s="1838" t="str">
        <f>VLOOKUP(A51,data_siswa,4,FALSE)</f>
        <v>Intan Dyah Nowari</v>
      </c>
      <c r="D51" s="1893" t="s">
        <v>10</v>
      </c>
      <c r="E51" s="627"/>
      <c r="F51" s="1904">
        <f>E51*2</f>
        <v>0</v>
      </c>
      <c r="G51" s="1891"/>
      <c r="H51" s="627">
        <f>VLOOKUP(B51,REKAP_NILAI,49,FALSE)</f>
        <v>0</v>
      </c>
      <c r="I51" s="706">
        <f>F51+G51+H51</f>
        <v>0</v>
      </c>
      <c r="J51" s="707">
        <f>(F51+G51+H51)/4</f>
        <v>0</v>
      </c>
      <c r="K51" s="708" t="str">
        <f>IF(J51&gt;85,("4"),IF(J51&gt;80,("3.66"),IF(J51&gt;75,("3.33"),IF(J51&gt;70,("3.00"),IF(J51&gt;65,("2.66"),IF(J51&gt;60,("2.33"),IF(J51&gt;55,("2"),IF(J51&gt;50,("1.66"),"1.33"))))))))</f>
        <v>1.33</v>
      </c>
      <c r="L51" s="708" t="str">
        <f>IF(J51&gt;85,("A"),IF(J51&gt;80,("A-"),IF(J51&gt;75,("B+"),IF(J51&gt;70,("B"),IF(J51&gt;65,("B-"),IF(J51&gt;60,("C+"),IF(J51&gt;55,("C"),IF(J51&gt;50,("C-"),"D+"))))))))</f>
        <v>D+</v>
      </c>
      <c r="M51" s="887" t="str">
        <f>IF(J51&gt;80,("SB"),IF(J51&gt;65,("B"),IF(J51&gt;50,("C"),IF(J51&gt;0,("K"),"0"))))</f>
        <v>0</v>
      </c>
      <c r="N51" s="1471"/>
      <c r="O51" s="1471"/>
      <c r="P51" s="1471"/>
      <c r="Q51" s="1472"/>
      <c r="R51" s="1473"/>
      <c r="S51" s="1473"/>
      <c r="T51" s="1057">
        <f>AVERAGE(J51:J53)</f>
        <v>0</v>
      </c>
      <c r="U51" s="1194" t="str">
        <f>IF(T51&gt;85,("A"),IF(T51&gt;80,("A-"),IF(T51&gt;75,("B+"),IF(T51&gt;70,("B"),IF(T51&gt;65,("B-"),IF(T51&gt;60,("C+"),IF(T51&gt;55,("C"),IF(T51&gt;50,("C-"),"D+"))))))))</f>
        <v>D+</v>
      </c>
    </row>
    <row r="52" spans="1:21" ht="20.100000000000001" customHeight="1" x14ac:dyDescent="0.25">
      <c r="A52" s="360"/>
      <c r="B52" s="683">
        <v>12</v>
      </c>
      <c r="C52" s="1839"/>
      <c r="D52" s="1893" t="s">
        <v>8</v>
      </c>
      <c r="E52" s="627"/>
      <c r="F52" s="1905">
        <f t="shared" ref="F52:F53" si="66">E52*2</f>
        <v>0</v>
      </c>
      <c r="G52" s="1891"/>
      <c r="H52" s="627">
        <f>VLOOKUP(B51,REKAP_NILAI,50,FALSE)</f>
        <v>0</v>
      </c>
      <c r="I52" s="709">
        <f t="shared" ref="I52:I53" si="67">F52+G52+H52</f>
        <v>0</v>
      </c>
      <c r="J52" s="710">
        <f t="shared" ref="J52:J53" si="68">(F52+G52+H52)/4</f>
        <v>0</v>
      </c>
      <c r="K52" s="711" t="str">
        <f t="shared" ref="K52:K54" si="69">IF(J52&gt;85,("4"),IF(J52&gt;80,("3.66"),IF(J52&gt;75,("3.33"),IF(J52&gt;70,("3.00"),IF(J52&gt;65,("2.66"),IF(J52&gt;60,("2.33"),IF(J52&gt;55,("2"),IF(J52&gt;50,("1.66"),"1.33"))))))))</f>
        <v>1.33</v>
      </c>
      <c r="L52" s="711" t="str">
        <f t="shared" ref="L52:L54" si="70">IF(J52&gt;85,("A"),IF(J52&gt;80,("A-"),IF(J52&gt;75,("B+"),IF(J52&gt;70,("B"),IF(J52&gt;65,("B-"),IF(J52&gt;60,("C+"),IF(J52&gt;55,("C"),IF(J52&gt;50,("C-"),"D+"))))))))</f>
        <v>D+</v>
      </c>
      <c r="M52" s="712" t="str">
        <f t="shared" ref="M52:M54" si="71">IF(J52&gt;80,("SB"),IF(J52&gt;65,("B"),IF(J52&gt;50,("C"),IF(J52&gt;0,("K"),"0"))))</f>
        <v>0</v>
      </c>
      <c r="N52" s="1463"/>
      <c r="O52" s="1464"/>
      <c r="P52" s="1464"/>
      <c r="Q52" s="1465"/>
      <c r="R52" s="1465"/>
      <c r="S52" s="1466"/>
      <c r="T52" s="1482"/>
      <c r="U52" s="1483"/>
    </row>
    <row r="53" spans="1:21" ht="20.100000000000001" customHeight="1" x14ac:dyDescent="0.25">
      <c r="A53" s="360"/>
      <c r="B53" s="683">
        <v>12</v>
      </c>
      <c r="C53" s="1839"/>
      <c r="D53" s="1893" t="s">
        <v>18</v>
      </c>
      <c r="E53" s="627"/>
      <c r="F53" s="1905">
        <f t="shared" si="66"/>
        <v>0</v>
      </c>
      <c r="G53" s="1891"/>
      <c r="H53" s="627">
        <f>VLOOKUP(B51,REKAP_NILAI,51,FALSE)</f>
        <v>0</v>
      </c>
      <c r="I53" s="709">
        <f t="shared" si="67"/>
        <v>0</v>
      </c>
      <c r="J53" s="710">
        <f t="shared" si="68"/>
        <v>0</v>
      </c>
      <c r="K53" s="711" t="str">
        <f t="shared" si="69"/>
        <v>1.33</v>
      </c>
      <c r="L53" s="711" t="str">
        <f t="shared" si="70"/>
        <v>D+</v>
      </c>
      <c r="M53" s="712" t="str">
        <f t="shared" si="71"/>
        <v>0</v>
      </c>
      <c r="N53" s="1467"/>
      <c r="O53" s="1468"/>
      <c r="P53" s="1468"/>
      <c r="Q53" s="1469"/>
      <c r="R53" s="1469"/>
      <c r="S53" s="1470"/>
      <c r="T53" s="1484"/>
      <c r="U53" s="1485"/>
    </row>
    <row r="54" spans="1:21" ht="20.100000000000001" customHeight="1" x14ac:dyDescent="0.25">
      <c r="A54" s="697"/>
      <c r="B54" s="698"/>
      <c r="C54" s="635" t="s">
        <v>149</v>
      </c>
      <c r="D54" s="700">
        <v>12</v>
      </c>
      <c r="E54" s="697"/>
      <c r="F54" s="1906"/>
      <c r="G54" s="697"/>
      <c r="H54" s="1189">
        <f>AVERAGE(H51:H53)</f>
        <v>0</v>
      </c>
      <c r="I54" s="705"/>
      <c r="J54" s="713">
        <f>AVERAGE(J51:J53)</f>
        <v>0</v>
      </c>
      <c r="K54" s="714" t="str">
        <f t="shared" si="69"/>
        <v>1.33</v>
      </c>
      <c r="L54" s="714" t="str">
        <f t="shared" si="70"/>
        <v>D+</v>
      </c>
      <c r="M54" s="888" t="str">
        <f t="shared" si="71"/>
        <v>0</v>
      </c>
      <c r="N54" s="701"/>
      <c r="O54" s="702"/>
      <c r="P54" s="702"/>
      <c r="Q54" s="1155"/>
      <c r="R54" s="1155"/>
      <c r="S54" s="1162"/>
      <c r="T54" s="1486"/>
      <c r="U54" s="1487"/>
    </row>
    <row r="55" spans="1:21" ht="20.100000000000001" customHeight="1" thickBot="1" x14ac:dyDescent="0.3">
      <c r="A55" s="360">
        <v>13</v>
      </c>
      <c r="B55" s="683">
        <v>13</v>
      </c>
      <c r="C55" s="1838" t="str">
        <f>VLOOKUP(A55,data_siswa,4,FALSE)</f>
        <v>Misyanita Nurfitri S</v>
      </c>
      <c r="D55" s="1893" t="s">
        <v>10</v>
      </c>
      <c r="E55" s="627"/>
      <c r="F55" s="1904">
        <f>E55*2</f>
        <v>0</v>
      </c>
      <c r="G55" s="1891"/>
      <c r="H55" s="627">
        <f>VLOOKUP(B55,REKAP_NILAI,49,FALSE)</f>
        <v>0</v>
      </c>
      <c r="I55" s="706">
        <f>F55+G55+H55</f>
        <v>0</v>
      </c>
      <c r="J55" s="707">
        <f>(F55+G55+H55)/4</f>
        <v>0</v>
      </c>
      <c r="K55" s="708" t="str">
        <f>IF(J55&gt;85,("4"),IF(J55&gt;80,("3.66"),IF(J55&gt;75,("3.33"),IF(J55&gt;70,("3.00"),IF(J55&gt;65,("2.66"),IF(J55&gt;60,("2.33"),IF(J55&gt;55,("2"),IF(J55&gt;50,("1.66"),"1.33"))))))))</f>
        <v>1.33</v>
      </c>
      <c r="L55" s="708" t="str">
        <f>IF(J55&gt;85,("A"),IF(J55&gt;80,("A-"),IF(J55&gt;75,("B+"),IF(J55&gt;70,("B"),IF(J55&gt;65,("B-"),IF(J55&gt;60,("C+"),IF(J55&gt;55,("C"),IF(J55&gt;50,("C-"),"D+"))))))))</f>
        <v>D+</v>
      </c>
      <c r="M55" s="887" t="str">
        <f>IF(J55&gt;80,("SB"),IF(J55&gt;65,("B"),IF(J55&gt;50,("C"),IF(J55&gt;0,("K"),"0"))))</f>
        <v>0</v>
      </c>
      <c r="N55" s="1471"/>
      <c r="O55" s="1471"/>
      <c r="P55" s="1471"/>
      <c r="Q55" s="1472"/>
      <c r="R55" s="1473"/>
      <c r="S55" s="1473"/>
      <c r="T55" s="1057">
        <f>AVERAGE(J55:J57)</f>
        <v>0</v>
      </c>
      <c r="U55" s="1194" t="str">
        <f>IF(T55&gt;85,("A"),IF(T55&gt;80,("A-"),IF(T55&gt;75,("B+"),IF(T55&gt;70,("B"),IF(T55&gt;65,("B-"),IF(T55&gt;60,("C+"),IF(T55&gt;55,("C"),IF(T55&gt;50,("C-"),"D+"))))))))</f>
        <v>D+</v>
      </c>
    </row>
    <row r="56" spans="1:21" ht="20.100000000000001" customHeight="1" x14ac:dyDescent="0.25">
      <c r="A56" s="360"/>
      <c r="B56" s="683">
        <v>13</v>
      </c>
      <c r="C56" s="1839"/>
      <c r="D56" s="1893" t="s">
        <v>8</v>
      </c>
      <c r="E56" s="627"/>
      <c r="F56" s="1905">
        <f t="shared" ref="F56:F57" si="72">E56*2</f>
        <v>0</v>
      </c>
      <c r="G56" s="1891"/>
      <c r="H56" s="627">
        <f>VLOOKUP(B55,REKAP_NILAI,50,FALSE)</f>
        <v>0</v>
      </c>
      <c r="I56" s="709">
        <f t="shared" ref="I56:I57" si="73">F56+G56+H56</f>
        <v>0</v>
      </c>
      <c r="J56" s="710">
        <f t="shared" ref="J56:J57" si="74">(F56+G56+H56)/4</f>
        <v>0</v>
      </c>
      <c r="K56" s="711" t="str">
        <f t="shared" ref="K56:K58" si="75">IF(J56&gt;85,("4"),IF(J56&gt;80,("3.66"),IF(J56&gt;75,("3.33"),IF(J56&gt;70,("3.00"),IF(J56&gt;65,("2.66"),IF(J56&gt;60,("2.33"),IF(J56&gt;55,("2"),IF(J56&gt;50,("1.66"),"1.33"))))))))</f>
        <v>1.33</v>
      </c>
      <c r="L56" s="711" t="str">
        <f t="shared" ref="L56:L58" si="76">IF(J56&gt;85,("A"),IF(J56&gt;80,("A-"),IF(J56&gt;75,("B+"),IF(J56&gt;70,("B"),IF(J56&gt;65,("B-"),IF(J56&gt;60,("C+"),IF(J56&gt;55,("C"),IF(J56&gt;50,("C-"),"D+"))))))))</f>
        <v>D+</v>
      </c>
      <c r="M56" s="712" t="str">
        <f t="shared" ref="M56:M58" si="77">IF(J56&gt;80,("SB"),IF(J56&gt;65,("B"),IF(J56&gt;50,("C"),IF(J56&gt;0,("K"),"0"))))</f>
        <v>0</v>
      </c>
      <c r="N56" s="1463"/>
      <c r="O56" s="1464"/>
      <c r="P56" s="1464"/>
      <c r="Q56" s="1465"/>
      <c r="R56" s="1465"/>
      <c r="S56" s="1466"/>
      <c r="T56" s="1482"/>
      <c r="U56" s="1483"/>
    </row>
    <row r="57" spans="1:21" ht="20.100000000000001" customHeight="1" x14ac:dyDescent="0.25">
      <c r="A57" s="360"/>
      <c r="B57" s="683">
        <v>13</v>
      </c>
      <c r="C57" s="1839"/>
      <c r="D57" s="1893" t="s">
        <v>18</v>
      </c>
      <c r="E57" s="627"/>
      <c r="F57" s="1905">
        <f t="shared" si="72"/>
        <v>0</v>
      </c>
      <c r="G57" s="1891"/>
      <c r="H57" s="627">
        <f>VLOOKUP(B55,REKAP_NILAI,51,FALSE)</f>
        <v>0</v>
      </c>
      <c r="I57" s="709">
        <f t="shared" si="73"/>
        <v>0</v>
      </c>
      <c r="J57" s="710">
        <f t="shared" si="74"/>
        <v>0</v>
      </c>
      <c r="K57" s="711" t="str">
        <f t="shared" si="75"/>
        <v>1.33</v>
      </c>
      <c r="L57" s="711" t="str">
        <f t="shared" si="76"/>
        <v>D+</v>
      </c>
      <c r="M57" s="712" t="str">
        <f t="shared" si="77"/>
        <v>0</v>
      </c>
      <c r="N57" s="1467"/>
      <c r="O57" s="1468"/>
      <c r="P57" s="1468"/>
      <c r="Q57" s="1469"/>
      <c r="R57" s="1469"/>
      <c r="S57" s="1470"/>
      <c r="T57" s="1484"/>
      <c r="U57" s="1485"/>
    </row>
    <row r="58" spans="1:21" ht="20.100000000000001" customHeight="1" x14ac:dyDescent="0.25">
      <c r="A58" s="697"/>
      <c r="B58" s="698"/>
      <c r="C58" s="635" t="s">
        <v>149</v>
      </c>
      <c r="D58" s="700">
        <v>13</v>
      </c>
      <c r="E58" s="697"/>
      <c r="F58" s="1906"/>
      <c r="G58" s="697"/>
      <c r="H58" s="1189">
        <f>AVERAGE(H55:H57)</f>
        <v>0</v>
      </c>
      <c r="I58" s="705"/>
      <c r="J58" s="713">
        <f>AVERAGE(J55:J57)</f>
        <v>0</v>
      </c>
      <c r="K58" s="714" t="str">
        <f t="shared" si="75"/>
        <v>1.33</v>
      </c>
      <c r="L58" s="714" t="str">
        <f t="shared" si="76"/>
        <v>D+</v>
      </c>
      <c r="M58" s="888" t="str">
        <f t="shared" si="77"/>
        <v>0</v>
      </c>
      <c r="N58" s="701"/>
      <c r="O58" s="702"/>
      <c r="P58" s="702"/>
      <c r="Q58" s="1155"/>
      <c r="R58" s="1155"/>
      <c r="S58" s="1162"/>
      <c r="T58" s="1486"/>
      <c r="U58" s="1487"/>
    </row>
    <row r="59" spans="1:21" ht="20.100000000000001" customHeight="1" thickBot="1" x14ac:dyDescent="0.3">
      <c r="A59" s="360">
        <v>14</v>
      </c>
      <c r="B59" s="683">
        <v>14</v>
      </c>
      <c r="C59" s="1838" t="str">
        <f>VLOOKUP(A59,data_siswa,4,FALSE)</f>
        <v>Moch Zidane Hita L. U</v>
      </c>
      <c r="D59" s="1893" t="s">
        <v>10</v>
      </c>
      <c r="E59" s="627"/>
      <c r="F59" s="1904">
        <f>E59*2</f>
        <v>0</v>
      </c>
      <c r="G59" s="1891"/>
      <c r="H59" s="627">
        <f>VLOOKUP(B59,REKAP_NILAI,49,FALSE)</f>
        <v>0</v>
      </c>
      <c r="I59" s="706">
        <f>F59+G59+H59</f>
        <v>0</v>
      </c>
      <c r="J59" s="707">
        <f>(F59+G59+H59)/4</f>
        <v>0</v>
      </c>
      <c r="K59" s="708" t="str">
        <f>IF(J59&gt;85,("4"),IF(J59&gt;80,("3.66"),IF(J59&gt;75,("3.33"),IF(J59&gt;70,("3.00"),IF(J59&gt;65,("2.66"),IF(J59&gt;60,("2.33"),IF(J59&gt;55,("2"),IF(J59&gt;50,("1.66"),"1.33"))))))))</f>
        <v>1.33</v>
      </c>
      <c r="L59" s="708" t="str">
        <f>IF(J59&gt;85,("A"),IF(J59&gt;80,("A-"),IF(J59&gt;75,("B+"),IF(J59&gt;70,("B"),IF(J59&gt;65,("B-"),IF(J59&gt;60,("C+"),IF(J59&gt;55,("C"),IF(J59&gt;50,("C-"),"D+"))))))))</f>
        <v>D+</v>
      </c>
      <c r="M59" s="887" t="str">
        <f>IF(J59&gt;80,("SB"),IF(J59&gt;65,("B"),IF(J59&gt;50,("C"),IF(J59&gt;0,("K"),"0"))))</f>
        <v>0</v>
      </c>
      <c r="N59" s="1471"/>
      <c r="O59" s="1471"/>
      <c r="P59" s="1471"/>
      <c r="Q59" s="1472"/>
      <c r="R59" s="1473"/>
      <c r="S59" s="1473"/>
      <c r="T59" s="1057">
        <f>AVERAGE(J59:J61)</f>
        <v>0</v>
      </c>
      <c r="U59" s="1194" t="str">
        <f>IF(T59&gt;85,("A"),IF(T59&gt;80,("A-"),IF(T59&gt;75,("B+"),IF(T59&gt;70,("B"),IF(T59&gt;65,("B-"),IF(T59&gt;60,("C+"),IF(T59&gt;55,("C"),IF(T59&gt;50,("C-"),"D+"))))))))</f>
        <v>D+</v>
      </c>
    </row>
    <row r="60" spans="1:21" ht="20.100000000000001" customHeight="1" x14ac:dyDescent="0.25">
      <c r="A60" s="360"/>
      <c r="B60" s="683">
        <v>14</v>
      </c>
      <c r="C60" s="1839"/>
      <c r="D60" s="1893" t="s">
        <v>8</v>
      </c>
      <c r="E60" s="627"/>
      <c r="F60" s="1905">
        <f t="shared" ref="F60:F61" si="78">E60*2</f>
        <v>0</v>
      </c>
      <c r="G60" s="1891"/>
      <c r="H60" s="627">
        <f>VLOOKUP(B59,REKAP_NILAI,50,FALSE)</f>
        <v>0</v>
      </c>
      <c r="I60" s="709">
        <f t="shared" ref="I60:I61" si="79">F60+G60+H60</f>
        <v>0</v>
      </c>
      <c r="J60" s="710">
        <f t="shared" ref="J60:J61" si="80">(F60+G60+H60)/4</f>
        <v>0</v>
      </c>
      <c r="K60" s="711" t="str">
        <f t="shared" ref="K60:K62" si="81">IF(J60&gt;85,("4"),IF(J60&gt;80,("3.66"),IF(J60&gt;75,("3.33"),IF(J60&gt;70,("3.00"),IF(J60&gt;65,("2.66"),IF(J60&gt;60,("2.33"),IF(J60&gt;55,("2"),IF(J60&gt;50,("1.66"),"1.33"))))))))</f>
        <v>1.33</v>
      </c>
      <c r="L60" s="711" t="str">
        <f t="shared" ref="L60:L62" si="82">IF(J60&gt;85,("A"),IF(J60&gt;80,("A-"),IF(J60&gt;75,("B+"),IF(J60&gt;70,("B"),IF(J60&gt;65,("B-"),IF(J60&gt;60,("C+"),IF(J60&gt;55,("C"),IF(J60&gt;50,("C-"),"D+"))))))))</f>
        <v>D+</v>
      </c>
      <c r="M60" s="712" t="str">
        <f t="shared" ref="M60:M62" si="83">IF(J60&gt;80,("SB"),IF(J60&gt;65,("B"),IF(J60&gt;50,("C"),IF(J60&gt;0,("K"),"0"))))</f>
        <v>0</v>
      </c>
      <c r="N60" s="1463"/>
      <c r="O60" s="1464"/>
      <c r="P60" s="1464"/>
      <c r="Q60" s="1465"/>
      <c r="R60" s="1465"/>
      <c r="S60" s="1466"/>
      <c r="T60" s="1482"/>
      <c r="U60" s="1483"/>
    </row>
    <row r="61" spans="1:21" ht="20.100000000000001" customHeight="1" x14ac:dyDescent="0.25">
      <c r="A61" s="360"/>
      <c r="B61" s="683">
        <v>14</v>
      </c>
      <c r="C61" s="1839"/>
      <c r="D61" s="1893" t="s">
        <v>18</v>
      </c>
      <c r="E61" s="627"/>
      <c r="F61" s="1905">
        <f t="shared" si="78"/>
        <v>0</v>
      </c>
      <c r="G61" s="1891"/>
      <c r="H61" s="627">
        <f>VLOOKUP(B59,REKAP_NILAI,51,FALSE)</f>
        <v>0</v>
      </c>
      <c r="I61" s="709">
        <f t="shared" si="79"/>
        <v>0</v>
      </c>
      <c r="J61" s="710">
        <f t="shared" si="80"/>
        <v>0</v>
      </c>
      <c r="K61" s="711" t="str">
        <f t="shared" si="81"/>
        <v>1.33</v>
      </c>
      <c r="L61" s="711" t="str">
        <f t="shared" si="82"/>
        <v>D+</v>
      </c>
      <c r="M61" s="712" t="str">
        <f t="shared" si="83"/>
        <v>0</v>
      </c>
      <c r="N61" s="1467"/>
      <c r="O61" s="1468"/>
      <c r="P61" s="1468"/>
      <c r="Q61" s="1469"/>
      <c r="R61" s="1469"/>
      <c r="S61" s="1470"/>
      <c r="T61" s="1484"/>
      <c r="U61" s="1485"/>
    </row>
    <row r="62" spans="1:21" ht="20.100000000000001" customHeight="1" x14ac:dyDescent="0.25">
      <c r="A62" s="697"/>
      <c r="B62" s="698"/>
      <c r="C62" s="635" t="s">
        <v>149</v>
      </c>
      <c r="D62" s="700">
        <v>14</v>
      </c>
      <c r="E62" s="697"/>
      <c r="F62" s="1906"/>
      <c r="G62" s="697"/>
      <c r="H62" s="1189">
        <f>AVERAGE(H59:H61)</f>
        <v>0</v>
      </c>
      <c r="I62" s="705"/>
      <c r="J62" s="713">
        <f>AVERAGE(J59:J61)</f>
        <v>0</v>
      </c>
      <c r="K62" s="714" t="str">
        <f t="shared" si="81"/>
        <v>1.33</v>
      </c>
      <c r="L62" s="714" t="str">
        <f t="shared" si="82"/>
        <v>D+</v>
      </c>
      <c r="M62" s="888" t="str">
        <f t="shared" si="83"/>
        <v>0</v>
      </c>
      <c r="N62" s="701"/>
      <c r="O62" s="702"/>
      <c r="P62" s="702"/>
      <c r="Q62" s="1155"/>
      <c r="R62" s="1155"/>
      <c r="S62" s="1162"/>
      <c r="T62" s="1486"/>
      <c r="U62" s="1487"/>
    </row>
    <row r="63" spans="1:21" ht="20.100000000000001" customHeight="1" thickBot="1" x14ac:dyDescent="0.3">
      <c r="A63" s="360">
        <v>15</v>
      </c>
      <c r="B63" s="683">
        <v>15</v>
      </c>
      <c r="C63" s="1838" t="str">
        <f>VLOOKUP(A63,data_siswa,4,FALSE)</f>
        <v>Muhammad Ibra Maulana</v>
      </c>
      <c r="D63" s="1893" t="s">
        <v>10</v>
      </c>
      <c r="E63" s="627"/>
      <c r="F63" s="1904">
        <f>E63*2</f>
        <v>0</v>
      </c>
      <c r="G63" s="1891"/>
      <c r="H63" s="627">
        <f>VLOOKUP(B63,REKAP_NILAI,49,FALSE)</f>
        <v>0</v>
      </c>
      <c r="I63" s="706">
        <f>F63+G63+H63</f>
        <v>0</v>
      </c>
      <c r="J63" s="707">
        <f>(F63+G63+H63)/4</f>
        <v>0</v>
      </c>
      <c r="K63" s="708" t="str">
        <f>IF(J63&gt;85,("4"),IF(J63&gt;80,("3.66"),IF(J63&gt;75,("3.33"),IF(J63&gt;70,("3.00"),IF(J63&gt;65,("2.66"),IF(J63&gt;60,("2.33"),IF(J63&gt;55,("2"),IF(J63&gt;50,("1.66"),"1.33"))))))))</f>
        <v>1.33</v>
      </c>
      <c r="L63" s="708" t="str">
        <f>IF(J63&gt;85,("A"),IF(J63&gt;80,("A-"),IF(J63&gt;75,("B+"),IF(J63&gt;70,("B"),IF(J63&gt;65,("B-"),IF(J63&gt;60,("C+"),IF(J63&gt;55,("C"),IF(J63&gt;50,("C-"),"D+"))))))))</f>
        <v>D+</v>
      </c>
      <c r="M63" s="887" t="str">
        <f>IF(J63&gt;80,("SB"),IF(J63&gt;65,("B"),IF(J63&gt;50,("C"),IF(J63&gt;0,("K"),"0"))))</f>
        <v>0</v>
      </c>
      <c r="N63" s="1471"/>
      <c r="O63" s="1471"/>
      <c r="P63" s="1471"/>
      <c r="Q63" s="1472"/>
      <c r="R63" s="1473"/>
      <c r="S63" s="1473"/>
      <c r="T63" s="1057">
        <f>AVERAGE(J63:J65)</f>
        <v>0</v>
      </c>
      <c r="U63" s="1194" t="str">
        <f>IF(T63&gt;85,("A"),IF(T63&gt;80,("A-"),IF(T63&gt;75,("B+"),IF(T63&gt;70,("B"),IF(T63&gt;65,("B-"),IF(T63&gt;60,("C+"),IF(T63&gt;55,("C"),IF(T63&gt;50,("C-"),"D+"))))))))</f>
        <v>D+</v>
      </c>
    </row>
    <row r="64" spans="1:21" ht="20.100000000000001" customHeight="1" x14ac:dyDescent="0.25">
      <c r="A64" s="360"/>
      <c r="B64" s="683">
        <v>15</v>
      </c>
      <c r="C64" s="1839"/>
      <c r="D64" s="1893" t="s">
        <v>8</v>
      </c>
      <c r="E64" s="627"/>
      <c r="F64" s="1905">
        <f t="shared" ref="F64:F65" si="84">E64*2</f>
        <v>0</v>
      </c>
      <c r="G64" s="1891"/>
      <c r="H64" s="627">
        <f>VLOOKUP(B63,REKAP_NILAI,50,FALSE)</f>
        <v>0</v>
      </c>
      <c r="I64" s="709">
        <f t="shared" ref="I64:I65" si="85">F64+G64+H64</f>
        <v>0</v>
      </c>
      <c r="J64" s="710">
        <f t="shared" ref="J64:J65" si="86">(F64+G64+H64)/4</f>
        <v>0</v>
      </c>
      <c r="K64" s="711" t="str">
        <f t="shared" ref="K64:K66" si="87">IF(J64&gt;85,("4"),IF(J64&gt;80,("3.66"),IF(J64&gt;75,("3.33"),IF(J64&gt;70,("3.00"),IF(J64&gt;65,("2.66"),IF(J64&gt;60,("2.33"),IF(J64&gt;55,("2"),IF(J64&gt;50,("1.66"),"1.33"))))))))</f>
        <v>1.33</v>
      </c>
      <c r="L64" s="711" t="str">
        <f t="shared" ref="L64:L66" si="88">IF(J64&gt;85,("A"),IF(J64&gt;80,("A-"),IF(J64&gt;75,("B+"),IF(J64&gt;70,("B"),IF(J64&gt;65,("B-"),IF(J64&gt;60,("C+"),IF(J64&gt;55,("C"),IF(J64&gt;50,("C-"),"D+"))))))))</f>
        <v>D+</v>
      </c>
      <c r="M64" s="712" t="str">
        <f t="shared" ref="M64:M66" si="89">IF(J64&gt;80,("SB"),IF(J64&gt;65,("B"),IF(J64&gt;50,("C"),IF(J64&gt;0,("K"),"0"))))</f>
        <v>0</v>
      </c>
      <c r="N64" s="1463"/>
      <c r="O64" s="1464"/>
      <c r="P64" s="1464"/>
      <c r="Q64" s="1465"/>
      <c r="R64" s="1465"/>
      <c r="S64" s="1466"/>
      <c r="T64" s="1482"/>
      <c r="U64" s="1483"/>
    </row>
    <row r="65" spans="1:21" ht="20.100000000000001" customHeight="1" x14ac:dyDescent="0.25">
      <c r="A65" s="360"/>
      <c r="B65" s="683">
        <v>15</v>
      </c>
      <c r="C65" s="1839"/>
      <c r="D65" s="1893" t="s">
        <v>18</v>
      </c>
      <c r="E65" s="627"/>
      <c r="F65" s="1905">
        <f t="shared" si="84"/>
        <v>0</v>
      </c>
      <c r="G65" s="1891"/>
      <c r="H65" s="627">
        <f>VLOOKUP(B63,REKAP_NILAI,51,FALSE)</f>
        <v>0</v>
      </c>
      <c r="I65" s="709">
        <f t="shared" si="85"/>
        <v>0</v>
      </c>
      <c r="J65" s="710">
        <f t="shared" si="86"/>
        <v>0</v>
      </c>
      <c r="K65" s="711" t="str">
        <f t="shared" si="87"/>
        <v>1.33</v>
      </c>
      <c r="L65" s="711" t="str">
        <f t="shared" si="88"/>
        <v>D+</v>
      </c>
      <c r="M65" s="712" t="str">
        <f t="shared" si="89"/>
        <v>0</v>
      </c>
      <c r="N65" s="1467"/>
      <c r="O65" s="1468"/>
      <c r="P65" s="1468"/>
      <c r="Q65" s="1469"/>
      <c r="R65" s="1469"/>
      <c r="S65" s="1470"/>
      <c r="T65" s="1484"/>
      <c r="U65" s="1485"/>
    </row>
    <row r="66" spans="1:21" ht="20.100000000000001" customHeight="1" x14ac:dyDescent="0.25">
      <c r="A66" s="697"/>
      <c r="B66" s="1360"/>
      <c r="C66" s="635" t="s">
        <v>149</v>
      </c>
      <c r="D66" s="700">
        <v>15</v>
      </c>
      <c r="E66" s="697"/>
      <c r="F66" s="1906"/>
      <c r="G66" s="697"/>
      <c r="H66" s="1189">
        <f>AVERAGE(H63:H65)</f>
        <v>0</v>
      </c>
      <c r="I66" s="705"/>
      <c r="J66" s="713">
        <f>AVERAGE(J63:J65)</f>
        <v>0</v>
      </c>
      <c r="K66" s="714" t="str">
        <f t="shared" si="87"/>
        <v>1.33</v>
      </c>
      <c r="L66" s="714" t="str">
        <f t="shared" si="88"/>
        <v>D+</v>
      </c>
      <c r="M66" s="888" t="str">
        <f t="shared" si="89"/>
        <v>0</v>
      </c>
      <c r="N66" s="701"/>
      <c r="O66" s="702"/>
      <c r="P66" s="702"/>
      <c r="Q66" s="1155"/>
      <c r="R66" s="1155"/>
      <c r="S66" s="1162"/>
      <c r="T66" s="1486"/>
      <c r="U66" s="1487"/>
    </row>
    <row r="67" spans="1:21" ht="20.100000000000001" customHeight="1" thickBot="1" x14ac:dyDescent="0.3">
      <c r="A67" s="1477">
        <v>16</v>
      </c>
      <c r="B67" s="1326">
        <v>16</v>
      </c>
      <c r="C67" s="1563" t="str">
        <f>VLOOKUP(A67,data_siswa,4,FALSE)</f>
        <v>Nabilla Shiva Putri</v>
      </c>
      <c r="D67" s="1893" t="s">
        <v>10</v>
      </c>
      <c r="E67" s="627"/>
      <c r="F67" s="1904">
        <f>E67*2</f>
        <v>0</v>
      </c>
      <c r="G67" s="1891"/>
      <c r="H67" s="627">
        <f>VLOOKUP(B67,REKAP_NILAI,49,FALSE)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887" t="str">
        <f>IF(J67&gt;80,("SB"),IF(J67&gt;65,("B"),IF(J67&gt;50,("C"),IF(J67&gt;0,("K"),"0"))))</f>
        <v>0</v>
      </c>
      <c r="N67" s="1474"/>
      <c r="O67" s="1474"/>
      <c r="P67" s="1474"/>
      <c r="Q67" s="1475"/>
      <c r="R67" s="1476"/>
      <c r="S67" s="1476"/>
      <c r="T67" s="1057">
        <f>AVERAGE(J67:J69)</f>
        <v>0</v>
      </c>
      <c r="U67" s="1194" t="str">
        <f>IF(T67&gt;85,("A"),IF(T67&gt;80,("A-"),IF(T67&gt;75,("B+"),IF(T67&gt;70,("B"),IF(T67&gt;65,("B-"),IF(T67&gt;60,("C+"),IF(T67&gt;55,("C"),IF(T67&gt;50,("C-"),"D+"))))))))</f>
        <v>D+</v>
      </c>
    </row>
    <row r="68" spans="1:21" ht="20.100000000000001" customHeight="1" x14ac:dyDescent="0.25">
      <c r="A68" s="1478"/>
      <c r="B68" s="683">
        <v>16</v>
      </c>
      <c r="C68" s="1545"/>
      <c r="D68" s="1893" t="s">
        <v>8</v>
      </c>
      <c r="E68" s="627"/>
      <c r="F68" s="1905">
        <f t="shared" ref="F68:F69" si="90">E68*2</f>
        <v>0</v>
      </c>
      <c r="G68" s="1891"/>
      <c r="H68" s="627">
        <f>VLOOKUP(B67,REKAP_NILAI,50,FALSE)</f>
        <v>0</v>
      </c>
      <c r="I68" s="709">
        <f t="shared" ref="I68:I69" si="91">F68+G68+H68</f>
        <v>0</v>
      </c>
      <c r="J68" s="710">
        <f t="shared" ref="J68:J69" si="92">(F68+G68+H68)/4</f>
        <v>0</v>
      </c>
      <c r="K68" s="711" t="str">
        <f t="shared" ref="K68:K70" si="93">IF(J68&gt;85,("4"),IF(J68&gt;80,("3.66"),IF(J68&gt;75,("3.33"),IF(J68&gt;70,("3.00"),IF(J68&gt;65,("2.66"),IF(J68&gt;60,("2.33"),IF(J68&gt;55,("2"),IF(J68&gt;50,("1.66"),"1.33"))))))))</f>
        <v>1.33</v>
      </c>
      <c r="L68" s="711" t="str">
        <f t="shared" ref="L68:L70" si="94">IF(J68&gt;85,("A"),IF(J68&gt;80,("A-"),IF(J68&gt;75,("B+"),IF(J68&gt;70,("B"),IF(J68&gt;65,("B-"),IF(J68&gt;60,("C+"),IF(J68&gt;55,("C"),IF(J68&gt;50,("C-"),"D+"))))))))</f>
        <v>D+</v>
      </c>
      <c r="M68" s="712" t="str">
        <f t="shared" ref="M68:M70" si="95">IF(J68&gt;80,("SB"),IF(J68&gt;65,("B"),IF(J68&gt;50,("C"),IF(J68&gt;0,("K"),"0"))))</f>
        <v>0</v>
      </c>
      <c r="N68" s="1463"/>
      <c r="O68" s="1464"/>
      <c r="P68" s="1464"/>
      <c r="Q68" s="1465"/>
      <c r="R68" s="1465"/>
      <c r="S68" s="1466"/>
      <c r="T68" s="1482"/>
      <c r="U68" s="1483"/>
    </row>
    <row r="69" spans="1:21" ht="20.100000000000001" customHeight="1" x14ac:dyDescent="0.25">
      <c r="A69" s="1478"/>
      <c r="B69" s="683">
        <v>16</v>
      </c>
      <c r="C69" s="1545"/>
      <c r="D69" s="1893" t="s">
        <v>18</v>
      </c>
      <c r="E69" s="627"/>
      <c r="F69" s="1905">
        <f t="shared" si="90"/>
        <v>0</v>
      </c>
      <c r="G69" s="1891"/>
      <c r="H69" s="627">
        <f>VLOOKUP(B67,REKAP_NILAI,51,FALSE)</f>
        <v>0</v>
      </c>
      <c r="I69" s="709">
        <f t="shared" si="91"/>
        <v>0</v>
      </c>
      <c r="J69" s="710">
        <f t="shared" si="92"/>
        <v>0</v>
      </c>
      <c r="K69" s="711" t="str">
        <f t="shared" si="93"/>
        <v>1.33</v>
      </c>
      <c r="L69" s="711" t="str">
        <f t="shared" si="94"/>
        <v>D+</v>
      </c>
      <c r="M69" s="712" t="str">
        <f t="shared" si="95"/>
        <v>0</v>
      </c>
      <c r="N69" s="1467"/>
      <c r="O69" s="1468"/>
      <c r="P69" s="1468"/>
      <c r="Q69" s="1469"/>
      <c r="R69" s="1469"/>
      <c r="S69" s="1470"/>
      <c r="T69" s="1484"/>
      <c r="U69" s="1485"/>
    </row>
    <row r="70" spans="1:21" ht="20.100000000000001" customHeight="1" x14ac:dyDescent="0.25">
      <c r="A70" s="697"/>
      <c r="B70" s="1480"/>
      <c r="C70" s="635" t="s">
        <v>149</v>
      </c>
      <c r="D70" s="700">
        <v>16</v>
      </c>
      <c r="E70" s="697"/>
      <c r="F70" s="1906"/>
      <c r="G70" s="697"/>
      <c r="H70" s="1189">
        <f>AVERAGE(H67:H69)</f>
        <v>0</v>
      </c>
      <c r="I70" s="705"/>
      <c r="J70" s="713">
        <f>AVERAGE(J67:J69)</f>
        <v>0</v>
      </c>
      <c r="K70" s="714" t="str">
        <f t="shared" si="93"/>
        <v>1.33</v>
      </c>
      <c r="L70" s="714" t="str">
        <f t="shared" si="94"/>
        <v>D+</v>
      </c>
      <c r="M70" s="888" t="str">
        <f t="shared" si="95"/>
        <v>0</v>
      </c>
      <c r="N70" s="701"/>
      <c r="O70" s="702"/>
      <c r="P70" s="702"/>
      <c r="Q70" s="1155"/>
      <c r="R70" s="1155"/>
      <c r="S70" s="1162"/>
      <c r="T70" s="1486"/>
      <c r="U70" s="1487"/>
    </row>
    <row r="71" spans="1:21" ht="20.100000000000001" customHeight="1" thickBot="1" x14ac:dyDescent="0.3">
      <c r="A71" s="1477">
        <v>17</v>
      </c>
      <c r="B71" s="1326">
        <v>17</v>
      </c>
      <c r="C71" s="1563" t="str">
        <f>VLOOKUP(A71,data_siswa,4,FALSE)</f>
        <v>Naufal Falih F</v>
      </c>
      <c r="D71" s="1893" t="s">
        <v>10</v>
      </c>
      <c r="E71" s="627"/>
      <c r="F71" s="1904">
        <f>E71*2</f>
        <v>0</v>
      </c>
      <c r="G71" s="1891"/>
      <c r="H71" s="627">
        <f>VLOOKUP(B71,REKAP_NILAI,49,FALSE)</f>
        <v>0</v>
      </c>
      <c r="I71" s="706">
        <f>F71+G71+H71</f>
        <v>0</v>
      </c>
      <c r="J71" s="707">
        <f>(F71+G71+H71)/4</f>
        <v>0</v>
      </c>
      <c r="K71" s="708" t="str">
        <f>IF(J71&gt;85,("4"),IF(J71&gt;80,("3.66"),IF(J71&gt;75,("3.33"),IF(J71&gt;70,("3.00"),IF(J71&gt;65,("2.66"),IF(J71&gt;60,("2.33"),IF(J71&gt;55,("2"),IF(J71&gt;50,("1.66"),"1.33"))))))))</f>
        <v>1.33</v>
      </c>
      <c r="L71" s="708" t="str">
        <f>IF(J71&gt;85,("A"),IF(J71&gt;80,("A-"),IF(J71&gt;75,("B+"),IF(J71&gt;70,("B"),IF(J71&gt;65,("B-"),IF(J71&gt;60,("C+"),IF(J71&gt;55,("C"),IF(J71&gt;50,("C-"),"D+"))))))))</f>
        <v>D+</v>
      </c>
      <c r="M71" s="887" t="str">
        <f>IF(J71&gt;80,("SB"),IF(J71&gt;65,("B"),IF(J71&gt;50,("C"),IF(J71&gt;0,("K"),"0"))))</f>
        <v>0</v>
      </c>
      <c r="N71" s="1474"/>
      <c r="O71" s="1474"/>
      <c r="P71" s="1474"/>
      <c r="Q71" s="1475"/>
      <c r="R71" s="1476"/>
      <c r="S71" s="1476"/>
      <c r="T71" s="1057">
        <f>AVERAGE(J71:J73)</f>
        <v>0</v>
      </c>
      <c r="U71" s="1194" t="str">
        <f>IF(T71&gt;85,("A"),IF(T71&gt;80,("A-"),IF(T71&gt;75,("B+"),IF(T71&gt;70,("B"),IF(T71&gt;65,("B-"),IF(T71&gt;60,("C+"),IF(T71&gt;55,("C"),IF(T71&gt;50,("C-"),"D+"))))))))</f>
        <v>D+</v>
      </c>
    </row>
    <row r="72" spans="1:21" ht="20.100000000000001" customHeight="1" x14ac:dyDescent="0.25">
      <c r="A72" s="1478"/>
      <c r="B72" s="683">
        <v>17</v>
      </c>
      <c r="C72" s="1545"/>
      <c r="D72" s="1893" t="s">
        <v>8</v>
      </c>
      <c r="E72" s="627"/>
      <c r="F72" s="1905">
        <f t="shared" ref="F72:F73" si="96">E72*2</f>
        <v>0</v>
      </c>
      <c r="G72" s="1891"/>
      <c r="H72" s="627">
        <f>VLOOKUP(B71,REKAP_NILAI,50,FALSE)</f>
        <v>0</v>
      </c>
      <c r="I72" s="709">
        <f t="shared" ref="I72:I73" si="97">F72+G72+H72</f>
        <v>0</v>
      </c>
      <c r="J72" s="710">
        <f t="shared" ref="J72:J73" si="98">(F72+G72+H72)/4</f>
        <v>0</v>
      </c>
      <c r="K72" s="711" t="str">
        <f t="shared" ref="K72:K74" si="99">IF(J72&gt;85,("4"),IF(J72&gt;80,("3.66"),IF(J72&gt;75,("3.33"),IF(J72&gt;70,("3.00"),IF(J72&gt;65,("2.66"),IF(J72&gt;60,("2.33"),IF(J72&gt;55,("2"),IF(J72&gt;50,("1.66"),"1.33"))))))))</f>
        <v>1.33</v>
      </c>
      <c r="L72" s="711" t="str">
        <f t="shared" ref="L72:L74" si="100">IF(J72&gt;85,("A"),IF(J72&gt;80,("A-"),IF(J72&gt;75,("B+"),IF(J72&gt;70,("B"),IF(J72&gt;65,("B-"),IF(J72&gt;60,("C+"),IF(J72&gt;55,("C"),IF(J72&gt;50,("C-"),"D+"))))))))</f>
        <v>D+</v>
      </c>
      <c r="M72" s="712" t="str">
        <f t="shared" ref="M72:M74" si="101">IF(J72&gt;80,("SB"),IF(J72&gt;65,("B"),IF(J72&gt;50,("C"),IF(J72&gt;0,("K"),"0"))))</f>
        <v>0</v>
      </c>
      <c r="N72" s="1463"/>
      <c r="O72" s="1464"/>
      <c r="P72" s="1464"/>
      <c r="Q72" s="1465"/>
      <c r="R72" s="1465"/>
      <c r="S72" s="1466"/>
      <c r="T72" s="1482"/>
      <c r="U72" s="1483"/>
    </row>
    <row r="73" spans="1:21" ht="20.100000000000001" customHeight="1" x14ac:dyDescent="0.25">
      <c r="A73" s="1478"/>
      <c r="B73" s="683">
        <v>17</v>
      </c>
      <c r="C73" s="1545"/>
      <c r="D73" s="1893" t="s">
        <v>18</v>
      </c>
      <c r="E73" s="627"/>
      <c r="F73" s="1905">
        <f t="shared" si="96"/>
        <v>0</v>
      </c>
      <c r="G73" s="1891"/>
      <c r="H73" s="627">
        <f>VLOOKUP(B71,REKAP_NILAI,51,FALSE)</f>
        <v>0</v>
      </c>
      <c r="I73" s="709">
        <f t="shared" si="97"/>
        <v>0</v>
      </c>
      <c r="J73" s="710">
        <f t="shared" si="98"/>
        <v>0</v>
      </c>
      <c r="K73" s="711" t="str">
        <f t="shared" si="99"/>
        <v>1.33</v>
      </c>
      <c r="L73" s="711" t="str">
        <f t="shared" si="100"/>
        <v>D+</v>
      </c>
      <c r="M73" s="712" t="str">
        <f t="shared" si="101"/>
        <v>0</v>
      </c>
      <c r="N73" s="1467"/>
      <c r="O73" s="1468"/>
      <c r="P73" s="1468"/>
      <c r="Q73" s="1469"/>
      <c r="R73" s="1469"/>
      <c r="S73" s="1470"/>
      <c r="T73" s="1484"/>
      <c r="U73" s="1485"/>
    </row>
    <row r="74" spans="1:21" ht="20.100000000000001" customHeight="1" x14ac:dyDescent="0.25">
      <c r="A74" s="697"/>
      <c r="B74" s="1479"/>
      <c r="C74" s="635" t="s">
        <v>149</v>
      </c>
      <c r="D74" s="700">
        <v>17</v>
      </c>
      <c r="E74" s="697"/>
      <c r="F74" s="1906"/>
      <c r="G74" s="697"/>
      <c r="H74" s="1189">
        <f>AVERAGE(H71:H73)</f>
        <v>0</v>
      </c>
      <c r="I74" s="705"/>
      <c r="J74" s="713">
        <f>AVERAGE(J71:J73)</f>
        <v>0</v>
      </c>
      <c r="K74" s="714" t="str">
        <f t="shared" si="99"/>
        <v>1.33</v>
      </c>
      <c r="L74" s="714" t="str">
        <f t="shared" si="100"/>
        <v>D+</v>
      </c>
      <c r="M74" s="888" t="str">
        <f t="shared" si="101"/>
        <v>0</v>
      </c>
      <c r="N74" s="701"/>
      <c r="O74" s="702"/>
      <c r="P74" s="702"/>
      <c r="Q74" s="1155"/>
      <c r="R74" s="1155"/>
      <c r="S74" s="1162"/>
      <c r="T74" s="1486"/>
      <c r="U74" s="1487"/>
    </row>
    <row r="75" spans="1:21" ht="20.100000000000001" customHeight="1" thickBot="1" x14ac:dyDescent="0.3">
      <c r="A75" s="1892">
        <v>18</v>
      </c>
      <c r="B75" s="1326">
        <v>18</v>
      </c>
      <c r="C75" s="1840" t="str">
        <f>VLOOKUP(A75,data_siswa,4,FALSE)</f>
        <v>Nayla Annora Nobel W</v>
      </c>
      <c r="D75" s="1893" t="s">
        <v>10</v>
      </c>
      <c r="E75" s="627"/>
      <c r="F75" s="1904">
        <f>E75*2</f>
        <v>0</v>
      </c>
      <c r="G75" s="1891"/>
      <c r="H75" s="627">
        <f>VLOOKUP(B75,REKAP_NILAI,49,FALSE)</f>
        <v>0</v>
      </c>
      <c r="I75" s="706">
        <f>F75+G75+H75</f>
        <v>0</v>
      </c>
      <c r="J75" s="707">
        <f>(F75+G75+H75)/4</f>
        <v>0</v>
      </c>
      <c r="K75" s="708" t="str">
        <f>IF(J75&gt;85,("4"),IF(J75&gt;80,("3.66"),IF(J75&gt;75,("3.33"),IF(J75&gt;70,("3.00"),IF(J75&gt;65,("2.66"),IF(J75&gt;60,("2.33"),IF(J75&gt;55,("2"),IF(J75&gt;50,("1.66"),"1.33"))))))))</f>
        <v>1.33</v>
      </c>
      <c r="L75" s="708" t="str">
        <f>IF(J75&gt;85,("A"),IF(J75&gt;80,("A-"),IF(J75&gt;75,("B+"),IF(J75&gt;70,("B"),IF(J75&gt;65,("B-"),IF(J75&gt;60,("C+"),IF(J75&gt;55,("C"),IF(J75&gt;50,("C-"),"D+"))))))))</f>
        <v>D+</v>
      </c>
      <c r="M75" s="887" t="str">
        <f>IF(J75&gt;80,("SB"),IF(J75&gt;65,("B"),IF(J75&gt;50,("C"),IF(J75&gt;0,("K"),"0"))))</f>
        <v>0</v>
      </c>
      <c r="N75" s="1474"/>
      <c r="O75" s="1474"/>
      <c r="P75" s="1474"/>
      <c r="Q75" s="1475"/>
      <c r="R75" s="1476"/>
      <c r="S75" s="1476"/>
      <c r="T75" s="1057">
        <f>AVERAGE(J75:J77)</f>
        <v>0</v>
      </c>
      <c r="U75" s="1194" t="str">
        <f>IF(T75&gt;85,("A"),IF(T75&gt;80,("A-"),IF(T75&gt;75,("B+"),IF(T75&gt;70,("B"),IF(T75&gt;65,("B-"),IF(T75&gt;60,("C+"),IF(T75&gt;55,("C"),IF(T75&gt;50,("C-"),"D+"))))))))</f>
        <v>D+</v>
      </c>
    </row>
    <row r="76" spans="1:21" ht="20.100000000000001" customHeight="1" x14ac:dyDescent="0.25">
      <c r="A76" s="360"/>
      <c r="B76" s="1326">
        <v>18</v>
      </c>
      <c r="C76" s="1839"/>
      <c r="D76" s="1893" t="s">
        <v>8</v>
      </c>
      <c r="E76" s="627"/>
      <c r="F76" s="1905">
        <f t="shared" ref="F76:F77" si="102">E76*2</f>
        <v>0</v>
      </c>
      <c r="G76" s="1891"/>
      <c r="H76" s="627">
        <f>VLOOKUP(B75,REKAP_NILAI,50,FALSE)</f>
        <v>0</v>
      </c>
      <c r="I76" s="709">
        <f t="shared" ref="I76:I77" si="103">F76+G76+H76</f>
        <v>0</v>
      </c>
      <c r="J76" s="710">
        <f t="shared" ref="J76:J77" si="104">(F76+G76+H76)/4</f>
        <v>0</v>
      </c>
      <c r="K76" s="711" t="str">
        <f t="shared" ref="K76:K78" si="105">IF(J76&gt;85,("4"),IF(J76&gt;80,("3.66"),IF(J76&gt;75,("3.33"),IF(J76&gt;70,("3.00"),IF(J76&gt;65,("2.66"),IF(J76&gt;60,("2.33"),IF(J76&gt;55,("2"),IF(J76&gt;50,("1.66"),"1.33"))))))))</f>
        <v>1.33</v>
      </c>
      <c r="L76" s="711" t="str">
        <f t="shared" ref="L76:L78" si="106">IF(J76&gt;85,("A"),IF(J76&gt;80,("A-"),IF(J76&gt;75,("B+"),IF(J76&gt;70,("B"),IF(J76&gt;65,("B-"),IF(J76&gt;60,("C+"),IF(J76&gt;55,("C"),IF(J76&gt;50,("C-"),"D+"))))))))</f>
        <v>D+</v>
      </c>
      <c r="M76" s="712" t="str">
        <f t="shared" ref="M76:M78" si="107">IF(J76&gt;80,("SB"),IF(J76&gt;65,("B"),IF(J76&gt;50,("C"),IF(J76&gt;0,("K"),"0"))))</f>
        <v>0</v>
      </c>
      <c r="N76" s="1463"/>
      <c r="O76" s="1464"/>
      <c r="P76" s="1464"/>
      <c r="Q76" s="1465"/>
      <c r="R76" s="1465"/>
      <c r="S76" s="1466"/>
      <c r="T76" s="1482"/>
      <c r="U76" s="1483"/>
    </row>
    <row r="77" spans="1:21" ht="20.100000000000001" customHeight="1" x14ac:dyDescent="0.25">
      <c r="A77" s="360"/>
      <c r="B77" s="1326">
        <v>18</v>
      </c>
      <c r="C77" s="1839"/>
      <c r="D77" s="1893" t="s">
        <v>18</v>
      </c>
      <c r="E77" s="627"/>
      <c r="F77" s="1905">
        <f t="shared" si="102"/>
        <v>0</v>
      </c>
      <c r="G77" s="1891"/>
      <c r="H77" s="627">
        <f>VLOOKUP(B75,REKAP_NILAI,51,FALSE)</f>
        <v>0</v>
      </c>
      <c r="I77" s="709">
        <f t="shared" si="103"/>
        <v>0</v>
      </c>
      <c r="J77" s="710">
        <f t="shared" si="104"/>
        <v>0</v>
      </c>
      <c r="K77" s="711" t="str">
        <f t="shared" si="105"/>
        <v>1.33</v>
      </c>
      <c r="L77" s="711" t="str">
        <f t="shared" si="106"/>
        <v>D+</v>
      </c>
      <c r="M77" s="712" t="str">
        <f t="shared" si="107"/>
        <v>0</v>
      </c>
      <c r="N77" s="1467"/>
      <c r="O77" s="1468"/>
      <c r="P77" s="1468"/>
      <c r="Q77" s="1469"/>
      <c r="R77" s="1469"/>
      <c r="S77" s="1470"/>
      <c r="T77" s="1484"/>
      <c r="U77" s="1485"/>
    </row>
    <row r="78" spans="1:21" ht="20.100000000000001" customHeight="1" x14ac:dyDescent="0.25">
      <c r="A78" s="697"/>
      <c r="B78" s="698"/>
      <c r="C78" s="635" t="s">
        <v>149</v>
      </c>
      <c r="D78" s="700">
        <v>18</v>
      </c>
      <c r="E78" s="697"/>
      <c r="F78" s="1906"/>
      <c r="G78" s="697"/>
      <c r="H78" s="1189">
        <f>AVERAGE(H75:H77)</f>
        <v>0</v>
      </c>
      <c r="I78" s="705"/>
      <c r="J78" s="713">
        <f>AVERAGE(J75:J77)</f>
        <v>0</v>
      </c>
      <c r="K78" s="714" t="str">
        <f t="shared" si="105"/>
        <v>1.33</v>
      </c>
      <c r="L78" s="714" t="str">
        <f t="shared" si="106"/>
        <v>D+</v>
      </c>
      <c r="M78" s="888" t="str">
        <f t="shared" si="107"/>
        <v>0</v>
      </c>
      <c r="N78" s="701"/>
      <c r="O78" s="702"/>
      <c r="P78" s="702"/>
      <c r="Q78" s="1155"/>
      <c r="R78" s="1155"/>
      <c r="S78" s="1162"/>
      <c r="T78" s="1486"/>
      <c r="U78" s="1487"/>
    </row>
    <row r="79" spans="1:21" ht="20.100000000000001" customHeight="1" thickBot="1" x14ac:dyDescent="0.3">
      <c r="A79" s="1892">
        <v>19</v>
      </c>
      <c r="B79" s="1326">
        <v>19</v>
      </c>
      <c r="C79" s="1840" t="str">
        <f>VLOOKUP(A79,data_siswa,4,FALSE)</f>
        <v>Raihan Danang P</v>
      </c>
      <c r="D79" s="1893" t="s">
        <v>10</v>
      </c>
      <c r="E79" s="627"/>
      <c r="F79" s="1904">
        <f>E79*2</f>
        <v>0</v>
      </c>
      <c r="G79" s="1891"/>
      <c r="H79" s="627">
        <f>VLOOKUP(B79,REKAP_NILAI,49,FALSE)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887" t="str">
        <f>IF(J79&gt;80,("SB"),IF(J79&gt;65,("B"),IF(J79&gt;50,("C"),IF(J79&gt;0,("K"),"0"))))</f>
        <v>0</v>
      </c>
      <c r="N79" s="1474"/>
      <c r="O79" s="1474"/>
      <c r="P79" s="1474"/>
      <c r="Q79" s="1475"/>
      <c r="R79" s="1476"/>
      <c r="S79" s="1476"/>
      <c r="T79" s="1057">
        <f>AVERAGE(J79:J81)</f>
        <v>0</v>
      </c>
      <c r="U79" s="1194" t="str">
        <f>IF(T79&gt;85,("A"),IF(T79&gt;80,("A-"),IF(T79&gt;75,("B+"),IF(T79&gt;70,("B"),IF(T79&gt;65,("B-"),IF(T79&gt;60,("C+"),IF(T79&gt;55,("C"),IF(T79&gt;50,("C-"),"D+"))))))))</f>
        <v>D+</v>
      </c>
    </row>
    <row r="80" spans="1:21" ht="20.100000000000001" customHeight="1" x14ac:dyDescent="0.25">
      <c r="A80" s="360"/>
      <c r="B80" s="1326">
        <v>19</v>
      </c>
      <c r="C80" s="1839"/>
      <c r="D80" s="1893" t="s">
        <v>8</v>
      </c>
      <c r="E80" s="627"/>
      <c r="F80" s="1905">
        <f t="shared" ref="F80:F81" si="108">E80*2</f>
        <v>0</v>
      </c>
      <c r="G80" s="1891"/>
      <c r="H80" s="627">
        <f>VLOOKUP(B79,REKAP_NILAI,50,FALSE)</f>
        <v>0</v>
      </c>
      <c r="I80" s="709">
        <f t="shared" ref="I80:I81" si="109">F80+G80+H80</f>
        <v>0</v>
      </c>
      <c r="J80" s="710">
        <f t="shared" ref="J80:J81" si="110">(F80+G80+H80)/4</f>
        <v>0</v>
      </c>
      <c r="K80" s="711" t="str">
        <f t="shared" ref="K80:K82" si="111">IF(J80&gt;85,("4"),IF(J80&gt;80,("3.66"),IF(J80&gt;75,("3.33"),IF(J80&gt;70,("3.00"),IF(J80&gt;65,("2.66"),IF(J80&gt;60,("2.33"),IF(J80&gt;55,("2"),IF(J80&gt;50,("1.66"),"1.33"))))))))</f>
        <v>1.33</v>
      </c>
      <c r="L80" s="711" t="str">
        <f t="shared" ref="L80:L82" si="112">IF(J80&gt;85,("A"),IF(J80&gt;80,("A-"),IF(J80&gt;75,("B+"),IF(J80&gt;70,("B"),IF(J80&gt;65,("B-"),IF(J80&gt;60,("C+"),IF(J80&gt;55,("C"),IF(J80&gt;50,("C-"),"D+"))))))))</f>
        <v>D+</v>
      </c>
      <c r="M80" s="712" t="str">
        <f t="shared" ref="M80:M82" si="113">IF(J80&gt;80,("SB"),IF(J80&gt;65,("B"),IF(J80&gt;50,("C"),IF(J80&gt;0,("K"),"0"))))</f>
        <v>0</v>
      </c>
      <c r="N80" s="1463"/>
      <c r="O80" s="1464"/>
      <c r="P80" s="1464"/>
      <c r="Q80" s="1465"/>
      <c r="R80" s="1465"/>
      <c r="S80" s="1466"/>
      <c r="T80" s="1482"/>
      <c r="U80" s="1483"/>
    </row>
    <row r="81" spans="1:21" ht="20.100000000000001" customHeight="1" x14ac:dyDescent="0.25">
      <c r="A81" s="360"/>
      <c r="B81" s="1326">
        <v>19</v>
      </c>
      <c r="C81" s="1839"/>
      <c r="D81" s="1893" t="s">
        <v>18</v>
      </c>
      <c r="E81" s="627"/>
      <c r="F81" s="1905">
        <f t="shared" si="108"/>
        <v>0</v>
      </c>
      <c r="G81" s="1891"/>
      <c r="H81" s="627">
        <f>VLOOKUP(B79,REKAP_NILAI,51,FALSE)</f>
        <v>0</v>
      </c>
      <c r="I81" s="709">
        <f t="shared" si="109"/>
        <v>0</v>
      </c>
      <c r="J81" s="710">
        <f t="shared" si="110"/>
        <v>0</v>
      </c>
      <c r="K81" s="711" t="str">
        <f t="shared" si="111"/>
        <v>1.33</v>
      </c>
      <c r="L81" s="711" t="str">
        <f t="shared" si="112"/>
        <v>D+</v>
      </c>
      <c r="M81" s="712" t="str">
        <f t="shared" si="113"/>
        <v>0</v>
      </c>
      <c r="N81" s="1467"/>
      <c r="O81" s="1468"/>
      <c r="P81" s="1468"/>
      <c r="Q81" s="1469"/>
      <c r="R81" s="1469"/>
      <c r="S81" s="1470"/>
      <c r="T81" s="1484"/>
      <c r="U81" s="1485"/>
    </row>
    <row r="82" spans="1:21" ht="20.100000000000001" customHeight="1" x14ac:dyDescent="0.25">
      <c r="A82" s="697"/>
      <c r="B82" s="698"/>
      <c r="C82" s="635" t="s">
        <v>149</v>
      </c>
      <c r="D82" s="700">
        <v>19</v>
      </c>
      <c r="E82" s="697"/>
      <c r="F82" s="1906"/>
      <c r="G82" s="697"/>
      <c r="H82" s="1189">
        <f>AVERAGE(H79:H81)</f>
        <v>0</v>
      </c>
      <c r="I82" s="705"/>
      <c r="J82" s="713">
        <f>AVERAGE(J79:J81)</f>
        <v>0</v>
      </c>
      <c r="K82" s="714" t="str">
        <f t="shared" si="111"/>
        <v>1.33</v>
      </c>
      <c r="L82" s="714" t="str">
        <f t="shared" si="112"/>
        <v>D+</v>
      </c>
      <c r="M82" s="888" t="str">
        <f t="shared" si="113"/>
        <v>0</v>
      </c>
      <c r="N82" s="701"/>
      <c r="O82" s="702"/>
      <c r="P82" s="702"/>
      <c r="Q82" s="1155"/>
      <c r="R82" s="1155"/>
      <c r="S82" s="1162"/>
      <c r="T82" s="1486"/>
      <c r="U82" s="1487"/>
    </row>
    <row r="83" spans="1:21" ht="20.100000000000001" customHeight="1" thickBot="1" x14ac:dyDescent="0.3">
      <c r="A83" s="1892">
        <v>20</v>
      </c>
      <c r="B83" s="1326">
        <v>20</v>
      </c>
      <c r="C83" s="1840" t="str">
        <f>VLOOKUP(A83,data_siswa,4,FALSE)</f>
        <v>Roby Ardiyansyah</v>
      </c>
      <c r="D83" s="1893" t="s">
        <v>10</v>
      </c>
      <c r="E83" s="627"/>
      <c r="F83" s="1904">
        <f>E83*2</f>
        <v>0</v>
      </c>
      <c r="G83" s="1891"/>
      <c r="H83" s="627">
        <f>VLOOKUP(B83,REKAP_NILAI,49,FALSE)</f>
        <v>0</v>
      </c>
      <c r="I83" s="706">
        <f>F83+G83+H83</f>
        <v>0</v>
      </c>
      <c r="J83" s="707">
        <f>(F83+G83+H83)/4</f>
        <v>0</v>
      </c>
      <c r="K83" s="708" t="str">
        <f>IF(J83&gt;85,("4"),IF(J83&gt;80,("3.66"),IF(J83&gt;75,("3.33"),IF(J83&gt;70,("3.00"),IF(J83&gt;65,("2.66"),IF(J83&gt;60,("2.33"),IF(J83&gt;55,("2"),IF(J83&gt;50,("1.66"),"1.33"))))))))</f>
        <v>1.33</v>
      </c>
      <c r="L83" s="708" t="str">
        <f>IF(J83&gt;85,("A"),IF(J83&gt;80,("A-"),IF(J83&gt;75,("B+"),IF(J83&gt;70,("B"),IF(J83&gt;65,("B-"),IF(J83&gt;60,("C+"),IF(J83&gt;55,("C"),IF(J83&gt;50,("C-"),"D+"))))))))</f>
        <v>D+</v>
      </c>
      <c r="M83" s="887" t="str">
        <f>IF(J83&gt;80,("SB"),IF(J83&gt;65,("B"),IF(J83&gt;50,("C"),IF(J83&gt;0,("K"),"0"))))</f>
        <v>0</v>
      </c>
      <c r="N83" s="1474"/>
      <c r="O83" s="1474"/>
      <c r="P83" s="1474"/>
      <c r="Q83" s="1475"/>
      <c r="R83" s="1476"/>
      <c r="S83" s="1476"/>
      <c r="T83" s="1057">
        <f>AVERAGE(J83:J85)</f>
        <v>0</v>
      </c>
      <c r="U83" s="1194" t="str">
        <f>IF(T83&gt;85,("A"),IF(T83&gt;80,("A-"),IF(T83&gt;75,("B+"),IF(T83&gt;70,("B"),IF(T83&gt;65,("B-"),IF(T83&gt;60,("C+"),IF(T83&gt;55,("C"),IF(T83&gt;50,("C-"),"D+"))))))))</f>
        <v>D+</v>
      </c>
    </row>
    <row r="84" spans="1:21" ht="20.100000000000001" customHeight="1" x14ac:dyDescent="0.25">
      <c r="A84" s="360"/>
      <c r="B84" s="1326">
        <v>20</v>
      </c>
      <c r="C84" s="1839"/>
      <c r="D84" s="1893" t="s">
        <v>8</v>
      </c>
      <c r="E84" s="627"/>
      <c r="F84" s="1905">
        <f t="shared" ref="F84:F85" si="114">E84*2</f>
        <v>0</v>
      </c>
      <c r="G84" s="1891"/>
      <c r="H84" s="627">
        <f>VLOOKUP(B83,REKAP_NILAI,50,FALSE)</f>
        <v>0</v>
      </c>
      <c r="I84" s="709">
        <f t="shared" ref="I84:I85" si="115">F84+G84+H84</f>
        <v>0</v>
      </c>
      <c r="J84" s="710">
        <f t="shared" ref="J84:J85" si="116">(F84+G84+H84)/4</f>
        <v>0</v>
      </c>
      <c r="K84" s="711" t="str">
        <f t="shared" ref="K84:K86" si="117">IF(J84&gt;85,("4"),IF(J84&gt;80,("3.66"),IF(J84&gt;75,("3.33"),IF(J84&gt;70,("3.00"),IF(J84&gt;65,("2.66"),IF(J84&gt;60,("2.33"),IF(J84&gt;55,("2"),IF(J84&gt;50,("1.66"),"1.33"))))))))</f>
        <v>1.33</v>
      </c>
      <c r="L84" s="711" t="str">
        <f t="shared" ref="L84:L86" si="118">IF(J84&gt;85,("A"),IF(J84&gt;80,("A-"),IF(J84&gt;75,("B+"),IF(J84&gt;70,("B"),IF(J84&gt;65,("B-"),IF(J84&gt;60,("C+"),IF(J84&gt;55,("C"),IF(J84&gt;50,("C-"),"D+"))))))))</f>
        <v>D+</v>
      </c>
      <c r="M84" s="712" t="str">
        <f t="shared" ref="M84:M86" si="119">IF(J84&gt;80,("SB"),IF(J84&gt;65,("B"),IF(J84&gt;50,("C"),IF(J84&gt;0,("K"),"0"))))</f>
        <v>0</v>
      </c>
      <c r="N84" s="1463"/>
      <c r="O84" s="1464"/>
      <c r="P84" s="1464"/>
      <c r="Q84" s="1465"/>
      <c r="R84" s="1465"/>
      <c r="S84" s="1466"/>
      <c r="T84" s="1482"/>
      <c r="U84" s="1483"/>
    </row>
    <row r="85" spans="1:21" ht="20.100000000000001" customHeight="1" x14ac:dyDescent="0.25">
      <c r="A85" s="360"/>
      <c r="B85" s="1326">
        <v>20</v>
      </c>
      <c r="C85" s="1839"/>
      <c r="D85" s="1893" t="s">
        <v>18</v>
      </c>
      <c r="E85" s="627"/>
      <c r="F85" s="1905">
        <f t="shared" si="114"/>
        <v>0</v>
      </c>
      <c r="G85" s="1891"/>
      <c r="H85" s="627">
        <f>VLOOKUP(B83,REKAP_NILAI,51,FALSE)</f>
        <v>0</v>
      </c>
      <c r="I85" s="709">
        <f t="shared" si="115"/>
        <v>0</v>
      </c>
      <c r="J85" s="710">
        <f t="shared" si="116"/>
        <v>0</v>
      </c>
      <c r="K85" s="711" t="str">
        <f t="shared" si="117"/>
        <v>1.33</v>
      </c>
      <c r="L85" s="711" t="str">
        <f t="shared" si="118"/>
        <v>D+</v>
      </c>
      <c r="M85" s="712" t="str">
        <f t="shared" si="119"/>
        <v>0</v>
      </c>
      <c r="N85" s="1467"/>
      <c r="O85" s="1468"/>
      <c r="P85" s="1468"/>
      <c r="Q85" s="1469"/>
      <c r="R85" s="1469"/>
      <c r="S85" s="1470"/>
      <c r="T85" s="1484"/>
      <c r="U85" s="1485"/>
    </row>
    <row r="86" spans="1:21" ht="20.100000000000001" customHeight="1" x14ac:dyDescent="0.25">
      <c r="A86" s="697"/>
      <c r="B86" s="698"/>
      <c r="C86" s="635" t="s">
        <v>149</v>
      </c>
      <c r="D86" s="700">
        <v>20</v>
      </c>
      <c r="E86" s="697"/>
      <c r="F86" s="1906"/>
      <c r="G86" s="697"/>
      <c r="H86" s="1189">
        <f>AVERAGE(H83:H85)</f>
        <v>0</v>
      </c>
      <c r="I86" s="705"/>
      <c r="J86" s="713">
        <f>AVERAGE(J83:J85)</f>
        <v>0</v>
      </c>
      <c r="K86" s="714" t="str">
        <f t="shared" si="117"/>
        <v>1.33</v>
      </c>
      <c r="L86" s="714" t="str">
        <f t="shared" si="118"/>
        <v>D+</v>
      </c>
      <c r="M86" s="888" t="str">
        <f t="shared" si="119"/>
        <v>0</v>
      </c>
      <c r="N86" s="701"/>
      <c r="O86" s="702"/>
      <c r="P86" s="702"/>
      <c r="Q86" s="1155"/>
      <c r="R86" s="1155"/>
      <c r="S86" s="1162"/>
      <c r="T86" s="1486"/>
      <c r="U86" s="1487"/>
    </row>
    <row r="87" spans="1:21" ht="20.100000000000001" customHeight="1" thickBot="1" x14ac:dyDescent="0.3">
      <c r="A87" s="360">
        <v>21</v>
      </c>
      <c r="B87" s="683">
        <v>21</v>
      </c>
      <c r="C87" s="1838" t="str">
        <f>VLOOKUP(A87,data_siswa,4,FALSE)</f>
        <v>Rojalingga Prana A</v>
      </c>
      <c r="D87" s="1893" t="s">
        <v>10</v>
      </c>
      <c r="E87" s="627"/>
      <c r="F87" s="1904">
        <f>E87*2</f>
        <v>0</v>
      </c>
      <c r="G87" s="1891"/>
      <c r="H87" s="627">
        <f>VLOOKUP(B87,REKAP_NILAI,49,FALSE)</f>
        <v>0</v>
      </c>
      <c r="I87" s="706">
        <f>F87+G87+H87</f>
        <v>0</v>
      </c>
      <c r="J87" s="707">
        <f>(F87+G87+H87)/4</f>
        <v>0</v>
      </c>
      <c r="K87" s="708" t="str">
        <f>IF(J87&gt;85,("4"),IF(J87&gt;80,("3.66"),IF(J87&gt;75,("3.33"),IF(J87&gt;70,("3.00"),IF(J87&gt;65,("2.66"),IF(J87&gt;60,("2.33"),IF(J87&gt;55,("2"),IF(J87&gt;50,("1.66"),"1.33"))))))))</f>
        <v>1.33</v>
      </c>
      <c r="L87" s="708" t="str">
        <f>IF(J87&gt;85,("A"),IF(J87&gt;80,("A-"),IF(J87&gt;75,("B+"),IF(J87&gt;70,("B"),IF(J87&gt;65,("B-"),IF(J87&gt;60,("C+"),IF(J87&gt;55,("C"),IF(J87&gt;50,("C-"),"D+"))))))))</f>
        <v>D+</v>
      </c>
      <c r="M87" s="887" t="str">
        <f>IF(J87&gt;80,("SB"),IF(J87&gt;65,("B"),IF(J87&gt;50,("C"),IF(J87&gt;0,("K"),"0"))))</f>
        <v>0</v>
      </c>
      <c r="N87" s="1471"/>
      <c r="O87" s="1471"/>
      <c r="P87" s="1471"/>
      <c r="Q87" s="1472"/>
      <c r="R87" s="1473"/>
      <c r="S87" s="1473"/>
      <c r="T87" s="1057">
        <f>AVERAGE(J87:J89)</f>
        <v>0</v>
      </c>
      <c r="U87" s="1194" t="str">
        <f>IF(T87&gt;85,("A"),IF(T87&gt;80,("A-"),IF(T87&gt;75,("B+"),IF(T87&gt;70,("B"),IF(T87&gt;65,("B-"),IF(T87&gt;60,("C+"),IF(T87&gt;55,("C"),IF(T87&gt;50,("C-"),"D+"))))))))</f>
        <v>D+</v>
      </c>
    </row>
    <row r="88" spans="1:21" ht="20.100000000000001" customHeight="1" x14ac:dyDescent="0.25">
      <c r="A88" s="360"/>
      <c r="B88" s="683">
        <v>21</v>
      </c>
      <c r="C88" s="1839"/>
      <c r="D88" s="1893" t="s">
        <v>8</v>
      </c>
      <c r="E88" s="627"/>
      <c r="F88" s="1905">
        <f t="shared" ref="F88:F89" si="120">E88*2</f>
        <v>0</v>
      </c>
      <c r="G88" s="1891"/>
      <c r="H88" s="627">
        <f>VLOOKUP(B87,REKAP_NILAI,50,FALSE)</f>
        <v>0</v>
      </c>
      <c r="I88" s="709">
        <f t="shared" ref="I88:I89" si="121">F88+G88+H88</f>
        <v>0</v>
      </c>
      <c r="J88" s="710">
        <f t="shared" ref="J88:J89" si="122">(F88+G88+H88)/4</f>
        <v>0</v>
      </c>
      <c r="K88" s="711" t="str">
        <f t="shared" ref="K88:K90" si="123">IF(J88&gt;85,("4"),IF(J88&gt;80,("3.66"),IF(J88&gt;75,("3.33"),IF(J88&gt;70,("3.00"),IF(J88&gt;65,("2.66"),IF(J88&gt;60,("2.33"),IF(J88&gt;55,("2"),IF(J88&gt;50,("1.66"),"1.33"))))))))</f>
        <v>1.33</v>
      </c>
      <c r="L88" s="711" t="str">
        <f t="shared" ref="L88:L90" si="124">IF(J88&gt;85,("A"),IF(J88&gt;80,("A-"),IF(J88&gt;75,("B+"),IF(J88&gt;70,("B"),IF(J88&gt;65,("B-"),IF(J88&gt;60,("C+"),IF(J88&gt;55,("C"),IF(J88&gt;50,("C-"),"D+"))))))))</f>
        <v>D+</v>
      </c>
      <c r="M88" s="712" t="str">
        <f t="shared" ref="M88:M90" si="125">IF(J88&gt;80,("SB"),IF(J88&gt;65,("B"),IF(J88&gt;50,("C"),IF(J88&gt;0,("K"),"0"))))</f>
        <v>0</v>
      </c>
      <c r="N88" s="1463"/>
      <c r="O88" s="1464"/>
      <c r="P88" s="1464"/>
      <c r="Q88" s="1465"/>
      <c r="R88" s="1465"/>
      <c r="S88" s="1466"/>
      <c r="T88" s="1482"/>
      <c r="U88" s="1483"/>
    </row>
    <row r="89" spans="1:21" ht="20.100000000000001" customHeight="1" x14ac:dyDescent="0.25">
      <c r="A89" s="360"/>
      <c r="B89" s="683">
        <v>21</v>
      </c>
      <c r="C89" s="1839"/>
      <c r="D89" s="1893" t="s">
        <v>18</v>
      </c>
      <c r="E89" s="627"/>
      <c r="F89" s="1905">
        <f t="shared" si="120"/>
        <v>0</v>
      </c>
      <c r="G89" s="1891"/>
      <c r="H89" s="627">
        <f>VLOOKUP(B87,REKAP_NILAI,51,FALSE)</f>
        <v>0</v>
      </c>
      <c r="I89" s="709">
        <f t="shared" si="121"/>
        <v>0</v>
      </c>
      <c r="J89" s="710">
        <f t="shared" si="122"/>
        <v>0</v>
      </c>
      <c r="K89" s="711" t="str">
        <f t="shared" si="123"/>
        <v>1.33</v>
      </c>
      <c r="L89" s="711" t="str">
        <f t="shared" si="124"/>
        <v>D+</v>
      </c>
      <c r="M89" s="712" t="str">
        <f t="shared" si="125"/>
        <v>0</v>
      </c>
      <c r="N89" s="1467"/>
      <c r="O89" s="1468"/>
      <c r="P89" s="1468"/>
      <c r="Q89" s="1469"/>
      <c r="R89" s="1469"/>
      <c r="S89" s="1470"/>
      <c r="T89" s="1484"/>
      <c r="U89" s="1485"/>
    </row>
    <row r="90" spans="1:21" ht="20.100000000000001" customHeight="1" x14ac:dyDescent="0.25">
      <c r="A90" s="697"/>
      <c r="B90" s="698"/>
      <c r="C90" s="635" t="s">
        <v>149</v>
      </c>
      <c r="D90" s="700">
        <v>21</v>
      </c>
      <c r="E90" s="697"/>
      <c r="F90" s="1906"/>
      <c r="G90" s="697"/>
      <c r="H90" s="1189">
        <f>AVERAGE(H87:H89)</f>
        <v>0</v>
      </c>
      <c r="I90" s="705"/>
      <c r="J90" s="713">
        <f>AVERAGE(J87:J89)</f>
        <v>0</v>
      </c>
      <c r="K90" s="714" t="str">
        <f t="shared" si="123"/>
        <v>1.33</v>
      </c>
      <c r="L90" s="714" t="str">
        <f t="shared" si="124"/>
        <v>D+</v>
      </c>
      <c r="M90" s="888" t="str">
        <f t="shared" si="125"/>
        <v>0</v>
      </c>
      <c r="N90" s="701"/>
      <c r="O90" s="702"/>
      <c r="P90" s="702"/>
      <c r="Q90" s="1155"/>
      <c r="R90" s="1155"/>
      <c r="S90" s="1162"/>
      <c r="T90" s="1486"/>
      <c r="U90" s="1487"/>
    </row>
    <row r="91" spans="1:21" ht="20.100000000000001" customHeight="1" thickBot="1" x14ac:dyDescent="0.3">
      <c r="A91" s="360">
        <v>22</v>
      </c>
      <c r="B91" s="683">
        <v>22</v>
      </c>
      <c r="C91" s="1838" t="str">
        <f>VLOOKUP(A91,data_siswa,4,FALSE)</f>
        <v>Sally Savista A</v>
      </c>
      <c r="D91" s="1893" t="s">
        <v>10</v>
      </c>
      <c r="E91" s="627"/>
      <c r="F91" s="1904">
        <f>E91*2</f>
        <v>0</v>
      </c>
      <c r="G91" s="1891"/>
      <c r="H91" s="627">
        <f>VLOOKUP(B91,REKAP_NILAI,49,FALSE)</f>
        <v>0</v>
      </c>
      <c r="I91" s="706">
        <f>F91+G91+H91</f>
        <v>0</v>
      </c>
      <c r="J91" s="707">
        <f>(F91+G91+H91)/4</f>
        <v>0</v>
      </c>
      <c r="K91" s="708" t="str">
        <f>IF(J91&gt;85,("4"),IF(J91&gt;80,("3.66"),IF(J91&gt;75,("3.33"),IF(J91&gt;70,("3.00"),IF(J91&gt;65,("2.66"),IF(J91&gt;60,("2.33"),IF(J91&gt;55,("2"),IF(J91&gt;50,("1.66"),"1.33"))))))))</f>
        <v>1.33</v>
      </c>
      <c r="L91" s="708" t="str">
        <f>IF(J91&gt;85,("A"),IF(J91&gt;80,("A-"),IF(J91&gt;75,("B+"),IF(J91&gt;70,("B"),IF(J91&gt;65,("B-"),IF(J91&gt;60,("C+"),IF(J91&gt;55,("C"),IF(J91&gt;50,("C-"),"D+"))))))))</f>
        <v>D+</v>
      </c>
      <c r="M91" s="887" t="str">
        <f>IF(J91&gt;80,("SB"),IF(J91&gt;65,("B"),IF(J91&gt;50,("C"),IF(J91&gt;0,("K"),"0"))))</f>
        <v>0</v>
      </c>
      <c r="N91" s="1471"/>
      <c r="O91" s="1471"/>
      <c r="P91" s="1471"/>
      <c r="Q91" s="1472"/>
      <c r="R91" s="1473"/>
      <c r="S91" s="1473"/>
      <c r="T91" s="1057">
        <f>AVERAGE(J91:J93)</f>
        <v>0</v>
      </c>
      <c r="U91" s="1194" t="str">
        <f>IF(T91&gt;85,("A"),IF(T91&gt;80,("A-"),IF(T91&gt;75,("B+"),IF(T91&gt;70,("B"),IF(T91&gt;65,("B-"),IF(T91&gt;60,("C+"),IF(T91&gt;55,("C"),IF(T91&gt;50,("C-"),"D+"))))))))</f>
        <v>D+</v>
      </c>
    </row>
    <row r="92" spans="1:21" ht="20.100000000000001" customHeight="1" x14ac:dyDescent="0.25">
      <c r="A92" s="360"/>
      <c r="B92" s="683">
        <v>22</v>
      </c>
      <c r="C92" s="1839"/>
      <c r="D92" s="1893" t="s">
        <v>8</v>
      </c>
      <c r="E92" s="627"/>
      <c r="F92" s="1905">
        <f t="shared" ref="F92:F93" si="126">E92*2</f>
        <v>0</v>
      </c>
      <c r="G92" s="1891"/>
      <c r="H92" s="627">
        <f>VLOOKUP(B91,REKAP_NILAI,50,FALSE)</f>
        <v>0</v>
      </c>
      <c r="I92" s="709">
        <f t="shared" ref="I92:I93" si="127">F92+G92+H92</f>
        <v>0</v>
      </c>
      <c r="J92" s="710">
        <f t="shared" ref="J92:J93" si="128">(F92+G92+H92)/4</f>
        <v>0</v>
      </c>
      <c r="K92" s="711" t="str">
        <f t="shared" ref="K92:K94" si="129">IF(J92&gt;85,("4"),IF(J92&gt;80,("3.66"),IF(J92&gt;75,("3.33"),IF(J92&gt;70,("3.00"),IF(J92&gt;65,("2.66"),IF(J92&gt;60,("2.33"),IF(J92&gt;55,("2"),IF(J92&gt;50,("1.66"),"1.33"))))))))</f>
        <v>1.33</v>
      </c>
      <c r="L92" s="711" t="str">
        <f t="shared" ref="L92:L94" si="130">IF(J92&gt;85,("A"),IF(J92&gt;80,("A-"),IF(J92&gt;75,("B+"),IF(J92&gt;70,("B"),IF(J92&gt;65,("B-"),IF(J92&gt;60,("C+"),IF(J92&gt;55,("C"),IF(J92&gt;50,("C-"),"D+"))))))))</f>
        <v>D+</v>
      </c>
      <c r="M92" s="712" t="str">
        <f t="shared" ref="M92:M94" si="131">IF(J92&gt;80,("SB"),IF(J92&gt;65,("B"),IF(J92&gt;50,("C"),IF(J92&gt;0,("K"),"0"))))</f>
        <v>0</v>
      </c>
      <c r="N92" s="1463"/>
      <c r="O92" s="1464"/>
      <c r="P92" s="1464"/>
      <c r="Q92" s="1465"/>
      <c r="R92" s="1465"/>
      <c r="S92" s="1466"/>
      <c r="T92" s="1482"/>
      <c r="U92" s="1483"/>
    </row>
    <row r="93" spans="1:21" ht="20.100000000000001" customHeight="1" x14ac:dyDescent="0.25">
      <c r="A93" s="360"/>
      <c r="B93" s="683">
        <v>22</v>
      </c>
      <c r="C93" s="1839"/>
      <c r="D93" s="1893" t="s">
        <v>18</v>
      </c>
      <c r="E93" s="627"/>
      <c r="F93" s="1905">
        <f t="shared" si="126"/>
        <v>0</v>
      </c>
      <c r="G93" s="1891"/>
      <c r="H93" s="627">
        <f>VLOOKUP(B91,REKAP_NILAI,51,FALSE)</f>
        <v>0</v>
      </c>
      <c r="I93" s="709">
        <f t="shared" si="127"/>
        <v>0</v>
      </c>
      <c r="J93" s="710">
        <f t="shared" si="128"/>
        <v>0</v>
      </c>
      <c r="K93" s="711" t="str">
        <f t="shared" si="129"/>
        <v>1.33</v>
      </c>
      <c r="L93" s="711" t="str">
        <f t="shared" si="130"/>
        <v>D+</v>
      </c>
      <c r="M93" s="712" t="str">
        <f t="shared" si="131"/>
        <v>0</v>
      </c>
      <c r="N93" s="1467"/>
      <c r="O93" s="1468"/>
      <c r="P93" s="1468"/>
      <c r="Q93" s="1469"/>
      <c r="R93" s="1469"/>
      <c r="S93" s="1470"/>
      <c r="T93" s="1484"/>
      <c r="U93" s="1485"/>
    </row>
    <row r="94" spans="1:21" ht="20.100000000000001" customHeight="1" x14ac:dyDescent="0.25">
      <c r="A94" s="697"/>
      <c r="B94" s="698"/>
      <c r="C94" s="635" t="s">
        <v>149</v>
      </c>
      <c r="D94" s="700">
        <v>22</v>
      </c>
      <c r="E94" s="697"/>
      <c r="F94" s="1906"/>
      <c r="G94" s="697"/>
      <c r="H94" s="1189">
        <f>AVERAGE(H91:H93)</f>
        <v>0</v>
      </c>
      <c r="I94" s="705"/>
      <c r="J94" s="713">
        <f>AVERAGE(J91:J93)</f>
        <v>0</v>
      </c>
      <c r="K94" s="714" t="str">
        <f t="shared" si="129"/>
        <v>1.33</v>
      </c>
      <c r="L94" s="714" t="str">
        <f t="shared" si="130"/>
        <v>D+</v>
      </c>
      <c r="M94" s="888" t="str">
        <f t="shared" si="131"/>
        <v>0</v>
      </c>
      <c r="N94" s="1154"/>
      <c r="O94" s="1155"/>
      <c r="P94" s="1155"/>
      <c r="Q94" s="1155"/>
      <c r="R94" s="1155"/>
      <c r="S94" s="1162"/>
      <c r="T94" s="1486"/>
      <c r="U94" s="1487"/>
    </row>
    <row r="95" spans="1:21" ht="20.100000000000001" customHeight="1" thickBot="1" x14ac:dyDescent="0.3">
      <c r="A95" s="360">
        <v>23</v>
      </c>
      <c r="B95" s="683">
        <v>23</v>
      </c>
      <c r="C95" s="1838" t="str">
        <f>VLOOKUP(A95,data_siswa,4,FALSE)</f>
        <v xml:space="preserve">Tania Kaori Angelita </v>
      </c>
      <c r="D95" s="1893" t="s">
        <v>10</v>
      </c>
      <c r="E95" s="627"/>
      <c r="F95" s="1904">
        <f>E95*2</f>
        <v>0</v>
      </c>
      <c r="G95" s="1891"/>
      <c r="H95" s="627">
        <f>VLOOKUP(B95,REKAP_NILAI,49,FALSE)</f>
        <v>0</v>
      </c>
      <c r="I95" s="706">
        <f>F95+G95+H95</f>
        <v>0</v>
      </c>
      <c r="J95" s="707">
        <f>(F95+G95+H95)/4</f>
        <v>0</v>
      </c>
      <c r="K95" s="708" t="str">
        <f>IF(J95&gt;85,("4"),IF(J95&gt;80,("3.66"),IF(J95&gt;75,("3.33"),IF(J95&gt;70,("3.00"),IF(J95&gt;65,("2.66"),IF(J95&gt;60,("2.33"),IF(J95&gt;55,("2"),IF(J95&gt;50,("1.66"),"1.33"))))))))</f>
        <v>1.33</v>
      </c>
      <c r="L95" s="708" t="str">
        <f>IF(J95&gt;85,("A"),IF(J95&gt;80,("A-"),IF(J95&gt;75,("B+"),IF(J95&gt;70,("B"),IF(J95&gt;65,("B-"),IF(J95&gt;60,("C+"),IF(J95&gt;55,("C"),IF(J95&gt;50,("C-"),"D+"))))))))</f>
        <v>D+</v>
      </c>
      <c r="M95" s="887" t="str">
        <f>IF(J95&gt;80,("SB"),IF(J95&gt;65,("B"),IF(J95&gt;50,("C"),IF(J95&gt;0,("K"),"0"))))</f>
        <v>0</v>
      </c>
      <c r="N95" s="1471"/>
      <c r="O95" s="1471"/>
      <c r="P95" s="1471"/>
      <c r="Q95" s="1472"/>
      <c r="R95" s="1473"/>
      <c r="S95" s="1473"/>
      <c r="T95" s="1057">
        <f>AVERAGE(J95:J97)</f>
        <v>0</v>
      </c>
      <c r="U95" s="1194" t="str">
        <f>IF(T95&gt;85,("A"),IF(T95&gt;80,("A-"),IF(T95&gt;75,("B+"),IF(T95&gt;70,("B"),IF(T95&gt;65,("B-"),IF(T95&gt;60,("C+"),IF(T95&gt;55,("C"),IF(T95&gt;50,("C-"),"D+"))))))))</f>
        <v>D+</v>
      </c>
    </row>
    <row r="96" spans="1:21" ht="20.100000000000001" customHeight="1" x14ac:dyDescent="0.25">
      <c r="A96" s="360"/>
      <c r="B96" s="683">
        <v>23</v>
      </c>
      <c r="C96" s="1839"/>
      <c r="D96" s="1893" t="s">
        <v>8</v>
      </c>
      <c r="E96" s="627"/>
      <c r="F96" s="1905">
        <f t="shared" ref="F96:F97" si="132">E96*2</f>
        <v>0</v>
      </c>
      <c r="G96" s="1891"/>
      <c r="H96" s="627">
        <f>VLOOKUP(B95,REKAP_NILAI,50,FALSE)</f>
        <v>0</v>
      </c>
      <c r="I96" s="709">
        <f t="shared" ref="I96:I97" si="133">F96+G96+H96</f>
        <v>0</v>
      </c>
      <c r="J96" s="710">
        <f t="shared" ref="J96:J97" si="134">(F96+G96+H96)/4</f>
        <v>0</v>
      </c>
      <c r="K96" s="711" t="str">
        <f t="shared" ref="K96:K98" si="135">IF(J96&gt;85,("4"),IF(J96&gt;80,("3.66"),IF(J96&gt;75,("3.33"),IF(J96&gt;70,("3.00"),IF(J96&gt;65,("2.66"),IF(J96&gt;60,("2.33"),IF(J96&gt;55,("2"),IF(J96&gt;50,("1.66"),"1.33"))))))))</f>
        <v>1.33</v>
      </c>
      <c r="L96" s="711" t="str">
        <f t="shared" ref="L96:L98" si="136">IF(J96&gt;85,("A"),IF(J96&gt;80,("A-"),IF(J96&gt;75,("B+"),IF(J96&gt;70,("B"),IF(J96&gt;65,("B-"),IF(J96&gt;60,("C+"),IF(J96&gt;55,("C"),IF(J96&gt;50,("C-"),"D+"))))))))</f>
        <v>D+</v>
      </c>
      <c r="M96" s="712" t="str">
        <f t="shared" ref="M96:M98" si="137">IF(J96&gt;80,("SB"),IF(J96&gt;65,("B"),IF(J96&gt;50,("C"),IF(J96&gt;0,("K"),"0"))))</f>
        <v>0</v>
      </c>
      <c r="N96" s="1463"/>
      <c r="O96" s="1464"/>
      <c r="P96" s="1464"/>
      <c r="Q96" s="1465"/>
      <c r="R96" s="1465"/>
      <c r="S96" s="1466"/>
      <c r="T96" s="1482"/>
      <c r="U96" s="1483"/>
    </row>
    <row r="97" spans="1:21" ht="20.100000000000001" customHeight="1" x14ac:dyDescent="0.25">
      <c r="A97" s="360"/>
      <c r="B97" s="683">
        <v>23</v>
      </c>
      <c r="C97" s="1839"/>
      <c r="D97" s="1893" t="s">
        <v>18</v>
      </c>
      <c r="E97" s="627"/>
      <c r="F97" s="1905">
        <f t="shared" si="132"/>
        <v>0</v>
      </c>
      <c r="G97" s="1891"/>
      <c r="H97" s="627">
        <f>VLOOKUP(B95,REKAP_NILAI,51,FALSE)</f>
        <v>0</v>
      </c>
      <c r="I97" s="709">
        <f t="shared" si="133"/>
        <v>0</v>
      </c>
      <c r="J97" s="710">
        <f t="shared" si="134"/>
        <v>0</v>
      </c>
      <c r="K97" s="711" t="str">
        <f t="shared" si="135"/>
        <v>1.33</v>
      </c>
      <c r="L97" s="711" t="str">
        <f t="shared" si="136"/>
        <v>D+</v>
      </c>
      <c r="M97" s="712" t="str">
        <f t="shared" si="137"/>
        <v>0</v>
      </c>
      <c r="N97" s="1467"/>
      <c r="O97" s="1468"/>
      <c r="P97" s="1468"/>
      <c r="Q97" s="1469"/>
      <c r="R97" s="1469"/>
      <c r="S97" s="1470"/>
      <c r="T97" s="1484"/>
      <c r="U97" s="1485"/>
    </row>
    <row r="98" spans="1:21" ht="20.100000000000001" customHeight="1" x14ac:dyDescent="0.25">
      <c r="A98" s="697"/>
      <c r="B98" s="698"/>
      <c r="C98" s="635" t="s">
        <v>149</v>
      </c>
      <c r="D98" s="700">
        <v>23</v>
      </c>
      <c r="E98" s="697"/>
      <c r="F98" s="1906"/>
      <c r="G98" s="697"/>
      <c r="H98" s="1189">
        <f>AVERAGE(H95:H97)</f>
        <v>0</v>
      </c>
      <c r="I98" s="705"/>
      <c r="J98" s="713">
        <f>AVERAGE(J95:J97)</f>
        <v>0</v>
      </c>
      <c r="K98" s="714" t="str">
        <f t="shared" si="135"/>
        <v>1.33</v>
      </c>
      <c r="L98" s="714" t="str">
        <f t="shared" si="136"/>
        <v>D+</v>
      </c>
      <c r="M98" s="888" t="str">
        <f t="shared" si="137"/>
        <v>0</v>
      </c>
      <c r="N98" s="1154"/>
      <c r="O98" s="1155"/>
      <c r="P98" s="1155"/>
      <c r="Q98" s="1155"/>
      <c r="R98" s="1155"/>
      <c r="S98" s="1162"/>
      <c r="T98" s="1486"/>
      <c r="U98" s="1487"/>
    </row>
    <row r="99" spans="1:21" ht="20.100000000000001" customHeight="1" thickBot="1" x14ac:dyDescent="0.3">
      <c r="A99" s="360">
        <v>24</v>
      </c>
      <c r="B99" s="683">
        <v>24</v>
      </c>
      <c r="C99" s="1838" t="str">
        <f>VLOOKUP(A99,data_siswa,4,FALSE)</f>
        <v>Romzy Oka Ramadhani P</v>
      </c>
      <c r="D99" s="1893" t="s">
        <v>10</v>
      </c>
      <c r="E99" s="627"/>
      <c r="F99" s="1904">
        <f>E99*2</f>
        <v>0</v>
      </c>
      <c r="G99" s="1891"/>
      <c r="H99" s="627">
        <f>VLOOKUP(B99,REKAP_NILAI,49,FALSE)</f>
        <v>0</v>
      </c>
      <c r="I99" s="706">
        <f>F99+G99+H99</f>
        <v>0</v>
      </c>
      <c r="J99" s="707">
        <f>(F99+G99+H99)/4</f>
        <v>0</v>
      </c>
      <c r="K99" s="708" t="str">
        <f>IF(J99&gt;85,("4"),IF(J99&gt;80,("3.66"),IF(J99&gt;75,("3.33"),IF(J99&gt;70,("3.00"),IF(J99&gt;65,("2.66"),IF(J99&gt;60,("2.33"),IF(J99&gt;55,("2"),IF(J99&gt;50,("1.66"),"1.33"))))))))</f>
        <v>1.33</v>
      </c>
      <c r="L99" s="708" t="str">
        <f>IF(J99&gt;85,("A"),IF(J99&gt;80,("A-"),IF(J99&gt;75,("B+"),IF(J99&gt;70,("B"),IF(J99&gt;65,("B-"),IF(J99&gt;60,("C+"),IF(J99&gt;55,("C"),IF(J99&gt;50,("C-"),"D+"))))))))</f>
        <v>D+</v>
      </c>
      <c r="M99" s="887" t="str">
        <f>IF(J99&gt;80,("SB"),IF(J99&gt;65,("B"),IF(J99&gt;50,("C"),IF(J99&gt;0,("K"),"0"))))</f>
        <v>0</v>
      </c>
      <c r="N99" s="1471"/>
      <c r="O99" s="1471"/>
      <c r="P99" s="1471"/>
      <c r="Q99" s="1472"/>
      <c r="R99" s="1473"/>
      <c r="S99" s="1473"/>
      <c r="T99" s="1057">
        <f>AVERAGE(J99:J101)</f>
        <v>0</v>
      </c>
      <c r="U99" s="1194" t="str">
        <f>IF(T99&gt;85,("A"),IF(T99&gt;80,("A-"),IF(T99&gt;75,("B+"),IF(T99&gt;70,("B"),IF(T99&gt;65,("B-"),IF(T99&gt;60,("C+"),IF(T99&gt;55,("C"),IF(T99&gt;50,("C-"),"D+"))))))))</f>
        <v>D+</v>
      </c>
    </row>
    <row r="100" spans="1:21" ht="20.100000000000001" customHeight="1" x14ac:dyDescent="0.25">
      <c r="A100" s="360"/>
      <c r="B100" s="683">
        <v>24</v>
      </c>
      <c r="C100" s="1839"/>
      <c r="D100" s="1893" t="s">
        <v>8</v>
      </c>
      <c r="E100" s="627"/>
      <c r="F100" s="1905">
        <f t="shared" ref="F100:F101" si="138">E100*2</f>
        <v>0</v>
      </c>
      <c r="G100" s="1891"/>
      <c r="H100" s="627">
        <f>VLOOKUP(B99,REKAP_NILAI,50,FALSE)</f>
        <v>0</v>
      </c>
      <c r="I100" s="709">
        <f t="shared" ref="I100:I101" si="139">F100+G100+H100</f>
        <v>0</v>
      </c>
      <c r="J100" s="710">
        <f t="shared" ref="J100:J101" si="140">(F100+G100+H100)/4</f>
        <v>0</v>
      </c>
      <c r="K100" s="711" t="str">
        <f t="shared" ref="K100:K102" si="141">IF(J100&gt;85,("4"),IF(J100&gt;80,("3.66"),IF(J100&gt;75,("3.33"),IF(J100&gt;70,("3.00"),IF(J100&gt;65,("2.66"),IF(J100&gt;60,("2.33"),IF(J100&gt;55,("2"),IF(J100&gt;50,("1.66"),"1.33"))))))))</f>
        <v>1.33</v>
      </c>
      <c r="L100" s="711" t="str">
        <f t="shared" ref="L100:L102" si="142">IF(J100&gt;85,("A"),IF(J100&gt;80,("A-"),IF(J100&gt;75,("B+"),IF(J100&gt;70,("B"),IF(J100&gt;65,("B-"),IF(J100&gt;60,("C+"),IF(J100&gt;55,("C"),IF(J100&gt;50,("C-"),"D+"))))))))</f>
        <v>D+</v>
      </c>
      <c r="M100" s="712" t="str">
        <f t="shared" ref="M100:M102" si="143">IF(J100&gt;80,("SB"),IF(J100&gt;65,("B"),IF(J100&gt;50,("C"),IF(J100&gt;0,("K"),"0"))))</f>
        <v>0</v>
      </c>
      <c r="N100" s="1463"/>
      <c r="O100" s="1464"/>
      <c r="P100" s="1464"/>
      <c r="Q100" s="1465"/>
      <c r="R100" s="1465"/>
      <c r="S100" s="1466"/>
      <c r="T100" s="1482"/>
      <c r="U100" s="1483"/>
    </row>
    <row r="101" spans="1:21" ht="20.100000000000001" customHeight="1" x14ac:dyDescent="0.25">
      <c r="A101" s="360"/>
      <c r="B101" s="683">
        <v>24</v>
      </c>
      <c r="C101" s="1839"/>
      <c r="D101" s="1893" t="s">
        <v>18</v>
      </c>
      <c r="E101" s="627"/>
      <c r="F101" s="1905">
        <f t="shared" si="138"/>
        <v>0</v>
      </c>
      <c r="G101" s="1891"/>
      <c r="H101" s="627">
        <f>VLOOKUP(B99,REKAP_NILAI,51,FALSE)</f>
        <v>0</v>
      </c>
      <c r="I101" s="709">
        <f t="shared" si="139"/>
        <v>0</v>
      </c>
      <c r="J101" s="710">
        <f t="shared" si="140"/>
        <v>0</v>
      </c>
      <c r="K101" s="711" t="str">
        <f t="shared" si="141"/>
        <v>1.33</v>
      </c>
      <c r="L101" s="711" t="str">
        <f t="shared" si="142"/>
        <v>D+</v>
      </c>
      <c r="M101" s="712" t="str">
        <f t="shared" si="143"/>
        <v>0</v>
      </c>
      <c r="N101" s="1467"/>
      <c r="O101" s="1468"/>
      <c r="P101" s="1468"/>
      <c r="Q101" s="1469"/>
      <c r="R101" s="1469"/>
      <c r="S101" s="1470"/>
      <c r="T101" s="1484"/>
      <c r="U101" s="1485"/>
    </row>
    <row r="102" spans="1:21" ht="20.100000000000001" customHeight="1" x14ac:dyDescent="0.25">
      <c r="A102" s="697"/>
      <c r="B102" s="698"/>
      <c r="C102" s="635" t="s">
        <v>149</v>
      </c>
      <c r="D102" s="700">
        <v>24</v>
      </c>
      <c r="E102" s="697"/>
      <c r="F102" s="1906"/>
      <c r="G102" s="697"/>
      <c r="H102" s="1189">
        <f>AVERAGE(H99:H101)</f>
        <v>0</v>
      </c>
      <c r="I102" s="705"/>
      <c r="J102" s="713">
        <f>AVERAGE(J99:J101)</f>
        <v>0</v>
      </c>
      <c r="K102" s="714" t="str">
        <f t="shared" si="141"/>
        <v>1.33</v>
      </c>
      <c r="L102" s="714" t="str">
        <f t="shared" si="142"/>
        <v>D+</v>
      </c>
      <c r="M102" s="888" t="str">
        <f t="shared" si="143"/>
        <v>0</v>
      </c>
      <c r="N102" s="1154"/>
      <c r="O102" s="1155"/>
      <c r="P102" s="1155"/>
      <c r="Q102" s="1155"/>
      <c r="R102" s="1155"/>
      <c r="S102" s="1162"/>
      <c r="T102" s="1486"/>
      <c r="U102" s="1487"/>
    </row>
    <row r="103" spans="1:21" ht="20.100000000000001" customHeight="1" thickBot="1" x14ac:dyDescent="0.3">
      <c r="A103" s="360">
        <v>25</v>
      </c>
      <c r="B103" s="683">
        <v>25</v>
      </c>
      <c r="C103" s="1838" t="str">
        <f>VLOOKUP(A103,data_siswa,4,FALSE)</f>
        <v>Larasati Jagadhita P</v>
      </c>
      <c r="D103" s="1893" t="s">
        <v>10</v>
      </c>
      <c r="E103" s="627"/>
      <c r="F103" s="1904">
        <f>E103*2</f>
        <v>0</v>
      </c>
      <c r="G103" s="1891"/>
      <c r="H103" s="627">
        <f>VLOOKUP(B103,REKAP_NILAI,49,FALSE)</f>
        <v>0</v>
      </c>
      <c r="I103" s="706">
        <f>F103+G103+H103</f>
        <v>0</v>
      </c>
      <c r="J103" s="707">
        <f>(F103+G103+H103)/4</f>
        <v>0</v>
      </c>
      <c r="K103" s="708" t="str">
        <f>IF(J103&gt;85,("4"),IF(J103&gt;80,("3.66"),IF(J103&gt;75,("3.33"),IF(J103&gt;70,("3.00"),IF(J103&gt;65,("2.66"),IF(J103&gt;60,("2.33"),IF(J103&gt;55,("2"),IF(J103&gt;50,("1.66"),"1.33"))))))))</f>
        <v>1.33</v>
      </c>
      <c r="L103" s="708" t="str">
        <f>IF(J103&gt;85,("A"),IF(J103&gt;80,("A-"),IF(J103&gt;75,("B+"),IF(J103&gt;70,("B"),IF(J103&gt;65,("B-"),IF(J103&gt;60,("C+"),IF(J103&gt;55,("C"),IF(J103&gt;50,("C-"),"D+"))))))))</f>
        <v>D+</v>
      </c>
      <c r="M103" s="887" t="str">
        <f>IF(J103&gt;80,("SB"),IF(J103&gt;65,("B"),IF(J103&gt;50,("C"),IF(J103&gt;0,("K"),"0"))))</f>
        <v>0</v>
      </c>
      <c r="N103" s="1471"/>
      <c r="O103" s="1471"/>
      <c r="P103" s="1471"/>
      <c r="Q103" s="1472"/>
      <c r="R103" s="1473"/>
      <c r="S103" s="1473"/>
      <c r="T103" s="1057">
        <f>AVERAGE(J103:J105)</f>
        <v>0</v>
      </c>
      <c r="U103" s="1194" t="str">
        <f>IF(T103&gt;85,("A"),IF(T103&gt;80,("A-"),IF(T103&gt;75,("B+"),IF(T103&gt;70,("B"),IF(T103&gt;65,("B-"),IF(T103&gt;60,("C+"),IF(T103&gt;55,("C"),IF(T103&gt;50,("C-"),"D+"))))))))</f>
        <v>D+</v>
      </c>
    </row>
    <row r="104" spans="1:21" ht="20.100000000000001" customHeight="1" x14ac:dyDescent="0.25">
      <c r="A104" s="360"/>
      <c r="B104" s="683">
        <v>25</v>
      </c>
      <c r="C104" s="1839"/>
      <c r="D104" s="1893" t="s">
        <v>8</v>
      </c>
      <c r="E104" s="627"/>
      <c r="F104" s="1905">
        <f t="shared" ref="F104:F105" si="144">E104*2</f>
        <v>0</v>
      </c>
      <c r="G104" s="1891"/>
      <c r="H104" s="627">
        <f>VLOOKUP(B103,REKAP_NILAI,50,FALSE)</f>
        <v>0</v>
      </c>
      <c r="I104" s="709">
        <f t="shared" ref="I104:I105" si="145">F104+G104+H104</f>
        <v>0</v>
      </c>
      <c r="J104" s="710">
        <f t="shared" ref="J104:J105" si="146">(F104+G104+H104)/4</f>
        <v>0</v>
      </c>
      <c r="K104" s="711" t="str">
        <f t="shared" ref="K104:K106" si="147">IF(J104&gt;85,("4"),IF(J104&gt;80,("3.66"),IF(J104&gt;75,("3.33"),IF(J104&gt;70,("3.00"),IF(J104&gt;65,("2.66"),IF(J104&gt;60,("2.33"),IF(J104&gt;55,("2"),IF(J104&gt;50,("1.66"),"1.33"))))))))</f>
        <v>1.33</v>
      </c>
      <c r="L104" s="711" t="str">
        <f t="shared" ref="L104:L106" si="148">IF(J104&gt;85,("A"),IF(J104&gt;80,("A-"),IF(J104&gt;75,("B+"),IF(J104&gt;70,("B"),IF(J104&gt;65,("B-"),IF(J104&gt;60,("C+"),IF(J104&gt;55,("C"),IF(J104&gt;50,("C-"),"D+"))))))))</f>
        <v>D+</v>
      </c>
      <c r="M104" s="712" t="str">
        <f t="shared" ref="M104:M106" si="149">IF(J104&gt;80,("SB"),IF(J104&gt;65,("B"),IF(J104&gt;50,("C"),IF(J104&gt;0,("K"),"0"))))</f>
        <v>0</v>
      </c>
      <c r="N104" s="1463"/>
      <c r="O104" s="1464"/>
      <c r="P104" s="1464"/>
      <c r="Q104" s="1465"/>
      <c r="R104" s="1465"/>
      <c r="S104" s="1466"/>
      <c r="T104" s="1482"/>
      <c r="U104" s="1483"/>
    </row>
    <row r="105" spans="1:21" ht="20.100000000000001" customHeight="1" x14ac:dyDescent="0.25">
      <c r="A105" s="360"/>
      <c r="B105" s="683">
        <v>25</v>
      </c>
      <c r="C105" s="1839"/>
      <c r="D105" s="1893" t="s">
        <v>18</v>
      </c>
      <c r="E105" s="627"/>
      <c r="F105" s="1905">
        <f t="shared" si="144"/>
        <v>0</v>
      </c>
      <c r="G105" s="1891"/>
      <c r="H105" s="627">
        <f>VLOOKUP(B103,REKAP_NILAI,51,FALSE)</f>
        <v>0</v>
      </c>
      <c r="I105" s="709">
        <f t="shared" si="145"/>
        <v>0</v>
      </c>
      <c r="J105" s="710">
        <f t="shared" si="146"/>
        <v>0</v>
      </c>
      <c r="K105" s="711" t="str">
        <f t="shared" si="147"/>
        <v>1.33</v>
      </c>
      <c r="L105" s="711" t="str">
        <f t="shared" si="148"/>
        <v>D+</v>
      </c>
      <c r="M105" s="712" t="str">
        <f t="shared" si="149"/>
        <v>0</v>
      </c>
      <c r="N105" s="1467"/>
      <c r="O105" s="1468"/>
      <c r="P105" s="1468"/>
      <c r="Q105" s="1469"/>
      <c r="R105" s="1469"/>
      <c r="S105" s="1470"/>
      <c r="T105" s="1484"/>
      <c r="U105" s="1485"/>
    </row>
    <row r="106" spans="1:21" ht="20.100000000000001" customHeight="1" x14ac:dyDescent="0.25">
      <c r="A106" s="697"/>
      <c r="B106" s="698"/>
      <c r="C106" s="635" t="s">
        <v>149</v>
      </c>
      <c r="D106" s="700">
        <v>25</v>
      </c>
      <c r="E106" s="697"/>
      <c r="F106" s="1906"/>
      <c r="G106" s="697"/>
      <c r="H106" s="1189">
        <f>AVERAGE(H103:H105)</f>
        <v>0</v>
      </c>
      <c r="I106" s="705"/>
      <c r="J106" s="713">
        <f>AVERAGE(J103:J105)</f>
        <v>0</v>
      </c>
      <c r="K106" s="714" t="str">
        <f t="shared" si="147"/>
        <v>1.33</v>
      </c>
      <c r="L106" s="714" t="str">
        <f t="shared" si="148"/>
        <v>D+</v>
      </c>
      <c r="M106" s="888" t="str">
        <f t="shared" si="149"/>
        <v>0</v>
      </c>
      <c r="N106" s="1154"/>
      <c r="O106" s="1155"/>
      <c r="P106" s="1155"/>
      <c r="Q106" s="1155"/>
      <c r="R106" s="1155"/>
      <c r="S106" s="1162"/>
      <c r="T106" s="1486"/>
      <c r="U106" s="1487"/>
    </row>
    <row r="107" spans="1:21" ht="20.100000000000001" customHeight="1" thickBot="1" x14ac:dyDescent="0.3">
      <c r="A107" s="1892">
        <v>26</v>
      </c>
      <c r="B107" s="1326">
        <v>26</v>
      </c>
      <c r="C107" s="1840" t="str">
        <f>VLOOKUP(A107,data_siswa,4,FALSE)</f>
        <v>Meliana Citra A</v>
      </c>
      <c r="D107" s="1893" t="s">
        <v>10</v>
      </c>
      <c r="E107" s="627"/>
      <c r="F107" s="1904">
        <f>E107*2</f>
        <v>0</v>
      </c>
      <c r="G107" s="1891"/>
      <c r="H107" s="627">
        <f>VLOOKUP(B107,REKAP_NILAI,49,FALSE)</f>
        <v>0</v>
      </c>
      <c r="I107" s="706">
        <f>F107+G107+H107</f>
        <v>0</v>
      </c>
      <c r="J107" s="707">
        <f>(F107+G107+H107)/4</f>
        <v>0</v>
      </c>
      <c r="K107" s="708" t="str">
        <f>IF(J107&gt;85,("4"),IF(J107&gt;80,("3.66"),IF(J107&gt;75,("3.33"),IF(J107&gt;70,("3.00"),IF(J107&gt;65,("2.66"),IF(J107&gt;60,("2.33"),IF(J107&gt;55,("2"),IF(J107&gt;50,("1.66"),"1.33"))))))))</f>
        <v>1.33</v>
      </c>
      <c r="L107" s="708" t="str">
        <f>IF(J107&gt;85,("A"),IF(J107&gt;80,("A-"),IF(J107&gt;75,("B+"),IF(J107&gt;70,("B"),IF(J107&gt;65,("B-"),IF(J107&gt;60,("C+"),IF(J107&gt;55,("C"),IF(J107&gt;50,("C-"),"D+"))))))))</f>
        <v>D+</v>
      </c>
      <c r="M107" s="887" t="str">
        <f>IF(J107&gt;80,("SB"),IF(J107&gt;65,("B"),IF(J107&gt;50,("C"),IF(J107&gt;0,("K"),"0"))))</f>
        <v>0</v>
      </c>
      <c r="N107" s="1474"/>
      <c r="O107" s="1474"/>
      <c r="P107" s="1474"/>
      <c r="Q107" s="1475"/>
      <c r="R107" s="1476"/>
      <c r="S107" s="1476"/>
      <c r="T107" s="1057">
        <f>AVERAGE(J107:J109)</f>
        <v>0</v>
      </c>
      <c r="U107" s="1194" t="str">
        <f>IF(T107&gt;85,("A"),IF(T107&gt;80,("A-"),IF(T107&gt;75,("B+"),IF(T107&gt;70,("B"),IF(T107&gt;65,("B-"),IF(T107&gt;60,("C+"),IF(T107&gt;55,("C"),IF(T107&gt;50,("C-"),"D+"))))))))</f>
        <v>D+</v>
      </c>
    </row>
    <row r="108" spans="1:21" ht="20.100000000000001" customHeight="1" x14ac:dyDescent="0.25">
      <c r="A108" s="360"/>
      <c r="B108" s="1326">
        <v>26</v>
      </c>
      <c r="C108" s="1839"/>
      <c r="D108" s="1893" t="s">
        <v>8</v>
      </c>
      <c r="E108" s="627"/>
      <c r="F108" s="1905">
        <f t="shared" ref="F108:F109" si="150">E108*2</f>
        <v>0</v>
      </c>
      <c r="G108" s="1891"/>
      <c r="H108" s="627">
        <f>VLOOKUP(B107,REKAP_NILAI,50,FALSE)</f>
        <v>0</v>
      </c>
      <c r="I108" s="709">
        <f t="shared" ref="I108:I109" si="151">F108+G108+H108</f>
        <v>0</v>
      </c>
      <c r="J108" s="710">
        <f t="shared" ref="J108:J109" si="152">(F108+G108+H108)/4</f>
        <v>0</v>
      </c>
      <c r="K108" s="711" t="str">
        <f t="shared" ref="K108:K110" si="153">IF(J108&gt;85,("4"),IF(J108&gt;80,("3.66"),IF(J108&gt;75,("3.33"),IF(J108&gt;70,("3.00"),IF(J108&gt;65,("2.66"),IF(J108&gt;60,("2.33"),IF(J108&gt;55,("2"),IF(J108&gt;50,("1.66"),"1.33"))))))))</f>
        <v>1.33</v>
      </c>
      <c r="L108" s="711" t="str">
        <f t="shared" ref="L108:L110" si="154">IF(J108&gt;85,("A"),IF(J108&gt;80,("A-"),IF(J108&gt;75,("B+"),IF(J108&gt;70,("B"),IF(J108&gt;65,("B-"),IF(J108&gt;60,("C+"),IF(J108&gt;55,("C"),IF(J108&gt;50,("C-"),"D+"))))))))</f>
        <v>D+</v>
      </c>
      <c r="M108" s="712" t="str">
        <f t="shared" ref="M108:M110" si="155">IF(J108&gt;80,("SB"),IF(J108&gt;65,("B"),IF(J108&gt;50,("C"),IF(J108&gt;0,("K"),"0"))))</f>
        <v>0</v>
      </c>
      <c r="N108" s="1463"/>
      <c r="O108" s="1464"/>
      <c r="P108" s="1464"/>
      <c r="Q108" s="1465"/>
      <c r="R108" s="1465"/>
      <c r="S108" s="1466"/>
      <c r="T108" s="1482"/>
      <c r="U108" s="1483"/>
    </row>
    <row r="109" spans="1:21" ht="20.100000000000001" customHeight="1" x14ac:dyDescent="0.25">
      <c r="A109" s="360"/>
      <c r="B109" s="1326">
        <v>26</v>
      </c>
      <c r="C109" s="1839"/>
      <c r="D109" s="1893" t="s">
        <v>18</v>
      </c>
      <c r="E109" s="627"/>
      <c r="F109" s="1905">
        <f t="shared" si="150"/>
        <v>0</v>
      </c>
      <c r="G109" s="1891"/>
      <c r="H109" s="627">
        <f>VLOOKUP(B107,REKAP_NILAI,51,FALSE)</f>
        <v>0</v>
      </c>
      <c r="I109" s="709">
        <f t="shared" si="151"/>
        <v>0</v>
      </c>
      <c r="J109" s="710">
        <f t="shared" si="152"/>
        <v>0</v>
      </c>
      <c r="K109" s="711" t="str">
        <f t="shared" si="153"/>
        <v>1.33</v>
      </c>
      <c r="L109" s="711" t="str">
        <f t="shared" si="154"/>
        <v>D+</v>
      </c>
      <c r="M109" s="712" t="str">
        <f t="shared" si="155"/>
        <v>0</v>
      </c>
      <c r="N109" s="1467"/>
      <c r="O109" s="1468"/>
      <c r="P109" s="1468"/>
      <c r="Q109" s="1469"/>
      <c r="R109" s="1469"/>
      <c r="S109" s="1470"/>
      <c r="T109" s="1484"/>
      <c r="U109" s="1485"/>
    </row>
    <row r="110" spans="1:21" ht="20.100000000000001" customHeight="1" x14ac:dyDescent="0.25">
      <c r="A110" s="697"/>
      <c r="B110" s="698"/>
      <c r="C110" s="635" t="s">
        <v>149</v>
      </c>
      <c r="D110" s="700">
        <v>26</v>
      </c>
      <c r="E110" s="697"/>
      <c r="F110" s="1906"/>
      <c r="G110" s="697"/>
      <c r="H110" s="1189">
        <f>AVERAGE(H107:H109)</f>
        <v>0</v>
      </c>
      <c r="I110" s="705"/>
      <c r="J110" s="713">
        <f>AVERAGE(J107:J109)</f>
        <v>0</v>
      </c>
      <c r="K110" s="714" t="str">
        <f t="shared" si="153"/>
        <v>1.33</v>
      </c>
      <c r="L110" s="714" t="str">
        <f t="shared" si="154"/>
        <v>D+</v>
      </c>
      <c r="M110" s="888" t="str">
        <f t="shared" si="155"/>
        <v>0</v>
      </c>
      <c r="N110" s="1154"/>
      <c r="O110" s="1155"/>
      <c r="P110" s="1155"/>
      <c r="Q110" s="1155"/>
      <c r="R110" s="1155"/>
      <c r="S110" s="1162"/>
      <c r="T110" s="1486"/>
      <c r="U110" s="1487"/>
    </row>
    <row r="111" spans="1:21" ht="20.100000000000001" customHeight="1" thickBot="1" x14ac:dyDescent="0.3">
      <c r="A111" s="1892">
        <v>27</v>
      </c>
      <c r="B111" s="1326">
        <v>27</v>
      </c>
      <c r="C111" s="1840" t="str">
        <f>VLOOKUP(A111,data_siswa,4,FALSE)</f>
        <v>Mohammad Rizky</v>
      </c>
      <c r="D111" s="1893" t="s">
        <v>10</v>
      </c>
      <c r="E111" s="627"/>
      <c r="F111" s="1904">
        <f>E111*2</f>
        <v>0</v>
      </c>
      <c r="G111" s="1891"/>
      <c r="H111" s="627">
        <f>VLOOKUP(B111,REKAP_NILAI,49,FALSE)</f>
        <v>0</v>
      </c>
      <c r="I111" s="706">
        <f>F111+G111+H111</f>
        <v>0</v>
      </c>
      <c r="J111" s="707">
        <f>(F111+G111+H111)/4</f>
        <v>0</v>
      </c>
      <c r="K111" s="708" t="str">
        <f>IF(J111&gt;85,("4"),IF(J111&gt;80,("3.66"),IF(J111&gt;75,("3.33"),IF(J111&gt;70,("3.00"),IF(J111&gt;65,("2.66"),IF(J111&gt;60,("2.33"),IF(J111&gt;55,("2"),IF(J111&gt;50,("1.66"),"1.33"))))))))</f>
        <v>1.33</v>
      </c>
      <c r="L111" s="708" t="str">
        <f>IF(J111&gt;85,("A"),IF(J111&gt;80,("A-"),IF(J111&gt;75,("B+"),IF(J111&gt;70,("B"),IF(J111&gt;65,("B-"),IF(J111&gt;60,("C+"),IF(J111&gt;55,("C"),IF(J111&gt;50,("C-"),"D+"))))))))</f>
        <v>D+</v>
      </c>
      <c r="M111" s="887" t="str">
        <f>IF(J111&gt;80,("SB"),IF(J111&gt;65,("B"),IF(J111&gt;50,("C"),IF(J111&gt;0,("K"),"0"))))</f>
        <v>0</v>
      </c>
      <c r="N111" s="1474"/>
      <c r="O111" s="1474"/>
      <c r="P111" s="1474"/>
      <c r="Q111" s="1475"/>
      <c r="R111" s="1476"/>
      <c r="S111" s="1476"/>
      <c r="T111" s="1057">
        <f>AVERAGE(J111:J113)</f>
        <v>0</v>
      </c>
      <c r="U111" s="1194" t="str">
        <f>IF(T111&gt;85,("A"),IF(T111&gt;80,("A-"),IF(T111&gt;75,("B+"),IF(T111&gt;70,("B"),IF(T111&gt;65,("B-"),IF(T111&gt;60,("C+"),IF(T111&gt;55,("C"),IF(T111&gt;50,("C-"),"D+"))))))))</f>
        <v>D+</v>
      </c>
    </row>
    <row r="112" spans="1:21" ht="20.100000000000001" customHeight="1" x14ac:dyDescent="0.25">
      <c r="A112" s="360"/>
      <c r="B112" s="1326">
        <v>27</v>
      </c>
      <c r="C112" s="1839"/>
      <c r="D112" s="1893" t="s">
        <v>8</v>
      </c>
      <c r="E112" s="627"/>
      <c r="F112" s="1905">
        <f t="shared" ref="F112:F113" si="156">E112*2</f>
        <v>0</v>
      </c>
      <c r="G112" s="1891"/>
      <c r="H112" s="627">
        <f>VLOOKUP(B111,REKAP_NILAI,50,FALSE)</f>
        <v>0</v>
      </c>
      <c r="I112" s="709">
        <f t="shared" ref="I112:I113" si="157">F112+G112+H112</f>
        <v>0</v>
      </c>
      <c r="J112" s="710">
        <f t="shared" ref="J112:J113" si="158">(F112+G112+H112)/4</f>
        <v>0</v>
      </c>
      <c r="K112" s="711" t="str">
        <f t="shared" ref="K112:K114" si="159">IF(J112&gt;85,("4"),IF(J112&gt;80,("3.66"),IF(J112&gt;75,("3.33"),IF(J112&gt;70,("3.00"),IF(J112&gt;65,("2.66"),IF(J112&gt;60,("2.33"),IF(J112&gt;55,("2"),IF(J112&gt;50,("1.66"),"1.33"))))))))</f>
        <v>1.33</v>
      </c>
      <c r="L112" s="711" t="str">
        <f t="shared" ref="L112:L114" si="160">IF(J112&gt;85,("A"),IF(J112&gt;80,("A-"),IF(J112&gt;75,("B+"),IF(J112&gt;70,("B"),IF(J112&gt;65,("B-"),IF(J112&gt;60,("C+"),IF(J112&gt;55,("C"),IF(J112&gt;50,("C-"),"D+"))))))))</f>
        <v>D+</v>
      </c>
      <c r="M112" s="712" t="str">
        <f t="shared" ref="M112:M114" si="161">IF(J112&gt;80,("SB"),IF(J112&gt;65,("B"),IF(J112&gt;50,("C"),IF(J112&gt;0,("K"),"0"))))</f>
        <v>0</v>
      </c>
      <c r="N112" s="1463"/>
      <c r="O112" s="1464"/>
      <c r="P112" s="1464"/>
      <c r="Q112" s="1465"/>
      <c r="R112" s="1465"/>
      <c r="S112" s="1466"/>
      <c r="T112" s="1482"/>
      <c r="U112" s="1483"/>
    </row>
    <row r="113" spans="1:21" ht="20.100000000000001" customHeight="1" x14ac:dyDescent="0.25">
      <c r="A113" s="360"/>
      <c r="B113" s="1326">
        <v>27</v>
      </c>
      <c r="C113" s="1839"/>
      <c r="D113" s="1893" t="s">
        <v>18</v>
      </c>
      <c r="E113" s="627"/>
      <c r="F113" s="1905">
        <f t="shared" si="156"/>
        <v>0</v>
      </c>
      <c r="G113" s="1891"/>
      <c r="H113" s="627">
        <f>VLOOKUP(B111,REKAP_NILAI,51,FALSE)</f>
        <v>0</v>
      </c>
      <c r="I113" s="709">
        <f t="shared" si="157"/>
        <v>0</v>
      </c>
      <c r="J113" s="710">
        <f t="shared" si="158"/>
        <v>0</v>
      </c>
      <c r="K113" s="711" t="str">
        <f t="shared" si="159"/>
        <v>1.33</v>
      </c>
      <c r="L113" s="711" t="str">
        <f t="shared" si="160"/>
        <v>D+</v>
      </c>
      <c r="M113" s="712" t="str">
        <f t="shared" si="161"/>
        <v>0</v>
      </c>
      <c r="N113" s="1467"/>
      <c r="O113" s="1468"/>
      <c r="P113" s="1468"/>
      <c r="Q113" s="1469"/>
      <c r="R113" s="1469"/>
      <c r="S113" s="1470"/>
      <c r="T113" s="1484"/>
      <c r="U113" s="1485"/>
    </row>
    <row r="114" spans="1:21" ht="20.100000000000001" customHeight="1" x14ac:dyDescent="0.25">
      <c r="A114" s="697"/>
      <c r="B114" s="698"/>
      <c r="C114" s="635" t="s">
        <v>149</v>
      </c>
      <c r="D114" s="700">
        <v>27</v>
      </c>
      <c r="E114" s="697"/>
      <c r="F114" s="1906"/>
      <c r="G114" s="697"/>
      <c r="H114" s="1189">
        <f>AVERAGE(H111:H113)</f>
        <v>0</v>
      </c>
      <c r="I114" s="705"/>
      <c r="J114" s="713">
        <f>AVERAGE(J111:J113)</f>
        <v>0</v>
      </c>
      <c r="K114" s="714" t="str">
        <f t="shared" si="159"/>
        <v>1.33</v>
      </c>
      <c r="L114" s="714" t="str">
        <f t="shared" si="160"/>
        <v>D+</v>
      </c>
      <c r="M114" s="888" t="str">
        <f t="shared" si="161"/>
        <v>0</v>
      </c>
      <c r="N114" s="1154"/>
      <c r="O114" s="1155"/>
      <c r="P114" s="1155"/>
      <c r="Q114" s="1155"/>
      <c r="R114" s="1155"/>
      <c r="S114" s="1162"/>
      <c r="T114" s="1486"/>
      <c r="U114" s="1487"/>
    </row>
    <row r="115" spans="1:21" ht="20.100000000000001" customHeight="1" thickBot="1" x14ac:dyDescent="0.3">
      <c r="A115" s="1892">
        <v>28</v>
      </c>
      <c r="B115" s="1326">
        <v>28</v>
      </c>
      <c r="C115" s="1840" t="e">
        <f>VLOOKUP(A115,data_siswa,4,FALSE)</f>
        <v>#N/A</v>
      </c>
      <c r="D115" s="1893" t="s">
        <v>10</v>
      </c>
      <c r="E115" s="627"/>
      <c r="F115" s="1904">
        <f>E115*2</f>
        <v>0</v>
      </c>
      <c r="G115" s="1891"/>
      <c r="H115" s="627">
        <f>VLOOKUP(B115,REKAP_NILAI,49,FALSE)</f>
        <v>0</v>
      </c>
      <c r="I115" s="706">
        <f>F115+G115+H115</f>
        <v>0</v>
      </c>
      <c r="J115" s="707">
        <f>(F115+G115+H115)/4</f>
        <v>0</v>
      </c>
      <c r="K115" s="708" t="str">
        <f>IF(J115&gt;85,("4"),IF(J115&gt;80,("3.66"),IF(J115&gt;75,("3.33"),IF(J115&gt;70,("3.00"),IF(J115&gt;65,("2.66"),IF(J115&gt;60,("2.33"),IF(J115&gt;55,("2"),IF(J115&gt;50,("1.66"),"1.33"))))))))</f>
        <v>1.33</v>
      </c>
      <c r="L115" s="708" t="str">
        <f>IF(J115&gt;85,("A"),IF(J115&gt;80,("A-"),IF(J115&gt;75,("B+"),IF(J115&gt;70,("B"),IF(J115&gt;65,("B-"),IF(J115&gt;60,("C+"),IF(J115&gt;55,("C"),IF(J115&gt;50,("C-"),"D+"))))))))</f>
        <v>D+</v>
      </c>
      <c r="M115" s="887" t="str">
        <f>IF(J115&gt;80,("SB"),IF(J115&gt;65,("B"),IF(J115&gt;50,("C"),IF(J115&gt;0,("K"),"0"))))</f>
        <v>0</v>
      </c>
      <c r="N115" s="1474"/>
      <c r="O115" s="1474"/>
      <c r="P115" s="1474"/>
      <c r="Q115" s="1475"/>
      <c r="R115" s="1476"/>
      <c r="S115" s="1476"/>
      <c r="T115" s="1057">
        <f>AVERAGE(J115:J117)</f>
        <v>0</v>
      </c>
      <c r="U115" s="1194" t="str">
        <f>IF(T115&gt;85,("A"),IF(T115&gt;80,("A-"),IF(T115&gt;75,("B+"),IF(T115&gt;70,("B"),IF(T115&gt;65,("B-"),IF(T115&gt;60,("C+"),IF(T115&gt;55,("C"),IF(T115&gt;50,("C-"),"D+"))))))))</f>
        <v>D+</v>
      </c>
    </row>
    <row r="116" spans="1:21" ht="20.100000000000001" customHeight="1" x14ac:dyDescent="0.25">
      <c r="A116" s="360"/>
      <c r="B116" s="1326">
        <v>28</v>
      </c>
      <c r="C116" s="1839"/>
      <c r="D116" s="1893" t="s">
        <v>8</v>
      </c>
      <c r="E116" s="627"/>
      <c r="F116" s="1905">
        <f t="shared" ref="F116:F117" si="162">E116*2</f>
        <v>0</v>
      </c>
      <c r="G116" s="1891"/>
      <c r="H116" s="627">
        <f>VLOOKUP(B115,REKAP_NILAI,50,FALSE)</f>
        <v>0</v>
      </c>
      <c r="I116" s="709">
        <f t="shared" ref="I116:I117" si="163">F116+G116+H116</f>
        <v>0</v>
      </c>
      <c r="J116" s="710">
        <f t="shared" ref="J116:J117" si="164">(F116+G116+H116)/4</f>
        <v>0</v>
      </c>
      <c r="K116" s="711" t="str">
        <f t="shared" ref="K116:K118" si="165">IF(J116&gt;85,("4"),IF(J116&gt;80,("3.66"),IF(J116&gt;75,("3.33"),IF(J116&gt;70,("3.00"),IF(J116&gt;65,("2.66"),IF(J116&gt;60,("2.33"),IF(J116&gt;55,("2"),IF(J116&gt;50,("1.66"),"1.33"))))))))</f>
        <v>1.33</v>
      </c>
      <c r="L116" s="711" t="str">
        <f t="shared" ref="L116:L118" si="166">IF(J116&gt;85,("A"),IF(J116&gt;80,("A-"),IF(J116&gt;75,("B+"),IF(J116&gt;70,("B"),IF(J116&gt;65,("B-"),IF(J116&gt;60,("C+"),IF(J116&gt;55,("C"),IF(J116&gt;50,("C-"),"D+"))))))))</f>
        <v>D+</v>
      </c>
      <c r="M116" s="712" t="str">
        <f t="shared" ref="M116:M118" si="167">IF(J116&gt;80,("SB"),IF(J116&gt;65,("B"),IF(J116&gt;50,("C"),IF(J116&gt;0,("K"),"0"))))</f>
        <v>0</v>
      </c>
      <c r="N116" s="1463"/>
      <c r="O116" s="1464"/>
      <c r="P116" s="1464"/>
      <c r="Q116" s="1465"/>
      <c r="R116" s="1465"/>
      <c r="S116" s="1466"/>
      <c r="T116" s="1482"/>
      <c r="U116" s="1483"/>
    </row>
    <row r="117" spans="1:21" ht="20.100000000000001" customHeight="1" x14ac:dyDescent="0.25">
      <c r="A117" s="360"/>
      <c r="B117" s="1326">
        <v>28</v>
      </c>
      <c r="C117" s="1839"/>
      <c r="D117" s="1893" t="s">
        <v>18</v>
      </c>
      <c r="E117" s="627"/>
      <c r="F117" s="1905">
        <f t="shared" si="162"/>
        <v>0</v>
      </c>
      <c r="G117" s="1891"/>
      <c r="H117" s="627">
        <f>VLOOKUP(B115,REKAP_NILAI,51,FALSE)</f>
        <v>0</v>
      </c>
      <c r="I117" s="709">
        <f t="shared" si="163"/>
        <v>0</v>
      </c>
      <c r="J117" s="710">
        <f t="shared" si="164"/>
        <v>0</v>
      </c>
      <c r="K117" s="711" t="str">
        <f t="shared" si="165"/>
        <v>1.33</v>
      </c>
      <c r="L117" s="711" t="str">
        <f t="shared" si="166"/>
        <v>D+</v>
      </c>
      <c r="M117" s="712" t="str">
        <f t="shared" si="167"/>
        <v>0</v>
      </c>
      <c r="N117" s="1467"/>
      <c r="O117" s="1468"/>
      <c r="P117" s="1468"/>
      <c r="Q117" s="1469"/>
      <c r="R117" s="1469"/>
      <c r="S117" s="1470"/>
      <c r="T117" s="1484"/>
      <c r="U117" s="1485"/>
    </row>
    <row r="118" spans="1:21" ht="20.100000000000001" customHeight="1" x14ac:dyDescent="0.25">
      <c r="A118" s="697"/>
      <c r="B118" s="698"/>
      <c r="C118" s="635" t="s">
        <v>149</v>
      </c>
      <c r="D118" s="700">
        <v>28</v>
      </c>
      <c r="E118" s="697"/>
      <c r="F118" s="1906"/>
      <c r="G118" s="697"/>
      <c r="H118" s="1189">
        <f>AVERAGE(H115:H117)</f>
        <v>0</v>
      </c>
      <c r="I118" s="705"/>
      <c r="J118" s="713">
        <f>AVERAGE(J115:J117)</f>
        <v>0</v>
      </c>
      <c r="K118" s="714" t="str">
        <f t="shared" si="165"/>
        <v>1.33</v>
      </c>
      <c r="L118" s="714" t="str">
        <f t="shared" si="166"/>
        <v>D+</v>
      </c>
      <c r="M118" s="888" t="str">
        <f t="shared" si="167"/>
        <v>0</v>
      </c>
      <c r="N118" s="1154"/>
      <c r="O118" s="1155"/>
      <c r="P118" s="1155"/>
      <c r="Q118" s="1155"/>
      <c r="R118" s="1155"/>
      <c r="S118" s="1162"/>
      <c r="T118" s="1486"/>
      <c r="U118" s="1487"/>
    </row>
    <row r="119" spans="1:21" ht="20.100000000000001" customHeight="1" thickBot="1" x14ac:dyDescent="0.3">
      <c r="A119" s="1892">
        <v>29</v>
      </c>
      <c r="B119" s="1326">
        <v>29</v>
      </c>
      <c r="C119" s="1840" t="e">
        <f>VLOOKUP(A119,data_siswa,4,FALSE)</f>
        <v>#N/A</v>
      </c>
      <c r="D119" s="1893" t="s">
        <v>10</v>
      </c>
      <c r="E119" s="627"/>
      <c r="F119" s="1904">
        <f>E119*2</f>
        <v>0</v>
      </c>
      <c r="G119" s="1891"/>
      <c r="H119" s="627">
        <f>VLOOKUP(B119,REKAP_NILAI,49,FALSE)</f>
        <v>0</v>
      </c>
      <c r="I119" s="706">
        <f>F119+G119+H119</f>
        <v>0</v>
      </c>
      <c r="J119" s="707">
        <f>(F119+G119+H119)/4</f>
        <v>0</v>
      </c>
      <c r="K119" s="708" t="str">
        <f>IF(J119&gt;85,("4"),IF(J119&gt;80,("3.66"),IF(J119&gt;75,("3.33"),IF(J119&gt;70,("3.00"),IF(J119&gt;65,("2.66"),IF(J119&gt;60,("2.33"),IF(J119&gt;55,("2"),IF(J119&gt;50,("1.66"),"1.33"))))))))</f>
        <v>1.33</v>
      </c>
      <c r="L119" s="708" t="str">
        <f>IF(J119&gt;85,("A"),IF(J119&gt;80,("A-"),IF(J119&gt;75,("B+"),IF(J119&gt;70,("B"),IF(J119&gt;65,("B-"),IF(J119&gt;60,("C+"),IF(J119&gt;55,("C"),IF(J119&gt;50,("C-"),"D+"))))))))</f>
        <v>D+</v>
      </c>
      <c r="M119" s="887" t="str">
        <f>IF(J119&gt;80,("SB"),IF(J119&gt;65,("B"),IF(J119&gt;50,("C"),IF(J119&gt;0,("K"),"0"))))</f>
        <v>0</v>
      </c>
      <c r="N119" s="1474"/>
      <c r="O119" s="1474"/>
      <c r="P119" s="1474"/>
      <c r="Q119" s="1475"/>
      <c r="R119" s="1476"/>
      <c r="S119" s="1476"/>
      <c r="T119" s="1057">
        <f>AVERAGE(J119:J121)</f>
        <v>0</v>
      </c>
      <c r="U119" s="1194" t="str">
        <f>IF(T119&gt;85,("A"),IF(T119&gt;80,("A-"),IF(T119&gt;75,("B+"),IF(T119&gt;70,("B"),IF(T119&gt;65,("B-"),IF(T119&gt;60,("C+"),IF(T119&gt;55,("C"),IF(T119&gt;50,("C-"),"D+"))))))))</f>
        <v>D+</v>
      </c>
    </row>
    <row r="120" spans="1:21" ht="20.100000000000001" customHeight="1" x14ac:dyDescent="0.25">
      <c r="A120" s="360"/>
      <c r="B120" s="1326">
        <v>29</v>
      </c>
      <c r="C120" s="1839"/>
      <c r="D120" s="1893" t="s">
        <v>8</v>
      </c>
      <c r="E120" s="627"/>
      <c r="F120" s="1905">
        <f t="shared" ref="F120:F121" si="168">E120*2</f>
        <v>0</v>
      </c>
      <c r="G120" s="1891"/>
      <c r="H120" s="627">
        <f>VLOOKUP(B119,REKAP_NILAI,50,FALSE)</f>
        <v>0</v>
      </c>
      <c r="I120" s="709">
        <f t="shared" ref="I120:I121" si="169">F120+G120+H120</f>
        <v>0</v>
      </c>
      <c r="J120" s="710">
        <f t="shared" ref="J120:J121" si="170">(F120+G120+H120)/4</f>
        <v>0</v>
      </c>
      <c r="K120" s="711" t="str">
        <f t="shared" ref="K120:K122" si="171">IF(J120&gt;85,("4"),IF(J120&gt;80,("3.66"),IF(J120&gt;75,("3.33"),IF(J120&gt;70,("3.00"),IF(J120&gt;65,("2.66"),IF(J120&gt;60,("2.33"),IF(J120&gt;55,("2"),IF(J120&gt;50,("1.66"),"1.33"))))))))</f>
        <v>1.33</v>
      </c>
      <c r="L120" s="711" t="str">
        <f t="shared" ref="L120:L122" si="172">IF(J120&gt;85,("A"),IF(J120&gt;80,("A-"),IF(J120&gt;75,("B+"),IF(J120&gt;70,("B"),IF(J120&gt;65,("B-"),IF(J120&gt;60,("C+"),IF(J120&gt;55,("C"),IF(J120&gt;50,("C-"),"D+"))))))))</f>
        <v>D+</v>
      </c>
      <c r="M120" s="712" t="str">
        <f t="shared" ref="M120:M122" si="173">IF(J120&gt;80,("SB"),IF(J120&gt;65,("B"),IF(J120&gt;50,("C"),IF(J120&gt;0,("K"),"0"))))</f>
        <v>0</v>
      </c>
      <c r="N120" s="1463"/>
      <c r="O120" s="1464"/>
      <c r="P120" s="1464"/>
      <c r="Q120" s="1465"/>
      <c r="R120" s="1465"/>
      <c r="S120" s="1466"/>
      <c r="T120" s="1482"/>
      <c r="U120" s="1483"/>
    </row>
    <row r="121" spans="1:21" ht="20.100000000000001" customHeight="1" x14ac:dyDescent="0.25">
      <c r="A121" s="360"/>
      <c r="B121" s="1326">
        <v>29</v>
      </c>
      <c r="C121" s="1839"/>
      <c r="D121" s="1893" t="s">
        <v>18</v>
      </c>
      <c r="E121" s="627"/>
      <c r="F121" s="1905">
        <f t="shared" si="168"/>
        <v>0</v>
      </c>
      <c r="G121" s="1891"/>
      <c r="H121" s="627">
        <f>VLOOKUP(B119,REKAP_NILAI,51,FALSE)</f>
        <v>0</v>
      </c>
      <c r="I121" s="709">
        <f t="shared" si="169"/>
        <v>0</v>
      </c>
      <c r="J121" s="710">
        <f t="shared" si="170"/>
        <v>0</v>
      </c>
      <c r="K121" s="711" t="str">
        <f t="shared" si="171"/>
        <v>1.33</v>
      </c>
      <c r="L121" s="711" t="str">
        <f t="shared" si="172"/>
        <v>D+</v>
      </c>
      <c r="M121" s="712" t="str">
        <f t="shared" si="173"/>
        <v>0</v>
      </c>
      <c r="N121" s="1467"/>
      <c r="O121" s="1468"/>
      <c r="P121" s="1468"/>
      <c r="Q121" s="1469"/>
      <c r="R121" s="1469"/>
      <c r="S121" s="1470"/>
      <c r="T121" s="1484"/>
      <c r="U121" s="1485"/>
    </row>
    <row r="122" spans="1:21" ht="20.100000000000001" customHeight="1" x14ac:dyDescent="0.25">
      <c r="A122" s="697"/>
      <c r="B122" s="698"/>
      <c r="C122" s="635" t="s">
        <v>149</v>
      </c>
      <c r="D122" s="700">
        <v>29</v>
      </c>
      <c r="E122" s="697"/>
      <c r="F122" s="1906"/>
      <c r="G122" s="697"/>
      <c r="H122" s="1189">
        <f>AVERAGE(H119:H121)</f>
        <v>0</v>
      </c>
      <c r="I122" s="705"/>
      <c r="J122" s="713">
        <f>AVERAGE(J119:J121)</f>
        <v>0</v>
      </c>
      <c r="K122" s="714" t="str">
        <f t="shared" si="171"/>
        <v>1.33</v>
      </c>
      <c r="L122" s="714" t="str">
        <f t="shared" si="172"/>
        <v>D+</v>
      </c>
      <c r="M122" s="888" t="str">
        <f t="shared" si="173"/>
        <v>0</v>
      </c>
      <c r="N122" s="1154"/>
      <c r="O122" s="1155"/>
      <c r="P122" s="1155"/>
      <c r="Q122" s="1155"/>
      <c r="R122" s="1155"/>
      <c r="S122" s="1162"/>
      <c r="T122" s="1486"/>
      <c r="U122" s="1487"/>
    </row>
    <row r="123" spans="1:21" ht="20.100000000000001" customHeight="1" thickBot="1" x14ac:dyDescent="0.3">
      <c r="A123" s="1892">
        <v>30</v>
      </c>
      <c r="B123" s="1326">
        <v>30</v>
      </c>
      <c r="C123" s="1840" t="e">
        <f>VLOOKUP(A123,data_siswa,4,FALSE)</f>
        <v>#N/A</v>
      </c>
      <c r="D123" s="1893" t="s">
        <v>10</v>
      </c>
      <c r="E123" s="627"/>
      <c r="F123" s="1904">
        <f>E123*2</f>
        <v>0</v>
      </c>
      <c r="G123" s="1891"/>
      <c r="H123" s="627">
        <f>VLOOKUP(B123,REKAP_NILAI,49,FALSE)</f>
        <v>0</v>
      </c>
      <c r="I123" s="706">
        <f>F123+G123+H123</f>
        <v>0</v>
      </c>
      <c r="J123" s="707">
        <f>(F123+G123+H123)/4</f>
        <v>0</v>
      </c>
      <c r="K123" s="708" t="str">
        <f>IF(J123&gt;85,("4"),IF(J123&gt;80,("3.66"),IF(J123&gt;75,("3.33"),IF(J123&gt;70,("3.00"),IF(J123&gt;65,("2.66"),IF(J123&gt;60,("2.33"),IF(J123&gt;55,("2"),IF(J123&gt;50,("1.66"),"1.33"))))))))</f>
        <v>1.33</v>
      </c>
      <c r="L123" s="708" t="str">
        <f>IF(J123&gt;85,("A"),IF(J123&gt;80,("A-"),IF(J123&gt;75,("B+"),IF(J123&gt;70,("B"),IF(J123&gt;65,("B-"),IF(J123&gt;60,("C+"),IF(J123&gt;55,("C"),IF(J123&gt;50,("C-"),"D+"))))))))</f>
        <v>D+</v>
      </c>
      <c r="M123" s="887" t="str">
        <f>IF(J123&gt;80,("SB"),IF(J123&gt;65,("B"),IF(J123&gt;50,("C"),IF(J123&gt;0,("K"),"0"))))</f>
        <v>0</v>
      </c>
      <c r="N123" s="1474"/>
      <c r="O123" s="1474"/>
      <c r="P123" s="1474"/>
      <c r="Q123" s="1475"/>
      <c r="R123" s="1476"/>
      <c r="S123" s="1476"/>
      <c r="T123" s="1057">
        <f>AVERAGE(J123:J125)</f>
        <v>0</v>
      </c>
      <c r="U123" s="1194" t="str">
        <f>IF(T123&gt;85,("A"),IF(T123&gt;80,("A-"),IF(T123&gt;75,("B+"),IF(T123&gt;70,("B"),IF(T123&gt;65,("B-"),IF(T123&gt;60,("C+"),IF(T123&gt;55,("C"),IF(T123&gt;50,("C-"),"D+"))))))))</f>
        <v>D+</v>
      </c>
    </row>
    <row r="124" spans="1:21" ht="20.100000000000001" customHeight="1" x14ac:dyDescent="0.25">
      <c r="A124" s="360"/>
      <c r="B124" s="1326">
        <v>30</v>
      </c>
      <c r="C124" s="1839"/>
      <c r="D124" s="1893" t="s">
        <v>8</v>
      </c>
      <c r="E124" s="627"/>
      <c r="F124" s="1905">
        <f t="shared" ref="F124:F125" si="174">E124*2</f>
        <v>0</v>
      </c>
      <c r="G124" s="1891"/>
      <c r="H124" s="627">
        <f>VLOOKUP(B123,REKAP_NILAI,50,FALSE)</f>
        <v>0</v>
      </c>
      <c r="I124" s="709">
        <f t="shared" ref="I124:I125" si="175">F124+G124+H124</f>
        <v>0</v>
      </c>
      <c r="J124" s="710">
        <f t="shared" ref="J124:J125" si="176">(F124+G124+H124)/4</f>
        <v>0</v>
      </c>
      <c r="K124" s="711" t="str">
        <f t="shared" ref="K124:K126" si="177">IF(J124&gt;85,("4"),IF(J124&gt;80,("3.66"),IF(J124&gt;75,("3.33"),IF(J124&gt;70,("3.00"),IF(J124&gt;65,("2.66"),IF(J124&gt;60,("2.33"),IF(J124&gt;55,("2"),IF(J124&gt;50,("1.66"),"1.33"))))))))</f>
        <v>1.33</v>
      </c>
      <c r="L124" s="711" t="str">
        <f t="shared" ref="L124:L126" si="178">IF(J124&gt;85,("A"),IF(J124&gt;80,("A-"),IF(J124&gt;75,("B+"),IF(J124&gt;70,("B"),IF(J124&gt;65,("B-"),IF(J124&gt;60,("C+"),IF(J124&gt;55,("C"),IF(J124&gt;50,("C-"),"D+"))))))))</f>
        <v>D+</v>
      </c>
      <c r="M124" s="712" t="str">
        <f t="shared" ref="M124:M126" si="179">IF(J124&gt;80,("SB"),IF(J124&gt;65,("B"),IF(J124&gt;50,("C"),IF(J124&gt;0,("K"),"0"))))</f>
        <v>0</v>
      </c>
      <c r="N124" s="1463"/>
      <c r="O124" s="1464"/>
      <c r="P124" s="1464"/>
      <c r="Q124" s="1465"/>
      <c r="R124" s="1465"/>
      <c r="S124" s="1466"/>
      <c r="T124" s="1482"/>
      <c r="U124" s="1483"/>
    </row>
    <row r="125" spans="1:21" ht="20.100000000000001" customHeight="1" x14ac:dyDescent="0.25">
      <c r="A125" s="360"/>
      <c r="B125" s="1326">
        <v>30</v>
      </c>
      <c r="C125" s="1839"/>
      <c r="D125" s="1893" t="s">
        <v>18</v>
      </c>
      <c r="E125" s="627"/>
      <c r="F125" s="1905">
        <f t="shared" si="174"/>
        <v>0</v>
      </c>
      <c r="G125" s="1891"/>
      <c r="H125" s="627">
        <f>VLOOKUP(B123,REKAP_NILAI,51,FALSE)</f>
        <v>0</v>
      </c>
      <c r="I125" s="709">
        <f t="shared" si="175"/>
        <v>0</v>
      </c>
      <c r="J125" s="710">
        <f t="shared" si="176"/>
        <v>0</v>
      </c>
      <c r="K125" s="711" t="str">
        <f t="shared" si="177"/>
        <v>1.33</v>
      </c>
      <c r="L125" s="711" t="str">
        <f t="shared" si="178"/>
        <v>D+</v>
      </c>
      <c r="M125" s="712" t="str">
        <f t="shared" si="179"/>
        <v>0</v>
      </c>
      <c r="N125" s="1467"/>
      <c r="O125" s="1468"/>
      <c r="P125" s="1468"/>
      <c r="Q125" s="1469"/>
      <c r="R125" s="1469"/>
      <c r="S125" s="1470"/>
      <c r="T125" s="1484"/>
      <c r="U125" s="1485"/>
    </row>
    <row r="126" spans="1:21" ht="20.100000000000001" customHeight="1" x14ac:dyDescent="0.25">
      <c r="A126" s="697"/>
      <c r="B126" s="698"/>
      <c r="C126" s="635" t="s">
        <v>149</v>
      </c>
      <c r="D126" s="700">
        <v>30</v>
      </c>
      <c r="E126" s="697"/>
      <c r="F126" s="1906"/>
      <c r="G126" s="697"/>
      <c r="H126" s="1189">
        <f>AVERAGE(H123:H125)</f>
        <v>0</v>
      </c>
      <c r="I126" s="705"/>
      <c r="J126" s="713">
        <f>AVERAGE(J123:J125)</f>
        <v>0</v>
      </c>
      <c r="K126" s="714" t="str">
        <f t="shared" si="177"/>
        <v>1.33</v>
      </c>
      <c r="L126" s="714" t="str">
        <f t="shared" si="178"/>
        <v>D+</v>
      </c>
      <c r="M126" s="888" t="str">
        <f t="shared" si="179"/>
        <v>0</v>
      </c>
      <c r="N126" s="1154"/>
      <c r="O126" s="1155"/>
      <c r="P126" s="1155"/>
      <c r="Q126" s="1155"/>
      <c r="R126" s="1155"/>
      <c r="S126" s="1162"/>
      <c r="T126" s="1486"/>
      <c r="U126" s="1487"/>
    </row>
    <row r="127" spans="1:21" ht="20.100000000000001" customHeight="1" thickBot="1" x14ac:dyDescent="0.3">
      <c r="A127" s="1892">
        <v>31</v>
      </c>
      <c r="B127" s="1326">
        <v>31</v>
      </c>
      <c r="C127" s="1840" t="e">
        <f>VLOOKUP(A127,data_siswa,4,FALSE)</f>
        <v>#N/A</v>
      </c>
      <c r="D127" s="1893" t="s">
        <v>10</v>
      </c>
      <c r="E127" s="627"/>
      <c r="F127" s="1904">
        <f>E127*2</f>
        <v>0</v>
      </c>
      <c r="G127" s="1891"/>
      <c r="H127" s="627">
        <f>VLOOKUP(B127,REKAP_NILAI,49,FALSE)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887" t="str">
        <f>IF(J127&gt;80,("SB"),IF(J127&gt;65,("B"),IF(J127&gt;50,("C"),IF(J127&gt;0,("K"),"0"))))</f>
        <v>0</v>
      </c>
      <c r="N127" s="1474"/>
      <c r="O127" s="1474"/>
      <c r="P127" s="1474"/>
      <c r="Q127" s="1475"/>
      <c r="R127" s="1476"/>
      <c r="S127" s="1476"/>
      <c r="T127" s="1057">
        <f>AVERAGE(J127:J129)</f>
        <v>0</v>
      </c>
      <c r="U127" s="1194" t="str">
        <f>IF(T127&gt;85,("A"),IF(T127&gt;80,("A-"),IF(T127&gt;75,("B+"),IF(T127&gt;70,("B"),IF(T127&gt;65,("B-"),IF(T127&gt;60,("C+"),IF(T127&gt;55,("C"),IF(T127&gt;50,("C-"),"D+"))))))))</f>
        <v>D+</v>
      </c>
    </row>
    <row r="128" spans="1:21" ht="20.100000000000001" customHeight="1" x14ac:dyDescent="0.25">
      <c r="A128" s="360"/>
      <c r="B128" s="1326">
        <v>31</v>
      </c>
      <c r="C128" s="1839"/>
      <c r="D128" s="1893" t="s">
        <v>8</v>
      </c>
      <c r="E128" s="627"/>
      <c r="F128" s="1905">
        <f t="shared" ref="F128:F129" si="180">E128*2</f>
        <v>0</v>
      </c>
      <c r="G128" s="1891"/>
      <c r="H128" s="627">
        <f>VLOOKUP(B127,REKAP_NILAI,50,FALSE)</f>
        <v>0</v>
      </c>
      <c r="I128" s="709">
        <f t="shared" ref="I128:I129" si="181">F128+G128+H128</f>
        <v>0</v>
      </c>
      <c r="J128" s="710">
        <f t="shared" ref="J128:J129" si="182">(F128+G128+H128)/4</f>
        <v>0</v>
      </c>
      <c r="K128" s="711" t="str">
        <f t="shared" ref="K128:K130" si="183">IF(J128&gt;85,("4"),IF(J128&gt;80,("3.66"),IF(J128&gt;75,("3.33"),IF(J128&gt;70,("3.00"),IF(J128&gt;65,("2.66"),IF(J128&gt;60,("2.33"),IF(J128&gt;55,("2"),IF(J128&gt;50,("1.66"),"1.33"))))))))</f>
        <v>1.33</v>
      </c>
      <c r="L128" s="711" t="str">
        <f t="shared" ref="L128:L130" si="184">IF(J128&gt;85,("A"),IF(J128&gt;80,("A-"),IF(J128&gt;75,("B+"),IF(J128&gt;70,("B"),IF(J128&gt;65,("B-"),IF(J128&gt;60,("C+"),IF(J128&gt;55,("C"),IF(J128&gt;50,("C-"),"D+"))))))))</f>
        <v>D+</v>
      </c>
      <c r="M128" s="712" t="str">
        <f t="shared" ref="M128:M130" si="185">IF(J128&gt;80,("SB"),IF(J128&gt;65,("B"),IF(J128&gt;50,("C"),IF(J128&gt;0,("K"),"0"))))</f>
        <v>0</v>
      </c>
      <c r="N128" s="1463"/>
      <c r="O128" s="1464"/>
      <c r="P128" s="1464"/>
      <c r="Q128" s="1465"/>
      <c r="R128" s="1465"/>
      <c r="S128" s="1466"/>
      <c r="T128" s="1482"/>
      <c r="U128" s="1483"/>
    </row>
    <row r="129" spans="1:21" ht="20.100000000000001" customHeight="1" x14ac:dyDescent="0.25">
      <c r="A129" s="360"/>
      <c r="B129" s="1326">
        <v>31</v>
      </c>
      <c r="C129" s="1839"/>
      <c r="D129" s="1893" t="s">
        <v>18</v>
      </c>
      <c r="E129" s="627"/>
      <c r="F129" s="1905">
        <f t="shared" si="180"/>
        <v>0</v>
      </c>
      <c r="G129" s="1891"/>
      <c r="H129" s="627">
        <f>VLOOKUP(B127,REKAP_NILAI,51,FALSE)</f>
        <v>0</v>
      </c>
      <c r="I129" s="709">
        <f t="shared" si="181"/>
        <v>0</v>
      </c>
      <c r="J129" s="710">
        <f t="shared" si="182"/>
        <v>0</v>
      </c>
      <c r="K129" s="711" t="str">
        <f t="shared" si="183"/>
        <v>1.33</v>
      </c>
      <c r="L129" s="711" t="str">
        <f t="shared" si="184"/>
        <v>D+</v>
      </c>
      <c r="M129" s="712" t="str">
        <f t="shared" si="185"/>
        <v>0</v>
      </c>
      <c r="N129" s="1467"/>
      <c r="O129" s="1468"/>
      <c r="P129" s="1468"/>
      <c r="Q129" s="1469"/>
      <c r="R129" s="1469"/>
      <c r="S129" s="1470"/>
      <c r="T129" s="1484"/>
      <c r="U129" s="1485"/>
    </row>
    <row r="130" spans="1:21" ht="20.100000000000001" customHeight="1" x14ac:dyDescent="0.25">
      <c r="A130" s="697"/>
      <c r="B130" s="698"/>
      <c r="C130" s="635" t="s">
        <v>149</v>
      </c>
      <c r="D130" s="700">
        <v>31</v>
      </c>
      <c r="E130" s="697"/>
      <c r="F130" s="1906"/>
      <c r="G130" s="697"/>
      <c r="H130" s="1189">
        <f>AVERAGE(H127:H129)</f>
        <v>0</v>
      </c>
      <c r="I130" s="705"/>
      <c r="J130" s="713">
        <f>AVERAGE(J127:J129)</f>
        <v>0</v>
      </c>
      <c r="K130" s="714" t="str">
        <f t="shared" si="183"/>
        <v>1.33</v>
      </c>
      <c r="L130" s="714" t="str">
        <f t="shared" si="184"/>
        <v>D+</v>
      </c>
      <c r="M130" s="888" t="str">
        <f t="shared" si="185"/>
        <v>0</v>
      </c>
      <c r="N130" s="1154"/>
      <c r="O130" s="1155"/>
      <c r="P130" s="1155"/>
      <c r="Q130" s="1155"/>
      <c r="R130" s="1155"/>
      <c r="S130" s="1162"/>
      <c r="T130" s="1486"/>
      <c r="U130" s="1487"/>
    </row>
    <row r="131" spans="1:21" ht="20.100000000000001" customHeight="1" thickBot="1" x14ac:dyDescent="0.3">
      <c r="A131" s="1892">
        <v>32</v>
      </c>
      <c r="B131" s="1326">
        <v>32</v>
      </c>
      <c r="C131" s="1840" t="e">
        <f>VLOOKUP(A131,data_siswa,4,FALSE)</f>
        <v>#N/A</v>
      </c>
      <c r="D131" s="1893" t="s">
        <v>10</v>
      </c>
      <c r="E131" s="627"/>
      <c r="F131" s="1904">
        <f>E131*2</f>
        <v>0</v>
      </c>
      <c r="G131" s="1891"/>
      <c r="H131" s="627">
        <f>VLOOKUP(B131,REKAP_NILAI,49,FALSE)</f>
        <v>0</v>
      </c>
      <c r="I131" s="706">
        <f>F131+G131+H131</f>
        <v>0</v>
      </c>
      <c r="J131" s="707">
        <f>(F131+G131+H131)/4</f>
        <v>0</v>
      </c>
      <c r="K131" s="708" t="str">
        <f>IF(J131&gt;85,("4"),IF(J131&gt;80,("3.66"),IF(J131&gt;75,("3.33"),IF(J131&gt;70,("3.00"),IF(J131&gt;65,("2.66"),IF(J131&gt;60,("2.33"),IF(J131&gt;55,("2"),IF(J131&gt;50,("1.66"),"1.33"))))))))</f>
        <v>1.33</v>
      </c>
      <c r="L131" s="708" t="str">
        <f>IF(J131&gt;85,("A"),IF(J131&gt;80,("A-"),IF(J131&gt;75,("B+"),IF(J131&gt;70,("B"),IF(J131&gt;65,("B-"),IF(J131&gt;60,("C+"),IF(J131&gt;55,("C"),IF(J131&gt;50,("C-"),"D+"))))))))</f>
        <v>D+</v>
      </c>
      <c r="M131" s="887" t="str">
        <f>IF(J131&gt;80,("SB"),IF(J131&gt;65,("B"),IF(J131&gt;50,("C"),IF(J131&gt;0,("K"),"0"))))</f>
        <v>0</v>
      </c>
      <c r="N131" s="1474"/>
      <c r="O131" s="1474"/>
      <c r="P131" s="1474"/>
      <c r="Q131" s="1475"/>
      <c r="R131" s="1476"/>
      <c r="S131" s="1476"/>
      <c r="T131" s="1057">
        <f>AVERAGE(J131:J133)</f>
        <v>0</v>
      </c>
      <c r="U131" s="1194" t="str">
        <f>IF(T131&gt;85,("A"),IF(T131&gt;80,("A-"),IF(T131&gt;75,("B+"),IF(T131&gt;70,("B"),IF(T131&gt;65,("B-"),IF(T131&gt;60,("C+"),IF(T131&gt;55,("C"),IF(T131&gt;50,("C-"),"D+"))))))))</f>
        <v>D+</v>
      </c>
    </row>
    <row r="132" spans="1:21" ht="20.100000000000001" customHeight="1" x14ac:dyDescent="0.25">
      <c r="A132" s="360"/>
      <c r="B132" s="1326">
        <v>32</v>
      </c>
      <c r="C132" s="1839"/>
      <c r="D132" s="1893" t="s">
        <v>8</v>
      </c>
      <c r="E132" s="627"/>
      <c r="F132" s="1905">
        <f t="shared" ref="F132:F133" si="186">E132*2</f>
        <v>0</v>
      </c>
      <c r="G132" s="1891"/>
      <c r="H132" s="627">
        <f>VLOOKUP(B131,REKAP_NILAI,50,FALSE)</f>
        <v>0</v>
      </c>
      <c r="I132" s="709">
        <f t="shared" ref="I132:I133" si="187">F132+G132+H132</f>
        <v>0</v>
      </c>
      <c r="J132" s="710">
        <f t="shared" ref="J132:J133" si="188">(F132+G132+H132)/4</f>
        <v>0</v>
      </c>
      <c r="K132" s="711" t="str">
        <f t="shared" ref="K132:K134" si="189">IF(J132&gt;85,("4"),IF(J132&gt;80,("3.66"),IF(J132&gt;75,("3.33"),IF(J132&gt;70,("3.00"),IF(J132&gt;65,("2.66"),IF(J132&gt;60,("2.33"),IF(J132&gt;55,("2"),IF(J132&gt;50,("1.66"),"1.33"))))))))</f>
        <v>1.33</v>
      </c>
      <c r="L132" s="711" t="str">
        <f t="shared" ref="L132:L134" si="190">IF(J132&gt;85,("A"),IF(J132&gt;80,("A-"),IF(J132&gt;75,("B+"),IF(J132&gt;70,("B"),IF(J132&gt;65,("B-"),IF(J132&gt;60,("C+"),IF(J132&gt;55,("C"),IF(J132&gt;50,("C-"),"D+"))))))))</f>
        <v>D+</v>
      </c>
      <c r="M132" s="712" t="str">
        <f t="shared" ref="M132:M134" si="191">IF(J132&gt;80,("SB"),IF(J132&gt;65,("B"),IF(J132&gt;50,("C"),IF(J132&gt;0,("K"),"0"))))</f>
        <v>0</v>
      </c>
      <c r="N132" s="1463"/>
      <c r="O132" s="1464"/>
      <c r="P132" s="1464"/>
      <c r="Q132" s="1465"/>
      <c r="R132" s="1465"/>
      <c r="S132" s="1466"/>
      <c r="T132" s="1482"/>
      <c r="U132" s="1483"/>
    </row>
    <row r="133" spans="1:21" ht="20.100000000000001" customHeight="1" x14ac:dyDescent="0.25">
      <c r="A133" s="360"/>
      <c r="B133" s="1326">
        <v>32</v>
      </c>
      <c r="C133" s="1839"/>
      <c r="D133" s="1893" t="s">
        <v>18</v>
      </c>
      <c r="E133" s="627"/>
      <c r="F133" s="1905">
        <f t="shared" si="186"/>
        <v>0</v>
      </c>
      <c r="G133" s="1891"/>
      <c r="H133" s="627">
        <f>VLOOKUP(B131,REKAP_NILAI,51,FALSE)</f>
        <v>0</v>
      </c>
      <c r="I133" s="709">
        <f t="shared" si="187"/>
        <v>0</v>
      </c>
      <c r="J133" s="710">
        <f t="shared" si="188"/>
        <v>0</v>
      </c>
      <c r="K133" s="711" t="str">
        <f t="shared" si="189"/>
        <v>1.33</v>
      </c>
      <c r="L133" s="711" t="str">
        <f t="shared" si="190"/>
        <v>D+</v>
      </c>
      <c r="M133" s="712" t="str">
        <f t="shared" si="191"/>
        <v>0</v>
      </c>
      <c r="N133" s="1467"/>
      <c r="O133" s="1468"/>
      <c r="P133" s="1468"/>
      <c r="Q133" s="1469"/>
      <c r="R133" s="1469"/>
      <c r="S133" s="1470"/>
      <c r="T133" s="1484"/>
      <c r="U133" s="1485"/>
    </row>
    <row r="134" spans="1:21" ht="20.100000000000001" customHeight="1" x14ac:dyDescent="0.25">
      <c r="A134" s="697"/>
      <c r="B134" s="698"/>
      <c r="C134" s="635" t="s">
        <v>149</v>
      </c>
      <c r="D134" s="700">
        <v>32</v>
      </c>
      <c r="E134" s="697"/>
      <c r="F134" s="1906"/>
      <c r="G134" s="697"/>
      <c r="H134" s="1189">
        <f>AVERAGE(H131:H133)</f>
        <v>0</v>
      </c>
      <c r="I134" s="705"/>
      <c r="J134" s="713">
        <f>AVERAGE(J131:J133)</f>
        <v>0</v>
      </c>
      <c r="K134" s="714" t="str">
        <f t="shared" si="189"/>
        <v>1.33</v>
      </c>
      <c r="L134" s="714" t="str">
        <f t="shared" si="190"/>
        <v>D+</v>
      </c>
      <c r="M134" s="888" t="str">
        <f t="shared" si="191"/>
        <v>0</v>
      </c>
      <c r="N134" s="1154"/>
      <c r="O134" s="1155"/>
      <c r="P134" s="1155"/>
      <c r="Q134" s="1155"/>
      <c r="R134" s="1155"/>
      <c r="S134" s="1162"/>
      <c r="T134" s="1486"/>
      <c r="U134" s="1487"/>
    </row>
    <row r="135" spans="1:21" ht="20.100000000000001" customHeight="1" thickBot="1" x14ac:dyDescent="0.3">
      <c r="A135" s="1892">
        <v>33</v>
      </c>
      <c r="B135" s="1326">
        <v>33</v>
      </c>
      <c r="C135" s="1840" t="e">
        <f>VLOOKUP(A135,data_siswa,4,FALSE)</f>
        <v>#N/A</v>
      </c>
      <c r="D135" s="1893" t="s">
        <v>10</v>
      </c>
      <c r="E135" s="627"/>
      <c r="F135" s="1904">
        <f>E135*2</f>
        <v>0</v>
      </c>
      <c r="G135" s="1891"/>
      <c r="H135" s="627">
        <f>VLOOKUP(B135,REKAP_NILAI,49,FALSE)</f>
        <v>0</v>
      </c>
      <c r="I135" s="706">
        <f>F135+G135+H135</f>
        <v>0</v>
      </c>
      <c r="J135" s="707">
        <f>(F135+G135+H135)/4</f>
        <v>0</v>
      </c>
      <c r="K135" s="708" t="str">
        <f>IF(J135&gt;85,("4"),IF(J135&gt;80,("3.66"),IF(J135&gt;75,("3.33"),IF(J135&gt;70,("3.00"),IF(J135&gt;65,("2.66"),IF(J135&gt;60,("2.33"),IF(J135&gt;55,("2"),IF(J135&gt;50,("1.66"),"1.33"))))))))</f>
        <v>1.33</v>
      </c>
      <c r="L135" s="708" t="str">
        <f>IF(J135&gt;85,("A"),IF(J135&gt;80,("A-"),IF(J135&gt;75,("B+"),IF(J135&gt;70,("B"),IF(J135&gt;65,("B-"),IF(J135&gt;60,("C+"),IF(J135&gt;55,("C"),IF(J135&gt;50,("C-"),"D+"))))))))</f>
        <v>D+</v>
      </c>
      <c r="M135" s="887" t="str">
        <f>IF(J135&gt;80,("SB"),IF(J135&gt;65,("B"),IF(J135&gt;50,("C"),IF(J135&gt;0,("K"),"0"))))</f>
        <v>0</v>
      </c>
      <c r="N135" s="1474"/>
      <c r="O135" s="1474"/>
      <c r="P135" s="1474"/>
      <c r="Q135" s="1475"/>
      <c r="R135" s="1476"/>
      <c r="S135" s="1476"/>
      <c r="T135" s="1057">
        <f>AVERAGE(J135:J137)</f>
        <v>0</v>
      </c>
      <c r="U135" s="1194" t="str">
        <f>IF(T135&gt;85,("A"),IF(T135&gt;80,("A-"),IF(T135&gt;75,("B+"),IF(T135&gt;70,("B"),IF(T135&gt;65,("B-"),IF(T135&gt;60,("C+"),IF(T135&gt;55,("C"),IF(T135&gt;50,("C-"),"D+"))))))))</f>
        <v>D+</v>
      </c>
    </row>
    <row r="136" spans="1:21" ht="20.100000000000001" customHeight="1" x14ac:dyDescent="0.25">
      <c r="A136" s="360"/>
      <c r="B136" s="1326">
        <v>33</v>
      </c>
      <c r="C136" s="1839"/>
      <c r="D136" s="1893" t="s">
        <v>8</v>
      </c>
      <c r="E136" s="627"/>
      <c r="F136" s="1905">
        <f t="shared" ref="F136:F137" si="192">E136*2</f>
        <v>0</v>
      </c>
      <c r="G136" s="1891"/>
      <c r="H136" s="627">
        <f>VLOOKUP(B135,REKAP_NILAI,50,FALSE)</f>
        <v>0</v>
      </c>
      <c r="I136" s="709">
        <f t="shared" ref="I136:I137" si="193">F136+G136+H136</f>
        <v>0</v>
      </c>
      <c r="J136" s="710">
        <f t="shared" ref="J136:J137" si="194">(F136+G136+H136)/4</f>
        <v>0</v>
      </c>
      <c r="K136" s="711" t="str">
        <f t="shared" ref="K136:K138" si="195">IF(J136&gt;85,("4"),IF(J136&gt;80,("3.66"),IF(J136&gt;75,("3.33"),IF(J136&gt;70,("3.00"),IF(J136&gt;65,("2.66"),IF(J136&gt;60,("2.33"),IF(J136&gt;55,("2"),IF(J136&gt;50,("1.66"),"1.33"))))))))</f>
        <v>1.33</v>
      </c>
      <c r="L136" s="711" t="str">
        <f t="shared" ref="L136:L138" si="196">IF(J136&gt;85,("A"),IF(J136&gt;80,("A-"),IF(J136&gt;75,("B+"),IF(J136&gt;70,("B"),IF(J136&gt;65,("B-"),IF(J136&gt;60,("C+"),IF(J136&gt;55,("C"),IF(J136&gt;50,("C-"),"D+"))))))))</f>
        <v>D+</v>
      </c>
      <c r="M136" s="712" t="str">
        <f t="shared" ref="M136:M138" si="197">IF(J136&gt;80,("SB"),IF(J136&gt;65,("B"),IF(J136&gt;50,("C"),IF(J136&gt;0,("K"),"0"))))</f>
        <v>0</v>
      </c>
      <c r="N136" s="1463"/>
      <c r="O136" s="1464"/>
      <c r="P136" s="1464"/>
      <c r="Q136" s="1465"/>
      <c r="R136" s="1465"/>
      <c r="S136" s="1466"/>
      <c r="T136" s="1482"/>
      <c r="U136" s="1483"/>
    </row>
    <row r="137" spans="1:21" ht="20.100000000000001" customHeight="1" x14ac:dyDescent="0.25">
      <c r="A137" s="360"/>
      <c r="B137" s="1326">
        <v>33</v>
      </c>
      <c r="C137" s="1839"/>
      <c r="D137" s="1893" t="s">
        <v>18</v>
      </c>
      <c r="E137" s="627"/>
      <c r="F137" s="1905">
        <f t="shared" si="192"/>
        <v>0</v>
      </c>
      <c r="G137" s="1891"/>
      <c r="H137" s="627">
        <f>VLOOKUP(B135,REKAP_NILAI,51,FALSE)</f>
        <v>0</v>
      </c>
      <c r="I137" s="709">
        <f t="shared" si="193"/>
        <v>0</v>
      </c>
      <c r="J137" s="710">
        <f t="shared" si="194"/>
        <v>0</v>
      </c>
      <c r="K137" s="711" t="str">
        <f t="shared" si="195"/>
        <v>1.33</v>
      </c>
      <c r="L137" s="711" t="str">
        <f t="shared" si="196"/>
        <v>D+</v>
      </c>
      <c r="M137" s="712" t="str">
        <f t="shared" si="197"/>
        <v>0</v>
      </c>
      <c r="N137" s="1467"/>
      <c r="O137" s="1468"/>
      <c r="P137" s="1468"/>
      <c r="Q137" s="1469"/>
      <c r="R137" s="1469"/>
      <c r="S137" s="1470"/>
      <c r="T137" s="1484"/>
      <c r="U137" s="1485"/>
    </row>
    <row r="138" spans="1:21" ht="20.100000000000001" customHeight="1" x14ac:dyDescent="0.25">
      <c r="A138" s="697"/>
      <c r="B138" s="698"/>
      <c r="C138" s="635" t="s">
        <v>149</v>
      </c>
      <c r="D138" s="700">
        <v>33</v>
      </c>
      <c r="E138" s="697"/>
      <c r="F138" s="1906"/>
      <c r="G138" s="697"/>
      <c r="H138" s="1189">
        <f>AVERAGE(H135:H137)</f>
        <v>0</v>
      </c>
      <c r="I138" s="705"/>
      <c r="J138" s="713">
        <f>AVERAGE(J135:J137)</f>
        <v>0</v>
      </c>
      <c r="K138" s="714" t="str">
        <f t="shared" si="195"/>
        <v>1.33</v>
      </c>
      <c r="L138" s="714" t="str">
        <f t="shared" si="196"/>
        <v>D+</v>
      </c>
      <c r="M138" s="888" t="str">
        <f t="shared" si="197"/>
        <v>0</v>
      </c>
      <c r="N138" s="1154"/>
      <c r="O138" s="1155"/>
      <c r="P138" s="1155"/>
      <c r="Q138" s="1155"/>
      <c r="R138" s="1155"/>
      <c r="S138" s="1162"/>
      <c r="T138" s="1486"/>
      <c r="U138" s="1487"/>
    </row>
    <row r="139" spans="1:21" ht="20.100000000000001" customHeight="1" thickBot="1" x14ac:dyDescent="0.3">
      <c r="A139" s="1892">
        <v>34</v>
      </c>
      <c r="B139" s="1326">
        <v>34</v>
      </c>
      <c r="C139" s="1840" t="e">
        <f>VLOOKUP(A139,data_siswa,4,FALSE)</f>
        <v>#N/A</v>
      </c>
      <c r="D139" s="1893" t="s">
        <v>10</v>
      </c>
      <c r="E139" s="627"/>
      <c r="F139" s="1904">
        <f>E139*2</f>
        <v>0</v>
      </c>
      <c r="G139" s="1891"/>
      <c r="H139" s="627">
        <f>VLOOKUP(B139,REKAP_NILAI,49,FALSE)</f>
        <v>0</v>
      </c>
      <c r="I139" s="706">
        <f>F139+G139+H139</f>
        <v>0</v>
      </c>
      <c r="J139" s="707">
        <f>(F139+G139+H139)/4</f>
        <v>0</v>
      </c>
      <c r="K139" s="708" t="str">
        <f>IF(J139&gt;85,("4"),IF(J139&gt;80,("3.66"),IF(J139&gt;75,("3.33"),IF(J139&gt;70,("3.00"),IF(J139&gt;65,("2.66"),IF(J139&gt;60,("2.33"),IF(J139&gt;55,("2"),IF(J139&gt;50,("1.66"),"1.33"))))))))</f>
        <v>1.33</v>
      </c>
      <c r="L139" s="708" t="str">
        <f>IF(J139&gt;85,("A"),IF(J139&gt;80,("A-"),IF(J139&gt;75,("B+"),IF(J139&gt;70,("B"),IF(J139&gt;65,("B-"),IF(J139&gt;60,("C+"),IF(J139&gt;55,("C"),IF(J139&gt;50,("C-"),"D+"))))))))</f>
        <v>D+</v>
      </c>
      <c r="M139" s="887" t="str">
        <f>IF(J139&gt;80,("SB"),IF(J139&gt;65,("B"),IF(J139&gt;50,("C"),IF(J139&gt;0,("K"),"0"))))</f>
        <v>0</v>
      </c>
      <c r="N139" s="1474"/>
      <c r="O139" s="1474"/>
      <c r="P139" s="1474"/>
      <c r="Q139" s="1475"/>
      <c r="R139" s="1476"/>
      <c r="S139" s="1476"/>
      <c r="T139" s="1057">
        <f>AVERAGE(J139:J141)</f>
        <v>0</v>
      </c>
      <c r="U139" s="1194" t="str">
        <f>IF(T139&gt;85,("A"),IF(T139&gt;80,("A-"),IF(T139&gt;75,("B+"),IF(T139&gt;70,("B"),IF(T139&gt;65,("B-"),IF(T139&gt;60,("C+"),IF(T139&gt;55,("C"),IF(T139&gt;50,("C-"),"D+"))))))))</f>
        <v>D+</v>
      </c>
    </row>
    <row r="140" spans="1:21" ht="20.100000000000001" customHeight="1" x14ac:dyDescent="0.25">
      <c r="A140" s="360"/>
      <c r="B140" s="1326">
        <v>34</v>
      </c>
      <c r="C140" s="1839"/>
      <c r="D140" s="1893" t="s">
        <v>8</v>
      </c>
      <c r="E140" s="627"/>
      <c r="F140" s="1905">
        <f t="shared" ref="F140:F141" si="198">E140*2</f>
        <v>0</v>
      </c>
      <c r="G140" s="1891"/>
      <c r="H140" s="627">
        <f>VLOOKUP(B139,REKAP_NILAI,50,FALSE)</f>
        <v>0</v>
      </c>
      <c r="I140" s="709">
        <f t="shared" ref="I140:I141" si="199">F140+G140+H140</f>
        <v>0</v>
      </c>
      <c r="J140" s="710">
        <f t="shared" ref="J140:J141" si="200">(F140+G140+H140)/4</f>
        <v>0</v>
      </c>
      <c r="K140" s="711" t="str">
        <f t="shared" ref="K140:K142" si="201">IF(J140&gt;85,("4"),IF(J140&gt;80,("3.66"),IF(J140&gt;75,("3.33"),IF(J140&gt;70,("3.00"),IF(J140&gt;65,("2.66"),IF(J140&gt;60,("2.33"),IF(J140&gt;55,("2"),IF(J140&gt;50,("1.66"),"1.33"))))))))</f>
        <v>1.33</v>
      </c>
      <c r="L140" s="711" t="str">
        <f t="shared" ref="L140:L142" si="202">IF(J140&gt;85,("A"),IF(J140&gt;80,("A-"),IF(J140&gt;75,("B+"),IF(J140&gt;70,("B"),IF(J140&gt;65,("B-"),IF(J140&gt;60,("C+"),IF(J140&gt;55,("C"),IF(J140&gt;50,("C-"),"D+"))))))))</f>
        <v>D+</v>
      </c>
      <c r="M140" s="712" t="str">
        <f t="shared" ref="M140:M142" si="203">IF(J140&gt;80,("SB"),IF(J140&gt;65,("B"),IF(J140&gt;50,("C"),IF(J140&gt;0,("K"),"0"))))</f>
        <v>0</v>
      </c>
      <c r="N140" s="1463"/>
      <c r="O140" s="1464"/>
      <c r="P140" s="1464"/>
      <c r="Q140" s="1465"/>
      <c r="R140" s="1465"/>
      <c r="S140" s="1466"/>
      <c r="T140" s="1482"/>
      <c r="U140" s="1483"/>
    </row>
    <row r="141" spans="1:21" ht="20.100000000000001" customHeight="1" x14ac:dyDescent="0.25">
      <c r="A141" s="360"/>
      <c r="B141" s="1326">
        <v>34</v>
      </c>
      <c r="C141" s="1839"/>
      <c r="D141" s="1893" t="s">
        <v>18</v>
      </c>
      <c r="E141" s="627"/>
      <c r="F141" s="1905">
        <f t="shared" si="198"/>
        <v>0</v>
      </c>
      <c r="G141" s="1891"/>
      <c r="H141" s="627">
        <f>VLOOKUP(B139,REKAP_NILAI,51,FALSE)</f>
        <v>0</v>
      </c>
      <c r="I141" s="709">
        <f t="shared" si="199"/>
        <v>0</v>
      </c>
      <c r="J141" s="710">
        <f t="shared" si="200"/>
        <v>0</v>
      </c>
      <c r="K141" s="711" t="str">
        <f t="shared" si="201"/>
        <v>1.33</v>
      </c>
      <c r="L141" s="711" t="str">
        <f t="shared" si="202"/>
        <v>D+</v>
      </c>
      <c r="M141" s="712" t="str">
        <f t="shared" si="203"/>
        <v>0</v>
      </c>
      <c r="N141" s="1467"/>
      <c r="O141" s="1468"/>
      <c r="P141" s="1468"/>
      <c r="Q141" s="1469"/>
      <c r="R141" s="1469"/>
      <c r="S141" s="1470"/>
      <c r="T141" s="1484"/>
      <c r="U141" s="1485"/>
    </row>
    <row r="142" spans="1:21" ht="20.100000000000001" customHeight="1" x14ac:dyDescent="0.25">
      <c r="A142" s="697"/>
      <c r="B142" s="698"/>
      <c r="C142" s="635" t="s">
        <v>149</v>
      </c>
      <c r="D142" s="700">
        <v>34</v>
      </c>
      <c r="E142" s="697"/>
      <c r="F142" s="1906"/>
      <c r="G142" s="697"/>
      <c r="H142" s="1189">
        <f>AVERAGE(H139:H141)</f>
        <v>0</v>
      </c>
      <c r="I142" s="705"/>
      <c r="J142" s="713">
        <f>AVERAGE(J139:J141)</f>
        <v>0</v>
      </c>
      <c r="K142" s="714" t="str">
        <f t="shared" si="201"/>
        <v>1.33</v>
      </c>
      <c r="L142" s="714" t="str">
        <f t="shared" si="202"/>
        <v>D+</v>
      </c>
      <c r="M142" s="888" t="str">
        <f t="shared" si="203"/>
        <v>0</v>
      </c>
      <c r="N142" s="1154"/>
      <c r="O142" s="1155"/>
      <c r="P142" s="1155"/>
      <c r="Q142" s="1155"/>
      <c r="R142" s="1155"/>
      <c r="S142" s="1162"/>
      <c r="T142" s="1486"/>
      <c r="U142" s="1487"/>
    </row>
    <row r="143" spans="1:21" ht="20.100000000000001" customHeight="1" thickBot="1" x14ac:dyDescent="0.3">
      <c r="A143" s="1892">
        <v>35</v>
      </c>
      <c r="B143" s="1326">
        <v>35</v>
      </c>
      <c r="C143" s="1840" t="e">
        <f>VLOOKUP(A143,data_siswa,4,FALSE)</f>
        <v>#N/A</v>
      </c>
      <c r="D143" s="1893" t="s">
        <v>10</v>
      </c>
      <c r="E143" s="627"/>
      <c r="F143" s="1904">
        <f>E143*2</f>
        <v>0</v>
      </c>
      <c r="G143" s="1891"/>
      <c r="H143" s="627">
        <f>VLOOKUP(B143,REKAP_NILAI,49,FALSE)</f>
        <v>0</v>
      </c>
      <c r="I143" s="706">
        <f>F143+G143+H143</f>
        <v>0</v>
      </c>
      <c r="J143" s="707">
        <f>(F143+G143+H143)/4</f>
        <v>0</v>
      </c>
      <c r="K143" s="708" t="str">
        <f>IF(J143&gt;85,("4"),IF(J143&gt;80,("3.66"),IF(J143&gt;75,("3.33"),IF(J143&gt;70,("3.00"),IF(J143&gt;65,("2.66"),IF(J143&gt;60,("2.33"),IF(J143&gt;55,("2"),IF(J143&gt;50,("1.66"),"1.33"))))))))</f>
        <v>1.33</v>
      </c>
      <c r="L143" s="708" t="str">
        <f>IF(J143&gt;85,("A"),IF(J143&gt;80,("A-"),IF(J143&gt;75,("B+"),IF(J143&gt;70,("B"),IF(J143&gt;65,("B-"),IF(J143&gt;60,("C+"),IF(J143&gt;55,("C"),IF(J143&gt;50,("C-"),"D+"))))))))</f>
        <v>D+</v>
      </c>
      <c r="M143" s="887" t="str">
        <f>IF(J143&gt;80,("SB"),IF(J143&gt;65,("B"),IF(J143&gt;50,("C"),IF(J143&gt;0,("K"),"0"))))</f>
        <v>0</v>
      </c>
      <c r="N143" s="1474"/>
      <c r="O143" s="1474"/>
      <c r="P143" s="1474"/>
      <c r="Q143" s="1475"/>
      <c r="R143" s="1476"/>
      <c r="S143" s="1476"/>
      <c r="T143" s="1057">
        <f>AVERAGE(J143:J145)</f>
        <v>0</v>
      </c>
      <c r="U143" s="1194" t="str">
        <f>IF(T143&gt;85,("A"),IF(T143&gt;80,("A-"),IF(T143&gt;75,("B+"),IF(T143&gt;70,("B"),IF(T143&gt;65,("B-"),IF(T143&gt;60,("C+"),IF(T143&gt;55,("C"),IF(T143&gt;50,("C-"),"D+"))))))))</f>
        <v>D+</v>
      </c>
    </row>
    <row r="144" spans="1:21" ht="20.100000000000001" customHeight="1" x14ac:dyDescent="0.25">
      <c r="A144" s="360"/>
      <c r="B144" s="1326">
        <v>35</v>
      </c>
      <c r="C144" s="1839"/>
      <c r="D144" s="1893" t="s">
        <v>8</v>
      </c>
      <c r="E144" s="627"/>
      <c r="F144" s="1905">
        <f t="shared" ref="F144:F145" si="204">E144*2</f>
        <v>0</v>
      </c>
      <c r="G144" s="1891"/>
      <c r="H144" s="627">
        <f>VLOOKUP(B143,REKAP_NILAI,50,FALSE)</f>
        <v>0</v>
      </c>
      <c r="I144" s="709">
        <f t="shared" ref="I144:I145" si="205">F144+G144+H144</f>
        <v>0</v>
      </c>
      <c r="J144" s="710">
        <f t="shared" ref="J144:J145" si="206">(F144+G144+H144)/4</f>
        <v>0</v>
      </c>
      <c r="K144" s="711" t="str">
        <f t="shared" ref="K144:K146" si="207">IF(J144&gt;85,("4"),IF(J144&gt;80,("3.66"),IF(J144&gt;75,("3.33"),IF(J144&gt;70,("3.00"),IF(J144&gt;65,("2.66"),IF(J144&gt;60,("2.33"),IF(J144&gt;55,("2"),IF(J144&gt;50,("1.66"),"1.33"))))))))</f>
        <v>1.33</v>
      </c>
      <c r="L144" s="711" t="str">
        <f t="shared" ref="L144:L146" si="208">IF(J144&gt;85,("A"),IF(J144&gt;80,("A-"),IF(J144&gt;75,("B+"),IF(J144&gt;70,("B"),IF(J144&gt;65,("B-"),IF(J144&gt;60,("C+"),IF(J144&gt;55,("C"),IF(J144&gt;50,("C-"),"D+"))))))))</f>
        <v>D+</v>
      </c>
      <c r="M144" s="712" t="str">
        <f t="shared" ref="M144:M146" si="209">IF(J144&gt;80,("SB"),IF(J144&gt;65,("B"),IF(J144&gt;50,("C"),IF(J144&gt;0,("K"),"0"))))</f>
        <v>0</v>
      </c>
      <c r="N144" s="1463"/>
      <c r="O144" s="1464"/>
      <c r="P144" s="1464"/>
      <c r="Q144" s="1465"/>
      <c r="R144" s="1465"/>
      <c r="S144" s="1466"/>
      <c r="T144" s="1482"/>
      <c r="U144" s="1483"/>
    </row>
    <row r="145" spans="1:21" ht="20.100000000000001" customHeight="1" x14ac:dyDescent="0.25">
      <c r="A145" s="360"/>
      <c r="B145" s="1326">
        <v>35</v>
      </c>
      <c r="C145" s="1839"/>
      <c r="D145" s="1893" t="s">
        <v>18</v>
      </c>
      <c r="E145" s="627"/>
      <c r="F145" s="1905">
        <f t="shared" si="204"/>
        <v>0</v>
      </c>
      <c r="G145" s="1891"/>
      <c r="H145" s="627">
        <f>VLOOKUP(B143,REKAP_NILAI,51,FALSE)</f>
        <v>0</v>
      </c>
      <c r="I145" s="709">
        <f t="shared" si="205"/>
        <v>0</v>
      </c>
      <c r="J145" s="710">
        <f t="shared" si="206"/>
        <v>0</v>
      </c>
      <c r="K145" s="711" t="str">
        <f t="shared" si="207"/>
        <v>1.33</v>
      </c>
      <c r="L145" s="711" t="str">
        <f t="shared" si="208"/>
        <v>D+</v>
      </c>
      <c r="M145" s="712" t="str">
        <f t="shared" si="209"/>
        <v>0</v>
      </c>
      <c r="N145" s="1467"/>
      <c r="O145" s="1468"/>
      <c r="P145" s="1468"/>
      <c r="Q145" s="1469"/>
      <c r="R145" s="1469"/>
      <c r="S145" s="1470"/>
      <c r="T145" s="1484"/>
      <c r="U145" s="1485"/>
    </row>
    <row r="146" spans="1:21" ht="20.100000000000001" customHeight="1" x14ac:dyDescent="0.25">
      <c r="A146" s="697"/>
      <c r="B146" s="698"/>
      <c r="C146" s="635" t="s">
        <v>149</v>
      </c>
      <c r="D146" s="700">
        <v>35</v>
      </c>
      <c r="E146" s="697"/>
      <c r="F146" s="1906"/>
      <c r="G146" s="697"/>
      <c r="H146" s="1189">
        <f>AVERAGE(H143:H145)</f>
        <v>0</v>
      </c>
      <c r="I146" s="705"/>
      <c r="J146" s="713">
        <f>AVERAGE(J143:J145)</f>
        <v>0</v>
      </c>
      <c r="K146" s="714" t="str">
        <f t="shared" si="207"/>
        <v>1.33</v>
      </c>
      <c r="L146" s="714" t="str">
        <f t="shared" si="208"/>
        <v>D+</v>
      </c>
      <c r="M146" s="888" t="str">
        <f t="shared" si="209"/>
        <v>0</v>
      </c>
      <c r="N146" s="1154"/>
      <c r="O146" s="1155"/>
      <c r="P146" s="1155"/>
      <c r="Q146" s="1155"/>
      <c r="R146" s="1155"/>
      <c r="S146" s="1162"/>
      <c r="T146" s="1486"/>
      <c r="U146" s="1487"/>
    </row>
    <row r="147" spans="1:21" ht="20.100000000000001" customHeight="1" thickBot="1" x14ac:dyDescent="0.3">
      <c r="A147" s="1892">
        <v>36</v>
      </c>
      <c r="B147" s="1326">
        <v>36</v>
      </c>
      <c r="C147" s="1840" t="e">
        <f>VLOOKUP(A147,data_siswa,4,FALSE)</f>
        <v>#N/A</v>
      </c>
      <c r="D147" s="1893" t="s">
        <v>10</v>
      </c>
      <c r="E147" s="627"/>
      <c r="F147" s="1904">
        <f>E147*2</f>
        <v>0</v>
      </c>
      <c r="G147" s="1891"/>
      <c r="H147" s="627">
        <f>VLOOKUP(B147,REKAP_NILAI,49,FALSE)</f>
        <v>0</v>
      </c>
      <c r="I147" s="706">
        <f>F147+G147+H147</f>
        <v>0</v>
      </c>
      <c r="J147" s="707">
        <f>(F147+G147+H147)/4</f>
        <v>0</v>
      </c>
      <c r="K147" s="708" t="str">
        <f>IF(J147&gt;85,("4"),IF(J147&gt;80,("3.66"),IF(J147&gt;75,("3.33"),IF(J147&gt;70,("3.00"),IF(J147&gt;65,("2.66"),IF(J147&gt;60,("2.33"),IF(J147&gt;55,("2"),IF(J147&gt;50,("1.66"),"1.33"))))))))</f>
        <v>1.33</v>
      </c>
      <c r="L147" s="708" t="str">
        <f>IF(J147&gt;85,("A"),IF(J147&gt;80,("A-"),IF(J147&gt;75,("B+"),IF(J147&gt;70,("B"),IF(J147&gt;65,("B-"),IF(J147&gt;60,("C+"),IF(J147&gt;55,("C"),IF(J147&gt;50,("C-"),"D+"))))))))</f>
        <v>D+</v>
      </c>
      <c r="M147" s="887" t="str">
        <f>IF(J147&gt;80,("SB"),IF(J147&gt;65,("B"),IF(J147&gt;50,("C"),IF(J147&gt;0,("K"),"0"))))</f>
        <v>0</v>
      </c>
      <c r="N147" s="1474"/>
      <c r="O147" s="1474"/>
      <c r="P147" s="1474"/>
      <c r="Q147" s="1475"/>
      <c r="R147" s="1476"/>
      <c r="S147" s="1476"/>
      <c r="T147" s="1057">
        <f>AVERAGE(J147:J149)</f>
        <v>0</v>
      </c>
      <c r="U147" s="1194" t="str">
        <f>IF(T147&gt;85,("A"),IF(T147&gt;80,("A-"),IF(T147&gt;75,("B+"),IF(T147&gt;70,("B"),IF(T147&gt;65,("B-"),IF(T147&gt;60,("C+"),IF(T147&gt;55,("C"),IF(T147&gt;50,("C-"),"D+"))))))))</f>
        <v>D+</v>
      </c>
    </row>
    <row r="148" spans="1:21" ht="20.100000000000001" customHeight="1" x14ac:dyDescent="0.25">
      <c r="A148" s="360"/>
      <c r="B148" s="1326">
        <v>36</v>
      </c>
      <c r="C148" s="1839"/>
      <c r="D148" s="1893" t="s">
        <v>8</v>
      </c>
      <c r="E148" s="627"/>
      <c r="F148" s="1905">
        <f t="shared" ref="F148:F149" si="210">E148*2</f>
        <v>0</v>
      </c>
      <c r="G148" s="1891"/>
      <c r="H148" s="627">
        <f>VLOOKUP(B147,REKAP_NILAI,50,FALSE)</f>
        <v>0</v>
      </c>
      <c r="I148" s="709">
        <f t="shared" ref="I148:I149" si="211">F148+G148+H148</f>
        <v>0</v>
      </c>
      <c r="J148" s="710">
        <f t="shared" ref="J148:J149" si="212">(F148+G148+H148)/4</f>
        <v>0</v>
      </c>
      <c r="K148" s="711" t="str">
        <f t="shared" ref="K148:K150" si="213">IF(J148&gt;85,("4"),IF(J148&gt;80,("3.66"),IF(J148&gt;75,("3.33"),IF(J148&gt;70,("3.00"),IF(J148&gt;65,("2.66"),IF(J148&gt;60,("2.33"),IF(J148&gt;55,("2"),IF(J148&gt;50,("1.66"),"1.33"))))))))</f>
        <v>1.33</v>
      </c>
      <c r="L148" s="711" t="str">
        <f t="shared" ref="L148:L150" si="214">IF(J148&gt;85,("A"),IF(J148&gt;80,("A-"),IF(J148&gt;75,("B+"),IF(J148&gt;70,("B"),IF(J148&gt;65,("B-"),IF(J148&gt;60,("C+"),IF(J148&gt;55,("C"),IF(J148&gt;50,("C-"),"D+"))))))))</f>
        <v>D+</v>
      </c>
      <c r="M148" s="712" t="str">
        <f t="shared" ref="M148:M150" si="215">IF(J148&gt;80,("SB"),IF(J148&gt;65,("B"),IF(J148&gt;50,("C"),IF(J148&gt;0,("K"),"0"))))</f>
        <v>0</v>
      </c>
      <c r="N148" s="1463"/>
      <c r="O148" s="1464"/>
      <c r="P148" s="1464"/>
      <c r="Q148" s="1465"/>
      <c r="R148" s="1465"/>
      <c r="S148" s="1466"/>
      <c r="T148" s="1482"/>
      <c r="U148" s="1483"/>
    </row>
    <row r="149" spans="1:21" ht="20.100000000000001" customHeight="1" x14ac:dyDescent="0.25">
      <c r="A149" s="360"/>
      <c r="B149" s="1326">
        <v>36</v>
      </c>
      <c r="C149" s="1839"/>
      <c r="D149" s="1893" t="s">
        <v>18</v>
      </c>
      <c r="E149" s="627"/>
      <c r="F149" s="1905">
        <f t="shared" si="210"/>
        <v>0</v>
      </c>
      <c r="G149" s="1891"/>
      <c r="H149" s="627">
        <f>VLOOKUP(B147,REKAP_NILAI,51,FALSE)</f>
        <v>0</v>
      </c>
      <c r="I149" s="709">
        <f t="shared" si="211"/>
        <v>0</v>
      </c>
      <c r="J149" s="710">
        <f t="shared" si="212"/>
        <v>0</v>
      </c>
      <c r="K149" s="711" t="str">
        <f t="shared" si="213"/>
        <v>1.33</v>
      </c>
      <c r="L149" s="711" t="str">
        <f t="shared" si="214"/>
        <v>D+</v>
      </c>
      <c r="M149" s="712" t="str">
        <f t="shared" si="215"/>
        <v>0</v>
      </c>
      <c r="N149" s="1467"/>
      <c r="O149" s="1468"/>
      <c r="P149" s="1468"/>
      <c r="Q149" s="1469"/>
      <c r="R149" s="1469"/>
      <c r="S149" s="1470"/>
      <c r="T149" s="1484"/>
      <c r="U149" s="1485"/>
    </row>
    <row r="150" spans="1:21" ht="20.100000000000001" customHeight="1" x14ac:dyDescent="0.25">
      <c r="A150" s="697"/>
      <c r="B150" s="698"/>
      <c r="C150" s="635" t="s">
        <v>149</v>
      </c>
      <c r="D150" s="700">
        <v>36</v>
      </c>
      <c r="E150" s="697"/>
      <c r="F150" s="1906"/>
      <c r="G150" s="697"/>
      <c r="H150" s="1189">
        <f>AVERAGE(H147:H149)</f>
        <v>0</v>
      </c>
      <c r="I150" s="705"/>
      <c r="J150" s="713">
        <f>AVERAGE(J147:J149)</f>
        <v>0</v>
      </c>
      <c r="K150" s="714" t="str">
        <f t="shared" si="213"/>
        <v>1.33</v>
      </c>
      <c r="L150" s="714" t="str">
        <f t="shared" si="214"/>
        <v>D+</v>
      </c>
      <c r="M150" s="888" t="str">
        <f t="shared" si="215"/>
        <v>0</v>
      </c>
      <c r="N150" s="1154"/>
      <c r="O150" s="1155"/>
      <c r="P150" s="1155"/>
      <c r="Q150" s="1155"/>
      <c r="R150" s="1155"/>
      <c r="S150" s="1162"/>
      <c r="T150" s="1486"/>
      <c r="U150" s="1487"/>
    </row>
    <row r="151" spans="1:21" ht="20.100000000000001" customHeight="1" thickBot="1" x14ac:dyDescent="0.3">
      <c r="A151" s="1892">
        <v>37</v>
      </c>
      <c r="B151" s="1326">
        <v>37</v>
      </c>
      <c r="C151" s="1840" t="e">
        <f>VLOOKUP(A151,data_siswa,4,FALSE)</f>
        <v>#N/A</v>
      </c>
      <c r="D151" s="1893" t="s">
        <v>10</v>
      </c>
      <c r="E151" s="627"/>
      <c r="F151" s="1904">
        <f>E151*2</f>
        <v>0</v>
      </c>
      <c r="G151" s="1891"/>
      <c r="H151" s="627">
        <f>VLOOKUP(B151,REKAP_NILAI,49,FALSE)</f>
        <v>0</v>
      </c>
      <c r="I151" s="706">
        <f>F151+G151+H151</f>
        <v>0</v>
      </c>
      <c r="J151" s="707">
        <f>(F151+G151+H151)/4</f>
        <v>0</v>
      </c>
      <c r="K151" s="708" t="str">
        <f>IF(J151&gt;85,("4"),IF(J151&gt;80,("3.66"),IF(J151&gt;75,("3.33"),IF(J151&gt;70,("3.00"),IF(J151&gt;65,("2.66"),IF(J151&gt;60,("2.33"),IF(J151&gt;55,("2"),IF(J151&gt;50,("1.66"),"1.33"))))))))</f>
        <v>1.33</v>
      </c>
      <c r="L151" s="708" t="str">
        <f>IF(J151&gt;85,("A"),IF(J151&gt;80,("A-"),IF(J151&gt;75,("B+"),IF(J151&gt;70,("B"),IF(J151&gt;65,("B-"),IF(J151&gt;60,("C+"),IF(J151&gt;55,("C"),IF(J151&gt;50,("C-"),"D+"))))))))</f>
        <v>D+</v>
      </c>
      <c r="M151" s="887" t="str">
        <f>IF(J151&gt;80,("SB"),IF(J151&gt;65,("B"),IF(J151&gt;50,("C"),IF(J151&gt;0,("K"),"0"))))</f>
        <v>0</v>
      </c>
      <c r="N151" s="1474"/>
      <c r="O151" s="1474"/>
      <c r="P151" s="1474"/>
      <c r="Q151" s="1475"/>
      <c r="R151" s="1476"/>
      <c r="S151" s="1476"/>
      <c r="T151" s="1057">
        <f>AVERAGE(J151:J153)</f>
        <v>0</v>
      </c>
      <c r="U151" s="1194" t="str">
        <f>IF(T151&gt;85,("A"),IF(T151&gt;80,("A-"),IF(T151&gt;75,("B+"),IF(T151&gt;70,("B"),IF(T151&gt;65,("B-"),IF(T151&gt;60,("C+"),IF(T151&gt;55,("C"),IF(T151&gt;50,("C-"),"D+"))))))))</f>
        <v>D+</v>
      </c>
    </row>
    <row r="152" spans="1:21" ht="20.100000000000001" customHeight="1" x14ac:dyDescent="0.25">
      <c r="A152" s="360"/>
      <c r="B152" s="1326">
        <v>37</v>
      </c>
      <c r="C152" s="1839"/>
      <c r="D152" s="1893" t="s">
        <v>8</v>
      </c>
      <c r="E152" s="627"/>
      <c r="F152" s="1905">
        <f t="shared" ref="F152:F153" si="216">E152*2</f>
        <v>0</v>
      </c>
      <c r="G152" s="1891"/>
      <c r="H152" s="627">
        <f>VLOOKUP(B151,REKAP_NILAI,50,FALSE)</f>
        <v>0</v>
      </c>
      <c r="I152" s="709">
        <f t="shared" ref="I152:I153" si="217">F152+G152+H152</f>
        <v>0</v>
      </c>
      <c r="J152" s="710">
        <f t="shared" ref="J152:J153" si="218">(F152+G152+H152)/4</f>
        <v>0</v>
      </c>
      <c r="K152" s="711" t="str">
        <f t="shared" ref="K152:K154" si="219">IF(J152&gt;85,("4"),IF(J152&gt;80,("3.66"),IF(J152&gt;75,("3.33"),IF(J152&gt;70,("3.00"),IF(J152&gt;65,("2.66"),IF(J152&gt;60,("2.33"),IF(J152&gt;55,("2"),IF(J152&gt;50,("1.66"),"1.33"))))))))</f>
        <v>1.33</v>
      </c>
      <c r="L152" s="711" t="str">
        <f t="shared" ref="L152:L154" si="220">IF(J152&gt;85,("A"),IF(J152&gt;80,("A-"),IF(J152&gt;75,("B+"),IF(J152&gt;70,("B"),IF(J152&gt;65,("B-"),IF(J152&gt;60,("C+"),IF(J152&gt;55,("C"),IF(J152&gt;50,("C-"),"D+"))))))))</f>
        <v>D+</v>
      </c>
      <c r="M152" s="712" t="str">
        <f t="shared" ref="M152:M154" si="221">IF(J152&gt;80,("SB"),IF(J152&gt;65,("B"),IF(J152&gt;50,("C"),IF(J152&gt;0,("K"),"0"))))</f>
        <v>0</v>
      </c>
      <c r="N152" s="1463"/>
      <c r="O152" s="1464"/>
      <c r="P152" s="1464"/>
      <c r="Q152" s="1465"/>
      <c r="R152" s="1465"/>
      <c r="S152" s="1466"/>
      <c r="T152" s="1482"/>
      <c r="U152" s="1483"/>
    </row>
    <row r="153" spans="1:21" ht="20.100000000000001" customHeight="1" x14ac:dyDescent="0.25">
      <c r="A153" s="360"/>
      <c r="B153" s="1326">
        <v>37</v>
      </c>
      <c r="C153" s="1839"/>
      <c r="D153" s="1893" t="s">
        <v>18</v>
      </c>
      <c r="E153" s="627"/>
      <c r="F153" s="1905">
        <f t="shared" si="216"/>
        <v>0</v>
      </c>
      <c r="G153" s="1891"/>
      <c r="H153" s="627">
        <f>VLOOKUP(B151,REKAP_NILAI,51,FALSE)</f>
        <v>0</v>
      </c>
      <c r="I153" s="709">
        <f t="shared" si="217"/>
        <v>0</v>
      </c>
      <c r="J153" s="710">
        <f t="shared" si="218"/>
        <v>0</v>
      </c>
      <c r="K153" s="711" t="str">
        <f t="shared" si="219"/>
        <v>1.33</v>
      </c>
      <c r="L153" s="711" t="str">
        <f t="shared" si="220"/>
        <v>D+</v>
      </c>
      <c r="M153" s="712" t="str">
        <f t="shared" si="221"/>
        <v>0</v>
      </c>
      <c r="N153" s="1467"/>
      <c r="O153" s="1468"/>
      <c r="P153" s="1468"/>
      <c r="Q153" s="1469"/>
      <c r="R153" s="1469"/>
      <c r="S153" s="1470"/>
      <c r="T153" s="1484"/>
      <c r="U153" s="1485"/>
    </row>
    <row r="154" spans="1:21" ht="20.100000000000001" customHeight="1" x14ac:dyDescent="0.25">
      <c r="A154" s="697"/>
      <c r="B154" s="698"/>
      <c r="C154" s="635" t="s">
        <v>149</v>
      </c>
      <c r="D154" s="700">
        <v>37</v>
      </c>
      <c r="E154" s="697"/>
      <c r="F154" s="1906"/>
      <c r="G154" s="697"/>
      <c r="H154" s="1189">
        <f>AVERAGE(H151:H153)</f>
        <v>0</v>
      </c>
      <c r="I154" s="705"/>
      <c r="J154" s="713">
        <f>AVERAGE(J151:J153)</f>
        <v>0</v>
      </c>
      <c r="K154" s="714" t="str">
        <f t="shared" si="219"/>
        <v>1.33</v>
      </c>
      <c r="L154" s="714" t="str">
        <f t="shared" si="220"/>
        <v>D+</v>
      </c>
      <c r="M154" s="888" t="str">
        <f t="shared" si="221"/>
        <v>0</v>
      </c>
      <c r="N154" s="1154"/>
      <c r="O154" s="1155"/>
      <c r="P154" s="1155"/>
      <c r="Q154" s="1155"/>
      <c r="R154" s="1155"/>
      <c r="S154" s="1162"/>
      <c r="T154" s="1486"/>
      <c r="U154" s="1487"/>
    </row>
    <row r="155" spans="1:21" ht="20.100000000000001" customHeight="1" thickBot="1" x14ac:dyDescent="0.3">
      <c r="A155" s="1892">
        <v>38</v>
      </c>
      <c r="B155" s="1326">
        <v>38</v>
      </c>
      <c r="C155" s="1840" t="e">
        <f>VLOOKUP(A155,data_siswa,4,FALSE)</f>
        <v>#N/A</v>
      </c>
      <c r="D155" s="1893" t="s">
        <v>10</v>
      </c>
      <c r="E155" s="627"/>
      <c r="F155" s="1904">
        <f>E155*2</f>
        <v>0</v>
      </c>
      <c r="G155" s="1891"/>
      <c r="H155" s="627">
        <f>VLOOKUP(B155,REKAP_NILAI,49,FALSE)</f>
        <v>0</v>
      </c>
      <c r="I155" s="706">
        <f>F155+G155+H155</f>
        <v>0</v>
      </c>
      <c r="J155" s="707">
        <f>(F155+G155+H155)/4</f>
        <v>0</v>
      </c>
      <c r="K155" s="708" t="str">
        <f>IF(J155&gt;85,("4"),IF(J155&gt;80,("3.66"),IF(J155&gt;75,("3.33"),IF(J155&gt;70,("3.00"),IF(J155&gt;65,("2.66"),IF(J155&gt;60,("2.33"),IF(J155&gt;55,("2"),IF(J155&gt;50,("1.66"),"1.33"))))))))</f>
        <v>1.33</v>
      </c>
      <c r="L155" s="708" t="str">
        <f>IF(J155&gt;85,("A"),IF(J155&gt;80,("A-"),IF(J155&gt;75,("B+"),IF(J155&gt;70,("B"),IF(J155&gt;65,("B-"),IF(J155&gt;60,("C+"),IF(J155&gt;55,("C"),IF(J155&gt;50,("C-"),"D+"))))))))</f>
        <v>D+</v>
      </c>
      <c r="M155" s="887" t="str">
        <f>IF(J155&gt;80,("SB"),IF(J155&gt;65,("B"),IF(J155&gt;50,("C"),IF(J155&gt;0,("K"),"0"))))</f>
        <v>0</v>
      </c>
      <c r="N155" s="1474"/>
      <c r="O155" s="1474"/>
      <c r="P155" s="1474"/>
      <c r="Q155" s="1475"/>
      <c r="R155" s="1476"/>
      <c r="S155" s="1476"/>
      <c r="T155" s="1057">
        <f>AVERAGE(J155:J157)</f>
        <v>0</v>
      </c>
      <c r="U155" s="1194" t="str">
        <f>IF(T155&gt;85,("A"),IF(T155&gt;80,("A-"),IF(T155&gt;75,("B+"),IF(T155&gt;70,("B"),IF(T155&gt;65,("B-"),IF(T155&gt;60,("C+"),IF(T155&gt;55,("C"),IF(T155&gt;50,("C-"),"D+"))))))))</f>
        <v>D+</v>
      </c>
    </row>
    <row r="156" spans="1:21" ht="20.100000000000001" customHeight="1" x14ac:dyDescent="0.25">
      <c r="A156" s="360"/>
      <c r="B156" s="1326">
        <v>38</v>
      </c>
      <c r="C156" s="1839"/>
      <c r="D156" s="1893" t="s">
        <v>8</v>
      </c>
      <c r="E156" s="627"/>
      <c r="F156" s="1905">
        <f t="shared" ref="F156:F157" si="222">E156*2</f>
        <v>0</v>
      </c>
      <c r="G156" s="1891"/>
      <c r="H156" s="627">
        <f>VLOOKUP(B155,REKAP_NILAI,50,FALSE)</f>
        <v>0</v>
      </c>
      <c r="I156" s="709">
        <f t="shared" ref="I156:I157" si="223">F156+G156+H156</f>
        <v>0</v>
      </c>
      <c r="J156" s="710">
        <f t="shared" ref="J156:J157" si="224">(F156+G156+H156)/4</f>
        <v>0</v>
      </c>
      <c r="K156" s="711" t="str">
        <f t="shared" ref="K156:K158" si="225">IF(J156&gt;85,("4"),IF(J156&gt;80,("3.66"),IF(J156&gt;75,("3.33"),IF(J156&gt;70,("3.00"),IF(J156&gt;65,("2.66"),IF(J156&gt;60,("2.33"),IF(J156&gt;55,("2"),IF(J156&gt;50,("1.66"),"1.33"))))))))</f>
        <v>1.33</v>
      </c>
      <c r="L156" s="711" t="str">
        <f t="shared" ref="L156:L158" si="226">IF(J156&gt;85,("A"),IF(J156&gt;80,("A-"),IF(J156&gt;75,("B+"),IF(J156&gt;70,("B"),IF(J156&gt;65,("B-"),IF(J156&gt;60,("C+"),IF(J156&gt;55,("C"),IF(J156&gt;50,("C-"),"D+"))))))))</f>
        <v>D+</v>
      </c>
      <c r="M156" s="712" t="str">
        <f t="shared" ref="M156:M158" si="227">IF(J156&gt;80,("SB"),IF(J156&gt;65,("B"),IF(J156&gt;50,("C"),IF(J156&gt;0,("K"),"0"))))</f>
        <v>0</v>
      </c>
      <c r="N156" s="1463"/>
      <c r="O156" s="1464"/>
      <c r="P156" s="1464"/>
      <c r="Q156" s="1465"/>
      <c r="R156" s="1465"/>
      <c r="S156" s="1466"/>
      <c r="T156" s="1482"/>
      <c r="U156" s="1483"/>
    </row>
    <row r="157" spans="1:21" ht="20.100000000000001" customHeight="1" x14ac:dyDescent="0.25">
      <c r="A157" s="360"/>
      <c r="B157" s="1326">
        <v>38</v>
      </c>
      <c r="C157" s="1839"/>
      <c r="D157" s="1893" t="s">
        <v>18</v>
      </c>
      <c r="E157" s="627"/>
      <c r="F157" s="1905">
        <f t="shared" si="222"/>
        <v>0</v>
      </c>
      <c r="G157" s="1891"/>
      <c r="H157" s="627">
        <f>VLOOKUP(B155,REKAP_NILAI,51,FALSE)</f>
        <v>0</v>
      </c>
      <c r="I157" s="709">
        <f t="shared" si="223"/>
        <v>0</v>
      </c>
      <c r="J157" s="710">
        <f t="shared" si="224"/>
        <v>0</v>
      </c>
      <c r="K157" s="711" t="str">
        <f t="shared" si="225"/>
        <v>1.33</v>
      </c>
      <c r="L157" s="711" t="str">
        <f t="shared" si="226"/>
        <v>D+</v>
      </c>
      <c r="M157" s="712" t="str">
        <f t="shared" si="227"/>
        <v>0</v>
      </c>
      <c r="N157" s="1467"/>
      <c r="O157" s="1468"/>
      <c r="P157" s="1468"/>
      <c r="Q157" s="1469"/>
      <c r="R157" s="1469"/>
      <c r="S157" s="1470"/>
      <c r="T157" s="1484"/>
      <c r="U157" s="1485"/>
    </row>
    <row r="158" spans="1:21" ht="20.100000000000001" customHeight="1" x14ac:dyDescent="0.25">
      <c r="A158" s="697"/>
      <c r="B158" s="698"/>
      <c r="C158" s="635" t="s">
        <v>149</v>
      </c>
      <c r="D158" s="700">
        <v>38</v>
      </c>
      <c r="E158" s="697"/>
      <c r="F158" s="1906"/>
      <c r="G158" s="697"/>
      <c r="H158" s="1189">
        <f>AVERAGE(H155:H157)</f>
        <v>0</v>
      </c>
      <c r="I158" s="705"/>
      <c r="J158" s="713">
        <f>AVERAGE(J155:J157)</f>
        <v>0</v>
      </c>
      <c r="K158" s="714" t="str">
        <f t="shared" si="225"/>
        <v>1.33</v>
      </c>
      <c r="L158" s="714" t="str">
        <f t="shared" si="226"/>
        <v>D+</v>
      </c>
      <c r="M158" s="888" t="str">
        <f t="shared" si="227"/>
        <v>0</v>
      </c>
      <c r="N158" s="1154"/>
      <c r="O158" s="1155"/>
      <c r="P158" s="1155"/>
      <c r="Q158" s="1155"/>
      <c r="R158" s="1155"/>
      <c r="S158" s="1162"/>
      <c r="T158" s="1486"/>
      <c r="U158" s="1487"/>
    </row>
    <row r="159" spans="1:21" ht="20.100000000000001" customHeight="1" thickBot="1" x14ac:dyDescent="0.3">
      <c r="A159" s="1892">
        <v>39</v>
      </c>
      <c r="B159" s="1326">
        <v>39</v>
      </c>
      <c r="C159" s="1840" t="e">
        <f>VLOOKUP(A159,data_siswa,4,FALSE)</f>
        <v>#N/A</v>
      </c>
      <c r="D159" s="1893" t="s">
        <v>10</v>
      </c>
      <c r="E159" s="627"/>
      <c r="F159" s="1904">
        <f>E159*2</f>
        <v>0</v>
      </c>
      <c r="G159" s="1891"/>
      <c r="H159" s="627">
        <f>VLOOKUP(B159,REKAP_NILAI,49,FALSE)</f>
        <v>0</v>
      </c>
      <c r="I159" s="706">
        <f>F159+G159+H159</f>
        <v>0</v>
      </c>
      <c r="J159" s="707">
        <f>(F159+G159+H159)/4</f>
        <v>0</v>
      </c>
      <c r="K159" s="708" t="str">
        <f>IF(J159&gt;85,("4"),IF(J159&gt;80,("3.66"),IF(J159&gt;75,("3.33"),IF(J159&gt;70,("3.00"),IF(J159&gt;65,("2.66"),IF(J159&gt;60,("2.33"),IF(J159&gt;55,("2"),IF(J159&gt;50,("1.66"),"1.33"))))))))</f>
        <v>1.33</v>
      </c>
      <c r="L159" s="708" t="str">
        <f>IF(J159&gt;85,("A"),IF(J159&gt;80,("A-"),IF(J159&gt;75,("B+"),IF(J159&gt;70,("B"),IF(J159&gt;65,("B-"),IF(J159&gt;60,("C+"),IF(J159&gt;55,("C"),IF(J159&gt;50,("C-"),"D+"))))))))</f>
        <v>D+</v>
      </c>
      <c r="M159" s="887" t="str">
        <f>IF(J159&gt;80,("SB"),IF(J159&gt;65,("B"),IF(J159&gt;50,("C"),IF(J159&gt;0,("K"),"0"))))</f>
        <v>0</v>
      </c>
      <c r="N159" s="1474"/>
      <c r="O159" s="1474"/>
      <c r="P159" s="1474"/>
      <c r="Q159" s="1475"/>
      <c r="R159" s="1476"/>
      <c r="S159" s="1476"/>
      <c r="T159" s="1057">
        <f>AVERAGE(J159:J161)</f>
        <v>0</v>
      </c>
      <c r="U159" s="1194" t="str">
        <f>IF(T159&gt;85,("A"),IF(T159&gt;80,("A-"),IF(T159&gt;75,("B+"),IF(T159&gt;70,("B"),IF(T159&gt;65,("B-"),IF(T159&gt;60,("C+"),IF(T159&gt;55,("C"),IF(T159&gt;50,("C-"),"D+"))))))))</f>
        <v>D+</v>
      </c>
    </row>
    <row r="160" spans="1:21" ht="20.100000000000001" customHeight="1" x14ac:dyDescent="0.25">
      <c r="A160" s="360"/>
      <c r="B160" s="1326">
        <v>39</v>
      </c>
      <c r="C160" s="1839"/>
      <c r="D160" s="1893" t="s">
        <v>8</v>
      </c>
      <c r="E160" s="627"/>
      <c r="F160" s="1905">
        <f t="shared" ref="F160:F161" si="228">E160*2</f>
        <v>0</v>
      </c>
      <c r="G160" s="1891"/>
      <c r="H160" s="627">
        <f>VLOOKUP(B159,REKAP_NILAI,50,FALSE)</f>
        <v>0</v>
      </c>
      <c r="I160" s="709">
        <f t="shared" ref="I160:I161" si="229">F160+G160+H160</f>
        <v>0</v>
      </c>
      <c r="J160" s="710">
        <f t="shared" ref="J160:J161" si="230">(F160+G160+H160)/4</f>
        <v>0</v>
      </c>
      <c r="K160" s="711" t="str">
        <f t="shared" ref="K160:K162" si="231">IF(J160&gt;85,("4"),IF(J160&gt;80,("3.66"),IF(J160&gt;75,("3.33"),IF(J160&gt;70,("3.00"),IF(J160&gt;65,("2.66"),IF(J160&gt;60,("2.33"),IF(J160&gt;55,("2"),IF(J160&gt;50,("1.66"),"1.33"))))))))</f>
        <v>1.33</v>
      </c>
      <c r="L160" s="711" t="str">
        <f t="shared" ref="L160:L162" si="232">IF(J160&gt;85,("A"),IF(J160&gt;80,("A-"),IF(J160&gt;75,("B+"),IF(J160&gt;70,("B"),IF(J160&gt;65,("B-"),IF(J160&gt;60,("C+"),IF(J160&gt;55,("C"),IF(J160&gt;50,("C-"),"D+"))))))))</f>
        <v>D+</v>
      </c>
      <c r="M160" s="712" t="str">
        <f t="shared" ref="M160:M162" si="233">IF(J160&gt;80,("SB"),IF(J160&gt;65,("B"),IF(J160&gt;50,("C"),IF(J160&gt;0,("K"),"0"))))</f>
        <v>0</v>
      </c>
      <c r="N160" s="1463"/>
      <c r="O160" s="1464"/>
      <c r="P160" s="1464"/>
      <c r="Q160" s="1465"/>
      <c r="R160" s="1465"/>
      <c r="S160" s="1466"/>
      <c r="T160" s="1482"/>
      <c r="U160" s="1483"/>
    </row>
    <row r="161" spans="1:21" ht="20.100000000000001" customHeight="1" x14ac:dyDescent="0.25">
      <c r="A161" s="360"/>
      <c r="B161" s="1326">
        <v>39</v>
      </c>
      <c r="C161" s="1839"/>
      <c r="D161" s="1893" t="s">
        <v>18</v>
      </c>
      <c r="E161" s="627"/>
      <c r="F161" s="1905">
        <f t="shared" si="228"/>
        <v>0</v>
      </c>
      <c r="G161" s="1891"/>
      <c r="H161" s="627">
        <f>VLOOKUP(B159,REKAP_NILAI,51,FALSE)</f>
        <v>0</v>
      </c>
      <c r="I161" s="709">
        <f t="shared" si="229"/>
        <v>0</v>
      </c>
      <c r="J161" s="710">
        <f t="shared" si="230"/>
        <v>0</v>
      </c>
      <c r="K161" s="711" t="str">
        <f t="shared" si="231"/>
        <v>1.33</v>
      </c>
      <c r="L161" s="711" t="str">
        <f t="shared" si="232"/>
        <v>D+</v>
      </c>
      <c r="M161" s="712" t="str">
        <f t="shared" si="233"/>
        <v>0</v>
      </c>
      <c r="N161" s="1467"/>
      <c r="O161" s="1468"/>
      <c r="P161" s="1468"/>
      <c r="Q161" s="1469"/>
      <c r="R161" s="1469"/>
      <c r="S161" s="1470"/>
      <c r="T161" s="1484"/>
      <c r="U161" s="1485"/>
    </row>
    <row r="162" spans="1:21" ht="20.100000000000001" customHeight="1" x14ac:dyDescent="0.25">
      <c r="A162" s="697"/>
      <c r="B162" s="698"/>
      <c r="C162" s="635" t="s">
        <v>149</v>
      </c>
      <c r="D162" s="700">
        <v>39</v>
      </c>
      <c r="E162" s="697"/>
      <c r="F162" s="1906"/>
      <c r="G162" s="697"/>
      <c r="H162" s="1189">
        <f>AVERAGE(H159:H161)</f>
        <v>0</v>
      </c>
      <c r="I162" s="705"/>
      <c r="J162" s="713">
        <f>AVERAGE(J159:J161)</f>
        <v>0</v>
      </c>
      <c r="K162" s="714" t="str">
        <f t="shared" si="231"/>
        <v>1.33</v>
      </c>
      <c r="L162" s="714" t="str">
        <f t="shared" si="232"/>
        <v>D+</v>
      </c>
      <c r="M162" s="888" t="str">
        <f t="shared" si="233"/>
        <v>0</v>
      </c>
      <c r="N162" s="1154"/>
      <c r="O162" s="1155"/>
      <c r="P162" s="1155"/>
      <c r="Q162" s="1155"/>
      <c r="R162" s="1155"/>
      <c r="S162" s="1162"/>
      <c r="T162" s="1486"/>
      <c r="U162" s="1487"/>
    </row>
    <row r="163" spans="1:21" ht="20.100000000000001" customHeight="1" thickBot="1" x14ac:dyDescent="0.3">
      <c r="A163" s="1892">
        <v>40</v>
      </c>
      <c r="B163" s="1326">
        <v>40</v>
      </c>
      <c r="C163" s="1840" t="e">
        <f>VLOOKUP(A163,data_siswa,4,FALSE)</f>
        <v>#N/A</v>
      </c>
      <c r="D163" s="1893" t="s">
        <v>10</v>
      </c>
      <c r="E163" s="627"/>
      <c r="F163" s="1904">
        <f>E163*2</f>
        <v>0</v>
      </c>
      <c r="G163" s="1891"/>
      <c r="H163" s="627">
        <f>VLOOKUP(B163,REKAP_NILAI,49,FALSE)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887" t="str">
        <f>IF(J163&gt;80,("SB"),IF(J163&gt;65,("B"),IF(J163&gt;50,("C"),IF(J163&gt;0,("K"),"0"))))</f>
        <v>0</v>
      </c>
      <c r="N163" s="1474"/>
      <c r="O163" s="1474"/>
      <c r="P163" s="1474"/>
      <c r="Q163" s="1475"/>
      <c r="R163" s="1476"/>
      <c r="S163" s="1476"/>
      <c r="T163" s="1057">
        <f>AVERAGE(J163:J165)</f>
        <v>0</v>
      </c>
      <c r="U163" s="1194" t="str">
        <f>IF(T163&gt;85,("A"),IF(T163&gt;80,("A-"),IF(T163&gt;75,("B+"),IF(T163&gt;70,("B"),IF(T163&gt;65,("B-"),IF(T163&gt;60,("C+"),IF(T163&gt;55,("C"),IF(T163&gt;50,("C-"),"D+"))))))))</f>
        <v>D+</v>
      </c>
    </row>
    <row r="164" spans="1:21" ht="20.100000000000001" customHeight="1" x14ac:dyDescent="0.25">
      <c r="A164" s="360"/>
      <c r="B164" s="1326">
        <v>40</v>
      </c>
      <c r="C164" s="1839"/>
      <c r="D164" s="1893" t="s">
        <v>8</v>
      </c>
      <c r="E164" s="627"/>
      <c r="F164" s="1905">
        <f t="shared" ref="F164:F165" si="234">E164*2</f>
        <v>0</v>
      </c>
      <c r="G164" s="1891"/>
      <c r="H164" s="627">
        <f>VLOOKUP(B163,REKAP_NILAI,50,FALSE)</f>
        <v>0</v>
      </c>
      <c r="I164" s="709">
        <f t="shared" ref="I164:I165" si="235">F164+G164+H164</f>
        <v>0</v>
      </c>
      <c r="J164" s="710">
        <f t="shared" ref="J164:J165" si="236">(F164+G164+H164)/4</f>
        <v>0</v>
      </c>
      <c r="K164" s="711" t="str">
        <f t="shared" ref="K164:K166" si="237">IF(J164&gt;85,("4"),IF(J164&gt;80,("3.66"),IF(J164&gt;75,("3.33"),IF(J164&gt;70,("3.00"),IF(J164&gt;65,("2.66"),IF(J164&gt;60,("2.33"),IF(J164&gt;55,("2"),IF(J164&gt;50,("1.66"),"1.33"))))))))</f>
        <v>1.33</v>
      </c>
      <c r="L164" s="711" t="str">
        <f t="shared" ref="L164:L166" si="238">IF(J164&gt;85,("A"),IF(J164&gt;80,("A-"),IF(J164&gt;75,("B+"),IF(J164&gt;70,("B"),IF(J164&gt;65,("B-"),IF(J164&gt;60,("C+"),IF(J164&gt;55,("C"),IF(J164&gt;50,("C-"),"D+"))))))))</f>
        <v>D+</v>
      </c>
      <c r="M164" s="712" t="str">
        <f t="shared" ref="M164:M166" si="239">IF(J164&gt;80,("SB"),IF(J164&gt;65,("B"),IF(J164&gt;50,("C"),IF(J164&gt;0,("K"),"0"))))</f>
        <v>0</v>
      </c>
      <c r="N164" s="1463"/>
      <c r="O164" s="1464"/>
      <c r="P164" s="1464"/>
      <c r="Q164" s="1465"/>
      <c r="R164" s="1465"/>
      <c r="S164" s="1466"/>
      <c r="T164" s="1482"/>
      <c r="U164" s="1483"/>
    </row>
    <row r="165" spans="1:21" ht="20.100000000000001" customHeight="1" x14ac:dyDescent="0.25">
      <c r="A165" s="360"/>
      <c r="B165" s="1326">
        <v>40</v>
      </c>
      <c r="C165" s="1839"/>
      <c r="D165" s="1893" t="s">
        <v>18</v>
      </c>
      <c r="E165" s="627"/>
      <c r="F165" s="1905">
        <f t="shared" si="234"/>
        <v>0</v>
      </c>
      <c r="G165" s="1891"/>
      <c r="H165" s="627">
        <f>VLOOKUP(B163,REKAP_NILAI,51,FALSE)</f>
        <v>0</v>
      </c>
      <c r="I165" s="709">
        <f t="shared" si="235"/>
        <v>0</v>
      </c>
      <c r="J165" s="710">
        <f t="shared" si="236"/>
        <v>0</v>
      </c>
      <c r="K165" s="711" t="str">
        <f t="shared" si="237"/>
        <v>1.33</v>
      </c>
      <c r="L165" s="711" t="str">
        <f t="shared" si="238"/>
        <v>D+</v>
      </c>
      <c r="M165" s="712" t="str">
        <f t="shared" si="239"/>
        <v>0</v>
      </c>
      <c r="N165" s="1467"/>
      <c r="O165" s="1468"/>
      <c r="P165" s="1468"/>
      <c r="Q165" s="1469"/>
      <c r="R165" s="1469"/>
      <c r="S165" s="1470"/>
      <c r="T165" s="1484"/>
      <c r="U165" s="1485"/>
    </row>
    <row r="166" spans="1:21" ht="20.100000000000001" customHeight="1" x14ac:dyDescent="0.25">
      <c r="A166" s="697"/>
      <c r="B166" s="698"/>
      <c r="C166" s="635" t="s">
        <v>149</v>
      </c>
      <c r="D166" s="700">
        <v>40</v>
      </c>
      <c r="E166" s="697"/>
      <c r="F166" s="1906"/>
      <c r="G166" s="697"/>
      <c r="H166" s="1189">
        <f>AVERAGE(H163:H165)</f>
        <v>0</v>
      </c>
      <c r="I166" s="705"/>
      <c r="J166" s="713">
        <f>AVERAGE(J163:J165)</f>
        <v>0</v>
      </c>
      <c r="K166" s="714" t="str">
        <f t="shared" si="237"/>
        <v>1.33</v>
      </c>
      <c r="L166" s="714" t="str">
        <f t="shared" si="238"/>
        <v>D+</v>
      </c>
      <c r="M166" s="888" t="str">
        <f t="shared" si="239"/>
        <v>0</v>
      </c>
      <c r="N166" s="1154"/>
      <c r="O166" s="1155"/>
      <c r="P166" s="1155"/>
      <c r="Q166" s="1155"/>
      <c r="R166" s="1155"/>
      <c r="S166" s="1162"/>
      <c r="T166" s="1486"/>
      <c r="U166" s="1487"/>
    </row>
  </sheetData>
  <sheetProtection password="C6F9" sheet="1" objects="1" scenarios="1"/>
  <mergeCells count="14">
    <mergeCell ref="U5:U6"/>
    <mergeCell ref="T5:T6"/>
    <mergeCell ref="Q5:S5"/>
    <mergeCell ref="A5:A6"/>
    <mergeCell ref="B5:B6"/>
    <mergeCell ref="C5:C6"/>
    <mergeCell ref="D5:D6"/>
    <mergeCell ref="E5:H5"/>
    <mergeCell ref="I5:I6"/>
    <mergeCell ref="J5:J6"/>
    <mergeCell ref="K5:K6"/>
    <mergeCell ref="L5:L6"/>
    <mergeCell ref="M5:M6"/>
    <mergeCell ref="N5:P5"/>
  </mergeCells>
  <conditionalFormatting sqref="J7:J9">
    <cfRule type="top10" dxfId="1765" priority="1536" bottom="1" rank="1"/>
    <cfRule type="top10" dxfId="1764" priority="1537" rank="1"/>
  </conditionalFormatting>
  <conditionalFormatting sqref="J19:J21">
    <cfRule type="top10" dxfId="1763" priority="79" bottom="1" rank="1"/>
    <cfRule type="top10" dxfId="1762" priority="80" rank="1"/>
  </conditionalFormatting>
  <conditionalFormatting sqref="J23:J25">
    <cfRule type="top10" dxfId="1761" priority="77" bottom="1" rank="1"/>
    <cfRule type="top10" dxfId="1760" priority="78" rank="1"/>
  </conditionalFormatting>
  <conditionalFormatting sqref="J27:J29">
    <cfRule type="top10" dxfId="1759" priority="75" bottom="1" rank="1"/>
    <cfRule type="top10" dxfId="1758" priority="76" rank="1"/>
  </conditionalFormatting>
  <conditionalFormatting sqref="J31:J33">
    <cfRule type="top10" dxfId="1757" priority="73" bottom="1" rank="1"/>
    <cfRule type="top10" dxfId="1756" priority="74" rank="1"/>
  </conditionalFormatting>
  <conditionalFormatting sqref="J35:J37">
    <cfRule type="top10" dxfId="1755" priority="71" bottom="1" rank="1"/>
    <cfRule type="top10" dxfId="1754" priority="72" rank="1"/>
  </conditionalFormatting>
  <conditionalFormatting sqref="J39:J41">
    <cfRule type="top10" dxfId="1753" priority="69" bottom="1" rank="1"/>
    <cfRule type="top10" dxfId="1752" priority="70" rank="1"/>
  </conditionalFormatting>
  <conditionalFormatting sqref="J43:J45">
    <cfRule type="top10" dxfId="1751" priority="67" bottom="1" rank="1"/>
    <cfRule type="top10" dxfId="1750" priority="68" rank="1"/>
  </conditionalFormatting>
  <conditionalFormatting sqref="J47:J49">
    <cfRule type="top10" dxfId="1749" priority="65" bottom="1" rank="1"/>
    <cfRule type="top10" dxfId="1748" priority="66" rank="1"/>
  </conditionalFormatting>
  <conditionalFormatting sqref="J51:J53">
    <cfRule type="top10" dxfId="1747" priority="63" bottom="1" rank="1"/>
    <cfRule type="top10" dxfId="1746" priority="64" rank="1"/>
  </conditionalFormatting>
  <conditionalFormatting sqref="J55:J57">
    <cfRule type="top10" dxfId="1745" priority="61" bottom="1" rank="1"/>
    <cfRule type="top10" dxfId="1744" priority="62" rank="1"/>
  </conditionalFormatting>
  <conditionalFormatting sqref="J59:J61">
    <cfRule type="top10" dxfId="1743" priority="59" bottom="1" rank="1"/>
    <cfRule type="top10" dxfId="1742" priority="60" rank="1"/>
  </conditionalFormatting>
  <conditionalFormatting sqref="J63:J65">
    <cfRule type="top10" dxfId="1741" priority="57" bottom="1" rank="1"/>
    <cfRule type="top10" dxfId="1740" priority="58" rank="1"/>
  </conditionalFormatting>
  <conditionalFormatting sqref="J67:J69">
    <cfRule type="top10" dxfId="1739" priority="55" bottom="1" rank="1"/>
    <cfRule type="top10" dxfId="1738" priority="56" rank="1"/>
  </conditionalFormatting>
  <conditionalFormatting sqref="J71:J73">
    <cfRule type="top10" dxfId="1737" priority="53" bottom="1" rank="1"/>
    <cfRule type="top10" dxfId="1736" priority="54" rank="1"/>
  </conditionalFormatting>
  <conditionalFormatting sqref="J75:J77">
    <cfRule type="top10" dxfId="1735" priority="51" bottom="1" rank="1"/>
    <cfRule type="top10" dxfId="1734" priority="52" rank="1"/>
  </conditionalFormatting>
  <conditionalFormatting sqref="J79:J81">
    <cfRule type="top10" dxfId="1733" priority="49" bottom="1" rank="1"/>
    <cfRule type="top10" dxfId="1732" priority="50" rank="1"/>
  </conditionalFormatting>
  <conditionalFormatting sqref="J83:J85">
    <cfRule type="top10" dxfId="1731" priority="47" bottom="1" rank="1"/>
    <cfRule type="top10" dxfId="1730" priority="48" rank="1"/>
  </conditionalFormatting>
  <conditionalFormatting sqref="J87:J89">
    <cfRule type="top10" dxfId="1729" priority="45" bottom="1" rank="1"/>
    <cfRule type="top10" dxfId="1728" priority="46" rank="1"/>
  </conditionalFormatting>
  <conditionalFormatting sqref="J91:J93">
    <cfRule type="top10" dxfId="1727" priority="43" bottom="1" rank="1"/>
    <cfRule type="top10" dxfId="1726" priority="44" rank="1"/>
  </conditionalFormatting>
  <conditionalFormatting sqref="J95:J97">
    <cfRule type="top10" dxfId="1725" priority="41" bottom="1" rank="1"/>
    <cfRule type="top10" dxfId="1724" priority="42" rank="1"/>
  </conditionalFormatting>
  <conditionalFormatting sqref="J99:J101">
    <cfRule type="top10" dxfId="1723" priority="39" bottom="1" rank="1"/>
    <cfRule type="top10" dxfId="1722" priority="40" rank="1"/>
  </conditionalFormatting>
  <conditionalFormatting sqref="J103:J105">
    <cfRule type="top10" dxfId="1721" priority="37" bottom="1" rank="1"/>
    <cfRule type="top10" dxfId="1720" priority="38" rank="1"/>
  </conditionalFormatting>
  <conditionalFormatting sqref="J107:J109">
    <cfRule type="top10" dxfId="1719" priority="35" bottom="1" rank="1"/>
    <cfRule type="top10" dxfId="1718" priority="36" rank="1"/>
  </conditionalFormatting>
  <conditionalFormatting sqref="J111:J113">
    <cfRule type="top10" dxfId="1717" priority="33" bottom="1" rank="1"/>
    <cfRule type="top10" dxfId="1716" priority="34" rank="1"/>
  </conditionalFormatting>
  <conditionalFormatting sqref="J115:J117">
    <cfRule type="top10" dxfId="1715" priority="31" bottom="1" rank="1"/>
    <cfRule type="top10" dxfId="1714" priority="32" rank="1"/>
  </conditionalFormatting>
  <conditionalFormatting sqref="J119:J121">
    <cfRule type="top10" dxfId="1713" priority="29" bottom="1" rank="1"/>
    <cfRule type="top10" dxfId="1712" priority="30" rank="1"/>
  </conditionalFormatting>
  <conditionalFormatting sqref="J123:J125">
    <cfRule type="top10" dxfId="1711" priority="27" bottom="1" rank="1"/>
    <cfRule type="top10" dxfId="1710" priority="28" rank="1"/>
  </conditionalFormatting>
  <conditionalFormatting sqref="J127:J129">
    <cfRule type="top10" dxfId="1709" priority="25" bottom="1" rank="1"/>
    <cfRule type="top10" dxfId="1708" priority="26" rank="1"/>
  </conditionalFormatting>
  <conditionalFormatting sqref="J131:J133">
    <cfRule type="top10" dxfId="1707" priority="23" bottom="1" rank="1"/>
    <cfRule type="top10" dxfId="1706" priority="24" rank="1"/>
  </conditionalFormatting>
  <conditionalFormatting sqref="J135:J137">
    <cfRule type="top10" dxfId="1705" priority="21" bottom="1" rank="1"/>
    <cfRule type="top10" dxfId="1704" priority="22" rank="1"/>
  </conditionalFormatting>
  <conditionalFormatting sqref="J139:J141">
    <cfRule type="top10" dxfId="1703" priority="19" bottom="1" rank="1"/>
    <cfRule type="top10" dxfId="1702" priority="20" rank="1"/>
  </conditionalFormatting>
  <conditionalFormatting sqref="J143:J145">
    <cfRule type="top10" dxfId="1701" priority="17" bottom="1" rank="1"/>
    <cfRule type="top10" dxfId="1700" priority="18" rank="1"/>
  </conditionalFormatting>
  <conditionalFormatting sqref="J147:J149">
    <cfRule type="top10" dxfId="1699" priority="15" bottom="1" rank="1"/>
    <cfRule type="top10" dxfId="1698" priority="16" rank="1"/>
  </conditionalFormatting>
  <conditionalFormatting sqref="J151:J153">
    <cfRule type="top10" dxfId="1697" priority="13" bottom="1" rank="1"/>
    <cfRule type="top10" dxfId="1696" priority="14" rank="1"/>
  </conditionalFormatting>
  <conditionalFormatting sqref="J155:J157">
    <cfRule type="top10" dxfId="1695" priority="11" bottom="1" rank="1"/>
    <cfRule type="top10" dxfId="1694" priority="12" rank="1"/>
  </conditionalFormatting>
  <conditionalFormatting sqref="J159:J161">
    <cfRule type="top10" dxfId="1693" priority="9" bottom="1" rank="1"/>
    <cfRule type="top10" dxfId="1692" priority="10" rank="1"/>
  </conditionalFormatting>
  <conditionalFormatting sqref="J163:J165">
    <cfRule type="top10" dxfId="1691" priority="7" bottom="1" rank="1"/>
    <cfRule type="top10" dxfId="1690" priority="8" rank="1"/>
  </conditionalFormatting>
  <conditionalFormatting sqref="J11:J13">
    <cfRule type="top10" dxfId="1689" priority="3" bottom="1" rank="1"/>
    <cfRule type="top10" dxfId="1688" priority="4" rank="1"/>
  </conditionalFormatting>
  <conditionalFormatting sqref="J15:J17">
    <cfRule type="top10" dxfId="1687" priority="1" bottom="1" rank="1"/>
    <cfRule type="top10" dxfId="1686" priority="2" rank="1"/>
  </conditionalFormatting>
  <pageMargins left="0.7" right="0.7" top="0.75" bottom="0.75" header="0.3" footer="0.3"/>
  <pageSetup paperSize="9" orientation="landscape"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W206"/>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 x14ac:dyDescent="0.25"/>
  <cols>
    <col min="1" max="1" width="4.28515625" style="352" customWidth="1"/>
    <col min="2" max="2" width="5.5703125" style="678" customWidth="1"/>
    <col min="3" max="3" width="27.85546875" style="1537" customWidth="1"/>
    <col min="4" max="4" width="5.7109375" style="352" customWidth="1"/>
    <col min="5" max="8" width="6.7109375" style="352" customWidth="1"/>
    <col min="9" max="9" width="5.42578125" style="352" customWidth="1"/>
    <col min="10" max="10" width="6.7109375" style="352" customWidth="1"/>
    <col min="11" max="11" width="10" style="352" customWidth="1"/>
    <col min="12" max="12" width="8.7109375" style="352" customWidth="1"/>
    <col min="13" max="13" width="9.42578125" style="352" customWidth="1"/>
    <col min="14" max="14" width="5.7109375" style="353" customWidth="1"/>
    <col min="15" max="21" width="5.7109375" style="352" customWidth="1"/>
    <col min="22" max="22" width="8.5703125" style="352" customWidth="1"/>
    <col min="23" max="23" width="7.140625" style="352" customWidth="1"/>
    <col min="24" max="16384" width="9.140625" style="352"/>
  </cols>
  <sheetData>
    <row r="1" spans="1:23" ht="21" x14ac:dyDescent="0.35">
      <c r="A1" s="351" t="s">
        <v>790</v>
      </c>
      <c r="D1" s="69"/>
      <c r="E1" s="69"/>
      <c r="F1" s="69"/>
      <c r="G1" s="69"/>
      <c r="H1" s="69"/>
      <c r="I1" s="69"/>
      <c r="J1" s="69"/>
      <c r="K1" s="69"/>
    </row>
    <row r="2" spans="1:23" ht="21" x14ac:dyDescent="0.35">
      <c r="A2" s="351" t="s">
        <v>54</v>
      </c>
    </row>
    <row r="3" spans="1:23" ht="18.75" x14ac:dyDescent="0.3">
      <c r="A3" s="354" t="s">
        <v>562</v>
      </c>
      <c r="V3" s="1302"/>
    </row>
    <row r="4" spans="1:23" s="1911" customFormat="1" ht="16.5" thickBot="1" x14ac:dyDescent="0.3">
      <c r="A4" s="1157">
        <v>1</v>
      </c>
      <c r="B4" s="1157">
        <v>2</v>
      </c>
      <c r="C4" s="1157">
        <v>3</v>
      </c>
      <c r="D4" s="1157">
        <v>4</v>
      </c>
      <c r="E4" s="1157">
        <v>5</v>
      </c>
      <c r="F4" s="1157">
        <v>6</v>
      </c>
      <c r="G4" s="1157">
        <v>7</v>
      </c>
      <c r="H4" s="1157">
        <v>8</v>
      </c>
      <c r="I4" s="1157">
        <v>9</v>
      </c>
      <c r="J4" s="1157">
        <v>10</v>
      </c>
      <c r="K4" s="1157">
        <v>11</v>
      </c>
      <c r="L4" s="1157">
        <v>12</v>
      </c>
      <c r="M4" s="1157">
        <v>13</v>
      </c>
      <c r="N4" s="1157">
        <v>14</v>
      </c>
      <c r="O4" s="1157">
        <v>15</v>
      </c>
      <c r="P4" s="1157">
        <v>16</v>
      </c>
      <c r="Q4" s="1157">
        <v>17</v>
      </c>
      <c r="R4" s="1157">
        <v>18</v>
      </c>
      <c r="S4" s="1157">
        <v>19</v>
      </c>
      <c r="T4" s="1157">
        <v>20</v>
      </c>
      <c r="U4" s="1157">
        <v>21</v>
      </c>
      <c r="V4" s="1539"/>
      <c r="W4" s="1539"/>
    </row>
    <row r="5" spans="1:23" ht="23.25" customHeight="1" x14ac:dyDescent="0.25">
      <c r="A5" s="2615" t="s">
        <v>0</v>
      </c>
      <c r="B5" s="2622" t="s">
        <v>55</v>
      </c>
      <c r="C5" s="2623" t="s">
        <v>1</v>
      </c>
      <c r="D5" s="2615" t="s">
        <v>56</v>
      </c>
      <c r="E5" s="2615" t="s">
        <v>32</v>
      </c>
      <c r="F5" s="2615"/>
      <c r="G5" s="2615"/>
      <c r="H5" s="2615"/>
      <c r="I5" s="2615" t="s">
        <v>59</v>
      </c>
      <c r="J5" s="2615" t="s">
        <v>60</v>
      </c>
      <c r="K5" s="2616" t="s">
        <v>61</v>
      </c>
      <c r="L5" s="2617" t="s">
        <v>62</v>
      </c>
      <c r="M5" s="2613" t="s">
        <v>63</v>
      </c>
      <c r="N5" s="2619" t="s">
        <v>173</v>
      </c>
      <c r="O5" s="2620"/>
      <c r="P5" s="2620"/>
      <c r="Q5" s="2621"/>
      <c r="R5" s="2619" t="s">
        <v>785</v>
      </c>
      <c r="S5" s="2620"/>
      <c r="T5" s="2620"/>
      <c r="U5" s="2621"/>
      <c r="V5" s="2604" t="s">
        <v>973</v>
      </c>
      <c r="W5" s="2611" t="s">
        <v>5</v>
      </c>
    </row>
    <row r="6" spans="1:23" ht="21.75" customHeight="1" x14ac:dyDescent="0.25">
      <c r="A6" s="2615"/>
      <c r="B6" s="2622"/>
      <c r="C6" s="2624"/>
      <c r="D6" s="2615"/>
      <c r="E6" s="1890" t="s">
        <v>57</v>
      </c>
      <c r="F6" s="1890" t="s">
        <v>58</v>
      </c>
      <c r="G6" s="1890" t="s">
        <v>13</v>
      </c>
      <c r="H6" s="1890" t="s">
        <v>14</v>
      </c>
      <c r="I6" s="2615"/>
      <c r="J6" s="2615"/>
      <c r="K6" s="2616"/>
      <c r="L6" s="2617"/>
      <c r="M6" s="2614"/>
      <c r="N6" s="1462" t="s">
        <v>12</v>
      </c>
      <c r="O6" s="1462" t="s">
        <v>7</v>
      </c>
      <c r="P6" s="1462" t="s">
        <v>10</v>
      </c>
      <c r="Q6" s="1462" t="s">
        <v>8</v>
      </c>
      <c r="R6" s="1912" t="s">
        <v>12</v>
      </c>
      <c r="S6" s="1912" t="s">
        <v>7</v>
      </c>
      <c r="T6" s="1912" t="s">
        <v>10</v>
      </c>
      <c r="U6" s="1912" t="s">
        <v>8</v>
      </c>
      <c r="V6" s="2618"/>
      <c r="W6" s="2612"/>
    </row>
    <row r="7" spans="1:23" ht="24.95" customHeight="1" x14ac:dyDescent="0.25">
      <c r="A7" s="360">
        <v>1</v>
      </c>
      <c r="B7" s="683">
        <v>1</v>
      </c>
      <c r="C7" s="1838" t="str">
        <f>VLOOKUP(A7,data_siswa,4,FALSE)</f>
        <v>Achmad Zacky</v>
      </c>
      <c r="D7" s="1893" t="s">
        <v>12</v>
      </c>
      <c r="E7" s="627">
        <f>VLOOKUP(A7,UHT_SBDP,41,FALSE)</f>
        <v>77</v>
      </c>
      <c r="F7" s="1904">
        <f>E7*2</f>
        <v>154</v>
      </c>
      <c r="G7" s="1891">
        <v>78</v>
      </c>
      <c r="H7" s="627">
        <f>VLOOKUP(B7,REKAP_NILAI,24,FALSE)</f>
        <v>83.333333333333329</v>
      </c>
      <c r="I7" s="706">
        <f>F7+G7+H7</f>
        <v>315.33333333333331</v>
      </c>
      <c r="J7" s="707">
        <f>(F7+G7+H7)/4</f>
        <v>78.833333333333329</v>
      </c>
      <c r="K7" s="708" t="str">
        <f>IF(J7&gt;85,("4"),IF(J7&gt;80,("3.66"),IF(J7&gt;75,("3.33"),IF(J7&gt;70,("3.00"),IF(J7&gt;65,("2.66"),IF(J7&gt;60,("2.33"),IF(J7&gt;55,("2"),IF(J7&gt;50,("1.66"),"1.33"))))))))</f>
        <v>3.33</v>
      </c>
      <c r="L7" s="708" t="str">
        <f>IF(J7&gt;85,("A"),IF(J7&gt;80,("A-"),IF(J7&gt;75,("B+"),IF(J7&gt;70,("B"),IF(J7&gt;65,("B-"),IF(J7&gt;60,("C+"),IF(J7&gt;55,("C"),IF(J7&gt;50,("C-"),"D+"))))))))</f>
        <v>B+</v>
      </c>
      <c r="M7" s="887" t="str">
        <f>IF(J7&gt;80,("SB"),IF(J7&gt;65,("B"),IF(J7&gt;50,("C"),IF(J7&gt;0,("K"),"0"))))</f>
        <v>B</v>
      </c>
      <c r="N7" s="1913"/>
      <c r="O7" s="1913"/>
      <c r="P7" s="1913">
        <v>3</v>
      </c>
      <c r="Q7" s="1913"/>
      <c r="R7" s="1914"/>
      <c r="S7" s="1915"/>
      <c r="T7" s="1915"/>
      <c r="U7" s="1915">
        <v>3</v>
      </c>
      <c r="V7" s="1057">
        <f>AVERAGE(J7:J10)</f>
        <v>78.713147095959584</v>
      </c>
      <c r="W7" s="1194" t="str">
        <f>IF(V7&gt;85,("A"),IF(V7&gt;80,("A-"),IF(V7&gt;75,("B+"),IF(V7&gt;70,("B"),IF(V7&gt;65,("B-"),IF(V7&gt;60,("C+"),IF(V7&gt;55,("C"),IF(V7&gt;50,("C-"),"D+"))))))))</f>
        <v>B+</v>
      </c>
    </row>
    <row r="8" spans="1:23" ht="24.95" customHeight="1" x14ac:dyDescent="0.25">
      <c r="A8" s="360"/>
      <c r="B8" s="683">
        <v>1</v>
      </c>
      <c r="C8" s="1839"/>
      <c r="D8" s="1893" t="s">
        <v>7</v>
      </c>
      <c r="E8" s="627">
        <f>VLOOKUP(A7,UHT_SBDP,42,FALSE)</f>
        <v>79.166666666666657</v>
      </c>
      <c r="F8" s="1905">
        <f t="shared" ref="F8:F10" si="0">E8*2</f>
        <v>158.33333333333331</v>
      </c>
      <c r="G8" s="1891">
        <v>78</v>
      </c>
      <c r="H8" s="627">
        <f>VLOOKUP(B7,REKAP_NILAI,25,FALSE)</f>
        <v>80.050505050505038</v>
      </c>
      <c r="I8" s="709">
        <f t="shared" ref="I8:I10" si="1">F8+G8+H8</f>
        <v>316.38383838383834</v>
      </c>
      <c r="J8" s="710">
        <f t="shared" ref="J8:J10" si="2">(F8+G8+H8)/4</f>
        <v>79.095959595959584</v>
      </c>
      <c r="K8" s="711" t="str">
        <f t="shared" ref="K8:K11" si="3">IF(J8&gt;85,("4"),IF(J8&gt;80,("3.66"),IF(J8&gt;75,("3.33"),IF(J8&gt;70,("3.00"),IF(J8&gt;65,("2.66"),IF(J8&gt;60,("2.33"),IF(J8&gt;55,("2"),IF(J8&gt;50,("1.66"),"1.33"))))))))</f>
        <v>3.33</v>
      </c>
      <c r="L8" s="711" t="str">
        <f t="shared" ref="L8:L11" si="4">IF(J8&gt;85,("A"),IF(J8&gt;80,("A-"),IF(J8&gt;75,("B+"),IF(J8&gt;70,("B"),IF(J8&gt;65,("B-"),IF(J8&gt;60,("C+"),IF(J8&gt;55,("C"),IF(J8&gt;50,("C-"),"D+"))))))))</f>
        <v>B+</v>
      </c>
      <c r="M8" s="712" t="str">
        <f t="shared" ref="M8:M11" si="5">IF(J8&gt;80,("SB"),IF(J8&gt;65,("B"),IF(J8&gt;50,("C"),IF(J8&gt;0,("K"),"0"))))</f>
        <v>B</v>
      </c>
      <c r="N8" s="1463"/>
      <c r="O8" s="1464"/>
      <c r="P8" s="1464"/>
      <c r="Q8" s="1464"/>
      <c r="R8" s="1465"/>
      <c r="S8" s="1465"/>
      <c r="T8" s="1465"/>
      <c r="U8" s="1466"/>
      <c r="V8" s="1529"/>
      <c r="W8" s="1530"/>
    </row>
    <row r="9" spans="1:23" ht="24.95" customHeight="1" x14ac:dyDescent="0.25">
      <c r="A9" s="360"/>
      <c r="B9" s="683">
        <v>1</v>
      </c>
      <c r="C9" s="1839"/>
      <c r="D9" s="1893" t="s">
        <v>10</v>
      </c>
      <c r="E9" s="627">
        <f>VLOOKUP(A7,UHT_SBDP,43,FALSE)</f>
        <v>78.75</v>
      </c>
      <c r="F9" s="1905">
        <f t="shared" si="0"/>
        <v>157.5</v>
      </c>
      <c r="G9" s="1891">
        <v>78</v>
      </c>
      <c r="H9" s="627">
        <f>VLOOKUP(B7,REKAP_NILAI,26,FALSE)</f>
        <v>81.818181818181813</v>
      </c>
      <c r="I9" s="709">
        <f t="shared" si="1"/>
        <v>317.31818181818181</v>
      </c>
      <c r="J9" s="710">
        <f t="shared" si="2"/>
        <v>79.329545454545453</v>
      </c>
      <c r="K9" s="711" t="str">
        <f t="shared" si="3"/>
        <v>3.33</v>
      </c>
      <c r="L9" s="711" t="str">
        <f t="shared" si="4"/>
        <v>B+</v>
      </c>
      <c r="M9" s="712" t="str">
        <f t="shared" si="5"/>
        <v>B</v>
      </c>
      <c r="N9" s="1467"/>
      <c r="O9" s="1468"/>
      <c r="P9" s="1468"/>
      <c r="Q9" s="1468"/>
      <c r="R9" s="1469"/>
      <c r="S9" s="1469"/>
      <c r="T9" s="1469"/>
      <c r="U9" s="1470"/>
      <c r="V9" s="1531"/>
      <c r="W9" s="1532"/>
    </row>
    <row r="10" spans="1:23" ht="24.95" customHeight="1" x14ac:dyDescent="0.25">
      <c r="A10" s="360"/>
      <c r="B10" s="683">
        <v>1</v>
      </c>
      <c r="C10" s="1839"/>
      <c r="D10" s="1893" t="s">
        <v>8</v>
      </c>
      <c r="E10" s="627">
        <f>VLOOKUP(A7,UHT_SBDP,44,FALSE)</f>
        <v>78.6875</v>
      </c>
      <c r="F10" s="1905">
        <f t="shared" si="0"/>
        <v>157.375</v>
      </c>
      <c r="G10" s="1891">
        <v>78</v>
      </c>
      <c r="H10" s="627">
        <f>VLOOKUP(B7,REKAP_NILAI,27,FALSE)</f>
        <v>75</v>
      </c>
      <c r="I10" s="709">
        <f t="shared" si="1"/>
        <v>310.375</v>
      </c>
      <c r="J10" s="710">
        <f t="shared" si="2"/>
        <v>77.59375</v>
      </c>
      <c r="K10" s="711" t="str">
        <f t="shared" si="3"/>
        <v>3.33</v>
      </c>
      <c r="L10" s="711" t="str">
        <f t="shared" si="4"/>
        <v>B+</v>
      </c>
      <c r="M10" s="712" t="str">
        <f t="shared" si="5"/>
        <v>B</v>
      </c>
      <c r="N10" s="1467"/>
      <c r="O10" s="1468"/>
      <c r="P10" s="1468"/>
      <c r="Q10" s="1468"/>
      <c r="R10" s="1469"/>
      <c r="S10" s="1469"/>
      <c r="T10" s="1469"/>
      <c r="U10" s="1470"/>
      <c r="V10" s="1533"/>
      <c r="W10" s="1534"/>
    </row>
    <row r="11" spans="1:23" ht="24.95" customHeight="1" x14ac:dyDescent="0.25">
      <c r="A11" s="697"/>
      <c r="B11" s="698"/>
      <c r="C11" s="635" t="s">
        <v>149</v>
      </c>
      <c r="D11" s="700">
        <v>1</v>
      </c>
      <c r="E11" s="697"/>
      <c r="F11" s="1906"/>
      <c r="G11" s="697"/>
      <c r="H11" s="1189">
        <f>AVERAGE(H7:H10)</f>
        <v>80.050505050505052</v>
      </c>
      <c r="I11" s="705"/>
      <c r="J11" s="713">
        <f>AVERAGE(J7:J10)</f>
        <v>78.713147095959584</v>
      </c>
      <c r="K11" s="714" t="str">
        <f t="shared" si="3"/>
        <v>3.33</v>
      </c>
      <c r="L11" s="714" t="str">
        <f t="shared" si="4"/>
        <v>B+</v>
      </c>
      <c r="M11" s="888" t="str">
        <f t="shared" si="5"/>
        <v>B</v>
      </c>
      <c r="N11" s="1154"/>
      <c r="O11" s="1155"/>
      <c r="P11" s="1155"/>
      <c r="Q11" s="1155"/>
      <c r="R11" s="1155"/>
      <c r="S11" s="1155"/>
      <c r="T11" s="1155"/>
      <c r="U11" s="1162"/>
      <c r="V11" s="1257"/>
      <c r="W11" s="1258"/>
    </row>
    <row r="12" spans="1:23" ht="24.95" customHeight="1" thickBot="1" x14ac:dyDescent="0.3">
      <c r="A12" s="360">
        <v>2</v>
      </c>
      <c r="B12" s="683">
        <v>2</v>
      </c>
      <c r="C12" s="1838" t="str">
        <f>VLOOKUP(A12,data_siswa,4,FALSE)</f>
        <v>Angelia Vabel R</v>
      </c>
      <c r="D12" s="1893" t="s">
        <v>12</v>
      </c>
      <c r="E12" s="627"/>
      <c r="F12" s="1904">
        <f>E12*2</f>
        <v>0</v>
      </c>
      <c r="G12" s="1891"/>
      <c r="H12" s="627">
        <f>VLOOKUP(B12,REKAP_NILAI,24,FALSE)</f>
        <v>0</v>
      </c>
      <c r="I12" s="706">
        <f>F12+G12+H12</f>
        <v>0</v>
      </c>
      <c r="J12" s="707">
        <f>(F12+G12+H12)/4</f>
        <v>0</v>
      </c>
      <c r="K12" s="708" t="str">
        <f>IF(J12&gt;85,("4"),IF(J12&gt;80,("3.66"),IF(J12&gt;75,("3.33"),IF(J12&gt;70,("3.00"),IF(J12&gt;65,("2.66"),IF(J12&gt;60,("2.33"),IF(J12&gt;55,("2"),IF(J12&gt;50,("1.66"),"1.33"))))))))</f>
        <v>1.33</v>
      </c>
      <c r="L12" s="708" t="str">
        <f>IF(J12&gt;85,("A"),IF(J12&gt;80,("A-"),IF(J12&gt;75,("B+"),IF(J12&gt;70,("B"),IF(J12&gt;65,("B-"),IF(J12&gt;60,("C+"),IF(J12&gt;55,("C"),IF(J12&gt;50,("C-"),"D+"))))))))</f>
        <v>D+</v>
      </c>
      <c r="M12" s="887" t="str">
        <f>IF(J12&gt;80,("SB"),IF(J12&gt;65,("B"),IF(J12&gt;50,("C"),IF(J12&gt;0,("K"),"0"))))</f>
        <v>0</v>
      </c>
      <c r="N12" s="1471">
        <v>3</v>
      </c>
      <c r="O12" s="1471"/>
      <c r="P12" s="1471"/>
      <c r="Q12" s="1471"/>
      <c r="R12" s="1472"/>
      <c r="S12" s="1473">
        <v>3</v>
      </c>
      <c r="T12" s="1473"/>
      <c r="U12" s="1473"/>
      <c r="V12" s="1057">
        <f>AVERAGE(J12:J15)</f>
        <v>0</v>
      </c>
      <c r="W12" s="1194" t="str">
        <f>IF(V12&gt;85,("A"),IF(V12&gt;80,("A-"),IF(V12&gt;75,("B+"),IF(V12&gt;70,("B"),IF(V12&gt;65,("B-"),IF(V12&gt;60,("C+"),IF(V12&gt;55,("C"),IF(V12&gt;50,("C-"),"D+"))))))))</f>
        <v>D+</v>
      </c>
    </row>
    <row r="13" spans="1:23" ht="24.95" customHeight="1" x14ac:dyDescent="0.25">
      <c r="A13" s="360"/>
      <c r="B13" s="683">
        <v>2</v>
      </c>
      <c r="C13" s="1839"/>
      <c r="D13" s="1893" t="s">
        <v>7</v>
      </c>
      <c r="E13" s="627"/>
      <c r="F13" s="1905">
        <f t="shared" ref="F13:F15" si="6">E13*2</f>
        <v>0</v>
      </c>
      <c r="G13" s="1891"/>
      <c r="H13" s="627">
        <f>VLOOKUP(B12,REKAP_NILAI,25,FALSE)</f>
        <v>0</v>
      </c>
      <c r="I13" s="709">
        <f t="shared" ref="I13:I15" si="7">F13+G13+H13</f>
        <v>0</v>
      </c>
      <c r="J13" s="710">
        <f t="shared" ref="J13:J15" si="8">(F13+G13+H13)/4</f>
        <v>0</v>
      </c>
      <c r="K13" s="711" t="str">
        <f t="shared" ref="K13:K15" si="9">IF(J13&gt;85,("4"),IF(J13&gt;80,("3.66"),IF(J13&gt;75,("3.33"),IF(J13&gt;70,("3.00"),IF(J13&gt;65,("2.66"),IF(J13&gt;60,("2.33"),IF(J13&gt;55,("2"),IF(J13&gt;50,("1.66"),"1.33"))))))))</f>
        <v>1.33</v>
      </c>
      <c r="L13" s="711" t="str">
        <f t="shared" ref="L13:L15" si="10">IF(J13&gt;85,("A"),IF(J13&gt;80,("A-"),IF(J13&gt;75,("B+"),IF(J13&gt;70,("B"),IF(J13&gt;65,("B-"),IF(J13&gt;60,("C+"),IF(J13&gt;55,("C"),IF(J13&gt;50,("C-"),"D+"))))))))</f>
        <v>D+</v>
      </c>
      <c r="M13" s="712" t="str">
        <f t="shared" ref="M13:M15" si="11">IF(J13&gt;80,("SB"),IF(J13&gt;65,("B"),IF(J13&gt;50,("C"),IF(J13&gt;0,("K"),"0"))))</f>
        <v>0</v>
      </c>
      <c r="N13" s="1463"/>
      <c r="O13" s="1464"/>
      <c r="P13" s="1464"/>
      <c r="Q13" s="1464"/>
      <c r="R13" s="1465"/>
      <c r="S13" s="1465"/>
      <c r="T13" s="1465"/>
      <c r="U13" s="1466"/>
      <c r="V13" s="1529"/>
      <c r="W13" s="1530"/>
    </row>
    <row r="14" spans="1:23" ht="24.95" customHeight="1" x14ac:dyDescent="0.25">
      <c r="A14" s="360"/>
      <c r="B14" s="683">
        <v>2</v>
      </c>
      <c r="C14" s="1839"/>
      <c r="D14" s="1893" t="s">
        <v>10</v>
      </c>
      <c r="E14" s="627"/>
      <c r="F14" s="1905">
        <f t="shared" si="6"/>
        <v>0</v>
      </c>
      <c r="G14" s="1891"/>
      <c r="H14" s="627">
        <f>VLOOKUP(B12,REKAP_NILAI,26,FALSE)</f>
        <v>0</v>
      </c>
      <c r="I14" s="709">
        <f t="shared" si="7"/>
        <v>0</v>
      </c>
      <c r="J14" s="710">
        <f t="shared" si="8"/>
        <v>0</v>
      </c>
      <c r="K14" s="711" t="str">
        <f t="shared" si="9"/>
        <v>1.33</v>
      </c>
      <c r="L14" s="711" t="str">
        <f t="shared" si="10"/>
        <v>D+</v>
      </c>
      <c r="M14" s="712" t="str">
        <f t="shared" si="11"/>
        <v>0</v>
      </c>
      <c r="N14" s="1467"/>
      <c r="O14" s="1468"/>
      <c r="P14" s="1468"/>
      <c r="Q14" s="1468"/>
      <c r="R14" s="1469"/>
      <c r="S14" s="1469"/>
      <c r="T14" s="1469"/>
      <c r="U14" s="1470"/>
      <c r="V14" s="1531"/>
      <c r="W14" s="1532"/>
    </row>
    <row r="15" spans="1:23" ht="24.95" customHeight="1" x14ac:dyDescent="0.25">
      <c r="A15" s="360"/>
      <c r="B15" s="683">
        <v>2</v>
      </c>
      <c r="C15" s="1839"/>
      <c r="D15" s="1893" t="s">
        <v>8</v>
      </c>
      <c r="E15" s="627"/>
      <c r="F15" s="1905">
        <f t="shared" si="6"/>
        <v>0</v>
      </c>
      <c r="G15" s="1891"/>
      <c r="H15" s="627">
        <f>VLOOKUP(B12,REKAP_NILAI,27,FALSE)</f>
        <v>0</v>
      </c>
      <c r="I15" s="709">
        <f t="shared" si="7"/>
        <v>0</v>
      </c>
      <c r="J15" s="710">
        <f t="shared" si="8"/>
        <v>0</v>
      </c>
      <c r="K15" s="711" t="str">
        <f t="shared" si="9"/>
        <v>1.33</v>
      </c>
      <c r="L15" s="711" t="str">
        <f t="shared" si="10"/>
        <v>D+</v>
      </c>
      <c r="M15" s="712" t="str">
        <f t="shared" si="11"/>
        <v>0</v>
      </c>
      <c r="N15" s="1467"/>
      <c r="O15" s="1468"/>
      <c r="P15" s="1468"/>
      <c r="Q15" s="1468"/>
      <c r="R15" s="1469"/>
      <c r="S15" s="1469"/>
      <c r="T15" s="1469"/>
      <c r="U15" s="1470"/>
      <c r="V15" s="1533"/>
      <c r="W15" s="1534"/>
    </row>
    <row r="16" spans="1:23" ht="24.95" customHeight="1" x14ac:dyDescent="0.25">
      <c r="A16" s="697"/>
      <c r="B16" s="698"/>
      <c r="C16" s="635" t="s">
        <v>149</v>
      </c>
      <c r="D16" s="700">
        <v>2</v>
      </c>
      <c r="E16" s="697"/>
      <c r="F16" s="1906"/>
      <c r="G16" s="697"/>
      <c r="H16" s="1189">
        <f>AVERAGE(H12:H15)</f>
        <v>0</v>
      </c>
      <c r="I16" s="705"/>
      <c r="J16" s="713">
        <f>AVERAGE(J12:J15)</f>
        <v>0</v>
      </c>
      <c r="K16" s="714" t="str">
        <f t="shared" ref="K16" si="12">IF(J16&gt;85,("4"),IF(J16&gt;80,("3.66"),IF(J16&gt;75,("3.33"),IF(J16&gt;70,("3.00"),IF(J16&gt;65,("2.66"),IF(J16&gt;60,("2.33"),IF(J16&gt;55,("2"),IF(J16&gt;50,("1.66"),"1.33"))))))))</f>
        <v>1.33</v>
      </c>
      <c r="L16" s="714" t="str">
        <f t="shared" ref="L16" si="13">IF(J16&gt;85,("A"),IF(J16&gt;80,("A-"),IF(J16&gt;75,("B+"),IF(J16&gt;70,("B"),IF(J16&gt;65,("B-"),IF(J16&gt;60,("C+"),IF(J16&gt;55,("C"),IF(J16&gt;50,("C-"),"D+"))))))))</f>
        <v>D+</v>
      </c>
      <c r="M16" s="888" t="str">
        <f t="shared" ref="M16" si="14">IF(J16&gt;80,("SB"),IF(J16&gt;65,("B"),IF(J16&gt;50,("C"),IF(J16&gt;0,("K"),"0"))))</f>
        <v>0</v>
      </c>
      <c r="N16" s="701"/>
      <c r="O16" s="702"/>
      <c r="P16" s="702"/>
      <c r="Q16" s="702"/>
      <c r="R16" s="1155"/>
      <c r="S16" s="1155"/>
      <c r="T16" s="1155"/>
      <c r="U16" s="1162"/>
      <c r="V16" s="1257"/>
      <c r="W16" s="1258"/>
    </row>
    <row r="17" spans="1:23" ht="24.95" customHeight="1" thickBot="1" x14ac:dyDescent="0.3">
      <c r="A17" s="360">
        <v>3</v>
      </c>
      <c r="B17" s="683">
        <v>3</v>
      </c>
      <c r="C17" s="1838" t="str">
        <f>VLOOKUP(A17,data_siswa,4,FALSE)</f>
        <v>Anggun Dwi P.I</v>
      </c>
      <c r="D17" s="1893" t="s">
        <v>12</v>
      </c>
      <c r="E17" s="627"/>
      <c r="F17" s="1904">
        <f>E17*2</f>
        <v>0</v>
      </c>
      <c r="G17" s="1891"/>
      <c r="H17" s="627">
        <f>VLOOKUP(B17,REKAP_NILAI,24,FALSE)</f>
        <v>0</v>
      </c>
      <c r="I17" s="706">
        <f>F17+G17+H17</f>
        <v>0</v>
      </c>
      <c r="J17" s="707">
        <f>(F17+G17+H17)/4</f>
        <v>0</v>
      </c>
      <c r="K17" s="708" t="str">
        <f>IF(J17&gt;85,("4"),IF(J17&gt;80,("3.66"),IF(J17&gt;75,("3.33"),IF(J17&gt;70,("3.00"),IF(J17&gt;65,("2.66"),IF(J17&gt;60,("2.33"),IF(J17&gt;55,("2"),IF(J17&gt;50,("1.66"),"1.33"))))))))</f>
        <v>1.33</v>
      </c>
      <c r="L17" s="708" t="str">
        <f>IF(J17&gt;85,("A"),IF(J17&gt;80,("A-"),IF(J17&gt;75,("B+"),IF(J17&gt;70,("B"),IF(J17&gt;65,("B-"),IF(J17&gt;60,("C+"),IF(J17&gt;55,("C"),IF(J17&gt;50,("C-"),"D+"))))))))</f>
        <v>D+</v>
      </c>
      <c r="M17" s="887" t="str">
        <f>IF(J17&gt;80,("SB"),IF(J17&gt;65,("B"),IF(J17&gt;50,("C"),IF(J17&gt;0,("K"),"0"))))</f>
        <v>0</v>
      </c>
      <c r="N17" s="1471"/>
      <c r="O17" s="1471">
        <v>4</v>
      </c>
      <c r="P17" s="1471"/>
      <c r="Q17" s="1471"/>
      <c r="R17" s="1472"/>
      <c r="S17" s="1473"/>
      <c r="T17" s="1473">
        <v>2</v>
      </c>
      <c r="U17" s="1473"/>
      <c r="V17" s="1057">
        <f>AVERAGE(J17:J20)</f>
        <v>0</v>
      </c>
      <c r="W17" s="1194" t="str">
        <f>IF(V17&gt;85,("A"),IF(V17&gt;80,("A-"),IF(V17&gt;75,("B+"),IF(V17&gt;70,("B"),IF(V17&gt;65,("B-"),IF(V17&gt;60,("C+"),IF(V17&gt;55,("C"),IF(V17&gt;50,("C-"),"D+"))))))))</f>
        <v>D+</v>
      </c>
    </row>
    <row r="18" spans="1:23" ht="24.95" customHeight="1" x14ac:dyDescent="0.25">
      <c r="A18" s="360"/>
      <c r="B18" s="683">
        <v>3</v>
      </c>
      <c r="C18" s="1839"/>
      <c r="D18" s="1893" t="s">
        <v>7</v>
      </c>
      <c r="E18" s="627"/>
      <c r="F18" s="1905">
        <f t="shared" ref="F18:F20" si="15">E18*2</f>
        <v>0</v>
      </c>
      <c r="G18" s="1891"/>
      <c r="H18" s="627">
        <f>VLOOKUP(B17,REKAP_NILAI,25,FALSE)</f>
        <v>0</v>
      </c>
      <c r="I18" s="709">
        <f t="shared" ref="I18:I20" si="16">F18+G18+H18</f>
        <v>0</v>
      </c>
      <c r="J18" s="710">
        <f t="shared" ref="J18:J20" si="17">(F18+G18+H18)/4</f>
        <v>0</v>
      </c>
      <c r="K18" s="711" t="str">
        <f t="shared" ref="K18:K20" si="18">IF(J18&gt;85,("4"),IF(J18&gt;80,("3.66"),IF(J18&gt;75,("3.33"),IF(J18&gt;70,("3.00"),IF(J18&gt;65,("2.66"),IF(J18&gt;60,("2.33"),IF(J18&gt;55,("2"),IF(J18&gt;50,("1.66"),"1.33"))))))))</f>
        <v>1.33</v>
      </c>
      <c r="L18" s="711" t="str">
        <f t="shared" ref="L18:L20" si="19">IF(J18&gt;85,("A"),IF(J18&gt;80,("A-"),IF(J18&gt;75,("B+"),IF(J18&gt;70,("B"),IF(J18&gt;65,("B-"),IF(J18&gt;60,("C+"),IF(J18&gt;55,("C"),IF(J18&gt;50,("C-"),"D+"))))))))</f>
        <v>D+</v>
      </c>
      <c r="M18" s="712" t="str">
        <f t="shared" ref="M18:M20" si="20">IF(J18&gt;80,("SB"),IF(J18&gt;65,("B"),IF(J18&gt;50,("C"),IF(J18&gt;0,("K"),"0"))))</f>
        <v>0</v>
      </c>
      <c r="N18" s="1463"/>
      <c r="O18" s="1464"/>
      <c r="P18" s="1464"/>
      <c r="Q18" s="1464"/>
      <c r="R18" s="1465"/>
      <c r="S18" s="1465"/>
      <c r="T18" s="1465"/>
      <c r="U18" s="1466"/>
      <c r="V18" s="1529"/>
      <c r="W18" s="1530"/>
    </row>
    <row r="19" spans="1:23" ht="24.95" customHeight="1" x14ac:dyDescent="0.25">
      <c r="A19" s="360"/>
      <c r="B19" s="683">
        <v>3</v>
      </c>
      <c r="C19" s="1839"/>
      <c r="D19" s="1893" t="s">
        <v>10</v>
      </c>
      <c r="E19" s="627"/>
      <c r="F19" s="1905">
        <f t="shared" si="15"/>
        <v>0</v>
      </c>
      <c r="G19" s="1891"/>
      <c r="H19" s="627">
        <f>VLOOKUP(B17,REKAP_NILAI,26,FALSE)</f>
        <v>0</v>
      </c>
      <c r="I19" s="709">
        <f t="shared" si="16"/>
        <v>0</v>
      </c>
      <c r="J19" s="710">
        <f t="shared" si="17"/>
        <v>0</v>
      </c>
      <c r="K19" s="711" t="str">
        <f t="shared" si="18"/>
        <v>1.33</v>
      </c>
      <c r="L19" s="711" t="str">
        <f t="shared" si="19"/>
        <v>D+</v>
      </c>
      <c r="M19" s="712" t="str">
        <f t="shared" si="20"/>
        <v>0</v>
      </c>
      <c r="N19" s="1467"/>
      <c r="O19" s="1468"/>
      <c r="P19" s="1468"/>
      <c r="Q19" s="1468"/>
      <c r="R19" s="1469"/>
      <c r="S19" s="1469"/>
      <c r="T19" s="1469"/>
      <c r="U19" s="1470"/>
      <c r="V19" s="1531"/>
      <c r="W19" s="1532"/>
    </row>
    <row r="20" spans="1:23" ht="24.95" customHeight="1" x14ac:dyDescent="0.25">
      <c r="A20" s="360"/>
      <c r="B20" s="683">
        <v>3</v>
      </c>
      <c r="C20" s="1839"/>
      <c r="D20" s="1893" t="s">
        <v>8</v>
      </c>
      <c r="E20" s="627"/>
      <c r="F20" s="1905">
        <f t="shared" si="15"/>
        <v>0</v>
      </c>
      <c r="G20" s="1891"/>
      <c r="H20" s="627">
        <f>VLOOKUP(B17,REKAP_NILAI,27,FALSE)</f>
        <v>0</v>
      </c>
      <c r="I20" s="709">
        <f t="shared" si="16"/>
        <v>0</v>
      </c>
      <c r="J20" s="710">
        <f t="shared" si="17"/>
        <v>0</v>
      </c>
      <c r="K20" s="711" t="str">
        <f t="shared" si="18"/>
        <v>1.33</v>
      </c>
      <c r="L20" s="711" t="str">
        <f t="shared" si="19"/>
        <v>D+</v>
      </c>
      <c r="M20" s="712" t="str">
        <f t="shared" si="20"/>
        <v>0</v>
      </c>
      <c r="N20" s="1467"/>
      <c r="O20" s="1468"/>
      <c r="P20" s="1468"/>
      <c r="Q20" s="1468"/>
      <c r="R20" s="1469"/>
      <c r="S20" s="1469"/>
      <c r="T20" s="1469"/>
      <c r="U20" s="1470"/>
      <c r="V20" s="1533"/>
      <c r="W20" s="1534"/>
    </row>
    <row r="21" spans="1:23" ht="24.95" customHeight="1" x14ac:dyDescent="0.25">
      <c r="A21" s="697"/>
      <c r="B21" s="698"/>
      <c r="C21" s="635" t="s">
        <v>149</v>
      </c>
      <c r="D21" s="700">
        <v>3</v>
      </c>
      <c r="E21" s="697"/>
      <c r="F21" s="1906"/>
      <c r="G21" s="697"/>
      <c r="H21" s="1189">
        <f>AVERAGE(H17:H20)</f>
        <v>0</v>
      </c>
      <c r="I21" s="705"/>
      <c r="J21" s="713">
        <f>AVERAGE(J17:J20)</f>
        <v>0</v>
      </c>
      <c r="K21" s="714" t="str">
        <f t="shared" ref="K21" si="21">IF(J21&gt;85,("4"),IF(J21&gt;80,("3.66"),IF(J21&gt;75,("3.33"),IF(J21&gt;70,("3.00"),IF(J21&gt;65,("2.66"),IF(J21&gt;60,("2.33"),IF(J21&gt;55,("2"),IF(J21&gt;50,("1.66"),"1.33"))))))))</f>
        <v>1.33</v>
      </c>
      <c r="L21" s="714" t="str">
        <f t="shared" ref="L21" si="22">IF(J21&gt;85,("A"),IF(J21&gt;80,("A-"),IF(J21&gt;75,("B+"),IF(J21&gt;70,("B"),IF(J21&gt;65,("B-"),IF(J21&gt;60,("C+"),IF(J21&gt;55,("C"),IF(J21&gt;50,("C-"),"D+"))))))))</f>
        <v>D+</v>
      </c>
      <c r="M21" s="888" t="str">
        <f t="shared" ref="M21" si="23">IF(J21&gt;80,("SB"),IF(J21&gt;65,("B"),IF(J21&gt;50,("C"),IF(J21&gt;0,("K"),"0"))))</f>
        <v>0</v>
      </c>
      <c r="N21" s="701"/>
      <c r="O21" s="702"/>
      <c r="P21" s="702"/>
      <c r="Q21" s="702"/>
      <c r="R21" s="1155"/>
      <c r="S21" s="1155"/>
      <c r="T21" s="1155"/>
      <c r="U21" s="1162"/>
      <c r="V21" s="1257"/>
      <c r="W21" s="1258"/>
    </row>
    <row r="22" spans="1:23" ht="24.95" customHeight="1" thickBot="1" x14ac:dyDescent="0.3">
      <c r="A22" s="360">
        <v>4</v>
      </c>
      <c r="B22" s="683">
        <v>4</v>
      </c>
      <c r="C22" s="1838" t="str">
        <f>VLOOKUP(A22,data_siswa,4,FALSE)</f>
        <v>Antonio Permata A</v>
      </c>
      <c r="D22" s="1893" t="s">
        <v>12</v>
      </c>
      <c r="E22" s="627"/>
      <c r="F22" s="1904">
        <f>E22*2</f>
        <v>0</v>
      </c>
      <c r="G22" s="1891"/>
      <c r="H22" s="627">
        <f>VLOOKUP(B22,REKAP_NILAI,24,FALSE)</f>
        <v>0</v>
      </c>
      <c r="I22" s="706">
        <f>F22+G22+H22</f>
        <v>0</v>
      </c>
      <c r="J22" s="707">
        <f>(F22+G22+H22)/4</f>
        <v>0</v>
      </c>
      <c r="K22" s="708" t="str">
        <f>IF(J22&gt;85,("4"),IF(J22&gt;80,("3.66"),IF(J22&gt;75,("3.33"),IF(J22&gt;70,("3.00"),IF(J22&gt;65,("2.66"),IF(J22&gt;60,("2.33"),IF(J22&gt;55,("2"),IF(J22&gt;50,("1.66"),"1.33"))))))))</f>
        <v>1.33</v>
      </c>
      <c r="L22" s="708" t="str">
        <f>IF(J22&gt;85,("A"),IF(J22&gt;80,("A-"),IF(J22&gt;75,("B+"),IF(J22&gt;70,("B"),IF(J22&gt;65,("B-"),IF(J22&gt;60,("C+"),IF(J22&gt;55,("C"),IF(J22&gt;50,("C-"),"D+"))))))))</f>
        <v>D+</v>
      </c>
      <c r="M22" s="887" t="str">
        <f>IF(J22&gt;80,("SB"),IF(J22&gt;65,("B"),IF(J22&gt;50,("C"),IF(J22&gt;0,("K"),"0"))))</f>
        <v>0</v>
      </c>
      <c r="N22" s="1471"/>
      <c r="O22" s="1471"/>
      <c r="P22" s="1471"/>
      <c r="Q22" s="1471"/>
      <c r="R22" s="1472"/>
      <c r="S22" s="1473"/>
      <c r="T22" s="1473"/>
      <c r="U22" s="1473"/>
      <c r="V22" s="1057">
        <f>AVERAGE(J22:J25)</f>
        <v>0</v>
      </c>
      <c r="W22" s="1194" t="str">
        <f>IF(V22&gt;85,("A"),IF(V22&gt;80,("A-"),IF(V22&gt;75,("B+"),IF(V22&gt;70,("B"),IF(V22&gt;65,("B-"),IF(V22&gt;60,("C+"),IF(V22&gt;55,("C"),IF(V22&gt;50,("C-"),"D+"))))))))</f>
        <v>D+</v>
      </c>
    </row>
    <row r="23" spans="1:23" ht="24.95" customHeight="1" x14ac:dyDescent="0.25">
      <c r="A23" s="360"/>
      <c r="B23" s="683">
        <v>4</v>
      </c>
      <c r="C23" s="1839"/>
      <c r="D23" s="1893" t="s">
        <v>7</v>
      </c>
      <c r="E23" s="627"/>
      <c r="F23" s="1905">
        <f t="shared" ref="F23:F25" si="24">E23*2</f>
        <v>0</v>
      </c>
      <c r="G23" s="1891"/>
      <c r="H23" s="627">
        <f>VLOOKUP(B22,REKAP_NILAI,25,FALSE)</f>
        <v>0</v>
      </c>
      <c r="I23" s="709">
        <f t="shared" ref="I23:I25" si="25">F23+G23+H23</f>
        <v>0</v>
      </c>
      <c r="J23" s="710">
        <f t="shared" ref="J23:J25" si="26">(F23+G23+H23)/4</f>
        <v>0</v>
      </c>
      <c r="K23" s="711" t="str">
        <f t="shared" ref="K23:K25" si="27">IF(J23&gt;85,("4"),IF(J23&gt;80,("3.66"),IF(J23&gt;75,("3.33"),IF(J23&gt;70,("3.00"),IF(J23&gt;65,("2.66"),IF(J23&gt;60,("2.33"),IF(J23&gt;55,("2"),IF(J23&gt;50,("1.66"),"1.33"))))))))</f>
        <v>1.33</v>
      </c>
      <c r="L23" s="711" t="str">
        <f t="shared" ref="L23:L25" si="28">IF(J23&gt;85,("A"),IF(J23&gt;80,("A-"),IF(J23&gt;75,("B+"),IF(J23&gt;70,("B"),IF(J23&gt;65,("B-"),IF(J23&gt;60,("C+"),IF(J23&gt;55,("C"),IF(J23&gt;50,("C-"),"D+"))))))))</f>
        <v>D+</v>
      </c>
      <c r="M23" s="712" t="str">
        <f t="shared" ref="M23:M25" si="29">IF(J23&gt;80,("SB"),IF(J23&gt;65,("B"),IF(J23&gt;50,("C"),IF(J23&gt;0,("K"),"0"))))</f>
        <v>0</v>
      </c>
      <c r="N23" s="1463"/>
      <c r="O23" s="1464"/>
      <c r="P23" s="1464"/>
      <c r="Q23" s="1464"/>
      <c r="R23" s="1465"/>
      <c r="S23" s="1465"/>
      <c r="T23" s="1465"/>
      <c r="U23" s="1466"/>
      <c r="V23" s="1529"/>
      <c r="W23" s="1530"/>
    </row>
    <row r="24" spans="1:23" ht="24.95" customHeight="1" x14ac:dyDescent="0.25">
      <c r="A24" s="360"/>
      <c r="B24" s="683">
        <v>4</v>
      </c>
      <c r="C24" s="1839"/>
      <c r="D24" s="1893" t="s">
        <v>10</v>
      </c>
      <c r="E24" s="627"/>
      <c r="F24" s="1905">
        <f t="shared" si="24"/>
        <v>0</v>
      </c>
      <c r="G24" s="1891"/>
      <c r="H24" s="627">
        <f>VLOOKUP(B22,REKAP_NILAI,26,FALSE)</f>
        <v>0</v>
      </c>
      <c r="I24" s="709">
        <f t="shared" si="25"/>
        <v>0</v>
      </c>
      <c r="J24" s="710">
        <f t="shared" si="26"/>
        <v>0</v>
      </c>
      <c r="K24" s="711" t="str">
        <f t="shared" si="27"/>
        <v>1.33</v>
      </c>
      <c r="L24" s="711" t="str">
        <f t="shared" si="28"/>
        <v>D+</v>
      </c>
      <c r="M24" s="712" t="str">
        <f t="shared" si="29"/>
        <v>0</v>
      </c>
      <c r="N24" s="1467"/>
      <c r="O24" s="1468"/>
      <c r="P24" s="1468"/>
      <c r="Q24" s="1468"/>
      <c r="R24" s="1469"/>
      <c r="S24" s="1469"/>
      <c r="T24" s="1469"/>
      <c r="U24" s="1470"/>
      <c r="V24" s="1531"/>
      <c r="W24" s="1532"/>
    </row>
    <row r="25" spans="1:23" ht="24.95" customHeight="1" x14ac:dyDescent="0.25">
      <c r="A25" s="360"/>
      <c r="B25" s="683">
        <v>4</v>
      </c>
      <c r="C25" s="1839"/>
      <c r="D25" s="1893" t="s">
        <v>8</v>
      </c>
      <c r="E25" s="627"/>
      <c r="F25" s="1905">
        <f t="shared" si="24"/>
        <v>0</v>
      </c>
      <c r="G25" s="1891"/>
      <c r="H25" s="627">
        <f>VLOOKUP(B22,REKAP_NILAI,27,FALSE)</f>
        <v>0</v>
      </c>
      <c r="I25" s="709">
        <f t="shared" si="25"/>
        <v>0</v>
      </c>
      <c r="J25" s="710">
        <f t="shared" si="26"/>
        <v>0</v>
      </c>
      <c r="K25" s="711" t="str">
        <f t="shared" si="27"/>
        <v>1.33</v>
      </c>
      <c r="L25" s="711" t="str">
        <f t="shared" si="28"/>
        <v>D+</v>
      </c>
      <c r="M25" s="712" t="str">
        <f t="shared" si="29"/>
        <v>0</v>
      </c>
      <c r="N25" s="1467"/>
      <c r="O25" s="1468"/>
      <c r="P25" s="1468"/>
      <c r="Q25" s="1468"/>
      <c r="R25" s="1469"/>
      <c r="S25" s="1469"/>
      <c r="T25" s="1469"/>
      <c r="U25" s="1470"/>
      <c r="V25" s="1533"/>
      <c r="W25" s="1534"/>
    </row>
    <row r="26" spans="1:23" ht="24.95" customHeight="1" x14ac:dyDescent="0.25">
      <c r="A26" s="697"/>
      <c r="B26" s="698"/>
      <c r="C26" s="635" t="s">
        <v>149</v>
      </c>
      <c r="D26" s="700">
        <v>4</v>
      </c>
      <c r="E26" s="697"/>
      <c r="F26" s="1906"/>
      <c r="G26" s="697"/>
      <c r="H26" s="1189">
        <f>AVERAGE(H22:H25)</f>
        <v>0</v>
      </c>
      <c r="I26" s="705"/>
      <c r="J26" s="713">
        <f>AVERAGE(J22:J25)</f>
        <v>0</v>
      </c>
      <c r="K26" s="714" t="str">
        <f t="shared" ref="K26" si="30">IF(J26&gt;85,("4"),IF(J26&gt;80,("3.66"),IF(J26&gt;75,("3.33"),IF(J26&gt;70,("3.00"),IF(J26&gt;65,("2.66"),IF(J26&gt;60,("2.33"),IF(J26&gt;55,("2"),IF(J26&gt;50,("1.66"),"1.33"))))))))</f>
        <v>1.33</v>
      </c>
      <c r="L26" s="714" t="str">
        <f t="shared" ref="L26" si="31">IF(J26&gt;85,("A"),IF(J26&gt;80,("A-"),IF(J26&gt;75,("B+"),IF(J26&gt;70,("B"),IF(J26&gt;65,("B-"),IF(J26&gt;60,("C+"),IF(J26&gt;55,("C"),IF(J26&gt;50,("C-"),"D+"))))))))</f>
        <v>D+</v>
      </c>
      <c r="M26" s="888" t="str">
        <f t="shared" ref="M26" si="32">IF(J26&gt;80,("SB"),IF(J26&gt;65,("B"),IF(J26&gt;50,("C"),IF(J26&gt;0,("K"),"0"))))</f>
        <v>0</v>
      </c>
      <c r="N26" s="701"/>
      <c r="O26" s="702"/>
      <c r="P26" s="702"/>
      <c r="Q26" s="702"/>
      <c r="R26" s="1155"/>
      <c r="S26" s="1155"/>
      <c r="T26" s="1155"/>
      <c r="U26" s="1162"/>
      <c r="V26" s="1257"/>
      <c r="W26" s="1258"/>
    </row>
    <row r="27" spans="1:23" ht="24.95" customHeight="1" thickBot="1" x14ac:dyDescent="0.3">
      <c r="A27" s="360">
        <v>5</v>
      </c>
      <c r="B27" s="683">
        <v>5</v>
      </c>
      <c r="C27" s="1838" t="str">
        <f>VLOOKUP(A27,data_siswa,4,FALSE)</f>
        <v>Arya Pratama G</v>
      </c>
      <c r="D27" s="1893" t="s">
        <v>12</v>
      </c>
      <c r="E27" s="627"/>
      <c r="F27" s="1904">
        <f>E27*2</f>
        <v>0</v>
      </c>
      <c r="G27" s="1891"/>
      <c r="H27" s="627">
        <f>VLOOKUP(B27,REKAP_NILAI,24,FALSE)</f>
        <v>0</v>
      </c>
      <c r="I27" s="706">
        <f>F27+G27+H27</f>
        <v>0</v>
      </c>
      <c r="J27" s="707">
        <f>(F27+G27+H27)/4</f>
        <v>0</v>
      </c>
      <c r="K27" s="708" t="str">
        <f>IF(J27&gt;85,("4"),IF(J27&gt;80,("3.66"),IF(J27&gt;75,("3.33"),IF(J27&gt;70,("3.00"),IF(J27&gt;65,("2.66"),IF(J27&gt;60,("2.33"),IF(J27&gt;55,("2"),IF(J27&gt;50,("1.66"),"1.33"))))))))</f>
        <v>1.33</v>
      </c>
      <c r="L27" s="708" t="str">
        <f>IF(J27&gt;85,("A"),IF(J27&gt;80,("A-"),IF(J27&gt;75,("B+"),IF(J27&gt;70,("B"),IF(J27&gt;65,("B-"),IF(J27&gt;60,("C+"),IF(J27&gt;55,("C"),IF(J27&gt;50,("C-"),"D+"))))))))</f>
        <v>D+</v>
      </c>
      <c r="M27" s="887" t="str">
        <f>IF(J27&gt;80,("SB"),IF(J27&gt;65,("B"),IF(J27&gt;50,("C"),IF(J27&gt;0,("K"),"0"))))</f>
        <v>0</v>
      </c>
      <c r="N27" s="1471"/>
      <c r="O27" s="1471"/>
      <c r="P27" s="1471"/>
      <c r="Q27" s="1471"/>
      <c r="R27" s="1472"/>
      <c r="S27" s="1473"/>
      <c r="T27" s="1473"/>
      <c r="U27" s="1473"/>
      <c r="V27" s="1057">
        <f>AVERAGE(J27:J30)</f>
        <v>0</v>
      </c>
      <c r="W27" s="1194" t="str">
        <f>IF(V27&gt;85,("A"),IF(V27&gt;80,("A-"),IF(V27&gt;75,("B+"),IF(V27&gt;70,("B"),IF(V27&gt;65,("B-"),IF(V27&gt;60,("C+"),IF(V27&gt;55,("C"),IF(V27&gt;50,("C-"),"D+"))))))))</f>
        <v>D+</v>
      </c>
    </row>
    <row r="28" spans="1:23" ht="24.95" customHeight="1" x14ac:dyDescent="0.25">
      <c r="A28" s="360"/>
      <c r="B28" s="683">
        <v>5</v>
      </c>
      <c r="C28" s="1839"/>
      <c r="D28" s="1893" t="s">
        <v>7</v>
      </c>
      <c r="E28" s="627"/>
      <c r="F28" s="1905">
        <f t="shared" ref="F28:F30" si="33">E28*2</f>
        <v>0</v>
      </c>
      <c r="G28" s="1891"/>
      <c r="H28" s="627">
        <f>VLOOKUP(B27,REKAP_NILAI,25,FALSE)</f>
        <v>0</v>
      </c>
      <c r="I28" s="709">
        <f t="shared" ref="I28:I30" si="34">F28+G28+H28</f>
        <v>0</v>
      </c>
      <c r="J28" s="710">
        <f t="shared" ref="J28:J30" si="35">(F28+G28+H28)/4</f>
        <v>0</v>
      </c>
      <c r="K28" s="711" t="str">
        <f t="shared" ref="K28:K30" si="36">IF(J28&gt;85,("4"),IF(J28&gt;80,("3.66"),IF(J28&gt;75,("3.33"),IF(J28&gt;70,("3.00"),IF(J28&gt;65,("2.66"),IF(J28&gt;60,("2.33"),IF(J28&gt;55,("2"),IF(J28&gt;50,("1.66"),"1.33"))))))))</f>
        <v>1.33</v>
      </c>
      <c r="L28" s="711" t="str">
        <f t="shared" ref="L28:L30" si="37">IF(J28&gt;85,("A"),IF(J28&gt;80,("A-"),IF(J28&gt;75,("B+"),IF(J28&gt;70,("B"),IF(J28&gt;65,("B-"),IF(J28&gt;60,("C+"),IF(J28&gt;55,("C"),IF(J28&gt;50,("C-"),"D+"))))))))</f>
        <v>D+</v>
      </c>
      <c r="M28" s="712" t="str">
        <f t="shared" ref="M28:M30" si="38">IF(J28&gt;80,("SB"),IF(J28&gt;65,("B"),IF(J28&gt;50,("C"),IF(J28&gt;0,("K"),"0"))))</f>
        <v>0</v>
      </c>
      <c r="N28" s="1463"/>
      <c r="O28" s="1464"/>
      <c r="P28" s="1464"/>
      <c r="Q28" s="1464"/>
      <c r="R28" s="1465"/>
      <c r="S28" s="1465"/>
      <c r="T28" s="1465"/>
      <c r="U28" s="1466"/>
      <c r="V28" s="1529"/>
      <c r="W28" s="1530"/>
    </row>
    <row r="29" spans="1:23" ht="24.95" customHeight="1" x14ac:dyDescent="0.25">
      <c r="A29" s="360"/>
      <c r="B29" s="683">
        <v>5</v>
      </c>
      <c r="C29" s="1839"/>
      <c r="D29" s="1893" t="s">
        <v>10</v>
      </c>
      <c r="E29" s="627"/>
      <c r="F29" s="1905">
        <f t="shared" si="33"/>
        <v>0</v>
      </c>
      <c r="G29" s="1891"/>
      <c r="H29" s="627">
        <f>VLOOKUP(B27,REKAP_NILAI,26,FALSE)</f>
        <v>0</v>
      </c>
      <c r="I29" s="709">
        <f t="shared" si="34"/>
        <v>0</v>
      </c>
      <c r="J29" s="710">
        <f t="shared" si="35"/>
        <v>0</v>
      </c>
      <c r="K29" s="711" t="str">
        <f t="shared" si="36"/>
        <v>1.33</v>
      </c>
      <c r="L29" s="711" t="str">
        <f t="shared" si="37"/>
        <v>D+</v>
      </c>
      <c r="M29" s="712" t="str">
        <f t="shared" si="38"/>
        <v>0</v>
      </c>
      <c r="N29" s="1467"/>
      <c r="O29" s="1468"/>
      <c r="P29" s="1468"/>
      <c r="Q29" s="1468"/>
      <c r="R29" s="1469"/>
      <c r="S29" s="1469"/>
      <c r="T29" s="1469"/>
      <c r="U29" s="1470"/>
      <c r="V29" s="1531"/>
      <c r="W29" s="1532"/>
    </row>
    <row r="30" spans="1:23" ht="24.95" customHeight="1" x14ac:dyDescent="0.25">
      <c r="A30" s="360"/>
      <c r="B30" s="683">
        <v>5</v>
      </c>
      <c r="C30" s="1839"/>
      <c r="D30" s="1893" t="s">
        <v>8</v>
      </c>
      <c r="E30" s="627"/>
      <c r="F30" s="1905">
        <f t="shared" si="33"/>
        <v>0</v>
      </c>
      <c r="G30" s="1891"/>
      <c r="H30" s="627">
        <f>VLOOKUP(B27,REKAP_NILAI,27,FALSE)</f>
        <v>0</v>
      </c>
      <c r="I30" s="709">
        <f t="shared" si="34"/>
        <v>0</v>
      </c>
      <c r="J30" s="710">
        <f t="shared" si="35"/>
        <v>0</v>
      </c>
      <c r="K30" s="711" t="str">
        <f t="shared" si="36"/>
        <v>1.33</v>
      </c>
      <c r="L30" s="711" t="str">
        <f t="shared" si="37"/>
        <v>D+</v>
      </c>
      <c r="M30" s="712" t="str">
        <f t="shared" si="38"/>
        <v>0</v>
      </c>
      <c r="N30" s="1467"/>
      <c r="O30" s="1468"/>
      <c r="P30" s="1468"/>
      <c r="Q30" s="1468"/>
      <c r="R30" s="1469"/>
      <c r="S30" s="1469"/>
      <c r="T30" s="1469"/>
      <c r="U30" s="1470"/>
      <c r="V30" s="1533"/>
      <c r="W30" s="1534"/>
    </row>
    <row r="31" spans="1:23" ht="24.95" customHeight="1" x14ac:dyDescent="0.25">
      <c r="A31" s="697"/>
      <c r="B31" s="698"/>
      <c r="C31" s="635" t="s">
        <v>149</v>
      </c>
      <c r="D31" s="700">
        <v>5</v>
      </c>
      <c r="E31" s="697"/>
      <c r="F31" s="1906"/>
      <c r="G31" s="697"/>
      <c r="H31" s="1189">
        <f>AVERAGE(H27:H30)</f>
        <v>0</v>
      </c>
      <c r="I31" s="705"/>
      <c r="J31" s="713">
        <f>AVERAGE(J27:J30)</f>
        <v>0</v>
      </c>
      <c r="K31" s="714" t="str">
        <f t="shared" ref="K31" si="39">IF(J31&gt;85,("4"),IF(J31&gt;80,("3.66"),IF(J31&gt;75,("3.33"),IF(J31&gt;70,("3.00"),IF(J31&gt;65,("2.66"),IF(J31&gt;60,("2.33"),IF(J31&gt;55,("2"),IF(J31&gt;50,("1.66"),"1.33"))))))))</f>
        <v>1.33</v>
      </c>
      <c r="L31" s="714" t="str">
        <f t="shared" ref="L31" si="40">IF(J31&gt;85,("A"),IF(J31&gt;80,("A-"),IF(J31&gt;75,("B+"),IF(J31&gt;70,("B"),IF(J31&gt;65,("B-"),IF(J31&gt;60,("C+"),IF(J31&gt;55,("C"),IF(J31&gt;50,("C-"),"D+"))))))))</f>
        <v>D+</v>
      </c>
      <c r="M31" s="888" t="str">
        <f t="shared" ref="M31" si="41">IF(J31&gt;80,("SB"),IF(J31&gt;65,("B"),IF(J31&gt;50,("C"),IF(J31&gt;0,("K"),"0"))))</f>
        <v>0</v>
      </c>
      <c r="N31" s="701"/>
      <c r="O31" s="702"/>
      <c r="P31" s="702"/>
      <c r="Q31" s="702"/>
      <c r="R31" s="1155"/>
      <c r="S31" s="1155"/>
      <c r="T31" s="1155"/>
      <c r="U31" s="1162"/>
      <c r="V31" s="1257"/>
      <c r="W31" s="1258"/>
    </row>
    <row r="32" spans="1:23" ht="24.95" customHeight="1" thickBot="1" x14ac:dyDescent="0.3">
      <c r="A32" s="1892">
        <v>6</v>
      </c>
      <c r="B32" s="1326">
        <v>6</v>
      </c>
      <c r="C32" s="1840" t="str">
        <f>VLOOKUP(A32,data_siswa,4,FALSE)</f>
        <v>Asyam Hanif Ihsan H</v>
      </c>
      <c r="D32" s="1893" t="s">
        <v>12</v>
      </c>
      <c r="E32" s="627"/>
      <c r="F32" s="1904">
        <f>E32*2</f>
        <v>0</v>
      </c>
      <c r="G32" s="1891"/>
      <c r="H32" s="627">
        <f>VLOOKUP(B32,REKAP_NILAI,24,FALSE)</f>
        <v>0</v>
      </c>
      <c r="I32" s="706">
        <f>F32+G32+H32</f>
        <v>0</v>
      </c>
      <c r="J32" s="707">
        <f>(F32+G32+H32)/4</f>
        <v>0</v>
      </c>
      <c r="K32" s="708" t="str">
        <f>IF(J32&gt;85,("4"),IF(J32&gt;80,("3.66"),IF(J32&gt;75,("3.33"),IF(J32&gt;70,("3.00"),IF(J32&gt;65,("2.66"),IF(J32&gt;60,("2.33"),IF(J32&gt;55,("2"),IF(J32&gt;50,("1.66"),"1.33"))))))))</f>
        <v>1.33</v>
      </c>
      <c r="L32" s="708" t="str">
        <f>IF(J32&gt;85,("A"),IF(J32&gt;80,("A-"),IF(J32&gt;75,("B+"),IF(J32&gt;70,("B"),IF(J32&gt;65,("B-"),IF(J32&gt;60,("C+"),IF(J32&gt;55,("C"),IF(J32&gt;50,("C-"),"D+"))))))))</f>
        <v>D+</v>
      </c>
      <c r="M32" s="887" t="str">
        <f>IF(J32&gt;80,("SB"),IF(J32&gt;65,("B"),IF(J32&gt;50,("C"),IF(J32&gt;0,("K"),"0"))))</f>
        <v>0</v>
      </c>
      <c r="N32" s="1474"/>
      <c r="O32" s="1474"/>
      <c r="P32" s="1474"/>
      <c r="Q32" s="1474"/>
      <c r="R32" s="1475"/>
      <c r="S32" s="1476"/>
      <c r="T32" s="1476"/>
      <c r="U32" s="1476"/>
      <c r="V32" s="1057">
        <f>AVERAGE(J32:J35)</f>
        <v>0</v>
      </c>
      <c r="W32" s="1194" t="str">
        <f>IF(V32&gt;85,("A"),IF(V32&gt;80,("A-"),IF(V32&gt;75,("B+"),IF(V32&gt;70,("B"),IF(V32&gt;65,("B-"),IF(V32&gt;60,("C+"),IF(V32&gt;55,("C"),IF(V32&gt;50,("C-"),"D+"))))))))</f>
        <v>D+</v>
      </c>
    </row>
    <row r="33" spans="1:23" ht="24.95" customHeight="1" x14ac:dyDescent="0.25">
      <c r="A33" s="360"/>
      <c r="B33" s="683">
        <v>6</v>
      </c>
      <c r="C33" s="1839"/>
      <c r="D33" s="1893" t="s">
        <v>7</v>
      </c>
      <c r="E33" s="627"/>
      <c r="F33" s="1905">
        <f t="shared" ref="F33:F35" si="42">E33*2</f>
        <v>0</v>
      </c>
      <c r="G33" s="1891"/>
      <c r="H33" s="627">
        <f>VLOOKUP(B32,REKAP_NILAI,25,FALSE)</f>
        <v>0</v>
      </c>
      <c r="I33" s="709">
        <f t="shared" ref="I33:I35" si="43">F33+G33+H33</f>
        <v>0</v>
      </c>
      <c r="J33" s="710">
        <f t="shared" ref="J33:J35" si="44">(F33+G33+H33)/4</f>
        <v>0</v>
      </c>
      <c r="K33" s="711" t="str">
        <f t="shared" ref="K33:K35" si="45">IF(J33&gt;85,("4"),IF(J33&gt;80,("3.66"),IF(J33&gt;75,("3.33"),IF(J33&gt;70,("3.00"),IF(J33&gt;65,("2.66"),IF(J33&gt;60,("2.33"),IF(J33&gt;55,("2"),IF(J33&gt;50,("1.66"),"1.33"))))))))</f>
        <v>1.33</v>
      </c>
      <c r="L33" s="711" t="str">
        <f t="shared" ref="L33:L35" si="46">IF(J33&gt;85,("A"),IF(J33&gt;80,("A-"),IF(J33&gt;75,("B+"),IF(J33&gt;70,("B"),IF(J33&gt;65,("B-"),IF(J33&gt;60,("C+"),IF(J33&gt;55,("C"),IF(J33&gt;50,("C-"),"D+"))))))))</f>
        <v>D+</v>
      </c>
      <c r="M33" s="712" t="str">
        <f t="shared" ref="M33:M35" si="47">IF(J33&gt;80,("SB"),IF(J33&gt;65,("B"),IF(J33&gt;50,("C"),IF(J33&gt;0,("K"),"0"))))</f>
        <v>0</v>
      </c>
      <c r="N33" s="1463"/>
      <c r="O33" s="1464"/>
      <c r="P33" s="1464"/>
      <c r="Q33" s="1464"/>
      <c r="R33" s="1465"/>
      <c r="S33" s="1465"/>
      <c r="T33" s="1465"/>
      <c r="U33" s="1466"/>
      <c r="V33" s="1529"/>
      <c r="W33" s="1530"/>
    </row>
    <row r="34" spans="1:23" ht="24.95" customHeight="1" x14ac:dyDescent="0.25">
      <c r="A34" s="360"/>
      <c r="B34" s="683">
        <v>6</v>
      </c>
      <c r="C34" s="1839"/>
      <c r="D34" s="1893" t="s">
        <v>10</v>
      </c>
      <c r="E34" s="627"/>
      <c r="F34" s="1905">
        <f t="shared" si="42"/>
        <v>0</v>
      </c>
      <c r="G34" s="1891"/>
      <c r="H34" s="627">
        <f>VLOOKUP(B32,REKAP_NILAI,26,FALSE)</f>
        <v>0</v>
      </c>
      <c r="I34" s="709">
        <f t="shared" si="43"/>
        <v>0</v>
      </c>
      <c r="J34" s="710">
        <f t="shared" si="44"/>
        <v>0</v>
      </c>
      <c r="K34" s="711" t="str">
        <f t="shared" si="45"/>
        <v>1.33</v>
      </c>
      <c r="L34" s="711" t="str">
        <f t="shared" si="46"/>
        <v>D+</v>
      </c>
      <c r="M34" s="712" t="str">
        <f t="shared" si="47"/>
        <v>0</v>
      </c>
      <c r="N34" s="1467"/>
      <c r="O34" s="1468"/>
      <c r="P34" s="1468"/>
      <c r="Q34" s="1468"/>
      <c r="R34" s="1469"/>
      <c r="S34" s="1469"/>
      <c r="T34" s="1469"/>
      <c r="U34" s="1470"/>
      <c r="V34" s="1531"/>
      <c r="W34" s="1532"/>
    </row>
    <row r="35" spans="1:23" ht="24.95" customHeight="1" x14ac:dyDescent="0.25">
      <c r="A35" s="360"/>
      <c r="B35" s="683">
        <v>6</v>
      </c>
      <c r="C35" s="1839"/>
      <c r="D35" s="1893" t="s">
        <v>8</v>
      </c>
      <c r="E35" s="627"/>
      <c r="F35" s="1905">
        <f t="shared" si="42"/>
        <v>0</v>
      </c>
      <c r="G35" s="1891"/>
      <c r="H35" s="627">
        <f>VLOOKUP(B32,REKAP_NILAI,27,FALSE)</f>
        <v>0</v>
      </c>
      <c r="I35" s="709">
        <f t="shared" si="43"/>
        <v>0</v>
      </c>
      <c r="J35" s="710">
        <f t="shared" si="44"/>
        <v>0</v>
      </c>
      <c r="K35" s="711" t="str">
        <f t="shared" si="45"/>
        <v>1.33</v>
      </c>
      <c r="L35" s="711" t="str">
        <f t="shared" si="46"/>
        <v>D+</v>
      </c>
      <c r="M35" s="712" t="str">
        <f t="shared" si="47"/>
        <v>0</v>
      </c>
      <c r="N35" s="1467"/>
      <c r="O35" s="1468"/>
      <c r="P35" s="1468"/>
      <c r="Q35" s="1468"/>
      <c r="R35" s="1469"/>
      <c r="S35" s="1469"/>
      <c r="T35" s="1469"/>
      <c r="U35" s="1470"/>
      <c r="V35" s="1533"/>
      <c r="W35" s="1534"/>
    </row>
    <row r="36" spans="1:23" ht="24.95" customHeight="1" x14ac:dyDescent="0.25">
      <c r="A36" s="697"/>
      <c r="B36" s="698"/>
      <c r="C36" s="635" t="s">
        <v>149</v>
      </c>
      <c r="D36" s="700">
        <v>6</v>
      </c>
      <c r="E36" s="697"/>
      <c r="F36" s="1906"/>
      <c r="G36" s="697"/>
      <c r="H36" s="1189">
        <f>AVERAGE(H32:H35)</f>
        <v>0</v>
      </c>
      <c r="I36" s="705"/>
      <c r="J36" s="713">
        <f>AVERAGE(J32:J35)</f>
        <v>0</v>
      </c>
      <c r="K36" s="714" t="str">
        <f t="shared" ref="K36" si="48">IF(J36&gt;85,("4"),IF(J36&gt;80,("3.66"),IF(J36&gt;75,("3.33"),IF(J36&gt;70,("3.00"),IF(J36&gt;65,("2.66"),IF(J36&gt;60,("2.33"),IF(J36&gt;55,("2"),IF(J36&gt;50,("1.66"),"1.33"))))))))</f>
        <v>1.33</v>
      </c>
      <c r="L36" s="714" t="str">
        <f t="shared" ref="L36" si="49">IF(J36&gt;85,("A"),IF(J36&gt;80,("A-"),IF(J36&gt;75,("B+"),IF(J36&gt;70,("B"),IF(J36&gt;65,("B-"),IF(J36&gt;60,("C+"),IF(J36&gt;55,("C"),IF(J36&gt;50,("C-"),"D+"))))))))</f>
        <v>D+</v>
      </c>
      <c r="M36" s="888" t="str">
        <f t="shared" ref="M36" si="50">IF(J36&gt;80,("SB"),IF(J36&gt;65,("B"),IF(J36&gt;50,("C"),IF(J36&gt;0,("K"),"0"))))</f>
        <v>0</v>
      </c>
      <c r="N36" s="701"/>
      <c r="O36" s="702"/>
      <c r="P36" s="702"/>
      <c r="Q36" s="702"/>
      <c r="R36" s="1155"/>
      <c r="S36" s="1155"/>
      <c r="T36" s="1155"/>
      <c r="U36" s="1162"/>
      <c r="V36" s="1257"/>
      <c r="W36" s="1258"/>
    </row>
    <row r="37" spans="1:23" ht="24.95" customHeight="1" thickBot="1" x14ac:dyDescent="0.3">
      <c r="A37" s="1892">
        <v>7</v>
      </c>
      <c r="B37" s="1326">
        <v>7</v>
      </c>
      <c r="C37" s="1840" t="str">
        <f>VLOOKUP(A37,data_siswa,4,FALSE)</f>
        <v>Athaya Salsabilla Z</v>
      </c>
      <c r="D37" s="1893" t="s">
        <v>12</v>
      </c>
      <c r="E37" s="627"/>
      <c r="F37" s="1904">
        <f>E37*2</f>
        <v>0</v>
      </c>
      <c r="G37" s="1891"/>
      <c r="H37" s="627">
        <f>VLOOKUP(B37,REKAP_NILAI,24,FALSE)</f>
        <v>0</v>
      </c>
      <c r="I37" s="706">
        <f>F37+G37+H37</f>
        <v>0</v>
      </c>
      <c r="J37" s="707">
        <f>(F37+G37+H37)/4</f>
        <v>0</v>
      </c>
      <c r="K37" s="708" t="str">
        <f>IF(J37&gt;85,("4"),IF(J37&gt;80,("3.66"),IF(J37&gt;75,("3.33"),IF(J37&gt;70,("3.00"),IF(J37&gt;65,("2.66"),IF(J37&gt;60,("2.33"),IF(J37&gt;55,("2"),IF(J37&gt;50,("1.66"),"1.33"))))))))</f>
        <v>1.33</v>
      </c>
      <c r="L37" s="708" t="str">
        <f>IF(J37&gt;85,("A"),IF(J37&gt;80,("A-"),IF(J37&gt;75,("B+"),IF(J37&gt;70,("B"),IF(J37&gt;65,("B-"),IF(J37&gt;60,("C+"),IF(J37&gt;55,("C"),IF(J37&gt;50,("C-"),"D+"))))))))</f>
        <v>D+</v>
      </c>
      <c r="M37" s="887" t="str">
        <f>IF(J37&gt;80,("SB"),IF(J37&gt;65,("B"),IF(J37&gt;50,("C"),IF(J37&gt;0,("K"),"0"))))</f>
        <v>0</v>
      </c>
      <c r="N37" s="1474"/>
      <c r="O37" s="1474"/>
      <c r="P37" s="1474"/>
      <c r="Q37" s="1474"/>
      <c r="R37" s="1475"/>
      <c r="S37" s="1476"/>
      <c r="T37" s="1476"/>
      <c r="U37" s="1476"/>
      <c r="V37" s="1057">
        <f>AVERAGE(J37:J40)</f>
        <v>0</v>
      </c>
      <c r="W37" s="1194" t="str">
        <f>IF(V37&gt;85,("A"),IF(V37&gt;80,("A-"),IF(V37&gt;75,("B+"),IF(V37&gt;70,("B"),IF(V37&gt;65,("B-"),IF(V37&gt;60,("C+"),IF(V37&gt;55,("C"),IF(V37&gt;50,("C-"),"D+"))))))))</f>
        <v>D+</v>
      </c>
    </row>
    <row r="38" spans="1:23" ht="24.95" customHeight="1" x14ac:dyDescent="0.25">
      <c r="A38" s="360"/>
      <c r="B38" s="683">
        <v>7</v>
      </c>
      <c r="C38" s="1839"/>
      <c r="D38" s="1893" t="s">
        <v>7</v>
      </c>
      <c r="E38" s="627"/>
      <c r="F38" s="1905">
        <f t="shared" ref="F38:F40" si="51">E38*2</f>
        <v>0</v>
      </c>
      <c r="G38" s="1891"/>
      <c r="H38" s="627">
        <f>VLOOKUP(B37,REKAP_NILAI,25,FALSE)</f>
        <v>0</v>
      </c>
      <c r="I38" s="709">
        <f t="shared" ref="I38:I40" si="52">F38+G38+H38</f>
        <v>0</v>
      </c>
      <c r="J38" s="710">
        <f t="shared" ref="J38:J40" si="53">(F38+G38+H38)/4</f>
        <v>0</v>
      </c>
      <c r="K38" s="711" t="str">
        <f t="shared" ref="K38:K40" si="54">IF(J38&gt;85,("4"),IF(J38&gt;80,("3.66"),IF(J38&gt;75,("3.33"),IF(J38&gt;70,("3.00"),IF(J38&gt;65,("2.66"),IF(J38&gt;60,("2.33"),IF(J38&gt;55,("2"),IF(J38&gt;50,("1.66"),"1.33"))))))))</f>
        <v>1.33</v>
      </c>
      <c r="L38" s="711" t="str">
        <f t="shared" ref="L38:L40" si="55">IF(J38&gt;85,("A"),IF(J38&gt;80,("A-"),IF(J38&gt;75,("B+"),IF(J38&gt;70,("B"),IF(J38&gt;65,("B-"),IF(J38&gt;60,("C+"),IF(J38&gt;55,("C"),IF(J38&gt;50,("C-"),"D+"))))))))</f>
        <v>D+</v>
      </c>
      <c r="M38" s="712" t="str">
        <f t="shared" ref="M38:M40" si="56">IF(J38&gt;80,("SB"),IF(J38&gt;65,("B"),IF(J38&gt;50,("C"),IF(J38&gt;0,("K"),"0"))))</f>
        <v>0</v>
      </c>
      <c r="N38" s="1463"/>
      <c r="O38" s="1464"/>
      <c r="P38" s="1464"/>
      <c r="Q38" s="1464"/>
      <c r="R38" s="1465"/>
      <c r="S38" s="1465"/>
      <c r="T38" s="1465"/>
      <c r="U38" s="1466"/>
      <c r="V38" s="1529"/>
      <c r="W38" s="1530"/>
    </row>
    <row r="39" spans="1:23" ht="24.95" customHeight="1" x14ac:dyDescent="0.25">
      <c r="A39" s="360"/>
      <c r="B39" s="683">
        <v>7</v>
      </c>
      <c r="C39" s="1839"/>
      <c r="D39" s="1893" t="s">
        <v>10</v>
      </c>
      <c r="E39" s="627"/>
      <c r="F39" s="1905">
        <f t="shared" si="51"/>
        <v>0</v>
      </c>
      <c r="G39" s="1891"/>
      <c r="H39" s="627">
        <f>VLOOKUP(B37,REKAP_NILAI,26,FALSE)</f>
        <v>0</v>
      </c>
      <c r="I39" s="709">
        <f t="shared" si="52"/>
        <v>0</v>
      </c>
      <c r="J39" s="710">
        <f t="shared" si="53"/>
        <v>0</v>
      </c>
      <c r="K39" s="711" t="str">
        <f t="shared" si="54"/>
        <v>1.33</v>
      </c>
      <c r="L39" s="711" t="str">
        <f t="shared" si="55"/>
        <v>D+</v>
      </c>
      <c r="M39" s="712" t="str">
        <f t="shared" si="56"/>
        <v>0</v>
      </c>
      <c r="N39" s="1467"/>
      <c r="O39" s="1468"/>
      <c r="P39" s="1468"/>
      <c r="Q39" s="1468"/>
      <c r="R39" s="1469"/>
      <c r="S39" s="1469"/>
      <c r="T39" s="1469"/>
      <c r="U39" s="1470"/>
      <c r="V39" s="1531"/>
      <c r="W39" s="1532"/>
    </row>
    <row r="40" spans="1:23" ht="24.95" customHeight="1" x14ac:dyDescent="0.25">
      <c r="A40" s="360"/>
      <c r="B40" s="683">
        <v>7</v>
      </c>
      <c r="C40" s="1839"/>
      <c r="D40" s="1893" t="s">
        <v>8</v>
      </c>
      <c r="E40" s="627"/>
      <c r="F40" s="1905">
        <f t="shared" si="51"/>
        <v>0</v>
      </c>
      <c r="G40" s="1891"/>
      <c r="H40" s="627">
        <f>VLOOKUP(B37,REKAP_NILAI,27,FALSE)</f>
        <v>0</v>
      </c>
      <c r="I40" s="709">
        <f t="shared" si="52"/>
        <v>0</v>
      </c>
      <c r="J40" s="710">
        <f t="shared" si="53"/>
        <v>0</v>
      </c>
      <c r="K40" s="711" t="str">
        <f t="shared" si="54"/>
        <v>1.33</v>
      </c>
      <c r="L40" s="711" t="str">
        <f t="shared" si="55"/>
        <v>D+</v>
      </c>
      <c r="M40" s="712" t="str">
        <f t="shared" si="56"/>
        <v>0</v>
      </c>
      <c r="N40" s="1467"/>
      <c r="O40" s="1468"/>
      <c r="P40" s="1468"/>
      <c r="Q40" s="1468"/>
      <c r="R40" s="1469"/>
      <c r="S40" s="1469"/>
      <c r="T40" s="1469"/>
      <c r="U40" s="1470"/>
      <c r="V40" s="1533"/>
      <c r="W40" s="1534"/>
    </row>
    <row r="41" spans="1:23" ht="24.95" customHeight="1" x14ac:dyDescent="0.25">
      <c r="A41" s="697"/>
      <c r="B41" s="698"/>
      <c r="C41" s="635" t="s">
        <v>149</v>
      </c>
      <c r="D41" s="700">
        <v>7</v>
      </c>
      <c r="E41" s="697"/>
      <c r="F41" s="1906"/>
      <c r="G41" s="697"/>
      <c r="H41" s="1189">
        <f>AVERAGE(H37:H40)</f>
        <v>0</v>
      </c>
      <c r="I41" s="705"/>
      <c r="J41" s="713">
        <f>AVERAGE(J37:J40)</f>
        <v>0</v>
      </c>
      <c r="K41" s="714" t="str">
        <f t="shared" ref="K41" si="57">IF(J41&gt;85,("4"),IF(J41&gt;80,("3.66"),IF(J41&gt;75,("3.33"),IF(J41&gt;70,("3.00"),IF(J41&gt;65,("2.66"),IF(J41&gt;60,("2.33"),IF(J41&gt;55,("2"),IF(J41&gt;50,("1.66"),"1.33"))))))))</f>
        <v>1.33</v>
      </c>
      <c r="L41" s="714" t="str">
        <f t="shared" ref="L41" si="58">IF(J41&gt;85,("A"),IF(J41&gt;80,("A-"),IF(J41&gt;75,("B+"),IF(J41&gt;70,("B"),IF(J41&gt;65,("B-"),IF(J41&gt;60,("C+"),IF(J41&gt;55,("C"),IF(J41&gt;50,("C-"),"D+"))))))))</f>
        <v>D+</v>
      </c>
      <c r="M41" s="888" t="str">
        <f t="shared" ref="M41" si="59">IF(J41&gt;80,("SB"),IF(J41&gt;65,("B"),IF(J41&gt;50,("C"),IF(J41&gt;0,("K"),"0"))))</f>
        <v>0</v>
      </c>
      <c r="N41" s="701"/>
      <c r="O41" s="702"/>
      <c r="P41" s="702"/>
      <c r="Q41" s="702"/>
      <c r="R41" s="1155"/>
      <c r="S41" s="1155"/>
      <c r="T41" s="1155"/>
      <c r="U41" s="1162"/>
      <c r="V41" s="1257"/>
      <c r="W41" s="1258"/>
    </row>
    <row r="42" spans="1:23" ht="24.95" customHeight="1" thickBot="1" x14ac:dyDescent="0.3">
      <c r="A42" s="1892">
        <v>8</v>
      </c>
      <c r="B42" s="1326">
        <v>8</v>
      </c>
      <c r="C42" s="1840" t="str">
        <f>VLOOKUP(A42,data_siswa,4,FALSE)</f>
        <v>Aulia Dea Rosalinda</v>
      </c>
      <c r="D42" s="1893" t="s">
        <v>12</v>
      </c>
      <c r="E42" s="627"/>
      <c r="F42" s="1904">
        <f>E42*2</f>
        <v>0</v>
      </c>
      <c r="G42" s="1891"/>
      <c r="H42" s="627">
        <f>VLOOKUP(B42,REKAP_NILAI,24,FALSE)</f>
        <v>0</v>
      </c>
      <c r="I42" s="706">
        <f>F42+G42+H42</f>
        <v>0</v>
      </c>
      <c r="J42" s="707">
        <f>(F42+G42+H42)/4</f>
        <v>0</v>
      </c>
      <c r="K42" s="708" t="str">
        <f>IF(J42&gt;85,("4"),IF(J42&gt;80,("3.66"),IF(J42&gt;75,("3.33"),IF(J42&gt;70,("3.00"),IF(J42&gt;65,("2.66"),IF(J42&gt;60,("2.33"),IF(J42&gt;55,("2"),IF(J42&gt;50,("1.66"),"1.33"))))))))</f>
        <v>1.33</v>
      </c>
      <c r="L42" s="708" t="str">
        <f>IF(J42&gt;85,("A"),IF(J42&gt;80,("A-"),IF(J42&gt;75,("B+"),IF(J42&gt;70,("B"),IF(J42&gt;65,("B-"),IF(J42&gt;60,("C+"),IF(J42&gt;55,("C"),IF(J42&gt;50,("C-"),"D+"))))))))</f>
        <v>D+</v>
      </c>
      <c r="M42" s="887" t="str">
        <f>IF(J42&gt;80,("SB"),IF(J42&gt;65,("B"),IF(J42&gt;50,("C"),IF(J42&gt;0,("K"),"0"))))</f>
        <v>0</v>
      </c>
      <c r="N42" s="1474"/>
      <c r="O42" s="1474"/>
      <c r="P42" s="1474"/>
      <c r="Q42" s="1474"/>
      <c r="R42" s="1475"/>
      <c r="S42" s="1476"/>
      <c r="T42" s="1476"/>
      <c r="U42" s="1476"/>
      <c r="V42" s="1057">
        <f>AVERAGE(J42:J45)</f>
        <v>0</v>
      </c>
      <c r="W42" s="1194" t="str">
        <f>IF(V42&gt;85,("A"),IF(V42&gt;80,("A-"),IF(V42&gt;75,("B+"),IF(V42&gt;70,("B"),IF(V42&gt;65,("B-"),IF(V42&gt;60,("C+"),IF(V42&gt;55,("C"),IF(V42&gt;50,("C-"),"D+"))))))))</f>
        <v>D+</v>
      </c>
    </row>
    <row r="43" spans="1:23" ht="24.95" customHeight="1" x14ac:dyDescent="0.25">
      <c r="A43" s="360"/>
      <c r="B43" s="683">
        <v>8</v>
      </c>
      <c r="C43" s="1839"/>
      <c r="D43" s="1893" t="s">
        <v>7</v>
      </c>
      <c r="E43" s="627"/>
      <c r="F43" s="1905">
        <f t="shared" ref="F43:F45" si="60">E43*2</f>
        <v>0</v>
      </c>
      <c r="G43" s="1891"/>
      <c r="H43" s="627">
        <f>VLOOKUP(B42,REKAP_NILAI,25,FALSE)</f>
        <v>0</v>
      </c>
      <c r="I43" s="709">
        <f t="shared" ref="I43:I45" si="61">F43+G43+H43</f>
        <v>0</v>
      </c>
      <c r="J43" s="710">
        <f t="shared" ref="J43:J45" si="62">(F43+G43+H43)/4</f>
        <v>0</v>
      </c>
      <c r="K43" s="711" t="str">
        <f t="shared" ref="K43:K45" si="63">IF(J43&gt;85,("4"),IF(J43&gt;80,("3.66"),IF(J43&gt;75,("3.33"),IF(J43&gt;70,("3.00"),IF(J43&gt;65,("2.66"),IF(J43&gt;60,("2.33"),IF(J43&gt;55,("2"),IF(J43&gt;50,("1.66"),"1.33"))))))))</f>
        <v>1.33</v>
      </c>
      <c r="L43" s="711" t="str">
        <f t="shared" ref="L43:L45" si="64">IF(J43&gt;85,("A"),IF(J43&gt;80,("A-"),IF(J43&gt;75,("B+"),IF(J43&gt;70,("B"),IF(J43&gt;65,("B-"),IF(J43&gt;60,("C+"),IF(J43&gt;55,("C"),IF(J43&gt;50,("C-"),"D+"))))))))</f>
        <v>D+</v>
      </c>
      <c r="M43" s="712" t="str">
        <f t="shared" ref="M43:M45" si="65">IF(J43&gt;80,("SB"),IF(J43&gt;65,("B"),IF(J43&gt;50,("C"),IF(J43&gt;0,("K"),"0"))))</f>
        <v>0</v>
      </c>
      <c r="N43" s="1463"/>
      <c r="O43" s="1464"/>
      <c r="P43" s="1464"/>
      <c r="Q43" s="1464"/>
      <c r="R43" s="1465"/>
      <c r="S43" s="1465"/>
      <c r="T43" s="1465"/>
      <c r="U43" s="1466"/>
      <c r="V43" s="1529"/>
      <c r="W43" s="1530"/>
    </row>
    <row r="44" spans="1:23" ht="24.95" customHeight="1" x14ac:dyDescent="0.25">
      <c r="A44" s="360"/>
      <c r="B44" s="683">
        <v>8</v>
      </c>
      <c r="C44" s="1839"/>
      <c r="D44" s="1893" t="s">
        <v>10</v>
      </c>
      <c r="E44" s="627"/>
      <c r="F44" s="1905">
        <f t="shared" si="60"/>
        <v>0</v>
      </c>
      <c r="G44" s="1891"/>
      <c r="H44" s="627">
        <f>VLOOKUP(B42,REKAP_NILAI,26,FALSE)</f>
        <v>0</v>
      </c>
      <c r="I44" s="709">
        <f t="shared" si="61"/>
        <v>0</v>
      </c>
      <c r="J44" s="710">
        <f t="shared" si="62"/>
        <v>0</v>
      </c>
      <c r="K44" s="711" t="str">
        <f t="shared" si="63"/>
        <v>1.33</v>
      </c>
      <c r="L44" s="711" t="str">
        <f t="shared" si="64"/>
        <v>D+</v>
      </c>
      <c r="M44" s="712" t="str">
        <f t="shared" si="65"/>
        <v>0</v>
      </c>
      <c r="N44" s="1467"/>
      <c r="O44" s="1468"/>
      <c r="P44" s="1468"/>
      <c r="Q44" s="1468"/>
      <c r="R44" s="1469"/>
      <c r="S44" s="1469"/>
      <c r="T44" s="1469"/>
      <c r="U44" s="1470"/>
      <c r="V44" s="1531"/>
      <c r="W44" s="1532"/>
    </row>
    <row r="45" spans="1:23" ht="24.95" customHeight="1" x14ac:dyDescent="0.25">
      <c r="A45" s="360"/>
      <c r="B45" s="683">
        <v>8</v>
      </c>
      <c r="C45" s="1839"/>
      <c r="D45" s="1893" t="s">
        <v>8</v>
      </c>
      <c r="E45" s="627"/>
      <c r="F45" s="1905">
        <f t="shared" si="60"/>
        <v>0</v>
      </c>
      <c r="G45" s="1891"/>
      <c r="H45" s="627">
        <f>VLOOKUP(B42,REKAP_NILAI,27,FALSE)</f>
        <v>0</v>
      </c>
      <c r="I45" s="709">
        <f t="shared" si="61"/>
        <v>0</v>
      </c>
      <c r="J45" s="710">
        <f t="shared" si="62"/>
        <v>0</v>
      </c>
      <c r="K45" s="711" t="str">
        <f t="shared" si="63"/>
        <v>1.33</v>
      </c>
      <c r="L45" s="711" t="str">
        <f t="shared" si="64"/>
        <v>D+</v>
      </c>
      <c r="M45" s="712" t="str">
        <f t="shared" si="65"/>
        <v>0</v>
      </c>
      <c r="N45" s="1467"/>
      <c r="O45" s="1468"/>
      <c r="P45" s="1468"/>
      <c r="Q45" s="1468"/>
      <c r="R45" s="1469"/>
      <c r="S45" s="1469"/>
      <c r="T45" s="1469"/>
      <c r="U45" s="1470"/>
      <c r="V45" s="1533"/>
      <c r="W45" s="1534"/>
    </row>
    <row r="46" spans="1:23" ht="24.95" customHeight="1" x14ac:dyDescent="0.25">
      <c r="A46" s="697"/>
      <c r="B46" s="698"/>
      <c r="C46" s="635" t="s">
        <v>149</v>
      </c>
      <c r="D46" s="700">
        <v>8</v>
      </c>
      <c r="E46" s="697"/>
      <c r="F46" s="1906"/>
      <c r="G46" s="697"/>
      <c r="H46" s="1189">
        <f>AVERAGE(H42:H45)</f>
        <v>0</v>
      </c>
      <c r="I46" s="705"/>
      <c r="J46" s="713">
        <f>AVERAGE(J42:J45)</f>
        <v>0</v>
      </c>
      <c r="K46" s="714" t="str">
        <f t="shared" ref="K46" si="66">IF(J46&gt;85,("4"),IF(J46&gt;80,("3.66"),IF(J46&gt;75,("3.33"),IF(J46&gt;70,("3.00"),IF(J46&gt;65,("2.66"),IF(J46&gt;60,("2.33"),IF(J46&gt;55,("2"),IF(J46&gt;50,("1.66"),"1.33"))))))))</f>
        <v>1.33</v>
      </c>
      <c r="L46" s="714" t="str">
        <f t="shared" ref="L46" si="67">IF(J46&gt;85,("A"),IF(J46&gt;80,("A-"),IF(J46&gt;75,("B+"),IF(J46&gt;70,("B"),IF(J46&gt;65,("B-"),IF(J46&gt;60,("C+"),IF(J46&gt;55,("C"),IF(J46&gt;50,("C-"),"D+"))))))))</f>
        <v>D+</v>
      </c>
      <c r="M46" s="888" t="str">
        <f t="shared" ref="M46" si="68">IF(J46&gt;80,("SB"),IF(J46&gt;65,("B"),IF(J46&gt;50,("C"),IF(J46&gt;0,("K"),"0"))))</f>
        <v>0</v>
      </c>
      <c r="N46" s="701"/>
      <c r="O46" s="702"/>
      <c r="P46" s="702"/>
      <c r="Q46" s="702"/>
      <c r="R46" s="1155"/>
      <c r="S46" s="1155"/>
      <c r="T46" s="1155"/>
      <c r="U46" s="1162"/>
      <c r="V46" s="1257"/>
      <c r="W46" s="1258"/>
    </row>
    <row r="47" spans="1:23" ht="24.95" customHeight="1" thickBot="1" x14ac:dyDescent="0.3">
      <c r="A47" s="1892">
        <v>9</v>
      </c>
      <c r="B47" s="1326">
        <v>9</v>
      </c>
      <c r="C47" s="1840" t="str">
        <f>VLOOKUP(A47,data_siswa,4,FALSE)</f>
        <v>Claudia Gabriella L</v>
      </c>
      <c r="D47" s="1893" t="s">
        <v>12</v>
      </c>
      <c r="E47" s="627"/>
      <c r="F47" s="1904">
        <f>E47*2</f>
        <v>0</v>
      </c>
      <c r="G47" s="1891"/>
      <c r="H47" s="627">
        <f>VLOOKUP(B47,REKAP_NILAI,24,FALSE)</f>
        <v>0</v>
      </c>
      <c r="I47" s="706">
        <f>F47+G47+H47</f>
        <v>0</v>
      </c>
      <c r="J47" s="707">
        <f>(F47+G47+H47)/4</f>
        <v>0</v>
      </c>
      <c r="K47" s="708" t="str">
        <f>IF(J47&gt;85,("4"),IF(J47&gt;80,("3.66"),IF(J47&gt;75,("3.33"),IF(J47&gt;70,("3.00"),IF(J47&gt;65,("2.66"),IF(J47&gt;60,("2.33"),IF(J47&gt;55,("2"),IF(J47&gt;50,("1.66"),"1.33"))))))))</f>
        <v>1.33</v>
      </c>
      <c r="L47" s="708" t="str">
        <f>IF(J47&gt;85,("A"),IF(J47&gt;80,("A-"),IF(J47&gt;75,("B+"),IF(J47&gt;70,("B"),IF(J47&gt;65,("B-"),IF(J47&gt;60,("C+"),IF(J47&gt;55,("C"),IF(J47&gt;50,("C-"),"D+"))))))))</f>
        <v>D+</v>
      </c>
      <c r="M47" s="887" t="str">
        <f>IF(J47&gt;80,("SB"),IF(J47&gt;65,("B"),IF(J47&gt;50,("C"),IF(J47&gt;0,("K"),"0"))))</f>
        <v>0</v>
      </c>
      <c r="N47" s="1474"/>
      <c r="O47" s="1474"/>
      <c r="P47" s="1474"/>
      <c r="Q47" s="1474"/>
      <c r="R47" s="1475"/>
      <c r="S47" s="1476"/>
      <c r="T47" s="1476"/>
      <c r="U47" s="1476"/>
      <c r="V47" s="1057">
        <f>AVERAGE(J47:J50)</f>
        <v>0</v>
      </c>
      <c r="W47" s="1194" t="str">
        <f>IF(V47&gt;85,("A"),IF(V47&gt;80,("A-"),IF(V47&gt;75,("B+"),IF(V47&gt;70,("B"),IF(V47&gt;65,("B-"),IF(V47&gt;60,("C+"),IF(V47&gt;55,("C"),IF(V47&gt;50,("C-"),"D+"))))))))</f>
        <v>D+</v>
      </c>
    </row>
    <row r="48" spans="1:23" ht="24.95" customHeight="1" x14ac:dyDescent="0.25">
      <c r="A48" s="360"/>
      <c r="B48" s="683">
        <v>9</v>
      </c>
      <c r="C48" s="1839"/>
      <c r="D48" s="1893" t="s">
        <v>7</v>
      </c>
      <c r="E48" s="627"/>
      <c r="F48" s="1905">
        <f t="shared" ref="F48:F50" si="69">E48*2</f>
        <v>0</v>
      </c>
      <c r="G48" s="1891"/>
      <c r="H48" s="627">
        <f>VLOOKUP(B47,REKAP_NILAI,25,FALSE)</f>
        <v>0</v>
      </c>
      <c r="I48" s="709">
        <f t="shared" ref="I48:I50" si="70">F48+G48+H48</f>
        <v>0</v>
      </c>
      <c r="J48" s="710">
        <f t="shared" ref="J48:J50" si="71">(F48+G48+H48)/4</f>
        <v>0</v>
      </c>
      <c r="K48" s="711" t="str">
        <f t="shared" ref="K48:K50" si="72">IF(J48&gt;85,("4"),IF(J48&gt;80,("3.66"),IF(J48&gt;75,("3.33"),IF(J48&gt;70,("3.00"),IF(J48&gt;65,("2.66"),IF(J48&gt;60,("2.33"),IF(J48&gt;55,("2"),IF(J48&gt;50,("1.66"),"1.33"))))))))</f>
        <v>1.33</v>
      </c>
      <c r="L48" s="711" t="str">
        <f t="shared" ref="L48:L50" si="73">IF(J48&gt;85,("A"),IF(J48&gt;80,("A-"),IF(J48&gt;75,("B+"),IF(J48&gt;70,("B"),IF(J48&gt;65,("B-"),IF(J48&gt;60,("C+"),IF(J48&gt;55,("C"),IF(J48&gt;50,("C-"),"D+"))))))))</f>
        <v>D+</v>
      </c>
      <c r="M48" s="712" t="str">
        <f t="shared" ref="M48:M50" si="74">IF(J48&gt;80,("SB"),IF(J48&gt;65,("B"),IF(J48&gt;50,("C"),IF(J48&gt;0,("K"),"0"))))</f>
        <v>0</v>
      </c>
      <c r="N48" s="1463"/>
      <c r="O48" s="1464"/>
      <c r="P48" s="1464"/>
      <c r="Q48" s="1464"/>
      <c r="R48" s="1465"/>
      <c r="S48" s="1465"/>
      <c r="T48" s="1465"/>
      <c r="U48" s="1466"/>
      <c r="V48" s="1529"/>
      <c r="W48" s="1530"/>
    </row>
    <row r="49" spans="1:23" ht="24.95" customHeight="1" x14ac:dyDescent="0.25">
      <c r="A49" s="360"/>
      <c r="B49" s="683">
        <v>9</v>
      </c>
      <c r="C49" s="1839"/>
      <c r="D49" s="1893" t="s">
        <v>10</v>
      </c>
      <c r="E49" s="627"/>
      <c r="F49" s="1905">
        <f t="shared" si="69"/>
        <v>0</v>
      </c>
      <c r="G49" s="1891"/>
      <c r="H49" s="627">
        <f>VLOOKUP(B47,REKAP_NILAI,26,FALSE)</f>
        <v>0</v>
      </c>
      <c r="I49" s="709">
        <f t="shared" si="70"/>
        <v>0</v>
      </c>
      <c r="J49" s="710">
        <f t="shared" si="71"/>
        <v>0</v>
      </c>
      <c r="K49" s="711" t="str">
        <f t="shared" si="72"/>
        <v>1.33</v>
      </c>
      <c r="L49" s="711" t="str">
        <f t="shared" si="73"/>
        <v>D+</v>
      </c>
      <c r="M49" s="712" t="str">
        <f t="shared" si="74"/>
        <v>0</v>
      </c>
      <c r="N49" s="1467"/>
      <c r="O49" s="1468"/>
      <c r="P49" s="1468"/>
      <c r="Q49" s="1468"/>
      <c r="R49" s="1469"/>
      <c r="S49" s="1469"/>
      <c r="T49" s="1469"/>
      <c r="U49" s="1470"/>
      <c r="V49" s="1531"/>
      <c r="W49" s="1532"/>
    </row>
    <row r="50" spans="1:23" ht="24.95" customHeight="1" x14ac:dyDescent="0.25">
      <c r="A50" s="360"/>
      <c r="B50" s="683">
        <v>9</v>
      </c>
      <c r="C50" s="1839"/>
      <c r="D50" s="1893" t="s">
        <v>8</v>
      </c>
      <c r="E50" s="627"/>
      <c r="F50" s="1905">
        <f t="shared" si="69"/>
        <v>0</v>
      </c>
      <c r="G50" s="1891"/>
      <c r="H50" s="627">
        <f>VLOOKUP(B47,REKAP_NILAI,27,FALSE)</f>
        <v>0</v>
      </c>
      <c r="I50" s="709">
        <f t="shared" si="70"/>
        <v>0</v>
      </c>
      <c r="J50" s="710">
        <f t="shared" si="71"/>
        <v>0</v>
      </c>
      <c r="K50" s="711" t="str">
        <f t="shared" si="72"/>
        <v>1.33</v>
      </c>
      <c r="L50" s="711" t="str">
        <f t="shared" si="73"/>
        <v>D+</v>
      </c>
      <c r="M50" s="712" t="str">
        <f t="shared" si="74"/>
        <v>0</v>
      </c>
      <c r="N50" s="1467"/>
      <c r="O50" s="1468"/>
      <c r="P50" s="1468"/>
      <c r="Q50" s="1468"/>
      <c r="R50" s="1469"/>
      <c r="S50" s="1469"/>
      <c r="T50" s="1469"/>
      <c r="U50" s="1470"/>
      <c r="V50" s="1533"/>
      <c r="W50" s="1534"/>
    </row>
    <row r="51" spans="1:23" ht="24.95" customHeight="1" x14ac:dyDescent="0.25">
      <c r="A51" s="697"/>
      <c r="B51" s="1360"/>
      <c r="C51" s="635" t="s">
        <v>149</v>
      </c>
      <c r="D51" s="700">
        <v>9</v>
      </c>
      <c r="E51" s="697"/>
      <c r="F51" s="1906"/>
      <c r="G51" s="697"/>
      <c r="H51" s="1189">
        <f>AVERAGE(H47:H50)</f>
        <v>0</v>
      </c>
      <c r="I51" s="705"/>
      <c r="J51" s="713">
        <f>AVERAGE(J47:J50)</f>
        <v>0</v>
      </c>
      <c r="K51" s="714" t="str">
        <f t="shared" ref="K51" si="75">IF(J51&gt;85,("4"),IF(J51&gt;80,("3.66"),IF(J51&gt;75,("3.33"),IF(J51&gt;70,("3.00"),IF(J51&gt;65,("2.66"),IF(J51&gt;60,("2.33"),IF(J51&gt;55,("2"),IF(J51&gt;50,("1.66"),"1.33"))))))))</f>
        <v>1.33</v>
      </c>
      <c r="L51" s="714" t="str">
        <f t="shared" ref="L51" si="76">IF(J51&gt;85,("A"),IF(J51&gt;80,("A-"),IF(J51&gt;75,("B+"),IF(J51&gt;70,("B"),IF(J51&gt;65,("B-"),IF(J51&gt;60,("C+"),IF(J51&gt;55,("C"),IF(J51&gt;50,("C-"),"D+"))))))))</f>
        <v>D+</v>
      </c>
      <c r="M51" s="888" t="str">
        <f t="shared" ref="M51" si="77">IF(J51&gt;80,("SB"),IF(J51&gt;65,("B"),IF(J51&gt;50,("C"),IF(J51&gt;0,("K"),"0"))))</f>
        <v>0</v>
      </c>
      <c r="N51" s="701"/>
      <c r="O51" s="702"/>
      <c r="P51" s="702"/>
      <c r="Q51" s="702"/>
      <c r="R51" s="1155"/>
      <c r="S51" s="1155"/>
      <c r="T51" s="1155"/>
      <c r="U51" s="1162"/>
      <c r="V51" s="1257"/>
      <c r="W51" s="1258"/>
    </row>
    <row r="52" spans="1:23" ht="24.95" customHeight="1" thickBot="1" x14ac:dyDescent="0.3">
      <c r="A52" s="1477">
        <v>10</v>
      </c>
      <c r="B52" s="1326">
        <v>10</v>
      </c>
      <c r="C52" s="1563" t="str">
        <f>VLOOKUP(A52,data_siswa,4,FALSE)</f>
        <v xml:space="preserve">Deco Badarus Zaman </v>
      </c>
      <c r="D52" s="1893" t="s">
        <v>12</v>
      </c>
      <c r="E52" s="627"/>
      <c r="F52" s="1904">
        <f>E52*2</f>
        <v>0</v>
      </c>
      <c r="G52" s="1891"/>
      <c r="H52" s="627">
        <f>VLOOKUP(B52,REKAP_NILAI,24,FALSE)</f>
        <v>0</v>
      </c>
      <c r="I52" s="706">
        <f>F52+G52+H52</f>
        <v>0</v>
      </c>
      <c r="J52" s="707">
        <f>(F52+G52+H52)/4</f>
        <v>0</v>
      </c>
      <c r="K52" s="708" t="str">
        <f>IF(J52&gt;85,("4"),IF(J52&gt;80,("3.66"),IF(J52&gt;75,("3.33"),IF(J52&gt;70,("3.00"),IF(J52&gt;65,("2.66"),IF(J52&gt;60,("2.33"),IF(J52&gt;55,("2"),IF(J52&gt;50,("1.66"),"1.33"))))))))</f>
        <v>1.33</v>
      </c>
      <c r="L52" s="708" t="str">
        <f>IF(J52&gt;85,("A"),IF(J52&gt;80,("A-"),IF(J52&gt;75,("B+"),IF(J52&gt;70,("B"),IF(J52&gt;65,("B-"),IF(J52&gt;60,("C+"),IF(J52&gt;55,("C"),IF(J52&gt;50,("C-"),"D+"))))))))</f>
        <v>D+</v>
      </c>
      <c r="M52" s="887" t="str">
        <f>IF(J52&gt;80,("SB"),IF(J52&gt;65,("B"),IF(J52&gt;50,("C"),IF(J52&gt;0,("K"),"0"))))</f>
        <v>0</v>
      </c>
      <c r="N52" s="1474"/>
      <c r="O52" s="1474"/>
      <c r="P52" s="1474"/>
      <c r="Q52" s="1474"/>
      <c r="R52" s="1475"/>
      <c r="S52" s="1476"/>
      <c r="T52" s="1476"/>
      <c r="U52" s="1476"/>
      <c r="V52" s="1057">
        <f>AVERAGE(J52:J55)</f>
        <v>0</v>
      </c>
      <c r="W52" s="1194" t="str">
        <f>IF(V52&gt;85,("A"),IF(V52&gt;80,("A-"),IF(V52&gt;75,("B+"),IF(V52&gt;70,("B"),IF(V52&gt;65,("B-"),IF(V52&gt;60,("C+"),IF(V52&gt;55,("C"),IF(V52&gt;50,("C-"),"D+"))))))))</f>
        <v>D+</v>
      </c>
    </row>
    <row r="53" spans="1:23" ht="24.95" customHeight="1" x14ac:dyDescent="0.25">
      <c r="A53" s="1478"/>
      <c r="B53" s="683">
        <v>10</v>
      </c>
      <c r="C53" s="1545"/>
      <c r="D53" s="1893" t="s">
        <v>7</v>
      </c>
      <c r="E53" s="627"/>
      <c r="F53" s="1905">
        <f t="shared" ref="F53:F55" si="78">E53*2</f>
        <v>0</v>
      </c>
      <c r="G53" s="1891"/>
      <c r="H53" s="627">
        <f>VLOOKUP(B52,REKAP_NILAI,25,FALSE)</f>
        <v>0</v>
      </c>
      <c r="I53" s="709">
        <f t="shared" ref="I53:I55" si="79">F53+G53+H53</f>
        <v>0</v>
      </c>
      <c r="J53" s="710">
        <f t="shared" ref="J53:J55" si="80">(F53+G53+H53)/4</f>
        <v>0</v>
      </c>
      <c r="K53" s="711" t="str">
        <f t="shared" ref="K53:K55" si="81">IF(J53&gt;85,("4"),IF(J53&gt;80,("3.66"),IF(J53&gt;75,("3.33"),IF(J53&gt;70,("3.00"),IF(J53&gt;65,("2.66"),IF(J53&gt;60,("2.33"),IF(J53&gt;55,("2"),IF(J53&gt;50,("1.66"),"1.33"))))))))</f>
        <v>1.33</v>
      </c>
      <c r="L53" s="711" t="str">
        <f t="shared" ref="L53:L55" si="82">IF(J53&gt;85,("A"),IF(J53&gt;80,("A-"),IF(J53&gt;75,("B+"),IF(J53&gt;70,("B"),IF(J53&gt;65,("B-"),IF(J53&gt;60,("C+"),IF(J53&gt;55,("C"),IF(J53&gt;50,("C-"),"D+"))))))))</f>
        <v>D+</v>
      </c>
      <c r="M53" s="712" t="str">
        <f t="shared" ref="M53:M55" si="83">IF(J53&gt;80,("SB"),IF(J53&gt;65,("B"),IF(J53&gt;50,("C"),IF(J53&gt;0,("K"),"0"))))</f>
        <v>0</v>
      </c>
      <c r="N53" s="1463"/>
      <c r="O53" s="1464"/>
      <c r="P53" s="1464"/>
      <c r="Q53" s="1464"/>
      <c r="R53" s="1465"/>
      <c r="S53" s="1465"/>
      <c r="T53" s="1465"/>
      <c r="U53" s="1466"/>
      <c r="V53" s="1529"/>
      <c r="W53" s="1530"/>
    </row>
    <row r="54" spans="1:23" ht="24.95" customHeight="1" x14ac:dyDescent="0.25">
      <c r="A54" s="1478"/>
      <c r="B54" s="683">
        <v>10</v>
      </c>
      <c r="C54" s="1545"/>
      <c r="D54" s="1893" t="s">
        <v>10</v>
      </c>
      <c r="E54" s="627"/>
      <c r="F54" s="1905">
        <f t="shared" si="78"/>
        <v>0</v>
      </c>
      <c r="G54" s="1891"/>
      <c r="H54" s="627">
        <f>VLOOKUP(B52,REKAP_NILAI,26,FALSE)</f>
        <v>0</v>
      </c>
      <c r="I54" s="709">
        <f t="shared" si="79"/>
        <v>0</v>
      </c>
      <c r="J54" s="710">
        <f t="shared" si="80"/>
        <v>0</v>
      </c>
      <c r="K54" s="711" t="str">
        <f t="shared" si="81"/>
        <v>1.33</v>
      </c>
      <c r="L54" s="711" t="str">
        <f t="shared" si="82"/>
        <v>D+</v>
      </c>
      <c r="M54" s="712" t="str">
        <f t="shared" si="83"/>
        <v>0</v>
      </c>
      <c r="N54" s="1467"/>
      <c r="O54" s="1468"/>
      <c r="P54" s="1468"/>
      <c r="Q54" s="1468"/>
      <c r="R54" s="1469"/>
      <c r="S54" s="1469"/>
      <c r="T54" s="1469"/>
      <c r="U54" s="1470"/>
      <c r="V54" s="1531"/>
      <c r="W54" s="1532"/>
    </row>
    <row r="55" spans="1:23" ht="24.95" customHeight="1" x14ac:dyDescent="0.25">
      <c r="A55" s="1478"/>
      <c r="B55" s="683">
        <v>10</v>
      </c>
      <c r="C55" s="1545"/>
      <c r="D55" s="1893" t="s">
        <v>8</v>
      </c>
      <c r="E55" s="627"/>
      <c r="F55" s="1905">
        <f t="shared" si="78"/>
        <v>0</v>
      </c>
      <c r="G55" s="1891"/>
      <c r="H55" s="627">
        <f>VLOOKUP(B52,REKAP_NILAI,27,FALSE)</f>
        <v>0</v>
      </c>
      <c r="I55" s="709">
        <f t="shared" si="79"/>
        <v>0</v>
      </c>
      <c r="J55" s="710">
        <f t="shared" si="80"/>
        <v>0</v>
      </c>
      <c r="K55" s="711" t="str">
        <f t="shared" si="81"/>
        <v>1.33</v>
      </c>
      <c r="L55" s="711" t="str">
        <f t="shared" si="82"/>
        <v>D+</v>
      </c>
      <c r="M55" s="712" t="str">
        <f t="shared" si="83"/>
        <v>0</v>
      </c>
      <c r="N55" s="1467"/>
      <c r="O55" s="1468"/>
      <c r="P55" s="1468"/>
      <c r="Q55" s="1468"/>
      <c r="R55" s="1469"/>
      <c r="S55" s="1469"/>
      <c r="T55" s="1469"/>
      <c r="U55" s="1470"/>
      <c r="V55" s="1533"/>
      <c r="W55" s="1534"/>
    </row>
    <row r="56" spans="1:23" ht="24.95" customHeight="1" x14ac:dyDescent="0.25">
      <c r="A56" s="697"/>
      <c r="B56" s="1479"/>
      <c r="C56" s="635" t="s">
        <v>149</v>
      </c>
      <c r="D56" s="700">
        <v>10</v>
      </c>
      <c r="E56" s="697"/>
      <c r="F56" s="1906"/>
      <c r="G56" s="697"/>
      <c r="H56" s="1189">
        <f>AVERAGE(H52:H55)</f>
        <v>0</v>
      </c>
      <c r="I56" s="705"/>
      <c r="J56" s="713">
        <f>AVERAGE(J52:J55)</f>
        <v>0</v>
      </c>
      <c r="K56" s="714" t="str">
        <f t="shared" ref="K56" si="84">IF(J56&gt;85,("4"),IF(J56&gt;80,("3.66"),IF(J56&gt;75,("3.33"),IF(J56&gt;70,("3.00"),IF(J56&gt;65,("2.66"),IF(J56&gt;60,("2.33"),IF(J56&gt;55,("2"),IF(J56&gt;50,("1.66"),"1.33"))))))))</f>
        <v>1.33</v>
      </c>
      <c r="L56" s="714" t="str">
        <f t="shared" ref="L56" si="85">IF(J56&gt;85,("A"),IF(J56&gt;80,("A-"),IF(J56&gt;75,("B+"),IF(J56&gt;70,("B"),IF(J56&gt;65,("B-"),IF(J56&gt;60,("C+"),IF(J56&gt;55,("C"),IF(J56&gt;50,("C-"),"D+"))))))))</f>
        <v>D+</v>
      </c>
      <c r="M56" s="888" t="str">
        <f t="shared" ref="M56" si="86">IF(J56&gt;80,("SB"),IF(J56&gt;65,("B"),IF(J56&gt;50,("C"),IF(J56&gt;0,("K"),"0"))))</f>
        <v>0</v>
      </c>
      <c r="N56" s="701"/>
      <c r="O56" s="702"/>
      <c r="P56" s="702"/>
      <c r="Q56" s="702"/>
      <c r="R56" s="1155"/>
      <c r="S56" s="1155"/>
      <c r="T56" s="1155"/>
      <c r="U56" s="1162"/>
      <c r="V56" s="1257"/>
      <c r="W56" s="1258"/>
    </row>
    <row r="57" spans="1:23" ht="24.95" customHeight="1" thickBot="1" x14ac:dyDescent="0.3">
      <c r="A57" s="360">
        <v>11</v>
      </c>
      <c r="B57" s="683">
        <v>11</v>
      </c>
      <c r="C57" s="1838" t="str">
        <f>VLOOKUP(A57,data_siswa,4,FALSE)</f>
        <v>Fania Mutiara Felichia</v>
      </c>
      <c r="D57" s="1893" t="s">
        <v>12</v>
      </c>
      <c r="E57" s="627"/>
      <c r="F57" s="1904">
        <f>E57*2</f>
        <v>0</v>
      </c>
      <c r="G57" s="1891"/>
      <c r="H57" s="627">
        <f>VLOOKUP(B57,REKAP_NILAI,24,FALSE)</f>
        <v>0</v>
      </c>
      <c r="I57" s="706">
        <f>F57+G57+H57</f>
        <v>0</v>
      </c>
      <c r="J57" s="707">
        <f>(F57+G57+H57)/4</f>
        <v>0</v>
      </c>
      <c r="K57" s="708" t="str">
        <f>IF(J57&gt;85,("4"),IF(J57&gt;80,("3.66"),IF(J57&gt;75,("3.33"),IF(J57&gt;70,("3.00"),IF(J57&gt;65,("2.66"),IF(J57&gt;60,("2.33"),IF(J57&gt;55,("2"),IF(J57&gt;50,("1.66"),"1.33"))))))))</f>
        <v>1.33</v>
      </c>
      <c r="L57" s="708" t="str">
        <f>IF(J57&gt;85,("A"),IF(J57&gt;80,("A-"),IF(J57&gt;75,("B+"),IF(J57&gt;70,("B"),IF(J57&gt;65,("B-"),IF(J57&gt;60,("C+"),IF(J57&gt;55,("C"),IF(J57&gt;50,("C-"),"D+"))))))))</f>
        <v>D+</v>
      </c>
      <c r="M57" s="887" t="str">
        <f>IF(J57&gt;80,("SB"),IF(J57&gt;65,("B"),IF(J57&gt;50,("C"),IF(J57&gt;0,("K"),"0"))))</f>
        <v>0</v>
      </c>
      <c r="N57" s="1471"/>
      <c r="O57" s="1471"/>
      <c r="P57" s="1471"/>
      <c r="Q57" s="1471"/>
      <c r="R57" s="1472"/>
      <c r="S57" s="1473"/>
      <c r="T57" s="1473"/>
      <c r="U57" s="1473"/>
      <c r="V57" s="1057">
        <f>AVERAGE(J57:J60)</f>
        <v>0</v>
      </c>
      <c r="W57" s="1194" t="str">
        <f>IF(V57&gt;85,("A"),IF(V57&gt;80,("A-"),IF(V57&gt;75,("B+"),IF(V57&gt;70,("B"),IF(V57&gt;65,("B-"),IF(V57&gt;60,("C+"),IF(V57&gt;55,("C"),IF(V57&gt;50,("C-"),"D+"))))))))</f>
        <v>D+</v>
      </c>
    </row>
    <row r="58" spans="1:23" ht="24.95" customHeight="1" x14ac:dyDescent="0.25">
      <c r="A58" s="360"/>
      <c r="B58" s="683">
        <v>11</v>
      </c>
      <c r="C58" s="1839"/>
      <c r="D58" s="1893" t="s">
        <v>7</v>
      </c>
      <c r="E58" s="627"/>
      <c r="F58" s="1905">
        <f t="shared" ref="F58:F60" si="87">E58*2</f>
        <v>0</v>
      </c>
      <c r="G58" s="1891"/>
      <c r="H58" s="627">
        <f>VLOOKUP(B57,REKAP_NILAI,25,FALSE)</f>
        <v>0</v>
      </c>
      <c r="I58" s="709">
        <f t="shared" ref="I58:I60" si="88">F58+G58+H58</f>
        <v>0</v>
      </c>
      <c r="J58" s="710">
        <f t="shared" ref="J58:J60" si="89">(F58+G58+H58)/4</f>
        <v>0</v>
      </c>
      <c r="K58" s="711" t="str">
        <f t="shared" ref="K58:K61" si="90">IF(J58&gt;85,("4"),IF(J58&gt;80,("3.66"),IF(J58&gt;75,("3.33"),IF(J58&gt;70,("3.00"),IF(J58&gt;65,("2.66"),IF(J58&gt;60,("2.33"),IF(J58&gt;55,("2"),IF(J58&gt;50,("1.66"),"1.33"))))))))</f>
        <v>1.33</v>
      </c>
      <c r="L58" s="711" t="str">
        <f t="shared" ref="L58:L61" si="91">IF(J58&gt;85,("A"),IF(J58&gt;80,("A-"),IF(J58&gt;75,("B+"),IF(J58&gt;70,("B"),IF(J58&gt;65,("B-"),IF(J58&gt;60,("C+"),IF(J58&gt;55,("C"),IF(J58&gt;50,("C-"),"D+"))))))))</f>
        <v>D+</v>
      </c>
      <c r="M58" s="712" t="str">
        <f t="shared" ref="M58:M61" si="92">IF(J58&gt;80,("SB"),IF(J58&gt;65,("B"),IF(J58&gt;50,("C"),IF(J58&gt;0,("K"),"0"))))</f>
        <v>0</v>
      </c>
      <c r="N58" s="1463"/>
      <c r="O58" s="1464"/>
      <c r="P58" s="1464"/>
      <c r="Q58" s="1464"/>
      <c r="R58" s="1465"/>
      <c r="S58" s="1465"/>
      <c r="T58" s="1465"/>
      <c r="U58" s="1466"/>
      <c r="V58" s="1529"/>
      <c r="W58" s="1530"/>
    </row>
    <row r="59" spans="1:23" ht="24.95" customHeight="1" x14ac:dyDescent="0.25">
      <c r="A59" s="360"/>
      <c r="B59" s="683">
        <v>11</v>
      </c>
      <c r="C59" s="1839"/>
      <c r="D59" s="1893" t="s">
        <v>10</v>
      </c>
      <c r="E59" s="627"/>
      <c r="F59" s="1905">
        <f t="shared" si="87"/>
        <v>0</v>
      </c>
      <c r="G59" s="1891"/>
      <c r="H59" s="627">
        <f>VLOOKUP(B57,REKAP_NILAI,26,FALSE)</f>
        <v>0</v>
      </c>
      <c r="I59" s="709">
        <f t="shared" si="88"/>
        <v>0</v>
      </c>
      <c r="J59" s="710">
        <f t="shared" si="89"/>
        <v>0</v>
      </c>
      <c r="K59" s="711" t="str">
        <f t="shared" si="90"/>
        <v>1.33</v>
      </c>
      <c r="L59" s="711" t="str">
        <f t="shared" si="91"/>
        <v>D+</v>
      </c>
      <c r="M59" s="712" t="str">
        <f t="shared" si="92"/>
        <v>0</v>
      </c>
      <c r="N59" s="1467"/>
      <c r="O59" s="1468"/>
      <c r="P59" s="1468"/>
      <c r="Q59" s="1468"/>
      <c r="R59" s="1469"/>
      <c r="S59" s="1469"/>
      <c r="T59" s="1469"/>
      <c r="U59" s="1470"/>
      <c r="V59" s="1531"/>
      <c r="W59" s="1532"/>
    </row>
    <row r="60" spans="1:23" ht="24.95" customHeight="1" x14ac:dyDescent="0.25">
      <c r="A60" s="360"/>
      <c r="B60" s="683">
        <v>11</v>
      </c>
      <c r="C60" s="1839"/>
      <c r="D60" s="1893" t="s">
        <v>8</v>
      </c>
      <c r="E60" s="627"/>
      <c r="F60" s="1905">
        <f t="shared" si="87"/>
        <v>0</v>
      </c>
      <c r="G60" s="1891"/>
      <c r="H60" s="627">
        <f>VLOOKUP(B57,REKAP_NILAI,27,FALSE)</f>
        <v>0</v>
      </c>
      <c r="I60" s="709">
        <f t="shared" si="88"/>
        <v>0</v>
      </c>
      <c r="J60" s="710">
        <f t="shared" si="89"/>
        <v>0</v>
      </c>
      <c r="K60" s="711" t="str">
        <f t="shared" si="90"/>
        <v>1.33</v>
      </c>
      <c r="L60" s="711" t="str">
        <f t="shared" si="91"/>
        <v>D+</v>
      </c>
      <c r="M60" s="712" t="str">
        <f t="shared" si="92"/>
        <v>0</v>
      </c>
      <c r="N60" s="1467"/>
      <c r="O60" s="1468"/>
      <c r="P60" s="1468"/>
      <c r="Q60" s="1468"/>
      <c r="R60" s="1469"/>
      <c r="S60" s="1469"/>
      <c r="T60" s="1469"/>
      <c r="U60" s="1470"/>
      <c r="V60" s="1533"/>
      <c r="W60" s="1534"/>
    </row>
    <row r="61" spans="1:23" ht="24.95" customHeight="1" x14ac:dyDescent="0.25">
      <c r="A61" s="697"/>
      <c r="B61" s="698"/>
      <c r="C61" s="635" t="s">
        <v>149</v>
      </c>
      <c r="D61" s="700">
        <v>11</v>
      </c>
      <c r="E61" s="697"/>
      <c r="F61" s="1906"/>
      <c r="G61" s="697"/>
      <c r="H61" s="1189">
        <f>AVERAGE(H57:H60)</f>
        <v>0</v>
      </c>
      <c r="I61" s="705"/>
      <c r="J61" s="713">
        <f>AVERAGE(J57:J60)</f>
        <v>0</v>
      </c>
      <c r="K61" s="714" t="str">
        <f t="shared" si="90"/>
        <v>1.33</v>
      </c>
      <c r="L61" s="714" t="str">
        <f t="shared" si="91"/>
        <v>D+</v>
      </c>
      <c r="M61" s="888" t="str">
        <f t="shared" si="92"/>
        <v>0</v>
      </c>
      <c r="N61" s="701"/>
      <c r="O61" s="702"/>
      <c r="P61" s="702"/>
      <c r="Q61" s="702"/>
      <c r="R61" s="1155"/>
      <c r="S61" s="1155"/>
      <c r="T61" s="1155"/>
      <c r="U61" s="1162"/>
      <c r="V61" s="1257"/>
      <c r="W61" s="1258"/>
    </row>
    <row r="62" spans="1:23" ht="24.95" customHeight="1" thickBot="1" x14ac:dyDescent="0.3">
      <c r="A62" s="360">
        <v>12</v>
      </c>
      <c r="B62" s="683">
        <v>12</v>
      </c>
      <c r="C62" s="1838" t="str">
        <f>VLOOKUP(A62,data_siswa,4,FALSE)</f>
        <v>Intan Dyah Nowari</v>
      </c>
      <c r="D62" s="1893" t="s">
        <v>12</v>
      </c>
      <c r="E62" s="627"/>
      <c r="F62" s="1904">
        <f>E62*2</f>
        <v>0</v>
      </c>
      <c r="G62" s="1891"/>
      <c r="H62" s="627">
        <f>VLOOKUP(B62,REKAP_NILAI,24,FALSE)</f>
        <v>0</v>
      </c>
      <c r="I62" s="706">
        <f>F62+G62+H62</f>
        <v>0</v>
      </c>
      <c r="J62" s="707">
        <f>(F62+G62+H62)/4</f>
        <v>0</v>
      </c>
      <c r="K62" s="708" t="str">
        <f>IF(J62&gt;85,("4"),IF(J62&gt;80,("3.66"),IF(J62&gt;75,("3.33"),IF(J62&gt;70,("3.00"),IF(J62&gt;65,("2.66"),IF(J62&gt;60,("2.33"),IF(J62&gt;55,("2"),IF(J62&gt;50,("1.66"),"1.33"))))))))</f>
        <v>1.33</v>
      </c>
      <c r="L62" s="708" t="str">
        <f>IF(J62&gt;85,("A"),IF(J62&gt;80,("A-"),IF(J62&gt;75,("B+"),IF(J62&gt;70,("B"),IF(J62&gt;65,("B-"),IF(J62&gt;60,("C+"),IF(J62&gt;55,("C"),IF(J62&gt;50,("C-"),"D+"))))))))</f>
        <v>D+</v>
      </c>
      <c r="M62" s="887" t="str">
        <f>IF(J62&gt;80,("SB"),IF(J62&gt;65,("B"),IF(J62&gt;50,("C"),IF(J62&gt;0,("K"),"0"))))</f>
        <v>0</v>
      </c>
      <c r="N62" s="1471"/>
      <c r="O62" s="1471"/>
      <c r="P62" s="1471"/>
      <c r="Q62" s="1471"/>
      <c r="R62" s="1472"/>
      <c r="S62" s="1473"/>
      <c r="T62" s="1473"/>
      <c r="U62" s="1473"/>
      <c r="V62" s="1057">
        <f>AVERAGE(J62:J65)</f>
        <v>0</v>
      </c>
      <c r="W62" s="1194" t="str">
        <f>IF(V62&gt;85,("A"),IF(V62&gt;80,("A-"),IF(V62&gt;75,("B+"),IF(V62&gt;70,("B"),IF(V62&gt;65,("B-"),IF(V62&gt;60,("C+"),IF(V62&gt;55,("C"),IF(V62&gt;50,("C-"),"D+"))))))))</f>
        <v>D+</v>
      </c>
    </row>
    <row r="63" spans="1:23" ht="24.95" customHeight="1" x14ac:dyDescent="0.25">
      <c r="A63" s="360"/>
      <c r="B63" s="683">
        <v>12</v>
      </c>
      <c r="C63" s="1839"/>
      <c r="D63" s="1893" t="s">
        <v>7</v>
      </c>
      <c r="E63" s="627"/>
      <c r="F63" s="1905">
        <f t="shared" ref="F63:F65" si="93">E63*2</f>
        <v>0</v>
      </c>
      <c r="G63" s="1891"/>
      <c r="H63" s="627">
        <f>VLOOKUP(B62,REKAP_NILAI,25,FALSE)</f>
        <v>0</v>
      </c>
      <c r="I63" s="709">
        <f t="shared" ref="I63:I65" si="94">F63+G63+H63</f>
        <v>0</v>
      </c>
      <c r="J63" s="710">
        <f t="shared" ref="J63:J65" si="95">(F63+G63+H63)/4</f>
        <v>0</v>
      </c>
      <c r="K63" s="711" t="str">
        <f t="shared" ref="K63:K66" si="96">IF(J63&gt;85,("4"),IF(J63&gt;80,("3.66"),IF(J63&gt;75,("3.33"),IF(J63&gt;70,("3.00"),IF(J63&gt;65,("2.66"),IF(J63&gt;60,("2.33"),IF(J63&gt;55,("2"),IF(J63&gt;50,("1.66"),"1.33"))))))))</f>
        <v>1.33</v>
      </c>
      <c r="L63" s="711" t="str">
        <f t="shared" ref="L63:L66" si="97">IF(J63&gt;85,("A"),IF(J63&gt;80,("A-"),IF(J63&gt;75,("B+"),IF(J63&gt;70,("B"),IF(J63&gt;65,("B-"),IF(J63&gt;60,("C+"),IF(J63&gt;55,("C"),IF(J63&gt;50,("C-"),"D+"))))))))</f>
        <v>D+</v>
      </c>
      <c r="M63" s="712" t="str">
        <f t="shared" ref="M63:M66" si="98">IF(J63&gt;80,("SB"),IF(J63&gt;65,("B"),IF(J63&gt;50,("C"),IF(J63&gt;0,("K"),"0"))))</f>
        <v>0</v>
      </c>
      <c r="N63" s="1463"/>
      <c r="O63" s="1464"/>
      <c r="P63" s="1464"/>
      <c r="Q63" s="1464"/>
      <c r="R63" s="1465"/>
      <c r="S63" s="1465"/>
      <c r="T63" s="1465"/>
      <c r="U63" s="1466"/>
      <c r="V63" s="1529"/>
      <c r="W63" s="1530"/>
    </row>
    <row r="64" spans="1:23" ht="24.95" customHeight="1" x14ac:dyDescent="0.25">
      <c r="A64" s="360"/>
      <c r="B64" s="683">
        <v>12</v>
      </c>
      <c r="C64" s="1839"/>
      <c r="D64" s="1893" t="s">
        <v>10</v>
      </c>
      <c r="E64" s="627"/>
      <c r="F64" s="1905">
        <f t="shared" si="93"/>
        <v>0</v>
      </c>
      <c r="G64" s="1891"/>
      <c r="H64" s="627">
        <f>VLOOKUP(B62,REKAP_NILAI,26,FALSE)</f>
        <v>0</v>
      </c>
      <c r="I64" s="709">
        <f t="shared" si="94"/>
        <v>0</v>
      </c>
      <c r="J64" s="710">
        <f t="shared" si="95"/>
        <v>0</v>
      </c>
      <c r="K64" s="711" t="str">
        <f t="shared" si="96"/>
        <v>1.33</v>
      </c>
      <c r="L64" s="711" t="str">
        <f t="shared" si="97"/>
        <v>D+</v>
      </c>
      <c r="M64" s="712" t="str">
        <f t="shared" si="98"/>
        <v>0</v>
      </c>
      <c r="N64" s="1467"/>
      <c r="O64" s="1468"/>
      <c r="P64" s="1468"/>
      <c r="Q64" s="1468"/>
      <c r="R64" s="1469"/>
      <c r="S64" s="1469"/>
      <c r="T64" s="1469"/>
      <c r="U64" s="1470"/>
      <c r="V64" s="1531"/>
      <c r="W64" s="1532"/>
    </row>
    <row r="65" spans="1:23" ht="24.95" customHeight="1" x14ac:dyDescent="0.25">
      <c r="A65" s="360"/>
      <c r="B65" s="683">
        <v>12</v>
      </c>
      <c r="C65" s="1839"/>
      <c r="D65" s="1893" t="s">
        <v>8</v>
      </c>
      <c r="E65" s="627"/>
      <c r="F65" s="1905">
        <f t="shared" si="93"/>
        <v>0</v>
      </c>
      <c r="G65" s="1891"/>
      <c r="H65" s="627">
        <f>VLOOKUP(B62,REKAP_NILAI,27,FALSE)</f>
        <v>0</v>
      </c>
      <c r="I65" s="709">
        <f t="shared" si="94"/>
        <v>0</v>
      </c>
      <c r="J65" s="710">
        <f t="shared" si="95"/>
        <v>0</v>
      </c>
      <c r="K65" s="711" t="str">
        <f t="shared" si="96"/>
        <v>1.33</v>
      </c>
      <c r="L65" s="711" t="str">
        <f t="shared" si="97"/>
        <v>D+</v>
      </c>
      <c r="M65" s="712" t="str">
        <f t="shared" si="98"/>
        <v>0</v>
      </c>
      <c r="N65" s="1467"/>
      <c r="O65" s="1468"/>
      <c r="P65" s="1468"/>
      <c r="Q65" s="1468"/>
      <c r="R65" s="1469"/>
      <c r="S65" s="1469"/>
      <c r="T65" s="1469"/>
      <c r="U65" s="1470"/>
      <c r="V65" s="1533"/>
      <c r="W65" s="1534"/>
    </row>
    <row r="66" spans="1:23" ht="24.95" customHeight="1" x14ac:dyDescent="0.25">
      <c r="A66" s="697"/>
      <c r="B66" s="698"/>
      <c r="C66" s="635" t="s">
        <v>149</v>
      </c>
      <c r="D66" s="700">
        <v>12</v>
      </c>
      <c r="E66" s="697"/>
      <c r="F66" s="1906"/>
      <c r="G66" s="697"/>
      <c r="H66" s="1189">
        <f>AVERAGE(H62:H65)</f>
        <v>0</v>
      </c>
      <c r="I66" s="705"/>
      <c r="J66" s="713">
        <f>AVERAGE(J62:J65)</f>
        <v>0</v>
      </c>
      <c r="K66" s="714" t="str">
        <f t="shared" si="96"/>
        <v>1.33</v>
      </c>
      <c r="L66" s="714" t="str">
        <f t="shared" si="97"/>
        <v>D+</v>
      </c>
      <c r="M66" s="888" t="str">
        <f t="shared" si="98"/>
        <v>0</v>
      </c>
      <c r="N66" s="701"/>
      <c r="O66" s="702"/>
      <c r="P66" s="702"/>
      <c r="Q66" s="702"/>
      <c r="R66" s="1155"/>
      <c r="S66" s="1155"/>
      <c r="T66" s="1155"/>
      <c r="U66" s="1162"/>
      <c r="V66" s="1257"/>
      <c r="W66" s="1258"/>
    </row>
    <row r="67" spans="1:23" ht="24.95" customHeight="1" thickBot="1" x14ac:dyDescent="0.3">
      <c r="A67" s="360">
        <v>13</v>
      </c>
      <c r="B67" s="683">
        <v>13</v>
      </c>
      <c r="C67" s="1838" t="str">
        <f>VLOOKUP(A67,data_siswa,4,FALSE)</f>
        <v>Misyanita Nurfitri S</v>
      </c>
      <c r="D67" s="1893" t="s">
        <v>12</v>
      </c>
      <c r="E67" s="627"/>
      <c r="F67" s="1904">
        <f>E67*2</f>
        <v>0</v>
      </c>
      <c r="G67" s="1891"/>
      <c r="H67" s="627">
        <f>VLOOKUP(B67,REKAP_NILAI,24,FALSE)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887" t="str">
        <f>IF(J67&gt;80,("SB"),IF(J67&gt;65,("B"),IF(J67&gt;50,("C"),IF(J67&gt;0,("K"),"0"))))</f>
        <v>0</v>
      </c>
      <c r="N67" s="1471"/>
      <c r="O67" s="1471"/>
      <c r="P67" s="1471"/>
      <c r="Q67" s="1471"/>
      <c r="R67" s="1472"/>
      <c r="S67" s="1473"/>
      <c r="T67" s="1473"/>
      <c r="U67" s="1473"/>
      <c r="V67" s="1057">
        <f>AVERAGE(J67:J70)</f>
        <v>0</v>
      </c>
      <c r="W67" s="1194" t="str">
        <f>IF(V67&gt;85,("A"),IF(V67&gt;80,("A-"),IF(V67&gt;75,("B+"),IF(V67&gt;70,("B"),IF(V67&gt;65,("B-"),IF(V67&gt;60,("C+"),IF(V67&gt;55,("C"),IF(V67&gt;50,("C-"),"D+"))))))))</f>
        <v>D+</v>
      </c>
    </row>
    <row r="68" spans="1:23" ht="24.95" customHeight="1" x14ac:dyDescent="0.25">
      <c r="A68" s="360"/>
      <c r="B68" s="683">
        <v>13</v>
      </c>
      <c r="C68" s="1839"/>
      <c r="D68" s="1893" t="s">
        <v>7</v>
      </c>
      <c r="E68" s="627"/>
      <c r="F68" s="1905">
        <f t="shared" ref="F68:F70" si="99">E68*2</f>
        <v>0</v>
      </c>
      <c r="G68" s="1891"/>
      <c r="H68" s="627">
        <f>VLOOKUP(B67,REKAP_NILAI,25,FALSE)</f>
        <v>0</v>
      </c>
      <c r="I68" s="709">
        <f t="shared" ref="I68:I70" si="100">F68+G68+H68</f>
        <v>0</v>
      </c>
      <c r="J68" s="710">
        <f t="shared" ref="J68:J70" si="101">(F68+G68+H68)/4</f>
        <v>0</v>
      </c>
      <c r="K68" s="711" t="str">
        <f t="shared" ref="K68:K71" si="102">IF(J68&gt;85,("4"),IF(J68&gt;80,("3.66"),IF(J68&gt;75,("3.33"),IF(J68&gt;70,("3.00"),IF(J68&gt;65,("2.66"),IF(J68&gt;60,("2.33"),IF(J68&gt;55,("2"),IF(J68&gt;50,("1.66"),"1.33"))))))))</f>
        <v>1.33</v>
      </c>
      <c r="L68" s="711" t="str">
        <f t="shared" ref="L68:L71" si="103">IF(J68&gt;85,("A"),IF(J68&gt;80,("A-"),IF(J68&gt;75,("B+"),IF(J68&gt;70,("B"),IF(J68&gt;65,("B-"),IF(J68&gt;60,("C+"),IF(J68&gt;55,("C"),IF(J68&gt;50,("C-"),"D+"))))))))</f>
        <v>D+</v>
      </c>
      <c r="M68" s="712" t="str">
        <f t="shared" ref="M68:M71" si="104">IF(J68&gt;80,("SB"),IF(J68&gt;65,("B"),IF(J68&gt;50,("C"),IF(J68&gt;0,("K"),"0"))))</f>
        <v>0</v>
      </c>
      <c r="N68" s="1463"/>
      <c r="O68" s="1464"/>
      <c r="P68" s="1464"/>
      <c r="Q68" s="1464"/>
      <c r="R68" s="1465"/>
      <c r="S68" s="1465"/>
      <c r="T68" s="1465"/>
      <c r="U68" s="1466"/>
      <c r="V68" s="1529"/>
      <c r="W68" s="1530"/>
    </row>
    <row r="69" spans="1:23" ht="24.95" customHeight="1" x14ac:dyDescent="0.25">
      <c r="A69" s="360"/>
      <c r="B69" s="683">
        <v>13</v>
      </c>
      <c r="C69" s="1839"/>
      <c r="D69" s="1893" t="s">
        <v>10</v>
      </c>
      <c r="E69" s="627"/>
      <c r="F69" s="1905">
        <f t="shared" si="99"/>
        <v>0</v>
      </c>
      <c r="G69" s="1891"/>
      <c r="H69" s="627">
        <f>VLOOKUP(B67,REKAP_NILAI,26,FALSE)</f>
        <v>0</v>
      </c>
      <c r="I69" s="709">
        <f t="shared" si="100"/>
        <v>0</v>
      </c>
      <c r="J69" s="710">
        <f t="shared" si="101"/>
        <v>0</v>
      </c>
      <c r="K69" s="711" t="str">
        <f t="shared" si="102"/>
        <v>1.33</v>
      </c>
      <c r="L69" s="711" t="str">
        <f t="shared" si="103"/>
        <v>D+</v>
      </c>
      <c r="M69" s="712" t="str">
        <f t="shared" si="104"/>
        <v>0</v>
      </c>
      <c r="N69" s="1467"/>
      <c r="O69" s="1468"/>
      <c r="P69" s="1468"/>
      <c r="Q69" s="1468"/>
      <c r="R69" s="1469"/>
      <c r="S69" s="1469"/>
      <c r="T69" s="1469"/>
      <c r="U69" s="1470"/>
      <c r="V69" s="1531"/>
      <c r="W69" s="1532"/>
    </row>
    <row r="70" spans="1:23" ht="24.95" customHeight="1" x14ac:dyDescent="0.25">
      <c r="A70" s="360"/>
      <c r="B70" s="683">
        <v>13</v>
      </c>
      <c r="C70" s="1839"/>
      <c r="D70" s="1893" t="s">
        <v>8</v>
      </c>
      <c r="E70" s="627"/>
      <c r="F70" s="1905">
        <f t="shared" si="99"/>
        <v>0</v>
      </c>
      <c r="G70" s="1891"/>
      <c r="H70" s="627">
        <f>VLOOKUP(B67,REKAP_NILAI,27,FALSE)</f>
        <v>0</v>
      </c>
      <c r="I70" s="709">
        <f t="shared" si="100"/>
        <v>0</v>
      </c>
      <c r="J70" s="710">
        <f t="shared" si="101"/>
        <v>0</v>
      </c>
      <c r="K70" s="711" t="str">
        <f t="shared" si="102"/>
        <v>1.33</v>
      </c>
      <c r="L70" s="711" t="str">
        <f t="shared" si="103"/>
        <v>D+</v>
      </c>
      <c r="M70" s="712" t="str">
        <f t="shared" si="104"/>
        <v>0</v>
      </c>
      <c r="N70" s="1467"/>
      <c r="O70" s="1468"/>
      <c r="P70" s="1468"/>
      <c r="Q70" s="1468"/>
      <c r="R70" s="1469"/>
      <c r="S70" s="1469"/>
      <c r="T70" s="1469"/>
      <c r="U70" s="1470"/>
      <c r="V70" s="1533"/>
      <c r="W70" s="1534"/>
    </row>
    <row r="71" spans="1:23" ht="24.95" customHeight="1" x14ac:dyDescent="0.25">
      <c r="A71" s="697"/>
      <c r="B71" s="698"/>
      <c r="C71" s="635" t="s">
        <v>149</v>
      </c>
      <c r="D71" s="700">
        <v>13</v>
      </c>
      <c r="E71" s="697"/>
      <c r="F71" s="1906"/>
      <c r="G71" s="697"/>
      <c r="H71" s="1189">
        <f>AVERAGE(H67:H70)</f>
        <v>0</v>
      </c>
      <c r="I71" s="705"/>
      <c r="J71" s="713">
        <f>AVERAGE(J67:J70)</f>
        <v>0</v>
      </c>
      <c r="K71" s="714" t="str">
        <f t="shared" si="102"/>
        <v>1.33</v>
      </c>
      <c r="L71" s="714" t="str">
        <f t="shared" si="103"/>
        <v>D+</v>
      </c>
      <c r="M71" s="888" t="str">
        <f t="shared" si="104"/>
        <v>0</v>
      </c>
      <c r="N71" s="701"/>
      <c r="O71" s="702"/>
      <c r="P71" s="702"/>
      <c r="Q71" s="702"/>
      <c r="R71" s="1155"/>
      <c r="S71" s="1155"/>
      <c r="T71" s="1155"/>
      <c r="U71" s="1162"/>
      <c r="V71" s="1257"/>
      <c r="W71" s="1258"/>
    </row>
    <row r="72" spans="1:23" ht="24.95" customHeight="1" thickBot="1" x14ac:dyDescent="0.3">
      <c r="A72" s="360">
        <v>14</v>
      </c>
      <c r="B72" s="683">
        <v>14</v>
      </c>
      <c r="C72" s="1838" t="str">
        <f>VLOOKUP(A72,data_siswa,4,FALSE)</f>
        <v>Moch Zidane Hita L. U</v>
      </c>
      <c r="D72" s="1893" t="s">
        <v>12</v>
      </c>
      <c r="E72" s="627"/>
      <c r="F72" s="1904">
        <f>E72*2</f>
        <v>0</v>
      </c>
      <c r="G72" s="1891"/>
      <c r="H72" s="627">
        <f>VLOOKUP(B72,REKAP_NILAI,24,FALSE)</f>
        <v>0</v>
      </c>
      <c r="I72" s="706">
        <f>F72+G72+H72</f>
        <v>0</v>
      </c>
      <c r="J72" s="707">
        <f>(F72+G72+H72)/4</f>
        <v>0</v>
      </c>
      <c r="K72" s="708" t="str">
        <f>IF(J72&gt;85,("4"),IF(J72&gt;80,("3.66"),IF(J72&gt;75,("3.33"),IF(J72&gt;70,("3.00"),IF(J72&gt;65,("2.66"),IF(J72&gt;60,("2.33"),IF(J72&gt;55,("2"),IF(J72&gt;50,("1.66"),"1.33"))))))))</f>
        <v>1.33</v>
      </c>
      <c r="L72" s="708" t="str">
        <f>IF(J72&gt;85,("A"),IF(J72&gt;80,("A-"),IF(J72&gt;75,("B+"),IF(J72&gt;70,("B"),IF(J72&gt;65,("B-"),IF(J72&gt;60,("C+"),IF(J72&gt;55,("C"),IF(J72&gt;50,("C-"),"D+"))))))))</f>
        <v>D+</v>
      </c>
      <c r="M72" s="887" t="str">
        <f>IF(J72&gt;80,("SB"),IF(J72&gt;65,("B"),IF(J72&gt;50,("C"),IF(J72&gt;0,("K"),"0"))))</f>
        <v>0</v>
      </c>
      <c r="N72" s="1471"/>
      <c r="O72" s="1471"/>
      <c r="P72" s="1471"/>
      <c r="Q72" s="1471"/>
      <c r="R72" s="1472"/>
      <c r="S72" s="1473"/>
      <c r="T72" s="1473"/>
      <c r="U72" s="1473"/>
      <c r="V72" s="1057">
        <f>AVERAGE(J72:J75)</f>
        <v>0</v>
      </c>
      <c r="W72" s="1194" t="str">
        <f>IF(V72&gt;85,("A"),IF(V72&gt;80,("A-"),IF(V72&gt;75,("B+"),IF(V72&gt;70,("B"),IF(V72&gt;65,("B-"),IF(V72&gt;60,("C+"),IF(V72&gt;55,("C"),IF(V72&gt;50,("C-"),"D+"))))))))</f>
        <v>D+</v>
      </c>
    </row>
    <row r="73" spans="1:23" ht="24.95" customHeight="1" x14ac:dyDescent="0.25">
      <c r="A73" s="360"/>
      <c r="B73" s="683">
        <v>14</v>
      </c>
      <c r="C73" s="1839"/>
      <c r="D73" s="1893" t="s">
        <v>7</v>
      </c>
      <c r="E73" s="627"/>
      <c r="F73" s="1905">
        <f t="shared" ref="F73:F75" si="105">E73*2</f>
        <v>0</v>
      </c>
      <c r="G73" s="1891"/>
      <c r="H73" s="627">
        <f>VLOOKUP(B72,REKAP_NILAI,25,FALSE)</f>
        <v>0</v>
      </c>
      <c r="I73" s="709">
        <f t="shared" ref="I73:I75" si="106">F73+G73+H73</f>
        <v>0</v>
      </c>
      <c r="J73" s="710">
        <f t="shared" ref="J73:J75" si="107">(F73+G73+H73)/4</f>
        <v>0</v>
      </c>
      <c r="K73" s="711" t="str">
        <f t="shared" ref="K73:K76" si="108">IF(J73&gt;85,("4"),IF(J73&gt;80,("3.66"),IF(J73&gt;75,("3.33"),IF(J73&gt;70,("3.00"),IF(J73&gt;65,("2.66"),IF(J73&gt;60,("2.33"),IF(J73&gt;55,("2"),IF(J73&gt;50,("1.66"),"1.33"))))))))</f>
        <v>1.33</v>
      </c>
      <c r="L73" s="711" t="str">
        <f t="shared" ref="L73:L76" si="109">IF(J73&gt;85,("A"),IF(J73&gt;80,("A-"),IF(J73&gt;75,("B+"),IF(J73&gt;70,("B"),IF(J73&gt;65,("B-"),IF(J73&gt;60,("C+"),IF(J73&gt;55,("C"),IF(J73&gt;50,("C-"),"D+"))))))))</f>
        <v>D+</v>
      </c>
      <c r="M73" s="712" t="str">
        <f t="shared" ref="M73:M76" si="110">IF(J73&gt;80,("SB"),IF(J73&gt;65,("B"),IF(J73&gt;50,("C"),IF(J73&gt;0,("K"),"0"))))</f>
        <v>0</v>
      </c>
      <c r="N73" s="1463"/>
      <c r="O73" s="1464"/>
      <c r="P73" s="1464"/>
      <c r="Q73" s="1464"/>
      <c r="R73" s="1465"/>
      <c r="S73" s="1465"/>
      <c r="T73" s="1465"/>
      <c r="U73" s="1466"/>
      <c r="V73" s="1529"/>
      <c r="W73" s="1530"/>
    </row>
    <row r="74" spans="1:23" ht="24.95" customHeight="1" x14ac:dyDescent="0.25">
      <c r="A74" s="360"/>
      <c r="B74" s="683">
        <v>14</v>
      </c>
      <c r="C74" s="1839"/>
      <c r="D74" s="1893" t="s">
        <v>10</v>
      </c>
      <c r="E74" s="627"/>
      <c r="F74" s="1905">
        <f t="shared" si="105"/>
        <v>0</v>
      </c>
      <c r="G74" s="1891"/>
      <c r="H74" s="627">
        <f>VLOOKUP(B72,REKAP_NILAI,26,FALSE)</f>
        <v>0</v>
      </c>
      <c r="I74" s="709">
        <f t="shared" si="106"/>
        <v>0</v>
      </c>
      <c r="J74" s="710">
        <f t="shared" si="107"/>
        <v>0</v>
      </c>
      <c r="K74" s="711" t="str">
        <f t="shared" si="108"/>
        <v>1.33</v>
      </c>
      <c r="L74" s="711" t="str">
        <f t="shared" si="109"/>
        <v>D+</v>
      </c>
      <c r="M74" s="712" t="str">
        <f t="shared" si="110"/>
        <v>0</v>
      </c>
      <c r="N74" s="1467"/>
      <c r="O74" s="1468"/>
      <c r="P74" s="1468"/>
      <c r="Q74" s="1468"/>
      <c r="R74" s="1469"/>
      <c r="S74" s="1469"/>
      <c r="T74" s="1469"/>
      <c r="U74" s="1470"/>
      <c r="V74" s="1531"/>
      <c r="W74" s="1532"/>
    </row>
    <row r="75" spans="1:23" ht="24.95" customHeight="1" x14ac:dyDescent="0.25">
      <c r="A75" s="360"/>
      <c r="B75" s="683">
        <v>14</v>
      </c>
      <c r="C75" s="1839"/>
      <c r="D75" s="1893" t="s">
        <v>8</v>
      </c>
      <c r="E75" s="627"/>
      <c r="F75" s="1905">
        <f t="shared" si="105"/>
        <v>0</v>
      </c>
      <c r="G75" s="1891"/>
      <c r="H75" s="627">
        <f>VLOOKUP(B72,REKAP_NILAI,27,FALSE)</f>
        <v>0</v>
      </c>
      <c r="I75" s="709">
        <f t="shared" si="106"/>
        <v>0</v>
      </c>
      <c r="J75" s="710">
        <f t="shared" si="107"/>
        <v>0</v>
      </c>
      <c r="K75" s="711" t="str">
        <f t="shared" si="108"/>
        <v>1.33</v>
      </c>
      <c r="L75" s="711" t="str">
        <f t="shared" si="109"/>
        <v>D+</v>
      </c>
      <c r="M75" s="712" t="str">
        <f t="shared" si="110"/>
        <v>0</v>
      </c>
      <c r="N75" s="1467"/>
      <c r="O75" s="1468"/>
      <c r="P75" s="1468"/>
      <c r="Q75" s="1468"/>
      <c r="R75" s="1469"/>
      <c r="S75" s="1469"/>
      <c r="T75" s="1469"/>
      <c r="U75" s="1470"/>
      <c r="V75" s="1533"/>
      <c r="W75" s="1534"/>
    </row>
    <row r="76" spans="1:23" ht="24.95" customHeight="1" x14ac:dyDescent="0.25">
      <c r="A76" s="697"/>
      <c r="B76" s="698"/>
      <c r="C76" s="635" t="s">
        <v>149</v>
      </c>
      <c r="D76" s="700">
        <v>14</v>
      </c>
      <c r="E76" s="697"/>
      <c r="F76" s="1906"/>
      <c r="G76" s="697"/>
      <c r="H76" s="1189">
        <f>AVERAGE(H72:H75)</f>
        <v>0</v>
      </c>
      <c r="I76" s="705"/>
      <c r="J76" s="713">
        <f>AVERAGE(J72:J75)</f>
        <v>0</v>
      </c>
      <c r="K76" s="714" t="str">
        <f t="shared" si="108"/>
        <v>1.33</v>
      </c>
      <c r="L76" s="714" t="str">
        <f t="shared" si="109"/>
        <v>D+</v>
      </c>
      <c r="M76" s="888" t="str">
        <f t="shared" si="110"/>
        <v>0</v>
      </c>
      <c r="N76" s="701"/>
      <c r="O76" s="702"/>
      <c r="P76" s="702"/>
      <c r="Q76" s="702"/>
      <c r="R76" s="1155"/>
      <c r="S76" s="1155"/>
      <c r="T76" s="1155"/>
      <c r="U76" s="1162"/>
      <c r="V76" s="1257"/>
      <c r="W76" s="1258"/>
    </row>
    <row r="77" spans="1:23" ht="24.95" customHeight="1" thickBot="1" x14ac:dyDescent="0.3">
      <c r="A77" s="360">
        <v>15</v>
      </c>
      <c r="B77" s="683">
        <v>15</v>
      </c>
      <c r="C77" s="1838" t="str">
        <f>VLOOKUP(A77,data_siswa,4,FALSE)</f>
        <v>Muhammad Ibra Maulana</v>
      </c>
      <c r="D77" s="1893" t="s">
        <v>12</v>
      </c>
      <c r="E77" s="627"/>
      <c r="F77" s="1904">
        <f>E77*2</f>
        <v>0</v>
      </c>
      <c r="G77" s="1891"/>
      <c r="H77" s="627">
        <f>VLOOKUP(B77,REKAP_NILAI,24,FALSE)</f>
        <v>0</v>
      </c>
      <c r="I77" s="706">
        <f>F77+G77+H77</f>
        <v>0</v>
      </c>
      <c r="J77" s="707">
        <f>(F77+G77+H77)/4</f>
        <v>0</v>
      </c>
      <c r="K77" s="708" t="str">
        <f>IF(J77&gt;85,("4"),IF(J77&gt;80,("3.66"),IF(J77&gt;75,("3.33"),IF(J77&gt;70,("3.00"),IF(J77&gt;65,("2.66"),IF(J77&gt;60,("2.33"),IF(J77&gt;55,("2"),IF(J77&gt;50,("1.66"),"1.33"))))))))</f>
        <v>1.33</v>
      </c>
      <c r="L77" s="708" t="str">
        <f>IF(J77&gt;85,("A"),IF(J77&gt;80,("A-"),IF(J77&gt;75,("B+"),IF(J77&gt;70,("B"),IF(J77&gt;65,("B-"),IF(J77&gt;60,("C+"),IF(J77&gt;55,("C"),IF(J77&gt;50,("C-"),"D+"))))))))</f>
        <v>D+</v>
      </c>
      <c r="M77" s="887" t="str">
        <f>IF(J77&gt;80,("SB"),IF(J77&gt;65,("B"),IF(J77&gt;50,("C"),IF(J77&gt;0,("K"),"0"))))</f>
        <v>0</v>
      </c>
      <c r="N77" s="1471"/>
      <c r="O77" s="1471"/>
      <c r="P77" s="1471"/>
      <c r="Q77" s="1471"/>
      <c r="R77" s="1472"/>
      <c r="S77" s="1473"/>
      <c r="T77" s="1473"/>
      <c r="U77" s="1473"/>
      <c r="V77" s="1057">
        <f>AVERAGE(J77:J80)</f>
        <v>0</v>
      </c>
      <c r="W77" s="1194" t="str">
        <f>IF(V77&gt;85,("A"),IF(V77&gt;80,("A-"),IF(V77&gt;75,("B+"),IF(V77&gt;70,("B"),IF(V77&gt;65,("B-"),IF(V77&gt;60,("C+"),IF(V77&gt;55,("C"),IF(V77&gt;50,("C-"),"D+"))))))))</f>
        <v>D+</v>
      </c>
    </row>
    <row r="78" spans="1:23" ht="24.95" customHeight="1" x14ac:dyDescent="0.25">
      <c r="A78" s="360"/>
      <c r="B78" s="683">
        <v>15</v>
      </c>
      <c r="C78" s="1839"/>
      <c r="D78" s="1893" t="s">
        <v>7</v>
      </c>
      <c r="E78" s="627"/>
      <c r="F78" s="1905">
        <f t="shared" ref="F78:F80" si="111">E78*2</f>
        <v>0</v>
      </c>
      <c r="G78" s="1891"/>
      <c r="H78" s="627">
        <f>VLOOKUP(B77,REKAP_NILAI,25,FALSE)</f>
        <v>0</v>
      </c>
      <c r="I78" s="709">
        <f t="shared" ref="I78:I80" si="112">F78+G78+H78</f>
        <v>0</v>
      </c>
      <c r="J78" s="710">
        <f t="shared" ref="J78:J80" si="113">(F78+G78+H78)/4</f>
        <v>0</v>
      </c>
      <c r="K78" s="711" t="str">
        <f t="shared" ref="K78:K81" si="114">IF(J78&gt;85,("4"),IF(J78&gt;80,("3.66"),IF(J78&gt;75,("3.33"),IF(J78&gt;70,("3.00"),IF(J78&gt;65,("2.66"),IF(J78&gt;60,("2.33"),IF(J78&gt;55,("2"),IF(J78&gt;50,("1.66"),"1.33"))))))))</f>
        <v>1.33</v>
      </c>
      <c r="L78" s="711" t="str">
        <f t="shared" ref="L78:L81" si="115">IF(J78&gt;85,("A"),IF(J78&gt;80,("A-"),IF(J78&gt;75,("B+"),IF(J78&gt;70,("B"),IF(J78&gt;65,("B-"),IF(J78&gt;60,("C+"),IF(J78&gt;55,("C"),IF(J78&gt;50,("C-"),"D+"))))))))</f>
        <v>D+</v>
      </c>
      <c r="M78" s="712" t="str">
        <f t="shared" ref="M78:M81" si="116">IF(J78&gt;80,("SB"),IF(J78&gt;65,("B"),IF(J78&gt;50,("C"),IF(J78&gt;0,("K"),"0"))))</f>
        <v>0</v>
      </c>
      <c r="N78" s="1463"/>
      <c r="O78" s="1464"/>
      <c r="P78" s="1464"/>
      <c r="Q78" s="1464"/>
      <c r="R78" s="1465"/>
      <c r="S78" s="1465"/>
      <c r="T78" s="1465"/>
      <c r="U78" s="1466"/>
      <c r="V78" s="1529"/>
      <c r="W78" s="1530"/>
    </row>
    <row r="79" spans="1:23" ht="24.95" customHeight="1" x14ac:dyDescent="0.25">
      <c r="A79" s="360"/>
      <c r="B79" s="683">
        <v>15</v>
      </c>
      <c r="C79" s="1839"/>
      <c r="D79" s="1893" t="s">
        <v>10</v>
      </c>
      <c r="E79" s="627"/>
      <c r="F79" s="1905">
        <f t="shared" si="111"/>
        <v>0</v>
      </c>
      <c r="G79" s="1891"/>
      <c r="H79" s="627">
        <f>VLOOKUP(B77,REKAP_NILAI,26,FALSE)</f>
        <v>0</v>
      </c>
      <c r="I79" s="709">
        <f t="shared" si="112"/>
        <v>0</v>
      </c>
      <c r="J79" s="710">
        <f t="shared" si="113"/>
        <v>0</v>
      </c>
      <c r="K79" s="711" t="str">
        <f t="shared" si="114"/>
        <v>1.33</v>
      </c>
      <c r="L79" s="711" t="str">
        <f t="shared" si="115"/>
        <v>D+</v>
      </c>
      <c r="M79" s="712" t="str">
        <f t="shared" si="116"/>
        <v>0</v>
      </c>
      <c r="N79" s="1467"/>
      <c r="O79" s="1468"/>
      <c r="P79" s="1468"/>
      <c r="Q79" s="1468"/>
      <c r="R79" s="1469"/>
      <c r="S79" s="1469"/>
      <c r="T79" s="1469"/>
      <c r="U79" s="1470"/>
      <c r="V79" s="1531"/>
      <c r="W79" s="1532"/>
    </row>
    <row r="80" spans="1:23" ht="24.95" customHeight="1" x14ac:dyDescent="0.25">
      <c r="A80" s="360"/>
      <c r="B80" s="683">
        <v>15</v>
      </c>
      <c r="C80" s="1839"/>
      <c r="D80" s="1893" t="s">
        <v>8</v>
      </c>
      <c r="E80" s="627"/>
      <c r="F80" s="1905">
        <f t="shared" si="111"/>
        <v>0</v>
      </c>
      <c r="G80" s="1891"/>
      <c r="H80" s="627">
        <f>VLOOKUP(B77,REKAP_NILAI,27,FALSE)</f>
        <v>0</v>
      </c>
      <c r="I80" s="709">
        <f t="shared" si="112"/>
        <v>0</v>
      </c>
      <c r="J80" s="710">
        <f t="shared" si="113"/>
        <v>0</v>
      </c>
      <c r="K80" s="711" t="str">
        <f t="shared" si="114"/>
        <v>1.33</v>
      </c>
      <c r="L80" s="711" t="str">
        <f t="shared" si="115"/>
        <v>D+</v>
      </c>
      <c r="M80" s="712" t="str">
        <f t="shared" si="116"/>
        <v>0</v>
      </c>
      <c r="N80" s="1467"/>
      <c r="O80" s="1468"/>
      <c r="P80" s="1468"/>
      <c r="Q80" s="1468"/>
      <c r="R80" s="1469"/>
      <c r="S80" s="1469"/>
      <c r="T80" s="1469"/>
      <c r="U80" s="1470"/>
      <c r="V80" s="1533"/>
      <c r="W80" s="1534"/>
    </row>
    <row r="81" spans="1:23" ht="24.95" customHeight="1" x14ac:dyDescent="0.25">
      <c r="A81" s="697"/>
      <c r="B81" s="1360"/>
      <c r="C81" s="635" t="s">
        <v>149</v>
      </c>
      <c r="D81" s="700">
        <v>15</v>
      </c>
      <c r="E81" s="697"/>
      <c r="F81" s="1906"/>
      <c r="G81" s="697"/>
      <c r="H81" s="1189">
        <f>AVERAGE(H77:H80)</f>
        <v>0</v>
      </c>
      <c r="I81" s="705"/>
      <c r="J81" s="713">
        <f>AVERAGE(J77:J80)</f>
        <v>0</v>
      </c>
      <c r="K81" s="714" t="str">
        <f t="shared" si="114"/>
        <v>1.33</v>
      </c>
      <c r="L81" s="714" t="str">
        <f t="shared" si="115"/>
        <v>D+</v>
      </c>
      <c r="M81" s="888" t="str">
        <f t="shared" si="116"/>
        <v>0</v>
      </c>
      <c r="N81" s="701"/>
      <c r="O81" s="702"/>
      <c r="P81" s="702"/>
      <c r="Q81" s="702"/>
      <c r="R81" s="1155"/>
      <c r="S81" s="1155"/>
      <c r="T81" s="1155"/>
      <c r="U81" s="1162"/>
      <c r="V81" s="1257"/>
      <c r="W81" s="1258"/>
    </row>
    <row r="82" spans="1:23" ht="24.95" customHeight="1" thickBot="1" x14ac:dyDescent="0.3">
      <c r="A82" s="1477">
        <v>16</v>
      </c>
      <c r="B82" s="1326">
        <v>16</v>
      </c>
      <c r="C82" s="1563" t="str">
        <f>VLOOKUP(A82,data_siswa,4,FALSE)</f>
        <v>Nabilla Shiva Putri</v>
      </c>
      <c r="D82" s="1893" t="s">
        <v>12</v>
      </c>
      <c r="E82" s="627"/>
      <c r="F82" s="1904">
        <f>E82*2</f>
        <v>0</v>
      </c>
      <c r="G82" s="1891"/>
      <c r="H82" s="627">
        <f>VLOOKUP(B82,REKAP_NILAI,24,FALSE)</f>
        <v>0</v>
      </c>
      <c r="I82" s="706">
        <f>F82+G82+H82</f>
        <v>0</v>
      </c>
      <c r="J82" s="707">
        <f>(F82+G82+H82)/4</f>
        <v>0</v>
      </c>
      <c r="K82" s="708" t="str">
        <f>IF(J82&gt;85,("4"),IF(J82&gt;80,("3.66"),IF(J82&gt;75,("3.33"),IF(J82&gt;70,("3.00"),IF(J82&gt;65,("2.66"),IF(J82&gt;60,("2.33"),IF(J82&gt;55,("2"),IF(J82&gt;50,("1.66"),"1.33"))))))))</f>
        <v>1.33</v>
      </c>
      <c r="L82" s="708" t="str">
        <f>IF(J82&gt;85,("A"),IF(J82&gt;80,("A-"),IF(J82&gt;75,("B+"),IF(J82&gt;70,("B"),IF(J82&gt;65,("B-"),IF(J82&gt;60,("C+"),IF(J82&gt;55,("C"),IF(J82&gt;50,("C-"),"D+"))))))))</f>
        <v>D+</v>
      </c>
      <c r="M82" s="887" t="str">
        <f>IF(J82&gt;80,("SB"),IF(J82&gt;65,("B"),IF(J82&gt;50,("C"),IF(J82&gt;0,("K"),"0"))))</f>
        <v>0</v>
      </c>
      <c r="N82" s="1474"/>
      <c r="O82" s="1474"/>
      <c r="P82" s="1474"/>
      <c r="Q82" s="1474"/>
      <c r="R82" s="1475"/>
      <c r="S82" s="1476"/>
      <c r="T82" s="1476"/>
      <c r="U82" s="1476"/>
      <c r="V82" s="1057">
        <f>AVERAGE(J82:J85)</f>
        <v>0</v>
      </c>
      <c r="W82" s="1194" t="str">
        <f>IF(V82&gt;85,("A"),IF(V82&gt;80,("A-"),IF(V82&gt;75,("B+"),IF(V82&gt;70,("B"),IF(V82&gt;65,("B-"),IF(V82&gt;60,("C+"),IF(V82&gt;55,("C"),IF(V82&gt;50,("C-"),"D+"))))))))</f>
        <v>D+</v>
      </c>
    </row>
    <row r="83" spans="1:23" ht="24.95" customHeight="1" x14ac:dyDescent="0.25">
      <c r="A83" s="1478"/>
      <c r="B83" s="683">
        <v>16</v>
      </c>
      <c r="C83" s="1545"/>
      <c r="D83" s="1893" t="s">
        <v>7</v>
      </c>
      <c r="E83" s="627"/>
      <c r="F83" s="1905">
        <f t="shared" ref="F83:F85" si="117">E83*2</f>
        <v>0</v>
      </c>
      <c r="G83" s="1891"/>
      <c r="H83" s="627">
        <f>VLOOKUP(B82,REKAP_NILAI,25,FALSE)</f>
        <v>0</v>
      </c>
      <c r="I83" s="709">
        <f t="shared" ref="I83:I85" si="118">F83+G83+H83</f>
        <v>0</v>
      </c>
      <c r="J83" s="710">
        <f t="shared" ref="J83:J85" si="119">(F83+G83+H83)/4</f>
        <v>0</v>
      </c>
      <c r="K83" s="711" t="str">
        <f t="shared" ref="K83:K86" si="120">IF(J83&gt;85,("4"),IF(J83&gt;80,("3.66"),IF(J83&gt;75,("3.33"),IF(J83&gt;70,("3.00"),IF(J83&gt;65,("2.66"),IF(J83&gt;60,("2.33"),IF(J83&gt;55,("2"),IF(J83&gt;50,("1.66"),"1.33"))))))))</f>
        <v>1.33</v>
      </c>
      <c r="L83" s="711" t="str">
        <f t="shared" ref="L83:L86" si="121">IF(J83&gt;85,("A"),IF(J83&gt;80,("A-"),IF(J83&gt;75,("B+"),IF(J83&gt;70,("B"),IF(J83&gt;65,("B-"),IF(J83&gt;60,("C+"),IF(J83&gt;55,("C"),IF(J83&gt;50,("C-"),"D+"))))))))</f>
        <v>D+</v>
      </c>
      <c r="M83" s="712" t="str">
        <f t="shared" ref="M83:M86" si="122">IF(J83&gt;80,("SB"),IF(J83&gt;65,("B"),IF(J83&gt;50,("C"),IF(J83&gt;0,("K"),"0"))))</f>
        <v>0</v>
      </c>
      <c r="N83" s="1463"/>
      <c r="O83" s="1464"/>
      <c r="P83" s="1464"/>
      <c r="Q83" s="1464"/>
      <c r="R83" s="1465"/>
      <c r="S83" s="1465"/>
      <c r="T83" s="1465"/>
      <c r="U83" s="1466"/>
      <c r="V83" s="1529"/>
      <c r="W83" s="1530"/>
    </row>
    <row r="84" spans="1:23" ht="24.95" customHeight="1" x14ac:dyDescent="0.25">
      <c r="A84" s="1478"/>
      <c r="B84" s="683">
        <v>16</v>
      </c>
      <c r="C84" s="1545"/>
      <c r="D84" s="1893" t="s">
        <v>10</v>
      </c>
      <c r="E84" s="627"/>
      <c r="F84" s="1905">
        <f t="shared" si="117"/>
        <v>0</v>
      </c>
      <c r="G84" s="1891"/>
      <c r="H84" s="627">
        <f>VLOOKUP(B82,REKAP_NILAI,26,FALSE)</f>
        <v>0</v>
      </c>
      <c r="I84" s="709">
        <f t="shared" si="118"/>
        <v>0</v>
      </c>
      <c r="J84" s="710">
        <f t="shared" si="119"/>
        <v>0</v>
      </c>
      <c r="K84" s="711" t="str">
        <f t="shared" si="120"/>
        <v>1.33</v>
      </c>
      <c r="L84" s="711" t="str">
        <f t="shared" si="121"/>
        <v>D+</v>
      </c>
      <c r="M84" s="712" t="str">
        <f t="shared" si="122"/>
        <v>0</v>
      </c>
      <c r="N84" s="1467"/>
      <c r="O84" s="1468"/>
      <c r="P84" s="1468"/>
      <c r="Q84" s="1468"/>
      <c r="R84" s="1469"/>
      <c r="S84" s="1469"/>
      <c r="T84" s="1469"/>
      <c r="U84" s="1470"/>
      <c r="V84" s="1531"/>
      <c r="W84" s="1532"/>
    </row>
    <row r="85" spans="1:23" ht="24.95" customHeight="1" x14ac:dyDescent="0.25">
      <c r="A85" s="1478"/>
      <c r="B85" s="683">
        <v>16</v>
      </c>
      <c r="C85" s="1545"/>
      <c r="D85" s="1893" t="s">
        <v>8</v>
      </c>
      <c r="E85" s="627"/>
      <c r="F85" s="1905">
        <f t="shared" si="117"/>
        <v>0</v>
      </c>
      <c r="G85" s="1891"/>
      <c r="H85" s="627">
        <f>VLOOKUP(B82,REKAP_NILAI,27,FALSE)</f>
        <v>0</v>
      </c>
      <c r="I85" s="709">
        <f t="shared" si="118"/>
        <v>0</v>
      </c>
      <c r="J85" s="710">
        <f t="shared" si="119"/>
        <v>0</v>
      </c>
      <c r="K85" s="711" t="str">
        <f t="shared" si="120"/>
        <v>1.33</v>
      </c>
      <c r="L85" s="711" t="str">
        <f t="shared" si="121"/>
        <v>D+</v>
      </c>
      <c r="M85" s="712" t="str">
        <f t="shared" si="122"/>
        <v>0</v>
      </c>
      <c r="N85" s="1467"/>
      <c r="O85" s="1468"/>
      <c r="P85" s="1468"/>
      <c r="Q85" s="1468"/>
      <c r="R85" s="1469"/>
      <c r="S85" s="1469"/>
      <c r="T85" s="1469"/>
      <c r="U85" s="1470"/>
      <c r="V85" s="1533"/>
      <c r="W85" s="1534"/>
    </row>
    <row r="86" spans="1:23" ht="24.95" customHeight="1" x14ac:dyDescent="0.25">
      <c r="A86" s="697"/>
      <c r="B86" s="1480"/>
      <c r="C86" s="635" t="s">
        <v>149</v>
      </c>
      <c r="D86" s="700">
        <v>16</v>
      </c>
      <c r="E86" s="697"/>
      <c r="F86" s="1906"/>
      <c r="G86" s="697"/>
      <c r="H86" s="1189">
        <f>AVERAGE(H82:H85)</f>
        <v>0</v>
      </c>
      <c r="I86" s="705"/>
      <c r="J86" s="713">
        <f>AVERAGE(J82:J85)</f>
        <v>0</v>
      </c>
      <c r="K86" s="714" t="str">
        <f t="shared" si="120"/>
        <v>1.33</v>
      </c>
      <c r="L86" s="714" t="str">
        <f t="shared" si="121"/>
        <v>D+</v>
      </c>
      <c r="M86" s="888" t="str">
        <f t="shared" si="122"/>
        <v>0</v>
      </c>
      <c r="N86" s="701"/>
      <c r="O86" s="702"/>
      <c r="P86" s="702"/>
      <c r="Q86" s="702"/>
      <c r="R86" s="1155"/>
      <c r="S86" s="1155"/>
      <c r="T86" s="1155"/>
      <c r="U86" s="1162"/>
      <c r="V86" s="1257"/>
      <c r="W86" s="1258"/>
    </row>
    <row r="87" spans="1:23" ht="24.95" customHeight="1" thickBot="1" x14ac:dyDescent="0.3">
      <c r="A87" s="1477">
        <v>17</v>
      </c>
      <c r="B87" s="1326">
        <v>17</v>
      </c>
      <c r="C87" s="1563" t="str">
        <f>VLOOKUP(A87,data_siswa,4,FALSE)</f>
        <v>Naufal Falih F</v>
      </c>
      <c r="D87" s="1893" t="s">
        <v>12</v>
      </c>
      <c r="E87" s="627"/>
      <c r="F87" s="1904">
        <f>E87*2</f>
        <v>0</v>
      </c>
      <c r="G87" s="1891"/>
      <c r="H87" s="627">
        <f>VLOOKUP(B87,REKAP_NILAI,24,FALSE)</f>
        <v>0</v>
      </c>
      <c r="I87" s="706">
        <f>F87+G87+H87</f>
        <v>0</v>
      </c>
      <c r="J87" s="707">
        <f>(F87+G87+H87)/4</f>
        <v>0</v>
      </c>
      <c r="K87" s="708" t="str">
        <f>IF(J87&gt;85,("4"),IF(J87&gt;80,("3.66"),IF(J87&gt;75,("3.33"),IF(J87&gt;70,("3.00"),IF(J87&gt;65,("2.66"),IF(J87&gt;60,("2.33"),IF(J87&gt;55,("2"),IF(J87&gt;50,("1.66"),"1.33"))))))))</f>
        <v>1.33</v>
      </c>
      <c r="L87" s="708" t="str">
        <f>IF(J87&gt;85,("A"),IF(J87&gt;80,("A-"),IF(J87&gt;75,("B+"),IF(J87&gt;70,("B"),IF(J87&gt;65,("B-"),IF(J87&gt;60,("C+"),IF(J87&gt;55,("C"),IF(J87&gt;50,("C-"),"D+"))))))))</f>
        <v>D+</v>
      </c>
      <c r="M87" s="887" t="str">
        <f>IF(J87&gt;80,("SB"),IF(J87&gt;65,("B"),IF(J87&gt;50,("C"),IF(J87&gt;0,("K"),"0"))))</f>
        <v>0</v>
      </c>
      <c r="N87" s="1474"/>
      <c r="O87" s="1474"/>
      <c r="P87" s="1474"/>
      <c r="Q87" s="1474"/>
      <c r="R87" s="1475"/>
      <c r="S87" s="1476"/>
      <c r="T87" s="1476"/>
      <c r="U87" s="1476"/>
      <c r="V87" s="1057">
        <f>AVERAGE(J87:J90)</f>
        <v>0</v>
      </c>
      <c r="W87" s="1194" t="str">
        <f>IF(V87&gt;85,("A"),IF(V87&gt;80,("A-"),IF(V87&gt;75,("B+"),IF(V87&gt;70,("B"),IF(V87&gt;65,("B-"),IF(V87&gt;60,("C+"),IF(V87&gt;55,("C"),IF(V87&gt;50,("C-"),"D+"))))))))</f>
        <v>D+</v>
      </c>
    </row>
    <row r="88" spans="1:23" ht="24.95" customHeight="1" x14ac:dyDescent="0.25">
      <c r="A88" s="1478"/>
      <c r="B88" s="683">
        <v>17</v>
      </c>
      <c r="C88" s="1545"/>
      <c r="D88" s="1893" t="s">
        <v>7</v>
      </c>
      <c r="E88" s="627"/>
      <c r="F88" s="1905">
        <f t="shared" ref="F88:F90" si="123">E88*2</f>
        <v>0</v>
      </c>
      <c r="G88" s="1891"/>
      <c r="H88" s="627">
        <f>VLOOKUP(B87,REKAP_NILAI,25,FALSE)</f>
        <v>0</v>
      </c>
      <c r="I88" s="709">
        <f t="shared" ref="I88:I90" si="124">F88+G88+H88</f>
        <v>0</v>
      </c>
      <c r="J88" s="710">
        <f t="shared" ref="J88:J90" si="125">(F88+G88+H88)/4</f>
        <v>0</v>
      </c>
      <c r="K88" s="711" t="str">
        <f t="shared" ref="K88:K91" si="126">IF(J88&gt;85,("4"),IF(J88&gt;80,("3.66"),IF(J88&gt;75,("3.33"),IF(J88&gt;70,("3.00"),IF(J88&gt;65,("2.66"),IF(J88&gt;60,("2.33"),IF(J88&gt;55,("2"),IF(J88&gt;50,("1.66"),"1.33"))))))))</f>
        <v>1.33</v>
      </c>
      <c r="L88" s="711" t="str">
        <f t="shared" ref="L88:L91" si="127">IF(J88&gt;85,("A"),IF(J88&gt;80,("A-"),IF(J88&gt;75,("B+"),IF(J88&gt;70,("B"),IF(J88&gt;65,("B-"),IF(J88&gt;60,("C+"),IF(J88&gt;55,("C"),IF(J88&gt;50,("C-"),"D+"))))))))</f>
        <v>D+</v>
      </c>
      <c r="M88" s="712" t="str">
        <f t="shared" ref="M88:M91" si="128">IF(J88&gt;80,("SB"),IF(J88&gt;65,("B"),IF(J88&gt;50,("C"),IF(J88&gt;0,("K"),"0"))))</f>
        <v>0</v>
      </c>
      <c r="N88" s="1463"/>
      <c r="O88" s="1464"/>
      <c r="P88" s="1464"/>
      <c r="Q88" s="1464"/>
      <c r="R88" s="1465"/>
      <c r="S88" s="1465"/>
      <c r="T88" s="1465"/>
      <c r="U88" s="1466"/>
      <c r="V88" s="1529"/>
      <c r="W88" s="1530"/>
    </row>
    <row r="89" spans="1:23" ht="24.95" customHeight="1" x14ac:dyDescent="0.25">
      <c r="A89" s="1478"/>
      <c r="B89" s="683">
        <v>17</v>
      </c>
      <c r="C89" s="1545"/>
      <c r="D89" s="1893" t="s">
        <v>10</v>
      </c>
      <c r="E89" s="627"/>
      <c r="F89" s="1905">
        <f t="shared" si="123"/>
        <v>0</v>
      </c>
      <c r="G89" s="1891"/>
      <c r="H89" s="627">
        <f>VLOOKUP(B87,REKAP_NILAI,26,FALSE)</f>
        <v>0</v>
      </c>
      <c r="I89" s="709">
        <f t="shared" si="124"/>
        <v>0</v>
      </c>
      <c r="J89" s="710">
        <f t="shared" si="125"/>
        <v>0</v>
      </c>
      <c r="K89" s="711" t="str">
        <f t="shared" si="126"/>
        <v>1.33</v>
      </c>
      <c r="L89" s="711" t="str">
        <f t="shared" si="127"/>
        <v>D+</v>
      </c>
      <c r="M89" s="712" t="str">
        <f t="shared" si="128"/>
        <v>0</v>
      </c>
      <c r="N89" s="1467"/>
      <c r="O89" s="1468"/>
      <c r="P89" s="1468"/>
      <c r="Q89" s="1468"/>
      <c r="R89" s="1469"/>
      <c r="S89" s="1469"/>
      <c r="T89" s="1469"/>
      <c r="U89" s="1470"/>
      <c r="V89" s="1531"/>
      <c r="W89" s="1532"/>
    </row>
    <row r="90" spans="1:23" ht="24.95" customHeight="1" x14ac:dyDescent="0.25">
      <c r="A90" s="1478"/>
      <c r="B90" s="683">
        <v>17</v>
      </c>
      <c r="C90" s="1545"/>
      <c r="D90" s="1893" t="s">
        <v>8</v>
      </c>
      <c r="E90" s="627"/>
      <c r="F90" s="1905">
        <f t="shared" si="123"/>
        <v>0</v>
      </c>
      <c r="G90" s="1891"/>
      <c r="H90" s="627">
        <f>VLOOKUP(B87,REKAP_NILAI,27,FALSE)</f>
        <v>0</v>
      </c>
      <c r="I90" s="709">
        <f t="shared" si="124"/>
        <v>0</v>
      </c>
      <c r="J90" s="710">
        <f t="shared" si="125"/>
        <v>0</v>
      </c>
      <c r="K90" s="711" t="str">
        <f t="shared" si="126"/>
        <v>1.33</v>
      </c>
      <c r="L90" s="711" t="str">
        <f t="shared" si="127"/>
        <v>D+</v>
      </c>
      <c r="M90" s="712" t="str">
        <f t="shared" si="128"/>
        <v>0</v>
      </c>
      <c r="N90" s="1467"/>
      <c r="O90" s="1468"/>
      <c r="P90" s="1468"/>
      <c r="Q90" s="1468"/>
      <c r="R90" s="1469"/>
      <c r="S90" s="1469"/>
      <c r="T90" s="1469"/>
      <c r="U90" s="1470"/>
      <c r="V90" s="1533"/>
      <c r="W90" s="1534"/>
    </row>
    <row r="91" spans="1:23" ht="24.95" customHeight="1" x14ac:dyDescent="0.25">
      <c r="A91" s="697"/>
      <c r="B91" s="1479"/>
      <c r="C91" s="635" t="s">
        <v>149</v>
      </c>
      <c r="D91" s="700">
        <v>17</v>
      </c>
      <c r="E91" s="697"/>
      <c r="F91" s="1906"/>
      <c r="G91" s="697"/>
      <c r="H91" s="1189">
        <f>AVERAGE(H87:H90)</f>
        <v>0</v>
      </c>
      <c r="I91" s="705"/>
      <c r="J91" s="713">
        <f>AVERAGE(J87:J90)</f>
        <v>0</v>
      </c>
      <c r="K91" s="714" t="str">
        <f t="shared" si="126"/>
        <v>1.33</v>
      </c>
      <c r="L91" s="714" t="str">
        <f t="shared" si="127"/>
        <v>D+</v>
      </c>
      <c r="M91" s="888" t="str">
        <f t="shared" si="128"/>
        <v>0</v>
      </c>
      <c r="N91" s="701"/>
      <c r="O91" s="702"/>
      <c r="P91" s="702"/>
      <c r="Q91" s="702"/>
      <c r="R91" s="1155"/>
      <c r="S91" s="1155"/>
      <c r="T91" s="1155"/>
      <c r="U91" s="1162"/>
      <c r="V91" s="1257"/>
      <c r="W91" s="1258"/>
    </row>
    <row r="92" spans="1:23" ht="24.95" customHeight="1" thickBot="1" x14ac:dyDescent="0.3">
      <c r="A92" s="1892">
        <v>18</v>
      </c>
      <c r="B92" s="1326">
        <v>18</v>
      </c>
      <c r="C92" s="1840" t="str">
        <f>VLOOKUP(A92,data_siswa,4,FALSE)</f>
        <v>Nayla Annora Nobel W</v>
      </c>
      <c r="D92" s="1893" t="s">
        <v>12</v>
      </c>
      <c r="E92" s="627"/>
      <c r="F92" s="1904">
        <f>E92*2</f>
        <v>0</v>
      </c>
      <c r="G92" s="1891"/>
      <c r="H92" s="627">
        <f>VLOOKUP(B92,REKAP_NILAI,24,FALSE)</f>
        <v>0</v>
      </c>
      <c r="I92" s="706">
        <f>F92+G92+H92</f>
        <v>0</v>
      </c>
      <c r="J92" s="707">
        <f>(F92+G92+H92)/4</f>
        <v>0</v>
      </c>
      <c r="K92" s="708" t="str">
        <f>IF(J92&gt;85,("4"),IF(J92&gt;80,("3.66"),IF(J92&gt;75,("3.33"),IF(J92&gt;70,("3.00"),IF(J92&gt;65,("2.66"),IF(J92&gt;60,("2.33"),IF(J92&gt;55,("2"),IF(J92&gt;50,("1.66"),"1.33"))))))))</f>
        <v>1.33</v>
      </c>
      <c r="L92" s="708" t="str">
        <f>IF(J92&gt;85,("A"),IF(J92&gt;80,("A-"),IF(J92&gt;75,("B+"),IF(J92&gt;70,("B"),IF(J92&gt;65,("B-"),IF(J92&gt;60,("C+"),IF(J92&gt;55,("C"),IF(J92&gt;50,("C-"),"D+"))))))))</f>
        <v>D+</v>
      </c>
      <c r="M92" s="887" t="str">
        <f>IF(J92&gt;80,("SB"),IF(J92&gt;65,("B"),IF(J92&gt;50,("C"),IF(J92&gt;0,("K"),"0"))))</f>
        <v>0</v>
      </c>
      <c r="N92" s="1474"/>
      <c r="O92" s="1474"/>
      <c r="P92" s="1474"/>
      <c r="Q92" s="1474"/>
      <c r="R92" s="1475"/>
      <c r="S92" s="1476"/>
      <c r="T92" s="1476"/>
      <c r="U92" s="1476"/>
      <c r="V92" s="1057">
        <f>AVERAGE(J92:J95)</f>
        <v>0</v>
      </c>
      <c r="W92" s="1194" t="str">
        <f>IF(V92&gt;85,("A"),IF(V92&gt;80,("A-"),IF(V92&gt;75,("B+"),IF(V92&gt;70,("B"),IF(V92&gt;65,("B-"),IF(V92&gt;60,("C+"),IF(V92&gt;55,("C"),IF(V92&gt;50,("C-"),"D+"))))))))</f>
        <v>D+</v>
      </c>
    </row>
    <row r="93" spans="1:23" ht="24.95" customHeight="1" x14ac:dyDescent="0.25">
      <c r="A93" s="360"/>
      <c r="B93" s="1326">
        <v>18</v>
      </c>
      <c r="C93" s="1839"/>
      <c r="D93" s="1893" t="s">
        <v>7</v>
      </c>
      <c r="E93" s="627"/>
      <c r="F93" s="1905">
        <f t="shared" ref="F93:F95" si="129">E93*2</f>
        <v>0</v>
      </c>
      <c r="G93" s="1891"/>
      <c r="H93" s="627">
        <f>VLOOKUP(B92,REKAP_NILAI,25,FALSE)</f>
        <v>0</v>
      </c>
      <c r="I93" s="709">
        <f t="shared" ref="I93:I95" si="130">F93+G93+H93</f>
        <v>0</v>
      </c>
      <c r="J93" s="710">
        <f t="shared" ref="J93:J95" si="131">(F93+G93+H93)/4</f>
        <v>0</v>
      </c>
      <c r="K93" s="711" t="str">
        <f t="shared" ref="K93:K96" si="132">IF(J93&gt;85,("4"),IF(J93&gt;80,("3.66"),IF(J93&gt;75,("3.33"),IF(J93&gt;70,("3.00"),IF(J93&gt;65,("2.66"),IF(J93&gt;60,("2.33"),IF(J93&gt;55,("2"),IF(J93&gt;50,("1.66"),"1.33"))))))))</f>
        <v>1.33</v>
      </c>
      <c r="L93" s="711" t="str">
        <f t="shared" ref="L93:L96" si="133">IF(J93&gt;85,("A"),IF(J93&gt;80,("A-"),IF(J93&gt;75,("B+"),IF(J93&gt;70,("B"),IF(J93&gt;65,("B-"),IF(J93&gt;60,("C+"),IF(J93&gt;55,("C"),IF(J93&gt;50,("C-"),"D+"))))))))</f>
        <v>D+</v>
      </c>
      <c r="M93" s="712" t="str">
        <f t="shared" ref="M93:M96" si="134">IF(J93&gt;80,("SB"),IF(J93&gt;65,("B"),IF(J93&gt;50,("C"),IF(J93&gt;0,("K"),"0"))))</f>
        <v>0</v>
      </c>
      <c r="N93" s="1463"/>
      <c r="O93" s="1464"/>
      <c r="P93" s="1464"/>
      <c r="Q93" s="1464"/>
      <c r="R93" s="1465"/>
      <c r="S93" s="1465"/>
      <c r="T93" s="1465"/>
      <c r="U93" s="1466"/>
      <c r="V93" s="1529"/>
      <c r="W93" s="1530"/>
    </row>
    <row r="94" spans="1:23" ht="24.95" customHeight="1" x14ac:dyDescent="0.25">
      <c r="A94" s="360"/>
      <c r="B94" s="1326">
        <v>18</v>
      </c>
      <c r="C94" s="1839"/>
      <c r="D94" s="1893" t="s">
        <v>10</v>
      </c>
      <c r="E94" s="627"/>
      <c r="F94" s="1905">
        <f t="shared" si="129"/>
        <v>0</v>
      </c>
      <c r="G94" s="1891"/>
      <c r="H94" s="627">
        <f>VLOOKUP(B92,REKAP_NILAI,26,FALSE)</f>
        <v>0</v>
      </c>
      <c r="I94" s="709">
        <f t="shared" si="130"/>
        <v>0</v>
      </c>
      <c r="J94" s="710">
        <f t="shared" si="131"/>
        <v>0</v>
      </c>
      <c r="K94" s="711" t="str">
        <f t="shared" si="132"/>
        <v>1.33</v>
      </c>
      <c r="L94" s="711" t="str">
        <f t="shared" si="133"/>
        <v>D+</v>
      </c>
      <c r="M94" s="712" t="str">
        <f t="shared" si="134"/>
        <v>0</v>
      </c>
      <c r="N94" s="1467"/>
      <c r="O94" s="1468"/>
      <c r="P94" s="1468"/>
      <c r="Q94" s="1468"/>
      <c r="R94" s="1469"/>
      <c r="S94" s="1469"/>
      <c r="T94" s="1469"/>
      <c r="U94" s="1470"/>
      <c r="V94" s="1531"/>
      <c r="W94" s="1532"/>
    </row>
    <row r="95" spans="1:23" ht="24.95" customHeight="1" x14ac:dyDescent="0.25">
      <c r="A95" s="360"/>
      <c r="B95" s="1326">
        <v>18</v>
      </c>
      <c r="C95" s="1839"/>
      <c r="D95" s="1893" t="s">
        <v>8</v>
      </c>
      <c r="E95" s="627"/>
      <c r="F95" s="1905">
        <f t="shared" si="129"/>
        <v>0</v>
      </c>
      <c r="G95" s="1891"/>
      <c r="H95" s="627">
        <f>VLOOKUP(B92,REKAP_NILAI,27,FALSE)</f>
        <v>0</v>
      </c>
      <c r="I95" s="709">
        <f t="shared" si="130"/>
        <v>0</v>
      </c>
      <c r="J95" s="710">
        <f t="shared" si="131"/>
        <v>0</v>
      </c>
      <c r="K95" s="711" t="str">
        <f t="shared" si="132"/>
        <v>1.33</v>
      </c>
      <c r="L95" s="711" t="str">
        <f t="shared" si="133"/>
        <v>D+</v>
      </c>
      <c r="M95" s="712" t="str">
        <f t="shared" si="134"/>
        <v>0</v>
      </c>
      <c r="N95" s="1467"/>
      <c r="O95" s="1468"/>
      <c r="P95" s="1468"/>
      <c r="Q95" s="1468"/>
      <c r="R95" s="1469"/>
      <c r="S95" s="1469"/>
      <c r="T95" s="1469"/>
      <c r="U95" s="1470"/>
      <c r="V95" s="1533"/>
      <c r="W95" s="1534"/>
    </row>
    <row r="96" spans="1:23" ht="24.95" customHeight="1" x14ac:dyDescent="0.25">
      <c r="A96" s="697"/>
      <c r="B96" s="698"/>
      <c r="C96" s="635" t="s">
        <v>149</v>
      </c>
      <c r="D96" s="700">
        <v>18</v>
      </c>
      <c r="E96" s="697"/>
      <c r="F96" s="1906"/>
      <c r="G96" s="697"/>
      <c r="H96" s="1189">
        <f>AVERAGE(H92:H95)</f>
        <v>0</v>
      </c>
      <c r="I96" s="705"/>
      <c r="J96" s="713">
        <f>AVERAGE(J92:J95)</f>
        <v>0</v>
      </c>
      <c r="K96" s="714" t="str">
        <f t="shared" si="132"/>
        <v>1.33</v>
      </c>
      <c r="L96" s="714" t="str">
        <f t="shared" si="133"/>
        <v>D+</v>
      </c>
      <c r="M96" s="888" t="str">
        <f t="shared" si="134"/>
        <v>0</v>
      </c>
      <c r="N96" s="701"/>
      <c r="O96" s="702"/>
      <c r="P96" s="702"/>
      <c r="Q96" s="702"/>
      <c r="R96" s="1155"/>
      <c r="S96" s="1155"/>
      <c r="T96" s="1155"/>
      <c r="U96" s="1162"/>
      <c r="V96" s="1257"/>
      <c r="W96" s="1258"/>
    </row>
    <row r="97" spans="1:23" ht="24.95" customHeight="1" thickBot="1" x14ac:dyDescent="0.3">
      <c r="A97" s="1892">
        <v>19</v>
      </c>
      <c r="B97" s="1326">
        <v>19</v>
      </c>
      <c r="C97" s="1840" t="str">
        <f>VLOOKUP(A97,data_siswa,4,FALSE)</f>
        <v>Raihan Danang P</v>
      </c>
      <c r="D97" s="1893" t="s">
        <v>12</v>
      </c>
      <c r="E97" s="627"/>
      <c r="F97" s="1904">
        <f>E97*2</f>
        <v>0</v>
      </c>
      <c r="G97" s="1891"/>
      <c r="H97" s="627">
        <f>VLOOKUP(B97,REKAP_NILAI,24,FALSE)</f>
        <v>0</v>
      </c>
      <c r="I97" s="706">
        <f>F97+G97+H97</f>
        <v>0</v>
      </c>
      <c r="J97" s="707">
        <f>(F97+G97+H97)/4</f>
        <v>0</v>
      </c>
      <c r="K97" s="708" t="str">
        <f>IF(J97&gt;85,("4"),IF(J97&gt;80,("3.66"),IF(J97&gt;75,("3.33"),IF(J97&gt;70,("3.00"),IF(J97&gt;65,("2.66"),IF(J97&gt;60,("2.33"),IF(J97&gt;55,("2"),IF(J97&gt;50,("1.66"),"1.33"))))))))</f>
        <v>1.33</v>
      </c>
      <c r="L97" s="708" t="str">
        <f>IF(J97&gt;85,("A"),IF(J97&gt;80,("A-"),IF(J97&gt;75,("B+"),IF(J97&gt;70,("B"),IF(J97&gt;65,("B-"),IF(J97&gt;60,("C+"),IF(J97&gt;55,("C"),IF(J97&gt;50,("C-"),"D+"))))))))</f>
        <v>D+</v>
      </c>
      <c r="M97" s="887" t="str">
        <f>IF(J97&gt;80,("SB"),IF(J97&gt;65,("B"),IF(J97&gt;50,("C"),IF(J97&gt;0,("K"),"0"))))</f>
        <v>0</v>
      </c>
      <c r="N97" s="1474"/>
      <c r="O97" s="1474"/>
      <c r="P97" s="1474"/>
      <c r="Q97" s="1474"/>
      <c r="R97" s="1475"/>
      <c r="S97" s="1476"/>
      <c r="T97" s="1476"/>
      <c r="U97" s="1476"/>
      <c r="V97" s="1057">
        <f>AVERAGE(J97:J100)</f>
        <v>0</v>
      </c>
      <c r="W97" s="1194" t="str">
        <f>IF(V97&gt;85,("A"),IF(V97&gt;80,("A-"),IF(V97&gt;75,("B+"),IF(V97&gt;70,("B"),IF(V97&gt;65,("B-"),IF(V97&gt;60,("C+"),IF(V97&gt;55,("C"),IF(V97&gt;50,("C-"),"D+"))))))))</f>
        <v>D+</v>
      </c>
    </row>
    <row r="98" spans="1:23" ht="24.95" customHeight="1" x14ac:dyDescent="0.25">
      <c r="A98" s="360"/>
      <c r="B98" s="1326">
        <v>19</v>
      </c>
      <c r="C98" s="1839"/>
      <c r="D98" s="1893" t="s">
        <v>7</v>
      </c>
      <c r="E98" s="627"/>
      <c r="F98" s="1905">
        <f t="shared" ref="F98:F100" si="135">E98*2</f>
        <v>0</v>
      </c>
      <c r="G98" s="1891"/>
      <c r="H98" s="627">
        <f>VLOOKUP(B97,REKAP_NILAI,25,FALSE)</f>
        <v>0</v>
      </c>
      <c r="I98" s="709">
        <f t="shared" ref="I98:I100" si="136">F98+G98+H98</f>
        <v>0</v>
      </c>
      <c r="J98" s="710">
        <f t="shared" ref="J98:J100" si="137">(F98+G98+H98)/4</f>
        <v>0</v>
      </c>
      <c r="K98" s="711" t="str">
        <f t="shared" ref="K98:K101" si="138">IF(J98&gt;85,("4"),IF(J98&gt;80,("3.66"),IF(J98&gt;75,("3.33"),IF(J98&gt;70,("3.00"),IF(J98&gt;65,("2.66"),IF(J98&gt;60,("2.33"),IF(J98&gt;55,("2"),IF(J98&gt;50,("1.66"),"1.33"))))))))</f>
        <v>1.33</v>
      </c>
      <c r="L98" s="711" t="str">
        <f t="shared" ref="L98:L101" si="139">IF(J98&gt;85,("A"),IF(J98&gt;80,("A-"),IF(J98&gt;75,("B+"),IF(J98&gt;70,("B"),IF(J98&gt;65,("B-"),IF(J98&gt;60,("C+"),IF(J98&gt;55,("C"),IF(J98&gt;50,("C-"),"D+"))))))))</f>
        <v>D+</v>
      </c>
      <c r="M98" s="712" t="str">
        <f t="shared" ref="M98:M101" si="140">IF(J98&gt;80,("SB"),IF(J98&gt;65,("B"),IF(J98&gt;50,("C"),IF(J98&gt;0,("K"),"0"))))</f>
        <v>0</v>
      </c>
      <c r="N98" s="1463"/>
      <c r="O98" s="1464"/>
      <c r="P98" s="1464"/>
      <c r="Q98" s="1464"/>
      <c r="R98" s="1465"/>
      <c r="S98" s="1465"/>
      <c r="T98" s="1465"/>
      <c r="U98" s="1466"/>
      <c r="V98" s="1529"/>
      <c r="W98" s="1530"/>
    </row>
    <row r="99" spans="1:23" ht="24.95" customHeight="1" x14ac:dyDescent="0.25">
      <c r="A99" s="360"/>
      <c r="B99" s="1326">
        <v>19</v>
      </c>
      <c r="C99" s="1839"/>
      <c r="D99" s="1893" t="s">
        <v>10</v>
      </c>
      <c r="E99" s="627"/>
      <c r="F99" s="1905">
        <f t="shared" si="135"/>
        <v>0</v>
      </c>
      <c r="G99" s="1891"/>
      <c r="H99" s="627">
        <f>VLOOKUP(B97,REKAP_NILAI,26,FALSE)</f>
        <v>0</v>
      </c>
      <c r="I99" s="709">
        <f t="shared" si="136"/>
        <v>0</v>
      </c>
      <c r="J99" s="710">
        <f t="shared" si="137"/>
        <v>0</v>
      </c>
      <c r="K99" s="711" t="str">
        <f t="shared" si="138"/>
        <v>1.33</v>
      </c>
      <c r="L99" s="711" t="str">
        <f t="shared" si="139"/>
        <v>D+</v>
      </c>
      <c r="M99" s="712" t="str">
        <f t="shared" si="140"/>
        <v>0</v>
      </c>
      <c r="N99" s="1467"/>
      <c r="O99" s="1468"/>
      <c r="P99" s="1468"/>
      <c r="Q99" s="1468"/>
      <c r="R99" s="1469"/>
      <c r="S99" s="1469"/>
      <c r="T99" s="1469"/>
      <c r="U99" s="1470"/>
      <c r="V99" s="1531"/>
      <c r="W99" s="1532"/>
    </row>
    <row r="100" spans="1:23" ht="24.95" customHeight="1" x14ac:dyDescent="0.25">
      <c r="A100" s="360"/>
      <c r="B100" s="1326">
        <v>19</v>
      </c>
      <c r="C100" s="1839"/>
      <c r="D100" s="1893" t="s">
        <v>8</v>
      </c>
      <c r="E100" s="627"/>
      <c r="F100" s="1905">
        <f t="shared" si="135"/>
        <v>0</v>
      </c>
      <c r="G100" s="1891"/>
      <c r="H100" s="627">
        <f>VLOOKUP(B97,REKAP_NILAI,27,FALSE)</f>
        <v>0</v>
      </c>
      <c r="I100" s="709">
        <f t="shared" si="136"/>
        <v>0</v>
      </c>
      <c r="J100" s="710">
        <f t="shared" si="137"/>
        <v>0</v>
      </c>
      <c r="K100" s="711" t="str">
        <f t="shared" si="138"/>
        <v>1.33</v>
      </c>
      <c r="L100" s="711" t="str">
        <f t="shared" si="139"/>
        <v>D+</v>
      </c>
      <c r="M100" s="712" t="str">
        <f t="shared" si="140"/>
        <v>0</v>
      </c>
      <c r="N100" s="1467"/>
      <c r="O100" s="1468"/>
      <c r="P100" s="1468"/>
      <c r="Q100" s="1468"/>
      <c r="R100" s="1469"/>
      <c r="S100" s="1469"/>
      <c r="T100" s="1469"/>
      <c r="U100" s="1470"/>
      <c r="V100" s="1533"/>
      <c r="W100" s="1534"/>
    </row>
    <row r="101" spans="1:23" ht="24.95" customHeight="1" x14ac:dyDescent="0.25">
      <c r="A101" s="697"/>
      <c r="B101" s="698"/>
      <c r="C101" s="635" t="s">
        <v>149</v>
      </c>
      <c r="D101" s="700">
        <v>19</v>
      </c>
      <c r="E101" s="697"/>
      <c r="F101" s="1906"/>
      <c r="G101" s="697"/>
      <c r="H101" s="1189">
        <f>AVERAGE(H97:H100)</f>
        <v>0</v>
      </c>
      <c r="I101" s="705"/>
      <c r="J101" s="713">
        <f>AVERAGE(J97:J100)</f>
        <v>0</v>
      </c>
      <c r="K101" s="714" t="str">
        <f t="shared" si="138"/>
        <v>1.33</v>
      </c>
      <c r="L101" s="714" t="str">
        <f t="shared" si="139"/>
        <v>D+</v>
      </c>
      <c r="M101" s="888" t="str">
        <f t="shared" si="140"/>
        <v>0</v>
      </c>
      <c r="N101" s="701"/>
      <c r="O101" s="702"/>
      <c r="P101" s="702"/>
      <c r="Q101" s="702"/>
      <c r="R101" s="1155"/>
      <c r="S101" s="1155"/>
      <c r="T101" s="1155"/>
      <c r="U101" s="1162"/>
      <c r="V101" s="1257"/>
      <c r="W101" s="1258"/>
    </row>
    <row r="102" spans="1:23" ht="24.95" customHeight="1" thickBot="1" x14ac:dyDescent="0.3">
      <c r="A102" s="1892">
        <v>20</v>
      </c>
      <c r="B102" s="1326">
        <v>20</v>
      </c>
      <c r="C102" s="1840" t="str">
        <f>VLOOKUP(A102,data_siswa,4,FALSE)</f>
        <v>Roby Ardiyansyah</v>
      </c>
      <c r="D102" s="1893" t="s">
        <v>12</v>
      </c>
      <c r="E102" s="627"/>
      <c r="F102" s="1904">
        <f>E102*2</f>
        <v>0</v>
      </c>
      <c r="G102" s="1891"/>
      <c r="H102" s="627">
        <f>VLOOKUP(B102,REKAP_NILAI,24,FALSE)</f>
        <v>0</v>
      </c>
      <c r="I102" s="706">
        <f>F102+G102+H102</f>
        <v>0</v>
      </c>
      <c r="J102" s="707">
        <f>(F102+G102+H102)/4</f>
        <v>0</v>
      </c>
      <c r="K102" s="708" t="str">
        <f>IF(J102&gt;85,("4"),IF(J102&gt;80,("3.66"),IF(J102&gt;75,("3.33"),IF(J102&gt;70,("3.00"),IF(J102&gt;65,("2.66"),IF(J102&gt;60,("2.33"),IF(J102&gt;55,("2"),IF(J102&gt;50,("1.66"),"1.33"))))))))</f>
        <v>1.33</v>
      </c>
      <c r="L102" s="708" t="str">
        <f>IF(J102&gt;85,("A"),IF(J102&gt;80,("A-"),IF(J102&gt;75,("B+"),IF(J102&gt;70,("B"),IF(J102&gt;65,("B-"),IF(J102&gt;60,("C+"),IF(J102&gt;55,("C"),IF(J102&gt;50,("C-"),"D+"))))))))</f>
        <v>D+</v>
      </c>
      <c r="M102" s="887" t="str">
        <f>IF(J102&gt;80,("SB"),IF(J102&gt;65,("B"),IF(J102&gt;50,("C"),IF(J102&gt;0,("K"),"0"))))</f>
        <v>0</v>
      </c>
      <c r="N102" s="1474"/>
      <c r="O102" s="1474"/>
      <c r="P102" s="1474"/>
      <c r="Q102" s="1474"/>
      <c r="R102" s="1475"/>
      <c r="S102" s="1476"/>
      <c r="T102" s="1476"/>
      <c r="U102" s="1476"/>
      <c r="V102" s="1057">
        <f>AVERAGE(J102:J105)</f>
        <v>0</v>
      </c>
      <c r="W102" s="1194" t="str">
        <f>IF(V102&gt;85,("A"),IF(V102&gt;80,("A-"),IF(V102&gt;75,("B+"),IF(V102&gt;70,("B"),IF(V102&gt;65,("B-"),IF(V102&gt;60,("C+"),IF(V102&gt;55,("C"),IF(V102&gt;50,("C-"),"D+"))))))))</f>
        <v>D+</v>
      </c>
    </row>
    <row r="103" spans="1:23" ht="24.95" customHeight="1" x14ac:dyDescent="0.25">
      <c r="A103" s="360"/>
      <c r="B103" s="1326">
        <v>20</v>
      </c>
      <c r="C103" s="1839"/>
      <c r="D103" s="1893" t="s">
        <v>7</v>
      </c>
      <c r="E103" s="627"/>
      <c r="F103" s="1905">
        <f t="shared" ref="F103:F105" si="141">E103*2</f>
        <v>0</v>
      </c>
      <c r="G103" s="1891"/>
      <c r="H103" s="627">
        <f>VLOOKUP(B102,REKAP_NILAI,25,FALSE)</f>
        <v>0</v>
      </c>
      <c r="I103" s="709">
        <f t="shared" ref="I103:I105" si="142">F103+G103+H103</f>
        <v>0</v>
      </c>
      <c r="J103" s="710">
        <f t="shared" ref="J103:J105" si="143">(F103+G103+H103)/4</f>
        <v>0</v>
      </c>
      <c r="K103" s="711" t="str">
        <f t="shared" ref="K103:K105" si="144">IF(J103&gt;85,("4"),IF(J103&gt;80,("3.66"),IF(J103&gt;75,("3.33"),IF(J103&gt;70,("3.00"),IF(J103&gt;65,("2.66"),IF(J103&gt;60,("2.33"),IF(J103&gt;55,("2"),IF(J103&gt;50,("1.66"),"1.33"))))))))</f>
        <v>1.33</v>
      </c>
      <c r="L103" s="711" t="str">
        <f t="shared" ref="L103:L105" si="145">IF(J103&gt;85,("A"),IF(J103&gt;80,("A-"),IF(J103&gt;75,("B+"),IF(J103&gt;70,("B"),IF(J103&gt;65,("B-"),IF(J103&gt;60,("C+"),IF(J103&gt;55,("C"),IF(J103&gt;50,("C-"),"D+"))))))))</f>
        <v>D+</v>
      </c>
      <c r="M103" s="712" t="str">
        <f t="shared" ref="M103:M105" si="146">IF(J103&gt;80,("SB"),IF(J103&gt;65,("B"),IF(J103&gt;50,("C"),IF(J103&gt;0,("K"),"0"))))</f>
        <v>0</v>
      </c>
      <c r="N103" s="1463"/>
      <c r="O103" s="1464"/>
      <c r="P103" s="1464"/>
      <c r="Q103" s="1464"/>
      <c r="R103" s="1465"/>
      <c r="S103" s="1465"/>
      <c r="T103" s="1465"/>
      <c r="U103" s="1466"/>
      <c r="V103" s="1529"/>
      <c r="W103" s="1530"/>
    </row>
    <row r="104" spans="1:23" ht="24.95" customHeight="1" x14ac:dyDescent="0.25">
      <c r="A104" s="360"/>
      <c r="B104" s="1326">
        <v>20</v>
      </c>
      <c r="C104" s="1839"/>
      <c r="D104" s="1893" t="s">
        <v>10</v>
      </c>
      <c r="E104" s="627"/>
      <c r="F104" s="1905">
        <f t="shared" si="141"/>
        <v>0</v>
      </c>
      <c r="G104" s="1891"/>
      <c r="H104" s="627">
        <f>VLOOKUP(B102,REKAP_NILAI,26,FALSE)</f>
        <v>0</v>
      </c>
      <c r="I104" s="709">
        <f t="shared" si="142"/>
        <v>0</v>
      </c>
      <c r="J104" s="710">
        <f t="shared" si="143"/>
        <v>0</v>
      </c>
      <c r="K104" s="711" t="str">
        <f t="shared" si="144"/>
        <v>1.33</v>
      </c>
      <c r="L104" s="711" t="str">
        <f t="shared" si="145"/>
        <v>D+</v>
      </c>
      <c r="M104" s="712" t="str">
        <f t="shared" si="146"/>
        <v>0</v>
      </c>
      <c r="N104" s="1467"/>
      <c r="O104" s="1468"/>
      <c r="P104" s="1468"/>
      <c r="Q104" s="1468"/>
      <c r="R104" s="1469"/>
      <c r="S104" s="1469"/>
      <c r="T104" s="1469"/>
      <c r="U104" s="1470"/>
      <c r="V104" s="1531"/>
      <c r="W104" s="1532"/>
    </row>
    <row r="105" spans="1:23" ht="24.95" customHeight="1" x14ac:dyDescent="0.25">
      <c r="A105" s="360"/>
      <c r="B105" s="1326">
        <v>20</v>
      </c>
      <c r="C105" s="1839"/>
      <c r="D105" s="1893" t="s">
        <v>8</v>
      </c>
      <c r="E105" s="627"/>
      <c r="F105" s="1905">
        <f t="shared" si="141"/>
        <v>0</v>
      </c>
      <c r="G105" s="1891"/>
      <c r="H105" s="627">
        <f>VLOOKUP(B102,REKAP_NILAI,27,FALSE)</f>
        <v>0</v>
      </c>
      <c r="I105" s="709">
        <f t="shared" si="142"/>
        <v>0</v>
      </c>
      <c r="J105" s="710">
        <f t="shared" si="143"/>
        <v>0</v>
      </c>
      <c r="K105" s="711" t="str">
        <f t="shared" si="144"/>
        <v>1.33</v>
      </c>
      <c r="L105" s="711" t="str">
        <f t="shared" si="145"/>
        <v>D+</v>
      </c>
      <c r="M105" s="712" t="str">
        <f t="shared" si="146"/>
        <v>0</v>
      </c>
      <c r="N105" s="1467"/>
      <c r="O105" s="1468"/>
      <c r="P105" s="1468"/>
      <c r="Q105" s="1468"/>
      <c r="R105" s="1469"/>
      <c r="S105" s="1469"/>
      <c r="T105" s="1469"/>
      <c r="U105" s="1470"/>
      <c r="V105" s="1533"/>
      <c r="W105" s="1534"/>
    </row>
    <row r="106" spans="1:23" ht="24.95" customHeight="1" x14ac:dyDescent="0.25">
      <c r="A106" s="697"/>
      <c r="B106" s="698"/>
      <c r="C106" s="635" t="s">
        <v>149</v>
      </c>
      <c r="D106" s="700">
        <v>20</v>
      </c>
      <c r="E106" s="697"/>
      <c r="F106" s="1906"/>
      <c r="G106" s="697"/>
      <c r="H106" s="1189">
        <f>AVERAGE(H102:H105)</f>
        <v>0</v>
      </c>
      <c r="I106" s="705"/>
      <c r="J106" s="713">
        <f>AVERAGE(J102:J105)</f>
        <v>0</v>
      </c>
      <c r="K106" s="714" t="str">
        <f t="shared" ref="K106" si="147">IF(J106&gt;85,("4"),IF(J106&gt;80,("3.66"),IF(J106&gt;75,("3.33"),IF(J106&gt;70,("3.00"),IF(J106&gt;65,("2.66"),IF(J106&gt;60,("2.33"),IF(J106&gt;55,("2"),IF(J106&gt;50,("1.66"),"1.33"))))))))</f>
        <v>1.33</v>
      </c>
      <c r="L106" s="714" t="str">
        <f t="shared" ref="L106" si="148">IF(J106&gt;85,("A"),IF(J106&gt;80,("A-"),IF(J106&gt;75,("B+"),IF(J106&gt;70,("B"),IF(J106&gt;65,("B-"),IF(J106&gt;60,("C+"),IF(J106&gt;55,("C"),IF(J106&gt;50,("C-"),"D+"))))))))</f>
        <v>D+</v>
      </c>
      <c r="M106" s="888" t="str">
        <f t="shared" ref="M106" si="149">IF(J106&gt;80,("SB"),IF(J106&gt;65,("B"),IF(J106&gt;50,("C"),IF(J106&gt;0,("K"),"0"))))</f>
        <v>0</v>
      </c>
      <c r="N106" s="701"/>
      <c r="O106" s="702"/>
      <c r="P106" s="702"/>
      <c r="Q106" s="702"/>
      <c r="R106" s="1155"/>
      <c r="S106" s="1155"/>
      <c r="T106" s="1155"/>
      <c r="U106" s="1162"/>
      <c r="V106" s="1257"/>
      <c r="W106" s="1258"/>
    </row>
    <row r="107" spans="1:23" ht="24.95" customHeight="1" thickBot="1" x14ac:dyDescent="0.3">
      <c r="A107" s="360">
        <v>21</v>
      </c>
      <c r="B107" s="683">
        <v>21</v>
      </c>
      <c r="C107" s="1838" t="str">
        <f>VLOOKUP(A107,data_siswa,4,FALSE)</f>
        <v>Rojalingga Prana A</v>
      </c>
      <c r="D107" s="1893" t="s">
        <v>12</v>
      </c>
      <c r="E107" s="627"/>
      <c r="F107" s="1904">
        <f>E107*2</f>
        <v>0</v>
      </c>
      <c r="G107" s="1891"/>
      <c r="H107" s="627">
        <f>VLOOKUP(B107,REKAP_NILAI,24,FALSE)</f>
        <v>0</v>
      </c>
      <c r="I107" s="706">
        <f>F107+G107+H107</f>
        <v>0</v>
      </c>
      <c r="J107" s="707">
        <f>(F107+G107+H107)/4</f>
        <v>0</v>
      </c>
      <c r="K107" s="708" t="str">
        <f>IF(J107&gt;85,("4"),IF(J107&gt;80,("3.66"),IF(J107&gt;75,("3.33"),IF(J107&gt;70,("3.00"),IF(J107&gt;65,("2.66"),IF(J107&gt;60,("2.33"),IF(J107&gt;55,("2"),IF(J107&gt;50,("1.66"),"1.33"))))))))</f>
        <v>1.33</v>
      </c>
      <c r="L107" s="708" t="str">
        <f>IF(J107&gt;85,("A"),IF(J107&gt;80,("A-"),IF(J107&gt;75,("B+"),IF(J107&gt;70,("B"),IF(J107&gt;65,("B-"),IF(J107&gt;60,("C+"),IF(J107&gt;55,("C"),IF(J107&gt;50,("C-"),"D+"))))))))</f>
        <v>D+</v>
      </c>
      <c r="M107" s="887" t="str">
        <f>IF(J107&gt;80,("SB"),IF(J107&gt;65,("B"),IF(J107&gt;50,("C"),IF(J107&gt;0,("K"),"0"))))</f>
        <v>0</v>
      </c>
      <c r="N107" s="1471"/>
      <c r="O107" s="1471"/>
      <c r="P107" s="1471"/>
      <c r="Q107" s="1471"/>
      <c r="R107" s="1472"/>
      <c r="S107" s="1473"/>
      <c r="T107" s="1473"/>
      <c r="U107" s="1473"/>
      <c r="V107" s="1057">
        <f>AVERAGE(J107:J110)</f>
        <v>0</v>
      </c>
      <c r="W107" s="1194" t="str">
        <f>IF(V107&gt;85,("A"),IF(V107&gt;80,("A-"),IF(V107&gt;75,("B+"),IF(V107&gt;70,("B"),IF(V107&gt;65,("B-"),IF(V107&gt;60,("C+"),IF(V107&gt;55,("C"),IF(V107&gt;50,("C-"),"D+"))))))))</f>
        <v>D+</v>
      </c>
    </row>
    <row r="108" spans="1:23" ht="24.95" customHeight="1" x14ac:dyDescent="0.25">
      <c r="A108" s="360"/>
      <c r="B108" s="683">
        <v>21</v>
      </c>
      <c r="C108" s="1839"/>
      <c r="D108" s="1893" t="s">
        <v>7</v>
      </c>
      <c r="E108" s="627"/>
      <c r="F108" s="1905">
        <f t="shared" ref="F108:F110" si="150">E108*2</f>
        <v>0</v>
      </c>
      <c r="G108" s="1891"/>
      <c r="H108" s="627">
        <f>VLOOKUP(B107,REKAP_NILAI,25,FALSE)</f>
        <v>0</v>
      </c>
      <c r="I108" s="709">
        <f t="shared" ref="I108:I110" si="151">F108+G108+H108</f>
        <v>0</v>
      </c>
      <c r="J108" s="710">
        <f t="shared" ref="J108:J110" si="152">(F108+G108+H108)/4</f>
        <v>0</v>
      </c>
      <c r="K108" s="711" t="str">
        <f t="shared" ref="K108:K111" si="153">IF(J108&gt;85,("4"),IF(J108&gt;80,("3.66"),IF(J108&gt;75,("3.33"),IF(J108&gt;70,("3.00"),IF(J108&gt;65,("2.66"),IF(J108&gt;60,("2.33"),IF(J108&gt;55,("2"),IF(J108&gt;50,("1.66"),"1.33"))))))))</f>
        <v>1.33</v>
      </c>
      <c r="L108" s="711" t="str">
        <f t="shared" ref="L108:L111" si="154">IF(J108&gt;85,("A"),IF(J108&gt;80,("A-"),IF(J108&gt;75,("B+"),IF(J108&gt;70,("B"),IF(J108&gt;65,("B-"),IF(J108&gt;60,("C+"),IF(J108&gt;55,("C"),IF(J108&gt;50,("C-"),"D+"))))))))</f>
        <v>D+</v>
      </c>
      <c r="M108" s="712" t="str">
        <f t="shared" ref="M108:M111" si="155">IF(J108&gt;80,("SB"),IF(J108&gt;65,("B"),IF(J108&gt;50,("C"),IF(J108&gt;0,("K"),"0"))))</f>
        <v>0</v>
      </c>
      <c r="N108" s="1463"/>
      <c r="O108" s="1464"/>
      <c r="P108" s="1464"/>
      <c r="Q108" s="1464"/>
      <c r="R108" s="1465"/>
      <c r="S108" s="1465"/>
      <c r="T108" s="1465"/>
      <c r="U108" s="1466"/>
      <c r="V108" s="1529"/>
      <c r="W108" s="1530"/>
    </row>
    <row r="109" spans="1:23" ht="24.95" customHeight="1" x14ac:dyDescent="0.25">
      <c r="A109" s="360"/>
      <c r="B109" s="683">
        <v>21</v>
      </c>
      <c r="C109" s="1839"/>
      <c r="D109" s="1893" t="s">
        <v>10</v>
      </c>
      <c r="E109" s="627"/>
      <c r="F109" s="1905">
        <f t="shared" si="150"/>
        <v>0</v>
      </c>
      <c r="G109" s="1891"/>
      <c r="H109" s="627">
        <f>VLOOKUP(B107,REKAP_NILAI,26,FALSE)</f>
        <v>0</v>
      </c>
      <c r="I109" s="709">
        <f t="shared" si="151"/>
        <v>0</v>
      </c>
      <c r="J109" s="710">
        <f t="shared" si="152"/>
        <v>0</v>
      </c>
      <c r="K109" s="711" t="str">
        <f t="shared" si="153"/>
        <v>1.33</v>
      </c>
      <c r="L109" s="711" t="str">
        <f t="shared" si="154"/>
        <v>D+</v>
      </c>
      <c r="M109" s="712" t="str">
        <f t="shared" si="155"/>
        <v>0</v>
      </c>
      <c r="N109" s="1467"/>
      <c r="O109" s="1468"/>
      <c r="P109" s="1468"/>
      <c r="Q109" s="1468"/>
      <c r="R109" s="1469"/>
      <c r="S109" s="1469"/>
      <c r="T109" s="1469"/>
      <c r="U109" s="1470"/>
      <c r="V109" s="1531"/>
      <c r="W109" s="1532"/>
    </row>
    <row r="110" spans="1:23" ht="24.95" customHeight="1" x14ac:dyDescent="0.25">
      <c r="A110" s="360"/>
      <c r="B110" s="683">
        <v>21</v>
      </c>
      <c r="C110" s="1839"/>
      <c r="D110" s="1893" t="s">
        <v>8</v>
      </c>
      <c r="E110" s="627"/>
      <c r="F110" s="1905">
        <f t="shared" si="150"/>
        <v>0</v>
      </c>
      <c r="G110" s="1891"/>
      <c r="H110" s="627">
        <f>VLOOKUP(B107,REKAP_NILAI,27,FALSE)</f>
        <v>0</v>
      </c>
      <c r="I110" s="709">
        <f t="shared" si="151"/>
        <v>0</v>
      </c>
      <c r="J110" s="710">
        <f t="shared" si="152"/>
        <v>0</v>
      </c>
      <c r="K110" s="711" t="str">
        <f t="shared" si="153"/>
        <v>1.33</v>
      </c>
      <c r="L110" s="711" t="str">
        <f t="shared" si="154"/>
        <v>D+</v>
      </c>
      <c r="M110" s="712" t="str">
        <f t="shared" si="155"/>
        <v>0</v>
      </c>
      <c r="N110" s="1467"/>
      <c r="O110" s="1468"/>
      <c r="P110" s="1468"/>
      <c r="Q110" s="1468"/>
      <c r="R110" s="1469"/>
      <c r="S110" s="1469"/>
      <c r="T110" s="1469"/>
      <c r="U110" s="1470"/>
      <c r="V110" s="1533"/>
      <c r="W110" s="1534"/>
    </row>
    <row r="111" spans="1:23" ht="24.95" customHeight="1" x14ac:dyDescent="0.25">
      <c r="A111" s="697"/>
      <c r="B111" s="698"/>
      <c r="C111" s="635" t="s">
        <v>149</v>
      </c>
      <c r="D111" s="700">
        <v>21</v>
      </c>
      <c r="E111" s="697"/>
      <c r="F111" s="1906"/>
      <c r="G111" s="697"/>
      <c r="H111" s="1189">
        <f>AVERAGE(H107:H110)</f>
        <v>0</v>
      </c>
      <c r="I111" s="705"/>
      <c r="J111" s="713">
        <f>AVERAGE(J107:J110)</f>
        <v>0</v>
      </c>
      <c r="K111" s="714" t="str">
        <f t="shared" si="153"/>
        <v>1.33</v>
      </c>
      <c r="L111" s="714" t="str">
        <f t="shared" si="154"/>
        <v>D+</v>
      </c>
      <c r="M111" s="888" t="str">
        <f t="shared" si="155"/>
        <v>0</v>
      </c>
      <c r="N111" s="701"/>
      <c r="O111" s="702"/>
      <c r="P111" s="702"/>
      <c r="Q111" s="702"/>
      <c r="R111" s="1155"/>
      <c r="S111" s="1155"/>
      <c r="T111" s="1155"/>
      <c r="U111" s="1162"/>
      <c r="V111" s="1257"/>
      <c r="W111" s="1258"/>
    </row>
    <row r="112" spans="1:23" ht="24.95" customHeight="1" thickBot="1" x14ac:dyDescent="0.3">
      <c r="A112" s="360">
        <v>22</v>
      </c>
      <c r="B112" s="683">
        <v>22</v>
      </c>
      <c r="C112" s="1838" t="str">
        <f>VLOOKUP(A112,data_siswa,4,FALSE)</f>
        <v>Sally Savista A</v>
      </c>
      <c r="D112" s="1893" t="s">
        <v>12</v>
      </c>
      <c r="E112" s="627"/>
      <c r="F112" s="1904">
        <f>E112*2</f>
        <v>0</v>
      </c>
      <c r="G112" s="1891"/>
      <c r="H112" s="627">
        <f>VLOOKUP(B112,REKAP_NILAI,24,FALSE)</f>
        <v>0</v>
      </c>
      <c r="I112" s="706">
        <f>F112+G112+H112</f>
        <v>0</v>
      </c>
      <c r="J112" s="707">
        <f>(F112+G112+H112)/4</f>
        <v>0</v>
      </c>
      <c r="K112" s="708" t="str">
        <f>IF(J112&gt;85,("4"),IF(J112&gt;80,("3.66"),IF(J112&gt;75,("3.33"),IF(J112&gt;70,("3.00"),IF(J112&gt;65,("2.66"),IF(J112&gt;60,("2.33"),IF(J112&gt;55,("2"),IF(J112&gt;50,("1.66"),"1.33"))))))))</f>
        <v>1.33</v>
      </c>
      <c r="L112" s="708" t="str">
        <f>IF(J112&gt;85,("A"),IF(J112&gt;80,("A-"),IF(J112&gt;75,("B+"),IF(J112&gt;70,("B"),IF(J112&gt;65,("B-"),IF(J112&gt;60,("C+"),IF(J112&gt;55,("C"),IF(J112&gt;50,("C-"),"D+"))))))))</f>
        <v>D+</v>
      </c>
      <c r="M112" s="887" t="str">
        <f>IF(J112&gt;80,("SB"),IF(J112&gt;65,("B"),IF(J112&gt;50,("C"),IF(J112&gt;0,("K"),"0"))))</f>
        <v>0</v>
      </c>
      <c r="N112" s="1471"/>
      <c r="O112" s="1471"/>
      <c r="P112" s="1471"/>
      <c r="Q112" s="1471"/>
      <c r="R112" s="1472"/>
      <c r="S112" s="1473"/>
      <c r="T112" s="1473"/>
      <c r="U112" s="1473"/>
      <c r="V112" s="1057">
        <f>AVERAGE(J112:J115)</f>
        <v>0</v>
      </c>
      <c r="W112" s="1194" t="str">
        <f>IF(V112&gt;85,("A"),IF(V112&gt;80,("A-"),IF(V112&gt;75,("B+"),IF(V112&gt;70,("B"),IF(V112&gt;65,("B-"),IF(V112&gt;60,("C+"),IF(V112&gt;55,("C"),IF(V112&gt;50,("C-"),"D+"))))))))</f>
        <v>D+</v>
      </c>
    </row>
    <row r="113" spans="1:23" ht="24.95" customHeight="1" x14ac:dyDescent="0.25">
      <c r="A113" s="360"/>
      <c r="B113" s="683">
        <v>22</v>
      </c>
      <c r="C113" s="1839"/>
      <c r="D113" s="1893" t="s">
        <v>7</v>
      </c>
      <c r="E113" s="627"/>
      <c r="F113" s="1905">
        <f t="shared" ref="F113:F115" si="156">E113*2</f>
        <v>0</v>
      </c>
      <c r="G113" s="1891"/>
      <c r="H113" s="627">
        <f>VLOOKUP(B112,REKAP_NILAI,25,FALSE)</f>
        <v>0</v>
      </c>
      <c r="I113" s="709">
        <f t="shared" ref="I113:I115" si="157">F113+G113+H113</f>
        <v>0</v>
      </c>
      <c r="J113" s="710">
        <f t="shared" ref="J113:J115" si="158">(F113+G113+H113)/4</f>
        <v>0</v>
      </c>
      <c r="K113" s="711" t="str">
        <f t="shared" ref="K113:K116" si="159">IF(J113&gt;85,("4"),IF(J113&gt;80,("3.66"),IF(J113&gt;75,("3.33"),IF(J113&gt;70,("3.00"),IF(J113&gt;65,("2.66"),IF(J113&gt;60,("2.33"),IF(J113&gt;55,("2"),IF(J113&gt;50,("1.66"),"1.33"))))))))</f>
        <v>1.33</v>
      </c>
      <c r="L113" s="711" t="str">
        <f t="shared" ref="L113:L116" si="160">IF(J113&gt;85,("A"),IF(J113&gt;80,("A-"),IF(J113&gt;75,("B+"),IF(J113&gt;70,("B"),IF(J113&gt;65,("B-"),IF(J113&gt;60,("C+"),IF(J113&gt;55,("C"),IF(J113&gt;50,("C-"),"D+"))))))))</f>
        <v>D+</v>
      </c>
      <c r="M113" s="712" t="str">
        <f t="shared" ref="M113:M116" si="161">IF(J113&gt;80,("SB"),IF(J113&gt;65,("B"),IF(J113&gt;50,("C"),IF(J113&gt;0,("K"),"0"))))</f>
        <v>0</v>
      </c>
      <c r="N113" s="1463"/>
      <c r="O113" s="1464"/>
      <c r="P113" s="1464"/>
      <c r="Q113" s="1464"/>
      <c r="R113" s="1465"/>
      <c r="S113" s="1465"/>
      <c r="T113" s="1465"/>
      <c r="U113" s="1466"/>
      <c r="V113" s="1529"/>
      <c r="W113" s="1530"/>
    </row>
    <row r="114" spans="1:23" ht="24.95" customHeight="1" x14ac:dyDescent="0.25">
      <c r="A114" s="360"/>
      <c r="B114" s="683">
        <v>22</v>
      </c>
      <c r="C114" s="1839"/>
      <c r="D114" s="1893" t="s">
        <v>10</v>
      </c>
      <c r="E114" s="627"/>
      <c r="F114" s="1905">
        <f t="shared" si="156"/>
        <v>0</v>
      </c>
      <c r="G114" s="1891"/>
      <c r="H114" s="627">
        <f>VLOOKUP(B112,REKAP_NILAI,26,FALSE)</f>
        <v>0</v>
      </c>
      <c r="I114" s="709">
        <f t="shared" si="157"/>
        <v>0</v>
      </c>
      <c r="J114" s="710">
        <f t="shared" si="158"/>
        <v>0</v>
      </c>
      <c r="K114" s="711" t="str">
        <f t="shared" si="159"/>
        <v>1.33</v>
      </c>
      <c r="L114" s="711" t="str">
        <f t="shared" si="160"/>
        <v>D+</v>
      </c>
      <c r="M114" s="712" t="str">
        <f t="shared" si="161"/>
        <v>0</v>
      </c>
      <c r="N114" s="1467"/>
      <c r="O114" s="1468"/>
      <c r="P114" s="1468"/>
      <c r="Q114" s="1468"/>
      <c r="R114" s="1469"/>
      <c r="S114" s="1469"/>
      <c r="T114" s="1469"/>
      <c r="U114" s="1470"/>
      <c r="V114" s="1531"/>
      <c r="W114" s="1532"/>
    </row>
    <row r="115" spans="1:23" ht="24.95" customHeight="1" x14ac:dyDescent="0.25">
      <c r="A115" s="360"/>
      <c r="B115" s="683">
        <v>22</v>
      </c>
      <c r="C115" s="1839"/>
      <c r="D115" s="1893" t="s">
        <v>8</v>
      </c>
      <c r="E115" s="627"/>
      <c r="F115" s="1905">
        <f t="shared" si="156"/>
        <v>0</v>
      </c>
      <c r="G115" s="1891"/>
      <c r="H115" s="627">
        <f>VLOOKUP(B112,REKAP_NILAI,27,FALSE)</f>
        <v>0</v>
      </c>
      <c r="I115" s="709">
        <f t="shared" si="157"/>
        <v>0</v>
      </c>
      <c r="J115" s="710">
        <f t="shared" si="158"/>
        <v>0</v>
      </c>
      <c r="K115" s="711" t="str">
        <f t="shared" si="159"/>
        <v>1.33</v>
      </c>
      <c r="L115" s="711" t="str">
        <f t="shared" si="160"/>
        <v>D+</v>
      </c>
      <c r="M115" s="712" t="str">
        <f t="shared" si="161"/>
        <v>0</v>
      </c>
      <c r="N115" s="1467"/>
      <c r="O115" s="1468"/>
      <c r="P115" s="1468"/>
      <c r="Q115" s="1468"/>
      <c r="R115" s="1469"/>
      <c r="S115" s="1469"/>
      <c r="T115" s="1469"/>
      <c r="U115" s="1470"/>
      <c r="V115" s="1533"/>
      <c r="W115" s="1534"/>
    </row>
    <row r="116" spans="1:23" ht="24.95" customHeight="1" x14ac:dyDescent="0.25">
      <c r="A116" s="697"/>
      <c r="B116" s="698"/>
      <c r="C116" s="635" t="s">
        <v>149</v>
      </c>
      <c r="D116" s="700">
        <v>22</v>
      </c>
      <c r="E116" s="697"/>
      <c r="F116" s="1906"/>
      <c r="G116" s="697"/>
      <c r="H116" s="1189">
        <f>AVERAGE(H112:H115)</f>
        <v>0</v>
      </c>
      <c r="I116" s="705"/>
      <c r="J116" s="713">
        <f>AVERAGE(J112:J115)</f>
        <v>0</v>
      </c>
      <c r="K116" s="714" t="str">
        <f t="shared" si="159"/>
        <v>1.33</v>
      </c>
      <c r="L116" s="714" t="str">
        <f t="shared" si="160"/>
        <v>D+</v>
      </c>
      <c r="M116" s="888" t="str">
        <f t="shared" si="161"/>
        <v>0</v>
      </c>
      <c r="N116" s="1154"/>
      <c r="O116" s="1155"/>
      <c r="P116" s="1155"/>
      <c r="Q116" s="1155"/>
      <c r="R116" s="1155"/>
      <c r="S116" s="1155"/>
      <c r="T116" s="1155"/>
      <c r="U116" s="1162"/>
      <c r="V116" s="1257"/>
      <c r="W116" s="1258"/>
    </row>
    <row r="117" spans="1:23" ht="24.95" customHeight="1" thickBot="1" x14ac:dyDescent="0.3">
      <c r="A117" s="360">
        <v>23</v>
      </c>
      <c r="B117" s="683">
        <v>23</v>
      </c>
      <c r="C117" s="1838" t="str">
        <f>VLOOKUP(A117,data_siswa,4,FALSE)</f>
        <v xml:space="preserve">Tania Kaori Angelita </v>
      </c>
      <c r="D117" s="1893" t="s">
        <v>12</v>
      </c>
      <c r="E117" s="627"/>
      <c r="F117" s="1904">
        <f>E117*2</f>
        <v>0</v>
      </c>
      <c r="G117" s="1891"/>
      <c r="H117" s="627">
        <f>VLOOKUP(B117,REKAP_NILAI,24,FALSE)</f>
        <v>0</v>
      </c>
      <c r="I117" s="706">
        <f>F117+G117+H117</f>
        <v>0</v>
      </c>
      <c r="J117" s="707">
        <f>(F117+G117+H117)/4</f>
        <v>0</v>
      </c>
      <c r="K117" s="708" t="str">
        <f>IF(J117&gt;85,("4"),IF(J117&gt;80,("3.66"),IF(J117&gt;75,("3.33"),IF(J117&gt;70,("3.00"),IF(J117&gt;65,("2.66"),IF(J117&gt;60,("2.33"),IF(J117&gt;55,("2"),IF(J117&gt;50,("1.66"),"1.33"))))))))</f>
        <v>1.33</v>
      </c>
      <c r="L117" s="708" t="str">
        <f>IF(J117&gt;85,("A"),IF(J117&gt;80,("A-"),IF(J117&gt;75,("B+"),IF(J117&gt;70,("B"),IF(J117&gt;65,("B-"),IF(J117&gt;60,("C+"),IF(J117&gt;55,("C"),IF(J117&gt;50,("C-"),"D+"))))))))</f>
        <v>D+</v>
      </c>
      <c r="M117" s="887" t="str">
        <f>IF(J117&gt;80,("SB"),IF(J117&gt;65,("B"),IF(J117&gt;50,("C"),IF(J117&gt;0,("K"),"0"))))</f>
        <v>0</v>
      </c>
      <c r="N117" s="1471"/>
      <c r="O117" s="1471"/>
      <c r="P117" s="1471"/>
      <c r="Q117" s="1471"/>
      <c r="R117" s="1472"/>
      <c r="S117" s="1473"/>
      <c r="T117" s="1473"/>
      <c r="U117" s="1473"/>
      <c r="V117" s="1057">
        <f>AVERAGE(J117:J120)</f>
        <v>0</v>
      </c>
      <c r="W117" s="1194" t="str">
        <f>IF(V117&gt;85,("A"),IF(V117&gt;80,("A-"),IF(V117&gt;75,("B+"),IF(V117&gt;70,("B"),IF(V117&gt;65,("B-"),IF(V117&gt;60,("C+"),IF(V117&gt;55,("C"),IF(V117&gt;50,("C-"),"D+"))))))))</f>
        <v>D+</v>
      </c>
    </row>
    <row r="118" spans="1:23" ht="24.95" customHeight="1" x14ac:dyDescent="0.25">
      <c r="A118" s="360"/>
      <c r="B118" s="683">
        <v>23</v>
      </c>
      <c r="C118" s="1839"/>
      <c r="D118" s="1893" t="s">
        <v>7</v>
      </c>
      <c r="E118" s="627"/>
      <c r="F118" s="1905">
        <f t="shared" ref="F118:F120" si="162">E118*2</f>
        <v>0</v>
      </c>
      <c r="G118" s="1891"/>
      <c r="H118" s="627">
        <f>VLOOKUP(B117,REKAP_NILAI,25,FALSE)</f>
        <v>0</v>
      </c>
      <c r="I118" s="709">
        <f t="shared" ref="I118:I120" si="163">F118+G118+H118</f>
        <v>0</v>
      </c>
      <c r="J118" s="710">
        <f t="shared" ref="J118:J120" si="164">(F118+G118+H118)/4</f>
        <v>0</v>
      </c>
      <c r="K118" s="711" t="str">
        <f t="shared" ref="K118:K121" si="165">IF(J118&gt;85,("4"),IF(J118&gt;80,("3.66"),IF(J118&gt;75,("3.33"),IF(J118&gt;70,("3.00"),IF(J118&gt;65,("2.66"),IF(J118&gt;60,("2.33"),IF(J118&gt;55,("2"),IF(J118&gt;50,("1.66"),"1.33"))))))))</f>
        <v>1.33</v>
      </c>
      <c r="L118" s="711" t="str">
        <f t="shared" ref="L118:L121" si="166">IF(J118&gt;85,("A"),IF(J118&gt;80,("A-"),IF(J118&gt;75,("B+"),IF(J118&gt;70,("B"),IF(J118&gt;65,("B-"),IF(J118&gt;60,("C+"),IF(J118&gt;55,("C"),IF(J118&gt;50,("C-"),"D+"))))))))</f>
        <v>D+</v>
      </c>
      <c r="M118" s="712" t="str">
        <f t="shared" ref="M118:M121" si="167">IF(J118&gt;80,("SB"),IF(J118&gt;65,("B"),IF(J118&gt;50,("C"),IF(J118&gt;0,("K"),"0"))))</f>
        <v>0</v>
      </c>
      <c r="N118" s="1463"/>
      <c r="O118" s="1464"/>
      <c r="P118" s="1464"/>
      <c r="Q118" s="1464"/>
      <c r="R118" s="1465"/>
      <c r="S118" s="1465"/>
      <c r="T118" s="1465"/>
      <c r="U118" s="1466"/>
      <c r="V118" s="1529"/>
      <c r="W118" s="1530"/>
    </row>
    <row r="119" spans="1:23" ht="24.95" customHeight="1" x14ac:dyDescent="0.25">
      <c r="A119" s="360"/>
      <c r="B119" s="683">
        <v>23</v>
      </c>
      <c r="C119" s="1839"/>
      <c r="D119" s="1893" t="s">
        <v>10</v>
      </c>
      <c r="E119" s="627"/>
      <c r="F119" s="1905">
        <f t="shared" si="162"/>
        <v>0</v>
      </c>
      <c r="G119" s="1891"/>
      <c r="H119" s="627">
        <f>VLOOKUP(B117,REKAP_NILAI,26,FALSE)</f>
        <v>0</v>
      </c>
      <c r="I119" s="709">
        <f t="shared" si="163"/>
        <v>0</v>
      </c>
      <c r="J119" s="710">
        <f t="shared" si="164"/>
        <v>0</v>
      </c>
      <c r="K119" s="711" t="str">
        <f t="shared" si="165"/>
        <v>1.33</v>
      </c>
      <c r="L119" s="711" t="str">
        <f t="shared" si="166"/>
        <v>D+</v>
      </c>
      <c r="M119" s="712" t="str">
        <f t="shared" si="167"/>
        <v>0</v>
      </c>
      <c r="N119" s="1467"/>
      <c r="O119" s="1468"/>
      <c r="P119" s="1468"/>
      <c r="Q119" s="1468"/>
      <c r="R119" s="1469"/>
      <c r="S119" s="1469"/>
      <c r="T119" s="1469"/>
      <c r="U119" s="1470"/>
      <c r="V119" s="1531"/>
      <c r="W119" s="1532"/>
    </row>
    <row r="120" spans="1:23" ht="24.95" customHeight="1" x14ac:dyDescent="0.25">
      <c r="A120" s="360"/>
      <c r="B120" s="683">
        <v>23</v>
      </c>
      <c r="C120" s="1839"/>
      <c r="D120" s="1893" t="s">
        <v>8</v>
      </c>
      <c r="E120" s="627"/>
      <c r="F120" s="1905">
        <f t="shared" si="162"/>
        <v>0</v>
      </c>
      <c r="G120" s="1891"/>
      <c r="H120" s="627">
        <f>VLOOKUP(B117,REKAP_NILAI,27,FALSE)</f>
        <v>0</v>
      </c>
      <c r="I120" s="709">
        <f t="shared" si="163"/>
        <v>0</v>
      </c>
      <c r="J120" s="710">
        <f t="shared" si="164"/>
        <v>0</v>
      </c>
      <c r="K120" s="711" t="str">
        <f t="shared" si="165"/>
        <v>1.33</v>
      </c>
      <c r="L120" s="711" t="str">
        <f t="shared" si="166"/>
        <v>D+</v>
      </c>
      <c r="M120" s="712" t="str">
        <f t="shared" si="167"/>
        <v>0</v>
      </c>
      <c r="N120" s="1467"/>
      <c r="O120" s="1468"/>
      <c r="P120" s="1468"/>
      <c r="Q120" s="1468"/>
      <c r="R120" s="1469"/>
      <c r="S120" s="1469"/>
      <c r="T120" s="1469"/>
      <c r="U120" s="1470"/>
      <c r="V120" s="1533"/>
      <c r="W120" s="1534"/>
    </row>
    <row r="121" spans="1:23" ht="24.95" customHeight="1" x14ac:dyDescent="0.25">
      <c r="A121" s="697"/>
      <c r="B121" s="698"/>
      <c r="C121" s="635" t="s">
        <v>149</v>
      </c>
      <c r="D121" s="700">
        <v>23</v>
      </c>
      <c r="E121" s="697"/>
      <c r="F121" s="1906"/>
      <c r="G121" s="697"/>
      <c r="H121" s="1189">
        <f>AVERAGE(H117:H120)</f>
        <v>0</v>
      </c>
      <c r="I121" s="705"/>
      <c r="J121" s="713">
        <f>AVERAGE(J117:J120)</f>
        <v>0</v>
      </c>
      <c r="K121" s="714" t="str">
        <f t="shared" si="165"/>
        <v>1.33</v>
      </c>
      <c r="L121" s="714" t="str">
        <f t="shared" si="166"/>
        <v>D+</v>
      </c>
      <c r="M121" s="888" t="str">
        <f t="shared" si="167"/>
        <v>0</v>
      </c>
      <c r="N121" s="1154"/>
      <c r="O121" s="1155"/>
      <c r="P121" s="1155"/>
      <c r="Q121" s="1155"/>
      <c r="R121" s="1155"/>
      <c r="S121" s="1155"/>
      <c r="T121" s="1155"/>
      <c r="U121" s="1162"/>
      <c r="V121" s="1257"/>
      <c r="W121" s="1258"/>
    </row>
    <row r="122" spans="1:23" ht="24.95" customHeight="1" thickBot="1" x14ac:dyDescent="0.3">
      <c r="A122" s="360">
        <v>24</v>
      </c>
      <c r="B122" s="683">
        <v>24</v>
      </c>
      <c r="C122" s="1838" t="str">
        <f>VLOOKUP(A122,data_siswa,4,FALSE)</f>
        <v>Romzy Oka Ramadhani P</v>
      </c>
      <c r="D122" s="1893" t="s">
        <v>12</v>
      </c>
      <c r="E122" s="627"/>
      <c r="F122" s="1904">
        <f>E122*2</f>
        <v>0</v>
      </c>
      <c r="G122" s="1891"/>
      <c r="H122" s="627">
        <f>VLOOKUP(B122,REKAP_NILAI,24,FALSE)</f>
        <v>0</v>
      </c>
      <c r="I122" s="706">
        <f>F122+G122+H122</f>
        <v>0</v>
      </c>
      <c r="J122" s="707">
        <f>(F122+G122+H122)/4</f>
        <v>0</v>
      </c>
      <c r="K122" s="708" t="str">
        <f>IF(J122&gt;85,("4"),IF(J122&gt;80,("3.66"),IF(J122&gt;75,("3.33"),IF(J122&gt;70,("3.00"),IF(J122&gt;65,("2.66"),IF(J122&gt;60,("2.33"),IF(J122&gt;55,("2"),IF(J122&gt;50,("1.66"),"1.33"))))))))</f>
        <v>1.33</v>
      </c>
      <c r="L122" s="708" t="str">
        <f>IF(J122&gt;85,("A"),IF(J122&gt;80,("A-"),IF(J122&gt;75,("B+"),IF(J122&gt;70,("B"),IF(J122&gt;65,("B-"),IF(J122&gt;60,("C+"),IF(J122&gt;55,("C"),IF(J122&gt;50,("C-"),"D+"))))))))</f>
        <v>D+</v>
      </c>
      <c r="M122" s="887" t="str">
        <f>IF(J122&gt;80,("SB"),IF(J122&gt;65,("B"),IF(J122&gt;50,("C"),IF(J122&gt;0,("K"),"0"))))</f>
        <v>0</v>
      </c>
      <c r="N122" s="1471"/>
      <c r="O122" s="1471"/>
      <c r="P122" s="1471"/>
      <c r="Q122" s="1471"/>
      <c r="R122" s="1472"/>
      <c r="S122" s="1473"/>
      <c r="T122" s="1473"/>
      <c r="U122" s="1473"/>
      <c r="V122" s="1057">
        <f>AVERAGE(J122:J125)</f>
        <v>0</v>
      </c>
      <c r="W122" s="1194" t="str">
        <f>IF(V122&gt;85,("A"),IF(V122&gt;80,("A-"),IF(V122&gt;75,("B+"),IF(V122&gt;70,("B"),IF(V122&gt;65,("B-"),IF(V122&gt;60,("C+"),IF(V122&gt;55,("C"),IF(V122&gt;50,("C-"),"D+"))))))))</f>
        <v>D+</v>
      </c>
    </row>
    <row r="123" spans="1:23" ht="24.95" customHeight="1" x14ac:dyDescent="0.25">
      <c r="A123" s="360"/>
      <c r="B123" s="683">
        <v>24</v>
      </c>
      <c r="C123" s="1839"/>
      <c r="D123" s="1893" t="s">
        <v>7</v>
      </c>
      <c r="E123" s="627"/>
      <c r="F123" s="1905">
        <f t="shared" ref="F123:F125" si="168">E123*2</f>
        <v>0</v>
      </c>
      <c r="G123" s="1891"/>
      <c r="H123" s="627">
        <f>VLOOKUP(B122,REKAP_NILAI,25,FALSE)</f>
        <v>0</v>
      </c>
      <c r="I123" s="709">
        <f t="shared" ref="I123:I125" si="169">F123+G123+H123</f>
        <v>0</v>
      </c>
      <c r="J123" s="710">
        <f t="shared" ref="J123:J125" si="170">(F123+G123+H123)/4</f>
        <v>0</v>
      </c>
      <c r="K123" s="711" t="str">
        <f t="shared" ref="K123:K126" si="171">IF(J123&gt;85,("4"),IF(J123&gt;80,("3.66"),IF(J123&gt;75,("3.33"),IF(J123&gt;70,("3.00"),IF(J123&gt;65,("2.66"),IF(J123&gt;60,("2.33"),IF(J123&gt;55,("2"),IF(J123&gt;50,("1.66"),"1.33"))))))))</f>
        <v>1.33</v>
      </c>
      <c r="L123" s="711" t="str">
        <f t="shared" ref="L123:L126" si="172">IF(J123&gt;85,("A"),IF(J123&gt;80,("A-"),IF(J123&gt;75,("B+"),IF(J123&gt;70,("B"),IF(J123&gt;65,("B-"),IF(J123&gt;60,("C+"),IF(J123&gt;55,("C"),IF(J123&gt;50,("C-"),"D+"))))))))</f>
        <v>D+</v>
      </c>
      <c r="M123" s="712" t="str">
        <f t="shared" ref="M123:M126" si="173">IF(J123&gt;80,("SB"),IF(J123&gt;65,("B"),IF(J123&gt;50,("C"),IF(J123&gt;0,("K"),"0"))))</f>
        <v>0</v>
      </c>
      <c r="N123" s="1463"/>
      <c r="O123" s="1464"/>
      <c r="P123" s="1464"/>
      <c r="Q123" s="1464"/>
      <c r="R123" s="1465"/>
      <c r="S123" s="1465"/>
      <c r="T123" s="1465"/>
      <c r="U123" s="1466"/>
      <c r="V123" s="1529"/>
      <c r="W123" s="1530"/>
    </row>
    <row r="124" spans="1:23" ht="24.95" customHeight="1" x14ac:dyDescent="0.25">
      <c r="A124" s="360"/>
      <c r="B124" s="683">
        <v>24</v>
      </c>
      <c r="C124" s="1839"/>
      <c r="D124" s="1893" t="s">
        <v>10</v>
      </c>
      <c r="E124" s="627"/>
      <c r="F124" s="1905">
        <f t="shared" si="168"/>
        <v>0</v>
      </c>
      <c r="G124" s="1891"/>
      <c r="H124" s="627">
        <f>VLOOKUP(B122,REKAP_NILAI,26,FALSE)</f>
        <v>0</v>
      </c>
      <c r="I124" s="709">
        <f t="shared" si="169"/>
        <v>0</v>
      </c>
      <c r="J124" s="710">
        <f t="shared" si="170"/>
        <v>0</v>
      </c>
      <c r="K124" s="711" t="str">
        <f t="shared" si="171"/>
        <v>1.33</v>
      </c>
      <c r="L124" s="711" t="str">
        <f t="shared" si="172"/>
        <v>D+</v>
      </c>
      <c r="M124" s="712" t="str">
        <f t="shared" si="173"/>
        <v>0</v>
      </c>
      <c r="N124" s="1467"/>
      <c r="O124" s="1468"/>
      <c r="P124" s="1468"/>
      <c r="Q124" s="1468"/>
      <c r="R124" s="1469"/>
      <c r="S124" s="1469"/>
      <c r="T124" s="1469"/>
      <c r="U124" s="1470"/>
      <c r="V124" s="1531"/>
      <c r="W124" s="1532"/>
    </row>
    <row r="125" spans="1:23" ht="24.95" customHeight="1" x14ac:dyDescent="0.25">
      <c r="A125" s="360"/>
      <c r="B125" s="683">
        <v>24</v>
      </c>
      <c r="C125" s="1839"/>
      <c r="D125" s="1893" t="s">
        <v>8</v>
      </c>
      <c r="E125" s="627"/>
      <c r="F125" s="1905">
        <f t="shared" si="168"/>
        <v>0</v>
      </c>
      <c r="G125" s="1891"/>
      <c r="H125" s="627">
        <f>VLOOKUP(B122,REKAP_NILAI,27,FALSE)</f>
        <v>0</v>
      </c>
      <c r="I125" s="709">
        <f t="shared" si="169"/>
        <v>0</v>
      </c>
      <c r="J125" s="710">
        <f t="shared" si="170"/>
        <v>0</v>
      </c>
      <c r="K125" s="711" t="str">
        <f t="shared" si="171"/>
        <v>1.33</v>
      </c>
      <c r="L125" s="711" t="str">
        <f t="shared" si="172"/>
        <v>D+</v>
      </c>
      <c r="M125" s="712" t="str">
        <f t="shared" si="173"/>
        <v>0</v>
      </c>
      <c r="N125" s="1467"/>
      <c r="O125" s="1468"/>
      <c r="P125" s="1468"/>
      <c r="Q125" s="1468"/>
      <c r="R125" s="1469"/>
      <c r="S125" s="1469"/>
      <c r="T125" s="1469"/>
      <c r="U125" s="1470"/>
      <c r="V125" s="1533"/>
      <c r="W125" s="1534"/>
    </row>
    <row r="126" spans="1:23" ht="24.95" customHeight="1" x14ac:dyDescent="0.25">
      <c r="A126" s="697"/>
      <c r="B126" s="698"/>
      <c r="C126" s="635" t="s">
        <v>149</v>
      </c>
      <c r="D126" s="700">
        <v>24</v>
      </c>
      <c r="E126" s="697"/>
      <c r="F126" s="1906"/>
      <c r="G126" s="697"/>
      <c r="H126" s="1189">
        <f>AVERAGE(H122:H125)</f>
        <v>0</v>
      </c>
      <c r="I126" s="705"/>
      <c r="J126" s="713">
        <f>AVERAGE(J122:J125)</f>
        <v>0</v>
      </c>
      <c r="K126" s="714" t="str">
        <f t="shared" si="171"/>
        <v>1.33</v>
      </c>
      <c r="L126" s="714" t="str">
        <f t="shared" si="172"/>
        <v>D+</v>
      </c>
      <c r="M126" s="888" t="str">
        <f t="shared" si="173"/>
        <v>0</v>
      </c>
      <c r="N126" s="1154"/>
      <c r="O126" s="1155"/>
      <c r="P126" s="1155"/>
      <c r="Q126" s="1155"/>
      <c r="R126" s="1155"/>
      <c r="S126" s="1155"/>
      <c r="T126" s="1155"/>
      <c r="U126" s="1162"/>
      <c r="V126" s="1257"/>
      <c r="W126" s="1258"/>
    </row>
    <row r="127" spans="1:23" ht="24.95" customHeight="1" thickBot="1" x14ac:dyDescent="0.3">
      <c r="A127" s="360">
        <v>25</v>
      </c>
      <c r="B127" s="683">
        <v>25</v>
      </c>
      <c r="C127" s="1838" t="str">
        <f>VLOOKUP(A127,data_siswa,4,FALSE)</f>
        <v>Larasati Jagadhita P</v>
      </c>
      <c r="D127" s="1893" t="s">
        <v>12</v>
      </c>
      <c r="E127" s="627"/>
      <c r="F127" s="1904">
        <f>E127*2</f>
        <v>0</v>
      </c>
      <c r="G127" s="1891"/>
      <c r="H127" s="627">
        <f>VLOOKUP(B127,REKAP_NILAI,24,FALSE)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887" t="str">
        <f>IF(J127&gt;80,("SB"),IF(J127&gt;65,("B"),IF(J127&gt;50,("C"),IF(J127&gt;0,("K"),"0"))))</f>
        <v>0</v>
      </c>
      <c r="N127" s="1471"/>
      <c r="O127" s="1471"/>
      <c r="P127" s="1471"/>
      <c r="Q127" s="1471"/>
      <c r="R127" s="1472"/>
      <c r="S127" s="1473"/>
      <c r="T127" s="1473"/>
      <c r="U127" s="1473"/>
      <c r="V127" s="1057">
        <f>AVERAGE(J127:J130)</f>
        <v>0</v>
      </c>
      <c r="W127" s="1194" t="str">
        <f>IF(V127&gt;85,("A"),IF(V127&gt;80,("A-"),IF(V127&gt;75,("B+"),IF(V127&gt;70,("B"),IF(V127&gt;65,("B-"),IF(V127&gt;60,("C+"),IF(V127&gt;55,("C"),IF(V127&gt;50,("C-"),"D+"))))))))</f>
        <v>D+</v>
      </c>
    </row>
    <row r="128" spans="1:23" ht="24.95" customHeight="1" x14ac:dyDescent="0.25">
      <c r="A128" s="360"/>
      <c r="B128" s="683">
        <v>25</v>
      </c>
      <c r="C128" s="1839"/>
      <c r="D128" s="1893" t="s">
        <v>7</v>
      </c>
      <c r="E128" s="627"/>
      <c r="F128" s="1905">
        <f t="shared" ref="F128:F130" si="174">E128*2</f>
        <v>0</v>
      </c>
      <c r="G128" s="1891"/>
      <c r="H128" s="627">
        <f>VLOOKUP(B127,REKAP_NILAI,25,FALSE)</f>
        <v>0</v>
      </c>
      <c r="I128" s="709">
        <f t="shared" ref="I128:I130" si="175">F128+G128+H128</f>
        <v>0</v>
      </c>
      <c r="J128" s="710">
        <f t="shared" ref="J128:J130" si="176">(F128+G128+H128)/4</f>
        <v>0</v>
      </c>
      <c r="K128" s="711" t="str">
        <f t="shared" ref="K128:K131" si="177">IF(J128&gt;85,("4"),IF(J128&gt;80,("3.66"),IF(J128&gt;75,("3.33"),IF(J128&gt;70,("3.00"),IF(J128&gt;65,("2.66"),IF(J128&gt;60,("2.33"),IF(J128&gt;55,("2"),IF(J128&gt;50,("1.66"),"1.33"))))))))</f>
        <v>1.33</v>
      </c>
      <c r="L128" s="711" t="str">
        <f t="shared" ref="L128:L131" si="178">IF(J128&gt;85,("A"),IF(J128&gt;80,("A-"),IF(J128&gt;75,("B+"),IF(J128&gt;70,("B"),IF(J128&gt;65,("B-"),IF(J128&gt;60,("C+"),IF(J128&gt;55,("C"),IF(J128&gt;50,("C-"),"D+"))))))))</f>
        <v>D+</v>
      </c>
      <c r="M128" s="712" t="str">
        <f t="shared" ref="M128:M131" si="179">IF(J128&gt;80,("SB"),IF(J128&gt;65,("B"),IF(J128&gt;50,("C"),IF(J128&gt;0,("K"),"0"))))</f>
        <v>0</v>
      </c>
      <c r="N128" s="1463"/>
      <c r="O128" s="1464"/>
      <c r="P128" s="1464"/>
      <c r="Q128" s="1464"/>
      <c r="R128" s="1465"/>
      <c r="S128" s="1465"/>
      <c r="T128" s="1465"/>
      <c r="U128" s="1466"/>
      <c r="V128" s="1529"/>
      <c r="W128" s="1530"/>
    </row>
    <row r="129" spans="1:23" ht="24.95" customHeight="1" x14ac:dyDescent="0.25">
      <c r="A129" s="360"/>
      <c r="B129" s="683">
        <v>25</v>
      </c>
      <c r="C129" s="1839"/>
      <c r="D129" s="1893" t="s">
        <v>10</v>
      </c>
      <c r="E129" s="627"/>
      <c r="F129" s="1905">
        <f t="shared" si="174"/>
        <v>0</v>
      </c>
      <c r="G129" s="1891"/>
      <c r="H129" s="627">
        <f>VLOOKUP(B127,REKAP_NILAI,26,FALSE)</f>
        <v>0</v>
      </c>
      <c r="I129" s="709">
        <f t="shared" si="175"/>
        <v>0</v>
      </c>
      <c r="J129" s="710">
        <f t="shared" si="176"/>
        <v>0</v>
      </c>
      <c r="K129" s="711" t="str">
        <f t="shared" si="177"/>
        <v>1.33</v>
      </c>
      <c r="L129" s="711" t="str">
        <f t="shared" si="178"/>
        <v>D+</v>
      </c>
      <c r="M129" s="712" t="str">
        <f t="shared" si="179"/>
        <v>0</v>
      </c>
      <c r="N129" s="1467"/>
      <c r="O129" s="1468"/>
      <c r="P129" s="1468"/>
      <c r="Q129" s="1468"/>
      <c r="R129" s="1469"/>
      <c r="S129" s="1469"/>
      <c r="T129" s="1469"/>
      <c r="U129" s="1470"/>
      <c r="V129" s="1531"/>
      <c r="W129" s="1532"/>
    </row>
    <row r="130" spans="1:23" ht="24.95" customHeight="1" x14ac:dyDescent="0.25">
      <c r="A130" s="360"/>
      <c r="B130" s="683">
        <v>25</v>
      </c>
      <c r="C130" s="1839"/>
      <c r="D130" s="1893" t="s">
        <v>8</v>
      </c>
      <c r="E130" s="627"/>
      <c r="F130" s="1905">
        <f t="shared" si="174"/>
        <v>0</v>
      </c>
      <c r="G130" s="1891"/>
      <c r="H130" s="627">
        <f>VLOOKUP(B127,REKAP_NILAI,27,FALSE)</f>
        <v>0</v>
      </c>
      <c r="I130" s="709">
        <f t="shared" si="175"/>
        <v>0</v>
      </c>
      <c r="J130" s="710">
        <f t="shared" si="176"/>
        <v>0</v>
      </c>
      <c r="K130" s="711" t="str">
        <f t="shared" si="177"/>
        <v>1.33</v>
      </c>
      <c r="L130" s="711" t="str">
        <f t="shared" si="178"/>
        <v>D+</v>
      </c>
      <c r="M130" s="712" t="str">
        <f t="shared" si="179"/>
        <v>0</v>
      </c>
      <c r="N130" s="1467"/>
      <c r="O130" s="1468"/>
      <c r="P130" s="1468"/>
      <c r="Q130" s="1468"/>
      <c r="R130" s="1469"/>
      <c r="S130" s="1469"/>
      <c r="T130" s="1469"/>
      <c r="U130" s="1470"/>
      <c r="V130" s="1533"/>
      <c r="W130" s="1534"/>
    </row>
    <row r="131" spans="1:23" ht="24.95" customHeight="1" x14ac:dyDescent="0.25">
      <c r="A131" s="697"/>
      <c r="B131" s="698"/>
      <c r="C131" s="635" t="s">
        <v>149</v>
      </c>
      <c r="D131" s="700">
        <v>25</v>
      </c>
      <c r="E131" s="697"/>
      <c r="F131" s="1906"/>
      <c r="G131" s="697"/>
      <c r="H131" s="1189">
        <f>AVERAGE(H127:H130)</f>
        <v>0</v>
      </c>
      <c r="I131" s="705"/>
      <c r="J131" s="713">
        <f>AVERAGE(J127:J130)</f>
        <v>0</v>
      </c>
      <c r="K131" s="714" t="str">
        <f t="shared" si="177"/>
        <v>1.33</v>
      </c>
      <c r="L131" s="714" t="str">
        <f t="shared" si="178"/>
        <v>D+</v>
      </c>
      <c r="M131" s="888" t="str">
        <f t="shared" si="179"/>
        <v>0</v>
      </c>
      <c r="N131" s="1154"/>
      <c r="O131" s="1155"/>
      <c r="P131" s="1155"/>
      <c r="Q131" s="1155"/>
      <c r="R131" s="1155"/>
      <c r="S131" s="1155"/>
      <c r="T131" s="1155"/>
      <c r="U131" s="1162"/>
      <c r="V131" s="1257"/>
      <c r="W131" s="1258"/>
    </row>
    <row r="132" spans="1:23" ht="24.95" customHeight="1" thickBot="1" x14ac:dyDescent="0.3">
      <c r="A132" s="1892">
        <v>26</v>
      </c>
      <c r="B132" s="1326">
        <v>26</v>
      </c>
      <c r="C132" s="1840" t="str">
        <f>VLOOKUP(A132,data_siswa,4,FALSE)</f>
        <v>Meliana Citra A</v>
      </c>
      <c r="D132" s="1893" t="s">
        <v>12</v>
      </c>
      <c r="E132" s="627"/>
      <c r="F132" s="1904">
        <f>E132*2</f>
        <v>0</v>
      </c>
      <c r="G132" s="1891"/>
      <c r="H132" s="627">
        <f>VLOOKUP(B132,REKAP_NILAI,24,FALSE)</f>
        <v>0</v>
      </c>
      <c r="I132" s="706">
        <f>F132+G132+H132</f>
        <v>0</v>
      </c>
      <c r="J132" s="707">
        <f>(F132+G132+H132)/4</f>
        <v>0</v>
      </c>
      <c r="K132" s="708" t="str">
        <f>IF(J132&gt;85,("4"),IF(J132&gt;80,("3.66"),IF(J132&gt;75,("3.33"),IF(J132&gt;70,("3.00"),IF(J132&gt;65,("2.66"),IF(J132&gt;60,("2.33"),IF(J132&gt;55,("2"),IF(J132&gt;50,("1.66"),"1.33"))))))))</f>
        <v>1.33</v>
      </c>
      <c r="L132" s="708" t="str">
        <f>IF(J132&gt;85,("A"),IF(J132&gt;80,("A-"),IF(J132&gt;75,("B+"),IF(J132&gt;70,("B"),IF(J132&gt;65,("B-"),IF(J132&gt;60,("C+"),IF(J132&gt;55,("C"),IF(J132&gt;50,("C-"),"D+"))))))))</f>
        <v>D+</v>
      </c>
      <c r="M132" s="887" t="str">
        <f>IF(J132&gt;80,("SB"),IF(J132&gt;65,("B"),IF(J132&gt;50,("C"),IF(J132&gt;0,("K"),"0"))))</f>
        <v>0</v>
      </c>
      <c r="N132" s="1474"/>
      <c r="O132" s="1474"/>
      <c r="P132" s="1474"/>
      <c r="Q132" s="1474"/>
      <c r="R132" s="1475"/>
      <c r="S132" s="1476"/>
      <c r="T132" s="1476"/>
      <c r="U132" s="1476"/>
      <c r="V132" s="1057">
        <f>AVERAGE(J132:J135)</f>
        <v>0</v>
      </c>
      <c r="W132" s="1194" t="str">
        <f>IF(V132&gt;85,("A"),IF(V132&gt;80,("A-"),IF(V132&gt;75,("B+"),IF(V132&gt;70,("B"),IF(V132&gt;65,("B-"),IF(V132&gt;60,("C+"),IF(V132&gt;55,("C"),IF(V132&gt;50,("C-"),"D+"))))))))</f>
        <v>D+</v>
      </c>
    </row>
    <row r="133" spans="1:23" ht="24.95" customHeight="1" x14ac:dyDescent="0.25">
      <c r="A133" s="360"/>
      <c r="B133" s="1326">
        <v>26</v>
      </c>
      <c r="C133" s="1839"/>
      <c r="D133" s="1893" t="s">
        <v>7</v>
      </c>
      <c r="E133" s="627"/>
      <c r="F133" s="1905">
        <f t="shared" ref="F133:F135" si="180">E133*2</f>
        <v>0</v>
      </c>
      <c r="G133" s="1891"/>
      <c r="H133" s="627">
        <f>VLOOKUP(B132,REKAP_NILAI,25,FALSE)</f>
        <v>0</v>
      </c>
      <c r="I133" s="709">
        <f t="shared" ref="I133:I135" si="181">F133+G133+H133</f>
        <v>0</v>
      </c>
      <c r="J133" s="710">
        <f t="shared" ref="J133:J135" si="182">(F133+G133+H133)/4</f>
        <v>0</v>
      </c>
      <c r="K133" s="711" t="str">
        <f t="shared" ref="K133:K136" si="183">IF(J133&gt;85,("4"),IF(J133&gt;80,("3.66"),IF(J133&gt;75,("3.33"),IF(J133&gt;70,("3.00"),IF(J133&gt;65,("2.66"),IF(J133&gt;60,("2.33"),IF(J133&gt;55,("2"),IF(J133&gt;50,("1.66"),"1.33"))))))))</f>
        <v>1.33</v>
      </c>
      <c r="L133" s="711" t="str">
        <f t="shared" ref="L133:L136" si="184">IF(J133&gt;85,("A"),IF(J133&gt;80,("A-"),IF(J133&gt;75,("B+"),IF(J133&gt;70,("B"),IF(J133&gt;65,("B-"),IF(J133&gt;60,("C+"),IF(J133&gt;55,("C"),IF(J133&gt;50,("C-"),"D+"))))))))</f>
        <v>D+</v>
      </c>
      <c r="M133" s="712" t="str">
        <f t="shared" ref="M133:M136" si="185">IF(J133&gt;80,("SB"),IF(J133&gt;65,("B"),IF(J133&gt;50,("C"),IF(J133&gt;0,("K"),"0"))))</f>
        <v>0</v>
      </c>
      <c r="N133" s="1463"/>
      <c r="O133" s="1464"/>
      <c r="P133" s="1464"/>
      <c r="Q133" s="1464"/>
      <c r="R133" s="1465"/>
      <c r="S133" s="1465"/>
      <c r="T133" s="1465"/>
      <c r="U133" s="1466"/>
      <c r="V133" s="1529"/>
      <c r="W133" s="1530"/>
    </row>
    <row r="134" spans="1:23" ht="24.95" customHeight="1" x14ac:dyDescent="0.25">
      <c r="A134" s="360"/>
      <c r="B134" s="1326">
        <v>26</v>
      </c>
      <c r="C134" s="1839"/>
      <c r="D134" s="1893" t="s">
        <v>10</v>
      </c>
      <c r="E134" s="627"/>
      <c r="F134" s="1905">
        <f t="shared" si="180"/>
        <v>0</v>
      </c>
      <c r="G134" s="1891"/>
      <c r="H134" s="627">
        <f>VLOOKUP(B132,REKAP_NILAI,26,FALSE)</f>
        <v>0</v>
      </c>
      <c r="I134" s="709">
        <f t="shared" si="181"/>
        <v>0</v>
      </c>
      <c r="J134" s="710">
        <f t="shared" si="182"/>
        <v>0</v>
      </c>
      <c r="K134" s="711" t="str">
        <f t="shared" si="183"/>
        <v>1.33</v>
      </c>
      <c r="L134" s="711" t="str">
        <f t="shared" si="184"/>
        <v>D+</v>
      </c>
      <c r="M134" s="712" t="str">
        <f t="shared" si="185"/>
        <v>0</v>
      </c>
      <c r="N134" s="1467"/>
      <c r="O134" s="1468"/>
      <c r="P134" s="1468"/>
      <c r="Q134" s="1468"/>
      <c r="R134" s="1469"/>
      <c r="S134" s="1469"/>
      <c r="T134" s="1469"/>
      <c r="U134" s="1470"/>
      <c r="V134" s="1531"/>
      <c r="W134" s="1532"/>
    </row>
    <row r="135" spans="1:23" ht="24.95" customHeight="1" x14ac:dyDescent="0.25">
      <c r="A135" s="360"/>
      <c r="B135" s="1326">
        <v>26</v>
      </c>
      <c r="C135" s="1839"/>
      <c r="D135" s="1893" t="s">
        <v>8</v>
      </c>
      <c r="E135" s="627"/>
      <c r="F135" s="1905">
        <f t="shared" si="180"/>
        <v>0</v>
      </c>
      <c r="G135" s="1891"/>
      <c r="H135" s="627">
        <f>VLOOKUP(B132,REKAP_NILAI,27,FALSE)</f>
        <v>0</v>
      </c>
      <c r="I135" s="709">
        <f t="shared" si="181"/>
        <v>0</v>
      </c>
      <c r="J135" s="710">
        <f t="shared" si="182"/>
        <v>0</v>
      </c>
      <c r="K135" s="711" t="str">
        <f t="shared" si="183"/>
        <v>1.33</v>
      </c>
      <c r="L135" s="711" t="str">
        <f t="shared" si="184"/>
        <v>D+</v>
      </c>
      <c r="M135" s="712" t="str">
        <f t="shared" si="185"/>
        <v>0</v>
      </c>
      <c r="N135" s="1467"/>
      <c r="O135" s="1468"/>
      <c r="P135" s="1468"/>
      <c r="Q135" s="1468"/>
      <c r="R135" s="1469"/>
      <c r="S135" s="1469"/>
      <c r="T135" s="1469"/>
      <c r="U135" s="1470"/>
      <c r="V135" s="1533"/>
      <c r="W135" s="1534"/>
    </row>
    <row r="136" spans="1:23" ht="24.95" customHeight="1" x14ac:dyDescent="0.25">
      <c r="A136" s="697"/>
      <c r="B136" s="698"/>
      <c r="C136" s="635" t="s">
        <v>149</v>
      </c>
      <c r="D136" s="700">
        <v>26</v>
      </c>
      <c r="E136" s="697"/>
      <c r="F136" s="1906"/>
      <c r="G136" s="697"/>
      <c r="H136" s="1189">
        <f>AVERAGE(H132:H135)</f>
        <v>0</v>
      </c>
      <c r="I136" s="705"/>
      <c r="J136" s="713">
        <f>AVERAGE(J132:J135)</f>
        <v>0</v>
      </c>
      <c r="K136" s="714" t="str">
        <f t="shared" si="183"/>
        <v>1.33</v>
      </c>
      <c r="L136" s="714" t="str">
        <f t="shared" si="184"/>
        <v>D+</v>
      </c>
      <c r="M136" s="888" t="str">
        <f t="shared" si="185"/>
        <v>0</v>
      </c>
      <c r="N136" s="1154"/>
      <c r="O136" s="1155"/>
      <c r="P136" s="1155"/>
      <c r="Q136" s="1155"/>
      <c r="R136" s="1155"/>
      <c r="S136" s="1155"/>
      <c r="T136" s="1155"/>
      <c r="U136" s="1162"/>
      <c r="V136" s="1257"/>
      <c r="W136" s="1258"/>
    </row>
    <row r="137" spans="1:23" ht="24.95" customHeight="1" thickBot="1" x14ac:dyDescent="0.3">
      <c r="A137" s="1892">
        <v>27</v>
      </c>
      <c r="B137" s="1326">
        <v>27</v>
      </c>
      <c r="C137" s="1840" t="str">
        <f>VLOOKUP(A137,data_siswa,4,FALSE)</f>
        <v>Mohammad Rizky</v>
      </c>
      <c r="D137" s="1893" t="s">
        <v>12</v>
      </c>
      <c r="E137" s="627"/>
      <c r="F137" s="1904">
        <f>E137*2</f>
        <v>0</v>
      </c>
      <c r="G137" s="1891"/>
      <c r="H137" s="627">
        <f>VLOOKUP(B137,REKAP_NILAI,24,FALSE)</f>
        <v>0</v>
      </c>
      <c r="I137" s="706">
        <f>F137+G137+H137</f>
        <v>0</v>
      </c>
      <c r="J137" s="707">
        <f>(F137+G137+H137)/4</f>
        <v>0</v>
      </c>
      <c r="K137" s="708" t="str">
        <f>IF(J137&gt;85,("4"),IF(J137&gt;80,("3.66"),IF(J137&gt;75,("3.33"),IF(J137&gt;70,("3.00"),IF(J137&gt;65,("2.66"),IF(J137&gt;60,("2.33"),IF(J137&gt;55,("2"),IF(J137&gt;50,("1.66"),"1.33"))))))))</f>
        <v>1.33</v>
      </c>
      <c r="L137" s="708" t="str">
        <f>IF(J137&gt;85,("A"),IF(J137&gt;80,("A-"),IF(J137&gt;75,("B+"),IF(J137&gt;70,("B"),IF(J137&gt;65,("B-"),IF(J137&gt;60,("C+"),IF(J137&gt;55,("C"),IF(J137&gt;50,("C-"),"D+"))))))))</f>
        <v>D+</v>
      </c>
      <c r="M137" s="887" t="str">
        <f>IF(J137&gt;80,("SB"),IF(J137&gt;65,("B"),IF(J137&gt;50,("C"),IF(J137&gt;0,("K"),"0"))))</f>
        <v>0</v>
      </c>
      <c r="N137" s="1474"/>
      <c r="O137" s="1474"/>
      <c r="P137" s="1474"/>
      <c r="Q137" s="1474"/>
      <c r="R137" s="1475"/>
      <c r="S137" s="1476"/>
      <c r="T137" s="1476"/>
      <c r="U137" s="1476"/>
      <c r="V137" s="1057">
        <f>AVERAGE(J137:J140)</f>
        <v>0</v>
      </c>
      <c r="W137" s="1194" t="str">
        <f>IF(V137&gt;85,("A"),IF(V137&gt;80,("A-"),IF(V137&gt;75,("B+"),IF(V137&gt;70,("B"),IF(V137&gt;65,("B-"),IF(V137&gt;60,("C+"),IF(V137&gt;55,("C"),IF(V137&gt;50,("C-"),"D+"))))))))</f>
        <v>D+</v>
      </c>
    </row>
    <row r="138" spans="1:23" ht="24.95" customHeight="1" x14ac:dyDescent="0.25">
      <c r="A138" s="360"/>
      <c r="B138" s="1326">
        <v>27</v>
      </c>
      <c r="C138" s="1839"/>
      <c r="D138" s="1893" t="s">
        <v>7</v>
      </c>
      <c r="E138" s="627"/>
      <c r="F138" s="1905">
        <f t="shared" ref="F138:F140" si="186">E138*2</f>
        <v>0</v>
      </c>
      <c r="G138" s="1891"/>
      <c r="H138" s="627">
        <f>VLOOKUP(B137,REKAP_NILAI,25,FALSE)</f>
        <v>0</v>
      </c>
      <c r="I138" s="709">
        <f t="shared" ref="I138:I140" si="187">F138+G138+H138</f>
        <v>0</v>
      </c>
      <c r="J138" s="710">
        <f t="shared" ref="J138:J140" si="188">(F138+G138+H138)/4</f>
        <v>0</v>
      </c>
      <c r="K138" s="711" t="str">
        <f t="shared" ref="K138:K141" si="189">IF(J138&gt;85,("4"),IF(J138&gt;80,("3.66"),IF(J138&gt;75,("3.33"),IF(J138&gt;70,("3.00"),IF(J138&gt;65,("2.66"),IF(J138&gt;60,("2.33"),IF(J138&gt;55,("2"),IF(J138&gt;50,("1.66"),"1.33"))))))))</f>
        <v>1.33</v>
      </c>
      <c r="L138" s="711" t="str">
        <f t="shared" ref="L138:L141" si="190">IF(J138&gt;85,("A"),IF(J138&gt;80,("A-"),IF(J138&gt;75,("B+"),IF(J138&gt;70,("B"),IF(J138&gt;65,("B-"),IF(J138&gt;60,("C+"),IF(J138&gt;55,("C"),IF(J138&gt;50,("C-"),"D+"))))))))</f>
        <v>D+</v>
      </c>
      <c r="M138" s="712" t="str">
        <f t="shared" ref="M138:M141" si="191">IF(J138&gt;80,("SB"),IF(J138&gt;65,("B"),IF(J138&gt;50,("C"),IF(J138&gt;0,("K"),"0"))))</f>
        <v>0</v>
      </c>
      <c r="N138" s="1463"/>
      <c r="O138" s="1464"/>
      <c r="P138" s="1464"/>
      <c r="Q138" s="1464"/>
      <c r="R138" s="1465"/>
      <c r="S138" s="1465"/>
      <c r="T138" s="1465"/>
      <c r="U138" s="1466"/>
      <c r="V138" s="1529"/>
      <c r="W138" s="1530"/>
    </row>
    <row r="139" spans="1:23" ht="24.95" customHeight="1" x14ac:dyDescent="0.25">
      <c r="A139" s="360"/>
      <c r="B139" s="1326">
        <v>27</v>
      </c>
      <c r="C139" s="1839"/>
      <c r="D139" s="1893" t="s">
        <v>10</v>
      </c>
      <c r="E139" s="627"/>
      <c r="F139" s="1905">
        <f t="shared" si="186"/>
        <v>0</v>
      </c>
      <c r="G139" s="1891"/>
      <c r="H139" s="627">
        <f>VLOOKUP(B137,REKAP_NILAI,26,FALSE)</f>
        <v>0</v>
      </c>
      <c r="I139" s="709">
        <f t="shared" si="187"/>
        <v>0</v>
      </c>
      <c r="J139" s="710">
        <f t="shared" si="188"/>
        <v>0</v>
      </c>
      <c r="K139" s="711" t="str">
        <f t="shared" si="189"/>
        <v>1.33</v>
      </c>
      <c r="L139" s="711" t="str">
        <f t="shared" si="190"/>
        <v>D+</v>
      </c>
      <c r="M139" s="712" t="str">
        <f t="shared" si="191"/>
        <v>0</v>
      </c>
      <c r="N139" s="1467"/>
      <c r="O139" s="1468"/>
      <c r="P139" s="1468"/>
      <c r="Q139" s="1468"/>
      <c r="R139" s="1469"/>
      <c r="S139" s="1469"/>
      <c r="T139" s="1469"/>
      <c r="U139" s="1470"/>
      <c r="V139" s="1531"/>
      <c r="W139" s="1532"/>
    </row>
    <row r="140" spans="1:23" ht="24.95" customHeight="1" x14ac:dyDescent="0.25">
      <c r="A140" s="360"/>
      <c r="B140" s="1326">
        <v>27</v>
      </c>
      <c r="C140" s="1839"/>
      <c r="D140" s="1893" t="s">
        <v>8</v>
      </c>
      <c r="E140" s="627"/>
      <c r="F140" s="1905">
        <f t="shared" si="186"/>
        <v>0</v>
      </c>
      <c r="G140" s="1891"/>
      <c r="H140" s="627">
        <f>VLOOKUP(B137,REKAP_NILAI,27,FALSE)</f>
        <v>0</v>
      </c>
      <c r="I140" s="709">
        <f t="shared" si="187"/>
        <v>0</v>
      </c>
      <c r="J140" s="710">
        <f t="shared" si="188"/>
        <v>0</v>
      </c>
      <c r="K140" s="711" t="str">
        <f t="shared" si="189"/>
        <v>1.33</v>
      </c>
      <c r="L140" s="711" t="str">
        <f t="shared" si="190"/>
        <v>D+</v>
      </c>
      <c r="M140" s="712" t="str">
        <f t="shared" si="191"/>
        <v>0</v>
      </c>
      <c r="N140" s="1467"/>
      <c r="O140" s="1468"/>
      <c r="P140" s="1468"/>
      <c r="Q140" s="1468"/>
      <c r="R140" s="1469"/>
      <c r="S140" s="1469"/>
      <c r="T140" s="1469"/>
      <c r="U140" s="1470"/>
      <c r="V140" s="1533"/>
      <c r="W140" s="1534"/>
    </row>
    <row r="141" spans="1:23" ht="24.95" customHeight="1" x14ac:dyDescent="0.25">
      <c r="A141" s="697"/>
      <c r="B141" s="698"/>
      <c r="C141" s="635" t="s">
        <v>149</v>
      </c>
      <c r="D141" s="700">
        <v>27</v>
      </c>
      <c r="E141" s="697"/>
      <c r="F141" s="1906"/>
      <c r="G141" s="697"/>
      <c r="H141" s="1189">
        <f>AVERAGE(H137:H140)</f>
        <v>0</v>
      </c>
      <c r="I141" s="705"/>
      <c r="J141" s="713">
        <f>AVERAGE(J137:J140)</f>
        <v>0</v>
      </c>
      <c r="K141" s="714" t="str">
        <f t="shared" si="189"/>
        <v>1.33</v>
      </c>
      <c r="L141" s="714" t="str">
        <f t="shared" si="190"/>
        <v>D+</v>
      </c>
      <c r="M141" s="888" t="str">
        <f t="shared" si="191"/>
        <v>0</v>
      </c>
      <c r="N141" s="1154"/>
      <c r="O141" s="1155"/>
      <c r="P141" s="1155"/>
      <c r="Q141" s="1155"/>
      <c r="R141" s="1155"/>
      <c r="S141" s="1155"/>
      <c r="T141" s="1155"/>
      <c r="U141" s="1162"/>
      <c r="V141" s="1257"/>
      <c r="W141" s="1258"/>
    </row>
    <row r="142" spans="1:23" ht="24.95" customHeight="1" thickBot="1" x14ac:dyDescent="0.3">
      <c r="A142" s="1892">
        <v>28</v>
      </c>
      <c r="B142" s="1326">
        <v>28</v>
      </c>
      <c r="C142" s="1840" t="e">
        <f>VLOOKUP(A142,data_siswa,4,FALSE)</f>
        <v>#N/A</v>
      </c>
      <c r="D142" s="1893" t="s">
        <v>12</v>
      </c>
      <c r="E142" s="627"/>
      <c r="F142" s="1904">
        <f>E142*2</f>
        <v>0</v>
      </c>
      <c r="G142" s="1891"/>
      <c r="H142" s="627">
        <f>VLOOKUP(B142,REKAP_NILAI,24,FALSE)</f>
        <v>0</v>
      </c>
      <c r="I142" s="706">
        <f>F142+G142+H142</f>
        <v>0</v>
      </c>
      <c r="J142" s="707">
        <f>(F142+G142+H142)/4</f>
        <v>0</v>
      </c>
      <c r="K142" s="708" t="str">
        <f>IF(J142&gt;85,("4"),IF(J142&gt;80,("3.66"),IF(J142&gt;75,("3.33"),IF(J142&gt;70,("3.00"),IF(J142&gt;65,("2.66"),IF(J142&gt;60,("2.33"),IF(J142&gt;55,("2"),IF(J142&gt;50,("1.66"),"1.33"))))))))</f>
        <v>1.33</v>
      </c>
      <c r="L142" s="708" t="str">
        <f>IF(J142&gt;85,("A"),IF(J142&gt;80,("A-"),IF(J142&gt;75,("B+"),IF(J142&gt;70,("B"),IF(J142&gt;65,("B-"),IF(J142&gt;60,("C+"),IF(J142&gt;55,("C"),IF(J142&gt;50,("C-"),"D+"))))))))</f>
        <v>D+</v>
      </c>
      <c r="M142" s="887" t="str">
        <f>IF(J142&gt;80,("SB"),IF(J142&gt;65,("B"),IF(J142&gt;50,("C"),IF(J142&gt;0,("K"),"0"))))</f>
        <v>0</v>
      </c>
      <c r="N142" s="1474"/>
      <c r="O142" s="1474"/>
      <c r="P142" s="1474"/>
      <c r="Q142" s="1474"/>
      <c r="R142" s="1475"/>
      <c r="S142" s="1476"/>
      <c r="T142" s="1476"/>
      <c r="U142" s="1476"/>
      <c r="V142" s="1057">
        <f>AVERAGE(J142:J145)</f>
        <v>0</v>
      </c>
      <c r="W142" s="1194" t="str">
        <f>IF(V142&gt;85,("A"),IF(V142&gt;80,("A-"),IF(V142&gt;75,("B+"),IF(V142&gt;70,("B"),IF(V142&gt;65,("B-"),IF(V142&gt;60,("C+"),IF(V142&gt;55,("C"),IF(V142&gt;50,("C-"),"D+"))))))))</f>
        <v>D+</v>
      </c>
    </row>
    <row r="143" spans="1:23" ht="24.95" customHeight="1" x14ac:dyDescent="0.25">
      <c r="A143" s="360"/>
      <c r="B143" s="1326">
        <v>28</v>
      </c>
      <c r="C143" s="1839"/>
      <c r="D143" s="1893" t="s">
        <v>7</v>
      </c>
      <c r="E143" s="627"/>
      <c r="F143" s="1905">
        <f t="shared" ref="F143:F145" si="192">E143*2</f>
        <v>0</v>
      </c>
      <c r="G143" s="1891"/>
      <c r="H143" s="627">
        <f>VLOOKUP(B142,REKAP_NILAI,25,FALSE)</f>
        <v>0</v>
      </c>
      <c r="I143" s="709">
        <f t="shared" ref="I143:I145" si="193">F143+G143+H143</f>
        <v>0</v>
      </c>
      <c r="J143" s="710">
        <f t="shared" ref="J143:J145" si="194">(F143+G143+H143)/4</f>
        <v>0</v>
      </c>
      <c r="K143" s="711" t="str">
        <f t="shared" ref="K143:K146" si="195">IF(J143&gt;85,("4"),IF(J143&gt;80,("3.66"),IF(J143&gt;75,("3.33"),IF(J143&gt;70,("3.00"),IF(J143&gt;65,("2.66"),IF(J143&gt;60,("2.33"),IF(J143&gt;55,("2"),IF(J143&gt;50,("1.66"),"1.33"))))))))</f>
        <v>1.33</v>
      </c>
      <c r="L143" s="711" t="str">
        <f t="shared" ref="L143:L146" si="196">IF(J143&gt;85,("A"),IF(J143&gt;80,("A-"),IF(J143&gt;75,("B+"),IF(J143&gt;70,("B"),IF(J143&gt;65,("B-"),IF(J143&gt;60,("C+"),IF(J143&gt;55,("C"),IF(J143&gt;50,("C-"),"D+"))))))))</f>
        <v>D+</v>
      </c>
      <c r="M143" s="712" t="str">
        <f t="shared" ref="M143:M146" si="197">IF(J143&gt;80,("SB"),IF(J143&gt;65,("B"),IF(J143&gt;50,("C"),IF(J143&gt;0,("K"),"0"))))</f>
        <v>0</v>
      </c>
      <c r="N143" s="1463"/>
      <c r="O143" s="1464"/>
      <c r="P143" s="1464"/>
      <c r="Q143" s="1464"/>
      <c r="R143" s="1465"/>
      <c r="S143" s="1465"/>
      <c r="T143" s="1465"/>
      <c r="U143" s="1466"/>
      <c r="V143" s="1529"/>
      <c r="W143" s="1530"/>
    </row>
    <row r="144" spans="1:23" ht="24.95" customHeight="1" x14ac:dyDescent="0.25">
      <c r="A144" s="360"/>
      <c r="B144" s="1326">
        <v>28</v>
      </c>
      <c r="C144" s="1839"/>
      <c r="D144" s="1893" t="s">
        <v>10</v>
      </c>
      <c r="E144" s="627"/>
      <c r="F144" s="1905">
        <f t="shared" si="192"/>
        <v>0</v>
      </c>
      <c r="G144" s="1891"/>
      <c r="H144" s="627">
        <f>VLOOKUP(B142,REKAP_NILAI,26,FALSE)</f>
        <v>0</v>
      </c>
      <c r="I144" s="709">
        <f t="shared" si="193"/>
        <v>0</v>
      </c>
      <c r="J144" s="710">
        <f t="shared" si="194"/>
        <v>0</v>
      </c>
      <c r="K144" s="711" t="str">
        <f t="shared" si="195"/>
        <v>1.33</v>
      </c>
      <c r="L144" s="711" t="str">
        <f t="shared" si="196"/>
        <v>D+</v>
      </c>
      <c r="M144" s="712" t="str">
        <f t="shared" si="197"/>
        <v>0</v>
      </c>
      <c r="N144" s="1467"/>
      <c r="O144" s="1468"/>
      <c r="P144" s="1468"/>
      <c r="Q144" s="1468"/>
      <c r="R144" s="1469"/>
      <c r="S144" s="1469"/>
      <c r="T144" s="1469"/>
      <c r="U144" s="1470"/>
      <c r="V144" s="1531"/>
      <c r="W144" s="1532"/>
    </row>
    <row r="145" spans="1:23" ht="24.95" customHeight="1" x14ac:dyDescent="0.25">
      <c r="A145" s="360"/>
      <c r="B145" s="1326">
        <v>28</v>
      </c>
      <c r="C145" s="1839"/>
      <c r="D145" s="1893" t="s">
        <v>8</v>
      </c>
      <c r="E145" s="627"/>
      <c r="F145" s="1905">
        <f t="shared" si="192"/>
        <v>0</v>
      </c>
      <c r="G145" s="1891"/>
      <c r="H145" s="627">
        <f>VLOOKUP(B142,REKAP_NILAI,27,FALSE)</f>
        <v>0</v>
      </c>
      <c r="I145" s="709">
        <f t="shared" si="193"/>
        <v>0</v>
      </c>
      <c r="J145" s="710">
        <f t="shared" si="194"/>
        <v>0</v>
      </c>
      <c r="K145" s="711" t="str">
        <f t="shared" si="195"/>
        <v>1.33</v>
      </c>
      <c r="L145" s="711" t="str">
        <f t="shared" si="196"/>
        <v>D+</v>
      </c>
      <c r="M145" s="712" t="str">
        <f t="shared" si="197"/>
        <v>0</v>
      </c>
      <c r="N145" s="1467"/>
      <c r="O145" s="1468"/>
      <c r="P145" s="1468"/>
      <c r="Q145" s="1468"/>
      <c r="R145" s="1469"/>
      <c r="S145" s="1469"/>
      <c r="T145" s="1469"/>
      <c r="U145" s="1470"/>
      <c r="V145" s="1533"/>
      <c r="W145" s="1534"/>
    </row>
    <row r="146" spans="1:23" ht="24.95" customHeight="1" x14ac:dyDescent="0.25">
      <c r="A146" s="697"/>
      <c r="B146" s="698"/>
      <c r="C146" s="635" t="s">
        <v>149</v>
      </c>
      <c r="D146" s="700">
        <v>28</v>
      </c>
      <c r="E146" s="697"/>
      <c r="F146" s="1906"/>
      <c r="G146" s="697"/>
      <c r="H146" s="1189">
        <f>AVERAGE(H142:H145)</f>
        <v>0</v>
      </c>
      <c r="I146" s="705"/>
      <c r="J146" s="713">
        <f>AVERAGE(J142:J145)</f>
        <v>0</v>
      </c>
      <c r="K146" s="714" t="str">
        <f t="shared" si="195"/>
        <v>1.33</v>
      </c>
      <c r="L146" s="714" t="str">
        <f t="shared" si="196"/>
        <v>D+</v>
      </c>
      <c r="M146" s="888" t="str">
        <f t="shared" si="197"/>
        <v>0</v>
      </c>
      <c r="N146" s="1154"/>
      <c r="O146" s="1155"/>
      <c r="P146" s="1155"/>
      <c r="Q146" s="1155"/>
      <c r="R146" s="1155"/>
      <c r="S146" s="1155"/>
      <c r="T146" s="1155"/>
      <c r="U146" s="1162"/>
      <c r="V146" s="1257"/>
      <c r="W146" s="1258"/>
    </row>
    <row r="147" spans="1:23" ht="24.95" customHeight="1" thickBot="1" x14ac:dyDescent="0.3">
      <c r="A147" s="1892">
        <v>29</v>
      </c>
      <c r="B147" s="1326">
        <v>29</v>
      </c>
      <c r="C147" s="1840" t="e">
        <f>VLOOKUP(A147,data_siswa,4,FALSE)</f>
        <v>#N/A</v>
      </c>
      <c r="D147" s="1893" t="s">
        <v>12</v>
      </c>
      <c r="E147" s="627"/>
      <c r="F147" s="1904">
        <f>E147*2</f>
        <v>0</v>
      </c>
      <c r="G147" s="1891"/>
      <c r="H147" s="627">
        <f>VLOOKUP(B147,REKAP_NILAI,24,FALSE)</f>
        <v>0</v>
      </c>
      <c r="I147" s="706">
        <f>F147+G147+H147</f>
        <v>0</v>
      </c>
      <c r="J147" s="707">
        <f>(F147+G147+H147)/4</f>
        <v>0</v>
      </c>
      <c r="K147" s="708" t="str">
        <f>IF(J147&gt;85,("4"),IF(J147&gt;80,("3.66"),IF(J147&gt;75,("3.33"),IF(J147&gt;70,("3.00"),IF(J147&gt;65,("2.66"),IF(J147&gt;60,("2.33"),IF(J147&gt;55,("2"),IF(J147&gt;50,("1.66"),"1.33"))))))))</f>
        <v>1.33</v>
      </c>
      <c r="L147" s="708" t="str">
        <f>IF(J147&gt;85,("A"),IF(J147&gt;80,("A-"),IF(J147&gt;75,("B+"),IF(J147&gt;70,("B"),IF(J147&gt;65,("B-"),IF(J147&gt;60,("C+"),IF(J147&gt;55,("C"),IF(J147&gt;50,("C-"),"D+"))))))))</f>
        <v>D+</v>
      </c>
      <c r="M147" s="887" t="str">
        <f>IF(J147&gt;80,("SB"),IF(J147&gt;65,("B"),IF(J147&gt;50,("C"),IF(J147&gt;0,("K"),"0"))))</f>
        <v>0</v>
      </c>
      <c r="N147" s="1474"/>
      <c r="O147" s="1474"/>
      <c r="P147" s="1474"/>
      <c r="Q147" s="1474"/>
      <c r="R147" s="1475"/>
      <c r="S147" s="1476"/>
      <c r="T147" s="1476"/>
      <c r="U147" s="1476"/>
      <c r="V147" s="1057">
        <f>AVERAGE(J147:J150)</f>
        <v>0</v>
      </c>
      <c r="W147" s="1194" t="str">
        <f>IF(V147&gt;85,("A"),IF(V147&gt;80,("A-"),IF(V147&gt;75,("B+"),IF(V147&gt;70,("B"),IF(V147&gt;65,("B-"),IF(V147&gt;60,("C+"),IF(V147&gt;55,("C"),IF(V147&gt;50,("C-"),"D+"))))))))</f>
        <v>D+</v>
      </c>
    </row>
    <row r="148" spans="1:23" ht="24.95" customHeight="1" x14ac:dyDescent="0.25">
      <c r="A148" s="360"/>
      <c r="B148" s="1326">
        <v>29</v>
      </c>
      <c r="C148" s="1839"/>
      <c r="D148" s="1893" t="s">
        <v>7</v>
      </c>
      <c r="E148" s="627"/>
      <c r="F148" s="1905">
        <f t="shared" ref="F148:F150" si="198">E148*2</f>
        <v>0</v>
      </c>
      <c r="G148" s="1891"/>
      <c r="H148" s="627">
        <f>VLOOKUP(B147,REKAP_NILAI,25,FALSE)</f>
        <v>0</v>
      </c>
      <c r="I148" s="709">
        <f t="shared" ref="I148:I150" si="199">F148+G148+H148</f>
        <v>0</v>
      </c>
      <c r="J148" s="710">
        <f t="shared" ref="J148:J150" si="200">(F148+G148+H148)/4</f>
        <v>0</v>
      </c>
      <c r="K148" s="711" t="str">
        <f t="shared" ref="K148:K151" si="201">IF(J148&gt;85,("4"),IF(J148&gt;80,("3.66"),IF(J148&gt;75,("3.33"),IF(J148&gt;70,("3.00"),IF(J148&gt;65,("2.66"),IF(J148&gt;60,("2.33"),IF(J148&gt;55,("2"),IF(J148&gt;50,("1.66"),"1.33"))))))))</f>
        <v>1.33</v>
      </c>
      <c r="L148" s="711" t="str">
        <f t="shared" ref="L148:L151" si="202">IF(J148&gt;85,("A"),IF(J148&gt;80,("A-"),IF(J148&gt;75,("B+"),IF(J148&gt;70,("B"),IF(J148&gt;65,("B-"),IF(J148&gt;60,("C+"),IF(J148&gt;55,("C"),IF(J148&gt;50,("C-"),"D+"))))))))</f>
        <v>D+</v>
      </c>
      <c r="M148" s="712" t="str">
        <f t="shared" ref="M148:M151" si="203">IF(J148&gt;80,("SB"),IF(J148&gt;65,("B"),IF(J148&gt;50,("C"),IF(J148&gt;0,("K"),"0"))))</f>
        <v>0</v>
      </c>
      <c r="N148" s="1463"/>
      <c r="O148" s="1464"/>
      <c r="P148" s="1464"/>
      <c r="Q148" s="1464"/>
      <c r="R148" s="1465"/>
      <c r="S148" s="1465"/>
      <c r="T148" s="1465"/>
      <c r="U148" s="1466"/>
      <c r="V148" s="1529"/>
      <c r="W148" s="1530"/>
    </row>
    <row r="149" spans="1:23" ht="24.95" customHeight="1" x14ac:dyDescent="0.25">
      <c r="A149" s="360"/>
      <c r="B149" s="1326">
        <v>29</v>
      </c>
      <c r="C149" s="1839"/>
      <c r="D149" s="1893" t="s">
        <v>10</v>
      </c>
      <c r="E149" s="627"/>
      <c r="F149" s="1905">
        <f t="shared" si="198"/>
        <v>0</v>
      </c>
      <c r="G149" s="1891"/>
      <c r="H149" s="627">
        <f>VLOOKUP(B147,REKAP_NILAI,26,FALSE)</f>
        <v>0</v>
      </c>
      <c r="I149" s="709">
        <f t="shared" si="199"/>
        <v>0</v>
      </c>
      <c r="J149" s="710">
        <f t="shared" si="200"/>
        <v>0</v>
      </c>
      <c r="K149" s="711" t="str">
        <f t="shared" si="201"/>
        <v>1.33</v>
      </c>
      <c r="L149" s="711" t="str">
        <f t="shared" si="202"/>
        <v>D+</v>
      </c>
      <c r="M149" s="712" t="str">
        <f t="shared" si="203"/>
        <v>0</v>
      </c>
      <c r="N149" s="1467"/>
      <c r="O149" s="1468"/>
      <c r="P149" s="1468"/>
      <c r="Q149" s="1468"/>
      <c r="R149" s="1469"/>
      <c r="S149" s="1469"/>
      <c r="T149" s="1469"/>
      <c r="U149" s="1470"/>
      <c r="V149" s="1531"/>
      <c r="W149" s="1532"/>
    </row>
    <row r="150" spans="1:23" ht="24.95" customHeight="1" x14ac:dyDescent="0.25">
      <c r="A150" s="360"/>
      <c r="B150" s="1326">
        <v>29</v>
      </c>
      <c r="C150" s="1839"/>
      <c r="D150" s="1893" t="s">
        <v>8</v>
      </c>
      <c r="E150" s="627"/>
      <c r="F150" s="1905">
        <f t="shared" si="198"/>
        <v>0</v>
      </c>
      <c r="G150" s="1891"/>
      <c r="H150" s="627">
        <f>VLOOKUP(B147,REKAP_NILAI,27,FALSE)</f>
        <v>0</v>
      </c>
      <c r="I150" s="709">
        <f t="shared" si="199"/>
        <v>0</v>
      </c>
      <c r="J150" s="710">
        <f t="shared" si="200"/>
        <v>0</v>
      </c>
      <c r="K150" s="711" t="str">
        <f t="shared" si="201"/>
        <v>1.33</v>
      </c>
      <c r="L150" s="711" t="str">
        <f t="shared" si="202"/>
        <v>D+</v>
      </c>
      <c r="M150" s="712" t="str">
        <f t="shared" si="203"/>
        <v>0</v>
      </c>
      <c r="N150" s="1467"/>
      <c r="O150" s="1468"/>
      <c r="P150" s="1468"/>
      <c r="Q150" s="1468"/>
      <c r="R150" s="1469"/>
      <c r="S150" s="1469"/>
      <c r="T150" s="1469"/>
      <c r="U150" s="1470"/>
      <c r="V150" s="1533"/>
      <c r="W150" s="1534"/>
    </row>
    <row r="151" spans="1:23" ht="24.95" customHeight="1" x14ac:dyDescent="0.25">
      <c r="A151" s="697"/>
      <c r="B151" s="698"/>
      <c r="C151" s="635" t="s">
        <v>149</v>
      </c>
      <c r="D151" s="700">
        <v>29</v>
      </c>
      <c r="E151" s="697"/>
      <c r="F151" s="1906"/>
      <c r="G151" s="697"/>
      <c r="H151" s="1189">
        <f>AVERAGE(H147:H150)</f>
        <v>0</v>
      </c>
      <c r="I151" s="705"/>
      <c r="J151" s="713">
        <f>AVERAGE(J147:J150)</f>
        <v>0</v>
      </c>
      <c r="K151" s="714" t="str">
        <f t="shared" si="201"/>
        <v>1.33</v>
      </c>
      <c r="L151" s="714" t="str">
        <f t="shared" si="202"/>
        <v>D+</v>
      </c>
      <c r="M151" s="888" t="str">
        <f t="shared" si="203"/>
        <v>0</v>
      </c>
      <c r="N151" s="1154"/>
      <c r="O151" s="1155"/>
      <c r="P151" s="1155"/>
      <c r="Q151" s="1155"/>
      <c r="R151" s="1155"/>
      <c r="S151" s="1155"/>
      <c r="T151" s="1155"/>
      <c r="U151" s="1162"/>
      <c r="V151" s="1257"/>
      <c r="W151" s="1258"/>
    </row>
    <row r="152" spans="1:23" ht="24.95" customHeight="1" thickBot="1" x14ac:dyDescent="0.3">
      <c r="A152" s="1892">
        <v>30</v>
      </c>
      <c r="B152" s="1326">
        <v>30</v>
      </c>
      <c r="C152" s="1840" t="e">
        <f>VLOOKUP(A152,data_siswa,4,FALSE)</f>
        <v>#N/A</v>
      </c>
      <c r="D152" s="1893" t="s">
        <v>12</v>
      </c>
      <c r="E152" s="627"/>
      <c r="F152" s="1904">
        <f>E152*2</f>
        <v>0</v>
      </c>
      <c r="G152" s="1891"/>
      <c r="H152" s="627">
        <f>VLOOKUP(B152,REKAP_NILAI,24,FALSE)</f>
        <v>0</v>
      </c>
      <c r="I152" s="706">
        <f>F152+G152+H152</f>
        <v>0</v>
      </c>
      <c r="J152" s="707">
        <f>(F152+G152+H152)/4</f>
        <v>0</v>
      </c>
      <c r="K152" s="708" t="str">
        <f>IF(J152&gt;85,("4"),IF(J152&gt;80,("3.66"),IF(J152&gt;75,("3.33"),IF(J152&gt;70,("3.00"),IF(J152&gt;65,("2.66"),IF(J152&gt;60,("2.33"),IF(J152&gt;55,("2"),IF(J152&gt;50,("1.66"),"1.33"))))))))</f>
        <v>1.33</v>
      </c>
      <c r="L152" s="708" t="str">
        <f>IF(J152&gt;85,("A"),IF(J152&gt;80,("A-"),IF(J152&gt;75,("B+"),IF(J152&gt;70,("B"),IF(J152&gt;65,("B-"),IF(J152&gt;60,("C+"),IF(J152&gt;55,("C"),IF(J152&gt;50,("C-"),"D+"))))))))</f>
        <v>D+</v>
      </c>
      <c r="M152" s="887" t="str">
        <f>IF(J152&gt;80,("SB"),IF(J152&gt;65,("B"),IF(J152&gt;50,("C"),IF(J152&gt;0,("K"),"0"))))</f>
        <v>0</v>
      </c>
      <c r="N152" s="1474"/>
      <c r="O152" s="1474"/>
      <c r="P152" s="1474"/>
      <c r="Q152" s="1474"/>
      <c r="R152" s="1475"/>
      <c r="S152" s="1476"/>
      <c r="T152" s="1476"/>
      <c r="U152" s="1476"/>
      <c r="V152" s="1057">
        <f>AVERAGE(J152:J155)</f>
        <v>0</v>
      </c>
      <c r="W152" s="1194" t="str">
        <f>IF(V152&gt;85,("A"),IF(V152&gt;80,("A-"),IF(V152&gt;75,("B+"),IF(V152&gt;70,("B"),IF(V152&gt;65,("B-"),IF(V152&gt;60,("C+"),IF(V152&gt;55,("C"),IF(V152&gt;50,("C-"),"D+"))))))))</f>
        <v>D+</v>
      </c>
    </row>
    <row r="153" spans="1:23" ht="24.95" customHeight="1" x14ac:dyDescent="0.25">
      <c r="A153" s="360"/>
      <c r="B153" s="1326">
        <v>30</v>
      </c>
      <c r="C153" s="1839"/>
      <c r="D153" s="1893" t="s">
        <v>7</v>
      </c>
      <c r="E153" s="627"/>
      <c r="F153" s="1905">
        <f t="shared" ref="F153:F155" si="204">E153*2</f>
        <v>0</v>
      </c>
      <c r="G153" s="1891"/>
      <c r="H153" s="627">
        <f>VLOOKUP(B152,REKAP_NILAI,25,FALSE)</f>
        <v>0</v>
      </c>
      <c r="I153" s="709">
        <f t="shared" ref="I153:I155" si="205">F153+G153+H153</f>
        <v>0</v>
      </c>
      <c r="J153" s="710">
        <f t="shared" ref="J153:J155" si="206">(F153+G153+H153)/4</f>
        <v>0</v>
      </c>
      <c r="K153" s="711" t="str">
        <f t="shared" ref="K153:K155" si="207">IF(J153&gt;85,("4"),IF(J153&gt;80,("3.66"),IF(J153&gt;75,("3.33"),IF(J153&gt;70,("3.00"),IF(J153&gt;65,("2.66"),IF(J153&gt;60,("2.33"),IF(J153&gt;55,("2"),IF(J153&gt;50,("1.66"),"1.33"))))))))</f>
        <v>1.33</v>
      </c>
      <c r="L153" s="711" t="str">
        <f t="shared" ref="L153:L155" si="208">IF(J153&gt;85,("A"),IF(J153&gt;80,("A-"),IF(J153&gt;75,("B+"),IF(J153&gt;70,("B"),IF(J153&gt;65,("B-"),IF(J153&gt;60,("C+"),IF(J153&gt;55,("C"),IF(J153&gt;50,("C-"),"D+"))))))))</f>
        <v>D+</v>
      </c>
      <c r="M153" s="712" t="str">
        <f t="shared" ref="M153:M155" si="209">IF(J153&gt;80,("SB"),IF(J153&gt;65,("B"),IF(J153&gt;50,("C"),IF(J153&gt;0,("K"),"0"))))</f>
        <v>0</v>
      </c>
      <c r="N153" s="1463"/>
      <c r="O153" s="1464"/>
      <c r="P153" s="1464"/>
      <c r="Q153" s="1464"/>
      <c r="R153" s="1465"/>
      <c r="S153" s="1465"/>
      <c r="T153" s="1465"/>
      <c r="U153" s="1466"/>
      <c r="V153" s="1529"/>
      <c r="W153" s="1530"/>
    </row>
    <row r="154" spans="1:23" ht="24.95" customHeight="1" x14ac:dyDescent="0.25">
      <c r="A154" s="360"/>
      <c r="B154" s="1326">
        <v>30</v>
      </c>
      <c r="C154" s="1839"/>
      <c r="D154" s="1893" t="s">
        <v>10</v>
      </c>
      <c r="E154" s="627"/>
      <c r="F154" s="1905">
        <f t="shared" si="204"/>
        <v>0</v>
      </c>
      <c r="G154" s="1891"/>
      <c r="H154" s="627">
        <f>VLOOKUP(B152,REKAP_NILAI,26,FALSE)</f>
        <v>0</v>
      </c>
      <c r="I154" s="709">
        <f t="shared" si="205"/>
        <v>0</v>
      </c>
      <c r="J154" s="710">
        <f t="shared" si="206"/>
        <v>0</v>
      </c>
      <c r="K154" s="711" t="str">
        <f t="shared" si="207"/>
        <v>1.33</v>
      </c>
      <c r="L154" s="711" t="str">
        <f t="shared" si="208"/>
        <v>D+</v>
      </c>
      <c r="M154" s="712" t="str">
        <f t="shared" si="209"/>
        <v>0</v>
      </c>
      <c r="N154" s="1467"/>
      <c r="O154" s="1468"/>
      <c r="P154" s="1468"/>
      <c r="Q154" s="1468"/>
      <c r="R154" s="1469"/>
      <c r="S154" s="1469"/>
      <c r="T154" s="1469"/>
      <c r="U154" s="1470"/>
      <c r="V154" s="1531"/>
      <c r="W154" s="1532"/>
    </row>
    <row r="155" spans="1:23" ht="24.95" customHeight="1" x14ac:dyDescent="0.25">
      <c r="A155" s="360"/>
      <c r="B155" s="1326">
        <v>30</v>
      </c>
      <c r="C155" s="1839"/>
      <c r="D155" s="1893" t="s">
        <v>8</v>
      </c>
      <c r="E155" s="627"/>
      <c r="F155" s="1905">
        <f t="shared" si="204"/>
        <v>0</v>
      </c>
      <c r="G155" s="1891"/>
      <c r="H155" s="627">
        <f>VLOOKUP(B152,REKAP_NILAI,27,FALSE)</f>
        <v>0</v>
      </c>
      <c r="I155" s="709">
        <f t="shared" si="205"/>
        <v>0</v>
      </c>
      <c r="J155" s="710">
        <f t="shared" si="206"/>
        <v>0</v>
      </c>
      <c r="K155" s="711" t="str">
        <f t="shared" si="207"/>
        <v>1.33</v>
      </c>
      <c r="L155" s="711" t="str">
        <f t="shared" si="208"/>
        <v>D+</v>
      </c>
      <c r="M155" s="712" t="str">
        <f t="shared" si="209"/>
        <v>0</v>
      </c>
      <c r="N155" s="1467"/>
      <c r="O155" s="1468"/>
      <c r="P155" s="1468"/>
      <c r="Q155" s="1468"/>
      <c r="R155" s="1469"/>
      <c r="S155" s="1469"/>
      <c r="T155" s="1469"/>
      <c r="U155" s="1470"/>
      <c r="V155" s="1533"/>
      <c r="W155" s="1534"/>
    </row>
    <row r="156" spans="1:23" ht="24.95" customHeight="1" x14ac:dyDescent="0.25">
      <c r="A156" s="697"/>
      <c r="B156" s="698"/>
      <c r="C156" s="635" t="s">
        <v>149</v>
      </c>
      <c r="D156" s="700">
        <v>30</v>
      </c>
      <c r="E156" s="697"/>
      <c r="F156" s="1906"/>
      <c r="G156" s="697"/>
      <c r="H156" s="1189">
        <f>AVERAGE(H152:H155)</f>
        <v>0</v>
      </c>
      <c r="I156" s="705"/>
      <c r="J156" s="713">
        <f>AVERAGE(J152:J155)</f>
        <v>0</v>
      </c>
      <c r="K156" s="714" t="str">
        <f t="shared" ref="K156" si="210">IF(J156&gt;85,("4"),IF(J156&gt;80,("3.66"),IF(J156&gt;75,("3.33"),IF(J156&gt;70,("3.00"),IF(J156&gt;65,("2.66"),IF(J156&gt;60,("2.33"),IF(J156&gt;55,("2"),IF(J156&gt;50,("1.66"),"1.33"))))))))</f>
        <v>1.33</v>
      </c>
      <c r="L156" s="714" t="str">
        <f t="shared" ref="L156" si="211">IF(J156&gt;85,("A"),IF(J156&gt;80,("A-"),IF(J156&gt;75,("B+"),IF(J156&gt;70,("B"),IF(J156&gt;65,("B-"),IF(J156&gt;60,("C+"),IF(J156&gt;55,("C"),IF(J156&gt;50,("C-"),"D+"))))))))</f>
        <v>D+</v>
      </c>
      <c r="M156" s="888" t="str">
        <f t="shared" ref="M156" si="212">IF(J156&gt;80,("SB"),IF(J156&gt;65,("B"),IF(J156&gt;50,("C"),IF(J156&gt;0,("K"),"0"))))</f>
        <v>0</v>
      </c>
      <c r="N156" s="1154"/>
      <c r="O156" s="1155"/>
      <c r="P156" s="1155"/>
      <c r="Q156" s="1155"/>
      <c r="R156" s="1155"/>
      <c r="S156" s="1155"/>
      <c r="T156" s="1155"/>
      <c r="U156" s="1162"/>
      <c r="V156" s="1257"/>
      <c r="W156" s="1258"/>
    </row>
    <row r="157" spans="1:23" ht="24.95" customHeight="1" thickBot="1" x14ac:dyDescent="0.3">
      <c r="A157" s="1892">
        <v>31</v>
      </c>
      <c r="B157" s="1326">
        <v>31</v>
      </c>
      <c r="C157" s="1840" t="e">
        <f>VLOOKUP(A157,data_siswa,4,FALSE)</f>
        <v>#N/A</v>
      </c>
      <c r="D157" s="1893" t="s">
        <v>12</v>
      </c>
      <c r="E157" s="627"/>
      <c r="F157" s="1904">
        <f>E157*2</f>
        <v>0</v>
      </c>
      <c r="G157" s="1891"/>
      <c r="H157" s="627">
        <f>VLOOKUP(B157,REKAP_NILAI,24,FALSE)</f>
        <v>0</v>
      </c>
      <c r="I157" s="706">
        <f>F157+G157+H157</f>
        <v>0</v>
      </c>
      <c r="J157" s="707">
        <f>(F157+G157+H157)/4</f>
        <v>0</v>
      </c>
      <c r="K157" s="708" t="str">
        <f>IF(J157&gt;85,("4"),IF(J157&gt;80,("3.66"),IF(J157&gt;75,("3.33"),IF(J157&gt;70,("3.00"),IF(J157&gt;65,("2.66"),IF(J157&gt;60,("2.33"),IF(J157&gt;55,("2"),IF(J157&gt;50,("1.66"),"1.33"))))))))</f>
        <v>1.33</v>
      </c>
      <c r="L157" s="708" t="str">
        <f>IF(J157&gt;85,("A"),IF(J157&gt;80,("A-"),IF(J157&gt;75,("B+"),IF(J157&gt;70,("B"),IF(J157&gt;65,("B-"),IF(J157&gt;60,("C+"),IF(J157&gt;55,("C"),IF(J157&gt;50,("C-"),"D+"))))))))</f>
        <v>D+</v>
      </c>
      <c r="M157" s="887" t="str">
        <f>IF(J157&gt;80,("SB"),IF(J157&gt;65,("B"),IF(J157&gt;50,("C"),IF(J157&gt;0,("K"),"0"))))</f>
        <v>0</v>
      </c>
      <c r="N157" s="1474"/>
      <c r="O157" s="1474"/>
      <c r="P157" s="1474"/>
      <c r="Q157" s="1474"/>
      <c r="R157" s="1475"/>
      <c r="S157" s="1476"/>
      <c r="T157" s="1476"/>
      <c r="U157" s="1476"/>
      <c r="V157" s="1057">
        <f>AVERAGE(J157:J160)</f>
        <v>0</v>
      </c>
      <c r="W157" s="1194" t="str">
        <f>IF(V157&gt;85,("A"),IF(V157&gt;80,("A-"),IF(V157&gt;75,("B+"),IF(V157&gt;70,("B"),IF(V157&gt;65,("B-"),IF(V157&gt;60,("C+"),IF(V157&gt;55,("C"),IF(V157&gt;50,("C-"),"D+"))))))))</f>
        <v>D+</v>
      </c>
    </row>
    <row r="158" spans="1:23" ht="24.95" customHeight="1" x14ac:dyDescent="0.25">
      <c r="A158" s="360"/>
      <c r="B158" s="1326">
        <v>31</v>
      </c>
      <c r="C158" s="1839"/>
      <c r="D158" s="1893" t="s">
        <v>7</v>
      </c>
      <c r="E158" s="627"/>
      <c r="F158" s="1905">
        <f t="shared" ref="F158:F160" si="213">E158*2</f>
        <v>0</v>
      </c>
      <c r="G158" s="1891"/>
      <c r="H158" s="627">
        <f>VLOOKUP(B157,REKAP_NILAI,25,FALSE)</f>
        <v>0</v>
      </c>
      <c r="I158" s="709">
        <f t="shared" ref="I158:I160" si="214">F158+G158+H158</f>
        <v>0</v>
      </c>
      <c r="J158" s="710">
        <f t="shared" ref="J158:J160" si="215">(F158+G158+H158)/4</f>
        <v>0</v>
      </c>
      <c r="K158" s="711" t="str">
        <f t="shared" ref="K158:K161" si="216">IF(J158&gt;85,("4"),IF(J158&gt;80,("3.66"),IF(J158&gt;75,("3.33"),IF(J158&gt;70,("3.00"),IF(J158&gt;65,("2.66"),IF(J158&gt;60,("2.33"),IF(J158&gt;55,("2"),IF(J158&gt;50,("1.66"),"1.33"))))))))</f>
        <v>1.33</v>
      </c>
      <c r="L158" s="711" t="str">
        <f t="shared" ref="L158:L161" si="217">IF(J158&gt;85,("A"),IF(J158&gt;80,("A-"),IF(J158&gt;75,("B+"),IF(J158&gt;70,("B"),IF(J158&gt;65,("B-"),IF(J158&gt;60,("C+"),IF(J158&gt;55,("C"),IF(J158&gt;50,("C-"),"D+"))))))))</f>
        <v>D+</v>
      </c>
      <c r="M158" s="712" t="str">
        <f t="shared" ref="M158:M161" si="218">IF(J158&gt;80,("SB"),IF(J158&gt;65,("B"),IF(J158&gt;50,("C"),IF(J158&gt;0,("K"),"0"))))</f>
        <v>0</v>
      </c>
      <c r="N158" s="1463"/>
      <c r="O158" s="1464"/>
      <c r="P158" s="1464"/>
      <c r="Q158" s="1464"/>
      <c r="R158" s="1465"/>
      <c r="S158" s="1465"/>
      <c r="T158" s="1465"/>
      <c r="U158" s="1466"/>
      <c r="V158" s="1529"/>
      <c r="W158" s="1530"/>
    </row>
    <row r="159" spans="1:23" ht="24.95" customHeight="1" x14ac:dyDescent="0.25">
      <c r="A159" s="360"/>
      <c r="B159" s="1326">
        <v>31</v>
      </c>
      <c r="C159" s="1839"/>
      <c r="D159" s="1893" t="s">
        <v>10</v>
      </c>
      <c r="E159" s="627"/>
      <c r="F159" s="1905">
        <f t="shared" si="213"/>
        <v>0</v>
      </c>
      <c r="G159" s="1891"/>
      <c r="H159" s="627">
        <f>VLOOKUP(B157,REKAP_NILAI,26,FALSE)</f>
        <v>0</v>
      </c>
      <c r="I159" s="709">
        <f t="shared" si="214"/>
        <v>0</v>
      </c>
      <c r="J159" s="710">
        <f t="shared" si="215"/>
        <v>0</v>
      </c>
      <c r="K159" s="711" t="str">
        <f t="shared" si="216"/>
        <v>1.33</v>
      </c>
      <c r="L159" s="711" t="str">
        <f t="shared" si="217"/>
        <v>D+</v>
      </c>
      <c r="M159" s="712" t="str">
        <f t="shared" si="218"/>
        <v>0</v>
      </c>
      <c r="N159" s="1467"/>
      <c r="O159" s="1468"/>
      <c r="P159" s="1468"/>
      <c r="Q159" s="1468"/>
      <c r="R159" s="1469"/>
      <c r="S159" s="1469"/>
      <c r="T159" s="1469"/>
      <c r="U159" s="1470"/>
      <c r="V159" s="1531"/>
      <c r="W159" s="1532"/>
    </row>
    <row r="160" spans="1:23" ht="24.95" customHeight="1" x14ac:dyDescent="0.25">
      <c r="A160" s="360"/>
      <c r="B160" s="1326">
        <v>31</v>
      </c>
      <c r="C160" s="1839"/>
      <c r="D160" s="1893" t="s">
        <v>8</v>
      </c>
      <c r="E160" s="627"/>
      <c r="F160" s="1905">
        <f t="shared" si="213"/>
        <v>0</v>
      </c>
      <c r="G160" s="1891"/>
      <c r="H160" s="627">
        <f>VLOOKUP(B157,REKAP_NILAI,27,FALSE)</f>
        <v>0</v>
      </c>
      <c r="I160" s="709">
        <f t="shared" si="214"/>
        <v>0</v>
      </c>
      <c r="J160" s="710">
        <f t="shared" si="215"/>
        <v>0</v>
      </c>
      <c r="K160" s="711" t="str">
        <f t="shared" si="216"/>
        <v>1.33</v>
      </c>
      <c r="L160" s="711" t="str">
        <f t="shared" si="217"/>
        <v>D+</v>
      </c>
      <c r="M160" s="712" t="str">
        <f t="shared" si="218"/>
        <v>0</v>
      </c>
      <c r="N160" s="1467"/>
      <c r="O160" s="1468"/>
      <c r="P160" s="1468"/>
      <c r="Q160" s="1468"/>
      <c r="R160" s="1469"/>
      <c r="S160" s="1469"/>
      <c r="T160" s="1469"/>
      <c r="U160" s="1470"/>
      <c r="V160" s="1533"/>
      <c r="W160" s="1534"/>
    </row>
    <row r="161" spans="1:23" ht="24.95" customHeight="1" x14ac:dyDescent="0.25">
      <c r="A161" s="697"/>
      <c r="B161" s="698"/>
      <c r="C161" s="635" t="s">
        <v>149</v>
      </c>
      <c r="D161" s="700">
        <v>31</v>
      </c>
      <c r="E161" s="697"/>
      <c r="F161" s="1906"/>
      <c r="G161" s="697"/>
      <c r="H161" s="1189">
        <f>AVERAGE(H157:H160)</f>
        <v>0</v>
      </c>
      <c r="I161" s="705"/>
      <c r="J161" s="713">
        <f>AVERAGE(J157:J160)</f>
        <v>0</v>
      </c>
      <c r="K161" s="714" t="str">
        <f t="shared" si="216"/>
        <v>1.33</v>
      </c>
      <c r="L161" s="714" t="str">
        <f t="shared" si="217"/>
        <v>D+</v>
      </c>
      <c r="M161" s="888" t="str">
        <f t="shared" si="218"/>
        <v>0</v>
      </c>
      <c r="N161" s="1154"/>
      <c r="O161" s="1155"/>
      <c r="P161" s="1155"/>
      <c r="Q161" s="1155"/>
      <c r="R161" s="1155"/>
      <c r="S161" s="1155"/>
      <c r="T161" s="1155"/>
      <c r="U161" s="1162"/>
      <c r="V161" s="1257"/>
      <c r="W161" s="1258"/>
    </row>
    <row r="162" spans="1:23" ht="24.95" customHeight="1" thickBot="1" x14ac:dyDescent="0.3">
      <c r="A162" s="1892">
        <v>32</v>
      </c>
      <c r="B162" s="1326">
        <v>32</v>
      </c>
      <c r="C162" s="1840" t="e">
        <f>VLOOKUP(A162,data_siswa,4,FALSE)</f>
        <v>#N/A</v>
      </c>
      <c r="D162" s="1893" t="s">
        <v>12</v>
      </c>
      <c r="E162" s="627"/>
      <c r="F162" s="1904">
        <f>E162*2</f>
        <v>0</v>
      </c>
      <c r="G162" s="1891"/>
      <c r="H162" s="627">
        <f>VLOOKUP(B162,REKAP_NILAI,24,FALSE)</f>
        <v>0</v>
      </c>
      <c r="I162" s="706">
        <f>F162+G162+H162</f>
        <v>0</v>
      </c>
      <c r="J162" s="707">
        <f>(F162+G162+H162)/4</f>
        <v>0</v>
      </c>
      <c r="K162" s="708" t="str">
        <f>IF(J162&gt;85,("4"),IF(J162&gt;80,("3.66"),IF(J162&gt;75,("3.33"),IF(J162&gt;70,("3.00"),IF(J162&gt;65,("2.66"),IF(J162&gt;60,("2.33"),IF(J162&gt;55,("2"),IF(J162&gt;50,("1.66"),"1.33"))))))))</f>
        <v>1.33</v>
      </c>
      <c r="L162" s="708" t="str">
        <f>IF(J162&gt;85,("A"),IF(J162&gt;80,("A-"),IF(J162&gt;75,("B+"),IF(J162&gt;70,("B"),IF(J162&gt;65,("B-"),IF(J162&gt;60,("C+"),IF(J162&gt;55,("C"),IF(J162&gt;50,("C-"),"D+"))))))))</f>
        <v>D+</v>
      </c>
      <c r="M162" s="887" t="str">
        <f>IF(J162&gt;80,("SB"),IF(J162&gt;65,("B"),IF(J162&gt;50,("C"),IF(J162&gt;0,("K"),"0"))))</f>
        <v>0</v>
      </c>
      <c r="N162" s="1474"/>
      <c r="O162" s="1474"/>
      <c r="P162" s="1474"/>
      <c r="Q162" s="1474"/>
      <c r="R162" s="1475"/>
      <c r="S162" s="1476"/>
      <c r="T162" s="1476"/>
      <c r="U162" s="1476"/>
      <c r="V162" s="1057">
        <f>AVERAGE(J162:J165)</f>
        <v>0</v>
      </c>
      <c r="W162" s="1194" t="str">
        <f>IF(V162&gt;85,("A"),IF(V162&gt;80,("A-"),IF(V162&gt;75,("B+"),IF(V162&gt;70,("B"),IF(V162&gt;65,("B-"),IF(V162&gt;60,("C+"),IF(V162&gt;55,("C"),IF(V162&gt;50,("C-"),"D+"))))))))</f>
        <v>D+</v>
      </c>
    </row>
    <row r="163" spans="1:23" ht="24.95" customHeight="1" x14ac:dyDescent="0.25">
      <c r="A163" s="360"/>
      <c r="B163" s="1326">
        <v>32</v>
      </c>
      <c r="C163" s="1839"/>
      <c r="D163" s="1893" t="s">
        <v>7</v>
      </c>
      <c r="E163" s="627"/>
      <c r="F163" s="1905">
        <f t="shared" ref="F163:F165" si="219">E163*2</f>
        <v>0</v>
      </c>
      <c r="G163" s="1891"/>
      <c r="H163" s="627">
        <f>VLOOKUP(B162,REKAP_NILAI,25,FALSE)</f>
        <v>0</v>
      </c>
      <c r="I163" s="709">
        <f t="shared" ref="I163:I165" si="220">F163+G163+H163</f>
        <v>0</v>
      </c>
      <c r="J163" s="710">
        <f t="shared" ref="J163:J165" si="221">(F163+G163+H163)/4</f>
        <v>0</v>
      </c>
      <c r="K163" s="711" t="str">
        <f t="shared" ref="K163:K166" si="222">IF(J163&gt;85,("4"),IF(J163&gt;80,("3.66"),IF(J163&gt;75,("3.33"),IF(J163&gt;70,("3.00"),IF(J163&gt;65,("2.66"),IF(J163&gt;60,("2.33"),IF(J163&gt;55,("2"),IF(J163&gt;50,("1.66"),"1.33"))))))))</f>
        <v>1.33</v>
      </c>
      <c r="L163" s="711" t="str">
        <f t="shared" ref="L163:L166" si="223">IF(J163&gt;85,("A"),IF(J163&gt;80,("A-"),IF(J163&gt;75,("B+"),IF(J163&gt;70,("B"),IF(J163&gt;65,("B-"),IF(J163&gt;60,("C+"),IF(J163&gt;55,("C"),IF(J163&gt;50,("C-"),"D+"))))))))</f>
        <v>D+</v>
      </c>
      <c r="M163" s="712" t="str">
        <f t="shared" ref="M163:M166" si="224">IF(J163&gt;80,("SB"),IF(J163&gt;65,("B"),IF(J163&gt;50,("C"),IF(J163&gt;0,("K"),"0"))))</f>
        <v>0</v>
      </c>
      <c r="N163" s="1463"/>
      <c r="O163" s="1464"/>
      <c r="P163" s="1464"/>
      <c r="Q163" s="1464"/>
      <c r="R163" s="1465"/>
      <c r="S163" s="1465"/>
      <c r="T163" s="1465"/>
      <c r="U163" s="1466"/>
      <c r="V163" s="1529"/>
      <c r="W163" s="1530"/>
    </row>
    <row r="164" spans="1:23" ht="24.95" customHeight="1" x14ac:dyDescent="0.25">
      <c r="A164" s="360"/>
      <c r="B164" s="1326">
        <v>32</v>
      </c>
      <c r="C164" s="1839"/>
      <c r="D164" s="1893" t="s">
        <v>10</v>
      </c>
      <c r="E164" s="627"/>
      <c r="F164" s="1905">
        <f t="shared" si="219"/>
        <v>0</v>
      </c>
      <c r="G164" s="1891"/>
      <c r="H164" s="627">
        <f>VLOOKUP(B162,REKAP_NILAI,26,FALSE)</f>
        <v>0</v>
      </c>
      <c r="I164" s="709">
        <f t="shared" si="220"/>
        <v>0</v>
      </c>
      <c r="J164" s="710">
        <f t="shared" si="221"/>
        <v>0</v>
      </c>
      <c r="K164" s="711" t="str">
        <f t="shared" si="222"/>
        <v>1.33</v>
      </c>
      <c r="L164" s="711" t="str">
        <f t="shared" si="223"/>
        <v>D+</v>
      </c>
      <c r="M164" s="712" t="str">
        <f t="shared" si="224"/>
        <v>0</v>
      </c>
      <c r="N164" s="1467"/>
      <c r="O164" s="1468"/>
      <c r="P164" s="1468"/>
      <c r="Q164" s="1468"/>
      <c r="R164" s="1469"/>
      <c r="S164" s="1469"/>
      <c r="T164" s="1469"/>
      <c r="U164" s="1470"/>
      <c r="V164" s="1531"/>
      <c r="W164" s="1532"/>
    </row>
    <row r="165" spans="1:23" ht="24.95" customHeight="1" x14ac:dyDescent="0.25">
      <c r="A165" s="360"/>
      <c r="B165" s="1326">
        <v>32</v>
      </c>
      <c r="C165" s="1839"/>
      <c r="D165" s="1893" t="s">
        <v>8</v>
      </c>
      <c r="E165" s="627"/>
      <c r="F165" s="1905">
        <f t="shared" si="219"/>
        <v>0</v>
      </c>
      <c r="G165" s="1891"/>
      <c r="H165" s="627">
        <f>VLOOKUP(B162,REKAP_NILAI,27,FALSE)</f>
        <v>0</v>
      </c>
      <c r="I165" s="709">
        <f t="shared" si="220"/>
        <v>0</v>
      </c>
      <c r="J165" s="710">
        <f t="shared" si="221"/>
        <v>0</v>
      </c>
      <c r="K165" s="711" t="str">
        <f t="shared" si="222"/>
        <v>1.33</v>
      </c>
      <c r="L165" s="711" t="str">
        <f t="shared" si="223"/>
        <v>D+</v>
      </c>
      <c r="M165" s="712" t="str">
        <f t="shared" si="224"/>
        <v>0</v>
      </c>
      <c r="N165" s="1467"/>
      <c r="O165" s="1468"/>
      <c r="P165" s="1468"/>
      <c r="Q165" s="1468"/>
      <c r="R165" s="1469"/>
      <c r="S165" s="1469"/>
      <c r="T165" s="1469"/>
      <c r="U165" s="1470"/>
      <c r="V165" s="1533"/>
      <c r="W165" s="1534"/>
    </row>
    <row r="166" spans="1:23" ht="24.95" customHeight="1" x14ac:dyDescent="0.25">
      <c r="A166" s="697"/>
      <c r="B166" s="698"/>
      <c r="C166" s="635" t="s">
        <v>149</v>
      </c>
      <c r="D166" s="700">
        <v>32</v>
      </c>
      <c r="E166" s="697"/>
      <c r="F166" s="1906"/>
      <c r="G166" s="697"/>
      <c r="H166" s="1189">
        <f>AVERAGE(H162:H165)</f>
        <v>0</v>
      </c>
      <c r="I166" s="705"/>
      <c r="J166" s="713">
        <f>AVERAGE(J162:J165)</f>
        <v>0</v>
      </c>
      <c r="K166" s="714" t="str">
        <f t="shared" si="222"/>
        <v>1.33</v>
      </c>
      <c r="L166" s="714" t="str">
        <f t="shared" si="223"/>
        <v>D+</v>
      </c>
      <c r="M166" s="888" t="str">
        <f t="shared" si="224"/>
        <v>0</v>
      </c>
      <c r="N166" s="1154"/>
      <c r="O166" s="1155"/>
      <c r="P166" s="1155"/>
      <c r="Q166" s="1155"/>
      <c r="R166" s="1155"/>
      <c r="S166" s="1155"/>
      <c r="T166" s="1155"/>
      <c r="U166" s="1162"/>
      <c r="V166" s="1257"/>
      <c r="W166" s="1258"/>
    </row>
    <row r="167" spans="1:23" ht="24.95" customHeight="1" thickBot="1" x14ac:dyDescent="0.3">
      <c r="A167" s="1892">
        <v>33</v>
      </c>
      <c r="B167" s="1326">
        <v>33</v>
      </c>
      <c r="C167" s="1840" t="e">
        <f>VLOOKUP(A167,data_siswa,4,FALSE)</f>
        <v>#N/A</v>
      </c>
      <c r="D167" s="1893" t="s">
        <v>12</v>
      </c>
      <c r="E167" s="627"/>
      <c r="F167" s="1904">
        <f>E167*2</f>
        <v>0</v>
      </c>
      <c r="G167" s="1891"/>
      <c r="H167" s="627">
        <f>VLOOKUP(B167,REKAP_NILAI,24,FALSE)</f>
        <v>0</v>
      </c>
      <c r="I167" s="706">
        <f>F167+G167+H167</f>
        <v>0</v>
      </c>
      <c r="J167" s="707">
        <f>(F167+G167+H167)/4</f>
        <v>0</v>
      </c>
      <c r="K167" s="708" t="str">
        <f>IF(J167&gt;85,("4"),IF(J167&gt;80,("3.66"),IF(J167&gt;75,("3.33"),IF(J167&gt;70,("3.00"),IF(J167&gt;65,("2.66"),IF(J167&gt;60,("2.33"),IF(J167&gt;55,("2"),IF(J167&gt;50,("1.66"),"1.33"))))))))</f>
        <v>1.33</v>
      </c>
      <c r="L167" s="708" t="str">
        <f>IF(J167&gt;85,("A"),IF(J167&gt;80,("A-"),IF(J167&gt;75,("B+"),IF(J167&gt;70,("B"),IF(J167&gt;65,("B-"),IF(J167&gt;60,("C+"),IF(J167&gt;55,("C"),IF(J167&gt;50,("C-"),"D+"))))))))</f>
        <v>D+</v>
      </c>
      <c r="M167" s="887" t="str">
        <f>IF(J167&gt;80,("SB"),IF(J167&gt;65,("B"),IF(J167&gt;50,("C"),IF(J167&gt;0,("K"),"0"))))</f>
        <v>0</v>
      </c>
      <c r="N167" s="1474"/>
      <c r="O167" s="1474"/>
      <c r="P167" s="1474"/>
      <c r="Q167" s="1474"/>
      <c r="R167" s="1475"/>
      <c r="S167" s="1476"/>
      <c r="T167" s="1476"/>
      <c r="U167" s="1476"/>
      <c r="V167" s="1057">
        <f>AVERAGE(J167:J170)</f>
        <v>0</v>
      </c>
      <c r="W167" s="1194" t="str">
        <f>IF(V167&gt;85,("A"),IF(V167&gt;80,("A-"),IF(V167&gt;75,("B+"),IF(V167&gt;70,("B"),IF(V167&gt;65,("B-"),IF(V167&gt;60,("C+"),IF(V167&gt;55,("C"),IF(V167&gt;50,("C-"),"D+"))))))))</f>
        <v>D+</v>
      </c>
    </row>
    <row r="168" spans="1:23" ht="24.95" customHeight="1" x14ac:dyDescent="0.25">
      <c r="A168" s="360"/>
      <c r="B168" s="1326">
        <v>33</v>
      </c>
      <c r="C168" s="1839"/>
      <c r="D168" s="1893" t="s">
        <v>7</v>
      </c>
      <c r="E168" s="627"/>
      <c r="F168" s="1905">
        <f t="shared" ref="F168:F170" si="225">E168*2</f>
        <v>0</v>
      </c>
      <c r="G168" s="1891"/>
      <c r="H168" s="627">
        <f>VLOOKUP(B167,REKAP_NILAI,25,FALSE)</f>
        <v>0</v>
      </c>
      <c r="I168" s="709">
        <f t="shared" ref="I168:I170" si="226">F168+G168+H168</f>
        <v>0</v>
      </c>
      <c r="J168" s="710">
        <f t="shared" ref="J168:J170" si="227">(F168+G168+H168)/4</f>
        <v>0</v>
      </c>
      <c r="K168" s="711" t="str">
        <f t="shared" ref="K168:K171" si="228">IF(J168&gt;85,("4"),IF(J168&gt;80,("3.66"),IF(J168&gt;75,("3.33"),IF(J168&gt;70,("3.00"),IF(J168&gt;65,("2.66"),IF(J168&gt;60,("2.33"),IF(J168&gt;55,("2"),IF(J168&gt;50,("1.66"),"1.33"))))))))</f>
        <v>1.33</v>
      </c>
      <c r="L168" s="711" t="str">
        <f t="shared" ref="L168:L171" si="229">IF(J168&gt;85,("A"),IF(J168&gt;80,("A-"),IF(J168&gt;75,("B+"),IF(J168&gt;70,("B"),IF(J168&gt;65,("B-"),IF(J168&gt;60,("C+"),IF(J168&gt;55,("C"),IF(J168&gt;50,("C-"),"D+"))))))))</f>
        <v>D+</v>
      </c>
      <c r="M168" s="712" t="str">
        <f t="shared" ref="M168:M171" si="230">IF(J168&gt;80,("SB"),IF(J168&gt;65,("B"),IF(J168&gt;50,("C"),IF(J168&gt;0,("K"),"0"))))</f>
        <v>0</v>
      </c>
      <c r="N168" s="1463"/>
      <c r="O168" s="1464"/>
      <c r="P168" s="1464"/>
      <c r="Q168" s="1464"/>
      <c r="R168" s="1465"/>
      <c r="S168" s="1465"/>
      <c r="T168" s="1465"/>
      <c r="U168" s="1466"/>
      <c r="V168" s="1529"/>
      <c r="W168" s="1530"/>
    </row>
    <row r="169" spans="1:23" ht="24.95" customHeight="1" x14ac:dyDescent="0.25">
      <c r="A169" s="360"/>
      <c r="B169" s="1326">
        <v>33</v>
      </c>
      <c r="C169" s="1839"/>
      <c r="D169" s="1893" t="s">
        <v>10</v>
      </c>
      <c r="E169" s="627"/>
      <c r="F169" s="1905">
        <f t="shared" si="225"/>
        <v>0</v>
      </c>
      <c r="G169" s="1891"/>
      <c r="H169" s="627">
        <f>VLOOKUP(B167,REKAP_NILAI,26,FALSE)</f>
        <v>0</v>
      </c>
      <c r="I169" s="709">
        <f t="shared" si="226"/>
        <v>0</v>
      </c>
      <c r="J169" s="710">
        <f t="shared" si="227"/>
        <v>0</v>
      </c>
      <c r="K169" s="711" t="str">
        <f t="shared" si="228"/>
        <v>1.33</v>
      </c>
      <c r="L169" s="711" t="str">
        <f t="shared" si="229"/>
        <v>D+</v>
      </c>
      <c r="M169" s="712" t="str">
        <f t="shared" si="230"/>
        <v>0</v>
      </c>
      <c r="N169" s="1467"/>
      <c r="O169" s="1468"/>
      <c r="P169" s="1468"/>
      <c r="Q169" s="1468"/>
      <c r="R169" s="1469"/>
      <c r="S169" s="1469"/>
      <c r="T169" s="1469"/>
      <c r="U169" s="1470"/>
      <c r="V169" s="1531"/>
      <c r="W169" s="1532"/>
    </row>
    <row r="170" spans="1:23" ht="24.95" customHeight="1" x14ac:dyDescent="0.25">
      <c r="A170" s="360"/>
      <c r="B170" s="1326">
        <v>33</v>
      </c>
      <c r="C170" s="1839"/>
      <c r="D170" s="1893" t="s">
        <v>8</v>
      </c>
      <c r="E170" s="627"/>
      <c r="F170" s="1905">
        <f t="shared" si="225"/>
        <v>0</v>
      </c>
      <c r="G170" s="1891"/>
      <c r="H170" s="627">
        <f>VLOOKUP(B167,REKAP_NILAI,27,FALSE)</f>
        <v>0</v>
      </c>
      <c r="I170" s="709">
        <f t="shared" si="226"/>
        <v>0</v>
      </c>
      <c r="J170" s="710">
        <f t="shared" si="227"/>
        <v>0</v>
      </c>
      <c r="K170" s="711" t="str">
        <f t="shared" si="228"/>
        <v>1.33</v>
      </c>
      <c r="L170" s="711" t="str">
        <f t="shared" si="229"/>
        <v>D+</v>
      </c>
      <c r="M170" s="712" t="str">
        <f t="shared" si="230"/>
        <v>0</v>
      </c>
      <c r="N170" s="1467"/>
      <c r="O170" s="1468"/>
      <c r="P170" s="1468"/>
      <c r="Q170" s="1468"/>
      <c r="R170" s="1469"/>
      <c r="S170" s="1469"/>
      <c r="T170" s="1469"/>
      <c r="U170" s="1470"/>
      <c r="V170" s="1533"/>
      <c r="W170" s="1534"/>
    </row>
    <row r="171" spans="1:23" ht="24.95" customHeight="1" x14ac:dyDescent="0.25">
      <c r="A171" s="697"/>
      <c r="B171" s="698"/>
      <c r="C171" s="635" t="s">
        <v>149</v>
      </c>
      <c r="D171" s="700">
        <v>33</v>
      </c>
      <c r="E171" s="697"/>
      <c r="F171" s="1906"/>
      <c r="G171" s="697"/>
      <c r="H171" s="1189">
        <f>AVERAGE(H167:H170)</f>
        <v>0</v>
      </c>
      <c r="I171" s="705"/>
      <c r="J171" s="713">
        <f>AVERAGE(J167:J170)</f>
        <v>0</v>
      </c>
      <c r="K171" s="714" t="str">
        <f t="shared" si="228"/>
        <v>1.33</v>
      </c>
      <c r="L171" s="714" t="str">
        <f t="shared" si="229"/>
        <v>D+</v>
      </c>
      <c r="M171" s="888" t="str">
        <f t="shared" si="230"/>
        <v>0</v>
      </c>
      <c r="N171" s="1154"/>
      <c r="O171" s="1155"/>
      <c r="P171" s="1155"/>
      <c r="Q171" s="1155"/>
      <c r="R171" s="1155"/>
      <c r="S171" s="1155"/>
      <c r="T171" s="1155"/>
      <c r="U171" s="1162"/>
      <c r="V171" s="1257"/>
      <c r="W171" s="1258"/>
    </row>
    <row r="172" spans="1:23" ht="24.95" customHeight="1" thickBot="1" x14ac:dyDescent="0.3">
      <c r="A172" s="1892">
        <v>34</v>
      </c>
      <c r="B172" s="1326">
        <v>34</v>
      </c>
      <c r="C172" s="1840" t="e">
        <f>VLOOKUP(A172,data_siswa,4,FALSE)</f>
        <v>#N/A</v>
      </c>
      <c r="D172" s="1893" t="s">
        <v>12</v>
      </c>
      <c r="E172" s="627"/>
      <c r="F172" s="1904">
        <f>E172*2</f>
        <v>0</v>
      </c>
      <c r="G172" s="1891"/>
      <c r="H172" s="627">
        <f>VLOOKUP(B172,REKAP_NILAI,24,FALSE)</f>
        <v>0</v>
      </c>
      <c r="I172" s="706">
        <f>F172+G172+H172</f>
        <v>0</v>
      </c>
      <c r="J172" s="707">
        <f>(F172+G172+H172)/4</f>
        <v>0</v>
      </c>
      <c r="K172" s="708" t="str">
        <f>IF(J172&gt;85,("4"),IF(J172&gt;80,("3.66"),IF(J172&gt;75,("3.33"),IF(J172&gt;70,("3.00"),IF(J172&gt;65,("2.66"),IF(J172&gt;60,("2.33"),IF(J172&gt;55,("2"),IF(J172&gt;50,("1.66"),"1.33"))))))))</f>
        <v>1.33</v>
      </c>
      <c r="L172" s="708" t="str">
        <f>IF(J172&gt;85,("A"),IF(J172&gt;80,("A-"),IF(J172&gt;75,("B+"),IF(J172&gt;70,("B"),IF(J172&gt;65,("B-"),IF(J172&gt;60,("C+"),IF(J172&gt;55,("C"),IF(J172&gt;50,("C-"),"D+"))))))))</f>
        <v>D+</v>
      </c>
      <c r="M172" s="887" t="str">
        <f>IF(J172&gt;80,("SB"),IF(J172&gt;65,("B"),IF(J172&gt;50,("C"),IF(J172&gt;0,("K"),"0"))))</f>
        <v>0</v>
      </c>
      <c r="N172" s="1474"/>
      <c r="O172" s="1474"/>
      <c r="P172" s="1474"/>
      <c r="Q172" s="1474"/>
      <c r="R172" s="1475"/>
      <c r="S172" s="1476"/>
      <c r="T172" s="1476"/>
      <c r="U172" s="1476"/>
      <c r="V172" s="1057">
        <f>AVERAGE(J172:J175)</f>
        <v>0</v>
      </c>
      <c r="W172" s="1194" t="str">
        <f>IF(V172&gt;85,("A"),IF(V172&gt;80,("A-"),IF(V172&gt;75,("B+"),IF(V172&gt;70,("B"),IF(V172&gt;65,("B-"),IF(V172&gt;60,("C+"),IF(V172&gt;55,("C"),IF(V172&gt;50,("C-"),"D+"))))))))</f>
        <v>D+</v>
      </c>
    </row>
    <row r="173" spans="1:23" ht="24.95" customHeight="1" x14ac:dyDescent="0.25">
      <c r="A173" s="360"/>
      <c r="B173" s="1326">
        <v>34</v>
      </c>
      <c r="C173" s="1839"/>
      <c r="D173" s="1893" t="s">
        <v>7</v>
      </c>
      <c r="E173" s="627"/>
      <c r="F173" s="1905">
        <f t="shared" ref="F173:F175" si="231">E173*2</f>
        <v>0</v>
      </c>
      <c r="G173" s="1891"/>
      <c r="H173" s="627">
        <f>VLOOKUP(B172,REKAP_NILAI,25,FALSE)</f>
        <v>0</v>
      </c>
      <c r="I173" s="709">
        <f t="shared" ref="I173:I175" si="232">F173+G173+H173</f>
        <v>0</v>
      </c>
      <c r="J173" s="710">
        <f t="shared" ref="J173:J175" si="233">(F173+G173+H173)/4</f>
        <v>0</v>
      </c>
      <c r="K173" s="711" t="str">
        <f t="shared" ref="K173:K176" si="234">IF(J173&gt;85,("4"),IF(J173&gt;80,("3.66"),IF(J173&gt;75,("3.33"),IF(J173&gt;70,("3.00"),IF(J173&gt;65,("2.66"),IF(J173&gt;60,("2.33"),IF(J173&gt;55,("2"),IF(J173&gt;50,("1.66"),"1.33"))))))))</f>
        <v>1.33</v>
      </c>
      <c r="L173" s="711" t="str">
        <f t="shared" ref="L173:L176" si="235">IF(J173&gt;85,("A"),IF(J173&gt;80,("A-"),IF(J173&gt;75,("B+"),IF(J173&gt;70,("B"),IF(J173&gt;65,("B-"),IF(J173&gt;60,("C+"),IF(J173&gt;55,("C"),IF(J173&gt;50,("C-"),"D+"))))))))</f>
        <v>D+</v>
      </c>
      <c r="M173" s="712" t="str">
        <f t="shared" ref="M173:M176" si="236">IF(J173&gt;80,("SB"),IF(J173&gt;65,("B"),IF(J173&gt;50,("C"),IF(J173&gt;0,("K"),"0"))))</f>
        <v>0</v>
      </c>
      <c r="N173" s="1463"/>
      <c r="O173" s="1464"/>
      <c r="P173" s="1464"/>
      <c r="Q173" s="1464"/>
      <c r="R173" s="1465"/>
      <c r="S173" s="1465"/>
      <c r="T173" s="1465"/>
      <c r="U173" s="1466"/>
      <c r="V173" s="1529"/>
      <c r="W173" s="1530"/>
    </row>
    <row r="174" spans="1:23" ht="24.95" customHeight="1" x14ac:dyDescent="0.25">
      <c r="A174" s="360"/>
      <c r="B174" s="1326">
        <v>34</v>
      </c>
      <c r="C174" s="1839"/>
      <c r="D174" s="1893" t="s">
        <v>10</v>
      </c>
      <c r="E174" s="627"/>
      <c r="F174" s="1905">
        <f t="shared" si="231"/>
        <v>0</v>
      </c>
      <c r="G174" s="1891"/>
      <c r="H174" s="627">
        <f>VLOOKUP(B172,REKAP_NILAI,26,FALSE)</f>
        <v>0</v>
      </c>
      <c r="I174" s="709">
        <f t="shared" si="232"/>
        <v>0</v>
      </c>
      <c r="J174" s="710">
        <f t="shared" si="233"/>
        <v>0</v>
      </c>
      <c r="K174" s="711" t="str">
        <f t="shared" si="234"/>
        <v>1.33</v>
      </c>
      <c r="L174" s="711" t="str">
        <f t="shared" si="235"/>
        <v>D+</v>
      </c>
      <c r="M174" s="712" t="str">
        <f t="shared" si="236"/>
        <v>0</v>
      </c>
      <c r="N174" s="1467"/>
      <c r="O174" s="1468"/>
      <c r="P174" s="1468"/>
      <c r="Q174" s="1468"/>
      <c r="R174" s="1469"/>
      <c r="S174" s="1469"/>
      <c r="T174" s="1469"/>
      <c r="U174" s="1470"/>
      <c r="V174" s="1531"/>
      <c r="W174" s="1532"/>
    </row>
    <row r="175" spans="1:23" ht="24.95" customHeight="1" x14ac:dyDescent="0.25">
      <c r="A175" s="360"/>
      <c r="B175" s="1326">
        <v>34</v>
      </c>
      <c r="C175" s="1839"/>
      <c r="D175" s="1893" t="s">
        <v>8</v>
      </c>
      <c r="E175" s="627"/>
      <c r="F175" s="1905">
        <f t="shared" si="231"/>
        <v>0</v>
      </c>
      <c r="G175" s="1891"/>
      <c r="H175" s="627">
        <f>VLOOKUP(B172,REKAP_NILAI,27,FALSE)</f>
        <v>0</v>
      </c>
      <c r="I175" s="709">
        <f t="shared" si="232"/>
        <v>0</v>
      </c>
      <c r="J175" s="710">
        <f t="shared" si="233"/>
        <v>0</v>
      </c>
      <c r="K175" s="711" t="str">
        <f t="shared" si="234"/>
        <v>1.33</v>
      </c>
      <c r="L175" s="711" t="str">
        <f t="shared" si="235"/>
        <v>D+</v>
      </c>
      <c r="M175" s="712" t="str">
        <f t="shared" si="236"/>
        <v>0</v>
      </c>
      <c r="N175" s="1467"/>
      <c r="O175" s="1468"/>
      <c r="P175" s="1468"/>
      <c r="Q175" s="1468"/>
      <c r="R175" s="1469"/>
      <c r="S175" s="1469"/>
      <c r="T175" s="1469"/>
      <c r="U175" s="1470"/>
      <c r="V175" s="1533"/>
      <c r="W175" s="1534"/>
    </row>
    <row r="176" spans="1:23" ht="24.95" customHeight="1" x14ac:dyDescent="0.25">
      <c r="A176" s="697"/>
      <c r="B176" s="698"/>
      <c r="C176" s="635" t="s">
        <v>149</v>
      </c>
      <c r="D176" s="700">
        <v>34</v>
      </c>
      <c r="E176" s="697"/>
      <c r="F176" s="1906"/>
      <c r="G176" s="697"/>
      <c r="H176" s="1189">
        <f>AVERAGE(H172:H175)</f>
        <v>0</v>
      </c>
      <c r="I176" s="705"/>
      <c r="J176" s="713">
        <f>AVERAGE(J172:J175)</f>
        <v>0</v>
      </c>
      <c r="K176" s="714" t="str">
        <f t="shared" si="234"/>
        <v>1.33</v>
      </c>
      <c r="L176" s="714" t="str">
        <f t="shared" si="235"/>
        <v>D+</v>
      </c>
      <c r="M176" s="888" t="str">
        <f t="shared" si="236"/>
        <v>0</v>
      </c>
      <c r="N176" s="1154"/>
      <c r="O176" s="1155"/>
      <c r="P176" s="1155"/>
      <c r="Q176" s="1155"/>
      <c r="R176" s="1155"/>
      <c r="S176" s="1155"/>
      <c r="T176" s="1155"/>
      <c r="U176" s="1162"/>
      <c r="V176" s="1257"/>
      <c r="W176" s="1258"/>
    </row>
    <row r="177" spans="1:23" ht="24.95" customHeight="1" thickBot="1" x14ac:dyDescent="0.3">
      <c r="A177" s="1892">
        <v>35</v>
      </c>
      <c r="B177" s="1326">
        <v>35</v>
      </c>
      <c r="C177" s="1840" t="e">
        <f>VLOOKUP(A177,data_siswa,4,FALSE)</f>
        <v>#N/A</v>
      </c>
      <c r="D177" s="1893" t="s">
        <v>12</v>
      </c>
      <c r="E177" s="627"/>
      <c r="F177" s="1904">
        <f>E177*2</f>
        <v>0</v>
      </c>
      <c r="G177" s="1891"/>
      <c r="H177" s="627">
        <f>VLOOKUP(B177,REKAP_NILAI,24,FALSE)</f>
        <v>0</v>
      </c>
      <c r="I177" s="706">
        <f>F177+G177+H177</f>
        <v>0</v>
      </c>
      <c r="J177" s="707">
        <f>(F177+G177+H177)/4</f>
        <v>0</v>
      </c>
      <c r="K177" s="708" t="str">
        <f>IF(J177&gt;85,("4"),IF(J177&gt;80,("3.66"),IF(J177&gt;75,("3.33"),IF(J177&gt;70,("3.00"),IF(J177&gt;65,("2.66"),IF(J177&gt;60,("2.33"),IF(J177&gt;55,("2"),IF(J177&gt;50,("1.66"),"1.33"))))))))</f>
        <v>1.33</v>
      </c>
      <c r="L177" s="708" t="str">
        <f>IF(J177&gt;85,("A"),IF(J177&gt;80,("A-"),IF(J177&gt;75,("B+"),IF(J177&gt;70,("B"),IF(J177&gt;65,("B-"),IF(J177&gt;60,("C+"),IF(J177&gt;55,("C"),IF(J177&gt;50,("C-"),"D+"))))))))</f>
        <v>D+</v>
      </c>
      <c r="M177" s="887" t="str">
        <f>IF(J177&gt;80,("SB"),IF(J177&gt;65,("B"),IF(J177&gt;50,("C"),IF(J177&gt;0,("K"),"0"))))</f>
        <v>0</v>
      </c>
      <c r="N177" s="1474"/>
      <c r="O177" s="1474"/>
      <c r="P177" s="1474"/>
      <c r="Q177" s="1474"/>
      <c r="R177" s="1475"/>
      <c r="S177" s="1476"/>
      <c r="T177" s="1476"/>
      <c r="U177" s="1476"/>
      <c r="V177" s="1057">
        <f>AVERAGE(J177:J180)</f>
        <v>0</v>
      </c>
      <c r="W177" s="1194" t="str">
        <f>IF(V177&gt;85,("A"),IF(V177&gt;80,("A-"),IF(V177&gt;75,("B+"),IF(V177&gt;70,("B"),IF(V177&gt;65,("B-"),IF(V177&gt;60,("C+"),IF(V177&gt;55,("C"),IF(V177&gt;50,("C-"),"D+"))))))))</f>
        <v>D+</v>
      </c>
    </row>
    <row r="178" spans="1:23" ht="24.95" customHeight="1" x14ac:dyDescent="0.25">
      <c r="A178" s="360"/>
      <c r="B178" s="1326">
        <v>35</v>
      </c>
      <c r="C178" s="1839"/>
      <c r="D178" s="1893" t="s">
        <v>7</v>
      </c>
      <c r="E178" s="627"/>
      <c r="F178" s="1905">
        <f t="shared" ref="F178:F180" si="237">E178*2</f>
        <v>0</v>
      </c>
      <c r="G178" s="1891"/>
      <c r="H178" s="627">
        <f>VLOOKUP(B177,REKAP_NILAI,25,FALSE)</f>
        <v>0</v>
      </c>
      <c r="I178" s="709">
        <f t="shared" ref="I178:I180" si="238">F178+G178+H178</f>
        <v>0</v>
      </c>
      <c r="J178" s="710">
        <f t="shared" ref="J178:J180" si="239">(F178+G178+H178)/4</f>
        <v>0</v>
      </c>
      <c r="K178" s="711" t="str">
        <f t="shared" ref="K178:K181" si="240">IF(J178&gt;85,("4"),IF(J178&gt;80,("3.66"),IF(J178&gt;75,("3.33"),IF(J178&gt;70,("3.00"),IF(J178&gt;65,("2.66"),IF(J178&gt;60,("2.33"),IF(J178&gt;55,("2"),IF(J178&gt;50,("1.66"),"1.33"))))))))</f>
        <v>1.33</v>
      </c>
      <c r="L178" s="711" t="str">
        <f t="shared" ref="L178:L181" si="241">IF(J178&gt;85,("A"),IF(J178&gt;80,("A-"),IF(J178&gt;75,("B+"),IF(J178&gt;70,("B"),IF(J178&gt;65,("B-"),IF(J178&gt;60,("C+"),IF(J178&gt;55,("C"),IF(J178&gt;50,("C-"),"D+"))))))))</f>
        <v>D+</v>
      </c>
      <c r="M178" s="712" t="str">
        <f t="shared" ref="M178:M181" si="242">IF(J178&gt;80,("SB"),IF(J178&gt;65,("B"),IF(J178&gt;50,("C"),IF(J178&gt;0,("K"),"0"))))</f>
        <v>0</v>
      </c>
      <c r="N178" s="1463"/>
      <c r="O178" s="1464"/>
      <c r="P178" s="1464"/>
      <c r="Q178" s="1464"/>
      <c r="R178" s="1465"/>
      <c r="S178" s="1465"/>
      <c r="T178" s="1465"/>
      <c r="U178" s="1466"/>
      <c r="V178" s="1529"/>
      <c r="W178" s="1530"/>
    </row>
    <row r="179" spans="1:23" ht="24.95" customHeight="1" x14ac:dyDescent="0.25">
      <c r="A179" s="360"/>
      <c r="B179" s="1326">
        <v>35</v>
      </c>
      <c r="C179" s="1839"/>
      <c r="D179" s="1893" t="s">
        <v>10</v>
      </c>
      <c r="E179" s="627"/>
      <c r="F179" s="1905">
        <f t="shared" si="237"/>
        <v>0</v>
      </c>
      <c r="G179" s="1891"/>
      <c r="H179" s="627">
        <f>VLOOKUP(B177,REKAP_NILAI,26,FALSE)</f>
        <v>0</v>
      </c>
      <c r="I179" s="709">
        <f t="shared" si="238"/>
        <v>0</v>
      </c>
      <c r="J179" s="710">
        <f t="shared" si="239"/>
        <v>0</v>
      </c>
      <c r="K179" s="711" t="str">
        <f t="shared" si="240"/>
        <v>1.33</v>
      </c>
      <c r="L179" s="711" t="str">
        <f t="shared" si="241"/>
        <v>D+</v>
      </c>
      <c r="M179" s="712" t="str">
        <f t="shared" si="242"/>
        <v>0</v>
      </c>
      <c r="N179" s="1467"/>
      <c r="O179" s="1468"/>
      <c r="P179" s="1468"/>
      <c r="Q179" s="1468"/>
      <c r="R179" s="1469"/>
      <c r="S179" s="1469"/>
      <c r="T179" s="1469"/>
      <c r="U179" s="1470"/>
      <c r="V179" s="1531"/>
      <c r="W179" s="1532"/>
    </row>
    <row r="180" spans="1:23" ht="24.95" customHeight="1" x14ac:dyDescent="0.25">
      <c r="A180" s="360"/>
      <c r="B180" s="1326">
        <v>35</v>
      </c>
      <c r="C180" s="1839"/>
      <c r="D180" s="1893" t="s">
        <v>8</v>
      </c>
      <c r="E180" s="627"/>
      <c r="F180" s="1905">
        <f t="shared" si="237"/>
        <v>0</v>
      </c>
      <c r="G180" s="1891"/>
      <c r="H180" s="627">
        <f>VLOOKUP(B177,REKAP_NILAI,27,FALSE)</f>
        <v>0</v>
      </c>
      <c r="I180" s="709">
        <f t="shared" si="238"/>
        <v>0</v>
      </c>
      <c r="J180" s="710">
        <f t="shared" si="239"/>
        <v>0</v>
      </c>
      <c r="K180" s="711" t="str">
        <f t="shared" si="240"/>
        <v>1.33</v>
      </c>
      <c r="L180" s="711" t="str">
        <f t="shared" si="241"/>
        <v>D+</v>
      </c>
      <c r="M180" s="712" t="str">
        <f t="shared" si="242"/>
        <v>0</v>
      </c>
      <c r="N180" s="1467"/>
      <c r="O180" s="1468"/>
      <c r="P180" s="1468"/>
      <c r="Q180" s="1468"/>
      <c r="R180" s="1469"/>
      <c r="S180" s="1469"/>
      <c r="T180" s="1469"/>
      <c r="U180" s="1470"/>
      <c r="V180" s="1533"/>
      <c r="W180" s="1534"/>
    </row>
    <row r="181" spans="1:23" ht="24.95" customHeight="1" x14ac:dyDescent="0.25">
      <c r="A181" s="697"/>
      <c r="B181" s="698"/>
      <c r="C181" s="635" t="s">
        <v>149</v>
      </c>
      <c r="D181" s="700">
        <v>35</v>
      </c>
      <c r="E181" s="697"/>
      <c r="F181" s="1906"/>
      <c r="G181" s="697"/>
      <c r="H181" s="1189">
        <f>AVERAGE(H177:H180)</f>
        <v>0</v>
      </c>
      <c r="I181" s="705"/>
      <c r="J181" s="713">
        <f>AVERAGE(J177:J180)</f>
        <v>0</v>
      </c>
      <c r="K181" s="714" t="str">
        <f t="shared" si="240"/>
        <v>1.33</v>
      </c>
      <c r="L181" s="714" t="str">
        <f t="shared" si="241"/>
        <v>D+</v>
      </c>
      <c r="M181" s="888" t="str">
        <f t="shared" si="242"/>
        <v>0</v>
      </c>
      <c r="N181" s="1154"/>
      <c r="O181" s="1155"/>
      <c r="P181" s="1155"/>
      <c r="Q181" s="1155"/>
      <c r="R181" s="1155"/>
      <c r="S181" s="1155"/>
      <c r="T181" s="1155"/>
      <c r="U181" s="1162"/>
      <c r="V181" s="1257"/>
      <c r="W181" s="1258"/>
    </row>
    <row r="182" spans="1:23" ht="24.95" customHeight="1" thickBot="1" x14ac:dyDescent="0.3">
      <c r="A182" s="1892">
        <v>36</v>
      </c>
      <c r="B182" s="1326">
        <v>36</v>
      </c>
      <c r="C182" s="1840" t="e">
        <f>VLOOKUP(A182,data_siswa,4,FALSE)</f>
        <v>#N/A</v>
      </c>
      <c r="D182" s="1893" t="s">
        <v>12</v>
      </c>
      <c r="E182" s="627"/>
      <c r="F182" s="1904">
        <f>E182*2</f>
        <v>0</v>
      </c>
      <c r="G182" s="1891"/>
      <c r="H182" s="627">
        <f>VLOOKUP(B182,REKAP_NILAI,24,FALSE)</f>
        <v>0</v>
      </c>
      <c r="I182" s="706">
        <f>F182+G182+H182</f>
        <v>0</v>
      </c>
      <c r="J182" s="707">
        <f>(F182+G182+H182)/4</f>
        <v>0</v>
      </c>
      <c r="K182" s="708" t="str">
        <f>IF(J182&gt;85,("4"),IF(J182&gt;80,("3.66"),IF(J182&gt;75,("3.33"),IF(J182&gt;70,("3.00"),IF(J182&gt;65,("2.66"),IF(J182&gt;60,("2.33"),IF(J182&gt;55,("2"),IF(J182&gt;50,("1.66"),"1.33"))))))))</f>
        <v>1.33</v>
      </c>
      <c r="L182" s="708" t="str">
        <f>IF(J182&gt;85,("A"),IF(J182&gt;80,("A-"),IF(J182&gt;75,("B+"),IF(J182&gt;70,("B"),IF(J182&gt;65,("B-"),IF(J182&gt;60,("C+"),IF(J182&gt;55,("C"),IF(J182&gt;50,("C-"),"D+"))))))))</f>
        <v>D+</v>
      </c>
      <c r="M182" s="887" t="str">
        <f>IF(J182&gt;80,("SB"),IF(J182&gt;65,("B"),IF(J182&gt;50,("C"),IF(J182&gt;0,("K"),"0"))))</f>
        <v>0</v>
      </c>
      <c r="N182" s="1474"/>
      <c r="O182" s="1474"/>
      <c r="P182" s="1474"/>
      <c r="Q182" s="1474"/>
      <c r="R182" s="1475"/>
      <c r="S182" s="1476"/>
      <c r="T182" s="1476"/>
      <c r="U182" s="1476"/>
      <c r="V182" s="1057">
        <f>AVERAGE(J182:J185)</f>
        <v>0</v>
      </c>
      <c r="W182" s="1194" t="str">
        <f>IF(V182&gt;85,("A"),IF(V182&gt;80,("A-"),IF(V182&gt;75,("B+"),IF(V182&gt;70,("B"),IF(V182&gt;65,("B-"),IF(V182&gt;60,("C+"),IF(V182&gt;55,("C"),IF(V182&gt;50,("C-"),"D+"))))))))</f>
        <v>D+</v>
      </c>
    </row>
    <row r="183" spans="1:23" ht="24.95" customHeight="1" x14ac:dyDescent="0.25">
      <c r="A183" s="360"/>
      <c r="B183" s="1326">
        <v>36</v>
      </c>
      <c r="C183" s="1839"/>
      <c r="D183" s="1893" t="s">
        <v>7</v>
      </c>
      <c r="E183" s="627"/>
      <c r="F183" s="1905">
        <f t="shared" ref="F183:F185" si="243">E183*2</f>
        <v>0</v>
      </c>
      <c r="G183" s="1891"/>
      <c r="H183" s="627">
        <f>VLOOKUP(B182,REKAP_NILAI,25,FALSE)</f>
        <v>0</v>
      </c>
      <c r="I183" s="709">
        <f t="shared" ref="I183:I185" si="244">F183+G183+H183</f>
        <v>0</v>
      </c>
      <c r="J183" s="710">
        <f t="shared" ref="J183:J185" si="245">(F183+G183+H183)/4</f>
        <v>0</v>
      </c>
      <c r="K183" s="711" t="str">
        <f t="shared" ref="K183:K186" si="246">IF(J183&gt;85,("4"),IF(J183&gt;80,("3.66"),IF(J183&gt;75,("3.33"),IF(J183&gt;70,("3.00"),IF(J183&gt;65,("2.66"),IF(J183&gt;60,("2.33"),IF(J183&gt;55,("2"),IF(J183&gt;50,("1.66"),"1.33"))))))))</f>
        <v>1.33</v>
      </c>
      <c r="L183" s="711" t="str">
        <f t="shared" ref="L183:L186" si="247">IF(J183&gt;85,("A"),IF(J183&gt;80,("A-"),IF(J183&gt;75,("B+"),IF(J183&gt;70,("B"),IF(J183&gt;65,("B-"),IF(J183&gt;60,("C+"),IF(J183&gt;55,("C"),IF(J183&gt;50,("C-"),"D+"))))))))</f>
        <v>D+</v>
      </c>
      <c r="M183" s="712" t="str">
        <f t="shared" ref="M183:M186" si="248">IF(J183&gt;80,("SB"),IF(J183&gt;65,("B"),IF(J183&gt;50,("C"),IF(J183&gt;0,("K"),"0"))))</f>
        <v>0</v>
      </c>
      <c r="N183" s="1463"/>
      <c r="O183" s="1464"/>
      <c r="P183" s="1464"/>
      <c r="Q183" s="1464"/>
      <c r="R183" s="1465"/>
      <c r="S183" s="1465"/>
      <c r="T183" s="1465"/>
      <c r="U183" s="1466"/>
      <c r="V183" s="1529"/>
      <c r="W183" s="1530"/>
    </row>
    <row r="184" spans="1:23" ht="24.95" customHeight="1" x14ac:dyDescent="0.25">
      <c r="A184" s="360"/>
      <c r="B184" s="1326">
        <v>36</v>
      </c>
      <c r="C184" s="1839"/>
      <c r="D184" s="1893" t="s">
        <v>10</v>
      </c>
      <c r="E184" s="627"/>
      <c r="F184" s="1905">
        <f t="shared" si="243"/>
        <v>0</v>
      </c>
      <c r="G184" s="1891"/>
      <c r="H184" s="627">
        <f>VLOOKUP(B182,REKAP_NILAI,26,FALSE)</f>
        <v>0</v>
      </c>
      <c r="I184" s="709">
        <f t="shared" si="244"/>
        <v>0</v>
      </c>
      <c r="J184" s="710">
        <f t="shared" si="245"/>
        <v>0</v>
      </c>
      <c r="K184" s="711" t="str">
        <f t="shared" si="246"/>
        <v>1.33</v>
      </c>
      <c r="L184" s="711" t="str">
        <f t="shared" si="247"/>
        <v>D+</v>
      </c>
      <c r="M184" s="712" t="str">
        <f t="shared" si="248"/>
        <v>0</v>
      </c>
      <c r="N184" s="1467"/>
      <c r="O184" s="1468"/>
      <c r="P184" s="1468"/>
      <c r="Q184" s="1468"/>
      <c r="R184" s="1469"/>
      <c r="S184" s="1469"/>
      <c r="T184" s="1469"/>
      <c r="U184" s="1470"/>
      <c r="V184" s="1531"/>
      <c r="W184" s="1532"/>
    </row>
    <row r="185" spans="1:23" ht="24.95" customHeight="1" x14ac:dyDescent="0.25">
      <c r="A185" s="360"/>
      <c r="B185" s="1326">
        <v>36</v>
      </c>
      <c r="C185" s="1839"/>
      <c r="D185" s="1893" t="s">
        <v>8</v>
      </c>
      <c r="E185" s="627"/>
      <c r="F185" s="1905">
        <f t="shared" si="243"/>
        <v>0</v>
      </c>
      <c r="G185" s="1891"/>
      <c r="H185" s="627">
        <f>VLOOKUP(B182,REKAP_NILAI,27,FALSE)</f>
        <v>0</v>
      </c>
      <c r="I185" s="709">
        <f t="shared" si="244"/>
        <v>0</v>
      </c>
      <c r="J185" s="710">
        <f t="shared" si="245"/>
        <v>0</v>
      </c>
      <c r="K185" s="711" t="str">
        <f t="shared" si="246"/>
        <v>1.33</v>
      </c>
      <c r="L185" s="711" t="str">
        <f t="shared" si="247"/>
        <v>D+</v>
      </c>
      <c r="M185" s="712" t="str">
        <f t="shared" si="248"/>
        <v>0</v>
      </c>
      <c r="N185" s="1467"/>
      <c r="O185" s="1468"/>
      <c r="P185" s="1468"/>
      <c r="Q185" s="1468"/>
      <c r="R185" s="1469"/>
      <c r="S185" s="1469"/>
      <c r="T185" s="1469"/>
      <c r="U185" s="1470"/>
      <c r="V185" s="1533"/>
      <c r="W185" s="1534"/>
    </row>
    <row r="186" spans="1:23" ht="24.95" customHeight="1" x14ac:dyDescent="0.25">
      <c r="A186" s="697"/>
      <c r="B186" s="698"/>
      <c r="C186" s="635" t="s">
        <v>149</v>
      </c>
      <c r="D186" s="700">
        <v>36</v>
      </c>
      <c r="E186" s="697"/>
      <c r="F186" s="1906"/>
      <c r="G186" s="697"/>
      <c r="H186" s="1189">
        <f>AVERAGE(H182:H185)</f>
        <v>0</v>
      </c>
      <c r="I186" s="705"/>
      <c r="J186" s="713">
        <f>AVERAGE(J182:J185)</f>
        <v>0</v>
      </c>
      <c r="K186" s="714" t="str">
        <f t="shared" si="246"/>
        <v>1.33</v>
      </c>
      <c r="L186" s="714" t="str">
        <f t="shared" si="247"/>
        <v>D+</v>
      </c>
      <c r="M186" s="888" t="str">
        <f t="shared" si="248"/>
        <v>0</v>
      </c>
      <c r="N186" s="1154"/>
      <c r="O186" s="1155"/>
      <c r="P186" s="1155"/>
      <c r="Q186" s="1155"/>
      <c r="R186" s="1155"/>
      <c r="S186" s="1155"/>
      <c r="T186" s="1155"/>
      <c r="U186" s="1162"/>
      <c r="V186" s="1257"/>
      <c r="W186" s="1258"/>
    </row>
    <row r="187" spans="1:23" ht="24.95" customHeight="1" thickBot="1" x14ac:dyDescent="0.3">
      <c r="A187" s="1892">
        <v>37</v>
      </c>
      <c r="B187" s="1326">
        <v>37</v>
      </c>
      <c r="C187" s="1840" t="e">
        <f>VLOOKUP(A187,data_siswa,4,FALSE)</f>
        <v>#N/A</v>
      </c>
      <c r="D187" s="1893" t="s">
        <v>12</v>
      </c>
      <c r="E187" s="627"/>
      <c r="F187" s="1904">
        <f>E187*2</f>
        <v>0</v>
      </c>
      <c r="G187" s="1891"/>
      <c r="H187" s="627">
        <f>VLOOKUP(B187,REKAP_NILAI,24,FALSE)</f>
        <v>0</v>
      </c>
      <c r="I187" s="706">
        <f>F187+G187+H187</f>
        <v>0</v>
      </c>
      <c r="J187" s="707">
        <f>(F187+G187+H187)/4</f>
        <v>0</v>
      </c>
      <c r="K187" s="708" t="str">
        <f>IF(J187&gt;85,("4"),IF(J187&gt;80,("3.66"),IF(J187&gt;75,("3.33"),IF(J187&gt;70,("3.00"),IF(J187&gt;65,("2.66"),IF(J187&gt;60,("2.33"),IF(J187&gt;55,("2"),IF(J187&gt;50,("1.66"),"1.33"))))))))</f>
        <v>1.33</v>
      </c>
      <c r="L187" s="708" t="str">
        <f>IF(J187&gt;85,("A"),IF(J187&gt;80,("A-"),IF(J187&gt;75,("B+"),IF(J187&gt;70,("B"),IF(J187&gt;65,("B-"),IF(J187&gt;60,("C+"),IF(J187&gt;55,("C"),IF(J187&gt;50,("C-"),"D+"))))))))</f>
        <v>D+</v>
      </c>
      <c r="M187" s="887" t="str">
        <f>IF(J187&gt;80,("SB"),IF(J187&gt;65,("B"),IF(J187&gt;50,("C"),IF(J187&gt;0,("K"),"0"))))</f>
        <v>0</v>
      </c>
      <c r="N187" s="1474"/>
      <c r="O187" s="1474"/>
      <c r="P187" s="1474"/>
      <c r="Q187" s="1474"/>
      <c r="R187" s="1475"/>
      <c r="S187" s="1476"/>
      <c r="T187" s="1476"/>
      <c r="U187" s="1476"/>
      <c r="V187" s="1057">
        <f>AVERAGE(J187:J190)</f>
        <v>0</v>
      </c>
      <c r="W187" s="1194" t="str">
        <f>IF(V187&gt;85,("A"),IF(V187&gt;80,("A-"),IF(V187&gt;75,("B+"),IF(V187&gt;70,("B"),IF(V187&gt;65,("B-"),IF(V187&gt;60,("C+"),IF(V187&gt;55,("C"),IF(V187&gt;50,("C-"),"D+"))))))))</f>
        <v>D+</v>
      </c>
    </row>
    <row r="188" spans="1:23" ht="24.95" customHeight="1" x14ac:dyDescent="0.25">
      <c r="A188" s="360"/>
      <c r="B188" s="1326">
        <v>37</v>
      </c>
      <c r="C188" s="1839"/>
      <c r="D188" s="1893" t="s">
        <v>7</v>
      </c>
      <c r="E188" s="627"/>
      <c r="F188" s="1905">
        <f t="shared" ref="F188:F190" si="249">E188*2</f>
        <v>0</v>
      </c>
      <c r="G188" s="1891"/>
      <c r="H188" s="627">
        <f>VLOOKUP(B187,REKAP_NILAI,25,FALSE)</f>
        <v>0</v>
      </c>
      <c r="I188" s="709">
        <f t="shared" ref="I188:I190" si="250">F188+G188+H188</f>
        <v>0</v>
      </c>
      <c r="J188" s="710">
        <f t="shared" ref="J188:J190" si="251">(F188+G188+H188)/4</f>
        <v>0</v>
      </c>
      <c r="K188" s="711" t="str">
        <f t="shared" ref="K188:K191" si="252">IF(J188&gt;85,("4"),IF(J188&gt;80,("3.66"),IF(J188&gt;75,("3.33"),IF(J188&gt;70,("3.00"),IF(J188&gt;65,("2.66"),IF(J188&gt;60,("2.33"),IF(J188&gt;55,("2"),IF(J188&gt;50,("1.66"),"1.33"))))))))</f>
        <v>1.33</v>
      </c>
      <c r="L188" s="711" t="str">
        <f t="shared" ref="L188:L191" si="253">IF(J188&gt;85,("A"),IF(J188&gt;80,("A-"),IF(J188&gt;75,("B+"),IF(J188&gt;70,("B"),IF(J188&gt;65,("B-"),IF(J188&gt;60,("C+"),IF(J188&gt;55,("C"),IF(J188&gt;50,("C-"),"D+"))))))))</f>
        <v>D+</v>
      </c>
      <c r="M188" s="712" t="str">
        <f t="shared" ref="M188:M191" si="254">IF(J188&gt;80,("SB"),IF(J188&gt;65,("B"),IF(J188&gt;50,("C"),IF(J188&gt;0,("K"),"0"))))</f>
        <v>0</v>
      </c>
      <c r="N188" s="1463"/>
      <c r="O188" s="1464"/>
      <c r="P188" s="1464"/>
      <c r="Q188" s="1464"/>
      <c r="R188" s="1465"/>
      <c r="S188" s="1465"/>
      <c r="T188" s="1465"/>
      <c r="U188" s="1466"/>
      <c r="V188" s="1529"/>
      <c r="W188" s="1530"/>
    </row>
    <row r="189" spans="1:23" ht="24.95" customHeight="1" x14ac:dyDescent="0.25">
      <c r="A189" s="360"/>
      <c r="B189" s="1326">
        <v>37</v>
      </c>
      <c r="C189" s="1839"/>
      <c r="D189" s="1893" t="s">
        <v>10</v>
      </c>
      <c r="E189" s="627"/>
      <c r="F189" s="1905">
        <f t="shared" si="249"/>
        <v>0</v>
      </c>
      <c r="G189" s="1891"/>
      <c r="H189" s="627">
        <f>VLOOKUP(B187,REKAP_NILAI,26,FALSE)</f>
        <v>0</v>
      </c>
      <c r="I189" s="709">
        <f t="shared" si="250"/>
        <v>0</v>
      </c>
      <c r="J189" s="710">
        <f t="shared" si="251"/>
        <v>0</v>
      </c>
      <c r="K189" s="711" t="str">
        <f t="shared" si="252"/>
        <v>1.33</v>
      </c>
      <c r="L189" s="711" t="str">
        <f t="shared" si="253"/>
        <v>D+</v>
      </c>
      <c r="M189" s="712" t="str">
        <f t="shared" si="254"/>
        <v>0</v>
      </c>
      <c r="N189" s="1467"/>
      <c r="O189" s="1468"/>
      <c r="P189" s="1468"/>
      <c r="Q189" s="1468"/>
      <c r="R189" s="1469"/>
      <c r="S189" s="1469"/>
      <c r="T189" s="1469"/>
      <c r="U189" s="1470"/>
      <c r="V189" s="1531"/>
      <c r="W189" s="1532"/>
    </row>
    <row r="190" spans="1:23" ht="24.95" customHeight="1" x14ac:dyDescent="0.25">
      <c r="A190" s="360"/>
      <c r="B190" s="1326">
        <v>37</v>
      </c>
      <c r="C190" s="1839"/>
      <c r="D190" s="1893" t="s">
        <v>8</v>
      </c>
      <c r="E190" s="627"/>
      <c r="F190" s="1905">
        <f t="shared" si="249"/>
        <v>0</v>
      </c>
      <c r="G190" s="1891"/>
      <c r="H190" s="627">
        <f>VLOOKUP(B187,REKAP_NILAI,27,FALSE)</f>
        <v>0</v>
      </c>
      <c r="I190" s="709">
        <f t="shared" si="250"/>
        <v>0</v>
      </c>
      <c r="J190" s="710">
        <f t="shared" si="251"/>
        <v>0</v>
      </c>
      <c r="K190" s="711" t="str">
        <f t="shared" si="252"/>
        <v>1.33</v>
      </c>
      <c r="L190" s="711" t="str">
        <f t="shared" si="253"/>
        <v>D+</v>
      </c>
      <c r="M190" s="712" t="str">
        <f t="shared" si="254"/>
        <v>0</v>
      </c>
      <c r="N190" s="1467"/>
      <c r="O190" s="1468"/>
      <c r="P190" s="1468"/>
      <c r="Q190" s="1468"/>
      <c r="R190" s="1469"/>
      <c r="S190" s="1469"/>
      <c r="T190" s="1469"/>
      <c r="U190" s="1470"/>
      <c r="V190" s="1533"/>
      <c r="W190" s="1534"/>
    </row>
    <row r="191" spans="1:23" ht="24.95" customHeight="1" x14ac:dyDescent="0.25">
      <c r="A191" s="697"/>
      <c r="B191" s="698"/>
      <c r="C191" s="635" t="s">
        <v>149</v>
      </c>
      <c r="D191" s="700">
        <v>37</v>
      </c>
      <c r="E191" s="697"/>
      <c r="F191" s="1906"/>
      <c r="G191" s="697"/>
      <c r="H191" s="1189">
        <f>AVERAGE(H187:H190)</f>
        <v>0</v>
      </c>
      <c r="I191" s="705"/>
      <c r="J191" s="713">
        <f>AVERAGE(J187:J190)</f>
        <v>0</v>
      </c>
      <c r="K191" s="714" t="str">
        <f t="shared" si="252"/>
        <v>1.33</v>
      </c>
      <c r="L191" s="714" t="str">
        <f t="shared" si="253"/>
        <v>D+</v>
      </c>
      <c r="M191" s="888" t="str">
        <f t="shared" si="254"/>
        <v>0</v>
      </c>
      <c r="N191" s="1154"/>
      <c r="O191" s="1155"/>
      <c r="P191" s="1155"/>
      <c r="Q191" s="1155"/>
      <c r="R191" s="1155"/>
      <c r="S191" s="1155"/>
      <c r="T191" s="1155"/>
      <c r="U191" s="1162"/>
      <c r="V191" s="1257"/>
      <c r="W191" s="1258"/>
    </row>
    <row r="192" spans="1:23" ht="24.95" customHeight="1" thickBot="1" x14ac:dyDescent="0.3">
      <c r="A192" s="1892">
        <v>38</v>
      </c>
      <c r="B192" s="1326">
        <v>38</v>
      </c>
      <c r="C192" s="1840" t="e">
        <f>VLOOKUP(A192,data_siswa,4,FALSE)</f>
        <v>#N/A</v>
      </c>
      <c r="D192" s="1893" t="s">
        <v>12</v>
      </c>
      <c r="E192" s="627"/>
      <c r="F192" s="1904">
        <f>E192*2</f>
        <v>0</v>
      </c>
      <c r="G192" s="1891"/>
      <c r="H192" s="627">
        <f>VLOOKUP(B192,REKAP_NILAI,24,FALSE)</f>
        <v>0</v>
      </c>
      <c r="I192" s="706">
        <f>F192+G192+H192</f>
        <v>0</v>
      </c>
      <c r="J192" s="707">
        <f>(F192+G192+H192)/4</f>
        <v>0</v>
      </c>
      <c r="K192" s="708" t="str">
        <f>IF(J192&gt;85,("4"),IF(J192&gt;80,("3.66"),IF(J192&gt;75,("3.33"),IF(J192&gt;70,("3.00"),IF(J192&gt;65,("2.66"),IF(J192&gt;60,("2.33"),IF(J192&gt;55,("2"),IF(J192&gt;50,("1.66"),"1.33"))))))))</f>
        <v>1.33</v>
      </c>
      <c r="L192" s="708" t="str">
        <f>IF(J192&gt;85,("A"),IF(J192&gt;80,("A-"),IF(J192&gt;75,("B+"),IF(J192&gt;70,("B"),IF(J192&gt;65,("B-"),IF(J192&gt;60,("C+"),IF(J192&gt;55,("C"),IF(J192&gt;50,("C-"),"D+"))))))))</f>
        <v>D+</v>
      </c>
      <c r="M192" s="887" t="str">
        <f>IF(J192&gt;80,("SB"),IF(J192&gt;65,("B"),IF(J192&gt;50,("C"),IF(J192&gt;0,("K"),"0"))))</f>
        <v>0</v>
      </c>
      <c r="N192" s="1474"/>
      <c r="O192" s="1474"/>
      <c r="P192" s="1474"/>
      <c r="Q192" s="1474"/>
      <c r="R192" s="1475"/>
      <c r="S192" s="1476"/>
      <c r="T192" s="1476"/>
      <c r="U192" s="1476"/>
      <c r="V192" s="1057">
        <f>AVERAGE(J192:J195)</f>
        <v>0</v>
      </c>
      <c r="W192" s="1194" t="str">
        <f>IF(V192&gt;85,("A"),IF(V192&gt;80,("A-"),IF(V192&gt;75,("B+"),IF(V192&gt;70,("B"),IF(V192&gt;65,("B-"),IF(V192&gt;60,("C+"),IF(V192&gt;55,("C"),IF(V192&gt;50,("C-"),"D+"))))))))</f>
        <v>D+</v>
      </c>
    </row>
    <row r="193" spans="1:23" ht="24.95" customHeight="1" x14ac:dyDescent="0.25">
      <c r="A193" s="360"/>
      <c r="B193" s="1326">
        <v>38</v>
      </c>
      <c r="C193" s="1839"/>
      <c r="D193" s="1893" t="s">
        <v>7</v>
      </c>
      <c r="E193" s="627"/>
      <c r="F193" s="1905">
        <f t="shared" ref="F193:F195" si="255">E193*2</f>
        <v>0</v>
      </c>
      <c r="G193" s="1891"/>
      <c r="H193" s="627">
        <f>VLOOKUP(B192,REKAP_NILAI,25,FALSE)</f>
        <v>0</v>
      </c>
      <c r="I193" s="709">
        <f t="shared" ref="I193:I195" si="256">F193+G193+H193</f>
        <v>0</v>
      </c>
      <c r="J193" s="710">
        <f t="shared" ref="J193:J195" si="257">(F193+G193+H193)/4</f>
        <v>0</v>
      </c>
      <c r="K193" s="711" t="str">
        <f t="shared" ref="K193:K196" si="258">IF(J193&gt;85,("4"),IF(J193&gt;80,("3.66"),IF(J193&gt;75,("3.33"),IF(J193&gt;70,("3.00"),IF(J193&gt;65,("2.66"),IF(J193&gt;60,("2.33"),IF(J193&gt;55,("2"),IF(J193&gt;50,("1.66"),"1.33"))))))))</f>
        <v>1.33</v>
      </c>
      <c r="L193" s="711" t="str">
        <f t="shared" ref="L193:L196" si="259">IF(J193&gt;85,("A"),IF(J193&gt;80,("A-"),IF(J193&gt;75,("B+"),IF(J193&gt;70,("B"),IF(J193&gt;65,("B-"),IF(J193&gt;60,("C+"),IF(J193&gt;55,("C"),IF(J193&gt;50,("C-"),"D+"))))))))</f>
        <v>D+</v>
      </c>
      <c r="M193" s="712" t="str">
        <f t="shared" ref="M193:M196" si="260">IF(J193&gt;80,("SB"),IF(J193&gt;65,("B"),IF(J193&gt;50,("C"),IF(J193&gt;0,("K"),"0"))))</f>
        <v>0</v>
      </c>
      <c r="N193" s="1463"/>
      <c r="O193" s="1464"/>
      <c r="P193" s="1464"/>
      <c r="Q193" s="1464"/>
      <c r="R193" s="1465"/>
      <c r="S193" s="1465"/>
      <c r="T193" s="1465"/>
      <c r="U193" s="1466"/>
      <c r="V193" s="1529"/>
      <c r="W193" s="1530"/>
    </row>
    <row r="194" spans="1:23" ht="24.95" customHeight="1" x14ac:dyDescent="0.25">
      <c r="A194" s="360"/>
      <c r="B194" s="1326">
        <v>38</v>
      </c>
      <c r="C194" s="1839"/>
      <c r="D194" s="1893" t="s">
        <v>10</v>
      </c>
      <c r="E194" s="627"/>
      <c r="F194" s="1905">
        <f t="shared" si="255"/>
        <v>0</v>
      </c>
      <c r="G194" s="1891"/>
      <c r="H194" s="627">
        <f>VLOOKUP(B192,REKAP_NILAI,26,FALSE)</f>
        <v>0</v>
      </c>
      <c r="I194" s="709">
        <f t="shared" si="256"/>
        <v>0</v>
      </c>
      <c r="J194" s="710">
        <f t="shared" si="257"/>
        <v>0</v>
      </c>
      <c r="K194" s="711" t="str">
        <f t="shared" si="258"/>
        <v>1.33</v>
      </c>
      <c r="L194" s="711" t="str">
        <f t="shared" si="259"/>
        <v>D+</v>
      </c>
      <c r="M194" s="712" t="str">
        <f t="shared" si="260"/>
        <v>0</v>
      </c>
      <c r="N194" s="1467"/>
      <c r="O194" s="1468"/>
      <c r="P194" s="1468"/>
      <c r="Q194" s="1468"/>
      <c r="R194" s="1469"/>
      <c r="S194" s="1469"/>
      <c r="T194" s="1469"/>
      <c r="U194" s="1470"/>
      <c r="V194" s="1531"/>
      <c r="W194" s="1532"/>
    </row>
    <row r="195" spans="1:23" ht="24.95" customHeight="1" x14ac:dyDescent="0.25">
      <c r="A195" s="360"/>
      <c r="B195" s="1326">
        <v>38</v>
      </c>
      <c r="C195" s="1839"/>
      <c r="D195" s="1893" t="s">
        <v>8</v>
      </c>
      <c r="E195" s="627"/>
      <c r="F195" s="1905">
        <f t="shared" si="255"/>
        <v>0</v>
      </c>
      <c r="G195" s="1891"/>
      <c r="H195" s="627">
        <f>VLOOKUP(B192,REKAP_NILAI,27,FALSE)</f>
        <v>0</v>
      </c>
      <c r="I195" s="709">
        <f t="shared" si="256"/>
        <v>0</v>
      </c>
      <c r="J195" s="710">
        <f t="shared" si="257"/>
        <v>0</v>
      </c>
      <c r="K195" s="711" t="str">
        <f t="shared" si="258"/>
        <v>1.33</v>
      </c>
      <c r="L195" s="711" t="str">
        <f t="shared" si="259"/>
        <v>D+</v>
      </c>
      <c r="M195" s="712" t="str">
        <f t="shared" si="260"/>
        <v>0</v>
      </c>
      <c r="N195" s="1467"/>
      <c r="O195" s="1468"/>
      <c r="P195" s="1468"/>
      <c r="Q195" s="1468"/>
      <c r="R195" s="1469"/>
      <c r="S195" s="1469"/>
      <c r="T195" s="1469"/>
      <c r="U195" s="1470"/>
      <c r="V195" s="1533"/>
      <c r="W195" s="1534"/>
    </row>
    <row r="196" spans="1:23" ht="24.95" customHeight="1" x14ac:dyDescent="0.25">
      <c r="A196" s="697"/>
      <c r="B196" s="698"/>
      <c r="C196" s="635" t="s">
        <v>149</v>
      </c>
      <c r="D196" s="700">
        <v>38</v>
      </c>
      <c r="E196" s="697"/>
      <c r="F196" s="1906"/>
      <c r="G196" s="697"/>
      <c r="H196" s="1189">
        <f>AVERAGE(H192:H195)</f>
        <v>0</v>
      </c>
      <c r="I196" s="705"/>
      <c r="J196" s="713">
        <f>AVERAGE(J192:J195)</f>
        <v>0</v>
      </c>
      <c r="K196" s="714" t="str">
        <f t="shared" si="258"/>
        <v>1.33</v>
      </c>
      <c r="L196" s="714" t="str">
        <f t="shared" si="259"/>
        <v>D+</v>
      </c>
      <c r="M196" s="888" t="str">
        <f t="shared" si="260"/>
        <v>0</v>
      </c>
      <c r="N196" s="1154"/>
      <c r="O196" s="1155"/>
      <c r="P196" s="1155"/>
      <c r="Q196" s="1155"/>
      <c r="R196" s="1155"/>
      <c r="S196" s="1155"/>
      <c r="T196" s="1155"/>
      <c r="U196" s="1162"/>
      <c r="V196" s="1257"/>
      <c r="W196" s="1258"/>
    </row>
    <row r="197" spans="1:23" ht="24.95" customHeight="1" thickBot="1" x14ac:dyDescent="0.3">
      <c r="A197" s="1892">
        <v>39</v>
      </c>
      <c r="B197" s="1326">
        <v>39</v>
      </c>
      <c r="C197" s="1840" t="e">
        <f>VLOOKUP(A197,data_siswa,4,FALSE)</f>
        <v>#N/A</v>
      </c>
      <c r="D197" s="1893" t="s">
        <v>12</v>
      </c>
      <c r="E197" s="627"/>
      <c r="F197" s="1904">
        <f>E197*2</f>
        <v>0</v>
      </c>
      <c r="G197" s="1891"/>
      <c r="H197" s="627">
        <f>VLOOKUP(B197,REKAP_NILAI,24,FALSE)</f>
        <v>0</v>
      </c>
      <c r="I197" s="706">
        <f>F197+G197+H197</f>
        <v>0</v>
      </c>
      <c r="J197" s="707">
        <f>(F197+G197+H197)/4</f>
        <v>0</v>
      </c>
      <c r="K197" s="708" t="str">
        <f>IF(J197&gt;85,("4"),IF(J197&gt;80,("3.66"),IF(J197&gt;75,("3.33"),IF(J197&gt;70,("3.00"),IF(J197&gt;65,("2.66"),IF(J197&gt;60,("2.33"),IF(J197&gt;55,("2"),IF(J197&gt;50,("1.66"),"1.33"))))))))</f>
        <v>1.33</v>
      </c>
      <c r="L197" s="708" t="str">
        <f>IF(J197&gt;85,("A"),IF(J197&gt;80,("A-"),IF(J197&gt;75,("B+"),IF(J197&gt;70,("B"),IF(J197&gt;65,("B-"),IF(J197&gt;60,("C+"),IF(J197&gt;55,("C"),IF(J197&gt;50,("C-"),"D+"))))))))</f>
        <v>D+</v>
      </c>
      <c r="M197" s="887" t="str">
        <f>IF(J197&gt;80,("SB"),IF(J197&gt;65,("B"),IF(J197&gt;50,("C"),IF(J197&gt;0,("K"),"0"))))</f>
        <v>0</v>
      </c>
      <c r="N197" s="1474"/>
      <c r="O197" s="1474"/>
      <c r="P197" s="1474"/>
      <c r="Q197" s="1474"/>
      <c r="R197" s="1475"/>
      <c r="S197" s="1476"/>
      <c r="T197" s="1476"/>
      <c r="U197" s="1476"/>
      <c r="V197" s="1057">
        <f>AVERAGE(J197:J200)</f>
        <v>0</v>
      </c>
      <c r="W197" s="1194" t="str">
        <f>IF(V197&gt;85,("A"),IF(V197&gt;80,("A-"),IF(V197&gt;75,("B+"),IF(V197&gt;70,("B"),IF(V197&gt;65,("B-"),IF(V197&gt;60,("C+"),IF(V197&gt;55,("C"),IF(V197&gt;50,("C-"),"D+"))))))))</f>
        <v>D+</v>
      </c>
    </row>
    <row r="198" spans="1:23" ht="24.95" customHeight="1" x14ac:dyDescent="0.25">
      <c r="A198" s="360"/>
      <c r="B198" s="1326">
        <v>39</v>
      </c>
      <c r="C198" s="1839"/>
      <c r="D198" s="1893" t="s">
        <v>7</v>
      </c>
      <c r="E198" s="627"/>
      <c r="F198" s="1905">
        <f t="shared" ref="F198:F200" si="261">E198*2</f>
        <v>0</v>
      </c>
      <c r="G198" s="1891"/>
      <c r="H198" s="627">
        <f>VLOOKUP(B197,REKAP_NILAI,25,FALSE)</f>
        <v>0</v>
      </c>
      <c r="I198" s="709">
        <f t="shared" ref="I198:I200" si="262">F198+G198+H198</f>
        <v>0</v>
      </c>
      <c r="J198" s="710">
        <f t="shared" ref="J198:J200" si="263">(F198+G198+H198)/4</f>
        <v>0</v>
      </c>
      <c r="K198" s="711" t="str">
        <f t="shared" ref="K198:K201" si="264">IF(J198&gt;85,("4"),IF(J198&gt;80,("3.66"),IF(J198&gt;75,("3.33"),IF(J198&gt;70,("3.00"),IF(J198&gt;65,("2.66"),IF(J198&gt;60,("2.33"),IF(J198&gt;55,("2"),IF(J198&gt;50,("1.66"),"1.33"))))))))</f>
        <v>1.33</v>
      </c>
      <c r="L198" s="711" t="str">
        <f t="shared" ref="L198:L201" si="265">IF(J198&gt;85,("A"),IF(J198&gt;80,("A-"),IF(J198&gt;75,("B+"),IF(J198&gt;70,("B"),IF(J198&gt;65,("B-"),IF(J198&gt;60,("C+"),IF(J198&gt;55,("C"),IF(J198&gt;50,("C-"),"D+"))))))))</f>
        <v>D+</v>
      </c>
      <c r="M198" s="712" t="str">
        <f t="shared" ref="M198:M201" si="266">IF(J198&gt;80,("SB"),IF(J198&gt;65,("B"),IF(J198&gt;50,("C"),IF(J198&gt;0,("K"),"0"))))</f>
        <v>0</v>
      </c>
      <c r="N198" s="1463"/>
      <c r="O198" s="1464"/>
      <c r="P198" s="1464"/>
      <c r="Q198" s="1464"/>
      <c r="R198" s="1465"/>
      <c r="S198" s="1465"/>
      <c r="T198" s="1465"/>
      <c r="U198" s="1466"/>
      <c r="V198" s="1529"/>
      <c r="W198" s="1530"/>
    </row>
    <row r="199" spans="1:23" ht="24.95" customHeight="1" x14ac:dyDescent="0.25">
      <c r="A199" s="360"/>
      <c r="B199" s="1326">
        <v>39</v>
      </c>
      <c r="C199" s="1839"/>
      <c r="D199" s="1893" t="s">
        <v>10</v>
      </c>
      <c r="E199" s="627"/>
      <c r="F199" s="1905">
        <f t="shared" si="261"/>
        <v>0</v>
      </c>
      <c r="G199" s="1891"/>
      <c r="H199" s="627">
        <f>VLOOKUP(B197,REKAP_NILAI,26,FALSE)</f>
        <v>0</v>
      </c>
      <c r="I199" s="709">
        <f t="shared" si="262"/>
        <v>0</v>
      </c>
      <c r="J199" s="710">
        <f t="shared" si="263"/>
        <v>0</v>
      </c>
      <c r="K199" s="711" t="str">
        <f t="shared" si="264"/>
        <v>1.33</v>
      </c>
      <c r="L199" s="711" t="str">
        <f t="shared" si="265"/>
        <v>D+</v>
      </c>
      <c r="M199" s="712" t="str">
        <f t="shared" si="266"/>
        <v>0</v>
      </c>
      <c r="N199" s="1467"/>
      <c r="O199" s="1468"/>
      <c r="P199" s="1468"/>
      <c r="Q199" s="1468"/>
      <c r="R199" s="1469"/>
      <c r="S199" s="1469"/>
      <c r="T199" s="1469"/>
      <c r="U199" s="1470"/>
      <c r="V199" s="1531"/>
      <c r="W199" s="1532"/>
    </row>
    <row r="200" spans="1:23" ht="24.95" customHeight="1" x14ac:dyDescent="0.25">
      <c r="A200" s="360"/>
      <c r="B200" s="1326">
        <v>39</v>
      </c>
      <c r="C200" s="1839"/>
      <c r="D200" s="1893" t="s">
        <v>8</v>
      </c>
      <c r="E200" s="627"/>
      <c r="F200" s="1905">
        <f t="shared" si="261"/>
        <v>0</v>
      </c>
      <c r="G200" s="1891"/>
      <c r="H200" s="627">
        <f>VLOOKUP(B197,REKAP_NILAI,27,FALSE)</f>
        <v>0</v>
      </c>
      <c r="I200" s="709">
        <f t="shared" si="262"/>
        <v>0</v>
      </c>
      <c r="J200" s="710">
        <f t="shared" si="263"/>
        <v>0</v>
      </c>
      <c r="K200" s="711" t="str">
        <f t="shared" si="264"/>
        <v>1.33</v>
      </c>
      <c r="L200" s="711" t="str">
        <f t="shared" si="265"/>
        <v>D+</v>
      </c>
      <c r="M200" s="712" t="str">
        <f t="shared" si="266"/>
        <v>0</v>
      </c>
      <c r="N200" s="1467"/>
      <c r="O200" s="1468"/>
      <c r="P200" s="1468"/>
      <c r="Q200" s="1468"/>
      <c r="R200" s="1469"/>
      <c r="S200" s="1469"/>
      <c r="T200" s="1469"/>
      <c r="U200" s="1470"/>
      <c r="V200" s="1533"/>
      <c r="W200" s="1534"/>
    </row>
    <row r="201" spans="1:23" ht="24.95" customHeight="1" x14ac:dyDescent="0.25">
      <c r="A201" s="697"/>
      <c r="B201" s="698"/>
      <c r="C201" s="635" t="s">
        <v>149</v>
      </c>
      <c r="D201" s="700">
        <v>39</v>
      </c>
      <c r="E201" s="697"/>
      <c r="F201" s="1906"/>
      <c r="G201" s="697"/>
      <c r="H201" s="1189">
        <f>AVERAGE(H197:H200)</f>
        <v>0</v>
      </c>
      <c r="I201" s="705"/>
      <c r="J201" s="713">
        <f>AVERAGE(J197:J200)</f>
        <v>0</v>
      </c>
      <c r="K201" s="714" t="str">
        <f t="shared" si="264"/>
        <v>1.33</v>
      </c>
      <c r="L201" s="714" t="str">
        <f t="shared" si="265"/>
        <v>D+</v>
      </c>
      <c r="M201" s="888" t="str">
        <f t="shared" si="266"/>
        <v>0</v>
      </c>
      <c r="N201" s="1154"/>
      <c r="O201" s="1155"/>
      <c r="P201" s="1155"/>
      <c r="Q201" s="1155"/>
      <c r="R201" s="1155"/>
      <c r="S201" s="1155"/>
      <c r="T201" s="1155"/>
      <c r="U201" s="1162"/>
      <c r="V201" s="1257"/>
      <c r="W201" s="1258"/>
    </row>
    <row r="202" spans="1:23" ht="24.95" customHeight="1" thickBot="1" x14ac:dyDescent="0.3">
      <c r="A202" s="1892">
        <v>40</v>
      </c>
      <c r="B202" s="1326">
        <v>40</v>
      </c>
      <c r="C202" s="1840" t="e">
        <f>VLOOKUP(A202,data_siswa,4,FALSE)</f>
        <v>#N/A</v>
      </c>
      <c r="D202" s="1893" t="s">
        <v>12</v>
      </c>
      <c r="E202" s="627"/>
      <c r="F202" s="1904">
        <f>E202*2</f>
        <v>0</v>
      </c>
      <c r="G202" s="1891"/>
      <c r="H202" s="627">
        <f>VLOOKUP(B202,REKAP_NILAI,24,FALSE)</f>
        <v>0</v>
      </c>
      <c r="I202" s="706">
        <f>F202+G202+H202</f>
        <v>0</v>
      </c>
      <c r="J202" s="707">
        <f>(F202+G202+H202)/4</f>
        <v>0</v>
      </c>
      <c r="K202" s="708" t="str">
        <f>IF(J202&gt;85,("4"),IF(J202&gt;80,("3.66"),IF(J202&gt;75,("3.33"),IF(J202&gt;70,("3.00"),IF(J202&gt;65,("2.66"),IF(J202&gt;60,("2.33"),IF(J202&gt;55,("2"),IF(J202&gt;50,("1.66"),"1.33"))))))))</f>
        <v>1.33</v>
      </c>
      <c r="L202" s="708" t="str">
        <f>IF(J202&gt;85,("A"),IF(J202&gt;80,("A-"),IF(J202&gt;75,("B+"),IF(J202&gt;70,("B"),IF(J202&gt;65,("B-"),IF(J202&gt;60,("C+"),IF(J202&gt;55,("C"),IF(J202&gt;50,("C-"),"D+"))))))))</f>
        <v>D+</v>
      </c>
      <c r="M202" s="887" t="str">
        <f>IF(J202&gt;80,("SB"),IF(J202&gt;65,("B"),IF(J202&gt;50,("C"),IF(J202&gt;0,("K"),"0"))))</f>
        <v>0</v>
      </c>
      <c r="N202" s="1474"/>
      <c r="O202" s="1474"/>
      <c r="P202" s="1474"/>
      <c r="Q202" s="1474"/>
      <c r="R202" s="1475"/>
      <c r="S202" s="1476"/>
      <c r="T202" s="1476"/>
      <c r="U202" s="1476"/>
      <c r="V202" s="1057">
        <f>AVERAGE(J202:J205)</f>
        <v>0</v>
      </c>
      <c r="W202" s="1194" t="str">
        <f>IF(V202&gt;85,("A"),IF(V202&gt;80,("A-"),IF(V202&gt;75,("B+"),IF(V202&gt;70,("B"),IF(V202&gt;65,("B-"),IF(V202&gt;60,("C+"),IF(V202&gt;55,("C"),IF(V202&gt;50,("C-"),"D+"))))))))</f>
        <v>D+</v>
      </c>
    </row>
    <row r="203" spans="1:23" ht="24.95" customHeight="1" x14ac:dyDescent="0.25">
      <c r="A203" s="360"/>
      <c r="B203" s="1326">
        <v>40</v>
      </c>
      <c r="C203" s="1839"/>
      <c r="D203" s="1893" t="s">
        <v>7</v>
      </c>
      <c r="E203" s="627"/>
      <c r="F203" s="1905">
        <f t="shared" ref="F203:F205" si="267">E203*2</f>
        <v>0</v>
      </c>
      <c r="G203" s="1891"/>
      <c r="H203" s="627">
        <f>VLOOKUP(B202,REKAP_NILAI,25,FALSE)</f>
        <v>0</v>
      </c>
      <c r="I203" s="709">
        <f t="shared" ref="I203:I205" si="268">F203+G203+H203</f>
        <v>0</v>
      </c>
      <c r="J203" s="710">
        <f t="shared" ref="J203:J205" si="269">(F203+G203+H203)/4</f>
        <v>0</v>
      </c>
      <c r="K203" s="711" t="str">
        <f t="shared" ref="K203:K205" si="270">IF(J203&gt;85,("4"),IF(J203&gt;80,("3.66"),IF(J203&gt;75,("3.33"),IF(J203&gt;70,("3.00"),IF(J203&gt;65,("2.66"),IF(J203&gt;60,("2.33"),IF(J203&gt;55,("2"),IF(J203&gt;50,("1.66"),"1.33"))))))))</f>
        <v>1.33</v>
      </c>
      <c r="L203" s="711" t="str">
        <f t="shared" ref="L203:L205" si="271">IF(J203&gt;85,("A"),IF(J203&gt;80,("A-"),IF(J203&gt;75,("B+"),IF(J203&gt;70,("B"),IF(J203&gt;65,("B-"),IF(J203&gt;60,("C+"),IF(J203&gt;55,("C"),IF(J203&gt;50,("C-"),"D+"))))))))</f>
        <v>D+</v>
      </c>
      <c r="M203" s="712" t="str">
        <f t="shared" ref="M203:M205" si="272">IF(J203&gt;80,("SB"),IF(J203&gt;65,("B"),IF(J203&gt;50,("C"),IF(J203&gt;0,("K"),"0"))))</f>
        <v>0</v>
      </c>
      <c r="N203" s="1463"/>
      <c r="O203" s="1464"/>
      <c r="P203" s="1464"/>
      <c r="Q203" s="1464"/>
      <c r="R203" s="1465"/>
      <c r="S203" s="1465"/>
      <c r="T203" s="1465"/>
      <c r="U203" s="1466"/>
      <c r="V203" s="1529"/>
      <c r="W203" s="1530"/>
    </row>
    <row r="204" spans="1:23" ht="24.95" customHeight="1" x14ac:dyDescent="0.25">
      <c r="A204" s="360"/>
      <c r="B204" s="1326">
        <v>40</v>
      </c>
      <c r="C204" s="1839"/>
      <c r="D204" s="1893" t="s">
        <v>10</v>
      </c>
      <c r="E204" s="627"/>
      <c r="F204" s="1905">
        <f t="shared" si="267"/>
        <v>0</v>
      </c>
      <c r="G204" s="1891"/>
      <c r="H204" s="627">
        <f>VLOOKUP(B202,REKAP_NILAI,26,FALSE)</f>
        <v>0</v>
      </c>
      <c r="I204" s="709">
        <f t="shared" si="268"/>
        <v>0</v>
      </c>
      <c r="J204" s="710">
        <f t="shared" si="269"/>
        <v>0</v>
      </c>
      <c r="K204" s="711" t="str">
        <f t="shared" si="270"/>
        <v>1.33</v>
      </c>
      <c r="L204" s="711" t="str">
        <f t="shared" si="271"/>
        <v>D+</v>
      </c>
      <c r="M204" s="712" t="str">
        <f t="shared" si="272"/>
        <v>0</v>
      </c>
      <c r="N204" s="1467"/>
      <c r="O204" s="1468"/>
      <c r="P204" s="1468"/>
      <c r="Q204" s="1468"/>
      <c r="R204" s="1469"/>
      <c r="S204" s="1469"/>
      <c r="T204" s="1469"/>
      <c r="U204" s="1470"/>
      <c r="V204" s="1531"/>
      <c r="W204" s="1532"/>
    </row>
    <row r="205" spans="1:23" ht="24.95" customHeight="1" x14ac:dyDescent="0.25">
      <c r="A205" s="360"/>
      <c r="B205" s="1326">
        <v>40</v>
      </c>
      <c r="C205" s="1839"/>
      <c r="D205" s="1893" t="s">
        <v>8</v>
      </c>
      <c r="E205" s="627"/>
      <c r="F205" s="1905">
        <f t="shared" si="267"/>
        <v>0</v>
      </c>
      <c r="G205" s="1891"/>
      <c r="H205" s="627">
        <f>VLOOKUP(B202,REKAP_NILAI,27,FALSE)</f>
        <v>0</v>
      </c>
      <c r="I205" s="709">
        <f t="shared" si="268"/>
        <v>0</v>
      </c>
      <c r="J205" s="710">
        <f t="shared" si="269"/>
        <v>0</v>
      </c>
      <c r="K205" s="711" t="str">
        <f t="shared" si="270"/>
        <v>1.33</v>
      </c>
      <c r="L205" s="711" t="str">
        <f t="shared" si="271"/>
        <v>D+</v>
      </c>
      <c r="M205" s="712" t="str">
        <f t="shared" si="272"/>
        <v>0</v>
      </c>
      <c r="N205" s="1467"/>
      <c r="O205" s="1468"/>
      <c r="P205" s="1468"/>
      <c r="Q205" s="1468"/>
      <c r="R205" s="1469"/>
      <c r="S205" s="1469"/>
      <c r="T205" s="1469"/>
      <c r="U205" s="1470"/>
      <c r="V205" s="1533"/>
      <c r="W205" s="1534"/>
    </row>
    <row r="206" spans="1:23" ht="24.95" customHeight="1" x14ac:dyDescent="0.25">
      <c r="A206" s="697"/>
      <c r="B206" s="698"/>
      <c r="C206" s="635" t="s">
        <v>149</v>
      </c>
      <c r="D206" s="700">
        <v>40</v>
      </c>
      <c r="E206" s="697"/>
      <c r="F206" s="1906"/>
      <c r="G206" s="697"/>
      <c r="H206" s="1189">
        <f>AVERAGE(H202:H205)</f>
        <v>0</v>
      </c>
      <c r="I206" s="705"/>
      <c r="J206" s="713">
        <f>AVERAGE(J202:J205)</f>
        <v>0</v>
      </c>
      <c r="K206" s="714" t="str">
        <f t="shared" ref="K206" si="273">IF(J206&gt;85,("4"),IF(J206&gt;80,("3.66"),IF(J206&gt;75,("3.33"),IF(J206&gt;70,("3.00"),IF(J206&gt;65,("2.66"),IF(J206&gt;60,("2.33"),IF(J206&gt;55,("2"),IF(J206&gt;50,("1.66"),"1.33"))))))))</f>
        <v>1.33</v>
      </c>
      <c r="L206" s="714" t="str">
        <f t="shared" ref="L206" si="274">IF(J206&gt;85,("A"),IF(J206&gt;80,("A-"),IF(J206&gt;75,("B+"),IF(J206&gt;70,("B"),IF(J206&gt;65,("B-"),IF(J206&gt;60,("C+"),IF(J206&gt;55,("C"),IF(J206&gt;50,("C-"),"D+"))))))))</f>
        <v>D+</v>
      </c>
      <c r="M206" s="888" t="str">
        <f t="shared" ref="M206" si="275">IF(J206&gt;80,("SB"),IF(J206&gt;65,("B"),IF(J206&gt;50,("C"),IF(J206&gt;0,("K"),"0"))))</f>
        <v>0</v>
      </c>
      <c r="N206" s="1154"/>
      <c r="O206" s="1155"/>
      <c r="P206" s="1155"/>
      <c r="Q206" s="1155"/>
      <c r="R206" s="1155"/>
      <c r="S206" s="1155"/>
      <c r="T206" s="1155"/>
      <c r="U206" s="1162"/>
      <c r="V206" s="1257"/>
      <c r="W206" s="1258"/>
    </row>
  </sheetData>
  <sheetProtection password="C6F9" sheet="1" objects="1" scenarios="1"/>
  <mergeCells count="14">
    <mergeCell ref="A5:A6"/>
    <mergeCell ref="B5:B6"/>
    <mergeCell ref="C5:C6"/>
    <mergeCell ref="D5:D6"/>
    <mergeCell ref="I5:I6"/>
    <mergeCell ref="W5:W6"/>
    <mergeCell ref="M5:M6"/>
    <mergeCell ref="E5:H5"/>
    <mergeCell ref="K5:K6"/>
    <mergeCell ref="L5:L6"/>
    <mergeCell ref="J5:J6"/>
    <mergeCell ref="V5:V6"/>
    <mergeCell ref="N5:Q5"/>
    <mergeCell ref="R5:U5"/>
  </mergeCells>
  <conditionalFormatting sqref="J7:J10">
    <cfRule type="top10" dxfId="1685" priority="1614" bottom="1" rank="1"/>
    <cfRule type="top10" dxfId="1684" priority="1615" rank="1"/>
  </conditionalFormatting>
  <conditionalFormatting sqref="J12:J15">
    <cfRule type="top10" dxfId="1683" priority="77" bottom="1" rank="1"/>
    <cfRule type="top10" dxfId="1682" priority="78" rank="1"/>
  </conditionalFormatting>
  <conditionalFormatting sqref="J17:J20">
    <cfRule type="top10" dxfId="1681" priority="75" bottom="1" rank="1"/>
    <cfRule type="top10" dxfId="1680" priority="76" rank="1"/>
  </conditionalFormatting>
  <conditionalFormatting sqref="J22:J25">
    <cfRule type="top10" dxfId="1679" priority="73" bottom="1" rank="1"/>
    <cfRule type="top10" dxfId="1678" priority="74" rank="1"/>
  </conditionalFormatting>
  <conditionalFormatting sqref="J27:J30">
    <cfRule type="top10" dxfId="1677" priority="71" bottom="1" rank="1"/>
    <cfRule type="top10" dxfId="1676" priority="72" rank="1"/>
  </conditionalFormatting>
  <conditionalFormatting sqref="J32:J35">
    <cfRule type="top10" dxfId="1675" priority="69" bottom="1" rank="1"/>
    <cfRule type="top10" dxfId="1674" priority="70" rank="1"/>
  </conditionalFormatting>
  <conditionalFormatting sqref="J37:J40">
    <cfRule type="top10" dxfId="1673" priority="67" bottom="1" rank="1"/>
    <cfRule type="top10" dxfId="1672" priority="68" rank="1"/>
  </conditionalFormatting>
  <conditionalFormatting sqref="J42:J45">
    <cfRule type="top10" dxfId="1671" priority="65" bottom="1" rank="1"/>
    <cfRule type="top10" dxfId="1670" priority="66" rank="1"/>
  </conditionalFormatting>
  <conditionalFormatting sqref="J47:J50">
    <cfRule type="top10" dxfId="1669" priority="63" bottom="1" rank="1"/>
    <cfRule type="top10" dxfId="1668" priority="64" rank="1"/>
  </conditionalFormatting>
  <conditionalFormatting sqref="J52:J55">
    <cfRule type="top10" dxfId="1667" priority="61" bottom="1" rank="1"/>
    <cfRule type="top10" dxfId="1666" priority="62" rank="1"/>
  </conditionalFormatting>
  <conditionalFormatting sqref="J57:J60">
    <cfRule type="top10" dxfId="1665" priority="59" bottom="1" rank="1"/>
    <cfRule type="top10" dxfId="1664" priority="60" rank="1"/>
  </conditionalFormatting>
  <conditionalFormatting sqref="J62:J65">
    <cfRule type="top10" dxfId="1663" priority="57" bottom="1" rank="1"/>
    <cfRule type="top10" dxfId="1662" priority="58" rank="1"/>
  </conditionalFormatting>
  <conditionalFormatting sqref="J67:J70">
    <cfRule type="top10" dxfId="1661" priority="55" bottom="1" rank="1"/>
    <cfRule type="top10" dxfId="1660" priority="56" rank="1"/>
  </conditionalFormatting>
  <conditionalFormatting sqref="J72:J75">
    <cfRule type="top10" dxfId="1659" priority="53" bottom="1" rank="1"/>
    <cfRule type="top10" dxfId="1658" priority="54" rank="1"/>
  </conditionalFormatting>
  <conditionalFormatting sqref="J77:J80">
    <cfRule type="top10" dxfId="1657" priority="51" bottom="1" rank="1"/>
    <cfRule type="top10" dxfId="1656" priority="52" rank="1"/>
  </conditionalFormatting>
  <conditionalFormatting sqref="J82:J85">
    <cfRule type="top10" dxfId="1655" priority="49" bottom="1" rank="1"/>
    <cfRule type="top10" dxfId="1654" priority="50" rank="1"/>
  </conditionalFormatting>
  <conditionalFormatting sqref="J87:J90">
    <cfRule type="top10" dxfId="1653" priority="47" bottom="1" rank="1"/>
    <cfRule type="top10" dxfId="1652" priority="48" rank="1"/>
  </conditionalFormatting>
  <conditionalFormatting sqref="J92:J95">
    <cfRule type="top10" dxfId="1651" priority="45" bottom="1" rank="1"/>
    <cfRule type="top10" dxfId="1650" priority="46" rank="1"/>
  </conditionalFormatting>
  <conditionalFormatting sqref="J97:J100">
    <cfRule type="top10" dxfId="1649" priority="43" bottom="1" rank="1"/>
    <cfRule type="top10" dxfId="1648" priority="44" rank="1"/>
  </conditionalFormatting>
  <conditionalFormatting sqref="J102:J105">
    <cfRule type="top10" dxfId="1647" priority="41" bottom="1" rank="1"/>
    <cfRule type="top10" dxfId="1646" priority="42" rank="1"/>
  </conditionalFormatting>
  <conditionalFormatting sqref="J107:J110">
    <cfRule type="top10" dxfId="1645" priority="39" bottom="1" rank="1"/>
    <cfRule type="top10" dxfId="1644" priority="40" rank="1"/>
  </conditionalFormatting>
  <conditionalFormatting sqref="J112:J115">
    <cfRule type="top10" dxfId="1643" priority="37" bottom="1" rank="1"/>
    <cfRule type="top10" dxfId="1642" priority="38" rank="1"/>
  </conditionalFormatting>
  <conditionalFormatting sqref="J117:J120">
    <cfRule type="top10" dxfId="1641" priority="35" bottom="1" rank="1"/>
    <cfRule type="top10" dxfId="1640" priority="36" rank="1"/>
  </conditionalFormatting>
  <conditionalFormatting sqref="J122:J125">
    <cfRule type="top10" dxfId="1639" priority="33" bottom="1" rank="1"/>
    <cfRule type="top10" dxfId="1638" priority="34" rank="1"/>
  </conditionalFormatting>
  <conditionalFormatting sqref="J127:J130">
    <cfRule type="top10" dxfId="1637" priority="31" bottom="1" rank="1"/>
    <cfRule type="top10" dxfId="1636" priority="32" rank="1"/>
  </conditionalFormatting>
  <conditionalFormatting sqref="J132:J135">
    <cfRule type="top10" dxfId="1635" priority="29" bottom="1" rank="1"/>
    <cfRule type="top10" dxfId="1634" priority="30" rank="1"/>
  </conditionalFormatting>
  <conditionalFormatting sqref="J137:J140">
    <cfRule type="top10" dxfId="1633" priority="27" bottom="1" rank="1"/>
    <cfRule type="top10" dxfId="1632" priority="28" rank="1"/>
  </conditionalFormatting>
  <conditionalFormatting sqref="J142:J145">
    <cfRule type="top10" dxfId="1631" priority="25" bottom="1" rank="1"/>
    <cfRule type="top10" dxfId="1630" priority="26" rank="1"/>
  </conditionalFormatting>
  <conditionalFormatting sqref="J147:J150">
    <cfRule type="top10" dxfId="1629" priority="23" bottom="1" rank="1"/>
    <cfRule type="top10" dxfId="1628" priority="24" rank="1"/>
  </conditionalFormatting>
  <conditionalFormatting sqref="J152:J155">
    <cfRule type="top10" dxfId="1627" priority="21" bottom="1" rank="1"/>
    <cfRule type="top10" dxfId="1626" priority="22" rank="1"/>
  </conditionalFormatting>
  <conditionalFormatting sqref="J157:J160">
    <cfRule type="top10" dxfId="1625" priority="19" bottom="1" rank="1"/>
    <cfRule type="top10" dxfId="1624" priority="20" rank="1"/>
  </conditionalFormatting>
  <conditionalFormatting sqref="J162:J165">
    <cfRule type="top10" dxfId="1623" priority="17" bottom="1" rank="1"/>
    <cfRule type="top10" dxfId="1622" priority="18" rank="1"/>
  </conditionalFormatting>
  <conditionalFormatting sqref="J167:J170">
    <cfRule type="top10" dxfId="1621" priority="15" bottom="1" rank="1"/>
    <cfRule type="top10" dxfId="1620" priority="16" rank="1"/>
  </conditionalFormatting>
  <conditionalFormatting sqref="J172:J175">
    <cfRule type="top10" dxfId="1619" priority="13" bottom="1" rank="1"/>
    <cfRule type="top10" dxfId="1618" priority="14" rank="1"/>
  </conditionalFormatting>
  <conditionalFormatting sqref="J177:J180">
    <cfRule type="top10" dxfId="1617" priority="11" bottom="1" rank="1"/>
    <cfRule type="top10" dxfId="1616" priority="12" rank="1"/>
  </conditionalFormatting>
  <conditionalFormatting sqref="J182:J185">
    <cfRule type="top10" dxfId="1615" priority="9" bottom="1" rank="1"/>
    <cfRule type="top10" dxfId="1614" priority="10" rank="1"/>
  </conditionalFormatting>
  <conditionalFormatting sqref="J187:J190">
    <cfRule type="top10" dxfId="1613" priority="7" bottom="1" rank="1"/>
    <cfRule type="top10" dxfId="1612" priority="8" rank="1"/>
  </conditionalFormatting>
  <conditionalFormatting sqref="J192:J195">
    <cfRule type="top10" dxfId="1611" priority="5" bottom="1" rank="1"/>
    <cfRule type="top10" dxfId="1610" priority="6" rank="1"/>
  </conditionalFormatting>
  <conditionalFormatting sqref="J197:J200">
    <cfRule type="top10" dxfId="1609" priority="3" bottom="1" rank="1"/>
    <cfRule type="top10" dxfId="1608" priority="4" rank="1"/>
  </conditionalFormatting>
  <conditionalFormatting sqref="J202:J205">
    <cfRule type="top10" dxfId="1607" priority="1" bottom="1" rank="1"/>
    <cfRule type="top10" dxfId="1606" priority="2" rank="1"/>
  </conditionalFormatting>
  <pageMargins left="0.7" right="0.7" top="0.75" bottom="0.75" header="0.3" footer="0.3"/>
  <pageSetup paperSize="9" orientation="landscape"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00B0F0"/>
  </sheetPr>
  <dimension ref="A1:Y247"/>
  <sheetViews>
    <sheetView showGridLines="0" workbookViewId="0">
      <pane xSplit="3" ySplit="6" topLeftCell="D7" activePane="bottomRight" state="frozen"/>
      <selection pane="topRight" activeCell="D1" sqref="D1"/>
      <selection pane="bottomLeft" activeCell="A7" sqref="A7"/>
      <selection pane="bottomRight"/>
    </sheetView>
  </sheetViews>
  <sheetFormatPr defaultRowHeight="15.75" x14ac:dyDescent="0.25"/>
  <cols>
    <col min="1" max="1" width="5.85546875" style="352" customWidth="1"/>
    <col min="2" max="2" width="5.5703125" style="1536" customWidth="1"/>
    <col min="3" max="3" width="25.28515625" style="1537" customWidth="1"/>
    <col min="4" max="4" width="5.7109375" style="1538" customWidth="1"/>
    <col min="5" max="7" width="6.7109375" style="352" customWidth="1"/>
    <col min="8" max="8" width="6.7109375" style="1489" customWidth="1"/>
    <col min="9" max="9" width="5.7109375" style="352" customWidth="1"/>
    <col min="10" max="10" width="5.5703125" style="352" customWidth="1"/>
    <col min="11" max="11" width="9.28515625" style="352" customWidth="1"/>
    <col min="12" max="12" width="8.140625" style="352" customWidth="1"/>
    <col min="13" max="13" width="8.42578125" style="352" customWidth="1"/>
    <col min="14" max="14" width="4.7109375" style="353" customWidth="1"/>
    <col min="15" max="23" width="4.7109375" style="352" customWidth="1"/>
    <col min="24" max="16384" width="9.140625" style="352"/>
  </cols>
  <sheetData>
    <row r="1" spans="1:25" ht="21" x14ac:dyDescent="0.35">
      <c r="A1" s="351" t="s">
        <v>593</v>
      </c>
      <c r="D1" s="202"/>
      <c r="E1" s="69"/>
      <c r="F1" s="69"/>
      <c r="G1" s="69"/>
      <c r="H1" s="660"/>
      <c r="I1" s="69"/>
      <c r="J1" s="69"/>
      <c r="K1" s="69"/>
    </row>
    <row r="2" spans="1:25" ht="21" x14ac:dyDescent="0.35">
      <c r="A2" s="351" t="s">
        <v>54</v>
      </c>
    </row>
    <row r="3" spans="1:25" ht="18.75" x14ac:dyDescent="0.3">
      <c r="A3" s="354" t="s">
        <v>562</v>
      </c>
      <c r="J3" s="1302"/>
    </row>
    <row r="4" spans="1:25" x14ac:dyDescent="0.25">
      <c r="A4" s="1157">
        <v>1</v>
      </c>
      <c r="B4" s="1157">
        <v>2</v>
      </c>
      <c r="C4" s="1157">
        <v>3</v>
      </c>
      <c r="D4" s="1157">
        <v>4</v>
      </c>
      <c r="E4" s="1157">
        <v>5</v>
      </c>
      <c r="F4" s="1157">
        <v>6</v>
      </c>
      <c r="G4" s="1157">
        <v>7</v>
      </c>
      <c r="H4" s="1157">
        <v>8</v>
      </c>
      <c r="I4" s="1157">
        <v>9</v>
      </c>
      <c r="J4" s="1157">
        <v>10</v>
      </c>
      <c r="K4" s="1157">
        <v>11</v>
      </c>
      <c r="L4" s="1157">
        <v>12</v>
      </c>
      <c r="M4" s="1157">
        <v>13</v>
      </c>
      <c r="N4" s="1157">
        <v>14</v>
      </c>
      <c r="O4" s="1157">
        <v>15</v>
      </c>
      <c r="P4" s="1157">
        <v>16</v>
      </c>
      <c r="Q4" s="1157">
        <v>17</v>
      </c>
      <c r="R4" s="1157">
        <v>18</v>
      </c>
      <c r="S4" s="1157">
        <v>19</v>
      </c>
      <c r="T4" s="1157">
        <v>20</v>
      </c>
      <c r="U4" s="1157">
        <v>21</v>
      </c>
      <c r="V4" s="1157">
        <v>22</v>
      </c>
      <c r="W4" s="1157">
        <v>23</v>
      </c>
      <c r="X4" s="1157">
        <v>24</v>
      </c>
      <c r="Y4" s="1157">
        <v>25</v>
      </c>
    </row>
    <row r="5" spans="1:25" ht="24" customHeight="1" x14ac:dyDescent="0.25">
      <c r="A5" s="2615" t="s">
        <v>0</v>
      </c>
      <c r="B5" s="2622" t="s">
        <v>55</v>
      </c>
      <c r="C5" s="2623" t="s">
        <v>1</v>
      </c>
      <c r="D5" s="2628" t="s">
        <v>56</v>
      </c>
      <c r="E5" s="2615" t="s">
        <v>32</v>
      </c>
      <c r="F5" s="2615"/>
      <c r="G5" s="2615"/>
      <c r="H5" s="2615"/>
      <c r="I5" s="2615" t="s">
        <v>59</v>
      </c>
      <c r="J5" s="2615" t="s">
        <v>60</v>
      </c>
      <c r="K5" s="2616" t="s">
        <v>61</v>
      </c>
      <c r="L5" s="2617" t="s">
        <v>62</v>
      </c>
      <c r="M5" s="2613" t="s">
        <v>63</v>
      </c>
      <c r="N5" s="2262" t="s">
        <v>173</v>
      </c>
      <c r="O5" s="2262"/>
      <c r="P5" s="2262"/>
      <c r="Q5" s="2262"/>
      <c r="R5" s="2262"/>
      <c r="S5" s="2262" t="s">
        <v>792</v>
      </c>
      <c r="T5" s="2262"/>
      <c r="U5" s="2262"/>
      <c r="V5" s="2262"/>
      <c r="W5" s="2262"/>
      <c r="X5" s="2626" t="s">
        <v>973</v>
      </c>
      <c r="Y5" s="2625" t="s">
        <v>5</v>
      </c>
    </row>
    <row r="6" spans="1:25" ht="21.75" customHeight="1" x14ac:dyDescent="0.25">
      <c r="A6" s="2615"/>
      <c r="B6" s="2627"/>
      <c r="C6" s="2624"/>
      <c r="D6" s="2628"/>
      <c r="E6" s="2071" t="s">
        <v>57</v>
      </c>
      <c r="F6" s="2071" t="s">
        <v>58</v>
      </c>
      <c r="G6" s="2071" t="s">
        <v>13</v>
      </c>
      <c r="H6" s="1540" t="s">
        <v>14</v>
      </c>
      <c r="I6" s="2615"/>
      <c r="J6" s="2615"/>
      <c r="K6" s="2616"/>
      <c r="L6" s="2617"/>
      <c r="M6" s="2614"/>
      <c r="N6" s="1462" t="s">
        <v>7</v>
      </c>
      <c r="O6" s="1462" t="s">
        <v>10</v>
      </c>
      <c r="P6" s="1462" t="s">
        <v>8</v>
      </c>
      <c r="Q6" s="1462" t="s">
        <v>18</v>
      </c>
      <c r="R6" s="1462" t="s">
        <v>179</v>
      </c>
      <c r="S6" s="2078" t="s">
        <v>7</v>
      </c>
      <c r="T6" s="2078" t="s">
        <v>10</v>
      </c>
      <c r="U6" s="2078" t="s">
        <v>8</v>
      </c>
      <c r="V6" s="2078" t="s">
        <v>18</v>
      </c>
      <c r="W6" s="2078" t="s">
        <v>179</v>
      </c>
      <c r="X6" s="2618"/>
      <c r="Y6" s="2612"/>
    </row>
    <row r="7" spans="1:25" ht="23.1" customHeight="1" x14ac:dyDescent="0.25">
      <c r="A7" s="1478">
        <v>1</v>
      </c>
      <c r="B7" s="1326">
        <v>1</v>
      </c>
      <c r="C7" s="1541" t="str">
        <f>VLOOKUP(A7,data_siswa,4,FALSE)</f>
        <v>Achmad Zacky</v>
      </c>
      <c r="D7" s="1542" t="s">
        <v>7</v>
      </c>
      <c r="E7" s="627">
        <f>VLOOKUP(A7,UHT_PJOK,38,FALSE)</f>
        <v>73</v>
      </c>
      <c r="F7" s="1904">
        <f>E7*2</f>
        <v>146</v>
      </c>
      <c r="G7" s="627">
        <v>75</v>
      </c>
      <c r="H7" s="627">
        <f>VLOOKUP(B7,REKAP_NILAI,29,FALSE)</f>
        <v>66.666666666666671</v>
      </c>
      <c r="I7" s="706">
        <f>F7+G7+H7</f>
        <v>287.66666666666669</v>
      </c>
      <c r="J7" s="707">
        <f>(F7+G7+H7)/4</f>
        <v>71.916666666666671</v>
      </c>
      <c r="K7" s="708" t="str">
        <f>IF(J7&gt;85,("4"),IF(J7&gt;80,("3.66"),IF(J7&gt;75,("3.33"),IF(J7&gt;70,("3.00"),IF(J7&gt;65,("2.66"),IF(J7&gt;60,("2.33"),IF(J7&gt;55,("2"),IF(J7&gt;50,("1.66"),"1.33"))))))))</f>
        <v>3.00</v>
      </c>
      <c r="L7" s="708" t="str">
        <f>IF(J7&gt;85,("A"),IF(J7&gt;80,("A-"),IF(J7&gt;75,("B+"),IF(J7&gt;70,("B"),IF(J7&gt;65,("B-"),IF(J7&gt;60,("C+"),IF(J7&gt;55,("C"),IF(J7&gt;50,("C-"),"D+"))))))))</f>
        <v>B</v>
      </c>
      <c r="M7" s="887" t="str">
        <f>IF(J7&gt;80,("SB"),IF(J7&gt;65,("B"),IF(J7&gt;50,("C"),IF(J7&gt;0,("K"),"0"))))</f>
        <v>B</v>
      </c>
      <c r="N7" s="1543"/>
      <c r="O7" s="1543"/>
      <c r="P7" s="1543"/>
      <c r="Q7" s="1543"/>
      <c r="R7" s="1543">
        <v>3</v>
      </c>
      <c r="S7" s="1544"/>
      <c r="T7" s="1544"/>
      <c r="U7" s="1544"/>
      <c r="V7" s="1544">
        <v>3</v>
      </c>
      <c r="W7" s="1544"/>
      <c r="X7" s="1152">
        <f>AVERAGE(J7:J11)</f>
        <v>73.381313131313135</v>
      </c>
      <c r="Y7" s="1799" t="str">
        <f>IF(X7&gt;85,("A"),IF(X7&gt;80,("A-"),IF(X7&gt;75,("B+"),IF(X7&gt;70,("B"),IF(X7&gt;65,("B-"),IF(X7&gt;60,("C+"),IF(X7&gt;55,("C"),IF(X7&gt;50,("C-"),"D+"))))))))</f>
        <v>B</v>
      </c>
    </row>
    <row r="8" spans="1:25" ht="23.1" customHeight="1" x14ac:dyDescent="0.25">
      <c r="A8" s="1478"/>
      <c r="B8" s="1352">
        <v>1</v>
      </c>
      <c r="C8" s="1545"/>
      <c r="D8" s="1542" t="s">
        <v>10</v>
      </c>
      <c r="E8" s="627">
        <f>VLOOKUP(A7,UHT_PJOK,39,FALSE)</f>
        <v>66.25</v>
      </c>
      <c r="F8" s="1905">
        <f t="shared" ref="F8:F11" si="0">E8*2</f>
        <v>132.5</v>
      </c>
      <c r="G8" s="1152">
        <v>76</v>
      </c>
      <c r="H8" s="627">
        <f>VLOOKUP(B7,REKAP_NILAI,30,FALSE)</f>
        <v>74.242424242424249</v>
      </c>
      <c r="I8" s="709">
        <f t="shared" ref="I8:I11" si="1">F8+G8+H8</f>
        <v>282.74242424242425</v>
      </c>
      <c r="J8" s="710">
        <f t="shared" ref="J8:J11" si="2">(F8+G8+H8)/4</f>
        <v>70.685606060606062</v>
      </c>
      <c r="K8" s="711" t="str">
        <f t="shared" ref="K8:K12" si="3">IF(J8&gt;85,("4"),IF(J8&gt;80,("3.66"),IF(J8&gt;75,("3.33"),IF(J8&gt;70,("3.00"),IF(J8&gt;65,("2.66"),IF(J8&gt;60,("2.33"),IF(J8&gt;55,("2"),IF(J8&gt;50,("1.66"),"1.33"))))))))</f>
        <v>3.00</v>
      </c>
      <c r="L8" s="711" t="str">
        <f t="shared" ref="L8:L12" si="4">IF(J8&gt;85,("A"),IF(J8&gt;80,("A-"),IF(J8&gt;75,("B+"),IF(J8&gt;70,("B"),IF(J8&gt;65,("B-"),IF(J8&gt;60,("C+"),IF(J8&gt;55,("C"),IF(J8&gt;50,("C-"),"D+"))))))))</f>
        <v>B</v>
      </c>
      <c r="M8" s="712" t="str">
        <f t="shared" ref="M8:M12" si="5">IF(J8&gt;80,("SB"),IF(J8&gt;65,("B"),IF(J8&gt;50,("C"),IF(J8&gt;0,("K"),"0"))))</f>
        <v>B</v>
      </c>
      <c r="N8" s="1546"/>
      <c r="O8" s="1547"/>
      <c r="P8" s="1547"/>
      <c r="Q8" s="1547"/>
      <c r="R8" s="1547"/>
      <c r="S8" s="1548"/>
      <c r="T8" s="1465"/>
      <c r="U8" s="1465"/>
      <c r="V8" s="1465"/>
      <c r="W8" s="1466"/>
      <c r="X8" s="1529"/>
      <c r="Y8" s="1530"/>
    </row>
    <row r="9" spans="1:25" ht="23.1" customHeight="1" x14ac:dyDescent="0.25">
      <c r="A9" s="1478"/>
      <c r="B9" s="1352">
        <v>1</v>
      </c>
      <c r="C9" s="1545"/>
      <c r="D9" s="1542" t="s">
        <v>8</v>
      </c>
      <c r="E9" s="627">
        <f>VLOOKUP(A7,UHT_PJOK,40,FALSE)</f>
        <v>72.833333333333329</v>
      </c>
      <c r="F9" s="1905">
        <f t="shared" si="0"/>
        <v>145.66666666666666</v>
      </c>
      <c r="G9" s="627">
        <v>77</v>
      </c>
      <c r="H9" s="627">
        <f>VLOOKUP(B7,REKAP_NILAI,31,FALSE)</f>
        <v>80.050505050505038</v>
      </c>
      <c r="I9" s="709">
        <f t="shared" si="1"/>
        <v>302.71717171717171</v>
      </c>
      <c r="J9" s="710">
        <f t="shared" si="2"/>
        <v>75.679292929292927</v>
      </c>
      <c r="K9" s="711" t="str">
        <f t="shared" si="3"/>
        <v>3.33</v>
      </c>
      <c r="L9" s="711" t="str">
        <f t="shared" si="4"/>
        <v>B+</v>
      </c>
      <c r="M9" s="712" t="str">
        <f t="shared" si="5"/>
        <v>B</v>
      </c>
      <c r="N9" s="1549"/>
      <c r="O9" s="1550"/>
      <c r="P9" s="1550"/>
      <c r="Q9" s="1550"/>
      <c r="R9" s="1550"/>
      <c r="S9" s="1551"/>
      <c r="T9" s="1469"/>
      <c r="U9" s="1469"/>
      <c r="V9" s="1469"/>
      <c r="W9" s="1470"/>
      <c r="X9" s="1531"/>
      <c r="Y9" s="1532"/>
    </row>
    <row r="10" spans="1:25" ht="23.1" customHeight="1" x14ac:dyDescent="0.25">
      <c r="A10" s="1478"/>
      <c r="B10" s="1352">
        <v>1</v>
      </c>
      <c r="C10" s="1545"/>
      <c r="D10" s="1542" t="s">
        <v>18</v>
      </c>
      <c r="E10" s="627">
        <f>VLOOKUP(A7,UHT_PJOK,41,FALSE)</f>
        <v>66</v>
      </c>
      <c r="F10" s="1905">
        <f t="shared" si="0"/>
        <v>132</v>
      </c>
      <c r="G10" s="1152">
        <v>78</v>
      </c>
      <c r="H10" s="627">
        <f>VLOOKUP(B7,REKAP_NILAI,29,FALSE)</f>
        <v>66.666666666666671</v>
      </c>
      <c r="I10" s="709">
        <f t="shared" si="1"/>
        <v>276.66666666666669</v>
      </c>
      <c r="J10" s="710">
        <f t="shared" si="2"/>
        <v>69.166666666666671</v>
      </c>
      <c r="K10" s="711" t="str">
        <f t="shared" si="3"/>
        <v>2.66</v>
      </c>
      <c r="L10" s="711" t="str">
        <f t="shared" si="4"/>
        <v>B-</v>
      </c>
      <c r="M10" s="712" t="str">
        <f t="shared" si="5"/>
        <v>B</v>
      </c>
      <c r="N10" s="1549"/>
      <c r="O10" s="1550"/>
      <c r="P10" s="1550"/>
      <c r="Q10" s="1550"/>
      <c r="R10" s="1550"/>
      <c r="S10" s="1551"/>
      <c r="T10" s="1469"/>
      <c r="U10" s="1469"/>
      <c r="V10" s="1469"/>
      <c r="W10" s="1470"/>
      <c r="X10" s="1531"/>
      <c r="Y10" s="1532"/>
    </row>
    <row r="11" spans="1:25" ht="23.1" customHeight="1" x14ac:dyDescent="0.25">
      <c r="A11" s="1478"/>
      <c r="B11" s="1352">
        <v>1</v>
      </c>
      <c r="C11" s="1545"/>
      <c r="D11" s="1542" t="s">
        <v>179</v>
      </c>
      <c r="E11" s="627">
        <f>VLOOKUP(A7,UHT_PJOK,42,FALSE)</f>
        <v>84</v>
      </c>
      <c r="F11" s="1905">
        <f t="shared" si="0"/>
        <v>168</v>
      </c>
      <c r="G11" s="627">
        <v>79</v>
      </c>
      <c r="H11" s="627">
        <f>VLOOKUP(B7,REKAP_NILAI,33,FALSE)</f>
        <v>70.833333333333343</v>
      </c>
      <c r="I11" s="709">
        <f t="shared" si="1"/>
        <v>317.83333333333337</v>
      </c>
      <c r="J11" s="710">
        <f t="shared" si="2"/>
        <v>79.458333333333343</v>
      </c>
      <c r="K11" s="711" t="str">
        <f t="shared" si="3"/>
        <v>3.33</v>
      </c>
      <c r="L11" s="711" t="str">
        <f t="shared" si="4"/>
        <v>B+</v>
      </c>
      <c r="M11" s="712" t="str">
        <f t="shared" si="5"/>
        <v>B</v>
      </c>
      <c r="N11" s="1549"/>
      <c r="O11" s="1550"/>
      <c r="P11" s="1550"/>
      <c r="Q11" s="1550"/>
      <c r="R11" s="1550"/>
      <c r="S11" s="1551"/>
      <c r="T11" s="1469"/>
      <c r="U11" s="1469"/>
      <c r="V11" s="1469"/>
      <c r="W11" s="1470"/>
      <c r="X11" s="1533"/>
      <c r="Y11" s="1534"/>
    </row>
    <row r="12" spans="1:25" ht="23.1" customHeight="1" x14ac:dyDescent="0.25">
      <c r="A12" s="1154"/>
      <c r="B12" s="1552"/>
      <c r="C12" s="1553" t="s">
        <v>149</v>
      </c>
      <c r="D12" s="1554">
        <v>1</v>
      </c>
      <c r="E12" s="1154"/>
      <c r="F12" s="1155"/>
      <c r="G12" s="1162"/>
      <c r="H12" s="1555">
        <f>AVERAGE(H7:H11)</f>
        <v>71.691919191919197</v>
      </c>
      <c r="I12" s="705"/>
      <c r="J12" s="713">
        <f>AVERAGE(J7:J11)</f>
        <v>73.381313131313135</v>
      </c>
      <c r="K12" s="714" t="str">
        <f t="shared" si="3"/>
        <v>3.00</v>
      </c>
      <c r="L12" s="714" t="str">
        <f t="shared" si="4"/>
        <v>B</v>
      </c>
      <c r="M12" s="888" t="str">
        <f t="shared" si="5"/>
        <v>B</v>
      </c>
      <c r="N12" s="1556"/>
      <c r="O12" s="1557"/>
      <c r="P12" s="1557"/>
      <c r="Q12" s="1557"/>
      <c r="R12" s="1557"/>
      <c r="S12" s="1557"/>
      <c r="T12" s="1557"/>
      <c r="U12" s="1557"/>
      <c r="V12" s="1557"/>
      <c r="W12" s="1558"/>
      <c r="X12" s="1257"/>
      <c r="Y12" s="1258"/>
    </row>
    <row r="13" spans="1:25" ht="23.1" customHeight="1" x14ac:dyDescent="0.25">
      <c r="A13" s="1478">
        <v>2</v>
      </c>
      <c r="B13" s="683">
        <v>2</v>
      </c>
      <c r="C13" s="1541" t="str">
        <f>VLOOKUP(A13,data_siswa,4,FALSE)</f>
        <v>Angelia Vabel R</v>
      </c>
      <c r="D13" s="1542" t="s">
        <v>7</v>
      </c>
      <c r="E13" s="627">
        <f>VLOOKUP(A13,UHT_PJOK,38,FALSE)</f>
        <v>0</v>
      </c>
      <c r="F13" s="1904">
        <f>E13*2</f>
        <v>0</v>
      </c>
      <c r="G13" s="627"/>
      <c r="H13" s="627">
        <f>VLOOKUP(B13,REKAP_NILAI,29,FALSE)</f>
        <v>0</v>
      </c>
      <c r="I13" s="706">
        <f>F13+G13+H13</f>
        <v>0</v>
      </c>
      <c r="J13" s="707">
        <f>(F13+G13+H13)/4</f>
        <v>0</v>
      </c>
      <c r="K13" s="708" t="str">
        <f>IF(J13&gt;85,("4"),IF(J13&gt;80,("3.66"),IF(J13&gt;75,("3.33"),IF(J13&gt;70,("3.00"),IF(J13&gt;65,("2.66"),IF(J13&gt;60,("2.33"),IF(J13&gt;55,("2"),IF(J13&gt;50,("1.66"),"1.33"))))))))</f>
        <v>1.33</v>
      </c>
      <c r="L13" s="708" t="str">
        <f>IF(J13&gt;85,("A"),IF(J13&gt;80,("A-"),IF(J13&gt;75,("B+"),IF(J13&gt;70,("B"),IF(J13&gt;65,("B-"),IF(J13&gt;60,("C+"),IF(J13&gt;55,("C"),IF(J13&gt;50,("C-"),"D+"))))))))</f>
        <v>D+</v>
      </c>
      <c r="M13" s="887" t="str">
        <f>IF(J13&gt;80,("SB"),IF(J13&gt;65,("B"),IF(J13&gt;50,("C"),IF(J13&gt;0,("K"),"0"))))</f>
        <v>0</v>
      </c>
      <c r="N13" s="1543"/>
      <c r="O13" s="1543"/>
      <c r="P13" s="1543"/>
      <c r="Q13" s="1543"/>
      <c r="R13" s="1543"/>
      <c r="S13" s="1544"/>
      <c r="T13" s="1544"/>
      <c r="U13" s="1544"/>
      <c r="V13" s="1544"/>
      <c r="W13" s="1544"/>
      <c r="X13" s="704">
        <f>AVERAGE(J13:J17)</f>
        <v>0</v>
      </c>
      <c r="Y13" s="1481" t="str">
        <f>IF(X13&gt;85,("A"),IF(X13&gt;80,("A-"),IF(X13&gt;75,("B+"),IF(X13&gt;70,("B"),IF(X13&gt;65,("B-"),IF(X13&gt;60,("C+"),IF(X13&gt;55,("C"),IF(X13&gt;50,("C-"),"D+"))))))))</f>
        <v>D+</v>
      </c>
    </row>
    <row r="14" spans="1:25" ht="23.1" customHeight="1" x14ac:dyDescent="0.25">
      <c r="A14" s="1478"/>
      <c r="B14" s="1352">
        <v>2</v>
      </c>
      <c r="C14" s="1545"/>
      <c r="D14" s="1542" t="s">
        <v>10</v>
      </c>
      <c r="E14" s="627">
        <f>VLOOKUP(A13,UHT_PJOK,39,FALSE)</f>
        <v>0</v>
      </c>
      <c r="F14" s="1905">
        <f t="shared" ref="F14:F17" si="6">E14*2</f>
        <v>0</v>
      </c>
      <c r="G14" s="1152"/>
      <c r="H14" s="627">
        <f>VLOOKUP(B13,REKAP_NILAI,30,FALSE)</f>
        <v>0</v>
      </c>
      <c r="I14" s="709">
        <f t="shared" ref="I14:I17" si="7">F14+G14+H14</f>
        <v>0</v>
      </c>
      <c r="J14" s="710">
        <f t="shared" ref="J14:J17" si="8">(F14+G14+H14)/4</f>
        <v>0</v>
      </c>
      <c r="K14" s="711" t="str">
        <f t="shared" ref="K14:K17" si="9">IF(J14&gt;85,("4"),IF(J14&gt;80,("3.66"),IF(J14&gt;75,("3.33"),IF(J14&gt;70,("3.00"),IF(J14&gt;65,("2.66"),IF(J14&gt;60,("2.33"),IF(J14&gt;55,("2"),IF(J14&gt;50,("1.66"),"1.33"))))))))</f>
        <v>1.33</v>
      </c>
      <c r="L14" s="711" t="str">
        <f t="shared" ref="L14:L17" si="10">IF(J14&gt;85,("A"),IF(J14&gt;80,("A-"),IF(J14&gt;75,("B+"),IF(J14&gt;70,("B"),IF(J14&gt;65,("B-"),IF(J14&gt;60,("C+"),IF(J14&gt;55,("C"),IF(J14&gt;50,("C-"),"D+"))))))))</f>
        <v>D+</v>
      </c>
      <c r="M14" s="712" t="str">
        <f t="shared" ref="M14:M17" si="11">IF(J14&gt;80,("SB"),IF(J14&gt;65,("B"),IF(J14&gt;50,("C"),IF(J14&gt;0,("K"),"0"))))</f>
        <v>0</v>
      </c>
      <c r="N14" s="1546"/>
      <c r="O14" s="1547"/>
      <c r="P14" s="1547"/>
      <c r="Q14" s="1547"/>
      <c r="R14" s="1547"/>
      <c r="S14" s="1548"/>
      <c r="T14" s="1465"/>
      <c r="U14" s="1465"/>
      <c r="V14" s="1465"/>
      <c r="W14" s="1466"/>
      <c r="X14" s="1529"/>
      <c r="Y14" s="1530"/>
    </row>
    <row r="15" spans="1:25" ht="23.1" customHeight="1" x14ac:dyDescent="0.25">
      <c r="A15" s="1478"/>
      <c r="B15" s="1352">
        <v>2</v>
      </c>
      <c r="C15" s="1545"/>
      <c r="D15" s="1542" t="s">
        <v>8</v>
      </c>
      <c r="E15" s="627">
        <f>VLOOKUP(A13,UHT_PJOK,40,FALSE)</f>
        <v>0</v>
      </c>
      <c r="F15" s="1905">
        <f t="shared" si="6"/>
        <v>0</v>
      </c>
      <c r="G15" s="1152"/>
      <c r="H15" s="627">
        <f>VLOOKUP(B13,REKAP_NILAI,31,FALSE)</f>
        <v>0</v>
      </c>
      <c r="I15" s="709">
        <f t="shared" si="7"/>
        <v>0</v>
      </c>
      <c r="J15" s="710">
        <f t="shared" si="8"/>
        <v>0</v>
      </c>
      <c r="K15" s="711" t="str">
        <f t="shared" si="9"/>
        <v>1.33</v>
      </c>
      <c r="L15" s="711" t="str">
        <f t="shared" si="10"/>
        <v>D+</v>
      </c>
      <c r="M15" s="712" t="str">
        <f t="shared" si="11"/>
        <v>0</v>
      </c>
      <c r="N15" s="1549"/>
      <c r="O15" s="1550"/>
      <c r="P15" s="1550"/>
      <c r="Q15" s="1550"/>
      <c r="R15" s="1550"/>
      <c r="S15" s="1551"/>
      <c r="T15" s="1469"/>
      <c r="U15" s="1469"/>
      <c r="V15" s="1469"/>
      <c r="W15" s="1470"/>
      <c r="X15" s="1531"/>
      <c r="Y15" s="1532"/>
    </row>
    <row r="16" spans="1:25" ht="23.1" customHeight="1" x14ac:dyDescent="0.25">
      <c r="A16" s="1478"/>
      <c r="B16" s="1352">
        <v>2</v>
      </c>
      <c r="C16" s="1545"/>
      <c r="D16" s="1542" t="s">
        <v>18</v>
      </c>
      <c r="E16" s="627">
        <f>VLOOKUP(A13,UHT_PJOK,41,FALSE)</f>
        <v>0</v>
      </c>
      <c r="F16" s="1905">
        <f t="shared" si="6"/>
        <v>0</v>
      </c>
      <c r="G16" s="627"/>
      <c r="H16" s="627">
        <f>VLOOKUP(B13,REKAP_NILAI,29,FALSE)</f>
        <v>0</v>
      </c>
      <c r="I16" s="709">
        <f t="shared" si="7"/>
        <v>0</v>
      </c>
      <c r="J16" s="710">
        <f t="shared" si="8"/>
        <v>0</v>
      </c>
      <c r="K16" s="711" t="str">
        <f t="shared" si="9"/>
        <v>1.33</v>
      </c>
      <c r="L16" s="711" t="str">
        <f t="shared" si="10"/>
        <v>D+</v>
      </c>
      <c r="M16" s="712" t="str">
        <f t="shared" si="11"/>
        <v>0</v>
      </c>
      <c r="N16" s="1549"/>
      <c r="O16" s="1550"/>
      <c r="P16" s="1550"/>
      <c r="Q16" s="1550"/>
      <c r="R16" s="1550"/>
      <c r="S16" s="1551"/>
      <c r="T16" s="1469"/>
      <c r="U16" s="1469"/>
      <c r="V16" s="1469"/>
      <c r="W16" s="1470"/>
      <c r="X16" s="1531"/>
      <c r="Y16" s="1532"/>
    </row>
    <row r="17" spans="1:25" ht="23.1" customHeight="1" x14ac:dyDescent="0.25">
      <c r="A17" s="1478"/>
      <c r="B17" s="1352">
        <v>2</v>
      </c>
      <c r="C17" s="1545"/>
      <c r="D17" s="1542" t="s">
        <v>179</v>
      </c>
      <c r="E17" s="627">
        <f>VLOOKUP(A13,UHT_PJOK,42,FALSE)</f>
        <v>0</v>
      </c>
      <c r="F17" s="1905">
        <f t="shared" si="6"/>
        <v>0</v>
      </c>
      <c r="G17" s="1152"/>
      <c r="H17" s="627">
        <f>VLOOKUP(B13,REKAP_NILAI,33,FALSE)</f>
        <v>0</v>
      </c>
      <c r="I17" s="709">
        <f t="shared" si="7"/>
        <v>0</v>
      </c>
      <c r="J17" s="710">
        <f t="shared" si="8"/>
        <v>0</v>
      </c>
      <c r="K17" s="711" t="str">
        <f t="shared" si="9"/>
        <v>1.33</v>
      </c>
      <c r="L17" s="711" t="str">
        <f t="shared" si="10"/>
        <v>D+</v>
      </c>
      <c r="M17" s="712" t="str">
        <f t="shared" si="11"/>
        <v>0</v>
      </c>
      <c r="N17" s="1549"/>
      <c r="O17" s="1550"/>
      <c r="P17" s="1550"/>
      <c r="Q17" s="1550"/>
      <c r="R17" s="1550"/>
      <c r="S17" s="1551"/>
      <c r="T17" s="1469"/>
      <c r="U17" s="1469"/>
      <c r="V17" s="1469"/>
      <c r="W17" s="1470"/>
      <c r="X17" s="1533"/>
      <c r="Y17" s="1534"/>
    </row>
    <row r="18" spans="1:25" ht="23.1" customHeight="1" x14ac:dyDescent="0.25">
      <c r="A18" s="1154"/>
      <c r="B18" s="1552"/>
      <c r="C18" s="1553" t="s">
        <v>149</v>
      </c>
      <c r="D18" s="1554">
        <v>2</v>
      </c>
      <c r="E18" s="1154"/>
      <c r="F18" s="1155"/>
      <c r="G18" s="1162"/>
      <c r="H18" s="1555">
        <f>AVERAGE(H13:H17)</f>
        <v>0</v>
      </c>
      <c r="I18" s="705"/>
      <c r="J18" s="713">
        <f>AVERAGE(J13:J17)</f>
        <v>0</v>
      </c>
      <c r="K18" s="714" t="str">
        <f t="shared" ref="K18" si="12">IF(J18&gt;85,("4"),IF(J18&gt;80,("3.66"),IF(J18&gt;75,("3.33"),IF(J18&gt;70,("3.00"),IF(J18&gt;65,("2.66"),IF(J18&gt;60,("2.33"),IF(J18&gt;55,("2"),IF(J18&gt;50,("1.66"),"1.33"))))))))</f>
        <v>1.33</v>
      </c>
      <c r="L18" s="714" t="str">
        <f t="shared" ref="L18" si="13">IF(J18&gt;85,("A"),IF(J18&gt;80,("A-"),IF(J18&gt;75,("B+"),IF(J18&gt;70,("B"),IF(J18&gt;65,("B-"),IF(J18&gt;60,("C+"),IF(J18&gt;55,("C"),IF(J18&gt;50,("C-"),"D+"))))))))</f>
        <v>D+</v>
      </c>
      <c r="M18" s="888" t="str">
        <f t="shared" ref="M18" si="14">IF(J18&gt;80,("SB"),IF(J18&gt;65,("B"),IF(J18&gt;50,("C"),IF(J18&gt;0,("K"),"0"))))</f>
        <v>0</v>
      </c>
      <c r="N18" s="1556"/>
      <c r="O18" s="1557"/>
      <c r="P18" s="1557"/>
      <c r="Q18" s="1557"/>
      <c r="R18" s="1557"/>
      <c r="S18" s="1557"/>
      <c r="T18" s="1557"/>
      <c r="U18" s="1557"/>
      <c r="V18" s="1557"/>
      <c r="W18" s="1558"/>
      <c r="X18" s="1257"/>
      <c r="Y18" s="1258"/>
    </row>
    <row r="19" spans="1:25" ht="23.1" customHeight="1" thickBot="1" x14ac:dyDescent="0.3">
      <c r="A19" s="1478">
        <v>3</v>
      </c>
      <c r="B19" s="683">
        <v>3</v>
      </c>
      <c r="C19" s="1541" t="str">
        <f>VLOOKUP(A19,data_siswa,4,FALSE)</f>
        <v>Anggun Dwi P.I</v>
      </c>
      <c r="D19" s="1542" t="s">
        <v>7</v>
      </c>
      <c r="E19" s="627">
        <f>VLOOKUP(A19,UHT_PJOK,38,FALSE)</f>
        <v>0</v>
      </c>
      <c r="F19" s="1904">
        <f>E19*2</f>
        <v>0</v>
      </c>
      <c r="G19" s="627"/>
      <c r="H19" s="627">
        <f>VLOOKUP(B19,REKAP_NILAI,29,FALSE)</f>
        <v>0</v>
      </c>
      <c r="I19" s="706">
        <f>F19+G19+H19</f>
        <v>0</v>
      </c>
      <c r="J19" s="707">
        <f>(F19+G19+H19)/4</f>
        <v>0</v>
      </c>
      <c r="K19" s="708" t="str">
        <f>IF(J19&gt;85,("4"),IF(J19&gt;80,("3.66"),IF(J19&gt;75,("3.33"),IF(J19&gt;70,("3.00"),IF(J19&gt;65,("2.66"),IF(J19&gt;60,("2.33"),IF(J19&gt;55,("2"),IF(J19&gt;50,("1.66"),"1.33"))))))))</f>
        <v>1.33</v>
      </c>
      <c r="L19" s="708" t="str">
        <f>IF(J19&gt;85,("A"),IF(J19&gt;80,("A-"),IF(J19&gt;75,("B+"),IF(J19&gt;70,("B"),IF(J19&gt;65,("B-"),IF(J19&gt;60,("C+"),IF(J19&gt;55,("C"),IF(J19&gt;50,("C-"),"D+"))))))))</f>
        <v>D+</v>
      </c>
      <c r="M19" s="887" t="str">
        <f>IF(J19&gt;80,("SB"),IF(J19&gt;65,("B"),IF(J19&gt;50,("C"),IF(J19&gt;0,("K"),"0"))))</f>
        <v>0</v>
      </c>
      <c r="N19" s="1471"/>
      <c r="O19" s="1471"/>
      <c r="P19" s="1471"/>
      <c r="Q19" s="1471"/>
      <c r="R19" s="1471"/>
      <c r="S19" s="1472"/>
      <c r="T19" s="1473"/>
      <c r="U19" s="1473"/>
      <c r="V19" s="1473"/>
      <c r="W19" s="1473"/>
      <c r="X19" s="704">
        <f>AVERAGE(J19:J23)</f>
        <v>0</v>
      </c>
      <c r="Y19" s="1481" t="str">
        <f>IF(X19&gt;85,("A"),IF(X19&gt;80,("A-"),IF(X19&gt;75,("B+"),IF(X19&gt;70,("B"),IF(X19&gt;65,("B-"),IF(X19&gt;60,("C+"),IF(X19&gt;55,("C"),IF(X19&gt;50,("C-"),"D+"))))))))</f>
        <v>D+</v>
      </c>
    </row>
    <row r="20" spans="1:25" ht="23.1" customHeight="1" x14ac:dyDescent="0.25">
      <c r="A20" s="1478"/>
      <c r="B20" s="1352">
        <v>3</v>
      </c>
      <c r="C20" s="1545"/>
      <c r="D20" s="1542" t="s">
        <v>10</v>
      </c>
      <c r="E20" s="627">
        <f>VLOOKUP(A19,UHT_PJOK,39,FALSE)</f>
        <v>0</v>
      </c>
      <c r="F20" s="1905">
        <f t="shared" ref="F20:F23" si="15">E20*2</f>
        <v>0</v>
      </c>
      <c r="G20" s="1152"/>
      <c r="H20" s="627">
        <f>VLOOKUP(B19,REKAP_NILAI,30,FALSE)</f>
        <v>0</v>
      </c>
      <c r="I20" s="709">
        <f t="shared" ref="I20:I23" si="16">F20+G20+H20</f>
        <v>0</v>
      </c>
      <c r="J20" s="710">
        <f t="shared" ref="J20:J23" si="17">(F20+G20+H20)/4</f>
        <v>0</v>
      </c>
      <c r="K20" s="711" t="str">
        <f t="shared" ref="K20:K23" si="18">IF(J20&gt;85,("4"),IF(J20&gt;80,("3.66"),IF(J20&gt;75,("3.33"),IF(J20&gt;70,("3.00"),IF(J20&gt;65,("2.66"),IF(J20&gt;60,("2.33"),IF(J20&gt;55,("2"),IF(J20&gt;50,("1.66"),"1.33"))))))))</f>
        <v>1.33</v>
      </c>
      <c r="L20" s="711" t="str">
        <f t="shared" ref="L20:L23" si="19">IF(J20&gt;85,("A"),IF(J20&gt;80,("A-"),IF(J20&gt;75,("B+"),IF(J20&gt;70,("B"),IF(J20&gt;65,("B-"),IF(J20&gt;60,("C+"),IF(J20&gt;55,("C"),IF(J20&gt;50,("C-"),"D+"))))))))</f>
        <v>D+</v>
      </c>
      <c r="M20" s="712" t="str">
        <f t="shared" ref="M20:M23" si="20">IF(J20&gt;80,("SB"),IF(J20&gt;65,("B"),IF(J20&gt;50,("C"),IF(J20&gt;0,("K"),"0"))))</f>
        <v>0</v>
      </c>
      <c r="N20" s="1546"/>
      <c r="O20" s="1547"/>
      <c r="P20" s="1547"/>
      <c r="Q20" s="1547"/>
      <c r="R20" s="1547"/>
      <c r="S20" s="1548"/>
      <c r="T20" s="1465"/>
      <c r="U20" s="1465"/>
      <c r="V20" s="1465"/>
      <c r="W20" s="1466"/>
      <c r="X20" s="1529"/>
      <c r="Y20" s="1530"/>
    </row>
    <row r="21" spans="1:25" ht="23.1" customHeight="1" x14ac:dyDescent="0.25">
      <c r="A21" s="1478"/>
      <c r="B21" s="1352">
        <v>3</v>
      </c>
      <c r="C21" s="1545"/>
      <c r="D21" s="1542" t="s">
        <v>8</v>
      </c>
      <c r="E21" s="627">
        <f>VLOOKUP(A19,UHT_PJOK,40,FALSE)</f>
        <v>0</v>
      </c>
      <c r="F21" s="1905">
        <f t="shared" si="15"/>
        <v>0</v>
      </c>
      <c r="G21" s="1152"/>
      <c r="H21" s="627">
        <f>VLOOKUP(B19,REKAP_NILAI,31,FALSE)</f>
        <v>0</v>
      </c>
      <c r="I21" s="709">
        <f t="shared" si="16"/>
        <v>0</v>
      </c>
      <c r="J21" s="710">
        <f t="shared" si="17"/>
        <v>0</v>
      </c>
      <c r="K21" s="711" t="str">
        <f t="shared" si="18"/>
        <v>1.33</v>
      </c>
      <c r="L21" s="711" t="str">
        <f t="shared" si="19"/>
        <v>D+</v>
      </c>
      <c r="M21" s="712" t="str">
        <f t="shared" si="20"/>
        <v>0</v>
      </c>
      <c r="N21" s="1549"/>
      <c r="O21" s="1550"/>
      <c r="P21" s="1550"/>
      <c r="Q21" s="1550"/>
      <c r="R21" s="1550"/>
      <c r="S21" s="1551"/>
      <c r="T21" s="1469"/>
      <c r="U21" s="1469"/>
      <c r="V21" s="1469"/>
      <c r="W21" s="1470"/>
      <c r="X21" s="1531"/>
      <c r="Y21" s="1532"/>
    </row>
    <row r="22" spans="1:25" ht="23.1" customHeight="1" x14ac:dyDescent="0.25">
      <c r="A22" s="1478"/>
      <c r="B22" s="1352">
        <v>3</v>
      </c>
      <c r="C22" s="1545"/>
      <c r="D22" s="1542" t="s">
        <v>18</v>
      </c>
      <c r="E22" s="627">
        <f>VLOOKUP(A19,UHT_PJOK,41,FALSE)</f>
        <v>0</v>
      </c>
      <c r="F22" s="1905">
        <f t="shared" si="15"/>
        <v>0</v>
      </c>
      <c r="G22" s="627"/>
      <c r="H22" s="627">
        <f>VLOOKUP(B19,REKAP_NILAI,29,FALSE)</f>
        <v>0</v>
      </c>
      <c r="I22" s="709">
        <f t="shared" si="16"/>
        <v>0</v>
      </c>
      <c r="J22" s="710">
        <f t="shared" si="17"/>
        <v>0</v>
      </c>
      <c r="K22" s="711" t="str">
        <f t="shared" si="18"/>
        <v>1.33</v>
      </c>
      <c r="L22" s="711" t="str">
        <f t="shared" si="19"/>
        <v>D+</v>
      </c>
      <c r="M22" s="712" t="str">
        <f t="shared" si="20"/>
        <v>0</v>
      </c>
      <c r="N22" s="1549"/>
      <c r="O22" s="1550"/>
      <c r="P22" s="1550"/>
      <c r="Q22" s="1550"/>
      <c r="R22" s="1550"/>
      <c r="S22" s="1551"/>
      <c r="T22" s="1469"/>
      <c r="U22" s="1469"/>
      <c r="V22" s="1469"/>
      <c r="W22" s="1470"/>
      <c r="X22" s="1531"/>
      <c r="Y22" s="1532"/>
    </row>
    <row r="23" spans="1:25" ht="23.1" customHeight="1" x14ac:dyDescent="0.25">
      <c r="A23" s="1478"/>
      <c r="B23" s="1352">
        <v>3</v>
      </c>
      <c r="C23" s="1545"/>
      <c r="D23" s="1542" t="s">
        <v>179</v>
      </c>
      <c r="E23" s="627">
        <f>VLOOKUP(A19,UHT_PJOK,42,FALSE)</f>
        <v>0</v>
      </c>
      <c r="F23" s="1905">
        <f t="shared" si="15"/>
        <v>0</v>
      </c>
      <c r="G23" s="1152"/>
      <c r="H23" s="627">
        <f>VLOOKUP(B19,REKAP_NILAI,33,FALSE)</f>
        <v>0</v>
      </c>
      <c r="I23" s="709">
        <f t="shared" si="16"/>
        <v>0</v>
      </c>
      <c r="J23" s="710">
        <f t="shared" si="17"/>
        <v>0</v>
      </c>
      <c r="K23" s="711" t="str">
        <f t="shared" si="18"/>
        <v>1.33</v>
      </c>
      <c r="L23" s="711" t="str">
        <f t="shared" si="19"/>
        <v>D+</v>
      </c>
      <c r="M23" s="712" t="str">
        <f t="shared" si="20"/>
        <v>0</v>
      </c>
      <c r="N23" s="1549"/>
      <c r="O23" s="1550"/>
      <c r="P23" s="1550"/>
      <c r="Q23" s="1550"/>
      <c r="R23" s="1550"/>
      <c r="S23" s="1551"/>
      <c r="T23" s="1469"/>
      <c r="U23" s="1469"/>
      <c r="V23" s="1469"/>
      <c r="W23" s="1470"/>
      <c r="X23" s="1533"/>
      <c r="Y23" s="1534"/>
    </row>
    <row r="24" spans="1:25" ht="23.1" customHeight="1" x14ac:dyDescent="0.25">
      <c r="A24" s="1154"/>
      <c r="B24" s="1552"/>
      <c r="C24" s="1553" t="s">
        <v>149</v>
      </c>
      <c r="D24" s="1554">
        <v>3</v>
      </c>
      <c r="E24" s="1154"/>
      <c r="F24" s="1155"/>
      <c r="G24" s="1162"/>
      <c r="H24" s="1555">
        <f>AVERAGE(H19:H23)</f>
        <v>0</v>
      </c>
      <c r="I24" s="705"/>
      <c r="J24" s="713">
        <f>AVERAGE(J19:J23)</f>
        <v>0</v>
      </c>
      <c r="K24" s="714" t="str">
        <f t="shared" ref="K24" si="21">IF(J24&gt;85,("4"),IF(J24&gt;80,("3.66"),IF(J24&gt;75,("3.33"),IF(J24&gt;70,("3.00"),IF(J24&gt;65,("2.66"),IF(J24&gt;60,("2.33"),IF(J24&gt;55,("2"),IF(J24&gt;50,("1.66"),"1.33"))))))))</f>
        <v>1.33</v>
      </c>
      <c r="L24" s="714" t="str">
        <f t="shared" ref="L24" si="22">IF(J24&gt;85,("A"),IF(J24&gt;80,("A-"),IF(J24&gt;75,("B+"),IF(J24&gt;70,("B"),IF(J24&gt;65,("B-"),IF(J24&gt;60,("C+"),IF(J24&gt;55,("C"),IF(J24&gt;50,("C-"),"D+"))))))))</f>
        <v>D+</v>
      </c>
      <c r="M24" s="888" t="str">
        <f t="shared" ref="M24" si="23">IF(J24&gt;80,("SB"),IF(J24&gt;65,("B"),IF(J24&gt;50,("C"),IF(J24&gt;0,("K"),"0"))))</f>
        <v>0</v>
      </c>
      <c r="N24" s="1556"/>
      <c r="O24" s="1557"/>
      <c r="P24" s="1557"/>
      <c r="Q24" s="1557"/>
      <c r="R24" s="1557"/>
      <c r="S24" s="1557"/>
      <c r="T24" s="1557"/>
      <c r="U24" s="1557"/>
      <c r="V24" s="1557"/>
      <c r="W24" s="1558"/>
      <c r="X24" s="1257"/>
      <c r="Y24" s="1258"/>
    </row>
    <row r="25" spans="1:25" ht="23.1" customHeight="1" thickBot="1" x14ac:dyDescent="0.3">
      <c r="A25" s="1478">
        <v>4</v>
      </c>
      <c r="B25" s="683">
        <v>4</v>
      </c>
      <c r="C25" s="1541" t="str">
        <f>VLOOKUP(A25,data_siswa,4,FALSE)</f>
        <v>Antonio Permata A</v>
      </c>
      <c r="D25" s="1542" t="s">
        <v>7</v>
      </c>
      <c r="E25" s="627">
        <f>VLOOKUP(A25,UHT_PJOK,38,FALSE)</f>
        <v>0</v>
      </c>
      <c r="F25" s="1904">
        <f>E25*2</f>
        <v>0</v>
      </c>
      <c r="G25" s="627"/>
      <c r="H25" s="627">
        <f>VLOOKUP(B25,REKAP_NILAI,29,FALSE)</f>
        <v>0</v>
      </c>
      <c r="I25" s="706">
        <f>F25+G25+H25</f>
        <v>0</v>
      </c>
      <c r="J25" s="707">
        <f>(F25+G25+H25)/4</f>
        <v>0</v>
      </c>
      <c r="K25" s="708" t="str">
        <f>IF(J25&gt;85,("4"),IF(J25&gt;80,("3.66"),IF(J25&gt;75,("3.33"),IF(J25&gt;70,("3.00"),IF(J25&gt;65,("2.66"),IF(J25&gt;60,("2.33"),IF(J25&gt;55,("2"),IF(J25&gt;50,("1.66"),"1.33"))))))))</f>
        <v>1.33</v>
      </c>
      <c r="L25" s="708" t="str">
        <f>IF(J25&gt;85,("A"),IF(J25&gt;80,("A-"),IF(J25&gt;75,("B+"),IF(J25&gt;70,("B"),IF(J25&gt;65,("B-"),IF(J25&gt;60,("C+"),IF(J25&gt;55,("C"),IF(J25&gt;50,("C-"),"D+"))))))))</f>
        <v>D+</v>
      </c>
      <c r="M25" s="887" t="str">
        <f>IF(J25&gt;80,("SB"),IF(J25&gt;65,("B"),IF(J25&gt;50,("C"),IF(J25&gt;0,("K"),"0"))))</f>
        <v>0</v>
      </c>
      <c r="N25" s="1559"/>
      <c r="O25" s="1559"/>
      <c r="P25" s="1559"/>
      <c r="Q25" s="1559"/>
      <c r="R25" s="1559"/>
      <c r="S25" s="1560"/>
      <c r="T25" s="1561"/>
      <c r="U25" s="1561"/>
      <c r="V25" s="1561"/>
      <c r="W25" s="1561"/>
      <c r="X25" s="704">
        <f>AVERAGE(J25:J29)</f>
        <v>0</v>
      </c>
      <c r="Y25" s="1481" t="str">
        <f>IF(X25&gt;85,("A"),IF(X25&gt;80,("A-"),IF(X25&gt;75,("B+"),IF(X25&gt;70,("B"),IF(X25&gt;65,("B-"),IF(X25&gt;60,("C+"),IF(X25&gt;55,("C"),IF(X25&gt;50,("C-"),"D+"))))))))</f>
        <v>D+</v>
      </c>
    </row>
    <row r="26" spans="1:25" ht="23.1" customHeight="1" x14ac:dyDescent="0.25">
      <c r="A26" s="1478"/>
      <c r="B26" s="1352">
        <v>4</v>
      </c>
      <c r="C26" s="1545"/>
      <c r="D26" s="1542" t="s">
        <v>10</v>
      </c>
      <c r="E26" s="627">
        <f>VLOOKUP(A25,UHT_PJOK,39,FALSE)</f>
        <v>0</v>
      </c>
      <c r="F26" s="1905">
        <f t="shared" ref="F26:F29" si="24">E26*2</f>
        <v>0</v>
      </c>
      <c r="G26" s="1152"/>
      <c r="H26" s="627">
        <f>VLOOKUP(B25,REKAP_NILAI,30,FALSE)</f>
        <v>0</v>
      </c>
      <c r="I26" s="709">
        <f t="shared" ref="I26:I29" si="25">F26+G26+H26</f>
        <v>0</v>
      </c>
      <c r="J26" s="710">
        <f t="shared" ref="J26:J29" si="26">(F26+G26+H26)/4</f>
        <v>0</v>
      </c>
      <c r="K26" s="711" t="str">
        <f t="shared" ref="K26:K29" si="27">IF(J26&gt;85,("4"),IF(J26&gt;80,("3.66"),IF(J26&gt;75,("3.33"),IF(J26&gt;70,("3.00"),IF(J26&gt;65,("2.66"),IF(J26&gt;60,("2.33"),IF(J26&gt;55,("2"),IF(J26&gt;50,("1.66"),"1.33"))))))))</f>
        <v>1.33</v>
      </c>
      <c r="L26" s="711" t="str">
        <f t="shared" ref="L26:L29" si="28">IF(J26&gt;85,("A"),IF(J26&gt;80,("A-"),IF(J26&gt;75,("B+"),IF(J26&gt;70,("B"),IF(J26&gt;65,("B-"),IF(J26&gt;60,("C+"),IF(J26&gt;55,("C"),IF(J26&gt;50,("C-"),"D+"))))))))</f>
        <v>D+</v>
      </c>
      <c r="M26" s="712" t="str">
        <f t="shared" ref="M26:M29" si="29">IF(J26&gt;80,("SB"),IF(J26&gt;65,("B"),IF(J26&gt;50,("C"),IF(J26&gt;0,("K"),"0"))))</f>
        <v>0</v>
      </c>
      <c r="N26" s="1546"/>
      <c r="O26" s="1547"/>
      <c r="P26" s="1547"/>
      <c r="Q26" s="1547"/>
      <c r="R26" s="1547"/>
      <c r="S26" s="1548"/>
      <c r="T26" s="1465"/>
      <c r="U26" s="1465"/>
      <c r="V26" s="1465"/>
      <c r="W26" s="1466"/>
      <c r="X26" s="1529"/>
      <c r="Y26" s="1530"/>
    </row>
    <row r="27" spans="1:25" ht="23.1" customHeight="1" x14ac:dyDescent="0.25">
      <c r="A27" s="1478"/>
      <c r="B27" s="1352">
        <v>4</v>
      </c>
      <c r="C27" s="1545"/>
      <c r="D27" s="1542" t="s">
        <v>8</v>
      </c>
      <c r="E27" s="627">
        <f>VLOOKUP(A25,UHT_PJOK,40,FALSE)</f>
        <v>0</v>
      </c>
      <c r="F27" s="1905">
        <f t="shared" si="24"/>
        <v>0</v>
      </c>
      <c r="G27" s="1152"/>
      <c r="H27" s="627">
        <f>VLOOKUP(B25,REKAP_NILAI,31,FALSE)</f>
        <v>0</v>
      </c>
      <c r="I27" s="709">
        <f t="shared" si="25"/>
        <v>0</v>
      </c>
      <c r="J27" s="710">
        <f t="shared" si="26"/>
        <v>0</v>
      </c>
      <c r="K27" s="711" t="str">
        <f t="shared" si="27"/>
        <v>1.33</v>
      </c>
      <c r="L27" s="711" t="str">
        <f t="shared" si="28"/>
        <v>D+</v>
      </c>
      <c r="M27" s="712" t="str">
        <f t="shared" si="29"/>
        <v>0</v>
      </c>
      <c r="N27" s="1549"/>
      <c r="O27" s="1550"/>
      <c r="P27" s="1550"/>
      <c r="Q27" s="1550"/>
      <c r="R27" s="1550"/>
      <c r="S27" s="1551"/>
      <c r="T27" s="1469"/>
      <c r="U27" s="1469"/>
      <c r="V27" s="1469"/>
      <c r="W27" s="1470"/>
      <c r="X27" s="1531"/>
      <c r="Y27" s="1532"/>
    </row>
    <row r="28" spans="1:25" ht="23.1" customHeight="1" x14ac:dyDescent="0.25">
      <c r="A28" s="1478"/>
      <c r="B28" s="1352">
        <v>4</v>
      </c>
      <c r="C28" s="1545"/>
      <c r="D28" s="1542" t="s">
        <v>18</v>
      </c>
      <c r="E28" s="627">
        <f>VLOOKUP(A25,UHT_PJOK,41,FALSE)</f>
        <v>0</v>
      </c>
      <c r="F28" s="1905">
        <f t="shared" si="24"/>
        <v>0</v>
      </c>
      <c r="G28" s="627"/>
      <c r="H28" s="627">
        <f>VLOOKUP(B25,REKAP_NILAI,29,FALSE)</f>
        <v>0</v>
      </c>
      <c r="I28" s="709">
        <f t="shared" si="25"/>
        <v>0</v>
      </c>
      <c r="J28" s="710">
        <f t="shared" si="26"/>
        <v>0</v>
      </c>
      <c r="K28" s="711" t="str">
        <f t="shared" si="27"/>
        <v>1.33</v>
      </c>
      <c r="L28" s="711" t="str">
        <f t="shared" si="28"/>
        <v>D+</v>
      </c>
      <c r="M28" s="712" t="str">
        <f t="shared" si="29"/>
        <v>0</v>
      </c>
      <c r="N28" s="1549"/>
      <c r="O28" s="1550"/>
      <c r="P28" s="1550"/>
      <c r="Q28" s="1550"/>
      <c r="R28" s="1550"/>
      <c r="S28" s="1551"/>
      <c r="T28" s="1469"/>
      <c r="U28" s="1469"/>
      <c r="V28" s="1469"/>
      <c r="W28" s="1470"/>
      <c r="X28" s="1531"/>
      <c r="Y28" s="1532"/>
    </row>
    <row r="29" spans="1:25" ht="23.1" customHeight="1" x14ac:dyDescent="0.25">
      <c r="A29" s="1478"/>
      <c r="B29" s="1352">
        <v>4</v>
      </c>
      <c r="C29" s="1545"/>
      <c r="D29" s="1542" t="s">
        <v>179</v>
      </c>
      <c r="E29" s="627">
        <f>VLOOKUP(A25,UHT_PJOK,42,FALSE)</f>
        <v>0</v>
      </c>
      <c r="F29" s="1905">
        <f t="shared" si="24"/>
        <v>0</v>
      </c>
      <c r="G29" s="1152"/>
      <c r="H29" s="627">
        <f>VLOOKUP(B25,REKAP_NILAI,33,FALSE)</f>
        <v>0</v>
      </c>
      <c r="I29" s="709">
        <f t="shared" si="25"/>
        <v>0</v>
      </c>
      <c r="J29" s="710">
        <f t="shared" si="26"/>
        <v>0</v>
      </c>
      <c r="K29" s="711" t="str">
        <f t="shared" si="27"/>
        <v>1.33</v>
      </c>
      <c r="L29" s="711" t="str">
        <f t="shared" si="28"/>
        <v>D+</v>
      </c>
      <c r="M29" s="712" t="str">
        <f t="shared" si="29"/>
        <v>0</v>
      </c>
      <c r="N29" s="1549"/>
      <c r="O29" s="1550"/>
      <c r="P29" s="1550"/>
      <c r="Q29" s="1550"/>
      <c r="R29" s="1550"/>
      <c r="S29" s="1551"/>
      <c r="T29" s="1469"/>
      <c r="U29" s="1469"/>
      <c r="V29" s="1469"/>
      <c r="W29" s="1470"/>
      <c r="X29" s="1533"/>
      <c r="Y29" s="1534"/>
    </row>
    <row r="30" spans="1:25" ht="23.1" customHeight="1" x14ac:dyDescent="0.25">
      <c r="A30" s="1154"/>
      <c r="B30" s="1552"/>
      <c r="C30" s="1553" t="s">
        <v>149</v>
      </c>
      <c r="D30" s="1562">
        <v>4</v>
      </c>
      <c r="E30" s="697"/>
      <c r="F30" s="1906"/>
      <c r="G30" s="697"/>
      <c r="H30" s="1189">
        <f>AVERAGE(H25:H29)</f>
        <v>0</v>
      </c>
      <c r="I30" s="705"/>
      <c r="J30" s="713">
        <f>AVERAGE(J25:J29)</f>
        <v>0</v>
      </c>
      <c r="K30" s="714" t="str">
        <f t="shared" ref="K30" si="30">IF(J30&gt;85,("4"),IF(J30&gt;80,("3.66"),IF(J30&gt;75,("3.33"),IF(J30&gt;70,("3.00"),IF(J30&gt;65,("2.66"),IF(J30&gt;60,("2.33"),IF(J30&gt;55,("2"),IF(J30&gt;50,("1.66"),"1.33"))))))))</f>
        <v>1.33</v>
      </c>
      <c r="L30" s="714" t="str">
        <f t="shared" ref="L30" si="31">IF(J30&gt;85,("A"),IF(J30&gt;80,("A-"),IF(J30&gt;75,("B+"),IF(J30&gt;70,("B"),IF(J30&gt;65,("B-"),IF(J30&gt;60,("C+"),IF(J30&gt;55,("C"),IF(J30&gt;50,("C-"),"D+"))))))))</f>
        <v>D+</v>
      </c>
      <c r="M30" s="888" t="str">
        <f t="shared" ref="M30" si="32">IF(J30&gt;80,("SB"),IF(J30&gt;65,("B"),IF(J30&gt;50,("C"),IF(J30&gt;0,("K"),"0"))))</f>
        <v>0</v>
      </c>
      <c r="N30" s="1556"/>
      <c r="O30" s="1557"/>
      <c r="P30" s="1557"/>
      <c r="Q30" s="1557"/>
      <c r="R30" s="1557"/>
      <c r="S30" s="1557"/>
      <c r="T30" s="1557"/>
      <c r="U30" s="1557"/>
      <c r="V30" s="1557"/>
      <c r="W30" s="1558"/>
      <c r="X30" s="1257"/>
      <c r="Y30" s="1258"/>
    </row>
    <row r="31" spans="1:25" ht="23.1" customHeight="1" thickBot="1" x14ac:dyDescent="0.3">
      <c r="A31" s="1478">
        <v>5</v>
      </c>
      <c r="B31" s="683">
        <v>5</v>
      </c>
      <c r="C31" s="1541" t="str">
        <f>VLOOKUP(A31,data_siswa,4,FALSE)</f>
        <v>Arya Pratama G</v>
      </c>
      <c r="D31" s="1542" t="s">
        <v>7</v>
      </c>
      <c r="E31" s="627">
        <f>VLOOKUP(A31,UHT_PJOK,38,FALSE)</f>
        <v>0</v>
      </c>
      <c r="F31" s="1904">
        <f>E31*2</f>
        <v>0</v>
      </c>
      <c r="G31" s="627"/>
      <c r="H31" s="627">
        <f>VLOOKUP(B31,REKAP_NILAI,29,FALSE)</f>
        <v>0</v>
      </c>
      <c r="I31" s="706">
        <f>F31+G31+H31</f>
        <v>0</v>
      </c>
      <c r="J31" s="707">
        <f>(F31+G31+H31)/4</f>
        <v>0</v>
      </c>
      <c r="K31" s="708" t="str">
        <f>IF(J31&gt;85,("4"),IF(J31&gt;80,("3.66"),IF(J31&gt;75,("3.33"),IF(J31&gt;70,("3.00"),IF(J31&gt;65,("2.66"),IF(J31&gt;60,("2.33"),IF(J31&gt;55,("2"),IF(J31&gt;50,("1.66"),"1.33"))))))))</f>
        <v>1.33</v>
      </c>
      <c r="L31" s="708" t="str">
        <f>IF(J31&gt;85,("A"),IF(J31&gt;80,("A-"),IF(J31&gt;75,("B+"),IF(J31&gt;70,("B"),IF(J31&gt;65,("B-"),IF(J31&gt;60,("C+"),IF(J31&gt;55,("C"),IF(J31&gt;50,("C-"),"D+"))))))))</f>
        <v>D+</v>
      </c>
      <c r="M31" s="887" t="str">
        <f>IF(J31&gt;80,("SB"),IF(J31&gt;65,("B"),IF(J31&gt;50,("C"),IF(J31&gt;0,("K"),"0"))))</f>
        <v>0</v>
      </c>
      <c r="N31" s="1471"/>
      <c r="O31" s="1471"/>
      <c r="P31" s="1471"/>
      <c r="Q31" s="1471"/>
      <c r="R31" s="1471"/>
      <c r="S31" s="1472"/>
      <c r="T31" s="1473"/>
      <c r="U31" s="1473"/>
      <c r="V31" s="1473"/>
      <c r="W31" s="1473"/>
      <c r="X31" s="704">
        <f>AVERAGE(J31:J35)</f>
        <v>0</v>
      </c>
      <c r="Y31" s="1481" t="str">
        <f>IF(X31&gt;85,("A"),IF(X31&gt;80,("A-"),IF(X31&gt;75,("B+"),IF(X31&gt;70,("B"),IF(X31&gt;65,("B-"),IF(X31&gt;60,("C+"),IF(X31&gt;55,("C"),IF(X31&gt;50,("C-"),"D+"))))))))</f>
        <v>D+</v>
      </c>
    </row>
    <row r="32" spans="1:25" ht="23.1" customHeight="1" x14ac:dyDescent="0.25">
      <c r="A32" s="1478"/>
      <c r="B32" s="1352">
        <v>5</v>
      </c>
      <c r="C32" s="1545"/>
      <c r="D32" s="1542" t="s">
        <v>10</v>
      </c>
      <c r="E32" s="627">
        <f>VLOOKUP(A31,UHT_PJOK,39,FALSE)</f>
        <v>0</v>
      </c>
      <c r="F32" s="1905">
        <f t="shared" ref="F32:F35" si="33">E32*2</f>
        <v>0</v>
      </c>
      <c r="G32" s="1152"/>
      <c r="H32" s="627">
        <f>VLOOKUP(B31,REKAP_NILAI,30,FALSE)</f>
        <v>0</v>
      </c>
      <c r="I32" s="709">
        <f t="shared" ref="I32:I35" si="34">F32+G32+H32</f>
        <v>0</v>
      </c>
      <c r="J32" s="710">
        <f t="shared" ref="J32:J35" si="35">(F32+G32+H32)/4</f>
        <v>0</v>
      </c>
      <c r="K32" s="711" t="str">
        <f t="shared" ref="K32:K35" si="36">IF(J32&gt;85,("4"),IF(J32&gt;80,("3.66"),IF(J32&gt;75,("3.33"),IF(J32&gt;70,("3.00"),IF(J32&gt;65,("2.66"),IF(J32&gt;60,("2.33"),IF(J32&gt;55,("2"),IF(J32&gt;50,("1.66"),"1.33"))))))))</f>
        <v>1.33</v>
      </c>
      <c r="L32" s="711" t="str">
        <f t="shared" ref="L32:L35" si="37">IF(J32&gt;85,("A"),IF(J32&gt;80,("A-"),IF(J32&gt;75,("B+"),IF(J32&gt;70,("B"),IF(J32&gt;65,("B-"),IF(J32&gt;60,("C+"),IF(J32&gt;55,("C"),IF(J32&gt;50,("C-"),"D+"))))))))</f>
        <v>D+</v>
      </c>
      <c r="M32" s="712" t="str">
        <f t="shared" ref="M32:M35" si="38">IF(J32&gt;80,("SB"),IF(J32&gt;65,("B"),IF(J32&gt;50,("C"),IF(J32&gt;0,("K"),"0"))))</f>
        <v>0</v>
      </c>
      <c r="N32" s="1546"/>
      <c r="O32" s="1547"/>
      <c r="P32" s="1547"/>
      <c r="Q32" s="1547"/>
      <c r="R32" s="1547"/>
      <c r="S32" s="1548"/>
      <c r="T32" s="1465"/>
      <c r="U32" s="1465"/>
      <c r="V32" s="1465"/>
      <c r="W32" s="1466"/>
      <c r="X32" s="1529"/>
      <c r="Y32" s="1530"/>
    </row>
    <row r="33" spans="1:25" ht="23.1" customHeight="1" x14ac:dyDescent="0.25">
      <c r="A33" s="1478"/>
      <c r="B33" s="1352">
        <v>5</v>
      </c>
      <c r="C33" s="1545"/>
      <c r="D33" s="1542" t="s">
        <v>8</v>
      </c>
      <c r="E33" s="627">
        <f>VLOOKUP(A31,UHT_PJOK,40,FALSE)</f>
        <v>0</v>
      </c>
      <c r="F33" s="1905">
        <f t="shared" si="33"/>
        <v>0</v>
      </c>
      <c r="G33" s="1152"/>
      <c r="H33" s="627">
        <f>VLOOKUP(B31,REKAP_NILAI,31,FALSE)</f>
        <v>0</v>
      </c>
      <c r="I33" s="709">
        <f t="shared" si="34"/>
        <v>0</v>
      </c>
      <c r="J33" s="710">
        <f t="shared" si="35"/>
        <v>0</v>
      </c>
      <c r="K33" s="711" t="str">
        <f t="shared" si="36"/>
        <v>1.33</v>
      </c>
      <c r="L33" s="711" t="str">
        <f t="shared" si="37"/>
        <v>D+</v>
      </c>
      <c r="M33" s="712" t="str">
        <f t="shared" si="38"/>
        <v>0</v>
      </c>
      <c r="N33" s="1549"/>
      <c r="O33" s="1550"/>
      <c r="P33" s="1550"/>
      <c r="Q33" s="1550"/>
      <c r="R33" s="1550"/>
      <c r="S33" s="1551"/>
      <c r="T33" s="1469"/>
      <c r="U33" s="1469"/>
      <c r="V33" s="1469"/>
      <c r="W33" s="1470"/>
      <c r="X33" s="1531"/>
      <c r="Y33" s="1532"/>
    </row>
    <row r="34" spans="1:25" ht="23.1" customHeight="1" x14ac:dyDescent="0.25">
      <c r="A34" s="1478"/>
      <c r="B34" s="1352">
        <v>5</v>
      </c>
      <c r="C34" s="1545"/>
      <c r="D34" s="1542" t="s">
        <v>18</v>
      </c>
      <c r="E34" s="627">
        <f>VLOOKUP(A31,UHT_PJOK,41,FALSE)</f>
        <v>0</v>
      </c>
      <c r="F34" s="1905">
        <f t="shared" si="33"/>
        <v>0</v>
      </c>
      <c r="G34" s="627"/>
      <c r="H34" s="627">
        <f>VLOOKUP(B31,REKAP_NILAI,29,FALSE)</f>
        <v>0</v>
      </c>
      <c r="I34" s="709">
        <f t="shared" si="34"/>
        <v>0</v>
      </c>
      <c r="J34" s="710">
        <f t="shared" si="35"/>
        <v>0</v>
      </c>
      <c r="K34" s="711" t="str">
        <f t="shared" si="36"/>
        <v>1.33</v>
      </c>
      <c r="L34" s="711" t="str">
        <f t="shared" si="37"/>
        <v>D+</v>
      </c>
      <c r="M34" s="712" t="str">
        <f t="shared" si="38"/>
        <v>0</v>
      </c>
      <c r="N34" s="1549"/>
      <c r="O34" s="1550"/>
      <c r="P34" s="1550"/>
      <c r="Q34" s="1550"/>
      <c r="R34" s="1550"/>
      <c r="S34" s="1551"/>
      <c r="T34" s="1469"/>
      <c r="U34" s="1469"/>
      <c r="V34" s="1469"/>
      <c r="W34" s="1470"/>
      <c r="X34" s="1531"/>
      <c r="Y34" s="1532"/>
    </row>
    <row r="35" spans="1:25" ht="23.1" customHeight="1" x14ac:dyDescent="0.25">
      <c r="A35" s="1478"/>
      <c r="B35" s="1352">
        <v>5</v>
      </c>
      <c r="C35" s="1545"/>
      <c r="D35" s="1542" t="s">
        <v>179</v>
      </c>
      <c r="E35" s="627">
        <f>VLOOKUP(A31,UHT_PJOK,42,FALSE)</f>
        <v>0</v>
      </c>
      <c r="F35" s="1905">
        <f t="shared" si="33"/>
        <v>0</v>
      </c>
      <c r="G35" s="1152"/>
      <c r="H35" s="627">
        <f>VLOOKUP(B31,REKAP_NILAI,33,FALSE)</f>
        <v>0</v>
      </c>
      <c r="I35" s="709">
        <f t="shared" si="34"/>
        <v>0</v>
      </c>
      <c r="J35" s="710">
        <f t="shared" si="35"/>
        <v>0</v>
      </c>
      <c r="K35" s="711" t="str">
        <f t="shared" si="36"/>
        <v>1.33</v>
      </c>
      <c r="L35" s="711" t="str">
        <f t="shared" si="37"/>
        <v>D+</v>
      </c>
      <c r="M35" s="712" t="str">
        <f t="shared" si="38"/>
        <v>0</v>
      </c>
      <c r="N35" s="1549"/>
      <c r="O35" s="1550"/>
      <c r="P35" s="1550"/>
      <c r="Q35" s="1550"/>
      <c r="R35" s="1550"/>
      <c r="S35" s="1551"/>
      <c r="T35" s="1469"/>
      <c r="U35" s="1469"/>
      <c r="V35" s="1469"/>
      <c r="W35" s="1470"/>
      <c r="X35" s="1533"/>
      <c r="Y35" s="1534"/>
    </row>
    <row r="36" spans="1:25" ht="23.1" customHeight="1" x14ac:dyDescent="0.25">
      <c r="A36" s="1154"/>
      <c r="B36" s="1552"/>
      <c r="C36" s="1553" t="s">
        <v>149</v>
      </c>
      <c r="D36" s="1562">
        <v>5</v>
      </c>
      <c r="E36" s="697"/>
      <c r="F36" s="1906"/>
      <c r="G36" s="697"/>
      <c r="H36" s="1189">
        <f>AVERAGE(H31:H35)</f>
        <v>0</v>
      </c>
      <c r="I36" s="705"/>
      <c r="J36" s="713">
        <f>AVERAGE(J31:J35)</f>
        <v>0</v>
      </c>
      <c r="K36" s="714" t="str">
        <f t="shared" ref="K36" si="39">IF(J36&gt;85,("4"),IF(J36&gt;80,("3.66"),IF(J36&gt;75,("3.33"),IF(J36&gt;70,("3.00"),IF(J36&gt;65,("2.66"),IF(J36&gt;60,("2.33"),IF(J36&gt;55,("2"),IF(J36&gt;50,("1.66"),"1.33"))))))))</f>
        <v>1.33</v>
      </c>
      <c r="L36" s="714" t="str">
        <f t="shared" ref="L36" si="40">IF(J36&gt;85,("A"),IF(J36&gt;80,("A-"),IF(J36&gt;75,("B+"),IF(J36&gt;70,("B"),IF(J36&gt;65,("B-"),IF(J36&gt;60,("C+"),IF(J36&gt;55,("C"),IF(J36&gt;50,("C-"),"D+"))))))))</f>
        <v>D+</v>
      </c>
      <c r="M36" s="888" t="str">
        <f t="shared" ref="M36" si="41">IF(J36&gt;80,("SB"),IF(J36&gt;65,("B"),IF(J36&gt;50,("C"),IF(J36&gt;0,("K"),"0"))))</f>
        <v>0</v>
      </c>
      <c r="N36" s="1556"/>
      <c r="O36" s="1557"/>
      <c r="P36" s="1557"/>
      <c r="Q36" s="1557"/>
      <c r="R36" s="1557"/>
      <c r="S36" s="1557"/>
      <c r="T36" s="1557"/>
      <c r="U36" s="1557"/>
      <c r="V36" s="1557"/>
      <c r="W36" s="1558"/>
      <c r="X36" s="1257"/>
      <c r="Y36" s="1258"/>
    </row>
    <row r="37" spans="1:25" ht="23.1" customHeight="1" thickBot="1" x14ac:dyDescent="0.3">
      <c r="A37" s="1477">
        <v>6</v>
      </c>
      <c r="B37" s="683">
        <v>6</v>
      </c>
      <c r="C37" s="1563" t="str">
        <f>VLOOKUP(A37,data_siswa,4,FALSE)</f>
        <v>Asyam Hanif Ihsan H</v>
      </c>
      <c r="D37" s="1542" t="s">
        <v>7</v>
      </c>
      <c r="E37" s="627">
        <f>VLOOKUP(A37,UHT_PJOK,38,FALSE)</f>
        <v>0</v>
      </c>
      <c r="F37" s="1904">
        <f>E37*2</f>
        <v>0</v>
      </c>
      <c r="G37" s="627"/>
      <c r="H37" s="627">
        <f>VLOOKUP(B37,REKAP_NILAI,29,FALSE)</f>
        <v>0</v>
      </c>
      <c r="I37" s="706">
        <f>F37+G37+H37</f>
        <v>0</v>
      </c>
      <c r="J37" s="707">
        <f>(F37+G37+H37)/4</f>
        <v>0</v>
      </c>
      <c r="K37" s="708" t="str">
        <f>IF(J37&gt;85,("4"),IF(J37&gt;80,("3.66"),IF(J37&gt;75,("3.33"),IF(J37&gt;70,("3.00"),IF(J37&gt;65,("2.66"),IF(J37&gt;60,("2.33"),IF(J37&gt;55,("2"),IF(J37&gt;50,("1.66"),"1.33"))))))))</f>
        <v>1.33</v>
      </c>
      <c r="L37" s="708" t="str">
        <f>IF(J37&gt;85,("A"),IF(J37&gt;80,("A-"),IF(J37&gt;75,("B+"),IF(J37&gt;70,("B"),IF(J37&gt;65,("B-"),IF(J37&gt;60,("C+"),IF(J37&gt;55,("C"),IF(J37&gt;50,("C-"),"D+"))))))))</f>
        <v>D+</v>
      </c>
      <c r="M37" s="887" t="str">
        <f>IF(J37&gt;80,("SB"),IF(J37&gt;65,("B"),IF(J37&gt;50,("C"),IF(J37&gt;0,("K"),"0"))))</f>
        <v>0</v>
      </c>
      <c r="N37" s="1474"/>
      <c r="O37" s="1474"/>
      <c r="P37" s="1474"/>
      <c r="Q37" s="1474"/>
      <c r="R37" s="1474"/>
      <c r="S37" s="1475"/>
      <c r="T37" s="1476"/>
      <c r="U37" s="1476"/>
      <c r="V37" s="1476"/>
      <c r="W37" s="1476"/>
      <c r="X37" s="704">
        <f>AVERAGE(J37:J41)</f>
        <v>0</v>
      </c>
      <c r="Y37" s="1481" t="str">
        <f>IF(X37&gt;85,("A"),IF(X37&gt;80,("A-"),IF(X37&gt;75,("B+"),IF(X37&gt;70,("B"),IF(X37&gt;65,("B-"),IF(X37&gt;60,("C+"),IF(X37&gt;55,("C"),IF(X37&gt;50,("C-"),"D+"))))))))</f>
        <v>D+</v>
      </c>
    </row>
    <row r="38" spans="1:25" ht="23.1" customHeight="1" x14ac:dyDescent="0.25">
      <c r="A38" s="1478"/>
      <c r="B38" s="1352">
        <v>6</v>
      </c>
      <c r="C38" s="1545"/>
      <c r="D38" s="1542" t="s">
        <v>10</v>
      </c>
      <c r="E38" s="627">
        <f>VLOOKUP(A37,UHT_PJOK,39,FALSE)</f>
        <v>0</v>
      </c>
      <c r="F38" s="1905">
        <f t="shared" ref="F38:F41" si="42">E38*2</f>
        <v>0</v>
      </c>
      <c r="G38" s="1152"/>
      <c r="H38" s="627">
        <f>VLOOKUP(B37,REKAP_NILAI,30,FALSE)</f>
        <v>0</v>
      </c>
      <c r="I38" s="709">
        <f t="shared" ref="I38:I41" si="43">F38+G38+H38</f>
        <v>0</v>
      </c>
      <c r="J38" s="710">
        <f t="shared" ref="J38:J41" si="44">(F38+G38+H38)/4</f>
        <v>0</v>
      </c>
      <c r="K38" s="711" t="str">
        <f t="shared" ref="K38:K41" si="45">IF(J38&gt;85,("4"),IF(J38&gt;80,("3.66"),IF(J38&gt;75,("3.33"),IF(J38&gt;70,("3.00"),IF(J38&gt;65,("2.66"),IF(J38&gt;60,("2.33"),IF(J38&gt;55,("2"),IF(J38&gt;50,("1.66"),"1.33"))))))))</f>
        <v>1.33</v>
      </c>
      <c r="L38" s="711" t="str">
        <f t="shared" ref="L38:L41" si="46">IF(J38&gt;85,("A"),IF(J38&gt;80,("A-"),IF(J38&gt;75,("B+"),IF(J38&gt;70,("B"),IF(J38&gt;65,("B-"),IF(J38&gt;60,("C+"),IF(J38&gt;55,("C"),IF(J38&gt;50,("C-"),"D+"))))))))</f>
        <v>D+</v>
      </c>
      <c r="M38" s="712" t="str">
        <f t="shared" ref="M38:M41" si="47">IF(J38&gt;80,("SB"),IF(J38&gt;65,("B"),IF(J38&gt;50,("C"),IF(J38&gt;0,("K"),"0"))))</f>
        <v>0</v>
      </c>
      <c r="N38" s="1546"/>
      <c r="O38" s="1547"/>
      <c r="P38" s="1547"/>
      <c r="Q38" s="1547"/>
      <c r="R38" s="1547"/>
      <c r="S38" s="1548"/>
      <c r="T38" s="1465"/>
      <c r="U38" s="1465"/>
      <c r="V38" s="1465"/>
      <c r="W38" s="1466"/>
      <c r="X38" s="1529"/>
      <c r="Y38" s="1530"/>
    </row>
    <row r="39" spans="1:25" ht="23.1" customHeight="1" x14ac:dyDescent="0.25">
      <c r="A39" s="1478"/>
      <c r="B39" s="1352">
        <v>6</v>
      </c>
      <c r="C39" s="1545"/>
      <c r="D39" s="1542" t="s">
        <v>8</v>
      </c>
      <c r="E39" s="627">
        <f>VLOOKUP(A37,UHT_PJOK,40,FALSE)</f>
        <v>0</v>
      </c>
      <c r="F39" s="1905">
        <f t="shared" si="42"/>
        <v>0</v>
      </c>
      <c r="G39" s="1152"/>
      <c r="H39" s="627">
        <f>VLOOKUP(B37,REKAP_NILAI,31,FALSE)</f>
        <v>0</v>
      </c>
      <c r="I39" s="709">
        <f t="shared" si="43"/>
        <v>0</v>
      </c>
      <c r="J39" s="710">
        <f t="shared" si="44"/>
        <v>0</v>
      </c>
      <c r="K39" s="711" t="str">
        <f t="shared" si="45"/>
        <v>1.33</v>
      </c>
      <c r="L39" s="711" t="str">
        <f t="shared" si="46"/>
        <v>D+</v>
      </c>
      <c r="M39" s="712" t="str">
        <f t="shared" si="47"/>
        <v>0</v>
      </c>
      <c r="N39" s="1549"/>
      <c r="O39" s="1550"/>
      <c r="P39" s="1550"/>
      <c r="Q39" s="1550"/>
      <c r="R39" s="1550"/>
      <c r="S39" s="1551"/>
      <c r="T39" s="1469"/>
      <c r="U39" s="1469"/>
      <c r="V39" s="1469"/>
      <c r="W39" s="1470"/>
      <c r="X39" s="1531"/>
      <c r="Y39" s="1532"/>
    </row>
    <row r="40" spans="1:25" ht="23.1" customHeight="1" x14ac:dyDescent="0.25">
      <c r="A40" s="1478"/>
      <c r="B40" s="1352">
        <v>6</v>
      </c>
      <c r="C40" s="1545"/>
      <c r="D40" s="1542" t="s">
        <v>18</v>
      </c>
      <c r="E40" s="627">
        <f>VLOOKUP(A37,UHT_PJOK,41,FALSE)</f>
        <v>0</v>
      </c>
      <c r="F40" s="1905">
        <f t="shared" si="42"/>
        <v>0</v>
      </c>
      <c r="G40" s="627"/>
      <c r="H40" s="627">
        <f>VLOOKUP(B37,REKAP_NILAI,29,FALSE)</f>
        <v>0</v>
      </c>
      <c r="I40" s="709">
        <f t="shared" si="43"/>
        <v>0</v>
      </c>
      <c r="J40" s="710">
        <f t="shared" si="44"/>
        <v>0</v>
      </c>
      <c r="K40" s="711" t="str">
        <f t="shared" si="45"/>
        <v>1.33</v>
      </c>
      <c r="L40" s="711" t="str">
        <f t="shared" si="46"/>
        <v>D+</v>
      </c>
      <c r="M40" s="712" t="str">
        <f t="shared" si="47"/>
        <v>0</v>
      </c>
      <c r="N40" s="1549"/>
      <c r="O40" s="1550"/>
      <c r="P40" s="1550"/>
      <c r="Q40" s="1550"/>
      <c r="R40" s="1550"/>
      <c r="S40" s="1551"/>
      <c r="T40" s="1469"/>
      <c r="U40" s="1469"/>
      <c r="V40" s="1469"/>
      <c r="W40" s="1470"/>
      <c r="X40" s="1531"/>
      <c r="Y40" s="1532"/>
    </row>
    <row r="41" spans="1:25" ht="23.1" customHeight="1" x14ac:dyDescent="0.25">
      <c r="A41" s="1478"/>
      <c r="B41" s="1352">
        <v>6</v>
      </c>
      <c r="C41" s="1545"/>
      <c r="D41" s="1542" t="s">
        <v>179</v>
      </c>
      <c r="E41" s="627">
        <f>VLOOKUP(A37,UHT_PJOK,42,FALSE)</f>
        <v>0</v>
      </c>
      <c r="F41" s="1905">
        <f t="shared" si="42"/>
        <v>0</v>
      </c>
      <c r="G41" s="1152"/>
      <c r="H41" s="627">
        <f>VLOOKUP(B37,REKAP_NILAI,33,FALSE)</f>
        <v>0</v>
      </c>
      <c r="I41" s="709">
        <f t="shared" si="43"/>
        <v>0</v>
      </c>
      <c r="J41" s="710">
        <f t="shared" si="44"/>
        <v>0</v>
      </c>
      <c r="K41" s="711" t="str">
        <f t="shared" si="45"/>
        <v>1.33</v>
      </c>
      <c r="L41" s="711" t="str">
        <f t="shared" si="46"/>
        <v>D+</v>
      </c>
      <c r="M41" s="712" t="str">
        <f t="shared" si="47"/>
        <v>0</v>
      </c>
      <c r="N41" s="1549"/>
      <c r="O41" s="1550"/>
      <c r="P41" s="1550"/>
      <c r="Q41" s="1550"/>
      <c r="R41" s="1550"/>
      <c r="S41" s="1551"/>
      <c r="T41" s="1469"/>
      <c r="U41" s="1469"/>
      <c r="V41" s="1469"/>
      <c r="W41" s="1470"/>
      <c r="X41" s="1533"/>
      <c r="Y41" s="1534"/>
    </row>
    <row r="42" spans="1:25" ht="23.1" customHeight="1" x14ac:dyDescent="0.25">
      <c r="A42" s="1154"/>
      <c r="B42" s="1552"/>
      <c r="C42" s="1553" t="s">
        <v>149</v>
      </c>
      <c r="D42" s="1562">
        <v>6</v>
      </c>
      <c r="E42" s="697"/>
      <c r="F42" s="1906"/>
      <c r="G42" s="697"/>
      <c r="H42" s="1189">
        <f>AVERAGE(H37:H41)</f>
        <v>0</v>
      </c>
      <c r="I42" s="705"/>
      <c r="J42" s="713">
        <f>AVERAGE(J37:J41)</f>
        <v>0</v>
      </c>
      <c r="K42" s="714" t="str">
        <f t="shared" ref="K42" si="48">IF(J42&gt;85,("4"),IF(J42&gt;80,("3.66"),IF(J42&gt;75,("3.33"),IF(J42&gt;70,("3.00"),IF(J42&gt;65,("2.66"),IF(J42&gt;60,("2.33"),IF(J42&gt;55,("2"),IF(J42&gt;50,("1.66"),"1.33"))))))))</f>
        <v>1.33</v>
      </c>
      <c r="L42" s="714" t="str">
        <f t="shared" ref="L42" si="49">IF(J42&gt;85,("A"),IF(J42&gt;80,("A-"),IF(J42&gt;75,("B+"),IF(J42&gt;70,("B"),IF(J42&gt;65,("B-"),IF(J42&gt;60,("C+"),IF(J42&gt;55,("C"),IF(J42&gt;50,("C-"),"D+"))))))))</f>
        <v>D+</v>
      </c>
      <c r="M42" s="888" t="str">
        <f t="shared" ref="M42" si="50">IF(J42&gt;80,("SB"),IF(J42&gt;65,("B"),IF(J42&gt;50,("C"),IF(J42&gt;0,("K"),"0"))))</f>
        <v>0</v>
      </c>
      <c r="N42" s="1556"/>
      <c r="O42" s="1557"/>
      <c r="P42" s="1557"/>
      <c r="Q42" s="1557"/>
      <c r="R42" s="1557"/>
      <c r="S42" s="1557"/>
      <c r="T42" s="1557"/>
      <c r="U42" s="1557"/>
      <c r="V42" s="1557"/>
      <c r="W42" s="1558"/>
      <c r="X42" s="1257"/>
      <c r="Y42" s="1258"/>
    </row>
    <row r="43" spans="1:25" ht="23.1" customHeight="1" thickBot="1" x14ac:dyDescent="0.3">
      <c r="A43" s="1477">
        <v>7</v>
      </c>
      <c r="B43" s="683">
        <v>7</v>
      </c>
      <c r="C43" s="1563" t="str">
        <f>VLOOKUP(A43,data_siswa,4,FALSE)</f>
        <v>Athaya Salsabilla Z</v>
      </c>
      <c r="D43" s="1542" t="s">
        <v>7</v>
      </c>
      <c r="E43" s="627">
        <f>VLOOKUP(A43,UHT_PJOK,38,FALSE)</f>
        <v>0</v>
      </c>
      <c r="F43" s="1904">
        <f>E43*2</f>
        <v>0</v>
      </c>
      <c r="G43" s="627"/>
      <c r="H43" s="627">
        <f>VLOOKUP(B43,REKAP_NILAI,29,FALSE)</f>
        <v>0</v>
      </c>
      <c r="I43" s="706">
        <f>F43+G43+H43</f>
        <v>0</v>
      </c>
      <c r="J43" s="707">
        <f>(F43+G43+H43)/4</f>
        <v>0</v>
      </c>
      <c r="K43" s="708" t="str">
        <f>IF(J43&gt;85,("4"),IF(J43&gt;80,("3.66"),IF(J43&gt;75,("3.33"),IF(J43&gt;70,("3.00"),IF(J43&gt;65,("2.66"),IF(J43&gt;60,("2.33"),IF(J43&gt;55,("2"),IF(J43&gt;50,("1.66"),"1.33"))))))))</f>
        <v>1.33</v>
      </c>
      <c r="L43" s="708" t="str">
        <f>IF(J43&gt;85,("A"),IF(J43&gt;80,("A-"),IF(J43&gt;75,("B+"),IF(J43&gt;70,("B"),IF(J43&gt;65,("B-"),IF(J43&gt;60,("C+"),IF(J43&gt;55,("C"),IF(J43&gt;50,("C-"),"D+"))))))))</f>
        <v>D+</v>
      </c>
      <c r="M43" s="887" t="str">
        <f>IF(J43&gt;80,("SB"),IF(J43&gt;65,("B"),IF(J43&gt;50,("C"),IF(J43&gt;0,("K"),"0"))))</f>
        <v>0</v>
      </c>
      <c r="N43" s="1474"/>
      <c r="O43" s="1474"/>
      <c r="P43" s="1474"/>
      <c r="Q43" s="1474"/>
      <c r="R43" s="1474"/>
      <c r="S43" s="1475"/>
      <c r="T43" s="1476"/>
      <c r="U43" s="1476"/>
      <c r="V43" s="1476"/>
      <c r="W43" s="1476"/>
      <c r="X43" s="704">
        <f>AVERAGE(J43:J47)</f>
        <v>0</v>
      </c>
      <c r="Y43" s="1481" t="str">
        <f>IF(X43&gt;85,("A"),IF(X43&gt;80,("A-"),IF(X43&gt;75,("B+"),IF(X43&gt;70,("B"),IF(X43&gt;65,("B-"),IF(X43&gt;60,("C+"),IF(X43&gt;55,("C"),IF(X43&gt;50,("C-"),"D+"))))))))</f>
        <v>D+</v>
      </c>
    </row>
    <row r="44" spans="1:25" ht="23.1" customHeight="1" x14ac:dyDescent="0.25">
      <c r="A44" s="1478"/>
      <c r="B44" s="1352">
        <v>7</v>
      </c>
      <c r="C44" s="1545"/>
      <c r="D44" s="1542" t="s">
        <v>10</v>
      </c>
      <c r="E44" s="627">
        <f>VLOOKUP(A43,UHT_PJOK,39,FALSE)</f>
        <v>0</v>
      </c>
      <c r="F44" s="1905">
        <f t="shared" ref="F44:F47" si="51">E44*2</f>
        <v>0</v>
      </c>
      <c r="G44" s="1152"/>
      <c r="H44" s="627">
        <f>VLOOKUP(B43,REKAP_NILAI,30,FALSE)</f>
        <v>0</v>
      </c>
      <c r="I44" s="709">
        <f t="shared" ref="I44:I47" si="52">F44+G44+H44</f>
        <v>0</v>
      </c>
      <c r="J44" s="710">
        <f t="shared" ref="J44:J47" si="53">(F44+G44+H44)/4</f>
        <v>0</v>
      </c>
      <c r="K44" s="711" t="str">
        <f t="shared" ref="K44:K48" si="54">IF(J44&gt;85,("4"),IF(J44&gt;80,("3.66"),IF(J44&gt;75,("3.33"),IF(J44&gt;70,("3.00"),IF(J44&gt;65,("2.66"),IF(J44&gt;60,("2.33"),IF(J44&gt;55,("2"),IF(J44&gt;50,("1.66"),"1.33"))))))))</f>
        <v>1.33</v>
      </c>
      <c r="L44" s="711" t="str">
        <f t="shared" ref="L44:L48" si="55">IF(J44&gt;85,("A"),IF(J44&gt;80,("A-"),IF(J44&gt;75,("B+"),IF(J44&gt;70,("B"),IF(J44&gt;65,("B-"),IF(J44&gt;60,("C+"),IF(J44&gt;55,("C"),IF(J44&gt;50,("C-"),"D+"))))))))</f>
        <v>D+</v>
      </c>
      <c r="M44" s="712" t="str">
        <f t="shared" ref="M44:M48" si="56">IF(J44&gt;80,("SB"),IF(J44&gt;65,("B"),IF(J44&gt;50,("C"),IF(J44&gt;0,("K"),"0"))))</f>
        <v>0</v>
      </c>
      <c r="N44" s="1546"/>
      <c r="O44" s="1547"/>
      <c r="P44" s="1547"/>
      <c r="Q44" s="1547"/>
      <c r="R44" s="1547"/>
      <c r="S44" s="1548"/>
      <c r="T44" s="1465"/>
      <c r="U44" s="1465"/>
      <c r="V44" s="1465"/>
      <c r="W44" s="1466"/>
      <c r="X44" s="1529"/>
      <c r="Y44" s="1530"/>
    </row>
    <row r="45" spans="1:25" ht="23.1" customHeight="1" x14ac:dyDescent="0.25">
      <c r="A45" s="1478"/>
      <c r="B45" s="1352">
        <v>7</v>
      </c>
      <c r="C45" s="1545"/>
      <c r="D45" s="1542" t="s">
        <v>8</v>
      </c>
      <c r="E45" s="627">
        <f>VLOOKUP(A43,UHT_PJOK,40,FALSE)</f>
        <v>0</v>
      </c>
      <c r="F45" s="1905">
        <f t="shared" si="51"/>
        <v>0</v>
      </c>
      <c r="G45" s="1152"/>
      <c r="H45" s="627">
        <f>VLOOKUP(B43,REKAP_NILAI,31,FALSE)</f>
        <v>0</v>
      </c>
      <c r="I45" s="709">
        <f t="shared" si="52"/>
        <v>0</v>
      </c>
      <c r="J45" s="710">
        <f t="shared" si="53"/>
        <v>0</v>
      </c>
      <c r="K45" s="711" t="str">
        <f t="shared" si="54"/>
        <v>1.33</v>
      </c>
      <c r="L45" s="711" t="str">
        <f t="shared" si="55"/>
        <v>D+</v>
      </c>
      <c r="M45" s="712" t="str">
        <f t="shared" si="56"/>
        <v>0</v>
      </c>
      <c r="N45" s="1549"/>
      <c r="O45" s="1550"/>
      <c r="P45" s="1550"/>
      <c r="Q45" s="1550"/>
      <c r="R45" s="1550"/>
      <c r="S45" s="1551"/>
      <c r="T45" s="1469"/>
      <c r="U45" s="1469"/>
      <c r="V45" s="1469"/>
      <c r="W45" s="1470"/>
      <c r="X45" s="1531"/>
      <c r="Y45" s="1532"/>
    </row>
    <row r="46" spans="1:25" ht="23.1" customHeight="1" x14ac:dyDescent="0.25">
      <c r="A46" s="1478"/>
      <c r="B46" s="1352">
        <v>7</v>
      </c>
      <c r="C46" s="1545"/>
      <c r="D46" s="1542" t="s">
        <v>18</v>
      </c>
      <c r="E46" s="627">
        <f>VLOOKUP(A43,UHT_PJOK,41,FALSE)</f>
        <v>0</v>
      </c>
      <c r="F46" s="1905">
        <f t="shared" si="51"/>
        <v>0</v>
      </c>
      <c r="G46" s="627"/>
      <c r="H46" s="627">
        <f>VLOOKUP(B43,REKAP_NILAI,29,FALSE)</f>
        <v>0</v>
      </c>
      <c r="I46" s="709">
        <f t="shared" si="52"/>
        <v>0</v>
      </c>
      <c r="J46" s="710">
        <f t="shared" si="53"/>
        <v>0</v>
      </c>
      <c r="K46" s="711" t="str">
        <f t="shared" si="54"/>
        <v>1.33</v>
      </c>
      <c r="L46" s="711" t="str">
        <f t="shared" si="55"/>
        <v>D+</v>
      </c>
      <c r="M46" s="712" t="str">
        <f t="shared" si="56"/>
        <v>0</v>
      </c>
      <c r="N46" s="1549"/>
      <c r="O46" s="1550"/>
      <c r="P46" s="1550"/>
      <c r="Q46" s="1550"/>
      <c r="R46" s="1550"/>
      <c r="S46" s="1551"/>
      <c r="T46" s="1469"/>
      <c r="U46" s="1469"/>
      <c r="V46" s="1469"/>
      <c r="W46" s="1470"/>
      <c r="X46" s="1531"/>
      <c r="Y46" s="1532"/>
    </row>
    <row r="47" spans="1:25" ht="23.1" customHeight="1" x14ac:dyDescent="0.25">
      <c r="A47" s="1478"/>
      <c r="B47" s="1352">
        <v>7</v>
      </c>
      <c r="C47" s="1545"/>
      <c r="D47" s="1542" t="s">
        <v>179</v>
      </c>
      <c r="E47" s="627">
        <f>VLOOKUP(A43,UHT_PJOK,42,FALSE)</f>
        <v>0</v>
      </c>
      <c r="F47" s="1905">
        <f t="shared" si="51"/>
        <v>0</v>
      </c>
      <c r="G47" s="1152"/>
      <c r="H47" s="627">
        <f>VLOOKUP(B43,REKAP_NILAI,33,FALSE)</f>
        <v>0</v>
      </c>
      <c r="I47" s="709">
        <f t="shared" si="52"/>
        <v>0</v>
      </c>
      <c r="J47" s="710">
        <f t="shared" si="53"/>
        <v>0</v>
      </c>
      <c r="K47" s="711" t="str">
        <f t="shared" si="54"/>
        <v>1.33</v>
      </c>
      <c r="L47" s="711" t="str">
        <f t="shared" si="55"/>
        <v>D+</v>
      </c>
      <c r="M47" s="712" t="str">
        <f t="shared" si="56"/>
        <v>0</v>
      </c>
      <c r="N47" s="1549"/>
      <c r="O47" s="1550"/>
      <c r="P47" s="1550"/>
      <c r="Q47" s="1550"/>
      <c r="R47" s="1550"/>
      <c r="S47" s="1551"/>
      <c r="T47" s="1469"/>
      <c r="U47" s="1469"/>
      <c r="V47" s="1469"/>
      <c r="W47" s="1470"/>
      <c r="X47" s="1533"/>
      <c r="Y47" s="1534"/>
    </row>
    <row r="48" spans="1:25" ht="23.1" customHeight="1" x14ac:dyDescent="0.25">
      <c r="A48" s="1154"/>
      <c r="B48" s="1552"/>
      <c r="C48" s="1553" t="s">
        <v>149</v>
      </c>
      <c r="D48" s="1562">
        <v>7</v>
      </c>
      <c r="E48" s="1154"/>
      <c r="F48" s="1155"/>
      <c r="G48" s="1162"/>
      <c r="H48" s="1555">
        <f>AVERAGE(H43:H47)</f>
        <v>0</v>
      </c>
      <c r="I48" s="705"/>
      <c r="J48" s="713">
        <f>AVERAGE(J43:J47)</f>
        <v>0</v>
      </c>
      <c r="K48" s="714" t="str">
        <f t="shared" si="54"/>
        <v>1.33</v>
      </c>
      <c r="L48" s="714" t="str">
        <f t="shared" si="55"/>
        <v>D+</v>
      </c>
      <c r="M48" s="888" t="str">
        <f t="shared" si="56"/>
        <v>0</v>
      </c>
      <c r="N48" s="1556"/>
      <c r="O48" s="1557"/>
      <c r="P48" s="1557"/>
      <c r="Q48" s="1557"/>
      <c r="R48" s="1557"/>
      <c r="S48" s="1557"/>
      <c r="T48" s="1557"/>
      <c r="U48" s="1557"/>
      <c r="V48" s="1557"/>
      <c r="W48" s="1558"/>
      <c r="X48" s="1257"/>
      <c r="Y48" s="1258"/>
    </row>
    <row r="49" spans="1:25" ht="23.1" customHeight="1" thickBot="1" x14ac:dyDescent="0.3">
      <c r="A49" s="1477">
        <v>8</v>
      </c>
      <c r="B49" s="683">
        <v>8</v>
      </c>
      <c r="C49" s="1563" t="str">
        <f>VLOOKUP(A49,data_siswa,4,FALSE)</f>
        <v>Aulia Dea Rosalinda</v>
      </c>
      <c r="D49" s="1542" t="s">
        <v>7</v>
      </c>
      <c r="E49" s="627">
        <f>VLOOKUP(A49,UHT_PJOK,38,FALSE)</f>
        <v>0</v>
      </c>
      <c r="F49" s="1904">
        <f>E49*2</f>
        <v>0</v>
      </c>
      <c r="G49" s="627"/>
      <c r="H49" s="627">
        <f>VLOOKUP(B49,REKAP_NILAI,29,FALSE)</f>
        <v>0</v>
      </c>
      <c r="I49" s="706">
        <f>F49+G49+H49</f>
        <v>0</v>
      </c>
      <c r="J49" s="707">
        <f>(F49+G49+H49)/4</f>
        <v>0</v>
      </c>
      <c r="K49" s="708" t="str">
        <f>IF(J49&gt;85,("4"),IF(J49&gt;80,("3.66"),IF(J49&gt;75,("3.33"),IF(J49&gt;70,("3.00"),IF(J49&gt;65,("2.66"),IF(J49&gt;60,("2.33"),IF(J49&gt;55,("2"),IF(J49&gt;50,("1.66"),"1.33"))))))))</f>
        <v>1.33</v>
      </c>
      <c r="L49" s="708" t="str">
        <f>IF(J49&gt;85,("A"),IF(J49&gt;80,("A-"),IF(J49&gt;75,("B+"),IF(J49&gt;70,("B"),IF(J49&gt;65,("B-"),IF(J49&gt;60,("C+"),IF(J49&gt;55,("C"),IF(J49&gt;50,("C-"),"D+"))))))))</f>
        <v>D+</v>
      </c>
      <c r="M49" s="887" t="str">
        <f>IF(J49&gt;80,("SB"),IF(J49&gt;65,("B"),IF(J49&gt;50,("C"),IF(J49&gt;0,("K"),"0"))))</f>
        <v>0</v>
      </c>
      <c r="N49" s="1474"/>
      <c r="O49" s="1474"/>
      <c r="P49" s="1474"/>
      <c r="Q49" s="1474"/>
      <c r="R49" s="1474"/>
      <c r="S49" s="1475"/>
      <c r="T49" s="1476"/>
      <c r="U49" s="1476"/>
      <c r="V49" s="1476"/>
      <c r="W49" s="1476"/>
      <c r="X49" s="704">
        <f>AVERAGE(J49:J53)</f>
        <v>0</v>
      </c>
      <c r="Y49" s="1481" t="str">
        <f>IF(X49&gt;85,("A"),IF(X49&gt;80,("A-"),IF(X49&gt;75,("B+"),IF(X49&gt;70,("B"),IF(X49&gt;65,("B-"),IF(X49&gt;60,("C+"),IF(X49&gt;55,("C"),IF(X49&gt;50,("C-"),"D+"))))))))</f>
        <v>D+</v>
      </c>
    </row>
    <row r="50" spans="1:25" ht="23.1" customHeight="1" x14ac:dyDescent="0.25">
      <c r="A50" s="1478"/>
      <c r="B50" s="1352">
        <v>8</v>
      </c>
      <c r="C50" s="1545"/>
      <c r="D50" s="1542" t="s">
        <v>10</v>
      </c>
      <c r="E50" s="627">
        <f>VLOOKUP(A49,UHT_PJOK,39,FALSE)</f>
        <v>0</v>
      </c>
      <c r="F50" s="1905">
        <f t="shared" ref="F50:F53" si="57">E50*2</f>
        <v>0</v>
      </c>
      <c r="G50" s="1152"/>
      <c r="H50" s="627">
        <f>VLOOKUP(B49,REKAP_NILAI,30,FALSE)</f>
        <v>0</v>
      </c>
      <c r="I50" s="709">
        <f t="shared" ref="I50:I53" si="58">F50+G50+H50</f>
        <v>0</v>
      </c>
      <c r="J50" s="710">
        <f t="shared" ref="J50:J53" si="59">(F50+G50+H50)/4</f>
        <v>0</v>
      </c>
      <c r="K50" s="711" t="str">
        <f t="shared" ref="K50:K54" si="60">IF(J50&gt;85,("4"),IF(J50&gt;80,("3.66"),IF(J50&gt;75,("3.33"),IF(J50&gt;70,("3.00"),IF(J50&gt;65,("2.66"),IF(J50&gt;60,("2.33"),IF(J50&gt;55,("2"),IF(J50&gt;50,("1.66"),"1.33"))))))))</f>
        <v>1.33</v>
      </c>
      <c r="L50" s="711" t="str">
        <f t="shared" ref="L50:L54" si="61">IF(J50&gt;85,("A"),IF(J50&gt;80,("A-"),IF(J50&gt;75,("B+"),IF(J50&gt;70,("B"),IF(J50&gt;65,("B-"),IF(J50&gt;60,("C+"),IF(J50&gt;55,("C"),IF(J50&gt;50,("C-"),"D+"))))))))</f>
        <v>D+</v>
      </c>
      <c r="M50" s="712" t="str">
        <f t="shared" ref="M50:M54" si="62">IF(J50&gt;80,("SB"),IF(J50&gt;65,("B"),IF(J50&gt;50,("C"),IF(J50&gt;0,("K"),"0"))))</f>
        <v>0</v>
      </c>
      <c r="N50" s="1546"/>
      <c r="O50" s="1547"/>
      <c r="P50" s="1547"/>
      <c r="Q50" s="1547"/>
      <c r="R50" s="1547"/>
      <c r="S50" s="1548"/>
      <c r="T50" s="1465"/>
      <c r="U50" s="1465"/>
      <c r="V50" s="1465"/>
      <c r="W50" s="1466"/>
      <c r="X50" s="1529"/>
      <c r="Y50" s="1530"/>
    </row>
    <row r="51" spans="1:25" ht="23.1" customHeight="1" x14ac:dyDescent="0.25">
      <c r="A51" s="1478"/>
      <c r="B51" s="1352">
        <v>8</v>
      </c>
      <c r="C51" s="1545"/>
      <c r="D51" s="1542" t="s">
        <v>8</v>
      </c>
      <c r="E51" s="627">
        <f>VLOOKUP(A49,UHT_PJOK,40,FALSE)</f>
        <v>0</v>
      </c>
      <c r="F51" s="1905">
        <f t="shared" si="57"/>
        <v>0</v>
      </c>
      <c r="G51" s="1152"/>
      <c r="H51" s="627">
        <f>VLOOKUP(B49,REKAP_NILAI,31,FALSE)</f>
        <v>0</v>
      </c>
      <c r="I51" s="709">
        <f t="shared" si="58"/>
        <v>0</v>
      </c>
      <c r="J51" s="710">
        <f t="shared" si="59"/>
        <v>0</v>
      </c>
      <c r="K51" s="711" t="str">
        <f t="shared" si="60"/>
        <v>1.33</v>
      </c>
      <c r="L51" s="711" t="str">
        <f t="shared" si="61"/>
        <v>D+</v>
      </c>
      <c r="M51" s="712" t="str">
        <f t="shared" si="62"/>
        <v>0</v>
      </c>
      <c r="N51" s="1549"/>
      <c r="O51" s="1550"/>
      <c r="P51" s="1550"/>
      <c r="Q51" s="1550"/>
      <c r="R51" s="1550"/>
      <c r="S51" s="1551"/>
      <c r="T51" s="1469"/>
      <c r="U51" s="1469"/>
      <c r="V51" s="1469"/>
      <c r="W51" s="1470"/>
      <c r="X51" s="1531"/>
      <c r="Y51" s="1532"/>
    </row>
    <row r="52" spans="1:25" ht="23.1" customHeight="1" x14ac:dyDescent="0.25">
      <c r="A52" s="1478"/>
      <c r="B52" s="1352">
        <v>8</v>
      </c>
      <c r="C52" s="1545"/>
      <c r="D52" s="1542" t="s">
        <v>18</v>
      </c>
      <c r="E52" s="627">
        <f>VLOOKUP(A49,UHT_PJOK,41,FALSE)</f>
        <v>0</v>
      </c>
      <c r="F52" s="1905">
        <f t="shared" si="57"/>
        <v>0</v>
      </c>
      <c r="G52" s="627"/>
      <c r="H52" s="627">
        <f>VLOOKUP(B49,REKAP_NILAI,29,FALSE)</f>
        <v>0</v>
      </c>
      <c r="I52" s="709">
        <f t="shared" si="58"/>
        <v>0</v>
      </c>
      <c r="J52" s="710">
        <f t="shared" si="59"/>
        <v>0</v>
      </c>
      <c r="K52" s="711" t="str">
        <f t="shared" si="60"/>
        <v>1.33</v>
      </c>
      <c r="L52" s="711" t="str">
        <f t="shared" si="61"/>
        <v>D+</v>
      </c>
      <c r="M52" s="712" t="str">
        <f t="shared" si="62"/>
        <v>0</v>
      </c>
      <c r="N52" s="1549"/>
      <c r="O52" s="1550"/>
      <c r="P52" s="1550"/>
      <c r="Q52" s="1550"/>
      <c r="R52" s="1550"/>
      <c r="S52" s="1551"/>
      <c r="T52" s="1469"/>
      <c r="U52" s="1469"/>
      <c r="V52" s="1469"/>
      <c r="W52" s="1470"/>
      <c r="X52" s="1531"/>
      <c r="Y52" s="1532"/>
    </row>
    <row r="53" spans="1:25" ht="23.1" customHeight="1" x14ac:dyDescent="0.25">
      <c r="A53" s="1478"/>
      <c r="B53" s="1352">
        <v>8</v>
      </c>
      <c r="C53" s="1545"/>
      <c r="D53" s="1542" t="s">
        <v>179</v>
      </c>
      <c r="E53" s="627">
        <f>VLOOKUP(A49,UHT_PJOK,42,FALSE)</f>
        <v>0</v>
      </c>
      <c r="F53" s="1905">
        <f t="shared" si="57"/>
        <v>0</v>
      </c>
      <c r="G53" s="1152"/>
      <c r="H53" s="627">
        <f>VLOOKUP(B49,REKAP_NILAI,33,FALSE)</f>
        <v>0</v>
      </c>
      <c r="I53" s="709">
        <f t="shared" si="58"/>
        <v>0</v>
      </c>
      <c r="J53" s="710">
        <f t="shared" si="59"/>
        <v>0</v>
      </c>
      <c r="K53" s="711" t="str">
        <f t="shared" si="60"/>
        <v>1.33</v>
      </c>
      <c r="L53" s="711" t="str">
        <f t="shared" si="61"/>
        <v>D+</v>
      </c>
      <c r="M53" s="712" t="str">
        <f t="shared" si="62"/>
        <v>0</v>
      </c>
      <c r="N53" s="1549"/>
      <c r="O53" s="1550"/>
      <c r="P53" s="1550"/>
      <c r="Q53" s="1550"/>
      <c r="R53" s="1550"/>
      <c r="S53" s="1551"/>
      <c r="T53" s="1469"/>
      <c r="U53" s="1469"/>
      <c r="V53" s="1469"/>
      <c r="W53" s="1470"/>
      <c r="X53" s="1533"/>
      <c r="Y53" s="1534"/>
    </row>
    <row r="54" spans="1:25" ht="23.1" customHeight="1" x14ac:dyDescent="0.25">
      <c r="A54" s="1154"/>
      <c r="B54" s="1552"/>
      <c r="C54" s="1553" t="s">
        <v>149</v>
      </c>
      <c r="D54" s="1562">
        <v>8</v>
      </c>
      <c r="E54" s="1154"/>
      <c r="F54" s="1155"/>
      <c r="G54" s="1162"/>
      <c r="H54" s="1555">
        <f>AVERAGE(H49:H53)</f>
        <v>0</v>
      </c>
      <c r="I54" s="705"/>
      <c r="J54" s="713">
        <f>AVERAGE(J49:J53)</f>
        <v>0</v>
      </c>
      <c r="K54" s="714" t="str">
        <f t="shared" si="60"/>
        <v>1.33</v>
      </c>
      <c r="L54" s="714" t="str">
        <f t="shared" si="61"/>
        <v>D+</v>
      </c>
      <c r="M54" s="888" t="str">
        <f t="shared" si="62"/>
        <v>0</v>
      </c>
      <c r="N54" s="1556"/>
      <c r="O54" s="1557"/>
      <c r="P54" s="1557"/>
      <c r="Q54" s="1557"/>
      <c r="R54" s="1557"/>
      <c r="S54" s="1557"/>
      <c r="T54" s="1557"/>
      <c r="U54" s="1557"/>
      <c r="V54" s="1557"/>
      <c r="W54" s="1558"/>
      <c r="X54" s="1257"/>
      <c r="Y54" s="1258"/>
    </row>
    <row r="55" spans="1:25" ht="23.1" customHeight="1" thickBot="1" x14ac:dyDescent="0.3">
      <c r="A55" s="1477">
        <v>9</v>
      </c>
      <c r="B55" s="683">
        <v>9</v>
      </c>
      <c r="C55" s="1563" t="str">
        <f>VLOOKUP(A55,data_siswa,4,FALSE)</f>
        <v>Claudia Gabriella L</v>
      </c>
      <c r="D55" s="1542" t="s">
        <v>7</v>
      </c>
      <c r="E55" s="627">
        <f>VLOOKUP(A55,UHT_PJOK,38,FALSE)</f>
        <v>0</v>
      </c>
      <c r="F55" s="1904">
        <f>E55*2</f>
        <v>0</v>
      </c>
      <c r="G55" s="627"/>
      <c r="H55" s="627">
        <f>VLOOKUP(B55,REKAP_NILAI,29,FALSE)</f>
        <v>0</v>
      </c>
      <c r="I55" s="706">
        <f>F55+G55+H55</f>
        <v>0</v>
      </c>
      <c r="J55" s="707">
        <f>(F55+G55+H55)/4</f>
        <v>0</v>
      </c>
      <c r="K55" s="708" t="str">
        <f>IF(J55&gt;85,("4"),IF(J55&gt;80,("3.66"),IF(J55&gt;75,("3.33"),IF(J55&gt;70,("3.00"),IF(J55&gt;65,("2.66"),IF(J55&gt;60,("2.33"),IF(J55&gt;55,("2"),IF(J55&gt;50,("1.66"),"1.33"))))))))</f>
        <v>1.33</v>
      </c>
      <c r="L55" s="708" t="str">
        <f>IF(J55&gt;85,("A"),IF(J55&gt;80,("A-"),IF(J55&gt;75,("B+"),IF(J55&gt;70,("B"),IF(J55&gt;65,("B-"),IF(J55&gt;60,("C+"),IF(J55&gt;55,("C"),IF(J55&gt;50,("C-"),"D+"))))))))</f>
        <v>D+</v>
      </c>
      <c r="M55" s="887" t="str">
        <f>IF(J55&gt;80,("SB"),IF(J55&gt;65,("B"),IF(J55&gt;50,("C"),IF(J55&gt;0,("K"),"0"))))</f>
        <v>0</v>
      </c>
      <c r="N55" s="1474"/>
      <c r="O55" s="1474"/>
      <c r="P55" s="1474"/>
      <c r="Q55" s="1474"/>
      <c r="R55" s="1474"/>
      <c r="S55" s="1475"/>
      <c r="T55" s="1476"/>
      <c r="U55" s="1476"/>
      <c r="V55" s="1476"/>
      <c r="W55" s="1476"/>
      <c r="X55" s="704">
        <f>AVERAGE(J55:J59)</f>
        <v>0</v>
      </c>
      <c r="Y55" s="1481" t="str">
        <f>IF(X55&gt;85,("A"),IF(X55&gt;80,("A-"),IF(X55&gt;75,("B+"),IF(X55&gt;70,("B"),IF(X55&gt;65,("B-"),IF(X55&gt;60,("C+"),IF(X55&gt;55,("C"),IF(X55&gt;50,("C-"),"D+"))))))))</f>
        <v>D+</v>
      </c>
    </row>
    <row r="56" spans="1:25" ht="23.1" customHeight="1" x14ac:dyDescent="0.25">
      <c r="A56" s="1478"/>
      <c r="B56" s="1352">
        <v>9</v>
      </c>
      <c r="C56" s="1545"/>
      <c r="D56" s="1542" t="s">
        <v>10</v>
      </c>
      <c r="E56" s="627">
        <f>VLOOKUP(A55,UHT_PJOK,39,FALSE)</f>
        <v>0</v>
      </c>
      <c r="F56" s="1905">
        <f t="shared" ref="F56:F59" si="63">E56*2</f>
        <v>0</v>
      </c>
      <c r="G56" s="1152"/>
      <c r="H56" s="627">
        <f>VLOOKUP(B55,REKAP_NILAI,30,FALSE)</f>
        <v>0</v>
      </c>
      <c r="I56" s="709">
        <f t="shared" ref="I56:I59" si="64">F56+G56+H56</f>
        <v>0</v>
      </c>
      <c r="J56" s="710">
        <f t="shared" ref="J56:J59" si="65">(F56+G56+H56)/4</f>
        <v>0</v>
      </c>
      <c r="K56" s="711" t="str">
        <f t="shared" ref="K56:K60" si="66">IF(J56&gt;85,("4"),IF(J56&gt;80,("3.66"),IF(J56&gt;75,("3.33"),IF(J56&gt;70,("3.00"),IF(J56&gt;65,("2.66"),IF(J56&gt;60,("2.33"),IF(J56&gt;55,("2"),IF(J56&gt;50,("1.66"),"1.33"))))))))</f>
        <v>1.33</v>
      </c>
      <c r="L56" s="711" t="str">
        <f t="shared" ref="L56:L60" si="67">IF(J56&gt;85,("A"),IF(J56&gt;80,("A-"),IF(J56&gt;75,("B+"),IF(J56&gt;70,("B"),IF(J56&gt;65,("B-"),IF(J56&gt;60,("C+"),IF(J56&gt;55,("C"),IF(J56&gt;50,("C-"),"D+"))))))))</f>
        <v>D+</v>
      </c>
      <c r="M56" s="712" t="str">
        <f t="shared" ref="M56:M60" si="68">IF(J56&gt;80,("SB"),IF(J56&gt;65,("B"),IF(J56&gt;50,("C"),IF(J56&gt;0,("K"),"0"))))</f>
        <v>0</v>
      </c>
      <c r="N56" s="1546"/>
      <c r="O56" s="1547"/>
      <c r="P56" s="1547"/>
      <c r="Q56" s="1547"/>
      <c r="R56" s="1547"/>
      <c r="S56" s="1548"/>
      <c r="T56" s="1465"/>
      <c r="U56" s="1465"/>
      <c r="V56" s="1465"/>
      <c r="W56" s="1466"/>
      <c r="X56" s="1529"/>
      <c r="Y56" s="1530"/>
    </row>
    <row r="57" spans="1:25" ht="23.1" customHeight="1" x14ac:dyDescent="0.25">
      <c r="A57" s="1478"/>
      <c r="B57" s="1352">
        <v>9</v>
      </c>
      <c r="C57" s="1545"/>
      <c r="D57" s="1542" t="s">
        <v>8</v>
      </c>
      <c r="E57" s="627">
        <f>VLOOKUP(A55,UHT_PJOK,40,FALSE)</f>
        <v>0</v>
      </c>
      <c r="F57" s="1905">
        <f t="shared" si="63"/>
        <v>0</v>
      </c>
      <c r="G57" s="1152"/>
      <c r="H57" s="627">
        <f>VLOOKUP(B55,REKAP_NILAI,31,FALSE)</f>
        <v>0</v>
      </c>
      <c r="I57" s="709">
        <f t="shared" si="64"/>
        <v>0</v>
      </c>
      <c r="J57" s="710">
        <f t="shared" si="65"/>
        <v>0</v>
      </c>
      <c r="K57" s="711" t="str">
        <f t="shared" si="66"/>
        <v>1.33</v>
      </c>
      <c r="L57" s="711" t="str">
        <f t="shared" si="67"/>
        <v>D+</v>
      </c>
      <c r="M57" s="712" t="str">
        <f t="shared" si="68"/>
        <v>0</v>
      </c>
      <c r="N57" s="1549"/>
      <c r="O57" s="1550"/>
      <c r="P57" s="1550"/>
      <c r="Q57" s="1550"/>
      <c r="R57" s="1550"/>
      <c r="S57" s="1551"/>
      <c r="T57" s="1469"/>
      <c r="U57" s="1469"/>
      <c r="V57" s="1469"/>
      <c r="W57" s="1470"/>
      <c r="X57" s="1531"/>
      <c r="Y57" s="1532"/>
    </row>
    <row r="58" spans="1:25" ht="23.1" customHeight="1" x14ac:dyDescent="0.25">
      <c r="A58" s="1478"/>
      <c r="B58" s="1352">
        <v>9</v>
      </c>
      <c r="C58" s="1545"/>
      <c r="D58" s="1542" t="s">
        <v>18</v>
      </c>
      <c r="E58" s="627">
        <f>VLOOKUP(A55,UHT_PJOK,41,FALSE)</f>
        <v>0</v>
      </c>
      <c r="F58" s="1905">
        <f t="shared" si="63"/>
        <v>0</v>
      </c>
      <c r="G58" s="627"/>
      <c r="H58" s="627">
        <f>VLOOKUP(B55,REKAP_NILAI,29,FALSE)</f>
        <v>0</v>
      </c>
      <c r="I58" s="709">
        <f t="shared" si="64"/>
        <v>0</v>
      </c>
      <c r="J58" s="710">
        <f t="shared" si="65"/>
        <v>0</v>
      </c>
      <c r="K58" s="711" t="str">
        <f t="shared" si="66"/>
        <v>1.33</v>
      </c>
      <c r="L58" s="711" t="str">
        <f t="shared" si="67"/>
        <v>D+</v>
      </c>
      <c r="M58" s="712" t="str">
        <f t="shared" si="68"/>
        <v>0</v>
      </c>
      <c r="N58" s="1549"/>
      <c r="O58" s="1550"/>
      <c r="P58" s="1550"/>
      <c r="Q58" s="1550"/>
      <c r="R58" s="1550"/>
      <c r="S58" s="1551"/>
      <c r="T58" s="1469"/>
      <c r="U58" s="1469"/>
      <c r="V58" s="1469"/>
      <c r="W58" s="1470"/>
      <c r="X58" s="1531"/>
      <c r="Y58" s="1532"/>
    </row>
    <row r="59" spans="1:25" ht="23.1" customHeight="1" x14ac:dyDescent="0.25">
      <c r="A59" s="1478"/>
      <c r="B59" s="1352">
        <v>9</v>
      </c>
      <c r="C59" s="1545"/>
      <c r="D59" s="1542" t="s">
        <v>179</v>
      </c>
      <c r="E59" s="627">
        <f>VLOOKUP(A55,UHT_PJOK,42,FALSE)</f>
        <v>0</v>
      </c>
      <c r="F59" s="1905">
        <f t="shared" si="63"/>
        <v>0</v>
      </c>
      <c r="G59" s="1152"/>
      <c r="H59" s="627">
        <f>VLOOKUP(B55,REKAP_NILAI,33,FALSE)</f>
        <v>0</v>
      </c>
      <c r="I59" s="709">
        <f t="shared" si="64"/>
        <v>0</v>
      </c>
      <c r="J59" s="710">
        <f t="shared" si="65"/>
        <v>0</v>
      </c>
      <c r="K59" s="711" t="str">
        <f t="shared" si="66"/>
        <v>1.33</v>
      </c>
      <c r="L59" s="711" t="str">
        <f t="shared" si="67"/>
        <v>D+</v>
      </c>
      <c r="M59" s="712" t="str">
        <f t="shared" si="68"/>
        <v>0</v>
      </c>
      <c r="N59" s="1549"/>
      <c r="O59" s="1550"/>
      <c r="P59" s="1550"/>
      <c r="Q59" s="1550"/>
      <c r="R59" s="1550"/>
      <c r="S59" s="1551"/>
      <c r="T59" s="1469"/>
      <c r="U59" s="1469"/>
      <c r="V59" s="1469"/>
      <c r="W59" s="1470"/>
      <c r="X59" s="1533"/>
      <c r="Y59" s="1534"/>
    </row>
    <row r="60" spans="1:25" ht="23.1" customHeight="1" x14ac:dyDescent="0.25">
      <c r="A60" s="1154"/>
      <c r="B60" s="1552"/>
      <c r="C60" s="1553" t="s">
        <v>149</v>
      </c>
      <c r="D60" s="1562">
        <v>9</v>
      </c>
      <c r="E60" s="1154"/>
      <c r="F60" s="1155"/>
      <c r="G60" s="1162"/>
      <c r="H60" s="1555">
        <f>AVERAGE(H55:H59)</f>
        <v>0</v>
      </c>
      <c r="I60" s="705"/>
      <c r="J60" s="713">
        <f>AVERAGE(J55:J59)</f>
        <v>0</v>
      </c>
      <c r="K60" s="714" t="str">
        <f t="shared" si="66"/>
        <v>1.33</v>
      </c>
      <c r="L60" s="714" t="str">
        <f t="shared" si="67"/>
        <v>D+</v>
      </c>
      <c r="M60" s="888" t="str">
        <f t="shared" si="68"/>
        <v>0</v>
      </c>
      <c r="N60" s="1556"/>
      <c r="O60" s="1557"/>
      <c r="P60" s="1557"/>
      <c r="Q60" s="1557"/>
      <c r="R60" s="1557"/>
      <c r="S60" s="1557"/>
      <c r="T60" s="1557"/>
      <c r="U60" s="1557"/>
      <c r="V60" s="1557"/>
      <c r="W60" s="1558"/>
      <c r="X60" s="1257"/>
      <c r="Y60" s="1258"/>
    </row>
    <row r="61" spans="1:25" ht="23.1" customHeight="1" thickBot="1" x14ac:dyDescent="0.3">
      <c r="A61" s="1477">
        <v>10</v>
      </c>
      <c r="B61" s="683">
        <v>10</v>
      </c>
      <c r="C61" s="1563" t="str">
        <f>VLOOKUP(A61,data_siswa,4,FALSE)</f>
        <v xml:space="preserve">Deco Badarus Zaman </v>
      </c>
      <c r="D61" s="1542" t="s">
        <v>7</v>
      </c>
      <c r="E61" s="627">
        <f>VLOOKUP(A61,UHT_PJOK,38,FALSE)</f>
        <v>0</v>
      </c>
      <c r="F61" s="1904">
        <f>E61*2</f>
        <v>0</v>
      </c>
      <c r="G61" s="627"/>
      <c r="H61" s="627">
        <f>VLOOKUP(B61,REKAP_NILAI,29,FALSE)</f>
        <v>0</v>
      </c>
      <c r="I61" s="706">
        <f>F61+G61+H61</f>
        <v>0</v>
      </c>
      <c r="J61" s="707">
        <f>(F61+G61+H61)/4</f>
        <v>0</v>
      </c>
      <c r="K61" s="708" t="str">
        <f>IF(J61&gt;85,("4"),IF(J61&gt;80,("3.66"),IF(J61&gt;75,("3.33"),IF(J61&gt;70,("3.00"),IF(J61&gt;65,("2.66"),IF(J61&gt;60,("2.33"),IF(J61&gt;55,("2"),IF(J61&gt;50,("1.66"),"1.33"))))))))</f>
        <v>1.33</v>
      </c>
      <c r="L61" s="708" t="str">
        <f>IF(J61&gt;85,("A"),IF(J61&gt;80,("A-"),IF(J61&gt;75,("B+"),IF(J61&gt;70,("B"),IF(J61&gt;65,("B-"),IF(J61&gt;60,("C+"),IF(J61&gt;55,("C"),IF(J61&gt;50,("C-"),"D+"))))))))</f>
        <v>D+</v>
      </c>
      <c r="M61" s="887" t="str">
        <f>IF(J61&gt;80,("SB"),IF(J61&gt;65,("B"),IF(J61&gt;50,("C"),IF(J61&gt;0,("K"),"0"))))</f>
        <v>0</v>
      </c>
      <c r="N61" s="1474"/>
      <c r="O61" s="1474"/>
      <c r="P61" s="1474"/>
      <c r="Q61" s="1474"/>
      <c r="R61" s="1474"/>
      <c r="S61" s="1475"/>
      <c r="T61" s="1476"/>
      <c r="U61" s="1476"/>
      <c r="V61" s="1476"/>
      <c r="W61" s="1476"/>
      <c r="X61" s="704">
        <f>AVERAGE(J61:J65)</f>
        <v>0</v>
      </c>
      <c r="Y61" s="1481" t="str">
        <f>IF(X61&gt;85,("A"),IF(X61&gt;80,("A-"),IF(X61&gt;75,("B+"),IF(X61&gt;70,("B"),IF(X61&gt;65,("B-"),IF(X61&gt;60,("C+"),IF(X61&gt;55,("C"),IF(X61&gt;50,("C-"),"D+"))))))))</f>
        <v>D+</v>
      </c>
    </row>
    <row r="62" spans="1:25" ht="23.1" customHeight="1" x14ac:dyDescent="0.25">
      <c r="A62" s="1478"/>
      <c r="B62" s="683">
        <v>10</v>
      </c>
      <c r="C62" s="1545"/>
      <c r="D62" s="1542" t="s">
        <v>10</v>
      </c>
      <c r="E62" s="627">
        <f>VLOOKUP(A61,UHT_PJOK,39,FALSE)</f>
        <v>0</v>
      </c>
      <c r="F62" s="1905">
        <f t="shared" ref="F62:F65" si="69">E62*2</f>
        <v>0</v>
      </c>
      <c r="G62" s="1152"/>
      <c r="H62" s="627">
        <f>VLOOKUP(B61,REKAP_NILAI,30,FALSE)</f>
        <v>0</v>
      </c>
      <c r="I62" s="709">
        <f t="shared" ref="I62:I65" si="70">F62+G62+H62</f>
        <v>0</v>
      </c>
      <c r="J62" s="710">
        <f t="shared" ref="J62:J65" si="71">(F62+G62+H62)/4</f>
        <v>0</v>
      </c>
      <c r="K62" s="711" t="str">
        <f t="shared" ref="K62:K66" si="72">IF(J62&gt;85,("4"),IF(J62&gt;80,("3.66"),IF(J62&gt;75,("3.33"),IF(J62&gt;70,("3.00"),IF(J62&gt;65,("2.66"),IF(J62&gt;60,("2.33"),IF(J62&gt;55,("2"),IF(J62&gt;50,("1.66"),"1.33"))))))))</f>
        <v>1.33</v>
      </c>
      <c r="L62" s="711" t="str">
        <f t="shared" ref="L62:L66" si="73">IF(J62&gt;85,("A"),IF(J62&gt;80,("A-"),IF(J62&gt;75,("B+"),IF(J62&gt;70,("B"),IF(J62&gt;65,("B-"),IF(J62&gt;60,("C+"),IF(J62&gt;55,("C"),IF(J62&gt;50,("C-"),"D+"))))))))</f>
        <v>D+</v>
      </c>
      <c r="M62" s="712" t="str">
        <f t="shared" ref="M62:M66" si="74">IF(J62&gt;80,("SB"),IF(J62&gt;65,("B"),IF(J62&gt;50,("C"),IF(J62&gt;0,("K"),"0"))))</f>
        <v>0</v>
      </c>
      <c r="N62" s="1546"/>
      <c r="O62" s="1547"/>
      <c r="P62" s="1547"/>
      <c r="Q62" s="1547"/>
      <c r="R62" s="1547"/>
      <c r="S62" s="1548"/>
      <c r="T62" s="1465"/>
      <c r="U62" s="1465"/>
      <c r="V62" s="1465"/>
      <c r="W62" s="1466"/>
      <c r="X62" s="1529"/>
      <c r="Y62" s="1530"/>
    </row>
    <row r="63" spans="1:25" ht="23.1" customHeight="1" x14ac:dyDescent="0.25">
      <c r="A63" s="1478"/>
      <c r="B63" s="683">
        <v>10</v>
      </c>
      <c r="C63" s="1545"/>
      <c r="D63" s="1542" t="s">
        <v>8</v>
      </c>
      <c r="E63" s="627">
        <f>VLOOKUP(A61,UHT_PJOK,40,FALSE)</f>
        <v>0</v>
      </c>
      <c r="F63" s="1905">
        <f t="shared" si="69"/>
        <v>0</v>
      </c>
      <c r="G63" s="1152"/>
      <c r="H63" s="627">
        <f>VLOOKUP(B61,REKAP_NILAI,31,FALSE)</f>
        <v>0</v>
      </c>
      <c r="I63" s="709">
        <f t="shared" si="70"/>
        <v>0</v>
      </c>
      <c r="J63" s="710">
        <f t="shared" si="71"/>
        <v>0</v>
      </c>
      <c r="K63" s="711" t="str">
        <f t="shared" si="72"/>
        <v>1.33</v>
      </c>
      <c r="L63" s="711" t="str">
        <f t="shared" si="73"/>
        <v>D+</v>
      </c>
      <c r="M63" s="712" t="str">
        <f t="shared" si="74"/>
        <v>0</v>
      </c>
      <c r="N63" s="1549"/>
      <c r="O63" s="1550"/>
      <c r="P63" s="1550"/>
      <c r="Q63" s="1550"/>
      <c r="R63" s="1550"/>
      <c r="S63" s="1551"/>
      <c r="T63" s="1469"/>
      <c r="U63" s="1469"/>
      <c r="V63" s="1469"/>
      <c r="W63" s="1470"/>
      <c r="X63" s="1531"/>
      <c r="Y63" s="1532"/>
    </row>
    <row r="64" spans="1:25" ht="23.1" customHeight="1" x14ac:dyDescent="0.25">
      <c r="A64" s="1478"/>
      <c r="B64" s="683">
        <v>10</v>
      </c>
      <c r="C64" s="1545"/>
      <c r="D64" s="1542" t="s">
        <v>18</v>
      </c>
      <c r="E64" s="627">
        <f>VLOOKUP(A61,UHT_PJOK,41,FALSE)</f>
        <v>0</v>
      </c>
      <c r="F64" s="1905">
        <f t="shared" si="69"/>
        <v>0</v>
      </c>
      <c r="G64" s="627"/>
      <c r="H64" s="627">
        <f>VLOOKUP(B61,REKAP_NILAI,29,FALSE)</f>
        <v>0</v>
      </c>
      <c r="I64" s="709">
        <f t="shared" si="70"/>
        <v>0</v>
      </c>
      <c r="J64" s="710">
        <f t="shared" si="71"/>
        <v>0</v>
      </c>
      <c r="K64" s="711" t="str">
        <f t="shared" si="72"/>
        <v>1.33</v>
      </c>
      <c r="L64" s="711" t="str">
        <f t="shared" si="73"/>
        <v>D+</v>
      </c>
      <c r="M64" s="712" t="str">
        <f t="shared" si="74"/>
        <v>0</v>
      </c>
      <c r="N64" s="1549"/>
      <c r="O64" s="1550"/>
      <c r="P64" s="1550"/>
      <c r="Q64" s="1550"/>
      <c r="R64" s="1550"/>
      <c r="S64" s="1551"/>
      <c r="T64" s="1469"/>
      <c r="U64" s="1469"/>
      <c r="V64" s="1469"/>
      <c r="W64" s="1470"/>
      <c r="X64" s="1531"/>
      <c r="Y64" s="1532"/>
    </row>
    <row r="65" spans="1:25" ht="23.1" customHeight="1" x14ac:dyDescent="0.25">
      <c r="A65" s="1478"/>
      <c r="B65" s="683">
        <v>10</v>
      </c>
      <c r="C65" s="1545"/>
      <c r="D65" s="1542" t="s">
        <v>179</v>
      </c>
      <c r="E65" s="627">
        <f>VLOOKUP(A61,UHT_PJOK,42,FALSE)</f>
        <v>0</v>
      </c>
      <c r="F65" s="1905">
        <f t="shared" si="69"/>
        <v>0</v>
      </c>
      <c r="G65" s="1152"/>
      <c r="H65" s="627">
        <f>VLOOKUP(B61,REKAP_NILAI,33,FALSE)</f>
        <v>0</v>
      </c>
      <c r="I65" s="709">
        <f t="shared" si="70"/>
        <v>0</v>
      </c>
      <c r="J65" s="710">
        <f t="shared" si="71"/>
        <v>0</v>
      </c>
      <c r="K65" s="711" t="str">
        <f t="shared" si="72"/>
        <v>1.33</v>
      </c>
      <c r="L65" s="711" t="str">
        <f t="shared" si="73"/>
        <v>D+</v>
      </c>
      <c r="M65" s="712" t="str">
        <f t="shared" si="74"/>
        <v>0</v>
      </c>
      <c r="N65" s="1549"/>
      <c r="O65" s="1550"/>
      <c r="P65" s="1550"/>
      <c r="Q65" s="1550"/>
      <c r="R65" s="1550"/>
      <c r="S65" s="1551"/>
      <c r="T65" s="1469"/>
      <c r="U65" s="1469"/>
      <c r="V65" s="1469"/>
      <c r="W65" s="1470"/>
      <c r="X65" s="1533"/>
      <c r="Y65" s="1534"/>
    </row>
    <row r="66" spans="1:25" ht="23.1" customHeight="1" x14ac:dyDescent="0.25">
      <c r="A66" s="1154"/>
      <c r="B66" s="1552"/>
      <c r="C66" s="1553" t="s">
        <v>149</v>
      </c>
      <c r="D66" s="1562">
        <v>10</v>
      </c>
      <c r="E66" s="697"/>
      <c r="F66" s="1906"/>
      <c r="G66" s="697"/>
      <c r="H66" s="1189">
        <f>AVERAGE(H61:H65)</f>
        <v>0</v>
      </c>
      <c r="I66" s="705"/>
      <c r="J66" s="713">
        <f>AVERAGE(J61:J65)</f>
        <v>0</v>
      </c>
      <c r="K66" s="714" t="str">
        <f t="shared" si="72"/>
        <v>1.33</v>
      </c>
      <c r="L66" s="714" t="str">
        <f t="shared" si="73"/>
        <v>D+</v>
      </c>
      <c r="M66" s="888" t="str">
        <f t="shared" si="74"/>
        <v>0</v>
      </c>
      <c r="N66" s="1556"/>
      <c r="O66" s="1557"/>
      <c r="P66" s="1557"/>
      <c r="Q66" s="1557"/>
      <c r="R66" s="1557"/>
      <c r="S66" s="1557"/>
      <c r="T66" s="1557"/>
      <c r="U66" s="1557"/>
      <c r="V66" s="1557"/>
      <c r="W66" s="1558"/>
      <c r="X66" s="1257"/>
      <c r="Y66" s="1258"/>
    </row>
    <row r="67" spans="1:25" ht="23.1" customHeight="1" thickBot="1" x14ac:dyDescent="0.3">
      <c r="A67" s="1478">
        <v>11</v>
      </c>
      <c r="B67" s="683">
        <v>11</v>
      </c>
      <c r="C67" s="1541" t="str">
        <f>VLOOKUP(A67,data_siswa,4,FALSE)</f>
        <v>Fania Mutiara Felichia</v>
      </c>
      <c r="D67" s="1542" t="s">
        <v>7</v>
      </c>
      <c r="E67" s="627">
        <f>VLOOKUP(A67,UHT_PJOK,38,FALSE)</f>
        <v>0</v>
      </c>
      <c r="F67" s="1904">
        <f>E67*2</f>
        <v>0</v>
      </c>
      <c r="G67" s="627"/>
      <c r="H67" s="627">
        <f>VLOOKUP(B67,REKAP_NILAI,29,FALSE)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887" t="str">
        <f>IF(J67&gt;80,("SB"),IF(J67&gt;65,("B"),IF(J67&gt;50,("C"),IF(J67&gt;0,("K"),"0"))))</f>
        <v>0</v>
      </c>
      <c r="N67" s="1471"/>
      <c r="O67" s="1471"/>
      <c r="P67" s="1471"/>
      <c r="Q67" s="1471"/>
      <c r="R67" s="1471"/>
      <c r="S67" s="1472"/>
      <c r="T67" s="1473"/>
      <c r="U67" s="1473"/>
      <c r="V67" s="1473"/>
      <c r="W67" s="1473"/>
      <c r="X67" s="1057">
        <f>AVERAGE(J67:J71)</f>
        <v>0</v>
      </c>
      <c r="Y67" s="1194" t="str">
        <f>IF(X67&gt;85,("A"),IF(X67&gt;80,("A-"),IF(X67&gt;75,("B+"),IF(X67&gt;70,("B"),IF(X67&gt;65,("B-"),IF(X67&gt;60,("C+"),IF(X67&gt;55,("C"),IF(X67&gt;50,("C-"),"D+"))))))))</f>
        <v>D+</v>
      </c>
    </row>
    <row r="68" spans="1:25" ht="23.1" customHeight="1" x14ac:dyDescent="0.25">
      <c r="A68" s="1478"/>
      <c r="B68" s="683">
        <v>11</v>
      </c>
      <c r="C68" s="1545"/>
      <c r="D68" s="1542" t="s">
        <v>10</v>
      </c>
      <c r="E68" s="627">
        <f>VLOOKUP(A67,UHT_PJOK,39,FALSE)</f>
        <v>0</v>
      </c>
      <c r="F68" s="1905">
        <f t="shared" ref="F68:F71" si="75">E68*2</f>
        <v>0</v>
      </c>
      <c r="G68" s="1152"/>
      <c r="H68" s="627">
        <f>VLOOKUP(B67,REKAP_NILAI,30,FALSE)</f>
        <v>0</v>
      </c>
      <c r="I68" s="709">
        <f t="shared" ref="I68:I71" si="76">F68+G68+H68</f>
        <v>0</v>
      </c>
      <c r="J68" s="710">
        <f t="shared" ref="J68:J71" si="77">(F68+G68+H68)/4</f>
        <v>0</v>
      </c>
      <c r="K68" s="711" t="str">
        <f t="shared" ref="K68:K72" si="78">IF(J68&gt;85,("4"),IF(J68&gt;80,("3.66"),IF(J68&gt;75,("3.33"),IF(J68&gt;70,("3.00"),IF(J68&gt;65,("2.66"),IF(J68&gt;60,("2.33"),IF(J68&gt;55,("2"),IF(J68&gt;50,("1.66"),"1.33"))))))))</f>
        <v>1.33</v>
      </c>
      <c r="L68" s="711" t="str">
        <f t="shared" ref="L68:L72" si="79">IF(J68&gt;85,("A"),IF(J68&gt;80,("A-"),IF(J68&gt;75,("B+"),IF(J68&gt;70,("B"),IF(J68&gt;65,("B-"),IF(J68&gt;60,("C+"),IF(J68&gt;55,("C"),IF(J68&gt;50,("C-"),"D+"))))))))</f>
        <v>D+</v>
      </c>
      <c r="M68" s="712" t="str">
        <f t="shared" ref="M68:M72" si="80">IF(J68&gt;80,("SB"),IF(J68&gt;65,("B"),IF(J68&gt;50,("C"),IF(J68&gt;0,("K"),"0"))))</f>
        <v>0</v>
      </c>
      <c r="N68" s="1546"/>
      <c r="O68" s="1547"/>
      <c r="P68" s="1547"/>
      <c r="Q68" s="1547"/>
      <c r="R68" s="1547"/>
      <c r="S68" s="1548"/>
      <c r="T68" s="1465"/>
      <c r="U68" s="1465"/>
      <c r="V68" s="1465"/>
      <c r="W68" s="1466"/>
      <c r="X68" s="1529"/>
      <c r="Y68" s="1530"/>
    </row>
    <row r="69" spans="1:25" ht="23.1" customHeight="1" x14ac:dyDescent="0.25">
      <c r="A69" s="1478"/>
      <c r="B69" s="683">
        <v>11</v>
      </c>
      <c r="C69" s="1545"/>
      <c r="D69" s="1542" t="s">
        <v>8</v>
      </c>
      <c r="E69" s="627">
        <f>VLOOKUP(A67,UHT_PJOK,40,FALSE)</f>
        <v>0</v>
      </c>
      <c r="F69" s="1905">
        <f t="shared" si="75"/>
        <v>0</v>
      </c>
      <c r="G69" s="1152"/>
      <c r="H69" s="627">
        <f>VLOOKUP(B67,REKAP_NILAI,31,FALSE)</f>
        <v>0</v>
      </c>
      <c r="I69" s="709">
        <f t="shared" si="76"/>
        <v>0</v>
      </c>
      <c r="J69" s="710">
        <f t="shared" si="77"/>
        <v>0</v>
      </c>
      <c r="K69" s="711" t="str">
        <f t="shared" si="78"/>
        <v>1.33</v>
      </c>
      <c r="L69" s="711" t="str">
        <f t="shared" si="79"/>
        <v>D+</v>
      </c>
      <c r="M69" s="712" t="str">
        <f t="shared" si="80"/>
        <v>0</v>
      </c>
      <c r="N69" s="1549"/>
      <c r="O69" s="1550"/>
      <c r="P69" s="1550"/>
      <c r="Q69" s="1550"/>
      <c r="R69" s="1550"/>
      <c r="S69" s="1551"/>
      <c r="T69" s="1469"/>
      <c r="U69" s="1469"/>
      <c r="V69" s="1469"/>
      <c r="W69" s="1470"/>
      <c r="X69" s="1531"/>
      <c r="Y69" s="1532"/>
    </row>
    <row r="70" spans="1:25" ht="23.1" customHeight="1" x14ac:dyDescent="0.25">
      <c r="A70" s="1478"/>
      <c r="B70" s="683">
        <v>11</v>
      </c>
      <c r="C70" s="1545"/>
      <c r="D70" s="1542" t="s">
        <v>18</v>
      </c>
      <c r="E70" s="627">
        <f>VLOOKUP(A67,UHT_PJOK,41,FALSE)</f>
        <v>0</v>
      </c>
      <c r="F70" s="1905">
        <f t="shared" si="75"/>
        <v>0</v>
      </c>
      <c r="G70" s="627"/>
      <c r="H70" s="627">
        <f>VLOOKUP(B67,REKAP_NILAI,29,FALSE)</f>
        <v>0</v>
      </c>
      <c r="I70" s="709">
        <f t="shared" si="76"/>
        <v>0</v>
      </c>
      <c r="J70" s="710">
        <f t="shared" si="77"/>
        <v>0</v>
      </c>
      <c r="K70" s="711" t="str">
        <f t="shared" si="78"/>
        <v>1.33</v>
      </c>
      <c r="L70" s="711" t="str">
        <f t="shared" si="79"/>
        <v>D+</v>
      </c>
      <c r="M70" s="712" t="str">
        <f t="shared" si="80"/>
        <v>0</v>
      </c>
      <c r="N70" s="1549"/>
      <c r="O70" s="1550"/>
      <c r="P70" s="1550"/>
      <c r="Q70" s="1550"/>
      <c r="R70" s="1550"/>
      <c r="S70" s="1551"/>
      <c r="T70" s="1469"/>
      <c r="U70" s="1469"/>
      <c r="V70" s="1469"/>
      <c r="W70" s="1470"/>
      <c r="X70" s="1531"/>
      <c r="Y70" s="1532"/>
    </row>
    <row r="71" spans="1:25" ht="23.1" customHeight="1" x14ac:dyDescent="0.25">
      <c r="A71" s="1478"/>
      <c r="B71" s="683">
        <v>11</v>
      </c>
      <c r="C71" s="1545"/>
      <c r="D71" s="1542" t="s">
        <v>179</v>
      </c>
      <c r="E71" s="627">
        <f>VLOOKUP(A67,UHT_PJOK,42,FALSE)</f>
        <v>0</v>
      </c>
      <c r="F71" s="1905">
        <f t="shared" si="75"/>
        <v>0</v>
      </c>
      <c r="G71" s="1152"/>
      <c r="H71" s="627">
        <f>VLOOKUP(B67,REKAP_NILAI,33,FALSE)</f>
        <v>0</v>
      </c>
      <c r="I71" s="709">
        <f t="shared" si="76"/>
        <v>0</v>
      </c>
      <c r="J71" s="710">
        <f t="shared" si="77"/>
        <v>0</v>
      </c>
      <c r="K71" s="711" t="str">
        <f t="shared" si="78"/>
        <v>1.33</v>
      </c>
      <c r="L71" s="711" t="str">
        <f t="shared" si="79"/>
        <v>D+</v>
      </c>
      <c r="M71" s="712" t="str">
        <f t="shared" si="80"/>
        <v>0</v>
      </c>
      <c r="N71" s="1549"/>
      <c r="O71" s="1550"/>
      <c r="P71" s="1550"/>
      <c r="Q71" s="1550"/>
      <c r="R71" s="1550"/>
      <c r="S71" s="1551"/>
      <c r="T71" s="1469"/>
      <c r="U71" s="1469"/>
      <c r="V71" s="1469"/>
      <c r="W71" s="1470"/>
      <c r="X71" s="1533"/>
      <c r="Y71" s="1534"/>
    </row>
    <row r="72" spans="1:25" ht="23.1" customHeight="1" x14ac:dyDescent="0.25">
      <c r="A72" s="1154"/>
      <c r="B72" s="1552"/>
      <c r="C72" s="1553" t="s">
        <v>149</v>
      </c>
      <c r="D72" s="1562">
        <v>11</v>
      </c>
      <c r="E72" s="697"/>
      <c r="F72" s="1906"/>
      <c r="G72" s="697"/>
      <c r="H72" s="1189">
        <f>AVERAGE(H67:H71)</f>
        <v>0</v>
      </c>
      <c r="I72" s="705"/>
      <c r="J72" s="713">
        <f>AVERAGE(J67:J71)</f>
        <v>0</v>
      </c>
      <c r="K72" s="714" t="str">
        <f t="shared" si="78"/>
        <v>1.33</v>
      </c>
      <c r="L72" s="714" t="str">
        <f t="shared" si="79"/>
        <v>D+</v>
      </c>
      <c r="M72" s="888" t="str">
        <f t="shared" si="80"/>
        <v>0</v>
      </c>
      <c r="N72" s="1556"/>
      <c r="O72" s="1557"/>
      <c r="P72" s="1557"/>
      <c r="Q72" s="1557"/>
      <c r="R72" s="1557"/>
      <c r="S72" s="1557"/>
      <c r="T72" s="1557"/>
      <c r="U72" s="1557"/>
      <c r="V72" s="1557"/>
      <c r="W72" s="1558"/>
      <c r="X72" s="1257"/>
      <c r="Y72" s="1258"/>
    </row>
    <row r="73" spans="1:25" ht="23.1" customHeight="1" thickBot="1" x14ac:dyDescent="0.3">
      <c r="A73" s="1478">
        <v>12</v>
      </c>
      <c r="B73" s="683">
        <v>12</v>
      </c>
      <c r="C73" s="1541" t="str">
        <f>VLOOKUP(A73,data_siswa,4,FALSE)</f>
        <v>Intan Dyah Nowari</v>
      </c>
      <c r="D73" s="1542" t="s">
        <v>7</v>
      </c>
      <c r="E73" s="627">
        <f>VLOOKUP(A73,UHT_PJOK,38,FALSE)</f>
        <v>0</v>
      </c>
      <c r="F73" s="1904">
        <f>E73*2</f>
        <v>0</v>
      </c>
      <c r="G73" s="627"/>
      <c r="H73" s="627">
        <f>VLOOKUP(B73,REKAP_NILAI,29,FALSE)</f>
        <v>0</v>
      </c>
      <c r="I73" s="706">
        <f>F73+G73+H73</f>
        <v>0</v>
      </c>
      <c r="J73" s="707">
        <f>(F73+G73+H73)/4</f>
        <v>0</v>
      </c>
      <c r="K73" s="708" t="str">
        <f>IF(J73&gt;85,("4"),IF(J73&gt;80,("3.66"),IF(J73&gt;75,("3.33"),IF(J73&gt;70,("3.00"),IF(J73&gt;65,("2.66"),IF(J73&gt;60,("2.33"),IF(J73&gt;55,("2"),IF(J73&gt;50,("1.66"),"1.33"))))))))</f>
        <v>1.33</v>
      </c>
      <c r="L73" s="708" t="str">
        <f>IF(J73&gt;85,("A"),IF(J73&gt;80,("A-"),IF(J73&gt;75,("B+"),IF(J73&gt;70,("B"),IF(J73&gt;65,("B-"),IF(J73&gt;60,("C+"),IF(J73&gt;55,("C"),IF(J73&gt;50,("C-"),"D+"))))))))</f>
        <v>D+</v>
      </c>
      <c r="M73" s="887" t="str">
        <f>IF(J73&gt;80,("SB"),IF(J73&gt;65,("B"),IF(J73&gt;50,("C"),IF(J73&gt;0,("K"),"0"))))</f>
        <v>0</v>
      </c>
      <c r="N73" s="1471"/>
      <c r="O73" s="1471"/>
      <c r="P73" s="1471"/>
      <c r="Q73" s="1471"/>
      <c r="R73" s="1471"/>
      <c r="S73" s="1472"/>
      <c r="T73" s="1473"/>
      <c r="U73" s="1473"/>
      <c r="V73" s="1473"/>
      <c r="W73" s="1473"/>
      <c r="X73" s="704">
        <f>AVERAGE(J73:J77)</f>
        <v>0</v>
      </c>
      <c r="Y73" s="1481" t="str">
        <f>IF(X73&gt;85,("A"),IF(X73&gt;80,("A-"),IF(X73&gt;75,("B+"),IF(X73&gt;70,("B"),IF(X73&gt;65,("B-"),IF(X73&gt;60,("C+"),IF(X73&gt;55,("C"),IF(X73&gt;50,("C-"),"D+"))))))))</f>
        <v>D+</v>
      </c>
    </row>
    <row r="74" spans="1:25" ht="23.1" customHeight="1" x14ac:dyDescent="0.25">
      <c r="A74" s="1478"/>
      <c r="B74" s="683">
        <v>12</v>
      </c>
      <c r="C74" s="1545"/>
      <c r="D74" s="1542" t="s">
        <v>10</v>
      </c>
      <c r="E74" s="627">
        <f>VLOOKUP(A73,UHT_PJOK,39,FALSE)</f>
        <v>0</v>
      </c>
      <c r="F74" s="1905">
        <f t="shared" ref="F74:F77" si="81">E74*2</f>
        <v>0</v>
      </c>
      <c r="G74" s="1152"/>
      <c r="H74" s="627">
        <f>VLOOKUP(B73,REKAP_NILAI,30,FALSE)</f>
        <v>0</v>
      </c>
      <c r="I74" s="709">
        <f t="shared" ref="I74:I77" si="82">F74+G74+H74</f>
        <v>0</v>
      </c>
      <c r="J74" s="710">
        <f t="shared" ref="J74:J77" si="83">(F74+G74+H74)/4</f>
        <v>0</v>
      </c>
      <c r="K74" s="711" t="str">
        <f t="shared" ref="K74:K78" si="84">IF(J74&gt;85,("4"),IF(J74&gt;80,("3.66"),IF(J74&gt;75,("3.33"),IF(J74&gt;70,("3.00"),IF(J74&gt;65,("2.66"),IF(J74&gt;60,("2.33"),IF(J74&gt;55,("2"),IF(J74&gt;50,("1.66"),"1.33"))))))))</f>
        <v>1.33</v>
      </c>
      <c r="L74" s="711" t="str">
        <f t="shared" ref="L74:L78" si="85">IF(J74&gt;85,("A"),IF(J74&gt;80,("A-"),IF(J74&gt;75,("B+"),IF(J74&gt;70,("B"),IF(J74&gt;65,("B-"),IF(J74&gt;60,("C+"),IF(J74&gt;55,("C"),IF(J74&gt;50,("C-"),"D+"))))))))</f>
        <v>D+</v>
      </c>
      <c r="M74" s="712" t="str">
        <f t="shared" ref="M74:M78" si="86">IF(J74&gt;80,("SB"),IF(J74&gt;65,("B"),IF(J74&gt;50,("C"),IF(J74&gt;0,("K"),"0"))))</f>
        <v>0</v>
      </c>
      <c r="N74" s="1546"/>
      <c r="O74" s="1547"/>
      <c r="P74" s="1547"/>
      <c r="Q74" s="1547"/>
      <c r="R74" s="1547"/>
      <c r="S74" s="1548"/>
      <c r="T74" s="1465"/>
      <c r="U74" s="1465"/>
      <c r="V74" s="1465"/>
      <c r="W74" s="1466"/>
      <c r="X74" s="1529"/>
      <c r="Y74" s="1530"/>
    </row>
    <row r="75" spans="1:25" ht="23.1" customHeight="1" x14ac:dyDescent="0.25">
      <c r="A75" s="1478"/>
      <c r="B75" s="683">
        <v>12</v>
      </c>
      <c r="C75" s="1545"/>
      <c r="D75" s="1542" t="s">
        <v>8</v>
      </c>
      <c r="E75" s="627">
        <f>VLOOKUP(A73,UHT_PJOK,40,FALSE)</f>
        <v>0</v>
      </c>
      <c r="F75" s="1905">
        <f t="shared" si="81"/>
        <v>0</v>
      </c>
      <c r="G75" s="1152"/>
      <c r="H75" s="627">
        <f>VLOOKUP(B73,REKAP_NILAI,31,FALSE)</f>
        <v>0</v>
      </c>
      <c r="I75" s="709">
        <f t="shared" si="82"/>
        <v>0</v>
      </c>
      <c r="J75" s="710">
        <f t="shared" si="83"/>
        <v>0</v>
      </c>
      <c r="K75" s="711" t="str">
        <f t="shared" si="84"/>
        <v>1.33</v>
      </c>
      <c r="L75" s="711" t="str">
        <f t="shared" si="85"/>
        <v>D+</v>
      </c>
      <c r="M75" s="712" t="str">
        <f t="shared" si="86"/>
        <v>0</v>
      </c>
      <c r="N75" s="1549"/>
      <c r="O75" s="1550"/>
      <c r="P75" s="1550"/>
      <c r="Q75" s="1550"/>
      <c r="R75" s="1550"/>
      <c r="S75" s="1551"/>
      <c r="T75" s="1469"/>
      <c r="U75" s="1469"/>
      <c r="V75" s="1469"/>
      <c r="W75" s="1470"/>
      <c r="X75" s="1531"/>
      <c r="Y75" s="1532"/>
    </row>
    <row r="76" spans="1:25" ht="23.1" customHeight="1" x14ac:dyDescent="0.25">
      <c r="A76" s="1478"/>
      <c r="B76" s="683">
        <v>12</v>
      </c>
      <c r="C76" s="1545"/>
      <c r="D76" s="1542" t="s">
        <v>18</v>
      </c>
      <c r="E76" s="627">
        <f>VLOOKUP(A73,UHT_PJOK,41,FALSE)</f>
        <v>0</v>
      </c>
      <c r="F76" s="1905">
        <f t="shared" si="81"/>
        <v>0</v>
      </c>
      <c r="G76" s="627"/>
      <c r="H76" s="627">
        <f>VLOOKUP(B73,REKAP_NILAI,29,FALSE)</f>
        <v>0</v>
      </c>
      <c r="I76" s="709">
        <f t="shared" si="82"/>
        <v>0</v>
      </c>
      <c r="J76" s="710">
        <f t="shared" si="83"/>
        <v>0</v>
      </c>
      <c r="K76" s="711" t="str">
        <f t="shared" si="84"/>
        <v>1.33</v>
      </c>
      <c r="L76" s="711" t="str">
        <f t="shared" si="85"/>
        <v>D+</v>
      </c>
      <c r="M76" s="712" t="str">
        <f t="shared" si="86"/>
        <v>0</v>
      </c>
      <c r="N76" s="1549"/>
      <c r="O76" s="1550"/>
      <c r="P76" s="1550"/>
      <c r="Q76" s="1550"/>
      <c r="R76" s="1550"/>
      <c r="S76" s="1551"/>
      <c r="T76" s="1469"/>
      <c r="U76" s="1469"/>
      <c r="V76" s="1469"/>
      <c r="W76" s="1470"/>
      <c r="X76" s="1531"/>
      <c r="Y76" s="1532"/>
    </row>
    <row r="77" spans="1:25" ht="23.1" customHeight="1" x14ac:dyDescent="0.25">
      <c r="A77" s="1478"/>
      <c r="B77" s="683">
        <v>12</v>
      </c>
      <c r="C77" s="1545"/>
      <c r="D77" s="1542" t="s">
        <v>179</v>
      </c>
      <c r="E77" s="627">
        <f>VLOOKUP(A73,UHT_PJOK,42,FALSE)</f>
        <v>0</v>
      </c>
      <c r="F77" s="1905">
        <f t="shared" si="81"/>
        <v>0</v>
      </c>
      <c r="G77" s="1152"/>
      <c r="H77" s="627">
        <f>VLOOKUP(B73,REKAP_NILAI,33,FALSE)</f>
        <v>0</v>
      </c>
      <c r="I77" s="709">
        <f t="shared" si="82"/>
        <v>0</v>
      </c>
      <c r="J77" s="710">
        <f t="shared" si="83"/>
        <v>0</v>
      </c>
      <c r="K77" s="711" t="str">
        <f t="shared" si="84"/>
        <v>1.33</v>
      </c>
      <c r="L77" s="711" t="str">
        <f t="shared" si="85"/>
        <v>D+</v>
      </c>
      <c r="M77" s="712" t="str">
        <f t="shared" si="86"/>
        <v>0</v>
      </c>
      <c r="N77" s="1549"/>
      <c r="O77" s="1550"/>
      <c r="P77" s="1550"/>
      <c r="Q77" s="1550"/>
      <c r="R77" s="1550"/>
      <c r="S77" s="1551"/>
      <c r="T77" s="1469"/>
      <c r="U77" s="1469"/>
      <c r="V77" s="1469"/>
      <c r="W77" s="1470"/>
      <c r="X77" s="1533"/>
      <c r="Y77" s="1534"/>
    </row>
    <row r="78" spans="1:25" ht="23.1" customHeight="1" x14ac:dyDescent="0.25">
      <c r="A78" s="1154"/>
      <c r="B78" s="1552"/>
      <c r="C78" s="1553" t="s">
        <v>149</v>
      </c>
      <c r="D78" s="1562">
        <v>12</v>
      </c>
      <c r="E78" s="697"/>
      <c r="F78" s="1906"/>
      <c r="G78" s="697"/>
      <c r="H78" s="1189">
        <f>AVERAGE(H73:H77)</f>
        <v>0</v>
      </c>
      <c r="I78" s="705"/>
      <c r="J78" s="713">
        <f>AVERAGE(J73:J77)</f>
        <v>0</v>
      </c>
      <c r="K78" s="714" t="str">
        <f t="shared" si="84"/>
        <v>1.33</v>
      </c>
      <c r="L78" s="714" t="str">
        <f t="shared" si="85"/>
        <v>D+</v>
      </c>
      <c r="M78" s="888" t="str">
        <f t="shared" si="86"/>
        <v>0</v>
      </c>
      <c r="N78" s="1556"/>
      <c r="O78" s="1557"/>
      <c r="P78" s="1557"/>
      <c r="Q78" s="1557"/>
      <c r="R78" s="1557"/>
      <c r="S78" s="1557"/>
      <c r="T78" s="1557"/>
      <c r="U78" s="1557"/>
      <c r="V78" s="1557"/>
      <c r="W78" s="1558"/>
      <c r="X78" s="1257"/>
      <c r="Y78" s="1258"/>
    </row>
    <row r="79" spans="1:25" ht="23.1" customHeight="1" thickBot="1" x14ac:dyDescent="0.3">
      <c r="A79" s="1478">
        <v>13</v>
      </c>
      <c r="B79" s="683">
        <v>13</v>
      </c>
      <c r="C79" s="1541" t="str">
        <f>VLOOKUP(A79,data_siswa,4,FALSE)</f>
        <v>Misyanita Nurfitri S</v>
      </c>
      <c r="D79" s="1542" t="s">
        <v>7</v>
      </c>
      <c r="E79" s="627">
        <f>VLOOKUP(A79,UHT_PJOK,38,FALSE)</f>
        <v>0</v>
      </c>
      <c r="F79" s="1904">
        <f>E79*2</f>
        <v>0</v>
      </c>
      <c r="G79" s="627"/>
      <c r="H79" s="627">
        <f>VLOOKUP(B79,REKAP_NILAI,29,FALSE)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887" t="str">
        <f>IF(J79&gt;80,("SB"),IF(J79&gt;65,("B"),IF(J79&gt;50,("C"),IF(J79&gt;0,("K"),"0"))))</f>
        <v>0</v>
      </c>
      <c r="N79" s="1471"/>
      <c r="O79" s="1471"/>
      <c r="P79" s="1471"/>
      <c r="Q79" s="1471"/>
      <c r="R79" s="1471"/>
      <c r="S79" s="1472"/>
      <c r="T79" s="1473"/>
      <c r="U79" s="1473"/>
      <c r="V79" s="1473"/>
      <c r="W79" s="1473"/>
      <c r="X79" s="704">
        <f>AVERAGE(J79:J83)</f>
        <v>0</v>
      </c>
      <c r="Y79" s="1481" t="str">
        <f>IF(X79&gt;85,("A"),IF(X79&gt;80,("A-"),IF(X79&gt;75,("B+"),IF(X79&gt;70,("B"),IF(X79&gt;65,("B-"),IF(X79&gt;60,("C+"),IF(X79&gt;55,("C"),IF(X79&gt;50,("C-"),"D+"))))))))</f>
        <v>D+</v>
      </c>
    </row>
    <row r="80" spans="1:25" ht="23.1" customHeight="1" x14ac:dyDescent="0.25">
      <c r="A80" s="1478"/>
      <c r="B80" s="683">
        <v>13</v>
      </c>
      <c r="C80" s="1545"/>
      <c r="D80" s="1542" t="s">
        <v>10</v>
      </c>
      <c r="E80" s="627">
        <f>VLOOKUP(A79,UHT_PJOK,39,FALSE)</f>
        <v>0</v>
      </c>
      <c r="F80" s="1905">
        <f t="shared" ref="F80:F83" si="87">E80*2</f>
        <v>0</v>
      </c>
      <c r="G80" s="1152"/>
      <c r="H80" s="627">
        <f>VLOOKUP(B79,REKAP_NILAI,30,FALSE)</f>
        <v>0</v>
      </c>
      <c r="I80" s="709">
        <f t="shared" ref="I80:I83" si="88">F80+G80+H80</f>
        <v>0</v>
      </c>
      <c r="J80" s="710">
        <f t="shared" ref="J80:J83" si="89">(F80+G80+H80)/4</f>
        <v>0</v>
      </c>
      <c r="K80" s="711" t="str">
        <f t="shared" ref="K80:K84" si="90">IF(J80&gt;85,("4"),IF(J80&gt;80,("3.66"),IF(J80&gt;75,("3.33"),IF(J80&gt;70,("3.00"),IF(J80&gt;65,("2.66"),IF(J80&gt;60,("2.33"),IF(J80&gt;55,("2"),IF(J80&gt;50,("1.66"),"1.33"))))))))</f>
        <v>1.33</v>
      </c>
      <c r="L80" s="711" t="str">
        <f t="shared" ref="L80:L84" si="91">IF(J80&gt;85,("A"),IF(J80&gt;80,("A-"),IF(J80&gt;75,("B+"),IF(J80&gt;70,("B"),IF(J80&gt;65,("B-"),IF(J80&gt;60,("C+"),IF(J80&gt;55,("C"),IF(J80&gt;50,("C-"),"D+"))))))))</f>
        <v>D+</v>
      </c>
      <c r="M80" s="712" t="str">
        <f t="shared" ref="M80:M84" si="92">IF(J80&gt;80,("SB"),IF(J80&gt;65,("B"),IF(J80&gt;50,("C"),IF(J80&gt;0,("K"),"0"))))</f>
        <v>0</v>
      </c>
      <c r="N80" s="1546"/>
      <c r="O80" s="1547"/>
      <c r="P80" s="1547"/>
      <c r="Q80" s="1547"/>
      <c r="R80" s="1547"/>
      <c r="S80" s="1548"/>
      <c r="T80" s="1465"/>
      <c r="U80" s="1465"/>
      <c r="V80" s="1465"/>
      <c r="W80" s="1466"/>
      <c r="X80" s="1529"/>
      <c r="Y80" s="1530"/>
    </row>
    <row r="81" spans="1:25" ht="23.1" customHeight="1" x14ac:dyDescent="0.25">
      <c r="A81" s="1478"/>
      <c r="B81" s="683">
        <v>13</v>
      </c>
      <c r="C81" s="1545"/>
      <c r="D81" s="1542" t="s">
        <v>8</v>
      </c>
      <c r="E81" s="627">
        <f>VLOOKUP(A79,UHT_PJOK,40,FALSE)</f>
        <v>0</v>
      </c>
      <c r="F81" s="1905">
        <f t="shared" si="87"/>
        <v>0</v>
      </c>
      <c r="G81" s="1152"/>
      <c r="H81" s="627">
        <f>VLOOKUP(B79,REKAP_NILAI,31,FALSE)</f>
        <v>0</v>
      </c>
      <c r="I81" s="709">
        <f t="shared" si="88"/>
        <v>0</v>
      </c>
      <c r="J81" s="710">
        <f t="shared" si="89"/>
        <v>0</v>
      </c>
      <c r="K81" s="711" t="str">
        <f t="shared" si="90"/>
        <v>1.33</v>
      </c>
      <c r="L81" s="711" t="str">
        <f t="shared" si="91"/>
        <v>D+</v>
      </c>
      <c r="M81" s="712" t="str">
        <f t="shared" si="92"/>
        <v>0</v>
      </c>
      <c r="N81" s="1549"/>
      <c r="O81" s="1550"/>
      <c r="P81" s="1550"/>
      <c r="Q81" s="1550"/>
      <c r="R81" s="1550"/>
      <c r="S81" s="1551"/>
      <c r="T81" s="1469"/>
      <c r="U81" s="1469"/>
      <c r="V81" s="1469"/>
      <c r="W81" s="1470"/>
      <c r="X81" s="1531"/>
      <c r="Y81" s="1532"/>
    </row>
    <row r="82" spans="1:25" ht="23.1" customHeight="1" x14ac:dyDescent="0.25">
      <c r="A82" s="1478"/>
      <c r="B82" s="683">
        <v>13</v>
      </c>
      <c r="C82" s="1545"/>
      <c r="D82" s="1542" t="s">
        <v>18</v>
      </c>
      <c r="E82" s="627">
        <f>VLOOKUP(A79,UHT_PJOK,41,FALSE)</f>
        <v>0</v>
      </c>
      <c r="F82" s="1905">
        <f t="shared" si="87"/>
        <v>0</v>
      </c>
      <c r="G82" s="627"/>
      <c r="H82" s="627">
        <f>VLOOKUP(B79,REKAP_NILAI,29,FALSE)</f>
        <v>0</v>
      </c>
      <c r="I82" s="709">
        <f t="shared" si="88"/>
        <v>0</v>
      </c>
      <c r="J82" s="710">
        <f t="shared" si="89"/>
        <v>0</v>
      </c>
      <c r="K82" s="711" t="str">
        <f t="shared" si="90"/>
        <v>1.33</v>
      </c>
      <c r="L82" s="711" t="str">
        <f t="shared" si="91"/>
        <v>D+</v>
      </c>
      <c r="M82" s="712" t="str">
        <f t="shared" si="92"/>
        <v>0</v>
      </c>
      <c r="N82" s="1549"/>
      <c r="O82" s="1550"/>
      <c r="P82" s="1550"/>
      <c r="Q82" s="1550"/>
      <c r="R82" s="1550"/>
      <c r="S82" s="1551"/>
      <c r="T82" s="1469"/>
      <c r="U82" s="1469"/>
      <c r="V82" s="1469"/>
      <c r="W82" s="1470"/>
      <c r="X82" s="1531"/>
      <c r="Y82" s="1532"/>
    </row>
    <row r="83" spans="1:25" ht="23.1" customHeight="1" x14ac:dyDescent="0.25">
      <c r="A83" s="1478"/>
      <c r="B83" s="683">
        <v>13</v>
      </c>
      <c r="C83" s="1545"/>
      <c r="D83" s="1542" t="s">
        <v>179</v>
      </c>
      <c r="E83" s="627">
        <f>VLOOKUP(A79,UHT_PJOK,42,FALSE)</f>
        <v>0</v>
      </c>
      <c r="F83" s="1905">
        <f t="shared" si="87"/>
        <v>0</v>
      </c>
      <c r="G83" s="1152"/>
      <c r="H83" s="627">
        <f>VLOOKUP(B79,REKAP_NILAI,33,FALSE)</f>
        <v>0</v>
      </c>
      <c r="I83" s="709">
        <f t="shared" si="88"/>
        <v>0</v>
      </c>
      <c r="J83" s="710">
        <f t="shared" si="89"/>
        <v>0</v>
      </c>
      <c r="K83" s="711" t="str">
        <f t="shared" si="90"/>
        <v>1.33</v>
      </c>
      <c r="L83" s="711" t="str">
        <f t="shared" si="91"/>
        <v>D+</v>
      </c>
      <c r="M83" s="712" t="str">
        <f t="shared" si="92"/>
        <v>0</v>
      </c>
      <c r="N83" s="1549"/>
      <c r="O83" s="1550"/>
      <c r="P83" s="1550"/>
      <c r="Q83" s="1550"/>
      <c r="R83" s="1550"/>
      <c r="S83" s="1551"/>
      <c r="T83" s="1469"/>
      <c r="U83" s="1469"/>
      <c r="V83" s="1469"/>
      <c r="W83" s="1470"/>
      <c r="X83" s="1533"/>
      <c r="Y83" s="1534"/>
    </row>
    <row r="84" spans="1:25" ht="23.1" customHeight="1" x14ac:dyDescent="0.25">
      <c r="A84" s="1154"/>
      <c r="B84" s="1552"/>
      <c r="C84" s="1553" t="s">
        <v>149</v>
      </c>
      <c r="D84" s="1562">
        <v>13</v>
      </c>
      <c r="E84" s="697"/>
      <c r="F84" s="1906"/>
      <c r="G84" s="697"/>
      <c r="H84" s="1189">
        <f>AVERAGE(H79:H83)</f>
        <v>0</v>
      </c>
      <c r="I84" s="705"/>
      <c r="J84" s="713">
        <f>AVERAGE(J79:J83)</f>
        <v>0</v>
      </c>
      <c r="K84" s="714" t="str">
        <f t="shared" si="90"/>
        <v>1.33</v>
      </c>
      <c r="L84" s="714" t="str">
        <f t="shared" si="91"/>
        <v>D+</v>
      </c>
      <c r="M84" s="888" t="str">
        <f t="shared" si="92"/>
        <v>0</v>
      </c>
      <c r="N84" s="1556"/>
      <c r="O84" s="1557"/>
      <c r="P84" s="1557"/>
      <c r="Q84" s="1557"/>
      <c r="R84" s="1557"/>
      <c r="S84" s="1557"/>
      <c r="T84" s="1557"/>
      <c r="U84" s="1557"/>
      <c r="V84" s="1557"/>
      <c r="W84" s="1558"/>
      <c r="X84" s="1257"/>
      <c r="Y84" s="1258"/>
    </row>
    <row r="85" spans="1:25" ht="23.1" customHeight="1" thickBot="1" x14ac:dyDescent="0.3">
      <c r="A85" s="1478">
        <v>14</v>
      </c>
      <c r="B85" s="683">
        <v>14</v>
      </c>
      <c r="C85" s="1541" t="str">
        <f>VLOOKUP(A85,data_siswa,4,FALSE)</f>
        <v>Moch Zidane Hita L. U</v>
      </c>
      <c r="D85" s="1542" t="s">
        <v>7</v>
      </c>
      <c r="E85" s="627">
        <f>VLOOKUP(A85,UHT_PJOK,38,FALSE)</f>
        <v>0</v>
      </c>
      <c r="F85" s="1904">
        <f>E85*2</f>
        <v>0</v>
      </c>
      <c r="G85" s="627"/>
      <c r="H85" s="627">
        <f>VLOOKUP(B85,REKAP_NILAI,29,FALSE)</f>
        <v>0</v>
      </c>
      <c r="I85" s="706">
        <f>F85+G85+H85</f>
        <v>0</v>
      </c>
      <c r="J85" s="707">
        <f>(F85+G85+H85)/4</f>
        <v>0</v>
      </c>
      <c r="K85" s="708" t="str">
        <f>IF(J85&gt;85,("4"),IF(J85&gt;80,("3.66"),IF(J85&gt;75,("3.33"),IF(J85&gt;70,("3.00"),IF(J85&gt;65,("2.66"),IF(J85&gt;60,("2.33"),IF(J85&gt;55,("2"),IF(J85&gt;50,("1.66"),"1.33"))))))))</f>
        <v>1.33</v>
      </c>
      <c r="L85" s="708" t="str">
        <f>IF(J85&gt;85,("A"),IF(J85&gt;80,("A-"),IF(J85&gt;75,("B+"),IF(J85&gt;70,("B"),IF(J85&gt;65,("B-"),IF(J85&gt;60,("C+"),IF(J85&gt;55,("C"),IF(J85&gt;50,("C-"),"D+"))))))))</f>
        <v>D+</v>
      </c>
      <c r="M85" s="887" t="str">
        <f>IF(J85&gt;80,("SB"),IF(J85&gt;65,("B"),IF(J85&gt;50,("C"),IF(J85&gt;0,("K"),"0"))))</f>
        <v>0</v>
      </c>
      <c r="N85" s="1471"/>
      <c r="O85" s="1471"/>
      <c r="P85" s="1471"/>
      <c r="Q85" s="1471"/>
      <c r="R85" s="1471"/>
      <c r="S85" s="1472"/>
      <c r="T85" s="1473"/>
      <c r="U85" s="1473"/>
      <c r="V85" s="1473"/>
      <c r="W85" s="1473"/>
      <c r="X85" s="704">
        <f>AVERAGE(J85:J89)</f>
        <v>0</v>
      </c>
      <c r="Y85" s="1481" t="str">
        <f>IF(X85&gt;85,("A"),IF(X85&gt;80,("A-"),IF(X85&gt;75,("B+"),IF(X85&gt;70,("B"),IF(X85&gt;65,("B-"),IF(X85&gt;60,("C+"),IF(X85&gt;55,("C"),IF(X85&gt;50,("C-"),"D+"))))))))</f>
        <v>D+</v>
      </c>
    </row>
    <row r="86" spans="1:25" ht="23.1" customHeight="1" x14ac:dyDescent="0.25">
      <c r="A86" s="1478"/>
      <c r="B86" s="683">
        <v>14</v>
      </c>
      <c r="C86" s="1545"/>
      <c r="D86" s="1542" t="s">
        <v>10</v>
      </c>
      <c r="E86" s="627">
        <f>VLOOKUP(A85,UHT_PJOK,39,FALSE)</f>
        <v>0</v>
      </c>
      <c r="F86" s="1905">
        <f t="shared" ref="F86:F89" si="93">E86*2</f>
        <v>0</v>
      </c>
      <c r="G86" s="1152"/>
      <c r="H86" s="627">
        <f>VLOOKUP(B85,REKAP_NILAI,30,FALSE)</f>
        <v>0</v>
      </c>
      <c r="I86" s="709">
        <f t="shared" ref="I86:I89" si="94">F86+G86+H86</f>
        <v>0</v>
      </c>
      <c r="J86" s="710">
        <f t="shared" ref="J86:J89" si="95">(F86+G86+H86)/4</f>
        <v>0</v>
      </c>
      <c r="K86" s="711" t="str">
        <f t="shared" ref="K86:K90" si="96">IF(J86&gt;85,("4"),IF(J86&gt;80,("3.66"),IF(J86&gt;75,("3.33"),IF(J86&gt;70,("3.00"),IF(J86&gt;65,("2.66"),IF(J86&gt;60,("2.33"),IF(J86&gt;55,("2"),IF(J86&gt;50,("1.66"),"1.33"))))))))</f>
        <v>1.33</v>
      </c>
      <c r="L86" s="711" t="str">
        <f t="shared" ref="L86:L90" si="97">IF(J86&gt;85,("A"),IF(J86&gt;80,("A-"),IF(J86&gt;75,("B+"),IF(J86&gt;70,("B"),IF(J86&gt;65,("B-"),IF(J86&gt;60,("C+"),IF(J86&gt;55,("C"),IF(J86&gt;50,("C-"),"D+"))))))))</f>
        <v>D+</v>
      </c>
      <c r="M86" s="712" t="str">
        <f t="shared" ref="M86:M90" si="98">IF(J86&gt;80,("SB"),IF(J86&gt;65,("B"),IF(J86&gt;50,("C"),IF(J86&gt;0,("K"),"0"))))</f>
        <v>0</v>
      </c>
      <c r="N86" s="1546"/>
      <c r="O86" s="1547"/>
      <c r="P86" s="1547"/>
      <c r="Q86" s="1547"/>
      <c r="R86" s="1547"/>
      <c r="S86" s="1548"/>
      <c r="T86" s="1465"/>
      <c r="U86" s="1465"/>
      <c r="V86" s="1465"/>
      <c r="W86" s="1466"/>
      <c r="X86" s="1529"/>
      <c r="Y86" s="1530"/>
    </row>
    <row r="87" spans="1:25" ht="23.1" customHeight="1" x14ac:dyDescent="0.25">
      <c r="A87" s="1478"/>
      <c r="B87" s="683">
        <v>14</v>
      </c>
      <c r="C87" s="1545"/>
      <c r="D87" s="1542" t="s">
        <v>8</v>
      </c>
      <c r="E87" s="627">
        <f>VLOOKUP(A85,UHT_PJOK,40,FALSE)</f>
        <v>0</v>
      </c>
      <c r="F87" s="1905">
        <f t="shared" si="93"/>
        <v>0</v>
      </c>
      <c r="G87" s="1152"/>
      <c r="H87" s="627">
        <f>VLOOKUP(B85,REKAP_NILAI,31,FALSE)</f>
        <v>0</v>
      </c>
      <c r="I87" s="709">
        <f t="shared" si="94"/>
        <v>0</v>
      </c>
      <c r="J87" s="710">
        <f t="shared" si="95"/>
        <v>0</v>
      </c>
      <c r="K87" s="711" t="str">
        <f t="shared" si="96"/>
        <v>1.33</v>
      </c>
      <c r="L87" s="711" t="str">
        <f t="shared" si="97"/>
        <v>D+</v>
      </c>
      <c r="M87" s="712" t="str">
        <f t="shared" si="98"/>
        <v>0</v>
      </c>
      <c r="N87" s="1549"/>
      <c r="O87" s="1550"/>
      <c r="P87" s="1550"/>
      <c r="Q87" s="1550"/>
      <c r="R87" s="1550"/>
      <c r="S87" s="1551"/>
      <c r="T87" s="1469"/>
      <c r="U87" s="1469"/>
      <c r="V87" s="1469"/>
      <c r="W87" s="1470"/>
      <c r="X87" s="1531"/>
      <c r="Y87" s="1532"/>
    </row>
    <row r="88" spans="1:25" ht="23.1" customHeight="1" x14ac:dyDescent="0.25">
      <c r="A88" s="1478"/>
      <c r="B88" s="683">
        <v>14</v>
      </c>
      <c r="C88" s="1545"/>
      <c r="D88" s="1542" t="s">
        <v>18</v>
      </c>
      <c r="E88" s="627">
        <f>VLOOKUP(A85,UHT_PJOK,41,FALSE)</f>
        <v>0</v>
      </c>
      <c r="F88" s="1905">
        <f t="shared" si="93"/>
        <v>0</v>
      </c>
      <c r="G88" s="627"/>
      <c r="H88" s="627">
        <f>VLOOKUP(B85,REKAP_NILAI,29,FALSE)</f>
        <v>0</v>
      </c>
      <c r="I88" s="709">
        <f t="shared" si="94"/>
        <v>0</v>
      </c>
      <c r="J88" s="710">
        <f t="shared" si="95"/>
        <v>0</v>
      </c>
      <c r="K88" s="711" t="str">
        <f t="shared" si="96"/>
        <v>1.33</v>
      </c>
      <c r="L88" s="711" t="str">
        <f t="shared" si="97"/>
        <v>D+</v>
      </c>
      <c r="M88" s="712" t="str">
        <f t="shared" si="98"/>
        <v>0</v>
      </c>
      <c r="N88" s="1549"/>
      <c r="O88" s="1550"/>
      <c r="P88" s="1550"/>
      <c r="Q88" s="1550"/>
      <c r="R88" s="1550"/>
      <c r="S88" s="1551"/>
      <c r="T88" s="1469"/>
      <c r="U88" s="1469"/>
      <c r="V88" s="1469"/>
      <c r="W88" s="1470"/>
      <c r="X88" s="1531"/>
      <c r="Y88" s="1532"/>
    </row>
    <row r="89" spans="1:25" ht="23.1" customHeight="1" x14ac:dyDescent="0.25">
      <c r="A89" s="1478"/>
      <c r="B89" s="683">
        <v>14</v>
      </c>
      <c r="C89" s="1545"/>
      <c r="D89" s="1542" t="s">
        <v>179</v>
      </c>
      <c r="E89" s="627">
        <f>VLOOKUP(A85,UHT_PJOK,42,FALSE)</f>
        <v>0</v>
      </c>
      <c r="F89" s="1905">
        <f t="shared" si="93"/>
        <v>0</v>
      </c>
      <c r="G89" s="1152"/>
      <c r="H89" s="627">
        <f>VLOOKUP(B85,REKAP_NILAI,33,FALSE)</f>
        <v>0</v>
      </c>
      <c r="I89" s="709">
        <f t="shared" si="94"/>
        <v>0</v>
      </c>
      <c r="J89" s="710">
        <f t="shared" si="95"/>
        <v>0</v>
      </c>
      <c r="K89" s="711" t="str">
        <f t="shared" si="96"/>
        <v>1.33</v>
      </c>
      <c r="L89" s="711" t="str">
        <f t="shared" si="97"/>
        <v>D+</v>
      </c>
      <c r="M89" s="712" t="str">
        <f t="shared" si="98"/>
        <v>0</v>
      </c>
      <c r="N89" s="1549"/>
      <c r="O89" s="1550"/>
      <c r="P89" s="1550"/>
      <c r="Q89" s="1550"/>
      <c r="R89" s="1550"/>
      <c r="S89" s="1551"/>
      <c r="T89" s="1469"/>
      <c r="U89" s="1469"/>
      <c r="V89" s="1469"/>
      <c r="W89" s="1470"/>
      <c r="X89" s="1533"/>
      <c r="Y89" s="1534"/>
    </row>
    <row r="90" spans="1:25" ht="23.1" customHeight="1" x14ac:dyDescent="0.25">
      <c r="A90" s="1154"/>
      <c r="B90" s="1552"/>
      <c r="C90" s="1553" t="s">
        <v>149</v>
      </c>
      <c r="D90" s="1562">
        <v>14</v>
      </c>
      <c r="E90" s="1154"/>
      <c r="F90" s="1155"/>
      <c r="G90" s="1162"/>
      <c r="H90" s="1555">
        <f>AVERAGE(H85:H89)</f>
        <v>0</v>
      </c>
      <c r="I90" s="705"/>
      <c r="J90" s="713">
        <f>AVERAGE(J85:J89)</f>
        <v>0</v>
      </c>
      <c r="K90" s="714" t="str">
        <f t="shared" si="96"/>
        <v>1.33</v>
      </c>
      <c r="L90" s="714" t="str">
        <f t="shared" si="97"/>
        <v>D+</v>
      </c>
      <c r="M90" s="888" t="str">
        <f t="shared" si="98"/>
        <v>0</v>
      </c>
      <c r="N90" s="1556"/>
      <c r="O90" s="1557"/>
      <c r="P90" s="1557"/>
      <c r="Q90" s="1557"/>
      <c r="R90" s="1557"/>
      <c r="S90" s="1557"/>
      <c r="T90" s="1557"/>
      <c r="U90" s="1557"/>
      <c r="V90" s="1557"/>
      <c r="W90" s="1558"/>
      <c r="X90" s="1257"/>
      <c r="Y90" s="1258"/>
    </row>
    <row r="91" spans="1:25" ht="23.1" customHeight="1" thickBot="1" x14ac:dyDescent="0.3">
      <c r="A91" s="1478">
        <v>15</v>
      </c>
      <c r="B91" s="683">
        <v>15</v>
      </c>
      <c r="C91" s="1541" t="str">
        <f>VLOOKUP(A91,data_siswa,4,FALSE)</f>
        <v>Muhammad Ibra Maulana</v>
      </c>
      <c r="D91" s="1542" t="s">
        <v>7</v>
      </c>
      <c r="E91" s="627">
        <f>VLOOKUP(A91,UHT_PJOK,38,FALSE)</f>
        <v>0</v>
      </c>
      <c r="F91" s="1904">
        <f>E91*2</f>
        <v>0</v>
      </c>
      <c r="G91" s="627"/>
      <c r="H91" s="627">
        <f>VLOOKUP(B91,REKAP_NILAI,29,FALSE)</f>
        <v>0</v>
      </c>
      <c r="I91" s="706">
        <f>F91+G91+H91</f>
        <v>0</v>
      </c>
      <c r="J91" s="707">
        <f>(F91+G91+H91)/4</f>
        <v>0</v>
      </c>
      <c r="K91" s="708" t="str">
        <f>IF(J91&gt;85,("4"),IF(J91&gt;80,("3.66"),IF(J91&gt;75,("3.33"),IF(J91&gt;70,("3.00"),IF(J91&gt;65,("2.66"),IF(J91&gt;60,("2.33"),IF(J91&gt;55,("2"),IF(J91&gt;50,("1.66"),"1.33"))))))))</f>
        <v>1.33</v>
      </c>
      <c r="L91" s="708" t="str">
        <f>IF(J91&gt;85,("A"),IF(J91&gt;80,("A-"),IF(J91&gt;75,("B+"),IF(J91&gt;70,("B"),IF(J91&gt;65,("B-"),IF(J91&gt;60,("C+"),IF(J91&gt;55,("C"),IF(J91&gt;50,("C-"),"D+"))))))))</f>
        <v>D+</v>
      </c>
      <c r="M91" s="887" t="str">
        <f>IF(J91&gt;80,("SB"),IF(J91&gt;65,("B"),IF(J91&gt;50,("C"),IF(J91&gt;0,("K"),"0"))))</f>
        <v>0</v>
      </c>
      <c r="N91" s="1471"/>
      <c r="O91" s="1471"/>
      <c r="P91" s="1471"/>
      <c r="Q91" s="1471"/>
      <c r="R91" s="1471"/>
      <c r="S91" s="1472"/>
      <c r="T91" s="1473"/>
      <c r="U91" s="1473"/>
      <c r="V91" s="1473"/>
      <c r="W91" s="1473"/>
      <c r="X91" s="704">
        <f>AVERAGE(J91:J95)</f>
        <v>0</v>
      </c>
      <c r="Y91" s="1481" t="str">
        <f>IF(X91&gt;85,("A"),IF(X91&gt;80,("A-"),IF(X91&gt;75,("B+"),IF(X91&gt;70,("B"),IF(X91&gt;65,("B-"),IF(X91&gt;60,("C+"),IF(X91&gt;55,("C"),IF(X91&gt;50,("C-"),"D+"))))))))</f>
        <v>D+</v>
      </c>
    </row>
    <row r="92" spans="1:25" ht="23.1" customHeight="1" x14ac:dyDescent="0.25">
      <c r="A92" s="1478"/>
      <c r="B92" s="683">
        <v>15</v>
      </c>
      <c r="C92" s="1545"/>
      <c r="D92" s="1542" t="s">
        <v>10</v>
      </c>
      <c r="E92" s="627">
        <f>VLOOKUP(A91,UHT_PJOK,39,FALSE)</f>
        <v>0</v>
      </c>
      <c r="F92" s="1905">
        <f t="shared" ref="F92:F95" si="99">E92*2</f>
        <v>0</v>
      </c>
      <c r="G92" s="1152"/>
      <c r="H92" s="627">
        <f>VLOOKUP(B91,REKAP_NILAI,30,FALSE)</f>
        <v>0</v>
      </c>
      <c r="I92" s="709">
        <f t="shared" ref="I92:I95" si="100">F92+G92+H92</f>
        <v>0</v>
      </c>
      <c r="J92" s="710">
        <f t="shared" ref="J92:J95" si="101">(F92+G92+H92)/4</f>
        <v>0</v>
      </c>
      <c r="K92" s="711" t="str">
        <f t="shared" ref="K92:K96" si="102">IF(J92&gt;85,("4"),IF(J92&gt;80,("3.66"),IF(J92&gt;75,("3.33"),IF(J92&gt;70,("3.00"),IF(J92&gt;65,("2.66"),IF(J92&gt;60,("2.33"),IF(J92&gt;55,("2"),IF(J92&gt;50,("1.66"),"1.33"))))))))</f>
        <v>1.33</v>
      </c>
      <c r="L92" s="711" t="str">
        <f t="shared" ref="L92:L96" si="103">IF(J92&gt;85,("A"),IF(J92&gt;80,("A-"),IF(J92&gt;75,("B+"),IF(J92&gt;70,("B"),IF(J92&gt;65,("B-"),IF(J92&gt;60,("C+"),IF(J92&gt;55,("C"),IF(J92&gt;50,("C-"),"D+"))))))))</f>
        <v>D+</v>
      </c>
      <c r="M92" s="712" t="str">
        <f t="shared" ref="M92:M96" si="104">IF(J92&gt;80,("SB"),IF(J92&gt;65,("B"),IF(J92&gt;50,("C"),IF(J92&gt;0,("K"),"0"))))</f>
        <v>0</v>
      </c>
      <c r="N92" s="1546"/>
      <c r="O92" s="1547"/>
      <c r="P92" s="1547"/>
      <c r="Q92" s="1547"/>
      <c r="R92" s="1547"/>
      <c r="S92" s="1548"/>
      <c r="T92" s="1465"/>
      <c r="U92" s="1465"/>
      <c r="V92" s="1465"/>
      <c r="W92" s="1466"/>
      <c r="X92" s="1529"/>
      <c r="Y92" s="1530"/>
    </row>
    <row r="93" spans="1:25" ht="23.1" customHeight="1" x14ac:dyDescent="0.25">
      <c r="A93" s="1478"/>
      <c r="B93" s="683">
        <v>15</v>
      </c>
      <c r="C93" s="1545"/>
      <c r="D93" s="1542" t="s">
        <v>8</v>
      </c>
      <c r="E93" s="627">
        <f>VLOOKUP(A91,UHT_PJOK,40,FALSE)</f>
        <v>0</v>
      </c>
      <c r="F93" s="1905">
        <f t="shared" si="99"/>
        <v>0</v>
      </c>
      <c r="G93" s="1152"/>
      <c r="H93" s="627">
        <f>VLOOKUP(B91,REKAP_NILAI,31,FALSE)</f>
        <v>0</v>
      </c>
      <c r="I93" s="709">
        <f t="shared" si="100"/>
        <v>0</v>
      </c>
      <c r="J93" s="710">
        <f t="shared" si="101"/>
        <v>0</v>
      </c>
      <c r="K93" s="711" t="str">
        <f t="shared" si="102"/>
        <v>1.33</v>
      </c>
      <c r="L93" s="711" t="str">
        <f t="shared" si="103"/>
        <v>D+</v>
      </c>
      <c r="M93" s="712" t="str">
        <f t="shared" si="104"/>
        <v>0</v>
      </c>
      <c r="N93" s="1549"/>
      <c r="O93" s="1550"/>
      <c r="P93" s="1550"/>
      <c r="Q93" s="1550"/>
      <c r="R93" s="1550"/>
      <c r="S93" s="1551"/>
      <c r="T93" s="1469"/>
      <c r="U93" s="1469"/>
      <c r="V93" s="1469"/>
      <c r="W93" s="1470"/>
      <c r="X93" s="1531"/>
      <c r="Y93" s="1532"/>
    </row>
    <row r="94" spans="1:25" ht="23.1" customHeight="1" x14ac:dyDescent="0.25">
      <c r="A94" s="1478"/>
      <c r="B94" s="683">
        <v>15</v>
      </c>
      <c r="C94" s="1545"/>
      <c r="D94" s="1542" t="s">
        <v>18</v>
      </c>
      <c r="E94" s="627">
        <f>VLOOKUP(A91,UHT_PJOK,41,FALSE)</f>
        <v>0</v>
      </c>
      <c r="F94" s="1905">
        <f t="shared" si="99"/>
        <v>0</v>
      </c>
      <c r="G94" s="627"/>
      <c r="H94" s="627">
        <f>VLOOKUP(B91,REKAP_NILAI,29,FALSE)</f>
        <v>0</v>
      </c>
      <c r="I94" s="709">
        <f t="shared" si="100"/>
        <v>0</v>
      </c>
      <c r="J94" s="710">
        <f t="shared" si="101"/>
        <v>0</v>
      </c>
      <c r="K94" s="711" t="str">
        <f t="shared" si="102"/>
        <v>1.33</v>
      </c>
      <c r="L94" s="711" t="str">
        <f t="shared" si="103"/>
        <v>D+</v>
      </c>
      <c r="M94" s="712" t="str">
        <f t="shared" si="104"/>
        <v>0</v>
      </c>
      <c r="N94" s="1549"/>
      <c r="O94" s="1550"/>
      <c r="P94" s="1550"/>
      <c r="Q94" s="1550"/>
      <c r="R94" s="1550"/>
      <c r="S94" s="1551"/>
      <c r="T94" s="1469"/>
      <c r="U94" s="1469"/>
      <c r="V94" s="1469"/>
      <c r="W94" s="1470"/>
      <c r="X94" s="1531"/>
      <c r="Y94" s="1532"/>
    </row>
    <row r="95" spans="1:25" ht="23.1" customHeight="1" x14ac:dyDescent="0.25">
      <c r="A95" s="1478"/>
      <c r="B95" s="683">
        <v>15</v>
      </c>
      <c r="C95" s="1545"/>
      <c r="D95" s="1542" t="s">
        <v>179</v>
      </c>
      <c r="E95" s="627">
        <f>VLOOKUP(A91,UHT_PJOK,42,FALSE)</f>
        <v>0</v>
      </c>
      <c r="F95" s="1905">
        <f t="shared" si="99"/>
        <v>0</v>
      </c>
      <c r="G95" s="1152"/>
      <c r="H95" s="627">
        <f>VLOOKUP(B91,REKAP_NILAI,33,FALSE)</f>
        <v>0</v>
      </c>
      <c r="I95" s="709">
        <f t="shared" si="100"/>
        <v>0</v>
      </c>
      <c r="J95" s="710">
        <f t="shared" si="101"/>
        <v>0</v>
      </c>
      <c r="K95" s="711" t="str">
        <f t="shared" si="102"/>
        <v>1.33</v>
      </c>
      <c r="L95" s="711" t="str">
        <f t="shared" si="103"/>
        <v>D+</v>
      </c>
      <c r="M95" s="712" t="str">
        <f t="shared" si="104"/>
        <v>0</v>
      </c>
      <c r="N95" s="1549"/>
      <c r="O95" s="1550"/>
      <c r="P95" s="1550"/>
      <c r="Q95" s="1550"/>
      <c r="R95" s="1550"/>
      <c r="S95" s="1551"/>
      <c r="T95" s="1469"/>
      <c r="U95" s="1469"/>
      <c r="V95" s="1469"/>
      <c r="W95" s="1470"/>
      <c r="X95" s="1533"/>
      <c r="Y95" s="1534"/>
    </row>
    <row r="96" spans="1:25" ht="23.1" customHeight="1" x14ac:dyDescent="0.25">
      <c r="A96" s="1154"/>
      <c r="B96" s="1552"/>
      <c r="C96" s="1553" t="s">
        <v>149</v>
      </c>
      <c r="D96" s="1562">
        <v>15</v>
      </c>
      <c r="E96" s="1154"/>
      <c r="F96" s="1155"/>
      <c r="G96" s="1162"/>
      <c r="H96" s="1555">
        <f>AVERAGE(H91:H95)</f>
        <v>0</v>
      </c>
      <c r="I96" s="705"/>
      <c r="J96" s="713">
        <f>AVERAGE(J91:J95)</f>
        <v>0</v>
      </c>
      <c r="K96" s="714" t="str">
        <f t="shared" si="102"/>
        <v>1.33</v>
      </c>
      <c r="L96" s="714" t="str">
        <f t="shared" si="103"/>
        <v>D+</v>
      </c>
      <c r="M96" s="888" t="str">
        <f t="shared" si="104"/>
        <v>0</v>
      </c>
      <c r="N96" s="1556"/>
      <c r="O96" s="1557"/>
      <c r="P96" s="1557"/>
      <c r="Q96" s="1557"/>
      <c r="R96" s="1557"/>
      <c r="S96" s="1557"/>
      <c r="T96" s="1557"/>
      <c r="U96" s="1557"/>
      <c r="V96" s="1557"/>
      <c r="W96" s="1558"/>
      <c r="X96" s="1257"/>
      <c r="Y96" s="1258"/>
    </row>
    <row r="97" spans="1:25" ht="23.1" customHeight="1" thickBot="1" x14ac:dyDescent="0.3">
      <c r="A97" s="1477">
        <v>16</v>
      </c>
      <c r="B97" s="683">
        <v>16</v>
      </c>
      <c r="C97" s="1563" t="str">
        <f>VLOOKUP(A97,data_siswa,4,FALSE)</f>
        <v>Nabilla Shiva Putri</v>
      </c>
      <c r="D97" s="1542" t="s">
        <v>7</v>
      </c>
      <c r="E97" s="627">
        <f>VLOOKUP(A97,UHT_PJOK,38,FALSE)</f>
        <v>0</v>
      </c>
      <c r="F97" s="1904">
        <f>E97*2</f>
        <v>0</v>
      </c>
      <c r="G97" s="627"/>
      <c r="H97" s="627">
        <f>VLOOKUP(B97,REKAP_NILAI,29,FALSE)</f>
        <v>0</v>
      </c>
      <c r="I97" s="706">
        <f>F97+G97+H97</f>
        <v>0</v>
      </c>
      <c r="J97" s="707">
        <f>(F97+G97+H97)/4</f>
        <v>0</v>
      </c>
      <c r="K97" s="708" t="str">
        <f>IF(J97&gt;85,("4"),IF(J97&gt;80,("3.66"),IF(J97&gt;75,("3.33"),IF(J97&gt;70,("3.00"),IF(J97&gt;65,("2.66"),IF(J97&gt;60,("2.33"),IF(J97&gt;55,("2"),IF(J97&gt;50,("1.66"),"1.33"))))))))</f>
        <v>1.33</v>
      </c>
      <c r="L97" s="708" t="str">
        <f>IF(J97&gt;85,("A"),IF(J97&gt;80,("A-"),IF(J97&gt;75,("B+"),IF(J97&gt;70,("B"),IF(J97&gt;65,("B-"),IF(J97&gt;60,("C+"),IF(J97&gt;55,("C"),IF(J97&gt;50,("C-"),"D+"))))))))</f>
        <v>D+</v>
      </c>
      <c r="M97" s="887" t="str">
        <f>IF(J97&gt;80,("SB"),IF(J97&gt;65,("B"),IF(J97&gt;50,("C"),IF(J97&gt;0,("K"),"0"))))</f>
        <v>0</v>
      </c>
      <c r="N97" s="1474"/>
      <c r="O97" s="1474"/>
      <c r="P97" s="1474"/>
      <c r="Q97" s="1474"/>
      <c r="R97" s="1474"/>
      <c r="S97" s="1475"/>
      <c r="T97" s="1476"/>
      <c r="U97" s="1476"/>
      <c r="V97" s="1476"/>
      <c r="W97" s="1476"/>
      <c r="X97" s="704">
        <f>AVERAGE(J97:J101)</f>
        <v>0</v>
      </c>
      <c r="Y97" s="1481" t="str">
        <f>IF(X97&gt;85,("A"),IF(X97&gt;80,("A-"),IF(X97&gt;75,("B+"),IF(X97&gt;70,("B"),IF(X97&gt;65,("B-"),IF(X97&gt;60,("C+"),IF(X97&gt;55,("C"),IF(X97&gt;50,("C-"),"D+"))))))))</f>
        <v>D+</v>
      </c>
    </row>
    <row r="98" spans="1:25" ht="23.1" customHeight="1" x14ac:dyDescent="0.25">
      <c r="A98" s="1478"/>
      <c r="B98" s="683">
        <v>16</v>
      </c>
      <c r="C98" s="1545"/>
      <c r="D98" s="1542" t="s">
        <v>10</v>
      </c>
      <c r="E98" s="627">
        <f>VLOOKUP(A97,UHT_PJOK,39,FALSE)</f>
        <v>0</v>
      </c>
      <c r="F98" s="1905">
        <f t="shared" ref="F98:F101" si="105">E98*2</f>
        <v>0</v>
      </c>
      <c r="G98" s="1152"/>
      <c r="H98" s="627">
        <f>VLOOKUP(B97,REKAP_NILAI,30,FALSE)</f>
        <v>0</v>
      </c>
      <c r="I98" s="709">
        <f t="shared" ref="I98:I101" si="106">F98+G98+H98</f>
        <v>0</v>
      </c>
      <c r="J98" s="710">
        <f t="shared" ref="J98:J101" si="107">(F98+G98+H98)/4</f>
        <v>0</v>
      </c>
      <c r="K98" s="711" t="str">
        <f t="shared" ref="K98:K102" si="108">IF(J98&gt;85,("4"),IF(J98&gt;80,("3.66"),IF(J98&gt;75,("3.33"),IF(J98&gt;70,("3.00"),IF(J98&gt;65,("2.66"),IF(J98&gt;60,("2.33"),IF(J98&gt;55,("2"),IF(J98&gt;50,("1.66"),"1.33"))))))))</f>
        <v>1.33</v>
      </c>
      <c r="L98" s="711" t="str">
        <f t="shared" ref="L98:L102" si="109">IF(J98&gt;85,("A"),IF(J98&gt;80,("A-"),IF(J98&gt;75,("B+"),IF(J98&gt;70,("B"),IF(J98&gt;65,("B-"),IF(J98&gt;60,("C+"),IF(J98&gt;55,("C"),IF(J98&gt;50,("C-"),"D+"))))))))</f>
        <v>D+</v>
      </c>
      <c r="M98" s="712" t="str">
        <f t="shared" ref="M98:M102" si="110">IF(J98&gt;80,("SB"),IF(J98&gt;65,("B"),IF(J98&gt;50,("C"),IF(J98&gt;0,("K"),"0"))))</f>
        <v>0</v>
      </c>
      <c r="N98" s="1546"/>
      <c r="O98" s="1547"/>
      <c r="P98" s="1547"/>
      <c r="Q98" s="1547"/>
      <c r="R98" s="1547"/>
      <c r="S98" s="1548"/>
      <c r="T98" s="1465"/>
      <c r="U98" s="1465"/>
      <c r="V98" s="1465"/>
      <c r="W98" s="1466"/>
      <c r="X98" s="1529"/>
      <c r="Y98" s="1530"/>
    </row>
    <row r="99" spans="1:25" ht="23.1" customHeight="1" x14ac:dyDescent="0.25">
      <c r="A99" s="1478"/>
      <c r="B99" s="683">
        <v>16</v>
      </c>
      <c r="C99" s="1545"/>
      <c r="D99" s="1542" t="s">
        <v>8</v>
      </c>
      <c r="E99" s="627">
        <f>VLOOKUP(A97,UHT_PJOK,40,FALSE)</f>
        <v>0</v>
      </c>
      <c r="F99" s="1905">
        <f t="shared" si="105"/>
        <v>0</v>
      </c>
      <c r="G99" s="1152"/>
      <c r="H99" s="627">
        <f>VLOOKUP(B97,REKAP_NILAI,31,FALSE)</f>
        <v>0</v>
      </c>
      <c r="I99" s="709">
        <f t="shared" si="106"/>
        <v>0</v>
      </c>
      <c r="J99" s="710">
        <f t="shared" si="107"/>
        <v>0</v>
      </c>
      <c r="K99" s="711" t="str">
        <f t="shared" si="108"/>
        <v>1.33</v>
      </c>
      <c r="L99" s="711" t="str">
        <f t="shared" si="109"/>
        <v>D+</v>
      </c>
      <c r="M99" s="712" t="str">
        <f t="shared" si="110"/>
        <v>0</v>
      </c>
      <c r="N99" s="1549"/>
      <c r="O99" s="1550"/>
      <c r="P99" s="1550"/>
      <c r="Q99" s="1550"/>
      <c r="R99" s="1550"/>
      <c r="S99" s="1551"/>
      <c r="T99" s="1469"/>
      <c r="U99" s="1469"/>
      <c r="V99" s="1469"/>
      <c r="W99" s="1470"/>
      <c r="X99" s="1531"/>
      <c r="Y99" s="1532"/>
    </row>
    <row r="100" spans="1:25" ht="23.1" customHeight="1" x14ac:dyDescent="0.25">
      <c r="A100" s="1478"/>
      <c r="B100" s="683">
        <v>16</v>
      </c>
      <c r="C100" s="1545"/>
      <c r="D100" s="1542" t="s">
        <v>18</v>
      </c>
      <c r="E100" s="627">
        <f>VLOOKUP(A97,UHT_PJOK,41,FALSE)</f>
        <v>0</v>
      </c>
      <c r="F100" s="1905">
        <f t="shared" si="105"/>
        <v>0</v>
      </c>
      <c r="G100" s="627"/>
      <c r="H100" s="627">
        <f>VLOOKUP(B97,REKAP_NILAI,29,FALSE)</f>
        <v>0</v>
      </c>
      <c r="I100" s="709">
        <f t="shared" si="106"/>
        <v>0</v>
      </c>
      <c r="J100" s="710">
        <f t="shared" si="107"/>
        <v>0</v>
      </c>
      <c r="K100" s="711" t="str">
        <f t="shared" si="108"/>
        <v>1.33</v>
      </c>
      <c r="L100" s="711" t="str">
        <f t="shared" si="109"/>
        <v>D+</v>
      </c>
      <c r="M100" s="712" t="str">
        <f t="shared" si="110"/>
        <v>0</v>
      </c>
      <c r="N100" s="1549"/>
      <c r="O100" s="1550"/>
      <c r="P100" s="1550"/>
      <c r="Q100" s="1550"/>
      <c r="R100" s="1550"/>
      <c r="S100" s="1551"/>
      <c r="T100" s="1469"/>
      <c r="U100" s="1469"/>
      <c r="V100" s="1469"/>
      <c r="W100" s="1470"/>
      <c r="X100" s="1531"/>
      <c r="Y100" s="1532"/>
    </row>
    <row r="101" spans="1:25" ht="23.1" customHeight="1" x14ac:dyDescent="0.25">
      <c r="A101" s="1478"/>
      <c r="B101" s="683">
        <v>16</v>
      </c>
      <c r="C101" s="1545"/>
      <c r="D101" s="1542" t="s">
        <v>179</v>
      </c>
      <c r="E101" s="627">
        <f>VLOOKUP(A97,UHT_PJOK,42,FALSE)</f>
        <v>0</v>
      </c>
      <c r="F101" s="1905">
        <f t="shared" si="105"/>
        <v>0</v>
      </c>
      <c r="G101" s="1152"/>
      <c r="H101" s="627">
        <f>VLOOKUP(B97,REKAP_NILAI,33,FALSE)</f>
        <v>0</v>
      </c>
      <c r="I101" s="709">
        <f t="shared" si="106"/>
        <v>0</v>
      </c>
      <c r="J101" s="710">
        <f t="shared" si="107"/>
        <v>0</v>
      </c>
      <c r="K101" s="711" t="str">
        <f t="shared" si="108"/>
        <v>1.33</v>
      </c>
      <c r="L101" s="711" t="str">
        <f t="shared" si="109"/>
        <v>D+</v>
      </c>
      <c r="M101" s="712" t="str">
        <f t="shared" si="110"/>
        <v>0</v>
      </c>
      <c r="N101" s="1549"/>
      <c r="O101" s="1550"/>
      <c r="P101" s="1550"/>
      <c r="Q101" s="1550"/>
      <c r="R101" s="1550"/>
      <c r="S101" s="1551"/>
      <c r="T101" s="1469"/>
      <c r="U101" s="1469"/>
      <c r="V101" s="1469"/>
      <c r="W101" s="1470"/>
      <c r="X101" s="1533"/>
      <c r="Y101" s="1534"/>
    </row>
    <row r="102" spans="1:25" ht="23.1" customHeight="1" x14ac:dyDescent="0.25">
      <c r="A102" s="1154"/>
      <c r="B102" s="1552"/>
      <c r="C102" s="1553" t="s">
        <v>149</v>
      </c>
      <c r="D102" s="1562">
        <v>16</v>
      </c>
      <c r="E102" s="1154"/>
      <c r="F102" s="1155"/>
      <c r="G102" s="1162"/>
      <c r="H102" s="1555">
        <f>AVERAGE(H97:H101)</f>
        <v>0</v>
      </c>
      <c r="I102" s="705"/>
      <c r="J102" s="713">
        <f>AVERAGE(J97:J101)</f>
        <v>0</v>
      </c>
      <c r="K102" s="714" t="str">
        <f t="shared" si="108"/>
        <v>1.33</v>
      </c>
      <c r="L102" s="714" t="str">
        <f t="shared" si="109"/>
        <v>D+</v>
      </c>
      <c r="M102" s="888" t="str">
        <f t="shared" si="110"/>
        <v>0</v>
      </c>
      <c r="N102" s="1556"/>
      <c r="O102" s="1557"/>
      <c r="P102" s="1557"/>
      <c r="Q102" s="1557"/>
      <c r="R102" s="1557"/>
      <c r="S102" s="1557"/>
      <c r="T102" s="1557"/>
      <c r="U102" s="1557"/>
      <c r="V102" s="1557"/>
      <c r="W102" s="1558"/>
      <c r="X102" s="1257"/>
      <c r="Y102" s="1258"/>
    </row>
    <row r="103" spans="1:25" ht="23.1" customHeight="1" thickBot="1" x14ac:dyDescent="0.3">
      <c r="A103" s="1477">
        <v>17</v>
      </c>
      <c r="B103" s="683">
        <v>17</v>
      </c>
      <c r="C103" s="1563" t="str">
        <f>VLOOKUP(A103,data_siswa,4,FALSE)</f>
        <v>Naufal Falih F</v>
      </c>
      <c r="D103" s="1542" t="s">
        <v>7</v>
      </c>
      <c r="E103" s="627">
        <f>VLOOKUP(A103,UHT_PJOK,38,FALSE)</f>
        <v>0</v>
      </c>
      <c r="F103" s="1904">
        <f>E103*2</f>
        <v>0</v>
      </c>
      <c r="G103" s="627"/>
      <c r="H103" s="627">
        <f>VLOOKUP(B103,REKAP_NILAI,29,FALSE)</f>
        <v>0</v>
      </c>
      <c r="I103" s="706">
        <f>F103+G103+H103</f>
        <v>0</v>
      </c>
      <c r="J103" s="707">
        <f>(F103+G103+H103)/4</f>
        <v>0</v>
      </c>
      <c r="K103" s="708" t="str">
        <f>IF(J103&gt;85,("4"),IF(J103&gt;80,("3.66"),IF(J103&gt;75,("3.33"),IF(J103&gt;70,("3.00"),IF(J103&gt;65,("2.66"),IF(J103&gt;60,("2.33"),IF(J103&gt;55,("2"),IF(J103&gt;50,("1.66"),"1.33"))))))))</f>
        <v>1.33</v>
      </c>
      <c r="L103" s="708" t="str">
        <f>IF(J103&gt;85,("A"),IF(J103&gt;80,("A-"),IF(J103&gt;75,("B+"),IF(J103&gt;70,("B"),IF(J103&gt;65,("B-"),IF(J103&gt;60,("C+"),IF(J103&gt;55,("C"),IF(J103&gt;50,("C-"),"D+"))))))))</f>
        <v>D+</v>
      </c>
      <c r="M103" s="887" t="str">
        <f>IF(J103&gt;80,("SB"),IF(J103&gt;65,("B"),IF(J103&gt;50,("C"),IF(J103&gt;0,("K"),"0"))))</f>
        <v>0</v>
      </c>
      <c r="N103" s="1474"/>
      <c r="O103" s="1474"/>
      <c r="P103" s="1474"/>
      <c r="Q103" s="1474"/>
      <c r="R103" s="1474"/>
      <c r="S103" s="1475"/>
      <c r="T103" s="1476"/>
      <c r="U103" s="1476"/>
      <c r="V103" s="1476"/>
      <c r="W103" s="1476"/>
      <c r="X103" s="704">
        <f>AVERAGE(J103:J107)</f>
        <v>0</v>
      </c>
      <c r="Y103" s="1481" t="str">
        <f>IF(X103&gt;85,("A"),IF(X103&gt;80,("A-"),IF(X103&gt;75,("B+"),IF(X103&gt;70,("B"),IF(X103&gt;65,("B-"),IF(X103&gt;60,("C+"),IF(X103&gt;55,("C"),IF(X103&gt;50,("C-"),"D+"))))))))</f>
        <v>D+</v>
      </c>
    </row>
    <row r="104" spans="1:25" ht="23.1" customHeight="1" x14ac:dyDescent="0.25">
      <c r="A104" s="1478"/>
      <c r="B104" s="683">
        <v>17</v>
      </c>
      <c r="C104" s="1545"/>
      <c r="D104" s="1542" t="s">
        <v>10</v>
      </c>
      <c r="E104" s="627">
        <f>VLOOKUP(A103,UHT_PJOK,39,FALSE)</f>
        <v>0</v>
      </c>
      <c r="F104" s="1905">
        <f t="shared" ref="F104:F107" si="111">E104*2</f>
        <v>0</v>
      </c>
      <c r="G104" s="1152"/>
      <c r="H104" s="627">
        <f>VLOOKUP(B103,REKAP_NILAI,30,FALSE)</f>
        <v>0</v>
      </c>
      <c r="I104" s="709">
        <f t="shared" ref="I104:I107" si="112">F104+G104+H104</f>
        <v>0</v>
      </c>
      <c r="J104" s="710">
        <f t="shared" ref="J104:J107" si="113">(F104+G104+H104)/4</f>
        <v>0</v>
      </c>
      <c r="K104" s="711" t="str">
        <f t="shared" ref="K104:K108" si="114">IF(J104&gt;85,("4"),IF(J104&gt;80,("3.66"),IF(J104&gt;75,("3.33"),IF(J104&gt;70,("3.00"),IF(J104&gt;65,("2.66"),IF(J104&gt;60,("2.33"),IF(J104&gt;55,("2"),IF(J104&gt;50,("1.66"),"1.33"))))))))</f>
        <v>1.33</v>
      </c>
      <c r="L104" s="711" t="str">
        <f t="shared" ref="L104:L108" si="115">IF(J104&gt;85,("A"),IF(J104&gt;80,("A-"),IF(J104&gt;75,("B+"),IF(J104&gt;70,("B"),IF(J104&gt;65,("B-"),IF(J104&gt;60,("C+"),IF(J104&gt;55,("C"),IF(J104&gt;50,("C-"),"D+"))))))))</f>
        <v>D+</v>
      </c>
      <c r="M104" s="712" t="str">
        <f t="shared" ref="M104:M108" si="116">IF(J104&gt;80,("SB"),IF(J104&gt;65,("B"),IF(J104&gt;50,("C"),IF(J104&gt;0,("K"),"0"))))</f>
        <v>0</v>
      </c>
      <c r="N104" s="1546"/>
      <c r="O104" s="1547"/>
      <c r="P104" s="1547"/>
      <c r="Q104" s="1547"/>
      <c r="R104" s="1547"/>
      <c r="S104" s="1548"/>
      <c r="T104" s="1465"/>
      <c r="U104" s="1465"/>
      <c r="V104" s="1465"/>
      <c r="W104" s="1466"/>
      <c r="X104" s="1529"/>
      <c r="Y104" s="1530"/>
    </row>
    <row r="105" spans="1:25" ht="23.1" customHeight="1" x14ac:dyDescent="0.25">
      <c r="A105" s="1478"/>
      <c r="B105" s="683">
        <v>17</v>
      </c>
      <c r="C105" s="1545"/>
      <c r="D105" s="1542" t="s">
        <v>8</v>
      </c>
      <c r="E105" s="627">
        <f>VLOOKUP(A103,UHT_PJOK,40,FALSE)</f>
        <v>0</v>
      </c>
      <c r="F105" s="1905">
        <f t="shared" si="111"/>
        <v>0</v>
      </c>
      <c r="G105" s="1152"/>
      <c r="H105" s="627">
        <f>VLOOKUP(B103,REKAP_NILAI,31,FALSE)</f>
        <v>0</v>
      </c>
      <c r="I105" s="709">
        <f t="shared" si="112"/>
        <v>0</v>
      </c>
      <c r="J105" s="710">
        <f t="shared" si="113"/>
        <v>0</v>
      </c>
      <c r="K105" s="711" t="str">
        <f t="shared" si="114"/>
        <v>1.33</v>
      </c>
      <c r="L105" s="711" t="str">
        <f t="shared" si="115"/>
        <v>D+</v>
      </c>
      <c r="M105" s="712" t="str">
        <f t="shared" si="116"/>
        <v>0</v>
      </c>
      <c r="N105" s="1549"/>
      <c r="O105" s="1550"/>
      <c r="P105" s="1550"/>
      <c r="Q105" s="1550"/>
      <c r="R105" s="1550"/>
      <c r="S105" s="1551"/>
      <c r="T105" s="1469"/>
      <c r="U105" s="1469"/>
      <c r="V105" s="1469"/>
      <c r="W105" s="1470"/>
      <c r="X105" s="1531"/>
      <c r="Y105" s="1532"/>
    </row>
    <row r="106" spans="1:25" ht="23.1" customHeight="1" x14ac:dyDescent="0.25">
      <c r="A106" s="1478"/>
      <c r="B106" s="683">
        <v>17</v>
      </c>
      <c r="C106" s="1545"/>
      <c r="D106" s="1542" t="s">
        <v>18</v>
      </c>
      <c r="E106" s="627">
        <f>VLOOKUP(A103,UHT_PJOK,41,FALSE)</f>
        <v>0</v>
      </c>
      <c r="F106" s="1905">
        <f t="shared" si="111"/>
        <v>0</v>
      </c>
      <c r="G106" s="627"/>
      <c r="H106" s="627">
        <f>VLOOKUP(B103,REKAP_NILAI,29,FALSE)</f>
        <v>0</v>
      </c>
      <c r="I106" s="709">
        <f t="shared" si="112"/>
        <v>0</v>
      </c>
      <c r="J106" s="710">
        <f t="shared" si="113"/>
        <v>0</v>
      </c>
      <c r="K106" s="711" t="str">
        <f t="shared" si="114"/>
        <v>1.33</v>
      </c>
      <c r="L106" s="711" t="str">
        <f t="shared" si="115"/>
        <v>D+</v>
      </c>
      <c r="M106" s="712" t="str">
        <f t="shared" si="116"/>
        <v>0</v>
      </c>
      <c r="N106" s="1549"/>
      <c r="O106" s="1550"/>
      <c r="P106" s="1550"/>
      <c r="Q106" s="1550"/>
      <c r="R106" s="1550"/>
      <c r="S106" s="1551"/>
      <c r="T106" s="1469"/>
      <c r="U106" s="1469"/>
      <c r="V106" s="1469"/>
      <c r="W106" s="1470"/>
      <c r="X106" s="1531"/>
      <c r="Y106" s="1532"/>
    </row>
    <row r="107" spans="1:25" ht="23.1" customHeight="1" x14ac:dyDescent="0.25">
      <c r="A107" s="1478"/>
      <c r="B107" s="683">
        <v>17</v>
      </c>
      <c r="C107" s="1545"/>
      <c r="D107" s="1542" t="s">
        <v>179</v>
      </c>
      <c r="E107" s="627">
        <f>VLOOKUP(A103,UHT_PJOK,42,FALSE)</f>
        <v>0</v>
      </c>
      <c r="F107" s="1905">
        <f t="shared" si="111"/>
        <v>0</v>
      </c>
      <c r="G107" s="1152"/>
      <c r="H107" s="627">
        <f>VLOOKUP(B103,REKAP_NILAI,33,FALSE)</f>
        <v>0</v>
      </c>
      <c r="I107" s="709">
        <f t="shared" si="112"/>
        <v>0</v>
      </c>
      <c r="J107" s="710">
        <f t="shared" si="113"/>
        <v>0</v>
      </c>
      <c r="K107" s="711" t="str">
        <f t="shared" si="114"/>
        <v>1.33</v>
      </c>
      <c r="L107" s="711" t="str">
        <f t="shared" si="115"/>
        <v>D+</v>
      </c>
      <c r="M107" s="712" t="str">
        <f t="shared" si="116"/>
        <v>0</v>
      </c>
      <c r="N107" s="1549"/>
      <c r="O107" s="1550"/>
      <c r="P107" s="1550"/>
      <c r="Q107" s="1550"/>
      <c r="R107" s="1550"/>
      <c r="S107" s="1551"/>
      <c r="T107" s="1469"/>
      <c r="U107" s="1469"/>
      <c r="V107" s="1469"/>
      <c r="W107" s="1470"/>
      <c r="X107" s="1533"/>
      <c r="Y107" s="1534"/>
    </row>
    <row r="108" spans="1:25" ht="23.1" customHeight="1" x14ac:dyDescent="0.25">
      <c r="A108" s="1154"/>
      <c r="B108" s="1552"/>
      <c r="C108" s="1553" t="s">
        <v>149</v>
      </c>
      <c r="D108" s="1562">
        <v>17</v>
      </c>
      <c r="E108" s="697"/>
      <c r="F108" s="1906"/>
      <c r="G108" s="697"/>
      <c r="H108" s="1189">
        <f>AVERAGE(H103:H107)</f>
        <v>0</v>
      </c>
      <c r="I108" s="705"/>
      <c r="J108" s="713">
        <f>AVERAGE(J103:J107)</f>
        <v>0</v>
      </c>
      <c r="K108" s="714" t="str">
        <f t="shared" si="114"/>
        <v>1.33</v>
      </c>
      <c r="L108" s="714" t="str">
        <f t="shared" si="115"/>
        <v>D+</v>
      </c>
      <c r="M108" s="888" t="str">
        <f t="shared" si="116"/>
        <v>0</v>
      </c>
      <c r="N108" s="1556"/>
      <c r="O108" s="1557"/>
      <c r="P108" s="1557"/>
      <c r="Q108" s="1557"/>
      <c r="R108" s="1557"/>
      <c r="S108" s="1557"/>
      <c r="T108" s="1557"/>
      <c r="U108" s="1557"/>
      <c r="V108" s="1557"/>
      <c r="W108" s="1558"/>
      <c r="X108" s="1257"/>
      <c r="Y108" s="1258"/>
    </row>
    <row r="109" spans="1:25" ht="23.1" customHeight="1" thickBot="1" x14ac:dyDescent="0.3">
      <c r="A109" s="1477">
        <v>18</v>
      </c>
      <c r="B109" s="683">
        <v>18</v>
      </c>
      <c r="C109" s="1563" t="str">
        <f>VLOOKUP(A109,data_siswa,4,FALSE)</f>
        <v>Nayla Annora Nobel W</v>
      </c>
      <c r="D109" s="1542" t="s">
        <v>7</v>
      </c>
      <c r="E109" s="627">
        <f>VLOOKUP(A109,UHT_PJOK,38,FALSE)</f>
        <v>0</v>
      </c>
      <c r="F109" s="1904">
        <f>E109*2</f>
        <v>0</v>
      </c>
      <c r="G109" s="627"/>
      <c r="H109" s="627">
        <f>VLOOKUP(B109,REKAP_NILAI,29,FALSE)</f>
        <v>0</v>
      </c>
      <c r="I109" s="706">
        <f>F109+G109+H109</f>
        <v>0</v>
      </c>
      <c r="J109" s="707">
        <f>(F109+G109+H109)/4</f>
        <v>0</v>
      </c>
      <c r="K109" s="708" t="str">
        <f>IF(J109&gt;85,("4"),IF(J109&gt;80,("3.66"),IF(J109&gt;75,("3.33"),IF(J109&gt;70,("3.00"),IF(J109&gt;65,("2.66"),IF(J109&gt;60,("2.33"),IF(J109&gt;55,("2"),IF(J109&gt;50,("1.66"),"1.33"))))))))</f>
        <v>1.33</v>
      </c>
      <c r="L109" s="708" t="str">
        <f>IF(J109&gt;85,("A"),IF(J109&gt;80,("A-"),IF(J109&gt;75,("B+"),IF(J109&gt;70,("B"),IF(J109&gt;65,("B-"),IF(J109&gt;60,("C+"),IF(J109&gt;55,("C"),IF(J109&gt;50,("C-"),"D+"))))))))</f>
        <v>D+</v>
      </c>
      <c r="M109" s="887" t="str">
        <f>IF(J109&gt;80,("SB"),IF(J109&gt;65,("B"),IF(J109&gt;50,("C"),IF(J109&gt;0,("K"),"0"))))</f>
        <v>0</v>
      </c>
      <c r="N109" s="1474"/>
      <c r="O109" s="1474"/>
      <c r="P109" s="1474"/>
      <c r="Q109" s="1474"/>
      <c r="R109" s="1474"/>
      <c r="S109" s="1475"/>
      <c r="T109" s="1476"/>
      <c r="U109" s="1476"/>
      <c r="V109" s="1476"/>
      <c r="W109" s="1476"/>
      <c r="X109" s="704">
        <f>AVERAGE(J109:J113)</f>
        <v>0</v>
      </c>
      <c r="Y109" s="1481" t="str">
        <f>IF(X109&gt;85,("A"),IF(X109&gt;80,("A-"),IF(X109&gt;75,("B+"),IF(X109&gt;70,("B"),IF(X109&gt;65,("B-"),IF(X109&gt;60,("C+"),IF(X109&gt;55,("C"),IF(X109&gt;50,("C-"),"D+"))))))))</f>
        <v>D+</v>
      </c>
    </row>
    <row r="110" spans="1:25" ht="23.1" customHeight="1" x14ac:dyDescent="0.25">
      <c r="A110" s="1478"/>
      <c r="B110" s="1352">
        <v>18</v>
      </c>
      <c r="C110" s="1545"/>
      <c r="D110" s="1542" t="s">
        <v>10</v>
      </c>
      <c r="E110" s="627">
        <f>VLOOKUP(A109,UHT_PJOK,39,FALSE)</f>
        <v>0</v>
      </c>
      <c r="F110" s="1905">
        <f t="shared" ref="F110:F113" si="117">E110*2</f>
        <v>0</v>
      </c>
      <c r="G110" s="1152"/>
      <c r="H110" s="627">
        <f>VLOOKUP(B109,REKAP_NILAI,30,FALSE)</f>
        <v>0</v>
      </c>
      <c r="I110" s="709">
        <f t="shared" ref="I110:I113" si="118">F110+G110+H110</f>
        <v>0</v>
      </c>
      <c r="J110" s="710">
        <f t="shared" ref="J110:J113" si="119">(F110+G110+H110)/4</f>
        <v>0</v>
      </c>
      <c r="K110" s="711" t="str">
        <f t="shared" ref="K110:K114" si="120">IF(J110&gt;85,("4"),IF(J110&gt;80,("3.66"),IF(J110&gt;75,("3.33"),IF(J110&gt;70,("3.00"),IF(J110&gt;65,("2.66"),IF(J110&gt;60,("2.33"),IF(J110&gt;55,("2"),IF(J110&gt;50,("1.66"),"1.33"))))))))</f>
        <v>1.33</v>
      </c>
      <c r="L110" s="711" t="str">
        <f t="shared" ref="L110:L114" si="121">IF(J110&gt;85,("A"),IF(J110&gt;80,("A-"),IF(J110&gt;75,("B+"),IF(J110&gt;70,("B"),IF(J110&gt;65,("B-"),IF(J110&gt;60,("C+"),IF(J110&gt;55,("C"),IF(J110&gt;50,("C-"),"D+"))))))))</f>
        <v>D+</v>
      </c>
      <c r="M110" s="712" t="str">
        <f t="shared" ref="M110:M114" si="122">IF(J110&gt;80,("SB"),IF(J110&gt;65,("B"),IF(J110&gt;50,("C"),IF(J110&gt;0,("K"),"0"))))</f>
        <v>0</v>
      </c>
      <c r="N110" s="1546"/>
      <c r="O110" s="1547"/>
      <c r="P110" s="1547"/>
      <c r="Q110" s="1547"/>
      <c r="R110" s="1547"/>
      <c r="S110" s="1548"/>
      <c r="T110" s="1465"/>
      <c r="U110" s="1465"/>
      <c r="V110" s="1465"/>
      <c r="W110" s="1466"/>
      <c r="X110" s="1529"/>
      <c r="Y110" s="1530"/>
    </row>
    <row r="111" spans="1:25" ht="23.1" customHeight="1" x14ac:dyDescent="0.25">
      <c r="A111" s="1478"/>
      <c r="B111" s="1352">
        <v>18</v>
      </c>
      <c r="C111" s="1545"/>
      <c r="D111" s="1542" t="s">
        <v>8</v>
      </c>
      <c r="E111" s="627">
        <f>VLOOKUP(A109,UHT_PJOK,40,FALSE)</f>
        <v>0</v>
      </c>
      <c r="F111" s="1905">
        <f t="shared" si="117"/>
        <v>0</v>
      </c>
      <c r="G111" s="1152"/>
      <c r="H111" s="627">
        <f>VLOOKUP(B109,REKAP_NILAI,31,FALSE)</f>
        <v>0</v>
      </c>
      <c r="I111" s="709">
        <f t="shared" si="118"/>
        <v>0</v>
      </c>
      <c r="J111" s="710">
        <f t="shared" si="119"/>
        <v>0</v>
      </c>
      <c r="K111" s="711" t="str">
        <f t="shared" si="120"/>
        <v>1.33</v>
      </c>
      <c r="L111" s="711" t="str">
        <f t="shared" si="121"/>
        <v>D+</v>
      </c>
      <c r="M111" s="712" t="str">
        <f t="shared" si="122"/>
        <v>0</v>
      </c>
      <c r="N111" s="1549"/>
      <c r="O111" s="1550"/>
      <c r="P111" s="1550"/>
      <c r="Q111" s="1550"/>
      <c r="R111" s="1550"/>
      <c r="S111" s="1551"/>
      <c r="T111" s="1469"/>
      <c r="U111" s="1469"/>
      <c r="V111" s="1469"/>
      <c r="W111" s="1470"/>
      <c r="X111" s="1531"/>
      <c r="Y111" s="1532"/>
    </row>
    <row r="112" spans="1:25" ht="23.1" customHeight="1" x14ac:dyDescent="0.25">
      <c r="A112" s="1478"/>
      <c r="B112" s="1352">
        <v>18</v>
      </c>
      <c r="C112" s="1545"/>
      <c r="D112" s="1542" t="s">
        <v>18</v>
      </c>
      <c r="E112" s="627">
        <f>VLOOKUP(A109,UHT_PJOK,41,FALSE)</f>
        <v>0</v>
      </c>
      <c r="F112" s="1905">
        <f t="shared" si="117"/>
        <v>0</v>
      </c>
      <c r="G112" s="627"/>
      <c r="H112" s="627">
        <f>VLOOKUP(B109,REKAP_NILAI,29,FALSE)</f>
        <v>0</v>
      </c>
      <c r="I112" s="709">
        <f t="shared" si="118"/>
        <v>0</v>
      </c>
      <c r="J112" s="710">
        <f t="shared" si="119"/>
        <v>0</v>
      </c>
      <c r="K112" s="711" t="str">
        <f t="shared" si="120"/>
        <v>1.33</v>
      </c>
      <c r="L112" s="711" t="str">
        <f t="shared" si="121"/>
        <v>D+</v>
      </c>
      <c r="M112" s="712" t="str">
        <f t="shared" si="122"/>
        <v>0</v>
      </c>
      <c r="N112" s="1549"/>
      <c r="O112" s="1550"/>
      <c r="P112" s="1550"/>
      <c r="Q112" s="1550"/>
      <c r="R112" s="1550"/>
      <c r="S112" s="1551"/>
      <c r="T112" s="1469"/>
      <c r="U112" s="1469"/>
      <c r="V112" s="1469"/>
      <c r="W112" s="1470"/>
      <c r="X112" s="1531"/>
      <c r="Y112" s="1532"/>
    </row>
    <row r="113" spans="1:25" ht="23.1" customHeight="1" x14ac:dyDescent="0.25">
      <c r="A113" s="1478"/>
      <c r="B113" s="1352">
        <v>18</v>
      </c>
      <c r="C113" s="1545"/>
      <c r="D113" s="1542" t="s">
        <v>179</v>
      </c>
      <c r="E113" s="627">
        <f>VLOOKUP(A109,UHT_PJOK,42,FALSE)</f>
        <v>0</v>
      </c>
      <c r="F113" s="1905">
        <f t="shared" si="117"/>
        <v>0</v>
      </c>
      <c r="G113" s="1152"/>
      <c r="H113" s="627">
        <f>VLOOKUP(B109,REKAP_NILAI,33,FALSE)</f>
        <v>0</v>
      </c>
      <c r="I113" s="709">
        <f t="shared" si="118"/>
        <v>0</v>
      </c>
      <c r="J113" s="710">
        <f t="shared" si="119"/>
        <v>0</v>
      </c>
      <c r="K113" s="711" t="str">
        <f t="shared" si="120"/>
        <v>1.33</v>
      </c>
      <c r="L113" s="711" t="str">
        <f t="shared" si="121"/>
        <v>D+</v>
      </c>
      <c r="M113" s="712" t="str">
        <f t="shared" si="122"/>
        <v>0</v>
      </c>
      <c r="N113" s="1549"/>
      <c r="O113" s="1550"/>
      <c r="P113" s="1550"/>
      <c r="Q113" s="1550"/>
      <c r="R113" s="1550"/>
      <c r="S113" s="1551"/>
      <c r="T113" s="1469"/>
      <c r="U113" s="1469"/>
      <c r="V113" s="1469"/>
      <c r="W113" s="1470"/>
      <c r="X113" s="1533"/>
      <c r="Y113" s="1534"/>
    </row>
    <row r="114" spans="1:25" ht="23.1" customHeight="1" x14ac:dyDescent="0.25">
      <c r="A114" s="1154"/>
      <c r="B114" s="1552"/>
      <c r="C114" s="1553" t="s">
        <v>149</v>
      </c>
      <c r="D114" s="1562">
        <v>18</v>
      </c>
      <c r="E114" s="697"/>
      <c r="F114" s="1906"/>
      <c r="G114" s="697"/>
      <c r="H114" s="1189">
        <f>AVERAGE(H109:H113)</f>
        <v>0</v>
      </c>
      <c r="I114" s="705"/>
      <c r="J114" s="713">
        <f>AVERAGE(J109:J113)</f>
        <v>0</v>
      </c>
      <c r="K114" s="714" t="str">
        <f t="shared" si="120"/>
        <v>1.33</v>
      </c>
      <c r="L114" s="714" t="str">
        <f t="shared" si="121"/>
        <v>D+</v>
      </c>
      <c r="M114" s="888" t="str">
        <f t="shared" si="122"/>
        <v>0</v>
      </c>
      <c r="N114" s="1556"/>
      <c r="O114" s="1557"/>
      <c r="P114" s="1557"/>
      <c r="Q114" s="1557"/>
      <c r="R114" s="1557"/>
      <c r="S114" s="1557"/>
      <c r="T114" s="1557"/>
      <c r="U114" s="1557"/>
      <c r="V114" s="1557"/>
      <c r="W114" s="1558"/>
      <c r="X114" s="1257"/>
      <c r="Y114" s="1258"/>
    </row>
    <row r="115" spans="1:25" ht="23.1" customHeight="1" thickBot="1" x14ac:dyDescent="0.3">
      <c r="A115" s="1477">
        <v>19</v>
      </c>
      <c r="B115" s="683">
        <v>19</v>
      </c>
      <c r="C115" s="1563" t="str">
        <f>VLOOKUP(A115,data_siswa,4,FALSE)</f>
        <v>Raihan Danang P</v>
      </c>
      <c r="D115" s="1542" t="s">
        <v>7</v>
      </c>
      <c r="E115" s="627">
        <f>VLOOKUP(A115,UHT_PJOK,38,FALSE)</f>
        <v>0</v>
      </c>
      <c r="F115" s="1904">
        <f>E115*2</f>
        <v>0</v>
      </c>
      <c r="G115" s="627"/>
      <c r="H115" s="627">
        <f>VLOOKUP(B115,REKAP_NILAI,29,FALSE)</f>
        <v>0</v>
      </c>
      <c r="I115" s="706">
        <f>F115+G115+H115</f>
        <v>0</v>
      </c>
      <c r="J115" s="707">
        <f>(F115+G115+H115)/4</f>
        <v>0</v>
      </c>
      <c r="K115" s="708" t="str">
        <f>IF(J115&gt;85,("4"),IF(J115&gt;80,("3.66"),IF(J115&gt;75,("3.33"),IF(J115&gt;70,("3.00"),IF(J115&gt;65,("2.66"),IF(J115&gt;60,("2.33"),IF(J115&gt;55,("2"),IF(J115&gt;50,("1.66"),"1.33"))))))))</f>
        <v>1.33</v>
      </c>
      <c r="L115" s="708" t="str">
        <f>IF(J115&gt;85,("A"),IF(J115&gt;80,("A-"),IF(J115&gt;75,("B+"),IF(J115&gt;70,("B"),IF(J115&gt;65,("B-"),IF(J115&gt;60,("C+"),IF(J115&gt;55,("C"),IF(J115&gt;50,("C-"),"D+"))))))))</f>
        <v>D+</v>
      </c>
      <c r="M115" s="887" t="str">
        <f>IF(J115&gt;80,("SB"),IF(J115&gt;65,("B"),IF(J115&gt;50,("C"),IF(J115&gt;0,("K"),"0"))))</f>
        <v>0</v>
      </c>
      <c r="N115" s="1474"/>
      <c r="O115" s="1474"/>
      <c r="P115" s="1474"/>
      <c r="Q115" s="1474"/>
      <c r="R115" s="1474"/>
      <c r="S115" s="1475"/>
      <c r="T115" s="1476"/>
      <c r="U115" s="1476"/>
      <c r="V115" s="1476"/>
      <c r="W115" s="1476"/>
      <c r="X115" s="704">
        <f>AVERAGE(J115:J119)</f>
        <v>0</v>
      </c>
      <c r="Y115" s="1481" t="str">
        <f>IF(X115&gt;85,("A"),IF(X115&gt;80,("A-"),IF(X115&gt;75,("B+"),IF(X115&gt;70,("B"),IF(X115&gt;65,("B-"),IF(X115&gt;60,("C+"),IF(X115&gt;55,("C"),IF(X115&gt;50,("C-"),"D+"))))))))</f>
        <v>D+</v>
      </c>
    </row>
    <row r="116" spans="1:25" ht="23.1" customHeight="1" x14ac:dyDescent="0.25">
      <c r="A116" s="1478"/>
      <c r="B116" s="683">
        <v>19</v>
      </c>
      <c r="C116" s="1545"/>
      <c r="D116" s="1542" t="s">
        <v>10</v>
      </c>
      <c r="E116" s="627">
        <f>VLOOKUP(A115,UHT_PJOK,39,FALSE)</f>
        <v>0</v>
      </c>
      <c r="F116" s="1905">
        <f t="shared" ref="F116:F119" si="123">E116*2</f>
        <v>0</v>
      </c>
      <c r="G116" s="1152"/>
      <c r="H116" s="627">
        <f>VLOOKUP(B115,REKAP_NILAI,30,FALSE)</f>
        <v>0</v>
      </c>
      <c r="I116" s="709">
        <f t="shared" ref="I116:I119" si="124">F116+G116+H116</f>
        <v>0</v>
      </c>
      <c r="J116" s="710">
        <f t="shared" ref="J116:J119" si="125">(F116+G116+H116)/4</f>
        <v>0</v>
      </c>
      <c r="K116" s="711" t="str">
        <f t="shared" ref="K116:K119" si="126">IF(J116&gt;85,("4"),IF(J116&gt;80,("3.66"),IF(J116&gt;75,("3.33"),IF(J116&gt;70,("3.00"),IF(J116&gt;65,("2.66"),IF(J116&gt;60,("2.33"),IF(J116&gt;55,("2"),IF(J116&gt;50,("1.66"),"1.33"))))))))</f>
        <v>1.33</v>
      </c>
      <c r="L116" s="711" t="str">
        <f t="shared" ref="L116:L119" si="127">IF(J116&gt;85,("A"),IF(J116&gt;80,("A-"),IF(J116&gt;75,("B+"),IF(J116&gt;70,("B"),IF(J116&gt;65,("B-"),IF(J116&gt;60,("C+"),IF(J116&gt;55,("C"),IF(J116&gt;50,("C-"),"D+"))))))))</f>
        <v>D+</v>
      </c>
      <c r="M116" s="712" t="str">
        <f t="shared" ref="M116:M119" si="128">IF(J116&gt;80,("SB"),IF(J116&gt;65,("B"),IF(J116&gt;50,("C"),IF(J116&gt;0,("K"),"0"))))</f>
        <v>0</v>
      </c>
      <c r="N116" s="1546"/>
      <c r="O116" s="1547"/>
      <c r="P116" s="1547"/>
      <c r="Q116" s="1547"/>
      <c r="R116" s="1547"/>
      <c r="S116" s="1548"/>
      <c r="T116" s="1465"/>
      <c r="U116" s="1465"/>
      <c r="V116" s="1465"/>
      <c r="W116" s="1466"/>
      <c r="X116" s="1529"/>
      <c r="Y116" s="1530"/>
    </row>
    <row r="117" spans="1:25" ht="23.1" customHeight="1" x14ac:dyDescent="0.25">
      <c r="A117" s="1478"/>
      <c r="B117" s="683">
        <v>19</v>
      </c>
      <c r="C117" s="1545"/>
      <c r="D117" s="1542" t="s">
        <v>8</v>
      </c>
      <c r="E117" s="627">
        <f>VLOOKUP(A115,UHT_PJOK,40,FALSE)</f>
        <v>0</v>
      </c>
      <c r="F117" s="1905">
        <f t="shared" si="123"/>
        <v>0</v>
      </c>
      <c r="G117" s="1152"/>
      <c r="H117" s="627">
        <f>VLOOKUP(B115,REKAP_NILAI,31,FALSE)</f>
        <v>0</v>
      </c>
      <c r="I117" s="709">
        <f t="shared" si="124"/>
        <v>0</v>
      </c>
      <c r="J117" s="710">
        <f t="shared" si="125"/>
        <v>0</v>
      </c>
      <c r="K117" s="711" t="str">
        <f t="shared" si="126"/>
        <v>1.33</v>
      </c>
      <c r="L117" s="711" t="str">
        <f t="shared" si="127"/>
        <v>D+</v>
      </c>
      <c r="M117" s="712" t="str">
        <f t="shared" si="128"/>
        <v>0</v>
      </c>
      <c r="N117" s="1549"/>
      <c r="O117" s="1550"/>
      <c r="P117" s="1550"/>
      <c r="Q117" s="1550"/>
      <c r="R117" s="1550"/>
      <c r="S117" s="1551"/>
      <c r="T117" s="1469"/>
      <c r="U117" s="1469"/>
      <c r="V117" s="1469"/>
      <c r="W117" s="1470"/>
      <c r="X117" s="1531"/>
      <c r="Y117" s="1532"/>
    </row>
    <row r="118" spans="1:25" ht="23.1" customHeight="1" x14ac:dyDescent="0.25">
      <c r="A118" s="1478"/>
      <c r="B118" s="683">
        <v>19</v>
      </c>
      <c r="C118" s="1545"/>
      <c r="D118" s="1542" t="s">
        <v>18</v>
      </c>
      <c r="E118" s="627">
        <f>VLOOKUP(A115,UHT_PJOK,41,FALSE)</f>
        <v>0</v>
      </c>
      <c r="F118" s="1905">
        <f t="shared" si="123"/>
        <v>0</v>
      </c>
      <c r="G118" s="627"/>
      <c r="H118" s="627">
        <f>VLOOKUP(B115,REKAP_NILAI,29,FALSE)</f>
        <v>0</v>
      </c>
      <c r="I118" s="709">
        <f t="shared" si="124"/>
        <v>0</v>
      </c>
      <c r="J118" s="710">
        <f t="shared" si="125"/>
        <v>0</v>
      </c>
      <c r="K118" s="711" t="str">
        <f t="shared" si="126"/>
        <v>1.33</v>
      </c>
      <c r="L118" s="711" t="str">
        <f t="shared" si="127"/>
        <v>D+</v>
      </c>
      <c r="M118" s="712" t="str">
        <f t="shared" si="128"/>
        <v>0</v>
      </c>
      <c r="N118" s="1549"/>
      <c r="O118" s="1550"/>
      <c r="P118" s="1550"/>
      <c r="Q118" s="1550"/>
      <c r="R118" s="1550"/>
      <c r="S118" s="1551"/>
      <c r="T118" s="1469"/>
      <c r="U118" s="1469"/>
      <c r="V118" s="1469"/>
      <c r="W118" s="1470"/>
      <c r="X118" s="1531"/>
      <c r="Y118" s="1532"/>
    </row>
    <row r="119" spans="1:25" ht="23.1" customHeight="1" x14ac:dyDescent="0.25">
      <c r="A119" s="1478"/>
      <c r="B119" s="683">
        <v>19</v>
      </c>
      <c r="C119" s="1545"/>
      <c r="D119" s="1542" t="s">
        <v>179</v>
      </c>
      <c r="E119" s="627">
        <f>VLOOKUP(A115,UHT_PJOK,42,FALSE)</f>
        <v>0</v>
      </c>
      <c r="F119" s="1905">
        <f t="shared" si="123"/>
        <v>0</v>
      </c>
      <c r="G119" s="1152"/>
      <c r="H119" s="627">
        <f>VLOOKUP(B115,REKAP_NILAI,33,FALSE)</f>
        <v>0</v>
      </c>
      <c r="I119" s="709">
        <f t="shared" si="124"/>
        <v>0</v>
      </c>
      <c r="J119" s="710">
        <f t="shared" si="125"/>
        <v>0</v>
      </c>
      <c r="K119" s="711" t="str">
        <f t="shared" si="126"/>
        <v>1.33</v>
      </c>
      <c r="L119" s="711" t="str">
        <f t="shared" si="127"/>
        <v>D+</v>
      </c>
      <c r="M119" s="712" t="str">
        <f t="shared" si="128"/>
        <v>0</v>
      </c>
      <c r="N119" s="1549"/>
      <c r="O119" s="1550"/>
      <c r="P119" s="1550"/>
      <c r="Q119" s="1550"/>
      <c r="R119" s="1550"/>
      <c r="S119" s="1551"/>
      <c r="T119" s="1469"/>
      <c r="U119" s="1469"/>
      <c r="V119" s="1469"/>
      <c r="W119" s="1470"/>
      <c r="X119" s="1533"/>
      <c r="Y119" s="1534"/>
    </row>
    <row r="120" spans="1:25" ht="23.1" customHeight="1" x14ac:dyDescent="0.25">
      <c r="A120" s="1154"/>
      <c r="B120" s="1552"/>
      <c r="C120" s="1553" t="s">
        <v>149</v>
      </c>
      <c r="D120" s="1562">
        <v>19</v>
      </c>
      <c r="E120" s="697"/>
      <c r="F120" s="1906"/>
      <c r="G120" s="697"/>
      <c r="H120" s="1189">
        <f>AVERAGE(H115:H119)</f>
        <v>0</v>
      </c>
      <c r="I120" s="705"/>
      <c r="J120" s="713">
        <f>AVERAGE(J115:J119)</f>
        <v>0</v>
      </c>
      <c r="K120" s="714" t="str">
        <f t="shared" ref="K120" si="129">IF(J120&gt;85,("4"),IF(J120&gt;80,("3.66"),IF(J120&gt;75,("3.33"),IF(J120&gt;70,("3.00"),IF(J120&gt;65,("2.66"),IF(J120&gt;60,("2.33"),IF(J120&gt;55,("2"),IF(J120&gt;50,("1.66"),"1.33"))))))))</f>
        <v>1.33</v>
      </c>
      <c r="L120" s="714" t="str">
        <f t="shared" ref="L120" si="130">IF(J120&gt;85,("A"),IF(J120&gt;80,("A-"),IF(J120&gt;75,("B+"),IF(J120&gt;70,("B"),IF(J120&gt;65,("B-"),IF(J120&gt;60,("C+"),IF(J120&gt;55,("C"),IF(J120&gt;50,("C-"),"D+"))))))))</f>
        <v>D+</v>
      </c>
      <c r="M120" s="888" t="str">
        <f t="shared" ref="M120" si="131">IF(J120&gt;80,("SB"),IF(J120&gt;65,("B"),IF(J120&gt;50,("C"),IF(J120&gt;0,("K"),"0"))))</f>
        <v>0</v>
      </c>
      <c r="N120" s="1556"/>
      <c r="O120" s="1557"/>
      <c r="P120" s="1557"/>
      <c r="Q120" s="1557"/>
      <c r="R120" s="1557"/>
      <c r="S120" s="1557"/>
      <c r="T120" s="1557"/>
      <c r="U120" s="1557"/>
      <c r="V120" s="1557"/>
      <c r="W120" s="1558"/>
      <c r="X120" s="1257"/>
      <c r="Y120" s="1258"/>
    </row>
    <row r="121" spans="1:25" ht="23.1" customHeight="1" thickBot="1" x14ac:dyDescent="0.3">
      <c r="A121" s="1477">
        <v>20</v>
      </c>
      <c r="B121" s="683">
        <v>20</v>
      </c>
      <c r="C121" s="1563" t="str">
        <f>VLOOKUP(A121,data_siswa,4,FALSE)</f>
        <v>Roby Ardiyansyah</v>
      </c>
      <c r="D121" s="1542" t="s">
        <v>7</v>
      </c>
      <c r="E121" s="627">
        <f>VLOOKUP(A121,UHT_PJOK,38,FALSE)</f>
        <v>0</v>
      </c>
      <c r="F121" s="1904">
        <f>E121*2</f>
        <v>0</v>
      </c>
      <c r="G121" s="627"/>
      <c r="H121" s="627">
        <f>VLOOKUP(B121,REKAP_NILAI,29,FALSE)</f>
        <v>0</v>
      </c>
      <c r="I121" s="706">
        <f>F121+G121+H121</f>
        <v>0</v>
      </c>
      <c r="J121" s="707">
        <f>(F121+G121+H121)/4</f>
        <v>0</v>
      </c>
      <c r="K121" s="708" t="str">
        <f>IF(J121&gt;85,("4"),IF(J121&gt;80,("3.66"),IF(J121&gt;75,("3.33"),IF(J121&gt;70,("3.00"),IF(J121&gt;65,("2.66"),IF(J121&gt;60,("2.33"),IF(J121&gt;55,("2"),IF(J121&gt;50,("1.66"),"1.33"))))))))</f>
        <v>1.33</v>
      </c>
      <c r="L121" s="708" t="str">
        <f>IF(J121&gt;85,("A"),IF(J121&gt;80,("A-"),IF(J121&gt;75,("B+"),IF(J121&gt;70,("B"),IF(J121&gt;65,("B-"),IF(J121&gt;60,("C+"),IF(J121&gt;55,("C"),IF(J121&gt;50,("C-"),"D+"))))))))</f>
        <v>D+</v>
      </c>
      <c r="M121" s="887" t="str">
        <f>IF(J121&gt;80,("SB"),IF(J121&gt;65,("B"),IF(J121&gt;50,("C"),IF(J121&gt;0,("K"),"0"))))</f>
        <v>0</v>
      </c>
      <c r="N121" s="1474"/>
      <c r="O121" s="1474"/>
      <c r="P121" s="1474"/>
      <c r="Q121" s="1474"/>
      <c r="R121" s="1474"/>
      <c r="S121" s="1475"/>
      <c r="T121" s="1476"/>
      <c r="U121" s="1476"/>
      <c r="V121" s="1476"/>
      <c r="W121" s="1476"/>
      <c r="X121" s="704">
        <f>AVERAGE(J121:J125)</f>
        <v>0</v>
      </c>
      <c r="Y121" s="1481" t="str">
        <f>IF(X121&gt;85,("A"),IF(X121&gt;80,("A-"),IF(X121&gt;75,("B+"),IF(X121&gt;70,("B"),IF(X121&gt;65,("B-"),IF(X121&gt;60,("C+"),IF(X121&gt;55,("C"),IF(X121&gt;50,("C-"),"D+"))))))))</f>
        <v>D+</v>
      </c>
    </row>
    <row r="122" spans="1:25" ht="23.1" customHeight="1" x14ac:dyDescent="0.25">
      <c r="A122" s="1478"/>
      <c r="B122" s="683">
        <v>20</v>
      </c>
      <c r="C122" s="1545"/>
      <c r="D122" s="1542" t="s">
        <v>10</v>
      </c>
      <c r="E122" s="627">
        <f>VLOOKUP(A121,UHT_PJOK,39,FALSE)</f>
        <v>0</v>
      </c>
      <c r="F122" s="1905">
        <f t="shared" ref="F122:F125" si="132">E122*2</f>
        <v>0</v>
      </c>
      <c r="G122" s="1152"/>
      <c r="H122" s="627">
        <f>VLOOKUP(B121,REKAP_NILAI,30,FALSE)</f>
        <v>0</v>
      </c>
      <c r="I122" s="709">
        <f t="shared" ref="I122:I125" si="133">F122+G122+H122</f>
        <v>0</v>
      </c>
      <c r="J122" s="710">
        <f t="shared" ref="J122:J125" si="134">(F122+G122+H122)/4</f>
        <v>0</v>
      </c>
      <c r="K122" s="711" t="str">
        <f t="shared" ref="K122:K126" si="135">IF(J122&gt;85,("4"),IF(J122&gt;80,("3.66"),IF(J122&gt;75,("3.33"),IF(J122&gt;70,("3.00"),IF(J122&gt;65,("2.66"),IF(J122&gt;60,("2.33"),IF(J122&gt;55,("2"),IF(J122&gt;50,("1.66"),"1.33"))))))))</f>
        <v>1.33</v>
      </c>
      <c r="L122" s="711" t="str">
        <f t="shared" ref="L122:L126" si="136">IF(J122&gt;85,("A"),IF(J122&gt;80,("A-"),IF(J122&gt;75,("B+"),IF(J122&gt;70,("B"),IF(J122&gt;65,("B-"),IF(J122&gt;60,("C+"),IF(J122&gt;55,("C"),IF(J122&gt;50,("C-"),"D+"))))))))</f>
        <v>D+</v>
      </c>
      <c r="M122" s="712" t="str">
        <f t="shared" ref="M122:M126" si="137">IF(J122&gt;80,("SB"),IF(J122&gt;65,("B"),IF(J122&gt;50,("C"),IF(J122&gt;0,("K"),"0"))))</f>
        <v>0</v>
      </c>
      <c r="N122" s="1546"/>
      <c r="O122" s="1547"/>
      <c r="P122" s="1547"/>
      <c r="Q122" s="1547"/>
      <c r="R122" s="1547"/>
      <c r="S122" s="1548"/>
      <c r="T122" s="1465"/>
      <c r="U122" s="1465"/>
      <c r="V122" s="1465"/>
      <c r="W122" s="1466"/>
      <c r="X122" s="1529"/>
      <c r="Y122" s="1530"/>
    </row>
    <row r="123" spans="1:25" ht="23.1" customHeight="1" x14ac:dyDescent="0.25">
      <c r="A123" s="1478"/>
      <c r="B123" s="683">
        <v>20</v>
      </c>
      <c r="C123" s="1545"/>
      <c r="D123" s="1542" t="s">
        <v>8</v>
      </c>
      <c r="E123" s="627">
        <f>VLOOKUP(A121,UHT_PJOK,40,FALSE)</f>
        <v>0</v>
      </c>
      <c r="F123" s="1905">
        <f t="shared" si="132"/>
        <v>0</v>
      </c>
      <c r="G123" s="1152"/>
      <c r="H123" s="627">
        <f>VLOOKUP(B121,REKAP_NILAI,31,FALSE)</f>
        <v>0</v>
      </c>
      <c r="I123" s="709">
        <f t="shared" si="133"/>
        <v>0</v>
      </c>
      <c r="J123" s="710">
        <f t="shared" si="134"/>
        <v>0</v>
      </c>
      <c r="K123" s="711" t="str">
        <f t="shared" si="135"/>
        <v>1.33</v>
      </c>
      <c r="L123" s="711" t="str">
        <f t="shared" si="136"/>
        <v>D+</v>
      </c>
      <c r="M123" s="712" t="str">
        <f t="shared" si="137"/>
        <v>0</v>
      </c>
      <c r="N123" s="1549"/>
      <c r="O123" s="1550"/>
      <c r="P123" s="1550"/>
      <c r="Q123" s="1550"/>
      <c r="R123" s="1550"/>
      <c r="S123" s="1551"/>
      <c r="T123" s="1469"/>
      <c r="U123" s="1469"/>
      <c r="V123" s="1469"/>
      <c r="W123" s="1470"/>
      <c r="X123" s="1531"/>
      <c r="Y123" s="1532"/>
    </row>
    <row r="124" spans="1:25" ht="23.1" customHeight="1" x14ac:dyDescent="0.25">
      <c r="A124" s="1478"/>
      <c r="B124" s="683">
        <v>20</v>
      </c>
      <c r="C124" s="1545"/>
      <c r="D124" s="1542" t="s">
        <v>18</v>
      </c>
      <c r="E124" s="627">
        <f>VLOOKUP(A121,UHT_PJOK,41,FALSE)</f>
        <v>0</v>
      </c>
      <c r="F124" s="1905">
        <f t="shared" si="132"/>
        <v>0</v>
      </c>
      <c r="G124" s="627"/>
      <c r="H124" s="627">
        <f>VLOOKUP(B121,REKAP_NILAI,29,FALSE)</f>
        <v>0</v>
      </c>
      <c r="I124" s="709">
        <f t="shared" si="133"/>
        <v>0</v>
      </c>
      <c r="J124" s="710">
        <f t="shared" si="134"/>
        <v>0</v>
      </c>
      <c r="K124" s="711" t="str">
        <f t="shared" si="135"/>
        <v>1.33</v>
      </c>
      <c r="L124" s="711" t="str">
        <f t="shared" si="136"/>
        <v>D+</v>
      </c>
      <c r="M124" s="712" t="str">
        <f t="shared" si="137"/>
        <v>0</v>
      </c>
      <c r="N124" s="1549"/>
      <c r="O124" s="1550"/>
      <c r="P124" s="1550"/>
      <c r="Q124" s="1550"/>
      <c r="R124" s="1550"/>
      <c r="S124" s="1551"/>
      <c r="T124" s="1469"/>
      <c r="U124" s="1469"/>
      <c r="V124" s="1469"/>
      <c r="W124" s="1470"/>
      <c r="X124" s="1531"/>
      <c r="Y124" s="1532"/>
    </row>
    <row r="125" spans="1:25" ht="23.1" customHeight="1" x14ac:dyDescent="0.25">
      <c r="A125" s="1478"/>
      <c r="B125" s="683">
        <v>20</v>
      </c>
      <c r="C125" s="1545"/>
      <c r="D125" s="1542" t="s">
        <v>179</v>
      </c>
      <c r="E125" s="627">
        <f>VLOOKUP(A121,UHT_PJOK,42,FALSE)</f>
        <v>0</v>
      </c>
      <c r="F125" s="1905">
        <f t="shared" si="132"/>
        <v>0</v>
      </c>
      <c r="G125" s="1152"/>
      <c r="H125" s="627">
        <f>VLOOKUP(B121,REKAP_NILAI,33,FALSE)</f>
        <v>0</v>
      </c>
      <c r="I125" s="709">
        <f t="shared" si="133"/>
        <v>0</v>
      </c>
      <c r="J125" s="710">
        <f t="shared" si="134"/>
        <v>0</v>
      </c>
      <c r="K125" s="711" t="str">
        <f t="shared" si="135"/>
        <v>1.33</v>
      </c>
      <c r="L125" s="711" t="str">
        <f t="shared" si="136"/>
        <v>D+</v>
      </c>
      <c r="M125" s="712" t="str">
        <f t="shared" si="137"/>
        <v>0</v>
      </c>
      <c r="N125" s="1549"/>
      <c r="O125" s="1550"/>
      <c r="P125" s="1550"/>
      <c r="Q125" s="1550"/>
      <c r="R125" s="1550"/>
      <c r="S125" s="1551"/>
      <c r="T125" s="1469"/>
      <c r="U125" s="1469"/>
      <c r="V125" s="1469"/>
      <c r="W125" s="1470"/>
      <c r="X125" s="1533"/>
      <c r="Y125" s="1534"/>
    </row>
    <row r="126" spans="1:25" ht="23.1" customHeight="1" x14ac:dyDescent="0.25">
      <c r="A126" s="1154"/>
      <c r="B126" s="1552"/>
      <c r="C126" s="1553" t="s">
        <v>149</v>
      </c>
      <c r="D126" s="1562">
        <v>20</v>
      </c>
      <c r="E126" s="697"/>
      <c r="F126" s="1906"/>
      <c r="G126" s="697"/>
      <c r="H126" s="1189">
        <f>AVERAGE(H121:H125)</f>
        <v>0</v>
      </c>
      <c r="I126" s="705"/>
      <c r="J126" s="713">
        <f>AVERAGE(J121:J125)</f>
        <v>0</v>
      </c>
      <c r="K126" s="714" t="str">
        <f t="shared" si="135"/>
        <v>1.33</v>
      </c>
      <c r="L126" s="714" t="str">
        <f t="shared" si="136"/>
        <v>D+</v>
      </c>
      <c r="M126" s="888" t="str">
        <f t="shared" si="137"/>
        <v>0</v>
      </c>
      <c r="N126" s="1556"/>
      <c r="O126" s="1557"/>
      <c r="P126" s="1557"/>
      <c r="Q126" s="1557"/>
      <c r="R126" s="1557"/>
      <c r="S126" s="1557"/>
      <c r="T126" s="1557"/>
      <c r="U126" s="1557"/>
      <c r="V126" s="1557"/>
      <c r="W126" s="1558"/>
      <c r="X126" s="1257"/>
      <c r="Y126" s="1258"/>
    </row>
    <row r="127" spans="1:25" ht="23.1" customHeight="1" thickBot="1" x14ac:dyDescent="0.3">
      <c r="A127" s="1478">
        <v>21</v>
      </c>
      <c r="B127" s="683">
        <v>21</v>
      </c>
      <c r="C127" s="1541" t="str">
        <f>VLOOKUP(A127,data_siswa,4,FALSE)</f>
        <v>Rojalingga Prana A</v>
      </c>
      <c r="D127" s="1542" t="s">
        <v>7</v>
      </c>
      <c r="E127" s="627">
        <f>VLOOKUP(A127,UHT_PJOK,38,FALSE)</f>
        <v>0</v>
      </c>
      <c r="F127" s="1904">
        <f>E127*2</f>
        <v>0</v>
      </c>
      <c r="G127" s="627"/>
      <c r="H127" s="627">
        <f>VLOOKUP(B127,REKAP_NILAI,29,FALSE)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887" t="str">
        <f>IF(J127&gt;80,("SB"),IF(J127&gt;65,("B"),IF(J127&gt;50,("C"),IF(J127&gt;0,("K"),"0"))))</f>
        <v>0</v>
      </c>
      <c r="N127" s="1471"/>
      <c r="O127" s="1471"/>
      <c r="P127" s="1471"/>
      <c r="Q127" s="1471"/>
      <c r="R127" s="1471"/>
      <c r="S127" s="1472"/>
      <c r="T127" s="1473"/>
      <c r="U127" s="1473"/>
      <c r="V127" s="1473"/>
      <c r="W127" s="1473"/>
      <c r="X127" s="1057">
        <f>AVERAGE(J127:J131)</f>
        <v>0</v>
      </c>
      <c r="Y127" s="1194" t="str">
        <f>IF(X127&gt;85,("A"),IF(X127&gt;80,("A-"),IF(X127&gt;75,("B+"),IF(X127&gt;70,("B"),IF(X127&gt;65,("B-"),IF(X127&gt;60,("C+"),IF(X127&gt;55,("C"),IF(X127&gt;50,("C-"),"D+"))))))))</f>
        <v>D+</v>
      </c>
    </row>
    <row r="128" spans="1:25" ht="23.1" customHeight="1" x14ac:dyDescent="0.25">
      <c r="A128" s="1478"/>
      <c r="B128" s="683">
        <v>21</v>
      </c>
      <c r="C128" s="1545"/>
      <c r="D128" s="1542" t="s">
        <v>10</v>
      </c>
      <c r="E128" s="627">
        <f>VLOOKUP(A127,UHT_PJOK,39,FALSE)</f>
        <v>0</v>
      </c>
      <c r="F128" s="1905">
        <f t="shared" ref="F128:F131" si="138">E128*2</f>
        <v>0</v>
      </c>
      <c r="G128" s="1152"/>
      <c r="H128" s="627">
        <f>VLOOKUP(B127,REKAP_NILAI,30,FALSE)</f>
        <v>0</v>
      </c>
      <c r="I128" s="709">
        <f t="shared" ref="I128:I131" si="139">F128+G128+H128</f>
        <v>0</v>
      </c>
      <c r="J128" s="710">
        <f t="shared" ref="J128:J131" si="140">(F128+G128+H128)/4</f>
        <v>0</v>
      </c>
      <c r="K128" s="711" t="str">
        <f t="shared" ref="K128:K132" si="141">IF(J128&gt;85,("4"),IF(J128&gt;80,("3.66"),IF(J128&gt;75,("3.33"),IF(J128&gt;70,("3.00"),IF(J128&gt;65,("2.66"),IF(J128&gt;60,("2.33"),IF(J128&gt;55,("2"),IF(J128&gt;50,("1.66"),"1.33"))))))))</f>
        <v>1.33</v>
      </c>
      <c r="L128" s="711" t="str">
        <f t="shared" ref="L128:L132" si="142">IF(J128&gt;85,("A"),IF(J128&gt;80,("A-"),IF(J128&gt;75,("B+"),IF(J128&gt;70,("B"),IF(J128&gt;65,("B-"),IF(J128&gt;60,("C+"),IF(J128&gt;55,("C"),IF(J128&gt;50,("C-"),"D+"))))))))</f>
        <v>D+</v>
      </c>
      <c r="M128" s="712" t="str">
        <f t="shared" ref="M128:M132" si="143">IF(J128&gt;80,("SB"),IF(J128&gt;65,("B"),IF(J128&gt;50,("C"),IF(J128&gt;0,("K"),"0"))))</f>
        <v>0</v>
      </c>
      <c r="N128" s="1546"/>
      <c r="O128" s="1547"/>
      <c r="P128" s="1547"/>
      <c r="Q128" s="1547"/>
      <c r="R128" s="1547"/>
      <c r="S128" s="1548"/>
      <c r="T128" s="1465"/>
      <c r="U128" s="1465"/>
      <c r="V128" s="1465"/>
      <c r="W128" s="1466"/>
      <c r="X128" s="1529"/>
      <c r="Y128" s="1530"/>
    </row>
    <row r="129" spans="1:25" ht="23.1" customHeight="1" x14ac:dyDescent="0.25">
      <c r="A129" s="1478"/>
      <c r="B129" s="683">
        <v>21</v>
      </c>
      <c r="C129" s="1545"/>
      <c r="D129" s="1542" t="s">
        <v>8</v>
      </c>
      <c r="E129" s="627">
        <f>VLOOKUP(A127,UHT_PJOK,40,FALSE)</f>
        <v>0</v>
      </c>
      <c r="F129" s="1905">
        <f t="shared" si="138"/>
        <v>0</v>
      </c>
      <c r="G129" s="1152"/>
      <c r="H129" s="627">
        <f>VLOOKUP(B127,REKAP_NILAI,31,FALSE)</f>
        <v>0</v>
      </c>
      <c r="I129" s="709">
        <f t="shared" si="139"/>
        <v>0</v>
      </c>
      <c r="J129" s="710">
        <f t="shared" si="140"/>
        <v>0</v>
      </c>
      <c r="K129" s="711" t="str">
        <f t="shared" si="141"/>
        <v>1.33</v>
      </c>
      <c r="L129" s="711" t="str">
        <f t="shared" si="142"/>
        <v>D+</v>
      </c>
      <c r="M129" s="712" t="str">
        <f t="shared" si="143"/>
        <v>0</v>
      </c>
      <c r="N129" s="1549"/>
      <c r="O129" s="1550"/>
      <c r="P129" s="1550"/>
      <c r="Q129" s="1550"/>
      <c r="R129" s="1550"/>
      <c r="S129" s="1551"/>
      <c r="T129" s="1469"/>
      <c r="U129" s="1469"/>
      <c r="V129" s="1469"/>
      <c r="W129" s="1470"/>
      <c r="X129" s="1531"/>
      <c r="Y129" s="1532"/>
    </row>
    <row r="130" spans="1:25" ht="23.1" customHeight="1" x14ac:dyDescent="0.25">
      <c r="A130" s="1478"/>
      <c r="B130" s="683">
        <v>21</v>
      </c>
      <c r="C130" s="1545"/>
      <c r="D130" s="1542" t="s">
        <v>18</v>
      </c>
      <c r="E130" s="627">
        <f>VLOOKUP(A127,UHT_PJOK,41,FALSE)</f>
        <v>0</v>
      </c>
      <c r="F130" s="1905">
        <f t="shared" si="138"/>
        <v>0</v>
      </c>
      <c r="G130" s="627"/>
      <c r="H130" s="627">
        <f>VLOOKUP(B127,REKAP_NILAI,29,FALSE)</f>
        <v>0</v>
      </c>
      <c r="I130" s="709">
        <f t="shared" si="139"/>
        <v>0</v>
      </c>
      <c r="J130" s="710">
        <f t="shared" si="140"/>
        <v>0</v>
      </c>
      <c r="K130" s="711" t="str">
        <f t="shared" si="141"/>
        <v>1.33</v>
      </c>
      <c r="L130" s="711" t="str">
        <f t="shared" si="142"/>
        <v>D+</v>
      </c>
      <c r="M130" s="712" t="str">
        <f t="shared" si="143"/>
        <v>0</v>
      </c>
      <c r="N130" s="1549"/>
      <c r="O130" s="1550"/>
      <c r="P130" s="1550"/>
      <c r="Q130" s="1550"/>
      <c r="R130" s="1550"/>
      <c r="S130" s="1551"/>
      <c r="T130" s="1469"/>
      <c r="U130" s="1469"/>
      <c r="V130" s="1469"/>
      <c r="W130" s="1470"/>
      <c r="X130" s="1531"/>
      <c r="Y130" s="1532"/>
    </row>
    <row r="131" spans="1:25" ht="23.1" customHeight="1" x14ac:dyDescent="0.25">
      <c r="A131" s="1478"/>
      <c r="B131" s="683">
        <v>21</v>
      </c>
      <c r="C131" s="1545"/>
      <c r="D131" s="1542" t="s">
        <v>179</v>
      </c>
      <c r="E131" s="627">
        <f>VLOOKUP(A127,UHT_PJOK,42,FALSE)</f>
        <v>0</v>
      </c>
      <c r="F131" s="1905">
        <f t="shared" si="138"/>
        <v>0</v>
      </c>
      <c r="G131" s="1152"/>
      <c r="H131" s="627">
        <f>VLOOKUP(B127,REKAP_NILAI,33,FALSE)</f>
        <v>0</v>
      </c>
      <c r="I131" s="709">
        <f t="shared" si="139"/>
        <v>0</v>
      </c>
      <c r="J131" s="710">
        <f t="shared" si="140"/>
        <v>0</v>
      </c>
      <c r="K131" s="711" t="str">
        <f t="shared" si="141"/>
        <v>1.33</v>
      </c>
      <c r="L131" s="711" t="str">
        <f t="shared" si="142"/>
        <v>D+</v>
      </c>
      <c r="M131" s="712" t="str">
        <f t="shared" si="143"/>
        <v>0</v>
      </c>
      <c r="N131" s="1549"/>
      <c r="O131" s="1550"/>
      <c r="P131" s="1550"/>
      <c r="Q131" s="1550"/>
      <c r="R131" s="1550"/>
      <c r="S131" s="1551"/>
      <c r="T131" s="1469"/>
      <c r="U131" s="1469"/>
      <c r="V131" s="1469"/>
      <c r="W131" s="1470"/>
      <c r="X131" s="1533"/>
      <c r="Y131" s="1534"/>
    </row>
    <row r="132" spans="1:25" ht="23.1" customHeight="1" x14ac:dyDescent="0.25">
      <c r="A132" s="1154"/>
      <c r="B132" s="1552"/>
      <c r="C132" s="1553" t="s">
        <v>149</v>
      </c>
      <c r="D132" s="1562">
        <v>21</v>
      </c>
      <c r="E132" s="1154"/>
      <c r="F132" s="1155"/>
      <c r="G132" s="1162"/>
      <c r="H132" s="1555">
        <f>AVERAGE(H127:H131)</f>
        <v>0</v>
      </c>
      <c r="I132" s="705"/>
      <c r="J132" s="713">
        <f>AVERAGE(J127:J131)</f>
        <v>0</v>
      </c>
      <c r="K132" s="714" t="str">
        <f t="shared" si="141"/>
        <v>1.33</v>
      </c>
      <c r="L132" s="714" t="str">
        <f t="shared" si="142"/>
        <v>D+</v>
      </c>
      <c r="M132" s="888" t="str">
        <f t="shared" si="143"/>
        <v>0</v>
      </c>
      <c r="N132" s="1556"/>
      <c r="O132" s="1557"/>
      <c r="P132" s="1557"/>
      <c r="Q132" s="1557"/>
      <c r="R132" s="1557"/>
      <c r="S132" s="1557"/>
      <c r="T132" s="1557"/>
      <c r="U132" s="1557"/>
      <c r="V132" s="1557"/>
      <c r="W132" s="1558"/>
      <c r="X132" s="1257"/>
      <c r="Y132" s="1258"/>
    </row>
    <row r="133" spans="1:25" ht="23.1" customHeight="1" thickBot="1" x14ac:dyDescent="0.3">
      <c r="A133" s="1478">
        <v>22</v>
      </c>
      <c r="B133" s="683">
        <v>22</v>
      </c>
      <c r="C133" s="1541" t="str">
        <f>VLOOKUP(A133,data_siswa,4,FALSE)</f>
        <v>Sally Savista A</v>
      </c>
      <c r="D133" s="1542" t="s">
        <v>7</v>
      </c>
      <c r="E133" s="627">
        <f>VLOOKUP(A133,UHT_PJOK,38,FALSE)</f>
        <v>0</v>
      </c>
      <c r="F133" s="1904">
        <f>E133*2</f>
        <v>0</v>
      </c>
      <c r="G133" s="627"/>
      <c r="H133" s="627">
        <f>VLOOKUP(B133,REKAP_NILAI,29,FALSE)</f>
        <v>0</v>
      </c>
      <c r="I133" s="706">
        <f>F133+G133+H133</f>
        <v>0</v>
      </c>
      <c r="J133" s="707">
        <f>(F133+G133+H133)/4</f>
        <v>0</v>
      </c>
      <c r="K133" s="708" t="str">
        <f>IF(J133&gt;85,("4"),IF(J133&gt;80,("3.66"),IF(J133&gt;75,("3.33"),IF(J133&gt;70,("3.00"),IF(J133&gt;65,("2.66"),IF(J133&gt;60,("2.33"),IF(J133&gt;55,("2"),IF(J133&gt;50,("1.66"),"1.33"))))))))</f>
        <v>1.33</v>
      </c>
      <c r="L133" s="708" t="str">
        <f>IF(J133&gt;85,("A"),IF(J133&gt;80,("A-"),IF(J133&gt;75,("B+"),IF(J133&gt;70,("B"),IF(J133&gt;65,("B-"),IF(J133&gt;60,("C+"),IF(J133&gt;55,("C"),IF(J133&gt;50,("C-"),"D+"))))))))</f>
        <v>D+</v>
      </c>
      <c r="M133" s="887" t="str">
        <f>IF(J133&gt;80,("SB"),IF(J133&gt;65,("B"),IF(J133&gt;50,("C"),IF(J133&gt;0,("K"),"0"))))</f>
        <v>0</v>
      </c>
      <c r="N133" s="1471"/>
      <c r="O133" s="1471"/>
      <c r="P133" s="1471"/>
      <c r="Q133" s="1471"/>
      <c r="R133" s="1471"/>
      <c r="S133" s="1472"/>
      <c r="T133" s="1473"/>
      <c r="U133" s="1473"/>
      <c r="V133" s="1473"/>
      <c r="W133" s="1473"/>
      <c r="X133" s="704">
        <f>AVERAGE(J133:J137)</f>
        <v>0</v>
      </c>
      <c r="Y133" s="1481" t="str">
        <f>IF(X133&gt;85,("A"),IF(X133&gt;80,("A-"),IF(X133&gt;75,("B+"),IF(X133&gt;70,("B"),IF(X133&gt;65,("B-"),IF(X133&gt;60,("C+"),IF(X133&gt;55,("C"),IF(X133&gt;50,("C-"),"D+"))))))))</f>
        <v>D+</v>
      </c>
    </row>
    <row r="134" spans="1:25" ht="23.1" customHeight="1" x14ac:dyDescent="0.25">
      <c r="A134" s="1478"/>
      <c r="B134" s="683">
        <v>22</v>
      </c>
      <c r="C134" s="1545"/>
      <c r="D134" s="1542" t="s">
        <v>10</v>
      </c>
      <c r="E134" s="627">
        <f>VLOOKUP(A133,UHT_PJOK,39,FALSE)</f>
        <v>0</v>
      </c>
      <c r="F134" s="1905">
        <f t="shared" ref="F134:F137" si="144">E134*2</f>
        <v>0</v>
      </c>
      <c r="G134" s="1152"/>
      <c r="H134" s="627">
        <f>VLOOKUP(B133,REKAP_NILAI,30,FALSE)</f>
        <v>0</v>
      </c>
      <c r="I134" s="709">
        <f t="shared" ref="I134:I137" si="145">F134+G134+H134</f>
        <v>0</v>
      </c>
      <c r="J134" s="710">
        <f t="shared" ref="J134:J137" si="146">(F134+G134+H134)/4</f>
        <v>0</v>
      </c>
      <c r="K134" s="711" t="str">
        <f t="shared" ref="K134:K138" si="147">IF(J134&gt;85,("4"),IF(J134&gt;80,("3.66"),IF(J134&gt;75,("3.33"),IF(J134&gt;70,("3.00"),IF(J134&gt;65,("2.66"),IF(J134&gt;60,("2.33"),IF(J134&gt;55,("2"),IF(J134&gt;50,("1.66"),"1.33"))))))))</f>
        <v>1.33</v>
      </c>
      <c r="L134" s="711" t="str">
        <f t="shared" ref="L134:L138" si="148">IF(J134&gt;85,("A"),IF(J134&gt;80,("A-"),IF(J134&gt;75,("B+"),IF(J134&gt;70,("B"),IF(J134&gt;65,("B-"),IF(J134&gt;60,("C+"),IF(J134&gt;55,("C"),IF(J134&gt;50,("C-"),"D+"))))))))</f>
        <v>D+</v>
      </c>
      <c r="M134" s="712" t="str">
        <f t="shared" ref="M134:M138" si="149">IF(J134&gt;80,("SB"),IF(J134&gt;65,("B"),IF(J134&gt;50,("C"),IF(J134&gt;0,("K"),"0"))))</f>
        <v>0</v>
      </c>
      <c r="N134" s="1546"/>
      <c r="O134" s="1547"/>
      <c r="P134" s="1547"/>
      <c r="Q134" s="1547"/>
      <c r="R134" s="1547"/>
      <c r="S134" s="1548"/>
      <c r="T134" s="1465"/>
      <c r="U134" s="1465"/>
      <c r="V134" s="1465"/>
      <c r="W134" s="1466"/>
      <c r="X134" s="1529"/>
      <c r="Y134" s="1530"/>
    </row>
    <row r="135" spans="1:25" ht="23.1" customHeight="1" x14ac:dyDescent="0.25">
      <c r="A135" s="1478"/>
      <c r="B135" s="683">
        <v>22</v>
      </c>
      <c r="C135" s="1545"/>
      <c r="D135" s="1542" t="s">
        <v>8</v>
      </c>
      <c r="E135" s="627">
        <f>VLOOKUP(A133,UHT_PJOK,40,FALSE)</f>
        <v>0</v>
      </c>
      <c r="F135" s="1905">
        <f t="shared" si="144"/>
        <v>0</v>
      </c>
      <c r="G135" s="1152"/>
      <c r="H135" s="627">
        <f>VLOOKUP(B133,REKAP_NILAI,31,FALSE)</f>
        <v>0</v>
      </c>
      <c r="I135" s="709">
        <f t="shared" si="145"/>
        <v>0</v>
      </c>
      <c r="J135" s="710">
        <f t="shared" si="146"/>
        <v>0</v>
      </c>
      <c r="K135" s="711" t="str">
        <f t="shared" si="147"/>
        <v>1.33</v>
      </c>
      <c r="L135" s="711" t="str">
        <f t="shared" si="148"/>
        <v>D+</v>
      </c>
      <c r="M135" s="712" t="str">
        <f t="shared" si="149"/>
        <v>0</v>
      </c>
      <c r="N135" s="1549"/>
      <c r="O135" s="1550"/>
      <c r="P135" s="1550"/>
      <c r="Q135" s="1550"/>
      <c r="R135" s="1550"/>
      <c r="S135" s="1551"/>
      <c r="T135" s="1469"/>
      <c r="U135" s="1469"/>
      <c r="V135" s="1469"/>
      <c r="W135" s="1470"/>
      <c r="X135" s="1531"/>
      <c r="Y135" s="1532"/>
    </row>
    <row r="136" spans="1:25" ht="23.1" customHeight="1" x14ac:dyDescent="0.25">
      <c r="A136" s="1478"/>
      <c r="B136" s="683">
        <v>22</v>
      </c>
      <c r="C136" s="1545"/>
      <c r="D136" s="1542" t="s">
        <v>18</v>
      </c>
      <c r="E136" s="627">
        <f>VLOOKUP(A133,UHT_PJOK,41,FALSE)</f>
        <v>0</v>
      </c>
      <c r="F136" s="1905">
        <f t="shared" si="144"/>
        <v>0</v>
      </c>
      <c r="G136" s="627"/>
      <c r="H136" s="627">
        <f>VLOOKUP(B133,REKAP_NILAI,29,FALSE)</f>
        <v>0</v>
      </c>
      <c r="I136" s="709">
        <f t="shared" si="145"/>
        <v>0</v>
      </c>
      <c r="J136" s="710">
        <f t="shared" si="146"/>
        <v>0</v>
      </c>
      <c r="K136" s="711" t="str">
        <f t="shared" si="147"/>
        <v>1.33</v>
      </c>
      <c r="L136" s="711" t="str">
        <f t="shared" si="148"/>
        <v>D+</v>
      </c>
      <c r="M136" s="712" t="str">
        <f t="shared" si="149"/>
        <v>0</v>
      </c>
      <c r="N136" s="1549"/>
      <c r="O136" s="1550"/>
      <c r="P136" s="1550"/>
      <c r="Q136" s="1550"/>
      <c r="R136" s="1550"/>
      <c r="S136" s="1551"/>
      <c r="T136" s="1469"/>
      <c r="U136" s="1469"/>
      <c r="V136" s="1469"/>
      <c r="W136" s="1470"/>
      <c r="X136" s="1531"/>
      <c r="Y136" s="1532"/>
    </row>
    <row r="137" spans="1:25" ht="23.1" customHeight="1" x14ac:dyDescent="0.25">
      <c r="A137" s="1478"/>
      <c r="B137" s="683">
        <v>22</v>
      </c>
      <c r="C137" s="1545"/>
      <c r="D137" s="1542" t="s">
        <v>179</v>
      </c>
      <c r="E137" s="627">
        <f>VLOOKUP(A133,UHT_PJOK,42,FALSE)</f>
        <v>0</v>
      </c>
      <c r="F137" s="1905">
        <f t="shared" si="144"/>
        <v>0</v>
      </c>
      <c r="G137" s="1152"/>
      <c r="H137" s="627">
        <f>VLOOKUP(B133,REKAP_NILAI,33,FALSE)</f>
        <v>0</v>
      </c>
      <c r="I137" s="709">
        <f t="shared" si="145"/>
        <v>0</v>
      </c>
      <c r="J137" s="710">
        <f t="shared" si="146"/>
        <v>0</v>
      </c>
      <c r="K137" s="711" t="str">
        <f t="shared" si="147"/>
        <v>1.33</v>
      </c>
      <c r="L137" s="711" t="str">
        <f t="shared" si="148"/>
        <v>D+</v>
      </c>
      <c r="M137" s="712" t="str">
        <f t="shared" si="149"/>
        <v>0</v>
      </c>
      <c r="N137" s="1549"/>
      <c r="O137" s="1550"/>
      <c r="P137" s="1550"/>
      <c r="Q137" s="1550"/>
      <c r="R137" s="1550"/>
      <c r="S137" s="1551"/>
      <c r="T137" s="1469"/>
      <c r="U137" s="1469"/>
      <c r="V137" s="1469"/>
      <c r="W137" s="1470"/>
      <c r="X137" s="1533"/>
      <c r="Y137" s="1534"/>
    </row>
    <row r="138" spans="1:25" ht="23.1" customHeight="1" x14ac:dyDescent="0.25">
      <c r="A138" s="1154"/>
      <c r="B138" s="1552"/>
      <c r="C138" s="1553" t="s">
        <v>149</v>
      </c>
      <c r="D138" s="1562">
        <v>22</v>
      </c>
      <c r="E138" s="1154"/>
      <c r="F138" s="1155"/>
      <c r="G138" s="1162"/>
      <c r="H138" s="1555">
        <f>AVERAGE(H133:H137)</f>
        <v>0</v>
      </c>
      <c r="I138" s="705"/>
      <c r="J138" s="713">
        <f>AVERAGE(J133:J137)</f>
        <v>0</v>
      </c>
      <c r="K138" s="714" t="str">
        <f t="shared" si="147"/>
        <v>1.33</v>
      </c>
      <c r="L138" s="714" t="str">
        <f t="shared" si="148"/>
        <v>D+</v>
      </c>
      <c r="M138" s="888" t="str">
        <f t="shared" si="149"/>
        <v>0</v>
      </c>
      <c r="N138" s="1556"/>
      <c r="O138" s="1557"/>
      <c r="P138" s="1557"/>
      <c r="Q138" s="1557"/>
      <c r="R138" s="1557"/>
      <c r="S138" s="1557"/>
      <c r="T138" s="1557"/>
      <c r="U138" s="1557"/>
      <c r="V138" s="1557"/>
      <c r="W138" s="1558"/>
      <c r="X138" s="1257"/>
      <c r="Y138" s="1258"/>
    </row>
    <row r="139" spans="1:25" ht="23.1" customHeight="1" thickBot="1" x14ac:dyDescent="0.3">
      <c r="A139" s="1478">
        <v>23</v>
      </c>
      <c r="B139" s="683">
        <v>23</v>
      </c>
      <c r="C139" s="1541" t="str">
        <f>VLOOKUP(A139,data_siswa,4,FALSE)</f>
        <v xml:space="preserve">Tania Kaori Angelita </v>
      </c>
      <c r="D139" s="1542" t="s">
        <v>7</v>
      </c>
      <c r="E139" s="627">
        <f>VLOOKUP(A139,UHT_PJOK,38,FALSE)</f>
        <v>0</v>
      </c>
      <c r="F139" s="1904">
        <f>E139*2</f>
        <v>0</v>
      </c>
      <c r="G139" s="627"/>
      <c r="H139" s="627">
        <f>VLOOKUP(B139,REKAP_NILAI,29,FALSE)</f>
        <v>0</v>
      </c>
      <c r="I139" s="706">
        <f>F139+G139+H139</f>
        <v>0</v>
      </c>
      <c r="J139" s="707">
        <f>(F139+G139+H139)/4</f>
        <v>0</v>
      </c>
      <c r="K139" s="708" t="str">
        <f>IF(J139&gt;85,("4"),IF(J139&gt;80,("3.66"),IF(J139&gt;75,("3.33"),IF(J139&gt;70,("3.00"),IF(J139&gt;65,("2.66"),IF(J139&gt;60,("2.33"),IF(J139&gt;55,("2"),IF(J139&gt;50,("1.66"),"1.33"))))))))</f>
        <v>1.33</v>
      </c>
      <c r="L139" s="708" t="str">
        <f>IF(J139&gt;85,("A"),IF(J139&gt;80,("A-"),IF(J139&gt;75,("B+"),IF(J139&gt;70,("B"),IF(J139&gt;65,("B-"),IF(J139&gt;60,("C+"),IF(J139&gt;55,("C"),IF(J139&gt;50,("C-"),"D+"))))))))</f>
        <v>D+</v>
      </c>
      <c r="M139" s="887" t="str">
        <f>IF(J139&gt;80,("SB"),IF(J139&gt;65,("B"),IF(J139&gt;50,("C"),IF(J139&gt;0,("K"),"0"))))</f>
        <v>0</v>
      </c>
      <c r="N139" s="1471"/>
      <c r="O139" s="1471"/>
      <c r="P139" s="1471"/>
      <c r="Q139" s="1471"/>
      <c r="R139" s="1471"/>
      <c r="S139" s="1472"/>
      <c r="T139" s="1473"/>
      <c r="U139" s="1473"/>
      <c r="V139" s="1473"/>
      <c r="W139" s="1473"/>
      <c r="X139" s="704">
        <f>AVERAGE(J139:J143)</f>
        <v>0</v>
      </c>
      <c r="Y139" s="1481" t="str">
        <f>IF(X139&gt;85,("A"),IF(X139&gt;80,("A-"),IF(X139&gt;75,("B+"),IF(X139&gt;70,("B"),IF(X139&gt;65,("B-"),IF(X139&gt;60,("C+"),IF(X139&gt;55,("C"),IF(X139&gt;50,("C-"),"D+"))))))))</f>
        <v>D+</v>
      </c>
    </row>
    <row r="140" spans="1:25" ht="23.1" customHeight="1" x14ac:dyDescent="0.25">
      <c r="A140" s="1478"/>
      <c r="B140" s="683">
        <v>23</v>
      </c>
      <c r="C140" s="1545"/>
      <c r="D140" s="1542" t="s">
        <v>10</v>
      </c>
      <c r="E140" s="627">
        <f>VLOOKUP(A139,UHT_PJOK,39,FALSE)</f>
        <v>0</v>
      </c>
      <c r="F140" s="1905">
        <f t="shared" ref="F140:F143" si="150">E140*2</f>
        <v>0</v>
      </c>
      <c r="G140" s="1152"/>
      <c r="H140" s="627">
        <f>VLOOKUP(B139,REKAP_NILAI,30,FALSE)</f>
        <v>0</v>
      </c>
      <c r="I140" s="709">
        <f t="shared" ref="I140:I143" si="151">F140+G140+H140</f>
        <v>0</v>
      </c>
      <c r="J140" s="710">
        <f t="shared" ref="J140:J143" si="152">(F140+G140+H140)/4</f>
        <v>0</v>
      </c>
      <c r="K140" s="711" t="str">
        <f t="shared" ref="K140:K144" si="153">IF(J140&gt;85,("4"),IF(J140&gt;80,("3.66"),IF(J140&gt;75,("3.33"),IF(J140&gt;70,("3.00"),IF(J140&gt;65,("2.66"),IF(J140&gt;60,("2.33"),IF(J140&gt;55,("2"),IF(J140&gt;50,("1.66"),"1.33"))))))))</f>
        <v>1.33</v>
      </c>
      <c r="L140" s="711" t="str">
        <f t="shared" ref="L140:L144" si="154">IF(J140&gt;85,("A"),IF(J140&gt;80,("A-"),IF(J140&gt;75,("B+"),IF(J140&gt;70,("B"),IF(J140&gt;65,("B-"),IF(J140&gt;60,("C+"),IF(J140&gt;55,("C"),IF(J140&gt;50,("C-"),"D+"))))))))</f>
        <v>D+</v>
      </c>
      <c r="M140" s="712" t="str">
        <f t="shared" ref="M140:M144" si="155">IF(J140&gt;80,("SB"),IF(J140&gt;65,("B"),IF(J140&gt;50,("C"),IF(J140&gt;0,("K"),"0"))))</f>
        <v>0</v>
      </c>
      <c r="N140" s="1546"/>
      <c r="O140" s="1547"/>
      <c r="P140" s="1547"/>
      <c r="Q140" s="1547"/>
      <c r="R140" s="1547"/>
      <c r="S140" s="1548"/>
      <c r="T140" s="1465"/>
      <c r="U140" s="1465"/>
      <c r="V140" s="1465"/>
      <c r="W140" s="1466"/>
      <c r="X140" s="1529"/>
      <c r="Y140" s="1530"/>
    </row>
    <row r="141" spans="1:25" ht="23.1" customHeight="1" x14ac:dyDescent="0.25">
      <c r="A141" s="1478"/>
      <c r="B141" s="683">
        <v>23</v>
      </c>
      <c r="C141" s="1545"/>
      <c r="D141" s="1542" t="s">
        <v>8</v>
      </c>
      <c r="E141" s="627">
        <f>VLOOKUP(A139,UHT_PJOK,40,FALSE)</f>
        <v>0</v>
      </c>
      <c r="F141" s="1905">
        <f t="shared" si="150"/>
        <v>0</v>
      </c>
      <c r="G141" s="1152"/>
      <c r="H141" s="627">
        <f>VLOOKUP(B139,REKAP_NILAI,31,FALSE)</f>
        <v>0</v>
      </c>
      <c r="I141" s="709">
        <f t="shared" si="151"/>
        <v>0</v>
      </c>
      <c r="J141" s="710">
        <f t="shared" si="152"/>
        <v>0</v>
      </c>
      <c r="K141" s="711" t="str">
        <f t="shared" si="153"/>
        <v>1.33</v>
      </c>
      <c r="L141" s="711" t="str">
        <f t="shared" si="154"/>
        <v>D+</v>
      </c>
      <c r="M141" s="712" t="str">
        <f t="shared" si="155"/>
        <v>0</v>
      </c>
      <c r="N141" s="1549"/>
      <c r="O141" s="1550"/>
      <c r="P141" s="1550"/>
      <c r="Q141" s="1550"/>
      <c r="R141" s="1550"/>
      <c r="S141" s="1551"/>
      <c r="T141" s="1469"/>
      <c r="U141" s="1469"/>
      <c r="V141" s="1469"/>
      <c r="W141" s="1470"/>
      <c r="X141" s="1531"/>
      <c r="Y141" s="1532"/>
    </row>
    <row r="142" spans="1:25" ht="23.1" customHeight="1" x14ac:dyDescent="0.25">
      <c r="A142" s="1478"/>
      <c r="B142" s="683">
        <v>23</v>
      </c>
      <c r="C142" s="1545"/>
      <c r="D142" s="1542" t="s">
        <v>18</v>
      </c>
      <c r="E142" s="627">
        <f>VLOOKUP(A139,UHT_PJOK,41,FALSE)</f>
        <v>0</v>
      </c>
      <c r="F142" s="1905">
        <f t="shared" si="150"/>
        <v>0</v>
      </c>
      <c r="G142" s="627"/>
      <c r="H142" s="627">
        <f>VLOOKUP(B139,REKAP_NILAI,29,FALSE)</f>
        <v>0</v>
      </c>
      <c r="I142" s="709">
        <f t="shared" si="151"/>
        <v>0</v>
      </c>
      <c r="J142" s="710">
        <f t="shared" si="152"/>
        <v>0</v>
      </c>
      <c r="K142" s="711" t="str">
        <f t="shared" si="153"/>
        <v>1.33</v>
      </c>
      <c r="L142" s="711" t="str">
        <f t="shared" si="154"/>
        <v>D+</v>
      </c>
      <c r="M142" s="712" t="str">
        <f t="shared" si="155"/>
        <v>0</v>
      </c>
      <c r="N142" s="1549"/>
      <c r="O142" s="1550"/>
      <c r="P142" s="1550"/>
      <c r="Q142" s="1550"/>
      <c r="R142" s="1550"/>
      <c r="S142" s="1551"/>
      <c r="T142" s="1469"/>
      <c r="U142" s="1469"/>
      <c r="V142" s="1469"/>
      <c r="W142" s="1470"/>
      <c r="X142" s="1531"/>
      <c r="Y142" s="1532"/>
    </row>
    <row r="143" spans="1:25" ht="23.1" customHeight="1" x14ac:dyDescent="0.25">
      <c r="A143" s="1478"/>
      <c r="B143" s="683">
        <v>23</v>
      </c>
      <c r="C143" s="1545"/>
      <c r="D143" s="1542" t="s">
        <v>179</v>
      </c>
      <c r="E143" s="627">
        <f>VLOOKUP(A139,UHT_PJOK,42,FALSE)</f>
        <v>0</v>
      </c>
      <c r="F143" s="1905">
        <f t="shared" si="150"/>
        <v>0</v>
      </c>
      <c r="G143" s="1152"/>
      <c r="H143" s="627">
        <f>VLOOKUP(B139,REKAP_NILAI,33,FALSE)</f>
        <v>0</v>
      </c>
      <c r="I143" s="709">
        <f t="shared" si="151"/>
        <v>0</v>
      </c>
      <c r="J143" s="710">
        <f t="shared" si="152"/>
        <v>0</v>
      </c>
      <c r="K143" s="711" t="str">
        <f t="shared" si="153"/>
        <v>1.33</v>
      </c>
      <c r="L143" s="711" t="str">
        <f t="shared" si="154"/>
        <v>D+</v>
      </c>
      <c r="M143" s="712" t="str">
        <f t="shared" si="155"/>
        <v>0</v>
      </c>
      <c r="N143" s="1549"/>
      <c r="O143" s="1550"/>
      <c r="P143" s="1550"/>
      <c r="Q143" s="1550"/>
      <c r="R143" s="1550"/>
      <c r="S143" s="1551"/>
      <c r="T143" s="1469"/>
      <c r="U143" s="1469"/>
      <c r="V143" s="1469"/>
      <c r="W143" s="1470"/>
      <c r="X143" s="1533"/>
      <c r="Y143" s="1534"/>
    </row>
    <row r="144" spans="1:25" ht="23.1" customHeight="1" x14ac:dyDescent="0.25">
      <c r="A144" s="1154"/>
      <c r="B144" s="1552"/>
      <c r="C144" s="1553" t="s">
        <v>149</v>
      </c>
      <c r="D144" s="1562">
        <v>23</v>
      </c>
      <c r="E144" s="1154"/>
      <c r="F144" s="1155"/>
      <c r="G144" s="1162"/>
      <c r="H144" s="1555">
        <f>AVERAGE(H139:H143)</f>
        <v>0</v>
      </c>
      <c r="I144" s="705"/>
      <c r="J144" s="713">
        <f>AVERAGE(J139:J143)</f>
        <v>0</v>
      </c>
      <c r="K144" s="714" t="str">
        <f t="shared" si="153"/>
        <v>1.33</v>
      </c>
      <c r="L144" s="714" t="str">
        <f t="shared" si="154"/>
        <v>D+</v>
      </c>
      <c r="M144" s="888" t="str">
        <f t="shared" si="155"/>
        <v>0</v>
      </c>
      <c r="N144" s="1556"/>
      <c r="O144" s="1557"/>
      <c r="P144" s="1557"/>
      <c r="Q144" s="1557"/>
      <c r="R144" s="1557"/>
      <c r="S144" s="1557"/>
      <c r="T144" s="1557"/>
      <c r="U144" s="1557"/>
      <c r="V144" s="1557"/>
      <c r="W144" s="1558"/>
      <c r="X144" s="1257"/>
      <c r="Y144" s="1258"/>
    </row>
    <row r="145" spans="1:25" ht="23.1" customHeight="1" thickBot="1" x14ac:dyDescent="0.3">
      <c r="A145" s="1478">
        <v>24</v>
      </c>
      <c r="B145" s="683">
        <v>24</v>
      </c>
      <c r="C145" s="1541" t="str">
        <f>VLOOKUP(A145,data_siswa,4,FALSE)</f>
        <v>Romzy Oka Ramadhani P</v>
      </c>
      <c r="D145" s="1542" t="s">
        <v>7</v>
      </c>
      <c r="E145" s="627">
        <f>VLOOKUP(A145,UHT_PJOK,38,FALSE)</f>
        <v>0</v>
      </c>
      <c r="F145" s="1904">
        <f>E145*2</f>
        <v>0</v>
      </c>
      <c r="G145" s="627"/>
      <c r="H145" s="627">
        <f>VLOOKUP(B145,REKAP_NILAI,29,FALSE)</f>
        <v>0</v>
      </c>
      <c r="I145" s="706">
        <f>F145+G145+H145</f>
        <v>0</v>
      </c>
      <c r="J145" s="707">
        <f>(F145+G145+H145)/4</f>
        <v>0</v>
      </c>
      <c r="K145" s="708" t="str">
        <f>IF(J145&gt;85,("4"),IF(J145&gt;80,("3.66"),IF(J145&gt;75,("3.33"),IF(J145&gt;70,("3.00"),IF(J145&gt;65,("2.66"),IF(J145&gt;60,("2.33"),IF(J145&gt;55,("2"),IF(J145&gt;50,("1.66"),"1.33"))))))))</f>
        <v>1.33</v>
      </c>
      <c r="L145" s="708" t="str">
        <f>IF(J145&gt;85,("A"),IF(J145&gt;80,("A-"),IF(J145&gt;75,("B+"),IF(J145&gt;70,("B"),IF(J145&gt;65,("B-"),IF(J145&gt;60,("C+"),IF(J145&gt;55,("C"),IF(J145&gt;50,("C-"),"D+"))))))))</f>
        <v>D+</v>
      </c>
      <c r="M145" s="887" t="str">
        <f>IF(J145&gt;80,("SB"),IF(J145&gt;65,("B"),IF(J145&gt;50,("C"),IF(J145&gt;0,("K"),"0"))))</f>
        <v>0</v>
      </c>
      <c r="N145" s="1471"/>
      <c r="O145" s="1471"/>
      <c r="P145" s="1471"/>
      <c r="Q145" s="1471"/>
      <c r="R145" s="1471"/>
      <c r="S145" s="1472"/>
      <c r="T145" s="1473"/>
      <c r="U145" s="1473"/>
      <c r="V145" s="1473"/>
      <c r="W145" s="1473"/>
      <c r="X145" s="704">
        <f>AVERAGE(J145:J149)</f>
        <v>0</v>
      </c>
      <c r="Y145" s="1481" t="str">
        <f>IF(X145&gt;85,("A"),IF(X145&gt;80,("A-"),IF(X145&gt;75,("B+"),IF(X145&gt;70,("B"),IF(X145&gt;65,("B-"),IF(X145&gt;60,("C+"),IF(X145&gt;55,("C"),IF(X145&gt;50,("C-"),"D+"))))))))</f>
        <v>D+</v>
      </c>
    </row>
    <row r="146" spans="1:25" ht="23.1" customHeight="1" x14ac:dyDescent="0.25">
      <c r="A146" s="1478"/>
      <c r="B146" s="683">
        <v>24</v>
      </c>
      <c r="C146" s="1545"/>
      <c r="D146" s="1542" t="s">
        <v>10</v>
      </c>
      <c r="E146" s="627">
        <f>VLOOKUP(A145,UHT_PJOK,39,FALSE)</f>
        <v>0</v>
      </c>
      <c r="F146" s="1905">
        <f t="shared" ref="F146:F149" si="156">E146*2</f>
        <v>0</v>
      </c>
      <c r="G146" s="1152"/>
      <c r="H146" s="627">
        <f>VLOOKUP(B145,REKAP_NILAI,30,FALSE)</f>
        <v>0</v>
      </c>
      <c r="I146" s="709">
        <f t="shared" ref="I146:I149" si="157">F146+G146+H146</f>
        <v>0</v>
      </c>
      <c r="J146" s="710">
        <f t="shared" ref="J146:J149" si="158">(F146+G146+H146)/4</f>
        <v>0</v>
      </c>
      <c r="K146" s="711" t="str">
        <f t="shared" ref="K146:K150" si="159">IF(J146&gt;85,("4"),IF(J146&gt;80,("3.66"),IF(J146&gt;75,("3.33"),IF(J146&gt;70,("3.00"),IF(J146&gt;65,("2.66"),IF(J146&gt;60,("2.33"),IF(J146&gt;55,("2"),IF(J146&gt;50,("1.66"),"1.33"))))))))</f>
        <v>1.33</v>
      </c>
      <c r="L146" s="711" t="str">
        <f t="shared" ref="L146:L150" si="160">IF(J146&gt;85,("A"),IF(J146&gt;80,("A-"),IF(J146&gt;75,("B+"),IF(J146&gt;70,("B"),IF(J146&gt;65,("B-"),IF(J146&gt;60,("C+"),IF(J146&gt;55,("C"),IF(J146&gt;50,("C-"),"D+"))))))))</f>
        <v>D+</v>
      </c>
      <c r="M146" s="712" t="str">
        <f t="shared" ref="M146:M150" si="161">IF(J146&gt;80,("SB"),IF(J146&gt;65,("B"),IF(J146&gt;50,("C"),IF(J146&gt;0,("K"),"0"))))</f>
        <v>0</v>
      </c>
      <c r="N146" s="1546"/>
      <c r="O146" s="1547"/>
      <c r="P146" s="1547"/>
      <c r="Q146" s="1547"/>
      <c r="R146" s="1547"/>
      <c r="S146" s="1548"/>
      <c r="T146" s="1465"/>
      <c r="U146" s="1465"/>
      <c r="V146" s="1465"/>
      <c r="W146" s="1466"/>
      <c r="X146" s="1529"/>
      <c r="Y146" s="1530"/>
    </row>
    <row r="147" spans="1:25" ht="23.1" customHeight="1" x14ac:dyDescent="0.25">
      <c r="A147" s="1478"/>
      <c r="B147" s="683">
        <v>24</v>
      </c>
      <c r="C147" s="1545"/>
      <c r="D147" s="1542" t="s">
        <v>8</v>
      </c>
      <c r="E147" s="627">
        <f>VLOOKUP(A145,UHT_PJOK,40,FALSE)</f>
        <v>0</v>
      </c>
      <c r="F147" s="1905">
        <f t="shared" si="156"/>
        <v>0</v>
      </c>
      <c r="G147" s="1152"/>
      <c r="H147" s="627">
        <f>VLOOKUP(B145,REKAP_NILAI,31,FALSE)</f>
        <v>0</v>
      </c>
      <c r="I147" s="709">
        <f t="shared" si="157"/>
        <v>0</v>
      </c>
      <c r="J147" s="710">
        <f t="shared" si="158"/>
        <v>0</v>
      </c>
      <c r="K147" s="711" t="str">
        <f t="shared" si="159"/>
        <v>1.33</v>
      </c>
      <c r="L147" s="711" t="str">
        <f t="shared" si="160"/>
        <v>D+</v>
      </c>
      <c r="M147" s="712" t="str">
        <f t="shared" si="161"/>
        <v>0</v>
      </c>
      <c r="N147" s="1549"/>
      <c r="O147" s="1550"/>
      <c r="P147" s="1550"/>
      <c r="Q147" s="1550"/>
      <c r="R147" s="1550"/>
      <c r="S147" s="1551"/>
      <c r="T147" s="1469"/>
      <c r="U147" s="1469"/>
      <c r="V147" s="1469"/>
      <c r="W147" s="1470"/>
      <c r="X147" s="1531"/>
      <c r="Y147" s="1532"/>
    </row>
    <row r="148" spans="1:25" ht="23.1" customHeight="1" x14ac:dyDescent="0.25">
      <c r="A148" s="1478"/>
      <c r="B148" s="683">
        <v>24</v>
      </c>
      <c r="C148" s="1545"/>
      <c r="D148" s="1542" t="s">
        <v>18</v>
      </c>
      <c r="E148" s="627">
        <f>VLOOKUP(A145,UHT_PJOK,41,FALSE)</f>
        <v>0</v>
      </c>
      <c r="F148" s="1905">
        <f t="shared" si="156"/>
        <v>0</v>
      </c>
      <c r="G148" s="627"/>
      <c r="H148" s="627">
        <f>VLOOKUP(B145,REKAP_NILAI,29,FALSE)</f>
        <v>0</v>
      </c>
      <c r="I148" s="709">
        <f t="shared" si="157"/>
        <v>0</v>
      </c>
      <c r="J148" s="710">
        <f t="shared" si="158"/>
        <v>0</v>
      </c>
      <c r="K148" s="711" t="str">
        <f t="shared" si="159"/>
        <v>1.33</v>
      </c>
      <c r="L148" s="711" t="str">
        <f t="shared" si="160"/>
        <v>D+</v>
      </c>
      <c r="M148" s="712" t="str">
        <f t="shared" si="161"/>
        <v>0</v>
      </c>
      <c r="N148" s="1549"/>
      <c r="O148" s="1550"/>
      <c r="P148" s="1550"/>
      <c r="Q148" s="1550"/>
      <c r="R148" s="1550"/>
      <c r="S148" s="1551"/>
      <c r="T148" s="1469"/>
      <c r="U148" s="1469"/>
      <c r="V148" s="1469"/>
      <c r="W148" s="1470"/>
      <c r="X148" s="1531"/>
      <c r="Y148" s="1532"/>
    </row>
    <row r="149" spans="1:25" ht="23.1" customHeight="1" x14ac:dyDescent="0.25">
      <c r="A149" s="1478"/>
      <c r="B149" s="683">
        <v>24</v>
      </c>
      <c r="C149" s="1545"/>
      <c r="D149" s="1542" t="s">
        <v>179</v>
      </c>
      <c r="E149" s="627">
        <f>VLOOKUP(A145,UHT_PJOK,42,FALSE)</f>
        <v>0</v>
      </c>
      <c r="F149" s="1905">
        <f t="shared" si="156"/>
        <v>0</v>
      </c>
      <c r="G149" s="1152"/>
      <c r="H149" s="627">
        <f>VLOOKUP(B145,REKAP_NILAI,33,FALSE)</f>
        <v>0</v>
      </c>
      <c r="I149" s="709">
        <f t="shared" si="157"/>
        <v>0</v>
      </c>
      <c r="J149" s="710">
        <f t="shared" si="158"/>
        <v>0</v>
      </c>
      <c r="K149" s="711" t="str">
        <f t="shared" si="159"/>
        <v>1.33</v>
      </c>
      <c r="L149" s="711" t="str">
        <f t="shared" si="160"/>
        <v>D+</v>
      </c>
      <c r="M149" s="712" t="str">
        <f t="shared" si="161"/>
        <v>0</v>
      </c>
      <c r="N149" s="1549"/>
      <c r="O149" s="1550"/>
      <c r="P149" s="1550"/>
      <c r="Q149" s="1550"/>
      <c r="R149" s="1550"/>
      <c r="S149" s="1551"/>
      <c r="T149" s="1469"/>
      <c r="U149" s="1469"/>
      <c r="V149" s="1469"/>
      <c r="W149" s="1470"/>
      <c r="X149" s="1533"/>
      <c r="Y149" s="1534"/>
    </row>
    <row r="150" spans="1:25" ht="23.1" customHeight="1" x14ac:dyDescent="0.25">
      <c r="A150" s="1154"/>
      <c r="B150" s="1552"/>
      <c r="C150" s="1553" t="s">
        <v>149</v>
      </c>
      <c r="D150" s="1562">
        <v>24</v>
      </c>
      <c r="E150" s="697"/>
      <c r="F150" s="1906"/>
      <c r="G150" s="697"/>
      <c r="H150" s="1189">
        <f>AVERAGE(H145:H149)</f>
        <v>0</v>
      </c>
      <c r="I150" s="705"/>
      <c r="J150" s="713">
        <f>AVERAGE(J145:J149)</f>
        <v>0</v>
      </c>
      <c r="K150" s="714" t="str">
        <f t="shared" si="159"/>
        <v>1.33</v>
      </c>
      <c r="L150" s="714" t="str">
        <f t="shared" si="160"/>
        <v>D+</v>
      </c>
      <c r="M150" s="888" t="str">
        <f t="shared" si="161"/>
        <v>0</v>
      </c>
      <c r="N150" s="1556"/>
      <c r="O150" s="1557"/>
      <c r="P150" s="1557"/>
      <c r="Q150" s="1557"/>
      <c r="R150" s="1557"/>
      <c r="S150" s="1557"/>
      <c r="T150" s="1557"/>
      <c r="U150" s="1557"/>
      <c r="V150" s="1557"/>
      <c r="W150" s="1558"/>
      <c r="X150" s="1257"/>
      <c r="Y150" s="1258"/>
    </row>
    <row r="151" spans="1:25" ht="23.1" customHeight="1" thickBot="1" x14ac:dyDescent="0.3">
      <c r="A151" s="1478">
        <v>25</v>
      </c>
      <c r="B151" s="683">
        <v>25</v>
      </c>
      <c r="C151" s="1541" t="str">
        <f>VLOOKUP(A151,data_siswa,4,FALSE)</f>
        <v>Larasati Jagadhita P</v>
      </c>
      <c r="D151" s="1542" t="s">
        <v>7</v>
      </c>
      <c r="E151" s="627">
        <f>VLOOKUP(A151,UHT_PJOK,38,FALSE)</f>
        <v>0</v>
      </c>
      <c r="F151" s="1904">
        <f>E151*2</f>
        <v>0</v>
      </c>
      <c r="G151" s="627"/>
      <c r="H151" s="627">
        <f>VLOOKUP(B151,REKAP_NILAI,29,FALSE)</f>
        <v>0</v>
      </c>
      <c r="I151" s="706">
        <f>F151+G151+H151</f>
        <v>0</v>
      </c>
      <c r="J151" s="707">
        <f>(F151+G151+H151)/4</f>
        <v>0</v>
      </c>
      <c r="K151" s="708" t="str">
        <f>IF(J151&gt;85,("4"),IF(J151&gt;80,("3.66"),IF(J151&gt;75,("3.33"),IF(J151&gt;70,("3.00"),IF(J151&gt;65,("2.66"),IF(J151&gt;60,("2.33"),IF(J151&gt;55,("2"),IF(J151&gt;50,("1.66"),"1.33"))))))))</f>
        <v>1.33</v>
      </c>
      <c r="L151" s="708" t="str">
        <f>IF(J151&gt;85,("A"),IF(J151&gt;80,("A-"),IF(J151&gt;75,("B+"),IF(J151&gt;70,("B"),IF(J151&gt;65,("B-"),IF(J151&gt;60,("C+"),IF(J151&gt;55,("C"),IF(J151&gt;50,("C-"),"D+"))))))))</f>
        <v>D+</v>
      </c>
      <c r="M151" s="887" t="str">
        <f>IF(J151&gt;80,("SB"),IF(J151&gt;65,("B"),IF(J151&gt;50,("C"),IF(J151&gt;0,("K"),"0"))))</f>
        <v>0</v>
      </c>
      <c r="N151" s="1471"/>
      <c r="O151" s="1471"/>
      <c r="P151" s="1471"/>
      <c r="Q151" s="1471"/>
      <c r="R151" s="1471"/>
      <c r="S151" s="1472"/>
      <c r="T151" s="1473"/>
      <c r="U151" s="1473"/>
      <c r="V151" s="1473"/>
      <c r="W151" s="1473"/>
      <c r="X151" s="704">
        <f>AVERAGE(J151:J155)</f>
        <v>0</v>
      </c>
      <c r="Y151" s="1481" t="str">
        <f>IF(X151&gt;85,("A"),IF(X151&gt;80,("A-"),IF(X151&gt;75,("B+"),IF(X151&gt;70,("B"),IF(X151&gt;65,("B-"),IF(X151&gt;60,("C+"),IF(X151&gt;55,("C"),IF(X151&gt;50,("C-"),"D+"))))))))</f>
        <v>D+</v>
      </c>
    </row>
    <row r="152" spans="1:25" ht="23.1" customHeight="1" x14ac:dyDescent="0.25">
      <c r="A152" s="1478"/>
      <c r="B152" s="683">
        <v>25</v>
      </c>
      <c r="C152" s="1545"/>
      <c r="D152" s="1542" t="s">
        <v>10</v>
      </c>
      <c r="E152" s="627">
        <f>VLOOKUP(A151,UHT_PJOK,39,FALSE)</f>
        <v>0</v>
      </c>
      <c r="F152" s="1905">
        <f t="shared" ref="F152:F155" si="162">E152*2</f>
        <v>0</v>
      </c>
      <c r="G152" s="1152"/>
      <c r="H152" s="627">
        <f>VLOOKUP(B151,REKAP_NILAI,30,FALSE)</f>
        <v>0</v>
      </c>
      <c r="I152" s="709">
        <f t="shared" ref="I152:I155" si="163">F152+G152+H152</f>
        <v>0</v>
      </c>
      <c r="J152" s="710">
        <f t="shared" ref="J152:J155" si="164">(F152+G152+H152)/4</f>
        <v>0</v>
      </c>
      <c r="K152" s="711" t="str">
        <f t="shared" ref="K152:K156" si="165">IF(J152&gt;85,("4"),IF(J152&gt;80,("3.66"),IF(J152&gt;75,("3.33"),IF(J152&gt;70,("3.00"),IF(J152&gt;65,("2.66"),IF(J152&gt;60,("2.33"),IF(J152&gt;55,("2"),IF(J152&gt;50,("1.66"),"1.33"))))))))</f>
        <v>1.33</v>
      </c>
      <c r="L152" s="711" t="str">
        <f t="shared" ref="L152:L156" si="166">IF(J152&gt;85,("A"),IF(J152&gt;80,("A-"),IF(J152&gt;75,("B+"),IF(J152&gt;70,("B"),IF(J152&gt;65,("B-"),IF(J152&gt;60,("C+"),IF(J152&gt;55,("C"),IF(J152&gt;50,("C-"),"D+"))))))))</f>
        <v>D+</v>
      </c>
      <c r="M152" s="712" t="str">
        <f t="shared" ref="M152:M156" si="167">IF(J152&gt;80,("SB"),IF(J152&gt;65,("B"),IF(J152&gt;50,("C"),IF(J152&gt;0,("K"),"0"))))</f>
        <v>0</v>
      </c>
      <c r="N152" s="1546"/>
      <c r="O152" s="1547"/>
      <c r="P152" s="1547"/>
      <c r="Q152" s="1547"/>
      <c r="R152" s="1547"/>
      <c r="S152" s="1548"/>
      <c r="T152" s="1465"/>
      <c r="U152" s="1465"/>
      <c r="V152" s="1465"/>
      <c r="W152" s="1466"/>
      <c r="X152" s="1529"/>
      <c r="Y152" s="1530"/>
    </row>
    <row r="153" spans="1:25" ht="23.1" customHeight="1" x14ac:dyDescent="0.25">
      <c r="A153" s="1478"/>
      <c r="B153" s="683">
        <v>25</v>
      </c>
      <c r="C153" s="1545"/>
      <c r="D153" s="1542" t="s">
        <v>8</v>
      </c>
      <c r="E153" s="627">
        <f>VLOOKUP(A151,UHT_PJOK,40,FALSE)</f>
        <v>0</v>
      </c>
      <c r="F153" s="1905">
        <f t="shared" si="162"/>
        <v>0</v>
      </c>
      <c r="G153" s="1152"/>
      <c r="H153" s="627">
        <f>VLOOKUP(B151,REKAP_NILAI,31,FALSE)</f>
        <v>0</v>
      </c>
      <c r="I153" s="709">
        <f t="shared" si="163"/>
        <v>0</v>
      </c>
      <c r="J153" s="710">
        <f t="shared" si="164"/>
        <v>0</v>
      </c>
      <c r="K153" s="711" t="str">
        <f t="shared" si="165"/>
        <v>1.33</v>
      </c>
      <c r="L153" s="711" t="str">
        <f t="shared" si="166"/>
        <v>D+</v>
      </c>
      <c r="M153" s="712" t="str">
        <f t="shared" si="167"/>
        <v>0</v>
      </c>
      <c r="N153" s="1549"/>
      <c r="O153" s="1550"/>
      <c r="P153" s="1550"/>
      <c r="Q153" s="1550"/>
      <c r="R153" s="1550"/>
      <c r="S153" s="1551"/>
      <c r="T153" s="1469"/>
      <c r="U153" s="1469"/>
      <c r="V153" s="1469"/>
      <c r="W153" s="1470"/>
      <c r="X153" s="1531"/>
      <c r="Y153" s="1532"/>
    </row>
    <row r="154" spans="1:25" ht="23.1" customHeight="1" x14ac:dyDescent="0.25">
      <c r="A154" s="1478"/>
      <c r="B154" s="683">
        <v>25</v>
      </c>
      <c r="C154" s="1545"/>
      <c r="D154" s="1542" t="s">
        <v>18</v>
      </c>
      <c r="E154" s="627">
        <f>VLOOKUP(A151,UHT_PJOK,41,FALSE)</f>
        <v>0</v>
      </c>
      <c r="F154" s="1905">
        <f t="shared" si="162"/>
        <v>0</v>
      </c>
      <c r="G154" s="627"/>
      <c r="H154" s="627">
        <f>VLOOKUP(B151,REKAP_NILAI,29,FALSE)</f>
        <v>0</v>
      </c>
      <c r="I154" s="709">
        <f t="shared" si="163"/>
        <v>0</v>
      </c>
      <c r="J154" s="710">
        <f t="shared" si="164"/>
        <v>0</v>
      </c>
      <c r="K154" s="711" t="str">
        <f t="shared" si="165"/>
        <v>1.33</v>
      </c>
      <c r="L154" s="711" t="str">
        <f t="shared" si="166"/>
        <v>D+</v>
      </c>
      <c r="M154" s="712" t="str">
        <f t="shared" si="167"/>
        <v>0</v>
      </c>
      <c r="N154" s="1549"/>
      <c r="O154" s="1550"/>
      <c r="P154" s="1550"/>
      <c r="Q154" s="1550"/>
      <c r="R154" s="1550"/>
      <c r="S154" s="1551"/>
      <c r="T154" s="1469"/>
      <c r="U154" s="1469"/>
      <c r="V154" s="1469"/>
      <c r="W154" s="1470"/>
      <c r="X154" s="1531"/>
      <c r="Y154" s="1532"/>
    </row>
    <row r="155" spans="1:25" ht="23.1" customHeight="1" x14ac:dyDescent="0.25">
      <c r="A155" s="1478"/>
      <c r="B155" s="683">
        <v>25</v>
      </c>
      <c r="C155" s="1545"/>
      <c r="D155" s="1542" t="s">
        <v>179</v>
      </c>
      <c r="E155" s="627">
        <f>VLOOKUP(A151,UHT_PJOK,42,FALSE)</f>
        <v>0</v>
      </c>
      <c r="F155" s="1905">
        <f t="shared" si="162"/>
        <v>0</v>
      </c>
      <c r="G155" s="1152"/>
      <c r="H155" s="627">
        <f>VLOOKUP(B151,REKAP_NILAI,33,FALSE)</f>
        <v>0</v>
      </c>
      <c r="I155" s="709">
        <f t="shared" si="163"/>
        <v>0</v>
      </c>
      <c r="J155" s="710">
        <f t="shared" si="164"/>
        <v>0</v>
      </c>
      <c r="K155" s="711" t="str">
        <f t="shared" si="165"/>
        <v>1.33</v>
      </c>
      <c r="L155" s="711" t="str">
        <f t="shared" si="166"/>
        <v>D+</v>
      </c>
      <c r="M155" s="712" t="str">
        <f t="shared" si="167"/>
        <v>0</v>
      </c>
      <c r="N155" s="1549"/>
      <c r="O155" s="1550"/>
      <c r="P155" s="1550"/>
      <c r="Q155" s="1550"/>
      <c r="R155" s="1550"/>
      <c r="S155" s="1551"/>
      <c r="T155" s="1469"/>
      <c r="U155" s="1469"/>
      <c r="V155" s="1469"/>
      <c r="W155" s="1470"/>
      <c r="X155" s="1533"/>
      <c r="Y155" s="1534"/>
    </row>
    <row r="156" spans="1:25" ht="23.1" customHeight="1" x14ac:dyDescent="0.25">
      <c r="A156" s="1154"/>
      <c r="B156" s="1552"/>
      <c r="C156" s="1553" t="s">
        <v>149</v>
      </c>
      <c r="D156" s="1562">
        <v>25</v>
      </c>
      <c r="E156" s="697"/>
      <c r="F156" s="1906"/>
      <c r="G156" s="697"/>
      <c r="H156" s="1189">
        <f>AVERAGE(H151:H155)</f>
        <v>0</v>
      </c>
      <c r="I156" s="705"/>
      <c r="J156" s="713">
        <f>AVERAGE(J151:J155)</f>
        <v>0</v>
      </c>
      <c r="K156" s="714" t="str">
        <f t="shared" si="165"/>
        <v>1.33</v>
      </c>
      <c r="L156" s="714" t="str">
        <f t="shared" si="166"/>
        <v>D+</v>
      </c>
      <c r="M156" s="888" t="str">
        <f t="shared" si="167"/>
        <v>0</v>
      </c>
      <c r="N156" s="1556"/>
      <c r="O156" s="1557"/>
      <c r="P156" s="1557"/>
      <c r="Q156" s="1557"/>
      <c r="R156" s="1557"/>
      <c r="S156" s="1557"/>
      <c r="T156" s="1557"/>
      <c r="U156" s="1557"/>
      <c r="V156" s="1557"/>
      <c r="W156" s="1558"/>
      <c r="X156" s="1257"/>
      <c r="Y156" s="1258"/>
    </row>
    <row r="157" spans="1:25" ht="23.1" customHeight="1" thickBot="1" x14ac:dyDescent="0.3">
      <c r="A157" s="1477">
        <v>26</v>
      </c>
      <c r="B157" s="683">
        <v>26</v>
      </c>
      <c r="C157" s="1563" t="str">
        <f>VLOOKUP(A157,data_siswa,4,FALSE)</f>
        <v>Meliana Citra A</v>
      </c>
      <c r="D157" s="1542" t="s">
        <v>7</v>
      </c>
      <c r="E157" s="627">
        <f>VLOOKUP(A157,UHT_PJOK,38,FALSE)</f>
        <v>0</v>
      </c>
      <c r="F157" s="1904">
        <f>E157*2</f>
        <v>0</v>
      </c>
      <c r="G157" s="627"/>
      <c r="H157" s="627">
        <f>VLOOKUP(B157,REKAP_NILAI,29,FALSE)</f>
        <v>0</v>
      </c>
      <c r="I157" s="706">
        <f>F157+G157+H157</f>
        <v>0</v>
      </c>
      <c r="J157" s="707">
        <f>(F157+G157+H157)/4</f>
        <v>0</v>
      </c>
      <c r="K157" s="708" t="str">
        <f>IF(J157&gt;85,("4"),IF(J157&gt;80,("3.66"),IF(J157&gt;75,("3.33"),IF(J157&gt;70,("3.00"),IF(J157&gt;65,("2.66"),IF(J157&gt;60,("2.33"),IF(J157&gt;55,("2"),IF(J157&gt;50,("1.66"),"1.33"))))))))</f>
        <v>1.33</v>
      </c>
      <c r="L157" s="708" t="str">
        <f>IF(J157&gt;85,("A"),IF(J157&gt;80,("A-"),IF(J157&gt;75,("B+"),IF(J157&gt;70,("B"),IF(J157&gt;65,("B-"),IF(J157&gt;60,("C+"),IF(J157&gt;55,("C"),IF(J157&gt;50,("C-"),"D+"))))))))</f>
        <v>D+</v>
      </c>
      <c r="M157" s="887" t="str">
        <f>IF(J157&gt;80,("SB"),IF(J157&gt;65,("B"),IF(J157&gt;50,("C"),IF(J157&gt;0,("K"),"0"))))</f>
        <v>0</v>
      </c>
      <c r="N157" s="1474"/>
      <c r="O157" s="1474"/>
      <c r="P157" s="1474"/>
      <c r="Q157" s="1474"/>
      <c r="R157" s="1474"/>
      <c r="S157" s="1475"/>
      <c r="T157" s="1476"/>
      <c r="U157" s="1476"/>
      <c r="V157" s="1476"/>
      <c r="W157" s="1476"/>
      <c r="X157" s="704">
        <f>AVERAGE(J157:J161)</f>
        <v>0</v>
      </c>
      <c r="Y157" s="1481" t="str">
        <f>IF(X157&gt;85,("A"),IF(X157&gt;80,("A-"),IF(X157&gt;75,("B+"),IF(X157&gt;70,("B"),IF(X157&gt;65,("B-"),IF(X157&gt;60,("C+"),IF(X157&gt;55,("C"),IF(X157&gt;50,("C-"),"D+"))))))))</f>
        <v>D+</v>
      </c>
    </row>
    <row r="158" spans="1:25" ht="23.1" customHeight="1" x14ac:dyDescent="0.25">
      <c r="A158" s="1478"/>
      <c r="B158" s="683">
        <v>26</v>
      </c>
      <c r="C158" s="1545"/>
      <c r="D158" s="1542" t="s">
        <v>10</v>
      </c>
      <c r="E158" s="627">
        <f>VLOOKUP(A157,UHT_PJOK,39,FALSE)</f>
        <v>0</v>
      </c>
      <c r="F158" s="1905">
        <f t="shared" ref="F158:F161" si="168">E158*2</f>
        <v>0</v>
      </c>
      <c r="G158" s="1152"/>
      <c r="H158" s="627">
        <f>VLOOKUP(B157,REKAP_NILAI,30,FALSE)</f>
        <v>0</v>
      </c>
      <c r="I158" s="709">
        <f t="shared" ref="I158:I161" si="169">F158+G158+H158</f>
        <v>0</v>
      </c>
      <c r="J158" s="710">
        <f t="shared" ref="J158:J161" si="170">(F158+G158+H158)/4</f>
        <v>0</v>
      </c>
      <c r="K158" s="711" t="str">
        <f t="shared" ref="K158:K161" si="171">IF(J158&gt;85,("4"),IF(J158&gt;80,("3.66"),IF(J158&gt;75,("3.33"),IF(J158&gt;70,("3.00"),IF(J158&gt;65,("2.66"),IF(J158&gt;60,("2.33"),IF(J158&gt;55,("2"),IF(J158&gt;50,("1.66"),"1.33"))))))))</f>
        <v>1.33</v>
      </c>
      <c r="L158" s="711" t="str">
        <f t="shared" ref="L158:L161" si="172">IF(J158&gt;85,("A"),IF(J158&gt;80,("A-"),IF(J158&gt;75,("B+"),IF(J158&gt;70,("B"),IF(J158&gt;65,("B-"),IF(J158&gt;60,("C+"),IF(J158&gt;55,("C"),IF(J158&gt;50,("C-"),"D+"))))))))</f>
        <v>D+</v>
      </c>
      <c r="M158" s="712" t="str">
        <f t="shared" ref="M158:M161" si="173">IF(J158&gt;80,("SB"),IF(J158&gt;65,("B"),IF(J158&gt;50,("C"),IF(J158&gt;0,("K"),"0"))))</f>
        <v>0</v>
      </c>
      <c r="N158" s="1546"/>
      <c r="O158" s="1547"/>
      <c r="P158" s="1547"/>
      <c r="Q158" s="1547"/>
      <c r="R158" s="1547"/>
      <c r="S158" s="1548"/>
      <c r="T158" s="1465"/>
      <c r="U158" s="1465"/>
      <c r="V158" s="1465"/>
      <c r="W158" s="1466"/>
      <c r="X158" s="1529"/>
      <c r="Y158" s="1530"/>
    </row>
    <row r="159" spans="1:25" ht="23.1" customHeight="1" x14ac:dyDescent="0.25">
      <c r="A159" s="1478"/>
      <c r="B159" s="683">
        <v>26</v>
      </c>
      <c r="C159" s="1545"/>
      <c r="D159" s="1542" t="s">
        <v>8</v>
      </c>
      <c r="E159" s="627">
        <f>VLOOKUP(A157,UHT_PJOK,40,FALSE)</f>
        <v>0</v>
      </c>
      <c r="F159" s="1905">
        <f t="shared" si="168"/>
        <v>0</v>
      </c>
      <c r="G159" s="1152"/>
      <c r="H159" s="627">
        <f>VLOOKUP(B157,REKAP_NILAI,31,FALSE)</f>
        <v>0</v>
      </c>
      <c r="I159" s="709">
        <f t="shared" si="169"/>
        <v>0</v>
      </c>
      <c r="J159" s="710">
        <f t="shared" si="170"/>
        <v>0</v>
      </c>
      <c r="K159" s="711" t="str">
        <f t="shared" si="171"/>
        <v>1.33</v>
      </c>
      <c r="L159" s="711" t="str">
        <f t="shared" si="172"/>
        <v>D+</v>
      </c>
      <c r="M159" s="712" t="str">
        <f t="shared" si="173"/>
        <v>0</v>
      </c>
      <c r="N159" s="1549"/>
      <c r="O159" s="1550"/>
      <c r="P159" s="1550"/>
      <c r="Q159" s="1550"/>
      <c r="R159" s="1550"/>
      <c r="S159" s="1551"/>
      <c r="T159" s="1469"/>
      <c r="U159" s="1469"/>
      <c r="V159" s="1469"/>
      <c r="W159" s="1470"/>
      <c r="X159" s="1531"/>
      <c r="Y159" s="1532"/>
    </row>
    <row r="160" spans="1:25" ht="23.1" customHeight="1" x14ac:dyDescent="0.25">
      <c r="A160" s="1478"/>
      <c r="B160" s="683">
        <v>26</v>
      </c>
      <c r="C160" s="1545"/>
      <c r="D160" s="1542" t="s">
        <v>18</v>
      </c>
      <c r="E160" s="627">
        <f>VLOOKUP(A157,UHT_PJOK,41,FALSE)</f>
        <v>0</v>
      </c>
      <c r="F160" s="1905">
        <f t="shared" si="168"/>
        <v>0</v>
      </c>
      <c r="G160" s="627"/>
      <c r="H160" s="627">
        <f>VLOOKUP(B157,REKAP_NILAI,29,FALSE)</f>
        <v>0</v>
      </c>
      <c r="I160" s="709">
        <f t="shared" si="169"/>
        <v>0</v>
      </c>
      <c r="J160" s="710">
        <f t="shared" si="170"/>
        <v>0</v>
      </c>
      <c r="K160" s="711" t="str">
        <f t="shared" si="171"/>
        <v>1.33</v>
      </c>
      <c r="L160" s="711" t="str">
        <f t="shared" si="172"/>
        <v>D+</v>
      </c>
      <c r="M160" s="712" t="str">
        <f t="shared" si="173"/>
        <v>0</v>
      </c>
      <c r="N160" s="1549"/>
      <c r="O160" s="1550"/>
      <c r="P160" s="1550"/>
      <c r="Q160" s="1550"/>
      <c r="R160" s="1550"/>
      <c r="S160" s="1551"/>
      <c r="T160" s="1469"/>
      <c r="U160" s="1469"/>
      <c r="V160" s="1469"/>
      <c r="W160" s="1470"/>
      <c r="X160" s="1531"/>
      <c r="Y160" s="1532"/>
    </row>
    <row r="161" spans="1:25" ht="23.1" customHeight="1" x14ac:dyDescent="0.25">
      <c r="A161" s="1478"/>
      <c r="B161" s="683">
        <v>26</v>
      </c>
      <c r="C161" s="1545"/>
      <c r="D161" s="1542" t="s">
        <v>179</v>
      </c>
      <c r="E161" s="627">
        <f>VLOOKUP(A157,UHT_PJOK,42,FALSE)</f>
        <v>0</v>
      </c>
      <c r="F161" s="1905">
        <f t="shared" si="168"/>
        <v>0</v>
      </c>
      <c r="G161" s="1152"/>
      <c r="H161" s="627">
        <f>VLOOKUP(B157,REKAP_NILAI,33,FALSE)</f>
        <v>0</v>
      </c>
      <c r="I161" s="709">
        <f t="shared" si="169"/>
        <v>0</v>
      </c>
      <c r="J161" s="710">
        <f t="shared" si="170"/>
        <v>0</v>
      </c>
      <c r="K161" s="711" t="str">
        <f t="shared" si="171"/>
        <v>1.33</v>
      </c>
      <c r="L161" s="711" t="str">
        <f t="shared" si="172"/>
        <v>D+</v>
      </c>
      <c r="M161" s="712" t="str">
        <f t="shared" si="173"/>
        <v>0</v>
      </c>
      <c r="N161" s="1549"/>
      <c r="O161" s="1550"/>
      <c r="P161" s="1550"/>
      <c r="Q161" s="1550"/>
      <c r="R161" s="1550"/>
      <c r="S161" s="1551"/>
      <c r="T161" s="1469"/>
      <c r="U161" s="1469"/>
      <c r="V161" s="1469"/>
      <c r="W161" s="1470"/>
      <c r="X161" s="1533"/>
      <c r="Y161" s="1534"/>
    </row>
    <row r="162" spans="1:25" ht="23.1" customHeight="1" x14ac:dyDescent="0.25">
      <c r="A162" s="1154"/>
      <c r="B162" s="1552"/>
      <c r="C162" s="1553" t="s">
        <v>149</v>
      </c>
      <c r="D162" s="1562">
        <v>26</v>
      </c>
      <c r="E162" s="697"/>
      <c r="F162" s="1906"/>
      <c r="G162" s="697"/>
      <c r="H162" s="1189">
        <f>AVERAGE(H157:H161)</f>
        <v>0</v>
      </c>
      <c r="I162" s="705"/>
      <c r="J162" s="713">
        <f>AVERAGE(J157:J161)</f>
        <v>0</v>
      </c>
      <c r="K162" s="714" t="str">
        <f t="shared" ref="K162" si="174">IF(J162&gt;85,("4"),IF(J162&gt;80,("3.66"),IF(J162&gt;75,("3.33"),IF(J162&gt;70,("3.00"),IF(J162&gt;65,("2.66"),IF(J162&gt;60,("2.33"),IF(J162&gt;55,("2"),IF(J162&gt;50,("1.66"),"1.33"))))))))</f>
        <v>1.33</v>
      </c>
      <c r="L162" s="714" t="str">
        <f t="shared" ref="L162" si="175">IF(J162&gt;85,("A"),IF(J162&gt;80,("A-"),IF(J162&gt;75,("B+"),IF(J162&gt;70,("B"),IF(J162&gt;65,("B-"),IF(J162&gt;60,("C+"),IF(J162&gt;55,("C"),IF(J162&gt;50,("C-"),"D+"))))))))</f>
        <v>D+</v>
      </c>
      <c r="M162" s="888" t="str">
        <f t="shared" ref="M162" si="176">IF(J162&gt;80,("SB"),IF(J162&gt;65,("B"),IF(J162&gt;50,("C"),IF(J162&gt;0,("K"),"0"))))</f>
        <v>0</v>
      </c>
      <c r="N162" s="1556"/>
      <c r="O162" s="1557"/>
      <c r="P162" s="1557"/>
      <c r="Q162" s="1557"/>
      <c r="R162" s="1557"/>
      <c r="S162" s="1557"/>
      <c r="T162" s="1557"/>
      <c r="U162" s="1557"/>
      <c r="V162" s="1557"/>
      <c r="W162" s="1558"/>
      <c r="X162" s="1257"/>
      <c r="Y162" s="1258"/>
    </row>
    <row r="163" spans="1:25" ht="23.1" customHeight="1" thickBot="1" x14ac:dyDescent="0.3">
      <c r="A163" s="1477">
        <v>27</v>
      </c>
      <c r="B163" s="683">
        <v>27</v>
      </c>
      <c r="C163" s="1563" t="str">
        <f>VLOOKUP(A163,data_siswa,4,FALSE)</f>
        <v>Mohammad Rizky</v>
      </c>
      <c r="D163" s="1542" t="s">
        <v>7</v>
      </c>
      <c r="E163" s="627">
        <f>VLOOKUP(A163,UHT_PJOK,38,FALSE)</f>
        <v>0</v>
      </c>
      <c r="F163" s="1904">
        <f>E163*2</f>
        <v>0</v>
      </c>
      <c r="G163" s="627"/>
      <c r="H163" s="627">
        <f>VLOOKUP(B163,REKAP_NILAI,29,FALSE)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887" t="str">
        <f>IF(J163&gt;80,("SB"),IF(J163&gt;65,("B"),IF(J163&gt;50,("C"),IF(J163&gt;0,("K"),"0"))))</f>
        <v>0</v>
      </c>
      <c r="N163" s="1474"/>
      <c r="O163" s="1474"/>
      <c r="P163" s="1474"/>
      <c r="Q163" s="1474"/>
      <c r="R163" s="1474"/>
      <c r="S163" s="1475"/>
      <c r="T163" s="1476"/>
      <c r="U163" s="1476"/>
      <c r="V163" s="1476"/>
      <c r="W163" s="1476"/>
      <c r="X163" s="704">
        <f>AVERAGE(J163:J167)</f>
        <v>0</v>
      </c>
      <c r="Y163" s="1481" t="str">
        <f>IF(X163&gt;85,("A"),IF(X163&gt;80,("A-"),IF(X163&gt;75,("B+"),IF(X163&gt;70,("B"),IF(X163&gt;65,("B-"),IF(X163&gt;60,("C+"),IF(X163&gt;55,("C"),IF(X163&gt;50,("C-"),"D+"))))))))</f>
        <v>D+</v>
      </c>
    </row>
    <row r="164" spans="1:25" ht="23.1" customHeight="1" x14ac:dyDescent="0.25">
      <c r="A164" s="1478"/>
      <c r="B164" s="683">
        <v>27</v>
      </c>
      <c r="C164" s="1545"/>
      <c r="D164" s="1542" t="s">
        <v>10</v>
      </c>
      <c r="E164" s="627">
        <f>VLOOKUP(A163,UHT_PJOK,39,FALSE)</f>
        <v>0</v>
      </c>
      <c r="F164" s="1905">
        <f t="shared" ref="F164:F167" si="177">E164*2</f>
        <v>0</v>
      </c>
      <c r="G164" s="1152"/>
      <c r="H164" s="627">
        <f>VLOOKUP(B163,REKAP_NILAI,30,FALSE)</f>
        <v>0</v>
      </c>
      <c r="I164" s="709">
        <f t="shared" ref="I164:I167" si="178">F164+G164+H164</f>
        <v>0</v>
      </c>
      <c r="J164" s="710">
        <f t="shared" ref="J164:J167" si="179">(F164+G164+H164)/4</f>
        <v>0</v>
      </c>
      <c r="K164" s="711" t="str">
        <f t="shared" ref="K164:K168" si="180">IF(J164&gt;85,("4"),IF(J164&gt;80,("3.66"),IF(J164&gt;75,("3.33"),IF(J164&gt;70,("3.00"),IF(J164&gt;65,("2.66"),IF(J164&gt;60,("2.33"),IF(J164&gt;55,("2"),IF(J164&gt;50,("1.66"),"1.33"))))))))</f>
        <v>1.33</v>
      </c>
      <c r="L164" s="711" t="str">
        <f t="shared" ref="L164:L168" si="181">IF(J164&gt;85,("A"),IF(J164&gt;80,("A-"),IF(J164&gt;75,("B+"),IF(J164&gt;70,("B"),IF(J164&gt;65,("B-"),IF(J164&gt;60,("C+"),IF(J164&gt;55,("C"),IF(J164&gt;50,("C-"),"D+"))))))))</f>
        <v>D+</v>
      </c>
      <c r="M164" s="712" t="str">
        <f t="shared" ref="M164:M168" si="182">IF(J164&gt;80,("SB"),IF(J164&gt;65,("B"),IF(J164&gt;50,("C"),IF(J164&gt;0,("K"),"0"))))</f>
        <v>0</v>
      </c>
      <c r="N164" s="1546"/>
      <c r="O164" s="1547"/>
      <c r="P164" s="1547"/>
      <c r="Q164" s="1547"/>
      <c r="R164" s="1547"/>
      <c r="S164" s="1548"/>
      <c r="T164" s="1465"/>
      <c r="U164" s="1465"/>
      <c r="V164" s="1465"/>
      <c r="W164" s="1466"/>
      <c r="X164" s="1529"/>
      <c r="Y164" s="1530"/>
    </row>
    <row r="165" spans="1:25" ht="23.1" customHeight="1" x14ac:dyDescent="0.25">
      <c r="A165" s="1478"/>
      <c r="B165" s="683">
        <v>27</v>
      </c>
      <c r="C165" s="1545"/>
      <c r="D165" s="1542" t="s">
        <v>8</v>
      </c>
      <c r="E165" s="627">
        <f>VLOOKUP(A163,UHT_PJOK,40,FALSE)</f>
        <v>0</v>
      </c>
      <c r="F165" s="1905">
        <f t="shared" si="177"/>
        <v>0</v>
      </c>
      <c r="G165" s="1152"/>
      <c r="H165" s="627">
        <f>VLOOKUP(B163,REKAP_NILAI,31,FALSE)</f>
        <v>0</v>
      </c>
      <c r="I165" s="709">
        <f t="shared" si="178"/>
        <v>0</v>
      </c>
      <c r="J165" s="710">
        <f t="shared" si="179"/>
        <v>0</v>
      </c>
      <c r="K165" s="711" t="str">
        <f t="shared" si="180"/>
        <v>1.33</v>
      </c>
      <c r="L165" s="711" t="str">
        <f t="shared" si="181"/>
        <v>D+</v>
      </c>
      <c r="M165" s="712" t="str">
        <f t="shared" si="182"/>
        <v>0</v>
      </c>
      <c r="N165" s="1549"/>
      <c r="O165" s="1550"/>
      <c r="P165" s="1550"/>
      <c r="Q165" s="1550"/>
      <c r="R165" s="1550"/>
      <c r="S165" s="1551"/>
      <c r="T165" s="1469"/>
      <c r="U165" s="1469"/>
      <c r="V165" s="1469"/>
      <c r="W165" s="1470"/>
      <c r="X165" s="1531"/>
      <c r="Y165" s="1532"/>
    </row>
    <row r="166" spans="1:25" ht="23.1" customHeight="1" x14ac:dyDescent="0.25">
      <c r="A166" s="1478"/>
      <c r="B166" s="683">
        <v>27</v>
      </c>
      <c r="C166" s="1545"/>
      <c r="D166" s="1542" t="s">
        <v>18</v>
      </c>
      <c r="E166" s="627">
        <f>VLOOKUP(A163,UHT_PJOK,41,FALSE)</f>
        <v>0</v>
      </c>
      <c r="F166" s="1905">
        <f t="shared" si="177"/>
        <v>0</v>
      </c>
      <c r="G166" s="627"/>
      <c r="H166" s="627">
        <f>VLOOKUP(B163,REKAP_NILAI,29,FALSE)</f>
        <v>0</v>
      </c>
      <c r="I166" s="709">
        <f t="shared" si="178"/>
        <v>0</v>
      </c>
      <c r="J166" s="710">
        <f t="shared" si="179"/>
        <v>0</v>
      </c>
      <c r="K166" s="711" t="str">
        <f t="shared" si="180"/>
        <v>1.33</v>
      </c>
      <c r="L166" s="711" t="str">
        <f t="shared" si="181"/>
        <v>D+</v>
      </c>
      <c r="M166" s="712" t="str">
        <f t="shared" si="182"/>
        <v>0</v>
      </c>
      <c r="N166" s="1549"/>
      <c r="O166" s="1550"/>
      <c r="P166" s="1550"/>
      <c r="Q166" s="1550"/>
      <c r="R166" s="1550"/>
      <c r="S166" s="1551"/>
      <c r="T166" s="1469"/>
      <c r="U166" s="1469"/>
      <c r="V166" s="1469"/>
      <c r="W166" s="1470"/>
      <c r="X166" s="1531"/>
      <c r="Y166" s="1532"/>
    </row>
    <row r="167" spans="1:25" ht="23.1" customHeight="1" x14ac:dyDescent="0.25">
      <c r="A167" s="1478"/>
      <c r="B167" s="683">
        <v>27</v>
      </c>
      <c r="C167" s="1545"/>
      <c r="D167" s="1542" t="s">
        <v>179</v>
      </c>
      <c r="E167" s="627">
        <f>VLOOKUP(A163,UHT_PJOK,42,FALSE)</f>
        <v>0</v>
      </c>
      <c r="F167" s="1905">
        <f t="shared" si="177"/>
        <v>0</v>
      </c>
      <c r="G167" s="1152"/>
      <c r="H167" s="627">
        <f>VLOOKUP(B163,REKAP_NILAI,33,FALSE)</f>
        <v>0</v>
      </c>
      <c r="I167" s="709">
        <f t="shared" si="178"/>
        <v>0</v>
      </c>
      <c r="J167" s="710">
        <f t="shared" si="179"/>
        <v>0</v>
      </c>
      <c r="K167" s="711" t="str">
        <f t="shared" si="180"/>
        <v>1.33</v>
      </c>
      <c r="L167" s="711" t="str">
        <f t="shared" si="181"/>
        <v>D+</v>
      </c>
      <c r="M167" s="712" t="str">
        <f t="shared" si="182"/>
        <v>0</v>
      </c>
      <c r="N167" s="1549"/>
      <c r="O167" s="1550"/>
      <c r="P167" s="1550"/>
      <c r="Q167" s="1550"/>
      <c r="R167" s="1550"/>
      <c r="S167" s="1551"/>
      <c r="T167" s="1469"/>
      <c r="U167" s="1469"/>
      <c r="V167" s="1469"/>
      <c r="W167" s="1470"/>
      <c r="X167" s="1533"/>
      <c r="Y167" s="1534"/>
    </row>
    <row r="168" spans="1:25" ht="23.1" customHeight="1" x14ac:dyDescent="0.25">
      <c r="A168" s="1154"/>
      <c r="B168" s="1552"/>
      <c r="C168" s="1553" t="s">
        <v>149</v>
      </c>
      <c r="D168" s="1562">
        <v>27</v>
      </c>
      <c r="E168" s="697"/>
      <c r="F168" s="1906"/>
      <c r="G168" s="697"/>
      <c r="H168" s="1189">
        <f>AVERAGE(H163:H167)</f>
        <v>0</v>
      </c>
      <c r="I168" s="705"/>
      <c r="J168" s="713">
        <f>AVERAGE(J163:J167)</f>
        <v>0</v>
      </c>
      <c r="K168" s="714" t="str">
        <f t="shared" si="180"/>
        <v>1.33</v>
      </c>
      <c r="L168" s="714" t="str">
        <f t="shared" si="181"/>
        <v>D+</v>
      </c>
      <c r="M168" s="888" t="str">
        <f t="shared" si="182"/>
        <v>0</v>
      </c>
      <c r="N168" s="1556"/>
      <c r="O168" s="1557"/>
      <c r="P168" s="1557"/>
      <c r="Q168" s="1557"/>
      <c r="R168" s="1557"/>
      <c r="S168" s="1557"/>
      <c r="T168" s="1557"/>
      <c r="U168" s="1557"/>
      <c r="V168" s="1557"/>
      <c r="W168" s="1558"/>
      <c r="X168" s="1257"/>
      <c r="Y168" s="1258"/>
    </row>
    <row r="169" spans="1:25" ht="23.1" customHeight="1" thickBot="1" x14ac:dyDescent="0.3">
      <c r="A169" s="1477">
        <v>28</v>
      </c>
      <c r="B169" s="683">
        <v>28</v>
      </c>
      <c r="C169" s="1563" t="e">
        <f>VLOOKUP(A169,data_siswa,4,FALSE)</f>
        <v>#N/A</v>
      </c>
      <c r="D169" s="1542" t="s">
        <v>7</v>
      </c>
      <c r="E169" s="627">
        <f>VLOOKUP(A169,UHT_PJOK,38,FALSE)</f>
        <v>0</v>
      </c>
      <c r="F169" s="1904">
        <f>E169*2</f>
        <v>0</v>
      </c>
      <c r="G169" s="627"/>
      <c r="H169" s="627">
        <f>VLOOKUP(B169,REKAP_NILAI,29,FALSE)</f>
        <v>0</v>
      </c>
      <c r="I169" s="706">
        <f>F169+G169+H169</f>
        <v>0</v>
      </c>
      <c r="J169" s="707">
        <f>(F169+G169+H169)/4</f>
        <v>0</v>
      </c>
      <c r="K169" s="708" t="str">
        <f>IF(J169&gt;85,("4"),IF(J169&gt;80,("3.66"),IF(J169&gt;75,("3.33"),IF(J169&gt;70,("3.00"),IF(J169&gt;65,("2.66"),IF(J169&gt;60,("2.33"),IF(J169&gt;55,("2"),IF(J169&gt;50,("1.66"),"1.33"))))))))</f>
        <v>1.33</v>
      </c>
      <c r="L169" s="708" t="str">
        <f>IF(J169&gt;85,("A"),IF(J169&gt;80,("A-"),IF(J169&gt;75,("B+"),IF(J169&gt;70,("B"),IF(J169&gt;65,("B-"),IF(J169&gt;60,("C+"),IF(J169&gt;55,("C"),IF(J169&gt;50,("C-"),"D+"))))))))</f>
        <v>D+</v>
      </c>
      <c r="M169" s="887" t="str">
        <f>IF(J169&gt;80,("SB"),IF(J169&gt;65,("B"),IF(J169&gt;50,("C"),IF(J169&gt;0,("K"),"0"))))</f>
        <v>0</v>
      </c>
      <c r="N169" s="1474"/>
      <c r="O169" s="1474"/>
      <c r="P169" s="1474"/>
      <c r="Q169" s="1474"/>
      <c r="R169" s="1474"/>
      <c r="S169" s="1475"/>
      <c r="T169" s="1476"/>
      <c r="U169" s="1476"/>
      <c r="V169" s="1476"/>
      <c r="W169" s="1476"/>
      <c r="X169" s="704">
        <f>AVERAGE(J169:J173)</f>
        <v>0</v>
      </c>
      <c r="Y169" s="1481" t="str">
        <f>IF(X169&gt;85,("A"),IF(X169&gt;80,("A-"),IF(X169&gt;75,("B+"),IF(X169&gt;70,("B"),IF(X169&gt;65,("B-"),IF(X169&gt;60,("C+"),IF(X169&gt;55,("C"),IF(X169&gt;50,("C-"),"D+"))))))))</f>
        <v>D+</v>
      </c>
    </row>
    <row r="170" spans="1:25" ht="23.1" customHeight="1" x14ac:dyDescent="0.25">
      <c r="A170" s="1478"/>
      <c r="B170" s="683">
        <v>28</v>
      </c>
      <c r="C170" s="1545"/>
      <c r="D170" s="1542" t="s">
        <v>10</v>
      </c>
      <c r="E170" s="627">
        <f>VLOOKUP(A169,UHT_PJOK,39,FALSE)</f>
        <v>0</v>
      </c>
      <c r="F170" s="1905">
        <f t="shared" ref="F170:F173" si="183">E170*2</f>
        <v>0</v>
      </c>
      <c r="G170" s="1152"/>
      <c r="H170" s="627">
        <f>VLOOKUP(B169,REKAP_NILAI,30,FALSE)</f>
        <v>0</v>
      </c>
      <c r="I170" s="709">
        <f t="shared" ref="I170:I173" si="184">F170+G170+H170</f>
        <v>0</v>
      </c>
      <c r="J170" s="710">
        <f t="shared" ref="J170:J173" si="185">(F170+G170+H170)/4</f>
        <v>0</v>
      </c>
      <c r="K170" s="711" t="str">
        <f t="shared" ref="K170:K174" si="186">IF(J170&gt;85,("4"),IF(J170&gt;80,("3.66"),IF(J170&gt;75,("3.33"),IF(J170&gt;70,("3.00"),IF(J170&gt;65,("2.66"),IF(J170&gt;60,("2.33"),IF(J170&gt;55,("2"),IF(J170&gt;50,("1.66"),"1.33"))))))))</f>
        <v>1.33</v>
      </c>
      <c r="L170" s="711" t="str">
        <f t="shared" ref="L170:L174" si="187">IF(J170&gt;85,("A"),IF(J170&gt;80,("A-"),IF(J170&gt;75,("B+"),IF(J170&gt;70,("B"),IF(J170&gt;65,("B-"),IF(J170&gt;60,("C+"),IF(J170&gt;55,("C"),IF(J170&gt;50,("C-"),"D+"))))))))</f>
        <v>D+</v>
      </c>
      <c r="M170" s="712" t="str">
        <f t="shared" ref="M170:M174" si="188">IF(J170&gt;80,("SB"),IF(J170&gt;65,("B"),IF(J170&gt;50,("C"),IF(J170&gt;0,("K"),"0"))))</f>
        <v>0</v>
      </c>
      <c r="N170" s="1546"/>
      <c r="O170" s="1547"/>
      <c r="P170" s="1547"/>
      <c r="Q170" s="1547"/>
      <c r="R170" s="1547"/>
      <c r="S170" s="1548"/>
      <c r="T170" s="1465"/>
      <c r="U170" s="1465"/>
      <c r="V170" s="1465"/>
      <c r="W170" s="1466"/>
      <c r="X170" s="1529"/>
      <c r="Y170" s="1530"/>
    </row>
    <row r="171" spans="1:25" ht="23.1" customHeight="1" x14ac:dyDescent="0.25">
      <c r="A171" s="1478"/>
      <c r="B171" s="683">
        <v>28</v>
      </c>
      <c r="C171" s="1545"/>
      <c r="D171" s="1542" t="s">
        <v>8</v>
      </c>
      <c r="E171" s="627">
        <f>VLOOKUP(A169,UHT_PJOK,40,FALSE)</f>
        <v>0</v>
      </c>
      <c r="F171" s="1905">
        <f t="shared" si="183"/>
        <v>0</v>
      </c>
      <c r="G171" s="1152"/>
      <c r="H171" s="627">
        <f>VLOOKUP(B169,REKAP_NILAI,31,FALSE)</f>
        <v>0</v>
      </c>
      <c r="I171" s="709">
        <f t="shared" si="184"/>
        <v>0</v>
      </c>
      <c r="J171" s="710">
        <f t="shared" si="185"/>
        <v>0</v>
      </c>
      <c r="K171" s="711" t="str">
        <f t="shared" si="186"/>
        <v>1.33</v>
      </c>
      <c r="L171" s="711" t="str">
        <f t="shared" si="187"/>
        <v>D+</v>
      </c>
      <c r="M171" s="712" t="str">
        <f t="shared" si="188"/>
        <v>0</v>
      </c>
      <c r="N171" s="1549"/>
      <c r="O171" s="1550"/>
      <c r="P171" s="1550"/>
      <c r="Q171" s="1550"/>
      <c r="R171" s="1550"/>
      <c r="S171" s="1551"/>
      <c r="T171" s="1469"/>
      <c r="U171" s="1469"/>
      <c r="V171" s="1469"/>
      <c r="W171" s="1470"/>
      <c r="X171" s="1531"/>
      <c r="Y171" s="1532"/>
    </row>
    <row r="172" spans="1:25" ht="23.1" customHeight="1" x14ac:dyDescent="0.25">
      <c r="A172" s="1478"/>
      <c r="B172" s="683">
        <v>28</v>
      </c>
      <c r="C172" s="1545"/>
      <c r="D172" s="1542" t="s">
        <v>18</v>
      </c>
      <c r="E172" s="627">
        <f>VLOOKUP(A169,UHT_PJOK,41,FALSE)</f>
        <v>0</v>
      </c>
      <c r="F172" s="1905">
        <f t="shared" si="183"/>
        <v>0</v>
      </c>
      <c r="G172" s="627"/>
      <c r="H172" s="627">
        <f>VLOOKUP(B169,REKAP_NILAI,29,FALSE)</f>
        <v>0</v>
      </c>
      <c r="I172" s="709">
        <f t="shared" si="184"/>
        <v>0</v>
      </c>
      <c r="J172" s="710">
        <f t="shared" si="185"/>
        <v>0</v>
      </c>
      <c r="K172" s="711" t="str">
        <f t="shared" si="186"/>
        <v>1.33</v>
      </c>
      <c r="L172" s="711" t="str">
        <f t="shared" si="187"/>
        <v>D+</v>
      </c>
      <c r="M172" s="712" t="str">
        <f t="shared" si="188"/>
        <v>0</v>
      </c>
      <c r="N172" s="1549"/>
      <c r="O172" s="1550"/>
      <c r="P172" s="1550"/>
      <c r="Q172" s="1550"/>
      <c r="R172" s="1550"/>
      <c r="S172" s="1551"/>
      <c r="T172" s="1469"/>
      <c r="U172" s="1469"/>
      <c r="V172" s="1469"/>
      <c r="W172" s="1470"/>
      <c r="X172" s="1531"/>
      <c r="Y172" s="1532"/>
    </row>
    <row r="173" spans="1:25" ht="23.1" customHeight="1" x14ac:dyDescent="0.25">
      <c r="A173" s="1478"/>
      <c r="B173" s="683">
        <v>28</v>
      </c>
      <c r="C173" s="1545"/>
      <c r="D173" s="1542" t="s">
        <v>179</v>
      </c>
      <c r="E173" s="627">
        <f>VLOOKUP(A169,UHT_PJOK,42,FALSE)</f>
        <v>0</v>
      </c>
      <c r="F173" s="1905">
        <f t="shared" si="183"/>
        <v>0</v>
      </c>
      <c r="G173" s="1152"/>
      <c r="H173" s="627">
        <f>VLOOKUP(B169,REKAP_NILAI,33,FALSE)</f>
        <v>0</v>
      </c>
      <c r="I173" s="709">
        <f t="shared" si="184"/>
        <v>0</v>
      </c>
      <c r="J173" s="710">
        <f t="shared" si="185"/>
        <v>0</v>
      </c>
      <c r="K173" s="711" t="str">
        <f t="shared" si="186"/>
        <v>1.33</v>
      </c>
      <c r="L173" s="711" t="str">
        <f t="shared" si="187"/>
        <v>D+</v>
      </c>
      <c r="M173" s="712" t="str">
        <f t="shared" si="188"/>
        <v>0</v>
      </c>
      <c r="N173" s="1549"/>
      <c r="O173" s="1550"/>
      <c r="P173" s="1550"/>
      <c r="Q173" s="1550"/>
      <c r="R173" s="1550"/>
      <c r="S173" s="1551"/>
      <c r="T173" s="1469"/>
      <c r="U173" s="1469"/>
      <c r="V173" s="1469"/>
      <c r="W173" s="1470"/>
      <c r="X173" s="1533"/>
      <c r="Y173" s="1534"/>
    </row>
    <row r="174" spans="1:25" ht="23.1" customHeight="1" x14ac:dyDescent="0.25">
      <c r="A174" s="1154"/>
      <c r="B174" s="1552"/>
      <c r="C174" s="1553" t="s">
        <v>149</v>
      </c>
      <c r="D174" s="1562">
        <v>28</v>
      </c>
      <c r="E174" s="1154"/>
      <c r="F174" s="1155"/>
      <c r="G174" s="1162"/>
      <c r="H174" s="1555">
        <f>AVERAGE(H169:H173)</f>
        <v>0</v>
      </c>
      <c r="I174" s="705"/>
      <c r="J174" s="713">
        <f>AVERAGE(J169:J173)</f>
        <v>0</v>
      </c>
      <c r="K174" s="714" t="str">
        <f t="shared" si="186"/>
        <v>1.33</v>
      </c>
      <c r="L174" s="714" t="str">
        <f t="shared" si="187"/>
        <v>D+</v>
      </c>
      <c r="M174" s="888" t="str">
        <f t="shared" si="188"/>
        <v>0</v>
      </c>
      <c r="N174" s="1556"/>
      <c r="O174" s="1557"/>
      <c r="P174" s="1557"/>
      <c r="Q174" s="1557"/>
      <c r="R174" s="1557"/>
      <c r="S174" s="1557"/>
      <c r="T174" s="1557"/>
      <c r="U174" s="1557"/>
      <c r="V174" s="1557"/>
      <c r="W174" s="1558"/>
      <c r="X174" s="1257"/>
      <c r="Y174" s="1258"/>
    </row>
    <row r="175" spans="1:25" ht="23.1" customHeight="1" thickBot="1" x14ac:dyDescent="0.3">
      <c r="A175" s="1477">
        <v>29</v>
      </c>
      <c r="B175" s="683">
        <v>29</v>
      </c>
      <c r="C175" s="1563" t="e">
        <f>VLOOKUP(A175,data_siswa,4,FALSE)</f>
        <v>#N/A</v>
      </c>
      <c r="D175" s="1542" t="s">
        <v>7</v>
      </c>
      <c r="E175" s="627">
        <f>VLOOKUP(A175,UHT_PJOK,38,FALSE)</f>
        <v>0</v>
      </c>
      <c r="F175" s="1904">
        <f>E175*2</f>
        <v>0</v>
      </c>
      <c r="G175" s="627"/>
      <c r="H175" s="627">
        <f>VLOOKUP(B175,REKAP_NILAI,29,FALSE)</f>
        <v>0</v>
      </c>
      <c r="I175" s="706">
        <f>F175+G175+H175</f>
        <v>0</v>
      </c>
      <c r="J175" s="707">
        <f>(F175+G175+H175)/4</f>
        <v>0</v>
      </c>
      <c r="K175" s="708" t="str">
        <f>IF(J175&gt;85,("4"),IF(J175&gt;80,("3.66"),IF(J175&gt;75,("3.33"),IF(J175&gt;70,("3.00"),IF(J175&gt;65,("2.66"),IF(J175&gt;60,("2.33"),IF(J175&gt;55,("2"),IF(J175&gt;50,("1.66"),"1.33"))))))))</f>
        <v>1.33</v>
      </c>
      <c r="L175" s="708" t="str">
        <f>IF(J175&gt;85,("A"),IF(J175&gt;80,("A-"),IF(J175&gt;75,("B+"),IF(J175&gt;70,("B"),IF(J175&gt;65,("B-"),IF(J175&gt;60,("C+"),IF(J175&gt;55,("C"),IF(J175&gt;50,("C-"),"D+"))))))))</f>
        <v>D+</v>
      </c>
      <c r="M175" s="887" t="str">
        <f>IF(J175&gt;80,("SB"),IF(J175&gt;65,("B"),IF(J175&gt;50,("C"),IF(J175&gt;0,("K"),"0"))))</f>
        <v>0</v>
      </c>
      <c r="N175" s="1474"/>
      <c r="O175" s="1474"/>
      <c r="P175" s="1474"/>
      <c r="Q175" s="1474"/>
      <c r="R175" s="1474"/>
      <c r="S175" s="1475"/>
      <c r="T175" s="1476"/>
      <c r="U175" s="1476"/>
      <c r="V175" s="1476"/>
      <c r="W175" s="1476"/>
      <c r="X175" s="704">
        <f>AVERAGE(J175:J179)</f>
        <v>0</v>
      </c>
      <c r="Y175" s="1481" t="str">
        <f>IF(X175&gt;85,("A"),IF(X175&gt;80,("A-"),IF(X175&gt;75,("B+"),IF(X175&gt;70,("B"),IF(X175&gt;65,("B-"),IF(X175&gt;60,("C+"),IF(X175&gt;55,("C"),IF(X175&gt;50,("C-"),"D+"))))))))</f>
        <v>D+</v>
      </c>
    </row>
    <row r="176" spans="1:25" ht="23.1" customHeight="1" x14ac:dyDescent="0.25">
      <c r="A176" s="1478"/>
      <c r="B176" s="683">
        <v>29</v>
      </c>
      <c r="C176" s="1545"/>
      <c r="D176" s="1542" t="s">
        <v>10</v>
      </c>
      <c r="E176" s="627">
        <f>VLOOKUP(A175,UHT_PJOK,39,FALSE)</f>
        <v>0</v>
      </c>
      <c r="F176" s="1905">
        <f t="shared" ref="F176:F179" si="189">E176*2</f>
        <v>0</v>
      </c>
      <c r="G176" s="1152"/>
      <c r="H176" s="627">
        <f>VLOOKUP(B175,REKAP_NILAI,30,FALSE)</f>
        <v>0</v>
      </c>
      <c r="I176" s="709">
        <f t="shared" ref="I176:I179" si="190">F176+G176+H176</f>
        <v>0</v>
      </c>
      <c r="J176" s="710">
        <f t="shared" ref="J176:J179" si="191">(F176+G176+H176)/4</f>
        <v>0</v>
      </c>
      <c r="K176" s="711" t="str">
        <f t="shared" ref="K176:K180" si="192">IF(J176&gt;85,("4"),IF(J176&gt;80,("3.66"),IF(J176&gt;75,("3.33"),IF(J176&gt;70,("3.00"),IF(J176&gt;65,("2.66"),IF(J176&gt;60,("2.33"),IF(J176&gt;55,("2"),IF(J176&gt;50,("1.66"),"1.33"))))))))</f>
        <v>1.33</v>
      </c>
      <c r="L176" s="711" t="str">
        <f t="shared" ref="L176:L180" si="193">IF(J176&gt;85,("A"),IF(J176&gt;80,("A-"),IF(J176&gt;75,("B+"),IF(J176&gt;70,("B"),IF(J176&gt;65,("B-"),IF(J176&gt;60,("C+"),IF(J176&gt;55,("C"),IF(J176&gt;50,("C-"),"D+"))))))))</f>
        <v>D+</v>
      </c>
      <c r="M176" s="712" t="str">
        <f t="shared" ref="M176:M180" si="194">IF(J176&gt;80,("SB"),IF(J176&gt;65,("B"),IF(J176&gt;50,("C"),IF(J176&gt;0,("K"),"0"))))</f>
        <v>0</v>
      </c>
      <c r="N176" s="1546"/>
      <c r="O176" s="1547"/>
      <c r="P176" s="1547"/>
      <c r="Q176" s="1547"/>
      <c r="R176" s="1547"/>
      <c r="S176" s="1548"/>
      <c r="T176" s="1465"/>
      <c r="U176" s="1465"/>
      <c r="V176" s="1465"/>
      <c r="W176" s="1466"/>
      <c r="X176" s="1529"/>
      <c r="Y176" s="1530"/>
    </row>
    <row r="177" spans="1:25" ht="23.1" customHeight="1" x14ac:dyDescent="0.25">
      <c r="A177" s="1478"/>
      <c r="B177" s="683">
        <v>29</v>
      </c>
      <c r="C177" s="1545"/>
      <c r="D177" s="1542" t="s">
        <v>8</v>
      </c>
      <c r="E177" s="627">
        <f>VLOOKUP(A175,UHT_PJOK,40,FALSE)</f>
        <v>0</v>
      </c>
      <c r="F177" s="1905">
        <f t="shared" si="189"/>
        <v>0</v>
      </c>
      <c r="G177" s="1152"/>
      <c r="H177" s="627">
        <f>VLOOKUP(B175,REKAP_NILAI,31,FALSE)</f>
        <v>0</v>
      </c>
      <c r="I177" s="709">
        <f t="shared" si="190"/>
        <v>0</v>
      </c>
      <c r="J177" s="710">
        <f t="shared" si="191"/>
        <v>0</v>
      </c>
      <c r="K177" s="711" t="str">
        <f t="shared" si="192"/>
        <v>1.33</v>
      </c>
      <c r="L177" s="711" t="str">
        <f t="shared" si="193"/>
        <v>D+</v>
      </c>
      <c r="M177" s="712" t="str">
        <f t="shared" si="194"/>
        <v>0</v>
      </c>
      <c r="N177" s="1549"/>
      <c r="O177" s="1550"/>
      <c r="P177" s="1550"/>
      <c r="Q177" s="1550"/>
      <c r="R177" s="1550"/>
      <c r="S177" s="1551"/>
      <c r="T177" s="1469"/>
      <c r="U177" s="1469"/>
      <c r="V177" s="1469"/>
      <c r="W177" s="1470"/>
      <c r="X177" s="1531"/>
      <c r="Y177" s="1532"/>
    </row>
    <row r="178" spans="1:25" ht="23.1" customHeight="1" x14ac:dyDescent="0.25">
      <c r="A178" s="1478"/>
      <c r="B178" s="683">
        <v>29</v>
      </c>
      <c r="C178" s="1545"/>
      <c r="D178" s="1542" t="s">
        <v>18</v>
      </c>
      <c r="E178" s="627">
        <f>VLOOKUP(A175,UHT_PJOK,41,FALSE)</f>
        <v>0</v>
      </c>
      <c r="F178" s="1905">
        <f t="shared" si="189"/>
        <v>0</v>
      </c>
      <c r="G178" s="627"/>
      <c r="H178" s="627">
        <f>VLOOKUP(B175,REKAP_NILAI,29,FALSE)</f>
        <v>0</v>
      </c>
      <c r="I178" s="709">
        <f t="shared" si="190"/>
        <v>0</v>
      </c>
      <c r="J178" s="710">
        <f t="shared" si="191"/>
        <v>0</v>
      </c>
      <c r="K178" s="711" t="str">
        <f t="shared" si="192"/>
        <v>1.33</v>
      </c>
      <c r="L178" s="711" t="str">
        <f t="shared" si="193"/>
        <v>D+</v>
      </c>
      <c r="M178" s="712" t="str">
        <f t="shared" si="194"/>
        <v>0</v>
      </c>
      <c r="N178" s="1549"/>
      <c r="O178" s="1550"/>
      <c r="P178" s="1550"/>
      <c r="Q178" s="1550"/>
      <c r="R178" s="1550"/>
      <c r="S178" s="1551"/>
      <c r="T178" s="1469"/>
      <c r="U178" s="1469"/>
      <c r="V178" s="1469"/>
      <c r="W178" s="1470"/>
      <c r="X178" s="1531"/>
      <c r="Y178" s="1532"/>
    </row>
    <row r="179" spans="1:25" ht="23.1" customHeight="1" x14ac:dyDescent="0.25">
      <c r="A179" s="1478"/>
      <c r="B179" s="683">
        <v>29</v>
      </c>
      <c r="C179" s="1545"/>
      <c r="D179" s="1542" t="s">
        <v>179</v>
      </c>
      <c r="E179" s="627">
        <f>VLOOKUP(A175,UHT_PJOK,42,FALSE)</f>
        <v>0</v>
      </c>
      <c r="F179" s="1905">
        <f t="shared" si="189"/>
        <v>0</v>
      </c>
      <c r="G179" s="1152"/>
      <c r="H179" s="627">
        <f>VLOOKUP(B175,REKAP_NILAI,33,FALSE)</f>
        <v>0</v>
      </c>
      <c r="I179" s="709">
        <f t="shared" si="190"/>
        <v>0</v>
      </c>
      <c r="J179" s="710">
        <f t="shared" si="191"/>
        <v>0</v>
      </c>
      <c r="K179" s="711" t="str">
        <f t="shared" si="192"/>
        <v>1.33</v>
      </c>
      <c r="L179" s="711" t="str">
        <f t="shared" si="193"/>
        <v>D+</v>
      </c>
      <c r="M179" s="712" t="str">
        <f t="shared" si="194"/>
        <v>0</v>
      </c>
      <c r="N179" s="1549"/>
      <c r="O179" s="1550"/>
      <c r="P179" s="1550"/>
      <c r="Q179" s="1550"/>
      <c r="R179" s="1550"/>
      <c r="S179" s="1551"/>
      <c r="T179" s="1469"/>
      <c r="U179" s="1469"/>
      <c r="V179" s="1469"/>
      <c r="W179" s="1470"/>
      <c r="X179" s="1533"/>
      <c r="Y179" s="1534"/>
    </row>
    <row r="180" spans="1:25" ht="23.1" customHeight="1" x14ac:dyDescent="0.25">
      <c r="A180" s="1154"/>
      <c r="B180" s="1552"/>
      <c r="C180" s="1553" t="s">
        <v>149</v>
      </c>
      <c r="D180" s="1562">
        <v>29</v>
      </c>
      <c r="E180" s="1154"/>
      <c r="F180" s="1155"/>
      <c r="G180" s="1162"/>
      <c r="H180" s="1555">
        <f>AVERAGE(H175:H179)</f>
        <v>0</v>
      </c>
      <c r="I180" s="705"/>
      <c r="J180" s="713">
        <f>AVERAGE(J175:J179)</f>
        <v>0</v>
      </c>
      <c r="K180" s="714" t="str">
        <f t="shared" si="192"/>
        <v>1.33</v>
      </c>
      <c r="L180" s="714" t="str">
        <f t="shared" si="193"/>
        <v>D+</v>
      </c>
      <c r="M180" s="888" t="str">
        <f t="shared" si="194"/>
        <v>0</v>
      </c>
      <c r="N180" s="1556"/>
      <c r="O180" s="1557"/>
      <c r="P180" s="1557"/>
      <c r="Q180" s="1557"/>
      <c r="R180" s="1557"/>
      <c r="S180" s="1557"/>
      <c r="T180" s="1557"/>
      <c r="U180" s="1557"/>
      <c r="V180" s="1557"/>
      <c r="W180" s="1558"/>
      <c r="X180" s="1257"/>
      <c r="Y180" s="1258"/>
    </row>
    <row r="181" spans="1:25" ht="23.1" customHeight="1" thickBot="1" x14ac:dyDescent="0.3">
      <c r="A181" s="1477">
        <v>30</v>
      </c>
      <c r="B181" s="683">
        <v>30</v>
      </c>
      <c r="C181" s="1563" t="e">
        <f>VLOOKUP(A181,data_siswa,4,FALSE)</f>
        <v>#N/A</v>
      </c>
      <c r="D181" s="1542" t="s">
        <v>7</v>
      </c>
      <c r="E181" s="627">
        <f>VLOOKUP(A181,UHT_PJOK,38,FALSE)</f>
        <v>0</v>
      </c>
      <c r="F181" s="1904">
        <f>E181*2</f>
        <v>0</v>
      </c>
      <c r="G181" s="627"/>
      <c r="H181" s="627">
        <f>VLOOKUP(B181,REKAP_NILAI,29,FALSE)</f>
        <v>0</v>
      </c>
      <c r="I181" s="706">
        <f>F181+G181+H181</f>
        <v>0</v>
      </c>
      <c r="J181" s="707">
        <f>(F181+G181+H181)/4</f>
        <v>0</v>
      </c>
      <c r="K181" s="708" t="str">
        <f>IF(J181&gt;85,("4"),IF(J181&gt;80,("3.66"),IF(J181&gt;75,("3.33"),IF(J181&gt;70,("3.00"),IF(J181&gt;65,("2.66"),IF(J181&gt;60,("2.33"),IF(J181&gt;55,("2"),IF(J181&gt;50,("1.66"),"1.33"))))))))</f>
        <v>1.33</v>
      </c>
      <c r="L181" s="708" t="str">
        <f>IF(J181&gt;85,("A"),IF(J181&gt;80,("A-"),IF(J181&gt;75,("B+"),IF(J181&gt;70,("B"),IF(J181&gt;65,("B-"),IF(J181&gt;60,("C+"),IF(J181&gt;55,("C"),IF(J181&gt;50,("C-"),"D+"))))))))</f>
        <v>D+</v>
      </c>
      <c r="M181" s="887" t="str">
        <f>IF(J181&gt;80,("SB"),IF(J181&gt;65,("B"),IF(J181&gt;50,("C"),IF(J181&gt;0,("K"),"0"))))</f>
        <v>0</v>
      </c>
      <c r="N181" s="1474"/>
      <c r="O181" s="1474"/>
      <c r="P181" s="1474"/>
      <c r="Q181" s="1474"/>
      <c r="R181" s="1474"/>
      <c r="S181" s="1475"/>
      <c r="T181" s="1476"/>
      <c r="U181" s="1476"/>
      <c r="V181" s="1476"/>
      <c r="W181" s="1476"/>
      <c r="X181" s="704">
        <f>AVERAGE(J181:J185)</f>
        <v>0</v>
      </c>
      <c r="Y181" s="1481" t="str">
        <f>IF(X181&gt;85,("A"),IF(X181&gt;80,("A-"),IF(X181&gt;75,("B+"),IF(X181&gt;70,("B"),IF(X181&gt;65,("B-"),IF(X181&gt;60,("C+"),IF(X181&gt;55,("C"),IF(X181&gt;50,("C-"),"D+"))))))))</f>
        <v>D+</v>
      </c>
    </row>
    <row r="182" spans="1:25" ht="23.1" customHeight="1" x14ac:dyDescent="0.25">
      <c r="A182" s="1478"/>
      <c r="B182" s="683">
        <v>30</v>
      </c>
      <c r="C182" s="1545"/>
      <c r="D182" s="1542" t="s">
        <v>10</v>
      </c>
      <c r="E182" s="627">
        <f>VLOOKUP(A181,UHT_PJOK,39,FALSE)</f>
        <v>0</v>
      </c>
      <c r="F182" s="1905">
        <f t="shared" ref="F182:F185" si="195">E182*2</f>
        <v>0</v>
      </c>
      <c r="G182" s="1152"/>
      <c r="H182" s="627">
        <f>VLOOKUP(B181,REKAP_NILAI,30,FALSE)</f>
        <v>0</v>
      </c>
      <c r="I182" s="709">
        <f t="shared" ref="I182:I185" si="196">F182+G182+H182</f>
        <v>0</v>
      </c>
      <c r="J182" s="710">
        <f t="shared" ref="J182:J185" si="197">(F182+G182+H182)/4</f>
        <v>0</v>
      </c>
      <c r="K182" s="711" t="str">
        <f t="shared" ref="K182:K186" si="198">IF(J182&gt;85,("4"),IF(J182&gt;80,("3.66"),IF(J182&gt;75,("3.33"),IF(J182&gt;70,("3.00"),IF(J182&gt;65,("2.66"),IF(J182&gt;60,("2.33"),IF(J182&gt;55,("2"),IF(J182&gt;50,("1.66"),"1.33"))))))))</f>
        <v>1.33</v>
      </c>
      <c r="L182" s="711" t="str">
        <f t="shared" ref="L182:L186" si="199">IF(J182&gt;85,("A"),IF(J182&gt;80,("A-"),IF(J182&gt;75,("B+"),IF(J182&gt;70,("B"),IF(J182&gt;65,("B-"),IF(J182&gt;60,("C+"),IF(J182&gt;55,("C"),IF(J182&gt;50,("C-"),"D+"))))))))</f>
        <v>D+</v>
      </c>
      <c r="M182" s="712" t="str">
        <f t="shared" ref="M182:M186" si="200">IF(J182&gt;80,("SB"),IF(J182&gt;65,("B"),IF(J182&gt;50,("C"),IF(J182&gt;0,("K"),"0"))))</f>
        <v>0</v>
      </c>
      <c r="N182" s="1546"/>
      <c r="O182" s="1547"/>
      <c r="P182" s="1547"/>
      <c r="Q182" s="1547"/>
      <c r="R182" s="1547"/>
      <c r="S182" s="1548"/>
      <c r="T182" s="1465"/>
      <c r="U182" s="1465"/>
      <c r="V182" s="1465"/>
      <c r="W182" s="1466"/>
      <c r="X182" s="1529"/>
      <c r="Y182" s="1530"/>
    </row>
    <row r="183" spans="1:25" ht="23.1" customHeight="1" x14ac:dyDescent="0.25">
      <c r="A183" s="1478"/>
      <c r="B183" s="683">
        <v>30</v>
      </c>
      <c r="C183" s="1545"/>
      <c r="D183" s="1542" t="s">
        <v>8</v>
      </c>
      <c r="E183" s="627">
        <f>VLOOKUP(A181,UHT_PJOK,40,FALSE)</f>
        <v>0</v>
      </c>
      <c r="F183" s="1905">
        <f t="shared" si="195"/>
        <v>0</v>
      </c>
      <c r="G183" s="1152"/>
      <c r="H183" s="627">
        <f>VLOOKUP(B181,REKAP_NILAI,31,FALSE)</f>
        <v>0</v>
      </c>
      <c r="I183" s="709">
        <f t="shared" si="196"/>
        <v>0</v>
      </c>
      <c r="J183" s="710">
        <f t="shared" si="197"/>
        <v>0</v>
      </c>
      <c r="K183" s="711" t="str">
        <f t="shared" si="198"/>
        <v>1.33</v>
      </c>
      <c r="L183" s="711" t="str">
        <f t="shared" si="199"/>
        <v>D+</v>
      </c>
      <c r="M183" s="712" t="str">
        <f t="shared" si="200"/>
        <v>0</v>
      </c>
      <c r="N183" s="1549"/>
      <c r="O183" s="1550"/>
      <c r="P183" s="1550"/>
      <c r="Q183" s="1550"/>
      <c r="R183" s="1550"/>
      <c r="S183" s="1551"/>
      <c r="T183" s="1469"/>
      <c r="U183" s="1469"/>
      <c r="V183" s="1469"/>
      <c r="W183" s="1470"/>
      <c r="X183" s="1531"/>
      <c r="Y183" s="1532"/>
    </row>
    <row r="184" spans="1:25" ht="23.1" customHeight="1" x14ac:dyDescent="0.25">
      <c r="A184" s="1478"/>
      <c r="B184" s="683">
        <v>30</v>
      </c>
      <c r="C184" s="1545"/>
      <c r="D184" s="1542" t="s">
        <v>18</v>
      </c>
      <c r="E184" s="627">
        <f>VLOOKUP(A181,UHT_PJOK,41,FALSE)</f>
        <v>0</v>
      </c>
      <c r="F184" s="1905">
        <f t="shared" si="195"/>
        <v>0</v>
      </c>
      <c r="G184" s="627"/>
      <c r="H184" s="627">
        <f>VLOOKUP(B181,REKAP_NILAI,29,FALSE)</f>
        <v>0</v>
      </c>
      <c r="I184" s="709">
        <f t="shared" si="196"/>
        <v>0</v>
      </c>
      <c r="J184" s="710">
        <f t="shared" si="197"/>
        <v>0</v>
      </c>
      <c r="K184" s="711" t="str">
        <f t="shared" si="198"/>
        <v>1.33</v>
      </c>
      <c r="L184" s="711" t="str">
        <f t="shared" si="199"/>
        <v>D+</v>
      </c>
      <c r="M184" s="712" t="str">
        <f t="shared" si="200"/>
        <v>0</v>
      </c>
      <c r="N184" s="1549"/>
      <c r="O184" s="1550"/>
      <c r="P184" s="1550"/>
      <c r="Q184" s="1550"/>
      <c r="R184" s="1550"/>
      <c r="S184" s="1551"/>
      <c r="T184" s="1469"/>
      <c r="U184" s="1469"/>
      <c r="V184" s="1469"/>
      <c r="W184" s="1470"/>
      <c r="X184" s="1531"/>
      <c r="Y184" s="1532"/>
    </row>
    <row r="185" spans="1:25" ht="23.1" customHeight="1" x14ac:dyDescent="0.25">
      <c r="A185" s="1478"/>
      <c r="B185" s="683">
        <v>30</v>
      </c>
      <c r="C185" s="1545"/>
      <c r="D185" s="1542" t="s">
        <v>179</v>
      </c>
      <c r="E185" s="627">
        <f>VLOOKUP(A181,UHT_PJOK,42,FALSE)</f>
        <v>0</v>
      </c>
      <c r="F185" s="1905">
        <f t="shared" si="195"/>
        <v>0</v>
      </c>
      <c r="G185" s="1152"/>
      <c r="H185" s="627">
        <f>VLOOKUP(B181,REKAP_NILAI,33,FALSE)</f>
        <v>0</v>
      </c>
      <c r="I185" s="709">
        <f t="shared" si="196"/>
        <v>0</v>
      </c>
      <c r="J185" s="710">
        <f t="shared" si="197"/>
        <v>0</v>
      </c>
      <c r="K185" s="711" t="str">
        <f t="shared" si="198"/>
        <v>1.33</v>
      </c>
      <c r="L185" s="711" t="str">
        <f t="shared" si="199"/>
        <v>D+</v>
      </c>
      <c r="M185" s="712" t="str">
        <f t="shared" si="200"/>
        <v>0</v>
      </c>
      <c r="N185" s="1549"/>
      <c r="O185" s="1550"/>
      <c r="P185" s="1550"/>
      <c r="Q185" s="1550"/>
      <c r="R185" s="1550"/>
      <c r="S185" s="1551"/>
      <c r="T185" s="1469"/>
      <c r="U185" s="1469"/>
      <c r="V185" s="1469"/>
      <c r="W185" s="1470"/>
      <c r="X185" s="1533"/>
      <c r="Y185" s="1534"/>
    </row>
    <row r="186" spans="1:25" ht="23.1" customHeight="1" x14ac:dyDescent="0.25">
      <c r="A186" s="1154"/>
      <c r="B186" s="1552"/>
      <c r="C186" s="1553" t="s">
        <v>149</v>
      </c>
      <c r="D186" s="1562">
        <v>30</v>
      </c>
      <c r="E186" s="1154"/>
      <c r="F186" s="1155"/>
      <c r="G186" s="1162"/>
      <c r="H186" s="1555">
        <f>AVERAGE(H181:H185)</f>
        <v>0</v>
      </c>
      <c r="I186" s="705"/>
      <c r="J186" s="713">
        <f>AVERAGE(J181:J185)</f>
        <v>0</v>
      </c>
      <c r="K186" s="714" t="str">
        <f t="shared" si="198"/>
        <v>1.33</v>
      </c>
      <c r="L186" s="714" t="str">
        <f t="shared" si="199"/>
        <v>D+</v>
      </c>
      <c r="M186" s="888" t="str">
        <f t="shared" si="200"/>
        <v>0</v>
      </c>
      <c r="N186" s="1154"/>
      <c r="O186" s="1155"/>
      <c r="P186" s="1155"/>
      <c r="Q186" s="1155"/>
      <c r="R186" s="1155"/>
      <c r="S186" s="1155"/>
      <c r="T186" s="1155"/>
      <c r="U186" s="1155"/>
      <c r="V186" s="1155"/>
      <c r="W186" s="1162"/>
      <c r="X186" s="1257"/>
      <c r="Y186" s="1258"/>
    </row>
    <row r="187" spans="1:25" ht="23.1" customHeight="1" thickBot="1" x14ac:dyDescent="0.3">
      <c r="A187" s="1477">
        <v>31</v>
      </c>
      <c r="B187" s="683">
        <v>31</v>
      </c>
      <c r="C187" s="1563" t="e">
        <f>VLOOKUP(A187,data_siswa,4,FALSE)</f>
        <v>#N/A</v>
      </c>
      <c r="D187" s="1542" t="s">
        <v>7</v>
      </c>
      <c r="E187" s="627">
        <f>VLOOKUP(A187,UHT_PJOK,38,FALSE)</f>
        <v>0</v>
      </c>
      <c r="F187" s="1904">
        <f>E187*2</f>
        <v>0</v>
      </c>
      <c r="G187" s="627"/>
      <c r="H187" s="627">
        <f>VLOOKUP(B187,REKAP_NILAI,29,FALSE)</f>
        <v>0</v>
      </c>
      <c r="I187" s="706">
        <f>F187+G187+H187</f>
        <v>0</v>
      </c>
      <c r="J187" s="707">
        <f>(F187+G187+H187)/4</f>
        <v>0</v>
      </c>
      <c r="K187" s="708" t="str">
        <f>IF(J187&gt;85,("4"),IF(J187&gt;80,("3.66"),IF(J187&gt;75,("3.33"),IF(J187&gt;70,("3.00"),IF(J187&gt;65,("2.66"),IF(J187&gt;60,("2.33"),IF(J187&gt;55,("2"),IF(J187&gt;50,("1.66"),"1.33"))))))))</f>
        <v>1.33</v>
      </c>
      <c r="L187" s="708" t="str">
        <f>IF(J187&gt;85,("A"),IF(J187&gt;80,("A-"),IF(J187&gt;75,("B+"),IF(J187&gt;70,("B"),IF(J187&gt;65,("B-"),IF(J187&gt;60,("C+"),IF(J187&gt;55,("C"),IF(J187&gt;50,("C-"),"D+"))))))))</f>
        <v>D+</v>
      </c>
      <c r="M187" s="887" t="str">
        <f>IF(J187&gt;80,("SB"),IF(J187&gt;65,("B"),IF(J187&gt;50,("C"),IF(J187&gt;0,("K"),"0"))))</f>
        <v>0</v>
      </c>
      <c r="N187" s="1474"/>
      <c r="O187" s="1474"/>
      <c r="P187" s="1474"/>
      <c r="Q187" s="1474"/>
      <c r="R187" s="1474"/>
      <c r="S187" s="1475"/>
      <c r="T187" s="1476"/>
      <c r="U187" s="1476"/>
      <c r="V187" s="1476"/>
      <c r="W187" s="1476"/>
      <c r="X187" s="1057">
        <f>AVERAGE(J187:J191)</f>
        <v>0</v>
      </c>
      <c r="Y187" s="1194" t="str">
        <f>IF(X187&gt;85,("A"),IF(X187&gt;80,("A-"),IF(X187&gt;75,("B+"),IF(X187&gt;70,("B"),IF(X187&gt;65,("B-"),IF(X187&gt;60,("C+"),IF(X187&gt;55,("C"),IF(X187&gt;50,("C-"),"D+"))))))))</f>
        <v>D+</v>
      </c>
    </row>
    <row r="188" spans="1:25" ht="23.1" customHeight="1" x14ac:dyDescent="0.25">
      <c r="A188" s="1478"/>
      <c r="B188" s="683">
        <v>31</v>
      </c>
      <c r="C188" s="1545"/>
      <c r="D188" s="1542" t="s">
        <v>10</v>
      </c>
      <c r="E188" s="627">
        <f>VLOOKUP(A187,UHT_PJOK,39,FALSE)</f>
        <v>0</v>
      </c>
      <c r="F188" s="1905">
        <f t="shared" ref="F188:F191" si="201">E188*2</f>
        <v>0</v>
      </c>
      <c r="G188" s="1152"/>
      <c r="H188" s="627">
        <f>VLOOKUP(B187,REKAP_NILAI,30,FALSE)</f>
        <v>0</v>
      </c>
      <c r="I188" s="709">
        <f t="shared" ref="I188:I191" si="202">F188+G188+H188</f>
        <v>0</v>
      </c>
      <c r="J188" s="710">
        <f t="shared" ref="J188:J191" si="203">(F188+G188+H188)/4</f>
        <v>0</v>
      </c>
      <c r="K188" s="711" t="str">
        <f t="shared" ref="K188:K192" si="204">IF(J188&gt;85,("4"),IF(J188&gt;80,("3.66"),IF(J188&gt;75,("3.33"),IF(J188&gt;70,("3.00"),IF(J188&gt;65,("2.66"),IF(J188&gt;60,("2.33"),IF(J188&gt;55,("2"),IF(J188&gt;50,("1.66"),"1.33"))))))))</f>
        <v>1.33</v>
      </c>
      <c r="L188" s="711" t="str">
        <f t="shared" ref="L188:L192" si="205">IF(J188&gt;85,("A"),IF(J188&gt;80,("A-"),IF(J188&gt;75,("B+"),IF(J188&gt;70,("B"),IF(J188&gt;65,("B-"),IF(J188&gt;60,("C+"),IF(J188&gt;55,("C"),IF(J188&gt;50,("C-"),"D+"))))))))</f>
        <v>D+</v>
      </c>
      <c r="M188" s="712" t="str">
        <f t="shared" ref="M188:M192" si="206">IF(J188&gt;80,("SB"),IF(J188&gt;65,("B"),IF(J188&gt;50,("C"),IF(J188&gt;0,("K"),"0"))))</f>
        <v>0</v>
      </c>
      <c r="N188" s="1546"/>
      <c r="O188" s="1547"/>
      <c r="P188" s="1547"/>
      <c r="Q188" s="1547"/>
      <c r="R188" s="1547"/>
      <c r="S188" s="1548"/>
      <c r="T188" s="1465"/>
      <c r="U188" s="1465"/>
      <c r="V188" s="1465"/>
      <c r="W188" s="1466"/>
      <c r="X188" s="1529"/>
      <c r="Y188" s="1530"/>
    </row>
    <row r="189" spans="1:25" ht="23.1" customHeight="1" x14ac:dyDescent="0.25">
      <c r="A189" s="1478"/>
      <c r="B189" s="683">
        <v>31</v>
      </c>
      <c r="C189" s="1545"/>
      <c r="D189" s="1542" t="s">
        <v>8</v>
      </c>
      <c r="E189" s="627">
        <f>VLOOKUP(A187,UHT_PJOK,40,FALSE)</f>
        <v>0</v>
      </c>
      <c r="F189" s="1905">
        <f t="shared" si="201"/>
        <v>0</v>
      </c>
      <c r="G189" s="1152"/>
      <c r="H189" s="627">
        <f>VLOOKUP(B187,REKAP_NILAI,31,FALSE)</f>
        <v>0</v>
      </c>
      <c r="I189" s="709">
        <f t="shared" si="202"/>
        <v>0</v>
      </c>
      <c r="J189" s="710">
        <f t="shared" si="203"/>
        <v>0</v>
      </c>
      <c r="K189" s="711" t="str">
        <f t="shared" si="204"/>
        <v>1.33</v>
      </c>
      <c r="L189" s="711" t="str">
        <f t="shared" si="205"/>
        <v>D+</v>
      </c>
      <c r="M189" s="712" t="str">
        <f t="shared" si="206"/>
        <v>0</v>
      </c>
      <c r="N189" s="1549"/>
      <c r="O189" s="1550"/>
      <c r="P189" s="1550"/>
      <c r="Q189" s="1550"/>
      <c r="R189" s="1550"/>
      <c r="S189" s="1551"/>
      <c r="T189" s="1469"/>
      <c r="U189" s="1469"/>
      <c r="V189" s="1469"/>
      <c r="W189" s="1470"/>
      <c r="X189" s="1531"/>
      <c r="Y189" s="1532"/>
    </row>
    <row r="190" spans="1:25" ht="23.1" customHeight="1" x14ac:dyDescent="0.25">
      <c r="A190" s="1478"/>
      <c r="B190" s="683">
        <v>31</v>
      </c>
      <c r="C190" s="1545"/>
      <c r="D190" s="1542" t="s">
        <v>18</v>
      </c>
      <c r="E190" s="627">
        <f>VLOOKUP(A187,UHT_PJOK,41,FALSE)</f>
        <v>0</v>
      </c>
      <c r="F190" s="1905">
        <f t="shared" si="201"/>
        <v>0</v>
      </c>
      <c r="G190" s="627"/>
      <c r="H190" s="627">
        <f>VLOOKUP(B187,REKAP_NILAI,29,FALSE)</f>
        <v>0</v>
      </c>
      <c r="I190" s="709">
        <f t="shared" si="202"/>
        <v>0</v>
      </c>
      <c r="J190" s="710">
        <f t="shared" si="203"/>
        <v>0</v>
      </c>
      <c r="K190" s="711" t="str">
        <f t="shared" si="204"/>
        <v>1.33</v>
      </c>
      <c r="L190" s="711" t="str">
        <f t="shared" si="205"/>
        <v>D+</v>
      </c>
      <c r="M190" s="712" t="str">
        <f t="shared" si="206"/>
        <v>0</v>
      </c>
      <c r="N190" s="1549"/>
      <c r="O190" s="1550"/>
      <c r="P190" s="1550"/>
      <c r="Q190" s="1550"/>
      <c r="R190" s="1550"/>
      <c r="S190" s="1551"/>
      <c r="T190" s="1469"/>
      <c r="U190" s="1469"/>
      <c r="V190" s="1469"/>
      <c r="W190" s="1470"/>
      <c r="X190" s="1531"/>
      <c r="Y190" s="1532"/>
    </row>
    <row r="191" spans="1:25" ht="23.1" customHeight="1" x14ac:dyDescent="0.25">
      <c r="A191" s="1478"/>
      <c r="B191" s="683">
        <v>31</v>
      </c>
      <c r="C191" s="1545"/>
      <c r="D191" s="1542" t="s">
        <v>179</v>
      </c>
      <c r="E191" s="627">
        <f>VLOOKUP(A187,UHT_PJOK,42,FALSE)</f>
        <v>0</v>
      </c>
      <c r="F191" s="1905">
        <f t="shared" si="201"/>
        <v>0</v>
      </c>
      <c r="G191" s="1152"/>
      <c r="H191" s="627">
        <f>VLOOKUP(B187,REKAP_NILAI,33,FALSE)</f>
        <v>0</v>
      </c>
      <c r="I191" s="709">
        <f t="shared" si="202"/>
        <v>0</v>
      </c>
      <c r="J191" s="710">
        <f t="shared" si="203"/>
        <v>0</v>
      </c>
      <c r="K191" s="711" t="str">
        <f t="shared" si="204"/>
        <v>1.33</v>
      </c>
      <c r="L191" s="711" t="str">
        <f t="shared" si="205"/>
        <v>D+</v>
      </c>
      <c r="M191" s="712" t="str">
        <f t="shared" si="206"/>
        <v>0</v>
      </c>
      <c r="N191" s="1549"/>
      <c r="O191" s="1550"/>
      <c r="P191" s="1550"/>
      <c r="Q191" s="1550"/>
      <c r="R191" s="1550"/>
      <c r="S191" s="1551"/>
      <c r="T191" s="1469"/>
      <c r="U191" s="1469"/>
      <c r="V191" s="1469"/>
      <c r="W191" s="1470"/>
      <c r="X191" s="1533"/>
      <c r="Y191" s="1534"/>
    </row>
    <row r="192" spans="1:25" ht="23.1" customHeight="1" x14ac:dyDescent="0.25">
      <c r="A192" s="1154"/>
      <c r="B192" s="1552"/>
      <c r="C192" s="1553" t="s">
        <v>149</v>
      </c>
      <c r="D192" s="1562">
        <v>31</v>
      </c>
      <c r="E192" s="697"/>
      <c r="F192" s="1906"/>
      <c r="G192" s="697"/>
      <c r="H192" s="1189">
        <f>AVERAGE(H187:H191)</f>
        <v>0</v>
      </c>
      <c r="I192" s="705"/>
      <c r="J192" s="713">
        <f>AVERAGE(J187:J191)</f>
        <v>0</v>
      </c>
      <c r="K192" s="714" t="str">
        <f t="shared" si="204"/>
        <v>1.33</v>
      </c>
      <c r="L192" s="714" t="str">
        <f t="shared" si="205"/>
        <v>D+</v>
      </c>
      <c r="M192" s="888" t="str">
        <f t="shared" si="206"/>
        <v>0</v>
      </c>
      <c r="N192" s="1154"/>
      <c r="O192" s="1155"/>
      <c r="P192" s="1155"/>
      <c r="Q192" s="1155"/>
      <c r="R192" s="1155"/>
      <c r="S192" s="1155"/>
      <c r="T192" s="1155"/>
      <c r="U192" s="1155"/>
      <c r="V192" s="1155"/>
      <c r="W192" s="1162"/>
      <c r="X192" s="1257"/>
      <c r="Y192" s="1258"/>
    </row>
    <row r="193" spans="1:25" ht="23.1" customHeight="1" thickBot="1" x14ac:dyDescent="0.3">
      <c r="A193" s="1477">
        <v>32</v>
      </c>
      <c r="B193" s="683">
        <v>32</v>
      </c>
      <c r="C193" s="1563" t="e">
        <f>VLOOKUP(A193,data_siswa,4,FALSE)</f>
        <v>#N/A</v>
      </c>
      <c r="D193" s="1542" t="s">
        <v>7</v>
      </c>
      <c r="E193" s="627">
        <f>VLOOKUP(A193,UHT_PJOK,38,FALSE)</f>
        <v>0</v>
      </c>
      <c r="F193" s="1904">
        <f>E193*2</f>
        <v>0</v>
      </c>
      <c r="G193" s="627"/>
      <c r="H193" s="627">
        <f>VLOOKUP(B193,REKAP_NILAI,29,FALSE)</f>
        <v>0</v>
      </c>
      <c r="I193" s="706">
        <f>F193+G193+H193</f>
        <v>0</v>
      </c>
      <c r="J193" s="707">
        <f>(F193+G193+H193)/4</f>
        <v>0</v>
      </c>
      <c r="K193" s="708" t="str">
        <f>IF(J193&gt;85,("4"),IF(J193&gt;80,("3.66"),IF(J193&gt;75,("3.33"),IF(J193&gt;70,("3.00"),IF(J193&gt;65,("2.66"),IF(J193&gt;60,("2.33"),IF(J193&gt;55,("2"),IF(J193&gt;50,("1.66"),"1.33"))))))))</f>
        <v>1.33</v>
      </c>
      <c r="L193" s="708" t="str">
        <f>IF(J193&gt;85,("A"),IF(J193&gt;80,("A-"),IF(J193&gt;75,("B+"),IF(J193&gt;70,("B"),IF(J193&gt;65,("B-"),IF(J193&gt;60,("C+"),IF(J193&gt;55,("C"),IF(J193&gt;50,("C-"),"D+"))))))))</f>
        <v>D+</v>
      </c>
      <c r="M193" s="887" t="str">
        <f>IF(J193&gt;80,("SB"),IF(J193&gt;65,("B"),IF(J193&gt;50,("C"),IF(J193&gt;0,("K"),"0"))))</f>
        <v>0</v>
      </c>
      <c r="N193" s="1474"/>
      <c r="O193" s="1474"/>
      <c r="P193" s="1474"/>
      <c r="Q193" s="1474"/>
      <c r="R193" s="1474"/>
      <c r="S193" s="1475"/>
      <c r="T193" s="1476"/>
      <c r="U193" s="1476"/>
      <c r="V193" s="1476"/>
      <c r="W193" s="1476"/>
      <c r="X193" s="704">
        <f>AVERAGE(J193:J197)</f>
        <v>0</v>
      </c>
      <c r="Y193" s="1481" t="str">
        <f>IF(X193&gt;85,("A"),IF(X193&gt;80,("A-"),IF(X193&gt;75,("B+"),IF(X193&gt;70,("B"),IF(X193&gt;65,("B-"),IF(X193&gt;60,("C+"),IF(X193&gt;55,("C"),IF(X193&gt;50,("C-"),"D+"))))))))</f>
        <v>D+</v>
      </c>
    </row>
    <row r="194" spans="1:25" ht="23.1" customHeight="1" x14ac:dyDescent="0.25">
      <c r="A194" s="1478"/>
      <c r="B194" s="683">
        <v>32</v>
      </c>
      <c r="C194" s="1545"/>
      <c r="D194" s="1542" t="s">
        <v>10</v>
      </c>
      <c r="E194" s="627">
        <f>VLOOKUP(A193,UHT_PJOK,39,FALSE)</f>
        <v>0</v>
      </c>
      <c r="F194" s="1905">
        <f t="shared" ref="F194:F197" si="207">E194*2</f>
        <v>0</v>
      </c>
      <c r="G194" s="1152"/>
      <c r="H194" s="627">
        <f>VLOOKUP(B193,REKAP_NILAI,30,FALSE)</f>
        <v>0</v>
      </c>
      <c r="I194" s="709">
        <f t="shared" ref="I194:I197" si="208">F194+G194+H194</f>
        <v>0</v>
      </c>
      <c r="J194" s="710">
        <f t="shared" ref="J194:J197" si="209">(F194+G194+H194)/4</f>
        <v>0</v>
      </c>
      <c r="K194" s="711" t="str">
        <f t="shared" ref="K194:K198" si="210">IF(J194&gt;85,("4"),IF(J194&gt;80,("3.66"),IF(J194&gt;75,("3.33"),IF(J194&gt;70,("3.00"),IF(J194&gt;65,("2.66"),IF(J194&gt;60,("2.33"),IF(J194&gt;55,("2"),IF(J194&gt;50,("1.66"),"1.33"))))))))</f>
        <v>1.33</v>
      </c>
      <c r="L194" s="711" t="str">
        <f t="shared" ref="L194:L198" si="211">IF(J194&gt;85,("A"),IF(J194&gt;80,("A-"),IF(J194&gt;75,("B+"),IF(J194&gt;70,("B"),IF(J194&gt;65,("B-"),IF(J194&gt;60,("C+"),IF(J194&gt;55,("C"),IF(J194&gt;50,("C-"),"D+"))))))))</f>
        <v>D+</v>
      </c>
      <c r="M194" s="712" t="str">
        <f t="shared" ref="M194:M198" si="212">IF(J194&gt;80,("SB"),IF(J194&gt;65,("B"),IF(J194&gt;50,("C"),IF(J194&gt;0,("K"),"0"))))</f>
        <v>0</v>
      </c>
      <c r="N194" s="1546"/>
      <c r="O194" s="1547"/>
      <c r="P194" s="1547"/>
      <c r="Q194" s="1547"/>
      <c r="R194" s="1547"/>
      <c r="S194" s="1548"/>
      <c r="T194" s="1465"/>
      <c r="U194" s="1465"/>
      <c r="V194" s="1465"/>
      <c r="W194" s="1466"/>
      <c r="X194" s="1529"/>
      <c r="Y194" s="1530"/>
    </row>
    <row r="195" spans="1:25" ht="23.1" customHeight="1" x14ac:dyDescent="0.25">
      <c r="A195" s="1478"/>
      <c r="B195" s="683">
        <v>32</v>
      </c>
      <c r="C195" s="1545"/>
      <c r="D195" s="1542" t="s">
        <v>8</v>
      </c>
      <c r="E195" s="627">
        <f>VLOOKUP(A193,UHT_PJOK,40,FALSE)</f>
        <v>0</v>
      </c>
      <c r="F195" s="1905">
        <f t="shared" si="207"/>
        <v>0</v>
      </c>
      <c r="G195" s="1152"/>
      <c r="H195" s="627">
        <f>VLOOKUP(B193,REKAP_NILAI,31,FALSE)</f>
        <v>0</v>
      </c>
      <c r="I195" s="709">
        <f t="shared" si="208"/>
        <v>0</v>
      </c>
      <c r="J195" s="710">
        <f t="shared" si="209"/>
        <v>0</v>
      </c>
      <c r="K195" s="711" t="str">
        <f t="shared" si="210"/>
        <v>1.33</v>
      </c>
      <c r="L195" s="711" t="str">
        <f t="shared" si="211"/>
        <v>D+</v>
      </c>
      <c r="M195" s="712" t="str">
        <f t="shared" si="212"/>
        <v>0</v>
      </c>
      <c r="N195" s="1549"/>
      <c r="O195" s="1550"/>
      <c r="P195" s="1550"/>
      <c r="Q195" s="1550"/>
      <c r="R195" s="1550"/>
      <c r="S195" s="1551"/>
      <c r="T195" s="1469"/>
      <c r="U195" s="1469"/>
      <c r="V195" s="1469"/>
      <c r="W195" s="1470"/>
      <c r="X195" s="1531"/>
      <c r="Y195" s="1532"/>
    </row>
    <row r="196" spans="1:25" ht="23.1" customHeight="1" x14ac:dyDescent="0.25">
      <c r="A196" s="1478"/>
      <c r="B196" s="683">
        <v>32</v>
      </c>
      <c r="C196" s="1545"/>
      <c r="D196" s="1542" t="s">
        <v>18</v>
      </c>
      <c r="E196" s="627">
        <f>VLOOKUP(A193,UHT_PJOK,41,FALSE)</f>
        <v>0</v>
      </c>
      <c r="F196" s="1905">
        <f t="shared" si="207"/>
        <v>0</v>
      </c>
      <c r="G196" s="627"/>
      <c r="H196" s="627">
        <f>VLOOKUP(B193,REKAP_NILAI,29,FALSE)</f>
        <v>0</v>
      </c>
      <c r="I196" s="709">
        <f t="shared" si="208"/>
        <v>0</v>
      </c>
      <c r="J196" s="710">
        <f t="shared" si="209"/>
        <v>0</v>
      </c>
      <c r="K196" s="711" t="str">
        <f t="shared" si="210"/>
        <v>1.33</v>
      </c>
      <c r="L196" s="711" t="str">
        <f t="shared" si="211"/>
        <v>D+</v>
      </c>
      <c r="M196" s="712" t="str">
        <f t="shared" si="212"/>
        <v>0</v>
      </c>
      <c r="N196" s="1549"/>
      <c r="O196" s="1550"/>
      <c r="P196" s="1550"/>
      <c r="Q196" s="1550"/>
      <c r="R196" s="1550"/>
      <c r="S196" s="1551"/>
      <c r="T196" s="1469"/>
      <c r="U196" s="1469"/>
      <c r="V196" s="1469"/>
      <c r="W196" s="1470"/>
      <c r="X196" s="1531"/>
      <c r="Y196" s="1532"/>
    </row>
    <row r="197" spans="1:25" ht="23.1" customHeight="1" x14ac:dyDescent="0.25">
      <c r="A197" s="1478"/>
      <c r="B197" s="683">
        <v>32</v>
      </c>
      <c r="C197" s="1545"/>
      <c r="D197" s="1542" t="s">
        <v>179</v>
      </c>
      <c r="E197" s="627">
        <f>VLOOKUP(A193,UHT_PJOK,42,FALSE)</f>
        <v>0</v>
      </c>
      <c r="F197" s="1905">
        <f t="shared" si="207"/>
        <v>0</v>
      </c>
      <c r="G197" s="1152"/>
      <c r="H197" s="627">
        <f>VLOOKUP(B193,REKAP_NILAI,33,FALSE)</f>
        <v>0</v>
      </c>
      <c r="I197" s="709">
        <f t="shared" si="208"/>
        <v>0</v>
      </c>
      <c r="J197" s="710">
        <f t="shared" si="209"/>
        <v>0</v>
      </c>
      <c r="K197" s="711" t="str">
        <f t="shared" si="210"/>
        <v>1.33</v>
      </c>
      <c r="L197" s="711" t="str">
        <f t="shared" si="211"/>
        <v>D+</v>
      </c>
      <c r="M197" s="712" t="str">
        <f t="shared" si="212"/>
        <v>0</v>
      </c>
      <c r="N197" s="1549"/>
      <c r="O197" s="1550"/>
      <c r="P197" s="1550"/>
      <c r="Q197" s="1550"/>
      <c r="R197" s="1550"/>
      <c r="S197" s="1551"/>
      <c r="T197" s="1469"/>
      <c r="U197" s="1469"/>
      <c r="V197" s="1469"/>
      <c r="W197" s="1470"/>
      <c r="X197" s="1533"/>
      <c r="Y197" s="1534"/>
    </row>
    <row r="198" spans="1:25" ht="23.1" customHeight="1" x14ac:dyDescent="0.25">
      <c r="A198" s="1154"/>
      <c r="B198" s="1552"/>
      <c r="C198" s="1553" t="s">
        <v>149</v>
      </c>
      <c r="D198" s="1562">
        <v>32</v>
      </c>
      <c r="E198" s="697"/>
      <c r="F198" s="1906"/>
      <c r="G198" s="697"/>
      <c r="H198" s="1189">
        <f>AVERAGE(H193:H197)</f>
        <v>0</v>
      </c>
      <c r="I198" s="705"/>
      <c r="J198" s="713">
        <f>AVERAGE(J193:J197)</f>
        <v>0</v>
      </c>
      <c r="K198" s="714" t="str">
        <f t="shared" si="210"/>
        <v>1.33</v>
      </c>
      <c r="L198" s="714" t="str">
        <f t="shared" si="211"/>
        <v>D+</v>
      </c>
      <c r="M198" s="888" t="str">
        <f t="shared" si="212"/>
        <v>0</v>
      </c>
      <c r="N198" s="1154"/>
      <c r="O198" s="1155"/>
      <c r="P198" s="1155"/>
      <c r="Q198" s="1155"/>
      <c r="R198" s="1155"/>
      <c r="S198" s="1155"/>
      <c r="T198" s="1155"/>
      <c r="U198" s="1155"/>
      <c r="V198" s="1155"/>
      <c r="W198" s="1162"/>
      <c r="X198" s="1257"/>
      <c r="Y198" s="1258"/>
    </row>
    <row r="199" spans="1:25" ht="23.1" customHeight="1" thickBot="1" x14ac:dyDescent="0.3">
      <c r="A199" s="1477">
        <v>33</v>
      </c>
      <c r="B199" s="683">
        <v>33</v>
      </c>
      <c r="C199" s="1563" t="e">
        <f>VLOOKUP(A199,data_siswa,4,FALSE)</f>
        <v>#N/A</v>
      </c>
      <c r="D199" s="1542" t="s">
        <v>7</v>
      </c>
      <c r="E199" s="627">
        <f>VLOOKUP(A199,UHT_PJOK,38,FALSE)</f>
        <v>0</v>
      </c>
      <c r="F199" s="1904">
        <f>E199*2</f>
        <v>0</v>
      </c>
      <c r="G199" s="627"/>
      <c r="H199" s="627">
        <f>VLOOKUP(B199,REKAP_NILAI,29,FALSE)</f>
        <v>0</v>
      </c>
      <c r="I199" s="706">
        <f>F199+G199+H199</f>
        <v>0</v>
      </c>
      <c r="J199" s="707">
        <f>(F199+G199+H199)/4</f>
        <v>0</v>
      </c>
      <c r="K199" s="708" t="str">
        <f>IF(J199&gt;85,("4"),IF(J199&gt;80,("3.66"),IF(J199&gt;75,("3.33"),IF(J199&gt;70,("3.00"),IF(J199&gt;65,("2.66"),IF(J199&gt;60,("2.33"),IF(J199&gt;55,("2"),IF(J199&gt;50,("1.66"),"1.33"))))))))</f>
        <v>1.33</v>
      </c>
      <c r="L199" s="708" t="str">
        <f>IF(J199&gt;85,("A"),IF(J199&gt;80,("A-"),IF(J199&gt;75,("B+"),IF(J199&gt;70,("B"),IF(J199&gt;65,("B-"),IF(J199&gt;60,("C+"),IF(J199&gt;55,("C"),IF(J199&gt;50,("C-"),"D+"))))))))</f>
        <v>D+</v>
      </c>
      <c r="M199" s="887" t="str">
        <f>IF(J199&gt;80,("SB"),IF(J199&gt;65,("B"),IF(J199&gt;50,("C"),IF(J199&gt;0,("K"),"0"))))</f>
        <v>0</v>
      </c>
      <c r="N199" s="1474"/>
      <c r="O199" s="1474"/>
      <c r="P199" s="1474"/>
      <c r="Q199" s="1474"/>
      <c r="R199" s="1474"/>
      <c r="S199" s="1475"/>
      <c r="T199" s="1476"/>
      <c r="U199" s="1476"/>
      <c r="V199" s="1476"/>
      <c r="W199" s="1476"/>
      <c r="X199" s="704">
        <f>AVERAGE(J199:J203)</f>
        <v>0</v>
      </c>
      <c r="Y199" s="1481" t="str">
        <f>IF(X199&gt;85,("A"),IF(X199&gt;80,("A-"),IF(X199&gt;75,("B+"),IF(X199&gt;70,("B"),IF(X199&gt;65,("B-"),IF(X199&gt;60,("C+"),IF(X199&gt;55,("C"),IF(X199&gt;50,("C-"),"D+"))))))))</f>
        <v>D+</v>
      </c>
    </row>
    <row r="200" spans="1:25" ht="23.1" customHeight="1" x14ac:dyDescent="0.25">
      <c r="A200" s="1478"/>
      <c r="B200" s="683">
        <v>33</v>
      </c>
      <c r="C200" s="1545"/>
      <c r="D200" s="1542" t="s">
        <v>10</v>
      </c>
      <c r="E200" s="627">
        <f>VLOOKUP(A199,UHT_PJOK,39,FALSE)</f>
        <v>0</v>
      </c>
      <c r="F200" s="1905">
        <f t="shared" ref="F200:F203" si="213">E200*2</f>
        <v>0</v>
      </c>
      <c r="G200" s="1152"/>
      <c r="H200" s="627">
        <f>VLOOKUP(B199,REKAP_NILAI,30,FALSE)</f>
        <v>0</v>
      </c>
      <c r="I200" s="709">
        <f t="shared" ref="I200:I203" si="214">F200+G200+H200</f>
        <v>0</v>
      </c>
      <c r="J200" s="710">
        <f t="shared" ref="J200:J203" si="215">(F200+G200+H200)/4</f>
        <v>0</v>
      </c>
      <c r="K200" s="711" t="str">
        <f t="shared" ref="K200:K203" si="216">IF(J200&gt;85,("4"),IF(J200&gt;80,("3.66"),IF(J200&gt;75,("3.33"),IF(J200&gt;70,("3.00"),IF(J200&gt;65,("2.66"),IF(J200&gt;60,("2.33"),IF(J200&gt;55,("2"),IF(J200&gt;50,("1.66"),"1.33"))))))))</f>
        <v>1.33</v>
      </c>
      <c r="L200" s="711" t="str">
        <f t="shared" ref="L200:L203" si="217">IF(J200&gt;85,("A"),IF(J200&gt;80,("A-"),IF(J200&gt;75,("B+"),IF(J200&gt;70,("B"),IF(J200&gt;65,("B-"),IF(J200&gt;60,("C+"),IF(J200&gt;55,("C"),IF(J200&gt;50,("C-"),"D+"))))))))</f>
        <v>D+</v>
      </c>
      <c r="M200" s="712" t="str">
        <f t="shared" ref="M200:M203" si="218">IF(J200&gt;80,("SB"),IF(J200&gt;65,("B"),IF(J200&gt;50,("C"),IF(J200&gt;0,("K"),"0"))))</f>
        <v>0</v>
      </c>
      <c r="N200" s="1546"/>
      <c r="O200" s="1547"/>
      <c r="P200" s="1547"/>
      <c r="Q200" s="1547"/>
      <c r="R200" s="1547"/>
      <c r="S200" s="1548"/>
      <c r="T200" s="1465"/>
      <c r="U200" s="1465"/>
      <c r="V200" s="1465"/>
      <c r="W200" s="1466"/>
      <c r="X200" s="1529"/>
      <c r="Y200" s="1530"/>
    </row>
    <row r="201" spans="1:25" ht="23.1" customHeight="1" x14ac:dyDescent="0.25">
      <c r="A201" s="1478"/>
      <c r="B201" s="683">
        <v>33</v>
      </c>
      <c r="C201" s="1545"/>
      <c r="D201" s="1542" t="s">
        <v>8</v>
      </c>
      <c r="E201" s="627">
        <f>VLOOKUP(A199,UHT_PJOK,40,FALSE)</f>
        <v>0</v>
      </c>
      <c r="F201" s="1905">
        <f t="shared" si="213"/>
        <v>0</v>
      </c>
      <c r="G201" s="1152"/>
      <c r="H201" s="627">
        <f>VLOOKUP(B199,REKAP_NILAI,31,FALSE)</f>
        <v>0</v>
      </c>
      <c r="I201" s="709">
        <f t="shared" si="214"/>
        <v>0</v>
      </c>
      <c r="J201" s="710">
        <f t="shared" si="215"/>
        <v>0</v>
      </c>
      <c r="K201" s="711" t="str">
        <f t="shared" si="216"/>
        <v>1.33</v>
      </c>
      <c r="L201" s="711" t="str">
        <f t="shared" si="217"/>
        <v>D+</v>
      </c>
      <c r="M201" s="712" t="str">
        <f t="shared" si="218"/>
        <v>0</v>
      </c>
      <c r="N201" s="1549"/>
      <c r="O201" s="1550"/>
      <c r="P201" s="1550"/>
      <c r="Q201" s="1550"/>
      <c r="R201" s="1550"/>
      <c r="S201" s="1551"/>
      <c r="T201" s="1469"/>
      <c r="U201" s="1469"/>
      <c r="V201" s="1469"/>
      <c r="W201" s="1470"/>
      <c r="X201" s="1531"/>
      <c r="Y201" s="1532"/>
    </row>
    <row r="202" spans="1:25" ht="23.1" customHeight="1" x14ac:dyDescent="0.25">
      <c r="A202" s="1478"/>
      <c r="B202" s="683">
        <v>33</v>
      </c>
      <c r="C202" s="1545"/>
      <c r="D202" s="1542" t="s">
        <v>18</v>
      </c>
      <c r="E202" s="627">
        <f>VLOOKUP(A199,UHT_PJOK,41,FALSE)</f>
        <v>0</v>
      </c>
      <c r="F202" s="1905">
        <f t="shared" si="213"/>
        <v>0</v>
      </c>
      <c r="G202" s="627"/>
      <c r="H202" s="627">
        <f>VLOOKUP(B199,REKAP_NILAI,29,FALSE)</f>
        <v>0</v>
      </c>
      <c r="I202" s="709">
        <f t="shared" si="214"/>
        <v>0</v>
      </c>
      <c r="J202" s="710">
        <f t="shared" si="215"/>
        <v>0</v>
      </c>
      <c r="K202" s="711" t="str">
        <f t="shared" si="216"/>
        <v>1.33</v>
      </c>
      <c r="L202" s="711" t="str">
        <f t="shared" si="217"/>
        <v>D+</v>
      </c>
      <c r="M202" s="712" t="str">
        <f t="shared" si="218"/>
        <v>0</v>
      </c>
      <c r="N202" s="1549"/>
      <c r="O202" s="1550"/>
      <c r="P202" s="1550"/>
      <c r="Q202" s="1550"/>
      <c r="R202" s="1550"/>
      <c r="S202" s="1551"/>
      <c r="T202" s="1469"/>
      <c r="U202" s="1469"/>
      <c r="V202" s="1469"/>
      <c r="W202" s="1470"/>
      <c r="X202" s="1531"/>
      <c r="Y202" s="1532"/>
    </row>
    <row r="203" spans="1:25" ht="23.1" customHeight="1" x14ac:dyDescent="0.25">
      <c r="A203" s="1478"/>
      <c r="B203" s="683">
        <v>33</v>
      </c>
      <c r="C203" s="1545"/>
      <c r="D203" s="1542" t="s">
        <v>179</v>
      </c>
      <c r="E203" s="627">
        <f>VLOOKUP(A199,UHT_PJOK,42,FALSE)</f>
        <v>0</v>
      </c>
      <c r="F203" s="1905">
        <f t="shared" si="213"/>
        <v>0</v>
      </c>
      <c r="G203" s="1152"/>
      <c r="H203" s="627">
        <f>VLOOKUP(B199,REKAP_NILAI,33,FALSE)</f>
        <v>0</v>
      </c>
      <c r="I203" s="709">
        <f t="shared" si="214"/>
        <v>0</v>
      </c>
      <c r="J203" s="710">
        <f t="shared" si="215"/>
        <v>0</v>
      </c>
      <c r="K203" s="711" t="str">
        <f t="shared" si="216"/>
        <v>1.33</v>
      </c>
      <c r="L203" s="711" t="str">
        <f t="shared" si="217"/>
        <v>D+</v>
      </c>
      <c r="M203" s="712" t="str">
        <f t="shared" si="218"/>
        <v>0</v>
      </c>
      <c r="N203" s="1549"/>
      <c r="O203" s="1550"/>
      <c r="P203" s="1550"/>
      <c r="Q203" s="1550"/>
      <c r="R203" s="1550"/>
      <c r="S203" s="1551"/>
      <c r="T203" s="1469"/>
      <c r="U203" s="1469"/>
      <c r="V203" s="1469"/>
      <c r="W203" s="1470"/>
      <c r="X203" s="1533"/>
      <c r="Y203" s="1534"/>
    </row>
    <row r="204" spans="1:25" ht="23.1" customHeight="1" x14ac:dyDescent="0.25">
      <c r="A204" s="1154"/>
      <c r="B204" s="1552"/>
      <c r="C204" s="1553" t="s">
        <v>149</v>
      </c>
      <c r="D204" s="1562">
        <v>33</v>
      </c>
      <c r="E204" s="697"/>
      <c r="F204" s="1906"/>
      <c r="G204" s="697"/>
      <c r="H204" s="1189">
        <f>AVERAGE(H199:H203)</f>
        <v>0</v>
      </c>
      <c r="I204" s="705"/>
      <c r="J204" s="713">
        <f>AVERAGE(J199:J203)</f>
        <v>0</v>
      </c>
      <c r="K204" s="714" t="str">
        <f t="shared" ref="K204" si="219">IF(J204&gt;85,("4"),IF(J204&gt;80,("3.66"),IF(J204&gt;75,("3.33"),IF(J204&gt;70,("3.00"),IF(J204&gt;65,("2.66"),IF(J204&gt;60,("2.33"),IF(J204&gt;55,("2"),IF(J204&gt;50,("1.66"),"1.33"))))))))</f>
        <v>1.33</v>
      </c>
      <c r="L204" s="714" t="str">
        <f t="shared" ref="L204" si="220">IF(J204&gt;85,("A"),IF(J204&gt;80,("A-"),IF(J204&gt;75,("B+"),IF(J204&gt;70,("B"),IF(J204&gt;65,("B-"),IF(J204&gt;60,("C+"),IF(J204&gt;55,("C"),IF(J204&gt;50,("C-"),"D+"))))))))</f>
        <v>D+</v>
      </c>
      <c r="M204" s="888" t="str">
        <f t="shared" ref="M204" si="221">IF(J204&gt;80,("SB"),IF(J204&gt;65,("B"),IF(J204&gt;50,("C"),IF(J204&gt;0,("K"),"0"))))</f>
        <v>0</v>
      </c>
      <c r="N204" s="1154"/>
      <c r="O204" s="1155"/>
      <c r="P204" s="1155"/>
      <c r="Q204" s="1155"/>
      <c r="R204" s="1155"/>
      <c r="S204" s="1155"/>
      <c r="T204" s="1155"/>
      <c r="U204" s="1155"/>
      <c r="V204" s="1155"/>
      <c r="W204" s="1162"/>
      <c r="X204" s="1257"/>
      <c r="Y204" s="1258"/>
    </row>
    <row r="205" spans="1:25" ht="23.1" customHeight="1" thickBot="1" x14ac:dyDescent="0.3">
      <c r="A205" s="1477">
        <v>34</v>
      </c>
      <c r="B205" s="683">
        <v>34</v>
      </c>
      <c r="C205" s="1563" t="e">
        <f>VLOOKUP(A205,data_siswa,4,FALSE)</f>
        <v>#N/A</v>
      </c>
      <c r="D205" s="1542" t="s">
        <v>7</v>
      </c>
      <c r="E205" s="627">
        <f>VLOOKUP(A205,UHT_PJOK,38,FALSE)</f>
        <v>0</v>
      </c>
      <c r="F205" s="1904">
        <f>E205*2</f>
        <v>0</v>
      </c>
      <c r="G205" s="627"/>
      <c r="H205" s="627">
        <f>VLOOKUP(B205,REKAP_NILAI,29,FALSE)</f>
        <v>0</v>
      </c>
      <c r="I205" s="706">
        <f>F205+G205+H205</f>
        <v>0</v>
      </c>
      <c r="J205" s="707">
        <f>(F205+G205+H205)/4</f>
        <v>0</v>
      </c>
      <c r="K205" s="708" t="str">
        <f>IF(J205&gt;85,("4"),IF(J205&gt;80,("3.66"),IF(J205&gt;75,("3.33"),IF(J205&gt;70,("3.00"),IF(J205&gt;65,("2.66"),IF(J205&gt;60,("2.33"),IF(J205&gt;55,("2"),IF(J205&gt;50,("1.66"),"1.33"))))))))</f>
        <v>1.33</v>
      </c>
      <c r="L205" s="708" t="str">
        <f>IF(J205&gt;85,("A"),IF(J205&gt;80,("A-"),IF(J205&gt;75,("B+"),IF(J205&gt;70,("B"),IF(J205&gt;65,("B-"),IF(J205&gt;60,("C+"),IF(J205&gt;55,("C"),IF(J205&gt;50,("C-"),"D+"))))))))</f>
        <v>D+</v>
      </c>
      <c r="M205" s="887" t="str">
        <f>IF(J205&gt;80,("SB"),IF(J205&gt;65,("B"),IF(J205&gt;50,("C"),IF(J205&gt;0,("K"),"0"))))</f>
        <v>0</v>
      </c>
      <c r="N205" s="1474"/>
      <c r="O205" s="1474"/>
      <c r="P205" s="1474"/>
      <c r="Q205" s="1474"/>
      <c r="R205" s="1474"/>
      <c r="S205" s="1475"/>
      <c r="T205" s="1476"/>
      <c r="U205" s="1476"/>
      <c r="V205" s="1476"/>
      <c r="W205" s="1476"/>
      <c r="X205" s="704">
        <f>AVERAGE(J205:J209)</f>
        <v>0</v>
      </c>
      <c r="Y205" s="1481" t="str">
        <f>IF(X205&gt;85,("A"),IF(X205&gt;80,("A-"),IF(X205&gt;75,("B+"),IF(X205&gt;70,("B"),IF(X205&gt;65,("B-"),IF(X205&gt;60,("C+"),IF(X205&gt;55,("C"),IF(X205&gt;50,("C-"),"D+"))))))))</f>
        <v>D+</v>
      </c>
    </row>
    <row r="206" spans="1:25" ht="23.1" customHeight="1" x14ac:dyDescent="0.25">
      <c r="A206" s="1478"/>
      <c r="B206" s="683">
        <v>34</v>
      </c>
      <c r="C206" s="1545"/>
      <c r="D206" s="1542" t="s">
        <v>10</v>
      </c>
      <c r="E206" s="627">
        <f>VLOOKUP(A205,UHT_PJOK,39,FALSE)</f>
        <v>0</v>
      </c>
      <c r="F206" s="1905">
        <f t="shared" ref="F206:F209" si="222">E206*2</f>
        <v>0</v>
      </c>
      <c r="G206" s="1152"/>
      <c r="H206" s="627">
        <f>VLOOKUP(B205,REKAP_NILAI,30,FALSE)</f>
        <v>0</v>
      </c>
      <c r="I206" s="709">
        <f t="shared" ref="I206:I209" si="223">F206+G206+H206</f>
        <v>0</v>
      </c>
      <c r="J206" s="710">
        <f t="shared" ref="J206:J209" si="224">(F206+G206+H206)/4</f>
        <v>0</v>
      </c>
      <c r="K206" s="711" t="str">
        <f t="shared" ref="K206:K210" si="225">IF(J206&gt;85,("4"),IF(J206&gt;80,("3.66"),IF(J206&gt;75,("3.33"),IF(J206&gt;70,("3.00"),IF(J206&gt;65,("2.66"),IF(J206&gt;60,("2.33"),IF(J206&gt;55,("2"),IF(J206&gt;50,("1.66"),"1.33"))))))))</f>
        <v>1.33</v>
      </c>
      <c r="L206" s="711" t="str">
        <f t="shared" ref="L206:L210" si="226">IF(J206&gt;85,("A"),IF(J206&gt;80,("A-"),IF(J206&gt;75,("B+"),IF(J206&gt;70,("B"),IF(J206&gt;65,("B-"),IF(J206&gt;60,("C+"),IF(J206&gt;55,("C"),IF(J206&gt;50,("C-"),"D+"))))))))</f>
        <v>D+</v>
      </c>
      <c r="M206" s="712" t="str">
        <f t="shared" ref="M206:M210" si="227">IF(J206&gt;80,("SB"),IF(J206&gt;65,("B"),IF(J206&gt;50,("C"),IF(J206&gt;0,("K"),"0"))))</f>
        <v>0</v>
      </c>
      <c r="N206" s="1546"/>
      <c r="O206" s="1547"/>
      <c r="P206" s="1547"/>
      <c r="Q206" s="1547"/>
      <c r="R206" s="1547"/>
      <c r="S206" s="1548"/>
      <c r="T206" s="1465"/>
      <c r="U206" s="1465"/>
      <c r="V206" s="1465"/>
      <c r="W206" s="1466"/>
      <c r="X206" s="1529"/>
      <c r="Y206" s="1530"/>
    </row>
    <row r="207" spans="1:25" ht="23.1" customHeight="1" x14ac:dyDescent="0.25">
      <c r="A207" s="1478"/>
      <c r="B207" s="683">
        <v>34</v>
      </c>
      <c r="C207" s="1545"/>
      <c r="D207" s="1542" t="s">
        <v>8</v>
      </c>
      <c r="E207" s="627">
        <f>VLOOKUP(A205,UHT_PJOK,40,FALSE)</f>
        <v>0</v>
      </c>
      <c r="F207" s="1905">
        <f t="shared" si="222"/>
        <v>0</v>
      </c>
      <c r="G207" s="1152"/>
      <c r="H207" s="627">
        <f>VLOOKUP(B205,REKAP_NILAI,31,FALSE)</f>
        <v>0</v>
      </c>
      <c r="I207" s="709">
        <f t="shared" si="223"/>
        <v>0</v>
      </c>
      <c r="J207" s="710">
        <f t="shared" si="224"/>
        <v>0</v>
      </c>
      <c r="K207" s="711" t="str">
        <f t="shared" si="225"/>
        <v>1.33</v>
      </c>
      <c r="L207" s="711" t="str">
        <f t="shared" si="226"/>
        <v>D+</v>
      </c>
      <c r="M207" s="712" t="str">
        <f t="shared" si="227"/>
        <v>0</v>
      </c>
      <c r="N207" s="1549"/>
      <c r="O207" s="1550"/>
      <c r="P207" s="1550"/>
      <c r="Q207" s="1550"/>
      <c r="R207" s="1550"/>
      <c r="S207" s="1551"/>
      <c r="T207" s="1469"/>
      <c r="U207" s="1469"/>
      <c r="V207" s="1469"/>
      <c r="W207" s="1470"/>
      <c r="X207" s="1531"/>
      <c r="Y207" s="1532"/>
    </row>
    <row r="208" spans="1:25" ht="23.1" customHeight="1" x14ac:dyDescent="0.25">
      <c r="A208" s="1478"/>
      <c r="B208" s="683">
        <v>34</v>
      </c>
      <c r="C208" s="1545"/>
      <c r="D208" s="1542" t="s">
        <v>18</v>
      </c>
      <c r="E208" s="627">
        <f>VLOOKUP(A205,UHT_PJOK,41,FALSE)</f>
        <v>0</v>
      </c>
      <c r="F208" s="1905">
        <f t="shared" si="222"/>
        <v>0</v>
      </c>
      <c r="G208" s="627"/>
      <c r="H208" s="627">
        <f>VLOOKUP(B205,REKAP_NILAI,29,FALSE)</f>
        <v>0</v>
      </c>
      <c r="I208" s="709">
        <f t="shared" si="223"/>
        <v>0</v>
      </c>
      <c r="J208" s="710">
        <f t="shared" si="224"/>
        <v>0</v>
      </c>
      <c r="K208" s="711" t="str">
        <f t="shared" si="225"/>
        <v>1.33</v>
      </c>
      <c r="L208" s="711" t="str">
        <f t="shared" si="226"/>
        <v>D+</v>
      </c>
      <c r="M208" s="712" t="str">
        <f t="shared" si="227"/>
        <v>0</v>
      </c>
      <c r="N208" s="1549"/>
      <c r="O208" s="1550"/>
      <c r="P208" s="1550"/>
      <c r="Q208" s="1550"/>
      <c r="R208" s="1550"/>
      <c r="S208" s="1551"/>
      <c r="T208" s="1469"/>
      <c r="U208" s="1469"/>
      <c r="V208" s="1469"/>
      <c r="W208" s="1470"/>
      <c r="X208" s="1531"/>
      <c r="Y208" s="1532"/>
    </row>
    <row r="209" spans="1:25" ht="23.1" customHeight="1" x14ac:dyDescent="0.25">
      <c r="A209" s="1478"/>
      <c r="B209" s="683">
        <v>34</v>
      </c>
      <c r="C209" s="1545"/>
      <c r="D209" s="1542" t="s">
        <v>179</v>
      </c>
      <c r="E209" s="627">
        <f>VLOOKUP(A205,UHT_PJOK,42,FALSE)</f>
        <v>0</v>
      </c>
      <c r="F209" s="1905">
        <f t="shared" si="222"/>
        <v>0</v>
      </c>
      <c r="G209" s="1152"/>
      <c r="H209" s="627">
        <f>VLOOKUP(B205,REKAP_NILAI,33,FALSE)</f>
        <v>0</v>
      </c>
      <c r="I209" s="709">
        <f t="shared" si="223"/>
        <v>0</v>
      </c>
      <c r="J209" s="710">
        <f t="shared" si="224"/>
        <v>0</v>
      </c>
      <c r="K209" s="711" t="str">
        <f t="shared" si="225"/>
        <v>1.33</v>
      </c>
      <c r="L209" s="711" t="str">
        <f t="shared" si="226"/>
        <v>D+</v>
      </c>
      <c r="M209" s="712" t="str">
        <f t="shared" si="227"/>
        <v>0</v>
      </c>
      <c r="N209" s="1549"/>
      <c r="O209" s="1550"/>
      <c r="P209" s="1550"/>
      <c r="Q209" s="1550"/>
      <c r="R209" s="1550"/>
      <c r="S209" s="1551"/>
      <c r="T209" s="1469"/>
      <c r="U209" s="1469"/>
      <c r="V209" s="1469"/>
      <c r="W209" s="1470"/>
      <c r="X209" s="1533"/>
      <c r="Y209" s="1534"/>
    </row>
    <row r="210" spans="1:25" ht="23.1" customHeight="1" x14ac:dyDescent="0.25">
      <c r="A210" s="1154"/>
      <c r="B210" s="1552"/>
      <c r="C210" s="1553" t="s">
        <v>149</v>
      </c>
      <c r="D210" s="1562">
        <v>34</v>
      </c>
      <c r="E210" s="697"/>
      <c r="F210" s="1906"/>
      <c r="G210" s="697"/>
      <c r="H210" s="1189">
        <f>AVERAGE(H205:H209)</f>
        <v>0</v>
      </c>
      <c r="I210" s="705"/>
      <c r="J210" s="713">
        <f>AVERAGE(J205:J209)</f>
        <v>0</v>
      </c>
      <c r="K210" s="714" t="str">
        <f t="shared" si="225"/>
        <v>1.33</v>
      </c>
      <c r="L210" s="714" t="str">
        <f t="shared" si="226"/>
        <v>D+</v>
      </c>
      <c r="M210" s="888" t="str">
        <f t="shared" si="227"/>
        <v>0</v>
      </c>
      <c r="N210" s="1154"/>
      <c r="O210" s="1155"/>
      <c r="P210" s="1155"/>
      <c r="Q210" s="1155"/>
      <c r="R210" s="1155"/>
      <c r="S210" s="1155"/>
      <c r="T210" s="1155"/>
      <c r="U210" s="1155"/>
      <c r="V210" s="1155"/>
      <c r="W210" s="1162"/>
      <c r="X210" s="1257"/>
      <c r="Y210" s="1258"/>
    </row>
    <row r="211" spans="1:25" ht="23.1" customHeight="1" thickBot="1" x14ac:dyDescent="0.3">
      <c r="A211" s="1477">
        <v>35</v>
      </c>
      <c r="B211" s="683">
        <v>35</v>
      </c>
      <c r="C211" s="1563" t="e">
        <f>VLOOKUP(A211,data_siswa,4,FALSE)</f>
        <v>#N/A</v>
      </c>
      <c r="D211" s="1542" t="s">
        <v>7</v>
      </c>
      <c r="E211" s="627">
        <f>VLOOKUP(A211,UHT_PJOK,38,FALSE)</f>
        <v>0</v>
      </c>
      <c r="F211" s="1904">
        <f>E211*2</f>
        <v>0</v>
      </c>
      <c r="G211" s="627"/>
      <c r="H211" s="627">
        <f>VLOOKUP(B211,REKAP_NILAI,29,FALSE)</f>
        <v>0</v>
      </c>
      <c r="I211" s="706">
        <f>F211+G211+H211</f>
        <v>0</v>
      </c>
      <c r="J211" s="707">
        <f>(F211+G211+H211)/4</f>
        <v>0</v>
      </c>
      <c r="K211" s="708" t="str">
        <f>IF(J211&gt;85,("4"),IF(J211&gt;80,("3.66"),IF(J211&gt;75,("3.33"),IF(J211&gt;70,("3.00"),IF(J211&gt;65,("2.66"),IF(J211&gt;60,("2.33"),IF(J211&gt;55,("2"),IF(J211&gt;50,("1.66"),"1.33"))))))))</f>
        <v>1.33</v>
      </c>
      <c r="L211" s="708" t="str">
        <f>IF(J211&gt;85,("A"),IF(J211&gt;80,("A-"),IF(J211&gt;75,("B+"),IF(J211&gt;70,("B"),IF(J211&gt;65,("B-"),IF(J211&gt;60,("C+"),IF(J211&gt;55,("C"),IF(J211&gt;50,("C-"),"D+"))))))))</f>
        <v>D+</v>
      </c>
      <c r="M211" s="887" t="str">
        <f>IF(J211&gt;80,("SB"),IF(J211&gt;65,("B"),IF(J211&gt;50,("C"),IF(J211&gt;0,("K"),"0"))))</f>
        <v>0</v>
      </c>
      <c r="N211" s="1474"/>
      <c r="O211" s="1474"/>
      <c r="P211" s="1474"/>
      <c r="Q211" s="1474"/>
      <c r="R211" s="1474"/>
      <c r="S211" s="1475"/>
      <c r="T211" s="1476"/>
      <c r="U211" s="1476"/>
      <c r="V211" s="1476"/>
      <c r="W211" s="1476"/>
      <c r="X211" s="704">
        <f>AVERAGE(J211:J215)</f>
        <v>0</v>
      </c>
      <c r="Y211" s="1481" t="str">
        <f>IF(X211&gt;85,("A"),IF(X211&gt;80,("A-"),IF(X211&gt;75,("B+"),IF(X211&gt;70,("B"),IF(X211&gt;65,("B-"),IF(X211&gt;60,("C+"),IF(X211&gt;55,("C"),IF(X211&gt;50,("C-"),"D+"))))))))</f>
        <v>D+</v>
      </c>
    </row>
    <row r="212" spans="1:25" ht="23.1" customHeight="1" x14ac:dyDescent="0.25">
      <c r="A212" s="1478"/>
      <c r="B212" s="683">
        <v>35</v>
      </c>
      <c r="C212" s="1545"/>
      <c r="D212" s="1542" t="s">
        <v>10</v>
      </c>
      <c r="E212" s="627">
        <f>VLOOKUP(A211,UHT_PJOK,39,FALSE)</f>
        <v>0</v>
      </c>
      <c r="F212" s="1905">
        <f t="shared" ref="F212:F215" si="228">E212*2</f>
        <v>0</v>
      </c>
      <c r="G212" s="1152"/>
      <c r="H212" s="627">
        <f>VLOOKUP(B211,REKAP_NILAI,30,FALSE)</f>
        <v>0</v>
      </c>
      <c r="I212" s="709">
        <f t="shared" ref="I212:I215" si="229">F212+G212+H212</f>
        <v>0</v>
      </c>
      <c r="J212" s="710">
        <f t="shared" ref="J212:J215" si="230">(F212+G212+H212)/4</f>
        <v>0</v>
      </c>
      <c r="K212" s="711" t="str">
        <f t="shared" ref="K212:K216" si="231">IF(J212&gt;85,("4"),IF(J212&gt;80,("3.66"),IF(J212&gt;75,("3.33"),IF(J212&gt;70,("3.00"),IF(J212&gt;65,("2.66"),IF(J212&gt;60,("2.33"),IF(J212&gt;55,("2"),IF(J212&gt;50,("1.66"),"1.33"))))))))</f>
        <v>1.33</v>
      </c>
      <c r="L212" s="711" t="str">
        <f t="shared" ref="L212:L216" si="232">IF(J212&gt;85,("A"),IF(J212&gt;80,("A-"),IF(J212&gt;75,("B+"),IF(J212&gt;70,("B"),IF(J212&gt;65,("B-"),IF(J212&gt;60,("C+"),IF(J212&gt;55,("C"),IF(J212&gt;50,("C-"),"D+"))))))))</f>
        <v>D+</v>
      </c>
      <c r="M212" s="712" t="str">
        <f t="shared" ref="M212:M216" si="233">IF(J212&gt;80,("SB"),IF(J212&gt;65,("B"),IF(J212&gt;50,("C"),IF(J212&gt;0,("K"),"0"))))</f>
        <v>0</v>
      </c>
      <c r="N212" s="1546"/>
      <c r="O212" s="1547"/>
      <c r="P212" s="1547"/>
      <c r="Q212" s="1547"/>
      <c r="R212" s="1547"/>
      <c r="S212" s="1548"/>
      <c r="T212" s="1465"/>
      <c r="U212" s="1465"/>
      <c r="V212" s="1465"/>
      <c r="W212" s="1466"/>
      <c r="X212" s="1529"/>
      <c r="Y212" s="1530"/>
    </row>
    <row r="213" spans="1:25" ht="23.1" customHeight="1" x14ac:dyDescent="0.25">
      <c r="A213" s="1478"/>
      <c r="B213" s="683">
        <v>35</v>
      </c>
      <c r="C213" s="1545"/>
      <c r="D213" s="1542" t="s">
        <v>8</v>
      </c>
      <c r="E213" s="627">
        <f>VLOOKUP(A211,UHT_PJOK,40,FALSE)</f>
        <v>0</v>
      </c>
      <c r="F213" s="1905">
        <f t="shared" si="228"/>
        <v>0</v>
      </c>
      <c r="G213" s="1152"/>
      <c r="H213" s="627">
        <f>VLOOKUP(B211,REKAP_NILAI,31,FALSE)</f>
        <v>0</v>
      </c>
      <c r="I213" s="709">
        <f t="shared" si="229"/>
        <v>0</v>
      </c>
      <c r="J213" s="710">
        <f t="shared" si="230"/>
        <v>0</v>
      </c>
      <c r="K213" s="711" t="str">
        <f t="shared" si="231"/>
        <v>1.33</v>
      </c>
      <c r="L213" s="711" t="str">
        <f t="shared" si="232"/>
        <v>D+</v>
      </c>
      <c r="M213" s="712" t="str">
        <f t="shared" si="233"/>
        <v>0</v>
      </c>
      <c r="N213" s="1549"/>
      <c r="O213" s="1550"/>
      <c r="P213" s="1550"/>
      <c r="Q213" s="1550"/>
      <c r="R213" s="1550"/>
      <c r="S213" s="1551"/>
      <c r="T213" s="1469"/>
      <c r="U213" s="1469"/>
      <c r="V213" s="1469"/>
      <c r="W213" s="1470"/>
      <c r="X213" s="1531"/>
      <c r="Y213" s="1532"/>
    </row>
    <row r="214" spans="1:25" ht="23.1" customHeight="1" x14ac:dyDescent="0.25">
      <c r="A214" s="1478"/>
      <c r="B214" s="683">
        <v>35</v>
      </c>
      <c r="C214" s="1545"/>
      <c r="D214" s="1542" t="s">
        <v>18</v>
      </c>
      <c r="E214" s="627">
        <f>VLOOKUP(A211,UHT_PJOK,41,FALSE)</f>
        <v>0</v>
      </c>
      <c r="F214" s="1905">
        <f t="shared" si="228"/>
        <v>0</v>
      </c>
      <c r="G214" s="627"/>
      <c r="H214" s="627">
        <f>VLOOKUP(B211,REKAP_NILAI,29,FALSE)</f>
        <v>0</v>
      </c>
      <c r="I214" s="709">
        <f t="shared" si="229"/>
        <v>0</v>
      </c>
      <c r="J214" s="710">
        <f t="shared" si="230"/>
        <v>0</v>
      </c>
      <c r="K214" s="711" t="str">
        <f t="shared" si="231"/>
        <v>1.33</v>
      </c>
      <c r="L214" s="711" t="str">
        <f t="shared" si="232"/>
        <v>D+</v>
      </c>
      <c r="M214" s="712" t="str">
        <f t="shared" si="233"/>
        <v>0</v>
      </c>
      <c r="N214" s="1549"/>
      <c r="O214" s="1550"/>
      <c r="P214" s="1550"/>
      <c r="Q214" s="1550"/>
      <c r="R214" s="1550"/>
      <c r="S214" s="1551"/>
      <c r="T214" s="1469"/>
      <c r="U214" s="1469"/>
      <c r="V214" s="1469"/>
      <c r="W214" s="1470"/>
      <c r="X214" s="1531"/>
      <c r="Y214" s="1532"/>
    </row>
    <row r="215" spans="1:25" ht="23.1" customHeight="1" x14ac:dyDescent="0.25">
      <c r="A215" s="1478"/>
      <c r="B215" s="683">
        <v>35</v>
      </c>
      <c r="C215" s="1545"/>
      <c r="D215" s="1542" t="s">
        <v>179</v>
      </c>
      <c r="E215" s="627">
        <f>VLOOKUP(A211,UHT_PJOK,42,FALSE)</f>
        <v>0</v>
      </c>
      <c r="F215" s="1905">
        <f t="shared" si="228"/>
        <v>0</v>
      </c>
      <c r="G215" s="1152"/>
      <c r="H215" s="627">
        <f>VLOOKUP(B211,REKAP_NILAI,33,FALSE)</f>
        <v>0</v>
      </c>
      <c r="I215" s="709">
        <f t="shared" si="229"/>
        <v>0</v>
      </c>
      <c r="J215" s="710">
        <f t="shared" si="230"/>
        <v>0</v>
      </c>
      <c r="K215" s="711" t="str">
        <f t="shared" si="231"/>
        <v>1.33</v>
      </c>
      <c r="L215" s="711" t="str">
        <f t="shared" si="232"/>
        <v>D+</v>
      </c>
      <c r="M215" s="712" t="str">
        <f t="shared" si="233"/>
        <v>0</v>
      </c>
      <c r="N215" s="1549"/>
      <c r="O215" s="1550"/>
      <c r="P215" s="1550"/>
      <c r="Q215" s="1550"/>
      <c r="R215" s="1550"/>
      <c r="S215" s="1551"/>
      <c r="T215" s="1469"/>
      <c r="U215" s="1469"/>
      <c r="V215" s="1469"/>
      <c r="W215" s="1470"/>
      <c r="X215" s="1533"/>
      <c r="Y215" s="1534"/>
    </row>
    <row r="216" spans="1:25" ht="23.1" customHeight="1" x14ac:dyDescent="0.25">
      <c r="A216" s="1154"/>
      <c r="B216" s="1552"/>
      <c r="C216" s="1553" t="s">
        <v>149</v>
      </c>
      <c r="D216" s="1562">
        <v>35</v>
      </c>
      <c r="E216" s="1154"/>
      <c r="F216" s="1155"/>
      <c r="G216" s="1162"/>
      <c r="H216" s="1555">
        <f>AVERAGE(H211:H215)</f>
        <v>0</v>
      </c>
      <c r="I216" s="705"/>
      <c r="J216" s="713">
        <f>AVERAGE(J211:J215)</f>
        <v>0</v>
      </c>
      <c r="K216" s="714" t="str">
        <f t="shared" si="231"/>
        <v>1.33</v>
      </c>
      <c r="L216" s="714" t="str">
        <f t="shared" si="232"/>
        <v>D+</v>
      </c>
      <c r="M216" s="888" t="str">
        <f t="shared" si="233"/>
        <v>0</v>
      </c>
      <c r="N216" s="1154"/>
      <c r="O216" s="1155"/>
      <c r="P216" s="1155"/>
      <c r="Q216" s="1155"/>
      <c r="R216" s="1155"/>
      <c r="S216" s="1155"/>
      <c r="T216" s="1155"/>
      <c r="U216" s="1155"/>
      <c r="V216" s="1155"/>
      <c r="W216" s="1162"/>
      <c r="X216" s="1257"/>
      <c r="Y216" s="1258"/>
    </row>
    <row r="217" spans="1:25" ht="23.1" customHeight="1" thickBot="1" x14ac:dyDescent="0.3">
      <c r="A217" s="1477">
        <v>36</v>
      </c>
      <c r="B217" s="683">
        <v>36</v>
      </c>
      <c r="C217" s="1563" t="e">
        <f>VLOOKUP(A217,data_siswa,4,FALSE)</f>
        <v>#N/A</v>
      </c>
      <c r="D217" s="1542" t="s">
        <v>7</v>
      </c>
      <c r="E217" s="627">
        <f>VLOOKUP(A217,UHT_PJOK,38,FALSE)</f>
        <v>0</v>
      </c>
      <c r="F217" s="1904">
        <f>E217*2</f>
        <v>0</v>
      </c>
      <c r="G217" s="627"/>
      <c r="H217" s="627">
        <f>VLOOKUP(B217,REKAP_NILAI,29,FALSE)</f>
        <v>0</v>
      </c>
      <c r="I217" s="706">
        <f>F217+G217+H217</f>
        <v>0</v>
      </c>
      <c r="J217" s="707">
        <f>(F217+G217+H217)/4</f>
        <v>0</v>
      </c>
      <c r="K217" s="708" t="str">
        <f>IF(J217&gt;85,("4"),IF(J217&gt;80,("3.66"),IF(J217&gt;75,("3.33"),IF(J217&gt;70,("3.00"),IF(J217&gt;65,("2.66"),IF(J217&gt;60,("2.33"),IF(J217&gt;55,("2"),IF(J217&gt;50,("1.66"),"1.33"))))))))</f>
        <v>1.33</v>
      </c>
      <c r="L217" s="708" t="str">
        <f>IF(J217&gt;85,("A"),IF(J217&gt;80,("A-"),IF(J217&gt;75,("B+"),IF(J217&gt;70,("B"),IF(J217&gt;65,("B-"),IF(J217&gt;60,("C+"),IF(J217&gt;55,("C"),IF(J217&gt;50,("C-"),"D+"))))))))</f>
        <v>D+</v>
      </c>
      <c r="M217" s="887" t="str">
        <f>IF(J217&gt;80,("SB"),IF(J217&gt;65,("B"),IF(J217&gt;50,("C"),IF(J217&gt;0,("K"),"0"))))</f>
        <v>0</v>
      </c>
      <c r="N217" s="1474"/>
      <c r="O217" s="1474"/>
      <c r="P217" s="1474"/>
      <c r="Q217" s="1474"/>
      <c r="R217" s="1474"/>
      <c r="S217" s="1475"/>
      <c r="T217" s="1476"/>
      <c r="U217" s="1476"/>
      <c r="V217" s="1476"/>
      <c r="W217" s="1476"/>
      <c r="X217" s="704">
        <f>AVERAGE(J217:J221)</f>
        <v>0</v>
      </c>
      <c r="Y217" s="1481" t="str">
        <f>IF(X217&gt;85,("A"),IF(X217&gt;80,("A-"),IF(X217&gt;75,("B+"),IF(X217&gt;70,("B"),IF(X217&gt;65,("B-"),IF(X217&gt;60,("C+"),IF(X217&gt;55,("C"),IF(X217&gt;50,("C-"),"D+"))))))))</f>
        <v>D+</v>
      </c>
    </row>
    <row r="218" spans="1:25" ht="23.1" customHeight="1" x14ac:dyDescent="0.25">
      <c r="A218" s="1478"/>
      <c r="B218" s="683">
        <v>36</v>
      </c>
      <c r="C218" s="1545"/>
      <c r="D218" s="1542" t="s">
        <v>10</v>
      </c>
      <c r="E218" s="627">
        <f>VLOOKUP(A217,UHT_PJOK,39,FALSE)</f>
        <v>0</v>
      </c>
      <c r="F218" s="1905">
        <f t="shared" ref="F218:F221" si="234">E218*2</f>
        <v>0</v>
      </c>
      <c r="G218" s="1152"/>
      <c r="H218" s="627">
        <f>VLOOKUP(B217,REKAP_NILAI,30,FALSE)</f>
        <v>0</v>
      </c>
      <c r="I218" s="709">
        <f t="shared" ref="I218:I221" si="235">F218+G218+H218</f>
        <v>0</v>
      </c>
      <c r="J218" s="710">
        <f t="shared" ref="J218:J221" si="236">(F218+G218+H218)/4</f>
        <v>0</v>
      </c>
      <c r="K218" s="711" t="str">
        <f t="shared" ref="K218:K222" si="237">IF(J218&gt;85,("4"),IF(J218&gt;80,("3.66"),IF(J218&gt;75,("3.33"),IF(J218&gt;70,("3.00"),IF(J218&gt;65,("2.66"),IF(J218&gt;60,("2.33"),IF(J218&gt;55,("2"),IF(J218&gt;50,("1.66"),"1.33"))))))))</f>
        <v>1.33</v>
      </c>
      <c r="L218" s="711" t="str">
        <f t="shared" ref="L218:L222" si="238">IF(J218&gt;85,("A"),IF(J218&gt;80,("A-"),IF(J218&gt;75,("B+"),IF(J218&gt;70,("B"),IF(J218&gt;65,("B-"),IF(J218&gt;60,("C+"),IF(J218&gt;55,("C"),IF(J218&gt;50,("C-"),"D+"))))))))</f>
        <v>D+</v>
      </c>
      <c r="M218" s="712" t="str">
        <f t="shared" ref="M218:M222" si="239">IF(J218&gt;80,("SB"),IF(J218&gt;65,("B"),IF(J218&gt;50,("C"),IF(J218&gt;0,("K"),"0"))))</f>
        <v>0</v>
      </c>
      <c r="N218" s="1546"/>
      <c r="O218" s="1547"/>
      <c r="P218" s="1547"/>
      <c r="Q218" s="1547"/>
      <c r="R218" s="1547"/>
      <c r="S218" s="1548"/>
      <c r="T218" s="1465"/>
      <c r="U218" s="1465"/>
      <c r="V218" s="1465"/>
      <c r="W218" s="1466"/>
      <c r="X218" s="1529"/>
      <c r="Y218" s="1530"/>
    </row>
    <row r="219" spans="1:25" ht="23.1" customHeight="1" x14ac:dyDescent="0.25">
      <c r="A219" s="1478"/>
      <c r="B219" s="683">
        <v>36</v>
      </c>
      <c r="C219" s="1545"/>
      <c r="D219" s="1542" t="s">
        <v>8</v>
      </c>
      <c r="E219" s="627">
        <f>VLOOKUP(A217,UHT_PJOK,40,FALSE)</f>
        <v>0</v>
      </c>
      <c r="F219" s="1905">
        <f t="shared" si="234"/>
        <v>0</v>
      </c>
      <c r="G219" s="1152"/>
      <c r="H219" s="627">
        <f>VLOOKUP(B217,REKAP_NILAI,31,FALSE)</f>
        <v>0</v>
      </c>
      <c r="I219" s="709">
        <f t="shared" si="235"/>
        <v>0</v>
      </c>
      <c r="J219" s="710">
        <f t="shared" si="236"/>
        <v>0</v>
      </c>
      <c r="K219" s="711" t="str">
        <f t="shared" si="237"/>
        <v>1.33</v>
      </c>
      <c r="L219" s="711" t="str">
        <f t="shared" si="238"/>
        <v>D+</v>
      </c>
      <c r="M219" s="712" t="str">
        <f t="shared" si="239"/>
        <v>0</v>
      </c>
      <c r="N219" s="1549"/>
      <c r="O219" s="1550"/>
      <c r="P219" s="1550"/>
      <c r="Q219" s="1550"/>
      <c r="R219" s="1550"/>
      <c r="S219" s="1551"/>
      <c r="T219" s="1469"/>
      <c r="U219" s="1469"/>
      <c r="V219" s="1469"/>
      <c r="W219" s="1470"/>
      <c r="X219" s="1531"/>
      <c r="Y219" s="1532"/>
    </row>
    <row r="220" spans="1:25" ht="23.1" customHeight="1" x14ac:dyDescent="0.25">
      <c r="A220" s="1478"/>
      <c r="B220" s="683">
        <v>36</v>
      </c>
      <c r="C220" s="1545"/>
      <c r="D220" s="1542" t="s">
        <v>18</v>
      </c>
      <c r="E220" s="627">
        <f>VLOOKUP(A217,UHT_PJOK,41,FALSE)</f>
        <v>0</v>
      </c>
      <c r="F220" s="1905">
        <f t="shared" si="234"/>
        <v>0</v>
      </c>
      <c r="G220" s="627"/>
      <c r="H220" s="627">
        <f>VLOOKUP(B217,REKAP_NILAI,29,FALSE)</f>
        <v>0</v>
      </c>
      <c r="I220" s="709">
        <f t="shared" si="235"/>
        <v>0</v>
      </c>
      <c r="J220" s="710">
        <f t="shared" si="236"/>
        <v>0</v>
      </c>
      <c r="K220" s="711" t="str">
        <f t="shared" si="237"/>
        <v>1.33</v>
      </c>
      <c r="L220" s="711" t="str">
        <f t="shared" si="238"/>
        <v>D+</v>
      </c>
      <c r="M220" s="712" t="str">
        <f t="shared" si="239"/>
        <v>0</v>
      </c>
      <c r="N220" s="1549"/>
      <c r="O220" s="1550"/>
      <c r="P220" s="1550"/>
      <c r="Q220" s="1550"/>
      <c r="R220" s="1550"/>
      <c r="S220" s="1551"/>
      <c r="T220" s="1469"/>
      <c r="U220" s="1469"/>
      <c r="V220" s="1469"/>
      <c r="W220" s="1470"/>
      <c r="X220" s="1531"/>
      <c r="Y220" s="1532"/>
    </row>
    <row r="221" spans="1:25" ht="23.1" customHeight="1" x14ac:dyDescent="0.25">
      <c r="A221" s="1478"/>
      <c r="B221" s="683">
        <v>36</v>
      </c>
      <c r="C221" s="1545"/>
      <c r="D221" s="1542" t="s">
        <v>179</v>
      </c>
      <c r="E221" s="627">
        <f>VLOOKUP(A217,UHT_PJOK,42,FALSE)</f>
        <v>0</v>
      </c>
      <c r="F221" s="1905">
        <f t="shared" si="234"/>
        <v>0</v>
      </c>
      <c r="G221" s="1152"/>
      <c r="H221" s="627">
        <f>VLOOKUP(B217,REKAP_NILAI,33,FALSE)</f>
        <v>0</v>
      </c>
      <c r="I221" s="709">
        <f t="shared" si="235"/>
        <v>0</v>
      </c>
      <c r="J221" s="710">
        <f t="shared" si="236"/>
        <v>0</v>
      </c>
      <c r="K221" s="711" t="str">
        <f t="shared" si="237"/>
        <v>1.33</v>
      </c>
      <c r="L221" s="711" t="str">
        <f t="shared" si="238"/>
        <v>D+</v>
      </c>
      <c r="M221" s="712" t="str">
        <f t="shared" si="239"/>
        <v>0</v>
      </c>
      <c r="N221" s="1549"/>
      <c r="O221" s="1550"/>
      <c r="P221" s="1550"/>
      <c r="Q221" s="1550"/>
      <c r="R221" s="1550"/>
      <c r="S221" s="1551"/>
      <c r="T221" s="1469"/>
      <c r="U221" s="1469"/>
      <c r="V221" s="1469"/>
      <c r="W221" s="1470"/>
      <c r="X221" s="1533"/>
      <c r="Y221" s="1534"/>
    </row>
    <row r="222" spans="1:25" ht="23.1" customHeight="1" x14ac:dyDescent="0.25">
      <c r="A222" s="1154"/>
      <c r="B222" s="1552"/>
      <c r="C222" s="1553" t="s">
        <v>149</v>
      </c>
      <c r="D222" s="1562">
        <v>36</v>
      </c>
      <c r="E222" s="1154"/>
      <c r="F222" s="1155"/>
      <c r="G222" s="1162"/>
      <c r="H222" s="1555">
        <f>AVERAGE(H217:H221)</f>
        <v>0</v>
      </c>
      <c r="I222" s="705"/>
      <c r="J222" s="713">
        <f>AVERAGE(J217:J221)</f>
        <v>0</v>
      </c>
      <c r="K222" s="714" t="str">
        <f t="shared" si="237"/>
        <v>1.33</v>
      </c>
      <c r="L222" s="714" t="str">
        <f t="shared" si="238"/>
        <v>D+</v>
      </c>
      <c r="M222" s="888" t="str">
        <f t="shared" si="239"/>
        <v>0</v>
      </c>
      <c r="N222" s="1154"/>
      <c r="O222" s="1155"/>
      <c r="P222" s="1155"/>
      <c r="Q222" s="1155"/>
      <c r="R222" s="1155"/>
      <c r="S222" s="1155"/>
      <c r="T222" s="1155"/>
      <c r="U222" s="1155"/>
      <c r="V222" s="1155"/>
      <c r="W222" s="1162"/>
      <c r="X222" s="1257"/>
      <c r="Y222" s="1258"/>
    </row>
    <row r="223" spans="1:25" ht="23.1" customHeight="1" thickBot="1" x14ac:dyDescent="0.3">
      <c r="A223" s="1477">
        <v>37</v>
      </c>
      <c r="B223" s="683">
        <v>37</v>
      </c>
      <c r="C223" s="1563" t="e">
        <f>VLOOKUP(A223,data_siswa,4,FALSE)</f>
        <v>#N/A</v>
      </c>
      <c r="D223" s="1542" t="s">
        <v>7</v>
      </c>
      <c r="E223" s="627">
        <f>VLOOKUP(A223,UHT_PJOK,38,FALSE)</f>
        <v>0</v>
      </c>
      <c r="F223" s="1904">
        <f>E223*2</f>
        <v>0</v>
      </c>
      <c r="G223" s="627"/>
      <c r="H223" s="627">
        <f>VLOOKUP(B223,REKAP_NILAI,29,FALSE)</f>
        <v>0</v>
      </c>
      <c r="I223" s="706">
        <f>F223+G223+H223</f>
        <v>0</v>
      </c>
      <c r="J223" s="707">
        <f>(F223+G223+H223)/4</f>
        <v>0</v>
      </c>
      <c r="K223" s="708" t="str">
        <f>IF(J223&gt;85,("4"),IF(J223&gt;80,("3.66"),IF(J223&gt;75,("3.33"),IF(J223&gt;70,("3.00"),IF(J223&gt;65,("2.66"),IF(J223&gt;60,("2.33"),IF(J223&gt;55,("2"),IF(J223&gt;50,("1.66"),"1.33"))))))))</f>
        <v>1.33</v>
      </c>
      <c r="L223" s="708" t="str">
        <f>IF(J223&gt;85,("A"),IF(J223&gt;80,("A-"),IF(J223&gt;75,("B+"),IF(J223&gt;70,("B"),IF(J223&gt;65,("B-"),IF(J223&gt;60,("C+"),IF(J223&gt;55,("C"),IF(J223&gt;50,("C-"),"D+"))))))))</f>
        <v>D+</v>
      </c>
      <c r="M223" s="887" t="str">
        <f>IF(J223&gt;80,("SB"),IF(J223&gt;65,("B"),IF(J223&gt;50,("C"),IF(J223&gt;0,("K"),"0"))))</f>
        <v>0</v>
      </c>
      <c r="N223" s="1474"/>
      <c r="O223" s="1474"/>
      <c r="P223" s="1474"/>
      <c r="Q223" s="1474"/>
      <c r="R223" s="1474"/>
      <c r="S223" s="1475"/>
      <c r="T223" s="1476"/>
      <c r="U223" s="1476"/>
      <c r="V223" s="1476"/>
      <c r="W223" s="1476"/>
      <c r="X223" s="704">
        <f>AVERAGE(J223:J227)</f>
        <v>0</v>
      </c>
      <c r="Y223" s="1481" t="str">
        <f>IF(X223&gt;85,("A"),IF(X223&gt;80,("A-"),IF(X223&gt;75,("B+"),IF(X223&gt;70,("B"),IF(X223&gt;65,("B-"),IF(X223&gt;60,("C+"),IF(X223&gt;55,("C"),IF(X223&gt;50,("C-"),"D+"))))))))</f>
        <v>D+</v>
      </c>
    </row>
    <row r="224" spans="1:25" ht="23.1" customHeight="1" x14ac:dyDescent="0.25">
      <c r="A224" s="1478"/>
      <c r="B224" s="683">
        <v>37</v>
      </c>
      <c r="C224" s="1545"/>
      <c r="D224" s="1542" t="s">
        <v>10</v>
      </c>
      <c r="E224" s="627">
        <f>VLOOKUP(A223,UHT_PJOK,39,FALSE)</f>
        <v>0</v>
      </c>
      <c r="F224" s="1905">
        <f t="shared" ref="F224:F227" si="240">E224*2</f>
        <v>0</v>
      </c>
      <c r="G224" s="1152"/>
      <c r="H224" s="627">
        <f>VLOOKUP(B223,REKAP_NILAI,30,FALSE)</f>
        <v>0</v>
      </c>
      <c r="I224" s="709">
        <f t="shared" ref="I224:I227" si="241">F224+G224+H224</f>
        <v>0</v>
      </c>
      <c r="J224" s="710">
        <f t="shared" ref="J224:J227" si="242">(F224+G224+H224)/4</f>
        <v>0</v>
      </c>
      <c r="K224" s="711" t="str">
        <f t="shared" ref="K224:K228" si="243">IF(J224&gt;85,("4"),IF(J224&gt;80,("3.66"),IF(J224&gt;75,("3.33"),IF(J224&gt;70,("3.00"),IF(J224&gt;65,("2.66"),IF(J224&gt;60,("2.33"),IF(J224&gt;55,("2"),IF(J224&gt;50,("1.66"),"1.33"))))))))</f>
        <v>1.33</v>
      </c>
      <c r="L224" s="711" t="str">
        <f t="shared" ref="L224:L228" si="244">IF(J224&gt;85,("A"),IF(J224&gt;80,("A-"),IF(J224&gt;75,("B+"),IF(J224&gt;70,("B"),IF(J224&gt;65,("B-"),IF(J224&gt;60,("C+"),IF(J224&gt;55,("C"),IF(J224&gt;50,("C-"),"D+"))))))))</f>
        <v>D+</v>
      </c>
      <c r="M224" s="712" t="str">
        <f t="shared" ref="M224:M228" si="245">IF(J224&gt;80,("SB"),IF(J224&gt;65,("B"),IF(J224&gt;50,("C"),IF(J224&gt;0,("K"),"0"))))</f>
        <v>0</v>
      </c>
      <c r="N224" s="1546"/>
      <c r="O224" s="1547"/>
      <c r="P224" s="1547"/>
      <c r="Q224" s="1547"/>
      <c r="R224" s="1547"/>
      <c r="S224" s="1548"/>
      <c r="T224" s="1465"/>
      <c r="U224" s="1465"/>
      <c r="V224" s="1465"/>
      <c r="W224" s="1466"/>
      <c r="X224" s="1529"/>
      <c r="Y224" s="1530"/>
    </row>
    <row r="225" spans="1:25" ht="23.1" customHeight="1" x14ac:dyDescent="0.25">
      <c r="A225" s="1478"/>
      <c r="B225" s="683">
        <v>37</v>
      </c>
      <c r="C225" s="1545"/>
      <c r="D225" s="1542" t="s">
        <v>8</v>
      </c>
      <c r="E225" s="627">
        <f>VLOOKUP(A223,UHT_PJOK,40,FALSE)</f>
        <v>0</v>
      </c>
      <c r="F225" s="1905">
        <f t="shared" si="240"/>
        <v>0</v>
      </c>
      <c r="G225" s="1152"/>
      <c r="H225" s="627">
        <f>VLOOKUP(B223,REKAP_NILAI,31,FALSE)</f>
        <v>0</v>
      </c>
      <c r="I225" s="709">
        <f t="shared" si="241"/>
        <v>0</v>
      </c>
      <c r="J225" s="710">
        <f t="shared" si="242"/>
        <v>0</v>
      </c>
      <c r="K225" s="711" t="str">
        <f t="shared" si="243"/>
        <v>1.33</v>
      </c>
      <c r="L225" s="711" t="str">
        <f t="shared" si="244"/>
        <v>D+</v>
      </c>
      <c r="M225" s="712" t="str">
        <f t="shared" si="245"/>
        <v>0</v>
      </c>
      <c r="N225" s="1549"/>
      <c r="O225" s="1550"/>
      <c r="P225" s="1550"/>
      <c r="Q225" s="1550"/>
      <c r="R225" s="1550"/>
      <c r="S225" s="1551"/>
      <c r="T225" s="1469"/>
      <c r="U225" s="1469"/>
      <c r="V225" s="1469"/>
      <c r="W225" s="1470"/>
      <c r="X225" s="1531"/>
      <c r="Y225" s="1532"/>
    </row>
    <row r="226" spans="1:25" ht="23.1" customHeight="1" x14ac:dyDescent="0.25">
      <c r="A226" s="1478"/>
      <c r="B226" s="683">
        <v>37</v>
      </c>
      <c r="C226" s="1545"/>
      <c r="D226" s="1542" t="s">
        <v>18</v>
      </c>
      <c r="E226" s="627">
        <f>VLOOKUP(A223,UHT_PJOK,41,FALSE)</f>
        <v>0</v>
      </c>
      <c r="F226" s="1905">
        <f t="shared" si="240"/>
        <v>0</v>
      </c>
      <c r="G226" s="627"/>
      <c r="H226" s="627">
        <f>VLOOKUP(B223,REKAP_NILAI,29,FALSE)</f>
        <v>0</v>
      </c>
      <c r="I226" s="709">
        <f t="shared" si="241"/>
        <v>0</v>
      </c>
      <c r="J226" s="710">
        <f t="shared" si="242"/>
        <v>0</v>
      </c>
      <c r="K226" s="711" t="str">
        <f t="shared" si="243"/>
        <v>1.33</v>
      </c>
      <c r="L226" s="711" t="str">
        <f t="shared" si="244"/>
        <v>D+</v>
      </c>
      <c r="M226" s="712" t="str">
        <f t="shared" si="245"/>
        <v>0</v>
      </c>
      <c r="N226" s="1549"/>
      <c r="O226" s="1550"/>
      <c r="P226" s="1550"/>
      <c r="Q226" s="1550"/>
      <c r="R226" s="1550"/>
      <c r="S226" s="1551"/>
      <c r="T226" s="1469"/>
      <c r="U226" s="1469"/>
      <c r="V226" s="1469"/>
      <c r="W226" s="1470"/>
      <c r="X226" s="1531"/>
      <c r="Y226" s="1532"/>
    </row>
    <row r="227" spans="1:25" ht="23.1" customHeight="1" x14ac:dyDescent="0.25">
      <c r="A227" s="1478"/>
      <c r="B227" s="683">
        <v>37</v>
      </c>
      <c r="C227" s="1545"/>
      <c r="D227" s="1542" t="s">
        <v>179</v>
      </c>
      <c r="E227" s="627">
        <f>VLOOKUP(A223,UHT_PJOK,42,FALSE)</f>
        <v>0</v>
      </c>
      <c r="F227" s="1905">
        <f t="shared" si="240"/>
        <v>0</v>
      </c>
      <c r="G227" s="1152"/>
      <c r="H227" s="627">
        <f>VLOOKUP(B223,REKAP_NILAI,33,FALSE)</f>
        <v>0</v>
      </c>
      <c r="I227" s="709">
        <f t="shared" si="241"/>
        <v>0</v>
      </c>
      <c r="J227" s="710">
        <f t="shared" si="242"/>
        <v>0</v>
      </c>
      <c r="K227" s="711" t="str">
        <f t="shared" si="243"/>
        <v>1.33</v>
      </c>
      <c r="L227" s="711" t="str">
        <f t="shared" si="244"/>
        <v>D+</v>
      </c>
      <c r="M227" s="712" t="str">
        <f t="shared" si="245"/>
        <v>0</v>
      </c>
      <c r="N227" s="1549"/>
      <c r="O227" s="1550"/>
      <c r="P227" s="1550"/>
      <c r="Q227" s="1550"/>
      <c r="R227" s="1550"/>
      <c r="S227" s="1551"/>
      <c r="T227" s="1469"/>
      <c r="U227" s="1469"/>
      <c r="V227" s="1469"/>
      <c r="W227" s="1470"/>
      <c r="X227" s="1533"/>
      <c r="Y227" s="1534"/>
    </row>
    <row r="228" spans="1:25" ht="23.1" customHeight="1" x14ac:dyDescent="0.25">
      <c r="A228" s="1154"/>
      <c r="B228" s="1552"/>
      <c r="C228" s="1553" t="s">
        <v>149</v>
      </c>
      <c r="D228" s="1562">
        <v>37</v>
      </c>
      <c r="E228" s="1154"/>
      <c r="F228" s="1155"/>
      <c r="G228" s="1162"/>
      <c r="H228" s="1555">
        <f>AVERAGE(H223:H227)</f>
        <v>0</v>
      </c>
      <c r="I228" s="705"/>
      <c r="J228" s="713">
        <f>AVERAGE(J223:J227)</f>
        <v>0</v>
      </c>
      <c r="K228" s="714" t="str">
        <f t="shared" si="243"/>
        <v>1.33</v>
      </c>
      <c r="L228" s="714" t="str">
        <f t="shared" si="244"/>
        <v>D+</v>
      </c>
      <c r="M228" s="888" t="str">
        <f t="shared" si="245"/>
        <v>0</v>
      </c>
      <c r="N228" s="1154"/>
      <c r="O228" s="1155"/>
      <c r="P228" s="1155"/>
      <c r="Q228" s="1155"/>
      <c r="R228" s="1155"/>
      <c r="S228" s="1155"/>
      <c r="T228" s="1155"/>
      <c r="U228" s="1155"/>
      <c r="V228" s="1155"/>
      <c r="W228" s="1162"/>
      <c r="X228" s="1257"/>
      <c r="Y228" s="1258"/>
    </row>
    <row r="229" spans="1:25" ht="23.1" customHeight="1" thickBot="1" x14ac:dyDescent="0.3">
      <c r="A229" s="1477">
        <v>38</v>
      </c>
      <c r="B229" s="683">
        <v>38</v>
      </c>
      <c r="C229" s="1563" t="e">
        <f>VLOOKUP(A229,data_siswa,4,FALSE)</f>
        <v>#N/A</v>
      </c>
      <c r="D229" s="1542" t="s">
        <v>7</v>
      </c>
      <c r="E229" s="627">
        <f>VLOOKUP(A229,UHT_PJOK,38,FALSE)</f>
        <v>0</v>
      </c>
      <c r="F229" s="1904">
        <f>E229*2</f>
        <v>0</v>
      </c>
      <c r="G229" s="627"/>
      <c r="H229" s="627">
        <f>VLOOKUP(B229,REKAP_NILAI,29,FALSE)</f>
        <v>0</v>
      </c>
      <c r="I229" s="706">
        <f>F229+G229+H229</f>
        <v>0</v>
      </c>
      <c r="J229" s="707">
        <f>(F229+G229+H229)/4</f>
        <v>0</v>
      </c>
      <c r="K229" s="708" t="str">
        <f>IF(J229&gt;85,("4"),IF(J229&gt;80,("3.66"),IF(J229&gt;75,("3.33"),IF(J229&gt;70,("3.00"),IF(J229&gt;65,("2.66"),IF(J229&gt;60,("2.33"),IF(J229&gt;55,("2"),IF(J229&gt;50,("1.66"),"1.33"))))))))</f>
        <v>1.33</v>
      </c>
      <c r="L229" s="708" t="str">
        <f>IF(J229&gt;85,("A"),IF(J229&gt;80,("A-"),IF(J229&gt;75,("B+"),IF(J229&gt;70,("B"),IF(J229&gt;65,("B-"),IF(J229&gt;60,("C+"),IF(J229&gt;55,("C"),IF(J229&gt;50,("C-"),"D+"))))))))</f>
        <v>D+</v>
      </c>
      <c r="M229" s="887" t="str">
        <f>IF(J229&gt;80,("SB"),IF(J229&gt;65,("B"),IF(J229&gt;50,("C"),IF(J229&gt;0,("K"),"0"))))</f>
        <v>0</v>
      </c>
      <c r="N229" s="1474"/>
      <c r="O229" s="1474"/>
      <c r="P229" s="1474"/>
      <c r="Q229" s="1474"/>
      <c r="R229" s="1474"/>
      <c r="S229" s="1475"/>
      <c r="T229" s="1476"/>
      <c r="U229" s="1476"/>
      <c r="V229" s="1476"/>
      <c r="W229" s="1476"/>
      <c r="X229" s="704">
        <f>AVERAGE(J229:J233)</f>
        <v>0</v>
      </c>
      <c r="Y229" s="1481" t="str">
        <f>IF(X229&gt;85,("A"),IF(X229&gt;80,("A-"),IF(X229&gt;75,("B+"),IF(X229&gt;70,("B"),IF(X229&gt;65,("B-"),IF(X229&gt;60,("C+"),IF(X229&gt;55,("C"),IF(X229&gt;50,("C-"),"D+"))))))))</f>
        <v>D+</v>
      </c>
    </row>
    <row r="230" spans="1:25" ht="23.1" customHeight="1" x14ac:dyDescent="0.25">
      <c r="A230" s="1478"/>
      <c r="B230" s="683">
        <v>38</v>
      </c>
      <c r="C230" s="1545"/>
      <c r="D230" s="1542" t="s">
        <v>10</v>
      </c>
      <c r="E230" s="627">
        <f>VLOOKUP(A229,UHT_PJOK,39,FALSE)</f>
        <v>0</v>
      </c>
      <c r="F230" s="1905">
        <f t="shared" ref="F230:F233" si="246">E230*2</f>
        <v>0</v>
      </c>
      <c r="G230" s="1152"/>
      <c r="H230" s="627">
        <f>VLOOKUP(B229,REKAP_NILAI,30,FALSE)</f>
        <v>0</v>
      </c>
      <c r="I230" s="709">
        <f t="shared" ref="I230:I233" si="247">F230+G230+H230</f>
        <v>0</v>
      </c>
      <c r="J230" s="710">
        <f t="shared" ref="J230:J233" si="248">(F230+G230+H230)/4</f>
        <v>0</v>
      </c>
      <c r="K230" s="711" t="str">
        <f t="shared" ref="K230:K234" si="249">IF(J230&gt;85,("4"),IF(J230&gt;80,("3.66"),IF(J230&gt;75,("3.33"),IF(J230&gt;70,("3.00"),IF(J230&gt;65,("2.66"),IF(J230&gt;60,("2.33"),IF(J230&gt;55,("2"),IF(J230&gt;50,("1.66"),"1.33"))))))))</f>
        <v>1.33</v>
      </c>
      <c r="L230" s="711" t="str">
        <f t="shared" ref="L230:L234" si="250">IF(J230&gt;85,("A"),IF(J230&gt;80,("A-"),IF(J230&gt;75,("B+"),IF(J230&gt;70,("B"),IF(J230&gt;65,("B-"),IF(J230&gt;60,("C+"),IF(J230&gt;55,("C"),IF(J230&gt;50,("C-"),"D+"))))))))</f>
        <v>D+</v>
      </c>
      <c r="M230" s="712" t="str">
        <f t="shared" ref="M230:M234" si="251">IF(J230&gt;80,("SB"),IF(J230&gt;65,("B"),IF(J230&gt;50,("C"),IF(J230&gt;0,("K"),"0"))))</f>
        <v>0</v>
      </c>
      <c r="N230" s="1546"/>
      <c r="O230" s="1547"/>
      <c r="P230" s="1547"/>
      <c r="Q230" s="1547"/>
      <c r="R230" s="1547"/>
      <c r="S230" s="1548"/>
      <c r="T230" s="1465"/>
      <c r="U230" s="1465"/>
      <c r="V230" s="1465"/>
      <c r="W230" s="1466"/>
      <c r="X230" s="1529"/>
      <c r="Y230" s="1530"/>
    </row>
    <row r="231" spans="1:25" ht="23.1" customHeight="1" x14ac:dyDescent="0.25">
      <c r="A231" s="1478"/>
      <c r="B231" s="683">
        <v>38</v>
      </c>
      <c r="C231" s="1545"/>
      <c r="D231" s="1542" t="s">
        <v>8</v>
      </c>
      <c r="E231" s="627">
        <f>VLOOKUP(A229,UHT_PJOK,40,FALSE)</f>
        <v>0</v>
      </c>
      <c r="F231" s="1905">
        <f t="shared" si="246"/>
        <v>0</v>
      </c>
      <c r="G231" s="1152"/>
      <c r="H231" s="627">
        <f>VLOOKUP(B229,REKAP_NILAI,31,FALSE)</f>
        <v>0</v>
      </c>
      <c r="I231" s="709">
        <f t="shared" si="247"/>
        <v>0</v>
      </c>
      <c r="J231" s="710">
        <f t="shared" si="248"/>
        <v>0</v>
      </c>
      <c r="K231" s="711" t="str">
        <f t="shared" si="249"/>
        <v>1.33</v>
      </c>
      <c r="L231" s="711" t="str">
        <f t="shared" si="250"/>
        <v>D+</v>
      </c>
      <c r="M231" s="712" t="str">
        <f t="shared" si="251"/>
        <v>0</v>
      </c>
      <c r="N231" s="1549"/>
      <c r="O231" s="1550"/>
      <c r="P231" s="1550"/>
      <c r="Q231" s="1550"/>
      <c r="R231" s="1550"/>
      <c r="S231" s="1551"/>
      <c r="T231" s="1469"/>
      <c r="U231" s="1469"/>
      <c r="V231" s="1469"/>
      <c r="W231" s="1470"/>
      <c r="X231" s="1531"/>
      <c r="Y231" s="1532"/>
    </row>
    <row r="232" spans="1:25" ht="23.1" customHeight="1" x14ac:dyDescent="0.25">
      <c r="A232" s="1478"/>
      <c r="B232" s="683">
        <v>38</v>
      </c>
      <c r="C232" s="1545"/>
      <c r="D232" s="1542" t="s">
        <v>18</v>
      </c>
      <c r="E232" s="627">
        <f>VLOOKUP(A229,UHT_PJOK,41,FALSE)</f>
        <v>0</v>
      </c>
      <c r="F232" s="1905">
        <f t="shared" si="246"/>
        <v>0</v>
      </c>
      <c r="G232" s="627"/>
      <c r="H232" s="627">
        <f>VLOOKUP(B229,REKAP_NILAI,29,FALSE)</f>
        <v>0</v>
      </c>
      <c r="I232" s="709">
        <f t="shared" si="247"/>
        <v>0</v>
      </c>
      <c r="J232" s="710">
        <f t="shared" si="248"/>
        <v>0</v>
      </c>
      <c r="K232" s="711" t="str">
        <f t="shared" si="249"/>
        <v>1.33</v>
      </c>
      <c r="L232" s="711" t="str">
        <f t="shared" si="250"/>
        <v>D+</v>
      </c>
      <c r="M232" s="712" t="str">
        <f t="shared" si="251"/>
        <v>0</v>
      </c>
      <c r="N232" s="1549"/>
      <c r="O232" s="1550"/>
      <c r="P232" s="1550"/>
      <c r="Q232" s="1550"/>
      <c r="R232" s="1550"/>
      <c r="S232" s="1551"/>
      <c r="T232" s="1469"/>
      <c r="U232" s="1469"/>
      <c r="V232" s="1469"/>
      <c r="W232" s="1470"/>
      <c r="X232" s="1531"/>
      <c r="Y232" s="1532"/>
    </row>
    <row r="233" spans="1:25" ht="23.1" customHeight="1" x14ac:dyDescent="0.25">
      <c r="A233" s="1478"/>
      <c r="B233" s="683">
        <v>38</v>
      </c>
      <c r="C233" s="1545"/>
      <c r="D233" s="1542" t="s">
        <v>179</v>
      </c>
      <c r="E233" s="627">
        <f>VLOOKUP(A229,UHT_PJOK,42,FALSE)</f>
        <v>0</v>
      </c>
      <c r="F233" s="1905">
        <f t="shared" si="246"/>
        <v>0</v>
      </c>
      <c r="G233" s="1152"/>
      <c r="H233" s="627">
        <f>VLOOKUP(B229,REKAP_NILAI,33,FALSE)</f>
        <v>0</v>
      </c>
      <c r="I233" s="709">
        <f t="shared" si="247"/>
        <v>0</v>
      </c>
      <c r="J233" s="710">
        <f t="shared" si="248"/>
        <v>0</v>
      </c>
      <c r="K233" s="711" t="str">
        <f t="shared" si="249"/>
        <v>1.33</v>
      </c>
      <c r="L233" s="711" t="str">
        <f t="shared" si="250"/>
        <v>D+</v>
      </c>
      <c r="M233" s="712" t="str">
        <f t="shared" si="251"/>
        <v>0</v>
      </c>
      <c r="N233" s="1549"/>
      <c r="O233" s="1550"/>
      <c r="P233" s="1550"/>
      <c r="Q233" s="1550"/>
      <c r="R233" s="1550"/>
      <c r="S233" s="1551"/>
      <c r="T233" s="1469"/>
      <c r="U233" s="1469"/>
      <c r="V233" s="1469"/>
      <c r="W233" s="1470"/>
      <c r="X233" s="1533"/>
      <c r="Y233" s="1534"/>
    </row>
    <row r="234" spans="1:25" ht="23.1" customHeight="1" x14ac:dyDescent="0.25">
      <c r="A234" s="1154"/>
      <c r="B234" s="1552"/>
      <c r="C234" s="1553" t="s">
        <v>149</v>
      </c>
      <c r="D234" s="1562">
        <v>38</v>
      </c>
      <c r="E234" s="697"/>
      <c r="F234" s="1906"/>
      <c r="G234" s="697"/>
      <c r="H234" s="1189">
        <f>AVERAGE(H229:H233)</f>
        <v>0</v>
      </c>
      <c r="I234" s="705"/>
      <c r="J234" s="713">
        <f>AVERAGE(J229:J233)</f>
        <v>0</v>
      </c>
      <c r="K234" s="714" t="str">
        <f t="shared" si="249"/>
        <v>1.33</v>
      </c>
      <c r="L234" s="714" t="str">
        <f t="shared" si="250"/>
        <v>D+</v>
      </c>
      <c r="M234" s="888" t="str">
        <f t="shared" si="251"/>
        <v>0</v>
      </c>
      <c r="N234" s="1154"/>
      <c r="O234" s="1155"/>
      <c r="P234" s="1155"/>
      <c r="Q234" s="1155"/>
      <c r="R234" s="1155"/>
      <c r="S234" s="1155"/>
      <c r="T234" s="1155"/>
      <c r="U234" s="1155"/>
      <c r="V234" s="1155"/>
      <c r="W234" s="1162"/>
      <c r="X234" s="1257"/>
      <c r="Y234" s="1258"/>
    </row>
    <row r="235" spans="1:25" ht="23.1" customHeight="1" thickBot="1" x14ac:dyDescent="0.3">
      <c r="A235" s="1477">
        <v>39</v>
      </c>
      <c r="B235" s="683">
        <v>39</v>
      </c>
      <c r="C235" s="1563" t="e">
        <f>VLOOKUP(A235,data_siswa,4,FALSE)</f>
        <v>#N/A</v>
      </c>
      <c r="D235" s="1542" t="s">
        <v>7</v>
      </c>
      <c r="E235" s="627">
        <f>VLOOKUP(A235,UHT_PJOK,38,FALSE)</f>
        <v>0</v>
      </c>
      <c r="F235" s="1904">
        <f>E235*2</f>
        <v>0</v>
      </c>
      <c r="G235" s="627"/>
      <c r="H235" s="627">
        <f>VLOOKUP(B235,REKAP_NILAI,29,FALSE)</f>
        <v>0</v>
      </c>
      <c r="I235" s="706">
        <f>F235+G235+H235</f>
        <v>0</v>
      </c>
      <c r="J235" s="707">
        <f>(F235+G235+H235)/4</f>
        <v>0</v>
      </c>
      <c r="K235" s="708" t="str">
        <f>IF(J235&gt;85,("4"),IF(J235&gt;80,("3.66"),IF(J235&gt;75,("3.33"),IF(J235&gt;70,("3.00"),IF(J235&gt;65,("2.66"),IF(J235&gt;60,("2.33"),IF(J235&gt;55,("2"),IF(J235&gt;50,("1.66"),"1.33"))))))))</f>
        <v>1.33</v>
      </c>
      <c r="L235" s="708" t="str">
        <f>IF(J235&gt;85,("A"),IF(J235&gt;80,("A-"),IF(J235&gt;75,("B+"),IF(J235&gt;70,("B"),IF(J235&gt;65,("B-"),IF(J235&gt;60,("C+"),IF(J235&gt;55,("C"),IF(J235&gt;50,("C-"),"D+"))))))))</f>
        <v>D+</v>
      </c>
      <c r="M235" s="887" t="str">
        <f>IF(J235&gt;80,("SB"),IF(J235&gt;65,("B"),IF(J235&gt;50,("C"),IF(J235&gt;0,("K"),"0"))))</f>
        <v>0</v>
      </c>
      <c r="N235" s="1474"/>
      <c r="O235" s="1474"/>
      <c r="P235" s="1474"/>
      <c r="Q235" s="1474"/>
      <c r="R235" s="1474"/>
      <c r="S235" s="1475"/>
      <c r="T235" s="1476"/>
      <c r="U235" s="1476"/>
      <c r="V235" s="1476"/>
      <c r="W235" s="1476"/>
      <c r="X235" s="704">
        <f>AVERAGE(J235:J239)</f>
        <v>0</v>
      </c>
      <c r="Y235" s="1481" t="str">
        <f>IF(X235&gt;85,("A"),IF(X235&gt;80,("A-"),IF(X235&gt;75,("B+"),IF(X235&gt;70,("B"),IF(X235&gt;65,("B-"),IF(X235&gt;60,("C+"),IF(X235&gt;55,("C"),IF(X235&gt;50,("C-"),"D+"))))))))</f>
        <v>D+</v>
      </c>
    </row>
    <row r="236" spans="1:25" ht="23.1" customHeight="1" x14ac:dyDescent="0.25">
      <c r="A236" s="1478"/>
      <c r="B236" s="683">
        <v>39</v>
      </c>
      <c r="C236" s="1545"/>
      <c r="D236" s="1542" t="s">
        <v>10</v>
      </c>
      <c r="E236" s="627">
        <f>VLOOKUP(A235,UHT_PJOK,39,FALSE)</f>
        <v>0</v>
      </c>
      <c r="F236" s="1905">
        <f t="shared" ref="F236:F239" si="252">E236*2</f>
        <v>0</v>
      </c>
      <c r="G236" s="1152"/>
      <c r="H236" s="627">
        <f>VLOOKUP(B235,REKAP_NILAI,30,FALSE)</f>
        <v>0</v>
      </c>
      <c r="I236" s="709">
        <f t="shared" ref="I236:I239" si="253">F236+G236+H236</f>
        <v>0</v>
      </c>
      <c r="J236" s="710">
        <f t="shared" ref="J236:J239" si="254">(F236+G236+H236)/4</f>
        <v>0</v>
      </c>
      <c r="K236" s="711" t="str">
        <f t="shared" ref="K236:K240" si="255">IF(J236&gt;85,("4"),IF(J236&gt;80,("3.66"),IF(J236&gt;75,("3.33"),IF(J236&gt;70,("3.00"),IF(J236&gt;65,("2.66"),IF(J236&gt;60,("2.33"),IF(J236&gt;55,("2"),IF(J236&gt;50,("1.66"),"1.33"))))))))</f>
        <v>1.33</v>
      </c>
      <c r="L236" s="711" t="str">
        <f t="shared" ref="L236:L240" si="256">IF(J236&gt;85,("A"),IF(J236&gt;80,("A-"),IF(J236&gt;75,("B+"),IF(J236&gt;70,("B"),IF(J236&gt;65,("B-"),IF(J236&gt;60,("C+"),IF(J236&gt;55,("C"),IF(J236&gt;50,("C-"),"D+"))))))))</f>
        <v>D+</v>
      </c>
      <c r="M236" s="712" t="str">
        <f t="shared" ref="M236:M240" si="257">IF(J236&gt;80,("SB"),IF(J236&gt;65,("B"),IF(J236&gt;50,("C"),IF(J236&gt;0,("K"),"0"))))</f>
        <v>0</v>
      </c>
      <c r="N236" s="1546"/>
      <c r="O236" s="1547"/>
      <c r="P236" s="1547"/>
      <c r="Q236" s="1547"/>
      <c r="R236" s="1547"/>
      <c r="S236" s="1548"/>
      <c r="T236" s="1465"/>
      <c r="U236" s="1465"/>
      <c r="V236" s="1465"/>
      <c r="W236" s="1466"/>
      <c r="X236" s="1529"/>
      <c r="Y236" s="1530"/>
    </row>
    <row r="237" spans="1:25" ht="23.1" customHeight="1" x14ac:dyDescent="0.25">
      <c r="A237" s="1478"/>
      <c r="B237" s="683">
        <v>39</v>
      </c>
      <c r="C237" s="1545"/>
      <c r="D237" s="1542" t="s">
        <v>8</v>
      </c>
      <c r="E237" s="627">
        <f>VLOOKUP(A235,UHT_PJOK,40,FALSE)</f>
        <v>0</v>
      </c>
      <c r="F237" s="1905">
        <f t="shared" si="252"/>
        <v>0</v>
      </c>
      <c r="G237" s="1152"/>
      <c r="H237" s="627">
        <f>VLOOKUP(B235,REKAP_NILAI,31,FALSE)</f>
        <v>0</v>
      </c>
      <c r="I237" s="709">
        <f t="shared" si="253"/>
        <v>0</v>
      </c>
      <c r="J237" s="710">
        <f t="shared" si="254"/>
        <v>0</v>
      </c>
      <c r="K237" s="711" t="str">
        <f t="shared" si="255"/>
        <v>1.33</v>
      </c>
      <c r="L237" s="711" t="str">
        <f t="shared" si="256"/>
        <v>D+</v>
      </c>
      <c r="M237" s="712" t="str">
        <f t="shared" si="257"/>
        <v>0</v>
      </c>
      <c r="N237" s="1549"/>
      <c r="O237" s="1550"/>
      <c r="P237" s="1550"/>
      <c r="Q237" s="1550"/>
      <c r="R237" s="1550"/>
      <c r="S237" s="1551"/>
      <c r="T237" s="1469"/>
      <c r="U237" s="1469"/>
      <c r="V237" s="1469"/>
      <c r="W237" s="1470"/>
      <c r="X237" s="1531"/>
      <c r="Y237" s="1532"/>
    </row>
    <row r="238" spans="1:25" ht="23.1" customHeight="1" x14ac:dyDescent="0.25">
      <c r="A238" s="1478"/>
      <c r="B238" s="683">
        <v>39</v>
      </c>
      <c r="C238" s="1545"/>
      <c r="D238" s="1542" t="s">
        <v>18</v>
      </c>
      <c r="E238" s="627">
        <f>VLOOKUP(A235,UHT_PJOK,41,FALSE)</f>
        <v>0</v>
      </c>
      <c r="F238" s="1905">
        <f t="shared" si="252"/>
        <v>0</v>
      </c>
      <c r="G238" s="627"/>
      <c r="H238" s="627">
        <f>VLOOKUP(B235,REKAP_NILAI,29,FALSE)</f>
        <v>0</v>
      </c>
      <c r="I238" s="709">
        <f t="shared" si="253"/>
        <v>0</v>
      </c>
      <c r="J238" s="710">
        <f t="shared" si="254"/>
        <v>0</v>
      </c>
      <c r="K238" s="711" t="str">
        <f t="shared" si="255"/>
        <v>1.33</v>
      </c>
      <c r="L238" s="711" t="str">
        <f t="shared" si="256"/>
        <v>D+</v>
      </c>
      <c r="M238" s="712" t="str">
        <f t="shared" si="257"/>
        <v>0</v>
      </c>
      <c r="N238" s="1549"/>
      <c r="O238" s="1550"/>
      <c r="P238" s="1550"/>
      <c r="Q238" s="1550"/>
      <c r="R238" s="1550"/>
      <c r="S238" s="1551"/>
      <c r="T238" s="1469"/>
      <c r="U238" s="1469"/>
      <c r="V238" s="1469"/>
      <c r="W238" s="1470"/>
      <c r="X238" s="1531"/>
      <c r="Y238" s="1532"/>
    </row>
    <row r="239" spans="1:25" ht="23.1" customHeight="1" x14ac:dyDescent="0.25">
      <c r="A239" s="1478"/>
      <c r="B239" s="683">
        <v>39</v>
      </c>
      <c r="C239" s="1545"/>
      <c r="D239" s="1542" t="s">
        <v>179</v>
      </c>
      <c r="E239" s="627">
        <f>VLOOKUP(A235,UHT_PJOK,42,FALSE)</f>
        <v>0</v>
      </c>
      <c r="F239" s="1905">
        <f t="shared" si="252"/>
        <v>0</v>
      </c>
      <c r="G239" s="1152"/>
      <c r="H239" s="627">
        <f>VLOOKUP(B235,REKAP_NILAI,33,FALSE)</f>
        <v>0</v>
      </c>
      <c r="I239" s="709">
        <f t="shared" si="253"/>
        <v>0</v>
      </c>
      <c r="J239" s="710">
        <f t="shared" si="254"/>
        <v>0</v>
      </c>
      <c r="K239" s="711" t="str">
        <f t="shared" si="255"/>
        <v>1.33</v>
      </c>
      <c r="L239" s="711" t="str">
        <f t="shared" si="256"/>
        <v>D+</v>
      </c>
      <c r="M239" s="712" t="str">
        <f t="shared" si="257"/>
        <v>0</v>
      </c>
      <c r="N239" s="1549"/>
      <c r="O239" s="1550"/>
      <c r="P239" s="1550"/>
      <c r="Q239" s="1550"/>
      <c r="R239" s="1550"/>
      <c r="S239" s="1551"/>
      <c r="T239" s="1469"/>
      <c r="U239" s="1469"/>
      <c r="V239" s="1469"/>
      <c r="W239" s="1470"/>
      <c r="X239" s="1533"/>
      <c r="Y239" s="1534"/>
    </row>
    <row r="240" spans="1:25" ht="23.1" customHeight="1" x14ac:dyDescent="0.25">
      <c r="A240" s="1154"/>
      <c r="B240" s="1564"/>
      <c r="C240" s="1553" t="s">
        <v>149</v>
      </c>
      <c r="D240" s="1562">
        <v>39</v>
      </c>
      <c r="E240" s="697"/>
      <c r="F240" s="1906"/>
      <c r="G240" s="697"/>
      <c r="H240" s="1189">
        <f>AVERAGE(H235:H239)</f>
        <v>0</v>
      </c>
      <c r="I240" s="705"/>
      <c r="J240" s="713">
        <f>AVERAGE(J235:J239)</f>
        <v>0</v>
      </c>
      <c r="K240" s="714" t="str">
        <f t="shared" si="255"/>
        <v>1.33</v>
      </c>
      <c r="L240" s="714" t="str">
        <f t="shared" si="256"/>
        <v>D+</v>
      </c>
      <c r="M240" s="888" t="str">
        <f t="shared" si="257"/>
        <v>0</v>
      </c>
      <c r="N240" s="1154"/>
      <c r="O240" s="1155"/>
      <c r="P240" s="1155"/>
      <c r="Q240" s="1155"/>
      <c r="R240" s="1155"/>
      <c r="S240" s="1155"/>
      <c r="T240" s="1155"/>
      <c r="U240" s="1155"/>
      <c r="V240" s="1155"/>
      <c r="W240" s="1162"/>
      <c r="X240" s="1257"/>
      <c r="Y240" s="1258"/>
    </row>
    <row r="241" spans="1:25" ht="23.1" customHeight="1" thickBot="1" x14ac:dyDescent="0.3">
      <c r="A241" s="1477">
        <v>40</v>
      </c>
      <c r="B241" s="1326">
        <v>40</v>
      </c>
      <c r="C241" s="1563" t="e">
        <f>VLOOKUP(A241,data_siswa,4,FALSE)</f>
        <v>#N/A</v>
      </c>
      <c r="D241" s="1542" t="s">
        <v>7</v>
      </c>
      <c r="E241" s="627">
        <f>VLOOKUP(A241,UHT_PJOK,38,FALSE)</f>
        <v>0</v>
      </c>
      <c r="F241" s="1904">
        <f>E241*2</f>
        <v>0</v>
      </c>
      <c r="G241" s="627"/>
      <c r="H241" s="627">
        <f>VLOOKUP(B241,REKAP_NILAI,29,FALSE)</f>
        <v>0</v>
      </c>
      <c r="I241" s="706">
        <f>F241+G241+H241</f>
        <v>0</v>
      </c>
      <c r="J241" s="707">
        <f>(F241+G241+H241)/4</f>
        <v>0</v>
      </c>
      <c r="K241" s="708" t="str">
        <f>IF(J241&gt;85,("4"),IF(J241&gt;80,("3.66"),IF(J241&gt;75,("3.33"),IF(J241&gt;70,("3.00"),IF(J241&gt;65,("2.66"),IF(J241&gt;60,("2.33"),IF(J241&gt;55,("2"),IF(J241&gt;50,("1.66"),"1.33"))))))))</f>
        <v>1.33</v>
      </c>
      <c r="L241" s="708" t="str">
        <f>IF(J241&gt;85,("A"),IF(J241&gt;80,("A-"),IF(J241&gt;75,("B+"),IF(J241&gt;70,("B"),IF(J241&gt;65,("B-"),IF(J241&gt;60,("C+"),IF(J241&gt;55,("C"),IF(J241&gt;50,("C-"),"D+"))))))))</f>
        <v>D+</v>
      </c>
      <c r="M241" s="887" t="str">
        <f>IF(J241&gt;80,("SB"),IF(J241&gt;65,("B"),IF(J241&gt;50,("C"),IF(J241&gt;0,("K"),"0"))))</f>
        <v>0</v>
      </c>
      <c r="N241" s="1474"/>
      <c r="O241" s="1474"/>
      <c r="P241" s="1474"/>
      <c r="Q241" s="1474"/>
      <c r="R241" s="1474"/>
      <c r="S241" s="1475"/>
      <c r="T241" s="1476"/>
      <c r="U241" s="1476"/>
      <c r="V241" s="1476"/>
      <c r="W241" s="1476"/>
      <c r="X241" s="704">
        <f>AVERAGE(J241:J245)</f>
        <v>0</v>
      </c>
      <c r="Y241" s="1481" t="str">
        <f>IF(X241&gt;85,("A"),IF(X241&gt;80,("A-"),IF(X241&gt;75,("B+"),IF(X241&gt;70,("B"),IF(X241&gt;65,("B-"),IF(X241&gt;60,("C+"),IF(X241&gt;55,("C"),IF(X241&gt;50,("C-"),"D+"))))))))</f>
        <v>D+</v>
      </c>
    </row>
    <row r="242" spans="1:25" ht="23.1" customHeight="1" x14ac:dyDescent="0.25">
      <c r="A242" s="1478"/>
      <c r="B242" s="683">
        <v>40</v>
      </c>
      <c r="C242" s="1545"/>
      <c r="D242" s="1542" t="s">
        <v>10</v>
      </c>
      <c r="E242" s="627">
        <f>VLOOKUP(A241,UHT_PJOK,39,FALSE)</f>
        <v>0</v>
      </c>
      <c r="F242" s="1905">
        <f t="shared" ref="F242:F245" si="258">E242*2</f>
        <v>0</v>
      </c>
      <c r="G242" s="1152"/>
      <c r="H242" s="627">
        <f>VLOOKUP(B241,REKAP_NILAI,30,FALSE)</f>
        <v>0</v>
      </c>
      <c r="I242" s="709">
        <f t="shared" ref="I242:I245" si="259">F242+G242+H242</f>
        <v>0</v>
      </c>
      <c r="J242" s="710">
        <f t="shared" ref="J242:J245" si="260">(F242+G242+H242)/4</f>
        <v>0</v>
      </c>
      <c r="K242" s="711" t="str">
        <f t="shared" ref="K242:K245" si="261">IF(J242&gt;85,("4"),IF(J242&gt;80,("3.66"),IF(J242&gt;75,("3.33"),IF(J242&gt;70,("3.00"),IF(J242&gt;65,("2.66"),IF(J242&gt;60,("2.33"),IF(J242&gt;55,("2"),IF(J242&gt;50,("1.66"),"1.33"))))))))</f>
        <v>1.33</v>
      </c>
      <c r="L242" s="711" t="str">
        <f t="shared" ref="L242:L245" si="262">IF(J242&gt;85,("A"),IF(J242&gt;80,("A-"),IF(J242&gt;75,("B+"),IF(J242&gt;70,("B"),IF(J242&gt;65,("B-"),IF(J242&gt;60,("C+"),IF(J242&gt;55,("C"),IF(J242&gt;50,("C-"),"D+"))))))))</f>
        <v>D+</v>
      </c>
      <c r="M242" s="712" t="str">
        <f t="shared" ref="M242:M245" si="263">IF(J242&gt;80,("SB"),IF(J242&gt;65,("B"),IF(J242&gt;50,("C"),IF(J242&gt;0,("K"),"0"))))</f>
        <v>0</v>
      </c>
      <c r="N242" s="1546"/>
      <c r="O242" s="1547"/>
      <c r="P242" s="1547"/>
      <c r="Q242" s="1547"/>
      <c r="R242" s="1547"/>
      <c r="S242" s="1548"/>
      <c r="T242" s="1465"/>
      <c r="U242" s="1465"/>
      <c r="V242" s="1465"/>
      <c r="W242" s="1466"/>
      <c r="X242" s="1529"/>
      <c r="Y242" s="1530"/>
    </row>
    <row r="243" spans="1:25" ht="23.1" customHeight="1" x14ac:dyDescent="0.25">
      <c r="A243" s="1478"/>
      <c r="B243" s="683">
        <v>40</v>
      </c>
      <c r="C243" s="1545"/>
      <c r="D243" s="1542" t="s">
        <v>8</v>
      </c>
      <c r="E243" s="627">
        <f>VLOOKUP(A241,UHT_PJOK,40,FALSE)</f>
        <v>0</v>
      </c>
      <c r="F243" s="1905">
        <f t="shared" si="258"/>
        <v>0</v>
      </c>
      <c r="G243" s="1152"/>
      <c r="H243" s="627">
        <f>VLOOKUP(B241,REKAP_NILAI,31,FALSE)</f>
        <v>0</v>
      </c>
      <c r="I243" s="709">
        <f t="shared" si="259"/>
        <v>0</v>
      </c>
      <c r="J243" s="710">
        <f t="shared" si="260"/>
        <v>0</v>
      </c>
      <c r="K243" s="711" t="str">
        <f t="shared" si="261"/>
        <v>1.33</v>
      </c>
      <c r="L243" s="711" t="str">
        <f t="shared" si="262"/>
        <v>D+</v>
      </c>
      <c r="M243" s="712" t="str">
        <f t="shared" si="263"/>
        <v>0</v>
      </c>
      <c r="N243" s="1549"/>
      <c r="O243" s="1550"/>
      <c r="P243" s="1550"/>
      <c r="Q243" s="1550"/>
      <c r="R243" s="1550"/>
      <c r="S243" s="1551"/>
      <c r="T243" s="1469"/>
      <c r="U243" s="1469"/>
      <c r="V243" s="1469"/>
      <c r="W243" s="1470"/>
      <c r="X243" s="1531"/>
      <c r="Y243" s="1532"/>
    </row>
    <row r="244" spans="1:25" ht="23.1" customHeight="1" x14ac:dyDescent="0.25">
      <c r="A244" s="1478"/>
      <c r="B244" s="683">
        <v>40</v>
      </c>
      <c r="C244" s="1545"/>
      <c r="D244" s="1542" t="s">
        <v>18</v>
      </c>
      <c r="E244" s="627">
        <f>VLOOKUP(A241,UHT_PJOK,41,FALSE)</f>
        <v>0</v>
      </c>
      <c r="F244" s="1905">
        <f t="shared" si="258"/>
        <v>0</v>
      </c>
      <c r="G244" s="627"/>
      <c r="H244" s="627">
        <f>VLOOKUP(B241,REKAP_NILAI,29,FALSE)</f>
        <v>0</v>
      </c>
      <c r="I244" s="709">
        <f t="shared" si="259"/>
        <v>0</v>
      </c>
      <c r="J244" s="710">
        <f t="shared" si="260"/>
        <v>0</v>
      </c>
      <c r="K244" s="711" t="str">
        <f t="shared" si="261"/>
        <v>1.33</v>
      </c>
      <c r="L244" s="711" t="str">
        <f t="shared" si="262"/>
        <v>D+</v>
      </c>
      <c r="M244" s="712" t="str">
        <f t="shared" si="263"/>
        <v>0</v>
      </c>
      <c r="N244" s="1549"/>
      <c r="O244" s="1550"/>
      <c r="P244" s="1550"/>
      <c r="Q244" s="1550"/>
      <c r="R244" s="1550"/>
      <c r="S244" s="1551"/>
      <c r="T244" s="1469"/>
      <c r="U244" s="1469"/>
      <c r="V244" s="1469"/>
      <c r="W244" s="1470"/>
      <c r="X244" s="1531"/>
      <c r="Y244" s="1532"/>
    </row>
    <row r="245" spans="1:25" ht="23.1" customHeight="1" x14ac:dyDescent="0.25">
      <c r="A245" s="1478"/>
      <c r="B245" s="683">
        <v>40</v>
      </c>
      <c r="C245" s="1545"/>
      <c r="D245" s="1542" t="s">
        <v>179</v>
      </c>
      <c r="E245" s="627">
        <f>VLOOKUP(A241,UHT_PJOK,42,FALSE)</f>
        <v>0</v>
      </c>
      <c r="F245" s="1905">
        <f t="shared" si="258"/>
        <v>0</v>
      </c>
      <c r="G245" s="1152"/>
      <c r="H245" s="627">
        <f>VLOOKUP(B241,REKAP_NILAI,33,FALSE)</f>
        <v>0</v>
      </c>
      <c r="I245" s="709">
        <f t="shared" si="259"/>
        <v>0</v>
      </c>
      <c r="J245" s="710">
        <f t="shared" si="260"/>
        <v>0</v>
      </c>
      <c r="K245" s="711" t="str">
        <f t="shared" si="261"/>
        <v>1.33</v>
      </c>
      <c r="L245" s="711" t="str">
        <f t="shared" si="262"/>
        <v>D+</v>
      </c>
      <c r="M245" s="712" t="str">
        <f t="shared" si="263"/>
        <v>0</v>
      </c>
      <c r="N245" s="1549"/>
      <c r="O245" s="1550"/>
      <c r="P245" s="1550"/>
      <c r="Q245" s="1550"/>
      <c r="R245" s="1550"/>
      <c r="S245" s="1551"/>
      <c r="T245" s="1469"/>
      <c r="U245" s="1469"/>
      <c r="V245" s="1469"/>
      <c r="W245" s="1470"/>
      <c r="X245" s="1533"/>
      <c r="Y245" s="1534"/>
    </row>
    <row r="246" spans="1:25" ht="23.1" customHeight="1" x14ac:dyDescent="0.25">
      <c r="A246" s="697"/>
      <c r="B246" s="1565"/>
      <c r="C246" s="635" t="s">
        <v>149</v>
      </c>
      <c r="D246" s="1562">
        <v>40</v>
      </c>
      <c r="E246" s="697"/>
      <c r="F246" s="1906"/>
      <c r="G246" s="697"/>
      <c r="H246" s="1189">
        <f>AVERAGE(H241:H245)</f>
        <v>0</v>
      </c>
      <c r="I246" s="705"/>
      <c r="J246" s="713">
        <f>AVERAGE(J241:J245)</f>
        <v>0</v>
      </c>
      <c r="K246" s="714" t="str">
        <f t="shared" ref="K246" si="264">IF(J246&gt;85,("4"),IF(J246&gt;80,("3.66"),IF(J246&gt;75,("3.33"),IF(J246&gt;70,("3.00"),IF(J246&gt;65,("2.66"),IF(J246&gt;60,("2.33"),IF(J246&gt;55,("2"),IF(J246&gt;50,("1.66"),"1.33"))))))))</f>
        <v>1.33</v>
      </c>
      <c r="L246" s="714" t="str">
        <f t="shared" ref="L246" si="265">IF(J246&gt;85,("A"),IF(J246&gt;80,("A-"),IF(J246&gt;75,("B+"),IF(J246&gt;70,("B"),IF(J246&gt;65,("B-"),IF(J246&gt;60,("C+"),IF(J246&gt;55,("C"),IF(J246&gt;50,("C-"),"D+"))))))))</f>
        <v>D+</v>
      </c>
      <c r="M246" s="888" t="str">
        <f t="shared" ref="M246" si="266">IF(J246&gt;80,("SB"),IF(J246&gt;65,("B"),IF(J246&gt;50,("C"),IF(J246&gt;0,("K"),"0"))))</f>
        <v>0</v>
      </c>
      <c r="N246" s="1154"/>
      <c r="O246" s="1155"/>
      <c r="P246" s="1155"/>
      <c r="Q246" s="1155"/>
      <c r="R246" s="1155"/>
      <c r="S246" s="1155"/>
      <c r="T246" s="1155"/>
      <c r="U246" s="1155"/>
      <c r="V246" s="1155"/>
      <c r="W246" s="1162"/>
      <c r="X246" s="1154"/>
      <c r="Y246" s="1162"/>
    </row>
    <row r="247" spans="1:25" s="1365" customFormat="1" x14ac:dyDescent="0.25">
      <c r="B247" s="1566"/>
      <c r="C247" s="1567"/>
      <c r="D247" s="1568"/>
      <c r="H247" s="1569"/>
    </row>
  </sheetData>
  <sheetProtection password="C6F9" sheet="1" objects="1" scenarios="1"/>
  <mergeCells count="14">
    <mergeCell ref="Y5:Y6"/>
    <mergeCell ref="X5:X6"/>
    <mergeCell ref="S5:W5"/>
    <mergeCell ref="A5:A6"/>
    <mergeCell ref="B5:B6"/>
    <mergeCell ref="C5:C6"/>
    <mergeCell ref="D5:D6"/>
    <mergeCell ref="E5:H5"/>
    <mergeCell ref="I5:I6"/>
    <mergeCell ref="J5:J6"/>
    <mergeCell ref="K5:K6"/>
    <mergeCell ref="L5:L6"/>
    <mergeCell ref="M5:M6"/>
    <mergeCell ref="N5:R5"/>
  </mergeCells>
  <conditionalFormatting sqref="J7:J11">
    <cfRule type="top10" dxfId="1605" priority="1776" bottom="1" rank="1"/>
    <cfRule type="top10" dxfId="1604" priority="1777" rank="1"/>
  </conditionalFormatting>
  <conditionalFormatting sqref="J13:J17">
    <cfRule type="top10" dxfId="1603" priority="77" bottom="1" rank="1"/>
    <cfRule type="top10" dxfId="1602" priority="78" rank="1"/>
  </conditionalFormatting>
  <conditionalFormatting sqref="J19:J23">
    <cfRule type="top10" dxfId="1601" priority="75" bottom="1" rank="1"/>
    <cfRule type="top10" dxfId="1600" priority="76" rank="1"/>
  </conditionalFormatting>
  <conditionalFormatting sqref="J25:J29">
    <cfRule type="top10" dxfId="1599" priority="73" bottom="1" rank="1"/>
    <cfRule type="top10" dxfId="1598" priority="74" rank="1"/>
  </conditionalFormatting>
  <conditionalFormatting sqref="J31:J35">
    <cfRule type="top10" dxfId="1597" priority="71" bottom="1" rank="1"/>
    <cfRule type="top10" dxfId="1596" priority="72" rank="1"/>
  </conditionalFormatting>
  <conditionalFormatting sqref="J37:J41">
    <cfRule type="top10" dxfId="1595" priority="69" bottom="1" rank="1"/>
    <cfRule type="top10" dxfId="1594" priority="70" rank="1"/>
  </conditionalFormatting>
  <conditionalFormatting sqref="J43:J47">
    <cfRule type="top10" dxfId="1593" priority="67" bottom="1" rank="1"/>
    <cfRule type="top10" dxfId="1592" priority="68" rank="1"/>
  </conditionalFormatting>
  <conditionalFormatting sqref="J49:J53">
    <cfRule type="top10" dxfId="1591" priority="65" bottom="1" rank="1"/>
    <cfRule type="top10" dxfId="1590" priority="66" rank="1"/>
  </conditionalFormatting>
  <conditionalFormatting sqref="J55:J59">
    <cfRule type="top10" dxfId="1589" priority="63" bottom="1" rank="1"/>
    <cfRule type="top10" dxfId="1588" priority="64" rank="1"/>
  </conditionalFormatting>
  <conditionalFormatting sqref="J61:J65">
    <cfRule type="top10" dxfId="1587" priority="61" bottom="1" rank="1"/>
    <cfRule type="top10" dxfId="1586" priority="62" rank="1"/>
  </conditionalFormatting>
  <conditionalFormatting sqref="J67:J71">
    <cfRule type="top10" dxfId="1585" priority="59" bottom="1" rank="1"/>
    <cfRule type="top10" dxfId="1584" priority="60" rank="1"/>
  </conditionalFormatting>
  <conditionalFormatting sqref="J73:J77">
    <cfRule type="top10" dxfId="1583" priority="57" bottom="1" rank="1"/>
    <cfRule type="top10" dxfId="1582" priority="58" rank="1"/>
  </conditionalFormatting>
  <conditionalFormatting sqref="J79:J83">
    <cfRule type="top10" dxfId="1581" priority="55" bottom="1" rank="1"/>
    <cfRule type="top10" dxfId="1580" priority="56" rank="1"/>
  </conditionalFormatting>
  <conditionalFormatting sqref="J85:J89">
    <cfRule type="top10" dxfId="1579" priority="53" bottom="1" rank="1"/>
    <cfRule type="top10" dxfId="1578" priority="54" rank="1"/>
  </conditionalFormatting>
  <conditionalFormatting sqref="J91:J95">
    <cfRule type="top10" dxfId="1577" priority="51" bottom="1" rank="1"/>
    <cfRule type="top10" dxfId="1576" priority="52" rank="1"/>
  </conditionalFormatting>
  <conditionalFormatting sqref="J97:J101">
    <cfRule type="top10" dxfId="1575" priority="49" bottom="1" rank="1"/>
    <cfRule type="top10" dxfId="1574" priority="50" rank="1"/>
  </conditionalFormatting>
  <conditionalFormatting sqref="J103:J107">
    <cfRule type="top10" dxfId="1573" priority="47" bottom="1" rank="1"/>
    <cfRule type="top10" dxfId="1572" priority="48" rank="1"/>
  </conditionalFormatting>
  <conditionalFormatting sqref="J109:J113">
    <cfRule type="top10" dxfId="1571" priority="45" bottom="1" rank="1"/>
    <cfRule type="top10" dxfId="1570" priority="46" rank="1"/>
  </conditionalFormatting>
  <conditionalFormatting sqref="J115:J119">
    <cfRule type="top10" dxfId="1569" priority="43" bottom="1" rank="1"/>
    <cfRule type="top10" dxfId="1568" priority="44" rank="1"/>
  </conditionalFormatting>
  <conditionalFormatting sqref="J121:J125">
    <cfRule type="top10" dxfId="1567" priority="41" bottom="1" rank="1"/>
    <cfRule type="top10" dxfId="1566" priority="42" rank="1"/>
  </conditionalFormatting>
  <conditionalFormatting sqref="J127:J131">
    <cfRule type="top10" dxfId="1565" priority="39" bottom="1" rank="1"/>
    <cfRule type="top10" dxfId="1564" priority="40" rank="1"/>
  </conditionalFormatting>
  <conditionalFormatting sqref="J133:J137">
    <cfRule type="top10" dxfId="1563" priority="37" bottom="1" rank="1"/>
    <cfRule type="top10" dxfId="1562" priority="38" rank="1"/>
  </conditionalFormatting>
  <conditionalFormatting sqref="J139:J143">
    <cfRule type="top10" dxfId="1561" priority="35" bottom="1" rank="1"/>
    <cfRule type="top10" dxfId="1560" priority="36" rank="1"/>
  </conditionalFormatting>
  <conditionalFormatting sqref="J145:J149">
    <cfRule type="top10" dxfId="1559" priority="33" bottom="1" rank="1"/>
    <cfRule type="top10" dxfId="1558" priority="34" rank="1"/>
  </conditionalFormatting>
  <conditionalFormatting sqref="J151:J155">
    <cfRule type="top10" dxfId="1557" priority="31" bottom="1" rank="1"/>
    <cfRule type="top10" dxfId="1556" priority="32" rank="1"/>
  </conditionalFormatting>
  <conditionalFormatting sqref="J157:J161">
    <cfRule type="top10" dxfId="1555" priority="29" bottom="1" rank="1"/>
    <cfRule type="top10" dxfId="1554" priority="30" rank="1"/>
  </conditionalFormatting>
  <conditionalFormatting sqref="J163:J167">
    <cfRule type="top10" dxfId="1553" priority="27" bottom="1" rank="1"/>
    <cfRule type="top10" dxfId="1552" priority="28" rank="1"/>
  </conditionalFormatting>
  <conditionalFormatting sqref="J169:J173">
    <cfRule type="top10" dxfId="1551" priority="25" bottom="1" rank="1"/>
    <cfRule type="top10" dxfId="1550" priority="26" rank="1"/>
  </conditionalFormatting>
  <conditionalFormatting sqref="J175:J179">
    <cfRule type="top10" dxfId="1549" priority="23" bottom="1" rank="1"/>
    <cfRule type="top10" dxfId="1548" priority="24" rank="1"/>
  </conditionalFormatting>
  <conditionalFormatting sqref="J181:J185">
    <cfRule type="top10" dxfId="1547" priority="21" bottom="1" rank="1"/>
    <cfRule type="top10" dxfId="1546" priority="22" rank="1"/>
  </conditionalFormatting>
  <conditionalFormatting sqref="J187:J191">
    <cfRule type="top10" dxfId="1545" priority="19" bottom="1" rank="1"/>
    <cfRule type="top10" dxfId="1544" priority="20" rank="1"/>
  </conditionalFormatting>
  <conditionalFormatting sqref="J193:J197">
    <cfRule type="top10" dxfId="1543" priority="17" bottom="1" rank="1"/>
    <cfRule type="top10" dxfId="1542" priority="18" rank="1"/>
  </conditionalFormatting>
  <conditionalFormatting sqref="J199:J203">
    <cfRule type="top10" dxfId="1541" priority="15" bottom="1" rank="1"/>
    <cfRule type="top10" dxfId="1540" priority="16" rank="1"/>
  </conditionalFormatting>
  <conditionalFormatting sqref="J205:J209">
    <cfRule type="top10" dxfId="1539" priority="13" bottom="1" rank="1"/>
    <cfRule type="top10" dxfId="1538" priority="14" rank="1"/>
  </conditionalFormatting>
  <conditionalFormatting sqref="J211:J215">
    <cfRule type="top10" dxfId="1537" priority="11" bottom="1" rank="1"/>
    <cfRule type="top10" dxfId="1536" priority="12" rank="1"/>
  </conditionalFormatting>
  <conditionalFormatting sqref="J217:J221">
    <cfRule type="top10" dxfId="1535" priority="9" bottom="1" rank="1"/>
    <cfRule type="top10" dxfId="1534" priority="10" rank="1"/>
  </conditionalFormatting>
  <conditionalFormatting sqref="J223:J227">
    <cfRule type="top10" dxfId="1533" priority="7" bottom="1" rank="1"/>
    <cfRule type="top10" dxfId="1532" priority="8" rank="1"/>
  </conditionalFormatting>
  <conditionalFormatting sqref="J229:J233">
    <cfRule type="top10" dxfId="1531" priority="5" bottom="1" rank="1"/>
    <cfRule type="top10" dxfId="1530" priority="6" rank="1"/>
  </conditionalFormatting>
  <conditionalFormatting sqref="J235:J239">
    <cfRule type="top10" dxfId="1529" priority="3" bottom="1" rank="1"/>
    <cfRule type="top10" dxfId="1528" priority="4" rank="1"/>
  </conditionalFormatting>
  <conditionalFormatting sqref="J241:J245">
    <cfRule type="top10" dxfId="1527" priority="1" bottom="1" rank="1"/>
    <cfRule type="top10" dxfId="1526" priority="2" rank="1"/>
  </conditionalFormatting>
  <pageMargins left="0.7" right="0.7" top="0.75" bottom="0.75" header="0.3" footer="0.3"/>
  <pageSetup paperSize="9" orientation="landscape"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00B0F0"/>
  </sheetPr>
  <dimension ref="A1:U286"/>
  <sheetViews>
    <sheetView showGridLines="0" workbookViewId="0">
      <pane xSplit="1" ySplit="6" topLeftCell="B7" activePane="bottomRight" state="frozen"/>
      <selection pane="topRight" activeCell="B1" sqref="B1"/>
      <selection pane="bottomLeft" activeCell="A7" sqref="A7"/>
      <selection pane="bottomRight"/>
    </sheetView>
  </sheetViews>
  <sheetFormatPr defaultRowHeight="15" x14ac:dyDescent="0.25"/>
  <cols>
    <col min="1" max="1" width="4.85546875" style="352" customWidth="1"/>
    <col min="2" max="2" width="7.7109375" style="678" customWidth="1"/>
    <col min="3" max="3" width="23.28515625" style="679" customWidth="1"/>
    <col min="4" max="4" width="5.7109375" style="886" customWidth="1"/>
    <col min="5" max="10" width="6.7109375" style="352" customWidth="1"/>
    <col min="11" max="11" width="9.140625" style="352"/>
    <col min="12" max="12" width="10" style="352" customWidth="1"/>
    <col min="13" max="13" width="10.42578125" style="352" customWidth="1"/>
    <col min="14" max="14" width="6.7109375" style="353" customWidth="1"/>
    <col min="15" max="19" width="6.7109375" style="352" customWidth="1"/>
    <col min="20" max="20" width="8.140625" style="352" customWidth="1"/>
    <col min="21" max="21" width="7.85546875" style="352" customWidth="1"/>
    <col min="22" max="16384" width="9.140625" style="352"/>
  </cols>
  <sheetData>
    <row r="1" spans="1:21" ht="21" x14ac:dyDescent="0.35">
      <c r="A1" s="351" t="s">
        <v>794</v>
      </c>
      <c r="D1" s="69"/>
      <c r="E1" s="69"/>
      <c r="F1" s="69"/>
      <c r="G1" s="69"/>
      <c r="H1" s="69"/>
      <c r="I1" s="69"/>
      <c r="J1" s="69"/>
      <c r="K1" s="69"/>
    </row>
    <row r="2" spans="1:21" ht="21" x14ac:dyDescent="0.35">
      <c r="A2" s="351" t="s">
        <v>54</v>
      </c>
    </row>
    <row r="3" spans="1:21" ht="18.75" x14ac:dyDescent="0.3">
      <c r="A3" s="354" t="s">
        <v>562</v>
      </c>
      <c r="T3" s="1143"/>
    </row>
    <row r="4" spans="1:21" s="1142" customFormat="1" ht="15.75" thickBot="1" x14ac:dyDescent="0.3">
      <c r="A4" s="1137">
        <v>1</v>
      </c>
      <c r="B4" s="1137">
        <v>2</v>
      </c>
      <c r="C4" s="1137">
        <v>3</v>
      </c>
      <c r="D4" s="1137">
        <v>4</v>
      </c>
      <c r="E4" s="1137">
        <v>5</v>
      </c>
      <c r="F4" s="1137">
        <v>6</v>
      </c>
      <c r="G4" s="1137">
        <v>7</v>
      </c>
      <c r="H4" s="1137">
        <v>8</v>
      </c>
      <c r="I4" s="1137">
        <v>9</v>
      </c>
      <c r="J4" s="1137">
        <v>10</v>
      </c>
      <c r="K4" s="1137">
        <v>11</v>
      </c>
      <c r="L4" s="1137">
        <v>12</v>
      </c>
      <c r="M4" s="1137">
        <v>13</v>
      </c>
      <c r="N4" s="1137">
        <v>14</v>
      </c>
      <c r="O4" s="1137">
        <v>15</v>
      </c>
      <c r="P4" s="1137">
        <v>16</v>
      </c>
      <c r="Q4" s="1137">
        <v>17</v>
      </c>
      <c r="R4" s="1137">
        <v>18</v>
      </c>
      <c r="S4" s="1137">
        <v>19</v>
      </c>
      <c r="T4" s="1137">
        <v>20</v>
      </c>
      <c r="U4" s="1137">
        <v>21</v>
      </c>
    </row>
    <row r="5" spans="1:21" ht="18.75" customHeight="1" x14ac:dyDescent="0.25">
      <c r="A5" s="2522" t="s">
        <v>0</v>
      </c>
      <c r="B5" s="2535" t="s">
        <v>55</v>
      </c>
      <c r="C5" s="2537" t="s">
        <v>1</v>
      </c>
      <c r="D5" s="2524" t="s">
        <v>56</v>
      </c>
      <c r="E5" s="2524" t="s">
        <v>32</v>
      </c>
      <c r="F5" s="2524"/>
      <c r="G5" s="2524"/>
      <c r="H5" s="2524"/>
      <c r="I5" s="2524" t="s">
        <v>59</v>
      </c>
      <c r="J5" s="2524" t="s">
        <v>60</v>
      </c>
      <c r="K5" s="2548" t="s">
        <v>61</v>
      </c>
      <c r="L5" s="2548" t="s">
        <v>62</v>
      </c>
      <c r="M5" s="2550" t="s">
        <v>63</v>
      </c>
      <c r="N5" s="2636" t="s">
        <v>796</v>
      </c>
      <c r="O5" s="2637"/>
      <c r="P5" s="2637"/>
      <c r="Q5" s="2633" t="s">
        <v>795</v>
      </c>
      <c r="R5" s="2634"/>
      <c r="S5" s="2635"/>
      <c r="T5" s="2631" t="s">
        <v>60</v>
      </c>
      <c r="U5" s="2629" t="s">
        <v>5</v>
      </c>
    </row>
    <row r="6" spans="1:21" ht="20.25" customHeight="1" thickBot="1" x14ac:dyDescent="0.3">
      <c r="A6" s="2523"/>
      <c r="B6" s="2536"/>
      <c r="C6" s="2538"/>
      <c r="D6" s="2525"/>
      <c r="E6" s="1798" t="s">
        <v>57</v>
      </c>
      <c r="F6" s="1798" t="s">
        <v>58</v>
      </c>
      <c r="G6" s="1798" t="s">
        <v>13</v>
      </c>
      <c r="H6" s="1798" t="s">
        <v>14</v>
      </c>
      <c r="I6" s="2525"/>
      <c r="J6" s="2525"/>
      <c r="K6" s="2549"/>
      <c r="L6" s="2549"/>
      <c r="M6" s="2551"/>
      <c r="N6" s="681" t="s">
        <v>18</v>
      </c>
      <c r="O6" s="681" t="s">
        <v>179</v>
      </c>
      <c r="P6" s="681" t="s">
        <v>20</v>
      </c>
      <c r="Q6" s="682" t="s">
        <v>18</v>
      </c>
      <c r="R6" s="682" t="s">
        <v>179</v>
      </c>
      <c r="S6" s="682" t="s">
        <v>20</v>
      </c>
      <c r="T6" s="2632"/>
      <c r="U6" s="2630"/>
    </row>
    <row r="7" spans="1:21" ht="24.95" customHeight="1" x14ac:dyDescent="0.25">
      <c r="A7" s="360">
        <v>1</v>
      </c>
      <c r="B7" s="683">
        <v>1</v>
      </c>
      <c r="C7" s="684" t="str">
        <f>VLOOKUP(A7,data_siswa,4,FALSE)</f>
        <v>Achmad Zacky</v>
      </c>
      <c r="D7" s="991" t="s">
        <v>18</v>
      </c>
      <c r="E7" s="627">
        <f>VLOOKUP(A7,UHT_jawa,18,FALSE)</f>
        <v>67.5</v>
      </c>
      <c r="F7" s="1190">
        <f>E7*2</f>
        <v>135</v>
      </c>
      <c r="G7" s="361">
        <v>67</v>
      </c>
      <c r="H7" s="1627">
        <f>VLOOKUP(B7,REKAP_NILAI,42,FALSE)</f>
        <v>67.5</v>
      </c>
      <c r="I7" s="706">
        <f>F7+G7+H7</f>
        <v>269.5</v>
      </c>
      <c r="J7" s="707">
        <f>(F7+G7+H7)/4</f>
        <v>67.375</v>
      </c>
      <c r="K7" s="708" t="str">
        <f>IF(J7&gt;85,("4"),IF(J7&gt;80,("3.66"),IF(J7&gt;75,("3.33"),IF(J7&gt;70,("3.00"),IF(J7&gt;65,("2.66"),IF(J7&gt;60,("2.33"),IF(J7&gt;55,("2"),IF(J7&gt;50,("1.66"),"1.33"))))))))</f>
        <v>2.66</v>
      </c>
      <c r="L7" s="708" t="str">
        <f>IF(J7&gt;85,("A"),IF(J7&gt;80,("A-"),IF(J7&gt;75,("B+"),IF(J7&gt;70,("B"),IF(J7&gt;65,("B-"),IF(J7&gt;60,("C+"),IF(J7&gt;55,("C"),IF(J7&gt;50,("C-"),"D+"))))))))</f>
        <v>B-</v>
      </c>
      <c r="M7" s="887" t="str">
        <f>IF(J7&gt;80,("SB"),IF(J7&gt;65,("B"),IF(J7&gt;50,("C"),IF(J7&gt;0,("K"),"0"))))</f>
        <v>B</v>
      </c>
      <c r="N7" s="685"/>
      <c r="O7" s="360">
        <v>3</v>
      </c>
      <c r="P7" s="360"/>
      <c r="Q7" s="686"/>
      <c r="R7" s="686"/>
      <c r="S7" s="686">
        <v>3</v>
      </c>
      <c r="T7" s="704">
        <f>AVERAGE(J7:J9)</f>
        <v>68.875</v>
      </c>
      <c r="U7" s="1481" t="str">
        <f>IF(T7&gt;85,("A"),IF(T7&gt;80,("A-"),IF(T7&gt;75,("B+"),IF(T7&gt;70,("B"),IF(T7&gt;65,("B-"),IF(T7&gt;60,("C+"),IF(T7&gt;55,("C"),IF(T7&gt;50,("C-"),"D+"))))))))</f>
        <v>B-</v>
      </c>
    </row>
    <row r="8" spans="1:21" ht="24.95" customHeight="1" x14ac:dyDescent="0.25">
      <c r="A8" s="687"/>
      <c r="B8" s="683">
        <v>1</v>
      </c>
      <c r="C8" s="688"/>
      <c r="D8" s="991" t="s">
        <v>179</v>
      </c>
      <c r="E8" s="627">
        <f>VLOOKUP(A7,UHT_jawa,19,FALSE)</f>
        <v>71.5</v>
      </c>
      <c r="F8" s="1191">
        <f t="shared" ref="F8:F9" si="0">E8*2</f>
        <v>143</v>
      </c>
      <c r="G8" s="361">
        <v>80</v>
      </c>
      <c r="H8" s="1188">
        <f>VLOOKUP(B7,REKAP_NILAI,43,FALSE)</f>
        <v>71.5</v>
      </c>
      <c r="I8" s="709">
        <f t="shared" ref="I8:I9" si="1">F8+G8+H8</f>
        <v>294.5</v>
      </c>
      <c r="J8" s="710">
        <f t="shared" ref="J8:J9" si="2">(F8+G8+H8)/4</f>
        <v>73.625</v>
      </c>
      <c r="K8" s="711" t="str">
        <f t="shared" ref="K8:K10" si="3">IF(J8&gt;85,("4"),IF(J8&gt;80,("3.66"),IF(J8&gt;75,("3.33"),IF(J8&gt;70,("3.00"),IF(J8&gt;65,("2.66"),IF(J8&gt;60,("2.33"),IF(J8&gt;55,("2"),IF(J8&gt;50,("1.66"),"1.33"))))))))</f>
        <v>3.00</v>
      </c>
      <c r="L8" s="711" t="str">
        <f t="shared" ref="L8:L10" si="4">IF(J8&gt;85,("A"),IF(J8&gt;80,("A-"),IF(J8&gt;75,("B+"),IF(J8&gt;70,("B"),IF(J8&gt;65,("B-"),IF(J8&gt;60,("C+"),IF(J8&gt;55,("C"),IF(J8&gt;50,("C-"),"D+"))))))))</f>
        <v>B</v>
      </c>
      <c r="M8" s="712" t="str">
        <f t="shared" ref="M8:M10" si="5">IF(J8&gt;80,("SB"),IF(J8&gt;65,("B"),IF(J8&gt;50,("C"),IF(J8&gt;0,("K"),"0"))))</f>
        <v>B</v>
      </c>
      <c r="N8" s="689"/>
      <c r="O8" s="690"/>
      <c r="P8" s="690"/>
      <c r="Q8" s="691"/>
      <c r="R8" s="691"/>
      <c r="S8" s="692"/>
      <c r="T8" s="1667"/>
      <c r="U8" s="1668"/>
    </row>
    <row r="9" spans="1:21" ht="24.95" customHeight="1" x14ac:dyDescent="0.25">
      <c r="A9" s="687"/>
      <c r="B9" s="683">
        <v>1</v>
      </c>
      <c r="C9" s="688"/>
      <c r="D9" s="991" t="s">
        <v>20</v>
      </c>
      <c r="E9" s="627">
        <f>VLOOKUP(A7,UHT_jawa,20,FALSE)</f>
        <v>68.5</v>
      </c>
      <c r="F9" s="1191">
        <f t="shared" si="0"/>
        <v>137</v>
      </c>
      <c r="G9" s="361">
        <v>57</v>
      </c>
      <c r="H9" s="1188">
        <f>VLOOKUP(B7,REKAP_NILAI,44,FALSE)</f>
        <v>68.5</v>
      </c>
      <c r="I9" s="709">
        <f t="shared" si="1"/>
        <v>262.5</v>
      </c>
      <c r="J9" s="710">
        <f t="shared" si="2"/>
        <v>65.625</v>
      </c>
      <c r="K9" s="711" t="str">
        <f t="shared" si="3"/>
        <v>2.66</v>
      </c>
      <c r="L9" s="711" t="str">
        <f t="shared" si="4"/>
        <v>B-</v>
      </c>
      <c r="M9" s="712" t="str">
        <f t="shared" si="5"/>
        <v>B</v>
      </c>
      <c r="N9" s="693"/>
      <c r="O9" s="694"/>
      <c r="P9" s="694"/>
      <c r="Q9" s="695"/>
      <c r="R9" s="695"/>
      <c r="S9" s="696"/>
      <c r="T9" s="1669"/>
      <c r="U9" s="1670"/>
    </row>
    <row r="10" spans="1:21" s="353" customFormat="1" ht="24.95" customHeight="1" x14ac:dyDescent="0.25">
      <c r="A10" s="697"/>
      <c r="B10" s="698">
        <v>1</v>
      </c>
      <c r="C10" s="699" t="s">
        <v>149</v>
      </c>
      <c r="D10" s="700">
        <v>1</v>
      </c>
      <c r="E10" s="697"/>
      <c r="F10" s="1192"/>
      <c r="G10" s="697"/>
      <c r="H10" s="1189">
        <f>AVERAGE(H7:H9)</f>
        <v>69.166666666666671</v>
      </c>
      <c r="I10" s="705"/>
      <c r="J10" s="713">
        <f>AVERAGE(J7:J9)</f>
        <v>68.875</v>
      </c>
      <c r="K10" s="714" t="str">
        <f t="shared" si="3"/>
        <v>2.66</v>
      </c>
      <c r="L10" s="714" t="str">
        <f t="shared" si="4"/>
        <v>B-</v>
      </c>
      <c r="M10" s="888" t="str">
        <f t="shared" si="5"/>
        <v>B</v>
      </c>
      <c r="N10" s="701"/>
      <c r="O10" s="702"/>
      <c r="P10" s="702"/>
      <c r="Q10" s="702"/>
      <c r="R10" s="702"/>
      <c r="S10" s="703"/>
      <c r="T10" s="1257"/>
      <c r="U10" s="1258"/>
    </row>
    <row r="11" spans="1:21" ht="24.95" customHeight="1" x14ac:dyDescent="0.25">
      <c r="A11" s="360">
        <v>2</v>
      </c>
      <c r="B11" s="683">
        <v>2</v>
      </c>
      <c r="C11" s="684" t="str">
        <f>VLOOKUP(A11,data_siswa,4,FALSE)</f>
        <v>Angelia Vabel R</v>
      </c>
      <c r="D11" s="991" t="s">
        <v>18</v>
      </c>
      <c r="E11" s="627">
        <f>VLOOKUP(A11,UHT_jawa,18,FALSE)</f>
        <v>0</v>
      </c>
      <c r="F11" s="1190">
        <f>E11*2</f>
        <v>0</v>
      </c>
      <c r="G11" s="361"/>
      <c r="H11" s="1188">
        <f>VLOOKUP(B11,REKAP_NILAI,42,FALSE)</f>
        <v>0</v>
      </c>
      <c r="I11" s="706">
        <f>F11+G11+H11</f>
        <v>0</v>
      </c>
      <c r="J11" s="707">
        <f>(F11+G11+H11)/4</f>
        <v>0</v>
      </c>
      <c r="K11" s="708" t="str">
        <f>IF(J11&gt;85,("4"),IF(J11&gt;80,("3.66"),IF(J11&gt;75,("3.33"),IF(J11&gt;70,("3.00"),IF(J11&gt;65,("2.66"),IF(J11&gt;60,("2.33"),IF(J11&gt;55,("2"),IF(J11&gt;50,("1.66"),"1.33"))))))))</f>
        <v>1.33</v>
      </c>
      <c r="L11" s="708" t="str">
        <f>IF(J11&gt;85,("A"),IF(J11&gt;80,("A-"),IF(J11&gt;75,("B+"),IF(J11&gt;70,("B"),IF(J11&gt;65,("B-"),IF(J11&gt;60,("C+"),IF(J11&gt;55,("C"),IF(J11&gt;50,("C-"),"D+"))))))))</f>
        <v>D+</v>
      </c>
      <c r="M11" s="887" t="str">
        <f>IF(J11&gt;80,("SB"),IF(J11&gt;65,("B"),IF(J11&gt;50,("C"),IF(J11&gt;0,("K"),"0"))))</f>
        <v>0</v>
      </c>
      <c r="N11" s="685"/>
      <c r="O11" s="360"/>
      <c r="P11" s="360"/>
      <c r="Q11" s="686"/>
      <c r="R11" s="686"/>
      <c r="S11" s="686"/>
      <c r="T11" s="704">
        <f>AVERAGE(J11:J13)</f>
        <v>0</v>
      </c>
      <c r="U11" s="1481" t="str">
        <f>IF(T11&gt;85,("A"),IF(T11&gt;80,("A-"),IF(T11&gt;75,("B+"),IF(T11&gt;70,("B"),IF(T11&gt;65,("B-"),IF(T11&gt;60,("C+"),IF(T11&gt;55,("C"),IF(T11&gt;50,("C-"),"D+"))))))))</f>
        <v>D+</v>
      </c>
    </row>
    <row r="12" spans="1:21" ht="24.95" customHeight="1" x14ac:dyDescent="0.25">
      <c r="A12" s="687"/>
      <c r="B12" s="683">
        <v>2</v>
      </c>
      <c r="C12" s="688"/>
      <c r="D12" s="991" t="s">
        <v>179</v>
      </c>
      <c r="E12" s="627">
        <f>VLOOKUP(A11,UHT_jawa,19,FALSE)</f>
        <v>0</v>
      </c>
      <c r="F12" s="1191">
        <f t="shared" ref="F12:F13" si="6">E12*2</f>
        <v>0</v>
      </c>
      <c r="G12" s="361"/>
      <c r="H12" s="1188">
        <f>VLOOKUP(B11,REKAP_NILAI,43,FALSE)</f>
        <v>0</v>
      </c>
      <c r="I12" s="709">
        <f t="shared" ref="I12:I13" si="7">F12+G12+H12</f>
        <v>0</v>
      </c>
      <c r="J12" s="710">
        <f t="shared" ref="J12:J13" si="8">(F12+G12+H12)/4</f>
        <v>0</v>
      </c>
      <c r="K12" s="711" t="str">
        <f t="shared" ref="K12:K13" si="9">IF(J12&gt;85,("4"),IF(J12&gt;80,("3.66"),IF(J12&gt;75,("3.33"),IF(J12&gt;70,("3.00"),IF(J12&gt;65,("2.66"),IF(J12&gt;60,("2.33"),IF(J12&gt;55,("2"),IF(J12&gt;50,("1.66"),"1.33"))))))))</f>
        <v>1.33</v>
      </c>
      <c r="L12" s="711" t="str">
        <f t="shared" ref="L12:L13" si="10">IF(J12&gt;85,("A"),IF(J12&gt;80,("A-"),IF(J12&gt;75,("B+"),IF(J12&gt;70,("B"),IF(J12&gt;65,("B-"),IF(J12&gt;60,("C+"),IF(J12&gt;55,("C"),IF(J12&gt;50,("C-"),"D+"))))))))</f>
        <v>D+</v>
      </c>
      <c r="M12" s="712" t="str">
        <f t="shared" ref="M12:M13" si="11">IF(J12&gt;80,("SB"),IF(J12&gt;65,("B"),IF(J12&gt;50,("C"),IF(J12&gt;0,("K"),"0"))))</f>
        <v>0</v>
      </c>
      <c r="N12" s="689"/>
      <c r="O12" s="690"/>
      <c r="P12" s="690"/>
      <c r="Q12" s="691"/>
      <c r="R12" s="691"/>
      <c r="S12" s="692"/>
      <c r="T12" s="1667"/>
      <c r="U12" s="1668"/>
    </row>
    <row r="13" spans="1:21" ht="24.95" customHeight="1" x14ac:dyDescent="0.25">
      <c r="A13" s="687"/>
      <c r="B13" s="683">
        <v>2</v>
      </c>
      <c r="C13" s="688"/>
      <c r="D13" s="991" t="s">
        <v>20</v>
      </c>
      <c r="E13" s="627">
        <f>VLOOKUP(A11,UHT_jawa,20,FALSE)</f>
        <v>0</v>
      </c>
      <c r="F13" s="1191">
        <f t="shared" si="6"/>
        <v>0</v>
      </c>
      <c r="G13" s="361"/>
      <c r="H13" s="1188">
        <f>VLOOKUP(B11,REKAP_NILAI,44,FALSE)</f>
        <v>0</v>
      </c>
      <c r="I13" s="709">
        <f t="shared" si="7"/>
        <v>0</v>
      </c>
      <c r="J13" s="710">
        <f t="shared" si="8"/>
        <v>0</v>
      </c>
      <c r="K13" s="711" t="str">
        <f t="shared" si="9"/>
        <v>1.33</v>
      </c>
      <c r="L13" s="711" t="str">
        <f t="shared" si="10"/>
        <v>D+</v>
      </c>
      <c r="M13" s="712" t="str">
        <f t="shared" si="11"/>
        <v>0</v>
      </c>
      <c r="N13" s="693"/>
      <c r="O13" s="694"/>
      <c r="P13" s="694"/>
      <c r="Q13" s="695"/>
      <c r="R13" s="695"/>
      <c r="S13" s="696"/>
      <c r="T13" s="1669"/>
      <c r="U13" s="1670"/>
    </row>
    <row r="14" spans="1:21" ht="24.95" customHeight="1" x14ac:dyDescent="0.25">
      <c r="A14" s="697"/>
      <c r="B14" s="698">
        <v>2</v>
      </c>
      <c r="C14" s="699" t="s">
        <v>149</v>
      </c>
      <c r="D14" s="700">
        <v>2</v>
      </c>
      <c r="E14" s="697"/>
      <c r="F14" s="1192"/>
      <c r="G14" s="697"/>
      <c r="H14" s="1189">
        <f>AVERAGE(H11:H13)</f>
        <v>0</v>
      </c>
      <c r="I14" s="705"/>
      <c r="J14" s="713">
        <f>AVERAGE(J11:J13)</f>
        <v>0</v>
      </c>
      <c r="K14" s="714" t="str">
        <f t="shared" ref="K14" si="12">IF(J14&gt;85,("4"),IF(J14&gt;80,("3.66"),IF(J14&gt;75,("3.33"),IF(J14&gt;70,("3.00"),IF(J14&gt;65,("2.66"),IF(J14&gt;60,("2.33"),IF(J14&gt;55,("2"),IF(J14&gt;50,("1.66"),"1.33"))))))))</f>
        <v>1.33</v>
      </c>
      <c r="L14" s="714" t="str">
        <f t="shared" ref="L14" si="13">IF(J14&gt;85,("A"),IF(J14&gt;80,("A-"),IF(J14&gt;75,("B+"),IF(J14&gt;70,("B"),IF(J14&gt;65,("B-"),IF(J14&gt;60,("C+"),IF(J14&gt;55,("C"),IF(J14&gt;50,("C-"),"D+"))))))))</f>
        <v>D+</v>
      </c>
      <c r="M14" s="888" t="str">
        <f t="shared" ref="M14" si="14">IF(J14&gt;80,("SB"),IF(J14&gt;65,("B"),IF(J14&gt;50,("C"),IF(J14&gt;0,("K"),"0"))))</f>
        <v>0</v>
      </c>
      <c r="N14" s="701"/>
      <c r="O14" s="702"/>
      <c r="P14" s="702"/>
      <c r="Q14" s="702"/>
      <c r="R14" s="702"/>
      <c r="S14" s="703"/>
      <c r="T14" s="1257"/>
      <c r="U14" s="1258"/>
    </row>
    <row r="15" spans="1:21" ht="24.95" customHeight="1" x14ac:dyDescent="0.25">
      <c r="A15" s="360">
        <v>3</v>
      </c>
      <c r="B15" s="683">
        <v>3</v>
      </c>
      <c r="C15" s="684" t="str">
        <f>VLOOKUP(A15,data_siswa,4,FALSE)</f>
        <v>Anggun Dwi P.I</v>
      </c>
      <c r="D15" s="991" t="s">
        <v>18</v>
      </c>
      <c r="E15" s="627">
        <f>VLOOKUP(A15,UHT_jawa,18,FALSE)</f>
        <v>0</v>
      </c>
      <c r="F15" s="1190">
        <f>E15*2</f>
        <v>0</v>
      </c>
      <c r="G15" s="361"/>
      <c r="H15" s="1188">
        <f>VLOOKUP(B15,REKAP_NILAI,42,FALSE)</f>
        <v>0</v>
      </c>
      <c r="I15" s="706">
        <f>F15+G15+H15</f>
        <v>0</v>
      </c>
      <c r="J15" s="707">
        <f>(F15+G15+H15)/4</f>
        <v>0</v>
      </c>
      <c r="K15" s="708" t="str">
        <f>IF(J15&gt;85,("4"),IF(J15&gt;80,("3.66"),IF(J15&gt;75,("3.33"),IF(J15&gt;70,("3.00"),IF(J15&gt;65,("2.66"),IF(J15&gt;60,("2.33"),IF(J15&gt;55,("2"),IF(J15&gt;50,("1.66"),"1.33"))))))))</f>
        <v>1.33</v>
      </c>
      <c r="L15" s="708" t="str">
        <f>IF(J15&gt;85,("A"),IF(J15&gt;80,("A-"),IF(J15&gt;75,("B+"),IF(J15&gt;70,("B"),IF(J15&gt;65,("B-"),IF(J15&gt;60,("C+"),IF(J15&gt;55,("C"),IF(J15&gt;50,("C-"),"D+"))))))))</f>
        <v>D+</v>
      </c>
      <c r="M15" s="887" t="str">
        <f>IF(J15&gt;80,("SB"),IF(J15&gt;65,("B"),IF(J15&gt;50,("C"),IF(J15&gt;0,("K"),"0"))))</f>
        <v>0</v>
      </c>
      <c r="N15" s="685"/>
      <c r="O15" s="360"/>
      <c r="P15" s="360"/>
      <c r="Q15" s="686"/>
      <c r="R15" s="686"/>
      <c r="S15" s="686"/>
      <c r="T15" s="704">
        <f>AVERAGE(J15:J17)</f>
        <v>0</v>
      </c>
      <c r="U15" s="1481" t="str">
        <f>IF(T15&gt;85,("A"),IF(T15&gt;80,("A-"),IF(T15&gt;75,("B+"),IF(T15&gt;70,("B"),IF(T15&gt;65,("B-"),IF(T15&gt;60,("C+"),IF(T15&gt;55,("C"),IF(T15&gt;50,("C-"),"D+"))))))))</f>
        <v>D+</v>
      </c>
    </row>
    <row r="16" spans="1:21" ht="24.95" customHeight="1" x14ac:dyDescent="0.25">
      <c r="A16" s="360"/>
      <c r="B16" s="683"/>
      <c r="C16" s="684"/>
      <c r="D16" s="991" t="s">
        <v>179</v>
      </c>
      <c r="E16" s="627">
        <f>VLOOKUP(A15,UHT_jawa,19,FALSE)</f>
        <v>0</v>
      </c>
      <c r="F16" s="1191">
        <f t="shared" ref="F16:F17" si="15">E16*2</f>
        <v>0</v>
      </c>
      <c r="G16" s="361"/>
      <c r="H16" s="1188">
        <f>VLOOKUP(B15,REKAP_NILAI,43,FALSE)</f>
        <v>0</v>
      </c>
      <c r="I16" s="709">
        <f t="shared" ref="I16:I17" si="16">F16+G16+H16</f>
        <v>0</v>
      </c>
      <c r="J16" s="710">
        <f t="shared" ref="J16:J17" si="17">(F16+G16+H16)/4</f>
        <v>0</v>
      </c>
      <c r="K16" s="711" t="str">
        <f t="shared" ref="K16:K17" si="18">IF(J16&gt;85,("4"),IF(J16&gt;80,("3.66"),IF(J16&gt;75,("3.33"),IF(J16&gt;70,("3.00"),IF(J16&gt;65,("2.66"),IF(J16&gt;60,("2.33"),IF(J16&gt;55,("2"),IF(J16&gt;50,("1.66"),"1.33"))))))))</f>
        <v>1.33</v>
      </c>
      <c r="L16" s="711" t="str">
        <f t="shared" ref="L16:L17" si="19">IF(J16&gt;85,("A"),IF(J16&gt;80,("A-"),IF(J16&gt;75,("B+"),IF(J16&gt;70,("B"),IF(J16&gt;65,("B-"),IF(J16&gt;60,("C+"),IF(J16&gt;55,("C"),IF(J16&gt;50,("C-"),"D+"))))))))</f>
        <v>D+</v>
      </c>
      <c r="M16" s="712" t="str">
        <f t="shared" ref="M16:M17" si="20">IF(J16&gt;80,("SB"),IF(J16&gt;65,("B"),IF(J16&gt;50,("C"),IF(J16&gt;0,("K"),"0"))))</f>
        <v>0</v>
      </c>
      <c r="N16" s="689"/>
      <c r="O16" s="690"/>
      <c r="P16" s="690"/>
      <c r="Q16" s="691"/>
      <c r="R16" s="691"/>
      <c r="S16" s="692"/>
      <c r="T16" s="1667"/>
      <c r="U16" s="1668"/>
    </row>
    <row r="17" spans="1:21" ht="24.95" customHeight="1" x14ac:dyDescent="0.25">
      <c r="A17" s="687"/>
      <c r="B17" s="683">
        <v>3</v>
      </c>
      <c r="C17" s="688"/>
      <c r="D17" s="991" t="s">
        <v>20</v>
      </c>
      <c r="E17" s="627">
        <f>VLOOKUP(A15,UHT_jawa,20,FALSE)</f>
        <v>0</v>
      </c>
      <c r="F17" s="1191">
        <f t="shared" si="15"/>
        <v>0</v>
      </c>
      <c r="G17" s="361"/>
      <c r="H17" s="1188">
        <f>VLOOKUP(B15,REKAP_NILAI,44,FALSE)</f>
        <v>0</v>
      </c>
      <c r="I17" s="709">
        <f t="shared" si="16"/>
        <v>0</v>
      </c>
      <c r="J17" s="710">
        <f t="shared" si="17"/>
        <v>0</v>
      </c>
      <c r="K17" s="711" t="str">
        <f t="shared" si="18"/>
        <v>1.33</v>
      </c>
      <c r="L17" s="711" t="str">
        <f t="shared" si="19"/>
        <v>D+</v>
      </c>
      <c r="M17" s="712" t="str">
        <f t="shared" si="20"/>
        <v>0</v>
      </c>
      <c r="N17" s="1169"/>
      <c r="O17" s="1170"/>
      <c r="P17" s="1170"/>
      <c r="Q17" s="1150"/>
      <c r="R17" s="1150"/>
      <c r="S17" s="1151"/>
      <c r="T17" s="1669"/>
      <c r="U17" s="1670"/>
    </row>
    <row r="18" spans="1:21" ht="24.95" customHeight="1" x14ac:dyDescent="0.25">
      <c r="A18" s="697"/>
      <c r="B18" s="698"/>
      <c r="C18" s="699" t="s">
        <v>149</v>
      </c>
      <c r="D18" s="700">
        <v>3</v>
      </c>
      <c r="E18" s="697"/>
      <c r="F18" s="1192"/>
      <c r="G18" s="697"/>
      <c r="H18" s="1189">
        <f>AVERAGE(H15:H17)</f>
        <v>0</v>
      </c>
      <c r="I18" s="705"/>
      <c r="J18" s="713">
        <f>AVERAGE(J15:J17)</f>
        <v>0</v>
      </c>
      <c r="K18" s="714" t="str">
        <f t="shared" ref="K18" si="21">IF(J18&gt;85,("4"),IF(J18&gt;80,("3.66"),IF(J18&gt;75,("3.33"),IF(J18&gt;70,("3.00"),IF(J18&gt;65,("2.66"),IF(J18&gt;60,("2.33"),IF(J18&gt;55,("2"),IF(J18&gt;50,("1.66"),"1.33"))))))))</f>
        <v>1.33</v>
      </c>
      <c r="L18" s="714" t="str">
        <f t="shared" ref="L18" si="22">IF(J18&gt;85,("A"),IF(J18&gt;80,("A-"),IF(J18&gt;75,("B+"),IF(J18&gt;70,("B"),IF(J18&gt;65,("B-"),IF(J18&gt;60,("C+"),IF(J18&gt;55,("C"),IF(J18&gt;50,("C-"),"D+"))))))))</f>
        <v>D+</v>
      </c>
      <c r="M18" s="888" t="str">
        <f t="shared" ref="M18" si="23">IF(J18&gt;80,("SB"),IF(J18&gt;65,("B"),IF(J18&gt;50,("C"),IF(J18&gt;0,("K"),"0"))))</f>
        <v>0</v>
      </c>
      <c r="N18" s="701"/>
      <c r="O18" s="702"/>
      <c r="P18" s="702"/>
      <c r="Q18" s="702"/>
      <c r="R18" s="702"/>
      <c r="S18" s="703"/>
      <c r="T18" s="1257"/>
      <c r="U18" s="1258"/>
    </row>
    <row r="19" spans="1:21" ht="24.95" customHeight="1" x14ac:dyDescent="0.25">
      <c r="A19" s="360">
        <v>4</v>
      </c>
      <c r="B19" s="683">
        <v>4</v>
      </c>
      <c r="C19" s="684" t="str">
        <f>VLOOKUP(A19,data_siswa,4,FALSE)</f>
        <v>Antonio Permata A</v>
      </c>
      <c r="D19" s="991" t="s">
        <v>18</v>
      </c>
      <c r="E19" s="627">
        <f>VLOOKUP(A19,UHT_jawa,18,FALSE)</f>
        <v>0</v>
      </c>
      <c r="F19" s="1190">
        <f>E19*2</f>
        <v>0</v>
      </c>
      <c r="G19" s="361"/>
      <c r="H19" s="1188">
        <f>VLOOKUP(B19,REKAP_NILAI,42,FALSE)</f>
        <v>0</v>
      </c>
      <c r="I19" s="706">
        <f>F19+G19+H19</f>
        <v>0</v>
      </c>
      <c r="J19" s="707">
        <f>(F19+G19+H19)/4</f>
        <v>0</v>
      </c>
      <c r="K19" s="708" t="str">
        <f>IF(J19&gt;85,("4"),IF(J19&gt;80,("3.66"),IF(J19&gt;75,("3.33"),IF(J19&gt;70,("3.00"),IF(J19&gt;65,("2.66"),IF(J19&gt;60,("2.33"),IF(J19&gt;55,("2"),IF(J19&gt;50,("1.66"),"1.33"))))))))</f>
        <v>1.33</v>
      </c>
      <c r="L19" s="708" t="str">
        <f>IF(J19&gt;85,("A"),IF(J19&gt;80,("A-"),IF(J19&gt;75,("B+"),IF(J19&gt;70,("B"),IF(J19&gt;65,("B-"),IF(J19&gt;60,("C+"),IF(J19&gt;55,("C"),IF(J19&gt;50,("C-"),"D+"))))))))</f>
        <v>D+</v>
      </c>
      <c r="M19" s="887" t="str">
        <f>IF(J19&gt;80,("SB"),IF(J19&gt;65,("B"),IF(J19&gt;50,("C"),IF(J19&gt;0,("K"),"0"))))</f>
        <v>0</v>
      </c>
      <c r="N19" s="685"/>
      <c r="O19" s="360"/>
      <c r="P19" s="360"/>
      <c r="Q19" s="686"/>
      <c r="R19" s="686"/>
      <c r="S19" s="686"/>
      <c r="T19" s="704">
        <f>AVERAGE(J19:J21)</f>
        <v>0</v>
      </c>
      <c r="U19" s="1481" t="str">
        <f>IF(T19&gt;85,("A"),IF(T19&gt;80,("A-"),IF(T19&gt;75,("B+"),IF(T19&gt;70,("B"),IF(T19&gt;65,("B-"),IF(T19&gt;60,("C+"),IF(T19&gt;55,("C"),IF(T19&gt;50,("C-"),"D+"))))))))</f>
        <v>D+</v>
      </c>
    </row>
    <row r="20" spans="1:21" ht="24.95" customHeight="1" x14ac:dyDescent="0.25">
      <c r="A20" s="687"/>
      <c r="B20" s="683">
        <v>4</v>
      </c>
      <c r="C20" s="688"/>
      <c r="D20" s="991" t="s">
        <v>179</v>
      </c>
      <c r="E20" s="627">
        <f>VLOOKUP(A19,UHT_jawa,19,FALSE)</f>
        <v>0</v>
      </c>
      <c r="F20" s="1191">
        <f t="shared" ref="F20:F21" si="24">E20*2</f>
        <v>0</v>
      </c>
      <c r="G20" s="361"/>
      <c r="H20" s="1188">
        <f>VLOOKUP(B19,REKAP_NILAI,43,FALSE)</f>
        <v>0</v>
      </c>
      <c r="I20" s="709">
        <f t="shared" ref="I20:I21" si="25">F20+G20+H20</f>
        <v>0</v>
      </c>
      <c r="J20" s="710">
        <f t="shared" ref="J20:J21" si="26">(F20+G20+H20)/4</f>
        <v>0</v>
      </c>
      <c r="K20" s="711" t="str">
        <f t="shared" ref="K20:K21" si="27">IF(J20&gt;85,("4"),IF(J20&gt;80,("3.66"),IF(J20&gt;75,("3.33"),IF(J20&gt;70,("3.00"),IF(J20&gt;65,("2.66"),IF(J20&gt;60,("2.33"),IF(J20&gt;55,("2"),IF(J20&gt;50,("1.66"),"1.33"))))))))</f>
        <v>1.33</v>
      </c>
      <c r="L20" s="711" t="str">
        <f t="shared" ref="L20:L21" si="28">IF(J20&gt;85,("A"),IF(J20&gt;80,("A-"),IF(J20&gt;75,("B+"),IF(J20&gt;70,("B"),IF(J20&gt;65,("B-"),IF(J20&gt;60,("C+"),IF(J20&gt;55,("C"),IF(J20&gt;50,("C-"),"D+"))))))))</f>
        <v>D+</v>
      </c>
      <c r="M20" s="712" t="str">
        <f t="shared" ref="M20:M21" si="29">IF(J20&gt;80,("SB"),IF(J20&gt;65,("B"),IF(J20&gt;50,("C"),IF(J20&gt;0,("K"),"0"))))</f>
        <v>0</v>
      </c>
      <c r="N20" s="689"/>
      <c r="O20" s="690"/>
      <c r="P20" s="690"/>
      <c r="Q20" s="691"/>
      <c r="R20" s="691"/>
      <c r="S20" s="692"/>
      <c r="T20" s="1667"/>
      <c r="U20" s="1668"/>
    </row>
    <row r="21" spans="1:21" ht="24.95" customHeight="1" x14ac:dyDescent="0.25">
      <c r="A21" s="687"/>
      <c r="B21" s="683">
        <v>4</v>
      </c>
      <c r="C21" s="688"/>
      <c r="D21" s="991" t="s">
        <v>20</v>
      </c>
      <c r="E21" s="627">
        <f>VLOOKUP(A19,UHT_jawa,20,FALSE)</f>
        <v>0</v>
      </c>
      <c r="F21" s="1191">
        <f t="shared" si="24"/>
        <v>0</v>
      </c>
      <c r="G21" s="361"/>
      <c r="H21" s="1188">
        <f>VLOOKUP(B19,REKAP_NILAI,44,FALSE)</f>
        <v>0</v>
      </c>
      <c r="I21" s="709">
        <f t="shared" si="25"/>
        <v>0</v>
      </c>
      <c r="J21" s="710">
        <f t="shared" si="26"/>
        <v>0</v>
      </c>
      <c r="K21" s="711" t="str">
        <f t="shared" si="27"/>
        <v>1.33</v>
      </c>
      <c r="L21" s="711" t="str">
        <f t="shared" si="28"/>
        <v>D+</v>
      </c>
      <c r="M21" s="712" t="str">
        <f t="shared" si="29"/>
        <v>0</v>
      </c>
      <c r="N21" s="693"/>
      <c r="O21" s="694"/>
      <c r="P21" s="694"/>
      <c r="Q21" s="695"/>
      <c r="R21" s="695"/>
      <c r="S21" s="696"/>
      <c r="T21" s="1669"/>
      <c r="U21" s="1670"/>
    </row>
    <row r="22" spans="1:21" ht="24.95" customHeight="1" x14ac:dyDescent="0.25">
      <c r="A22" s="697"/>
      <c r="B22" s="698"/>
      <c r="C22" s="699" t="s">
        <v>149</v>
      </c>
      <c r="D22" s="700">
        <v>4</v>
      </c>
      <c r="E22" s="697"/>
      <c r="F22" s="1192"/>
      <c r="G22" s="697"/>
      <c r="H22" s="1189">
        <f>AVERAGE(H19:H21)</f>
        <v>0</v>
      </c>
      <c r="I22" s="705"/>
      <c r="J22" s="713">
        <f>AVERAGE(J19:J21)</f>
        <v>0</v>
      </c>
      <c r="K22" s="714" t="str">
        <f t="shared" ref="K22" si="30">IF(J22&gt;85,("4"),IF(J22&gt;80,("3.66"),IF(J22&gt;75,("3.33"),IF(J22&gt;70,("3.00"),IF(J22&gt;65,("2.66"),IF(J22&gt;60,("2.33"),IF(J22&gt;55,("2"),IF(J22&gt;50,("1.66"),"1.33"))))))))</f>
        <v>1.33</v>
      </c>
      <c r="L22" s="714" t="str">
        <f t="shared" ref="L22" si="31">IF(J22&gt;85,("A"),IF(J22&gt;80,("A-"),IF(J22&gt;75,("B+"),IF(J22&gt;70,("B"),IF(J22&gt;65,("B-"),IF(J22&gt;60,("C+"),IF(J22&gt;55,("C"),IF(J22&gt;50,("C-"),"D+"))))))))</f>
        <v>D+</v>
      </c>
      <c r="M22" s="888" t="str">
        <f t="shared" ref="M22" si="32">IF(J22&gt;80,("SB"),IF(J22&gt;65,("B"),IF(J22&gt;50,("C"),IF(J22&gt;0,("K"),"0"))))</f>
        <v>0</v>
      </c>
      <c r="N22" s="701"/>
      <c r="O22" s="702"/>
      <c r="P22" s="702"/>
      <c r="Q22" s="702"/>
      <c r="R22" s="702"/>
      <c r="S22" s="703"/>
      <c r="T22" s="1257"/>
      <c r="U22" s="1258"/>
    </row>
    <row r="23" spans="1:21" ht="24.95" customHeight="1" x14ac:dyDescent="0.25">
      <c r="A23" s="360">
        <v>5</v>
      </c>
      <c r="B23" s="683">
        <v>5</v>
      </c>
      <c r="C23" s="684" t="str">
        <f>VLOOKUP(A23,data_siswa,4,FALSE)</f>
        <v>Arya Pratama G</v>
      </c>
      <c r="D23" s="991" t="s">
        <v>18</v>
      </c>
      <c r="E23" s="627">
        <f>VLOOKUP(A23,UHT_jawa,18,FALSE)</f>
        <v>0</v>
      </c>
      <c r="F23" s="1190">
        <f>E23*2</f>
        <v>0</v>
      </c>
      <c r="G23" s="361"/>
      <c r="H23" s="1188">
        <f>VLOOKUP(B23,REKAP_NILAI,42,FALSE)</f>
        <v>0</v>
      </c>
      <c r="I23" s="706">
        <f>F23+G23+H23</f>
        <v>0</v>
      </c>
      <c r="J23" s="707">
        <f>(F23+G23+H23)/4</f>
        <v>0</v>
      </c>
      <c r="K23" s="708" t="str">
        <f>IF(J23&gt;85,("4"),IF(J23&gt;80,("3.66"),IF(J23&gt;75,("3.33"),IF(J23&gt;70,("3.00"),IF(J23&gt;65,("2.66"),IF(J23&gt;60,("2.33"),IF(J23&gt;55,("2"),IF(J23&gt;50,("1.66"),"1.33"))))))))</f>
        <v>1.33</v>
      </c>
      <c r="L23" s="708" t="str">
        <f>IF(J23&gt;85,("A"),IF(J23&gt;80,("A-"),IF(J23&gt;75,("B+"),IF(J23&gt;70,("B"),IF(J23&gt;65,("B-"),IF(J23&gt;60,("C+"),IF(J23&gt;55,("C"),IF(J23&gt;50,("C-"),"D+"))))))))</f>
        <v>D+</v>
      </c>
      <c r="M23" s="887" t="str">
        <f>IF(J23&gt;80,("SB"),IF(J23&gt;65,("B"),IF(J23&gt;50,("C"),IF(J23&gt;0,("K"),"0"))))</f>
        <v>0</v>
      </c>
      <c r="N23" s="685"/>
      <c r="O23" s="360"/>
      <c r="P23" s="360"/>
      <c r="Q23" s="686"/>
      <c r="R23" s="686"/>
      <c r="S23" s="686"/>
      <c r="T23" s="704">
        <f>AVERAGE(J23:J25)</f>
        <v>0</v>
      </c>
      <c r="U23" s="1481" t="str">
        <f>IF(T23&gt;85,("A"),IF(T23&gt;80,("A-"),IF(T23&gt;75,("B+"),IF(T23&gt;70,("B"),IF(T23&gt;65,("B-"),IF(T23&gt;60,("C+"),IF(T23&gt;55,("C"),IF(T23&gt;50,("C-"),"D+"))))))))</f>
        <v>D+</v>
      </c>
    </row>
    <row r="24" spans="1:21" ht="24.95" customHeight="1" x14ac:dyDescent="0.25">
      <c r="A24" s="687"/>
      <c r="B24" s="683">
        <v>5</v>
      </c>
      <c r="C24" s="688"/>
      <c r="D24" s="991" t="s">
        <v>179</v>
      </c>
      <c r="E24" s="627">
        <f>VLOOKUP(A23,UHT_jawa,19,FALSE)</f>
        <v>0</v>
      </c>
      <c r="F24" s="1191">
        <f t="shared" ref="F24:F25" si="33">E24*2</f>
        <v>0</v>
      </c>
      <c r="G24" s="361"/>
      <c r="H24" s="1188">
        <f>VLOOKUP(B23,REKAP_NILAI,43,FALSE)</f>
        <v>0</v>
      </c>
      <c r="I24" s="709">
        <f t="shared" ref="I24:I25" si="34">F24+G24+H24</f>
        <v>0</v>
      </c>
      <c r="J24" s="710">
        <f t="shared" ref="J24:J25" si="35">(F24+G24+H24)/4</f>
        <v>0</v>
      </c>
      <c r="K24" s="711" t="str">
        <f t="shared" ref="K24:K25" si="36">IF(J24&gt;85,("4"),IF(J24&gt;80,("3.66"),IF(J24&gt;75,("3.33"),IF(J24&gt;70,("3.00"),IF(J24&gt;65,("2.66"),IF(J24&gt;60,("2.33"),IF(J24&gt;55,("2"),IF(J24&gt;50,("1.66"),"1.33"))))))))</f>
        <v>1.33</v>
      </c>
      <c r="L24" s="711" t="str">
        <f t="shared" ref="L24:L25" si="37">IF(J24&gt;85,("A"),IF(J24&gt;80,("A-"),IF(J24&gt;75,("B+"),IF(J24&gt;70,("B"),IF(J24&gt;65,("B-"),IF(J24&gt;60,("C+"),IF(J24&gt;55,("C"),IF(J24&gt;50,("C-"),"D+"))))))))</f>
        <v>D+</v>
      </c>
      <c r="M24" s="712" t="str">
        <f t="shared" ref="M24:M25" si="38">IF(J24&gt;80,("SB"),IF(J24&gt;65,("B"),IF(J24&gt;50,("C"),IF(J24&gt;0,("K"),"0"))))</f>
        <v>0</v>
      </c>
      <c r="N24" s="689"/>
      <c r="O24" s="690"/>
      <c r="P24" s="690"/>
      <c r="Q24" s="691"/>
      <c r="R24" s="691"/>
      <c r="S24" s="692"/>
      <c r="T24" s="1667"/>
      <c r="U24" s="1668"/>
    </row>
    <row r="25" spans="1:21" ht="24.95" customHeight="1" x14ac:dyDescent="0.25">
      <c r="A25" s="687"/>
      <c r="B25" s="683">
        <v>5</v>
      </c>
      <c r="C25" s="688"/>
      <c r="D25" s="991" t="s">
        <v>20</v>
      </c>
      <c r="E25" s="627">
        <f>VLOOKUP(A23,UHT_jawa,20,FALSE)</f>
        <v>0</v>
      </c>
      <c r="F25" s="1191">
        <f t="shared" si="33"/>
        <v>0</v>
      </c>
      <c r="G25" s="361"/>
      <c r="H25" s="1188">
        <f>VLOOKUP(B23,REKAP_NILAI,44,FALSE)</f>
        <v>0</v>
      </c>
      <c r="I25" s="709">
        <f t="shared" si="34"/>
        <v>0</v>
      </c>
      <c r="J25" s="710">
        <f t="shared" si="35"/>
        <v>0</v>
      </c>
      <c r="K25" s="711" t="str">
        <f t="shared" si="36"/>
        <v>1.33</v>
      </c>
      <c r="L25" s="711" t="str">
        <f t="shared" si="37"/>
        <v>D+</v>
      </c>
      <c r="M25" s="712" t="str">
        <f t="shared" si="38"/>
        <v>0</v>
      </c>
      <c r="N25" s="693"/>
      <c r="O25" s="694"/>
      <c r="P25" s="694"/>
      <c r="Q25" s="695"/>
      <c r="R25" s="695"/>
      <c r="S25" s="696"/>
      <c r="T25" s="1669"/>
      <c r="U25" s="1670"/>
    </row>
    <row r="26" spans="1:21" ht="24.95" customHeight="1" x14ac:dyDescent="0.25">
      <c r="A26" s="697"/>
      <c r="B26" s="698"/>
      <c r="C26" s="699" t="s">
        <v>149</v>
      </c>
      <c r="D26" s="700">
        <v>5</v>
      </c>
      <c r="E26" s="697"/>
      <c r="F26" s="1192"/>
      <c r="G26" s="697"/>
      <c r="H26" s="1189">
        <f>AVERAGE(H23:H25)</f>
        <v>0</v>
      </c>
      <c r="I26" s="705"/>
      <c r="J26" s="713">
        <f>AVERAGE(J23:J25)</f>
        <v>0</v>
      </c>
      <c r="K26" s="714" t="str">
        <f t="shared" ref="K26" si="39">IF(J26&gt;85,("4"),IF(J26&gt;80,("3.66"),IF(J26&gt;75,("3.33"),IF(J26&gt;70,("3.00"),IF(J26&gt;65,("2.66"),IF(J26&gt;60,("2.33"),IF(J26&gt;55,("2"),IF(J26&gt;50,("1.66"),"1.33"))))))))</f>
        <v>1.33</v>
      </c>
      <c r="L26" s="714" t="str">
        <f t="shared" ref="L26" si="40">IF(J26&gt;85,("A"),IF(J26&gt;80,("A-"),IF(J26&gt;75,("B+"),IF(J26&gt;70,("B"),IF(J26&gt;65,("B-"),IF(J26&gt;60,("C+"),IF(J26&gt;55,("C"),IF(J26&gt;50,("C-"),"D+"))))))))</f>
        <v>D+</v>
      </c>
      <c r="M26" s="888" t="str">
        <f t="shared" ref="M26" si="41">IF(J26&gt;80,("SB"),IF(J26&gt;65,("B"),IF(J26&gt;50,("C"),IF(J26&gt;0,("K"),"0"))))</f>
        <v>0</v>
      </c>
      <c r="N26" s="701"/>
      <c r="O26" s="702"/>
      <c r="P26" s="702"/>
      <c r="Q26" s="702"/>
      <c r="R26" s="702"/>
      <c r="S26" s="703"/>
      <c r="T26" s="1257"/>
      <c r="U26" s="1258"/>
    </row>
    <row r="27" spans="1:21" ht="24.95" customHeight="1" x14ac:dyDescent="0.25">
      <c r="A27" s="360">
        <v>6</v>
      </c>
      <c r="B27" s="683">
        <v>6</v>
      </c>
      <c r="C27" s="684" t="str">
        <f>VLOOKUP(A27,data_siswa,4,FALSE)</f>
        <v>Asyam Hanif Ihsan H</v>
      </c>
      <c r="D27" s="991" t="s">
        <v>18</v>
      </c>
      <c r="E27" s="627">
        <f>VLOOKUP(A27,UHT_jawa,18,FALSE)</f>
        <v>0</v>
      </c>
      <c r="F27" s="1190">
        <f>E27*2</f>
        <v>0</v>
      </c>
      <c r="G27" s="361"/>
      <c r="H27" s="1188">
        <f>VLOOKUP(B27,REKAP_NILAI,42,FALSE)</f>
        <v>0</v>
      </c>
      <c r="I27" s="706">
        <f>F27+G27+H27</f>
        <v>0</v>
      </c>
      <c r="J27" s="707">
        <f>(F27+G27+H27)/4</f>
        <v>0</v>
      </c>
      <c r="K27" s="708" t="str">
        <f>IF(J27&gt;85,("4"),IF(J27&gt;80,("3.66"),IF(J27&gt;75,("3.33"),IF(J27&gt;70,("3.00"),IF(J27&gt;65,("2.66"),IF(J27&gt;60,("2.33"),IF(J27&gt;55,("2"),IF(J27&gt;50,("1.66"),"1.33"))))))))</f>
        <v>1.33</v>
      </c>
      <c r="L27" s="708" t="str">
        <f>IF(J27&gt;85,("A"),IF(J27&gt;80,("A-"),IF(J27&gt;75,("B+"),IF(J27&gt;70,("B"),IF(J27&gt;65,("B-"),IF(J27&gt;60,("C+"),IF(J27&gt;55,("C"),IF(J27&gt;50,("C-"),"D+"))))))))</f>
        <v>D+</v>
      </c>
      <c r="M27" s="887" t="str">
        <f>IF(J27&gt;80,("SB"),IF(J27&gt;65,("B"),IF(J27&gt;50,("C"),IF(J27&gt;0,("K"),"0"))))</f>
        <v>0</v>
      </c>
      <c r="N27" s="685"/>
      <c r="O27" s="360"/>
      <c r="P27" s="360"/>
      <c r="Q27" s="686"/>
      <c r="R27" s="686"/>
      <c r="S27" s="686"/>
      <c r="T27" s="704">
        <f>AVERAGE(J27:J29)</f>
        <v>0</v>
      </c>
      <c r="U27" s="1481" t="str">
        <f>IF(T27&gt;85,("A"),IF(T27&gt;80,("A-"),IF(T27&gt;75,("B+"),IF(T27&gt;70,("B"),IF(T27&gt;65,("B-"),IF(T27&gt;60,("C+"),IF(T27&gt;55,("C"),IF(T27&gt;50,("C-"),"D+"))))))))</f>
        <v>D+</v>
      </c>
    </row>
    <row r="28" spans="1:21" ht="24.95" customHeight="1" x14ac:dyDescent="0.25">
      <c r="A28" s="687"/>
      <c r="B28" s="683">
        <v>6</v>
      </c>
      <c r="C28" s="688"/>
      <c r="D28" s="991" t="s">
        <v>179</v>
      </c>
      <c r="E28" s="627">
        <f>VLOOKUP(A27,UHT_jawa,19,FALSE)</f>
        <v>0</v>
      </c>
      <c r="F28" s="1191">
        <f t="shared" ref="F28:F29" si="42">E28*2</f>
        <v>0</v>
      </c>
      <c r="G28" s="361"/>
      <c r="H28" s="1188">
        <f>VLOOKUP(B27,REKAP_NILAI,43,FALSE)</f>
        <v>0</v>
      </c>
      <c r="I28" s="709">
        <f t="shared" ref="I28:I29" si="43">F28+G28+H28</f>
        <v>0</v>
      </c>
      <c r="J28" s="710">
        <f t="shared" ref="J28:J29" si="44">(F28+G28+H28)/4</f>
        <v>0</v>
      </c>
      <c r="K28" s="711" t="str">
        <f t="shared" ref="K28:K29" si="45">IF(J28&gt;85,("4"),IF(J28&gt;80,("3.66"),IF(J28&gt;75,("3.33"),IF(J28&gt;70,("3.00"),IF(J28&gt;65,("2.66"),IF(J28&gt;60,("2.33"),IF(J28&gt;55,("2"),IF(J28&gt;50,("1.66"),"1.33"))))))))</f>
        <v>1.33</v>
      </c>
      <c r="L28" s="711" t="str">
        <f t="shared" ref="L28:L29" si="46">IF(J28&gt;85,("A"),IF(J28&gt;80,("A-"),IF(J28&gt;75,("B+"),IF(J28&gt;70,("B"),IF(J28&gt;65,("B-"),IF(J28&gt;60,("C+"),IF(J28&gt;55,("C"),IF(J28&gt;50,("C-"),"D+"))))))))</f>
        <v>D+</v>
      </c>
      <c r="M28" s="712" t="str">
        <f t="shared" ref="M28:M29" si="47">IF(J28&gt;80,("SB"),IF(J28&gt;65,("B"),IF(J28&gt;50,("C"),IF(J28&gt;0,("K"),"0"))))</f>
        <v>0</v>
      </c>
      <c r="N28" s="689"/>
      <c r="O28" s="690"/>
      <c r="P28" s="690"/>
      <c r="Q28" s="691"/>
      <c r="R28" s="691"/>
      <c r="S28" s="692"/>
      <c r="T28" s="1667"/>
      <c r="U28" s="1668"/>
    </row>
    <row r="29" spans="1:21" ht="24.95" customHeight="1" x14ac:dyDescent="0.25">
      <c r="A29" s="687"/>
      <c r="B29" s="683">
        <v>6</v>
      </c>
      <c r="C29" s="688"/>
      <c r="D29" s="991" t="s">
        <v>20</v>
      </c>
      <c r="E29" s="627">
        <f>VLOOKUP(A27,UHT_jawa,20,FALSE)</f>
        <v>0</v>
      </c>
      <c r="F29" s="1191">
        <f t="shared" si="42"/>
        <v>0</v>
      </c>
      <c r="G29" s="361"/>
      <c r="H29" s="1188">
        <f>VLOOKUP(B27,REKAP_NILAI,44,FALSE)</f>
        <v>0</v>
      </c>
      <c r="I29" s="709">
        <f t="shared" si="43"/>
        <v>0</v>
      </c>
      <c r="J29" s="710">
        <f t="shared" si="44"/>
        <v>0</v>
      </c>
      <c r="K29" s="711" t="str">
        <f t="shared" si="45"/>
        <v>1.33</v>
      </c>
      <c r="L29" s="711" t="str">
        <f t="shared" si="46"/>
        <v>D+</v>
      </c>
      <c r="M29" s="712" t="str">
        <f t="shared" si="47"/>
        <v>0</v>
      </c>
      <c r="N29" s="693"/>
      <c r="O29" s="694"/>
      <c r="P29" s="694"/>
      <c r="Q29" s="695"/>
      <c r="R29" s="695"/>
      <c r="S29" s="696"/>
      <c r="T29" s="1669"/>
      <c r="U29" s="1670"/>
    </row>
    <row r="30" spans="1:21" ht="24.95" customHeight="1" x14ac:dyDescent="0.25">
      <c r="A30" s="697"/>
      <c r="B30" s="698"/>
      <c r="C30" s="699" t="s">
        <v>149</v>
      </c>
      <c r="D30" s="700">
        <v>6</v>
      </c>
      <c r="E30" s="697"/>
      <c r="F30" s="1192"/>
      <c r="G30" s="697"/>
      <c r="H30" s="1189">
        <f>AVERAGE(H27:H29)</f>
        <v>0</v>
      </c>
      <c r="I30" s="705"/>
      <c r="J30" s="713">
        <f>AVERAGE(J27:J29)</f>
        <v>0</v>
      </c>
      <c r="K30" s="714" t="str">
        <f t="shared" ref="K30" si="48">IF(J30&gt;85,("4"),IF(J30&gt;80,("3.66"),IF(J30&gt;75,("3.33"),IF(J30&gt;70,("3.00"),IF(J30&gt;65,("2.66"),IF(J30&gt;60,("2.33"),IF(J30&gt;55,("2"),IF(J30&gt;50,("1.66"),"1.33"))))))))</f>
        <v>1.33</v>
      </c>
      <c r="L30" s="714" t="str">
        <f t="shared" ref="L30" si="49">IF(J30&gt;85,("A"),IF(J30&gt;80,("A-"),IF(J30&gt;75,("B+"),IF(J30&gt;70,("B"),IF(J30&gt;65,("B-"),IF(J30&gt;60,("C+"),IF(J30&gt;55,("C"),IF(J30&gt;50,("C-"),"D+"))))))))</f>
        <v>D+</v>
      </c>
      <c r="M30" s="888" t="str">
        <f t="shared" ref="M30" si="50">IF(J30&gt;80,("SB"),IF(J30&gt;65,("B"),IF(J30&gt;50,("C"),IF(J30&gt;0,("K"),"0"))))</f>
        <v>0</v>
      </c>
      <c r="N30" s="701"/>
      <c r="O30" s="702"/>
      <c r="P30" s="702"/>
      <c r="Q30" s="702"/>
      <c r="R30" s="702"/>
      <c r="S30" s="703"/>
      <c r="T30" s="1257"/>
      <c r="U30" s="1258"/>
    </row>
    <row r="31" spans="1:21" ht="24.95" customHeight="1" x14ac:dyDescent="0.25">
      <c r="A31" s="360">
        <v>7</v>
      </c>
      <c r="B31" s="683">
        <v>7</v>
      </c>
      <c r="C31" s="684" t="str">
        <f>VLOOKUP(A31,data_siswa,4,FALSE)</f>
        <v>Athaya Salsabilla Z</v>
      </c>
      <c r="D31" s="991" t="s">
        <v>18</v>
      </c>
      <c r="E31" s="627">
        <f>VLOOKUP(A31,UHT_jawa,18,FALSE)</f>
        <v>0</v>
      </c>
      <c r="F31" s="1190">
        <f>E31*2</f>
        <v>0</v>
      </c>
      <c r="G31" s="361"/>
      <c r="H31" s="1188">
        <f>VLOOKUP(B31,REKAP_NILAI,42,FALSE)</f>
        <v>0</v>
      </c>
      <c r="I31" s="706">
        <f>F31+G31+H31</f>
        <v>0</v>
      </c>
      <c r="J31" s="707">
        <f>(F31+G31+H31)/4</f>
        <v>0</v>
      </c>
      <c r="K31" s="708" t="str">
        <f>IF(J31&gt;85,("4"),IF(J31&gt;80,("3.66"),IF(J31&gt;75,("3.33"),IF(J31&gt;70,("3.00"),IF(J31&gt;65,("2.66"),IF(J31&gt;60,("2.33"),IF(J31&gt;55,("2"),IF(J31&gt;50,("1.66"),"1.33"))))))))</f>
        <v>1.33</v>
      </c>
      <c r="L31" s="708" t="str">
        <f>IF(J31&gt;85,("A"),IF(J31&gt;80,("A-"),IF(J31&gt;75,("B+"),IF(J31&gt;70,("B"),IF(J31&gt;65,("B-"),IF(J31&gt;60,("C+"),IF(J31&gt;55,("C"),IF(J31&gt;50,("C-"),"D+"))))))))</f>
        <v>D+</v>
      </c>
      <c r="M31" s="887" t="str">
        <f>IF(J31&gt;80,("SB"),IF(J31&gt;65,("B"),IF(J31&gt;50,("C"),IF(J31&gt;0,("K"),"0"))))</f>
        <v>0</v>
      </c>
      <c r="N31" s="685"/>
      <c r="O31" s="360"/>
      <c r="P31" s="360"/>
      <c r="Q31" s="686"/>
      <c r="R31" s="686"/>
      <c r="S31" s="686"/>
      <c r="T31" s="704">
        <f>AVERAGE(J31:J33)</f>
        <v>0</v>
      </c>
      <c r="U31" s="1481" t="str">
        <f>IF(T31&gt;85,("A"),IF(T31&gt;80,("A-"),IF(T31&gt;75,("B+"),IF(T31&gt;70,("B"),IF(T31&gt;65,("B-"),IF(T31&gt;60,("C+"),IF(T31&gt;55,("C"),IF(T31&gt;50,("C-"),"D+"))))))))</f>
        <v>D+</v>
      </c>
    </row>
    <row r="32" spans="1:21" ht="24.95" customHeight="1" x14ac:dyDescent="0.25">
      <c r="A32" s="687"/>
      <c r="B32" s="683">
        <v>7</v>
      </c>
      <c r="C32" s="688"/>
      <c r="D32" s="991" t="s">
        <v>179</v>
      </c>
      <c r="E32" s="627">
        <f>VLOOKUP(A31,UHT_jawa,19,FALSE)</f>
        <v>0</v>
      </c>
      <c r="F32" s="1191">
        <f t="shared" ref="F32:F33" si="51">E32*2</f>
        <v>0</v>
      </c>
      <c r="G32" s="361"/>
      <c r="H32" s="1188">
        <f>VLOOKUP(B31,REKAP_NILAI,43,FALSE)</f>
        <v>0</v>
      </c>
      <c r="I32" s="709">
        <f t="shared" ref="I32:I33" si="52">F32+G32+H32</f>
        <v>0</v>
      </c>
      <c r="J32" s="710">
        <f t="shared" ref="J32:J33" si="53">(F32+G32+H32)/4</f>
        <v>0</v>
      </c>
      <c r="K32" s="711" t="str">
        <f t="shared" ref="K32:K33" si="54">IF(J32&gt;85,("4"),IF(J32&gt;80,("3.66"),IF(J32&gt;75,("3.33"),IF(J32&gt;70,("3.00"),IF(J32&gt;65,("2.66"),IF(J32&gt;60,("2.33"),IF(J32&gt;55,("2"),IF(J32&gt;50,("1.66"),"1.33"))))))))</f>
        <v>1.33</v>
      </c>
      <c r="L32" s="711" t="str">
        <f t="shared" ref="L32:L33" si="55">IF(J32&gt;85,("A"),IF(J32&gt;80,("A-"),IF(J32&gt;75,("B+"),IF(J32&gt;70,("B"),IF(J32&gt;65,("B-"),IF(J32&gt;60,("C+"),IF(J32&gt;55,("C"),IF(J32&gt;50,("C-"),"D+"))))))))</f>
        <v>D+</v>
      </c>
      <c r="M32" s="712" t="str">
        <f t="shared" ref="M32:M33" si="56">IF(J32&gt;80,("SB"),IF(J32&gt;65,("B"),IF(J32&gt;50,("C"),IF(J32&gt;0,("K"),"0"))))</f>
        <v>0</v>
      </c>
      <c r="N32" s="689"/>
      <c r="O32" s="690"/>
      <c r="P32" s="690"/>
      <c r="Q32" s="691"/>
      <c r="R32" s="691"/>
      <c r="S32" s="692"/>
      <c r="T32" s="1667"/>
      <c r="U32" s="1668"/>
    </row>
    <row r="33" spans="1:21" ht="24.95" customHeight="1" x14ac:dyDescent="0.25">
      <c r="A33" s="687"/>
      <c r="B33" s="683">
        <v>7</v>
      </c>
      <c r="C33" s="688"/>
      <c r="D33" s="991" t="s">
        <v>20</v>
      </c>
      <c r="E33" s="627">
        <f>VLOOKUP(A31,UHT_jawa,20,FALSE)</f>
        <v>0</v>
      </c>
      <c r="F33" s="1191">
        <f t="shared" si="51"/>
        <v>0</v>
      </c>
      <c r="G33" s="361"/>
      <c r="H33" s="1188">
        <f>VLOOKUP(B31,REKAP_NILAI,44,FALSE)</f>
        <v>0</v>
      </c>
      <c r="I33" s="709">
        <f t="shared" si="52"/>
        <v>0</v>
      </c>
      <c r="J33" s="710">
        <f t="shared" si="53"/>
        <v>0</v>
      </c>
      <c r="K33" s="711" t="str">
        <f t="shared" si="54"/>
        <v>1.33</v>
      </c>
      <c r="L33" s="711" t="str">
        <f t="shared" si="55"/>
        <v>D+</v>
      </c>
      <c r="M33" s="712" t="str">
        <f t="shared" si="56"/>
        <v>0</v>
      </c>
      <c r="N33" s="693"/>
      <c r="O33" s="694"/>
      <c r="P33" s="694"/>
      <c r="Q33" s="695"/>
      <c r="R33" s="695"/>
      <c r="S33" s="696"/>
      <c r="T33" s="1669"/>
      <c r="U33" s="1670"/>
    </row>
    <row r="34" spans="1:21" ht="24.95" customHeight="1" x14ac:dyDescent="0.25">
      <c r="A34" s="697"/>
      <c r="B34" s="698"/>
      <c r="C34" s="699" t="s">
        <v>149</v>
      </c>
      <c r="D34" s="700">
        <v>7</v>
      </c>
      <c r="E34" s="697"/>
      <c r="F34" s="1192"/>
      <c r="G34" s="697"/>
      <c r="H34" s="1189">
        <f>AVERAGE(H31:H33)</f>
        <v>0</v>
      </c>
      <c r="I34" s="705"/>
      <c r="J34" s="713">
        <f>AVERAGE(J31:J33)</f>
        <v>0</v>
      </c>
      <c r="K34" s="714" t="str">
        <f t="shared" ref="K34" si="57">IF(J34&gt;85,("4"),IF(J34&gt;80,("3.66"),IF(J34&gt;75,("3.33"),IF(J34&gt;70,("3.00"),IF(J34&gt;65,("2.66"),IF(J34&gt;60,("2.33"),IF(J34&gt;55,("2"),IF(J34&gt;50,("1.66"),"1.33"))))))))</f>
        <v>1.33</v>
      </c>
      <c r="L34" s="714" t="str">
        <f t="shared" ref="L34" si="58">IF(J34&gt;85,("A"),IF(J34&gt;80,("A-"),IF(J34&gt;75,("B+"),IF(J34&gt;70,("B"),IF(J34&gt;65,("B-"),IF(J34&gt;60,("C+"),IF(J34&gt;55,("C"),IF(J34&gt;50,("C-"),"D+"))))))))</f>
        <v>D+</v>
      </c>
      <c r="M34" s="888" t="str">
        <f t="shared" ref="M34" si="59">IF(J34&gt;80,("SB"),IF(J34&gt;65,("B"),IF(J34&gt;50,("C"),IF(J34&gt;0,("K"),"0"))))</f>
        <v>0</v>
      </c>
      <c r="N34" s="701"/>
      <c r="O34" s="702"/>
      <c r="P34" s="702"/>
      <c r="Q34" s="702"/>
      <c r="R34" s="702"/>
      <c r="S34" s="703"/>
      <c r="T34" s="1257"/>
      <c r="U34" s="1258"/>
    </row>
    <row r="35" spans="1:21" ht="24.95" customHeight="1" x14ac:dyDescent="0.25">
      <c r="A35" s="360">
        <v>8</v>
      </c>
      <c r="B35" s="683">
        <v>8</v>
      </c>
      <c r="C35" s="684" t="str">
        <f>VLOOKUP(A35,data_siswa,4,FALSE)</f>
        <v>Aulia Dea Rosalinda</v>
      </c>
      <c r="D35" s="991" t="s">
        <v>18</v>
      </c>
      <c r="E35" s="627">
        <f>VLOOKUP(A35,UHT_jawa,18,FALSE)</f>
        <v>0</v>
      </c>
      <c r="F35" s="1190">
        <f>E35*2</f>
        <v>0</v>
      </c>
      <c r="G35" s="361"/>
      <c r="H35" s="1188">
        <f>VLOOKUP(B35,REKAP_NILAI,42,FALSE)</f>
        <v>0</v>
      </c>
      <c r="I35" s="706">
        <f>F35+G35+H35</f>
        <v>0</v>
      </c>
      <c r="J35" s="707">
        <f>(F35+G35+H35)/4</f>
        <v>0</v>
      </c>
      <c r="K35" s="708" t="str">
        <f>IF(J35&gt;85,("4"),IF(J35&gt;80,("3.66"),IF(J35&gt;75,("3.33"),IF(J35&gt;70,("3.00"),IF(J35&gt;65,("2.66"),IF(J35&gt;60,("2.33"),IF(J35&gt;55,("2"),IF(J35&gt;50,("1.66"),"1.33"))))))))</f>
        <v>1.33</v>
      </c>
      <c r="L35" s="708" t="str">
        <f>IF(J35&gt;85,("A"),IF(J35&gt;80,("A-"),IF(J35&gt;75,("B+"),IF(J35&gt;70,("B"),IF(J35&gt;65,("B-"),IF(J35&gt;60,("C+"),IF(J35&gt;55,("C"),IF(J35&gt;50,("C-"),"D+"))))))))</f>
        <v>D+</v>
      </c>
      <c r="M35" s="887" t="str">
        <f>IF(J35&gt;80,("SB"),IF(J35&gt;65,("B"),IF(J35&gt;50,("C"),IF(J35&gt;0,("K"),"0"))))</f>
        <v>0</v>
      </c>
      <c r="N35" s="685"/>
      <c r="O35" s="360"/>
      <c r="P35" s="360"/>
      <c r="Q35" s="686"/>
      <c r="R35" s="686"/>
      <c r="S35" s="686"/>
      <c r="T35" s="704">
        <f>AVERAGE(J35:J37)</f>
        <v>0</v>
      </c>
      <c r="U35" s="1481" t="str">
        <f>IF(T35&gt;85,("A"),IF(T35&gt;80,("A-"),IF(T35&gt;75,("B+"),IF(T35&gt;70,("B"),IF(T35&gt;65,("B-"),IF(T35&gt;60,("C+"),IF(T35&gt;55,("C"),IF(T35&gt;50,("C-"),"D+"))))))))</f>
        <v>D+</v>
      </c>
    </row>
    <row r="36" spans="1:21" ht="24.95" customHeight="1" x14ac:dyDescent="0.25">
      <c r="A36" s="687"/>
      <c r="B36" s="683">
        <v>8</v>
      </c>
      <c r="C36" s="688"/>
      <c r="D36" s="991" t="s">
        <v>179</v>
      </c>
      <c r="E36" s="627">
        <f>VLOOKUP(A35,UHT_jawa,19,FALSE)</f>
        <v>0</v>
      </c>
      <c r="F36" s="1191">
        <f t="shared" ref="F36:F37" si="60">E36*2</f>
        <v>0</v>
      </c>
      <c r="G36" s="361"/>
      <c r="H36" s="1188">
        <f>VLOOKUP(B35,REKAP_NILAI,43,FALSE)</f>
        <v>0</v>
      </c>
      <c r="I36" s="709">
        <f t="shared" ref="I36:I37" si="61">F36+G36+H36</f>
        <v>0</v>
      </c>
      <c r="J36" s="710">
        <f t="shared" ref="J36:J37" si="62">(F36+G36+H36)/4</f>
        <v>0</v>
      </c>
      <c r="K36" s="711" t="str">
        <f t="shared" ref="K36:K37" si="63">IF(J36&gt;85,("4"),IF(J36&gt;80,("3.66"),IF(J36&gt;75,("3.33"),IF(J36&gt;70,("3.00"),IF(J36&gt;65,("2.66"),IF(J36&gt;60,("2.33"),IF(J36&gt;55,("2"),IF(J36&gt;50,("1.66"),"1.33"))))))))</f>
        <v>1.33</v>
      </c>
      <c r="L36" s="711" t="str">
        <f t="shared" ref="L36:L37" si="64">IF(J36&gt;85,("A"),IF(J36&gt;80,("A-"),IF(J36&gt;75,("B+"),IF(J36&gt;70,("B"),IF(J36&gt;65,("B-"),IF(J36&gt;60,("C+"),IF(J36&gt;55,("C"),IF(J36&gt;50,("C-"),"D+"))))))))</f>
        <v>D+</v>
      </c>
      <c r="M36" s="712" t="str">
        <f t="shared" ref="M36:M37" si="65">IF(J36&gt;80,("SB"),IF(J36&gt;65,("B"),IF(J36&gt;50,("C"),IF(J36&gt;0,("K"),"0"))))</f>
        <v>0</v>
      </c>
      <c r="N36" s="689"/>
      <c r="O36" s="690"/>
      <c r="P36" s="690"/>
      <c r="Q36" s="691"/>
      <c r="R36" s="691"/>
      <c r="S36" s="692"/>
      <c r="T36" s="1667"/>
      <c r="U36" s="1668"/>
    </row>
    <row r="37" spans="1:21" ht="24.95" customHeight="1" x14ac:dyDescent="0.25">
      <c r="A37" s="687"/>
      <c r="B37" s="683">
        <v>8</v>
      </c>
      <c r="C37" s="688"/>
      <c r="D37" s="991" t="s">
        <v>20</v>
      </c>
      <c r="E37" s="627">
        <f>VLOOKUP(A35,UHT_jawa,20,FALSE)</f>
        <v>0</v>
      </c>
      <c r="F37" s="1191">
        <f t="shared" si="60"/>
        <v>0</v>
      </c>
      <c r="G37" s="361"/>
      <c r="H37" s="1188">
        <f>VLOOKUP(B35,REKAP_NILAI,44,FALSE)</f>
        <v>0</v>
      </c>
      <c r="I37" s="709">
        <f t="shared" si="61"/>
        <v>0</v>
      </c>
      <c r="J37" s="710">
        <f t="shared" si="62"/>
        <v>0</v>
      </c>
      <c r="K37" s="711" t="str">
        <f t="shared" si="63"/>
        <v>1.33</v>
      </c>
      <c r="L37" s="711" t="str">
        <f t="shared" si="64"/>
        <v>D+</v>
      </c>
      <c r="M37" s="712" t="str">
        <f t="shared" si="65"/>
        <v>0</v>
      </c>
      <c r="N37" s="693"/>
      <c r="O37" s="694"/>
      <c r="P37" s="694"/>
      <c r="Q37" s="695"/>
      <c r="R37" s="695"/>
      <c r="S37" s="696"/>
      <c r="T37" s="1669"/>
      <c r="U37" s="1670"/>
    </row>
    <row r="38" spans="1:21" ht="24.95" customHeight="1" x14ac:dyDescent="0.25">
      <c r="A38" s="697"/>
      <c r="B38" s="698"/>
      <c r="C38" s="699" t="s">
        <v>149</v>
      </c>
      <c r="D38" s="700">
        <v>8</v>
      </c>
      <c r="E38" s="697"/>
      <c r="F38" s="1192"/>
      <c r="G38" s="697"/>
      <c r="H38" s="1189">
        <f>AVERAGE(H35:H37)</f>
        <v>0</v>
      </c>
      <c r="I38" s="705"/>
      <c r="J38" s="713">
        <f>AVERAGE(J35:J37)</f>
        <v>0</v>
      </c>
      <c r="K38" s="714" t="str">
        <f t="shared" ref="K38" si="66">IF(J38&gt;85,("4"),IF(J38&gt;80,("3.66"),IF(J38&gt;75,("3.33"),IF(J38&gt;70,("3.00"),IF(J38&gt;65,("2.66"),IF(J38&gt;60,("2.33"),IF(J38&gt;55,("2"),IF(J38&gt;50,("1.66"),"1.33"))))))))</f>
        <v>1.33</v>
      </c>
      <c r="L38" s="714" t="str">
        <f t="shared" ref="L38" si="67">IF(J38&gt;85,("A"),IF(J38&gt;80,("A-"),IF(J38&gt;75,("B+"),IF(J38&gt;70,("B"),IF(J38&gt;65,("B-"),IF(J38&gt;60,("C+"),IF(J38&gt;55,("C"),IF(J38&gt;50,("C-"),"D+"))))))))</f>
        <v>D+</v>
      </c>
      <c r="M38" s="888" t="str">
        <f t="shared" ref="M38" si="68">IF(J38&gt;80,("SB"),IF(J38&gt;65,("B"),IF(J38&gt;50,("C"),IF(J38&gt;0,("K"),"0"))))</f>
        <v>0</v>
      </c>
      <c r="N38" s="701"/>
      <c r="O38" s="702"/>
      <c r="P38" s="702"/>
      <c r="Q38" s="702"/>
      <c r="R38" s="702"/>
      <c r="S38" s="703"/>
      <c r="T38" s="1257"/>
      <c r="U38" s="1258"/>
    </row>
    <row r="39" spans="1:21" ht="24.95" customHeight="1" x14ac:dyDescent="0.25">
      <c r="A39" s="360">
        <v>9</v>
      </c>
      <c r="B39" s="683">
        <v>9</v>
      </c>
      <c r="C39" s="684" t="str">
        <f>VLOOKUP(A39,data_siswa,4,FALSE)</f>
        <v>Claudia Gabriella L</v>
      </c>
      <c r="D39" s="991" t="s">
        <v>18</v>
      </c>
      <c r="E39" s="627">
        <f>VLOOKUP(A39,UHT_jawa,18,FALSE)</f>
        <v>0</v>
      </c>
      <c r="F39" s="1190">
        <f>E39*2</f>
        <v>0</v>
      </c>
      <c r="G39" s="361"/>
      <c r="H39" s="1188">
        <f>VLOOKUP(B39,REKAP_NILAI,42,FALSE)</f>
        <v>0</v>
      </c>
      <c r="I39" s="706">
        <f>F39+G39+H39</f>
        <v>0</v>
      </c>
      <c r="J39" s="707">
        <f>(F39+G39+H39)/4</f>
        <v>0</v>
      </c>
      <c r="K39" s="708" t="str">
        <f>IF(J39&gt;85,("4"),IF(J39&gt;80,("3.66"),IF(J39&gt;75,("3.33"),IF(J39&gt;70,("3.00"),IF(J39&gt;65,("2.66"),IF(J39&gt;60,("2.33"),IF(J39&gt;55,("2"),IF(J39&gt;50,("1.66"),"1.33"))))))))</f>
        <v>1.33</v>
      </c>
      <c r="L39" s="708" t="str">
        <f>IF(J39&gt;85,("A"),IF(J39&gt;80,("A-"),IF(J39&gt;75,("B+"),IF(J39&gt;70,("B"),IF(J39&gt;65,("B-"),IF(J39&gt;60,("C+"),IF(J39&gt;55,("C"),IF(J39&gt;50,("C-"),"D+"))))))))</f>
        <v>D+</v>
      </c>
      <c r="M39" s="887" t="str">
        <f>IF(J39&gt;80,("SB"),IF(J39&gt;65,("B"),IF(J39&gt;50,("C"),IF(J39&gt;0,("K"),"0"))))</f>
        <v>0</v>
      </c>
      <c r="N39" s="685"/>
      <c r="O39" s="360"/>
      <c r="P39" s="360"/>
      <c r="Q39" s="686"/>
      <c r="R39" s="686"/>
      <c r="S39" s="686"/>
      <c r="T39" s="704">
        <f>AVERAGE(J39:J41)</f>
        <v>0</v>
      </c>
      <c r="U39" s="1481" t="str">
        <f>IF(T39&gt;85,("A"),IF(T39&gt;80,("A-"),IF(T39&gt;75,("B+"),IF(T39&gt;70,("B"),IF(T39&gt;65,("B-"),IF(T39&gt;60,("C+"),IF(T39&gt;55,("C"),IF(T39&gt;50,("C-"),"D+"))))))))</f>
        <v>D+</v>
      </c>
    </row>
    <row r="40" spans="1:21" ht="24.95" customHeight="1" x14ac:dyDescent="0.25">
      <c r="A40" s="687"/>
      <c r="B40" s="683">
        <v>9</v>
      </c>
      <c r="C40" s="688"/>
      <c r="D40" s="991" t="s">
        <v>179</v>
      </c>
      <c r="E40" s="627">
        <f>VLOOKUP(A39,UHT_jawa,19,FALSE)</f>
        <v>0</v>
      </c>
      <c r="F40" s="1191">
        <f t="shared" ref="F40:F41" si="69">E40*2</f>
        <v>0</v>
      </c>
      <c r="G40" s="361"/>
      <c r="H40" s="1188">
        <f>VLOOKUP(B39,REKAP_NILAI,43,FALSE)</f>
        <v>0</v>
      </c>
      <c r="I40" s="709">
        <f t="shared" ref="I40:I41" si="70">F40+G40+H40</f>
        <v>0</v>
      </c>
      <c r="J40" s="710">
        <f t="shared" ref="J40:J41" si="71">(F40+G40+H40)/4</f>
        <v>0</v>
      </c>
      <c r="K40" s="711" t="str">
        <f t="shared" ref="K40:K41" si="72">IF(J40&gt;85,("4"),IF(J40&gt;80,("3.66"),IF(J40&gt;75,("3.33"),IF(J40&gt;70,("3.00"),IF(J40&gt;65,("2.66"),IF(J40&gt;60,("2.33"),IF(J40&gt;55,("2"),IF(J40&gt;50,("1.66"),"1.33"))))))))</f>
        <v>1.33</v>
      </c>
      <c r="L40" s="711" t="str">
        <f t="shared" ref="L40:L41" si="73">IF(J40&gt;85,("A"),IF(J40&gt;80,("A-"),IF(J40&gt;75,("B+"),IF(J40&gt;70,("B"),IF(J40&gt;65,("B-"),IF(J40&gt;60,("C+"),IF(J40&gt;55,("C"),IF(J40&gt;50,("C-"),"D+"))))))))</f>
        <v>D+</v>
      </c>
      <c r="M40" s="712" t="str">
        <f t="shared" ref="M40:M41" si="74">IF(J40&gt;80,("SB"),IF(J40&gt;65,("B"),IF(J40&gt;50,("C"),IF(J40&gt;0,("K"),"0"))))</f>
        <v>0</v>
      </c>
      <c r="N40" s="689"/>
      <c r="O40" s="690"/>
      <c r="P40" s="690"/>
      <c r="Q40" s="691"/>
      <c r="R40" s="691"/>
      <c r="S40" s="692"/>
      <c r="T40" s="1667"/>
      <c r="U40" s="1668"/>
    </row>
    <row r="41" spans="1:21" ht="24.95" customHeight="1" x14ac:dyDescent="0.25">
      <c r="A41" s="687"/>
      <c r="B41" s="683">
        <v>9</v>
      </c>
      <c r="C41" s="688"/>
      <c r="D41" s="991" t="s">
        <v>20</v>
      </c>
      <c r="E41" s="627">
        <f>VLOOKUP(A39,UHT_jawa,20,FALSE)</f>
        <v>0</v>
      </c>
      <c r="F41" s="1191">
        <f t="shared" si="69"/>
        <v>0</v>
      </c>
      <c r="G41" s="361"/>
      <c r="H41" s="1188">
        <f>VLOOKUP(B39,REKAP_NILAI,44,FALSE)</f>
        <v>0</v>
      </c>
      <c r="I41" s="709">
        <f t="shared" si="70"/>
        <v>0</v>
      </c>
      <c r="J41" s="710">
        <f t="shared" si="71"/>
        <v>0</v>
      </c>
      <c r="K41" s="711" t="str">
        <f t="shared" si="72"/>
        <v>1.33</v>
      </c>
      <c r="L41" s="711" t="str">
        <f t="shared" si="73"/>
        <v>D+</v>
      </c>
      <c r="M41" s="712" t="str">
        <f t="shared" si="74"/>
        <v>0</v>
      </c>
      <c r="N41" s="693"/>
      <c r="O41" s="694"/>
      <c r="P41" s="694"/>
      <c r="Q41" s="695"/>
      <c r="R41" s="695"/>
      <c r="S41" s="696"/>
      <c r="T41" s="1669"/>
      <c r="U41" s="1670"/>
    </row>
    <row r="42" spans="1:21" ht="24.95" customHeight="1" x14ac:dyDescent="0.25">
      <c r="A42" s="697"/>
      <c r="B42" s="698"/>
      <c r="C42" s="699" t="s">
        <v>149</v>
      </c>
      <c r="D42" s="700">
        <v>9</v>
      </c>
      <c r="E42" s="697"/>
      <c r="F42" s="1192"/>
      <c r="G42" s="697"/>
      <c r="H42" s="1189">
        <f>AVERAGE(H39:H41)</f>
        <v>0</v>
      </c>
      <c r="I42" s="705"/>
      <c r="J42" s="713">
        <f>AVERAGE(J39:J41)</f>
        <v>0</v>
      </c>
      <c r="K42" s="714" t="str">
        <f t="shared" ref="K42" si="75">IF(J42&gt;85,("4"),IF(J42&gt;80,("3.66"),IF(J42&gt;75,("3.33"),IF(J42&gt;70,("3.00"),IF(J42&gt;65,("2.66"),IF(J42&gt;60,("2.33"),IF(J42&gt;55,("2"),IF(J42&gt;50,("1.66"),"1.33"))))))))</f>
        <v>1.33</v>
      </c>
      <c r="L42" s="714" t="str">
        <f t="shared" ref="L42" si="76">IF(J42&gt;85,("A"),IF(J42&gt;80,("A-"),IF(J42&gt;75,("B+"),IF(J42&gt;70,("B"),IF(J42&gt;65,("B-"),IF(J42&gt;60,("C+"),IF(J42&gt;55,("C"),IF(J42&gt;50,("C-"),"D+"))))))))</f>
        <v>D+</v>
      </c>
      <c r="M42" s="888" t="str">
        <f t="shared" ref="M42" si="77">IF(J42&gt;80,("SB"),IF(J42&gt;65,("B"),IF(J42&gt;50,("C"),IF(J42&gt;0,("K"),"0"))))</f>
        <v>0</v>
      </c>
      <c r="N42" s="701"/>
      <c r="O42" s="702"/>
      <c r="P42" s="702"/>
      <c r="Q42" s="702"/>
      <c r="R42" s="702"/>
      <c r="S42" s="703"/>
      <c r="T42" s="1257"/>
      <c r="U42" s="1258"/>
    </row>
    <row r="43" spans="1:21" ht="24.95" customHeight="1" x14ac:dyDescent="0.25">
      <c r="A43" s="360">
        <v>10</v>
      </c>
      <c r="B43" s="683">
        <v>10</v>
      </c>
      <c r="C43" s="684" t="str">
        <f>VLOOKUP(A43,data_siswa,4,FALSE)</f>
        <v xml:space="preserve">Deco Badarus Zaman </v>
      </c>
      <c r="D43" s="991" t="s">
        <v>18</v>
      </c>
      <c r="E43" s="627">
        <f>VLOOKUP(A43,UHT_jawa,18,FALSE)</f>
        <v>0</v>
      </c>
      <c r="F43" s="1190">
        <f>E43*2</f>
        <v>0</v>
      </c>
      <c r="G43" s="361"/>
      <c r="H43" s="1188">
        <f>VLOOKUP(B43,REKAP_NILAI,42,FALSE)</f>
        <v>0</v>
      </c>
      <c r="I43" s="706">
        <f>F43+G43+H43</f>
        <v>0</v>
      </c>
      <c r="J43" s="707">
        <f>(F43+G43+H43)/4</f>
        <v>0</v>
      </c>
      <c r="K43" s="708" t="str">
        <f>IF(J43&gt;85,("4"),IF(J43&gt;80,("3.66"),IF(J43&gt;75,("3.33"),IF(J43&gt;70,("3.00"),IF(J43&gt;65,("2.66"),IF(J43&gt;60,("2.33"),IF(J43&gt;55,("2"),IF(J43&gt;50,("1.66"),"1.33"))))))))</f>
        <v>1.33</v>
      </c>
      <c r="L43" s="708" t="str">
        <f>IF(J43&gt;85,("A"),IF(J43&gt;80,("A-"),IF(J43&gt;75,("B+"),IF(J43&gt;70,("B"),IF(J43&gt;65,("B-"),IF(J43&gt;60,("C+"),IF(J43&gt;55,("C"),IF(J43&gt;50,("C-"),"D+"))))))))</f>
        <v>D+</v>
      </c>
      <c r="M43" s="887" t="str">
        <f>IF(J43&gt;80,("SB"),IF(J43&gt;65,("B"),IF(J43&gt;50,("C"),IF(J43&gt;0,("K"),"0"))))</f>
        <v>0</v>
      </c>
      <c r="N43" s="685"/>
      <c r="O43" s="360"/>
      <c r="P43" s="360"/>
      <c r="Q43" s="686"/>
      <c r="R43" s="686"/>
      <c r="S43" s="686"/>
      <c r="T43" s="704">
        <f>AVERAGE(J43:J45)</f>
        <v>0</v>
      </c>
      <c r="U43" s="1481" t="str">
        <f>IF(T43&gt;85,("A"),IF(T43&gt;80,("A-"),IF(T43&gt;75,("B+"),IF(T43&gt;70,("B"),IF(T43&gt;65,("B-"),IF(T43&gt;60,("C+"),IF(T43&gt;55,("C"),IF(T43&gt;50,("C-"),"D+"))))))))</f>
        <v>D+</v>
      </c>
    </row>
    <row r="44" spans="1:21" ht="24.95" customHeight="1" x14ac:dyDescent="0.25">
      <c r="A44" s="687"/>
      <c r="B44" s="683">
        <v>10</v>
      </c>
      <c r="C44" s="688"/>
      <c r="D44" s="991" t="s">
        <v>179</v>
      </c>
      <c r="E44" s="627">
        <f>VLOOKUP(A43,UHT_jawa,19,FALSE)</f>
        <v>0</v>
      </c>
      <c r="F44" s="1191">
        <f t="shared" ref="F44:F45" si="78">E44*2</f>
        <v>0</v>
      </c>
      <c r="G44" s="361"/>
      <c r="H44" s="1188">
        <f>VLOOKUP(B43,REKAP_NILAI,43,FALSE)</f>
        <v>0</v>
      </c>
      <c r="I44" s="709">
        <f t="shared" ref="I44:I45" si="79">F44+G44+H44</f>
        <v>0</v>
      </c>
      <c r="J44" s="710">
        <f t="shared" ref="J44:J45" si="80">(F44+G44+H44)/4</f>
        <v>0</v>
      </c>
      <c r="K44" s="711" t="str">
        <f t="shared" ref="K44:K45" si="81">IF(J44&gt;85,("4"),IF(J44&gt;80,("3.66"),IF(J44&gt;75,("3.33"),IF(J44&gt;70,("3.00"),IF(J44&gt;65,("2.66"),IF(J44&gt;60,("2.33"),IF(J44&gt;55,("2"),IF(J44&gt;50,("1.66"),"1.33"))))))))</f>
        <v>1.33</v>
      </c>
      <c r="L44" s="711" t="str">
        <f t="shared" ref="L44:L45" si="82">IF(J44&gt;85,("A"),IF(J44&gt;80,("A-"),IF(J44&gt;75,("B+"),IF(J44&gt;70,("B"),IF(J44&gt;65,("B-"),IF(J44&gt;60,("C+"),IF(J44&gt;55,("C"),IF(J44&gt;50,("C-"),"D+"))))))))</f>
        <v>D+</v>
      </c>
      <c r="M44" s="712" t="str">
        <f t="shared" ref="M44:M45" si="83">IF(J44&gt;80,("SB"),IF(J44&gt;65,("B"),IF(J44&gt;50,("C"),IF(J44&gt;0,("K"),"0"))))</f>
        <v>0</v>
      </c>
      <c r="N44" s="689"/>
      <c r="O44" s="690"/>
      <c r="P44" s="690"/>
      <c r="Q44" s="691"/>
      <c r="R44" s="691"/>
      <c r="S44" s="692"/>
      <c r="T44" s="1667"/>
      <c r="U44" s="1668"/>
    </row>
    <row r="45" spans="1:21" ht="24.95" customHeight="1" x14ac:dyDescent="0.25">
      <c r="A45" s="687"/>
      <c r="B45" s="683">
        <v>10</v>
      </c>
      <c r="C45" s="688"/>
      <c r="D45" s="991" t="s">
        <v>20</v>
      </c>
      <c r="E45" s="627">
        <f>VLOOKUP(A43,UHT_jawa,20,FALSE)</f>
        <v>0</v>
      </c>
      <c r="F45" s="1191">
        <f t="shared" si="78"/>
        <v>0</v>
      </c>
      <c r="G45" s="361"/>
      <c r="H45" s="1188">
        <f>VLOOKUP(B43,REKAP_NILAI,44,FALSE)</f>
        <v>0</v>
      </c>
      <c r="I45" s="709">
        <f t="shared" si="79"/>
        <v>0</v>
      </c>
      <c r="J45" s="710">
        <f t="shared" si="80"/>
        <v>0</v>
      </c>
      <c r="K45" s="711" t="str">
        <f t="shared" si="81"/>
        <v>1.33</v>
      </c>
      <c r="L45" s="711" t="str">
        <f t="shared" si="82"/>
        <v>D+</v>
      </c>
      <c r="M45" s="712" t="str">
        <f t="shared" si="83"/>
        <v>0</v>
      </c>
      <c r="N45" s="693"/>
      <c r="O45" s="694"/>
      <c r="P45" s="694"/>
      <c r="Q45" s="695"/>
      <c r="R45" s="695"/>
      <c r="S45" s="696"/>
      <c r="T45" s="1669"/>
      <c r="U45" s="1670"/>
    </row>
    <row r="46" spans="1:21" ht="24.95" customHeight="1" x14ac:dyDescent="0.25">
      <c r="A46" s="697"/>
      <c r="B46" s="698"/>
      <c r="C46" s="699" t="s">
        <v>149</v>
      </c>
      <c r="D46" s="700">
        <v>10</v>
      </c>
      <c r="E46" s="697"/>
      <c r="F46" s="1192"/>
      <c r="G46" s="697"/>
      <c r="H46" s="1189">
        <f>AVERAGE(H43:H45)</f>
        <v>0</v>
      </c>
      <c r="I46" s="705"/>
      <c r="J46" s="713">
        <f>AVERAGE(J43:J45)</f>
        <v>0</v>
      </c>
      <c r="K46" s="714" t="str">
        <f t="shared" ref="K46" si="84">IF(J46&gt;85,("4"),IF(J46&gt;80,("3.66"),IF(J46&gt;75,("3.33"),IF(J46&gt;70,("3.00"),IF(J46&gt;65,("2.66"),IF(J46&gt;60,("2.33"),IF(J46&gt;55,("2"),IF(J46&gt;50,("1.66"),"1.33"))))))))</f>
        <v>1.33</v>
      </c>
      <c r="L46" s="714" t="str">
        <f t="shared" ref="L46" si="85">IF(J46&gt;85,("A"),IF(J46&gt;80,("A-"),IF(J46&gt;75,("B+"),IF(J46&gt;70,("B"),IF(J46&gt;65,("B-"),IF(J46&gt;60,("C+"),IF(J46&gt;55,("C"),IF(J46&gt;50,("C-"),"D+"))))))))</f>
        <v>D+</v>
      </c>
      <c r="M46" s="888" t="str">
        <f t="shared" ref="M46" si="86">IF(J46&gt;80,("SB"),IF(J46&gt;65,("B"),IF(J46&gt;50,("C"),IF(J46&gt;0,("K"),"0"))))</f>
        <v>0</v>
      </c>
      <c r="N46" s="701"/>
      <c r="O46" s="702"/>
      <c r="P46" s="702"/>
      <c r="Q46" s="702"/>
      <c r="R46" s="702"/>
      <c r="S46" s="703"/>
      <c r="T46" s="1257"/>
      <c r="U46" s="1258"/>
    </row>
    <row r="47" spans="1:21" ht="24.95" customHeight="1" x14ac:dyDescent="0.25">
      <c r="A47" s="360">
        <v>11</v>
      </c>
      <c r="B47" s="683">
        <v>11</v>
      </c>
      <c r="C47" s="684" t="str">
        <f>VLOOKUP(A47,data_siswa,4,FALSE)</f>
        <v>Fania Mutiara Felichia</v>
      </c>
      <c r="D47" s="991" t="s">
        <v>18</v>
      </c>
      <c r="E47" s="627">
        <f>VLOOKUP(A47,UHT_jawa,18,FALSE)</f>
        <v>0</v>
      </c>
      <c r="F47" s="1190">
        <f>E47*2</f>
        <v>0</v>
      </c>
      <c r="G47" s="361"/>
      <c r="H47" s="1188">
        <f>VLOOKUP(B47,REKAP_NILAI,42,FALSE)</f>
        <v>0</v>
      </c>
      <c r="I47" s="706">
        <f>F47+G47+H47</f>
        <v>0</v>
      </c>
      <c r="J47" s="707">
        <f>(F47+G47+H47)/4</f>
        <v>0</v>
      </c>
      <c r="K47" s="708" t="str">
        <f>IF(J47&gt;85,("4"),IF(J47&gt;80,("3.66"),IF(J47&gt;75,("3.33"),IF(J47&gt;70,("3.00"),IF(J47&gt;65,("2.66"),IF(J47&gt;60,("2.33"),IF(J47&gt;55,("2"),IF(J47&gt;50,("1.66"),"1.33"))))))))</f>
        <v>1.33</v>
      </c>
      <c r="L47" s="708" t="str">
        <f>IF(J47&gt;85,("A"),IF(J47&gt;80,("A-"),IF(J47&gt;75,("B+"),IF(J47&gt;70,("B"),IF(J47&gt;65,("B-"),IF(J47&gt;60,("C+"),IF(J47&gt;55,("C"),IF(J47&gt;50,("C-"),"D+"))))))))</f>
        <v>D+</v>
      </c>
      <c r="M47" s="887" t="str">
        <f>IF(J47&gt;80,("SB"),IF(J47&gt;65,("B"),IF(J47&gt;50,("C"),IF(J47&gt;0,("K"),"0"))))</f>
        <v>0</v>
      </c>
      <c r="N47" s="685"/>
      <c r="O47" s="360"/>
      <c r="P47" s="360"/>
      <c r="Q47" s="686"/>
      <c r="R47" s="686"/>
      <c r="S47" s="686"/>
      <c r="T47" s="704">
        <f>AVERAGE(J47:J49)</f>
        <v>0</v>
      </c>
      <c r="U47" s="1481" t="str">
        <f>IF(T47&gt;85,("A"),IF(T47&gt;80,("A-"),IF(T47&gt;75,("B+"),IF(T47&gt;70,("B"),IF(T47&gt;65,("B-"),IF(T47&gt;60,("C+"),IF(T47&gt;55,("C"),IF(T47&gt;50,("C-"),"D+"))))))))</f>
        <v>D+</v>
      </c>
    </row>
    <row r="48" spans="1:21" ht="24.95" customHeight="1" x14ac:dyDescent="0.25">
      <c r="A48" s="687"/>
      <c r="B48" s="683">
        <v>11</v>
      </c>
      <c r="C48" s="688"/>
      <c r="D48" s="991" t="s">
        <v>179</v>
      </c>
      <c r="E48" s="627">
        <f>VLOOKUP(A47,UHT_jawa,19,FALSE)</f>
        <v>0</v>
      </c>
      <c r="F48" s="1191">
        <f t="shared" ref="F48:F49" si="87">E48*2</f>
        <v>0</v>
      </c>
      <c r="G48" s="361"/>
      <c r="H48" s="1188">
        <f>VLOOKUP(B47,REKAP_NILAI,43,FALSE)</f>
        <v>0</v>
      </c>
      <c r="I48" s="709">
        <f t="shared" ref="I48:I49" si="88">F48+G48+H48</f>
        <v>0</v>
      </c>
      <c r="J48" s="710">
        <f t="shared" ref="J48:J49" si="89">(F48+G48+H48)/4</f>
        <v>0</v>
      </c>
      <c r="K48" s="711" t="str">
        <f t="shared" ref="K48:K50" si="90">IF(J48&gt;85,("4"),IF(J48&gt;80,("3.66"),IF(J48&gt;75,("3.33"),IF(J48&gt;70,("3.00"),IF(J48&gt;65,("2.66"),IF(J48&gt;60,("2.33"),IF(J48&gt;55,("2"),IF(J48&gt;50,("1.66"),"1.33"))))))))</f>
        <v>1.33</v>
      </c>
      <c r="L48" s="711" t="str">
        <f t="shared" ref="L48:L50" si="91">IF(J48&gt;85,("A"),IF(J48&gt;80,("A-"),IF(J48&gt;75,("B+"),IF(J48&gt;70,("B"),IF(J48&gt;65,("B-"),IF(J48&gt;60,("C+"),IF(J48&gt;55,("C"),IF(J48&gt;50,("C-"),"D+"))))))))</f>
        <v>D+</v>
      </c>
      <c r="M48" s="712" t="str">
        <f t="shared" ref="M48:M50" si="92">IF(J48&gt;80,("SB"),IF(J48&gt;65,("B"),IF(J48&gt;50,("C"),IF(J48&gt;0,("K"),"0"))))</f>
        <v>0</v>
      </c>
      <c r="N48" s="689"/>
      <c r="O48" s="690"/>
      <c r="P48" s="690"/>
      <c r="Q48" s="691"/>
      <c r="R48" s="691"/>
      <c r="S48" s="692"/>
      <c r="T48" s="1667"/>
      <c r="U48" s="1668"/>
    </row>
    <row r="49" spans="1:21" ht="24.95" customHeight="1" x14ac:dyDescent="0.25">
      <c r="A49" s="687"/>
      <c r="B49" s="683">
        <v>11</v>
      </c>
      <c r="C49" s="688"/>
      <c r="D49" s="991" t="s">
        <v>20</v>
      </c>
      <c r="E49" s="627">
        <f>VLOOKUP(A47,UHT_jawa,20,FALSE)</f>
        <v>0</v>
      </c>
      <c r="F49" s="1191">
        <f t="shared" si="87"/>
        <v>0</v>
      </c>
      <c r="G49" s="361"/>
      <c r="H49" s="1188">
        <f>VLOOKUP(B47,REKAP_NILAI,44,FALSE)</f>
        <v>0</v>
      </c>
      <c r="I49" s="709">
        <f t="shared" si="88"/>
        <v>0</v>
      </c>
      <c r="J49" s="710">
        <f t="shared" si="89"/>
        <v>0</v>
      </c>
      <c r="K49" s="711" t="str">
        <f t="shared" si="90"/>
        <v>1.33</v>
      </c>
      <c r="L49" s="711" t="str">
        <f t="shared" si="91"/>
        <v>D+</v>
      </c>
      <c r="M49" s="712" t="str">
        <f t="shared" si="92"/>
        <v>0</v>
      </c>
      <c r="N49" s="693"/>
      <c r="O49" s="694"/>
      <c r="P49" s="694"/>
      <c r="Q49" s="695"/>
      <c r="R49" s="695"/>
      <c r="S49" s="696"/>
      <c r="T49" s="1669"/>
      <c r="U49" s="1670"/>
    </row>
    <row r="50" spans="1:21" ht="24.95" customHeight="1" x14ac:dyDescent="0.25">
      <c r="A50" s="697"/>
      <c r="B50" s="698"/>
      <c r="C50" s="699" t="s">
        <v>149</v>
      </c>
      <c r="D50" s="700">
        <v>11</v>
      </c>
      <c r="E50" s="697"/>
      <c r="F50" s="1192"/>
      <c r="G50" s="697"/>
      <c r="H50" s="1189">
        <f>AVERAGE(H47:H49)</f>
        <v>0</v>
      </c>
      <c r="I50" s="705"/>
      <c r="J50" s="713">
        <f>AVERAGE(J47:J49)</f>
        <v>0</v>
      </c>
      <c r="K50" s="714" t="str">
        <f t="shared" si="90"/>
        <v>1.33</v>
      </c>
      <c r="L50" s="714" t="str">
        <f t="shared" si="91"/>
        <v>D+</v>
      </c>
      <c r="M50" s="888" t="str">
        <f t="shared" si="92"/>
        <v>0</v>
      </c>
      <c r="N50" s="701"/>
      <c r="O50" s="702"/>
      <c r="P50" s="702"/>
      <c r="Q50" s="702"/>
      <c r="R50" s="702"/>
      <c r="S50" s="703"/>
      <c r="T50" s="1257"/>
      <c r="U50" s="1258"/>
    </row>
    <row r="51" spans="1:21" ht="24.95" customHeight="1" x14ac:dyDescent="0.25">
      <c r="A51" s="360">
        <v>12</v>
      </c>
      <c r="B51" s="683">
        <v>12</v>
      </c>
      <c r="C51" s="684" t="str">
        <f>VLOOKUP(A51,data_siswa,4,FALSE)</f>
        <v>Intan Dyah Nowari</v>
      </c>
      <c r="D51" s="991" t="s">
        <v>18</v>
      </c>
      <c r="E51" s="627">
        <f>VLOOKUP(A51,UHT_jawa,18,FALSE)</f>
        <v>0</v>
      </c>
      <c r="F51" s="1190">
        <f>E51*2</f>
        <v>0</v>
      </c>
      <c r="G51" s="361"/>
      <c r="H51" s="1188">
        <f>VLOOKUP(B51,REKAP_NILAI,42,FALSE)</f>
        <v>0</v>
      </c>
      <c r="I51" s="706">
        <f>F51+G51+H51</f>
        <v>0</v>
      </c>
      <c r="J51" s="707">
        <f>(F51+G51+H51)/4</f>
        <v>0</v>
      </c>
      <c r="K51" s="708" t="str">
        <f>IF(J51&gt;85,("4"),IF(J51&gt;80,("3.66"),IF(J51&gt;75,("3.33"),IF(J51&gt;70,("3.00"),IF(J51&gt;65,("2.66"),IF(J51&gt;60,("2.33"),IF(J51&gt;55,("2"),IF(J51&gt;50,("1.66"),"1.33"))))))))</f>
        <v>1.33</v>
      </c>
      <c r="L51" s="708" t="str">
        <f>IF(J51&gt;85,("A"),IF(J51&gt;80,("A-"),IF(J51&gt;75,("B+"),IF(J51&gt;70,("B"),IF(J51&gt;65,("B-"),IF(J51&gt;60,("C+"),IF(J51&gt;55,("C"),IF(J51&gt;50,("C-"),"D+"))))))))</f>
        <v>D+</v>
      </c>
      <c r="M51" s="887" t="str">
        <f>IF(J51&gt;80,("SB"),IF(J51&gt;65,("B"),IF(J51&gt;50,("C"),IF(J51&gt;0,("K"),"0"))))</f>
        <v>0</v>
      </c>
      <c r="N51" s="685"/>
      <c r="O51" s="360"/>
      <c r="P51" s="360"/>
      <c r="Q51" s="686"/>
      <c r="R51" s="686"/>
      <c r="S51" s="686"/>
      <c r="T51" s="704">
        <f>AVERAGE(J51:J53)</f>
        <v>0</v>
      </c>
      <c r="U51" s="1481" t="str">
        <f>IF(T51&gt;85,("A"),IF(T51&gt;80,("A-"),IF(T51&gt;75,("B+"),IF(T51&gt;70,("B"),IF(T51&gt;65,("B-"),IF(T51&gt;60,("C+"),IF(T51&gt;55,("C"),IF(T51&gt;50,("C-"),"D+"))))))))</f>
        <v>D+</v>
      </c>
    </row>
    <row r="52" spans="1:21" ht="24.95" customHeight="1" x14ac:dyDescent="0.25">
      <c r="A52" s="687"/>
      <c r="B52" s="683">
        <v>12</v>
      </c>
      <c r="C52" s="688"/>
      <c r="D52" s="991" t="s">
        <v>179</v>
      </c>
      <c r="E52" s="627">
        <f>VLOOKUP(A51,UHT_jawa,19,FALSE)</f>
        <v>0</v>
      </c>
      <c r="F52" s="1191">
        <f t="shared" ref="F52:F53" si="93">E52*2</f>
        <v>0</v>
      </c>
      <c r="G52" s="361"/>
      <c r="H52" s="1188">
        <f>VLOOKUP(B51,REKAP_NILAI,43,FALSE)</f>
        <v>0</v>
      </c>
      <c r="I52" s="709">
        <f t="shared" ref="I52:I53" si="94">F52+G52+H52</f>
        <v>0</v>
      </c>
      <c r="J52" s="710">
        <f t="shared" ref="J52:J53" si="95">(F52+G52+H52)/4</f>
        <v>0</v>
      </c>
      <c r="K52" s="711" t="str">
        <f t="shared" ref="K52:K54" si="96">IF(J52&gt;85,("4"),IF(J52&gt;80,("3.66"),IF(J52&gt;75,("3.33"),IF(J52&gt;70,("3.00"),IF(J52&gt;65,("2.66"),IF(J52&gt;60,("2.33"),IF(J52&gt;55,("2"),IF(J52&gt;50,("1.66"),"1.33"))))))))</f>
        <v>1.33</v>
      </c>
      <c r="L52" s="711" t="str">
        <f t="shared" ref="L52:L54" si="97">IF(J52&gt;85,("A"),IF(J52&gt;80,("A-"),IF(J52&gt;75,("B+"),IF(J52&gt;70,("B"),IF(J52&gt;65,("B-"),IF(J52&gt;60,("C+"),IF(J52&gt;55,("C"),IF(J52&gt;50,("C-"),"D+"))))))))</f>
        <v>D+</v>
      </c>
      <c r="M52" s="712" t="str">
        <f t="shared" ref="M52:M54" si="98">IF(J52&gt;80,("SB"),IF(J52&gt;65,("B"),IF(J52&gt;50,("C"),IF(J52&gt;0,("K"),"0"))))</f>
        <v>0</v>
      </c>
      <c r="N52" s="689"/>
      <c r="O52" s="690"/>
      <c r="P52" s="690"/>
      <c r="Q52" s="691"/>
      <c r="R52" s="691"/>
      <c r="S52" s="692"/>
      <c r="T52" s="1667"/>
      <c r="U52" s="1668"/>
    </row>
    <row r="53" spans="1:21" ht="24.95" customHeight="1" x14ac:dyDescent="0.25">
      <c r="A53" s="687"/>
      <c r="B53" s="683">
        <v>12</v>
      </c>
      <c r="C53" s="688"/>
      <c r="D53" s="991" t="s">
        <v>20</v>
      </c>
      <c r="E53" s="627">
        <f>VLOOKUP(A51,UHT_jawa,20,FALSE)</f>
        <v>0</v>
      </c>
      <c r="F53" s="1191">
        <f t="shared" si="93"/>
        <v>0</v>
      </c>
      <c r="G53" s="361"/>
      <c r="H53" s="1188">
        <f>VLOOKUP(B51,REKAP_NILAI,44,FALSE)</f>
        <v>0</v>
      </c>
      <c r="I53" s="709">
        <f t="shared" si="94"/>
        <v>0</v>
      </c>
      <c r="J53" s="710">
        <f t="shared" si="95"/>
        <v>0</v>
      </c>
      <c r="K53" s="711" t="str">
        <f t="shared" si="96"/>
        <v>1.33</v>
      </c>
      <c r="L53" s="711" t="str">
        <f t="shared" si="97"/>
        <v>D+</v>
      </c>
      <c r="M53" s="712" t="str">
        <f t="shared" si="98"/>
        <v>0</v>
      </c>
      <c r="N53" s="693"/>
      <c r="O53" s="694"/>
      <c r="P53" s="694"/>
      <c r="Q53" s="695"/>
      <c r="R53" s="695"/>
      <c r="S53" s="696"/>
      <c r="T53" s="1669"/>
      <c r="U53" s="1670"/>
    </row>
    <row r="54" spans="1:21" ht="24.95" customHeight="1" x14ac:dyDescent="0.25">
      <c r="A54" s="697"/>
      <c r="B54" s="698"/>
      <c r="C54" s="699" t="s">
        <v>149</v>
      </c>
      <c r="D54" s="700">
        <v>12</v>
      </c>
      <c r="E54" s="697"/>
      <c r="F54" s="1192"/>
      <c r="G54" s="697"/>
      <c r="H54" s="1189">
        <f>AVERAGE(H51:H53)</f>
        <v>0</v>
      </c>
      <c r="I54" s="705"/>
      <c r="J54" s="713">
        <f>AVERAGE(J51:J53)</f>
        <v>0</v>
      </c>
      <c r="K54" s="714" t="str">
        <f t="shared" si="96"/>
        <v>1.33</v>
      </c>
      <c r="L54" s="714" t="str">
        <f t="shared" si="97"/>
        <v>D+</v>
      </c>
      <c r="M54" s="888" t="str">
        <f t="shared" si="98"/>
        <v>0</v>
      </c>
      <c r="N54" s="701"/>
      <c r="O54" s="702"/>
      <c r="P54" s="702"/>
      <c r="Q54" s="702"/>
      <c r="R54" s="702"/>
      <c r="S54" s="703"/>
      <c r="T54" s="1257"/>
      <c r="U54" s="1258"/>
    </row>
    <row r="55" spans="1:21" ht="24.95" customHeight="1" x14ac:dyDescent="0.25">
      <c r="A55" s="360">
        <v>13</v>
      </c>
      <c r="B55" s="683">
        <v>13</v>
      </c>
      <c r="C55" s="684" t="str">
        <f>VLOOKUP(A55,data_siswa,4,FALSE)</f>
        <v>Misyanita Nurfitri S</v>
      </c>
      <c r="D55" s="991" t="s">
        <v>18</v>
      </c>
      <c r="E55" s="627">
        <f>VLOOKUP(A55,UHT_jawa,18,FALSE)</f>
        <v>0</v>
      </c>
      <c r="F55" s="1190">
        <f>E55*2</f>
        <v>0</v>
      </c>
      <c r="G55" s="361"/>
      <c r="H55" s="1188">
        <f>VLOOKUP(B55,REKAP_NILAI,42,FALSE)</f>
        <v>0</v>
      </c>
      <c r="I55" s="706">
        <f>F55+G55+H55</f>
        <v>0</v>
      </c>
      <c r="J55" s="707">
        <f>(F55+G55+H55)/4</f>
        <v>0</v>
      </c>
      <c r="K55" s="708" t="str">
        <f>IF(J55&gt;85,("4"),IF(J55&gt;80,("3.66"),IF(J55&gt;75,("3.33"),IF(J55&gt;70,("3.00"),IF(J55&gt;65,("2.66"),IF(J55&gt;60,("2.33"),IF(J55&gt;55,("2"),IF(J55&gt;50,("1.66"),"1.33"))))))))</f>
        <v>1.33</v>
      </c>
      <c r="L55" s="708" t="str">
        <f>IF(J55&gt;85,("A"),IF(J55&gt;80,("A-"),IF(J55&gt;75,("B+"),IF(J55&gt;70,("B"),IF(J55&gt;65,("B-"),IF(J55&gt;60,("C+"),IF(J55&gt;55,("C"),IF(J55&gt;50,("C-"),"D+"))))))))</f>
        <v>D+</v>
      </c>
      <c r="M55" s="887" t="str">
        <f>IF(J55&gt;80,("SB"),IF(J55&gt;65,("B"),IF(J55&gt;50,("C"),IF(J55&gt;0,("K"),"0"))))</f>
        <v>0</v>
      </c>
      <c r="N55" s="685"/>
      <c r="O55" s="360"/>
      <c r="P55" s="360"/>
      <c r="Q55" s="686"/>
      <c r="R55" s="686"/>
      <c r="S55" s="686"/>
      <c r="T55" s="704">
        <f>AVERAGE(J55:J57)</f>
        <v>0</v>
      </c>
      <c r="U55" s="1481" t="str">
        <f>IF(T55&gt;85,("A"),IF(T55&gt;80,("A-"),IF(T55&gt;75,("B+"),IF(T55&gt;70,("B"),IF(T55&gt;65,("B-"),IF(T55&gt;60,("C+"),IF(T55&gt;55,("C"),IF(T55&gt;50,("C-"),"D+"))))))))</f>
        <v>D+</v>
      </c>
    </row>
    <row r="56" spans="1:21" ht="24.95" customHeight="1" x14ac:dyDescent="0.25">
      <c r="A56" s="687"/>
      <c r="B56" s="683">
        <v>13</v>
      </c>
      <c r="C56" s="688"/>
      <c r="D56" s="991" t="s">
        <v>179</v>
      </c>
      <c r="E56" s="627">
        <f>VLOOKUP(A55,UHT_jawa,19,FALSE)</f>
        <v>0</v>
      </c>
      <c r="F56" s="1191">
        <f t="shared" ref="F56:F57" si="99">E56*2</f>
        <v>0</v>
      </c>
      <c r="G56" s="361"/>
      <c r="H56" s="1188">
        <f>VLOOKUP(B55,REKAP_NILAI,43,FALSE)</f>
        <v>0</v>
      </c>
      <c r="I56" s="709">
        <f t="shared" ref="I56:I57" si="100">F56+G56+H56</f>
        <v>0</v>
      </c>
      <c r="J56" s="710">
        <f t="shared" ref="J56:J57" si="101">(F56+G56+H56)/4</f>
        <v>0</v>
      </c>
      <c r="K56" s="711" t="str">
        <f t="shared" ref="K56:K58" si="102">IF(J56&gt;85,("4"),IF(J56&gt;80,("3.66"),IF(J56&gt;75,("3.33"),IF(J56&gt;70,("3.00"),IF(J56&gt;65,("2.66"),IF(J56&gt;60,("2.33"),IF(J56&gt;55,("2"),IF(J56&gt;50,("1.66"),"1.33"))))))))</f>
        <v>1.33</v>
      </c>
      <c r="L56" s="711" t="str">
        <f t="shared" ref="L56:L58" si="103">IF(J56&gt;85,("A"),IF(J56&gt;80,("A-"),IF(J56&gt;75,("B+"),IF(J56&gt;70,("B"),IF(J56&gt;65,("B-"),IF(J56&gt;60,("C+"),IF(J56&gt;55,("C"),IF(J56&gt;50,("C-"),"D+"))))))))</f>
        <v>D+</v>
      </c>
      <c r="M56" s="712" t="str">
        <f t="shared" ref="M56:M58" si="104">IF(J56&gt;80,("SB"),IF(J56&gt;65,("B"),IF(J56&gt;50,("C"),IF(J56&gt;0,("K"),"0"))))</f>
        <v>0</v>
      </c>
      <c r="N56" s="689"/>
      <c r="O56" s="690"/>
      <c r="P56" s="690"/>
      <c r="Q56" s="691"/>
      <c r="R56" s="691"/>
      <c r="S56" s="692"/>
      <c r="T56" s="1667"/>
      <c r="U56" s="1668"/>
    </row>
    <row r="57" spans="1:21" ht="24.95" customHeight="1" x14ac:dyDescent="0.25">
      <c r="A57" s="687"/>
      <c r="B57" s="683">
        <v>13</v>
      </c>
      <c r="C57" s="688"/>
      <c r="D57" s="991" t="s">
        <v>20</v>
      </c>
      <c r="E57" s="627">
        <f>VLOOKUP(A55,UHT_jawa,20,FALSE)</f>
        <v>0</v>
      </c>
      <c r="F57" s="1191">
        <f t="shared" si="99"/>
        <v>0</v>
      </c>
      <c r="G57" s="361"/>
      <c r="H57" s="1188">
        <f>VLOOKUP(B55,REKAP_NILAI,44,FALSE)</f>
        <v>0</v>
      </c>
      <c r="I57" s="709">
        <f t="shared" si="100"/>
        <v>0</v>
      </c>
      <c r="J57" s="710">
        <f t="shared" si="101"/>
        <v>0</v>
      </c>
      <c r="K57" s="711" t="str">
        <f t="shared" si="102"/>
        <v>1.33</v>
      </c>
      <c r="L57" s="711" t="str">
        <f t="shared" si="103"/>
        <v>D+</v>
      </c>
      <c r="M57" s="712" t="str">
        <f t="shared" si="104"/>
        <v>0</v>
      </c>
      <c r="N57" s="693"/>
      <c r="O57" s="694"/>
      <c r="P57" s="694"/>
      <c r="Q57" s="695"/>
      <c r="R57" s="695"/>
      <c r="S57" s="696"/>
      <c r="T57" s="1669"/>
      <c r="U57" s="1670"/>
    </row>
    <row r="58" spans="1:21" ht="24.95" customHeight="1" x14ac:dyDescent="0.25">
      <c r="A58" s="697"/>
      <c r="B58" s="698"/>
      <c r="C58" s="699" t="s">
        <v>149</v>
      </c>
      <c r="D58" s="700">
        <v>13</v>
      </c>
      <c r="E58" s="697"/>
      <c r="F58" s="1192"/>
      <c r="G58" s="697"/>
      <c r="H58" s="1189">
        <f>AVERAGE(H55:H57)</f>
        <v>0</v>
      </c>
      <c r="I58" s="705"/>
      <c r="J58" s="713">
        <f>AVERAGE(J55:J57)</f>
        <v>0</v>
      </c>
      <c r="K58" s="714" t="str">
        <f t="shared" si="102"/>
        <v>1.33</v>
      </c>
      <c r="L58" s="714" t="str">
        <f t="shared" si="103"/>
        <v>D+</v>
      </c>
      <c r="M58" s="888" t="str">
        <f t="shared" si="104"/>
        <v>0</v>
      </c>
      <c r="N58" s="701"/>
      <c r="O58" s="702"/>
      <c r="P58" s="702"/>
      <c r="Q58" s="702"/>
      <c r="R58" s="702"/>
      <c r="S58" s="703"/>
      <c r="T58" s="1257"/>
      <c r="U58" s="1258"/>
    </row>
    <row r="59" spans="1:21" ht="24.95" customHeight="1" x14ac:dyDescent="0.25">
      <c r="A59" s="360">
        <v>14</v>
      </c>
      <c r="B59" s="683">
        <v>14</v>
      </c>
      <c r="C59" s="684" t="str">
        <f>VLOOKUP(A59,data_siswa,4,FALSE)</f>
        <v>Moch Zidane Hita L. U</v>
      </c>
      <c r="D59" s="991" t="s">
        <v>18</v>
      </c>
      <c r="E59" s="627">
        <f>VLOOKUP(A59,UHT_jawa,18,FALSE)</f>
        <v>0</v>
      </c>
      <c r="F59" s="1190">
        <f>E59*2</f>
        <v>0</v>
      </c>
      <c r="G59" s="361"/>
      <c r="H59" s="1188">
        <f>VLOOKUP(B59,REKAP_NILAI,42,FALSE)</f>
        <v>0</v>
      </c>
      <c r="I59" s="706">
        <f>F59+G59+H59</f>
        <v>0</v>
      </c>
      <c r="J59" s="707">
        <f>(F59+G59+H59)/4</f>
        <v>0</v>
      </c>
      <c r="K59" s="708" t="str">
        <f>IF(J59&gt;85,("4"),IF(J59&gt;80,("3.66"),IF(J59&gt;75,("3.33"),IF(J59&gt;70,("3.00"),IF(J59&gt;65,("2.66"),IF(J59&gt;60,("2.33"),IF(J59&gt;55,("2"),IF(J59&gt;50,("1.66"),"1.33"))))))))</f>
        <v>1.33</v>
      </c>
      <c r="L59" s="708" t="str">
        <f>IF(J59&gt;85,("A"),IF(J59&gt;80,("A-"),IF(J59&gt;75,("B+"),IF(J59&gt;70,("B"),IF(J59&gt;65,("B-"),IF(J59&gt;60,("C+"),IF(J59&gt;55,("C"),IF(J59&gt;50,("C-"),"D+"))))))))</f>
        <v>D+</v>
      </c>
      <c r="M59" s="887" t="str">
        <f>IF(J59&gt;80,("SB"),IF(J59&gt;65,("B"),IF(J59&gt;50,("C"),IF(J59&gt;0,("K"),"0"))))</f>
        <v>0</v>
      </c>
      <c r="N59" s="685"/>
      <c r="O59" s="360"/>
      <c r="P59" s="360"/>
      <c r="Q59" s="686"/>
      <c r="R59" s="686"/>
      <c r="S59" s="686"/>
      <c r="T59" s="704">
        <f>AVERAGE(J59:J61)</f>
        <v>0</v>
      </c>
      <c r="U59" s="1481" t="str">
        <f>IF(T59&gt;85,("A"),IF(T59&gt;80,("A-"),IF(T59&gt;75,("B+"),IF(T59&gt;70,("B"),IF(T59&gt;65,("B-"),IF(T59&gt;60,("C+"),IF(T59&gt;55,("C"),IF(T59&gt;50,("C-"),"D+"))))))))</f>
        <v>D+</v>
      </c>
    </row>
    <row r="60" spans="1:21" ht="24.95" customHeight="1" x14ac:dyDescent="0.25">
      <c r="A60" s="687"/>
      <c r="B60" s="683">
        <v>14</v>
      </c>
      <c r="C60" s="688"/>
      <c r="D60" s="991" t="s">
        <v>179</v>
      </c>
      <c r="E60" s="627">
        <f>VLOOKUP(A59,UHT_jawa,19,FALSE)</f>
        <v>0</v>
      </c>
      <c r="F60" s="1191">
        <f t="shared" ref="F60:F61" si="105">E60*2</f>
        <v>0</v>
      </c>
      <c r="G60" s="361"/>
      <c r="H60" s="1188">
        <f>VLOOKUP(B59,REKAP_NILAI,43,FALSE)</f>
        <v>0</v>
      </c>
      <c r="I60" s="709">
        <f t="shared" ref="I60:I61" si="106">F60+G60+H60</f>
        <v>0</v>
      </c>
      <c r="J60" s="710">
        <f t="shared" ref="J60:J61" si="107">(F60+G60+H60)/4</f>
        <v>0</v>
      </c>
      <c r="K60" s="711" t="str">
        <f t="shared" ref="K60:K62" si="108">IF(J60&gt;85,("4"),IF(J60&gt;80,("3.66"),IF(J60&gt;75,("3.33"),IF(J60&gt;70,("3.00"),IF(J60&gt;65,("2.66"),IF(J60&gt;60,("2.33"),IF(J60&gt;55,("2"),IF(J60&gt;50,("1.66"),"1.33"))))))))</f>
        <v>1.33</v>
      </c>
      <c r="L60" s="711" t="str">
        <f t="shared" ref="L60:L62" si="109">IF(J60&gt;85,("A"),IF(J60&gt;80,("A-"),IF(J60&gt;75,("B+"),IF(J60&gt;70,("B"),IF(J60&gt;65,("B-"),IF(J60&gt;60,("C+"),IF(J60&gt;55,("C"),IF(J60&gt;50,("C-"),"D+"))))))))</f>
        <v>D+</v>
      </c>
      <c r="M60" s="712" t="str">
        <f t="shared" ref="M60:M62" si="110">IF(J60&gt;80,("SB"),IF(J60&gt;65,("B"),IF(J60&gt;50,("C"),IF(J60&gt;0,("K"),"0"))))</f>
        <v>0</v>
      </c>
      <c r="N60" s="689"/>
      <c r="O60" s="690"/>
      <c r="P60" s="690"/>
      <c r="Q60" s="691"/>
      <c r="R60" s="691"/>
      <c r="S60" s="692"/>
      <c r="T60" s="1667"/>
      <c r="U60" s="1668"/>
    </row>
    <row r="61" spans="1:21" ht="24.95" customHeight="1" x14ac:dyDescent="0.25">
      <c r="A61" s="687"/>
      <c r="B61" s="683">
        <v>14</v>
      </c>
      <c r="C61" s="688"/>
      <c r="D61" s="991" t="s">
        <v>20</v>
      </c>
      <c r="E61" s="627">
        <f>VLOOKUP(A59,UHT_jawa,20,FALSE)</f>
        <v>0</v>
      </c>
      <c r="F61" s="1191">
        <f t="shared" si="105"/>
        <v>0</v>
      </c>
      <c r="G61" s="361"/>
      <c r="H61" s="1188">
        <f>VLOOKUP(B59,REKAP_NILAI,44,FALSE)</f>
        <v>0</v>
      </c>
      <c r="I61" s="709">
        <f t="shared" si="106"/>
        <v>0</v>
      </c>
      <c r="J61" s="710">
        <f t="shared" si="107"/>
        <v>0</v>
      </c>
      <c r="K61" s="711" t="str">
        <f t="shared" si="108"/>
        <v>1.33</v>
      </c>
      <c r="L61" s="711" t="str">
        <f t="shared" si="109"/>
        <v>D+</v>
      </c>
      <c r="M61" s="712" t="str">
        <f t="shared" si="110"/>
        <v>0</v>
      </c>
      <c r="N61" s="693"/>
      <c r="O61" s="694"/>
      <c r="P61" s="694"/>
      <c r="Q61" s="695"/>
      <c r="R61" s="695"/>
      <c r="S61" s="696"/>
      <c r="T61" s="1669"/>
      <c r="U61" s="1670"/>
    </row>
    <row r="62" spans="1:21" ht="24.95" customHeight="1" x14ac:dyDescent="0.25">
      <c r="A62" s="697"/>
      <c r="B62" s="698"/>
      <c r="C62" s="699" t="s">
        <v>149</v>
      </c>
      <c r="D62" s="700">
        <v>14</v>
      </c>
      <c r="E62" s="697"/>
      <c r="F62" s="1192"/>
      <c r="G62" s="697"/>
      <c r="H62" s="1189">
        <f>AVERAGE(H59:H61)</f>
        <v>0</v>
      </c>
      <c r="I62" s="705"/>
      <c r="J62" s="713">
        <f>AVERAGE(J59:J61)</f>
        <v>0</v>
      </c>
      <c r="K62" s="714" t="str">
        <f t="shared" si="108"/>
        <v>1.33</v>
      </c>
      <c r="L62" s="714" t="str">
        <f t="shared" si="109"/>
        <v>D+</v>
      </c>
      <c r="M62" s="888" t="str">
        <f t="shared" si="110"/>
        <v>0</v>
      </c>
      <c r="N62" s="701"/>
      <c r="O62" s="702"/>
      <c r="P62" s="702"/>
      <c r="Q62" s="702"/>
      <c r="R62" s="702"/>
      <c r="S62" s="703"/>
      <c r="T62" s="1257"/>
      <c r="U62" s="1258"/>
    </row>
    <row r="63" spans="1:21" ht="24.95" customHeight="1" x14ac:dyDescent="0.25">
      <c r="A63" s="360">
        <v>15</v>
      </c>
      <c r="B63" s="683">
        <v>15</v>
      </c>
      <c r="C63" s="684" t="str">
        <f>VLOOKUP(A63,data_siswa,4,FALSE)</f>
        <v>Muhammad Ibra Maulana</v>
      </c>
      <c r="D63" s="991" t="s">
        <v>18</v>
      </c>
      <c r="E63" s="627">
        <f>VLOOKUP(A63,UHT_jawa,18,FALSE)</f>
        <v>0</v>
      </c>
      <c r="F63" s="1190">
        <f>E63*2</f>
        <v>0</v>
      </c>
      <c r="G63" s="361"/>
      <c r="H63" s="1188">
        <f>VLOOKUP(B63,REKAP_NILAI,42,FALSE)</f>
        <v>0</v>
      </c>
      <c r="I63" s="706">
        <f>F63+G63+H63</f>
        <v>0</v>
      </c>
      <c r="J63" s="707">
        <f>(F63+G63+H63)/4</f>
        <v>0</v>
      </c>
      <c r="K63" s="708" t="str">
        <f>IF(J63&gt;85,("4"),IF(J63&gt;80,("3.66"),IF(J63&gt;75,("3.33"),IF(J63&gt;70,("3.00"),IF(J63&gt;65,("2.66"),IF(J63&gt;60,("2.33"),IF(J63&gt;55,("2"),IF(J63&gt;50,("1.66"),"1.33"))))))))</f>
        <v>1.33</v>
      </c>
      <c r="L63" s="708" t="str">
        <f>IF(J63&gt;85,("A"),IF(J63&gt;80,("A-"),IF(J63&gt;75,("B+"),IF(J63&gt;70,("B"),IF(J63&gt;65,("B-"),IF(J63&gt;60,("C+"),IF(J63&gt;55,("C"),IF(J63&gt;50,("C-"),"D+"))))))))</f>
        <v>D+</v>
      </c>
      <c r="M63" s="887" t="str">
        <f>IF(J63&gt;80,("SB"),IF(J63&gt;65,("B"),IF(J63&gt;50,("C"),IF(J63&gt;0,("K"),"0"))))</f>
        <v>0</v>
      </c>
      <c r="N63" s="685"/>
      <c r="O63" s="360"/>
      <c r="P63" s="360"/>
      <c r="Q63" s="686"/>
      <c r="R63" s="686"/>
      <c r="S63" s="686"/>
      <c r="T63" s="704">
        <f>AVERAGE(J63:J65)</f>
        <v>0</v>
      </c>
      <c r="U63" s="1481" t="str">
        <f>IF(T63&gt;85,("A"),IF(T63&gt;80,("A-"),IF(T63&gt;75,("B+"),IF(T63&gt;70,("B"),IF(T63&gt;65,("B-"),IF(T63&gt;60,("C+"),IF(T63&gt;55,("C"),IF(T63&gt;50,("C-"),"D+"))))))))</f>
        <v>D+</v>
      </c>
    </row>
    <row r="64" spans="1:21" ht="24.95" customHeight="1" x14ac:dyDescent="0.25">
      <c r="A64" s="687"/>
      <c r="B64" s="683">
        <v>15</v>
      </c>
      <c r="C64" s="688"/>
      <c r="D64" s="991" t="s">
        <v>179</v>
      </c>
      <c r="E64" s="627">
        <f>VLOOKUP(A63,UHT_jawa,19,FALSE)</f>
        <v>0</v>
      </c>
      <c r="F64" s="1191">
        <f t="shared" ref="F64:F65" si="111">E64*2</f>
        <v>0</v>
      </c>
      <c r="G64" s="361"/>
      <c r="H64" s="1188">
        <f>VLOOKUP(B63,REKAP_NILAI,43,FALSE)</f>
        <v>0</v>
      </c>
      <c r="I64" s="709">
        <f t="shared" ref="I64:I65" si="112">F64+G64+H64</f>
        <v>0</v>
      </c>
      <c r="J64" s="710">
        <f t="shared" ref="J64:J65" si="113">(F64+G64+H64)/4</f>
        <v>0</v>
      </c>
      <c r="K64" s="711" t="str">
        <f t="shared" ref="K64:K66" si="114">IF(J64&gt;85,("4"),IF(J64&gt;80,("3.66"),IF(J64&gt;75,("3.33"),IF(J64&gt;70,("3.00"),IF(J64&gt;65,("2.66"),IF(J64&gt;60,("2.33"),IF(J64&gt;55,("2"),IF(J64&gt;50,("1.66"),"1.33"))))))))</f>
        <v>1.33</v>
      </c>
      <c r="L64" s="711" t="str">
        <f t="shared" ref="L64:L66" si="115">IF(J64&gt;85,("A"),IF(J64&gt;80,("A-"),IF(J64&gt;75,("B+"),IF(J64&gt;70,("B"),IF(J64&gt;65,("B-"),IF(J64&gt;60,("C+"),IF(J64&gt;55,("C"),IF(J64&gt;50,("C-"),"D+"))))))))</f>
        <v>D+</v>
      </c>
      <c r="M64" s="712" t="str">
        <f t="shared" ref="M64:M66" si="116">IF(J64&gt;80,("SB"),IF(J64&gt;65,("B"),IF(J64&gt;50,("C"),IF(J64&gt;0,("K"),"0"))))</f>
        <v>0</v>
      </c>
      <c r="N64" s="689"/>
      <c r="O64" s="690"/>
      <c r="P64" s="690"/>
      <c r="Q64" s="691"/>
      <c r="R64" s="691"/>
      <c r="S64" s="692"/>
      <c r="T64" s="1667"/>
      <c r="U64" s="1668"/>
    </row>
    <row r="65" spans="1:21" ht="24.95" customHeight="1" x14ac:dyDescent="0.25">
      <c r="A65" s="687"/>
      <c r="B65" s="683">
        <v>15</v>
      </c>
      <c r="C65" s="688"/>
      <c r="D65" s="991" t="s">
        <v>20</v>
      </c>
      <c r="E65" s="627">
        <f>VLOOKUP(A63,UHT_jawa,20,FALSE)</f>
        <v>0</v>
      </c>
      <c r="F65" s="1191">
        <f t="shared" si="111"/>
        <v>0</v>
      </c>
      <c r="G65" s="361"/>
      <c r="H65" s="1188">
        <f>VLOOKUP(B63,REKAP_NILAI,44,FALSE)</f>
        <v>0</v>
      </c>
      <c r="I65" s="709">
        <f t="shared" si="112"/>
        <v>0</v>
      </c>
      <c r="J65" s="710">
        <f t="shared" si="113"/>
        <v>0</v>
      </c>
      <c r="K65" s="711" t="str">
        <f t="shared" si="114"/>
        <v>1.33</v>
      </c>
      <c r="L65" s="711" t="str">
        <f t="shared" si="115"/>
        <v>D+</v>
      </c>
      <c r="M65" s="712" t="str">
        <f t="shared" si="116"/>
        <v>0</v>
      </c>
      <c r="N65" s="693"/>
      <c r="O65" s="694"/>
      <c r="P65" s="694"/>
      <c r="Q65" s="695"/>
      <c r="R65" s="695"/>
      <c r="S65" s="696"/>
      <c r="T65" s="1669"/>
      <c r="U65" s="1670"/>
    </row>
    <row r="66" spans="1:21" ht="24.95" customHeight="1" x14ac:dyDescent="0.25">
      <c r="A66" s="697"/>
      <c r="B66" s="698"/>
      <c r="C66" s="699" t="s">
        <v>149</v>
      </c>
      <c r="D66" s="700">
        <v>15</v>
      </c>
      <c r="E66" s="697"/>
      <c r="F66" s="1192"/>
      <c r="G66" s="697"/>
      <c r="H66" s="1189">
        <f>AVERAGE(H63:H65)</f>
        <v>0</v>
      </c>
      <c r="I66" s="705"/>
      <c r="J66" s="713">
        <f>AVERAGE(J63:J65)</f>
        <v>0</v>
      </c>
      <c r="K66" s="714" t="str">
        <f t="shared" si="114"/>
        <v>1.33</v>
      </c>
      <c r="L66" s="714" t="str">
        <f t="shared" si="115"/>
        <v>D+</v>
      </c>
      <c r="M66" s="888" t="str">
        <f t="shared" si="116"/>
        <v>0</v>
      </c>
      <c r="N66" s="701"/>
      <c r="O66" s="702"/>
      <c r="P66" s="702"/>
      <c r="Q66" s="702"/>
      <c r="R66" s="702"/>
      <c r="S66" s="703"/>
      <c r="T66" s="1257"/>
      <c r="U66" s="1258"/>
    </row>
    <row r="67" spans="1:21" ht="24.95" customHeight="1" x14ac:dyDescent="0.25">
      <c r="A67" s="360">
        <v>16</v>
      </c>
      <c r="B67" s="683">
        <v>16</v>
      </c>
      <c r="C67" s="684" t="str">
        <f>VLOOKUP(A67,data_siswa,4,FALSE)</f>
        <v>Nabilla Shiva Putri</v>
      </c>
      <c r="D67" s="991" t="s">
        <v>18</v>
      </c>
      <c r="E67" s="627">
        <f>VLOOKUP(A67,UHT_jawa,18,FALSE)</f>
        <v>0</v>
      </c>
      <c r="F67" s="1190">
        <f>E67*2</f>
        <v>0</v>
      </c>
      <c r="G67" s="361"/>
      <c r="H67" s="1188">
        <f>VLOOKUP(B67,REKAP_NILAI,42,FALSE)</f>
        <v>0</v>
      </c>
      <c r="I67" s="706">
        <f>F67+G67+H67</f>
        <v>0</v>
      </c>
      <c r="J67" s="707">
        <f>(F67+G67+H67)/4</f>
        <v>0</v>
      </c>
      <c r="K67" s="708" t="str">
        <f>IF(J67&gt;85,("4"),IF(J67&gt;80,("3.66"),IF(J67&gt;75,("3.33"),IF(J67&gt;70,("3.00"),IF(J67&gt;65,("2.66"),IF(J67&gt;60,("2.33"),IF(J67&gt;55,("2"),IF(J67&gt;50,("1.66"),"1.33"))))))))</f>
        <v>1.33</v>
      </c>
      <c r="L67" s="708" t="str">
        <f>IF(J67&gt;85,("A"),IF(J67&gt;80,("A-"),IF(J67&gt;75,("B+"),IF(J67&gt;70,("B"),IF(J67&gt;65,("B-"),IF(J67&gt;60,("C+"),IF(J67&gt;55,("C"),IF(J67&gt;50,("C-"),"D+"))))))))</f>
        <v>D+</v>
      </c>
      <c r="M67" s="887" t="str">
        <f>IF(J67&gt;80,("SB"),IF(J67&gt;65,("B"),IF(J67&gt;50,("C"),IF(J67&gt;0,("K"),"0"))))</f>
        <v>0</v>
      </c>
      <c r="N67" s="685"/>
      <c r="O67" s="360"/>
      <c r="P67" s="360"/>
      <c r="Q67" s="686"/>
      <c r="R67" s="686"/>
      <c r="S67" s="686"/>
      <c r="T67" s="704">
        <f>AVERAGE(J67:J69)</f>
        <v>0</v>
      </c>
      <c r="U67" s="1481" t="str">
        <f>IF(T67&gt;85,("A"),IF(T67&gt;80,("A-"),IF(T67&gt;75,("B+"),IF(T67&gt;70,("B"),IF(T67&gt;65,("B-"),IF(T67&gt;60,("C+"),IF(T67&gt;55,("C"),IF(T67&gt;50,("C-"),"D+"))))))))</f>
        <v>D+</v>
      </c>
    </row>
    <row r="68" spans="1:21" ht="24.95" customHeight="1" x14ac:dyDescent="0.25">
      <c r="A68" s="687"/>
      <c r="B68" s="683">
        <v>16</v>
      </c>
      <c r="C68" s="688"/>
      <c r="D68" s="991" t="s">
        <v>179</v>
      </c>
      <c r="E68" s="627">
        <f>VLOOKUP(A67,UHT_jawa,19,FALSE)</f>
        <v>0</v>
      </c>
      <c r="F68" s="1191">
        <f t="shared" ref="F68:F69" si="117">E68*2</f>
        <v>0</v>
      </c>
      <c r="G68" s="361"/>
      <c r="H68" s="1188">
        <f>VLOOKUP(B67,REKAP_NILAI,43,FALSE)</f>
        <v>0</v>
      </c>
      <c r="I68" s="709">
        <f t="shared" ref="I68:I69" si="118">F68+G68+H68</f>
        <v>0</v>
      </c>
      <c r="J68" s="710">
        <f t="shared" ref="J68:J69" si="119">(F68+G68+H68)/4</f>
        <v>0</v>
      </c>
      <c r="K68" s="711" t="str">
        <f t="shared" ref="K68:K70" si="120">IF(J68&gt;85,("4"),IF(J68&gt;80,("3.66"),IF(J68&gt;75,("3.33"),IF(J68&gt;70,("3.00"),IF(J68&gt;65,("2.66"),IF(J68&gt;60,("2.33"),IF(J68&gt;55,("2"),IF(J68&gt;50,("1.66"),"1.33"))))))))</f>
        <v>1.33</v>
      </c>
      <c r="L68" s="711" t="str">
        <f t="shared" ref="L68:L70" si="121">IF(J68&gt;85,("A"),IF(J68&gt;80,("A-"),IF(J68&gt;75,("B+"),IF(J68&gt;70,("B"),IF(J68&gt;65,("B-"),IF(J68&gt;60,("C+"),IF(J68&gt;55,("C"),IF(J68&gt;50,("C-"),"D+"))))))))</f>
        <v>D+</v>
      </c>
      <c r="M68" s="712" t="str">
        <f t="shared" ref="M68:M70" si="122">IF(J68&gt;80,("SB"),IF(J68&gt;65,("B"),IF(J68&gt;50,("C"),IF(J68&gt;0,("K"),"0"))))</f>
        <v>0</v>
      </c>
      <c r="N68" s="689"/>
      <c r="O68" s="690"/>
      <c r="P68" s="690"/>
      <c r="Q68" s="691"/>
      <c r="R68" s="691"/>
      <c r="S68" s="692"/>
      <c r="T68" s="1667"/>
      <c r="U68" s="1668"/>
    </row>
    <row r="69" spans="1:21" ht="24.95" customHeight="1" x14ac:dyDescent="0.25">
      <c r="A69" s="687"/>
      <c r="B69" s="683">
        <v>16</v>
      </c>
      <c r="C69" s="688"/>
      <c r="D69" s="991" t="s">
        <v>20</v>
      </c>
      <c r="E69" s="627">
        <f>VLOOKUP(A67,UHT_jawa,20,FALSE)</f>
        <v>0</v>
      </c>
      <c r="F69" s="1191">
        <f t="shared" si="117"/>
        <v>0</v>
      </c>
      <c r="G69" s="361"/>
      <c r="H69" s="1188">
        <f>VLOOKUP(B67,REKAP_NILAI,44,FALSE)</f>
        <v>0</v>
      </c>
      <c r="I69" s="709">
        <f t="shared" si="118"/>
        <v>0</v>
      </c>
      <c r="J69" s="710">
        <f t="shared" si="119"/>
        <v>0</v>
      </c>
      <c r="K69" s="711" t="str">
        <f t="shared" si="120"/>
        <v>1.33</v>
      </c>
      <c r="L69" s="711" t="str">
        <f t="shared" si="121"/>
        <v>D+</v>
      </c>
      <c r="M69" s="712" t="str">
        <f t="shared" si="122"/>
        <v>0</v>
      </c>
      <c r="N69" s="693"/>
      <c r="O69" s="694"/>
      <c r="P69" s="694"/>
      <c r="Q69" s="695"/>
      <c r="R69" s="695"/>
      <c r="S69" s="696"/>
      <c r="T69" s="1669"/>
      <c r="U69" s="1670"/>
    </row>
    <row r="70" spans="1:21" ht="24.95" customHeight="1" x14ac:dyDescent="0.25">
      <c r="A70" s="697"/>
      <c r="B70" s="698"/>
      <c r="C70" s="699" t="s">
        <v>149</v>
      </c>
      <c r="D70" s="700">
        <v>16</v>
      </c>
      <c r="E70" s="697"/>
      <c r="F70" s="1192"/>
      <c r="G70" s="697"/>
      <c r="H70" s="1189">
        <f>AVERAGE(H67:H69)</f>
        <v>0</v>
      </c>
      <c r="I70" s="705"/>
      <c r="J70" s="713">
        <f>AVERAGE(J67:J69)</f>
        <v>0</v>
      </c>
      <c r="K70" s="714" t="str">
        <f t="shared" si="120"/>
        <v>1.33</v>
      </c>
      <c r="L70" s="714" t="str">
        <f t="shared" si="121"/>
        <v>D+</v>
      </c>
      <c r="M70" s="888" t="str">
        <f t="shared" si="122"/>
        <v>0</v>
      </c>
      <c r="N70" s="701"/>
      <c r="O70" s="702"/>
      <c r="P70" s="702"/>
      <c r="Q70" s="702"/>
      <c r="R70" s="702"/>
      <c r="S70" s="703"/>
      <c r="T70" s="1257"/>
      <c r="U70" s="1258"/>
    </row>
    <row r="71" spans="1:21" ht="24.95" customHeight="1" x14ac:dyDescent="0.25">
      <c r="A71" s="360">
        <v>17</v>
      </c>
      <c r="B71" s="683">
        <v>17</v>
      </c>
      <c r="C71" s="684" t="str">
        <f>VLOOKUP(A71,data_siswa,4,FALSE)</f>
        <v>Naufal Falih F</v>
      </c>
      <c r="D71" s="991" t="s">
        <v>18</v>
      </c>
      <c r="E71" s="627">
        <f>VLOOKUP(A71,UHT_jawa,18,FALSE)</f>
        <v>0</v>
      </c>
      <c r="F71" s="1190">
        <f>E71*2</f>
        <v>0</v>
      </c>
      <c r="G71" s="361"/>
      <c r="H71" s="1188">
        <f>VLOOKUP(B71,REKAP_NILAI,42,FALSE)</f>
        <v>0</v>
      </c>
      <c r="I71" s="706">
        <f>F71+G71+H71</f>
        <v>0</v>
      </c>
      <c r="J71" s="707">
        <f>(F71+G71+H71)/4</f>
        <v>0</v>
      </c>
      <c r="K71" s="708" t="str">
        <f>IF(J71&gt;85,("4"),IF(J71&gt;80,("3.66"),IF(J71&gt;75,("3.33"),IF(J71&gt;70,("3.00"),IF(J71&gt;65,("2.66"),IF(J71&gt;60,("2.33"),IF(J71&gt;55,("2"),IF(J71&gt;50,("1.66"),"1.33"))))))))</f>
        <v>1.33</v>
      </c>
      <c r="L71" s="708" t="str">
        <f>IF(J71&gt;85,("A"),IF(J71&gt;80,("A-"),IF(J71&gt;75,("B+"),IF(J71&gt;70,("B"),IF(J71&gt;65,("B-"),IF(J71&gt;60,("C+"),IF(J71&gt;55,("C"),IF(J71&gt;50,("C-"),"D+"))))))))</f>
        <v>D+</v>
      </c>
      <c r="M71" s="887" t="str">
        <f>IF(J71&gt;80,("SB"),IF(J71&gt;65,("B"),IF(J71&gt;50,("C"),IF(J71&gt;0,("K"),"0"))))</f>
        <v>0</v>
      </c>
      <c r="N71" s="685"/>
      <c r="O71" s="360"/>
      <c r="P71" s="360"/>
      <c r="Q71" s="686"/>
      <c r="R71" s="686"/>
      <c r="S71" s="686"/>
      <c r="T71" s="704">
        <f>AVERAGE(J71:J73)</f>
        <v>0</v>
      </c>
      <c r="U71" s="1481" t="str">
        <f>IF(T71&gt;85,("A"),IF(T71&gt;80,("A-"),IF(T71&gt;75,("B+"),IF(T71&gt;70,("B"),IF(T71&gt;65,("B-"),IF(T71&gt;60,("C+"),IF(T71&gt;55,("C"),IF(T71&gt;50,("C-"),"D+"))))))))</f>
        <v>D+</v>
      </c>
    </row>
    <row r="72" spans="1:21" ht="24.95" customHeight="1" x14ac:dyDescent="0.25">
      <c r="A72" s="687"/>
      <c r="B72" s="683">
        <v>17</v>
      </c>
      <c r="C72" s="688"/>
      <c r="D72" s="991" t="s">
        <v>179</v>
      </c>
      <c r="E72" s="627">
        <f>VLOOKUP(A71,UHT_jawa,19,FALSE)</f>
        <v>0</v>
      </c>
      <c r="F72" s="1191">
        <f t="shared" ref="F72:F73" si="123">E72*2</f>
        <v>0</v>
      </c>
      <c r="G72" s="361"/>
      <c r="H72" s="1188">
        <f>VLOOKUP(B71,REKAP_NILAI,43,FALSE)</f>
        <v>0</v>
      </c>
      <c r="I72" s="709">
        <f t="shared" ref="I72:I73" si="124">F72+G72+H72</f>
        <v>0</v>
      </c>
      <c r="J72" s="710">
        <f t="shared" ref="J72:J73" si="125">(F72+G72+H72)/4</f>
        <v>0</v>
      </c>
      <c r="K72" s="711" t="str">
        <f t="shared" ref="K72:K74" si="126">IF(J72&gt;85,("4"),IF(J72&gt;80,("3.66"),IF(J72&gt;75,("3.33"),IF(J72&gt;70,("3.00"),IF(J72&gt;65,("2.66"),IF(J72&gt;60,("2.33"),IF(J72&gt;55,("2"),IF(J72&gt;50,("1.66"),"1.33"))))))))</f>
        <v>1.33</v>
      </c>
      <c r="L72" s="711" t="str">
        <f t="shared" ref="L72:L74" si="127">IF(J72&gt;85,("A"),IF(J72&gt;80,("A-"),IF(J72&gt;75,("B+"),IF(J72&gt;70,("B"),IF(J72&gt;65,("B-"),IF(J72&gt;60,("C+"),IF(J72&gt;55,("C"),IF(J72&gt;50,("C-"),"D+"))))))))</f>
        <v>D+</v>
      </c>
      <c r="M72" s="712" t="str">
        <f t="shared" ref="M72:M74" si="128">IF(J72&gt;80,("SB"),IF(J72&gt;65,("B"),IF(J72&gt;50,("C"),IF(J72&gt;0,("K"),"0"))))</f>
        <v>0</v>
      </c>
      <c r="N72" s="689"/>
      <c r="O72" s="690"/>
      <c r="P72" s="690"/>
      <c r="Q72" s="691"/>
      <c r="R72" s="691"/>
      <c r="S72" s="692"/>
      <c r="T72" s="1667"/>
      <c r="U72" s="1668"/>
    </row>
    <row r="73" spans="1:21" ht="24.95" customHeight="1" x14ac:dyDescent="0.25">
      <c r="A73" s="687"/>
      <c r="B73" s="683">
        <v>17</v>
      </c>
      <c r="C73" s="688"/>
      <c r="D73" s="991" t="s">
        <v>20</v>
      </c>
      <c r="E73" s="627">
        <f>VLOOKUP(A71,UHT_jawa,20,FALSE)</f>
        <v>0</v>
      </c>
      <c r="F73" s="1191">
        <f t="shared" si="123"/>
        <v>0</v>
      </c>
      <c r="G73" s="361"/>
      <c r="H73" s="1188">
        <f>VLOOKUP(B71,REKAP_NILAI,44,FALSE)</f>
        <v>0</v>
      </c>
      <c r="I73" s="709">
        <f t="shared" si="124"/>
        <v>0</v>
      </c>
      <c r="J73" s="710">
        <f t="shared" si="125"/>
        <v>0</v>
      </c>
      <c r="K73" s="711" t="str">
        <f t="shared" si="126"/>
        <v>1.33</v>
      </c>
      <c r="L73" s="711" t="str">
        <f t="shared" si="127"/>
        <v>D+</v>
      </c>
      <c r="M73" s="712" t="str">
        <f t="shared" si="128"/>
        <v>0</v>
      </c>
      <c r="N73" s="693"/>
      <c r="O73" s="694"/>
      <c r="P73" s="694"/>
      <c r="Q73" s="695"/>
      <c r="R73" s="695"/>
      <c r="S73" s="696"/>
      <c r="T73" s="1669"/>
      <c r="U73" s="1670"/>
    </row>
    <row r="74" spans="1:21" ht="24.95" customHeight="1" x14ac:dyDescent="0.25">
      <c r="A74" s="697"/>
      <c r="B74" s="698"/>
      <c r="C74" s="699" t="s">
        <v>149</v>
      </c>
      <c r="D74" s="700">
        <v>17</v>
      </c>
      <c r="E74" s="697"/>
      <c r="F74" s="1192"/>
      <c r="G74" s="697"/>
      <c r="H74" s="1189">
        <f>AVERAGE(H71:H73)</f>
        <v>0</v>
      </c>
      <c r="I74" s="705"/>
      <c r="J74" s="713">
        <f>AVERAGE(J71:J73)</f>
        <v>0</v>
      </c>
      <c r="K74" s="714" t="str">
        <f t="shared" si="126"/>
        <v>1.33</v>
      </c>
      <c r="L74" s="714" t="str">
        <f t="shared" si="127"/>
        <v>D+</v>
      </c>
      <c r="M74" s="888" t="str">
        <f t="shared" si="128"/>
        <v>0</v>
      </c>
      <c r="N74" s="701"/>
      <c r="O74" s="702"/>
      <c r="P74" s="702"/>
      <c r="Q74" s="702"/>
      <c r="R74" s="702"/>
      <c r="S74" s="703"/>
      <c r="T74" s="1257"/>
      <c r="U74" s="1258"/>
    </row>
    <row r="75" spans="1:21" ht="24.95" customHeight="1" x14ac:dyDescent="0.25">
      <c r="A75" s="360">
        <v>18</v>
      </c>
      <c r="B75" s="683">
        <v>18</v>
      </c>
      <c r="C75" s="684" t="str">
        <f>VLOOKUP(A75,data_siswa,4,FALSE)</f>
        <v>Nayla Annora Nobel W</v>
      </c>
      <c r="D75" s="991" t="s">
        <v>18</v>
      </c>
      <c r="E75" s="627">
        <f>VLOOKUP(A75,UHT_jawa,18,FALSE)</f>
        <v>0</v>
      </c>
      <c r="F75" s="1190">
        <f>E75*2</f>
        <v>0</v>
      </c>
      <c r="G75" s="361"/>
      <c r="H75" s="1188">
        <f>VLOOKUP(B75,REKAP_NILAI,42,FALSE)</f>
        <v>0</v>
      </c>
      <c r="I75" s="706">
        <f>F75+G75+H75</f>
        <v>0</v>
      </c>
      <c r="J75" s="707">
        <f>(F75+G75+H75)/4</f>
        <v>0</v>
      </c>
      <c r="K75" s="708" t="str">
        <f>IF(J75&gt;85,("4"),IF(J75&gt;80,("3.66"),IF(J75&gt;75,("3.33"),IF(J75&gt;70,("3.00"),IF(J75&gt;65,("2.66"),IF(J75&gt;60,("2.33"),IF(J75&gt;55,("2"),IF(J75&gt;50,("1.66"),"1.33"))))))))</f>
        <v>1.33</v>
      </c>
      <c r="L75" s="708" t="str">
        <f>IF(J75&gt;85,("A"),IF(J75&gt;80,("A-"),IF(J75&gt;75,("B+"),IF(J75&gt;70,("B"),IF(J75&gt;65,("B-"),IF(J75&gt;60,("C+"),IF(J75&gt;55,("C"),IF(J75&gt;50,("C-"),"D+"))))))))</f>
        <v>D+</v>
      </c>
      <c r="M75" s="887" t="str">
        <f>IF(J75&gt;80,("SB"),IF(J75&gt;65,("B"),IF(J75&gt;50,("C"),IF(J75&gt;0,("K"),"0"))))</f>
        <v>0</v>
      </c>
      <c r="N75" s="685"/>
      <c r="O75" s="360"/>
      <c r="P75" s="360"/>
      <c r="Q75" s="686"/>
      <c r="R75" s="686"/>
      <c r="S75" s="686"/>
      <c r="T75" s="704">
        <f>AVERAGE(J75:J77)</f>
        <v>0</v>
      </c>
      <c r="U75" s="1481" t="str">
        <f>IF(T75&gt;85,("A"),IF(T75&gt;80,("A-"),IF(T75&gt;75,("B+"),IF(T75&gt;70,("B"),IF(T75&gt;65,("B-"),IF(T75&gt;60,("C+"),IF(T75&gt;55,("C"),IF(T75&gt;50,("C-"),"D+"))))))))</f>
        <v>D+</v>
      </c>
    </row>
    <row r="76" spans="1:21" ht="24.95" customHeight="1" x14ac:dyDescent="0.25">
      <c r="A76" s="687"/>
      <c r="B76" s="683">
        <v>18</v>
      </c>
      <c r="C76" s="688"/>
      <c r="D76" s="991" t="s">
        <v>179</v>
      </c>
      <c r="E76" s="627">
        <f>VLOOKUP(A75,UHT_jawa,19,FALSE)</f>
        <v>0</v>
      </c>
      <c r="F76" s="1191">
        <f t="shared" ref="F76:F77" si="129">E76*2</f>
        <v>0</v>
      </c>
      <c r="G76" s="361"/>
      <c r="H76" s="1188">
        <f>VLOOKUP(B75,REKAP_NILAI,43,FALSE)</f>
        <v>0</v>
      </c>
      <c r="I76" s="709">
        <f t="shared" ref="I76:I77" si="130">F76+G76+H76</f>
        <v>0</v>
      </c>
      <c r="J76" s="710">
        <f t="shared" ref="J76:J77" si="131">(F76+G76+H76)/4</f>
        <v>0</v>
      </c>
      <c r="K76" s="711" t="str">
        <f t="shared" ref="K76:K78" si="132">IF(J76&gt;85,("4"),IF(J76&gt;80,("3.66"),IF(J76&gt;75,("3.33"),IF(J76&gt;70,("3.00"),IF(J76&gt;65,("2.66"),IF(J76&gt;60,("2.33"),IF(J76&gt;55,("2"),IF(J76&gt;50,("1.66"),"1.33"))))))))</f>
        <v>1.33</v>
      </c>
      <c r="L76" s="711" t="str">
        <f t="shared" ref="L76:L78" si="133">IF(J76&gt;85,("A"),IF(J76&gt;80,("A-"),IF(J76&gt;75,("B+"),IF(J76&gt;70,("B"),IF(J76&gt;65,("B-"),IF(J76&gt;60,("C+"),IF(J76&gt;55,("C"),IF(J76&gt;50,("C-"),"D+"))))))))</f>
        <v>D+</v>
      </c>
      <c r="M76" s="712" t="str">
        <f t="shared" ref="M76:M78" si="134">IF(J76&gt;80,("SB"),IF(J76&gt;65,("B"),IF(J76&gt;50,("C"),IF(J76&gt;0,("K"),"0"))))</f>
        <v>0</v>
      </c>
      <c r="N76" s="689"/>
      <c r="O76" s="690"/>
      <c r="P76" s="690"/>
      <c r="Q76" s="691"/>
      <c r="R76" s="691"/>
      <c r="S76" s="692"/>
      <c r="T76" s="1667"/>
      <c r="U76" s="1668"/>
    </row>
    <row r="77" spans="1:21" ht="24.95" customHeight="1" x14ac:dyDescent="0.25">
      <c r="A77" s="687"/>
      <c r="B77" s="683">
        <v>18</v>
      </c>
      <c r="C77" s="688"/>
      <c r="D77" s="991" t="s">
        <v>20</v>
      </c>
      <c r="E77" s="627">
        <f>VLOOKUP(A75,UHT_jawa,20,FALSE)</f>
        <v>0</v>
      </c>
      <c r="F77" s="1191">
        <f t="shared" si="129"/>
        <v>0</v>
      </c>
      <c r="G77" s="361"/>
      <c r="H77" s="1188">
        <f>VLOOKUP(B75,REKAP_NILAI,44,FALSE)</f>
        <v>0</v>
      </c>
      <c r="I77" s="709">
        <f t="shared" si="130"/>
        <v>0</v>
      </c>
      <c r="J77" s="710">
        <f t="shared" si="131"/>
        <v>0</v>
      </c>
      <c r="K77" s="711" t="str">
        <f t="shared" si="132"/>
        <v>1.33</v>
      </c>
      <c r="L77" s="711" t="str">
        <f t="shared" si="133"/>
        <v>D+</v>
      </c>
      <c r="M77" s="712" t="str">
        <f t="shared" si="134"/>
        <v>0</v>
      </c>
      <c r="N77" s="693"/>
      <c r="O77" s="694"/>
      <c r="P77" s="694"/>
      <c r="Q77" s="695"/>
      <c r="R77" s="695"/>
      <c r="S77" s="696"/>
      <c r="T77" s="1669"/>
      <c r="U77" s="1670"/>
    </row>
    <row r="78" spans="1:21" ht="24.95" customHeight="1" x14ac:dyDescent="0.25">
      <c r="A78" s="697"/>
      <c r="B78" s="698"/>
      <c r="C78" s="699" t="s">
        <v>149</v>
      </c>
      <c r="D78" s="700">
        <v>18</v>
      </c>
      <c r="E78" s="697"/>
      <c r="F78" s="1192"/>
      <c r="G78" s="697"/>
      <c r="H78" s="1189">
        <f>AVERAGE(H75:H77)</f>
        <v>0</v>
      </c>
      <c r="I78" s="705"/>
      <c r="J78" s="713">
        <f>AVERAGE(J75:J77)</f>
        <v>0</v>
      </c>
      <c r="K78" s="714" t="str">
        <f t="shared" si="132"/>
        <v>1.33</v>
      </c>
      <c r="L78" s="714" t="str">
        <f t="shared" si="133"/>
        <v>D+</v>
      </c>
      <c r="M78" s="888" t="str">
        <f t="shared" si="134"/>
        <v>0</v>
      </c>
      <c r="N78" s="701"/>
      <c r="O78" s="702"/>
      <c r="P78" s="702"/>
      <c r="Q78" s="702"/>
      <c r="R78" s="702"/>
      <c r="S78" s="703"/>
      <c r="T78" s="1257"/>
      <c r="U78" s="1258"/>
    </row>
    <row r="79" spans="1:21" ht="24.95" customHeight="1" x14ac:dyDescent="0.25">
      <c r="A79" s="360">
        <v>19</v>
      </c>
      <c r="B79" s="683">
        <v>19</v>
      </c>
      <c r="C79" s="684" t="str">
        <f>VLOOKUP(A79,data_siswa,4,FALSE)</f>
        <v>Raihan Danang P</v>
      </c>
      <c r="D79" s="991" t="s">
        <v>18</v>
      </c>
      <c r="E79" s="627">
        <f>VLOOKUP(A79,UHT_jawa,18,FALSE)</f>
        <v>0</v>
      </c>
      <c r="F79" s="1190">
        <f>E79*2</f>
        <v>0</v>
      </c>
      <c r="G79" s="361"/>
      <c r="H79" s="1188">
        <f>VLOOKUP(B79,REKAP_NILAI,42,FALSE)</f>
        <v>0</v>
      </c>
      <c r="I79" s="706">
        <f>F79+G79+H79</f>
        <v>0</v>
      </c>
      <c r="J79" s="707">
        <f>(F79+G79+H79)/4</f>
        <v>0</v>
      </c>
      <c r="K79" s="708" t="str">
        <f>IF(J79&gt;85,("4"),IF(J79&gt;80,("3.66"),IF(J79&gt;75,("3.33"),IF(J79&gt;70,("3.00"),IF(J79&gt;65,("2.66"),IF(J79&gt;60,("2.33"),IF(J79&gt;55,("2"),IF(J79&gt;50,("1.66"),"1.33"))))))))</f>
        <v>1.33</v>
      </c>
      <c r="L79" s="708" t="str">
        <f>IF(J79&gt;85,("A"),IF(J79&gt;80,("A-"),IF(J79&gt;75,("B+"),IF(J79&gt;70,("B"),IF(J79&gt;65,("B-"),IF(J79&gt;60,("C+"),IF(J79&gt;55,("C"),IF(J79&gt;50,("C-"),"D+"))))))))</f>
        <v>D+</v>
      </c>
      <c r="M79" s="887" t="str">
        <f>IF(J79&gt;80,("SB"),IF(J79&gt;65,("B"),IF(J79&gt;50,("C"),IF(J79&gt;0,("K"),"0"))))</f>
        <v>0</v>
      </c>
      <c r="N79" s="685"/>
      <c r="O79" s="360"/>
      <c r="P79" s="360"/>
      <c r="Q79" s="686"/>
      <c r="R79" s="686"/>
      <c r="S79" s="686"/>
      <c r="T79" s="704">
        <f>AVERAGE(J79:J81)</f>
        <v>0</v>
      </c>
      <c r="U79" s="1481" t="str">
        <f>IF(T79&gt;85,("A"),IF(T79&gt;80,("A-"),IF(T79&gt;75,("B+"),IF(T79&gt;70,("B"),IF(T79&gt;65,("B-"),IF(T79&gt;60,("C+"),IF(T79&gt;55,("C"),IF(T79&gt;50,("C-"),"D+"))))))))</f>
        <v>D+</v>
      </c>
    </row>
    <row r="80" spans="1:21" ht="24.95" customHeight="1" x14ac:dyDescent="0.25">
      <c r="A80" s="687"/>
      <c r="B80" s="683">
        <v>19</v>
      </c>
      <c r="C80" s="688"/>
      <c r="D80" s="991" t="s">
        <v>179</v>
      </c>
      <c r="E80" s="627">
        <f>VLOOKUP(A79,UHT_jawa,19,FALSE)</f>
        <v>0</v>
      </c>
      <c r="F80" s="1191">
        <f t="shared" ref="F80:F81" si="135">E80*2</f>
        <v>0</v>
      </c>
      <c r="G80" s="361"/>
      <c r="H80" s="1188">
        <f>VLOOKUP(B79,REKAP_NILAI,43,FALSE)</f>
        <v>0</v>
      </c>
      <c r="I80" s="709">
        <f t="shared" ref="I80:I81" si="136">F80+G80+H80</f>
        <v>0</v>
      </c>
      <c r="J80" s="710">
        <f t="shared" ref="J80:J81" si="137">(F80+G80+H80)/4</f>
        <v>0</v>
      </c>
      <c r="K80" s="711" t="str">
        <f t="shared" ref="K80:K82" si="138">IF(J80&gt;85,("4"),IF(J80&gt;80,("3.66"),IF(J80&gt;75,("3.33"),IF(J80&gt;70,("3.00"),IF(J80&gt;65,("2.66"),IF(J80&gt;60,("2.33"),IF(J80&gt;55,("2"),IF(J80&gt;50,("1.66"),"1.33"))))))))</f>
        <v>1.33</v>
      </c>
      <c r="L80" s="711" t="str">
        <f t="shared" ref="L80:L82" si="139">IF(J80&gt;85,("A"),IF(J80&gt;80,("A-"),IF(J80&gt;75,("B+"),IF(J80&gt;70,("B"),IF(J80&gt;65,("B-"),IF(J80&gt;60,("C+"),IF(J80&gt;55,("C"),IF(J80&gt;50,("C-"),"D+"))))))))</f>
        <v>D+</v>
      </c>
      <c r="M80" s="712" t="str">
        <f t="shared" ref="M80:M82" si="140">IF(J80&gt;80,("SB"),IF(J80&gt;65,("B"),IF(J80&gt;50,("C"),IF(J80&gt;0,("K"),"0"))))</f>
        <v>0</v>
      </c>
      <c r="N80" s="689"/>
      <c r="O80" s="690"/>
      <c r="P80" s="690"/>
      <c r="Q80" s="691"/>
      <c r="R80" s="691"/>
      <c r="S80" s="692"/>
      <c r="T80" s="1667"/>
      <c r="U80" s="1668"/>
    </row>
    <row r="81" spans="1:21" ht="24.95" customHeight="1" x14ac:dyDescent="0.25">
      <c r="A81" s="687"/>
      <c r="B81" s="683">
        <v>19</v>
      </c>
      <c r="C81" s="688"/>
      <c r="D81" s="991" t="s">
        <v>20</v>
      </c>
      <c r="E81" s="627">
        <f>VLOOKUP(A79,UHT_jawa,20,FALSE)</f>
        <v>0</v>
      </c>
      <c r="F81" s="1191">
        <f t="shared" si="135"/>
        <v>0</v>
      </c>
      <c r="G81" s="361"/>
      <c r="H81" s="1188">
        <f>VLOOKUP(B79,REKAP_NILAI,44,FALSE)</f>
        <v>0</v>
      </c>
      <c r="I81" s="709">
        <f t="shared" si="136"/>
        <v>0</v>
      </c>
      <c r="J81" s="710">
        <f t="shared" si="137"/>
        <v>0</v>
      </c>
      <c r="K81" s="711" t="str">
        <f t="shared" si="138"/>
        <v>1.33</v>
      </c>
      <c r="L81" s="711" t="str">
        <f t="shared" si="139"/>
        <v>D+</v>
      </c>
      <c r="M81" s="712" t="str">
        <f t="shared" si="140"/>
        <v>0</v>
      </c>
      <c r="N81" s="693"/>
      <c r="O81" s="694"/>
      <c r="P81" s="694"/>
      <c r="Q81" s="695"/>
      <c r="R81" s="695"/>
      <c r="S81" s="696"/>
      <c r="T81" s="1669"/>
      <c r="U81" s="1670"/>
    </row>
    <row r="82" spans="1:21" ht="24.95" customHeight="1" x14ac:dyDescent="0.25">
      <c r="A82" s="697"/>
      <c r="B82" s="698"/>
      <c r="C82" s="699" t="s">
        <v>149</v>
      </c>
      <c r="D82" s="700">
        <v>19</v>
      </c>
      <c r="E82" s="697"/>
      <c r="F82" s="1192"/>
      <c r="G82" s="697"/>
      <c r="H82" s="1189">
        <f>AVERAGE(H79:H81)</f>
        <v>0</v>
      </c>
      <c r="I82" s="705"/>
      <c r="J82" s="713">
        <f>AVERAGE(J79:J81)</f>
        <v>0</v>
      </c>
      <c r="K82" s="714" t="str">
        <f t="shared" si="138"/>
        <v>1.33</v>
      </c>
      <c r="L82" s="714" t="str">
        <f t="shared" si="139"/>
        <v>D+</v>
      </c>
      <c r="M82" s="888" t="str">
        <f t="shared" si="140"/>
        <v>0</v>
      </c>
      <c r="N82" s="701"/>
      <c r="O82" s="702"/>
      <c r="P82" s="702"/>
      <c r="Q82" s="702"/>
      <c r="R82" s="702"/>
      <c r="S82" s="703"/>
      <c r="T82" s="1257"/>
      <c r="U82" s="1258"/>
    </row>
    <row r="83" spans="1:21" ht="24.95" customHeight="1" x14ac:dyDescent="0.25">
      <c r="A83" s="360">
        <v>20</v>
      </c>
      <c r="B83" s="683">
        <v>20</v>
      </c>
      <c r="C83" s="684" t="str">
        <f>VLOOKUP(A83,data_siswa,4,FALSE)</f>
        <v>Roby Ardiyansyah</v>
      </c>
      <c r="D83" s="991" t="s">
        <v>18</v>
      </c>
      <c r="E83" s="627">
        <f>VLOOKUP(A83,UHT_jawa,18,FALSE)</f>
        <v>0</v>
      </c>
      <c r="F83" s="1190">
        <f>E83*2</f>
        <v>0</v>
      </c>
      <c r="G83" s="361"/>
      <c r="H83" s="1188">
        <f>VLOOKUP(B83,REKAP_NILAI,42,FALSE)</f>
        <v>0</v>
      </c>
      <c r="I83" s="706">
        <f>F83+G83+H83</f>
        <v>0</v>
      </c>
      <c r="J83" s="707">
        <f>(F83+G83+H83)/4</f>
        <v>0</v>
      </c>
      <c r="K83" s="708" t="str">
        <f>IF(J83&gt;85,("4"),IF(J83&gt;80,("3.66"),IF(J83&gt;75,("3.33"),IF(J83&gt;70,("3.00"),IF(J83&gt;65,("2.66"),IF(J83&gt;60,("2.33"),IF(J83&gt;55,("2"),IF(J83&gt;50,("1.66"),"1.33"))))))))</f>
        <v>1.33</v>
      </c>
      <c r="L83" s="708" t="str">
        <f>IF(J83&gt;85,("A"),IF(J83&gt;80,("A-"),IF(J83&gt;75,("B+"),IF(J83&gt;70,("B"),IF(J83&gt;65,("B-"),IF(J83&gt;60,("C+"),IF(J83&gt;55,("C"),IF(J83&gt;50,("C-"),"D+"))))))))</f>
        <v>D+</v>
      </c>
      <c r="M83" s="887" t="str">
        <f>IF(J83&gt;80,("SB"),IF(J83&gt;65,("B"),IF(J83&gt;50,("C"),IF(J83&gt;0,("K"),"0"))))</f>
        <v>0</v>
      </c>
      <c r="N83" s="685"/>
      <c r="O83" s="360"/>
      <c r="P83" s="360"/>
      <c r="Q83" s="686"/>
      <c r="R83" s="686"/>
      <c r="S83" s="686"/>
      <c r="T83" s="704">
        <f>AVERAGE(J83:J85)</f>
        <v>0</v>
      </c>
      <c r="U83" s="1481" t="str">
        <f>IF(T83&gt;85,("A"),IF(T83&gt;80,("A-"),IF(T83&gt;75,("B+"),IF(T83&gt;70,("B"),IF(T83&gt;65,("B-"),IF(T83&gt;60,("C+"),IF(T83&gt;55,("C"),IF(T83&gt;50,("C-"),"D+"))))))))</f>
        <v>D+</v>
      </c>
    </row>
    <row r="84" spans="1:21" ht="24.95" customHeight="1" x14ac:dyDescent="0.25">
      <c r="A84" s="687"/>
      <c r="B84" s="683">
        <v>20</v>
      </c>
      <c r="C84" s="688"/>
      <c r="D84" s="991" t="s">
        <v>179</v>
      </c>
      <c r="E84" s="627">
        <f>VLOOKUP(A83,UHT_jawa,19,FALSE)</f>
        <v>0</v>
      </c>
      <c r="F84" s="1191">
        <f t="shared" ref="F84:F85" si="141">E84*2</f>
        <v>0</v>
      </c>
      <c r="G84" s="361"/>
      <c r="H84" s="1188">
        <f>VLOOKUP(B83,REKAP_NILAI,43,FALSE)</f>
        <v>0</v>
      </c>
      <c r="I84" s="709">
        <f t="shared" ref="I84:I85" si="142">F84+G84+H84</f>
        <v>0</v>
      </c>
      <c r="J84" s="710">
        <f t="shared" ref="J84:J85" si="143">(F84+G84+H84)/4</f>
        <v>0</v>
      </c>
      <c r="K84" s="711" t="str">
        <f t="shared" ref="K84:K85" si="144">IF(J84&gt;85,("4"),IF(J84&gt;80,("3.66"),IF(J84&gt;75,("3.33"),IF(J84&gt;70,("3.00"),IF(J84&gt;65,("2.66"),IF(J84&gt;60,("2.33"),IF(J84&gt;55,("2"),IF(J84&gt;50,("1.66"),"1.33"))))))))</f>
        <v>1.33</v>
      </c>
      <c r="L84" s="711" t="str">
        <f t="shared" ref="L84:L85" si="145">IF(J84&gt;85,("A"),IF(J84&gt;80,("A-"),IF(J84&gt;75,("B+"),IF(J84&gt;70,("B"),IF(J84&gt;65,("B-"),IF(J84&gt;60,("C+"),IF(J84&gt;55,("C"),IF(J84&gt;50,("C-"),"D+"))))))))</f>
        <v>D+</v>
      </c>
      <c r="M84" s="712" t="str">
        <f t="shared" ref="M84:M85" si="146">IF(J84&gt;80,("SB"),IF(J84&gt;65,("B"),IF(J84&gt;50,("C"),IF(J84&gt;0,("K"),"0"))))</f>
        <v>0</v>
      </c>
      <c r="N84" s="689"/>
      <c r="O84" s="690"/>
      <c r="P84" s="690"/>
      <c r="Q84" s="691"/>
      <c r="R84" s="691"/>
      <c r="S84" s="692"/>
      <c r="T84" s="1667"/>
      <c r="U84" s="1668"/>
    </row>
    <row r="85" spans="1:21" ht="24.95" customHeight="1" x14ac:dyDescent="0.25">
      <c r="A85" s="687"/>
      <c r="B85" s="683">
        <v>20</v>
      </c>
      <c r="C85" s="688"/>
      <c r="D85" s="991" t="s">
        <v>20</v>
      </c>
      <c r="E85" s="627">
        <f>VLOOKUP(A83,UHT_jawa,20,FALSE)</f>
        <v>0</v>
      </c>
      <c r="F85" s="1191">
        <f t="shared" si="141"/>
        <v>0</v>
      </c>
      <c r="G85" s="361"/>
      <c r="H85" s="1188">
        <f>VLOOKUP(B83,REKAP_NILAI,44,FALSE)</f>
        <v>0</v>
      </c>
      <c r="I85" s="709">
        <f t="shared" si="142"/>
        <v>0</v>
      </c>
      <c r="J85" s="710">
        <f t="shared" si="143"/>
        <v>0</v>
      </c>
      <c r="K85" s="711" t="str">
        <f t="shared" si="144"/>
        <v>1.33</v>
      </c>
      <c r="L85" s="711" t="str">
        <f t="shared" si="145"/>
        <v>D+</v>
      </c>
      <c r="M85" s="712" t="str">
        <f t="shared" si="146"/>
        <v>0</v>
      </c>
      <c r="N85" s="693"/>
      <c r="O85" s="694"/>
      <c r="P85" s="694"/>
      <c r="Q85" s="695"/>
      <c r="R85" s="695"/>
      <c r="S85" s="696"/>
      <c r="T85" s="1669"/>
      <c r="U85" s="1670"/>
    </row>
    <row r="86" spans="1:21" ht="24.95" customHeight="1" x14ac:dyDescent="0.25">
      <c r="A86" s="697"/>
      <c r="B86" s="698"/>
      <c r="C86" s="699" t="s">
        <v>149</v>
      </c>
      <c r="D86" s="700">
        <v>20</v>
      </c>
      <c r="E86" s="697"/>
      <c r="F86" s="1192"/>
      <c r="G86" s="697"/>
      <c r="H86" s="1189">
        <f>AVERAGE(H83:H85)</f>
        <v>0</v>
      </c>
      <c r="I86" s="705"/>
      <c r="J86" s="713">
        <f>AVERAGE(J83:J85)</f>
        <v>0</v>
      </c>
      <c r="K86" s="714" t="str">
        <f t="shared" ref="K86" si="147">IF(J86&gt;85,("4"),IF(J86&gt;80,("3.66"),IF(J86&gt;75,("3.33"),IF(J86&gt;70,("3.00"),IF(J86&gt;65,("2.66"),IF(J86&gt;60,("2.33"),IF(J86&gt;55,("2"),IF(J86&gt;50,("1.66"),"1.33"))))))))</f>
        <v>1.33</v>
      </c>
      <c r="L86" s="714" t="str">
        <f t="shared" ref="L86" si="148">IF(J86&gt;85,("A"),IF(J86&gt;80,("A-"),IF(J86&gt;75,("B+"),IF(J86&gt;70,("B"),IF(J86&gt;65,("B-"),IF(J86&gt;60,("C+"),IF(J86&gt;55,("C"),IF(J86&gt;50,("C-"),"D+"))))))))</f>
        <v>D+</v>
      </c>
      <c r="M86" s="888" t="str">
        <f t="shared" ref="M86" si="149">IF(J86&gt;80,("SB"),IF(J86&gt;65,("B"),IF(J86&gt;50,("C"),IF(J86&gt;0,("K"),"0"))))</f>
        <v>0</v>
      </c>
      <c r="N86" s="701"/>
      <c r="O86" s="702"/>
      <c r="P86" s="702"/>
      <c r="Q86" s="702"/>
      <c r="R86" s="702"/>
      <c r="S86" s="703"/>
      <c r="T86" s="1257"/>
      <c r="U86" s="1258"/>
    </row>
    <row r="87" spans="1:21" ht="24.95" customHeight="1" x14ac:dyDescent="0.25">
      <c r="A87" s="360">
        <v>21</v>
      </c>
      <c r="B87" s="683">
        <v>21</v>
      </c>
      <c r="C87" s="684" t="str">
        <f>VLOOKUP(A87,data_siswa,4,FALSE)</f>
        <v>Rojalingga Prana A</v>
      </c>
      <c r="D87" s="991" t="s">
        <v>18</v>
      </c>
      <c r="E87" s="627">
        <f>VLOOKUP(A87,UHT_jawa,18,FALSE)</f>
        <v>0</v>
      </c>
      <c r="F87" s="1190">
        <f>E87*2</f>
        <v>0</v>
      </c>
      <c r="G87" s="361"/>
      <c r="H87" s="1188">
        <f>VLOOKUP(B87,REKAP_NILAI,42,FALSE)</f>
        <v>0</v>
      </c>
      <c r="I87" s="706">
        <f>F87+G87+H87</f>
        <v>0</v>
      </c>
      <c r="J87" s="707">
        <f>(F87+G87+H87)/4</f>
        <v>0</v>
      </c>
      <c r="K87" s="708" t="str">
        <f>IF(J87&gt;85,("4"),IF(J87&gt;80,("3.66"),IF(J87&gt;75,("3.33"),IF(J87&gt;70,("3.00"),IF(J87&gt;65,("2.66"),IF(J87&gt;60,("2.33"),IF(J87&gt;55,("2"),IF(J87&gt;50,("1.66"),"1.33"))))))))</f>
        <v>1.33</v>
      </c>
      <c r="L87" s="708" t="str">
        <f>IF(J87&gt;85,("A"),IF(J87&gt;80,("A-"),IF(J87&gt;75,("B+"),IF(J87&gt;70,("B"),IF(J87&gt;65,("B-"),IF(J87&gt;60,("C+"),IF(J87&gt;55,("C"),IF(J87&gt;50,("C-"),"D+"))))))))</f>
        <v>D+</v>
      </c>
      <c r="M87" s="887" t="str">
        <f>IF(J87&gt;80,("SB"),IF(J87&gt;65,("B"),IF(J87&gt;50,("C"),IF(J87&gt;0,("K"),"0"))))</f>
        <v>0</v>
      </c>
      <c r="N87" s="685"/>
      <c r="O87" s="360"/>
      <c r="P87" s="360"/>
      <c r="Q87" s="686"/>
      <c r="R87" s="686"/>
      <c r="S87" s="686"/>
      <c r="T87" s="704">
        <f>AVERAGE(J87:J89)</f>
        <v>0</v>
      </c>
      <c r="U87" s="1481" t="str">
        <f>IF(T87&gt;85,("A"),IF(T87&gt;80,("A-"),IF(T87&gt;75,("B+"),IF(T87&gt;70,("B"),IF(T87&gt;65,("B-"),IF(T87&gt;60,("C+"),IF(T87&gt;55,("C"),IF(T87&gt;50,("C-"),"D+"))))))))</f>
        <v>D+</v>
      </c>
    </row>
    <row r="88" spans="1:21" ht="24.95" customHeight="1" x14ac:dyDescent="0.25">
      <c r="A88" s="687"/>
      <c r="B88" s="683">
        <v>21</v>
      </c>
      <c r="C88" s="688"/>
      <c r="D88" s="991" t="s">
        <v>179</v>
      </c>
      <c r="E88" s="627">
        <f>VLOOKUP(A87,UHT_jawa,19,FALSE)</f>
        <v>0</v>
      </c>
      <c r="F88" s="1191">
        <f t="shared" ref="F88:F89" si="150">E88*2</f>
        <v>0</v>
      </c>
      <c r="G88" s="361"/>
      <c r="H88" s="1188">
        <f>VLOOKUP(B87,REKAP_NILAI,43,FALSE)</f>
        <v>0</v>
      </c>
      <c r="I88" s="709">
        <f t="shared" ref="I88:I89" si="151">F88+G88+H88</f>
        <v>0</v>
      </c>
      <c r="J88" s="710">
        <f t="shared" ref="J88:J89" si="152">(F88+G88+H88)/4</f>
        <v>0</v>
      </c>
      <c r="K88" s="711" t="str">
        <f t="shared" ref="K88:K90" si="153">IF(J88&gt;85,("4"),IF(J88&gt;80,("3.66"),IF(J88&gt;75,("3.33"),IF(J88&gt;70,("3.00"),IF(J88&gt;65,("2.66"),IF(J88&gt;60,("2.33"),IF(J88&gt;55,("2"),IF(J88&gt;50,("1.66"),"1.33"))))))))</f>
        <v>1.33</v>
      </c>
      <c r="L88" s="711" t="str">
        <f t="shared" ref="L88:L90" si="154">IF(J88&gt;85,("A"),IF(J88&gt;80,("A-"),IF(J88&gt;75,("B+"),IF(J88&gt;70,("B"),IF(J88&gt;65,("B-"),IF(J88&gt;60,("C+"),IF(J88&gt;55,("C"),IF(J88&gt;50,("C-"),"D+"))))))))</f>
        <v>D+</v>
      </c>
      <c r="M88" s="712" t="str">
        <f t="shared" ref="M88:M90" si="155">IF(J88&gt;80,("SB"),IF(J88&gt;65,("B"),IF(J88&gt;50,("C"),IF(J88&gt;0,("K"),"0"))))</f>
        <v>0</v>
      </c>
      <c r="N88" s="689"/>
      <c r="O88" s="690"/>
      <c r="P88" s="690"/>
      <c r="Q88" s="691"/>
      <c r="R88" s="691"/>
      <c r="S88" s="692"/>
      <c r="T88" s="1667"/>
      <c r="U88" s="1668"/>
    </row>
    <row r="89" spans="1:21" ht="24.95" customHeight="1" x14ac:dyDescent="0.25">
      <c r="A89" s="687"/>
      <c r="B89" s="683">
        <v>21</v>
      </c>
      <c r="C89" s="688"/>
      <c r="D89" s="991" t="s">
        <v>20</v>
      </c>
      <c r="E89" s="627">
        <f>VLOOKUP(A87,UHT_jawa,20,FALSE)</f>
        <v>0</v>
      </c>
      <c r="F89" s="1191">
        <f t="shared" si="150"/>
        <v>0</v>
      </c>
      <c r="G89" s="361"/>
      <c r="H89" s="1188">
        <f>VLOOKUP(B87,REKAP_NILAI,44,FALSE)</f>
        <v>0</v>
      </c>
      <c r="I89" s="709">
        <f t="shared" si="151"/>
        <v>0</v>
      </c>
      <c r="J89" s="710">
        <f t="shared" si="152"/>
        <v>0</v>
      </c>
      <c r="K89" s="711" t="str">
        <f t="shared" si="153"/>
        <v>1.33</v>
      </c>
      <c r="L89" s="711" t="str">
        <f t="shared" si="154"/>
        <v>D+</v>
      </c>
      <c r="M89" s="712" t="str">
        <f t="shared" si="155"/>
        <v>0</v>
      </c>
      <c r="N89" s="693"/>
      <c r="O89" s="694"/>
      <c r="P89" s="694"/>
      <c r="Q89" s="695"/>
      <c r="R89" s="695"/>
      <c r="S89" s="696"/>
      <c r="T89" s="1669"/>
      <c r="U89" s="1670"/>
    </row>
    <row r="90" spans="1:21" ht="24.95" customHeight="1" x14ac:dyDescent="0.25">
      <c r="A90" s="697"/>
      <c r="B90" s="698"/>
      <c r="C90" s="699" t="s">
        <v>149</v>
      </c>
      <c r="D90" s="700">
        <v>21</v>
      </c>
      <c r="E90" s="697"/>
      <c r="F90" s="1192"/>
      <c r="G90" s="697"/>
      <c r="H90" s="1189">
        <f>AVERAGE(H87:H89)</f>
        <v>0</v>
      </c>
      <c r="I90" s="705"/>
      <c r="J90" s="713">
        <f>AVERAGE(J87:J89)</f>
        <v>0</v>
      </c>
      <c r="K90" s="714" t="str">
        <f t="shared" si="153"/>
        <v>1.33</v>
      </c>
      <c r="L90" s="714" t="str">
        <f t="shared" si="154"/>
        <v>D+</v>
      </c>
      <c r="M90" s="888" t="str">
        <f t="shared" si="155"/>
        <v>0</v>
      </c>
      <c r="N90" s="701"/>
      <c r="O90" s="702"/>
      <c r="P90" s="702"/>
      <c r="Q90" s="702"/>
      <c r="R90" s="702"/>
      <c r="S90" s="703"/>
      <c r="T90" s="1257"/>
      <c r="U90" s="1258"/>
    </row>
    <row r="91" spans="1:21" ht="24.95" customHeight="1" x14ac:dyDescent="0.25">
      <c r="A91" s="360">
        <v>22</v>
      </c>
      <c r="B91" s="683">
        <v>22</v>
      </c>
      <c r="C91" s="684" t="str">
        <f>VLOOKUP(A91,data_siswa,4,FALSE)</f>
        <v>Sally Savista A</v>
      </c>
      <c r="D91" s="991" t="s">
        <v>18</v>
      </c>
      <c r="E91" s="627">
        <f>VLOOKUP(A91,UHT_jawa,18,FALSE)</f>
        <v>0</v>
      </c>
      <c r="F91" s="1190">
        <f>E91*2</f>
        <v>0</v>
      </c>
      <c r="G91" s="361"/>
      <c r="H91" s="1188">
        <f>VLOOKUP(B91,REKAP_NILAI,42,FALSE)</f>
        <v>0</v>
      </c>
      <c r="I91" s="706">
        <f>F91+G91+H91</f>
        <v>0</v>
      </c>
      <c r="J91" s="707">
        <f>(F91+G91+H91)/4</f>
        <v>0</v>
      </c>
      <c r="K91" s="708" t="str">
        <f>IF(J91&gt;85,("4"),IF(J91&gt;80,("3.66"),IF(J91&gt;75,("3.33"),IF(J91&gt;70,("3.00"),IF(J91&gt;65,("2.66"),IF(J91&gt;60,("2.33"),IF(J91&gt;55,("2"),IF(J91&gt;50,("1.66"),"1.33"))))))))</f>
        <v>1.33</v>
      </c>
      <c r="L91" s="708" t="str">
        <f>IF(J91&gt;85,("A"),IF(J91&gt;80,("A-"),IF(J91&gt;75,("B+"),IF(J91&gt;70,("B"),IF(J91&gt;65,("B-"),IF(J91&gt;60,("C+"),IF(J91&gt;55,("C"),IF(J91&gt;50,("C-"),"D+"))))))))</f>
        <v>D+</v>
      </c>
      <c r="M91" s="887" t="str">
        <f>IF(J91&gt;80,("SB"),IF(J91&gt;65,("B"),IF(J91&gt;50,("C"),IF(J91&gt;0,("K"),"0"))))</f>
        <v>0</v>
      </c>
      <c r="N91" s="685"/>
      <c r="O91" s="360"/>
      <c r="P91" s="360"/>
      <c r="Q91" s="686"/>
      <c r="R91" s="686"/>
      <c r="S91" s="686"/>
      <c r="T91" s="704">
        <f>AVERAGE(J91:J93)</f>
        <v>0</v>
      </c>
      <c r="U91" s="1481" t="str">
        <f>IF(T91&gt;85,("A"),IF(T91&gt;80,("A-"),IF(T91&gt;75,("B+"),IF(T91&gt;70,("B"),IF(T91&gt;65,("B-"),IF(T91&gt;60,("C+"),IF(T91&gt;55,("C"),IF(T91&gt;50,("C-"),"D+"))))))))</f>
        <v>D+</v>
      </c>
    </row>
    <row r="92" spans="1:21" ht="24.95" customHeight="1" x14ac:dyDescent="0.25">
      <c r="A92" s="687"/>
      <c r="B92" s="683">
        <v>22</v>
      </c>
      <c r="C92" s="688"/>
      <c r="D92" s="991" t="s">
        <v>179</v>
      </c>
      <c r="E92" s="627">
        <f>VLOOKUP(A91,UHT_jawa,19,FALSE)</f>
        <v>0</v>
      </c>
      <c r="F92" s="1191">
        <f t="shared" ref="F92:F93" si="156">E92*2</f>
        <v>0</v>
      </c>
      <c r="G92" s="361"/>
      <c r="H92" s="1188">
        <f>VLOOKUP(B91,REKAP_NILAI,43,FALSE)</f>
        <v>0</v>
      </c>
      <c r="I92" s="709">
        <f t="shared" ref="I92:I93" si="157">F92+G92+H92</f>
        <v>0</v>
      </c>
      <c r="J92" s="710">
        <f t="shared" ref="J92:J93" si="158">(F92+G92+H92)/4</f>
        <v>0</v>
      </c>
      <c r="K92" s="711" t="str">
        <f t="shared" ref="K92:K94" si="159">IF(J92&gt;85,("4"),IF(J92&gt;80,("3.66"),IF(J92&gt;75,("3.33"),IF(J92&gt;70,("3.00"),IF(J92&gt;65,("2.66"),IF(J92&gt;60,("2.33"),IF(J92&gt;55,("2"),IF(J92&gt;50,("1.66"),"1.33"))))))))</f>
        <v>1.33</v>
      </c>
      <c r="L92" s="711" t="str">
        <f t="shared" ref="L92:L94" si="160">IF(J92&gt;85,("A"),IF(J92&gt;80,("A-"),IF(J92&gt;75,("B+"),IF(J92&gt;70,("B"),IF(J92&gt;65,("B-"),IF(J92&gt;60,("C+"),IF(J92&gt;55,("C"),IF(J92&gt;50,("C-"),"D+"))))))))</f>
        <v>D+</v>
      </c>
      <c r="M92" s="712" t="str">
        <f t="shared" ref="M92:M94" si="161">IF(J92&gt;80,("SB"),IF(J92&gt;65,("B"),IF(J92&gt;50,("C"),IF(J92&gt;0,("K"),"0"))))</f>
        <v>0</v>
      </c>
      <c r="N92" s="689"/>
      <c r="O92" s="690"/>
      <c r="P92" s="690"/>
      <c r="Q92" s="691"/>
      <c r="R92" s="691"/>
      <c r="S92" s="692"/>
      <c r="T92" s="1667"/>
      <c r="U92" s="1668"/>
    </row>
    <row r="93" spans="1:21" ht="24.95" customHeight="1" x14ac:dyDescent="0.25">
      <c r="A93" s="687"/>
      <c r="B93" s="683">
        <v>22</v>
      </c>
      <c r="C93" s="688"/>
      <c r="D93" s="991" t="s">
        <v>20</v>
      </c>
      <c r="E93" s="627">
        <f>VLOOKUP(A91,UHT_jawa,20,FALSE)</f>
        <v>0</v>
      </c>
      <c r="F93" s="1191">
        <f t="shared" si="156"/>
        <v>0</v>
      </c>
      <c r="G93" s="361"/>
      <c r="H93" s="1188">
        <f>VLOOKUP(B91,REKAP_NILAI,44,FALSE)</f>
        <v>0</v>
      </c>
      <c r="I93" s="709">
        <f t="shared" si="157"/>
        <v>0</v>
      </c>
      <c r="J93" s="710">
        <f t="shared" si="158"/>
        <v>0</v>
      </c>
      <c r="K93" s="711" t="str">
        <f t="shared" si="159"/>
        <v>1.33</v>
      </c>
      <c r="L93" s="711" t="str">
        <f t="shared" si="160"/>
        <v>D+</v>
      </c>
      <c r="M93" s="712" t="str">
        <f t="shared" si="161"/>
        <v>0</v>
      </c>
      <c r="N93" s="693"/>
      <c r="O93" s="694"/>
      <c r="P93" s="694"/>
      <c r="Q93" s="695"/>
      <c r="R93" s="695"/>
      <c r="S93" s="696"/>
      <c r="T93" s="1669"/>
      <c r="U93" s="1670"/>
    </row>
    <row r="94" spans="1:21" ht="24.95" customHeight="1" x14ac:dyDescent="0.25">
      <c r="A94" s="697"/>
      <c r="B94" s="698"/>
      <c r="C94" s="699" t="s">
        <v>149</v>
      </c>
      <c r="D94" s="700">
        <v>22</v>
      </c>
      <c r="E94" s="697"/>
      <c r="F94" s="1192"/>
      <c r="G94" s="697"/>
      <c r="H94" s="1189">
        <f>AVERAGE(H91:H93)</f>
        <v>0</v>
      </c>
      <c r="I94" s="705"/>
      <c r="J94" s="713">
        <f>AVERAGE(J91:J93)</f>
        <v>0</v>
      </c>
      <c r="K94" s="714" t="str">
        <f t="shared" si="159"/>
        <v>1.33</v>
      </c>
      <c r="L94" s="714" t="str">
        <f t="shared" si="160"/>
        <v>D+</v>
      </c>
      <c r="M94" s="888" t="str">
        <f t="shared" si="161"/>
        <v>0</v>
      </c>
      <c r="N94" s="701"/>
      <c r="O94" s="702"/>
      <c r="P94" s="702"/>
      <c r="Q94" s="702"/>
      <c r="R94" s="702"/>
      <c r="S94" s="703"/>
      <c r="T94" s="1257"/>
      <c r="U94" s="1258"/>
    </row>
    <row r="95" spans="1:21" ht="24.95" customHeight="1" x14ac:dyDescent="0.25">
      <c r="A95" s="360">
        <v>23</v>
      </c>
      <c r="B95" s="683">
        <v>23</v>
      </c>
      <c r="C95" s="684" t="str">
        <f>VLOOKUP(A95,data_siswa,4,FALSE)</f>
        <v xml:space="preserve">Tania Kaori Angelita </v>
      </c>
      <c r="D95" s="991" t="s">
        <v>18</v>
      </c>
      <c r="E95" s="627">
        <f>VLOOKUP(A95,UHT_jawa,18,FALSE)</f>
        <v>0</v>
      </c>
      <c r="F95" s="1190">
        <f>E95*2</f>
        <v>0</v>
      </c>
      <c r="G95" s="361"/>
      <c r="H95" s="1188">
        <f>VLOOKUP(B95,REKAP_NILAI,42,FALSE)</f>
        <v>0</v>
      </c>
      <c r="I95" s="706">
        <f>F95+G95+H95</f>
        <v>0</v>
      </c>
      <c r="J95" s="707">
        <f>(F95+G95+H95)/4</f>
        <v>0</v>
      </c>
      <c r="K95" s="708" t="str">
        <f>IF(J95&gt;85,("4"),IF(J95&gt;80,("3.66"),IF(J95&gt;75,("3.33"),IF(J95&gt;70,("3.00"),IF(J95&gt;65,("2.66"),IF(J95&gt;60,("2.33"),IF(J95&gt;55,("2"),IF(J95&gt;50,("1.66"),"1.33"))))))))</f>
        <v>1.33</v>
      </c>
      <c r="L95" s="708" t="str">
        <f>IF(J95&gt;85,("A"),IF(J95&gt;80,("A-"),IF(J95&gt;75,("B+"),IF(J95&gt;70,("B"),IF(J95&gt;65,("B-"),IF(J95&gt;60,("C+"),IF(J95&gt;55,("C"),IF(J95&gt;50,("C-"),"D+"))))))))</f>
        <v>D+</v>
      </c>
      <c r="M95" s="887" t="str">
        <f>IF(J95&gt;80,("SB"),IF(J95&gt;65,("B"),IF(J95&gt;50,("C"),IF(J95&gt;0,("K"),"0"))))</f>
        <v>0</v>
      </c>
      <c r="N95" s="685"/>
      <c r="O95" s="360"/>
      <c r="P95" s="360"/>
      <c r="Q95" s="686"/>
      <c r="R95" s="686"/>
      <c r="S95" s="686"/>
      <c r="T95" s="704">
        <f>AVERAGE(J95:J97)</f>
        <v>0</v>
      </c>
      <c r="U95" s="1481" t="str">
        <f>IF(T95&gt;85,("A"),IF(T95&gt;80,("A-"),IF(T95&gt;75,("B+"),IF(T95&gt;70,("B"),IF(T95&gt;65,("B-"),IF(T95&gt;60,("C+"),IF(T95&gt;55,("C"),IF(T95&gt;50,("C-"),"D+"))))))))</f>
        <v>D+</v>
      </c>
    </row>
    <row r="96" spans="1:21" ht="24.95" customHeight="1" x14ac:dyDescent="0.25">
      <c r="A96" s="687"/>
      <c r="B96" s="683">
        <v>23</v>
      </c>
      <c r="C96" s="688"/>
      <c r="D96" s="991" t="s">
        <v>179</v>
      </c>
      <c r="E96" s="627">
        <f>VLOOKUP(A95,UHT_jawa,19,FALSE)</f>
        <v>0</v>
      </c>
      <c r="F96" s="1191">
        <f t="shared" ref="F96:F97" si="162">E96*2</f>
        <v>0</v>
      </c>
      <c r="G96" s="361"/>
      <c r="H96" s="1188">
        <f>VLOOKUP(B95,REKAP_NILAI,43,FALSE)</f>
        <v>0</v>
      </c>
      <c r="I96" s="709">
        <f t="shared" ref="I96:I97" si="163">F96+G96+H96</f>
        <v>0</v>
      </c>
      <c r="J96" s="710">
        <f t="shared" ref="J96:J97" si="164">(F96+G96+H96)/4</f>
        <v>0</v>
      </c>
      <c r="K96" s="711" t="str">
        <f t="shared" ref="K96:K98" si="165">IF(J96&gt;85,("4"),IF(J96&gt;80,("3.66"),IF(J96&gt;75,("3.33"),IF(J96&gt;70,("3.00"),IF(J96&gt;65,("2.66"),IF(J96&gt;60,("2.33"),IF(J96&gt;55,("2"),IF(J96&gt;50,("1.66"),"1.33"))))))))</f>
        <v>1.33</v>
      </c>
      <c r="L96" s="711" t="str">
        <f t="shared" ref="L96:L98" si="166">IF(J96&gt;85,("A"),IF(J96&gt;80,("A-"),IF(J96&gt;75,("B+"),IF(J96&gt;70,("B"),IF(J96&gt;65,("B-"),IF(J96&gt;60,("C+"),IF(J96&gt;55,("C"),IF(J96&gt;50,("C-"),"D+"))))))))</f>
        <v>D+</v>
      </c>
      <c r="M96" s="712" t="str">
        <f t="shared" ref="M96:M98" si="167">IF(J96&gt;80,("SB"),IF(J96&gt;65,("B"),IF(J96&gt;50,("C"),IF(J96&gt;0,("K"),"0"))))</f>
        <v>0</v>
      </c>
      <c r="N96" s="689"/>
      <c r="O96" s="690"/>
      <c r="P96" s="690"/>
      <c r="Q96" s="691"/>
      <c r="R96" s="691"/>
      <c r="S96" s="692"/>
      <c r="T96" s="1667"/>
      <c r="U96" s="1668"/>
    </row>
    <row r="97" spans="1:21" ht="24.95" customHeight="1" x14ac:dyDescent="0.25">
      <c r="A97" s="687"/>
      <c r="B97" s="683">
        <v>23</v>
      </c>
      <c r="C97" s="688"/>
      <c r="D97" s="991" t="s">
        <v>20</v>
      </c>
      <c r="E97" s="627">
        <f>VLOOKUP(A95,UHT_jawa,20,FALSE)</f>
        <v>0</v>
      </c>
      <c r="F97" s="1191">
        <f t="shared" si="162"/>
        <v>0</v>
      </c>
      <c r="G97" s="361"/>
      <c r="H97" s="1188">
        <f>VLOOKUP(B95,REKAP_NILAI,44,FALSE)</f>
        <v>0</v>
      </c>
      <c r="I97" s="709">
        <f t="shared" si="163"/>
        <v>0</v>
      </c>
      <c r="J97" s="710">
        <f t="shared" si="164"/>
        <v>0</v>
      </c>
      <c r="K97" s="711" t="str">
        <f t="shared" si="165"/>
        <v>1.33</v>
      </c>
      <c r="L97" s="711" t="str">
        <f t="shared" si="166"/>
        <v>D+</v>
      </c>
      <c r="M97" s="712" t="str">
        <f t="shared" si="167"/>
        <v>0</v>
      </c>
      <c r="N97" s="693"/>
      <c r="O97" s="694"/>
      <c r="P97" s="694"/>
      <c r="Q97" s="695"/>
      <c r="R97" s="695"/>
      <c r="S97" s="696"/>
      <c r="T97" s="1669"/>
      <c r="U97" s="1670"/>
    </row>
    <row r="98" spans="1:21" ht="24.95" customHeight="1" x14ac:dyDescent="0.25">
      <c r="A98" s="697"/>
      <c r="B98" s="698"/>
      <c r="C98" s="699" t="s">
        <v>149</v>
      </c>
      <c r="D98" s="700">
        <v>23</v>
      </c>
      <c r="E98" s="697"/>
      <c r="F98" s="1192"/>
      <c r="G98" s="697"/>
      <c r="H98" s="1189">
        <f>AVERAGE(H95:H97)</f>
        <v>0</v>
      </c>
      <c r="I98" s="705"/>
      <c r="J98" s="713">
        <f>AVERAGE(J95:J97)</f>
        <v>0</v>
      </c>
      <c r="K98" s="714" t="str">
        <f t="shared" si="165"/>
        <v>1.33</v>
      </c>
      <c r="L98" s="714" t="str">
        <f t="shared" si="166"/>
        <v>D+</v>
      </c>
      <c r="M98" s="888" t="str">
        <f t="shared" si="167"/>
        <v>0</v>
      </c>
      <c r="N98" s="701"/>
      <c r="O98" s="702"/>
      <c r="P98" s="702"/>
      <c r="Q98" s="702"/>
      <c r="R98" s="702"/>
      <c r="S98" s="703"/>
      <c r="T98" s="1257"/>
      <c r="U98" s="1258"/>
    </row>
    <row r="99" spans="1:21" ht="24.95" customHeight="1" x14ac:dyDescent="0.25">
      <c r="A99" s="360">
        <v>24</v>
      </c>
      <c r="B99" s="683">
        <v>24</v>
      </c>
      <c r="C99" s="684" t="str">
        <f>VLOOKUP(A99,data_siswa,4,FALSE)</f>
        <v>Romzy Oka Ramadhani P</v>
      </c>
      <c r="D99" s="991" t="s">
        <v>18</v>
      </c>
      <c r="E99" s="627">
        <f>VLOOKUP(A99,UHT_jawa,18,FALSE)</f>
        <v>0</v>
      </c>
      <c r="F99" s="1190">
        <f>E99*2</f>
        <v>0</v>
      </c>
      <c r="G99" s="361"/>
      <c r="H99" s="1188">
        <f>VLOOKUP(B99,REKAP_NILAI,42,FALSE)</f>
        <v>0</v>
      </c>
      <c r="I99" s="706">
        <f>F99+G99+H99</f>
        <v>0</v>
      </c>
      <c r="J99" s="707">
        <f>(F99+G99+H99)/4</f>
        <v>0</v>
      </c>
      <c r="K99" s="708" t="str">
        <f>IF(J99&gt;85,("4"),IF(J99&gt;80,("3.66"),IF(J99&gt;75,("3.33"),IF(J99&gt;70,("3.00"),IF(J99&gt;65,("2.66"),IF(J99&gt;60,("2.33"),IF(J99&gt;55,("2"),IF(J99&gt;50,("1.66"),"1.33"))))))))</f>
        <v>1.33</v>
      </c>
      <c r="L99" s="708" t="str">
        <f>IF(J99&gt;85,("A"),IF(J99&gt;80,("A-"),IF(J99&gt;75,("B+"),IF(J99&gt;70,("B"),IF(J99&gt;65,("B-"),IF(J99&gt;60,("C+"),IF(J99&gt;55,("C"),IF(J99&gt;50,("C-"),"D+"))))))))</f>
        <v>D+</v>
      </c>
      <c r="M99" s="887" t="str">
        <f>IF(J99&gt;80,("SB"),IF(J99&gt;65,("B"),IF(J99&gt;50,("C"),IF(J99&gt;0,("K"),"0"))))</f>
        <v>0</v>
      </c>
      <c r="N99" s="685"/>
      <c r="O99" s="360"/>
      <c r="P99" s="360"/>
      <c r="Q99" s="686"/>
      <c r="R99" s="686"/>
      <c r="S99" s="686"/>
      <c r="T99" s="704">
        <f>AVERAGE(J99:J101)</f>
        <v>0</v>
      </c>
      <c r="U99" s="1481" t="str">
        <f>IF(T99&gt;85,("A"),IF(T99&gt;80,("A-"),IF(T99&gt;75,("B+"),IF(T99&gt;70,("B"),IF(T99&gt;65,("B-"),IF(T99&gt;60,("C+"),IF(T99&gt;55,("C"),IF(T99&gt;50,("C-"),"D+"))))))))</f>
        <v>D+</v>
      </c>
    </row>
    <row r="100" spans="1:21" ht="24.95" customHeight="1" x14ac:dyDescent="0.25">
      <c r="A100" s="687"/>
      <c r="B100" s="683">
        <v>24</v>
      </c>
      <c r="C100" s="688"/>
      <c r="D100" s="991" t="s">
        <v>179</v>
      </c>
      <c r="E100" s="627">
        <f>VLOOKUP(A99,UHT_jawa,19,FALSE)</f>
        <v>0</v>
      </c>
      <c r="F100" s="1191">
        <f t="shared" ref="F100:F101" si="168">E100*2</f>
        <v>0</v>
      </c>
      <c r="G100" s="361"/>
      <c r="H100" s="1188">
        <f>VLOOKUP(B99,REKAP_NILAI,43,FALSE)</f>
        <v>0</v>
      </c>
      <c r="I100" s="709">
        <f t="shared" ref="I100:I101" si="169">F100+G100+H100</f>
        <v>0</v>
      </c>
      <c r="J100" s="710">
        <f t="shared" ref="J100:J101" si="170">(F100+G100+H100)/4</f>
        <v>0</v>
      </c>
      <c r="K100" s="711" t="str">
        <f t="shared" ref="K100:K102" si="171">IF(J100&gt;85,("4"),IF(J100&gt;80,("3.66"),IF(J100&gt;75,("3.33"),IF(J100&gt;70,("3.00"),IF(J100&gt;65,("2.66"),IF(J100&gt;60,("2.33"),IF(J100&gt;55,("2"),IF(J100&gt;50,("1.66"),"1.33"))))))))</f>
        <v>1.33</v>
      </c>
      <c r="L100" s="711" t="str">
        <f t="shared" ref="L100:L102" si="172">IF(J100&gt;85,("A"),IF(J100&gt;80,("A-"),IF(J100&gt;75,("B+"),IF(J100&gt;70,("B"),IF(J100&gt;65,("B-"),IF(J100&gt;60,("C+"),IF(J100&gt;55,("C"),IF(J100&gt;50,("C-"),"D+"))))))))</f>
        <v>D+</v>
      </c>
      <c r="M100" s="712" t="str">
        <f t="shared" ref="M100:M102" si="173">IF(J100&gt;80,("SB"),IF(J100&gt;65,("B"),IF(J100&gt;50,("C"),IF(J100&gt;0,("K"),"0"))))</f>
        <v>0</v>
      </c>
      <c r="N100" s="689"/>
      <c r="O100" s="690"/>
      <c r="P100" s="690"/>
      <c r="Q100" s="691"/>
      <c r="R100" s="691"/>
      <c r="S100" s="692"/>
      <c r="T100" s="1667"/>
      <c r="U100" s="1668"/>
    </row>
    <row r="101" spans="1:21" ht="24.95" customHeight="1" x14ac:dyDescent="0.25">
      <c r="A101" s="687"/>
      <c r="B101" s="683">
        <v>24</v>
      </c>
      <c r="C101" s="688"/>
      <c r="D101" s="991" t="s">
        <v>20</v>
      </c>
      <c r="E101" s="627">
        <f>VLOOKUP(A99,UHT_jawa,20,FALSE)</f>
        <v>0</v>
      </c>
      <c r="F101" s="1191">
        <f t="shared" si="168"/>
        <v>0</v>
      </c>
      <c r="G101" s="361"/>
      <c r="H101" s="1188">
        <f>VLOOKUP(B99,REKAP_NILAI,44,FALSE)</f>
        <v>0</v>
      </c>
      <c r="I101" s="709">
        <f t="shared" si="169"/>
        <v>0</v>
      </c>
      <c r="J101" s="710">
        <f t="shared" si="170"/>
        <v>0</v>
      </c>
      <c r="K101" s="711" t="str">
        <f t="shared" si="171"/>
        <v>1.33</v>
      </c>
      <c r="L101" s="711" t="str">
        <f t="shared" si="172"/>
        <v>D+</v>
      </c>
      <c r="M101" s="712" t="str">
        <f t="shared" si="173"/>
        <v>0</v>
      </c>
      <c r="N101" s="693"/>
      <c r="O101" s="694"/>
      <c r="P101" s="694"/>
      <c r="Q101" s="695"/>
      <c r="R101" s="695"/>
      <c r="S101" s="696"/>
      <c r="T101" s="1669"/>
      <c r="U101" s="1670"/>
    </row>
    <row r="102" spans="1:21" ht="24.95" customHeight="1" x14ac:dyDescent="0.25">
      <c r="A102" s="697"/>
      <c r="B102" s="698"/>
      <c r="C102" s="699" t="s">
        <v>149</v>
      </c>
      <c r="D102" s="700">
        <v>24</v>
      </c>
      <c r="E102" s="697"/>
      <c r="F102" s="1192"/>
      <c r="G102" s="697"/>
      <c r="H102" s="1189">
        <f>AVERAGE(H99:H101)</f>
        <v>0</v>
      </c>
      <c r="I102" s="705"/>
      <c r="J102" s="713">
        <f>AVERAGE(J99:J101)</f>
        <v>0</v>
      </c>
      <c r="K102" s="714" t="str">
        <f t="shared" si="171"/>
        <v>1.33</v>
      </c>
      <c r="L102" s="714" t="str">
        <f t="shared" si="172"/>
        <v>D+</v>
      </c>
      <c r="M102" s="888" t="str">
        <f t="shared" si="173"/>
        <v>0</v>
      </c>
      <c r="N102" s="701"/>
      <c r="O102" s="702"/>
      <c r="P102" s="702"/>
      <c r="Q102" s="702"/>
      <c r="R102" s="702"/>
      <c r="S102" s="703"/>
      <c r="T102" s="1257"/>
      <c r="U102" s="1258"/>
    </row>
    <row r="103" spans="1:21" ht="24.95" customHeight="1" x14ac:dyDescent="0.25">
      <c r="A103" s="360">
        <v>25</v>
      </c>
      <c r="B103" s="683">
        <v>25</v>
      </c>
      <c r="C103" s="684" t="str">
        <f>VLOOKUP(A103,data_siswa,4,FALSE)</f>
        <v>Larasati Jagadhita P</v>
      </c>
      <c r="D103" s="991" t="s">
        <v>18</v>
      </c>
      <c r="E103" s="627">
        <f>VLOOKUP(A103,UHT_jawa,18,FALSE)</f>
        <v>0</v>
      </c>
      <c r="F103" s="1190">
        <f>E103*2</f>
        <v>0</v>
      </c>
      <c r="G103" s="361"/>
      <c r="H103" s="1188">
        <f>VLOOKUP(B103,REKAP_NILAI,42,FALSE)</f>
        <v>0</v>
      </c>
      <c r="I103" s="706">
        <f>F103+G103+H103</f>
        <v>0</v>
      </c>
      <c r="J103" s="707">
        <f>(F103+G103+H103)/4</f>
        <v>0</v>
      </c>
      <c r="K103" s="708" t="str">
        <f>IF(J103&gt;85,("4"),IF(J103&gt;80,("3.66"),IF(J103&gt;75,("3.33"),IF(J103&gt;70,("3.00"),IF(J103&gt;65,("2.66"),IF(J103&gt;60,("2.33"),IF(J103&gt;55,("2"),IF(J103&gt;50,("1.66"),"1.33"))))))))</f>
        <v>1.33</v>
      </c>
      <c r="L103" s="708" t="str">
        <f>IF(J103&gt;85,("A"),IF(J103&gt;80,("A-"),IF(J103&gt;75,("B+"),IF(J103&gt;70,("B"),IF(J103&gt;65,("B-"),IF(J103&gt;60,("C+"),IF(J103&gt;55,("C"),IF(J103&gt;50,("C-"),"D+"))))))))</f>
        <v>D+</v>
      </c>
      <c r="M103" s="887" t="str">
        <f>IF(J103&gt;80,("SB"),IF(J103&gt;65,("B"),IF(J103&gt;50,("C"),IF(J103&gt;0,("K"),"0"))))</f>
        <v>0</v>
      </c>
      <c r="N103" s="685"/>
      <c r="O103" s="360"/>
      <c r="P103" s="360"/>
      <c r="Q103" s="686"/>
      <c r="R103" s="686"/>
      <c r="S103" s="686"/>
      <c r="T103" s="704">
        <f>AVERAGE(J103:J105)</f>
        <v>0</v>
      </c>
      <c r="U103" s="1481" t="str">
        <f>IF(T103&gt;85,("A"),IF(T103&gt;80,("A-"),IF(T103&gt;75,("B+"),IF(T103&gt;70,("B"),IF(T103&gt;65,("B-"),IF(T103&gt;60,("C+"),IF(T103&gt;55,("C"),IF(T103&gt;50,("C-"),"D+"))))))))</f>
        <v>D+</v>
      </c>
    </row>
    <row r="104" spans="1:21" ht="24.95" customHeight="1" x14ac:dyDescent="0.25">
      <c r="A104" s="687"/>
      <c r="B104" s="683">
        <v>25</v>
      </c>
      <c r="C104" s="688"/>
      <c r="D104" s="991" t="s">
        <v>179</v>
      </c>
      <c r="E104" s="627">
        <f>VLOOKUP(A103,UHT_jawa,19,FALSE)</f>
        <v>0</v>
      </c>
      <c r="F104" s="1191">
        <f t="shared" ref="F104:F105" si="174">E104*2</f>
        <v>0</v>
      </c>
      <c r="G104" s="361"/>
      <c r="H104" s="1188">
        <f>VLOOKUP(B103,REKAP_NILAI,43,FALSE)</f>
        <v>0</v>
      </c>
      <c r="I104" s="709">
        <f t="shared" ref="I104:I105" si="175">F104+G104+H104</f>
        <v>0</v>
      </c>
      <c r="J104" s="710">
        <f t="shared" ref="J104:J105" si="176">(F104+G104+H104)/4</f>
        <v>0</v>
      </c>
      <c r="K104" s="711" t="str">
        <f t="shared" ref="K104:K106" si="177">IF(J104&gt;85,("4"),IF(J104&gt;80,("3.66"),IF(J104&gt;75,("3.33"),IF(J104&gt;70,("3.00"),IF(J104&gt;65,("2.66"),IF(J104&gt;60,("2.33"),IF(J104&gt;55,("2"),IF(J104&gt;50,("1.66"),"1.33"))))))))</f>
        <v>1.33</v>
      </c>
      <c r="L104" s="711" t="str">
        <f t="shared" ref="L104:L106" si="178">IF(J104&gt;85,("A"),IF(J104&gt;80,("A-"),IF(J104&gt;75,("B+"),IF(J104&gt;70,("B"),IF(J104&gt;65,("B-"),IF(J104&gt;60,("C+"),IF(J104&gt;55,("C"),IF(J104&gt;50,("C-"),"D+"))))))))</f>
        <v>D+</v>
      </c>
      <c r="M104" s="712" t="str">
        <f t="shared" ref="M104:M106" si="179">IF(J104&gt;80,("SB"),IF(J104&gt;65,("B"),IF(J104&gt;50,("C"),IF(J104&gt;0,("K"),"0"))))</f>
        <v>0</v>
      </c>
      <c r="N104" s="689"/>
      <c r="O104" s="690"/>
      <c r="P104" s="690"/>
      <c r="Q104" s="691"/>
      <c r="R104" s="691"/>
      <c r="S104" s="692"/>
      <c r="T104" s="1667"/>
      <c r="U104" s="1668"/>
    </row>
    <row r="105" spans="1:21" ht="24.95" customHeight="1" x14ac:dyDescent="0.25">
      <c r="A105" s="687"/>
      <c r="B105" s="683">
        <v>25</v>
      </c>
      <c r="C105" s="688"/>
      <c r="D105" s="991" t="s">
        <v>20</v>
      </c>
      <c r="E105" s="627">
        <f>VLOOKUP(A103,UHT_jawa,20,FALSE)</f>
        <v>0</v>
      </c>
      <c r="F105" s="1191">
        <f t="shared" si="174"/>
        <v>0</v>
      </c>
      <c r="G105" s="361"/>
      <c r="H105" s="1188">
        <f>VLOOKUP(B103,REKAP_NILAI,44,FALSE)</f>
        <v>0</v>
      </c>
      <c r="I105" s="709">
        <f t="shared" si="175"/>
        <v>0</v>
      </c>
      <c r="J105" s="710">
        <f t="shared" si="176"/>
        <v>0</v>
      </c>
      <c r="K105" s="711" t="str">
        <f t="shared" si="177"/>
        <v>1.33</v>
      </c>
      <c r="L105" s="711" t="str">
        <f t="shared" si="178"/>
        <v>D+</v>
      </c>
      <c r="M105" s="712" t="str">
        <f t="shared" si="179"/>
        <v>0</v>
      </c>
      <c r="N105" s="693"/>
      <c r="O105" s="694"/>
      <c r="P105" s="694"/>
      <c r="Q105" s="695"/>
      <c r="R105" s="695"/>
      <c r="S105" s="696"/>
      <c r="T105" s="1669"/>
      <c r="U105" s="1670"/>
    </row>
    <row r="106" spans="1:21" ht="24.95" customHeight="1" x14ac:dyDescent="0.25">
      <c r="A106" s="697"/>
      <c r="B106" s="698"/>
      <c r="C106" s="699" t="s">
        <v>149</v>
      </c>
      <c r="D106" s="700">
        <v>25</v>
      </c>
      <c r="E106" s="697"/>
      <c r="F106" s="1192"/>
      <c r="G106" s="697"/>
      <c r="H106" s="1189">
        <f>AVERAGE(H103:H105)</f>
        <v>0</v>
      </c>
      <c r="I106" s="705"/>
      <c r="J106" s="713">
        <f>AVERAGE(J103:J105)</f>
        <v>0</v>
      </c>
      <c r="K106" s="714" t="str">
        <f t="shared" si="177"/>
        <v>1.33</v>
      </c>
      <c r="L106" s="714" t="str">
        <f t="shared" si="178"/>
        <v>D+</v>
      </c>
      <c r="M106" s="888" t="str">
        <f t="shared" si="179"/>
        <v>0</v>
      </c>
      <c r="N106" s="701"/>
      <c r="O106" s="702"/>
      <c r="P106" s="702"/>
      <c r="Q106" s="702"/>
      <c r="R106" s="702"/>
      <c r="S106" s="703"/>
      <c r="T106" s="1257"/>
      <c r="U106" s="1258"/>
    </row>
    <row r="107" spans="1:21" ht="24.95" customHeight="1" x14ac:dyDescent="0.25">
      <c r="A107" s="360">
        <v>26</v>
      </c>
      <c r="B107" s="683">
        <v>26</v>
      </c>
      <c r="C107" s="684" t="str">
        <f>VLOOKUP(A107,data_siswa,4,FALSE)</f>
        <v>Meliana Citra A</v>
      </c>
      <c r="D107" s="991" t="s">
        <v>18</v>
      </c>
      <c r="E107" s="627">
        <f>VLOOKUP(A107,UHT_jawa,18,FALSE)</f>
        <v>0</v>
      </c>
      <c r="F107" s="1190">
        <f>E107*2</f>
        <v>0</v>
      </c>
      <c r="G107" s="361"/>
      <c r="H107" s="1188">
        <f>VLOOKUP(B107,REKAP_NILAI,42,FALSE)</f>
        <v>0</v>
      </c>
      <c r="I107" s="706">
        <f>F107+G107+H107</f>
        <v>0</v>
      </c>
      <c r="J107" s="707">
        <f>(F107+G107+H107)/4</f>
        <v>0</v>
      </c>
      <c r="K107" s="708" t="str">
        <f>IF(J107&gt;85,("4"),IF(J107&gt;80,("3.66"),IF(J107&gt;75,("3.33"),IF(J107&gt;70,("3.00"),IF(J107&gt;65,("2.66"),IF(J107&gt;60,("2.33"),IF(J107&gt;55,("2"),IF(J107&gt;50,("1.66"),"1.33"))))))))</f>
        <v>1.33</v>
      </c>
      <c r="L107" s="708" t="str">
        <f>IF(J107&gt;85,("A"),IF(J107&gt;80,("A-"),IF(J107&gt;75,("B+"),IF(J107&gt;70,("B"),IF(J107&gt;65,("B-"),IF(J107&gt;60,("C+"),IF(J107&gt;55,("C"),IF(J107&gt;50,("C-"),"D+"))))))))</f>
        <v>D+</v>
      </c>
      <c r="M107" s="887" t="str">
        <f>IF(J107&gt;80,("SB"),IF(J107&gt;65,("B"),IF(J107&gt;50,("C"),IF(J107&gt;0,("K"),"0"))))</f>
        <v>0</v>
      </c>
      <c r="N107" s="685"/>
      <c r="O107" s="360"/>
      <c r="P107" s="360"/>
      <c r="Q107" s="686"/>
      <c r="R107" s="686"/>
      <c r="S107" s="686"/>
      <c r="T107" s="704">
        <f>AVERAGE(J107:J109)</f>
        <v>0</v>
      </c>
      <c r="U107" s="1481" t="str">
        <f>IF(T107&gt;85,("A"),IF(T107&gt;80,("A-"),IF(T107&gt;75,("B+"),IF(T107&gt;70,("B"),IF(T107&gt;65,("B-"),IF(T107&gt;60,("C+"),IF(T107&gt;55,("C"),IF(T107&gt;50,("C-"),"D+"))))))))</f>
        <v>D+</v>
      </c>
    </row>
    <row r="108" spans="1:21" ht="24.95" customHeight="1" x14ac:dyDescent="0.25">
      <c r="A108" s="687"/>
      <c r="B108" s="683">
        <v>26</v>
      </c>
      <c r="C108" s="688"/>
      <c r="D108" s="991" t="s">
        <v>179</v>
      </c>
      <c r="E108" s="627">
        <f>VLOOKUP(A107,UHT_jawa,19,FALSE)</f>
        <v>0</v>
      </c>
      <c r="F108" s="1191">
        <f t="shared" ref="F108:F109" si="180">E108*2</f>
        <v>0</v>
      </c>
      <c r="G108" s="361"/>
      <c r="H108" s="1188">
        <f>VLOOKUP(B107,REKAP_NILAI,43,FALSE)</f>
        <v>0</v>
      </c>
      <c r="I108" s="709">
        <f t="shared" ref="I108:I109" si="181">F108+G108+H108</f>
        <v>0</v>
      </c>
      <c r="J108" s="710">
        <f t="shared" ref="J108:J109" si="182">(F108+G108+H108)/4</f>
        <v>0</v>
      </c>
      <c r="K108" s="711" t="str">
        <f t="shared" ref="K108:K110" si="183">IF(J108&gt;85,("4"),IF(J108&gt;80,("3.66"),IF(J108&gt;75,("3.33"),IF(J108&gt;70,("3.00"),IF(J108&gt;65,("2.66"),IF(J108&gt;60,("2.33"),IF(J108&gt;55,("2"),IF(J108&gt;50,("1.66"),"1.33"))))))))</f>
        <v>1.33</v>
      </c>
      <c r="L108" s="711" t="str">
        <f t="shared" ref="L108:L110" si="184">IF(J108&gt;85,("A"),IF(J108&gt;80,("A-"),IF(J108&gt;75,("B+"),IF(J108&gt;70,("B"),IF(J108&gt;65,("B-"),IF(J108&gt;60,("C+"),IF(J108&gt;55,("C"),IF(J108&gt;50,("C-"),"D+"))))))))</f>
        <v>D+</v>
      </c>
      <c r="M108" s="712" t="str">
        <f t="shared" ref="M108:M110" si="185">IF(J108&gt;80,("SB"),IF(J108&gt;65,("B"),IF(J108&gt;50,("C"),IF(J108&gt;0,("K"),"0"))))</f>
        <v>0</v>
      </c>
      <c r="N108" s="689"/>
      <c r="O108" s="690"/>
      <c r="P108" s="690"/>
      <c r="Q108" s="691"/>
      <c r="R108" s="691"/>
      <c r="S108" s="692"/>
      <c r="T108" s="1667"/>
      <c r="U108" s="1668"/>
    </row>
    <row r="109" spans="1:21" ht="24.95" customHeight="1" x14ac:dyDescent="0.25">
      <c r="A109" s="687"/>
      <c r="B109" s="683">
        <v>26</v>
      </c>
      <c r="C109" s="688"/>
      <c r="D109" s="991" t="s">
        <v>20</v>
      </c>
      <c r="E109" s="627">
        <f>VLOOKUP(A107,UHT_jawa,20,FALSE)</f>
        <v>0</v>
      </c>
      <c r="F109" s="1191">
        <f t="shared" si="180"/>
        <v>0</v>
      </c>
      <c r="G109" s="361"/>
      <c r="H109" s="1188">
        <f>VLOOKUP(B107,REKAP_NILAI,44,FALSE)</f>
        <v>0</v>
      </c>
      <c r="I109" s="709">
        <f t="shared" si="181"/>
        <v>0</v>
      </c>
      <c r="J109" s="710">
        <f t="shared" si="182"/>
        <v>0</v>
      </c>
      <c r="K109" s="711" t="str">
        <f t="shared" si="183"/>
        <v>1.33</v>
      </c>
      <c r="L109" s="711" t="str">
        <f t="shared" si="184"/>
        <v>D+</v>
      </c>
      <c r="M109" s="712" t="str">
        <f t="shared" si="185"/>
        <v>0</v>
      </c>
      <c r="N109" s="693"/>
      <c r="O109" s="694"/>
      <c r="P109" s="694"/>
      <c r="Q109" s="695"/>
      <c r="R109" s="695"/>
      <c r="S109" s="696"/>
      <c r="T109" s="1669"/>
      <c r="U109" s="1670"/>
    </row>
    <row r="110" spans="1:21" ht="24.95" customHeight="1" x14ac:dyDescent="0.25">
      <c r="A110" s="697"/>
      <c r="B110" s="698"/>
      <c r="C110" s="699" t="s">
        <v>149</v>
      </c>
      <c r="D110" s="700">
        <v>26</v>
      </c>
      <c r="E110" s="697"/>
      <c r="F110" s="1192"/>
      <c r="G110" s="697"/>
      <c r="H110" s="1189">
        <f>AVERAGE(H107:H109)</f>
        <v>0</v>
      </c>
      <c r="I110" s="705"/>
      <c r="J110" s="713">
        <f>AVERAGE(J107:J109)</f>
        <v>0</v>
      </c>
      <c r="K110" s="714" t="str">
        <f t="shared" si="183"/>
        <v>1.33</v>
      </c>
      <c r="L110" s="714" t="str">
        <f t="shared" si="184"/>
        <v>D+</v>
      </c>
      <c r="M110" s="888" t="str">
        <f t="shared" si="185"/>
        <v>0</v>
      </c>
      <c r="N110" s="701"/>
      <c r="O110" s="702"/>
      <c r="P110" s="702"/>
      <c r="Q110" s="702"/>
      <c r="R110" s="702"/>
      <c r="S110" s="703"/>
      <c r="T110" s="1257"/>
      <c r="U110" s="1258"/>
    </row>
    <row r="111" spans="1:21" ht="24.95" customHeight="1" x14ac:dyDescent="0.25">
      <c r="A111" s="360">
        <v>27</v>
      </c>
      <c r="B111" s="683">
        <v>27</v>
      </c>
      <c r="C111" s="684" t="str">
        <f>VLOOKUP(A111,data_siswa,4,FALSE)</f>
        <v>Mohammad Rizky</v>
      </c>
      <c r="D111" s="991" t="s">
        <v>18</v>
      </c>
      <c r="E111" s="627">
        <f>VLOOKUP(A111,UHT_jawa,18,FALSE)</f>
        <v>0</v>
      </c>
      <c r="F111" s="1190">
        <f>E111*2</f>
        <v>0</v>
      </c>
      <c r="G111" s="361"/>
      <c r="H111" s="1188">
        <f>VLOOKUP(B111,REKAP_NILAI,42,FALSE)</f>
        <v>0</v>
      </c>
      <c r="I111" s="706">
        <f>F111+G111+H111</f>
        <v>0</v>
      </c>
      <c r="J111" s="707">
        <f>(F111+G111+H111)/4</f>
        <v>0</v>
      </c>
      <c r="K111" s="708" t="str">
        <f>IF(J111&gt;85,("4"),IF(J111&gt;80,("3.66"),IF(J111&gt;75,("3.33"),IF(J111&gt;70,("3.00"),IF(J111&gt;65,("2.66"),IF(J111&gt;60,("2.33"),IF(J111&gt;55,("2"),IF(J111&gt;50,("1.66"),"1.33"))))))))</f>
        <v>1.33</v>
      </c>
      <c r="L111" s="708" t="str">
        <f>IF(J111&gt;85,("A"),IF(J111&gt;80,("A-"),IF(J111&gt;75,("B+"),IF(J111&gt;70,("B"),IF(J111&gt;65,("B-"),IF(J111&gt;60,("C+"),IF(J111&gt;55,("C"),IF(J111&gt;50,("C-"),"D+"))))))))</f>
        <v>D+</v>
      </c>
      <c r="M111" s="887" t="str">
        <f>IF(J111&gt;80,("SB"),IF(J111&gt;65,("B"),IF(J111&gt;50,("C"),IF(J111&gt;0,("K"),"0"))))</f>
        <v>0</v>
      </c>
      <c r="N111" s="685"/>
      <c r="O111" s="360"/>
      <c r="P111" s="360"/>
      <c r="Q111" s="686"/>
      <c r="R111" s="686"/>
      <c r="S111" s="686"/>
      <c r="T111" s="704">
        <f>AVERAGE(J111:J113)</f>
        <v>0</v>
      </c>
      <c r="U111" s="1481" t="str">
        <f>IF(T111&gt;85,("A"),IF(T111&gt;80,("A-"),IF(T111&gt;75,("B+"),IF(T111&gt;70,("B"),IF(T111&gt;65,("B-"),IF(T111&gt;60,("C+"),IF(T111&gt;55,("C"),IF(T111&gt;50,("C-"),"D+"))))))))</f>
        <v>D+</v>
      </c>
    </row>
    <row r="112" spans="1:21" ht="24.95" customHeight="1" x14ac:dyDescent="0.25">
      <c r="A112" s="687"/>
      <c r="B112" s="683">
        <v>27</v>
      </c>
      <c r="C112" s="688"/>
      <c r="D112" s="991" t="s">
        <v>179</v>
      </c>
      <c r="E112" s="627">
        <f>VLOOKUP(A111,UHT_jawa,19,FALSE)</f>
        <v>0</v>
      </c>
      <c r="F112" s="1191">
        <f t="shared" ref="F112:F113" si="186">E112*2</f>
        <v>0</v>
      </c>
      <c r="G112" s="361"/>
      <c r="H112" s="1188">
        <f>VLOOKUP(B111,REKAP_NILAI,43,FALSE)</f>
        <v>0</v>
      </c>
      <c r="I112" s="709">
        <f t="shared" ref="I112:I113" si="187">F112+G112+H112</f>
        <v>0</v>
      </c>
      <c r="J112" s="710">
        <f t="shared" ref="J112:J113" si="188">(F112+G112+H112)/4</f>
        <v>0</v>
      </c>
      <c r="K112" s="711" t="str">
        <f t="shared" ref="K112:K114" si="189">IF(J112&gt;85,("4"),IF(J112&gt;80,("3.66"),IF(J112&gt;75,("3.33"),IF(J112&gt;70,("3.00"),IF(J112&gt;65,("2.66"),IF(J112&gt;60,("2.33"),IF(J112&gt;55,("2"),IF(J112&gt;50,("1.66"),"1.33"))))))))</f>
        <v>1.33</v>
      </c>
      <c r="L112" s="711" t="str">
        <f t="shared" ref="L112:L114" si="190">IF(J112&gt;85,("A"),IF(J112&gt;80,("A-"),IF(J112&gt;75,("B+"),IF(J112&gt;70,("B"),IF(J112&gt;65,("B-"),IF(J112&gt;60,("C+"),IF(J112&gt;55,("C"),IF(J112&gt;50,("C-"),"D+"))))))))</f>
        <v>D+</v>
      </c>
      <c r="M112" s="712" t="str">
        <f t="shared" ref="M112:M114" si="191">IF(J112&gt;80,("SB"),IF(J112&gt;65,("B"),IF(J112&gt;50,("C"),IF(J112&gt;0,("K"),"0"))))</f>
        <v>0</v>
      </c>
      <c r="N112" s="689"/>
      <c r="O112" s="690"/>
      <c r="P112" s="690"/>
      <c r="Q112" s="691"/>
      <c r="R112" s="691"/>
      <c r="S112" s="692"/>
      <c r="T112" s="1667"/>
      <c r="U112" s="1668"/>
    </row>
    <row r="113" spans="1:21" ht="24.95" customHeight="1" x14ac:dyDescent="0.25">
      <c r="A113" s="687"/>
      <c r="B113" s="683">
        <v>27</v>
      </c>
      <c r="C113" s="688"/>
      <c r="D113" s="991" t="s">
        <v>20</v>
      </c>
      <c r="E113" s="627">
        <f>VLOOKUP(A111,UHT_jawa,20,FALSE)</f>
        <v>0</v>
      </c>
      <c r="F113" s="1191">
        <f t="shared" si="186"/>
        <v>0</v>
      </c>
      <c r="G113" s="361"/>
      <c r="H113" s="1188">
        <f>VLOOKUP(B111,REKAP_NILAI,44,FALSE)</f>
        <v>0</v>
      </c>
      <c r="I113" s="709">
        <f t="shared" si="187"/>
        <v>0</v>
      </c>
      <c r="J113" s="710">
        <f t="shared" si="188"/>
        <v>0</v>
      </c>
      <c r="K113" s="711" t="str">
        <f t="shared" si="189"/>
        <v>1.33</v>
      </c>
      <c r="L113" s="711" t="str">
        <f t="shared" si="190"/>
        <v>D+</v>
      </c>
      <c r="M113" s="712" t="str">
        <f t="shared" si="191"/>
        <v>0</v>
      </c>
      <c r="N113" s="693"/>
      <c r="O113" s="694"/>
      <c r="P113" s="694"/>
      <c r="Q113" s="695"/>
      <c r="R113" s="695"/>
      <c r="S113" s="696"/>
      <c r="T113" s="1669"/>
      <c r="U113" s="1670"/>
    </row>
    <row r="114" spans="1:21" ht="24.95" customHeight="1" x14ac:dyDescent="0.25">
      <c r="A114" s="697"/>
      <c r="B114" s="698"/>
      <c r="C114" s="699" t="s">
        <v>149</v>
      </c>
      <c r="D114" s="700">
        <v>27</v>
      </c>
      <c r="E114" s="697"/>
      <c r="F114" s="1192"/>
      <c r="G114" s="697"/>
      <c r="H114" s="1189">
        <f>AVERAGE(H111:H113)</f>
        <v>0</v>
      </c>
      <c r="I114" s="705"/>
      <c r="J114" s="713">
        <f>AVERAGE(J111:J113)</f>
        <v>0</v>
      </c>
      <c r="K114" s="714" t="str">
        <f t="shared" si="189"/>
        <v>1.33</v>
      </c>
      <c r="L114" s="714" t="str">
        <f t="shared" si="190"/>
        <v>D+</v>
      </c>
      <c r="M114" s="888" t="str">
        <f t="shared" si="191"/>
        <v>0</v>
      </c>
      <c r="N114" s="701"/>
      <c r="O114" s="702"/>
      <c r="P114" s="702"/>
      <c r="Q114" s="702"/>
      <c r="R114" s="702"/>
      <c r="S114" s="703"/>
      <c r="T114" s="1257"/>
      <c r="U114" s="1258"/>
    </row>
    <row r="115" spans="1:21" ht="24.95" customHeight="1" x14ac:dyDescent="0.25">
      <c r="A115" s="360">
        <v>28</v>
      </c>
      <c r="B115" s="683">
        <v>28</v>
      </c>
      <c r="C115" s="684" t="e">
        <f>VLOOKUP(A115,data_siswa,4,FALSE)</f>
        <v>#N/A</v>
      </c>
      <c r="D115" s="991" t="s">
        <v>18</v>
      </c>
      <c r="E115" s="627">
        <f>VLOOKUP(A115,UHT_jawa,18,FALSE)</f>
        <v>0</v>
      </c>
      <c r="F115" s="1190">
        <f>E115*2</f>
        <v>0</v>
      </c>
      <c r="G115" s="361"/>
      <c r="H115" s="1188">
        <f>VLOOKUP(B115,REKAP_NILAI,42,FALSE)</f>
        <v>0</v>
      </c>
      <c r="I115" s="706">
        <f>F115+G115+H115</f>
        <v>0</v>
      </c>
      <c r="J115" s="707">
        <f>(F115+G115+H115)/4</f>
        <v>0</v>
      </c>
      <c r="K115" s="708" t="str">
        <f>IF(J115&gt;85,("4"),IF(J115&gt;80,("3.66"),IF(J115&gt;75,("3.33"),IF(J115&gt;70,("3.00"),IF(J115&gt;65,("2.66"),IF(J115&gt;60,("2.33"),IF(J115&gt;55,("2"),IF(J115&gt;50,("1.66"),"1.33"))))))))</f>
        <v>1.33</v>
      </c>
      <c r="L115" s="708" t="str">
        <f>IF(J115&gt;85,("A"),IF(J115&gt;80,("A-"),IF(J115&gt;75,("B+"),IF(J115&gt;70,("B"),IF(J115&gt;65,("B-"),IF(J115&gt;60,("C+"),IF(J115&gt;55,("C"),IF(J115&gt;50,("C-"),"D+"))))))))</f>
        <v>D+</v>
      </c>
      <c r="M115" s="887" t="str">
        <f>IF(J115&gt;80,("SB"),IF(J115&gt;65,("B"),IF(J115&gt;50,("C"),IF(J115&gt;0,("K"),"0"))))</f>
        <v>0</v>
      </c>
      <c r="N115" s="685"/>
      <c r="O115" s="360"/>
      <c r="P115" s="360"/>
      <c r="Q115" s="686"/>
      <c r="R115" s="686"/>
      <c r="S115" s="686"/>
      <c r="T115" s="704">
        <f>AVERAGE(J115:J117)</f>
        <v>0</v>
      </c>
      <c r="U115" s="1481" t="str">
        <f>IF(T115&gt;85,("A"),IF(T115&gt;80,("A-"),IF(T115&gt;75,("B+"),IF(T115&gt;70,("B"),IF(T115&gt;65,("B-"),IF(T115&gt;60,("C+"),IF(T115&gt;55,("C"),IF(T115&gt;50,("C-"),"D+"))))))))</f>
        <v>D+</v>
      </c>
    </row>
    <row r="116" spans="1:21" ht="24.95" customHeight="1" x14ac:dyDescent="0.25">
      <c r="A116" s="687"/>
      <c r="B116" s="683">
        <v>28</v>
      </c>
      <c r="C116" s="688"/>
      <c r="D116" s="991" t="s">
        <v>179</v>
      </c>
      <c r="E116" s="627">
        <f>VLOOKUP(A115,UHT_jawa,19,FALSE)</f>
        <v>0</v>
      </c>
      <c r="F116" s="1191">
        <f t="shared" ref="F116:F117" si="192">E116*2</f>
        <v>0</v>
      </c>
      <c r="G116" s="361"/>
      <c r="H116" s="1188">
        <f>VLOOKUP(B115,REKAP_NILAI,43,FALSE)</f>
        <v>0</v>
      </c>
      <c r="I116" s="709">
        <f t="shared" ref="I116:I117" si="193">F116+G116+H116</f>
        <v>0</v>
      </c>
      <c r="J116" s="710">
        <f t="shared" ref="J116:J117" si="194">(F116+G116+H116)/4</f>
        <v>0</v>
      </c>
      <c r="K116" s="711" t="str">
        <f t="shared" ref="K116:K118" si="195">IF(J116&gt;85,("4"),IF(J116&gt;80,("3.66"),IF(J116&gt;75,("3.33"),IF(J116&gt;70,("3.00"),IF(J116&gt;65,("2.66"),IF(J116&gt;60,("2.33"),IF(J116&gt;55,("2"),IF(J116&gt;50,("1.66"),"1.33"))))))))</f>
        <v>1.33</v>
      </c>
      <c r="L116" s="711" t="str">
        <f t="shared" ref="L116:L118" si="196">IF(J116&gt;85,("A"),IF(J116&gt;80,("A-"),IF(J116&gt;75,("B+"),IF(J116&gt;70,("B"),IF(J116&gt;65,("B-"),IF(J116&gt;60,("C+"),IF(J116&gt;55,("C"),IF(J116&gt;50,("C-"),"D+"))))))))</f>
        <v>D+</v>
      </c>
      <c r="M116" s="712" t="str">
        <f t="shared" ref="M116:M118" si="197">IF(J116&gt;80,("SB"),IF(J116&gt;65,("B"),IF(J116&gt;50,("C"),IF(J116&gt;0,("K"),"0"))))</f>
        <v>0</v>
      </c>
      <c r="N116" s="689"/>
      <c r="O116" s="690"/>
      <c r="P116" s="690"/>
      <c r="Q116" s="691"/>
      <c r="R116" s="691"/>
      <c r="S116" s="692"/>
      <c r="T116" s="1667"/>
      <c r="U116" s="1668"/>
    </row>
    <row r="117" spans="1:21" ht="24.95" customHeight="1" x14ac:dyDescent="0.25">
      <c r="A117" s="687"/>
      <c r="B117" s="683">
        <v>28</v>
      </c>
      <c r="C117" s="688"/>
      <c r="D117" s="991" t="s">
        <v>20</v>
      </c>
      <c r="E117" s="627">
        <f>VLOOKUP(A115,UHT_jawa,20,FALSE)</f>
        <v>0</v>
      </c>
      <c r="F117" s="1191">
        <f t="shared" si="192"/>
        <v>0</v>
      </c>
      <c r="G117" s="361"/>
      <c r="H117" s="1188">
        <f>VLOOKUP(B115,REKAP_NILAI,44,FALSE)</f>
        <v>0</v>
      </c>
      <c r="I117" s="709">
        <f t="shared" si="193"/>
        <v>0</v>
      </c>
      <c r="J117" s="710">
        <f t="shared" si="194"/>
        <v>0</v>
      </c>
      <c r="K117" s="711" t="str">
        <f t="shared" si="195"/>
        <v>1.33</v>
      </c>
      <c r="L117" s="711" t="str">
        <f t="shared" si="196"/>
        <v>D+</v>
      </c>
      <c r="M117" s="712" t="str">
        <f t="shared" si="197"/>
        <v>0</v>
      </c>
      <c r="N117" s="693"/>
      <c r="O117" s="694"/>
      <c r="P117" s="694"/>
      <c r="Q117" s="695"/>
      <c r="R117" s="695"/>
      <c r="S117" s="696"/>
      <c r="T117" s="1669"/>
      <c r="U117" s="1670"/>
    </row>
    <row r="118" spans="1:21" ht="24.95" customHeight="1" x14ac:dyDescent="0.25">
      <c r="A118" s="697"/>
      <c r="B118" s="698"/>
      <c r="C118" s="699" t="s">
        <v>149</v>
      </c>
      <c r="D118" s="700">
        <v>28</v>
      </c>
      <c r="E118" s="697"/>
      <c r="F118" s="1192"/>
      <c r="G118" s="697"/>
      <c r="H118" s="1189">
        <f>AVERAGE(H115:H117)</f>
        <v>0</v>
      </c>
      <c r="I118" s="705"/>
      <c r="J118" s="713">
        <f>AVERAGE(J115:J117)</f>
        <v>0</v>
      </c>
      <c r="K118" s="714" t="str">
        <f t="shared" si="195"/>
        <v>1.33</v>
      </c>
      <c r="L118" s="714" t="str">
        <f t="shared" si="196"/>
        <v>D+</v>
      </c>
      <c r="M118" s="888" t="str">
        <f t="shared" si="197"/>
        <v>0</v>
      </c>
      <c r="N118" s="701"/>
      <c r="O118" s="702"/>
      <c r="P118" s="702"/>
      <c r="Q118" s="702"/>
      <c r="R118" s="702"/>
      <c r="S118" s="703"/>
      <c r="T118" s="1257"/>
      <c r="U118" s="1258"/>
    </row>
    <row r="119" spans="1:21" ht="24.95" customHeight="1" x14ac:dyDescent="0.25">
      <c r="A119" s="360">
        <v>29</v>
      </c>
      <c r="B119" s="683">
        <v>29</v>
      </c>
      <c r="C119" s="684" t="e">
        <f>VLOOKUP(A119,data_siswa,4,FALSE)</f>
        <v>#N/A</v>
      </c>
      <c r="D119" s="991" t="s">
        <v>18</v>
      </c>
      <c r="E119" s="627">
        <f>VLOOKUP(A119,UHT_jawa,18,FALSE)</f>
        <v>0</v>
      </c>
      <c r="F119" s="1190">
        <f>E119*2</f>
        <v>0</v>
      </c>
      <c r="G119" s="361"/>
      <c r="H119" s="1188">
        <f>VLOOKUP(B119,REKAP_NILAI,42,FALSE)</f>
        <v>0</v>
      </c>
      <c r="I119" s="706">
        <f>F119+G119+H119</f>
        <v>0</v>
      </c>
      <c r="J119" s="707">
        <f>(F119+G119+H119)/4</f>
        <v>0</v>
      </c>
      <c r="K119" s="708" t="str">
        <f>IF(J119&gt;85,("4"),IF(J119&gt;80,("3.66"),IF(J119&gt;75,("3.33"),IF(J119&gt;70,("3.00"),IF(J119&gt;65,("2.66"),IF(J119&gt;60,("2.33"),IF(J119&gt;55,("2"),IF(J119&gt;50,("1.66"),"1.33"))))))))</f>
        <v>1.33</v>
      </c>
      <c r="L119" s="708" t="str">
        <f>IF(J119&gt;85,("A"),IF(J119&gt;80,("A-"),IF(J119&gt;75,("B+"),IF(J119&gt;70,("B"),IF(J119&gt;65,("B-"),IF(J119&gt;60,("C+"),IF(J119&gt;55,("C"),IF(J119&gt;50,("C-"),"D+"))))))))</f>
        <v>D+</v>
      </c>
      <c r="M119" s="887" t="str">
        <f>IF(J119&gt;80,("SB"),IF(J119&gt;65,("B"),IF(J119&gt;50,("C"),IF(J119&gt;0,("K"),"0"))))</f>
        <v>0</v>
      </c>
      <c r="N119" s="685"/>
      <c r="O119" s="360"/>
      <c r="P119" s="360"/>
      <c r="Q119" s="686"/>
      <c r="R119" s="686"/>
      <c r="S119" s="686"/>
      <c r="T119" s="704">
        <f>AVERAGE(J119:J121)</f>
        <v>0</v>
      </c>
      <c r="U119" s="1481" t="str">
        <f>IF(T119&gt;85,("A"),IF(T119&gt;80,("A-"),IF(T119&gt;75,("B+"),IF(T119&gt;70,("B"),IF(T119&gt;65,("B-"),IF(T119&gt;60,("C+"),IF(T119&gt;55,("C"),IF(T119&gt;50,("C-"),"D+"))))))))</f>
        <v>D+</v>
      </c>
    </row>
    <row r="120" spans="1:21" ht="24.95" customHeight="1" x14ac:dyDescent="0.25">
      <c r="A120" s="687"/>
      <c r="B120" s="683">
        <v>29</v>
      </c>
      <c r="C120" s="688"/>
      <c r="D120" s="991" t="s">
        <v>179</v>
      </c>
      <c r="E120" s="627">
        <f>VLOOKUP(A119,UHT_jawa,19,FALSE)</f>
        <v>0</v>
      </c>
      <c r="F120" s="1191">
        <f t="shared" ref="F120:F121" si="198">E120*2</f>
        <v>0</v>
      </c>
      <c r="G120" s="361"/>
      <c r="H120" s="1188">
        <f>VLOOKUP(B119,REKAP_NILAI,43,FALSE)</f>
        <v>0</v>
      </c>
      <c r="I120" s="709">
        <f t="shared" ref="I120:I121" si="199">F120+G120+H120</f>
        <v>0</v>
      </c>
      <c r="J120" s="710">
        <f t="shared" ref="J120:J121" si="200">(F120+G120+H120)/4</f>
        <v>0</v>
      </c>
      <c r="K120" s="711" t="str">
        <f t="shared" ref="K120:K122" si="201">IF(J120&gt;85,("4"),IF(J120&gt;80,("3.66"),IF(J120&gt;75,("3.33"),IF(J120&gt;70,("3.00"),IF(J120&gt;65,("2.66"),IF(J120&gt;60,("2.33"),IF(J120&gt;55,("2"),IF(J120&gt;50,("1.66"),"1.33"))))))))</f>
        <v>1.33</v>
      </c>
      <c r="L120" s="711" t="str">
        <f t="shared" ref="L120:L122" si="202">IF(J120&gt;85,("A"),IF(J120&gt;80,("A-"),IF(J120&gt;75,("B+"),IF(J120&gt;70,("B"),IF(J120&gt;65,("B-"),IF(J120&gt;60,("C+"),IF(J120&gt;55,("C"),IF(J120&gt;50,("C-"),"D+"))))))))</f>
        <v>D+</v>
      </c>
      <c r="M120" s="712" t="str">
        <f t="shared" ref="M120:M122" si="203">IF(J120&gt;80,("SB"),IF(J120&gt;65,("B"),IF(J120&gt;50,("C"),IF(J120&gt;0,("K"),"0"))))</f>
        <v>0</v>
      </c>
      <c r="N120" s="689"/>
      <c r="O120" s="690"/>
      <c r="P120" s="690"/>
      <c r="Q120" s="691"/>
      <c r="R120" s="691"/>
      <c r="S120" s="692"/>
      <c r="T120" s="1667"/>
      <c r="U120" s="1668"/>
    </row>
    <row r="121" spans="1:21" ht="24.95" customHeight="1" x14ac:dyDescent="0.25">
      <c r="A121" s="687"/>
      <c r="B121" s="683">
        <v>29</v>
      </c>
      <c r="C121" s="688"/>
      <c r="D121" s="991" t="s">
        <v>20</v>
      </c>
      <c r="E121" s="627">
        <f>VLOOKUP(A119,UHT_jawa,20,FALSE)</f>
        <v>0</v>
      </c>
      <c r="F121" s="1191">
        <f t="shared" si="198"/>
        <v>0</v>
      </c>
      <c r="G121" s="361"/>
      <c r="H121" s="1188">
        <f>VLOOKUP(B119,REKAP_NILAI,44,FALSE)</f>
        <v>0</v>
      </c>
      <c r="I121" s="709">
        <f t="shared" si="199"/>
        <v>0</v>
      </c>
      <c r="J121" s="710">
        <f t="shared" si="200"/>
        <v>0</v>
      </c>
      <c r="K121" s="711" t="str">
        <f t="shared" si="201"/>
        <v>1.33</v>
      </c>
      <c r="L121" s="711" t="str">
        <f t="shared" si="202"/>
        <v>D+</v>
      </c>
      <c r="M121" s="712" t="str">
        <f t="shared" si="203"/>
        <v>0</v>
      </c>
      <c r="N121" s="693"/>
      <c r="O121" s="694"/>
      <c r="P121" s="694"/>
      <c r="Q121" s="695"/>
      <c r="R121" s="695"/>
      <c r="S121" s="696"/>
      <c r="T121" s="1669"/>
      <c r="U121" s="1670"/>
    </row>
    <row r="122" spans="1:21" ht="24.95" customHeight="1" x14ac:dyDescent="0.25">
      <c r="A122" s="697"/>
      <c r="B122" s="698"/>
      <c r="C122" s="699" t="s">
        <v>149</v>
      </c>
      <c r="D122" s="700">
        <v>29</v>
      </c>
      <c r="E122" s="697"/>
      <c r="F122" s="1192"/>
      <c r="G122" s="697"/>
      <c r="H122" s="1189">
        <f>AVERAGE(H119:H121)</f>
        <v>0</v>
      </c>
      <c r="I122" s="705"/>
      <c r="J122" s="713">
        <f>AVERAGE(J119:J121)</f>
        <v>0</v>
      </c>
      <c r="K122" s="714" t="str">
        <f t="shared" si="201"/>
        <v>1.33</v>
      </c>
      <c r="L122" s="714" t="str">
        <f t="shared" si="202"/>
        <v>D+</v>
      </c>
      <c r="M122" s="888" t="str">
        <f t="shared" si="203"/>
        <v>0</v>
      </c>
      <c r="N122" s="701"/>
      <c r="O122" s="702"/>
      <c r="P122" s="702"/>
      <c r="Q122" s="702"/>
      <c r="R122" s="702"/>
      <c r="S122" s="703"/>
      <c r="T122" s="1257"/>
      <c r="U122" s="1258"/>
    </row>
    <row r="123" spans="1:21" ht="24.95" customHeight="1" x14ac:dyDescent="0.25">
      <c r="A123" s="360">
        <v>30</v>
      </c>
      <c r="B123" s="683">
        <v>30</v>
      </c>
      <c r="C123" s="684" t="e">
        <f>VLOOKUP(A123,data_siswa,4,FALSE)</f>
        <v>#N/A</v>
      </c>
      <c r="D123" s="991" t="s">
        <v>18</v>
      </c>
      <c r="E123" s="627">
        <f>VLOOKUP(A123,UHT_jawa,18,FALSE)</f>
        <v>0</v>
      </c>
      <c r="F123" s="1190">
        <f>E123*2</f>
        <v>0</v>
      </c>
      <c r="G123" s="361"/>
      <c r="H123" s="1188">
        <f>VLOOKUP(B123,REKAP_NILAI,42,FALSE)</f>
        <v>0</v>
      </c>
      <c r="I123" s="706">
        <f>F123+G123+H123</f>
        <v>0</v>
      </c>
      <c r="J123" s="707">
        <f>(F123+G123+H123)/4</f>
        <v>0</v>
      </c>
      <c r="K123" s="708" t="str">
        <f>IF(J123&gt;85,("4"),IF(J123&gt;80,("3.66"),IF(J123&gt;75,("3.33"),IF(J123&gt;70,("3.00"),IF(J123&gt;65,("2.66"),IF(J123&gt;60,("2.33"),IF(J123&gt;55,("2"),IF(J123&gt;50,("1.66"),"1.33"))))))))</f>
        <v>1.33</v>
      </c>
      <c r="L123" s="708" t="str">
        <f>IF(J123&gt;85,("A"),IF(J123&gt;80,("A-"),IF(J123&gt;75,("B+"),IF(J123&gt;70,("B"),IF(J123&gt;65,("B-"),IF(J123&gt;60,("C+"),IF(J123&gt;55,("C"),IF(J123&gt;50,("C-"),"D+"))))))))</f>
        <v>D+</v>
      </c>
      <c r="M123" s="887" t="str">
        <f>IF(J123&gt;80,("SB"),IF(J123&gt;65,("B"),IF(J123&gt;50,("C"),IF(J123&gt;0,("K"),"0"))))</f>
        <v>0</v>
      </c>
      <c r="N123" s="685"/>
      <c r="O123" s="360"/>
      <c r="P123" s="360"/>
      <c r="Q123" s="686"/>
      <c r="R123" s="686"/>
      <c r="S123" s="686"/>
      <c r="T123" s="704">
        <f>AVERAGE(J123:J125)</f>
        <v>0</v>
      </c>
      <c r="U123" s="1481" t="str">
        <f>IF(T123&gt;85,("A"),IF(T123&gt;80,("A-"),IF(T123&gt;75,("B+"),IF(T123&gt;70,("B"),IF(T123&gt;65,("B-"),IF(T123&gt;60,("C+"),IF(T123&gt;55,("C"),IF(T123&gt;50,("C-"),"D+"))))))))</f>
        <v>D+</v>
      </c>
    </row>
    <row r="124" spans="1:21" ht="24.95" customHeight="1" x14ac:dyDescent="0.25">
      <c r="A124" s="687"/>
      <c r="B124" s="683">
        <v>30</v>
      </c>
      <c r="C124" s="688"/>
      <c r="D124" s="991" t="s">
        <v>179</v>
      </c>
      <c r="E124" s="627">
        <f>VLOOKUP(A123,UHT_jawa,19,FALSE)</f>
        <v>0</v>
      </c>
      <c r="F124" s="1191">
        <f t="shared" ref="F124:F125" si="204">E124*2</f>
        <v>0</v>
      </c>
      <c r="G124" s="361"/>
      <c r="H124" s="1188">
        <f>VLOOKUP(B123,REKAP_NILAI,43,FALSE)</f>
        <v>0</v>
      </c>
      <c r="I124" s="709">
        <f t="shared" ref="I124:I125" si="205">F124+G124+H124</f>
        <v>0</v>
      </c>
      <c r="J124" s="710">
        <f t="shared" ref="J124:J125" si="206">(F124+G124+H124)/4</f>
        <v>0</v>
      </c>
      <c r="K124" s="711" t="str">
        <f t="shared" ref="K124:K125" si="207">IF(J124&gt;85,("4"),IF(J124&gt;80,("3.66"),IF(J124&gt;75,("3.33"),IF(J124&gt;70,("3.00"),IF(J124&gt;65,("2.66"),IF(J124&gt;60,("2.33"),IF(J124&gt;55,("2"),IF(J124&gt;50,("1.66"),"1.33"))))))))</f>
        <v>1.33</v>
      </c>
      <c r="L124" s="711" t="str">
        <f t="shared" ref="L124:L125" si="208">IF(J124&gt;85,("A"),IF(J124&gt;80,("A-"),IF(J124&gt;75,("B+"),IF(J124&gt;70,("B"),IF(J124&gt;65,("B-"),IF(J124&gt;60,("C+"),IF(J124&gt;55,("C"),IF(J124&gt;50,("C-"),"D+"))))))))</f>
        <v>D+</v>
      </c>
      <c r="M124" s="712" t="str">
        <f t="shared" ref="M124:M125" si="209">IF(J124&gt;80,("SB"),IF(J124&gt;65,("B"),IF(J124&gt;50,("C"),IF(J124&gt;0,("K"),"0"))))</f>
        <v>0</v>
      </c>
      <c r="N124" s="689"/>
      <c r="O124" s="690"/>
      <c r="P124" s="690"/>
      <c r="Q124" s="691"/>
      <c r="R124" s="691"/>
      <c r="S124" s="692"/>
      <c r="T124" s="1667"/>
      <c r="U124" s="1668"/>
    </row>
    <row r="125" spans="1:21" ht="24.95" customHeight="1" x14ac:dyDescent="0.25">
      <c r="A125" s="687"/>
      <c r="B125" s="683">
        <v>30</v>
      </c>
      <c r="C125" s="688"/>
      <c r="D125" s="991" t="s">
        <v>20</v>
      </c>
      <c r="E125" s="627">
        <f>VLOOKUP(A123,UHT_jawa,20,FALSE)</f>
        <v>0</v>
      </c>
      <c r="F125" s="1191">
        <f t="shared" si="204"/>
        <v>0</v>
      </c>
      <c r="G125" s="361"/>
      <c r="H125" s="1188">
        <f>VLOOKUP(B123,REKAP_NILAI,44,FALSE)</f>
        <v>0</v>
      </c>
      <c r="I125" s="709">
        <f t="shared" si="205"/>
        <v>0</v>
      </c>
      <c r="J125" s="710">
        <f t="shared" si="206"/>
        <v>0</v>
      </c>
      <c r="K125" s="711" t="str">
        <f t="shared" si="207"/>
        <v>1.33</v>
      </c>
      <c r="L125" s="711" t="str">
        <f t="shared" si="208"/>
        <v>D+</v>
      </c>
      <c r="M125" s="712" t="str">
        <f t="shared" si="209"/>
        <v>0</v>
      </c>
      <c r="N125" s="693"/>
      <c r="O125" s="694"/>
      <c r="P125" s="694"/>
      <c r="Q125" s="695"/>
      <c r="R125" s="695"/>
      <c r="S125" s="696"/>
      <c r="T125" s="1669"/>
      <c r="U125" s="1670"/>
    </row>
    <row r="126" spans="1:21" ht="24.95" customHeight="1" x14ac:dyDescent="0.25">
      <c r="A126" s="697"/>
      <c r="B126" s="698"/>
      <c r="C126" s="699" t="s">
        <v>149</v>
      </c>
      <c r="D126" s="700">
        <v>30</v>
      </c>
      <c r="E126" s="697"/>
      <c r="F126" s="1192"/>
      <c r="G126" s="697"/>
      <c r="H126" s="1189">
        <f>AVERAGE(H123:H125)</f>
        <v>0</v>
      </c>
      <c r="I126" s="705"/>
      <c r="J126" s="713">
        <f>AVERAGE(J123:J125)</f>
        <v>0</v>
      </c>
      <c r="K126" s="714" t="str">
        <f t="shared" ref="K126" si="210">IF(J126&gt;85,("4"),IF(J126&gt;80,("3.66"),IF(J126&gt;75,("3.33"),IF(J126&gt;70,("3.00"),IF(J126&gt;65,("2.66"),IF(J126&gt;60,("2.33"),IF(J126&gt;55,("2"),IF(J126&gt;50,("1.66"),"1.33"))))))))</f>
        <v>1.33</v>
      </c>
      <c r="L126" s="714" t="str">
        <f t="shared" ref="L126" si="211">IF(J126&gt;85,("A"),IF(J126&gt;80,("A-"),IF(J126&gt;75,("B+"),IF(J126&gt;70,("B"),IF(J126&gt;65,("B-"),IF(J126&gt;60,("C+"),IF(J126&gt;55,("C"),IF(J126&gt;50,("C-"),"D+"))))))))</f>
        <v>D+</v>
      </c>
      <c r="M126" s="888" t="str">
        <f t="shared" ref="M126" si="212">IF(J126&gt;80,("SB"),IF(J126&gt;65,("B"),IF(J126&gt;50,("C"),IF(J126&gt;0,("K"),"0"))))</f>
        <v>0</v>
      </c>
      <c r="N126" s="701"/>
      <c r="O126" s="702"/>
      <c r="P126" s="702"/>
      <c r="Q126" s="702"/>
      <c r="R126" s="702"/>
      <c r="S126" s="703"/>
      <c r="T126" s="1257"/>
      <c r="U126" s="1258"/>
    </row>
    <row r="127" spans="1:21" ht="24.95" customHeight="1" x14ac:dyDescent="0.25">
      <c r="A127" s="360">
        <v>31</v>
      </c>
      <c r="B127" s="683">
        <v>31</v>
      </c>
      <c r="C127" s="684" t="e">
        <f>VLOOKUP(A127,data_siswa,4,FALSE)</f>
        <v>#N/A</v>
      </c>
      <c r="D127" s="991" t="s">
        <v>18</v>
      </c>
      <c r="E127" s="627">
        <f>VLOOKUP(A127,UHT_jawa,18,FALSE)</f>
        <v>0</v>
      </c>
      <c r="F127" s="1190">
        <f>E127*2</f>
        <v>0</v>
      </c>
      <c r="G127" s="361"/>
      <c r="H127" s="1188">
        <f>VLOOKUP(B127,REKAP_NILAI,42,FALSE)</f>
        <v>0</v>
      </c>
      <c r="I127" s="706">
        <f>F127+G127+H127</f>
        <v>0</v>
      </c>
      <c r="J127" s="707">
        <f>(F127+G127+H127)/4</f>
        <v>0</v>
      </c>
      <c r="K127" s="708" t="str">
        <f>IF(J127&gt;85,("4"),IF(J127&gt;80,("3.66"),IF(J127&gt;75,("3.33"),IF(J127&gt;70,("3.00"),IF(J127&gt;65,("2.66"),IF(J127&gt;60,("2.33"),IF(J127&gt;55,("2"),IF(J127&gt;50,("1.66"),"1.33"))))))))</f>
        <v>1.33</v>
      </c>
      <c r="L127" s="708" t="str">
        <f>IF(J127&gt;85,("A"),IF(J127&gt;80,("A-"),IF(J127&gt;75,("B+"),IF(J127&gt;70,("B"),IF(J127&gt;65,("B-"),IF(J127&gt;60,("C+"),IF(J127&gt;55,("C"),IF(J127&gt;50,("C-"),"D+"))))))))</f>
        <v>D+</v>
      </c>
      <c r="M127" s="887" t="str">
        <f>IF(J127&gt;80,("SB"),IF(J127&gt;65,("B"),IF(J127&gt;50,("C"),IF(J127&gt;0,("K"),"0"))))</f>
        <v>0</v>
      </c>
      <c r="N127" s="685"/>
      <c r="O127" s="360"/>
      <c r="P127" s="360"/>
      <c r="Q127" s="686"/>
      <c r="R127" s="686"/>
      <c r="S127" s="686"/>
      <c r="T127" s="704">
        <f>AVERAGE(J127:J129)</f>
        <v>0</v>
      </c>
      <c r="U127" s="1481" t="str">
        <f>IF(T127&gt;85,("A"),IF(T127&gt;80,("A-"),IF(T127&gt;75,("B+"),IF(T127&gt;70,("B"),IF(T127&gt;65,("B-"),IF(T127&gt;60,("C+"),IF(T127&gt;55,("C"),IF(T127&gt;50,("C-"),"D+"))))))))</f>
        <v>D+</v>
      </c>
    </row>
    <row r="128" spans="1:21" ht="24.95" customHeight="1" x14ac:dyDescent="0.25">
      <c r="A128" s="687"/>
      <c r="B128" s="683">
        <v>31</v>
      </c>
      <c r="C128" s="688"/>
      <c r="D128" s="991" t="s">
        <v>179</v>
      </c>
      <c r="E128" s="627">
        <f>VLOOKUP(A127,UHT_jawa,19,FALSE)</f>
        <v>0</v>
      </c>
      <c r="F128" s="1191">
        <f t="shared" ref="F128:F129" si="213">E128*2</f>
        <v>0</v>
      </c>
      <c r="G128" s="361"/>
      <c r="H128" s="1188">
        <f>VLOOKUP(B127,REKAP_NILAI,43,FALSE)</f>
        <v>0</v>
      </c>
      <c r="I128" s="709">
        <f t="shared" ref="I128:I129" si="214">F128+G128+H128</f>
        <v>0</v>
      </c>
      <c r="J128" s="710">
        <f t="shared" ref="J128:J129" si="215">(F128+G128+H128)/4</f>
        <v>0</v>
      </c>
      <c r="K128" s="711" t="str">
        <f t="shared" ref="K128:K130" si="216">IF(J128&gt;85,("4"),IF(J128&gt;80,("3.66"),IF(J128&gt;75,("3.33"),IF(J128&gt;70,("3.00"),IF(J128&gt;65,("2.66"),IF(J128&gt;60,("2.33"),IF(J128&gt;55,("2"),IF(J128&gt;50,("1.66"),"1.33"))))))))</f>
        <v>1.33</v>
      </c>
      <c r="L128" s="711" t="str">
        <f t="shared" ref="L128:L130" si="217">IF(J128&gt;85,("A"),IF(J128&gt;80,("A-"),IF(J128&gt;75,("B+"),IF(J128&gt;70,("B"),IF(J128&gt;65,("B-"),IF(J128&gt;60,("C+"),IF(J128&gt;55,("C"),IF(J128&gt;50,("C-"),"D+"))))))))</f>
        <v>D+</v>
      </c>
      <c r="M128" s="712" t="str">
        <f t="shared" ref="M128:M130" si="218">IF(J128&gt;80,("SB"),IF(J128&gt;65,("B"),IF(J128&gt;50,("C"),IF(J128&gt;0,("K"),"0"))))</f>
        <v>0</v>
      </c>
      <c r="N128" s="689"/>
      <c r="O128" s="690"/>
      <c r="P128" s="690"/>
      <c r="Q128" s="691"/>
      <c r="R128" s="691"/>
      <c r="S128" s="692"/>
      <c r="T128" s="1667"/>
      <c r="U128" s="1668"/>
    </row>
    <row r="129" spans="1:21" ht="24.95" customHeight="1" x14ac:dyDescent="0.25">
      <c r="A129" s="687"/>
      <c r="B129" s="683">
        <v>31</v>
      </c>
      <c r="C129" s="688"/>
      <c r="D129" s="991" t="s">
        <v>20</v>
      </c>
      <c r="E129" s="627">
        <f>VLOOKUP(A127,UHT_jawa,20,FALSE)</f>
        <v>0</v>
      </c>
      <c r="F129" s="1191">
        <f t="shared" si="213"/>
        <v>0</v>
      </c>
      <c r="G129" s="361"/>
      <c r="H129" s="1188">
        <f>VLOOKUP(B127,REKAP_NILAI,44,FALSE)</f>
        <v>0</v>
      </c>
      <c r="I129" s="709">
        <f t="shared" si="214"/>
        <v>0</v>
      </c>
      <c r="J129" s="710">
        <f t="shared" si="215"/>
        <v>0</v>
      </c>
      <c r="K129" s="711" t="str">
        <f t="shared" si="216"/>
        <v>1.33</v>
      </c>
      <c r="L129" s="711" t="str">
        <f t="shared" si="217"/>
        <v>D+</v>
      </c>
      <c r="M129" s="712" t="str">
        <f t="shared" si="218"/>
        <v>0</v>
      </c>
      <c r="N129" s="693"/>
      <c r="O129" s="694"/>
      <c r="P129" s="694"/>
      <c r="Q129" s="695"/>
      <c r="R129" s="695"/>
      <c r="S129" s="696"/>
      <c r="T129" s="1669"/>
      <c r="U129" s="1670"/>
    </row>
    <row r="130" spans="1:21" ht="24.95" customHeight="1" x14ac:dyDescent="0.25">
      <c r="A130" s="697"/>
      <c r="B130" s="698"/>
      <c r="C130" s="699" t="s">
        <v>149</v>
      </c>
      <c r="D130" s="700">
        <v>31</v>
      </c>
      <c r="E130" s="697"/>
      <c r="F130" s="1192"/>
      <c r="G130" s="697"/>
      <c r="H130" s="1189">
        <f>AVERAGE(H127:H129)</f>
        <v>0</v>
      </c>
      <c r="I130" s="705"/>
      <c r="J130" s="713">
        <f>AVERAGE(J127:J129)</f>
        <v>0</v>
      </c>
      <c r="K130" s="714" t="str">
        <f t="shared" si="216"/>
        <v>1.33</v>
      </c>
      <c r="L130" s="714" t="str">
        <f t="shared" si="217"/>
        <v>D+</v>
      </c>
      <c r="M130" s="888" t="str">
        <f t="shared" si="218"/>
        <v>0</v>
      </c>
      <c r="N130" s="701"/>
      <c r="O130" s="702"/>
      <c r="P130" s="702"/>
      <c r="Q130" s="702"/>
      <c r="R130" s="702"/>
      <c r="S130" s="703"/>
      <c r="T130" s="1257"/>
      <c r="U130" s="1258"/>
    </row>
    <row r="131" spans="1:21" ht="24.95" customHeight="1" x14ac:dyDescent="0.25">
      <c r="A131" s="360">
        <v>32</v>
      </c>
      <c r="B131" s="683">
        <v>32</v>
      </c>
      <c r="C131" s="684" t="e">
        <f>VLOOKUP(A131,data_siswa,4,FALSE)</f>
        <v>#N/A</v>
      </c>
      <c r="D131" s="991" t="s">
        <v>18</v>
      </c>
      <c r="E131" s="627">
        <f>VLOOKUP(A131,UHT_jawa,18,FALSE)</f>
        <v>0</v>
      </c>
      <c r="F131" s="1190">
        <f>E131*2</f>
        <v>0</v>
      </c>
      <c r="G131" s="361"/>
      <c r="H131" s="1188">
        <f>VLOOKUP(B131,REKAP_NILAI,42,FALSE)</f>
        <v>0</v>
      </c>
      <c r="I131" s="706">
        <f>F131+G131+H131</f>
        <v>0</v>
      </c>
      <c r="J131" s="707">
        <f>(F131+G131+H131)/4</f>
        <v>0</v>
      </c>
      <c r="K131" s="708" t="str">
        <f>IF(J131&gt;85,("4"),IF(J131&gt;80,("3.66"),IF(J131&gt;75,("3.33"),IF(J131&gt;70,("3.00"),IF(J131&gt;65,("2.66"),IF(J131&gt;60,("2.33"),IF(J131&gt;55,("2"),IF(J131&gt;50,("1.66"),"1.33"))))))))</f>
        <v>1.33</v>
      </c>
      <c r="L131" s="708" t="str">
        <f>IF(J131&gt;85,("A"),IF(J131&gt;80,("A-"),IF(J131&gt;75,("B+"),IF(J131&gt;70,("B"),IF(J131&gt;65,("B-"),IF(J131&gt;60,("C+"),IF(J131&gt;55,("C"),IF(J131&gt;50,("C-"),"D+"))))))))</f>
        <v>D+</v>
      </c>
      <c r="M131" s="887" t="str">
        <f>IF(J131&gt;80,("SB"),IF(J131&gt;65,("B"),IF(J131&gt;50,("C"),IF(J131&gt;0,("K"),"0"))))</f>
        <v>0</v>
      </c>
      <c r="N131" s="685"/>
      <c r="O131" s="360"/>
      <c r="P131" s="360"/>
      <c r="Q131" s="686"/>
      <c r="R131" s="686"/>
      <c r="S131" s="686"/>
      <c r="T131" s="704">
        <f>AVERAGE(J131:J133)</f>
        <v>0</v>
      </c>
      <c r="U131" s="1481" t="str">
        <f>IF(T131&gt;85,("A"),IF(T131&gt;80,("A-"),IF(T131&gt;75,("B+"),IF(T131&gt;70,("B"),IF(T131&gt;65,("B-"),IF(T131&gt;60,("C+"),IF(T131&gt;55,("C"),IF(T131&gt;50,("C-"),"D+"))))))))</f>
        <v>D+</v>
      </c>
    </row>
    <row r="132" spans="1:21" ht="24.95" customHeight="1" x14ac:dyDescent="0.25">
      <c r="A132" s="687"/>
      <c r="B132" s="683">
        <v>32</v>
      </c>
      <c r="C132" s="688"/>
      <c r="D132" s="991" t="s">
        <v>179</v>
      </c>
      <c r="E132" s="627">
        <f>VLOOKUP(A131,UHT_jawa,19,FALSE)</f>
        <v>0</v>
      </c>
      <c r="F132" s="1191">
        <f t="shared" ref="F132:F133" si="219">E132*2</f>
        <v>0</v>
      </c>
      <c r="G132" s="361"/>
      <c r="H132" s="1188">
        <f>VLOOKUP(B131,REKAP_NILAI,43,FALSE)</f>
        <v>0</v>
      </c>
      <c r="I132" s="709">
        <f t="shared" ref="I132:I133" si="220">F132+G132+H132</f>
        <v>0</v>
      </c>
      <c r="J132" s="710">
        <f t="shared" ref="J132:J133" si="221">(F132+G132+H132)/4</f>
        <v>0</v>
      </c>
      <c r="K132" s="711" t="str">
        <f t="shared" ref="K132:K134" si="222">IF(J132&gt;85,("4"),IF(J132&gt;80,("3.66"),IF(J132&gt;75,("3.33"),IF(J132&gt;70,("3.00"),IF(J132&gt;65,("2.66"),IF(J132&gt;60,("2.33"),IF(J132&gt;55,("2"),IF(J132&gt;50,("1.66"),"1.33"))))))))</f>
        <v>1.33</v>
      </c>
      <c r="L132" s="711" t="str">
        <f t="shared" ref="L132:L134" si="223">IF(J132&gt;85,("A"),IF(J132&gt;80,("A-"),IF(J132&gt;75,("B+"),IF(J132&gt;70,("B"),IF(J132&gt;65,("B-"),IF(J132&gt;60,("C+"),IF(J132&gt;55,("C"),IF(J132&gt;50,("C-"),"D+"))))))))</f>
        <v>D+</v>
      </c>
      <c r="M132" s="712" t="str">
        <f t="shared" ref="M132:M134" si="224">IF(J132&gt;80,("SB"),IF(J132&gt;65,("B"),IF(J132&gt;50,("C"),IF(J132&gt;0,("K"),"0"))))</f>
        <v>0</v>
      </c>
      <c r="N132" s="689"/>
      <c r="O132" s="690"/>
      <c r="P132" s="690"/>
      <c r="Q132" s="691"/>
      <c r="R132" s="691"/>
      <c r="S132" s="692"/>
      <c r="T132" s="1667"/>
      <c r="U132" s="1668"/>
    </row>
    <row r="133" spans="1:21" ht="24.95" customHeight="1" x14ac:dyDescent="0.25">
      <c r="A133" s="687"/>
      <c r="B133" s="683">
        <v>32</v>
      </c>
      <c r="C133" s="688"/>
      <c r="D133" s="991" t="s">
        <v>20</v>
      </c>
      <c r="E133" s="627">
        <f>VLOOKUP(A131,UHT_jawa,20,FALSE)</f>
        <v>0</v>
      </c>
      <c r="F133" s="1191">
        <f t="shared" si="219"/>
        <v>0</v>
      </c>
      <c r="G133" s="361"/>
      <c r="H133" s="1188">
        <f>VLOOKUP(B131,REKAP_NILAI,44,FALSE)</f>
        <v>0</v>
      </c>
      <c r="I133" s="709">
        <f t="shared" si="220"/>
        <v>0</v>
      </c>
      <c r="J133" s="710">
        <f t="shared" si="221"/>
        <v>0</v>
      </c>
      <c r="K133" s="711" t="str">
        <f t="shared" si="222"/>
        <v>1.33</v>
      </c>
      <c r="L133" s="711" t="str">
        <f t="shared" si="223"/>
        <v>D+</v>
      </c>
      <c r="M133" s="712" t="str">
        <f t="shared" si="224"/>
        <v>0</v>
      </c>
      <c r="N133" s="693"/>
      <c r="O133" s="694"/>
      <c r="P133" s="694"/>
      <c r="Q133" s="695"/>
      <c r="R133" s="695"/>
      <c r="S133" s="696"/>
      <c r="T133" s="1669"/>
      <c r="U133" s="1670"/>
    </row>
    <row r="134" spans="1:21" ht="24.95" customHeight="1" x14ac:dyDescent="0.25">
      <c r="A134" s="697"/>
      <c r="B134" s="698"/>
      <c r="C134" s="699" t="s">
        <v>149</v>
      </c>
      <c r="D134" s="700">
        <v>32</v>
      </c>
      <c r="E134" s="697"/>
      <c r="F134" s="1192"/>
      <c r="G134" s="697"/>
      <c r="H134" s="1189">
        <f>AVERAGE(H131:H133)</f>
        <v>0</v>
      </c>
      <c r="I134" s="705"/>
      <c r="J134" s="713">
        <f>AVERAGE(J131:J133)</f>
        <v>0</v>
      </c>
      <c r="K134" s="714" t="str">
        <f t="shared" si="222"/>
        <v>1.33</v>
      </c>
      <c r="L134" s="714" t="str">
        <f t="shared" si="223"/>
        <v>D+</v>
      </c>
      <c r="M134" s="888" t="str">
        <f t="shared" si="224"/>
        <v>0</v>
      </c>
      <c r="N134" s="701"/>
      <c r="O134" s="702"/>
      <c r="P134" s="702"/>
      <c r="Q134" s="702"/>
      <c r="R134" s="702"/>
      <c r="S134" s="703"/>
      <c r="T134" s="1257"/>
      <c r="U134" s="1258"/>
    </row>
    <row r="135" spans="1:21" ht="24.95" customHeight="1" x14ac:dyDescent="0.25">
      <c r="A135" s="360">
        <v>33</v>
      </c>
      <c r="B135" s="683">
        <v>33</v>
      </c>
      <c r="C135" s="684" t="e">
        <f>VLOOKUP(A135,data_siswa,4,FALSE)</f>
        <v>#N/A</v>
      </c>
      <c r="D135" s="991" t="s">
        <v>18</v>
      </c>
      <c r="E135" s="627">
        <f>VLOOKUP(A135,UHT_jawa,18,FALSE)</f>
        <v>0</v>
      </c>
      <c r="F135" s="1190">
        <f>E135*2</f>
        <v>0</v>
      </c>
      <c r="G135" s="361"/>
      <c r="H135" s="1188">
        <f>VLOOKUP(B135,REKAP_NILAI,42,FALSE)</f>
        <v>0</v>
      </c>
      <c r="I135" s="706">
        <f>F135+G135+H135</f>
        <v>0</v>
      </c>
      <c r="J135" s="707">
        <f>(F135+G135+H135)/4</f>
        <v>0</v>
      </c>
      <c r="K135" s="708" t="str">
        <f>IF(J135&gt;85,("4"),IF(J135&gt;80,("3.66"),IF(J135&gt;75,("3.33"),IF(J135&gt;70,("3.00"),IF(J135&gt;65,("2.66"),IF(J135&gt;60,("2.33"),IF(J135&gt;55,("2"),IF(J135&gt;50,("1.66"),"1.33"))))))))</f>
        <v>1.33</v>
      </c>
      <c r="L135" s="708" t="str">
        <f>IF(J135&gt;85,("A"),IF(J135&gt;80,("A-"),IF(J135&gt;75,("B+"),IF(J135&gt;70,("B"),IF(J135&gt;65,("B-"),IF(J135&gt;60,("C+"),IF(J135&gt;55,("C"),IF(J135&gt;50,("C-"),"D+"))))))))</f>
        <v>D+</v>
      </c>
      <c r="M135" s="887" t="str">
        <f>IF(J135&gt;80,("SB"),IF(J135&gt;65,("B"),IF(J135&gt;50,("C"),IF(J135&gt;0,("K"),"0"))))</f>
        <v>0</v>
      </c>
      <c r="N135" s="685"/>
      <c r="O135" s="360"/>
      <c r="P135" s="360"/>
      <c r="Q135" s="686"/>
      <c r="R135" s="686"/>
      <c r="S135" s="686"/>
      <c r="T135" s="704">
        <f>AVERAGE(J135:J137)</f>
        <v>0</v>
      </c>
      <c r="U135" s="1481" t="str">
        <f>IF(T135&gt;85,("A"),IF(T135&gt;80,("A-"),IF(T135&gt;75,("B+"),IF(T135&gt;70,("B"),IF(T135&gt;65,("B-"),IF(T135&gt;60,("C+"),IF(T135&gt;55,("C"),IF(T135&gt;50,("C-"),"D+"))))))))</f>
        <v>D+</v>
      </c>
    </row>
    <row r="136" spans="1:21" ht="24.95" customHeight="1" x14ac:dyDescent="0.25">
      <c r="A136" s="687"/>
      <c r="B136" s="683">
        <v>33</v>
      </c>
      <c r="C136" s="688"/>
      <c r="D136" s="991" t="s">
        <v>179</v>
      </c>
      <c r="E136" s="627">
        <f>VLOOKUP(A135,UHT_jawa,19,FALSE)</f>
        <v>0</v>
      </c>
      <c r="F136" s="1191">
        <f t="shared" ref="F136:F137" si="225">E136*2</f>
        <v>0</v>
      </c>
      <c r="G136" s="361"/>
      <c r="H136" s="1188">
        <f>VLOOKUP(B135,REKAP_NILAI,43,FALSE)</f>
        <v>0</v>
      </c>
      <c r="I136" s="709">
        <f t="shared" ref="I136:I137" si="226">F136+G136+H136</f>
        <v>0</v>
      </c>
      <c r="J136" s="710">
        <f t="shared" ref="J136:J137" si="227">(F136+G136+H136)/4</f>
        <v>0</v>
      </c>
      <c r="K136" s="711" t="str">
        <f t="shared" ref="K136:K138" si="228">IF(J136&gt;85,("4"),IF(J136&gt;80,("3.66"),IF(J136&gt;75,("3.33"),IF(J136&gt;70,("3.00"),IF(J136&gt;65,("2.66"),IF(J136&gt;60,("2.33"),IF(J136&gt;55,("2"),IF(J136&gt;50,("1.66"),"1.33"))))))))</f>
        <v>1.33</v>
      </c>
      <c r="L136" s="711" t="str">
        <f t="shared" ref="L136:L138" si="229">IF(J136&gt;85,("A"),IF(J136&gt;80,("A-"),IF(J136&gt;75,("B+"),IF(J136&gt;70,("B"),IF(J136&gt;65,("B-"),IF(J136&gt;60,("C+"),IF(J136&gt;55,("C"),IF(J136&gt;50,("C-"),"D+"))))))))</f>
        <v>D+</v>
      </c>
      <c r="M136" s="712" t="str">
        <f t="shared" ref="M136:M138" si="230">IF(J136&gt;80,("SB"),IF(J136&gt;65,("B"),IF(J136&gt;50,("C"),IF(J136&gt;0,("K"),"0"))))</f>
        <v>0</v>
      </c>
      <c r="N136" s="689"/>
      <c r="O136" s="690"/>
      <c r="P136" s="690"/>
      <c r="Q136" s="691"/>
      <c r="R136" s="691"/>
      <c r="S136" s="692"/>
      <c r="T136" s="1667"/>
      <c r="U136" s="1668"/>
    </row>
    <row r="137" spans="1:21" ht="24.95" customHeight="1" x14ac:dyDescent="0.25">
      <c r="A137" s="687"/>
      <c r="B137" s="683">
        <v>33</v>
      </c>
      <c r="C137" s="688"/>
      <c r="D137" s="991" t="s">
        <v>20</v>
      </c>
      <c r="E137" s="627">
        <f>VLOOKUP(A135,UHT_jawa,20,FALSE)</f>
        <v>0</v>
      </c>
      <c r="F137" s="1191">
        <f t="shared" si="225"/>
        <v>0</v>
      </c>
      <c r="G137" s="361"/>
      <c r="H137" s="1188">
        <f>VLOOKUP(B135,REKAP_NILAI,44,FALSE)</f>
        <v>0</v>
      </c>
      <c r="I137" s="709">
        <f t="shared" si="226"/>
        <v>0</v>
      </c>
      <c r="J137" s="710">
        <f t="shared" si="227"/>
        <v>0</v>
      </c>
      <c r="K137" s="711" t="str">
        <f t="shared" si="228"/>
        <v>1.33</v>
      </c>
      <c r="L137" s="711" t="str">
        <f t="shared" si="229"/>
        <v>D+</v>
      </c>
      <c r="M137" s="712" t="str">
        <f t="shared" si="230"/>
        <v>0</v>
      </c>
      <c r="N137" s="693"/>
      <c r="O137" s="694"/>
      <c r="P137" s="694"/>
      <c r="Q137" s="695"/>
      <c r="R137" s="695"/>
      <c r="S137" s="696"/>
      <c r="T137" s="1669"/>
      <c r="U137" s="1670"/>
    </row>
    <row r="138" spans="1:21" ht="24.95" customHeight="1" x14ac:dyDescent="0.25">
      <c r="A138" s="697"/>
      <c r="B138" s="698"/>
      <c r="C138" s="699" t="s">
        <v>149</v>
      </c>
      <c r="D138" s="700">
        <v>33</v>
      </c>
      <c r="E138" s="697"/>
      <c r="F138" s="1192"/>
      <c r="G138" s="697"/>
      <c r="H138" s="1189">
        <f>AVERAGE(H135:H137)</f>
        <v>0</v>
      </c>
      <c r="I138" s="705"/>
      <c r="J138" s="713">
        <f>AVERAGE(J135:J137)</f>
        <v>0</v>
      </c>
      <c r="K138" s="714" t="str">
        <f t="shared" si="228"/>
        <v>1.33</v>
      </c>
      <c r="L138" s="714" t="str">
        <f t="shared" si="229"/>
        <v>D+</v>
      </c>
      <c r="M138" s="888" t="str">
        <f t="shared" si="230"/>
        <v>0</v>
      </c>
      <c r="N138" s="701"/>
      <c r="O138" s="702"/>
      <c r="P138" s="702"/>
      <c r="Q138" s="702"/>
      <c r="R138" s="702"/>
      <c r="S138" s="703"/>
      <c r="T138" s="1257"/>
      <c r="U138" s="1258"/>
    </row>
    <row r="139" spans="1:21" ht="24.95" customHeight="1" x14ac:dyDescent="0.25">
      <c r="A139" s="360">
        <v>34</v>
      </c>
      <c r="B139" s="683">
        <v>34</v>
      </c>
      <c r="C139" s="684" t="e">
        <f>VLOOKUP(A139,data_siswa,4,FALSE)</f>
        <v>#N/A</v>
      </c>
      <c r="D139" s="991" t="s">
        <v>18</v>
      </c>
      <c r="E139" s="627">
        <f>VLOOKUP(A139,UHT_jawa,18,FALSE)</f>
        <v>0</v>
      </c>
      <c r="F139" s="1190">
        <f>E139*2</f>
        <v>0</v>
      </c>
      <c r="G139" s="361"/>
      <c r="H139" s="1188">
        <f>VLOOKUP(B139,REKAP_NILAI,42,FALSE)</f>
        <v>0</v>
      </c>
      <c r="I139" s="706">
        <f>F139+G139+H139</f>
        <v>0</v>
      </c>
      <c r="J139" s="707">
        <f>(F139+G139+H139)/4</f>
        <v>0</v>
      </c>
      <c r="K139" s="708" t="str">
        <f>IF(J139&gt;85,("4"),IF(J139&gt;80,("3.66"),IF(J139&gt;75,("3.33"),IF(J139&gt;70,("3.00"),IF(J139&gt;65,("2.66"),IF(J139&gt;60,("2.33"),IF(J139&gt;55,("2"),IF(J139&gt;50,("1.66"),"1.33"))))))))</f>
        <v>1.33</v>
      </c>
      <c r="L139" s="708" t="str">
        <f>IF(J139&gt;85,("A"),IF(J139&gt;80,("A-"),IF(J139&gt;75,("B+"),IF(J139&gt;70,("B"),IF(J139&gt;65,("B-"),IF(J139&gt;60,("C+"),IF(J139&gt;55,("C"),IF(J139&gt;50,("C-"),"D+"))))))))</f>
        <v>D+</v>
      </c>
      <c r="M139" s="887" t="str">
        <f>IF(J139&gt;80,("SB"),IF(J139&gt;65,("B"),IF(J139&gt;50,("C"),IF(J139&gt;0,("K"),"0"))))</f>
        <v>0</v>
      </c>
      <c r="N139" s="685"/>
      <c r="O139" s="360"/>
      <c r="P139" s="360"/>
      <c r="Q139" s="686"/>
      <c r="R139" s="686"/>
      <c r="S139" s="686"/>
      <c r="T139" s="704">
        <f>AVERAGE(J139:J141)</f>
        <v>0</v>
      </c>
      <c r="U139" s="1481" t="str">
        <f>IF(T139&gt;85,("A"),IF(T139&gt;80,("A-"),IF(T139&gt;75,("B+"),IF(T139&gt;70,("B"),IF(T139&gt;65,("B-"),IF(T139&gt;60,("C+"),IF(T139&gt;55,("C"),IF(T139&gt;50,("C-"),"D+"))))))))</f>
        <v>D+</v>
      </c>
    </row>
    <row r="140" spans="1:21" ht="24.95" customHeight="1" x14ac:dyDescent="0.25">
      <c r="A140" s="687"/>
      <c r="B140" s="683">
        <v>34</v>
      </c>
      <c r="C140" s="688"/>
      <c r="D140" s="991" t="s">
        <v>179</v>
      </c>
      <c r="E140" s="627">
        <f>VLOOKUP(A139,UHT_jawa,19,FALSE)</f>
        <v>0</v>
      </c>
      <c r="F140" s="1191">
        <f t="shared" ref="F140:F141" si="231">E140*2</f>
        <v>0</v>
      </c>
      <c r="G140" s="361"/>
      <c r="H140" s="1188">
        <f>VLOOKUP(B139,REKAP_NILAI,43,FALSE)</f>
        <v>0</v>
      </c>
      <c r="I140" s="709">
        <f t="shared" ref="I140:I141" si="232">F140+G140+H140</f>
        <v>0</v>
      </c>
      <c r="J140" s="710">
        <f t="shared" ref="J140:J141" si="233">(F140+G140+H140)/4</f>
        <v>0</v>
      </c>
      <c r="K140" s="711" t="str">
        <f t="shared" ref="K140:K142" si="234">IF(J140&gt;85,("4"),IF(J140&gt;80,("3.66"),IF(J140&gt;75,("3.33"),IF(J140&gt;70,("3.00"),IF(J140&gt;65,("2.66"),IF(J140&gt;60,("2.33"),IF(J140&gt;55,("2"),IF(J140&gt;50,("1.66"),"1.33"))))))))</f>
        <v>1.33</v>
      </c>
      <c r="L140" s="711" t="str">
        <f t="shared" ref="L140:L142" si="235">IF(J140&gt;85,("A"),IF(J140&gt;80,("A-"),IF(J140&gt;75,("B+"),IF(J140&gt;70,("B"),IF(J140&gt;65,("B-"),IF(J140&gt;60,("C+"),IF(J140&gt;55,("C"),IF(J140&gt;50,("C-"),"D+"))))))))</f>
        <v>D+</v>
      </c>
      <c r="M140" s="712" t="str">
        <f t="shared" ref="M140:M142" si="236">IF(J140&gt;80,("SB"),IF(J140&gt;65,("B"),IF(J140&gt;50,("C"),IF(J140&gt;0,("K"),"0"))))</f>
        <v>0</v>
      </c>
      <c r="N140" s="689"/>
      <c r="O140" s="690"/>
      <c r="P140" s="690"/>
      <c r="Q140" s="691"/>
      <c r="R140" s="691"/>
      <c r="S140" s="692"/>
      <c r="T140" s="1667"/>
      <c r="U140" s="1668"/>
    </row>
    <row r="141" spans="1:21" ht="24.95" customHeight="1" x14ac:dyDescent="0.25">
      <c r="A141" s="687"/>
      <c r="B141" s="683">
        <v>34</v>
      </c>
      <c r="C141" s="688"/>
      <c r="D141" s="991" t="s">
        <v>20</v>
      </c>
      <c r="E141" s="627">
        <f>VLOOKUP(A139,UHT_jawa,20,FALSE)</f>
        <v>0</v>
      </c>
      <c r="F141" s="1191">
        <f t="shared" si="231"/>
        <v>0</v>
      </c>
      <c r="G141" s="361"/>
      <c r="H141" s="1188">
        <f>VLOOKUP(B139,REKAP_NILAI,44,FALSE)</f>
        <v>0</v>
      </c>
      <c r="I141" s="709">
        <f t="shared" si="232"/>
        <v>0</v>
      </c>
      <c r="J141" s="710">
        <f t="shared" si="233"/>
        <v>0</v>
      </c>
      <c r="K141" s="711" t="str">
        <f t="shared" si="234"/>
        <v>1.33</v>
      </c>
      <c r="L141" s="711" t="str">
        <f t="shared" si="235"/>
        <v>D+</v>
      </c>
      <c r="M141" s="712" t="str">
        <f t="shared" si="236"/>
        <v>0</v>
      </c>
      <c r="N141" s="693"/>
      <c r="O141" s="694"/>
      <c r="P141" s="694"/>
      <c r="Q141" s="695"/>
      <c r="R141" s="695"/>
      <c r="S141" s="696"/>
      <c r="T141" s="1669"/>
      <c r="U141" s="1670"/>
    </row>
    <row r="142" spans="1:21" ht="24.95" customHeight="1" x14ac:dyDescent="0.25">
      <c r="A142" s="697"/>
      <c r="B142" s="698"/>
      <c r="C142" s="699" t="s">
        <v>149</v>
      </c>
      <c r="D142" s="700">
        <v>34</v>
      </c>
      <c r="E142" s="697"/>
      <c r="F142" s="1192"/>
      <c r="G142" s="697"/>
      <c r="H142" s="1189">
        <f>AVERAGE(H139:H141)</f>
        <v>0</v>
      </c>
      <c r="I142" s="705"/>
      <c r="J142" s="713">
        <f>AVERAGE(J139:J141)</f>
        <v>0</v>
      </c>
      <c r="K142" s="714" t="str">
        <f t="shared" si="234"/>
        <v>1.33</v>
      </c>
      <c r="L142" s="714" t="str">
        <f t="shared" si="235"/>
        <v>D+</v>
      </c>
      <c r="M142" s="888" t="str">
        <f t="shared" si="236"/>
        <v>0</v>
      </c>
      <c r="N142" s="701"/>
      <c r="O142" s="702"/>
      <c r="P142" s="702"/>
      <c r="Q142" s="702"/>
      <c r="R142" s="702"/>
      <c r="S142" s="703"/>
      <c r="T142" s="1257"/>
      <c r="U142" s="1258"/>
    </row>
    <row r="143" spans="1:21" ht="24.95" customHeight="1" x14ac:dyDescent="0.25">
      <c r="A143" s="360">
        <v>35</v>
      </c>
      <c r="B143" s="683">
        <v>35</v>
      </c>
      <c r="C143" s="684" t="e">
        <f>VLOOKUP(A143,data_siswa,4,FALSE)</f>
        <v>#N/A</v>
      </c>
      <c r="D143" s="991" t="s">
        <v>18</v>
      </c>
      <c r="E143" s="627">
        <f>VLOOKUP(A143,UHT_jawa,18,FALSE)</f>
        <v>0</v>
      </c>
      <c r="F143" s="1190">
        <f>E143*2</f>
        <v>0</v>
      </c>
      <c r="G143" s="361"/>
      <c r="H143" s="1188">
        <f>VLOOKUP(B143,REKAP_NILAI,42,FALSE)</f>
        <v>0</v>
      </c>
      <c r="I143" s="706">
        <f>F143+G143+H143</f>
        <v>0</v>
      </c>
      <c r="J143" s="707">
        <f>(F143+G143+H143)/4</f>
        <v>0</v>
      </c>
      <c r="K143" s="708" t="str">
        <f>IF(J143&gt;85,("4"),IF(J143&gt;80,("3.66"),IF(J143&gt;75,("3.33"),IF(J143&gt;70,("3.00"),IF(J143&gt;65,("2.66"),IF(J143&gt;60,("2.33"),IF(J143&gt;55,("2"),IF(J143&gt;50,("1.66"),"1.33"))))))))</f>
        <v>1.33</v>
      </c>
      <c r="L143" s="708" t="str">
        <f>IF(J143&gt;85,("A"),IF(J143&gt;80,("A-"),IF(J143&gt;75,("B+"),IF(J143&gt;70,("B"),IF(J143&gt;65,("B-"),IF(J143&gt;60,("C+"),IF(J143&gt;55,("C"),IF(J143&gt;50,("C-"),"D+"))))))))</f>
        <v>D+</v>
      </c>
      <c r="M143" s="887" t="str">
        <f>IF(J143&gt;80,("SB"),IF(J143&gt;65,("B"),IF(J143&gt;50,("C"),IF(J143&gt;0,("K"),"0"))))</f>
        <v>0</v>
      </c>
      <c r="N143" s="685"/>
      <c r="O143" s="360"/>
      <c r="P143" s="360"/>
      <c r="Q143" s="686"/>
      <c r="R143" s="686"/>
      <c r="S143" s="686"/>
      <c r="T143" s="704">
        <f>AVERAGE(J143:J145)</f>
        <v>0</v>
      </c>
      <c r="U143" s="1481" t="str">
        <f>IF(T143&gt;85,("A"),IF(T143&gt;80,("A-"),IF(T143&gt;75,("B+"),IF(T143&gt;70,("B"),IF(T143&gt;65,("B-"),IF(T143&gt;60,("C+"),IF(T143&gt;55,("C"),IF(T143&gt;50,("C-"),"D+"))))))))</f>
        <v>D+</v>
      </c>
    </row>
    <row r="144" spans="1:21" ht="24.95" customHeight="1" x14ac:dyDescent="0.25">
      <c r="A144" s="687"/>
      <c r="B144" s="683">
        <v>35</v>
      </c>
      <c r="C144" s="688"/>
      <c r="D144" s="991" t="s">
        <v>179</v>
      </c>
      <c r="E144" s="627">
        <f>VLOOKUP(A143,UHT_jawa,19,FALSE)</f>
        <v>0</v>
      </c>
      <c r="F144" s="1191">
        <f t="shared" ref="F144:F145" si="237">E144*2</f>
        <v>0</v>
      </c>
      <c r="G144" s="361"/>
      <c r="H144" s="1188">
        <f>VLOOKUP(B143,REKAP_NILAI,43,FALSE)</f>
        <v>0</v>
      </c>
      <c r="I144" s="709">
        <f t="shared" ref="I144:I145" si="238">F144+G144+H144</f>
        <v>0</v>
      </c>
      <c r="J144" s="710">
        <f t="shared" ref="J144:J145" si="239">(F144+G144+H144)/4</f>
        <v>0</v>
      </c>
      <c r="K144" s="711" t="str">
        <f t="shared" ref="K144:K146" si="240">IF(J144&gt;85,("4"),IF(J144&gt;80,("3.66"),IF(J144&gt;75,("3.33"),IF(J144&gt;70,("3.00"),IF(J144&gt;65,("2.66"),IF(J144&gt;60,("2.33"),IF(J144&gt;55,("2"),IF(J144&gt;50,("1.66"),"1.33"))))))))</f>
        <v>1.33</v>
      </c>
      <c r="L144" s="711" t="str">
        <f t="shared" ref="L144:L146" si="241">IF(J144&gt;85,("A"),IF(J144&gt;80,("A-"),IF(J144&gt;75,("B+"),IF(J144&gt;70,("B"),IF(J144&gt;65,("B-"),IF(J144&gt;60,("C+"),IF(J144&gt;55,("C"),IF(J144&gt;50,("C-"),"D+"))))))))</f>
        <v>D+</v>
      </c>
      <c r="M144" s="712" t="str">
        <f t="shared" ref="M144:M146" si="242">IF(J144&gt;80,("SB"),IF(J144&gt;65,("B"),IF(J144&gt;50,("C"),IF(J144&gt;0,("K"),"0"))))</f>
        <v>0</v>
      </c>
      <c r="N144" s="689"/>
      <c r="O144" s="690"/>
      <c r="P144" s="690"/>
      <c r="Q144" s="691"/>
      <c r="R144" s="691"/>
      <c r="S144" s="692"/>
      <c r="T144" s="1667"/>
      <c r="U144" s="1668"/>
    </row>
    <row r="145" spans="1:21" ht="24.95" customHeight="1" x14ac:dyDescent="0.25">
      <c r="A145" s="687"/>
      <c r="B145" s="683">
        <v>35</v>
      </c>
      <c r="C145" s="688"/>
      <c r="D145" s="991" t="s">
        <v>20</v>
      </c>
      <c r="E145" s="627">
        <f>VLOOKUP(A143,UHT_jawa,20,FALSE)</f>
        <v>0</v>
      </c>
      <c r="F145" s="1191">
        <f t="shared" si="237"/>
        <v>0</v>
      </c>
      <c r="G145" s="361"/>
      <c r="H145" s="1188">
        <f>VLOOKUP(B143,REKAP_NILAI,44,FALSE)</f>
        <v>0</v>
      </c>
      <c r="I145" s="709">
        <f t="shared" si="238"/>
        <v>0</v>
      </c>
      <c r="J145" s="710">
        <f t="shared" si="239"/>
        <v>0</v>
      </c>
      <c r="K145" s="711" t="str">
        <f t="shared" si="240"/>
        <v>1.33</v>
      </c>
      <c r="L145" s="711" t="str">
        <f t="shared" si="241"/>
        <v>D+</v>
      </c>
      <c r="M145" s="712" t="str">
        <f t="shared" si="242"/>
        <v>0</v>
      </c>
      <c r="N145" s="693"/>
      <c r="O145" s="694"/>
      <c r="P145" s="694"/>
      <c r="Q145" s="695"/>
      <c r="R145" s="695"/>
      <c r="S145" s="696"/>
      <c r="T145" s="1669"/>
      <c r="U145" s="1670"/>
    </row>
    <row r="146" spans="1:21" ht="24.95" customHeight="1" x14ac:dyDescent="0.25">
      <c r="A146" s="697"/>
      <c r="B146" s="698"/>
      <c r="C146" s="699" t="s">
        <v>149</v>
      </c>
      <c r="D146" s="700">
        <v>35</v>
      </c>
      <c r="E146" s="697"/>
      <c r="F146" s="1192"/>
      <c r="G146" s="697"/>
      <c r="H146" s="1189">
        <f>AVERAGE(H143:H145)</f>
        <v>0</v>
      </c>
      <c r="I146" s="705"/>
      <c r="J146" s="713">
        <f>AVERAGE(J143:J145)</f>
        <v>0</v>
      </c>
      <c r="K146" s="714" t="str">
        <f t="shared" si="240"/>
        <v>1.33</v>
      </c>
      <c r="L146" s="714" t="str">
        <f t="shared" si="241"/>
        <v>D+</v>
      </c>
      <c r="M146" s="888" t="str">
        <f t="shared" si="242"/>
        <v>0</v>
      </c>
      <c r="N146" s="701"/>
      <c r="O146" s="702"/>
      <c r="P146" s="702"/>
      <c r="Q146" s="702"/>
      <c r="R146" s="702"/>
      <c r="S146" s="703"/>
      <c r="T146" s="1257"/>
      <c r="U146" s="1258"/>
    </row>
    <row r="147" spans="1:21" ht="24.95" customHeight="1" x14ac:dyDescent="0.25">
      <c r="A147" s="360">
        <v>36</v>
      </c>
      <c r="B147" s="683">
        <v>36</v>
      </c>
      <c r="C147" s="684" t="e">
        <f>VLOOKUP(A147,data_siswa,4,FALSE)</f>
        <v>#N/A</v>
      </c>
      <c r="D147" s="991" t="s">
        <v>18</v>
      </c>
      <c r="E147" s="627">
        <f>VLOOKUP(A147,UHT_jawa,18,FALSE)</f>
        <v>0</v>
      </c>
      <c r="F147" s="1190">
        <f>E147*2</f>
        <v>0</v>
      </c>
      <c r="G147" s="361"/>
      <c r="H147" s="1188">
        <f>VLOOKUP(B147,REKAP_NILAI,42,FALSE)</f>
        <v>0</v>
      </c>
      <c r="I147" s="706">
        <f>F147+G147+H147</f>
        <v>0</v>
      </c>
      <c r="J147" s="707">
        <f>(F147+G147+H147)/4</f>
        <v>0</v>
      </c>
      <c r="K147" s="708" t="str">
        <f>IF(J147&gt;85,("4"),IF(J147&gt;80,("3.66"),IF(J147&gt;75,("3.33"),IF(J147&gt;70,("3.00"),IF(J147&gt;65,("2.66"),IF(J147&gt;60,("2.33"),IF(J147&gt;55,("2"),IF(J147&gt;50,("1.66"),"1.33"))))))))</f>
        <v>1.33</v>
      </c>
      <c r="L147" s="708" t="str">
        <f>IF(J147&gt;85,("A"),IF(J147&gt;80,("A-"),IF(J147&gt;75,("B+"),IF(J147&gt;70,("B"),IF(J147&gt;65,("B-"),IF(J147&gt;60,("C+"),IF(J147&gt;55,("C"),IF(J147&gt;50,("C-"),"D+"))))))))</f>
        <v>D+</v>
      </c>
      <c r="M147" s="887" t="str">
        <f>IF(J147&gt;80,("SB"),IF(J147&gt;65,("B"),IF(J147&gt;50,("C"),IF(J147&gt;0,("K"),"0"))))</f>
        <v>0</v>
      </c>
      <c r="N147" s="685"/>
      <c r="O147" s="360"/>
      <c r="P147" s="360"/>
      <c r="Q147" s="686"/>
      <c r="R147" s="686"/>
      <c r="S147" s="686"/>
      <c r="T147" s="704">
        <f>AVERAGE(J147:J149)</f>
        <v>0</v>
      </c>
      <c r="U147" s="1481" t="str">
        <f>IF(T147&gt;85,("A"),IF(T147&gt;80,("A-"),IF(T147&gt;75,("B+"),IF(T147&gt;70,("B"),IF(T147&gt;65,("B-"),IF(T147&gt;60,("C+"),IF(T147&gt;55,("C"),IF(T147&gt;50,("C-"),"D+"))))))))</f>
        <v>D+</v>
      </c>
    </row>
    <row r="148" spans="1:21" ht="24.95" customHeight="1" x14ac:dyDescent="0.25">
      <c r="A148" s="687"/>
      <c r="B148" s="683">
        <v>36</v>
      </c>
      <c r="C148" s="688"/>
      <c r="D148" s="991" t="s">
        <v>179</v>
      </c>
      <c r="E148" s="627">
        <f>VLOOKUP(A147,UHT_jawa,19,FALSE)</f>
        <v>0</v>
      </c>
      <c r="F148" s="1191">
        <f t="shared" ref="F148:F149" si="243">E148*2</f>
        <v>0</v>
      </c>
      <c r="G148" s="361"/>
      <c r="H148" s="1188">
        <f>VLOOKUP(B147,REKAP_NILAI,43,FALSE)</f>
        <v>0</v>
      </c>
      <c r="I148" s="709">
        <f t="shared" ref="I148:I149" si="244">F148+G148+H148</f>
        <v>0</v>
      </c>
      <c r="J148" s="710">
        <f t="shared" ref="J148:J149" si="245">(F148+G148+H148)/4</f>
        <v>0</v>
      </c>
      <c r="K148" s="711" t="str">
        <f t="shared" ref="K148:K150" si="246">IF(J148&gt;85,("4"),IF(J148&gt;80,("3.66"),IF(J148&gt;75,("3.33"),IF(J148&gt;70,("3.00"),IF(J148&gt;65,("2.66"),IF(J148&gt;60,("2.33"),IF(J148&gt;55,("2"),IF(J148&gt;50,("1.66"),"1.33"))))))))</f>
        <v>1.33</v>
      </c>
      <c r="L148" s="711" t="str">
        <f t="shared" ref="L148:L150" si="247">IF(J148&gt;85,("A"),IF(J148&gt;80,("A-"),IF(J148&gt;75,("B+"),IF(J148&gt;70,("B"),IF(J148&gt;65,("B-"),IF(J148&gt;60,("C+"),IF(J148&gt;55,("C"),IF(J148&gt;50,("C-"),"D+"))))))))</f>
        <v>D+</v>
      </c>
      <c r="M148" s="712" t="str">
        <f t="shared" ref="M148:M150" si="248">IF(J148&gt;80,("SB"),IF(J148&gt;65,("B"),IF(J148&gt;50,("C"),IF(J148&gt;0,("K"),"0"))))</f>
        <v>0</v>
      </c>
      <c r="N148" s="689"/>
      <c r="O148" s="690"/>
      <c r="P148" s="690"/>
      <c r="Q148" s="691"/>
      <c r="R148" s="691"/>
      <c r="S148" s="692"/>
      <c r="T148" s="1667"/>
      <c r="U148" s="1668"/>
    </row>
    <row r="149" spans="1:21" ht="24.95" customHeight="1" x14ac:dyDescent="0.25">
      <c r="A149" s="687"/>
      <c r="B149" s="683">
        <v>36</v>
      </c>
      <c r="C149" s="688"/>
      <c r="D149" s="991" t="s">
        <v>20</v>
      </c>
      <c r="E149" s="627">
        <f>VLOOKUP(A147,UHT_jawa,20,FALSE)</f>
        <v>0</v>
      </c>
      <c r="F149" s="1191">
        <f t="shared" si="243"/>
        <v>0</v>
      </c>
      <c r="G149" s="361"/>
      <c r="H149" s="1188">
        <f>VLOOKUP(B147,REKAP_NILAI,44,FALSE)</f>
        <v>0</v>
      </c>
      <c r="I149" s="709">
        <f t="shared" si="244"/>
        <v>0</v>
      </c>
      <c r="J149" s="710">
        <f t="shared" si="245"/>
        <v>0</v>
      </c>
      <c r="K149" s="711" t="str">
        <f t="shared" si="246"/>
        <v>1.33</v>
      </c>
      <c r="L149" s="711" t="str">
        <f t="shared" si="247"/>
        <v>D+</v>
      </c>
      <c r="M149" s="712" t="str">
        <f t="shared" si="248"/>
        <v>0</v>
      </c>
      <c r="N149" s="693"/>
      <c r="O149" s="694"/>
      <c r="P149" s="694"/>
      <c r="Q149" s="695"/>
      <c r="R149" s="695"/>
      <c r="S149" s="696"/>
      <c r="T149" s="1669"/>
      <c r="U149" s="1670"/>
    </row>
    <row r="150" spans="1:21" ht="24.95" customHeight="1" x14ac:dyDescent="0.25">
      <c r="A150" s="697"/>
      <c r="B150" s="698"/>
      <c r="C150" s="699" t="s">
        <v>149</v>
      </c>
      <c r="D150" s="700">
        <v>36</v>
      </c>
      <c r="E150" s="697"/>
      <c r="F150" s="1192"/>
      <c r="G150" s="697"/>
      <c r="H150" s="1189">
        <f>AVERAGE(H147:H149)</f>
        <v>0</v>
      </c>
      <c r="I150" s="705"/>
      <c r="J150" s="713">
        <f>AVERAGE(J147:J149)</f>
        <v>0</v>
      </c>
      <c r="K150" s="714" t="str">
        <f t="shared" si="246"/>
        <v>1.33</v>
      </c>
      <c r="L150" s="714" t="str">
        <f t="shared" si="247"/>
        <v>D+</v>
      </c>
      <c r="M150" s="888" t="str">
        <f t="shared" si="248"/>
        <v>0</v>
      </c>
      <c r="N150" s="701"/>
      <c r="O150" s="702"/>
      <c r="P150" s="702"/>
      <c r="Q150" s="702"/>
      <c r="R150" s="702"/>
      <c r="S150" s="703"/>
      <c r="T150" s="1257"/>
      <c r="U150" s="1258"/>
    </row>
    <row r="151" spans="1:21" ht="24.95" customHeight="1" x14ac:dyDescent="0.25">
      <c r="A151" s="360">
        <v>37</v>
      </c>
      <c r="B151" s="683">
        <v>37</v>
      </c>
      <c r="C151" s="684" t="e">
        <f>VLOOKUP(A151,data_siswa,4,FALSE)</f>
        <v>#N/A</v>
      </c>
      <c r="D151" s="991" t="s">
        <v>18</v>
      </c>
      <c r="E151" s="627">
        <f>VLOOKUP(A151,UHT_jawa,18,FALSE)</f>
        <v>0</v>
      </c>
      <c r="F151" s="1190">
        <f>E151*2</f>
        <v>0</v>
      </c>
      <c r="G151" s="361"/>
      <c r="H151" s="1188">
        <f>VLOOKUP(B151,REKAP_NILAI,42,FALSE)</f>
        <v>0</v>
      </c>
      <c r="I151" s="706">
        <f>F151+G151+H151</f>
        <v>0</v>
      </c>
      <c r="J151" s="707">
        <f>(F151+G151+H151)/4</f>
        <v>0</v>
      </c>
      <c r="K151" s="708" t="str">
        <f>IF(J151&gt;85,("4"),IF(J151&gt;80,("3.66"),IF(J151&gt;75,("3.33"),IF(J151&gt;70,("3.00"),IF(J151&gt;65,("2.66"),IF(J151&gt;60,("2.33"),IF(J151&gt;55,("2"),IF(J151&gt;50,("1.66"),"1.33"))))))))</f>
        <v>1.33</v>
      </c>
      <c r="L151" s="708" t="str">
        <f>IF(J151&gt;85,("A"),IF(J151&gt;80,("A-"),IF(J151&gt;75,("B+"),IF(J151&gt;70,("B"),IF(J151&gt;65,("B-"),IF(J151&gt;60,("C+"),IF(J151&gt;55,("C"),IF(J151&gt;50,("C-"),"D+"))))))))</f>
        <v>D+</v>
      </c>
      <c r="M151" s="887" t="str">
        <f>IF(J151&gt;80,("SB"),IF(J151&gt;65,("B"),IF(J151&gt;50,("C"),IF(J151&gt;0,("K"),"0"))))</f>
        <v>0</v>
      </c>
      <c r="N151" s="685"/>
      <c r="O151" s="360"/>
      <c r="P151" s="360"/>
      <c r="Q151" s="686"/>
      <c r="R151" s="686"/>
      <c r="S151" s="686"/>
      <c r="T151" s="704">
        <f>AVERAGE(J151:J153)</f>
        <v>0</v>
      </c>
      <c r="U151" s="1481" t="str">
        <f>IF(T151&gt;85,("A"),IF(T151&gt;80,("A-"),IF(T151&gt;75,("B+"),IF(T151&gt;70,("B"),IF(T151&gt;65,("B-"),IF(T151&gt;60,("C+"),IF(T151&gt;55,("C"),IF(T151&gt;50,("C-"),"D+"))))))))</f>
        <v>D+</v>
      </c>
    </row>
    <row r="152" spans="1:21" ht="24.95" customHeight="1" x14ac:dyDescent="0.25">
      <c r="A152" s="687"/>
      <c r="B152" s="683">
        <v>37</v>
      </c>
      <c r="C152" s="688"/>
      <c r="D152" s="991" t="s">
        <v>179</v>
      </c>
      <c r="E152" s="627">
        <f>VLOOKUP(A151,UHT_jawa,19,FALSE)</f>
        <v>0</v>
      </c>
      <c r="F152" s="1191">
        <f t="shared" ref="F152:F153" si="249">E152*2</f>
        <v>0</v>
      </c>
      <c r="G152" s="361"/>
      <c r="H152" s="1188">
        <f>VLOOKUP(B151,REKAP_NILAI,43,FALSE)</f>
        <v>0</v>
      </c>
      <c r="I152" s="709">
        <f t="shared" ref="I152:I153" si="250">F152+G152+H152</f>
        <v>0</v>
      </c>
      <c r="J152" s="710">
        <f t="shared" ref="J152:J153" si="251">(F152+G152+H152)/4</f>
        <v>0</v>
      </c>
      <c r="K152" s="711" t="str">
        <f t="shared" ref="K152:K154" si="252">IF(J152&gt;85,("4"),IF(J152&gt;80,("3.66"),IF(J152&gt;75,("3.33"),IF(J152&gt;70,("3.00"),IF(J152&gt;65,("2.66"),IF(J152&gt;60,("2.33"),IF(J152&gt;55,("2"),IF(J152&gt;50,("1.66"),"1.33"))))))))</f>
        <v>1.33</v>
      </c>
      <c r="L152" s="711" t="str">
        <f t="shared" ref="L152:L154" si="253">IF(J152&gt;85,("A"),IF(J152&gt;80,("A-"),IF(J152&gt;75,("B+"),IF(J152&gt;70,("B"),IF(J152&gt;65,("B-"),IF(J152&gt;60,("C+"),IF(J152&gt;55,("C"),IF(J152&gt;50,("C-"),"D+"))))))))</f>
        <v>D+</v>
      </c>
      <c r="M152" s="712" t="str">
        <f t="shared" ref="M152:M154" si="254">IF(J152&gt;80,("SB"),IF(J152&gt;65,("B"),IF(J152&gt;50,("C"),IF(J152&gt;0,("K"),"0"))))</f>
        <v>0</v>
      </c>
      <c r="N152" s="689"/>
      <c r="O152" s="690"/>
      <c r="P152" s="690"/>
      <c r="Q152" s="691"/>
      <c r="R152" s="691"/>
      <c r="S152" s="692"/>
      <c r="T152" s="1667"/>
      <c r="U152" s="1668"/>
    </row>
    <row r="153" spans="1:21" ht="24.95" customHeight="1" x14ac:dyDescent="0.25">
      <c r="A153" s="687"/>
      <c r="B153" s="683">
        <v>37</v>
      </c>
      <c r="C153" s="688"/>
      <c r="D153" s="991" t="s">
        <v>20</v>
      </c>
      <c r="E153" s="627">
        <f>VLOOKUP(A151,UHT_jawa,20,FALSE)</f>
        <v>0</v>
      </c>
      <c r="F153" s="1191">
        <f t="shared" si="249"/>
        <v>0</v>
      </c>
      <c r="G153" s="361"/>
      <c r="H153" s="1188">
        <f>VLOOKUP(B151,REKAP_NILAI,44,FALSE)</f>
        <v>0</v>
      </c>
      <c r="I153" s="709">
        <f t="shared" si="250"/>
        <v>0</v>
      </c>
      <c r="J153" s="710">
        <f t="shared" si="251"/>
        <v>0</v>
      </c>
      <c r="K153" s="711" t="str">
        <f t="shared" si="252"/>
        <v>1.33</v>
      </c>
      <c r="L153" s="711" t="str">
        <f t="shared" si="253"/>
        <v>D+</v>
      </c>
      <c r="M153" s="712" t="str">
        <f t="shared" si="254"/>
        <v>0</v>
      </c>
      <c r="N153" s="693"/>
      <c r="O153" s="694"/>
      <c r="P153" s="694"/>
      <c r="Q153" s="695"/>
      <c r="R153" s="695"/>
      <c r="S153" s="696"/>
      <c r="T153" s="1669"/>
      <c r="U153" s="1670"/>
    </row>
    <row r="154" spans="1:21" ht="24.95" customHeight="1" x14ac:dyDescent="0.25">
      <c r="A154" s="697"/>
      <c r="B154" s="698"/>
      <c r="C154" s="699" t="s">
        <v>149</v>
      </c>
      <c r="D154" s="700">
        <v>37</v>
      </c>
      <c r="E154" s="697"/>
      <c r="F154" s="1192"/>
      <c r="G154" s="697"/>
      <c r="H154" s="1189">
        <f>AVERAGE(H151:H153)</f>
        <v>0</v>
      </c>
      <c r="I154" s="705"/>
      <c r="J154" s="713">
        <f>AVERAGE(J151:J153)</f>
        <v>0</v>
      </c>
      <c r="K154" s="714" t="str">
        <f t="shared" si="252"/>
        <v>1.33</v>
      </c>
      <c r="L154" s="714" t="str">
        <f t="shared" si="253"/>
        <v>D+</v>
      </c>
      <c r="M154" s="888" t="str">
        <f t="shared" si="254"/>
        <v>0</v>
      </c>
      <c r="N154" s="701"/>
      <c r="O154" s="702"/>
      <c r="P154" s="702"/>
      <c r="Q154" s="702"/>
      <c r="R154" s="702"/>
      <c r="S154" s="703"/>
      <c r="T154" s="1257"/>
      <c r="U154" s="1258"/>
    </row>
    <row r="155" spans="1:21" ht="24.95" customHeight="1" x14ac:dyDescent="0.25">
      <c r="A155" s="360">
        <v>38</v>
      </c>
      <c r="B155" s="683">
        <v>38</v>
      </c>
      <c r="C155" s="684" t="e">
        <f>VLOOKUP(A155,data_siswa,4,FALSE)</f>
        <v>#N/A</v>
      </c>
      <c r="D155" s="991" t="s">
        <v>18</v>
      </c>
      <c r="E155" s="627">
        <f>VLOOKUP(A155,UHT_jawa,18,FALSE)</f>
        <v>0</v>
      </c>
      <c r="F155" s="1190">
        <f>E155*2</f>
        <v>0</v>
      </c>
      <c r="G155" s="361"/>
      <c r="H155" s="1188">
        <f>VLOOKUP(B155,REKAP_NILAI,42,FALSE)</f>
        <v>0</v>
      </c>
      <c r="I155" s="706">
        <f>F155+G155+H155</f>
        <v>0</v>
      </c>
      <c r="J155" s="707">
        <f>(F155+G155+H155)/4</f>
        <v>0</v>
      </c>
      <c r="K155" s="708" t="str">
        <f>IF(J155&gt;85,("4"),IF(J155&gt;80,("3.66"),IF(J155&gt;75,("3.33"),IF(J155&gt;70,("3.00"),IF(J155&gt;65,("2.66"),IF(J155&gt;60,("2.33"),IF(J155&gt;55,("2"),IF(J155&gt;50,("1.66"),"1.33"))))))))</f>
        <v>1.33</v>
      </c>
      <c r="L155" s="708" t="str">
        <f>IF(J155&gt;85,("A"),IF(J155&gt;80,("A-"),IF(J155&gt;75,("B+"),IF(J155&gt;70,("B"),IF(J155&gt;65,("B-"),IF(J155&gt;60,("C+"),IF(J155&gt;55,("C"),IF(J155&gt;50,("C-"),"D+"))))))))</f>
        <v>D+</v>
      </c>
      <c r="M155" s="887" t="str">
        <f>IF(J155&gt;80,("SB"),IF(J155&gt;65,("B"),IF(J155&gt;50,("C"),IF(J155&gt;0,("K"),"0"))))</f>
        <v>0</v>
      </c>
      <c r="N155" s="685"/>
      <c r="O155" s="360"/>
      <c r="P155" s="360"/>
      <c r="Q155" s="686"/>
      <c r="R155" s="686"/>
      <c r="S155" s="686"/>
      <c r="T155" s="704">
        <f>AVERAGE(J155:J157)</f>
        <v>0</v>
      </c>
      <c r="U155" s="1481" t="str">
        <f>IF(T155&gt;85,("A"),IF(T155&gt;80,("A-"),IF(T155&gt;75,("B+"),IF(T155&gt;70,("B"),IF(T155&gt;65,("B-"),IF(T155&gt;60,("C+"),IF(T155&gt;55,("C"),IF(T155&gt;50,("C-"),"D+"))))))))</f>
        <v>D+</v>
      </c>
    </row>
    <row r="156" spans="1:21" ht="24.95" customHeight="1" x14ac:dyDescent="0.25">
      <c r="A156" s="687"/>
      <c r="B156" s="683">
        <v>38</v>
      </c>
      <c r="C156" s="688"/>
      <c r="D156" s="991" t="s">
        <v>179</v>
      </c>
      <c r="E156" s="627">
        <f>VLOOKUP(A155,UHT_jawa,19,FALSE)</f>
        <v>0</v>
      </c>
      <c r="F156" s="1191">
        <f t="shared" ref="F156:F157" si="255">E156*2</f>
        <v>0</v>
      </c>
      <c r="G156" s="361"/>
      <c r="H156" s="1188">
        <f>VLOOKUP(B155,REKAP_NILAI,43,FALSE)</f>
        <v>0</v>
      </c>
      <c r="I156" s="709">
        <f t="shared" ref="I156:I157" si="256">F156+G156+H156</f>
        <v>0</v>
      </c>
      <c r="J156" s="710">
        <f t="shared" ref="J156:J157" si="257">(F156+G156+H156)/4</f>
        <v>0</v>
      </c>
      <c r="K156" s="711" t="str">
        <f t="shared" ref="K156:K158" si="258">IF(J156&gt;85,("4"),IF(J156&gt;80,("3.66"),IF(J156&gt;75,("3.33"),IF(J156&gt;70,("3.00"),IF(J156&gt;65,("2.66"),IF(J156&gt;60,("2.33"),IF(J156&gt;55,("2"),IF(J156&gt;50,("1.66"),"1.33"))))))))</f>
        <v>1.33</v>
      </c>
      <c r="L156" s="711" t="str">
        <f t="shared" ref="L156:L158" si="259">IF(J156&gt;85,("A"),IF(J156&gt;80,("A-"),IF(J156&gt;75,("B+"),IF(J156&gt;70,("B"),IF(J156&gt;65,("B-"),IF(J156&gt;60,("C+"),IF(J156&gt;55,("C"),IF(J156&gt;50,("C-"),"D+"))))))))</f>
        <v>D+</v>
      </c>
      <c r="M156" s="712" t="str">
        <f t="shared" ref="M156:M158" si="260">IF(J156&gt;80,("SB"),IF(J156&gt;65,("B"),IF(J156&gt;50,("C"),IF(J156&gt;0,("K"),"0"))))</f>
        <v>0</v>
      </c>
      <c r="N156" s="689"/>
      <c r="O156" s="690"/>
      <c r="P156" s="690"/>
      <c r="Q156" s="691"/>
      <c r="R156" s="691"/>
      <c r="S156" s="692"/>
      <c r="T156" s="1667"/>
      <c r="U156" s="1668"/>
    </row>
    <row r="157" spans="1:21" ht="24.95" customHeight="1" x14ac:dyDescent="0.25">
      <c r="A157" s="687"/>
      <c r="B157" s="683">
        <v>38</v>
      </c>
      <c r="C157" s="688"/>
      <c r="D157" s="991" t="s">
        <v>20</v>
      </c>
      <c r="E157" s="627">
        <f>VLOOKUP(A155,UHT_jawa,20,FALSE)</f>
        <v>0</v>
      </c>
      <c r="F157" s="1191">
        <f t="shared" si="255"/>
        <v>0</v>
      </c>
      <c r="G157" s="361"/>
      <c r="H157" s="1188">
        <f>VLOOKUP(B155,REKAP_NILAI,44,FALSE)</f>
        <v>0</v>
      </c>
      <c r="I157" s="709">
        <f t="shared" si="256"/>
        <v>0</v>
      </c>
      <c r="J157" s="710">
        <f t="shared" si="257"/>
        <v>0</v>
      </c>
      <c r="K157" s="711" t="str">
        <f t="shared" si="258"/>
        <v>1.33</v>
      </c>
      <c r="L157" s="711" t="str">
        <f t="shared" si="259"/>
        <v>D+</v>
      </c>
      <c r="M157" s="712" t="str">
        <f t="shared" si="260"/>
        <v>0</v>
      </c>
      <c r="N157" s="693"/>
      <c r="O157" s="694"/>
      <c r="P157" s="694"/>
      <c r="Q157" s="695"/>
      <c r="R157" s="695"/>
      <c r="S157" s="696"/>
      <c r="T157" s="1669"/>
      <c r="U157" s="1670"/>
    </row>
    <row r="158" spans="1:21" ht="24.95" customHeight="1" x14ac:dyDescent="0.25">
      <c r="A158" s="697"/>
      <c r="B158" s="698"/>
      <c r="C158" s="699" t="s">
        <v>149</v>
      </c>
      <c r="D158" s="700">
        <v>38</v>
      </c>
      <c r="E158" s="697"/>
      <c r="F158" s="1192"/>
      <c r="G158" s="697"/>
      <c r="H158" s="1189">
        <f>AVERAGE(H155:H157)</f>
        <v>0</v>
      </c>
      <c r="I158" s="705"/>
      <c r="J158" s="713">
        <f>AVERAGE(J155:J157)</f>
        <v>0</v>
      </c>
      <c r="K158" s="714" t="str">
        <f t="shared" si="258"/>
        <v>1.33</v>
      </c>
      <c r="L158" s="714" t="str">
        <f t="shared" si="259"/>
        <v>D+</v>
      </c>
      <c r="M158" s="888" t="str">
        <f t="shared" si="260"/>
        <v>0</v>
      </c>
      <c r="N158" s="701"/>
      <c r="O158" s="702"/>
      <c r="P158" s="702"/>
      <c r="Q158" s="702"/>
      <c r="R158" s="702"/>
      <c r="S158" s="703"/>
      <c r="T158" s="1257"/>
      <c r="U158" s="1258"/>
    </row>
    <row r="159" spans="1:21" ht="24.95" customHeight="1" x14ac:dyDescent="0.25">
      <c r="A159" s="360">
        <v>39</v>
      </c>
      <c r="B159" s="683">
        <v>39</v>
      </c>
      <c r="C159" s="684" t="e">
        <f>VLOOKUP(A159,data_siswa,4,FALSE)</f>
        <v>#N/A</v>
      </c>
      <c r="D159" s="991" t="s">
        <v>18</v>
      </c>
      <c r="E159" s="627">
        <f>VLOOKUP(A159,UHT_jawa,18,FALSE)</f>
        <v>0</v>
      </c>
      <c r="F159" s="1190">
        <f>E159*2</f>
        <v>0</v>
      </c>
      <c r="G159" s="361"/>
      <c r="H159" s="1188">
        <f>VLOOKUP(B159,REKAP_NILAI,42,FALSE)</f>
        <v>0</v>
      </c>
      <c r="I159" s="706">
        <f>F159+G159+H159</f>
        <v>0</v>
      </c>
      <c r="J159" s="707">
        <f>(F159+G159+H159)/4</f>
        <v>0</v>
      </c>
      <c r="K159" s="708" t="str">
        <f>IF(J159&gt;85,("4"),IF(J159&gt;80,("3.66"),IF(J159&gt;75,("3.33"),IF(J159&gt;70,("3.00"),IF(J159&gt;65,("2.66"),IF(J159&gt;60,("2.33"),IF(J159&gt;55,("2"),IF(J159&gt;50,("1.66"),"1.33"))))))))</f>
        <v>1.33</v>
      </c>
      <c r="L159" s="708" t="str">
        <f>IF(J159&gt;85,("A"),IF(J159&gt;80,("A-"),IF(J159&gt;75,("B+"),IF(J159&gt;70,("B"),IF(J159&gt;65,("B-"),IF(J159&gt;60,("C+"),IF(J159&gt;55,("C"),IF(J159&gt;50,("C-"),"D+"))))))))</f>
        <v>D+</v>
      </c>
      <c r="M159" s="887" t="str">
        <f>IF(J159&gt;80,("SB"),IF(J159&gt;65,("B"),IF(J159&gt;50,("C"),IF(J159&gt;0,("K"),"0"))))</f>
        <v>0</v>
      </c>
      <c r="N159" s="685"/>
      <c r="O159" s="360"/>
      <c r="P159" s="360"/>
      <c r="Q159" s="686"/>
      <c r="R159" s="686"/>
      <c r="S159" s="686"/>
      <c r="T159" s="704">
        <f>AVERAGE(J159:J161)</f>
        <v>0</v>
      </c>
      <c r="U159" s="1481" t="str">
        <f>IF(T159&gt;85,("A"),IF(T159&gt;80,("A-"),IF(T159&gt;75,("B+"),IF(T159&gt;70,("B"),IF(T159&gt;65,("B-"),IF(T159&gt;60,("C+"),IF(T159&gt;55,("C"),IF(T159&gt;50,("C-"),"D+"))))))))</f>
        <v>D+</v>
      </c>
    </row>
    <row r="160" spans="1:21" ht="24.95" customHeight="1" x14ac:dyDescent="0.25">
      <c r="A160" s="687"/>
      <c r="B160" s="683">
        <v>39</v>
      </c>
      <c r="C160" s="688"/>
      <c r="D160" s="991" t="s">
        <v>179</v>
      </c>
      <c r="E160" s="627">
        <f>VLOOKUP(A159,UHT_jawa,19,FALSE)</f>
        <v>0</v>
      </c>
      <c r="F160" s="1191">
        <f t="shared" ref="F160:F161" si="261">E160*2</f>
        <v>0</v>
      </c>
      <c r="G160" s="361"/>
      <c r="H160" s="1188">
        <f>VLOOKUP(B159,REKAP_NILAI,43,FALSE)</f>
        <v>0</v>
      </c>
      <c r="I160" s="709">
        <f t="shared" ref="I160:I161" si="262">F160+G160+H160</f>
        <v>0</v>
      </c>
      <c r="J160" s="710">
        <f t="shared" ref="J160:J161" si="263">(F160+G160+H160)/4</f>
        <v>0</v>
      </c>
      <c r="K160" s="711" t="str">
        <f t="shared" ref="K160:K162" si="264">IF(J160&gt;85,("4"),IF(J160&gt;80,("3.66"),IF(J160&gt;75,("3.33"),IF(J160&gt;70,("3.00"),IF(J160&gt;65,("2.66"),IF(J160&gt;60,("2.33"),IF(J160&gt;55,("2"),IF(J160&gt;50,("1.66"),"1.33"))))))))</f>
        <v>1.33</v>
      </c>
      <c r="L160" s="711" t="str">
        <f t="shared" ref="L160:L162" si="265">IF(J160&gt;85,("A"),IF(J160&gt;80,("A-"),IF(J160&gt;75,("B+"),IF(J160&gt;70,("B"),IF(J160&gt;65,("B-"),IF(J160&gt;60,("C+"),IF(J160&gt;55,("C"),IF(J160&gt;50,("C-"),"D+"))))))))</f>
        <v>D+</v>
      </c>
      <c r="M160" s="712" t="str">
        <f t="shared" ref="M160:M162" si="266">IF(J160&gt;80,("SB"),IF(J160&gt;65,("B"),IF(J160&gt;50,("C"),IF(J160&gt;0,("K"),"0"))))</f>
        <v>0</v>
      </c>
      <c r="N160" s="689"/>
      <c r="O160" s="690"/>
      <c r="P160" s="690"/>
      <c r="Q160" s="691"/>
      <c r="R160" s="691"/>
      <c r="S160" s="692"/>
      <c r="T160" s="1667"/>
      <c r="U160" s="1668"/>
    </row>
    <row r="161" spans="1:21" ht="24.95" customHeight="1" x14ac:dyDescent="0.25">
      <c r="A161" s="687"/>
      <c r="B161" s="683">
        <v>39</v>
      </c>
      <c r="C161" s="688"/>
      <c r="D161" s="991" t="s">
        <v>20</v>
      </c>
      <c r="E161" s="627">
        <f>VLOOKUP(A159,UHT_jawa,20,FALSE)</f>
        <v>0</v>
      </c>
      <c r="F161" s="1191">
        <f t="shared" si="261"/>
        <v>0</v>
      </c>
      <c r="G161" s="361"/>
      <c r="H161" s="1188">
        <f>VLOOKUP(B159,REKAP_NILAI,44,FALSE)</f>
        <v>0</v>
      </c>
      <c r="I161" s="709">
        <f t="shared" si="262"/>
        <v>0</v>
      </c>
      <c r="J161" s="710">
        <f t="shared" si="263"/>
        <v>0</v>
      </c>
      <c r="K161" s="711" t="str">
        <f t="shared" si="264"/>
        <v>1.33</v>
      </c>
      <c r="L161" s="711" t="str">
        <f t="shared" si="265"/>
        <v>D+</v>
      </c>
      <c r="M161" s="712" t="str">
        <f t="shared" si="266"/>
        <v>0</v>
      </c>
      <c r="N161" s="693"/>
      <c r="O161" s="694"/>
      <c r="P161" s="694"/>
      <c r="Q161" s="695"/>
      <c r="R161" s="695"/>
      <c r="S161" s="696"/>
      <c r="T161" s="1669"/>
      <c r="U161" s="1670"/>
    </row>
    <row r="162" spans="1:21" ht="24.95" customHeight="1" x14ac:dyDescent="0.25">
      <c r="A162" s="697"/>
      <c r="B162" s="698"/>
      <c r="C162" s="699" t="s">
        <v>149</v>
      </c>
      <c r="D162" s="700">
        <v>39</v>
      </c>
      <c r="E162" s="697"/>
      <c r="F162" s="1192"/>
      <c r="G162" s="697"/>
      <c r="H162" s="1189">
        <f>AVERAGE(H159:H161)</f>
        <v>0</v>
      </c>
      <c r="I162" s="705"/>
      <c r="J162" s="713">
        <f>AVERAGE(J159:J161)</f>
        <v>0</v>
      </c>
      <c r="K162" s="714" t="str">
        <f t="shared" si="264"/>
        <v>1.33</v>
      </c>
      <c r="L162" s="714" t="str">
        <f t="shared" si="265"/>
        <v>D+</v>
      </c>
      <c r="M162" s="888" t="str">
        <f t="shared" si="266"/>
        <v>0</v>
      </c>
      <c r="N162" s="701"/>
      <c r="O162" s="702"/>
      <c r="P162" s="702"/>
      <c r="Q162" s="702"/>
      <c r="R162" s="702"/>
      <c r="S162" s="703"/>
      <c r="T162" s="1257"/>
      <c r="U162" s="1258"/>
    </row>
    <row r="163" spans="1:21" ht="24.95" customHeight="1" x14ac:dyDescent="0.25">
      <c r="A163" s="360">
        <v>40</v>
      </c>
      <c r="B163" s="683">
        <v>40</v>
      </c>
      <c r="C163" s="684" t="e">
        <f>VLOOKUP(A163,data_siswa,4,FALSE)</f>
        <v>#N/A</v>
      </c>
      <c r="D163" s="991" t="s">
        <v>18</v>
      </c>
      <c r="E163" s="627">
        <f>VLOOKUP(A163,UHT_jawa,18,FALSE)</f>
        <v>0</v>
      </c>
      <c r="F163" s="1190">
        <f>E163*2</f>
        <v>0</v>
      </c>
      <c r="G163" s="361"/>
      <c r="H163" s="1188">
        <f>VLOOKUP(B163,REKAP_NILAI,42,FALSE)</f>
        <v>0</v>
      </c>
      <c r="I163" s="706">
        <f>F163+G163+H163</f>
        <v>0</v>
      </c>
      <c r="J163" s="707">
        <f>(F163+G163+H163)/4</f>
        <v>0</v>
      </c>
      <c r="K163" s="708" t="str">
        <f>IF(J163&gt;85,("4"),IF(J163&gt;80,("3.66"),IF(J163&gt;75,("3.33"),IF(J163&gt;70,("3.00"),IF(J163&gt;65,("2.66"),IF(J163&gt;60,("2.33"),IF(J163&gt;55,("2"),IF(J163&gt;50,("1.66"),"1.33"))))))))</f>
        <v>1.33</v>
      </c>
      <c r="L163" s="708" t="str">
        <f>IF(J163&gt;85,("A"),IF(J163&gt;80,("A-"),IF(J163&gt;75,("B+"),IF(J163&gt;70,("B"),IF(J163&gt;65,("B-"),IF(J163&gt;60,("C+"),IF(J163&gt;55,("C"),IF(J163&gt;50,("C-"),"D+"))))))))</f>
        <v>D+</v>
      </c>
      <c r="M163" s="887" t="str">
        <f>IF(J163&gt;80,("SB"),IF(J163&gt;65,("B"),IF(J163&gt;50,("C"),IF(J163&gt;0,("K"),"0"))))</f>
        <v>0</v>
      </c>
      <c r="N163" s="685"/>
      <c r="O163" s="360"/>
      <c r="P163" s="360"/>
      <c r="Q163" s="686"/>
      <c r="R163" s="686"/>
      <c r="S163" s="686"/>
      <c r="T163" s="704">
        <f>AVERAGE(J163:J165)</f>
        <v>0</v>
      </c>
      <c r="U163" s="1481" t="str">
        <f>IF(T163&gt;85,("A"),IF(T163&gt;80,("A-"),IF(T163&gt;75,("B+"),IF(T163&gt;70,("B"),IF(T163&gt;65,("B-"),IF(T163&gt;60,("C+"),IF(T163&gt;55,("C"),IF(T163&gt;50,("C-"),"D+"))))))))</f>
        <v>D+</v>
      </c>
    </row>
    <row r="164" spans="1:21" ht="24.95" customHeight="1" x14ac:dyDescent="0.25">
      <c r="A164" s="687"/>
      <c r="B164" s="683">
        <v>40</v>
      </c>
      <c r="C164" s="688"/>
      <c r="D164" s="991" t="s">
        <v>179</v>
      </c>
      <c r="E164" s="627">
        <f>VLOOKUP(A163,UHT_jawa,19,FALSE)</f>
        <v>0</v>
      </c>
      <c r="F164" s="1191">
        <f t="shared" ref="F164:F165" si="267">E164*2</f>
        <v>0</v>
      </c>
      <c r="G164" s="361"/>
      <c r="H164" s="1188">
        <f>VLOOKUP(B163,REKAP_NILAI,43,FALSE)</f>
        <v>0</v>
      </c>
      <c r="I164" s="709">
        <f t="shared" ref="I164:I165" si="268">F164+G164+H164</f>
        <v>0</v>
      </c>
      <c r="J164" s="710">
        <f t="shared" ref="J164:J165" si="269">(F164+G164+H164)/4</f>
        <v>0</v>
      </c>
      <c r="K164" s="711" t="str">
        <f t="shared" ref="K164:K165" si="270">IF(J164&gt;85,("4"),IF(J164&gt;80,("3.66"),IF(J164&gt;75,("3.33"),IF(J164&gt;70,("3.00"),IF(J164&gt;65,("2.66"),IF(J164&gt;60,("2.33"),IF(J164&gt;55,("2"),IF(J164&gt;50,("1.66"),"1.33"))))))))</f>
        <v>1.33</v>
      </c>
      <c r="L164" s="711" t="str">
        <f t="shared" ref="L164:L165" si="271">IF(J164&gt;85,("A"),IF(J164&gt;80,("A-"),IF(J164&gt;75,("B+"),IF(J164&gt;70,("B"),IF(J164&gt;65,("B-"),IF(J164&gt;60,("C+"),IF(J164&gt;55,("C"),IF(J164&gt;50,("C-"),"D+"))))))))</f>
        <v>D+</v>
      </c>
      <c r="M164" s="712" t="str">
        <f t="shared" ref="M164:M165" si="272">IF(J164&gt;80,("SB"),IF(J164&gt;65,("B"),IF(J164&gt;50,("C"),IF(J164&gt;0,("K"),"0"))))</f>
        <v>0</v>
      </c>
      <c r="N164" s="689"/>
      <c r="O164" s="690"/>
      <c r="P164" s="690"/>
      <c r="Q164" s="691"/>
      <c r="R164" s="691"/>
      <c r="S164" s="692"/>
      <c r="T164" s="1667"/>
      <c r="U164" s="1668"/>
    </row>
    <row r="165" spans="1:21" ht="24.95" customHeight="1" x14ac:dyDescent="0.25">
      <c r="A165" s="687"/>
      <c r="B165" s="683">
        <v>40</v>
      </c>
      <c r="C165" s="688"/>
      <c r="D165" s="991" t="s">
        <v>20</v>
      </c>
      <c r="E165" s="627">
        <f>VLOOKUP(A163,UHT_jawa,20,FALSE)</f>
        <v>0</v>
      </c>
      <c r="F165" s="1191">
        <f t="shared" si="267"/>
        <v>0</v>
      </c>
      <c r="G165" s="361"/>
      <c r="H165" s="1188">
        <f>VLOOKUP(B163,REKAP_NILAI,44,FALSE)</f>
        <v>0</v>
      </c>
      <c r="I165" s="709">
        <f t="shared" si="268"/>
        <v>0</v>
      </c>
      <c r="J165" s="710">
        <f t="shared" si="269"/>
        <v>0</v>
      </c>
      <c r="K165" s="711" t="str">
        <f t="shared" si="270"/>
        <v>1.33</v>
      </c>
      <c r="L165" s="711" t="str">
        <f t="shared" si="271"/>
        <v>D+</v>
      </c>
      <c r="M165" s="712" t="str">
        <f t="shared" si="272"/>
        <v>0</v>
      </c>
      <c r="N165" s="693"/>
      <c r="O165" s="694"/>
      <c r="P165" s="694"/>
      <c r="Q165" s="695"/>
      <c r="R165" s="695"/>
      <c r="S165" s="696"/>
      <c r="T165" s="1669"/>
      <c r="U165" s="1670"/>
    </row>
    <row r="166" spans="1:21" ht="24.95" customHeight="1" x14ac:dyDescent="0.25">
      <c r="A166" s="697"/>
      <c r="B166" s="698"/>
      <c r="C166" s="699" t="s">
        <v>149</v>
      </c>
      <c r="D166" s="700">
        <v>40</v>
      </c>
      <c r="E166" s="697"/>
      <c r="F166" s="1192"/>
      <c r="G166" s="697"/>
      <c r="H166" s="1189">
        <f>AVERAGE(H163:H165)</f>
        <v>0</v>
      </c>
      <c r="I166" s="705"/>
      <c r="J166" s="713">
        <f>AVERAGE(J163:J165)</f>
        <v>0</v>
      </c>
      <c r="K166" s="714" t="str">
        <f t="shared" ref="K166" si="273">IF(J166&gt;85,("4"),IF(J166&gt;80,("3.66"),IF(J166&gt;75,("3.33"),IF(J166&gt;70,("3.00"),IF(J166&gt;65,("2.66"),IF(J166&gt;60,("2.33"),IF(J166&gt;55,("2"),IF(J166&gt;50,("1.66"),"1.33"))))))))</f>
        <v>1.33</v>
      </c>
      <c r="L166" s="714" t="str">
        <f t="shared" ref="L166" si="274">IF(J166&gt;85,("A"),IF(J166&gt;80,("A-"),IF(J166&gt;75,("B+"),IF(J166&gt;70,("B"),IF(J166&gt;65,("B-"),IF(J166&gt;60,("C+"),IF(J166&gt;55,("C"),IF(J166&gt;50,("C-"),"D+"))))))))</f>
        <v>D+</v>
      </c>
      <c r="M166" s="888" t="str">
        <f t="shared" ref="M166" si="275">IF(J166&gt;80,("SB"),IF(J166&gt;65,("B"),IF(J166&gt;50,("C"),IF(J166&gt;0,("K"),"0"))))</f>
        <v>0</v>
      </c>
      <c r="N166" s="701"/>
      <c r="O166" s="702"/>
      <c r="P166" s="702"/>
      <c r="Q166" s="702"/>
      <c r="R166" s="702"/>
      <c r="S166" s="703"/>
      <c r="T166" s="1257"/>
      <c r="U166" s="1258"/>
    </row>
    <row r="177" s="352" customFormat="1" x14ac:dyDescent="0.25"/>
    <row r="178" s="352" customFormat="1" x14ac:dyDescent="0.25"/>
    <row r="179" s="352" customFormat="1" x14ac:dyDescent="0.25"/>
    <row r="180" s="352" customFormat="1" x14ac:dyDescent="0.25"/>
    <row r="181" s="352" customFormat="1" x14ac:dyDescent="0.25"/>
    <row r="182" s="352" customFormat="1" x14ac:dyDescent="0.25"/>
    <row r="183" s="352" customFormat="1" x14ac:dyDescent="0.25"/>
    <row r="184" s="352" customFormat="1" x14ac:dyDescent="0.25"/>
    <row r="185" s="352" customFormat="1" x14ac:dyDescent="0.25"/>
    <row r="186" s="352" customFormat="1" x14ac:dyDescent="0.25"/>
    <row r="187" s="352" customFormat="1" x14ac:dyDescent="0.25"/>
    <row r="188" s="352" customFormat="1" x14ac:dyDescent="0.25"/>
    <row r="189" s="352" customFormat="1" x14ac:dyDescent="0.25"/>
    <row r="190" s="352" customFormat="1" x14ac:dyDescent="0.25"/>
    <row r="191" s="352" customFormat="1" x14ac:dyDescent="0.25"/>
    <row r="192" s="352" customFormat="1" x14ac:dyDescent="0.25"/>
    <row r="193" s="352" customFormat="1" x14ac:dyDescent="0.25"/>
    <row r="194" s="352" customFormat="1" x14ac:dyDescent="0.25"/>
    <row r="195" s="352" customFormat="1" x14ac:dyDescent="0.25"/>
    <row r="196" s="352" customFormat="1" x14ac:dyDescent="0.25"/>
    <row r="197" s="352" customFormat="1" x14ac:dyDescent="0.25"/>
    <row r="198" s="352" customFormat="1" x14ac:dyDescent="0.25"/>
    <row r="199" s="352" customFormat="1" x14ac:dyDescent="0.25"/>
    <row r="200" s="352" customFormat="1" x14ac:dyDescent="0.25"/>
    <row r="201" s="352" customFormat="1" x14ac:dyDescent="0.25"/>
    <row r="202" s="352" customFormat="1" x14ac:dyDescent="0.25"/>
    <row r="203" s="352" customFormat="1" x14ac:dyDescent="0.25"/>
    <row r="204" s="352" customFormat="1" x14ac:dyDescent="0.25"/>
    <row r="205" s="352" customFormat="1" x14ac:dyDescent="0.25"/>
    <row r="206" s="352" customFormat="1" x14ac:dyDescent="0.25"/>
    <row r="207" s="352" customFormat="1" x14ac:dyDescent="0.25"/>
    <row r="208" s="352" customFormat="1" x14ac:dyDescent="0.25"/>
    <row r="209" s="352" customFormat="1" x14ac:dyDescent="0.25"/>
    <row r="210" s="352" customFormat="1" x14ac:dyDescent="0.25"/>
    <row r="211" s="352" customFormat="1" x14ac:dyDescent="0.25"/>
    <row r="212" s="352" customFormat="1" x14ac:dyDescent="0.25"/>
    <row r="213" s="352" customFormat="1" x14ac:dyDescent="0.25"/>
    <row r="214" s="352" customFormat="1" x14ac:dyDescent="0.25"/>
    <row r="215" s="352" customFormat="1" x14ac:dyDescent="0.25"/>
    <row r="216" s="352" customFormat="1" x14ac:dyDescent="0.25"/>
    <row r="217" s="352" customFormat="1" x14ac:dyDescent="0.25"/>
    <row r="218" s="352" customFormat="1" x14ac:dyDescent="0.25"/>
    <row r="219" s="352" customFormat="1" x14ac:dyDescent="0.25"/>
    <row r="220" s="352" customFormat="1" x14ac:dyDescent="0.25"/>
    <row r="221" s="352" customFormat="1" x14ac:dyDescent="0.25"/>
    <row r="222" s="352" customFormat="1" x14ac:dyDescent="0.25"/>
    <row r="223" s="352" customFormat="1" x14ac:dyDescent="0.25"/>
    <row r="224" s="352" customFormat="1" x14ac:dyDescent="0.25"/>
    <row r="225" s="352" customFormat="1" x14ac:dyDescent="0.25"/>
    <row r="226" s="352" customFormat="1" x14ac:dyDescent="0.25"/>
    <row r="227" s="352" customFormat="1" x14ac:dyDescent="0.25"/>
    <row r="228" s="352" customFormat="1" x14ac:dyDescent="0.25"/>
    <row r="229" s="352" customFormat="1" x14ac:dyDescent="0.25"/>
    <row r="230" s="352" customFormat="1" x14ac:dyDescent="0.25"/>
    <row r="231" s="352" customFormat="1" x14ac:dyDescent="0.25"/>
    <row r="232" s="352" customFormat="1" x14ac:dyDescent="0.25"/>
    <row r="233" s="352" customFormat="1" x14ac:dyDescent="0.25"/>
    <row r="234" s="352" customFormat="1" x14ac:dyDescent="0.25"/>
    <row r="235" s="352" customFormat="1" x14ac:dyDescent="0.25"/>
    <row r="236" s="352" customFormat="1" x14ac:dyDescent="0.25"/>
    <row r="237" s="352" customFormat="1" x14ac:dyDescent="0.25"/>
    <row r="238" s="352" customFormat="1" x14ac:dyDescent="0.25"/>
    <row r="239" s="352" customFormat="1" x14ac:dyDescent="0.25"/>
    <row r="240" s="352" customFormat="1" x14ac:dyDescent="0.25"/>
    <row r="241" s="352" customFormat="1" x14ac:dyDescent="0.25"/>
    <row r="242" s="352" customFormat="1" x14ac:dyDescent="0.25"/>
    <row r="243" s="352" customFormat="1" x14ac:dyDescent="0.25"/>
    <row r="244" s="352" customFormat="1" x14ac:dyDescent="0.25"/>
    <row r="245" s="352" customFormat="1" x14ac:dyDescent="0.25"/>
    <row r="246" s="352" customFormat="1" x14ac:dyDescent="0.25"/>
    <row r="247" s="352" customFormat="1" x14ac:dyDescent="0.25"/>
    <row r="248" s="352" customFormat="1" x14ac:dyDescent="0.25"/>
    <row r="249" s="352" customFormat="1" x14ac:dyDescent="0.25"/>
    <row r="250" s="352" customFormat="1" x14ac:dyDescent="0.25"/>
    <row r="251" s="352" customFormat="1" x14ac:dyDescent="0.25"/>
    <row r="252" s="352" customFormat="1" x14ac:dyDescent="0.25"/>
    <row r="253" s="352" customFormat="1" x14ac:dyDescent="0.25"/>
    <row r="254" s="352" customFormat="1" x14ac:dyDescent="0.25"/>
    <row r="255" s="352" customFormat="1" x14ac:dyDescent="0.25"/>
    <row r="256" s="352" customFormat="1" x14ac:dyDescent="0.25"/>
    <row r="257" s="352" customFormat="1" x14ac:dyDescent="0.25"/>
    <row r="258" s="352" customFormat="1" x14ac:dyDescent="0.25"/>
    <row r="259" s="352" customFormat="1" x14ac:dyDescent="0.25"/>
    <row r="260" s="352" customFormat="1" x14ac:dyDescent="0.25"/>
    <row r="261" s="352" customFormat="1" x14ac:dyDescent="0.25"/>
    <row r="262" s="352" customFormat="1" x14ac:dyDescent="0.25"/>
    <row r="263" s="352" customFormat="1" x14ac:dyDescent="0.25"/>
    <row r="264" s="352" customFormat="1" x14ac:dyDescent="0.25"/>
    <row r="265" s="352" customFormat="1" x14ac:dyDescent="0.25"/>
    <row r="266" s="352" customFormat="1" x14ac:dyDescent="0.25"/>
    <row r="267" s="352" customFormat="1" x14ac:dyDescent="0.25"/>
    <row r="268" s="352" customFormat="1" x14ac:dyDescent="0.25"/>
    <row r="269" s="352" customFormat="1" x14ac:dyDescent="0.25"/>
    <row r="270" s="352" customFormat="1" x14ac:dyDescent="0.25"/>
    <row r="271" s="352" customFormat="1" x14ac:dyDescent="0.25"/>
    <row r="272" s="352" customFormat="1" x14ac:dyDescent="0.25"/>
    <row r="273" s="352" customFormat="1" x14ac:dyDescent="0.25"/>
    <row r="274" s="352" customFormat="1" x14ac:dyDescent="0.25"/>
    <row r="275" s="352" customFormat="1" x14ac:dyDescent="0.25"/>
    <row r="276" s="352" customFormat="1" x14ac:dyDescent="0.25"/>
    <row r="277" s="352" customFormat="1" x14ac:dyDescent="0.25"/>
    <row r="278" s="352" customFormat="1" x14ac:dyDescent="0.25"/>
    <row r="279" s="352" customFormat="1" x14ac:dyDescent="0.25"/>
    <row r="280" s="352" customFormat="1" x14ac:dyDescent="0.25"/>
    <row r="281" s="352" customFormat="1" x14ac:dyDescent="0.25"/>
    <row r="282" s="352" customFormat="1" x14ac:dyDescent="0.25"/>
    <row r="283" s="352" customFormat="1" x14ac:dyDescent="0.25"/>
    <row r="284" s="352" customFormat="1" x14ac:dyDescent="0.25"/>
    <row r="285" s="352" customFormat="1" x14ac:dyDescent="0.25"/>
    <row r="286" s="352" customFormat="1" x14ac:dyDescent="0.25"/>
  </sheetData>
  <sheetProtection password="C6F9" sheet="1" objects="1" scenarios="1"/>
  <mergeCells count="14">
    <mergeCell ref="U5:U6"/>
    <mergeCell ref="T5:T6"/>
    <mergeCell ref="Q5:S5"/>
    <mergeCell ref="A5:A6"/>
    <mergeCell ref="B5:B6"/>
    <mergeCell ref="C5:C6"/>
    <mergeCell ref="D5:D6"/>
    <mergeCell ref="E5:H5"/>
    <mergeCell ref="I5:I6"/>
    <mergeCell ref="J5:J6"/>
    <mergeCell ref="K5:K6"/>
    <mergeCell ref="L5:L6"/>
    <mergeCell ref="M5:M6"/>
    <mergeCell ref="N5:P5"/>
  </mergeCells>
  <conditionalFormatting sqref="J7:J9">
    <cfRule type="top10" dxfId="1525" priority="83" bottom="1" rank="1"/>
    <cfRule type="top10" dxfId="1524" priority="84" rank="1"/>
  </conditionalFormatting>
  <conditionalFormatting sqref="J11:J13">
    <cfRule type="top10" dxfId="1523" priority="77" bottom="1" rank="1"/>
    <cfRule type="top10" dxfId="1522" priority="78" rank="1"/>
  </conditionalFormatting>
  <conditionalFormatting sqref="J15:J17">
    <cfRule type="top10" dxfId="1521" priority="75" bottom="1" rank="1"/>
    <cfRule type="top10" dxfId="1520" priority="76" rank="1"/>
  </conditionalFormatting>
  <conditionalFormatting sqref="J19:J21">
    <cfRule type="top10" dxfId="1519" priority="73" bottom="1" rank="1"/>
    <cfRule type="top10" dxfId="1518" priority="74" rank="1"/>
  </conditionalFormatting>
  <conditionalFormatting sqref="J23:J25">
    <cfRule type="top10" dxfId="1517" priority="71" bottom="1" rank="1"/>
    <cfRule type="top10" dxfId="1516" priority="72" rank="1"/>
  </conditionalFormatting>
  <conditionalFormatting sqref="J27:J29">
    <cfRule type="top10" dxfId="1515" priority="69" bottom="1" rank="1"/>
    <cfRule type="top10" dxfId="1514" priority="70" rank="1"/>
  </conditionalFormatting>
  <conditionalFormatting sqref="J31:J33">
    <cfRule type="top10" dxfId="1513" priority="67" bottom="1" rank="1"/>
    <cfRule type="top10" dxfId="1512" priority="68" rank="1"/>
  </conditionalFormatting>
  <conditionalFormatting sqref="J35:J37">
    <cfRule type="top10" dxfId="1511" priority="65" bottom="1" rank="1"/>
    <cfRule type="top10" dxfId="1510" priority="66" rank="1"/>
  </conditionalFormatting>
  <conditionalFormatting sqref="J39:J41">
    <cfRule type="top10" dxfId="1509" priority="63" bottom="1" rank="1"/>
    <cfRule type="top10" dxfId="1508" priority="64" rank="1"/>
  </conditionalFormatting>
  <conditionalFormatting sqref="J43:J45">
    <cfRule type="top10" dxfId="1507" priority="61" bottom="1" rank="1"/>
    <cfRule type="top10" dxfId="1506" priority="62" rank="1"/>
  </conditionalFormatting>
  <conditionalFormatting sqref="J47:J49">
    <cfRule type="top10" dxfId="1505" priority="59" bottom="1" rank="1"/>
    <cfRule type="top10" dxfId="1504" priority="60" rank="1"/>
  </conditionalFormatting>
  <conditionalFormatting sqref="J51:J53">
    <cfRule type="top10" dxfId="1503" priority="57" bottom="1" rank="1"/>
    <cfRule type="top10" dxfId="1502" priority="58" rank="1"/>
  </conditionalFormatting>
  <conditionalFormatting sqref="J55:J57">
    <cfRule type="top10" dxfId="1501" priority="55" bottom="1" rank="1"/>
    <cfRule type="top10" dxfId="1500" priority="56" rank="1"/>
  </conditionalFormatting>
  <conditionalFormatting sqref="J59:J61">
    <cfRule type="top10" dxfId="1499" priority="53" bottom="1" rank="1"/>
    <cfRule type="top10" dxfId="1498" priority="54" rank="1"/>
  </conditionalFormatting>
  <conditionalFormatting sqref="J63:J65">
    <cfRule type="top10" dxfId="1497" priority="51" bottom="1" rank="1"/>
    <cfRule type="top10" dxfId="1496" priority="52" rank="1"/>
  </conditionalFormatting>
  <conditionalFormatting sqref="J67:J69">
    <cfRule type="top10" dxfId="1495" priority="49" bottom="1" rank="1"/>
    <cfRule type="top10" dxfId="1494" priority="50" rank="1"/>
  </conditionalFormatting>
  <conditionalFormatting sqref="J71:J73">
    <cfRule type="top10" dxfId="1493" priority="47" bottom="1" rank="1"/>
    <cfRule type="top10" dxfId="1492" priority="48" rank="1"/>
  </conditionalFormatting>
  <conditionalFormatting sqref="J75:J77">
    <cfRule type="top10" dxfId="1491" priority="45" bottom="1" rank="1"/>
    <cfRule type="top10" dxfId="1490" priority="46" rank="1"/>
  </conditionalFormatting>
  <conditionalFormatting sqref="J79:J81">
    <cfRule type="top10" dxfId="1489" priority="43" bottom="1" rank="1"/>
    <cfRule type="top10" dxfId="1488" priority="44" rank="1"/>
  </conditionalFormatting>
  <conditionalFormatting sqref="J83:J85">
    <cfRule type="top10" dxfId="1487" priority="41" bottom="1" rank="1"/>
    <cfRule type="top10" dxfId="1486" priority="42" rank="1"/>
  </conditionalFormatting>
  <conditionalFormatting sqref="J87:J89">
    <cfRule type="top10" dxfId="1485" priority="39" bottom="1" rank="1"/>
    <cfRule type="top10" dxfId="1484" priority="40" rank="1"/>
  </conditionalFormatting>
  <conditionalFormatting sqref="J91:J93">
    <cfRule type="top10" dxfId="1483" priority="37" bottom="1" rank="1"/>
    <cfRule type="top10" dxfId="1482" priority="38" rank="1"/>
  </conditionalFormatting>
  <conditionalFormatting sqref="J95:J97">
    <cfRule type="top10" dxfId="1481" priority="35" bottom="1" rank="1"/>
    <cfRule type="top10" dxfId="1480" priority="36" rank="1"/>
  </conditionalFormatting>
  <conditionalFormatting sqref="J99:J101">
    <cfRule type="top10" dxfId="1479" priority="33" bottom="1" rank="1"/>
    <cfRule type="top10" dxfId="1478" priority="34" rank="1"/>
  </conditionalFormatting>
  <conditionalFormatting sqref="J103:J105">
    <cfRule type="top10" dxfId="1477" priority="31" bottom="1" rank="1"/>
    <cfRule type="top10" dxfId="1476" priority="32" rank="1"/>
  </conditionalFormatting>
  <conditionalFormatting sqref="J107:J109">
    <cfRule type="top10" dxfId="1475" priority="29" bottom="1" rank="1"/>
    <cfRule type="top10" dxfId="1474" priority="30" rank="1"/>
  </conditionalFormatting>
  <conditionalFormatting sqref="J111:J113">
    <cfRule type="top10" dxfId="1473" priority="27" bottom="1" rank="1"/>
    <cfRule type="top10" dxfId="1472" priority="28" rank="1"/>
  </conditionalFormatting>
  <conditionalFormatting sqref="J115:J117">
    <cfRule type="top10" dxfId="1471" priority="25" bottom="1" rank="1"/>
    <cfRule type="top10" dxfId="1470" priority="26" rank="1"/>
  </conditionalFormatting>
  <conditionalFormatting sqref="J119:J121">
    <cfRule type="top10" dxfId="1469" priority="23" bottom="1" rank="1"/>
    <cfRule type="top10" dxfId="1468" priority="24" rank="1"/>
  </conditionalFormatting>
  <conditionalFormatting sqref="J123:J125">
    <cfRule type="top10" dxfId="1467" priority="21" bottom="1" rank="1"/>
    <cfRule type="top10" dxfId="1466" priority="22" rank="1"/>
  </conditionalFormatting>
  <conditionalFormatting sqref="J127:J129">
    <cfRule type="top10" dxfId="1465" priority="19" bottom="1" rank="1"/>
    <cfRule type="top10" dxfId="1464" priority="20" rank="1"/>
  </conditionalFormatting>
  <conditionalFormatting sqref="J131:J133">
    <cfRule type="top10" dxfId="1463" priority="17" bottom="1" rank="1"/>
    <cfRule type="top10" dxfId="1462" priority="18" rank="1"/>
  </conditionalFormatting>
  <conditionalFormatting sqref="J135:J137">
    <cfRule type="top10" dxfId="1461" priority="15" bottom="1" rank="1"/>
    <cfRule type="top10" dxfId="1460" priority="16" rank="1"/>
  </conditionalFormatting>
  <conditionalFormatting sqref="J139:J141">
    <cfRule type="top10" dxfId="1459" priority="13" bottom="1" rank="1"/>
    <cfRule type="top10" dxfId="1458" priority="14" rank="1"/>
  </conditionalFormatting>
  <conditionalFormatting sqref="J143:J145">
    <cfRule type="top10" dxfId="1457" priority="11" bottom="1" rank="1"/>
    <cfRule type="top10" dxfId="1456" priority="12" rank="1"/>
  </conditionalFormatting>
  <conditionalFormatting sqref="J147:J149">
    <cfRule type="top10" dxfId="1455" priority="9" bottom="1" rank="1"/>
    <cfRule type="top10" dxfId="1454" priority="10" rank="1"/>
  </conditionalFormatting>
  <conditionalFormatting sqref="J151:J153">
    <cfRule type="top10" dxfId="1453" priority="7" bottom="1" rank="1"/>
    <cfRule type="top10" dxfId="1452" priority="8" rank="1"/>
  </conditionalFormatting>
  <conditionalFormatting sqref="J155:J157">
    <cfRule type="top10" dxfId="1451" priority="5" bottom="1" rank="1"/>
    <cfRule type="top10" dxfId="1450" priority="6" rank="1"/>
  </conditionalFormatting>
  <conditionalFormatting sqref="J159:J161">
    <cfRule type="top10" dxfId="1449" priority="3" bottom="1" rank="1"/>
    <cfRule type="top10" dxfId="1448" priority="4" rank="1"/>
  </conditionalFormatting>
  <conditionalFormatting sqref="J163:J165">
    <cfRule type="top10" dxfId="1447" priority="1" bottom="1" rank="1"/>
    <cfRule type="top10" dxfId="1446" priority="2" rank="1"/>
  </conditionalFormatting>
  <pageMargins left="0.7" right="0.7" top="0.75" bottom="0.75" header="0.3" footer="0.3"/>
  <pageSetup paperSize="9" orientation="landscape"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3:AT409"/>
  <sheetViews>
    <sheetView showGridLines="0" zoomScale="85" zoomScaleNormal="85" workbookViewId="0">
      <pane xSplit="4" ySplit="9" topLeftCell="E226" activePane="bottomRight" state="frozen"/>
      <selection pane="topRight" activeCell="E1" sqref="E1"/>
      <selection pane="bottomLeft" activeCell="A10" sqref="A10"/>
      <selection pane="bottomRight" activeCell="N3" sqref="N3"/>
    </sheetView>
  </sheetViews>
  <sheetFormatPr defaultRowHeight="18.75" x14ac:dyDescent="0.3"/>
  <cols>
    <col min="1" max="1" width="4.85546875" style="432" customWidth="1"/>
    <col min="2" max="2" width="5.42578125" style="1576" customWidth="1"/>
    <col min="3" max="3" width="30.140625" style="1647" customWidth="1"/>
    <col min="4" max="4" width="6.85546875" style="432" customWidth="1"/>
    <col min="5" max="22" width="7.28515625" style="432" customWidth="1"/>
    <col min="23" max="23" width="9.140625" style="2166" customWidth="1"/>
    <col min="24" max="24" width="9.5703125" style="432" customWidth="1"/>
    <col min="25" max="25" width="7.5703125" style="432" customWidth="1"/>
    <col min="26" max="26" width="8.85546875" style="432" customWidth="1"/>
    <col min="27" max="44" width="5.28515625" style="432" customWidth="1"/>
    <col min="45" max="45" width="7.5703125" style="432" customWidth="1"/>
    <col min="46" max="46" width="6.28515625" style="432" customWidth="1"/>
    <col min="47" max="16384" width="9.140625" style="432"/>
  </cols>
  <sheetData>
    <row r="3" spans="1:46" ht="21" x14ac:dyDescent="0.35">
      <c r="A3" s="1200" t="s">
        <v>793</v>
      </c>
      <c r="D3" s="435"/>
      <c r="E3" s="435"/>
      <c r="F3" s="1458"/>
      <c r="G3" s="1458"/>
      <c r="H3" s="1648"/>
      <c r="I3" s="1648"/>
      <c r="J3" s="1648"/>
      <c r="K3" s="1648"/>
      <c r="L3" s="1648"/>
      <c r="M3" s="1648"/>
      <c r="N3" s="1648"/>
      <c r="O3" s="1648"/>
      <c r="P3" s="1648"/>
      <c r="Q3" s="1648"/>
      <c r="R3" s="1648"/>
      <c r="S3" s="1648"/>
      <c r="T3" s="1648"/>
      <c r="U3" s="1648"/>
      <c r="V3" s="1648"/>
      <c r="W3" s="1649"/>
      <c r="X3" s="1649"/>
      <c r="Y3" s="1649"/>
      <c r="Z3" s="1649"/>
      <c r="AA3" s="1649"/>
      <c r="AB3" s="1649"/>
      <c r="AC3" s="1649"/>
      <c r="AD3" s="1649"/>
      <c r="AE3" s="1649"/>
      <c r="AF3" s="1649"/>
      <c r="AG3" s="1649"/>
    </row>
    <row r="4" spans="1:46" ht="21" x14ac:dyDescent="0.35">
      <c r="A4" s="1200" t="s">
        <v>54</v>
      </c>
      <c r="G4" s="433"/>
      <c r="H4" s="1201"/>
      <c r="I4" s="1201"/>
      <c r="J4" s="1201"/>
      <c r="K4" s="1201"/>
      <c r="L4" s="1201"/>
      <c r="M4" s="1201"/>
      <c r="N4" s="1201"/>
      <c r="O4" s="1201"/>
      <c r="P4" s="1201"/>
      <c r="Q4" s="1201"/>
      <c r="R4" s="1201"/>
      <c r="S4" s="1201"/>
      <c r="T4" s="1201"/>
      <c r="U4" s="1201"/>
      <c r="V4" s="1201"/>
      <c r="W4" s="1649"/>
      <c r="X4" s="1650"/>
      <c r="Y4" s="1650"/>
      <c r="Z4" s="1650"/>
      <c r="AA4" s="1650"/>
      <c r="AB4" s="1650"/>
      <c r="AC4" s="1650"/>
      <c r="AD4" s="1650"/>
      <c r="AE4" s="1650"/>
      <c r="AF4" s="1650"/>
      <c r="AG4" s="1651"/>
    </row>
    <row r="5" spans="1:46" ht="23.25" x14ac:dyDescent="0.35">
      <c r="A5" s="1652" t="s">
        <v>562</v>
      </c>
      <c r="W5" s="2164"/>
      <c r="X5" s="1651"/>
      <c r="Y5" s="1651"/>
      <c r="Z5" s="1651"/>
      <c r="AA5" s="1651"/>
      <c r="AB5" s="1651"/>
      <c r="AC5" s="1650"/>
      <c r="AD5" s="1651"/>
      <c r="AE5" s="1651"/>
      <c r="AF5" s="1650"/>
      <c r="AG5" s="1651"/>
    </row>
    <row r="6" spans="1:46" s="1422" customFormat="1" ht="15.75" thickBot="1" x14ac:dyDescent="0.3">
      <c r="A6" s="1421">
        <v>1</v>
      </c>
      <c r="B6" s="1421">
        <v>2</v>
      </c>
      <c r="C6" s="1421">
        <v>3</v>
      </c>
      <c r="D6" s="1421">
        <v>4</v>
      </c>
      <c r="E6" s="1421">
        <v>5</v>
      </c>
      <c r="F6" s="1421">
        <v>6</v>
      </c>
      <c r="G6" s="1421">
        <v>7</v>
      </c>
      <c r="H6" s="1421">
        <v>8</v>
      </c>
      <c r="I6" s="1421">
        <v>9</v>
      </c>
      <c r="J6" s="1421"/>
      <c r="K6" s="1421"/>
      <c r="L6" s="1421"/>
      <c r="M6" s="1421"/>
      <c r="N6" s="1421"/>
      <c r="O6" s="1421"/>
      <c r="P6" s="1421"/>
      <c r="Q6" s="1421"/>
      <c r="R6" s="1421"/>
      <c r="S6" s="1421"/>
      <c r="T6" s="1421"/>
      <c r="U6" s="1421"/>
      <c r="V6" s="1421"/>
      <c r="W6" s="2165">
        <v>10</v>
      </c>
      <c r="X6" s="1421">
        <v>11</v>
      </c>
      <c r="Y6" s="1421">
        <v>12</v>
      </c>
      <c r="Z6" s="1421">
        <v>13</v>
      </c>
      <c r="AA6" s="1421">
        <v>14</v>
      </c>
      <c r="AB6" s="1421">
        <v>15</v>
      </c>
      <c r="AC6" s="1421">
        <v>16</v>
      </c>
      <c r="AD6" s="1421">
        <v>17</v>
      </c>
      <c r="AE6" s="1421">
        <v>18</v>
      </c>
      <c r="AF6" s="1421">
        <v>19</v>
      </c>
      <c r="AG6" s="1421">
        <v>20</v>
      </c>
      <c r="AH6" s="1421">
        <v>21</v>
      </c>
      <c r="AI6" s="1421">
        <v>22</v>
      </c>
      <c r="AJ6" s="1421">
        <v>23</v>
      </c>
      <c r="AK6" s="1421">
        <v>24</v>
      </c>
      <c r="AL6" s="1421">
        <v>25</v>
      </c>
      <c r="AM6" s="1421">
        <v>26</v>
      </c>
      <c r="AN6" s="1421">
        <v>27</v>
      </c>
      <c r="AO6" s="1421">
        <v>28</v>
      </c>
      <c r="AP6" s="1421">
        <v>29</v>
      </c>
      <c r="AQ6" s="1421">
        <v>30</v>
      </c>
      <c r="AR6" s="1421">
        <v>31</v>
      </c>
      <c r="AS6" s="1421">
        <v>32</v>
      </c>
      <c r="AT6" s="1421">
        <v>33</v>
      </c>
    </row>
    <row r="7" spans="1:46" ht="21.75" customHeight="1" x14ac:dyDescent="0.25">
      <c r="A7" s="2588" t="s">
        <v>0</v>
      </c>
      <c r="B7" s="2594" t="s">
        <v>55</v>
      </c>
      <c r="C7" s="2675" t="s">
        <v>1</v>
      </c>
      <c r="D7" s="2594" t="s">
        <v>56</v>
      </c>
      <c r="E7" s="2684" t="s">
        <v>32</v>
      </c>
      <c r="F7" s="2685"/>
      <c r="G7" s="2685"/>
      <c r="H7" s="2685"/>
      <c r="I7" s="2685"/>
      <c r="J7" s="2685"/>
      <c r="K7" s="2685"/>
      <c r="L7" s="2685"/>
      <c r="M7" s="2685"/>
      <c r="N7" s="2685"/>
      <c r="O7" s="2685"/>
      <c r="P7" s="2685"/>
      <c r="Q7" s="2685"/>
      <c r="R7" s="2685"/>
      <c r="S7" s="2686"/>
      <c r="T7" s="2665" t="s">
        <v>1004</v>
      </c>
      <c r="U7" s="2666"/>
      <c r="V7" s="2667"/>
      <c r="W7" s="2653" t="s">
        <v>64</v>
      </c>
      <c r="X7" s="2656" t="s">
        <v>61</v>
      </c>
      <c r="Y7" s="2656" t="s">
        <v>62</v>
      </c>
      <c r="Z7" s="2656" t="s">
        <v>63</v>
      </c>
      <c r="AA7" s="2638" t="s">
        <v>733</v>
      </c>
      <c r="AB7" s="2639"/>
      <c r="AC7" s="2639"/>
      <c r="AD7" s="2639"/>
      <c r="AE7" s="2639"/>
      <c r="AF7" s="2639"/>
      <c r="AG7" s="2639"/>
      <c r="AH7" s="2639"/>
      <c r="AI7" s="2671"/>
      <c r="AJ7" s="2638" t="s">
        <v>732</v>
      </c>
      <c r="AK7" s="2639"/>
      <c r="AL7" s="2639"/>
      <c r="AM7" s="2639"/>
      <c r="AN7" s="2639"/>
      <c r="AO7" s="2639"/>
      <c r="AP7" s="2639"/>
      <c r="AQ7" s="2639"/>
      <c r="AR7" s="2640"/>
      <c r="AS7" s="2644" t="s">
        <v>60</v>
      </c>
      <c r="AT7" s="2647" t="s">
        <v>5</v>
      </c>
    </row>
    <row r="8" spans="1:46" ht="19.5" customHeight="1" x14ac:dyDescent="0.25">
      <c r="A8" s="2673"/>
      <c r="B8" s="2674"/>
      <c r="C8" s="2676"/>
      <c r="D8" s="2674"/>
      <c r="E8" s="2678" t="s">
        <v>443</v>
      </c>
      <c r="F8" s="2679"/>
      <c r="G8" s="2680"/>
      <c r="H8" s="2681" t="s">
        <v>442</v>
      </c>
      <c r="I8" s="2682"/>
      <c r="J8" s="2683"/>
      <c r="K8" s="2659" t="s">
        <v>441</v>
      </c>
      <c r="L8" s="2660"/>
      <c r="M8" s="2661"/>
      <c r="N8" s="2662" t="s">
        <v>685</v>
      </c>
      <c r="O8" s="2663"/>
      <c r="P8" s="2664"/>
      <c r="Q8" s="2662" t="s">
        <v>1008</v>
      </c>
      <c r="R8" s="2663"/>
      <c r="S8" s="2664"/>
      <c r="T8" s="2668"/>
      <c r="U8" s="2669"/>
      <c r="V8" s="2670"/>
      <c r="W8" s="2654"/>
      <c r="X8" s="2657"/>
      <c r="Y8" s="2657"/>
      <c r="Z8" s="2657"/>
      <c r="AA8" s="2641"/>
      <c r="AB8" s="2642"/>
      <c r="AC8" s="2642"/>
      <c r="AD8" s="2642"/>
      <c r="AE8" s="2642"/>
      <c r="AF8" s="2642"/>
      <c r="AG8" s="2642"/>
      <c r="AH8" s="2642"/>
      <c r="AI8" s="2672"/>
      <c r="AJ8" s="2641"/>
      <c r="AK8" s="2642"/>
      <c r="AL8" s="2642"/>
      <c r="AM8" s="2642"/>
      <c r="AN8" s="2642"/>
      <c r="AO8" s="2642"/>
      <c r="AP8" s="2642"/>
      <c r="AQ8" s="2642"/>
      <c r="AR8" s="2643"/>
      <c r="AS8" s="2645"/>
      <c r="AT8" s="2648"/>
    </row>
    <row r="9" spans="1:46" ht="21" customHeight="1" thickBot="1" x14ac:dyDescent="0.3">
      <c r="A9" s="2589"/>
      <c r="B9" s="2595"/>
      <c r="C9" s="2677"/>
      <c r="D9" s="2595"/>
      <c r="E9" s="1425" t="s">
        <v>1001</v>
      </c>
      <c r="F9" s="1425" t="s">
        <v>1002</v>
      </c>
      <c r="G9" s="1425" t="s">
        <v>1003</v>
      </c>
      <c r="H9" s="2031" t="s">
        <v>1001</v>
      </c>
      <c r="I9" s="2031" t="s">
        <v>1002</v>
      </c>
      <c r="J9" s="2031" t="s">
        <v>1003</v>
      </c>
      <c r="K9" s="2032" t="s">
        <v>1001</v>
      </c>
      <c r="L9" s="2032" t="s">
        <v>1002</v>
      </c>
      <c r="M9" s="2032" t="s">
        <v>1003</v>
      </c>
      <c r="N9" s="2033" t="s">
        <v>1001</v>
      </c>
      <c r="O9" s="2033" t="s">
        <v>1002</v>
      </c>
      <c r="P9" s="2033" t="s">
        <v>1003</v>
      </c>
      <c r="Q9" s="2033" t="s">
        <v>1001</v>
      </c>
      <c r="R9" s="2033" t="s">
        <v>1002</v>
      </c>
      <c r="S9" s="2033" t="s">
        <v>1003</v>
      </c>
      <c r="T9" s="1425" t="s">
        <v>1001</v>
      </c>
      <c r="U9" s="1425" t="s">
        <v>1002</v>
      </c>
      <c r="V9" s="1425" t="s">
        <v>1003</v>
      </c>
      <c r="W9" s="2655"/>
      <c r="X9" s="2658"/>
      <c r="Y9" s="2658"/>
      <c r="Z9" s="2658"/>
      <c r="AA9" s="1662" t="s">
        <v>603</v>
      </c>
      <c r="AB9" s="1662" t="s">
        <v>604</v>
      </c>
      <c r="AC9" s="1662" t="s">
        <v>605</v>
      </c>
      <c r="AD9" s="1662" t="s">
        <v>155</v>
      </c>
      <c r="AE9" s="1662" t="s">
        <v>187</v>
      </c>
      <c r="AF9" s="1662" t="s">
        <v>17</v>
      </c>
      <c r="AG9" s="1662" t="s">
        <v>606</v>
      </c>
      <c r="AH9" s="1662" t="s">
        <v>607</v>
      </c>
      <c r="AI9" s="1662" t="s">
        <v>22</v>
      </c>
      <c r="AJ9" s="1663" t="s">
        <v>603</v>
      </c>
      <c r="AK9" s="1663" t="s">
        <v>604</v>
      </c>
      <c r="AL9" s="1663" t="s">
        <v>605</v>
      </c>
      <c r="AM9" s="1663" t="s">
        <v>155</v>
      </c>
      <c r="AN9" s="1663" t="s">
        <v>187</v>
      </c>
      <c r="AO9" s="1663" t="s">
        <v>17</v>
      </c>
      <c r="AP9" s="1663" t="s">
        <v>606</v>
      </c>
      <c r="AQ9" s="1663" t="s">
        <v>607</v>
      </c>
      <c r="AR9" s="1664" t="s">
        <v>22</v>
      </c>
      <c r="AS9" s="2646"/>
      <c r="AT9" s="2649"/>
    </row>
    <row r="10" spans="1:46" ht="24.95" customHeight="1" x14ac:dyDescent="0.3">
      <c r="A10" s="1207">
        <v>1</v>
      </c>
      <c r="B10" s="1207"/>
      <c r="C10" s="1660" t="str">
        <f>VLOOKUP(A10,data_siswa,4,FALSE)</f>
        <v>Achmad Zacky</v>
      </c>
      <c r="D10" s="1661" t="s">
        <v>603</v>
      </c>
      <c r="E10" s="1211">
        <v>76</v>
      </c>
      <c r="F10" s="1211">
        <v>76</v>
      </c>
      <c r="G10" s="1211">
        <v>75</v>
      </c>
      <c r="H10" s="2185"/>
      <c r="I10" s="2185"/>
      <c r="J10" s="2185"/>
      <c r="K10" s="1211"/>
      <c r="L10" s="1211"/>
      <c r="M10" s="1211"/>
      <c r="N10" s="2185"/>
      <c r="O10" s="2185"/>
      <c r="P10" s="2185"/>
      <c r="Q10" s="1211"/>
      <c r="R10" s="1211"/>
      <c r="S10" s="1211"/>
      <c r="T10" s="2189">
        <f>MAX(E10,H10,K10,N10,Q10)</f>
        <v>76</v>
      </c>
      <c r="U10" s="2190">
        <f t="shared" ref="U10:V10" si="0">MAX(F10,I10,L10,O10,R10)</f>
        <v>76</v>
      </c>
      <c r="V10" s="2191">
        <f t="shared" si="0"/>
        <v>75</v>
      </c>
      <c r="W10" s="2192">
        <f>IFERROR(AVERAGE(T10:V10),"")</f>
        <v>75.666666666666671</v>
      </c>
      <c r="X10" s="1665" t="str">
        <f>IF(W10&gt;85,("4"),IF(W10&gt;80,("3.66"),IF(W10&gt;75,("3.33"),IF(W10&gt;70,("3.00"),IF(W10&gt;65,("2.66"),IF(W10&gt;60,("2.33"),IF(W10&gt;55,("2"),IF(W10&gt;50,("1.66"),"1.33"))))))))</f>
        <v>3.33</v>
      </c>
      <c r="Y10" s="1665" t="str">
        <f>IF(W10&gt;85,("A"),IF(W10&gt;80,("A-"),IF(W10&gt;75,("B+"),IF(W10&gt;70,("B"),IF(W10&gt;65,("B-"),IF(W10&gt;60,("C+"),IF(W10&gt;55,("C"),IF(W10&gt;50,("C-"),"D+"))))))))</f>
        <v>B+</v>
      </c>
      <c r="Z10" s="1665" t="str">
        <f>IF(W10&gt;80,("SB"),IF(W10&gt;65,("B"),IF(W10&gt;50,("C"),IF(W10&gt;0,("K"),"0"))))</f>
        <v>B</v>
      </c>
      <c r="AA10" s="2167"/>
      <c r="AB10" s="2167">
        <v>3</v>
      </c>
      <c r="AC10" s="2167"/>
      <c r="AD10" s="2167"/>
      <c r="AE10" s="2167"/>
      <c r="AF10" s="2167"/>
      <c r="AG10" s="2167"/>
      <c r="AH10" s="2167"/>
      <c r="AI10" s="2167"/>
      <c r="AJ10" s="2168"/>
      <c r="AK10" s="2168"/>
      <c r="AL10" s="2168"/>
      <c r="AM10" s="2168"/>
      <c r="AN10" s="2168"/>
      <c r="AO10" s="2168"/>
      <c r="AP10" s="2168">
        <v>3</v>
      </c>
      <c r="AQ10" s="2168"/>
      <c r="AR10" s="2168"/>
      <c r="AS10" s="1910">
        <f>W19</f>
        <v>73.518518518518519</v>
      </c>
      <c r="AT10" s="1910" t="str">
        <f>Y19</f>
        <v>B</v>
      </c>
    </row>
    <row r="11" spans="1:46" ht="24.95" customHeight="1" x14ac:dyDescent="0.3">
      <c r="A11" s="1207"/>
      <c r="B11" s="1207"/>
      <c r="C11" s="1655"/>
      <c r="D11" s="1654" t="s">
        <v>604</v>
      </c>
      <c r="E11" s="23">
        <v>72</v>
      </c>
      <c r="F11" s="23">
        <v>87</v>
      </c>
      <c r="G11" s="23">
        <v>76</v>
      </c>
      <c r="H11" s="2186"/>
      <c r="I11" s="2186"/>
      <c r="J11" s="2186"/>
      <c r="K11" s="23"/>
      <c r="L11" s="23"/>
      <c r="M11" s="23"/>
      <c r="N11" s="2186"/>
      <c r="O11" s="2186"/>
      <c r="P11" s="2186"/>
      <c r="Q11" s="23"/>
      <c r="R11" s="23"/>
      <c r="S11" s="23"/>
      <c r="T11" s="2189">
        <f t="shared" ref="T11:T12" si="1">MAX(E11,H11,K11,N11,Q11)</f>
        <v>72</v>
      </c>
      <c r="U11" s="2190">
        <f t="shared" ref="U11:U12" si="2">MAX(F11,I11,L11,O11,R11)</f>
        <v>87</v>
      </c>
      <c r="V11" s="2191">
        <f t="shared" ref="V11:V12" si="3">MAX(G11,J11,M11,P11,S11)</f>
        <v>76</v>
      </c>
      <c r="W11" s="2192">
        <f t="shared" ref="W11:W13" si="4">IFERROR(AVERAGE(T11:V11),"")</f>
        <v>78.333333333333329</v>
      </c>
      <c r="X11" s="1535" t="str">
        <f t="shared" ref="X11:X18" si="5">IF(W11&gt;85,("4"),IF(W11&gt;80,("3.66"),IF(W11&gt;75,("3.33"),IF(W11&gt;70,("3.00"),IF(W11&gt;65,("2.66"),IF(W11&gt;60,("2.33"),IF(W11&gt;55,("2"),IF(W11&gt;50,("1.66"),"1.33"))))))))</f>
        <v>3.33</v>
      </c>
      <c r="Y11" s="1535" t="str">
        <f t="shared" ref="Y11:Y18" si="6">IF(W11&gt;85,("A"),IF(W11&gt;80,("A-"),IF(W11&gt;75,("B+"),IF(W11&gt;70,("B"),IF(W11&gt;65,("B-"),IF(W11&gt;60,("C+"),IF(W11&gt;55,("C"),IF(W11&gt;50,("C-"),"D+"))))))))</f>
        <v>B+</v>
      </c>
      <c r="Z11" s="1535" t="str">
        <f t="shared" ref="Z11:Z18" si="7">IF(W11&gt;80,("SB"),IF(W11&gt;65,("B"),IF(W11&gt;50,("C"),IF(W11&gt;0,("K"),"0"))))</f>
        <v>B</v>
      </c>
      <c r="AA11" s="2169"/>
      <c r="AB11" s="2170"/>
      <c r="AC11" s="2170"/>
      <c r="AD11" s="2170"/>
      <c r="AE11" s="2170"/>
      <c r="AF11" s="2170"/>
      <c r="AG11" s="2170"/>
      <c r="AH11" s="2170"/>
      <c r="AI11" s="2170"/>
      <c r="AJ11" s="2171"/>
      <c r="AK11" s="2171"/>
      <c r="AL11" s="2171"/>
      <c r="AM11" s="2171"/>
      <c r="AN11" s="2171"/>
      <c r="AO11" s="2171"/>
      <c r="AP11" s="2171"/>
      <c r="AQ11" s="2171"/>
      <c r="AR11" s="2172"/>
      <c r="AS11" s="1946"/>
      <c r="AT11" s="1947"/>
    </row>
    <row r="12" spans="1:46" ht="24.95" customHeight="1" x14ac:dyDescent="0.3">
      <c r="A12" s="1207"/>
      <c r="B12" s="1207"/>
      <c r="C12" s="1655"/>
      <c r="D12" s="1654" t="s">
        <v>605</v>
      </c>
      <c r="E12" s="23">
        <v>85</v>
      </c>
      <c r="F12" s="23">
        <v>65</v>
      </c>
      <c r="G12" s="23">
        <v>74</v>
      </c>
      <c r="H12" s="2186"/>
      <c r="I12" s="2186"/>
      <c r="J12" s="2186"/>
      <c r="K12" s="23"/>
      <c r="L12" s="23"/>
      <c r="M12" s="23"/>
      <c r="N12" s="2186"/>
      <c r="O12" s="2186"/>
      <c r="P12" s="2186"/>
      <c r="Q12" s="23"/>
      <c r="R12" s="23"/>
      <c r="S12" s="23"/>
      <c r="T12" s="2189">
        <f t="shared" si="1"/>
        <v>85</v>
      </c>
      <c r="U12" s="2190">
        <f t="shared" si="2"/>
        <v>65</v>
      </c>
      <c r="V12" s="2191">
        <f t="shared" si="3"/>
        <v>74</v>
      </c>
      <c r="W12" s="2192">
        <f t="shared" si="4"/>
        <v>74.666666666666671</v>
      </c>
      <c r="X12" s="1535" t="str">
        <f t="shared" si="5"/>
        <v>3.00</v>
      </c>
      <c r="Y12" s="1535" t="str">
        <f t="shared" si="6"/>
        <v>B</v>
      </c>
      <c r="Z12" s="1535" t="str">
        <f t="shared" si="7"/>
        <v>B</v>
      </c>
      <c r="AA12" s="2173"/>
      <c r="AB12" s="2174"/>
      <c r="AC12" s="2174"/>
      <c r="AD12" s="2174"/>
      <c r="AE12" s="2174"/>
      <c r="AF12" s="2174"/>
      <c r="AG12" s="2174"/>
      <c r="AH12" s="2174"/>
      <c r="AI12" s="2174"/>
      <c r="AJ12" s="2175"/>
      <c r="AK12" s="2175"/>
      <c r="AL12" s="2175"/>
      <c r="AM12" s="2175"/>
      <c r="AN12" s="2175"/>
      <c r="AO12" s="2175"/>
      <c r="AP12" s="2175"/>
      <c r="AQ12" s="2175"/>
      <c r="AR12" s="2176"/>
      <c r="AS12" s="1948"/>
      <c r="AT12" s="1949"/>
    </row>
    <row r="13" spans="1:46" ht="24.95" customHeight="1" x14ac:dyDescent="0.3">
      <c r="A13" s="1207"/>
      <c r="B13" s="1207"/>
      <c r="C13" s="1655"/>
      <c r="D13" s="1654" t="s">
        <v>155</v>
      </c>
      <c r="E13" s="23"/>
      <c r="F13" s="23"/>
      <c r="G13" s="23"/>
      <c r="H13" s="2186">
        <v>70</v>
      </c>
      <c r="I13" s="2186">
        <v>71</v>
      </c>
      <c r="J13" s="2186">
        <v>68</v>
      </c>
      <c r="K13" s="23"/>
      <c r="L13" s="23"/>
      <c r="M13" s="23"/>
      <c r="N13" s="2186"/>
      <c r="O13" s="2186"/>
      <c r="P13" s="2186"/>
      <c r="Q13" s="23"/>
      <c r="R13" s="23"/>
      <c r="S13" s="23"/>
      <c r="T13" s="2189">
        <f t="shared" ref="T13" si="8">MAX(H13,K13,N13,Q13)</f>
        <v>70</v>
      </c>
      <c r="U13" s="2190">
        <f t="shared" ref="U13:U18" si="9">MAX(I13,L13,O13,R13)</f>
        <v>71</v>
      </c>
      <c r="V13" s="2191">
        <f t="shared" ref="V13:V18" si="10">MAX(J13,M13,P13,S13)</f>
        <v>68</v>
      </c>
      <c r="W13" s="2192">
        <f t="shared" si="4"/>
        <v>69.666666666666671</v>
      </c>
      <c r="X13" s="1535" t="str">
        <f t="shared" si="5"/>
        <v>2.66</v>
      </c>
      <c r="Y13" s="1535" t="str">
        <f t="shared" si="6"/>
        <v>B-</v>
      </c>
      <c r="Z13" s="1535" t="str">
        <f t="shared" si="7"/>
        <v>B</v>
      </c>
      <c r="AA13" s="2173"/>
      <c r="AB13" s="2174"/>
      <c r="AC13" s="2174"/>
      <c r="AD13" s="2174"/>
      <c r="AE13" s="2174"/>
      <c r="AF13" s="2174"/>
      <c r="AG13" s="2174"/>
      <c r="AH13" s="2174"/>
      <c r="AI13" s="2174"/>
      <c r="AJ13" s="2175"/>
      <c r="AK13" s="2175"/>
      <c r="AL13" s="2175"/>
      <c r="AM13" s="2175"/>
      <c r="AN13" s="2175"/>
      <c r="AO13" s="2175"/>
      <c r="AP13" s="2175"/>
      <c r="AQ13" s="2175"/>
      <c r="AR13" s="2176"/>
      <c r="AS13" s="1948"/>
      <c r="AT13" s="1949"/>
    </row>
    <row r="14" spans="1:46" ht="24.95" customHeight="1" x14ac:dyDescent="0.3">
      <c r="A14" s="1207"/>
      <c r="B14" s="1207"/>
      <c r="C14" s="1655"/>
      <c r="D14" s="1654" t="s">
        <v>187</v>
      </c>
      <c r="E14" s="23"/>
      <c r="F14" s="23"/>
      <c r="G14" s="23"/>
      <c r="H14" s="2186"/>
      <c r="I14" s="2186"/>
      <c r="J14" s="2186"/>
      <c r="K14" s="23">
        <v>87</v>
      </c>
      <c r="L14" s="23">
        <v>71</v>
      </c>
      <c r="M14" s="23">
        <v>62</v>
      </c>
      <c r="N14" s="2186"/>
      <c r="O14" s="2186"/>
      <c r="P14" s="2186"/>
      <c r="Q14" s="23"/>
      <c r="R14" s="23"/>
      <c r="S14" s="23"/>
      <c r="T14" s="2189">
        <f t="shared" ref="T14:T18" si="11">MAX(H14,K14,N14,Q14)</f>
        <v>87</v>
      </c>
      <c r="U14" s="2190">
        <f t="shared" si="9"/>
        <v>71</v>
      </c>
      <c r="V14" s="2191">
        <f t="shared" si="10"/>
        <v>62</v>
      </c>
      <c r="W14" s="2192">
        <f t="shared" ref="W14:W18" si="12">IFERROR(AVERAGE(T14:V14),"")</f>
        <v>73.333333333333329</v>
      </c>
      <c r="X14" s="1535" t="str">
        <f t="shared" si="5"/>
        <v>3.00</v>
      </c>
      <c r="Y14" s="1535" t="str">
        <f t="shared" si="6"/>
        <v>B</v>
      </c>
      <c r="Z14" s="1535" t="str">
        <f t="shared" si="7"/>
        <v>B</v>
      </c>
      <c r="AA14" s="2173"/>
      <c r="AB14" s="2174"/>
      <c r="AC14" s="2174"/>
      <c r="AD14" s="2174"/>
      <c r="AE14" s="2174"/>
      <c r="AF14" s="2174"/>
      <c r="AG14" s="2174"/>
      <c r="AH14" s="2174"/>
      <c r="AI14" s="2174"/>
      <c r="AJ14" s="2175"/>
      <c r="AK14" s="2175"/>
      <c r="AL14" s="2175"/>
      <c r="AM14" s="2175"/>
      <c r="AN14" s="2175"/>
      <c r="AO14" s="2175"/>
      <c r="AP14" s="2175"/>
      <c r="AQ14" s="2175"/>
      <c r="AR14" s="2176"/>
      <c r="AS14" s="1948"/>
      <c r="AT14" s="1949"/>
    </row>
    <row r="15" spans="1:46" ht="24.95" customHeight="1" x14ac:dyDescent="0.3">
      <c r="A15" s="1207"/>
      <c r="B15" s="1207"/>
      <c r="C15" s="1655"/>
      <c r="D15" s="1654" t="s">
        <v>17</v>
      </c>
      <c r="E15" s="23"/>
      <c r="F15" s="23"/>
      <c r="G15" s="23"/>
      <c r="H15" s="2186"/>
      <c r="I15" s="2186"/>
      <c r="J15" s="2186"/>
      <c r="K15" s="23">
        <v>75</v>
      </c>
      <c r="L15" s="23">
        <v>82</v>
      </c>
      <c r="M15" s="23">
        <v>68</v>
      </c>
      <c r="N15" s="2186"/>
      <c r="O15" s="2186"/>
      <c r="P15" s="2186"/>
      <c r="Q15" s="23"/>
      <c r="R15" s="23"/>
      <c r="S15" s="23"/>
      <c r="T15" s="2189">
        <f t="shared" si="11"/>
        <v>75</v>
      </c>
      <c r="U15" s="2190">
        <f t="shared" si="9"/>
        <v>82</v>
      </c>
      <c r="V15" s="2191">
        <f t="shared" si="10"/>
        <v>68</v>
      </c>
      <c r="W15" s="2192">
        <f t="shared" si="12"/>
        <v>75</v>
      </c>
      <c r="X15" s="1535" t="str">
        <f t="shared" si="5"/>
        <v>3.00</v>
      </c>
      <c r="Y15" s="1535" t="str">
        <f t="shared" si="6"/>
        <v>B</v>
      </c>
      <c r="Z15" s="1535" t="str">
        <f t="shared" si="7"/>
        <v>B</v>
      </c>
      <c r="AA15" s="2173"/>
      <c r="AB15" s="2174"/>
      <c r="AC15" s="2174"/>
      <c r="AD15" s="2174"/>
      <c r="AE15" s="2174"/>
      <c r="AF15" s="2174"/>
      <c r="AG15" s="2174"/>
      <c r="AH15" s="2174"/>
      <c r="AI15" s="2174"/>
      <c r="AJ15" s="2175"/>
      <c r="AK15" s="2175"/>
      <c r="AL15" s="2175"/>
      <c r="AM15" s="2175"/>
      <c r="AN15" s="2175"/>
      <c r="AO15" s="2175"/>
      <c r="AP15" s="2175"/>
      <c r="AQ15" s="2175"/>
      <c r="AR15" s="2176"/>
      <c r="AS15" s="1948"/>
      <c r="AT15" s="1949"/>
    </row>
    <row r="16" spans="1:46" ht="24.95" customHeight="1" x14ac:dyDescent="0.3">
      <c r="A16" s="1207"/>
      <c r="B16" s="1207"/>
      <c r="C16" s="1655"/>
      <c r="D16" s="1654" t="s">
        <v>606</v>
      </c>
      <c r="E16" s="23"/>
      <c r="F16" s="23"/>
      <c r="G16" s="23"/>
      <c r="H16" s="2186"/>
      <c r="I16" s="2186"/>
      <c r="J16" s="2186"/>
      <c r="K16" s="23"/>
      <c r="L16" s="23"/>
      <c r="M16" s="23"/>
      <c r="N16" s="2186">
        <v>71</v>
      </c>
      <c r="O16" s="2186">
        <v>69</v>
      </c>
      <c r="P16" s="2186">
        <v>68</v>
      </c>
      <c r="Q16" s="23"/>
      <c r="R16" s="23"/>
      <c r="S16" s="23"/>
      <c r="T16" s="2189">
        <f t="shared" si="11"/>
        <v>71</v>
      </c>
      <c r="U16" s="2190">
        <f t="shared" si="9"/>
        <v>69</v>
      </c>
      <c r="V16" s="2191">
        <f t="shared" si="10"/>
        <v>68</v>
      </c>
      <c r="W16" s="2192">
        <f t="shared" si="12"/>
        <v>69.333333333333329</v>
      </c>
      <c r="X16" s="1535" t="str">
        <f t="shared" si="5"/>
        <v>2.66</v>
      </c>
      <c r="Y16" s="1535" t="str">
        <f t="shared" si="6"/>
        <v>B-</v>
      </c>
      <c r="Z16" s="1535" t="str">
        <f t="shared" si="7"/>
        <v>B</v>
      </c>
      <c r="AA16" s="2173"/>
      <c r="AB16" s="2174"/>
      <c r="AC16" s="2174"/>
      <c r="AD16" s="2174"/>
      <c r="AE16" s="2174"/>
      <c r="AF16" s="2174"/>
      <c r="AG16" s="2174"/>
      <c r="AH16" s="2174"/>
      <c r="AI16" s="2174"/>
      <c r="AJ16" s="2175"/>
      <c r="AK16" s="2175"/>
      <c r="AL16" s="2175"/>
      <c r="AM16" s="2175"/>
      <c r="AN16" s="2175"/>
      <c r="AO16" s="2175"/>
      <c r="AP16" s="2175"/>
      <c r="AQ16" s="2175"/>
      <c r="AR16" s="2176"/>
      <c r="AS16" s="1948"/>
      <c r="AT16" s="1949"/>
    </row>
    <row r="17" spans="1:46" ht="24.95" customHeight="1" x14ac:dyDescent="0.3">
      <c r="A17" s="1207"/>
      <c r="B17" s="1207"/>
      <c r="C17" s="1655"/>
      <c r="D17" s="1654" t="s">
        <v>607</v>
      </c>
      <c r="E17" s="23"/>
      <c r="F17" s="23"/>
      <c r="G17" s="23"/>
      <c r="H17" s="2186"/>
      <c r="I17" s="2186"/>
      <c r="J17" s="2186"/>
      <c r="K17" s="23"/>
      <c r="L17" s="23"/>
      <c r="M17" s="23"/>
      <c r="N17" s="2186">
        <v>70</v>
      </c>
      <c r="O17" s="2186">
        <v>72</v>
      </c>
      <c r="P17" s="2186">
        <v>70</v>
      </c>
      <c r="Q17" s="23"/>
      <c r="R17" s="23"/>
      <c r="S17" s="23"/>
      <c r="T17" s="2189">
        <f t="shared" si="11"/>
        <v>70</v>
      </c>
      <c r="U17" s="2190">
        <f t="shared" si="9"/>
        <v>72</v>
      </c>
      <c r="V17" s="2191">
        <f t="shared" si="10"/>
        <v>70</v>
      </c>
      <c r="W17" s="2192">
        <f t="shared" si="12"/>
        <v>70.666666666666671</v>
      </c>
      <c r="X17" s="1535" t="str">
        <f t="shared" si="5"/>
        <v>3.00</v>
      </c>
      <c r="Y17" s="1535" t="str">
        <f t="shared" si="6"/>
        <v>B</v>
      </c>
      <c r="Z17" s="1535" t="str">
        <f t="shared" si="7"/>
        <v>B</v>
      </c>
      <c r="AA17" s="2173"/>
      <c r="AB17" s="2174"/>
      <c r="AC17" s="2174"/>
      <c r="AD17" s="2174"/>
      <c r="AE17" s="2174"/>
      <c r="AF17" s="2174"/>
      <c r="AG17" s="2174"/>
      <c r="AH17" s="2174"/>
      <c r="AI17" s="2174"/>
      <c r="AJ17" s="2175"/>
      <c r="AK17" s="2175"/>
      <c r="AL17" s="2175"/>
      <c r="AM17" s="2175"/>
      <c r="AN17" s="2175"/>
      <c r="AO17" s="2175"/>
      <c r="AP17" s="2175"/>
      <c r="AQ17" s="2175"/>
      <c r="AR17" s="2176"/>
      <c r="AS17" s="1948"/>
      <c r="AT17" s="1949"/>
    </row>
    <row r="18" spans="1:46" ht="24.95" customHeight="1" x14ac:dyDescent="0.3">
      <c r="A18" s="1656"/>
      <c r="B18" s="1207"/>
      <c r="C18" s="1655"/>
      <c r="D18" s="1654" t="s">
        <v>22</v>
      </c>
      <c r="E18" s="2187"/>
      <c r="F18" s="2187"/>
      <c r="G18" s="2187"/>
      <c r="H18" s="2188"/>
      <c r="I18" s="2186"/>
      <c r="J18" s="2186"/>
      <c r="K18" s="23"/>
      <c r="L18" s="23"/>
      <c r="M18" s="23"/>
      <c r="N18" s="2186"/>
      <c r="O18" s="2186"/>
      <c r="P18" s="2186"/>
      <c r="Q18" s="23">
        <v>73</v>
      </c>
      <c r="R18" s="23">
        <v>74</v>
      </c>
      <c r="S18" s="23">
        <v>78</v>
      </c>
      <c r="T18" s="2189">
        <f t="shared" si="11"/>
        <v>73</v>
      </c>
      <c r="U18" s="2190">
        <f t="shared" si="9"/>
        <v>74</v>
      </c>
      <c r="V18" s="2191">
        <f t="shared" si="10"/>
        <v>78</v>
      </c>
      <c r="W18" s="2192">
        <f t="shared" si="12"/>
        <v>75</v>
      </c>
      <c r="X18" s="1535" t="str">
        <f t="shared" si="5"/>
        <v>3.00</v>
      </c>
      <c r="Y18" s="1535" t="str">
        <f t="shared" si="6"/>
        <v>B</v>
      </c>
      <c r="Z18" s="1535" t="str">
        <f t="shared" si="7"/>
        <v>B</v>
      </c>
      <c r="AA18" s="2173"/>
      <c r="AB18" s="2174"/>
      <c r="AC18" s="2174"/>
      <c r="AD18" s="2174"/>
      <c r="AE18" s="2174"/>
      <c r="AF18" s="2174"/>
      <c r="AG18" s="2174"/>
      <c r="AH18" s="2174"/>
      <c r="AI18" s="2174"/>
      <c r="AJ18" s="2175"/>
      <c r="AK18" s="2175"/>
      <c r="AL18" s="2175"/>
      <c r="AM18" s="2175"/>
      <c r="AN18" s="2175"/>
      <c r="AO18" s="2175"/>
      <c r="AP18" s="2175"/>
      <c r="AQ18" s="2175"/>
      <c r="AR18" s="2176"/>
      <c r="AS18" s="1950"/>
      <c r="AT18" s="1951"/>
    </row>
    <row r="19" spans="1:46" ht="24.95" customHeight="1" x14ac:dyDescent="0.25">
      <c r="A19" s="1236"/>
      <c r="B19" s="1237">
        <v>1</v>
      </c>
      <c r="C19" s="1657" t="s">
        <v>464</v>
      </c>
      <c r="D19" s="1236"/>
      <c r="E19" s="2650"/>
      <c r="F19" s="2651"/>
      <c r="G19" s="2651"/>
      <c r="H19" s="2651"/>
      <c r="I19" s="2652"/>
      <c r="J19" s="2109"/>
      <c r="K19" s="2109"/>
      <c r="L19" s="2109"/>
      <c r="M19" s="2109"/>
      <c r="N19" s="2109"/>
      <c r="O19" s="2109"/>
      <c r="P19" s="2109"/>
      <c r="Q19" s="2109"/>
      <c r="R19" s="2109"/>
      <c r="S19" s="2109"/>
      <c r="T19" s="2193"/>
      <c r="U19" s="2193"/>
      <c r="V19" s="2193"/>
      <c r="W19" s="2194">
        <f>IFERROR(AVERAGE(W10:W18),"  ")</f>
        <v>73.518518518518519</v>
      </c>
      <c r="X19" s="1454" t="str">
        <f>IF(W19&gt;85,("4"),IF(W19&gt;80,("3.66"),IF(W19&gt;75,("3.33"),IF(W19&gt;70,("3.00"),IF(W19&gt;65,("2.66"),IF(W19&gt;60,("2.33"),IF(W19&gt;55,("2"),IF(W19&gt;50,("1.66"),"1.33"))))))))</f>
        <v>3.00</v>
      </c>
      <c r="Y19" s="1454" t="str">
        <f>IF(W19&gt;85,("A"),IF(W19&gt;80,("A-"),IF(W19&gt;75,("B+"),IF(W19&gt;70,("B"),IF(W19&gt;65,("B-"),IF(W19&gt;60,("C+"),IF(W19&gt;55,("C"),IF(W19&gt;50,("C-"),"D+"))))))))</f>
        <v>B</v>
      </c>
      <c r="Z19" s="1666"/>
      <c r="AA19" s="2177"/>
      <c r="AB19" s="2178"/>
      <c r="AC19" s="2178"/>
      <c r="AD19" s="2178"/>
      <c r="AE19" s="2178"/>
      <c r="AF19" s="2178"/>
      <c r="AG19" s="2178"/>
      <c r="AH19" s="2178"/>
      <c r="AI19" s="2178"/>
      <c r="AJ19" s="2178"/>
      <c r="AK19" s="2178"/>
      <c r="AL19" s="2178"/>
      <c r="AM19" s="2178"/>
      <c r="AN19" s="2178"/>
      <c r="AO19" s="2178"/>
      <c r="AP19" s="2178"/>
      <c r="AQ19" s="2178"/>
      <c r="AR19" s="2179"/>
      <c r="AS19" s="1952"/>
      <c r="AT19" s="1953"/>
    </row>
    <row r="20" spans="1:46" ht="24.95" customHeight="1" x14ac:dyDescent="0.3">
      <c r="A20" s="1224">
        <v>2</v>
      </c>
      <c r="B20" s="1224"/>
      <c r="C20" s="1653" t="str">
        <f>VLOOKUP(A20,data_siswa,4,FALSE)</f>
        <v>Angelia Vabel R</v>
      </c>
      <c r="D20" s="1654" t="s">
        <v>603</v>
      </c>
      <c r="E20" s="1211">
        <v>0</v>
      </c>
      <c r="F20" s="1211">
        <v>0</v>
      </c>
      <c r="G20" s="1211">
        <v>0</v>
      </c>
      <c r="H20" s="2185"/>
      <c r="I20" s="2185"/>
      <c r="J20" s="2185"/>
      <c r="K20" s="1211"/>
      <c r="L20" s="1211"/>
      <c r="M20" s="1211"/>
      <c r="N20" s="2185"/>
      <c r="O20" s="2185"/>
      <c r="P20" s="2185"/>
      <c r="Q20" s="1211"/>
      <c r="R20" s="1211"/>
      <c r="S20" s="1211"/>
      <c r="T20" s="2189">
        <f>MAX(H20,K20,N20,Q20)</f>
        <v>0</v>
      </c>
      <c r="U20" s="2190">
        <f t="shared" ref="U20:U28" si="13">MAX(I20,L20,O20,R20)</f>
        <v>0</v>
      </c>
      <c r="V20" s="2191">
        <f t="shared" ref="V20:V28" si="14">MAX(J20,M20,P20,S20)</f>
        <v>0</v>
      </c>
      <c r="W20" s="2192">
        <f>IFERROR(AVERAGE(T20:V20),"")</f>
        <v>0</v>
      </c>
      <c r="X20" s="1665" t="str">
        <f>IF(W20&gt;85,("4"),IF(W20&gt;80,("3.66"),IF(W20&gt;75,("3.33"),IF(W20&gt;70,("3.00"),IF(W20&gt;65,("2.66"),IF(W20&gt;60,("2.33"),IF(W20&gt;55,("2"),IF(W20&gt;50,("1.66"),"1.33"))))))))</f>
        <v>1.33</v>
      </c>
      <c r="Y20" s="1535" t="str">
        <f>IF(W20&gt;85,("A"),IF(W20&gt;80,("A-"),IF(W20&gt;75,("B+"),IF(W20&gt;70,("B"),IF(W20&gt;65,("B-"),IF(W20&gt;60,("C+"),IF(W20&gt;55,("C"),IF(W20&gt;50,("C-"),"D+"))))))))</f>
        <v>D+</v>
      </c>
      <c r="Z20" s="1535" t="str">
        <f>IF(W20&gt;80,("SB"),IF(W20&gt;65,("B"),IF(W20&gt;50,("C"),IF(W20&gt;0,("K"),"0"))))</f>
        <v>0</v>
      </c>
      <c r="AA20" s="2180"/>
      <c r="AB20" s="2180"/>
      <c r="AC20" s="2180"/>
      <c r="AD20" s="2180"/>
      <c r="AE20" s="2180"/>
      <c r="AF20" s="2180"/>
      <c r="AG20" s="2180"/>
      <c r="AH20" s="2180"/>
      <c r="AI20" s="2180"/>
      <c r="AJ20" s="2181"/>
      <c r="AK20" s="2181"/>
      <c r="AL20" s="2181"/>
      <c r="AM20" s="2181"/>
      <c r="AN20" s="2181"/>
      <c r="AO20" s="2181"/>
      <c r="AP20" s="2181"/>
      <c r="AQ20" s="2181"/>
      <c r="AR20" s="2181"/>
      <c r="AS20" s="1910">
        <f>W29</f>
        <v>0</v>
      </c>
      <c r="AT20" s="1910" t="str">
        <f>Y29</f>
        <v>D+</v>
      </c>
    </row>
    <row r="21" spans="1:46" ht="24.95" customHeight="1" x14ac:dyDescent="0.3">
      <c r="A21" s="1207"/>
      <c r="B21" s="1207"/>
      <c r="C21" s="1655"/>
      <c r="D21" s="1654" t="s">
        <v>604</v>
      </c>
      <c r="E21" s="23">
        <v>0</v>
      </c>
      <c r="F21" s="23">
        <v>0</v>
      </c>
      <c r="G21" s="23">
        <v>0</v>
      </c>
      <c r="H21" s="2186"/>
      <c r="I21" s="2186"/>
      <c r="J21" s="2186"/>
      <c r="K21" s="23"/>
      <c r="L21" s="23"/>
      <c r="M21" s="23"/>
      <c r="N21" s="2186"/>
      <c r="O21" s="2186"/>
      <c r="P21" s="2186"/>
      <c r="Q21" s="23"/>
      <c r="R21" s="23"/>
      <c r="S21" s="23"/>
      <c r="T21" s="2189">
        <f t="shared" ref="T21:T28" si="15">MAX(H21,K21,N21,Q21)</f>
        <v>0</v>
      </c>
      <c r="U21" s="2190">
        <f t="shared" si="13"/>
        <v>0</v>
      </c>
      <c r="V21" s="2191">
        <f t="shared" si="14"/>
        <v>0</v>
      </c>
      <c r="W21" s="2192">
        <f t="shared" ref="W21:W28" si="16">IFERROR(AVERAGE(T21:V21),"")</f>
        <v>0</v>
      </c>
      <c r="X21" s="1535" t="str">
        <f t="shared" ref="X21:X28" si="17">IF(W21&gt;85,("4"),IF(W21&gt;80,("3.66"),IF(W21&gt;75,("3.33"),IF(W21&gt;70,("3.00"),IF(W21&gt;65,("2.66"),IF(W21&gt;60,("2.33"),IF(W21&gt;55,("2"),IF(W21&gt;50,("1.66"),"1.33"))))))))</f>
        <v>1.33</v>
      </c>
      <c r="Y21" s="1535" t="str">
        <f t="shared" ref="Y21:Y28" si="18">IF(W21&gt;85,("A"),IF(W21&gt;80,("A-"),IF(W21&gt;75,("B+"),IF(W21&gt;70,("B"),IF(W21&gt;65,("B-"),IF(W21&gt;60,("C+"),IF(W21&gt;55,("C"),IF(W21&gt;50,("C-"),"D+"))))))))</f>
        <v>D+</v>
      </c>
      <c r="Z21" s="1535" t="str">
        <f t="shared" ref="Z21:Z28" si="19">IF(W21&gt;80,("SB"),IF(W21&gt;65,("B"),IF(W21&gt;50,("C"),IF(W21&gt;0,("K"),"0"))))</f>
        <v>0</v>
      </c>
      <c r="AA21" s="2169"/>
      <c r="AB21" s="2170"/>
      <c r="AC21" s="2170"/>
      <c r="AD21" s="2170"/>
      <c r="AE21" s="2170"/>
      <c r="AF21" s="2170"/>
      <c r="AG21" s="2170"/>
      <c r="AH21" s="2170"/>
      <c r="AI21" s="2170"/>
      <c r="AJ21" s="2171"/>
      <c r="AK21" s="2171"/>
      <c r="AL21" s="2171"/>
      <c r="AM21" s="2171"/>
      <c r="AN21" s="2171"/>
      <c r="AO21" s="2171"/>
      <c r="AP21" s="2171"/>
      <c r="AQ21" s="2171"/>
      <c r="AR21" s="2172"/>
      <c r="AS21" s="1946"/>
      <c r="AT21" s="1947"/>
    </row>
    <row r="22" spans="1:46" ht="24.95" customHeight="1" x14ac:dyDescent="0.3">
      <c r="A22" s="1207"/>
      <c r="B22" s="1207"/>
      <c r="C22" s="1655"/>
      <c r="D22" s="1654" t="s">
        <v>605</v>
      </c>
      <c r="E22" s="23">
        <v>0</v>
      </c>
      <c r="F22" s="23">
        <v>0</v>
      </c>
      <c r="G22" s="23">
        <v>0</v>
      </c>
      <c r="H22" s="2186"/>
      <c r="I22" s="2186"/>
      <c r="J22" s="2186"/>
      <c r="K22" s="23"/>
      <c r="L22" s="23"/>
      <c r="M22" s="23"/>
      <c r="N22" s="2186"/>
      <c r="O22" s="2186"/>
      <c r="P22" s="2186"/>
      <c r="Q22" s="23"/>
      <c r="R22" s="23"/>
      <c r="S22" s="23"/>
      <c r="T22" s="2189">
        <f t="shared" si="15"/>
        <v>0</v>
      </c>
      <c r="U22" s="2190">
        <f t="shared" si="13"/>
        <v>0</v>
      </c>
      <c r="V22" s="2191">
        <f t="shared" si="14"/>
        <v>0</v>
      </c>
      <c r="W22" s="2192">
        <f t="shared" si="16"/>
        <v>0</v>
      </c>
      <c r="X22" s="1535" t="str">
        <f t="shared" si="17"/>
        <v>1.33</v>
      </c>
      <c r="Y22" s="1535" t="str">
        <f t="shared" si="18"/>
        <v>D+</v>
      </c>
      <c r="Z22" s="1535" t="str">
        <f t="shared" si="19"/>
        <v>0</v>
      </c>
      <c r="AA22" s="2173"/>
      <c r="AB22" s="2174"/>
      <c r="AC22" s="2174"/>
      <c r="AD22" s="2174"/>
      <c r="AE22" s="2174"/>
      <c r="AF22" s="2174"/>
      <c r="AG22" s="2174"/>
      <c r="AH22" s="2174"/>
      <c r="AI22" s="2174"/>
      <c r="AJ22" s="2175"/>
      <c r="AK22" s="2175"/>
      <c r="AL22" s="2175"/>
      <c r="AM22" s="2175"/>
      <c r="AN22" s="2175"/>
      <c r="AO22" s="2175"/>
      <c r="AP22" s="2175"/>
      <c r="AQ22" s="2175"/>
      <c r="AR22" s="2176"/>
      <c r="AS22" s="1948"/>
      <c r="AT22" s="1949"/>
    </row>
    <row r="23" spans="1:46" ht="24.95" customHeight="1" x14ac:dyDescent="0.3">
      <c r="A23" s="1207"/>
      <c r="B23" s="1207"/>
      <c r="C23" s="1655"/>
      <c r="D23" s="1654" t="s">
        <v>155</v>
      </c>
      <c r="E23" s="23"/>
      <c r="F23" s="23"/>
      <c r="G23" s="23"/>
      <c r="H23" s="2186">
        <v>0</v>
      </c>
      <c r="I23" s="2186">
        <v>0</v>
      </c>
      <c r="J23" s="2186">
        <v>0</v>
      </c>
      <c r="K23" s="23"/>
      <c r="L23" s="23"/>
      <c r="M23" s="23"/>
      <c r="N23" s="2186"/>
      <c r="O23" s="2186"/>
      <c r="P23" s="2186"/>
      <c r="Q23" s="23"/>
      <c r="R23" s="23"/>
      <c r="S23" s="23"/>
      <c r="T23" s="2189">
        <f t="shared" si="15"/>
        <v>0</v>
      </c>
      <c r="U23" s="2190">
        <f t="shared" si="13"/>
        <v>0</v>
      </c>
      <c r="V23" s="2191">
        <f t="shared" si="14"/>
        <v>0</v>
      </c>
      <c r="W23" s="2192">
        <f t="shared" si="16"/>
        <v>0</v>
      </c>
      <c r="X23" s="1535" t="str">
        <f t="shared" si="17"/>
        <v>1.33</v>
      </c>
      <c r="Y23" s="1535" t="str">
        <f t="shared" si="18"/>
        <v>D+</v>
      </c>
      <c r="Z23" s="1535" t="str">
        <f t="shared" si="19"/>
        <v>0</v>
      </c>
      <c r="AA23" s="2173"/>
      <c r="AB23" s="2174"/>
      <c r="AC23" s="2174"/>
      <c r="AD23" s="2174"/>
      <c r="AE23" s="2174"/>
      <c r="AF23" s="2174"/>
      <c r="AG23" s="2174"/>
      <c r="AH23" s="2174"/>
      <c r="AI23" s="2174"/>
      <c r="AJ23" s="2175"/>
      <c r="AK23" s="2175"/>
      <c r="AL23" s="2175"/>
      <c r="AM23" s="2175"/>
      <c r="AN23" s="2175"/>
      <c r="AO23" s="2175"/>
      <c r="AP23" s="2175"/>
      <c r="AQ23" s="2175"/>
      <c r="AR23" s="2176"/>
      <c r="AS23" s="1948"/>
      <c r="AT23" s="1949"/>
    </row>
    <row r="24" spans="1:46" ht="24.95" customHeight="1" x14ac:dyDescent="0.3">
      <c r="A24" s="1207"/>
      <c r="B24" s="1207"/>
      <c r="C24" s="1655"/>
      <c r="D24" s="1654" t="s">
        <v>187</v>
      </c>
      <c r="E24" s="23"/>
      <c r="F24" s="23"/>
      <c r="G24" s="23"/>
      <c r="H24" s="2186"/>
      <c r="I24" s="2186"/>
      <c r="J24" s="2186"/>
      <c r="K24" s="23">
        <v>0</v>
      </c>
      <c r="L24" s="23">
        <v>0</v>
      </c>
      <c r="M24" s="23">
        <v>0</v>
      </c>
      <c r="N24" s="2186"/>
      <c r="O24" s="2186"/>
      <c r="P24" s="2186"/>
      <c r="Q24" s="23"/>
      <c r="R24" s="23"/>
      <c r="S24" s="23"/>
      <c r="T24" s="2189">
        <f t="shared" si="15"/>
        <v>0</v>
      </c>
      <c r="U24" s="2190">
        <f t="shared" si="13"/>
        <v>0</v>
      </c>
      <c r="V24" s="2191">
        <f t="shared" si="14"/>
        <v>0</v>
      </c>
      <c r="W24" s="2192">
        <f t="shared" si="16"/>
        <v>0</v>
      </c>
      <c r="X24" s="1535" t="str">
        <f t="shared" si="17"/>
        <v>1.33</v>
      </c>
      <c r="Y24" s="1535" t="str">
        <f t="shared" si="18"/>
        <v>D+</v>
      </c>
      <c r="Z24" s="1535" t="str">
        <f t="shared" si="19"/>
        <v>0</v>
      </c>
      <c r="AA24" s="2173"/>
      <c r="AB24" s="2174"/>
      <c r="AC24" s="2174"/>
      <c r="AD24" s="2174"/>
      <c r="AE24" s="2174"/>
      <c r="AF24" s="2174"/>
      <c r="AG24" s="2174"/>
      <c r="AH24" s="2174"/>
      <c r="AI24" s="2174"/>
      <c r="AJ24" s="2175"/>
      <c r="AK24" s="2175"/>
      <c r="AL24" s="2175"/>
      <c r="AM24" s="2175"/>
      <c r="AN24" s="2175"/>
      <c r="AO24" s="2175"/>
      <c r="AP24" s="2175"/>
      <c r="AQ24" s="2175"/>
      <c r="AR24" s="2176"/>
      <c r="AS24" s="1948"/>
      <c r="AT24" s="1949"/>
    </row>
    <row r="25" spans="1:46" ht="24.95" customHeight="1" x14ac:dyDescent="0.3">
      <c r="A25" s="1207"/>
      <c r="B25" s="1207"/>
      <c r="C25" s="1655"/>
      <c r="D25" s="1654" t="s">
        <v>17</v>
      </c>
      <c r="E25" s="23"/>
      <c r="F25" s="23"/>
      <c r="G25" s="23"/>
      <c r="H25" s="2186"/>
      <c r="I25" s="2186"/>
      <c r="J25" s="2186"/>
      <c r="K25" s="23">
        <v>0</v>
      </c>
      <c r="L25" s="23">
        <v>0</v>
      </c>
      <c r="M25" s="23">
        <v>0</v>
      </c>
      <c r="N25" s="2186"/>
      <c r="O25" s="2186"/>
      <c r="P25" s="2186"/>
      <c r="Q25" s="23"/>
      <c r="R25" s="23"/>
      <c r="S25" s="23"/>
      <c r="T25" s="2189">
        <f t="shared" si="15"/>
        <v>0</v>
      </c>
      <c r="U25" s="2190">
        <f t="shared" si="13"/>
        <v>0</v>
      </c>
      <c r="V25" s="2191">
        <f t="shared" si="14"/>
        <v>0</v>
      </c>
      <c r="W25" s="2192">
        <f t="shared" si="16"/>
        <v>0</v>
      </c>
      <c r="X25" s="1535" t="str">
        <f t="shared" si="17"/>
        <v>1.33</v>
      </c>
      <c r="Y25" s="1535" t="str">
        <f t="shared" si="18"/>
        <v>D+</v>
      </c>
      <c r="Z25" s="1535" t="str">
        <f t="shared" si="19"/>
        <v>0</v>
      </c>
      <c r="AA25" s="2173"/>
      <c r="AB25" s="2174"/>
      <c r="AC25" s="2174"/>
      <c r="AD25" s="2174"/>
      <c r="AE25" s="2174"/>
      <c r="AF25" s="2174"/>
      <c r="AG25" s="2174"/>
      <c r="AH25" s="2174"/>
      <c r="AI25" s="2174"/>
      <c r="AJ25" s="2175"/>
      <c r="AK25" s="2175"/>
      <c r="AL25" s="2175"/>
      <c r="AM25" s="2175"/>
      <c r="AN25" s="2175"/>
      <c r="AO25" s="2175"/>
      <c r="AP25" s="2175"/>
      <c r="AQ25" s="2175"/>
      <c r="AR25" s="2176"/>
      <c r="AS25" s="1948"/>
      <c r="AT25" s="1949"/>
    </row>
    <row r="26" spans="1:46" ht="24.95" customHeight="1" x14ac:dyDescent="0.3">
      <c r="A26" s="1207"/>
      <c r="B26" s="1207"/>
      <c r="C26" s="1655"/>
      <c r="D26" s="1654" t="s">
        <v>606</v>
      </c>
      <c r="E26" s="23"/>
      <c r="F26" s="23"/>
      <c r="G26" s="23"/>
      <c r="H26" s="2186"/>
      <c r="I26" s="2186"/>
      <c r="J26" s="2186"/>
      <c r="K26" s="23"/>
      <c r="L26" s="23"/>
      <c r="M26" s="23"/>
      <c r="N26" s="2186">
        <v>0</v>
      </c>
      <c r="O26" s="2186">
        <v>0</v>
      </c>
      <c r="P26" s="2186">
        <v>0</v>
      </c>
      <c r="Q26" s="23"/>
      <c r="R26" s="23"/>
      <c r="S26" s="23"/>
      <c r="T26" s="2189">
        <f t="shared" si="15"/>
        <v>0</v>
      </c>
      <c r="U26" s="2190">
        <f t="shared" si="13"/>
        <v>0</v>
      </c>
      <c r="V26" s="2191">
        <f t="shared" si="14"/>
        <v>0</v>
      </c>
      <c r="W26" s="2192">
        <f t="shared" si="16"/>
        <v>0</v>
      </c>
      <c r="X26" s="1535" t="str">
        <f t="shared" si="17"/>
        <v>1.33</v>
      </c>
      <c r="Y26" s="1535" t="str">
        <f t="shared" si="18"/>
        <v>D+</v>
      </c>
      <c r="Z26" s="1535" t="str">
        <f t="shared" si="19"/>
        <v>0</v>
      </c>
      <c r="AA26" s="2173"/>
      <c r="AB26" s="2174"/>
      <c r="AC26" s="2174"/>
      <c r="AD26" s="2174"/>
      <c r="AE26" s="2174"/>
      <c r="AF26" s="2174"/>
      <c r="AG26" s="2174"/>
      <c r="AH26" s="2174"/>
      <c r="AI26" s="2174"/>
      <c r="AJ26" s="2175"/>
      <c r="AK26" s="2175"/>
      <c r="AL26" s="2175"/>
      <c r="AM26" s="2175"/>
      <c r="AN26" s="2175"/>
      <c r="AO26" s="2175"/>
      <c r="AP26" s="2175"/>
      <c r="AQ26" s="2175"/>
      <c r="AR26" s="2176"/>
      <c r="AS26" s="1948"/>
      <c r="AT26" s="1949"/>
    </row>
    <row r="27" spans="1:46" ht="24.95" customHeight="1" x14ac:dyDescent="0.3">
      <c r="A27" s="1207"/>
      <c r="B27" s="1207"/>
      <c r="C27" s="1655"/>
      <c r="D27" s="1654" t="s">
        <v>607</v>
      </c>
      <c r="E27" s="23"/>
      <c r="F27" s="23"/>
      <c r="G27" s="23"/>
      <c r="H27" s="2186"/>
      <c r="I27" s="2186"/>
      <c r="J27" s="2186"/>
      <c r="K27" s="23"/>
      <c r="L27" s="23"/>
      <c r="M27" s="23"/>
      <c r="N27" s="2186">
        <v>0</v>
      </c>
      <c r="O27" s="2186">
        <v>0</v>
      </c>
      <c r="P27" s="2186">
        <v>0</v>
      </c>
      <c r="Q27" s="23"/>
      <c r="R27" s="23"/>
      <c r="S27" s="23"/>
      <c r="T27" s="2189">
        <f t="shared" si="15"/>
        <v>0</v>
      </c>
      <c r="U27" s="2190">
        <f t="shared" si="13"/>
        <v>0</v>
      </c>
      <c r="V27" s="2191">
        <f t="shared" si="14"/>
        <v>0</v>
      </c>
      <c r="W27" s="2192">
        <f t="shared" si="16"/>
        <v>0</v>
      </c>
      <c r="X27" s="1535" t="str">
        <f t="shared" si="17"/>
        <v>1.33</v>
      </c>
      <c r="Y27" s="1535" t="str">
        <f t="shared" si="18"/>
        <v>D+</v>
      </c>
      <c r="Z27" s="1535" t="str">
        <f t="shared" si="19"/>
        <v>0</v>
      </c>
      <c r="AA27" s="2173"/>
      <c r="AB27" s="2174"/>
      <c r="AC27" s="2174"/>
      <c r="AD27" s="2174"/>
      <c r="AE27" s="2174"/>
      <c r="AF27" s="2174"/>
      <c r="AG27" s="2174"/>
      <c r="AH27" s="2174"/>
      <c r="AI27" s="2174"/>
      <c r="AJ27" s="2175"/>
      <c r="AK27" s="2175"/>
      <c r="AL27" s="2175"/>
      <c r="AM27" s="2175"/>
      <c r="AN27" s="2175"/>
      <c r="AO27" s="2175"/>
      <c r="AP27" s="2175"/>
      <c r="AQ27" s="2175"/>
      <c r="AR27" s="2176"/>
      <c r="AS27" s="1948"/>
      <c r="AT27" s="1949"/>
    </row>
    <row r="28" spans="1:46" ht="24.95" customHeight="1" x14ac:dyDescent="0.3">
      <c r="A28" s="1656"/>
      <c r="B28" s="1207"/>
      <c r="C28" s="1655"/>
      <c r="D28" s="1654" t="s">
        <v>22</v>
      </c>
      <c r="E28" s="2187"/>
      <c r="F28" s="2187"/>
      <c r="G28" s="2187"/>
      <c r="H28" s="2188"/>
      <c r="I28" s="2186"/>
      <c r="J28" s="2186"/>
      <c r="K28" s="23"/>
      <c r="L28" s="23"/>
      <c r="M28" s="23"/>
      <c r="N28" s="2186"/>
      <c r="O28" s="2186"/>
      <c r="P28" s="2186"/>
      <c r="Q28" s="23">
        <v>0</v>
      </c>
      <c r="R28" s="23">
        <v>0</v>
      </c>
      <c r="S28" s="23">
        <v>0</v>
      </c>
      <c r="T28" s="2189">
        <f t="shared" si="15"/>
        <v>0</v>
      </c>
      <c r="U28" s="2190">
        <f t="shared" si="13"/>
        <v>0</v>
      </c>
      <c r="V28" s="2191">
        <f t="shared" si="14"/>
        <v>0</v>
      </c>
      <c r="W28" s="2192">
        <f t="shared" si="16"/>
        <v>0</v>
      </c>
      <c r="X28" s="1535" t="str">
        <f t="shared" si="17"/>
        <v>1.33</v>
      </c>
      <c r="Y28" s="1535" t="str">
        <f t="shared" si="18"/>
        <v>D+</v>
      </c>
      <c r="Z28" s="1535" t="str">
        <f t="shared" si="19"/>
        <v>0</v>
      </c>
      <c r="AA28" s="2173"/>
      <c r="AB28" s="2174"/>
      <c r="AC28" s="2174"/>
      <c r="AD28" s="2174"/>
      <c r="AE28" s="2174"/>
      <c r="AF28" s="2174"/>
      <c r="AG28" s="2174"/>
      <c r="AH28" s="2174"/>
      <c r="AI28" s="2174"/>
      <c r="AJ28" s="2175"/>
      <c r="AK28" s="2175"/>
      <c r="AL28" s="2175"/>
      <c r="AM28" s="2175"/>
      <c r="AN28" s="2175"/>
      <c r="AO28" s="2175"/>
      <c r="AP28" s="2175"/>
      <c r="AQ28" s="2175"/>
      <c r="AR28" s="2176"/>
      <c r="AS28" s="1950"/>
      <c r="AT28" s="1951"/>
    </row>
    <row r="29" spans="1:46" ht="24.95" customHeight="1" x14ac:dyDescent="0.3">
      <c r="A29" s="1236"/>
      <c r="B29" s="1237">
        <v>2</v>
      </c>
      <c r="C29" s="1658"/>
      <c r="D29" s="1236"/>
      <c r="E29" s="2650"/>
      <c r="F29" s="2651"/>
      <c r="G29" s="2651"/>
      <c r="H29" s="2651"/>
      <c r="I29" s="2652"/>
      <c r="J29" s="2109"/>
      <c r="K29" s="2109"/>
      <c r="L29" s="2109"/>
      <c r="M29" s="2109"/>
      <c r="N29" s="2109"/>
      <c r="O29" s="2109"/>
      <c r="P29" s="2109"/>
      <c r="Q29" s="2109"/>
      <c r="R29" s="2109"/>
      <c r="S29" s="2109"/>
      <c r="T29" s="2193"/>
      <c r="U29" s="2193"/>
      <c r="V29" s="2193"/>
      <c r="W29" s="2194">
        <f>IFERROR(AVERAGE(W20:W28),"  ")</f>
        <v>0</v>
      </c>
      <c r="X29" s="1454" t="str">
        <f>IF(W29&gt;85,("4"),IF(W29&gt;80,("3.66"),IF(W29&gt;75,("3.33"),IF(W29&gt;70,("3.00"),IF(W29&gt;65,("2.66"),IF(W29&gt;60,("2.33"),IF(W29&gt;55,("2"),IF(W29&gt;50,("1.66"),"1.33"))))))))</f>
        <v>1.33</v>
      </c>
      <c r="Y29" s="1454" t="str">
        <f>IF(W29&gt;85,("A"),IF(W29&gt;80,("A-"),IF(W29&gt;75,("B+"),IF(W29&gt;70,("B"),IF(W29&gt;65,("B-"),IF(W29&gt;60,("C+"),IF(W29&gt;55,("C"),IF(W29&gt;50,("C-"),"D+"))))))))</f>
        <v>D+</v>
      </c>
      <c r="Z29" s="1666"/>
      <c r="AA29" s="2182"/>
      <c r="AB29" s="2183"/>
      <c r="AC29" s="2183"/>
      <c r="AD29" s="2183"/>
      <c r="AE29" s="2183"/>
      <c r="AF29" s="2183"/>
      <c r="AG29" s="2183"/>
      <c r="AH29" s="2183"/>
      <c r="AI29" s="2183"/>
      <c r="AJ29" s="2183"/>
      <c r="AK29" s="2183"/>
      <c r="AL29" s="2183"/>
      <c r="AM29" s="2183"/>
      <c r="AN29" s="2183"/>
      <c r="AO29" s="2183"/>
      <c r="AP29" s="2183"/>
      <c r="AQ29" s="2183"/>
      <c r="AR29" s="2184"/>
      <c r="AS29" s="1952"/>
      <c r="AT29" s="1953"/>
    </row>
    <row r="30" spans="1:46" ht="24.95" customHeight="1" x14ac:dyDescent="0.3">
      <c r="A30" s="1224">
        <v>3</v>
      </c>
      <c r="B30" s="1224"/>
      <c r="C30" s="1653" t="str">
        <f>VLOOKUP(A30,data_siswa,4,FALSE)</f>
        <v>Anggun Dwi P.I</v>
      </c>
      <c r="D30" s="1654" t="s">
        <v>603</v>
      </c>
      <c r="E30" s="1211">
        <v>0</v>
      </c>
      <c r="F30" s="1211">
        <v>0</v>
      </c>
      <c r="G30" s="1211">
        <v>0</v>
      </c>
      <c r="H30" s="2185"/>
      <c r="I30" s="2185"/>
      <c r="J30" s="2185"/>
      <c r="K30" s="1211"/>
      <c r="L30" s="1211"/>
      <c r="M30" s="1211"/>
      <c r="N30" s="2185"/>
      <c r="O30" s="2185"/>
      <c r="P30" s="2185"/>
      <c r="Q30" s="1211"/>
      <c r="R30" s="1211"/>
      <c r="S30" s="1211"/>
      <c r="T30" s="2189">
        <f>MAX(H30,K30,N30,Q30)</f>
        <v>0</v>
      </c>
      <c r="U30" s="2190">
        <f t="shared" ref="U30:U38" si="20">MAX(I30,L30,O30,R30)</f>
        <v>0</v>
      </c>
      <c r="V30" s="2191">
        <f t="shared" ref="V30:V38" si="21">MAX(J30,M30,P30,S30)</f>
        <v>0</v>
      </c>
      <c r="W30" s="2192">
        <f>IFERROR(AVERAGE(T30:V30),"")</f>
        <v>0</v>
      </c>
      <c r="X30" s="1665" t="str">
        <f>IF(W30&gt;85,("4"),IF(W30&gt;80,("3.66"),IF(W30&gt;75,("3.33"),IF(W30&gt;70,("3.00"),IF(W30&gt;65,("2.66"),IF(W30&gt;60,("2.33"),IF(W30&gt;55,("2"),IF(W30&gt;50,("1.66"),"1.33"))))))))</f>
        <v>1.33</v>
      </c>
      <c r="Y30" s="1075" t="str">
        <f>IF(W30&gt;85,("A"),IF(W30&gt;80,("A-"),IF(W30&gt;75,("B+"),IF(W30&gt;70,("B"),IF(W30&gt;65,("B-"),IF(W30&gt;60,("C+"),IF(W30&gt;55,("C"),IF(W30&gt;50,("C-"),"D+"))))))))</f>
        <v>D+</v>
      </c>
      <c r="Z30" s="1075" t="str">
        <f>IF(W30&gt;80,("SB"),IF(W30&gt;65,("B"),IF(W30&gt;50,("C"),IF(W30&gt;0,("K"),"0"))))</f>
        <v>0</v>
      </c>
      <c r="AA30" s="2180"/>
      <c r="AB30" s="2180"/>
      <c r="AC30" s="2180"/>
      <c r="AD30" s="2180"/>
      <c r="AE30" s="2180"/>
      <c r="AF30" s="2180"/>
      <c r="AG30" s="2180"/>
      <c r="AH30" s="2180"/>
      <c r="AI30" s="2180"/>
      <c r="AJ30" s="2181"/>
      <c r="AK30" s="2181"/>
      <c r="AL30" s="2181"/>
      <c r="AM30" s="2181"/>
      <c r="AN30" s="2181"/>
      <c r="AO30" s="2181"/>
      <c r="AP30" s="2181"/>
      <c r="AQ30" s="2181"/>
      <c r="AR30" s="2181"/>
      <c r="AS30" s="1910">
        <f>W39</f>
        <v>0</v>
      </c>
      <c r="AT30" s="1910" t="str">
        <f>Y39</f>
        <v>D+</v>
      </c>
    </row>
    <row r="31" spans="1:46" ht="24.95" customHeight="1" x14ac:dyDescent="0.3">
      <c r="A31" s="1207"/>
      <c r="B31" s="1207"/>
      <c r="C31" s="1655"/>
      <c r="D31" s="1654" t="s">
        <v>604</v>
      </c>
      <c r="E31" s="23">
        <v>0</v>
      </c>
      <c r="F31" s="23">
        <v>0</v>
      </c>
      <c r="G31" s="23">
        <v>0</v>
      </c>
      <c r="H31" s="2186"/>
      <c r="I31" s="2186"/>
      <c r="J31" s="2186"/>
      <c r="K31" s="23"/>
      <c r="L31" s="23"/>
      <c r="M31" s="23"/>
      <c r="N31" s="2186"/>
      <c r="O31" s="2186"/>
      <c r="P31" s="2186"/>
      <c r="Q31" s="23"/>
      <c r="R31" s="23"/>
      <c r="S31" s="23"/>
      <c r="T31" s="2189">
        <f t="shared" ref="T31:T38" si="22">MAX(H31,K31,N31,Q31)</f>
        <v>0</v>
      </c>
      <c r="U31" s="2190">
        <f t="shared" si="20"/>
        <v>0</v>
      </c>
      <c r="V31" s="2191">
        <f t="shared" si="21"/>
        <v>0</v>
      </c>
      <c r="W31" s="2192">
        <f t="shared" ref="W31:W38" si="23">IFERROR(AVERAGE(T31:V31),"")</f>
        <v>0</v>
      </c>
      <c r="X31" s="1535" t="str">
        <f t="shared" ref="X31:X38" si="24">IF(W31&gt;85,("4"),IF(W31&gt;80,("3.66"),IF(W31&gt;75,("3.33"),IF(W31&gt;70,("3.00"),IF(W31&gt;65,("2.66"),IF(W31&gt;60,("2.33"),IF(W31&gt;55,("2"),IF(W31&gt;50,("1.66"),"1.33"))))))))</f>
        <v>1.33</v>
      </c>
      <c r="Y31" s="1075" t="str">
        <f t="shared" ref="Y31:Y38" si="25">IF(W31&gt;85,("A"),IF(W31&gt;80,("A-"),IF(W31&gt;75,("B+"),IF(W31&gt;70,("B"),IF(W31&gt;65,("B-"),IF(W31&gt;60,("C+"),IF(W31&gt;55,("C"),IF(W31&gt;50,("C-"),"D+"))))))))</f>
        <v>D+</v>
      </c>
      <c r="Z31" s="1075" t="str">
        <f t="shared" ref="Z31:Z38" si="26">IF(W31&gt;80,("SB"),IF(W31&gt;65,("B"),IF(W31&gt;50,("C"),IF(W31&gt;0,("K"),"0"))))</f>
        <v>0</v>
      </c>
      <c r="AA31" s="2169"/>
      <c r="AB31" s="2170"/>
      <c r="AC31" s="2170"/>
      <c r="AD31" s="2170"/>
      <c r="AE31" s="2170"/>
      <c r="AF31" s="2170"/>
      <c r="AG31" s="2170"/>
      <c r="AH31" s="2170"/>
      <c r="AI31" s="2170"/>
      <c r="AJ31" s="2171"/>
      <c r="AK31" s="2171"/>
      <c r="AL31" s="2171"/>
      <c r="AM31" s="2171"/>
      <c r="AN31" s="2171"/>
      <c r="AO31" s="2171"/>
      <c r="AP31" s="2171"/>
      <c r="AQ31" s="2171"/>
      <c r="AR31" s="2172"/>
      <c r="AS31" s="1946"/>
      <c r="AT31" s="1947"/>
    </row>
    <row r="32" spans="1:46" ht="24.95" customHeight="1" x14ac:dyDescent="0.3">
      <c r="A32" s="1207"/>
      <c r="B32" s="1207"/>
      <c r="C32" s="1655"/>
      <c r="D32" s="1654" t="s">
        <v>605</v>
      </c>
      <c r="E32" s="23">
        <v>0</v>
      </c>
      <c r="F32" s="23">
        <v>0</v>
      </c>
      <c r="G32" s="23">
        <v>0</v>
      </c>
      <c r="H32" s="2186"/>
      <c r="I32" s="2186"/>
      <c r="J32" s="2186"/>
      <c r="K32" s="23"/>
      <c r="L32" s="23"/>
      <c r="M32" s="23"/>
      <c r="N32" s="2186"/>
      <c r="O32" s="2186"/>
      <c r="P32" s="2186"/>
      <c r="Q32" s="23"/>
      <c r="R32" s="23"/>
      <c r="S32" s="23"/>
      <c r="T32" s="2189">
        <f t="shared" si="22"/>
        <v>0</v>
      </c>
      <c r="U32" s="2190">
        <f t="shared" si="20"/>
        <v>0</v>
      </c>
      <c r="V32" s="2191">
        <f t="shared" si="21"/>
        <v>0</v>
      </c>
      <c r="W32" s="2192">
        <f t="shared" si="23"/>
        <v>0</v>
      </c>
      <c r="X32" s="1535" t="str">
        <f t="shared" si="24"/>
        <v>1.33</v>
      </c>
      <c r="Y32" s="1075" t="str">
        <f t="shared" si="25"/>
        <v>D+</v>
      </c>
      <c r="Z32" s="1075" t="str">
        <f t="shared" si="26"/>
        <v>0</v>
      </c>
      <c r="AA32" s="2173"/>
      <c r="AB32" s="2174"/>
      <c r="AC32" s="2174"/>
      <c r="AD32" s="2174"/>
      <c r="AE32" s="2174"/>
      <c r="AF32" s="2174"/>
      <c r="AG32" s="2174"/>
      <c r="AH32" s="2174"/>
      <c r="AI32" s="2174"/>
      <c r="AJ32" s="2175"/>
      <c r="AK32" s="2175"/>
      <c r="AL32" s="2175"/>
      <c r="AM32" s="2175"/>
      <c r="AN32" s="2175"/>
      <c r="AO32" s="2175"/>
      <c r="AP32" s="2175"/>
      <c r="AQ32" s="2175"/>
      <c r="AR32" s="2176"/>
      <c r="AS32" s="1948"/>
      <c r="AT32" s="1949"/>
    </row>
    <row r="33" spans="1:46" ht="24.95" customHeight="1" x14ac:dyDescent="0.3">
      <c r="A33" s="1207"/>
      <c r="B33" s="1207"/>
      <c r="C33" s="1655"/>
      <c r="D33" s="1654" t="s">
        <v>155</v>
      </c>
      <c r="E33" s="23"/>
      <c r="F33" s="23"/>
      <c r="G33" s="23"/>
      <c r="H33" s="2186">
        <v>0</v>
      </c>
      <c r="I33" s="2186">
        <v>0</v>
      </c>
      <c r="J33" s="2186">
        <v>0</v>
      </c>
      <c r="K33" s="23"/>
      <c r="L33" s="23"/>
      <c r="M33" s="23"/>
      <c r="N33" s="2186"/>
      <c r="O33" s="2186"/>
      <c r="P33" s="2186"/>
      <c r="Q33" s="23"/>
      <c r="R33" s="23"/>
      <c r="S33" s="23"/>
      <c r="T33" s="2189">
        <f t="shared" si="22"/>
        <v>0</v>
      </c>
      <c r="U33" s="2190">
        <f t="shared" si="20"/>
        <v>0</v>
      </c>
      <c r="V33" s="2191">
        <f t="shared" si="21"/>
        <v>0</v>
      </c>
      <c r="W33" s="2192">
        <f t="shared" si="23"/>
        <v>0</v>
      </c>
      <c r="X33" s="1535" t="str">
        <f t="shared" si="24"/>
        <v>1.33</v>
      </c>
      <c r="Y33" s="1075" t="str">
        <f t="shared" si="25"/>
        <v>D+</v>
      </c>
      <c r="Z33" s="1075" t="str">
        <f t="shared" si="26"/>
        <v>0</v>
      </c>
      <c r="AA33" s="2173"/>
      <c r="AB33" s="2174"/>
      <c r="AC33" s="2174"/>
      <c r="AD33" s="2174"/>
      <c r="AE33" s="2174"/>
      <c r="AF33" s="2174"/>
      <c r="AG33" s="2174"/>
      <c r="AH33" s="2174"/>
      <c r="AI33" s="2174"/>
      <c r="AJ33" s="2175"/>
      <c r="AK33" s="2175"/>
      <c r="AL33" s="2175"/>
      <c r="AM33" s="2175"/>
      <c r="AN33" s="2175"/>
      <c r="AO33" s="2175"/>
      <c r="AP33" s="2175"/>
      <c r="AQ33" s="2175"/>
      <c r="AR33" s="2176"/>
      <c r="AS33" s="1948"/>
      <c r="AT33" s="1949"/>
    </row>
    <row r="34" spans="1:46" ht="24.95" customHeight="1" x14ac:dyDescent="0.3">
      <c r="A34" s="1207"/>
      <c r="B34" s="1207"/>
      <c r="C34" s="1655"/>
      <c r="D34" s="1654" t="s">
        <v>187</v>
      </c>
      <c r="E34" s="23"/>
      <c r="F34" s="23"/>
      <c r="G34" s="23"/>
      <c r="H34" s="2186"/>
      <c r="I34" s="2186"/>
      <c r="J34" s="2186"/>
      <c r="K34" s="23">
        <v>0</v>
      </c>
      <c r="L34" s="23">
        <v>0</v>
      </c>
      <c r="M34" s="23">
        <v>0</v>
      </c>
      <c r="N34" s="2186"/>
      <c r="O34" s="2186"/>
      <c r="P34" s="2186"/>
      <c r="Q34" s="23"/>
      <c r="R34" s="23"/>
      <c r="S34" s="23"/>
      <c r="T34" s="2189">
        <f t="shared" si="22"/>
        <v>0</v>
      </c>
      <c r="U34" s="2190">
        <f t="shared" si="20"/>
        <v>0</v>
      </c>
      <c r="V34" s="2191">
        <f t="shared" si="21"/>
        <v>0</v>
      </c>
      <c r="W34" s="2192">
        <f t="shared" si="23"/>
        <v>0</v>
      </c>
      <c r="X34" s="1535" t="str">
        <f t="shared" si="24"/>
        <v>1.33</v>
      </c>
      <c r="Y34" s="1075" t="str">
        <f t="shared" si="25"/>
        <v>D+</v>
      </c>
      <c r="Z34" s="1075" t="str">
        <f t="shared" si="26"/>
        <v>0</v>
      </c>
      <c r="AA34" s="2173"/>
      <c r="AB34" s="2174"/>
      <c r="AC34" s="2174"/>
      <c r="AD34" s="2174"/>
      <c r="AE34" s="2174"/>
      <c r="AF34" s="2174"/>
      <c r="AG34" s="2174"/>
      <c r="AH34" s="2174"/>
      <c r="AI34" s="2174"/>
      <c r="AJ34" s="2175"/>
      <c r="AK34" s="2175"/>
      <c r="AL34" s="2175"/>
      <c r="AM34" s="2175"/>
      <c r="AN34" s="2175"/>
      <c r="AO34" s="2175"/>
      <c r="AP34" s="2175"/>
      <c r="AQ34" s="2175"/>
      <c r="AR34" s="2176"/>
      <c r="AS34" s="1948"/>
      <c r="AT34" s="1949"/>
    </row>
    <row r="35" spans="1:46" ht="24.95" customHeight="1" x14ac:dyDescent="0.3">
      <c r="A35" s="1207"/>
      <c r="B35" s="1207"/>
      <c r="C35" s="1655"/>
      <c r="D35" s="1654" t="s">
        <v>17</v>
      </c>
      <c r="E35" s="23"/>
      <c r="F35" s="23"/>
      <c r="G35" s="23"/>
      <c r="H35" s="2186"/>
      <c r="I35" s="2186"/>
      <c r="J35" s="2186"/>
      <c r="K35" s="23">
        <v>0</v>
      </c>
      <c r="L35" s="23">
        <v>0</v>
      </c>
      <c r="M35" s="23">
        <v>0</v>
      </c>
      <c r="N35" s="2186"/>
      <c r="O35" s="2186"/>
      <c r="P35" s="2186"/>
      <c r="Q35" s="23"/>
      <c r="R35" s="23"/>
      <c r="S35" s="23"/>
      <c r="T35" s="2189">
        <f t="shared" si="22"/>
        <v>0</v>
      </c>
      <c r="U35" s="2190">
        <f t="shared" si="20"/>
        <v>0</v>
      </c>
      <c r="V35" s="2191">
        <f t="shared" si="21"/>
        <v>0</v>
      </c>
      <c r="W35" s="2192">
        <f t="shared" si="23"/>
        <v>0</v>
      </c>
      <c r="X35" s="1535" t="str">
        <f t="shared" si="24"/>
        <v>1.33</v>
      </c>
      <c r="Y35" s="1075" t="str">
        <f t="shared" si="25"/>
        <v>D+</v>
      </c>
      <c r="Z35" s="1075" t="str">
        <f t="shared" si="26"/>
        <v>0</v>
      </c>
      <c r="AA35" s="2173"/>
      <c r="AB35" s="2174"/>
      <c r="AC35" s="2174"/>
      <c r="AD35" s="2174"/>
      <c r="AE35" s="2174"/>
      <c r="AF35" s="2174"/>
      <c r="AG35" s="2174"/>
      <c r="AH35" s="2174"/>
      <c r="AI35" s="2174"/>
      <c r="AJ35" s="2175"/>
      <c r="AK35" s="2175"/>
      <c r="AL35" s="2175"/>
      <c r="AM35" s="2175"/>
      <c r="AN35" s="2175"/>
      <c r="AO35" s="2175"/>
      <c r="AP35" s="2175"/>
      <c r="AQ35" s="2175"/>
      <c r="AR35" s="2176"/>
      <c r="AS35" s="1948"/>
      <c r="AT35" s="1949"/>
    </row>
    <row r="36" spans="1:46" ht="24.95" customHeight="1" x14ac:dyDescent="0.3">
      <c r="A36" s="1207"/>
      <c r="B36" s="1207"/>
      <c r="C36" s="1655"/>
      <c r="D36" s="1654" t="s">
        <v>606</v>
      </c>
      <c r="E36" s="23"/>
      <c r="F36" s="23"/>
      <c r="G36" s="23"/>
      <c r="H36" s="2186"/>
      <c r="I36" s="2186"/>
      <c r="J36" s="2186"/>
      <c r="K36" s="23"/>
      <c r="L36" s="23"/>
      <c r="M36" s="23"/>
      <c r="N36" s="2186">
        <v>0</v>
      </c>
      <c r="O36" s="2186">
        <v>0</v>
      </c>
      <c r="P36" s="2186">
        <v>0</v>
      </c>
      <c r="Q36" s="23"/>
      <c r="R36" s="23"/>
      <c r="S36" s="23"/>
      <c r="T36" s="2189">
        <f t="shared" si="22"/>
        <v>0</v>
      </c>
      <c r="U36" s="2190">
        <f t="shared" si="20"/>
        <v>0</v>
      </c>
      <c r="V36" s="2191">
        <f t="shared" si="21"/>
        <v>0</v>
      </c>
      <c r="W36" s="2192">
        <f t="shared" si="23"/>
        <v>0</v>
      </c>
      <c r="X36" s="1535" t="str">
        <f t="shared" si="24"/>
        <v>1.33</v>
      </c>
      <c r="Y36" s="1075" t="str">
        <f t="shared" si="25"/>
        <v>D+</v>
      </c>
      <c r="Z36" s="1075" t="str">
        <f t="shared" si="26"/>
        <v>0</v>
      </c>
      <c r="AA36" s="2173"/>
      <c r="AB36" s="2174"/>
      <c r="AC36" s="2174"/>
      <c r="AD36" s="2174"/>
      <c r="AE36" s="2174"/>
      <c r="AF36" s="2174"/>
      <c r="AG36" s="2174"/>
      <c r="AH36" s="2174"/>
      <c r="AI36" s="2174"/>
      <c r="AJ36" s="2175"/>
      <c r="AK36" s="2175"/>
      <c r="AL36" s="2175"/>
      <c r="AM36" s="2175"/>
      <c r="AN36" s="2175"/>
      <c r="AO36" s="2175"/>
      <c r="AP36" s="2175"/>
      <c r="AQ36" s="2175"/>
      <c r="AR36" s="2176"/>
      <c r="AS36" s="1948"/>
      <c r="AT36" s="1949"/>
    </row>
    <row r="37" spans="1:46" ht="24.95" customHeight="1" x14ac:dyDescent="0.3">
      <c r="A37" s="1207"/>
      <c r="B37" s="1207"/>
      <c r="C37" s="1655"/>
      <c r="D37" s="1654" t="s">
        <v>607</v>
      </c>
      <c r="E37" s="23"/>
      <c r="F37" s="23"/>
      <c r="G37" s="23"/>
      <c r="H37" s="2186"/>
      <c r="I37" s="2186"/>
      <c r="J37" s="2186"/>
      <c r="K37" s="23"/>
      <c r="L37" s="23"/>
      <c r="M37" s="23"/>
      <c r="N37" s="2186">
        <v>0</v>
      </c>
      <c r="O37" s="2186">
        <v>0</v>
      </c>
      <c r="P37" s="2186">
        <v>0</v>
      </c>
      <c r="Q37" s="23"/>
      <c r="R37" s="23"/>
      <c r="S37" s="23"/>
      <c r="T37" s="2189">
        <f t="shared" si="22"/>
        <v>0</v>
      </c>
      <c r="U37" s="2190">
        <f t="shared" si="20"/>
        <v>0</v>
      </c>
      <c r="V37" s="2191">
        <f t="shared" si="21"/>
        <v>0</v>
      </c>
      <c r="W37" s="2192">
        <f t="shared" si="23"/>
        <v>0</v>
      </c>
      <c r="X37" s="1535" t="str">
        <f t="shared" si="24"/>
        <v>1.33</v>
      </c>
      <c r="Y37" s="1075" t="str">
        <f t="shared" si="25"/>
        <v>D+</v>
      </c>
      <c r="Z37" s="1075" t="str">
        <f t="shared" si="26"/>
        <v>0</v>
      </c>
      <c r="AA37" s="2173"/>
      <c r="AB37" s="2174"/>
      <c r="AC37" s="2174"/>
      <c r="AD37" s="2174"/>
      <c r="AE37" s="2174"/>
      <c r="AF37" s="2174"/>
      <c r="AG37" s="2174"/>
      <c r="AH37" s="2174"/>
      <c r="AI37" s="2174"/>
      <c r="AJ37" s="2175"/>
      <c r="AK37" s="2175"/>
      <c r="AL37" s="2175"/>
      <c r="AM37" s="2175"/>
      <c r="AN37" s="2175"/>
      <c r="AO37" s="2175"/>
      <c r="AP37" s="2175"/>
      <c r="AQ37" s="2175"/>
      <c r="AR37" s="2176"/>
      <c r="AS37" s="1948"/>
      <c r="AT37" s="1949"/>
    </row>
    <row r="38" spans="1:46" ht="24.95" customHeight="1" x14ac:dyDescent="0.3">
      <c r="A38" s="1656"/>
      <c r="B38" s="1207"/>
      <c r="C38" s="1655"/>
      <c r="D38" s="1654" t="s">
        <v>22</v>
      </c>
      <c r="E38" s="2187"/>
      <c r="F38" s="2187"/>
      <c r="G38" s="2187"/>
      <c r="H38" s="2188"/>
      <c r="I38" s="2186"/>
      <c r="J38" s="2186"/>
      <c r="K38" s="23"/>
      <c r="L38" s="23"/>
      <c r="M38" s="23"/>
      <c r="N38" s="2186"/>
      <c r="O38" s="2186"/>
      <c r="P38" s="2186"/>
      <c r="Q38" s="23">
        <v>0</v>
      </c>
      <c r="R38" s="23">
        <v>0</v>
      </c>
      <c r="S38" s="23">
        <v>0</v>
      </c>
      <c r="T38" s="2189">
        <f t="shared" si="22"/>
        <v>0</v>
      </c>
      <c r="U38" s="2190">
        <f t="shared" si="20"/>
        <v>0</v>
      </c>
      <c r="V38" s="2191">
        <f t="shared" si="21"/>
        <v>0</v>
      </c>
      <c r="W38" s="2192">
        <f t="shared" si="23"/>
        <v>0</v>
      </c>
      <c r="X38" s="1535" t="str">
        <f t="shared" si="24"/>
        <v>1.33</v>
      </c>
      <c r="Y38" s="1075" t="str">
        <f t="shared" si="25"/>
        <v>D+</v>
      </c>
      <c r="Z38" s="1075" t="str">
        <f t="shared" si="26"/>
        <v>0</v>
      </c>
      <c r="AA38" s="2173"/>
      <c r="AB38" s="2174"/>
      <c r="AC38" s="2174"/>
      <c r="AD38" s="2174"/>
      <c r="AE38" s="2174"/>
      <c r="AF38" s="2174"/>
      <c r="AG38" s="2174"/>
      <c r="AH38" s="2174"/>
      <c r="AI38" s="2174"/>
      <c r="AJ38" s="2175"/>
      <c r="AK38" s="2175"/>
      <c r="AL38" s="2175"/>
      <c r="AM38" s="2175"/>
      <c r="AN38" s="2175"/>
      <c r="AO38" s="2175"/>
      <c r="AP38" s="2175"/>
      <c r="AQ38" s="2175"/>
      <c r="AR38" s="2176"/>
      <c r="AS38" s="1950"/>
      <c r="AT38" s="1951"/>
    </row>
    <row r="39" spans="1:46" ht="24.95" customHeight="1" x14ac:dyDescent="0.3">
      <c r="A39" s="1236"/>
      <c r="B39" s="1237">
        <v>3</v>
      </c>
      <c r="C39" s="1658"/>
      <c r="D39" s="1236"/>
      <c r="E39" s="2650"/>
      <c r="F39" s="2651"/>
      <c r="G39" s="2651"/>
      <c r="H39" s="2651"/>
      <c r="I39" s="2652"/>
      <c r="J39" s="2109"/>
      <c r="K39" s="2109"/>
      <c r="L39" s="2109"/>
      <c r="M39" s="2109"/>
      <c r="N39" s="2109"/>
      <c r="O39" s="2109"/>
      <c r="P39" s="2109"/>
      <c r="Q39" s="2109"/>
      <c r="R39" s="2109"/>
      <c r="S39" s="2109"/>
      <c r="T39" s="2193"/>
      <c r="U39" s="2193"/>
      <c r="V39" s="2193"/>
      <c r="W39" s="2194">
        <f>IFERROR(AVERAGE(W30:W38),"  ")</f>
        <v>0</v>
      </c>
      <c r="X39" s="1454" t="str">
        <f>IF(W39&gt;85,("4"),IF(W39&gt;80,("3.66"),IF(W39&gt;75,("3.33"),IF(W39&gt;70,("3.00"),IF(W39&gt;65,("2.66"),IF(W39&gt;60,("2.33"),IF(W39&gt;55,("2"),IF(W39&gt;50,("1.66"),"1.33"))))))))</f>
        <v>1.33</v>
      </c>
      <c r="Y39" s="1454" t="str">
        <f>IF(W39&gt;85,("A"),IF(W39&gt;80,("A-"),IF(W39&gt;75,("B+"),IF(W39&gt;70,("B"),IF(W39&gt;65,("B-"),IF(W39&gt;60,("C+"),IF(W39&gt;55,("C"),IF(W39&gt;50,("C-"),"D+"))))))))</f>
        <v>D+</v>
      </c>
      <c r="Z39" s="1666"/>
      <c r="AA39" s="2182"/>
      <c r="AB39" s="2183"/>
      <c r="AC39" s="2183"/>
      <c r="AD39" s="2183"/>
      <c r="AE39" s="2183"/>
      <c r="AF39" s="2183"/>
      <c r="AG39" s="2183"/>
      <c r="AH39" s="2183"/>
      <c r="AI39" s="2183"/>
      <c r="AJ39" s="2183"/>
      <c r="AK39" s="2183"/>
      <c r="AL39" s="2183"/>
      <c r="AM39" s="2183"/>
      <c r="AN39" s="2183"/>
      <c r="AO39" s="2183"/>
      <c r="AP39" s="2183"/>
      <c r="AQ39" s="2183"/>
      <c r="AR39" s="2184"/>
      <c r="AS39" s="1952"/>
      <c r="AT39" s="1953"/>
    </row>
    <row r="40" spans="1:46" ht="24.95" customHeight="1" x14ac:dyDescent="0.3">
      <c r="A40" s="1224">
        <v>4</v>
      </c>
      <c r="B40" s="1224"/>
      <c r="C40" s="1653" t="str">
        <f>VLOOKUP(A40,data_siswa,4,FALSE)</f>
        <v>Antonio Permata A</v>
      </c>
      <c r="D40" s="1654" t="s">
        <v>603</v>
      </c>
      <c r="E40" s="1211">
        <v>0</v>
      </c>
      <c r="F40" s="1211">
        <v>0</v>
      </c>
      <c r="G40" s="1211">
        <v>0</v>
      </c>
      <c r="H40" s="2185"/>
      <c r="I40" s="2185"/>
      <c r="J40" s="2185"/>
      <c r="K40" s="1211"/>
      <c r="L40" s="1211"/>
      <c r="M40" s="1211"/>
      <c r="N40" s="2185"/>
      <c r="O40" s="2185"/>
      <c r="P40" s="2185"/>
      <c r="Q40" s="1211"/>
      <c r="R40" s="1211"/>
      <c r="S40" s="1211"/>
      <c r="T40" s="2189">
        <f>MAX(H40,K40,N40,Q40)</f>
        <v>0</v>
      </c>
      <c r="U40" s="2190">
        <f t="shared" ref="U40:U48" si="27">MAX(I40,L40,O40,R40)</f>
        <v>0</v>
      </c>
      <c r="V40" s="2191">
        <f t="shared" ref="V40:V48" si="28">MAX(J40,M40,P40,S40)</f>
        <v>0</v>
      </c>
      <c r="W40" s="2192">
        <f>IFERROR(AVERAGE(T40:V40),"")</f>
        <v>0</v>
      </c>
      <c r="X40" s="1665" t="str">
        <f>IF(W40&gt;85,("4"),IF(W40&gt;80,("3.66"),IF(W40&gt;75,("3.33"),IF(W40&gt;70,("3.00"),IF(W40&gt;65,("2.66"),IF(W40&gt;60,("2.33"),IF(W40&gt;55,("2"),IF(W40&gt;50,("1.66"),"1.33"))))))))</f>
        <v>1.33</v>
      </c>
      <c r="Y40" s="1075" t="str">
        <f>IF(W40&gt;85,("A"),IF(W40&gt;80,("A-"),IF(W40&gt;75,("B+"),IF(W40&gt;70,("B"),IF(W40&gt;65,("B-"),IF(W40&gt;60,("C+"),IF(W40&gt;55,("C"),IF(W40&gt;50,("C-"),"D+"))))))))</f>
        <v>D+</v>
      </c>
      <c r="Z40" s="1075" t="str">
        <f>IF(W40&gt;80,("SB"),IF(W40&gt;65,("B"),IF(W40&gt;50,("C"),IF(W40&gt;0,("K"),"0"))))</f>
        <v>0</v>
      </c>
      <c r="AA40" s="2180"/>
      <c r="AB40" s="2180"/>
      <c r="AC40" s="2180"/>
      <c r="AD40" s="2180"/>
      <c r="AE40" s="2180"/>
      <c r="AF40" s="2180"/>
      <c r="AG40" s="2180"/>
      <c r="AH40" s="2180"/>
      <c r="AI40" s="2180"/>
      <c r="AJ40" s="2181"/>
      <c r="AK40" s="2181"/>
      <c r="AL40" s="2181"/>
      <c r="AM40" s="2181"/>
      <c r="AN40" s="2181"/>
      <c r="AO40" s="2181"/>
      <c r="AP40" s="2181"/>
      <c r="AQ40" s="2181"/>
      <c r="AR40" s="2181"/>
      <c r="AS40" s="1910">
        <f>W49</f>
        <v>0</v>
      </c>
      <c r="AT40" s="1910" t="str">
        <f>Y49</f>
        <v>D+</v>
      </c>
    </row>
    <row r="41" spans="1:46" ht="24.95" customHeight="1" x14ac:dyDescent="0.3">
      <c r="A41" s="1207"/>
      <c r="B41" s="1207"/>
      <c r="C41" s="1655"/>
      <c r="D41" s="1654" t="s">
        <v>604</v>
      </c>
      <c r="E41" s="23">
        <v>0</v>
      </c>
      <c r="F41" s="23">
        <v>0</v>
      </c>
      <c r="G41" s="23">
        <v>0</v>
      </c>
      <c r="H41" s="2186"/>
      <c r="I41" s="2186"/>
      <c r="J41" s="2186"/>
      <c r="K41" s="23"/>
      <c r="L41" s="23"/>
      <c r="M41" s="23"/>
      <c r="N41" s="2186"/>
      <c r="O41" s="2186"/>
      <c r="P41" s="2186"/>
      <c r="Q41" s="23"/>
      <c r="R41" s="23"/>
      <c r="S41" s="23"/>
      <c r="T41" s="2189">
        <f t="shared" ref="T41:T48" si="29">MAX(H41,K41,N41,Q41)</f>
        <v>0</v>
      </c>
      <c r="U41" s="2190">
        <f t="shared" si="27"/>
        <v>0</v>
      </c>
      <c r="V41" s="2191">
        <f t="shared" si="28"/>
        <v>0</v>
      </c>
      <c r="W41" s="2192">
        <f t="shared" ref="W41:W48" si="30">IFERROR(AVERAGE(T41:V41),"")</f>
        <v>0</v>
      </c>
      <c r="X41" s="1535" t="str">
        <f t="shared" ref="X41:X48" si="31">IF(W41&gt;85,("4"),IF(W41&gt;80,("3.66"),IF(W41&gt;75,("3.33"),IF(W41&gt;70,("3.00"),IF(W41&gt;65,("2.66"),IF(W41&gt;60,("2.33"),IF(W41&gt;55,("2"),IF(W41&gt;50,("1.66"),"1.33"))))))))</f>
        <v>1.33</v>
      </c>
      <c r="Y41" s="1075" t="str">
        <f t="shared" ref="Y41:Y48" si="32">IF(W41&gt;85,("A"),IF(W41&gt;80,("A-"),IF(W41&gt;75,("B+"),IF(W41&gt;70,("B"),IF(W41&gt;65,("B-"),IF(W41&gt;60,("C+"),IF(W41&gt;55,("C"),IF(W41&gt;50,("C-"),"D+"))))))))</f>
        <v>D+</v>
      </c>
      <c r="Z41" s="1075" t="str">
        <f t="shared" ref="Z41:Z48" si="33">IF(W41&gt;80,("SB"),IF(W41&gt;65,("B"),IF(W41&gt;50,("C"),IF(W41&gt;0,("K"),"0"))))</f>
        <v>0</v>
      </c>
      <c r="AA41" s="2169"/>
      <c r="AB41" s="2170"/>
      <c r="AC41" s="2170"/>
      <c r="AD41" s="2170"/>
      <c r="AE41" s="2170"/>
      <c r="AF41" s="2170"/>
      <c r="AG41" s="2170"/>
      <c r="AH41" s="2170"/>
      <c r="AI41" s="2170"/>
      <c r="AJ41" s="2171"/>
      <c r="AK41" s="2171"/>
      <c r="AL41" s="2171"/>
      <c r="AM41" s="2171"/>
      <c r="AN41" s="2171"/>
      <c r="AO41" s="2171"/>
      <c r="AP41" s="2171"/>
      <c r="AQ41" s="2171"/>
      <c r="AR41" s="2172"/>
      <c r="AS41" s="1946"/>
      <c r="AT41" s="1947"/>
    </row>
    <row r="42" spans="1:46" ht="24.95" customHeight="1" x14ac:dyDescent="0.3">
      <c r="A42" s="1207"/>
      <c r="B42" s="1207"/>
      <c r="C42" s="1655"/>
      <c r="D42" s="1654" t="s">
        <v>605</v>
      </c>
      <c r="E42" s="23">
        <v>0</v>
      </c>
      <c r="F42" s="23">
        <v>0</v>
      </c>
      <c r="G42" s="23">
        <v>0</v>
      </c>
      <c r="H42" s="2186"/>
      <c r="I42" s="2186"/>
      <c r="J42" s="2186"/>
      <c r="K42" s="23"/>
      <c r="L42" s="23"/>
      <c r="M42" s="23"/>
      <c r="N42" s="2186"/>
      <c r="O42" s="2186"/>
      <c r="P42" s="2186"/>
      <c r="Q42" s="23"/>
      <c r="R42" s="23"/>
      <c r="S42" s="23"/>
      <c r="T42" s="2189">
        <f t="shared" si="29"/>
        <v>0</v>
      </c>
      <c r="U42" s="2190">
        <f t="shared" si="27"/>
        <v>0</v>
      </c>
      <c r="V42" s="2191">
        <f t="shared" si="28"/>
        <v>0</v>
      </c>
      <c r="W42" s="2192">
        <f t="shared" si="30"/>
        <v>0</v>
      </c>
      <c r="X42" s="1535" t="str">
        <f t="shared" si="31"/>
        <v>1.33</v>
      </c>
      <c r="Y42" s="1075" t="str">
        <f t="shared" si="32"/>
        <v>D+</v>
      </c>
      <c r="Z42" s="1075" t="str">
        <f t="shared" si="33"/>
        <v>0</v>
      </c>
      <c r="AA42" s="2173"/>
      <c r="AB42" s="2174"/>
      <c r="AC42" s="2174"/>
      <c r="AD42" s="2174"/>
      <c r="AE42" s="2174"/>
      <c r="AF42" s="2174"/>
      <c r="AG42" s="2174"/>
      <c r="AH42" s="2174"/>
      <c r="AI42" s="2174"/>
      <c r="AJ42" s="2175"/>
      <c r="AK42" s="2175"/>
      <c r="AL42" s="2175"/>
      <c r="AM42" s="2175"/>
      <c r="AN42" s="2175"/>
      <c r="AO42" s="2175"/>
      <c r="AP42" s="2175"/>
      <c r="AQ42" s="2175"/>
      <c r="AR42" s="2176"/>
      <c r="AS42" s="1948"/>
      <c r="AT42" s="1949"/>
    </row>
    <row r="43" spans="1:46" ht="24.95" customHeight="1" x14ac:dyDescent="0.3">
      <c r="A43" s="1207"/>
      <c r="B43" s="1207"/>
      <c r="C43" s="1655"/>
      <c r="D43" s="1654" t="s">
        <v>155</v>
      </c>
      <c r="E43" s="23"/>
      <c r="F43" s="23"/>
      <c r="G43" s="23"/>
      <c r="H43" s="2186">
        <v>0</v>
      </c>
      <c r="I43" s="2186">
        <v>0</v>
      </c>
      <c r="J43" s="2186">
        <v>0</v>
      </c>
      <c r="K43" s="23"/>
      <c r="L43" s="23"/>
      <c r="M43" s="23"/>
      <c r="N43" s="2186"/>
      <c r="O43" s="2186"/>
      <c r="P43" s="2186"/>
      <c r="Q43" s="23"/>
      <c r="R43" s="23"/>
      <c r="S43" s="23"/>
      <c r="T43" s="2189">
        <f t="shared" si="29"/>
        <v>0</v>
      </c>
      <c r="U43" s="2190">
        <f t="shared" si="27"/>
        <v>0</v>
      </c>
      <c r="V43" s="2191">
        <f t="shared" si="28"/>
        <v>0</v>
      </c>
      <c r="W43" s="2192">
        <f t="shared" si="30"/>
        <v>0</v>
      </c>
      <c r="X43" s="1535" t="str">
        <f t="shared" si="31"/>
        <v>1.33</v>
      </c>
      <c r="Y43" s="1075" t="str">
        <f t="shared" si="32"/>
        <v>D+</v>
      </c>
      <c r="Z43" s="1075" t="str">
        <f t="shared" si="33"/>
        <v>0</v>
      </c>
      <c r="AA43" s="2173"/>
      <c r="AB43" s="2174"/>
      <c r="AC43" s="2174"/>
      <c r="AD43" s="2174"/>
      <c r="AE43" s="2174"/>
      <c r="AF43" s="2174"/>
      <c r="AG43" s="2174"/>
      <c r="AH43" s="2174"/>
      <c r="AI43" s="2174"/>
      <c r="AJ43" s="2175"/>
      <c r="AK43" s="2175"/>
      <c r="AL43" s="2175"/>
      <c r="AM43" s="2175"/>
      <c r="AN43" s="2175"/>
      <c r="AO43" s="2175"/>
      <c r="AP43" s="2175"/>
      <c r="AQ43" s="2175"/>
      <c r="AR43" s="2176"/>
      <c r="AS43" s="1948"/>
      <c r="AT43" s="1949"/>
    </row>
    <row r="44" spans="1:46" ht="24.95" customHeight="1" x14ac:dyDescent="0.3">
      <c r="A44" s="1207"/>
      <c r="B44" s="1207"/>
      <c r="C44" s="1655"/>
      <c r="D44" s="1654" t="s">
        <v>187</v>
      </c>
      <c r="E44" s="23"/>
      <c r="F44" s="23"/>
      <c r="G44" s="23"/>
      <c r="H44" s="2186"/>
      <c r="I44" s="2186"/>
      <c r="J44" s="2186"/>
      <c r="K44" s="23">
        <v>0</v>
      </c>
      <c r="L44" s="23">
        <v>0</v>
      </c>
      <c r="M44" s="23">
        <v>0</v>
      </c>
      <c r="N44" s="2186"/>
      <c r="O44" s="2186"/>
      <c r="P44" s="2186"/>
      <c r="Q44" s="23"/>
      <c r="R44" s="23"/>
      <c r="S44" s="23"/>
      <c r="T44" s="2189">
        <f t="shared" si="29"/>
        <v>0</v>
      </c>
      <c r="U44" s="2190">
        <f t="shared" si="27"/>
        <v>0</v>
      </c>
      <c r="V44" s="2191">
        <f t="shared" si="28"/>
        <v>0</v>
      </c>
      <c r="W44" s="2192">
        <f t="shared" si="30"/>
        <v>0</v>
      </c>
      <c r="X44" s="1535" t="str">
        <f t="shared" si="31"/>
        <v>1.33</v>
      </c>
      <c r="Y44" s="1075" t="str">
        <f t="shared" si="32"/>
        <v>D+</v>
      </c>
      <c r="Z44" s="1075" t="str">
        <f t="shared" si="33"/>
        <v>0</v>
      </c>
      <c r="AA44" s="2173"/>
      <c r="AB44" s="2174"/>
      <c r="AC44" s="2174"/>
      <c r="AD44" s="2174"/>
      <c r="AE44" s="2174"/>
      <c r="AF44" s="2174"/>
      <c r="AG44" s="2174"/>
      <c r="AH44" s="2174"/>
      <c r="AI44" s="2174"/>
      <c r="AJ44" s="2175"/>
      <c r="AK44" s="2175"/>
      <c r="AL44" s="2175"/>
      <c r="AM44" s="2175"/>
      <c r="AN44" s="2175"/>
      <c r="AO44" s="2175"/>
      <c r="AP44" s="2175"/>
      <c r="AQ44" s="2175"/>
      <c r="AR44" s="2176"/>
      <c r="AS44" s="1948"/>
      <c r="AT44" s="1949"/>
    </row>
    <row r="45" spans="1:46" ht="24.95" customHeight="1" x14ac:dyDescent="0.3">
      <c r="A45" s="1207"/>
      <c r="B45" s="1207"/>
      <c r="C45" s="1655"/>
      <c r="D45" s="1654" t="s">
        <v>17</v>
      </c>
      <c r="E45" s="23"/>
      <c r="F45" s="23"/>
      <c r="G45" s="23"/>
      <c r="H45" s="2186"/>
      <c r="I45" s="2186"/>
      <c r="J45" s="2186"/>
      <c r="K45" s="23">
        <v>0</v>
      </c>
      <c r="L45" s="23">
        <v>0</v>
      </c>
      <c r="M45" s="23">
        <v>0</v>
      </c>
      <c r="N45" s="2186"/>
      <c r="O45" s="2186"/>
      <c r="P45" s="2186"/>
      <c r="Q45" s="23"/>
      <c r="R45" s="23"/>
      <c r="S45" s="23"/>
      <c r="T45" s="2189">
        <f t="shared" si="29"/>
        <v>0</v>
      </c>
      <c r="U45" s="2190">
        <f t="shared" si="27"/>
        <v>0</v>
      </c>
      <c r="V45" s="2191">
        <f t="shared" si="28"/>
        <v>0</v>
      </c>
      <c r="W45" s="2192">
        <f t="shared" si="30"/>
        <v>0</v>
      </c>
      <c r="X45" s="1535" t="str">
        <f t="shared" si="31"/>
        <v>1.33</v>
      </c>
      <c r="Y45" s="1075" t="str">
        <f t="shared" si="32"/>
        <v>D+</v>
      </c>
      <c r="Z45" s="1075" t="str">
        <f t="shared" si="33"/>
        <v>0</v>
      </c>
      <c r="AA45" s="2173"/>
      <c r="AB45" s="2174"/>
      <c r="AC45" s="2174"/>
      <c r="AD45" s="2174"/>
      <c r="AE45" s="2174"/>
      <c r="AF45" s="2174"/>
      <c r="AG45" s="2174"/>
      <c r="AH45" s="2174"/>
      <c r="AI45" s="2174"/>
      <c r="AJ45" s="2175"/>
      <c r="AK45" s="2175"/>
      <c r="AL45" s="2175"/>
      <c r="AM45" s="2175"/>
      <c r="AN45" s="2175"/>
      <c r="AO45" s="2175"/>
      <c r="AP45" s="2175"/>
      <c r="AQ45" s="2175"/>
      <c r="AR45" s="2176"/>
      <c r="AS45" s="1948"/>
      <c r="AT45" s="1949"/>
    </row>
    <row r="46" spans="1:46" ht="24.95" customHeight="1" x14ac:dyDescent="0.3">
      <c r="A46" s="1207"/>
      <c r="B46" s="1207"/>
      <c r="C46" s="1655"/>
      <c r="D46" s="1654" t="s">
        <v>606</v>
      </c>
      <c r="E46" s="23"/>
      <c r="F46" s="23"/>
      <c r="G46" s="23"/>
      <c r="H46" s="2186"/>
      <c r="I46" s="2186"/>
      <c r="J46" s="2186"/>
      <c r="K46" s="23"/>
      <c r="L46" s="23"/>
      <c r="M46" s="23"/>
      <c r="N46" s="2186">
        <v>0</v>
      </c>
      <c r="O46" s="2186">
        <v>0</v>
      </c>
      <c r="P46" s="2186">
        <v>0</v>
      </c>
      <c r="Q46" s="23"/>
      <c r="R46" s="23"/>
      <c r="S46" s="23"/>
      <c r="T46" s="2189">
        <f t="shared" si="29"/>
        <v>0</v>
      </c>
      <c r="U46" s="2190">
        <f t="shared" si="27"/>
        <v>0</v>
      </c>
      <c r="V46" s="2191">
        <f t="shared" si="28"/>
        <v>0</v>
      </c>
      <c r="W46" s="2192">
        <f t="shared" si="30"/>
        <v>0</v>
      </c>
      <c r="X46" s="1535" t="str">
        <f t="shared" si="31"/>
        <v>1.33</v>
      </c>
      <c r="Y46" s="1075" t="str">
        <f t="shared" si="32"/>
        <v>D+</v>
      </c>
      <c r="Z46" s="1075" t="str">
        <f t="shared" si="33"/>
        <v>0</v>
      </c>
      <c r="AA46" s="2173"/>
      <c r="AB46" s="2174"/>
      <c r="AC46" s="2174"/>
      <c r="AD46" s="2174"/>
      <c r="AE46" s="2174"/>
      <c r="AF46" s="2174"/>
      <c r="AG46" s="2174"/>
      <c r="AH46" s="2174"/>
      <c r="AI46" s="2174"/>
      <c r="AJ46" s="2175"/>
      <c r="AK46" s="2175"/>
      <c r="AL46" s="2175"/>
      <c r="AM46" s="2175"/>
      <c r="AN46" s="2175"/>
      <c r="AO46" s="2175"/>
      <c r="AP46" s="2175"/>
      <c r="AQ46" s="2175"/>
      <c r="AR46" s="2176"/>
      <c r="AS46" s="1948"/>
      <c r="AT46" s="1949"/>
    </row>
    <row r="47" spans="1:46" ht="24.95" customHeight="1" x14ac:dyDescent="0.3">
      <c r="A47" s="1207"/>
      <c r="B47" s="1207"/>
      <c r="C47" s="1655"/>
      <c r="D47" s="1654" t="s">
        <v>607</v>
      </c>
      <c r="E47" s="23"/>
      <c r="F47" s="23"/>
      <c r="G47" s="23"/>
      <c r="H47" s="2186"/>
      <c r="I47" s="2186"/>
      <c r="J47" s="2186"/>
      <c r="K47" s="23"/>
      <c r="L47" s="23"/>
      <c r="M47" s="23"/>
      <c r="N47" s="2186">
        <v>0</v>
      </c>
      <c r="O47" s="2186">
        <v>0</v>
      </c>
      <c r="P47" s="2186">
        <v>0</v>
      </c>
      <c r="Q47" s="23"/>
      <c r="R47" s="23"/>
      <c r="S47" s="23"/>
      <c r="T47" s="2189">
        <f t="shared" si="29"/>
        <v>0</v>
      </c>
      <c r="U47" s="2190">
        <f t="shared" si="27"/>
        <v>0</v>
      </c>
      <c r="V47" s="2191">
        <f t="shared" si="28"/>
        <v>0</v>
      </c>
      <c r="W47" s="2192">
        <f t="shared" si="30"/>
        <v>0</v>
      </c>
      <c r="X47" s="1535" t="str">
        <f t="shared" si="31"/>
        <v>1.33</v>
      </c>
      <c r="Y47" s="1075" t="str">
        <f t="shared" si="32"/>
        <v>D+</v>
      </c>
      <c r="Z47" s="1075" t="str">
        <f t="shared" si="33"/>
        <v>0</v>
      </c>
      <c r="AA47" s="2173"/>
      <c r="AB47" s="2174"/>
      <c r="AC47" s="2174"/>
      <c r="AD47" s="2174"/>
      <c r="AE47" s="2174"/>
      <c r="AF47" s="2174"/>
      <c r="AG47" s="2174"/>
      <c r="AH47" s="2174"/>
      <c r="AI47" s="2174"/>
      <c r="AJ47" s="2175"/>
      <c r="AK47" s="2175"/>
      <c r="AL47" s="2175"/>
      <c r="AM47" s="2175"/>
      <c r="AN47" s="2175"/>
      <c r="AO47" s="2175"/>
      <c r="AP47" s="2175"/>
      <c r="AQ47" s="2175"/>
      <c r="AR47" s="2176"/>
      <c r="AS47" s="1948"/>
      <c r="AT47" s="1949"/>
    </row>
    <row r="48" spans="1:46" ht="24.95" customHeight="1" x14ac:dyDescent="0.3">
      <c r="A48" s="1656"/>
      <c r="B48" s="1207"/>
      <c r="C48" s="1655"/>
      <c r="D48" s="1654" t="s">
        <v>22</v>
      </c>
      <c r="E48" s="2187"/>
      <c r="F48" s="2187"/>
      <c r="G48" s="2187"/>
      <c r="H48" s="2188"/>
      <c r="I48" s="2186"/>
      <c r="J48" s="2186"/>
      <c r="K48" s="23"/>
      <c r="L48" s="23"/>
      <c r="M48" s="23"/>
      <c r="N48" s="2186"/>
      <c r="O48" s="2186"/>
      <c r="P48" s="2186"/>
      <c r="Q48" s="23">
        <v>0</v>
      </c>
      <c r="R48" s="23">
        <v>0</v>
      </c>
      <c r="S48" s="23">
        <v>0</v>
      </c>
      <c r="T48" s="2189">
        <f t="shared" si="29"/>
        <v>0</v>
      </c>
      <c r="U48" s="2190">
        <f t="shared" si="27"/>
        <v>0</v>
      </c>
      <c r="V48" s="2191">
        <f t="shared" si="28"/>
        <v>0</v>
      </c>
      <c r="W48" s="2192">
        <f t="shared" si="30"/>
        <v>0</v>
      </c>
      <c r="X48" s="1535" t="str">
        <f t="shared" si="31"/>
        <v>1.33</v>
      </c>
      <c r="Y48" s="1075" t="str">
        <f t="shared" si="32"/>
        <v>D+</v>
      </c>
      <c r="Z48" s="1075" t="str">
        <f t="shared" si="33"/>
        <v>0</v>
      </c>
      <c r="AA48" s="2173"/>
      <c r="AB48" s="2174"/>
      <c r="AC48" s="2174"/>
      <c r="AD48" s="2174"/>
      <c r="AE48" s="2174"/>
      <c r="AF48" s="2174"/>
      <c r="AG48" s="2174"/>
      <c r="AH48" s="2174"/>
      <c r="AI48" s="2174"/>
      <c r="AJ48" s="2175"/>
      <c r="AK48" s="2175"/>
      <c r="AL48" s="2175"/>
      <c r="AM48" s="2175"/>
      <c r="AN48" s="2175"/>
      <c r="AO48" s="2175"/>
      <c r="AP48" s="2175"/>
      <c r="AQ48" s="2175"/>
      <c r="AR48" s="2176"/>
      <c r="AS48" s="1950"/>
      <c r="AT48" s="1951"/>
    </row>
    <row r="49" spans="1:46" ht="24.95" customHeight="1" x14ac:dyDescent="0.3">
      <c r="A49" s="1236"/>
      <c r="B49" s="1237">
        <v>4</v>
      </c>
      <c r="C49" s="1658"/>
      <c r="D49" s="1236"/>
      <c r="E49" s="2650"/>
      <c r="F49" s="2651"/>
      <c r="G49" s="2651"/>
      <c r="H49" s="2651"/>
      <c r="I49" s="2652"/>
      <c r="J49" s="2109"/>
      <c r="K49" s="2109"/>
      <c r="L49" s="2109"/>
      <c r="M49" s="2109"/>
      <c r="N49" s="2109"/>
      <c r="O49" s="2109"/>
      <c r="P49" s="2109"/>
      <c r="Q49" s="2109"/>
      <c r="R49" s="2109"/>
      <c r="S49" s="2109"/>
      <c r="T49" s="2193"/>
      <c r="U49" s="2193"/>
      <c r="V49" s="2193"/>
      <c r="W49" s="2194">
        <f>IFERROR(AVERAGE(W40:W48),"  ")</f>
        <v>0</v>
      </c>
      <c r="X49" s="1454" t="str">
        <f>IF(W49&gt;85,("4"),IF(W49&gt;80,("3.66"),IF(W49&gt;75,("3.33"),IF(W49&gt;70,("3.00"),IF(W49&gt;65,("2.66"),IF(W49&gt;60,("2.33"),IF(W49&gt;55,("2"),IF(W49&gt;50,("1.66"),"1.33"))))))))</f>
        <v>1.33</v>
      </c>
      <c r="Y49" s="1454" t="str">
        <f>IF(W49&gt;85,("A"),IF(W49&gt;80,("A-"),IF(W49&gt;75,("B+"),IF(W49&gt;70,("B"),IF(W49&gt;65,("B-"),IF(W49&gt;60,("C+"),IF(W49&gt;55,("C"),IF(W49&gt;50,("C-"),"D+"))))))))</f>
        <v>D+</v>
      </c>
      <c r="Z49" s="1666"/>
      <c r="AA49" s="2182"/>
      <c r="AB49" s="2183"/>
      <c r="AC49" s="2183"/>
      <c r="AD49" s="2183"/>
      <c r="AE49" s="2183"/>
      <c r="AF49" s="2183"/>
      <c r="AG49" s="2183"/>
      <c r="AH49" s="2183"/>
      <c r="AI49" s="2183"/>
      <c r="AJ49" s="2183"/>
      <c r="AK49" s="2183"/>
      <c r="AL49" s="2183"/>
      <c r="AM49" s="2183"/>
      <c r="AN49" s="2183"/>
      <c r="AO49" s="2183"/>
      <c r="AP49" s="2183"/>
      <c r="AQ49" s="2183"/>
      <c r="AR49" s="2184"/>
      <c r="AS49" s="1952"/>
      <c r="AT49" s="1953"/>
    </row>
    <row r="50" spans="1:46" ht="24.95" customHeight="1" x14ac:dyDescent="0.3">
      <c r="A50" s="1224">
        <v>5</v>
      </c>
      <c r="B50" s="1224"/>
      <c r="C50" s="1653" t="str">
        <f>VLOOKUP(A50,data_siswa,4,FALSE)</f>
        <v>Arya Pratama G</v>
      </c>
      <c r="D50" s="1654" t="s">
        <v>603</v>
      </c>
      <c r="E50" s="1211">
        <v>0</v>
      </c>
      <c r="F50" s="1211">
        <v>0</v>
      </c>
      <c r="G50" s="1211">
        <v>0</v>
      </c>
      <c r="H50" s="2185"/>
      <c r="I50" s="2185"/>
      <c r="J50" s="2185"/>
      <c r="K50" s="1211"/>
      <c r="L50" s="1211"/>
      <c r="M50" s="1211"/>
      <c r="N50" s="2185"/>
      <c r="O50" s="2185"/>
      <c r="P50" s="2185"/>
      <c r="Q50" s="1211"/>
      <c r="R50" s="1211"/>
      <c r="S50" s="1211"/>
      <c r="T50" s="2189">
        <f>MAX(H50,K50,N50,Q50)</f>
        <v>0</v>
      </c>
      <c r="U50" s="2190">
        <f t="shared" ref="U50:U58" si="34">MAX(I50,L50,O50,R50)</f>
        <v>0</v>
      </c>
      <c r="V50" s="2191">
        <f t="shared" ref="V50:V58" si="35">MAX(J50,M50,P50,S50)</f>
        <v>0</v>
      </c>
      <c r="W50" s="2192">
        <f>IFERROR(AVERAGE(T50:V50),"")</f>
        <v>0</v>
      </c>
      <c r="X50" s="1665" t="str">
        <f>IF(W50&gt;85,("4"),IF(W50&gt;80,("3.66"),IF(W50&gt;75,("3.33"),IF(W50&gt;70,("3.00"),IF(W50&gt;65,("2.66"),IF(W50&gt;60,("2.33"),IF(W50&gt;55,("2"),IF(W50&gt;50,("1.66"),"1.33"))))))))</f>
        <v>1.33</v>
      </c>
      <c r="Y50" s="1075" t="str">
        <f>IF(W50&gt;85,("A"),IF(W50&gt;80,("A-"),IF(W50&gt;75,("B+"),IF(W50&gt;70,("B"),IF(W50&gt;65,("B-"),IF(W50&gt;60,("C+"),IF(W50&gt;55,("C"),IF(W50&gt;50,("C-"),"D+"))))))))</f>
        <v>D+</v>
      </c>
      <c r="Z50" s="1075" t="str">
        <f>IF(W50&gt;80,("SB"),IF(W50&gt;65,("B"),IF(W50&gt;50,("C"),IF(W50&gt;0,("K"),"0"))))</f>
        <v>0</v>
      </c>
      <c r="AA50" s="2180"/>
      <c r="AB50" s="2180"/>
      <c r="AC50" s="2180"/>
      <c r="AD50" s="2180"/>
      <c r="AE50" s="2180"/>
      <c r="AF50" s="2180"/>
      <c r="AG50" s="2180"/>
      <c r="AH50" s="2180"/>
      <c r="AI50" s="2180"/>
      <c r="AJ50" s="2181"/>
      <c r="AK50" s="2181"/>
      <c r="AL50" s="2181"/>
      <c r="AM50" s="2181"/>
      <c r="AN50" s="2181"/>
      <c r="AO50" s="2181"/>
      <c r="AP50" s="2181"/>
      <c r="AQ50" s="2181"/>
      <c r="AR50" s="2181"/>
      <c r="AS50" s="1910">
        <f>W59</f>
        <v>0</v>
      </c>
      <c r="AT50" s="1910" t="str">
        <f>Y59</f>
        <v>D+</v>
      </c>
    </row>
    <row r="51" spans="1:46" ht="24.95" customHeight="1" x14ac:dyDescent="0.3">
      <c r="A51" s="1207"/>
      <c r="B51" s="1207"/>
      <c r="C51" s="1655"/>
      <c r="D51" s="1654" t="s">
        <v>604</v>
      </c>
      <c r="E51" s="23">
        <v>0</v>
      </c>
      <c r="F51" s="23">
        <v>0</v>
      </c>
      <c r="G51" s="23">
        <v>0</v>
      </c>
      <c r="H51" s="2186"/>
      <c r="I51" s="2186"/>
      <c r="J51" s="2186"/>
      <c r="K51" s="23"/>
      <c r="L51" s="23"/>
      <c r="M51" s="23"/>
      <c r="N51" s="2186"/>
      <c r="O51" s="2186"/>
      <c r="P51" s="2186"/>
      <c r="Q51" s="23"/>
      <c r="R51" s="23"/>
      <c r="S51" s="23"/>
      <c r="T51" s="2189">
        <f t="shared" ref="T51:T58" si="36">MAX(H51,K51,N51,Q51)</f>
        <v>0</v>
      </c>
      <c r="U51" s="2190">
        <f t="shared" si="34"/>
        <v>0</v>
      </c>
      <c r="V51" s="2191">
        <f t="shared" si="35"/>
        <v>0</v>
      </c>
      <c r="W51" s="2192">
        <f t="shared" ref="W51:W58" si="37">IFERROR(AVERAGE(T51:V51),"")</f>
        <v>0</v>
      </c>
      <c r="X51" s="1535" t="str">
        <f t="shared" ref="X51:X58" si="38">IF(W51&gt;85,("4"),IF(W51&gt;80,("3.66"),IF(W51&gt;75,("3.33"),IF(W51&gt;70,("3.00"),IF(W51&gt;65,("2.66"),IF(W51&gt;60,("2.33"),IF(W51&gt;55,("2"),IF(W51&gt;50,("1.66"),"1.33"))))))))</f>
        <v>1.33</v>
      </c>
      <c r="Y51" s="1075" t="str">
        <f t="shared" ref="Y51:Y58" si="39">IF(W51&gt;85,("A"),IF(W51&gt;80,("A-"),IF(W51&gt;75,("B+"),IF(W51&gt;70,("B"),IF(W51&gt;65,("B-"),IF(W51&gt;60,("C+"),IF(W51&gt;55,("C"),IF(W51&gt;50,("C-"),"D+"))))))))</f>
        <v>D+</v>
      </c>
      <c r="Z51" s="1075" t="str">
        <f t="shared" ref="Z51:Z58" si="40">IF(W51&gt;80,("SB"),IF(W51&gt;65,("B"),IF(W51&gt;50,("C"),IF(W51&gt;0,("K"),"0"))))</f>
        <v>0</v>
      </c>
      <c r="AA51" s="2169"/>
      <c r="AB51" s="2170"/>
      <c r="AC51" s="2170"/>
      <c r="AD51" s="2170"/>
      <c r="AE51" s="2170"/>
      <c r="AF51" s="2170"/>
      <c r="AG51" s="2170"/>
      <c r="AH51" s="2170"/>
      <c r="AI51" s="2170"/>
      <c r="AJ51" s="2171"/>
      <c r="AK51" s="2171"/>
      <c r="AL51" s="2171"/>
      <c r="AM51" s="2171"/>
      <c r="AN51" s="2171"/>
      <c r="AO51" s="2171"/>
      <c r="AP51" s="2171"/>
      <c r="AQ51" s="2171"/>
      <c r="AR51" s="2172"/>
      <c r="AS51" s="1946"/>
      <c r="AT51" s="1947"/>
    </row>
    <row r="52" spans="1:46" ht="24.95" customHeight="1" x14ac:dyDescent="0.3">
      <c r="A52" s="1207"/>
      <c r="B52" s="1207"/>
      <c r="C52" s="1655"/>
      <c r="D52" s="1654" t="s">
        <v>605</v>
      </c>
      <c r="E52" s="23">
        <v>0</v>
      </c>
      <c r="F52" s="23">
        <v>0</v>
      </c>
      <c r="G52" s="23">
        <v>0</v>
      </c>
      <c r="H52" s="2186"/>
      <c r="I52" s="2186"/>
      <c r="J52" s="2186"/>
      <c r="K52" s="23"/>
      <c r="L52" s="23"/>
      <c r="M52" s="23"/>
      <c r="N52" s="2186"/>
      <c r="O52" s="2186"/>
      <c r="P52" s="2186"/>
      <c r="Q52" s="23"/>
      <c r="R52" s="23"/>
      <c r="S52" s="23"/>
      <c r="T52" s="2189">
        <f t="shared" si="36"/>
        <v>0</v>
      </c>
      <c r="U52" s="2190">
        <f t="shared" si="34"/>
        <v>0</v>
      </c>
      <c r="V52" s="2191">
        <f t="shared" si="35"/>
        <v>0</v>
      </c>
      <c r="W52" s="2192">
        <f t="shared" si="37"/>
        <v>0</v>
      </c>
      <c r="X52" s="1535" t="str">
        <f t="shared" si="38"/>
        <v>1.33</v>
      </c>
      <c r="Y52" s="1075" t="str">
        <f t="shared" si="39"/>
        <v>D+</v>
      </c>
      <c r="Z52" s="1075" t="str">
        <f t="shared" si="40"/>
        <v>0</v>
      </c>
      <c r="AA52" s="2173"/>
      <c r="AB52" s="2174"/>
      <c r="AC52" s="2174"/>
      <c r="AD52" s="2174"/>
      <c r="AE52" s="2174"/>
      <c r="AF52" s="2174"/>
      <c r="AG52" s="2174"/>
      <c r="AH52" s="2174"/>
      <c r="AI52" s="2174"/>
      <c r="AJ52" s="2175"/>
      <c r="AK52" s="2175"/>
      <c r="AL52" s="2175"/>
      <c r="AM52" s="2175"/>
      <c r="AN52" s="2175"/>
      <c r="AO52" s="2175"/>
      <c r="AP52" s="2175"/>
      <c r="AQ52" s="2175"/>
      <c r="AR52" s="2176"/>
      <c r="AS52" s="1948"/>
      <c r="AT52" s="1949"/>
    </row>
    <row r="53" spans="1:46" ht="24.95" customHeight="1" x14ac:dyDescent="0.3">
      <c r="A53" s="1207"/>
      <c r="B53" s="1207"/>
      <c r="C53" s="1655"/>
      <c r="D53" s="1654" t="s">
        <v>155</v>
      </c>
      <c r="E53" s="23"/>
      <c r="F53" s="23"/>
      <c r="G53" s="23"/>
      <c r="H53" s="2186">
        <v>0</v>
      </c>
      <c r="I53" s="2186">
        <v>0</v>
      </c>
      <c r="J53" s="2186">
        <v>0</v>
      </c>
      <c r="K53" s="23"/>
      <c r="L53" s="23"/>
      <c r="M53" s="23"/>
      <c r="N53" s="2186"/>
      <c r="O53" s="2186"/>
      <c r="P53" s="2186"/>
      <c r="Q53" s="23"/>
      <c r="R53" s="23"/>
      <c r="S53" s="23"/>
      <c r="T53" s="2189">
        <f t="shared" si="36"/>
        <v>0</v>
      </c>
      <c r="U53" s="2190">
        <f t="shared" si="34"/>
        <v>0</v>
      </c>
      <c r="V53" s="2191">
        <f t="shared" si="35"/>
        <v>0</v>
      </c>
      <c r="W53" s="2192">
        <f t="shared" si="37"/>
        <v>0</v>
      </c>
      <c r="X53" s="1535" t="str">
        <f t="shared" si="38"/>
        <v>1.33</v>
      </c>
      <c r="Y53" s="1075" t="str">
        <f t="shared" si="39"/>
        <v>D+</v>
      </c>
      <c r="Z53" s="1075" t="str">
        <f t="shared" si="40"/>
        <v>0</v>
      </c>
      <c r="AA53" s="2173"/>
      <c r="AB53" s="2174"/>
      <c r="AC53" s="2174"/>
      <c r="AD53" s="2174"/>
      <c r="AE53" s="2174"/>
      <c r="AF53" s="2174"/>
      <c r="AG53" s="2174"/>
      <c r="AH53" s="2174"/>
      <c r="AI53" s="2174"/>
      <c r="AJ53" s="2175"/>
      <c r="AK53" s="2175"/>
      <c r="AL53" s="2175"/>
      <c r="AM53" s="2175"/>
      <c r="AN53" s="2175"/>
      <c r="AO53" s="2175"/>
      <c r="AP53" s="2175"/>
      <c r="AQ53" s="2175"/>
      <c r="AR53" s="2176"/>
      <c r="AS53" s="1948"/>
      <c r="AT53" s="1949"/>
    </row>
    <row r="54" spans="1:46" ht="24.95" customHeight="1" x14ac:dyDescent="0.3">
      <c r="A54" s="1207"/>
      <c r="B54" s="1207"/>
      <c r="C54" s="1655"/>
      <c r="D54" s="1654" t="s">
        <v>187</v>
      </c>
      <c r="E54" s="23"/>
      <c r="F54" s="23"/>
      <c r="G54" s="23"/>
      <c r="H54" s="2186"/>
      <c r="I54" s="2186"/>
      <c r="J54" s="2186"/>
      <c r="K54" s="23">
        <v>0</v>
      </c>
      <c r="L54" s="23">
        <v>0</v>
      </c>
      <c r="M54" s="23">
        <v>0</v>
      </c>
      <c r="N54" s="2186"/>
      <c r="O54" s="2186"/>
      <c r="P54" s="2186"/>
      <c r="Q54" s="23"/>
      <c r="R54" s="23"/>
      <c r="S54" s="23"/>
      <c r="T54" s="2189">
        <f t="shared" si="36"/>
        <v>0</v>
      </c>
      <c r="U54" s="2190">
        <f t="shared" si="34"/>
        <v>0</v>
      </c>
      <c r="V54" s="2191">
        <f t="shared" si="35"/>
        <v>0</v>
      </c>
      <c r="W54" s="2192">
        <f t="shared" si="37"/>
        <v>0</v>
      </c>
      <c r="X54" s="1535" t="str">
        <f t="shared" si="38"/>
        <v>1.33</v>
      </c>
      <c r="Y54" s="1075" t="str">
        <f t="shared" si="39"/>
        <v>D+</v>
      </c>
      <c r="Z54" s="1075" t="str">
        <f t="shared" si="40"/>
        <v>0</v>
      </c>
      <c r="AA54" s="2173"/>
      <c r="AB54" s="2174"/>
      <c r="AC54" s="2174"/>
      <c r="AD54" s="2174"/>
      <c r="AE54" s="2174"/>
      <c r="AF54" s="2174"/>
      <c r="AG54" s="2174"/>
      <c r="AH54" s="2174"/>
      <c r="AI54" s="2174"/>
      <c r="AJ54" s="2175"/>
      <c r="AK54" s="2175"/>
      <c r="AL54" s="2175"/>
      <c r="AM54" s="2175"/>
      <c r="AN54" s="2175"/>
      <c r="AO54" s="2175"/>
      <c r="AP54" s="2175"/>
      <c r="AQ54" s="2175"/>
      <c r="AR54" s="2176"/>
      <c r="AS54" s="1948"/>
      <c r="AT54" s="1949"/>
    </row>
    <row r="55" spans="1:46" ht="24.95" customHeight="1" x14ac:dyDescent="0.3">
      <c r="A55" s="1207"/>
      <c r="B55" s="1207"/>
      <c r="C55" s="1655"/>
      <c r="D55" s="1654" t="s">
        <v>17</v>
      </c>
      <c r="E55" s="23"/>
      <c r="F55" s="23"/>
      <c r="G55" s="23"/>
      <c r="H55" s="2186"/>
      <c r="I55" s="2186"/>
      <c r="J55" s="2186"/>
      <c r="K55" s="23">
        <v>0</v>
      </c>
      <c r="L55" s="23">
        <v>0</v>
      </c>
      <c r="M55" s="23">
        <v>0</v>
      </c>
      <c r="N55" s="2186"/>
      <c r="O55" s="2186"/>
      <c r="P55" s="2186"/>
      <c r="Q55" s="23"/>
      <c r="R55" s="23"/>
      <c r="S55" s="23"/>
      <c r="T55" s="2189">
        <f t="shared" si="36"/>
        <v>0</v>
      </c>
      <c r="U55" s="2190">
        <f t="shared" si="34"/>
        <v>0</v>
      </c>
      <c r="V55" s="2191">
        <f t="shared" si="35"/>
        <v>0</v>
      </c>
      <c r="W55" s="2192">
        <f t="shared" si="37"/>
        <v>0</v>
      </c>
      <c r="X55" s="1535" t="str">
        <f t="shared" si="38"/>
        <v>1.33</v>
      </c>
      <c r="Y55" s="1075" t="str">
        <f t="shared" si="39"/>
        <v>D+</v>
      </c>
      <c r="Z55" s="1075" t="str">
        <f t="shared" si="40"/>
        <v>0</v>
      </c>
      <c r="AA55" s="2173"/>
      <c r="AB55" s="2174"/>
      <c r="AC55" s="2174"/>
      <c r="AD55" s="2174"/>
      <c r="AE55" s="2174"/>
      <c r="AF55" s="2174"/>
      <c r="AG55" s="2174"/>
      <c r="AH55" s="2174"/>
      <c r="AI55" s="2174"/>
      <c r="AJ55" s="2175"/>
      <c r="AK55" s="2175"/>
      <c r="AL55" s="2175"/>
      <c r="AM55" s="2175"/>
      <c r="AN55" s="2175"/>
      <c r="AO55" s="2175"/>
      <c r="AP55" s="2175"/>
      <c r="AQ55" s="2175"/>
      <c r="AR55" s="2176"/>
      <c r="AS55" s="1948"/>
      <c r="AT55" s="1949"/>
    </row>
    <row r="56" spans="1:46" ht="24.95" customHeight="1" x14ac:dyDescent="0.3">
      <c r="A56" s="1207"/>
      <c r="B56" s="1207"/>
      <c r="C56" s="1655"/>
      <c r="D56" s="1654" t="s">
        <v>606</v>
      </c>
      <c r="E56" s="23"/>
      <c r="F56" s="23"/>
      <c r="G56" s="23"/>
      <c r="H56" s="2186"/>
      <c r="I56" s="2186"/>
      <c r="J56" s="2186"/>
      <c r="K56" s="23"/>
      <c r="L56" s="23"/>
      <c r="M56" s="23"/>
      <c r="N56" s="2186">
        <v>0</v>
      </c>
      <c r="O56" s="2186">
        <v>0</v>
      </c>
      <c r="P56" s="2186">
        <v>0</v>
      </c>
      <c r="Q56" s="23"/>
      <c r="R56" s="23"/>
      <c r="S56" s="23"/>
      <c r="T56" s="2189">
        <f t="shared" si="36"/>
        <v>0</v>
      </c>
      <c r="U56" s="2190">
        <f t="shared" si="34"/>
        <v>0</v>
      </c>
      <c r="V56" s="2191">
        <f t="shared" si="35"/>
        <v>0</v>
      </c>
      <c r="W56" s="2192">
        <f t="shared" si="37"/>
        <v>0</v>
      </c>
      <c r="X56" s="1535" t="str">
        <f t="shared" si="38"/>
        <v>1.33</v>
      </c>
      <c r="Y56" s="1075" t="str">
        <f t="shared" si="39"/>
        <v>D+</v>
      </c>
      <c r="Z56" s="1075" t="str">
        <f t="shared" si="40"/>
        <v>0</v>
      </c>
      <c r="AA56" s="2173"/>
      <c r="AB56" s="2174"/>
      <c r="AC56" s="2174"/>
      <c r="AD56" s="2174"/>
      <c r="AE56" s="2174"/>
      <c r="AF56" s="2174"/>
      <c r="AG56" s="2174"/>
      <c r="AH56" s="2174"/>
      <c r="AI56" s="2174"/>
      <c r="AJ56" s="2175"/>
      <c r="AK56" s="2175"/>
      <c r="AL56" s="2175"/>
      <c r="AM56" s="2175"/>
      <c r="AN56" s="2175"/>
      <c r="AO56" s="2175"/>
      <c r="AP56" s="2175"/>
      <c r="AQ56" s="2175"/>
      <c r="AR56" s="2176"/>
      <c r="AS56" s="1948"/>
      <c r="AT56" s="1949"/>
    </row>
    <row r="57" spans="1:46" ht="24.95" customHeight="1" x14ac:dyDescent="0.3">
      <c r="A57" s="1207"/>
      <c r="B57" s="1207"/>
      <c r="C57" s="1655"/>
      <c r="D57" s="1654" t="s">
        <v>607</v>
      </c>
      <c r="E57" s="23"/>
      <c r="F57" s="23"/>
      <c r="G57" s="23"/>
      <c r="H57" s="2186"/>
      <c r="I57" s="2186"/>
      <c r="J57" s="2186"/>
      <c r="K57" s="23"/>
      <c r="L57" s="23"/>
      <c r="M57" s="23"/>
      <c r="N57" s="2186">
        <v>0</v>
      </c>
      <c r="O57" s="2186">
        <v>0</v>
      </c>
      <c r="P57" s="2186">
        <v>0</v>
      </c>
      <c r="Q57" s="23"/>
      <c r="R57" s="23"/>
      <c r="S57" s="23"/>
      <c r="T57" s="2189">
        <f t="shared" si="36"/>
        <v>0</v>
      </c>
      <c r="U57" s="2190">
        <f t="shared" si="34"/>
        <v>0</v>
      </c>
      <c r="V57" s="2191">
        <f t="shared" si="35"/>
        <v>0</v>
      </c>
      <c r="W57" s="2192">
        <f t="shared" si="37"/>
        <v>0</v>
      </c>
      <c r="X57" s="1535" t="str">
        <f t="shared" si="38"/>
        <v>1.33</v>
      </c>
      <c r="Y57" s="1075" t="str">
        <f t="shared" si="39"/>
        <v>D+</v>
      </c>
      <c r="Z57" s="1075" t="str">
        <f t="shared" si="40"/>
        <v>0</v>
      </c>
      <c r="AA57" s="2173"/>
      <c r="AB57" s="2174"/>
      <c r="AC57" s="2174"/>
      <c r="AD57" s="2174"/>
      <c r="AE57" s="2174"/>
      <c r="AF57" s="2174"/>
      <c r="AG57" s="2174"/>
      <c r="AH57" s="2174"/>
      <c r="AI57" s="2174"/>
      <c r="AJ57" s="2175"/>
      <c r="AK57" s="2175"/>
      <c r="AL57" s="2175"/>
      <c r="AM57" s="2175"/>
      <c r="AN57" s="2175"/>
      <c r="AO57" s="2175"/>
      <c r="AP57" s="2175"/>
      <c r="AQ57" s="2175"/>
      <c r="AR57" s="2176"/>
      <c r="AS57" s="1948"/>
      <c r="AT57" s="1949"/>
    </row>
    <row r="58" spans="1:46" ht="24.95" customHeight="1" x14ac:dyDescent="0.3">
      <c r="A58" s="1656"/>
      <c r="B58" s="1207"/>
      <c r="C58" s="1655"/>
      <c r="D58" s="1654" t="s">
        <v>22</v>
      </c>
      <c r="E58" s="2187"/>
      <c r="F58" s="2187"/>
      <c r="G58" s="2187"/>
      <c r="H58" s="2188"/>
      <c r="I58" s="2186"/>
      <c r="J58" s="2186"/>
      <c r="K58" s="23"/>
      <c r="L58" s="23"/>
      <c r="M58" s="23"/>
      <c r="N58" s="2186"/>
      <c r="O58" s="2186"/>
      <c r="P58" s="2186"/>
      <c r="Q58" s="23">
        <v>0</v>
      </c>
      <c r="R58" s="23">
        <v>0</v>
      </c>
      <c r="S58" s="23">
        <v>0</v>
      </c>
      <c r="T58" s="2189">
        <f t="shared" si="36"/>
        <v>0</v>
      </c>
      <c r="U58" s="2190">
        <f t="shared" si="34"/>
        <v>0</v>
      </c>
      <c r="V58" s="2191">
        <f t="shared" si="35"/>
        <v>0</v>
      </c>
      <c r="W58" s="2192">
        <f t="shared" si="37"/>
        <v>0</v>
      </c>
      <c r="X58" s="1535" t="str">
        <f t="shared" si="38"/>
        <v>1.33</v>
      </c>
      <c r="Y58" s="1075" t="str">
        <f t="shared" si="39"/>
        <v>D+</v>
      </c>
      <c r="Z58" s="1075" t="str">
        <f t="shared" si="40"/>
        <v>0</v>
      </c>
      <c r="AA58" s="2173"/>
      <c r="AB58" s="2174"/>
      <c r="AC58" s="2174"/>
      <c r="AD58" s="2174"/>
      <c r="AE58" s="2174"/>
      <c r="AF58" s="2174"/>
      <c r="AG58" s="2174"/>
      <c r="AH58" s="2174"/>
      <c r="AI58" s="2174"/>
      <c r="AJ58" s="2175"/>
      <c r="AK58" s="2175"/>
      <c r="AL58" s="2175"/>
      <c r="AM58" s="2175"/>
      <c r="AN58" s="2175"/>
      <c r="AO58" s="2175"/>
      <c r="AP58" s="2175"/>
      <c r="AQ58" s="2175"/>
      <c r="AR58" s="2176"/>
      <c r="AS58" s="1950"/>
      <c r="AT58" s="1951"/>
    </row>
    <row r="59" spans="1:46" ht="24.95" customHeight="1" x14ac:dyDescent="0.3">
      <c r="A59" s="1236"/>
      <c r="B59" s="1237">
        <v>5</v>
      </c>
      <c r="C59" s="1658"/>
      <c r="D59" s="1236"/>
      <c r="E59" s="2650"/>
      <c r="F59" s="2651"/>
      <c r="G59" s="2651"/>
      <c r="H59" s="2651"/>
      <c r="I59" s="2652"/>
      <c r="J59" s="2109"/>
      <c r="K59" s="2109"/>
      <c r="L59" s="2109"/>
      <c r="M59" s="2109"/>
      <c r="N59" s="2109"/>
      <c r="O59" s="2109"/>
      <c r="P59" s="2109"/>
      <c r="Q59" s="2109"/>
      <c r="R59" s="2109"/>
      <c r="S59" s="2109"/>
      <c r="T59" s="2193"/>
      <c r="U59" s="2193"/>
      <c r="V59" s="2193"/>
      <c r="W59" s="2194">
        <f>IFERROR(AVERAGE(W50:W58),"  ")</f>
        <v>0</v>
      </c>
      <c r="X59" s="1454" t="str">
        <f>IF(W59&gt;85,("4"),IF(W59&gt;80,("3.66"),IF(W59&gt;75,("3.33"),IF(W59&gt;70,("3.00"),IF(W59&gt;65,("2.66"),IF(W59&gt;60,("2.33"),IF(W59&gt;55,("2"),IF(W59&gt;50,("1.66"),"1.33"))))))))</f>
        <v>1.33</v>
      </c>
      <c r="Y59" s="1454" t="str">
        <f>IF(W59&gt;85,("A"),IF(W59&gt;80,("A-"),IF(W59&gt;75,("B+"),IF(W59&gt;70,("B"),IF(W59&gt;65,("B-"),IF(W59&gt;60,("C+"),IF(W59&gt;55,("C"),IF(W59&gt;50,("C-"),"D+"))))))))</f>
        <v>D+</v>
      </c>
      <c r="Z59" s="1666"/>
      <c r="AA59" s="2182"/>
      <c r="AB59" s="2183"/>
      <c r="AC59" s="2183"/>
      <c r="AD59" s="2183"/>
      <c r="AE59" s="2183"/>
      <c r="AF59" s="2183"/>
      <c r="AG59" s="2183"/>
      <c r="AH59" s="2183"/>
      <c r="AI59" s="2183"/>
      <c r="AJ59" s="2183"/>
      <c r="AK59" s="2183"/>
      <c r="AL59" s="2183"/>
      <c r="AM59" s="2183"/>
      <c r="AN59" s="2183"/>
      <c r="AO59" s="2183"/>
      <c r="AP59" s="2183"/>
      <c r="AQ59" s="2183"/>
      <c r="AR59" s="2184"/>
      <c r="AS59" s="1952"/>
      <c r="AT59" s="1953"/>
    </row>
    <row r="60" spans="1:46" ht="24.95" customHeight="1" x14ac:dyDescent="0.3">
      <c r="A60" s="1224">
        <v>6</v>
      </c>
      <c r="B60" s="1224"/>
      <c r="C60" s="1653" t="str">
        <f>VLOOKUP(A60,data_siswa,4,FALSE)</f>
        <v>Asyam Hanif Ihsan H</v>
      </c>
      <c r="D60" s="1654" t="s">
        <v>603</v>
      </c>
      <c r="E60" s="1211">
        <v>0</v>
      </c>
      <c r="F60" s="1211">
        <v>0</v>
      </c>
      <c r="G60" s="1211">
        <v>0</v>
      </c>
      <c r="H60" s="2185"/>
      <c r="I60" s="2185"/>
      <c r="J60" s="2185"/>
      <c r="K60" s="1211"/>
      <c r="L60" s="1211"/>
      <c r="M60" s="1211"/>
      <c r="N60" s="2185"/>
      <c r="O60" s="2185"/>
      <c r="P60" s="2185"/>
      <c r="Q60" s="1211"/>
      <c r="R60" s="1211"/>
      <c r="S60" s="1211"/>
      <c r="T60" s="2189">
        <f>MAX(H60,K60,N60,Q60)</f>
        <v>0</v>
      </c>
      <c r="U60" s="2190">
        <f t="shared" ref="U60:U68" si="41">MAX(I60,L60,O60,R60)</f>
        <v>0</v>
      </c>
      <c r="V60" s="2191">
        <f t="shared" ref="V60:V68" si="42">MAX(J60,M60,P60,S60)</f>
        <v>0</v>
      </c>
      <c r="W60" s="2192">
        <f>IFERROR(AVERAGE(T60:V60),"")</f>
        <v>0</v>
      </c>
      <c r="X60" s="1665" t="str">
        <f>IF(W60&gt;85,("4"),IF(W60&gt;80,("3.66"),IF(W60&gt;75,("3.33"),IF(W60&gt;70,("3.00"),IF(W60&gt;65,("2.66"),IF(W60&gt;60,("2.33"),IF(W60&gt;55,("2"),IF(W60&gt;50,("1.66"),"1.33"))))))))</f>
        <v>1.33</v>
      </c>
      <c r="Y60" s="1075" t="str">
        <f>IF(W60&gt;85,("A"),IF(W60&gt;80,("A-"),IF(W60&gt;75,("B+"),IF(W60&gt;70,("B"),IF(W60&gt;65,("B-"),IF(W60&gt;60,("C+"),IF(W60&gt;55,("C"),IF(W60&gt;50,("C-"),"D+"))))))))</f>
        <v>D+</v>
      </c>
      <c r="Z60" s="1075" t="str">
        <f>IF(W60&gt;80,("SB"),IF(W60&gt;65,("B"),IF(W60&gt;50,("C"),IF(W60&gt;0,("K"),"0"))))</f>
        <v>0</v>
      </c>
      <c r="AA60" s="2180"/>
      <c r="AB60" s="2180"/>
      <c r="AC60" s="2180"/>
      <c r="AD60" s="2180"/>
      <c r="AE60" s="2180"/>
      <c r="AF60" s="2180"/>
      <c r="AG60" s="2180"/>
      <c r="AH60" s="2180"/>
      <c r="AI60" s="2180"/>
      <c r="AJ60" s="2181"/>
      <c r="AK60" s="2181"/>
      <c r="AL60" s="2181"/>
      <c r="AM60" s="2181"/>
      <c r="AN60" s="2181"/>
      <c r="AO60" s="2181"/>
      <c r="AP60" s="2181"/>
      <c r="AQ60" s="2181"/>
      <c r="AR60" s="2181"/>
      <c r="AS60" s="1910">
        <f>W69</f>
        <v>0</v>
      </c>
      <c r="AT60" s="1910" t="str">
        <f>Y69</f>
        <v>D+</v>
      </c>
    </row>
    <row r="61" spans="1:46" ht="24.95" customHeight="1" x14ac:dyDescent="0.3">
      <c r="A61" s="1207"/>
      <c r="B61" s="1207"/>
      <c r="C61" s="1655"/>
      <c r="D61" s="1654" t="s">
        <v>604</v>
      </c>
      <c r="E61" s="23">
        <v>0</v>
      </c>
      <c r="F61" s="23">
        <v>0</v>
      </c>
      <c r="G61" s="23">
        <v>0</v>
      </c>
      <c r="H61" s="2186"/>
      <c r="I61" s="2186"/>
      <c r="J61" s="2186"/>
      <c r="K61" s="23"/>
      <c r="L61" s="23"/>
      <c r="M61" s="23"/>
      <c r="N61" s="2186"/>
      <c r="O61" s="2186"/>
      <c r="P61" s="2186"/>
      <c r="Q61" s="23"/>
      <c r="R61" s="23"/>
      <c r="S61" s="23"/>
      <c r="T61" s="2189">
        <f t="shared" ref="T61:T68" si="43">MAX(H61,K61,N61,Q61)</f>
        <v>0</v>
      </c>
      <c r="U61" s="2190">
        <f t="shared" si="41"/>
        <v>0</v>
      </c>
      <c r="V61" s="2191">
        <f t="shared" si="42"/>
        <v>0</v>
      </c>
      <c r="W61" s="2192">
        <f t="shared" ref="W61:W68" si="44">IFERROR(AVERAGE(T61:V61),"")</f>
        <v>0</v>
      </c>
      <c r="X61" s="1535" t="str">
        <f t="shared" ref="X61:X68" si="45">IF(W61&gt;85,("4"),IF(W61&gt;80,("3.66"),IF(W61&gt;75,("3.33"),IF(W61&gt;70,("3.00"),IF(W61&gt;65,("2.66"),IF(W61&gt;60,("2.33"),IF(W61&gt;55,("2"),IF(W61&gt;50,("1.66"),"1.33"))))))))</f>
        <v>1.33</v>
      </c>
      <c r="Y61" s="1075" t="str">
        <f t="shared" ref="Y61:Y68" si="46">IF(W61&gt;85,("A"),IF(W61&gt;80,("A-"),IF(W61&gt;75,("B+"),IF(W61&gt;70,("B"),IF(W61&gt;65,("B-"),IF(W61&gt;60,("C+"),IF(W61&gt;55,("C"),IF(W61&gt;50,("C-"),"D+"))))))))</f>
        <v>D+</v>
      </c>
      <c r="Z61" s="1075" t="str">
        <f t="shared" ref="Z61:Z68" si="47">IF(W61&gt;80,("SB"),IF(W61&gt;65,("B"),IF(W61&gt;50,("C"),IF(W61&gt;0,("K"),"0"))))</f>
        <v>0</v>
      </c>
      <c r="AA61" s="2169"/>
      <c r="AB61" s="2170"/>
      <c r="AC61" s="2170"/>
      <c r="AD61" s="2170"/>
      <c r="AE61" s="2170"/>
      <c r="AF61" s="2170"/>
      <c r="AG61" s="2170"/>
      <c r="AH61" s="2170"/>
      <c r="AI61" s="2170"/>
      <c r="AJ61" s="2171"/>
      <c r="AK61" s="2171"/>
      <c r="AL61" s="2171"/>
      <c r="AM61" s="2171"/>
      <c r="AN61" s="2171"/>
      <c r="AO61" s="2171"/>
      <c r="AP61" s="2171"/>
      <c r="AQ61" s="2171"/>
      <c r="AR61" s="2172"/>
      <c r="AS61" s="1946"/>
      <c r="AT61" s="1947"/>
    </row>
    <row r="62" spans="1:46" ht="24.95" customHeight="1" x14ac:dyDescent="0.3">
      <c r="A62" s="1207"/>
      <c r="B62" s="1207"/>
      <c r="C62" s="1655"/>
      <c r="D62" s="1654" t="s">
        <v>605</v>
      </c>
      <c r="E62" s="23">
        <v>0</v>
      </c>
      <c r="F62" s="23">
        <v>0</v>
      </c>
      <c r="G62" s="23">
        <v>0</v>
      </c>
      <c r="H62" s="2186"/>
      <c r="I62" s="2186"/>
      <c r="J62" s="2186"/>
      <c r="K62" s="23"/>
      <c r="L62" s="23"/>
      <c r="M62" s="23"/>
      <c r="N62" s="2186"/>
      <c r="O62" s="2186"/>
      <c r="P62" s="2186"/>
      <c r="Q62" s="23"/>
      <c r="R62" s="23"/>
      <c r="S62" s="23"/>
      <c r="T62" s="2189">
        <f t="shared" si="43"/>
        <v>0</v>
      </c>
      <c r="U62" s="2190">
        <f t="shared" si="41"/>
        <v>0</v>
      </c>
      <c r="V62" s="2191">
        <f t="shared" si="42"/>
        <v>0</v>
      </c>
      <c r="W62" s="2192">
        <f t="shared" si="44"/>
        <v>0</v>
      </c>
      <c r="X62" s="1535" t="str">
        <f t="shared" si="45"/>
        <v>1.33</v>
      </c>
      <c r="Y62" s="1075" t="str">
        <f t="shared" si="46"/>
        <v>D+</v>
      </c>
      <c r="Z62" s="1075" t="str">
        <f t="shared" si="47"/>
        <v>0</v>
      </c>
      <c r="AA62" s="2173"/>
      <c r="AB62" s="2174"/>
      <c r="AC62" s="2174"/>
      <c r="AD62" s="2174"/>
      <c r="AE62" s="2174"/>
      <c r="AF62" s="2174"/>
      <c r="AG62" s="2174"/>
      <c r="AH62" s="2174"/>
      <c r="AI62" s="2174"/>
      <c r="AJ62" s="2175"/>
      <c r="AK62" s="2175"/>
      <c r="AL62" s="2175"/>
      <c r="AM62" s="2175"/>
      <c r="AN62" s="2175"/>
      <c r="AO62" s="2175"/>
      <c r="AP62" s="2175"/>
      <c r="AQ62" s="2175"/>
      <c r="AR62" s="2176"/>
      <c r="AS62" s="1948"/>
      <c r="AT62" s="1949"/>
    </row>
    <row r="63" spans="1:46" ht="24.95" customHeight="1" x14ac:dyDescent="0.3">
      <c r="A63" s="1207"/>
      <c r="B63" s="1207"/>
      <c r="C63" s="1655"/>
      <c r="D63" s="1654" t="s">
        <v>155</v>
      </c>
      <c r="E63" s="23"/>
      <c r="F63" s="23"/>
      <c r="G63" s="23"/>
      <c r="H63" s="2186">
        <v>0</v>
      </c>
      <c r="I63" s="2186">
        <v>0</v>
      </c>
      <c r="J63" s="2186">
        <v>0</v>
      </c>
      <c r="K63" s="23"/>
      <c r="L63" s="23"/>
      <c r="M63" s="23"/>
      <c r="N63" s="2186"/>
      <c r="O63" s="2186"/>
      <c r="P63" s="2186"/>
      <c r="Q63" s="23"/>
      <c r="R63" s="23"/>
      <c r="S63" s="23"/>
      <c r="T63" s="2189">
        <f t="shared" si="43"/>
        <v>0</v>
      </c>
      <c r="U63" s="2190">
        <f t="shared" si="41"/>
        <v>0</v>
      </c>
      <c r="V63" s="2191">
        <f t="shared" si="42"/>
        <v>0</v>
      </c>
      <c r="W63" s="2192">
        <f t="shared" si="44"/>
        <v>0</v>
      </c>
      <c r="X63" s="1535" t="str">
        <f t="shared" si="45"/>
        <v>1.33</v>
      </c>
      <c r="Y63" s="1075" t="str">
        <f t="shared" si="46"/>
        <v>D+</v>
      </c>
      <c r="Z63" s="1075" t="str">
        <f t="shared" si="47"/>
        <v>0</v>
      </c>
      <c r="AA63" s="2173"/>
      <c r="AB63" s="2174"/>
      <c r="AC63" s="2174"/>
      <c r="AD63" s="2174"/>
      <c r="AE63" s="2174"/>
      <c r="AF63" s="2174"/>
      <c r="AG63" s="2174"/>
      <c r="AH63" s="2174"/>
      <c r="AI63" s="2174"/>
      <c r="AJ63" s="2175"/>
      <c r="AK63" s="2175"/>
      <c r="AL63" s="2175"/>
      <c r="AM63" s="2175"/>
      <c r="AN63" s="2175"/>
      <c r="AO63" s="2175"/>
      <c r="AP63" s="2175"/>
      <c r="AQ63" s="2175"/>
      <c r="AR63" s="2176"/>
      <c r="AS63" s="1948"/>
      <c r="AT63" s="1949"/>
    </row>
    <row r="64" spans="1:46" ht="24.95" customHeight="1" x14ac:dyDescent="0.3">
      <c r="A64" s="1207"/>
      <c r="B64" s="1207"/>
      <c r="C64" s="1655"/>
      <c r="D64" s="1654" t="s">
        <v>187</v>
      </c>
      <c r="E64" s="23"/>
      <c r="F64" s="23"/>
      <c r="G64" s="23"/>
      <c r="H64" s="2186"/>
      <c r="I64" s="2186"/>
      <c r="J64" s="2186"/>
      <c r="K64" s="23">
        <v>0</v>
      </c>
      <c r="L64" s="23">
        <v>0</v>
      </c>
      <c r="M64" s="23">
        <v>0</v>
      </c>
      <c r="N64" s="2186"/>
      <c r="O64" s="2186"/>
      <c r="P64" s="2186"/>
      <c r="Q64" s="23"/>
      <c r="R64" s="23"/>
      <c r="S64" s="23"/>
      <c r="T64" s="2189">
        <f t="shared" si="43"/>
        <v>0</v>
      </c>
      <c r="U64" s="2190">
        <f t="shared" si="41"/>
        <v>0</v>
      </c>
      <c r="V64" s="2191">
        <f t="shared" si="42"/>
        <v>0</v>
      </c>
      <c r="W64" s="2192">
        <f t="shared" si="44"/>
        <v>0</v>
      </c>
      <c r="X64" s="1535" t="str">
        <f t="shared" si="45"/>
        <v>1.33</v>
      </c>
      <c r="Y64" s="1075" t="str">
        <f t="shared" si="46"/>
        <v>D+</v>
      </c>
      <c r="Z64" s="1075" t="str">
        <f t="shared" si="47"/>
        <v>0</v>
      </c>
      <c r="AA64" s="2173"/>
      <c r="AB64" s="2174"/>
      <c r="AC64" s="2174"/>
      <c r="AD64" s="2174"/>
      <c r="AE64" s="2174"/>
      <c r="AF64" s="2174"/>
      <c r="AG64" s="2174"/>
      <c r="AH64" s="2174"/>
      <c r="AI64" s="2174"/>
      <c r="AJ64" s="2175"/>
      <c r="AK64" s="2175"/>
      <c r="AL64" s="2175"/>
      <c r="AM64" s="2175"/>
      <c r="AN64" s="2175"/>
      <c r="AO64" s="2175"/>
      <c r="AP64" s="2175"/>
      <c r="AQ64" s="2175"/>
      <c r="AR64" s="2176"/>
      <c r="AS64" s="1948"/>
      <c r="AT64" s="1949"/>
    </row>
    <row r="65" spans="1:46" ht="24.95" customHeight="1" x14ac:dyDescent="0.3">
      <c r="A65" s="1207"/>
      <c r="B65" s="1207"/>
      <c r="C65" s="1655"/>
      <c r="D65" s="1654" t="s">
        <v>17</v>
      </c>
      <c r="E65" s="23"/>
      <c r="F65" s="23"/>
      <c r="G65" s="23"/>
      <c r="H65" s="2186"/>
      <c r="I65" s="2186"/>
      <c r="J65" s="2186"/>
      <c r="K65" s="23">
        <v>0</v>
      </c>
      <c r="L65" s="23">
        <v>0</v>
      </c>
      <c r="M65" s="23">
        <v>0</v>
      </c>
      <c r="N65" s="2186"/>
      <c r="O65" s="2186"/>
      <c r="P65" s="2186"/>
      <c r="Q65" s="23"/>
      <c r="R65" s="23"/>
      <c r="S65" s="23"/>
      <c r="T65" s="2189">
        <f t="shared" si="43"/>
        <v>0</v>
      </c>
      <c r="U65" s="2190">
        <f t="shared" si="41"/>
        <v>0</v>
      </c>
      <c r="V65" s="2191">
        <f t="shared" si="42"/>
        <v>0</v>
      </c>
      <c r="W65" s="2192">
        <f t="shared" si="44"/>
        <v>0</v>
      </c>
      <c r="X65" s="1535" t="str">
        <f t="shared" si="45"/>
        <v>1.33</v>
      </c>
      <c r="Y65" s="1075" t="str">
        <f t="shared" si="46"/>
        <v>D+</v>
      </c>
      <c r="Z65" s="1075" t="str">
        <f t="shared" si="47"/>
        <v>0</v>
      </c>
      <c r="AA65" s="2173"/>
      <c r="AB65" s="2174"/>
      <c r="AC65" s="2174"/>
      <c r="AD65" s="2174"/>
      <c r="AE65" s="2174"/>
      <c r="AF65" s="2174"/>
      <c r="AG65" s="2174"/>
      <c r="AH65" s="2174"/>
      <c r="AI65" s="2174"/>
      <c r="AJ65" s="2175"/>
      <c r="AK65" s="2175"/>
      <c r="AL65" s="2175"/>
      <c r="AM65" s="2175"/>
      <c r="AN65" s="2175"/>
      <c r="AO65" s="2175"/>
      <c r="AP65" s="2175"/>
      <c r="AQ65" s="2175"/>
      <c r="AR65" s="2176"/>
      <c r="AS65" s="1948"/>
      <c r="AT65" s="1949"/>
    </row>
    <row r="66" spans="1:46" ht="24.95" customHeight="1" x14ac:dyDescent="0.3">
      <c r="A66" s="1207"/>
      <c r="B66" s="1207"/>
      <c r="C66" s="1655"/>
      <c r="D66" s="1654" t="s">
        <v>606</v>
      </c>
      <c r="E66" s="23"/>
      <c r="F66" s="23"/>
      <c r="G66" s="23"/>
      <c r="H66" s="2186"/>
      <c r="I66" s="2186"/>
      <c r="J66" s="2186"/>
      <c r="K66" s="23"/>
      <c r="L66" s="23"/>
      <c r="M66" s="23"/>
      <c r="N66" s="2186">
        <v>0</v>
      </c>
      <c r="O66" s="2186">
        <v>0</v>
      </c>
      <c r="P66" s="2186">
        <v>0</v>
      </c>
      <c r="Q66" s="23"/>
      <c r="R66" s="23"/>
      <c r="S66" s="23"/>
      <c r="T66" s="2189">
        <f t="shared" si="43"/>
        <v>0</v>
      </c>
      <c r="U66" s="2190">
        <f t="shared" si="41"/>
        <v>0</v>
      </c>
      <c r="V66" s="2191">
        <f t="shared" si="42"/>
        <v>0</v>
      </c>
      <c r="W66" s="2192">
        <f t="shared" si="44"/>
        <v>0</v>
      </c>
      <c r="X66" s="1535" t="str">
        <f t="shared" si="45"/>
        <v>1.33</v>
      </c>
      <c r="Y66" s="1075" t="str">
        <f t="shared" si="46"/>
        <v>D+</v>
      </c>
      <c r="Z66" s="1075" t="str">
        <f t="shared" si="47"/>
        <v>0</v>
      </c>
      <c r="AA66" s="2173"/>
      <c r="AB66" s="2174"/>
      <c r="AC66" s="2174"/>
      <c r="AD66" s="2174"/>
      <c r="AE66" s="2174"/>
      <c r="AF66" s="2174"/>
      <c r="AG66" s="2174"/>
      <c r="AH66" s="2174"/>
      <c r="AI66" s="2174"/>
      <c r="AJ66" s="2175"/>
      <c r="AK66" s="2175"/>
      <c r="AL66" s="2175"/>
      <c r="AM66" s="2175"/>
      <c r="AN66" s="2175"/>
      <c r="AO66" s="2175"/>
      <c r="AP66" s="2175"/>
      <c r="AQ66" s="2175"/>
      <c r="AR66" s="2176"/>
      <c r="AS66" s="1948"/>
      <c r="AT66" s="1949"/>
    </row>
    <row r="67" spans="1:46" ht="24.95" customHeight="1" x14ac:dyDescent="0.3">
      <c r="A67" s="1207"/>
      <c r="B67" s="1207"/>
      <c r="C67" s="1655"/>
      <c r="D67" s="1654" t="s">
        <v>607</v>
      </c>
      <c r="E67" s="23"/>
      <c r="F67" s="23"/>
      <c r="G67" s="23"/>
      <c r="H67" s="2186"/>
      <c r="I67" s="2186"/>
      <c r="J67" s="2186"/>
      <c r="K67" s="23"/>
      <c r="L67" s="23"/>
      <c r="M67" s="23"/>
      <c r="N67" s="2186">
        <v>0</v>
      </c>
      <c r="O67" s="2186">
        <v>0</v>
      </c>
      <c r="P67" s="2186">
        <v>0</v>
      </c>
      <c r="Q67" s="23"/>
      <c r="R67" s="23"/>
      <c r="S67" s="23"/>
      <c r="T67" s="2189">
        <f t="shared" si="43"/>
        <v>0</v>
      </c>
      <c r="U67" s="2190">
        <f t="shared" si="41"/>
        <v>0</v>
      </c>
      <c r="V67" s="2191">
        <f t="shared" si="42"/>
        <v>0</v>
      </c>
      <c r="W67" s="2192">
        <f t="shared" si="44"/>
        <v>0</v>
      </c>
      <c r="X67" s="1535" t="str">
        <f t="shared" si="45"/>
        <v>1.33</v>
      </c>
      <c r="Y67" s="1075" t="str">
        <f t="shared" si="46"/>
        <v>D+</v>
      </c>
      <c r="Z67" s="1075" t="str">
        <f t="shared" si="47"/>
        <v>0</v>
      </c>
      <c r="AA67" s="2173"/>
      <c r="AB67" s="2174"/>
      <c r="AC67" s="2174"/>
      <c r="AD67" s="2174"/>
      <c r="AE67" s="2174"/>
      <c r="AF67" s="2174"/>
      <c r="AG67" s="2174"/>
      <c r="AH67" s="2174"/>
      <c r="AI67" s="2174"/>
      <c r="AJ67" s="2175"/>
      <c r="AK67" s="2175"/>
      <c r="AL67" s="2175"/>
      <c r="AM67" s="2175"/>
      <c r="AN67" s="2175"/>
      <c r="AO67" s="2175"/>
      <c r="AP67" s="2175"/>
      <c r="AQ67" s="2175"/>
      <c r="AR67" s="2176"/>
      <c r="AS67" s="1948"/>
      <c r="AT67" s="1949"/>
    </row>
    <row r="68" spans="1:46" ht="24.95" customHeight="1" x14ac:dyDescent="0.3">
      <c r="A68" s="1656"/>
      <c r="B68" s="1207"/>
      <c r="C68" s="1655"/>
      <c r="D68" s="1654" t="s">
        <v>22</v>
      </c>
      <c r="E68" s="2187"/>
      <c r="F68" s="2187"/>
      <c r="G68" s="2187"/>
      <c r="H68" s="2188"/>
      <c r="I68" s="2186"/>
      <c r="J68" s="2186"/>
      <c r="K68" s="23"/>
      <c r="L68" s="23"/>
      <c r="M68" s="23"/>
      <c r="N68" s="2186"/>
      <c r="O68" s="2186"/>
      <c r="P68" s="2186"/>
      <c r="Q68" s="23">
        <v>0</v>
      </c>
      <c r="R68" s="23">
        <v>0</v>
      </c>
      <c r="S68" s="23">
        <v>0</v>
      </c>
      <c r="T68" s="2189">
        <f t="shared" si="43"/>
        <v>0</v>
      </c>
      <c r="U68" s="2190">
        <f t="shared" si="41"/>
        <v>0</v>
      </c>
      <c r="V68" s="2191">
        <f t="shared" si="42"/>
        <v>0</v>
      </c>
      <c r="W68" s="2192">
        <f t="shared" si="44"/>
        <v>0</v>
      </c>
      <c r="X68" s="1535" t="str">
        <f t="shared" si="45"/>
        <v>1.33</v>
      </c>
      <c r="Y68" s="1075" t="str">
        <f t="shared" si="46"/>
        <v>D+</v>
      </c>
      <c r="Z68" s="1075" t="str">
        <f t="shared" si="47"/>
        <v>0</v>
      </c>
      <c r="AA68" s="2173"/>
      <c r="AB68" s="2174"/>
      <c r="AC68" s="2174"/>
      <c r="AD68" s="2174"/>
      <c r="AE68" s="2174"/>
      <c r="AF68" s="2174"/>
      <c r="AG68" s="2174"/>
      <c r="AH68" s="2174"/>
      <c r="AI68" s="2174"/>
      <c r="AJ68" s="2175"/>
      <c r="AK68" s="2175"/>
      <c r="AL68" s="2175"/>
      <c r="AM68" s="2175"/>
      <c r="AN68" s="2175"/>
      <c r="AO68" s="2175"/>
      <c r="AP68" s="2175"/>
      <c r="AQ68" s="2175"/>
      <c r="AR68" s="2176"/>
      <c r="AS68" s="1950"/>
      <c r="AT68" s="1951"/>
    </row>
    <row r="69" spans="1:46" ht="24.95" customHeight="1" x14ac:dyDescent="0.3">
      <c r="A69" s="1236"/>
      <c r="B69" s="1237">
        <v>6</v>
      </c>
      <c r="C69" s="1658"/>
      <c r="D69" s="1236"/>
      <c r="E69" s="2650"/>
      <c r="F69" s="2651"/>
      <c r="G69" s="2651"/>
      <c r="H69" s="2651"/>
      <c r="I69" s="2652"/>
      <c r="J69" s="2109"/>
      <c r="K69" s="2109"/>
      <c r="L69" s="2109"/>
      <c r="M69" s="2109"/>
      <c r="N69" s="2109"/>
      <c r="O69" s="2109"/>
      <c r="P69" s="2109"/>
      <c r="Q69" s="2109"/>
      <c r="R69" s="2109"/>
      <c r="S69" s="2109"/>
      <c r="T69" s="2193"/>
      <c r="U69" s="2193"/>
      <c r="V69" s="2193"/>
      <c r="W69" s="2194">
        <f>IFERROR(AVERAGE(W60:W68),"  ")</f>
        <v>0</v>
      </c>
      <c r="X69" s="1454" t="str">
        <f>IF(W69&gt;85,("4"),IF(W69&gt;80,("3.66"),IF(W69&gt;75,("3.33"),IF(W69&gt;70,("3.00"),IF(W69&gt;65,("2.66"),IF(W69&gt;60,("2.33"),IF(W69&gt;55,("2"),IF(W69&gt;50,("1.66"),"1.33"))))))))</f>
        <v>1.33</v>
      </c>
      <c r="Y69" s="1454" t="str">
        <f>IF(W69&gt;85,("A"),IF(W69&gt;80,("A-"),IF(W69&gt;75,("B+"),IF(W69&gt;70,("B"),IF(W69&gt;65,("B-"),IF(W69&gt;60,("C+"),IF(W69&gt;55,("C"),IF(W69&gt;50,("C-"),"D+"))))))))</f>
        <v>D+</v>
      </c>
      <c r="Z69" s="1666"/>
      <c r="AA69" s="2182"/>
      <c r="AB69" s="2183"/>
      <c r="AC69" s="2183"/>
      <c r="AD69" s="2183"/>
      <c r="AE69" s="2183"/>
      <c r="AF69" s="2183"/>
      <c r="AG69" s="2183"/>
      <c r="AH69" s="2183"/>
      <c r="AI69" s="2183"/>
      <c r="AJ69" s="2183"/>
      <c r="AK69" s="2183"/>
      <c r="AL69" s="2183"/>
      <c r="AM69" s="2183"/>
      <c r="AN69" s="2183"/>
      <c r="AO69" s="2183"/>
      <c r="AP69" s="2183"/>
      <c r="AQ69" s="2183"/>
      <c r="AR69" s="2184"/>
      <c r="AS69" s="1952"/>
      <c r="AT69" s="1953"/>
    </row>
    <row r="70" spans="1:46" ht="24.95" customHeight="1" x14ac:dyDescent="0.3">
      <c r="A70" s="1224">
        <v>7</v>
      </c>
      <c r="B70" s="1224"/>
      <c r="C70" s="1653" t="str">
        <f>VLOOKUP(A70,data_siswa,4,FALSE)</f>
        <v>Athaya Salsabilla Z</v>
      </c>
      <c r="D70" s="1654" t="s">
        <v>603</v>
      </c>
      <c r="E70" s="1211">
        <v>0</v>
      </c>
      <c r="F70" s="1211">
        <v>0</v>
      </c>
      <c r="G70" s="1211">
        <v>0</v>
      </c>
      <c r="H70" s="2185"/>
      <c r="I70" s="2185"/>
      <c r="J70" s="2185"/>
      <c r="K70" s="1211"/>
      <c r="L70" s="1211"/>
      <c r="M70" s="1211"/>
      <c r="N70" s="2185"/>
      <c r="O70" s="2185"/>
      <c r="P70" s="2185"/>
      <c r="Q70" s="1211"/>
      <c r="R70" s="1211"/>
      <c r="S70" s="1211"/>
      <c r="T70" s="2189">
        <f>MAX(H70,K70,N70,Q70)</f>
        <v>0</v>
      </c>
      <c r="U70" s="2190">
        <f t="shared" ref="U70:U78" si="48">MAX(I70,L70,O70,R70)</f>
        <v>0</v>
      </c>
      <c r="V70" s="2191">
        <f t="shared" ref="V70:V78" si="49">MAX(J70,M70,P70,S70)</f>
        <v>0</v>
      </c>
      <c r="W70" s="2192">
        <f>IFERROR(AVERAGE(T70:V70),"")</f>
        <v>0</v>
      </c>
      <c r="X70" s="1665" t="str">
        <f>IF(W70&gt;85,("4"),IF(W70&gt;80,("3.66"),IF(W70&gt;75,("3.33"),IF(W70&gt;70,("3.00"),IF(W70&gt;65,("2.66"),IF(W70&gt;60,("2.33"),IF(W70&gt;55,("2"),IF(W70&gt;50,("1.66"),"1.33"))))))))</f>
        <v>1.33</v>
      </c>
      <c r="Y70" s="1075" t="str">
        <f>IF(W70&gt;85,("A"),IF(W70&gt;80,("A-"),IF(W70&gt;75,("B+"),IF(W70&gt;70,("B"),IF(W70&gt;65,("B-"),IF(W70&gt;60,("C+"),IF(W70&gt;55,("C"),IF(W70&gt;50,("C-"),"D+"))))))))</f>
        <v>D+</v>
      </c>
      <c r="Z70" s="1075" t="str">
        <f>IF(W70&gt;80,("SB"),IF(W70&gt;65,("B"),IF(W70&gt;50,("C"),IF(W70&gt;0,("K"),"0"))))</f>
        <v>0</v>
      </c>
      <c r="AA70" s="2180"/>
      <c r="AB70" s="2180"/>
      <c r="AC70" s="2180"/>
      <c r="AD70" s="2180"/>
      <c r="AE70" s="2180"/>
      <c r="AF70" s="2180"/>
      <c r="AG70" s="2180"/>
      <c r="AH70" s="2180"/>
      <c r="AI70" s="2180"/>
      <c r="AJ70" s="2181"/>
      <c r="AK70" s="2181"/>
      <c r="AL70" s="2181"/>
      <c r="AM70" s="2181"/>
      <c r="AN70" s="2181"/>
      <c r="AO70" s="2181"/>
      <c r="AP70" s="2181"/>
      <c r="AQ70" s="2181"/>
      <c r="AR70" s="2181"/>
      <c r="AS70" s="1910">
        <f>W79</f>
        <v>0</v>
      </c>
      <c r="AT70" s="1910" t="str">
        <f>Y79</f>
        <v>D+</v>
      </c>
    </row>
    <row r="71" spans="1:46" ht="24.95" customHeight="1" x14ac:dyDescent="0.3">
      <c r="A71" s="1207"/>
      <c r="B71" s="1207"/>
      <c r="C71" s="1655"/>
      <c r="D71" s="1654" t="s">
        <v>604</v>
      </c>
      <c r="E71" s="23">
        <v>0</v>
      </c>
      <c r="F71" s="23">
        <v>0</v>
      </c>
      <c r="G71" s="23">
        <v>0</v>
      </c>
      <c r="H71" s="2186"/>
      <c r="I71" s="2186"/>
      <c r="J71" s="2186"/>
      <c r="K71" s="23"/>
      <c r="L71" s="23"/>
      <c r="M71" s="23"/>
      <c r="N71" s="2186"/>
      <c r="O71" s="2186"/>
      <c r="P71" s="2186"/>
      <c r="Q71" s="23"/>
      <c r="R71" s="23"/>
      <c r="S71" s="23"/>
      <c r="T71" s="2189">
        <f t="shared" ref="T71:T78" si="50">MAX(H71,K71,N71,Q71)</f>
        <v>0</v>
      </c>
      <c r="U71" s="2190">
        <f t="shared" si="48"/>
        <v>0</v>
      </c>
      <c r="V71" s="2191">
        <f t="shared" si="49"/>
        <v>0</v>
      </c>
      <c r="W71" s="2192">
        <f t="shared" ref="W71:W78" si="51">IFERROR(AVERAGE(T71:V71),"")</f>
        <v>0</v>
      </c>
      <c r="X71" s="1535" t="str">
        <f t="shared" ref="X71:X78" si="52">IF(W71&gt;85,("4"),IF(W71&gt;80,("3.66"),IF(W71&gt;75,("3.33"),IF(W71&gt;70,("3.00"),IF(W71&gt;65,("2.66"),IF(W71&gt;60,("2.33"),IF(W71&gt;55,("2"),IF(W71&gt;50,("1.66"),"1.33"))))))))</f>
        <v>1.33</v>
      </c>
      <c r="Y71" s="1075" t="str">
        <f t="shared" ref="Y71:Y78" si="53">IF(W71&gt;85,("A"),IF(W71&gt;80,("A-"),IF(W71&gt;75,("B+"),IF(W71&gt;70,("B"),IF(W71&gt;65,("B-"),IF(W71&gt;60,("C+"),IF(W71&gt;55,("C"),IF(W71&gt;50,("C-"),"D+"))))))))</f>
        <v>D+</v>
      </c>
      <c r="Z71" s="1075" t="str">
        <f t="shared" ref="Z71:Z78" si="54">IF(W71&gt;80,("SB"),IF(W71&gt;65,("B"),IF(W71&gt;50,("C"),IF(W71&gt;0,("K"),"0"))))</f>
        <v>0</v>
      </c>
      <c r="AA71" s="2169"/>
      <c r="AB71" s="2170"/>
      <c r="AC71" s="2170"/>
      <c r="AD71" s="2170"/>
      <c r="AE71" s="2170"/>
      <c r="AF71" s="2170"/>
      <c r="AG71" s="2170"/>
      <c r="AH71" s="2170"/>
      <c r="AI71" s="2170"/>
      <c r="AJ71" s="2171"/>
      <c r="AK71" s="2171"/>
      <c r="AL71" s="2171"/>
      <c r="AM71" s="2171"/>
      <c r="AN71" s="2171"/>
      <c r="AO71" s="2171"/>
      <c r="AP71" s="2171"/>
      <c r="AQ71" s="2171"/>
      <c r="AR71" s="2172"/>
      <c r="AS71" s="1946"/>
      <c r="AT71" s="1947"/>
    </row>
    <row r="72" spans="1:46" ht="24.95" customHeight="1" x14ac:dyDescent="0.3">
      <c r="A72" s="1207"/>
      <c r="B72" s="1207"/>
      <c r="C72" s="1655"/>
      <c r="D72" s="1654" t="s">
        <v>605</v>
      </c>
      <c r="E72" s="23">
        <v>0</v>
      </c>
      <c r="F72" s="23">
        <v>0</v>
      </c>
      <c r="G72" s="23">
        <v>0</v>
      </c>
      <c r="H72" s="2186"/>
      <c r="I72" s="2186"/>
      <c r="J72" s="2186"/>
      <c r="K72" s="23"/>
      <c r="L72" s="23"/>
      <c r="M72" s="23"/>
      <c r="N72" s="2186"/>
      <c r="O72" s="2186"/>
      <c r="P72" s="2186"/>
      <c r="Q72" s="23"/>
      <c r="R72" s="23"/>
      <c r="S72" s="23"/>
      <c r="T72" s="2189">
        <f t="shared" si="50"/>
        <v>0</v>
      </c>
      <c r="U72" s="2190">
        <f t="shared" si="48"/>
        <v>0</v>
      </c>
      <c r="V72" s="2191">
        <f t="shared" si="49"/>
        <v>0</v>
      </c>
      <c r="W72" s="2192">
        <f t="shared" si="51"/>
        <v>0</v>
      </c>
      <c r="X72" s="1535" t="str">
        <f t="shared" si="52"/>
        <v>1.33</v>
      </c>
      <c r="Y72" s="1075" t="str">
        <f t="shared" si="53"/>
        <v>D+</v>
      </c>
      <c r="Z72" s="1075" t="str">
        <f t="shared" si="54"/>
        <v>0</v>
      </c>
      <c r="AA72" s="2173"/>
      <c r="AB72" s="2174"/>
      <c r="AC72" s="2174"/>
      <c r="AD72" s="2174"/>
      <c r="AE72" s="2174"/>
      <c r="AF72" s="2174"/>
      <c r="AG72" s="2174"/>
      <c r="AH72" s="2174"/>
      <c r="AI72" s="2174"/>
      <c r="AJ72" s="2175"/>
      <c r="AK72" s="2175"/>
      <c r="AL72" s="2175"/>
      <c r="AM72" s="2175"/>
      <c r="AN72" s="2175"/>
      <c r="AO72" s="2175"/>
      <c r="AP72" s="2175"/>
      <c r="AQ72" s="2175"/>
      <c r="AR72" s="2176"/>
      <c r="AS72" s="1948"/>
      <c r="AT72" s="1949"/>
    </row>
    <row r="73" spans="1:46" ht="24.95" customHeight="1" x14ac:dyDescent="0.3">
      <c r="A73" s="1207"/>
      <c r="B73" s="1207"/>
      <c r="C73" s="1655"/>
      <c r="D73" s="1654" t="s">
        <v>155</v>
      </c>
      <c r="E73" s="23"/>
      <c r="F73" s="23"/>
      <c r="G73" s="23"/>
      <c r="H73" s="2186">
        <v>0</v>
      </c>
      <c r="I73" s="2186">
        <v>0</v>
      </c>
      <c r="J73" s="2186">
        <v>0</v>
      </c>
      <c r="K73" s="23"/>
      <c r="L73" s="23"/>
      <c r="M73" s="23"/>
      <c r="N73" s="2186"/>
      <c r="O73" s="2186"/>
      <c r="P73" s="2186"/>
      <c r="Q73" s="23"/>
      <c r="R73" s="23"/>
      <c r="S73" s="23"/>
      <c r="T73" s="2189">
        <f t="shared" si="50"/>
        <v>0</v>
      </c>
      <c r="U73" s="2190">
        <f t="shared" si="48"/>
        <v>0</v>
      </c>
      <c r="V73" s="2191">
        <f t="shared" si="49"/>
        <v>0</v>
      </c>
      <c r="W73" s="2192">
        <f t="shared" si="51"/>
        <v>0</v>
      </c>
      <c r="X73" s="1535" t="str">
        <f t="shared" si="52"/>
        <v>1.33</v>
      </c>
      <c r="Y73" s="1075" t="str">
        <f t="shared" si="53"/>
        <v>D+</v>
      </c>
      <c r="Z73" s="1075" t="str">
        <f t="shared" si="54"/>
        <v>0</v>
      </c>
      <c r="AA73" s="2173"/>
      <c r="AB73" s="2174"/>
      <c r="AC73" s="2174"/>
      <c r="AD73" s="2174"/>
      <c r="AE73" s="2174"/>
      <c r="AF73" s="2174"/>
      <c r="AG73" s="2174"/>
      <c r="AH73" s="2174"/>
      <c r="AI73" s="2174"/>
      <c r="AJ73" s="2175"/>
      <c r="AK73" s="2175"/>
      <c r="AL73" s="2175"/>
      <c r="AM73" s="2175"/>
      <c r="AN73" s="2175"/>
      <c r="AO73" s="2175"/>
      <c r="AP73" s="2175"/>
      <c r="AQ73" s="2175"/>
      <c r="AR73" s="2176"/>
      <c r="AS73" s="1948"/>
      <c r="AT73" s="1949"/>
    </row>
    <row r="74" spans="1:46" ht="24.95" customHeight="1" x14ac:dyDescent="0.3">
      <c r="A74" s="1207"/>
      <c r="B74" s="1207"/>
      <c r="C74" s="1655"/>
      <c r="D74" s="1654" t="s">
        <v>187</v>
      </c>
      <c r="E74" s="23"/>
      <c r="F74" s="23"/>
      <c r="G74" s="23"/>
      <c r="H74" s="2186"/>
      <c r="I74" s="2186"/>
      <c r="J74" s="2186"/>
      <c r="K74" s="23">
        <v>0</v>
      </c>
      <c r="L74" s="23">
        <v>0</v>
      </c>
      <c r="M74" s="23">
        <v>0</v>
      </c>
      <c r="N74" s="2186"/>
      <c r="O74" s="2186"/>
      <c r="P74" s="2186"/>
      <c r="Q74" s="23"/>
      <c r="R74" s="23"/>
      <c r="S74" s="23"/>
      <c r="T74" s="2189">
        <f t="shared" si="50"/>
        <v>0</v>
      </c>
      <c r="U74" s="2190">
        <f t="shared" si="48"/>
        <v>0</v>
      </c>
      <c r="V74" s="2191">
        <f t="shared" si="49"/>
        <v>0</v>
      </c>
      <c r="W74" s="2192">
        <f t="shared" si="51"/>
        <v>0</v>
      </c>
      <c r="X74" s="1535" t="str">
        <f t="shared" si="52"/>
        <v>1.33</v>
      </c>
      <c r="Y74" s="1075" t="str">
        <f t="shared" si="53"/>
        <v>D+</v>
      </c>
      <c r="Z74" s="1075" t="str">
        <f t="shared" si="54"/>
        <v>0</v>
      </c>
      <c r="AA74" s="2173"/>
      <c r="AB74" s="2174"/>
      <c r="AC74" s="2174"/>
      <c r="AD74" s="2174"/>
      <c r="AE74" s="2174"/>
      <c r="AF74" s="2174"/>
      <c r="AG74" s="2174"/>
      <c r="AH74" s="2174"/>
      <c r="AI74" s="2174"/>
      <c r="AJ74" s="2175"/>
      <c r="AK74" s="2175"/>
      <c r="AL74" s="2175"/>
      <c r="AM74" s="2175"/>
      <c r="AN74" s="2175"/>
      <c r="AO74" s="2175"/>
      <c r="AP74" s="2175"/>
      <c r="AQ74" s="2175"/>
      <c r="AR74" s="2176"/>
      <c r="AS74" s="1948"/>
      <c r="AT74" s="1949"/>
    </row>
    <row r="75" spans="1:46" ht="24.95" customHeight="1" x14ac:dyDescent="0.3">
      <c r="A75" s="1207"/>
      <c r="B75" s="1207"/>
      <c r="C75" s="1655"/>
      <c r="D75" s="1654" t="s">
        <v>17</v>
      </c>
      <c r="E75" s="23"/>
      <c r="F75" s="23"/>
      <c r="G75" s="23"/>
      <c r="H75" s="2186"/>
      <c r="I75" s="2186"/>
      <c r="J75" s="2186"/>
      <c r="K75" s="23">
        <v>0</v>
      </c>
      <c r="L75" s="23">
        <v>0</v>
      </c>
      <c r="M75" s="23">
        <v>0</v>
      </c>
      <c r="N75" s="2186"/>
      <c r="O75" s="2186"/>
      <c r="P75" s="2186"/>
      <c r="Q75" s="23"/>
      <c r="R75" s="23"/>
      <c r="S75" s="23"/>
      <c r="T75" s="2189">
        <f t="shared" si="50"/>
        <v>0</v>
      </c>
      <c r="U75" s="2190">
        <f t="shared" si="48"/>
        <v>0</v>
      </c>
      <c r="V75" s="2191">
        <f t="shared" si="49"/>
        <v>0</v>
      </c>
      <c r="W75" s="2192">
        <f t="shared" si="51"/>
        <v>0</v>
      </c>
      <c r="X75" s="1535" t="str">
        <f t="shared" si="52"/>
        <v>1.33</v>
      </c>
      <c r="Y75" s="1075" t="str">
        <f t="shared" si="53"/>
        <v>D+</v>
      </c>
      <c r="Z75" s="1075" t="str">
        <f t="shared" si="54"/>
        <v>0</v>
      </c>
      <c r="AA75" s="2173"/>
      <c r="AB75" s="2174"/>
      <c r="AC75" s="2174"/>
      <c r="AD75" s="2174"/>
      <c r="AE75" s="2174"/>
      <c r="AF75" s="2174"/>
      <c r="AG75" s="2174"/>
      <c r="AH75" s="2174"/>
      <c r="AI75" s="2174"/>
      <c r="AJ75" s="2175"/>
      <c r="AK75" s="2175"/>
      <c r="AL75" s="2175"/>
      <c r="AM75" s="2175"/>
      <c r="AN75" s="2175"/>
      <c r="AO75" s="2175"/>
      <c r="AP75" s="2175"/>
      <c r="AQ75" s="2175"/>
      <c r="AR75" s="2176"/>
      <c r="AS75" s="1948"/>
      <c r="AT75" s="1949"/>
    </row>
    <row r="76" spans="1:46" ht="24.95" customHeight="1" x14ac:dyDescent="0.3">
      <c r="A76" s="1207"/>
      <c r="B76" s="1207"/>
      <c r="C76" s="1655"/>
      <c r="D76" s="1654" t="s">
        <v>606</v>
      </c>
      <c r="E76" s="23"/>
      <c r="F76" s="23"/>
      <c r="G76" s="23"/>
      <c r="H76" s="2186"/>
      <c r="I76" s="2186"/>
      <c r="J76" s="2186"/>
      <c r="K76" s="23"/>
      <c r="L76" s="23"/>
      <c r="M76" s="23"/>
      <c r="N76" s="2186">
        <v>0</v>
      </c>
      <c r="O76" s="2186">
        <v>0</v>
      </c>
      <c r="P76" s="2186">
        <v>0</v>
      </c>
      <c r="Q76" s="23"/>
      <c r="R76" s="23"/>
      <c r="S76" s="23"/>
      <c r="T76" s="2189">
        <f t="shared" si="50"/>
        <v>0</v>
      </c>
      <c r="U76" s="2190">
        <f t="shared" si="48"/>
        <v>0</v>
      </c>
      <c r="V76" s="2191">
        <f t="shared" si="49"/>
        <v>0</v>
      </c>
      <c r="W76" s="2192">
        <f t="shared" si="51"/>
        <v>0</v>
      </c>
      <c r="X76" s="1535" t="str">
        <f t="shared" si="52"/>
        <v>1.33</v>
      </c>
      <c r="Y76" s="1075" t="str">
        <f t="shared" si="53"/>
        <v>D+</v>
      </c>
      <c r="Z76" s="1075" t="str">
        <f t="shared" si="54"/>
        <v>0</v>
      </c>
      <c r="AA76" s="2173"/>
      <c r="AB76" s="2174"/>
      <c r="AC76" s="2174"/>
      <c r="AD76" s="2174"/>
      <c r="AE76" s="2174"/>
      <c r="AF76" s="2174"/>
      <c r="AG76" s="2174"/>
      <c r="AH76" s="2174"/>
      <c r="AI76" s="2174"/>
      <c r="AJ76" s="2175"/>
      <c r="AK76" s="2175"/>
      <c r="AL76" s="2175"/>
      <c r="AM76" s="2175"/>
      <c r="AN76" s="2175"/>
      <c r="AO76" s="2175"/>
      <c r="AP76" s="2175"/>
      <c r="AQ76" s="2175"/>
      <c r="AR76" s="2176"/>
      <c r="AS76" s="1948"/>
      <c r="AT76" s="1949"/>
    </row>
    <row r="77" spans="1:46" ht="24.95" customHeight="1" x14ac:dyDescent="0.3">
      <c r="A77" s="1207"/>
      <c r="B77" s="1207"/>
      <c r="C77" s="1655"/>
      <c r="D77" s="1654" t="s">
        <v>607</v>
      </c>
      <c r="E77" s="23"/>
      <c r="F77" s="23"/>
      <c r="G77" s="23"/>
      <c r="H77" s="2186"/>
      <c r="I77" s="2186"/>
      <c r="J77" s="2186"/>
      <c r="K77" s="23"/>
      <c r="L77" s="23"/>
      <c r="M77" s="23"/>
      <c r="N77" s="2186">
        <v>0</v>
      </c>
      <c r="O77" s="2186">
        <v>0</v>
      </c>
      <c r="P77" s="2186">
        <v>0</v>
      </c>
      <c r="Q77" s="23"/>
      <c r="R77" s="23"/>
      <c r="S77" s="23"/>
      <c r="T77" s="2189">
        <f t="shared" si="50"/>
        <v>0</v>
      </c>
      <c r="U77" s="2190">
        <f t="shared" si="48"/>
        <v>0</v>
      </c>
      <c r="V77" s="2191">
        <f t="shared" si="49"/>
        <v>0</v>
      </c>
      <c r="W77" s="2192">
        <f t="shared" si="51"/>
        <v>0</v>
      </c>
      <c r="X77" s="1535" t="str">
        <f t="shared" si="52"/>
        <v>1.33</v>
      </c>
      <c r="Y77" s="1075" t="str">
        <f t="shared" si="53"/>
        <v>D+</v>
      </c>
      <c r="Z77" s="1075" t="str">
        <f t="shared" si="54"/>
        <v>0</v>
      </c>
      <c r="AA77" s="2173"/>
      <c r="AB77" s="2174"/>
      <c r="AC77" s="2174"/>
      <c r="AD77" s="2174"/>
      <c r="AE77" s="2174"/>
      <c r="AF77" s="2174"/>
      <c r="AG77" s="2174"/>
      <c r="AH77" s="2174"/>
      <c r="AI77" s="2174"/>
      <c r="AJ77" s="2175"/>
      <c r="AK77" s="2175"/>
      <c r="AL77" s="2175"/>
      <c r="AM77" s="2175"/>
      <c r="AN77" s="2175"/>
      <c r="AO77" s="2175"/>
      <c r="AP77" s="2175"/>
      <c r="AQ77" s="2175"/>
      <c r="AR77" s="2176"/>
      <c r="AS77" s="1948"/>
      <c r="AT77" s="1949"/>
    </row>
    <row r="78" spans="1:46" ht="24.95" customHeight="1" x14ac:dyDescent="0.3">
      <c r="A78" s="1656"/>
      <c r="B78" s="1207"/>
      <c r="C78" s="1655"/>
      <c r="D78" s="1654" t="s">
        <v>22</v>
      </c>
      <c r="E78" s="2187"/>
      <c r="F78" s="2187"/>
      <c r="G78" s="2187"/>
      <c r="H78" s="2188"/>
      <c r="I78" s="2186"/>
      <c r="J78" s="2186"/>
      <c r="K78" s="23"/>
      <c r="L78" s="23"/>
      <c r="M78" s="23"/>
      <c r="N78" s="2186"/>
      <c r="O78" s="2186"/>
      <c r="P78" s="2186"/>
      <c r="Q78" s="23">
        <v>0</v>
      </c>
      <c r="R78" s="23">
        <v>0</v>
      </c>
      <c r="S78" s="23">
        <v>0</v>
      </c>
      <c r="T78" s="2189">
        <f t="shared" si="50"/>
        <v>0</v>
      </c>
      <c r="U78" s="2190">
        <f t="shared" si="48"/>
        <v>0</v>
      </c>
      <c r="V78" s="2191">
        <f t="shared" si="49"/>
        <v>0</v>
      </c>
      <c r="W78" s="2192">
        <f t="shared" si="51"/>
        <v>0</v>
      </c>
      <c r="X78" s="1535" t="str">
        <f t="shared" si="52"/>
        <v>1.33</v>
      </c>
      <c r="Y78" s="1075" t="str">
        <f t="shared" si="53"/>
        <v>D+</v>
      </c>
      <c r="Z78" s="1075" t="str">
        <f t="shared" si="54"/>
        <v>0</v>
      </c>
      <c r="AA78" s="2173"/>
      <c r="AB78" s="2174"/>
      <c r="AC78" s="2174"/>
      <c r="AD78" s="2174"/>
      <c r="AE78" s="2174"/>
      <c r="AF78" s="2174"/>
      <c r="AG78" s="2174"/>
      <c r="AH78" s="2174"/>
      <c r="AI78" s="2174"/>
      <c r="AJ78" s="2175"/>
      <c r="AK78" s="2175"/>
      <c r="AL78" s="2175"/>
      <c r="AM78" s="2175"/>
      <c r="AN78" s="2175"/>
      <c r="AO78" s="2175"/>
      <c r="AP78" s="2175"/>
      <c r="AQ78" s="2175"/>
      <c r="AR78" s="2176"/>
      <c r="AS78" s="1950"/>
      <c r="AT78" s="1951"/>
    </row>
    <row r="79" spans="1:46" ht="24.95" customHeight="1" x14ac:dyDescent="0.3">
      <c r="A79" s="1236"/>
      <c r="B79" s="1237">
        <v>7</v>
      </c>
      <c r="C79" s="1658"/>
      <c r="D79" s="1236"/>
      <c r="E79" s="2650"/>
      <c r="F79" s="2651"/>
      <c r="G79" s="2651"/>
      <c r="H79" s="2651"/>
      <c r="I79" s="2652"/>
      <c r="J79" s="2109"/>
      <c r="K79" s="2109"/>
      <c r="L79" s="2109"/>
      <c r="M79" s="2109"/>
      <c r="N79" s="2109"/>
      <c r="O79" s="2109"/>
      <c r="P79" s="2109"/>
      <c r="Q79" s="2109"/>
      <c r="R79" s="2109"/>
      <c r="S79" s="2109"/>
      <c r="T79" s="2193"/>
      <c r="U79" s="2193"/>
      <c r="V79" s="2193"/>
      <c r="W79" s="2194">
        <f>IFERROR(AVERAGE(W70:W78),"  ")</f>
        <v>0</v>
      </c>
      <c r="X79" s="1454" t="str">
        <f>IF(W79&gt;85,("4"),IF(W79&gt;80,("3.66"),IF(W79&gt;75,("3.33"),IF(W79&gt;70,("3.00"),IF(W79&gt;65,("2.66"),IF(W79&gt;60,("2.33"),IF(W79&gt;55,("2"),IF(W79&gt;50,("1.66"),"1.33"))))))))</f>
        <v>1.33</v>
      </c>
      <c r="Y79" s="1454" t="str">
        <f>IF(W79&gt;85,("A"),IF(W79&gt;80,("A-"),IF(W79&gt;75,("B+"),IF(W79&gt;70,("B"),IF(W79&gt;65,("B-"),IF(W79&gt;60,("C+"),IF(W79&gt;55,("C"),IF(W79&gt;50,("C-"),"D+"))))))))</f>
        <v>D+</v>
      </c>
      <c r="Z79" s="1666"/>
      <c r="AA79" s="2182"/>
      <c r="AB79" s="2183"/>
      <c r="AC79" s="2183"/>
      <c r="AD79" s="2183"/>
      <c r="AE79" s="2183"/>
      <c r="AF79" s="2183"/>
      <c r="AG79" s="2183"/>
      <c r="AH79" s="2183"/>
      <c r="AI79" s="2183"/>
      <c r="AJ79" s="2183"/>
      <c r="AK79" s="2183"/>
      <c r="AL79" s="2183"/>
      <c r="AM79" s="2183"/>
      <c r="AN79" s="2183"/>
      <c r="AO79" s="2183"/>
      <c r="AP79" s="2183"/>
      <c r="AQ79" s="2183"/>
      <c r="AR79" s="2184"/>
      <c r="AS79" s="1952"/>
      <c r="AT79" s="1953"/>
    </row>
    <row r="80" spans="1:46" ht="24.95" customHeight="1" x14ac:dyDescent="0.3">
      <c r="A80" s="1224">
        <v>8</v>
      </c>
      <c r="B80" s="1224"/>
      <c r="C80" s="1653" t="str">
        <f>VLOOKUP(A80,data_siswa,4,FALSE)</f>
        <v>Aulia Dea Rosalinda</v>
      </c>
      <c r="D80" s="1654" t="s">
        <v>603</v>
      </c>
      <c r="E80" s="1211">
        <v>0</v>
      </c>
      <c r="F80" s="1211">
        <v>0</v>
      </c>
      <c r="G80" s="1211">
        <v>0</v>
      </c>
      <c r="H80" s="2185"/>
      <c r="I80" s="2185"/>
      <c r="J80" s="2185"/>
      <c r="K80" s="1211"/>
      <c r="L80" s="1211"/>
      <c r="M80" s="1211"/>
      <c r="N80" s="2185"/>
      <c r="O80" s="2185"/>
      <c r="P80" s="2185"/>
      <c r="Q80" s="1211"/>
      <c r="R80" s="1211"/>
      <c r="S80" s="1211"/>
      <c r="T80" s="2189">
        <f>MAX(H80,K80,N80,Q80)</f>
        <v>0</v>
      </c>
      <c r="U80" s="2190">
        <f t="shared" ref="U80:U88" si="55">MAX(I80,L80,O80,R80)</f>
        <v>0</v>
      </c>
      <c r="V80" s="2191">
        <f t="shared" ref="V80:V88" si="56">MAX(J80,M80,P80,S80)</f>
        <v>0</v>
      </c>
      <c r="W80" s="2192">
        <f>IFERROR(AVERAGE(T80:V80),"")</f>
        <v>0</v>
      </c>
      <c r="X80" s="1665" t="str">
        <f>IF(W80&gt;85,("4"),IF(W80&gt;80,("3.66"),IF(W80&gt;75,("3.33"),IF(W80&gt;70,("3.00"),IF(W80&gt;65,("2.66"),IF(W80&gt;60,("2.33"),IF(W80&gt;55,("2"),IF(W80&gt;50,("1.66"),"1.33"))))))))</f>
        <v>1.33</v>
      </c>
      <c r="Y80" s="1075" t="str">
        <f>IF(W80&gt;85,("A"),IF(W80&gt;80,("A-"),IF(W80&gt;75,("B+"),IF(W80&gt;70,("B"),IF(W80&gt;65,("B-"),IF(W80&gt;60,("C+"),IF(W80&gt;55,("C"),IF(W80&gt;50,("C-"),"D+"))))))))</f>
        <v>D+</v>
      </c>
      <c r="Z80" s="1075" t="str">
        <f>IF(W80&gt;80,("SB"),IF(W80&gt;65,("B"),IF(W80&gt;50,("C"),IF(W80&gt;0,("K"),"0"))))</f>
        <v>0</v>
      </c>
      <c r="AA80" s="2180"/>
      <c r="AB80" s="2180"/>
      <c r="AC80" s="2180"/>
      <c r="AD80" s="2180"/>
      <c r="AE80" s="2180"/>
      <c r="AF80" s="2180"/>
      <c r="AG80" s="2180"/>
      <c r="AH80" s="2180"/>
      <c r="AI80" s="2180"/>
      <c r="AJ80" s="2181"/>
      <c r="AK80" s="2181"/>
      <c r="AL80" s="2181"/>
      <c r="AM80" s="2181"/>
      <c r="AN80" s="2181"/>
      <c r="AO80" s="2181"/>
      <c r="AP80" s="2181"/>
      <c r="AQ80" s="2181"/>
      <c r="AR80" s="2181"/>
      <c r="AS80" s="1910">
        <f>W89</f>
        <v>0</v>
      </c>
      <c r="AT80" s="1910" t="str">
        <f>Y89</f>
        <v>D+</v>
      </c>
    </row>
    <row r="81" spans="1:46" ht="24.95" customHeight="1" x14ac:dyDescent="0.3">
      <c r="A81" s="1207"/>
      <c r="B81" s="1207"/>
      <c r="C81" s="1655"/>
      <c r="D81" s="1654" t="s">
        <v>604</v>
      </c>
      <c r="E81" s="23">
        <v>0</v>
      </c>
      <c r="F81" s="23">
        <v>0</v>
      </c>
      <c r="G81" s="23">
        <v>0</v>
      </c>
      <c r="H81" s="2186"/>
      <c r="I81" s="2186"/>
      <c r="J81" s="2186"/>
      <c r="K81" s="23"/>
      <c r="L81" s="23"/>
      <c r="M81" s="23"/>
      <c r="N81" s="2186"/>
      <c r="O81" s="2186"/>
      <c r="P81" s="2186"/>
      <c r="Q81" s="23"/>
      <c r="R81" s="23"/>
      <c r="S81" s="23"/>
      <c r="T81" s="2189">
        <f t="shared" ref="T81:T88" si="57">MAX(H81,K81,N81,Q81)</f>
        <v>0</v>
      </c>
      <c r="U81" s="2190">
        <f t="shared" si="55"/>
        <v>0</v>
      </c>
      <c r="V81" s="2191">
        <f t="shared" si="56"/>
        <v>0</v>
      </c>
      <c r="W81" s="2192">
        <f t="shared" ref="W81:W88" si="58">IFERROR(AVERAGE(T81:V81),"")</f>
        <v>0</v>
      </c>
      <c r="X81" s="1535" t="str">
        <f t="shared" ref="X81:X88" si="59">IF(W81&gt;85,("4"),IF(W81&gt;80,("3.66"),IF(W81&gt;75,("3.33"),IF(W81&gt;70,("3.00"),IF(W81&gt;65,("2.66"),IF(W81&gt;60,("2.33"),IF(W81&gt;55,("2"),IF(W81&gt;50,("1.66"),"1.33"))))))))</f>
        <v>1.33</v>
      </c>
      <c r="Y81" s="1075" t="str">
        <f t="shared" ref="Y81:Y88" si="60">IF(W81&gt;85,("A"),IF(W81&gt;80,("A-"),IF(W81&gt;75,("B+"),IF(W81&gt;70,("B"),IF(W81&gt;65,("B-"),IF(W81&gt;60,("C+"),IF(W81&gt;55,("C"),IF(W81&gt;50,("C-"),"D+"))))))))</f>
        <v>D+</v>
      </c>
      <c r="Z81" s="1075" t="str">
        <f t="shared" ref="Z81:Z88" si="61">IF(W81&gt;80,("SB"),IF(W81&gt;65,("B"),IF(W81&gt;50,("C"),IF(W81&gt;0,("K"),"0"))))</f>
        <v>0</v>
      </c>
      <c r="AA81" s="2169"/>
      <c r="AB81" s="2170"/>
      <c r="AC81" s="2170"/>
      <c r="AD81" s="2170"/>
      <c r="AE81" s="2170"/>
      <c r="AF81" s="2170"/>
      <c r="AG81" s="2170"/>
      <c r="AH81" s="2170"/>
      <c r="AI81" s="2170"/>
      <c r="AJ81" s="2171"/>
      <c r="AK81" s="2171"/>
      <c r="AL81" s="2171"/>
      <c r="AM81" s="2171"/>
      <c r="AN81" s="2171"/>
      <c r="AO81" s="2171"/>
      <c r="AP81" s="2171"/>
      <c r="AQ81" s="2171"/>
      <c r="AR81" s="2172"/>
      <c r="AS81" s="1946"/>
      <c r="AT81" s="1947"/>
    </row>
    <row r="82" spans="1:46" ht="24.95" customHeight="1" x14ac:dyDescent="0.3">
      <c r="A82" s="1207"/>
      <c r="B82" s="1207"/>
      <c r="C82" s="1655"/>
      <c r="D82" s="1654" t="s">
        <v>605</v>
      </c>
      <c r="E82" s="23">
        <v>0</v>
      </c>
      <c r="F82" s="23">
        <v>0</v>
      </c>
      <c r="G82" s="23">
        <v>0</v>
      </c>
      <c r="H82" s="2186"/>
      <c r="I82" s="2186"/>
      <c r="J82" s="2186"/>
      <c r="K82" s="23"/>
      <c r="L82" s="23"/>
      <c r="M82" s="23"/>
      <c r="N82" s="2186"/>
      <c r="O82" s="2186"/>
      <c r="P82" s="2186"/>
      <c r="Q82" s="23"/>
      <c r="R82" s="23"/>
      <c r="S82" s="23"/>
      <c r="T82" s="2189">
        <f t="shared" si="57"/>
        <v>0</v>
      </c>
      <c r="U82" s="2190">
        <f t="shared" si="55"/>
        <v>0</v>
      </c>
      <c r="V82" s="2191">
        <f t="shared" si="56"/>
        <v>0</v>
      </c>
      <c r="W82" s="2192">
        <f t="shared" si="58"/>
        <v>0</v>
      </c>
      <c r="X82" s="1535" t="str">
        <f t="shared" si="59"/>
        <v>1.33</v>
      </c>
      <c r="Y82" s="1075" t="str">
        <f t="shared" si="60"/>
        <v>D+</v>
      </c>
      <c r="Z82" s="1075" t="str">
        <f t="shared" si="61"/>
        <v>0</v>
      </c>
      <c r="AA82" s="2173"/>
      <c r="AB82" s="2174"/>
      <c r="AC82" s="2174"/>
      <c r="AD82" s="2174"/>
      <c r="AE82" s="2174"/>
      <c r="AF82" s="2174"/>
      <c r="AG82" s="2174"/>
      <c r="AH82" s="2174"/>
      <c r="AI82" s="2174"/>
      <c r="AJ82" s="2175"/>
      <c r="AK82" s="2175"/>
      <c r="AL82" s="2175"/>
      <c r="AM82" s="2175"/>
      <c r="AN82" s="2175"/>
      <c r="AO82" s="2175"/>
      <c r="AP82" s="2175"/>
      <c r="AQ82" s="2175"/>
      <c r="AR82" s="2176"/>
      <c r="AS82" s="1948"/>
      <c r="AT82" s="1949"/>
    </row>
    <row r="83" spans="1:46" ht="24.95" customHeight="1" x14ac:dyDescent="0.3">
      <c r="A83" s="1207"/>
      <c r="B83" s="1207"/>
      <c r="C83" s="1655"/>
      <c r="D83" s="1654" t="s">
        <v>155</v>
      </c>
      <c r="E83" s="23"/>
      <c r="F83" s="23"/>
      <c r="G83" s="23"/>
      <c r="H83" s="2186">
        <v>0</v>
      </c>
      <c r="I83" s="2186">
        <v>0</v>
      </c>
      <c r="J83" s="2186">
        <v>0</v>
      </c>
      <c r="K83" s="23"/>
      <c r="L83" s="23"/>
      <c r="M83" s="23"/>
      <c r="N83" s="2186"/>
      <c r="O83" s="2186"/>
      <c r="P83" s="2186"/>
      <c r="Q83" s="23"/>
      <c r="R83" s="23"/>
      <c r="S83" s="23"/>
      <c r="T83" s="2189">
        <f t="shared" si="57"/>
        <v>0</v>
      </c>
      <c r="U83" s="2190">
        <f t="shared" si="55"/>
        <v>0</v>
      </c>
      <c r="V83" s="2191">
        <f t="shared" si="56"/>
        <v>0</v>
      </c>
      <c r="W83" s="2192">
        <f t="shared" si="58"/>
        <v>0</v>
      </c>
      <c r="X83" s="1535" t="str">
        <f t="shared" si="59"/>
        <v>1.33</v>
      </c>
      <c r="Y83" s="1075" t="str">
        <f t="shared" si="60"/>
        <v>D+</v>
      </c>
      <c r="Z83" s="1075" t="str">
        <f t="shared" si="61"/>
        <v>0</v>
      </c>
      <c r="AA83" s="2173"/>
      <c r="AB83" s="2174"/>
      <c r="AC83" s="2174"/>
      <c r="AD83" s="2174"/>
      <c r="AE83" s="2174"/>
      <c r="AF83" s="2174"/>
      <c r="AG83" s="2174"/>
      <c r="AH83" s="2174"/>
      <c r="AI83" s="2174"/>
      <c r="AJ83" s="2175"/>
      <c r="AK83" s="2175"/>
      <c r="AL83" s="2175"/>
      <c r="AM83" s="2175"/>
      <c r="AN83" s="2175"/>
      <c r="AO83" s="2175"/>
      <c r="AP83" s="2175"/>
      <c r="AQ83" s="2175"/>
      <c r="AR83" s="2176"/>
      <c r="AS83" s="1948"/>
      <c r="AT83" s="1949"/>
    </row>
    <row r="84" spans="1:46" ht="24.95" customHeight="1" x14ac:dyDescent="0.3">
      <c r="A84" s="1207"/>
      <c r="B84" s="1207"/>
      <c r="C84" s="1655"/>
      <c r="D84" s="1654" t="s">
        <v>187</v>
      </c>
      <c r="E84" s="23"/>
      <c r="F84" s="23"/>
      <c r="G84" s="23"/>
      <c r="H84" s="2186"/>
      <c r="I84" s="2186"/>
      <c r="J84" s="2186"/>
      <c r="K84" s="23">
        <v>0</v>
      </c>
      <c r="L84" s="23">
        <v>0</v>
      </c>
      <c r="M84" s="23">
        <v>0</v>
      </c>
      <c r="N84" s="2186"/>
      <c r="O84" s="2186"/>
      <c r="P84" s="2186"/>
      <c r="Q84" s="23"/>
      <c r="R84" s="23"/>
      <c r="S84" s="23"/>
      <c r="T84" s="2189">
        <f t="shared" si="57"/>
        <v>0</v>
      </c>
      <c r="U84" s="2190">
        <f t="shared" si="55"/>
        <v>0</v>
      </c>
      <c r="V84" s="2191">
        <f t="shared" si="56"/>
        <v>0</v>
      </c>
      <c r="W84" s="2192">
        <f t="shared" si="58"/>
        <v>0</v>
      </c>
      <c r="X84" s="1535" t="str">
        <f t="shared" si="59"/>
        <v>1.33</v>
      </c>
      <c r="Y84" s="1075" t="str">
        <f t="shared" si="60"/>
        <v>D+</v>
      </c>
      <c r="Z84" s="1075" t="str">
        <f t="shared" si="61"/>
        <v>0</v>
      </c>
      <c r="AA84" s="2173"/>
      <c r="AB84" s="2174"/>
      <c r="AC84" s="2174"/>
      <c r="AD84" s="2174"/>
      <c r="AE84" s="2174"/>
      <c r="AF84" s="2174"/>
      <c r="AG84" s="2174"/>
      <c r="AH84" s="2174"/>
      <c r="AI84" s="2174"/>
      <c r="AJ84" s="2175"/>
      <c r="AK84" s="2175"/>
      <c r="AL84" s="2175"/>
      <c r="AM84" s="2175"/>
      <c r="AN84" s="2175"/>
      <c r="AO84" s="2175"/>
      <c r="AP84" s="2175"/>
      <c r="AQ84" s="2175"/>
      <c r="AR84" s="2176"/>
      <c r="AS84" s="1948"/>
      <c r="AT84" s="1949"/>
    </row>
    <row r="85" spans="1:46" ht="24.95" customHeight="1" x14ac:dyDescent="0.3">
      <c r="A85" s="1207"/>
      <c r="B85" s="1207"/>
      <c r="C85" s="1655"/>
      <c r="D85" s="1654" t="s">
        <v>17</v>
      </c>
      <c r="E85" s="23"/>
      <c r="F85" s="23"/>
      <c r="G85" s="23"/>
      <c r="H85" s="2186"/>
      <c r="I85" s="2186"/>
      <c r="J85" s="2186"/>
      <c r="K85" s="23">
        <v>0</v>
      </c>
      <c r="L85" s="23">
        <v>0</v>
      </c>
      <c r="M85" s="23">
        <v>0</v>
      </c>
      <c r="N85" s="2186"/>
      <c r="O85" s="2186"/>
      <c r="P85" s="2186"/>
      <c r="Q85" s="23"/>
      <c r="R85" s="23"/>
      <c r="S85" s="23"/>
      <c r="T85" s="2189">
        <f t="shared" si="57"/>
        <v>0</v>
      </c>
      <c r="U85" s="2190">
        <f t="shared" si="55"/>
        <v>0</v>
      </c>
      <c r="V85" s="2191">
        <f t="shared" si="56"/>
        <v>0</v>
      </c>
      <c r="W85" s="2192">
        <f t="shared" si="58"/>
        <v>0</v>
      </c>
      <c r="X85" s="1535" t="str">
        <f t="shared" si="59"/>
        <v>1.33</v>
      </c>
      <c r="Y85" s="1075" t="str">
        <f t="shared" si="60"/>
        <v>D+</v>
      </c>
      <c r="Z85" s="1075" t="str">
        <f t="shared" si="61"/>
        <v>0</v>
      </c>
      <c r="AA85" s="2173"/>
      <c r="AB85" s="2174"/>
      <c r="AC85" s="2174"/>
      <c r="AD85" s="2174"/>
      <c r="AE85" s="2174"/>
      <c r="AF85" s="2174"/>
      <c r="AG85" s="2174"/>
      <c r="AH85" s="2174"/>
      <c r="AI85" s="2174"/>
      <c r="AJ85" s="2175"/>
      <c r="AK85" s="2175"/>
      <c r="AL85" s="2175"/>
      <c r="AM85" s="2175"/>
      <c r="AN85" s="2175"/>
      <c r="AO85" s="2175"/>
      <c r="AP85" s="2175"/>
      <c r="AQ85" s="2175"/>
      <c r="AR85" s="2176"/>
      <c r="AS85" s="1948"/>
      <c r="AT85" s="1949"/>
    </row>
    <row r="86" spans="1:46" ht="24.95" customHeight="1" x14ac:dyDescent="0.3">
      <c r="A86" s="1207"/>
      <c r="B86" s="1207"/>
      <c r="C86" s="1655"/>
      <c r="D86" s="1654" t="s">
        <v>606</v>
      </c>
      <c r="E86" s="23"/>
      <c r="F86" s="23"/>
      <c r="G86" s="23"/>
      <c r="H86" s="2186"/>
      <c r="I86" s="2186"/>
      <c r="J86" s="2186"/>
      <c r="K86" s="23"/>
      <c r="L86" s="23"/>
      <c r="M86" s="23"/>
      <c r="N86" s="2186">
        <v>0</v>
      </c>
      <c r="O86" s="2186">
        <v>0</v>
      </c>
      <c r="P86" s="2186">
        <v>0</v>
      </c>
      <c r="Q86" s="23"/>
      <c r="R86" s="23"/>
      <c r="S86" s="23"/>
      <c r="T86" s="2189">
        <f t="shared" si="57"/>
        <v>0</v>
      </c>
      <c r="U86" s="2190">
        <f t="shared" si="55"/>
        <v>0</v>
      </c>
      <c r="V86" s="2191">
        <f t="shared" si="56"/>
        <v>0</v>
      </c>
      <c r="W86" s="2192">
        <f t="shared" si="58"/>
        <v>0</v>
      </c>
      <c r="X86" s="1535" t="str">
        <f t="shared" si="59"/>
        <v>1.33</v>
      </c>
      <c r="Y86" s="1075" t="str">
        <f t="shared" si="60"/>
        <v>D+</v>
      </c>
      <c r="Z86" s="1075" t="str">
        <f t="shared" si="61"/>
        <v>0</v>
      </c>
      <c r="AA86" s="2173"/>
      <c r="AB86" s="2174"/>
      <c r="AC86" s="2174"/>
      <c r="AD86" s="2174"/>
      <c r="AE86" s="2174"/>
      <c r="AF86" s="2174"/>
      <c r="AG86" s="2174"/>
      <c r="AH86" s="2174"/>
      <c r="AI86" s="2174"/>
      <c r="AJ86" s="2175"/>
      <c r="AK86" s="2175"/>
      <c r="AL86" s="2175"/>
      <c r="AM86" s="2175"/>
      <c r="AN86" s="2175"/>
      <c r="AO86" s="2175"/>
      <c r="AP86" s="2175"/>
      <c r="AQ86" s="2175"/>
      <c r="AR86" s="2176"/>
      <c r="AS86" s="1948"/>
      <c r="AT86" s="1949"/>
    </row>
    <row r="87" spans="1:46" ht="24.95" customHeight="1" x14ac:dyDescent="0.3">
      <c r="A87" s="1207"/>
      <c r="B87" s="1207"/>
      <c r="C87" s="1655"/>
      <c r="D87" s="1654" t="s">
        <v>607</v>
      </c>
      <c r="E87" s="23"/>
      <c r="F87" s="23"/>
      <c r="G87" s="23"/>
      <c r="H87" s="2186"/>
      <c r="I87" s="2186"/>
      <c r="J87" s="2186"/>
      <c r="K87" s="23"/>
      <c r="L87" s="23"/>
      <c r="M87" s="23"/>
      <c r="N87" s="2186">
        <v>0</v>
      </c>
      <c r="O87" s="2186">
        <v>0</v>
      </c>
      <c r="P87" s="2186">
        <v>0</v>
      </c>
      <c r="Q87" s="23"/>
      <c r="R87" s="23"/>
      <c r="S87" s="23"/>
      <c r="T87" s="2189">
        <f t="shared" si="57"/>
        <v>0</v>
      </c>
      <c r="U87" s="2190">
        <f t="shared" si="55"/>
        <v>0</v>
      </c>
      <c r="V87" s="2191">
        <f t="shared" si="56"/>
        <v>0</v>
      </c>
      <c r="W87" s="2192">
        <f t="shared" si="58"/>
        <v>0</v>
      </c>
      <c r="X87" s="1535" t="str">
        <f t="shared" si="59"/>
        <v>1.33</v>
      </c>
      <c r="Y87" s="1075" t="str">
        <f t="shared" si="60"/>
        <v>D+</v>
      </c>
      <c r="Z87" s="1075" t="str">
        <f t="shared" si="61"/>
        <v>0</v>
      </c>
      <c r="AA87" s="2173"/>
      <c r="AB87" s="2174"/>
      <c r="AC87" s="2174"/>
      <c r="AD87" s="2174"/>
      <c r="AE87" s="2174"/>
      <c r="AF87" s="2174"/>
      <c r="AG87" s="2174"/>
      <c r="AH87" s="2174"/>
      <c r="AI87" s="2174"/>
      <c r="AJ87" s="2175"/>
      <c r="AK87" s="2175"/>
      <c r="AL87" s="2175"/>
      <c r="AM87" s="2175"/>
      <c r="AN87" s="2175"/>
      <c r="AO87" s="2175"/>
      <c r="AP87" s="2175"/>
      <c r="AQ87" s="2175"/>
      <c r="AR87" s="2176"/>
      <c r="AS87" s="1948"/>
      <c r="AT87" s="1949"/>
    </row>
    <row r="88" spans="1:46" ht="24.95" customHeight="1" x14ac:dyDescent="0.3">
      <c r="A88" s="1656"/>
      <c r="B88" s="1207"/>
      <c r="C88" s="1655"/>
      <c r="D88" s="1654" t="s">
        <v>22</v>
      </c>
      <c r="E88" s="2187"/>
      <c r="F88" s="2187"/>
      <c r="G88" s="2187"/>
      <c r="H88" s="2188"/>
      <c r="I88" s="2186"/>
      <c r="J88" s="2186"/>
      <c r="K88" s="23"/>
      <c r="L88" s="23"/>
      <c r="M88" s="23"/>
      <c r="N88" s="2186"/>
      <c r="O88" s="2186"/>
      <c r="P88" s="2186"/>
      <c r="Q88" s="23">
        <v>0</v>
      </c>
      <c r="R88" s="23">
        <v>0</v>
      </c>
      <c r="S88" s="23">
        <v>0</v>
      </c>
      <c r="T88" s="2189">
        <f t="shared" si="57"/>
        <v>0</v>
      </c>
      <c r="U88" s="2190">
        <f t="shared" si="55"/>
        <v>0</v>
      </c>
      <c r="V88" s="2191">
        <f t="shared" si="56"/>
        <v>0</v>
      </c>
      <c r="W88" s="2192">
        <f t="shared" si="58"/>
        <v>0</v>
      </c>
      <c r="X88" s="1535" t="str">
        <f t="shared" si="59"/>
        <v>1.33</v>
      </c>
      <c r="Y88" s="1075" t="str">
        <f t="shared" si="60"/>
        <v>D+</v>
      </c>
      <c r="Z88" s="1075" t="str">
        <f t="shared" si="61"/>
        <v>0</v>
      </c>
      <c r="AA88" s="2173"/>
      <c r="AB88" s="2174"/>
      <c r="AC88" s="2174"/>
      <c r="AD88" s="2174"/>
      <c r="AE88" s="2174"/>
      <c r="AF88" s="2174"/>
      <c r="AG88" s="2174"/>
      <c r="AH88" s="2174"/>
      <c r="AI88" s="2174"/>
      <c r="AJ88" s="2175"/>
      <c r="AK88" s="2175"/>
      <c r="AL88" s="2175"/>
      <c r="AM88" s="2175"/>
      <c r="AN88" s="2175"/>
      <c r="AO88" s="2175"/>
      <c r="AP88" s="2175"/>
      <c r="AQ88" s="2175"/>
      <c r="AR88" s="2176"/>
      <c r="AS88" s="1950"/>
      <c r="AT88" s="1951"/>
    </row>
    <row r="89" spans="1:46" ht="24.95" customHeight="1" x14ac:dyDescent="0.3">
      <c r="A89" s="1236"/>
      <c r="B89" s="1237">
        <v>8</v>
      </c>
      <c r="C89" s="1658"/>
      <c r="D89" s="1236"/>
      <c r="E89" s="2650"/>
      <c r="F89" s="2651"/>
      <c r="G89" s="2651"/>
      <c r="H89" s="2651"/>
      <c r="I89" s="2652"/>
      <c r="J89" s="2109"/>
      <c r="K89" s="2109"/>
      <c r="L89" s="2109"/>
      <c r="M89" s="2109"/>
      <c r="N89" s="2109"/>
      <c r="O89" s="2109"/>
      <c r="P89" s="2109"/>
      <c r="Q89" s="2109"/>
      <c r="R89" s="2109"/>
      <c r="S89" s="2109"/>
      <c r="T89" s="2193"/>
      <c r="U89" s="2193"/>
      <c r="V89" s="2193"/>
      <c r="W89" s="2194">
        <f>IFERROR(AVERAGE(W80:W88),"  ")</f>
        <v>0</v>
      </c>
      <c r="X89" s="1454" t="str">
        <f>IF(W89&gt;85,("4"),IF(W89&gt;80,("3.66"),IF(W89&gt;75,("3.33"),IF(W89&gt;70,("3.00"),IF(W89&gt;65,("2.66"),IF(W89&gt;60,("2.33"),IF(W89&gt;55,("2"),IF(W89&gt;50,("1.66"),"1.33"))))))))</f>
        <v>1.33</v>
      </c>
      <c r="Y89" s="1454" t="str">
        <f>IF(W89&gt;85,("A"),IF(W89&gt;80,("A-"),IF(W89&gt;75,("B+"),IF(W89&gt;70,("B"),IF(W89&gt;65,("B-"),IF(W89&gt;60,("C+"),IF(W89&gt;55,("C"),IF(W89&gt;50,("C-"),"D+"))))))))</f>
        <v>D+</v>
      </c>
      <c r="Z89" s="1666"/>
      <c r="AA89" s="2182"/>
      <c r="AB89" s="2183"/>
      <c r="AC89" s="2183"/>
      <c r="AD89" s="2183"/>
      <c r="AE89" s="2183"/>
      <c r="AF89" s="2183"/>
      <c r="AG89" s="2183"/>
      <c r="AH89" s="2183"/>
      <c r="AI89" s="2183"/>
      <c r="AJ89" s="2183"/>
      <c r="AK89" s="2183"/>
      <c r="AL89" s="2183"/>
      <c r="AM89" s="2183"/>
      <c r="AN89" s="2183"/>
      <c r="AO89" s="2183"/>
      <c r="AP89" s="2183"/>
      <c r="AQ89" s="2183"/>
      <c r="AR89" s="2184"/>
      <c r="AS89" s="1952"/>
      <c r="AT89" s="1953"/>
    </row>
    <row r="90" spans="1:46" ht="24.95" customHeight="1" x14ac:dyDescent="0.3">
      <c r="A90" s="1224">
        <v>9</v>
      </c>
      <c r="B90" s="1224"/>
      <c r="C90" s="1653" t="str">
        <f>VLOOKUP(A90,data_siswa,4,FALSE)</f>
        <v>Claudia Gabriella L</v>
      </c>
      <c r="D90" s="1654" t="s">
        <v>603</v>
      </c>
      <c r="E90" s="1211">
        <v>0</v>
      </c>
      <c r="F90" s="1211">
        <v>0</v>
      </c>
      <c r="G90" s="1211">
        <v>0</v>
      </c>
      <c r="H90" s="2185"/>
      <c r="I90" s="2185"/>
      <c r="J90" s="2185"/>
      <c r="K90" s="1211"/>
      <c r="L90" s="1211"/>
      <c r="M90" s="1211"/>
      <c r="N90" s="2185"/>
      <c r="O90" s="2185"/>
      <c r="P90" s="2185"/>
      <c r="Q90" s="1211"/>
      <c r="R90" s="1211"/>
      <c r="S90" s="1211"/>
      <c r="T90" s="2189">
        <f>MAX(H90,K90,N90,Q90)</f>
        <v>0</v>
      </c>
      <c r="U90" s="2190">
        <f t="shared" ref="U90:U98" si="62">MAX(I90,L90,O90,R90)</f>
        <v>0</v>
      </c>
      <c r="V90" s="2191">
        <f t="shared" ref="V90:V98" si="63">MAX(J90,M90,P90,S90)</f>
        <v>0</v>
      </c>
      <c r="W90" s="2192">
        <f>IFERROR(AVERAGE(T90:V90),"")</f>
        <v>0</v>
      </c>
      <c r="X90" s="1665" t="str">
        <f>IF(W90&gt;85,("4"),IF(W90&gt;80,("3.66"),IF(W90&gt;75,("3.33"),IF(W90&gt;70,("3.00"),IF(W90&gt;65,("2.66"),IF(W90&gt;60,("2.33"),IF(W90&gt;55,("2"),IF(W90&gt;50,("1.66"),"1.33"))))))))</f>
        <v>1.33</v>
      </c>
      <c r="Y90" s="1075" t="str">
        <f>IF(W90&gt;85,("A"),IF(W90&gt;80,("A-"),IF(W90&gt;75,("B+"),IF(W90&gt;70,("B"),IF(W90&gt;65,("B-"),IF(W90&gt;60,("C+"),IF(W90&gt;55,("C"),IF(W90&gt;50,("C-"),"D+"))))))))</f>
        <v>D+</v>
      </c>
      <c r="Z90" s="1075" t="str">
        <f>IF(W90&gt;80,("SB"),IF(W90&gt;65,("B"),IF(W90&gt;50,("C"),IF(W90&gt;0,("K"),"0"))))</f>
        <v>0</v>
      </c>
      <c r="AA90" s="2180"/>
      <c r="AB90" s="2180"/>
      <c r="AC90" s="2180"/>
      <c r="AD90" s="2180"/>
      <c r="AE90" s="2180"/>
      <c r="AF90" s="2180"/>
      <c r="AG90" s="2180"/>
      <c r="AH90" s="2180"/>
      <c r="AI90" s="2180"/>
      <c r="AJ90" s="2181"/>
      <c r="AK90" s="2181"/>
      <c r="AL90" s="2181"/>
      <c r="AM90" s="2181"/>
      <c r="AN90" s="2181"/>
      <c r="AO90" s="2181"/>
      <c r="AP90" s="2181"/>
      <c r="AQ90" s="2181"/>
      <c r="AR90" s="2181"/>
      <c r="AS90" s="1910">
        <f>W99</f>
        <v>0</v>
      </c>
      <c r="AT90" s="1910" t="str">
        <f>Y99</f>
        <v>D+</v>
      </c>
    </row>
    <row r="91" spans="1:46" ht="24.95" customHeight="1" x14ac:dyDescent="0.3">
      <c r="A91" s="1207"/>
      <c r="B91" s="1207"/>
      <c r="C91" s="1655"/>
      <c r="D91" s="1654" t="s">
        <v>604</v>
      </c>
      <c r="E91" s="23">
        <v>0</v>
      </c>
      <c r="F91" s="23">
        <v>0</v>
      </c>
      <c r="G91" s="23">
        <v>0</v>
      </c>
      <c r="H91" s="2186"/>
      <c r="I91" s="2186"/>
      <c r="J91" s="2186"/>
      <c r="K91" s="23"/>
      <c r="L91" s="23"/>
      <c r="M91" s="23"/>
      <c r="N91" s="2186"/>
      <c r="O91" s="2186"/>
      <c r="P91" s="2186"/>
      <c r="Q91" s="23"/>
      <c r="R91" s="23"/>
      <c r="S91" s="23"/>
      <c r="T91" s="2189">
        <f t="shared" ref="T91:T98" si="64">MAX(H91,K91,N91,Q91)</f>
        <v>0</v>
      </c>
      <c r="U91" s="2190">
        <f t="shared" si="62"/>
        <v>0</v>
      </c>
      <c r="V91" s="2191">
        <f t="shared" si="63"/>
        <v>0</v>
      </c>
      <c r="W91" s="2192">
        <f t="shared" ref="W91:W98" si="65">IFERROR(AVERAGE(T91:V91),"")</f>
        <v>0</v>
      </c>
      <c r="X91" s="1535" t="str">
        <f t="shared" ref="X91:X98" si="66">IF(W91&gt;85,("4"),IF(W91&gt;80,("3.66"),IF(W91&gt;75,("3.33"),IF(W91&gt;70,("3.00"),IF(W91&gt;65,("2.66"),IF(W91&gt;60,("2.33"),IF(W91&gt;55,("2"),IF(W91&gt;50,("1.66"),"1.33"))))))))</f>
        <v>1.33</v>
      </c>
      <c r="Y91" s="1075" t="str">
        <f t="shared" ref="Y91:Y98" si="67">IF(W91&gt;85,("A"),IF(W91&gt;80,("A-"),IF(W91&gt;75,("B+"),IF(W91&gt;70,("B"),IF(W91&gt;65,("B-"),IF(W91&gt;60,("C+"),IF(W91&gt;55,("C"),IF(W91&gt;50,("C-"),"D+"))))))))</f>
        <v>D+</v>
      </c>
      <c r="Z91" s="1075" t="str">
        <f t="shared" ref="Z91:Z98" si="68">IF(W91&gt;80,("SB"),IF(W91&gt;65,("B"),IF(W91&gt;50,("C"),IF(W91&gt;0,("K"),"0"))))</f>
        <v>0</v>
      </c>
      <c r="AA91" s="2169"/>
      <c r="AB91" s="2170"/>
      <c r="AC91" s="2170"/>
      <c r="AD91" s="2170"/>
      <c r="AE91" s="2170"/>
      <c r="AF91" s="2170"/>
      <c r="AG91" s="2170"/>
      <c r="AH91" s="2170"/>
      <c r="AI91" s="2170"/>
      <c r="AJ91" s="2171"/>
      <c r="AK91" s="2171"/>
      <c r="AL91" s="2171"/>
      <c r="AM91" s="2171"/>
      <c r="AN91" s="2171"/>
      <c r="AO91" s="2171"/>
      <c r="AP91" s="2171"/>
      <c r="AQ91" s="2171"/>
      <c r="AR91" s="2172"/>
      <c r="AS91" s="1946"/>
      <c r="AT91" s="1947"/>
    </row>
    <row r="92" spans="1:46" ht="24.95" customHeight="1" x14ac:dyDescent="0.3">
      <c r="A92" s="1207"/>
      <c r="B92" s="1207"/>
      <c r="C92" s="1655"/>
      <c r="D92" s="1654" t="s">
        <v>605</v>
      </c>
      <c r="E92" s="23">
        <v>0</v>
      </c>
      <c r="F92" s="23">
        <v>0</v>
      </c>
      <c r="G92" s="23">
        <v>0</v>
      </c>
      <c r="H92" s="2186"/>
      <c r="I92" s="2186"/>
      <c r="J92" s="2186"/>
      <c r="K92" s="23"/>
      <c r="L92" s="23"/>
      <c r="M92" s="23"/>
      <c r="N92" s="2186"/>
      <c r="O92" s="2186"/>
      <c r="P92" s="2186"/>
      <c r="Q92" s="23"/>
      <c r="R92" s="23"/>
      <c r="S92" s="23"/>
      <c r="T92" s="2189">
        <f t="shared" si="64"/>
        <v>0</v>
      </c>
      <c r="U92" s="2190">
        <f t="shared" si="62"/>
        <v>0</v>
      </c>
      <c r="V92" s="2191">
        <f t="shared" si="63"/>
        <v>0</v>
      </c>
      <c r="W92" s="2192">
        <f t="shared" si="65"/>
        <v>0</v>
      </c>
      <c r="X92" s="1535" t="str">
        <f t="shared" si="66"/>
        <v>1.33</v>
      </c>
      <c r="Y92" s="1075" t="str">
        <f t="shared" si="67"/>
        <v>D+</v>
      </c>
      <c r="Z92" s="1075" t="str">
        <f t="shared" si="68"/>
        <v>0</v>
      </c>
      <c r="AA92" s="2173"/>
      <c r="AB92" s="2174"/>
      <c r="AC92" s="2174"/>
      <c r="AD92" s="2174"/>
      <c r="AE92" s="2174"/>
      <c r="AF92" s="2174"/>
      <c r="AG92" s="2174"/>
      <c r="AH92" s="2174"/>
      <c r="AI92" s="2174"/>
      <c r="AJ92" s="2175"/>
      <c r="AK92" s="2175"/>
      <c r="AL92" s="2175"/>
      <c r="AM92" s="2175"/>
      <c r="AN92" s="2175"/>
      <c r="AO92" s="2175"/>
      <c r="AP92" s="2175"/>
      <c r="AQ92" s="2175"/>
      <c r="AR92" s="2176"/>
      <c r="AS92" s="1948"/>
      <c r="AT92" s="1949"/>
    </row>
    <row r="93" spans="1:46" ht="24.95" customHeight="1" x14ac:dyDescent="0.3">
      <c r="A93" s="1207"/>
      <c r="B93" s="1207"/>
      <c r="C93" s="1655"/>
      <c r="D93" s="1654" t="s">
        <v>155</v>
      </c>
      <c r="E93" s="23"/>
      <c r="F93" s="23"/>
      <c r="G93" s="23"/>
      <c r="H93" s="2186">
        <v>0</v>
      </c>
      <c r="I93" s="2186">
        <v>0</v>
      </c>
      <c r="J93" s="2186">
        <v>0</v>
      </c>
      <c r="K93" s="23"/>
      <c r="L93" s="23"/>
      <c r="M93" s="23"/>
      <c r="N93" s="2186"/>
      <c r="O93" s="2186"/>
      <c r="P93" s="2186"/>
      <c r="Q93" s="23"/>
      <c r="R93" s="23"/>
      <c r="S93" s="23"/>
      <c r="T93" s="2189">
        <f t="shared" si="64"/>
        <v>0</v>
      </c>
      <c r="U93" s="2190">
        <f t="shared" si="62"/>
        <v>0</v>
      </c>
      <c r="V93" s="2191">
        <f t="shared" si="63"/>
        <v>0</v>
      </c>
      <c r="W93" s="2192">
        <f t="shared" si="65"/>
        <v>0</v>
      </c>
      <c r="X93" s="1535" t="str">
        <f t="shared" si="66"/>
        <v>1.33</v>
      </c>
      <c r="Y93" s="1075" t="str">
        <f t="shared" si="67"/>
        <v>D+</v>
      </c>
      <c r="Z93" s="1075" t="str">
        <f t="shared" si="68"/>
        <v>0</v>
      </c>
      <c r="AA93" s="2173"/>
      <c r="AB93" s="2174"/>
      <c r="AC93" s="2174"/>
      <c r="AD93" s="2174"/>
      <c r="AE93" s="2174"/>
      <c r="AF93" s="2174"/>
      <c r="AG93" s="2174"/>
      <c r="AH93" s="2174"/>
      <c r="AI93" s="2174"/>
      <c r="AJ93" s="2175"/>
      <c r="AK93" s="2175"/>
      <c r="AL93" s="2175"/>
      <c r="AM93" s="2175"/>
      <c r="AN93" s="2175"/>
      <c r="AO93" s="2175"/>
      <c r="AP93" s="2175"/>
      <c r="AQ93" s="2175"/>
      <c r="AR93" s="2176"/>
      <c r="AS93" s="1948"/>
      <c r="AT93" s="1949"/>
    </row>
    <row r="94" spans="1:46" ht="24.95" customHeight="1" x14ac:dyDescent="0.3">
      <c r="A94" s="1207"/>
      <c r="B94" s="1207"/>
      <c r="C94" s="1655"/>
      <c r="D94" s="1654" t="s">
        <v>187</v>
      </c>
      <c r="E94" s="23"/>
      <c r="F94" s="23"/>
      <c r="G94" s="23"/>
      <c r="H94" s="2186"/>
      <c r="I94" s="2186"/>
      <c r="J94" s="2186"/>
      <c r="K94" s="23">
        <v>0</v>
      </c>
      <c r="L94" s="23">
        <v>0</v>
      </c>
      <c r="M94" s="23">
        <v>0</v>
      </c>
      <c r="N94" s="2186"/>
      <c r="O94" s="2186"/>
      <c r="P94" s="2186"/>
      <c r="Q94" s="23"/>
      <c r="R94" s="23"/>
      <c r="S94" s="23"/>
      <c r="T94" s="2189">
        <f t="shared" si="64"/>
        <v>0</v>
      </c>
      <c r="U94" s="2190">
        <f t="shared" si="62"/>
        <v>0</v>
      </c>
      <c r="V94" s="2191">
        <f t="shared" si="63"/>
        <v>0</v>
      </c>
      <c r="W94" s="2192">
        <f t="shared" si="65"/>
        <v>0</v>
      </c>
      <c r="X94" s="1535" t="str">
        <f t="shared" si="66"/>
        <v>1.33</v>
      </c>
      <c r="Y94" s="1075" t="str">
        <f t="shared" si="67"/>
        <v>D+</v>
      </c>
      <c r="Z94" s="1075" t="str">
        <f t="shared" si="68"/>
        <v>0</v>
      </c>
      <c r="AA94" s="2173"/>
      <c r="AB94" s="2174"/>
      <c r="AC94" s="2174"/>
      <c r="AD94" s="2174"/>
      <c r="AE94" s="2174"/>
      <c r="AF94" s="2174"/>
      <c r="AG94" s="2174"/>
      <c r="AH94" s="2174"/>
      <c r="AI94" s="2174"/>
      <c r="AJ94" s="2175"/>
      <c r="AK94" s="2175"/>
      <c r="AL94" s="2175"/>
      <c r="AM94" s="2175"/>
      <c r="AN94" s="2175"/>
      <c r="AO94" s="2175"/>
      <c r="AP94" s="2175"/>
      <c r="AQ94" s="2175"/>
      <c r="AR94" s="2176"/>
      <c r="AS94" s="1948"/>
      <c r="AT94" s="1949"/>
    </row>
    <row r="95" spans="1:46" ht="24.95" customHeight="1" x14ac:dyDescent="0.3">
      <c r="A95" s="1207"/>
      <c r="B95" s="1207"/>
      <c r="C95" s="1655"/>
      <c r="D95" s="1654" t="s">
        <v>17</v>
      </c>
      <c r="E95" s="23"/>
      <c r="F95" s="23"/>
      <c r="G95" s="23"/>
      <c r="H95" s="2186"/>
      <c r="I95" s="2186"/>
      <c r="J95" s="2186"/>
      <c r="K95" s="23">
        <v>0</v>
      </c>
      <c r="L95" s="23">
        <v>0</v>
      </c>
      <c r="M95" s="23">
        <v>0</v>
      </c>
      <c r="N95" s="2186"/>
      <c r="O95" s="2186"/>
      <c r="P95" s="2186"/>
      <c r="Q95" s="23"/>
      <c r="R95" s="23"/>
      <c r="S95" s="23"/>
      <c r="T95" s="2189">
        <f t="shared" si="64"/>
        <v>0</v>
      </c>
      <c r="U95" s="2190">
        <f t="shared" si="62"/>
        <v>0</v>
      </c>
      <c r="V95" s="2191">
        <f t="shared" si="63"/>
        <v>0</v>
      </c>
      <c r="W95" s="2192">
        <f t="shared" si="65"/>
        <v>0</v>
      </c>
      <c r="X95" s="1535" t="str">
        <f t="shared" si="66"/>
        <v>1.33</v>
      </c>
      <c r="Y95" s="1075" t="str">
        <f t="shared" si="67"/>
        <v>D+</v>
      </c>
      <c r="Z95" s="1075" t="str">
        <f t="shared" si="68"/>
        <v>0</v>
      </c>
      <c r="AA95" s="2173"/>
      <c r="AB95" s="2174"/>
      <c r="AC95" s="2174"/>
      <c r="AD95" s="2174"/>
      <c r="AE95" s="2174"/>
      <c r="AF95" s="2174"/>
      <c r="AG95" s="2174"/>
      <c r="AH95" s="2174"/>
      <c r="AI95" s="2174"/>
      <c r="AJ95" s="2175"/>
      <c r="AK95" s="2175"/>
      <c r="AL95" s="2175"/>
      <c r="AM95" s="2175"/>
      <c r="AN95" s="2175"/>
      <c r="AO95" s="2175"/>
      <c r="AP95" s="2175"/>
      <c r="AQ95" s="2175"/>
      <c r="AR95" s="2176"/>
      <c r="AS95" s="1948"/>
      <c r="AT95" s="1949"/>
    </row>
    <row r="96" spans="1:46" ht="24.95" customHeight="1" x14ac:dyDescent="0.3">
      <c r="A96" s="1207"/>
      <c r="B96" s="1207"/>
      <c r="C96" s="1655"/>
      <c r="D96" s="1654" t="s">
        <v>606</v>
      </c>
      <c r="E96" s="23"/>
      <c r="F96" s="23"/>
      <c r="G96" s="23"/>
      <c r="H96" s="2186"/>
      <c r="I96" s="2186"/>
      <c r="J96" s="2186"/>
      <c r="K96" s="23"/>
      <c r="L96" s="23"/>
      <c r="M96" s="23"/>
      <c r="N96" s="2186">
        <v>0</v>
      </c>
      <c r="O96" s="2186">
        <v>0</v>
      </c>
      <c r="P96" s="2186">
        <v>0</v>
      </c>
      <c r="Q96" s="23"/>
      <c r="R96" s="23"/>
      <c r="S96" s="23"/>
      <c r="T96" s="2189">
        <f t="shared" si="64"/>
        <v>0</v>
      </c>
      <c r="U96" s="2190">
        <f t="shared" si="62"/>
        <v>0</v>
      </c>
      <c r="V96" s="2191">
        <f t="shared" si="63"/>
        <v>0</v>
      </c>
      <c r="W96" s="2192">
        <f t="shared" si="65"/>
        <v>0</v>
      </c>
      <c r="X96" s="1535" t="str">
        <f t="shared" si="66"/>
        <v>1.33</v>
      </c>
      <c r="Y96" s="1075" t="str">
        <f t="shared" si="67"/>
        <v>D+</v>
      </c>
      <c r="Z96" s="1075" t="str">
        <f t="shared" si="68"/>
        <v>0</v>
      </c>
      <c r="AA96" s="2173"/>
      <c r="AB96" s="2174"/>
      <c r="AC96" s="2174"/>
      <c r="AD96" s="2174"/>
      <c r="AE96" s="2174"/>
      <c r="AF96" s="2174"/>
      <c r="AG96" s="2174"/>
      <c r="AH96" s="2174"/>
      <c r="AI96" s="2174"/>
      <c r="AJ96" s="2175"/>
      <c r="AK96" s="2175"/>
      <c r="AL96" s="2175"/>
      <c r="AM96" s="2175"/>
      <c r="AN96" s="2175"/>
      <c r="AO96" s="2175"/>
      <c r="AP96" s="2175"/>
      <c r="AQ96" s="2175"/>
      <c r="AR96" s="2176"/>
      <c r="AS96" s="1948"/>
      <c r="AT96" s="1949"/>
    </row>
    <row r="97" spans="1:46" ht="24.95" customHeight="1" x14ac:dyDescent="0.3">
      <c r="A97" s="1207"/>
      <c r="B97" s="1207"/>
      <c r="C97" s="1655"/>
      <c r="D97" s="1654" t="s">
        <v>607</v>
      </c>
      <c r="E97" s="23"/>
      <c r="F97" s="23"/>
      <c r="G97" s="23"/>
      <c r="H97" s="2186"/>
      <c r="I97" s="2186"/>
      <c r="J97" s="2186"/>
      <c r="K97" s="23"/>
      <c r="L97" s="23"/>
      <c r="M97" s="23"/>
      <c r="N97" s="2186">
        <v>0</v>
      </c>
      <c r="O97" s="2186">
        <v>0</v>
      </c>
      <c r="P97" s="2186">
        <v>0</v>
      </c>
      <c r="Q97" s="23"/>
      <c r="R97" s="23"/>
      <c r="S97" s="23"/>
      <c r="T97" s="2189">
        <f t="shared" si="64"/>
        <v>0</v>
      </c>
      <c r="U97" s="2190">
        <f t="shared" si="62"/>
        <v>0</v>
      </c>
      <c r="V97" s="2191">
        <f t="shared" si="63"/>
        <v>0</v>
      </c>
      <c r="W97" s="2192">
        <f t="shared" si="65"/>
        <v>0</v>
      </c>
      <c r="X97" s="1535" t="str">
        <f t="shared" si="66"/>
        <v>1.33</v>
      </c>
      <c r="Y97" s="1075" t="str">
        <f t="shared" si="67"/>
        <v>D+</v>
      </c>
      <c r="Z97" s="1075" t="str">
        <f t="shared" si="68"/>
        <v>0</v>
      </c>
      <c r="AA97" s="2173"/>
      <c r="AB97" s="2174"/>
      <c r="AC97" s="2174"/>
      <c r="AD97" s="2174"/>
      <c r="AE97" s="2174"/>
      <c r="AF97" s="2174"/>
      <c r="AG97" s="2174"/>
      <c r="AH97" s="2174"/>
      <c r="AI97" s="2174"/>
      <c r="AJ97" s="2175"/>
      <c r="AK97" s="2175"/>
      <c r="AL97" s="2175"/>
      <c r="AM97" s="2175"/>
      <c r="AN97" s="2175"/>
      <c r="AO97" s="2175"/>
      <c r="AP97" s="2175"/>
      <c r="AQ97" s="2175"/>
      <c r="AR97" s="2176"/>
      <c r="AS97" s="1948"/>
      <c r="AT97" s="1949"/>
    </row>
    <row r="98" spans="1:46" ht="24.95" customHeight="1" x14ac:dyDescent="0.3">
      <c r="A98" s="1656"/>
      <c r="B98" s="1207"/>
      <c r="C98" s="1655"/>
      <c r="D98" s="1654" t="s">
        <v>22</v>
      </c>
      <c r="E98" s="2187"/>
      <c r="F98" s="2187"/>
      <c r="G98" s="2187"/>
      <c r="H98" s="2188"/>
      <c r="I98" s="2186"/>
      <c r="J98" s="2186"/>
      <c r="K98" s="23"/>
      <c r="L98" s="23"/>
      <c r="M98" s="23"/>
      <c r="N98" s="2186"/>
      <c r="O98" s="2186"/>
      <c r="P98" s="2186"/>
      <c r="Q98" s="23">
        <v>0</v>
      </c>
      <c r="R98" s="23">
        <v>0</v>
      </c>
      <c r="S98" s="23">
        <v>0</v>
      </c>
      <c r="T98" s="2189">
        <f t="shared" si="64"/>
        <v>0</v>
      </c>
      <c r="U98" s="2190">
        <f t="shared" si="62"/>
        <v>0</v>
      </c>
      <c r="V98" s="2191">
        <f t="shared" si="63"/>
        <v>0</v>
      </c>
      <c r="W98" s="2192">
        <f t="shared" si="65"/>
        <v>0</v>
      </c>
      <c r="X98" s="1535" t="str">
        <f t="shared" si="66"/>
        <v>1.33</v>
      </c>
      <c r="Y98" s="1075" t="str">
        <f t="shared" si="67"/>
        <v>D+</v>
      </c>
      <c r="Z98" s="1075" t="str">
        <f t="shared" si="68"/>
        <v>0</v>
      </c>
      <c r="AA98" s="2173"/>
      <c r="AB98" s="2174"/>
      <c r="AC98" s="2174"/>
      <c r="AD98" s="2174"/>
      <c r="AE98" s="2174"/>
      <c r="AF98" s="2174"/>
      <c r="AG98" s="2174"/>
      <c r="AH98" s="2174"/>
      <c r="AI98" s="2174"/>
      <c r="AJ98" s="2175"/>
      <c r="AK98" s="2175"/>
      <c r="AL98" s="2175"/>
      <c r="AM98" s="2175"/>
      <c r="AN98" s="2175"/>
      <c r="AO98" s="2175"/>
      <c r="AP98" s="2175"/>
      <c r="AQ98" s="2175"/>
      <c r="AR98" s="2176"/>
      <c r="AS98" s="1950"/>
      <c r="AT98" s="1951"/>
    </row>
    <row r="99" spans="1:46" ht="24.95" customHeight="1" x14ac:dyDescent="0.3">
      <c r="A99" s="1236"/>
      <c r="B99" s="1237">
        <v>9</v>
      </c>
      <c r="C99" s="1658"/>
      <c r="D99" s="1236"/>
      <c r="E99" s="2650"/>
      <c r="F99" s="2651"/>
      <c r="G99" s="2651"/>
      <c r="H99" s="2651"/>
      <c r="I99" s="2652"/>
      <c r="J99" s="2109"/>
      <c r="K99" s="2109"/>
      <c r="L99" s="2109"/>
      <c r="M99" s="2109"/>
      <c r="N99" s="2109"/>
      <c r="O99" s="2109"/>
      <c r="P99" s="2109"/>
      <c r="Q99" s="2109"/>
      <c r="R99" s="2109"/>
      <c r="S99" s="2109"/>
      <c r="T99" s="2193"/>
      <c r="U99" s="2193"/>
      <c r="V99" s="2193"/>
      <c r="W99" s="2194">
        <f>IFERROR(AVERAGE(W90:W98),"  ")</f>
        <v>0</v>
      </c>
      <c r="X99" s="1454" t="str">
        <f>IF(W99&gt;85,("4"),IF(W99&gt;80,("3.66"),IF(W99&gt;75,("3.33"),IF(W99&gt;70,("3.00"),IF(W99&gt;65,("2.66"),IF(W99&gt;60,("2.33"),IF(W99&gt;55,("2"),IF(W99&gt;50,("1.66"),"1.33"))))))))</f>
        <v>1.33</v>
      </c>
      <c r="Y99" s="1454" t="str">
        <f>IF(W99&gt;85,("A"),IF(W99&gt;80,("A-"),IF(W99&gt;75,("B+"),IF(W99&gt;70,("B"),IF(W99&gt;65,("B-"),IF(W99&gt;60,("C+"),IF(W99&gt;55,("C"),IF(W99&gt;50,("C-"),"D+"))))))))</f>
        <v>D+</v>
      </c>
      <c r="Z99" s="1666"/>
      <c r="AA99" s="2182"/>
      <c r="AB99" s="2183"/>
      <c r="AC99" s="2183"/>
      <c r="AD99" s="2183"/>
      <c r="AE99" s="2183"/>
      <c r="AF99" s="2183"/>
      <c r="AG99" s="2183"/>
      <c r="AH99" s="2183"/>
      <c r="AI99" s="2183"/>
      <c r="AJ99" s="2183"/>
      <c r="AK99" s="2183"/>
      <c r="AL99" s="2183"/>
      <c r="AM99" s="2183"/>
      <c r="AN99" s="2183"/>
      <c r="AO99" s="2183"/>
      <c r="AP99" s="2183"/>
      <c r="AQ99" s="2183"/>
      <c r="AR99" s="2184"/>
      <c r="AS99" s="1952"/>
      <c r="AT99" s="1953"/>
    </row>
    <row r="100" spans="1:46" ht="24.95" customHeight="1" x14ac:dyDescent="0.3">
      <c r="A100" s="1224">
        <v>10</v>
      </c>
      <c r="B100" s="1224"/>
      <c r="C100" s="1653" t="str">
        <f>VLOOKUP(A100,data_siswa,4,FALSE)</f>
        <v xml:space="preserve">Deco Badarus Zaman </v>
      </c>
      <c r="D100" s="1654" t="s">
        <v>603</v>
      </c>
      <c r="E100" s="1211">
        <v>0</v>
      </c>
      <c r="F100" s="1211">
        <v>0</v>
      </c>
      <c r="G100" s="1211">
        <v>0</v>
      </c>
      <c r="H100" s="2185"/>
      <c r="I100" s="2185"/>
      <c r="J100" s="2185"/>
      <c r="K100" s="1211"/>
      <c r="L100" s="1211"/>
      <c r="M100" s="1211"/>
      <c r="N100" s="2185"/>
      <c r="O100" s="2185"/>
      <c r="P100" s="2185"/>
      <c r="Q100" s="1211"/>
      <c r="R100" s="1211"/>
      <c r="S100" s="1211"/>
      <c r="T100" s="2189">
        <f>MAX(H100,K100,N100,Q100)</f>
        <v>0</v>
      </c>
      <c r="U100" s="2190">
        <f t="shared" ref="U100:U108" si="69">MAX(I100,L100,O100,R100)</f>
        <v>0</v>
      </c>
      <c r="V100" s="2191">
        <f t="shared" ref="V100:V108" si="70">MAX(J100,M100,P100,S100)</f>
        <v>0</v>
      </c>
      <c r="W100" s="2192">
        <f>IFERROR(AVERAGE(T100:V100),"")</f>
        <v>0</v>
      </c>
      <c r="X100" s="1665" t="str">
        <f>IF(W100&gt;85,("4"),IF(W100&gt;80,("3.66"),IF(W100&gt;75,("3.33"),IF(W100&gt;70,("3.00"),IF(W100&gt;65,("2.66"),IF(W100&gt;60,("2.33"),IF(W100&gt;55,("2"),IF(W100&gt;50,("1.66"),"1.33"))))))))</f>
        <v>1.33</v>
      </c>
      <c r="Y100" s="1075" t="str">
        <f>IF(W100&gt;85,("A"),IF(W100&gt;80,("A-"),IF(W100&gt;75,("B+"),IF(W100&gt;70,("B"),IF(W100&gt;65,("B-"),IF(W100&gt;60,("C+"),IF(W100&gt;55,("C"),IF(W100&gt;50,("C-"),"D+"))))))))</f>
        <v>D+</v>
      </c>
      <c r="Z100" s="1075" t="str">
        <f>IF(W100&gt;80,("SB"),IF(W100&gt;65,("B"),IF(W100&gt;50,("C"),IF(W100&gt;0,("K"),"0"))))</f>
        <v>0</v>
      </c>
      <c r="AA100" s="2180"/>
      <c r="AB100" s="2180"/>
      <c r="AC100" s="2180"/>
      <c r="AD100" s="2180"/>
      <c r="AE100" s="2180"/>
      <c r="AF100" s="2180"/>
      <c r="AG100" s="2180"/>
      <c r="AH100" s="2180"/>
      <c r="AI100" s="2180"/>
      <c r="AJ100" s="2181"/>
      <c r="AK100" s="2181"/>
      <c r="AL100" s="2181"/>
      <c r="AM100" s="2181"/>
      <c r="AN100" s="2181"/>
      <c r="AO100" s="2181"/>
      <c r="AP100" s="2181"/>
      <c r="AQ100" s="2181"/>
      <c r="AR100" s="2181"/>
      <c r="AS100" s="1910">
        <f>W109</f>
        <v>0</v>
      </c>
      <c r="AT100" s="1910" t="str">
        <f>Y109</f>
        <v>D+</v>
      </c>
    </row>
    <row r="101" spans="1:46" ht="24.95" customHeight="1" x14ac:dyDescent="0.3">
      <c r="A101" s="1207"/>
      <c r="B101" s="1207"/>
      <c r="C101" s="1655"/>
      <c r="D101" s="1654" t="s">
        <v>604</v>
      </c>
      <c r="E101" s="23">
        <v>0</v>
      </c>
      <c r="F101" s="23">
        <v>0</v>
      </c>
      <c r="G101" s="23">
        <v>0</v>
      </c>
      <c r="H101" s="2186"/>
      <c r="I101" s="2186"/>
      <c r="J101" s="2186"/>
      <c r="K101" s="23"/>
      <c r="L101" s="23"/>
      <c r="M101" s="23"/>
      <c r="N101" s="2186"/>
      <c r="O101" s="2186"/>
      <c r="P101" s="2186"/>
      <c r="Q101" s="23"/>
      <c r="R101" s="23"/>
      <c r="S101" s="23"/>
      <c r="T101" s="2189">
        <f t="shared" ref="T101:T108" si="71">MAX(H101,K101,N101,Q101)</f>
        <v>0</v>
      </c>
      <c r="U101" s="2190">
        <f t="shared" si="69"/>
        <v>0</v>
      </c>
      <c r="V101" s="2191">
        <f t="shared" si="70"/>
        <v>0</v>
      </c>
      <c r="W101" s="2192">
        <f t="shared" ref="W101:W108" si="72">IFERROR(AVERAGE(T101:V101),"")</f>
        <v>0</v>
      </c>
      <c r="X101" s="1535" t="str">
        <f t="shared" ref="X101:X108" si="73">IF(W101&gt;85,("4"),IF(W101&gt;80,("3.66"),IF(W101&gt;75,("3.33"),IF(W101&gt;70,("3.00"),IF(W101&gt;65,("2.66"),IF(W101&gt;60,("2.33"),IF(W101&gt;55,("2"),IF(W101&gt;50,("1.66"),"1.33"))))))))</f>
        <v>1.33</v>
      </c>
      <c r="Y101" s="1075" t="str">
        <f t="shared" ref="Y101:Y108" si="74">IF(W101&gt;85,("A"),IF(W101&gt;80,("A-"),IF(W101&gt;75,("B+"),IF(W101&gt;70,("B"),IF(W101&gt;65,("B-"),IF(W101&gt;60,("C+"),IF(W101&gt;55,("C"),IF(W101&gt;50,("C-"),"D+"))))))))</f>
        <v>D+</v>
      </c>
      <c r="Z101" s="1075" t="str">
        <f t="shared" ref="Z101:Z108" si="75">IF(W101&gt;80,("SB"),IF(W101&gt;65,("B"),IF(W101&gt;50,("C"),IF(W101&gt;0,("K"),"0"))))</f>
        <v>0</v>
      </c>
      <c r="AA101" s="2169"/>
      <c r="AB101" s="2170"/>
      <c r="AC101" s="2170"/>
      <c r="AD101" s="2170"/>
      <c r="AE101" s="2170"/>
      <c r="AF101" s="2170"/>
      <c r="AG101" s="2170"/>
      <c r="AH101" s="2170"/>
      <c r="AI101" s="2170"/>
      <c r="AJ101" s="2171"/>
      <c r="AK101" s="2171"/>
      <c r="AL101" s="2171"/>
      <c r="AM101" s="2171"/>
      <c r="AN101" s="2171"/>
      <c r="AO101" s="2171"/>
      <c r="AP101" s="2171"/>
      <c r="AQ101" s="2171"/>
      <c r="AR101" s="2172"/>
      <c r="AS101" s="1946"/>
      <c r="AT101" s="1947"/>
    </row>
    <row r="102" spans="1:46" ht="24.95" customHeight="1" x14ac:dyDescent="0.3">
      <c r="A102" s="1207"/>
      <c r="B102" s="1207"/>
      <c r="C102" s="1655"/>
      <c r="D102" s="1654" t="s">
        <v>605</v>
      </c>
      <c r="E102" s="23">
        <v>0</v>
      </c>
      <c r="F102" s="23">
        <v>0</v>
      </c>
      <c r="G102" s="23">
        <v>0</v>
      </c>
      <c r="H102" s="2186"/>
      <c r="I102" s="2186"/>
      <c r="J102" s="2186"/>
      <c r="K102" s="23"/>
      <c r="L102" s="23"/>
      <c r="M102" s="23"/>
      <c r="N102" s="2186"/>
      <c r="O102" s="2186"/>
      <c r="P102" s="2186"/>
      <c r="Q102" s="23"/>
      <c r="R102" s="23"/>
      <c r="S102" s="23"/>
      <c r="T102" s="2189">
        <f t="shared" si="71"/>
        <v>0</v>
      </c>
      <c r="U102" s="2190">
        <f t="shared" si="69"/>
        <v>0</v>
      </c>
      <c r="V102" s="2191">
        <f t="shared" si="70"/>
        <v>0</v>
      </c>
      <c r="W102" s="2192">
        <f t="shared" si="72"/>
        <v>0</v>
      </c>
      <c r="X102" s="1535" t="str">
        <f t="shared" si="73"/>
        <v>1.33</v>
      </c>
      <c r="Y102" s="1075" t="str">
        <f t="shared" si="74"/>
        <v>D+</v>
      </c>
      <c r="Z102" s="1075" t="str">
        <f t="shared" si="75"/>
        <v>0</v>
      </c>
      <c r="AA102" s="2173"/>
      <c r="AB102" s="2174"/>
      <c r="AC102" s="2174"/>
      <c r="AD102" s="2174"/>
      <c r="AE102" s="2174"/>
      <c r="AF102" s="2174"/>
      <c r="AG102" s="2174"/>
      <c r="AH102" s="2174"/>
      <c r="AI102" s="2174"/>
      <c r="AJ102" s="2175"/>
      <c r="AK102" s="2175"/>
      <c r="AL102" s="2175"/>
      <c r="AM102" s="2175"/>
      <c r="AN102" s="2175"/>
      <c r="AO102" s="2175"/>
      <c r="AP102" s="2175"/>
      <c r="AQ102" s="2175"/>
      <c r="AR102" s="2176"/>
      <c r="AS102" s="1948"/>
      <c r="AT102" s="1949"/>
    </row>
    <row r="103" spans="1:46" ht="24.95" customHeight="1" x14ac:dyDescent="0.3">
      <c r="A103" s="1207"/>
      <c r="B103" s="1207"/>
      <c r="C103" s="1655"/>
      <c r="D103" s="1654" t="s">
        <v>155</v>
      </c>
      <c r="E103" s="23"/>
      <c r="F103" s="23"/>
      <c r="G103" s="23"/>
      <c r="H103" s="2186">
        <v>0</v>
      </c>
      <c r="I103" s="2186">
        <v>0</v>
      </c>
      <c r="J103" s="2186">
        <v>0</v>
      </c>
      <c r="K103" s="23"/>
      <c r="L103" s="23"/>
      <c r="M103" s="23"/>
      <c r="N103" s="2186"/>
      <c r="O103" s="2186"/>
      <c r="P103" s="2186"/>
      <c r="Q103" s="23"/>
      <c r="R103" s="23"/>
      <c r="S103" s="23"/>
      <c r="T103" s="2189">
        <f t="shared" si="71"/>
        <v>0</v>
      </c>
      <c r="U103" s="2190">
        <f t="shared" si="69"/>
        <v>0</v>
      </c>
      <c r="V103" s="2191">
        <f t="shared" si="70"/>
        <v>0</v>
      </c>
      <c r="W103" s="2192">
        <f t="shared" si="72"/>
        <v>0</v>
      </c>
      <c r="X103" s="1535" t="str">
        <f t="shared" si="73"/>
        <v>1.33</v>
      </c>
      <c r="Y103" s="1075" t="str">
        <f t="shared" si="74"/>
        <v>D+</v>
      </c>
      <c r="Z103" s="1075" t="str">
        <f t="shared" si="75"/>
        <v>0</v>
      </c>
      <c r="AA103" s="2173"/>
      <c r="AB103" s="2174"/>
      <c r="AC103" s="2174"/>
      <c r="AD103" s="2174"/>
      <c r="AE103" s="2174"/>
      <c r="AF103" s="2174"/>
      <c r="AG103" s="2174"/>
      <c r="AH103" s="2174"/>
      <c r="AI103" s="2174"/>
      <c r="AJ103" s="2175"/>
      <c r="AK103" s="2175"/>
      <c r="AL103" s="2175"/>
      <c r="AM103" s="2175"/>
      <c r="AN103" s="2175"/>
      <c r="AO103" s="2175"/>
      <c r="AP103" s="2175"/>
      <c r="AQ103" s="2175"/>
      <c r="AR103" s="2176"/>
      <c r="AS103" s="1948"/>
      <c r="AT103" s="1949"/>
    </row>
    <row r="104" spans="1:46" ht="24.95" customHeight="1" x14ac:dyDescent="0.3">
      <c r="A104" s="1207"/>
      <c r="B104" s="1207"/>
      <c r="C104" s="1655"/>
      <c r="D104" s="1654" t="s">
        <v>187</v>
      </c>
      <c r="E104" s="23"/>
      <c r="F104" s="23"/>
      <c r="G104" s="23"/>
      <c r="H104" s="2186"/>
      <c r="I104" s="2186"/>
      <c r="J104" s="2186"/>
      <c r="K104" s="23">
        <v>0</v>
      </c>
      <c r="L104" s="23">
        <v>0</v>
      </c>
      <c r="M104" s="23">
        <v>0</v>
      </c>
      <c r="N104" s="2186"/>
      <c r="O104" s="2186"/>
      <c r="P104" s="2186"/>
      <c r="Q104" s="23"/>
      <c r="R104" s="23"/>
      <c r="S104" s="23"/>
      <c r="T104" s="2189">
        <f t="shared" si="71"/>
        <v>0</v>
      </c>
      <c r="U104" s="2190">
        <f t="shared" si="69"/>
        <v>0</v>
      </c>
      <c r="V104" s="2191">
        <f t="shared" si="70"/>
        <v>0</v>
      </c>
      <c r="W104" s="2192">
        <f t="shared" si="72"/>
        <v>0</v>
      </c>
      <c r="X104" s="1535" t="str">
        <f t="shared" si="73"/>
        <v>1.33</v>
      </c>
      <c r="Y104" s="1075" t="str">
        <f t="shared" si="74"/>
        <v>D+</v>
      </c>
      <c r="Z104" s="1075" t="str">
        <f t="shared" si="75"/>
        <v>0</v>
      </c>
      <c r="AA104" s="2173"/>
      <c r="AB104" s="2174"/>
      <c r="AC104" s="2174"/>
      <c r="AD104" s="2174"/>
      <c r="AE104" s="2174"/>
      <c r="AF104" s="2174"/>
      <c r="AG104" s="2174"/>
      <c r="AH104" s="2174"/>
      <c r="AI104" s="2174"/>
      <c r="AJ104" s="2175"/>
      <c r="AK104" s="2175"/>
      <c r="AL104" s="2175"/>
      <c r="AM104" s="2175"/>
      <c r="AN104" s="2175"/>
      <c r="AO104" s="2175"/>
      <c r="AP104" s="2175"/>
      <c r="AQ104" s="2175"/>
      <c r="AR104" s="2176"/>
      <c r="AS104" s="1948"/>
      <c r="AT104" s="1949"/>
    </row>
    <row r="105" spans="1:46" ht="24.95" customHeight="1" x14ac:dyDescent="0.3">
      <c r="A105" s="1207"/>
      <c r="B105" s="1207"/>
      <c r="C105" s="1655"/>
      <c r="D105" s="1654" t="s">
        <v>17</v>
      </c>
      <c r="E105" s="23"/>
      <c r="F105" s="23"/>
      <c r="G105" s="23"/>
      <c r="H105" s="2186"/>
      <c r="I105" s="2186"/>
      <c r="J105" s="2186"/>
      <c r="K105" s="23">
        <v>0</v>
      </c>
      <c r="L105" s="23">
        <v>0</v>
      </c>
      <c r="M105" s="23">
        <v>0</v>
      </c>
      <c r="N105" s="2186"/>
      <c r="O105" s="2186"/>
      <c r="P105" s="2186"/>
      <c r="Q105" s="23"/>
      <c r="R105" s="23"/>
      <c r="S105" s="23"/>
      <c r="T105" s="2189">
        <f t="shared" si="71"/>
        <v>0</v>
      </c>
      <c r="U105" s="2190">
        <f t="shared" si="69"/>
        <v>0</v>
      </c>
      <c r="V105" s="2191">
        <f t="shared" si="70"/>
        <v>0</v>
      </c>
      <c r="W105" s="2192">
        <f t="shared" si="72"/>
        <v>0</v>
      </c>
      <c r="X105" s="1535" t="str">
        <f t="shared" si="73"/>
        <v>1.33</v>
      </c>
      <c r="Y105" s="1075" t="str">
        <f t="shared" si="74"/>
        <v>D+</v>
      </c>
      <c r="Z105" s="1075" t="str">
        <f t="shared" si="75"/>
        <v>0</v>
      </c>
      <c r="AA105" s="2173"/>
      <c r="AB105" s="2174"/>
      <c r="AC105" s="2174"/>
      <c r="AD105" s="2174"/>
      <c r="AE105" s="2174"/>
      <c r="AF105" s="2174"/>
      <c r="AG105" s="2174"/>
      <c r="AH105" s="2174"/>
      <c r="AI105" s="2174"/>
      <c r="AJ105" s="2175"/>
      <c r="AK105" s="2175"/>
      <c r="AL105" s="2175"/>
      <c r="AM105" s="2175"/>
      <c r="AN105" s="2175"/>
      <c r="AO105" s="2175"/>
      <c r="AP105" s="2175"/>
      <c r="AQ105" s="2175"/>
      <c r="AR105" s="2176"/>
      <c r="AS105" s="1948"/>
      <c r="AT105" s="1949"/>
    </row>
    <row r="106" spans="1:46" ht="24.95" customHeight="1" x14ac:dyDescent="0.3">
      <c r="A106" s="1207"/>
      <c r="B106" s="1207"/>
      <c r="C106" s="1655"/>
      <c r="D106" s="1654" t="s">
        <v>606</v>
      </c>
      <c r="E106" s="23"/>
      <c r="F106" s="23"/>
      <c r="G106" s="23"/>
      <c r="H106" s="2186"/>
      <c r="I106" s="2186"/>
      <c r="J106" s="2186"/>
      <c r="K106" s="23"/>
      <c r="L106" s="23"/>
      <c r="M106" s="23"/>
      <c r="N106" s="2186">
        <v>0</v>
      </c>
      <c r="O106" s="2186">
        <v>0</v>
      </c>
      <c r="P106" s="2186">
        <v>0</v>
      </c>
      <c r="Q106" s="23"/>
      <c r="R106" s="23"/>
      <c r="S106" s="23"/>
      <c r="T106" s="2189">
        <f t="shared" si="71"/>
        <v>0</v>
      </c>
      <c r="U106" s="2190">
        <f t="shared" si="69"/>
        <v>0</v>
      </c>
      <c r="V106" s="2191">
        <f t="shared" si="70"/>
        <v>0</v>
      </c>
      <c r="W106" s="2192">
        <f t="shared" si="72"/>
        <v>0</v>
      </c>
      <c r="X106" s="1535" t="str">
        <f t="shared" si="73"/>
        <v>1.33</v>
      </c>
      <c r="Y106" s="1075" t="str">
        <f t="shared" si="74"/>
        <v>D+</v>
      </c>
      <c r="Z106" s="1075" t="str">
        <f t="shared" si="75"/>
        <v>0</v>
      </c>
      <c r="AA106" s="2173"/>
      <c r="AB106" s="2174"/>
      <c r="AC106" s="2174"/>
      <c r="AD106" s="2174"/>
      <c r="AE106" s="2174"/>
      <c r="AF106" s="2174"/>
      <c r="AG106" s="2174"/>
      <c r="AH106" s="2174"/>
      <c r="AI106" s="2174"/>
      <c r="AJ106" s="2175"/>
      <c r="AK106" s="2175"/>
      <c r="AL106" s="2175"/>
      <c r="AM106" s="2175"/>
      <c r="AN106" s="2175"/>
      <c r="AO106" s="2175"/>
      <c r="AP106" s="2175"/>
      <c r="AQ106" s="2175"/>
      <c r="AR106" s="2176"/>
      <c r="AS106" s="1948"/>
      <c r="AT106" s="1949"/>
    </row>
    <row r="107" spans="1:46" ht="24.95" customHeight="1" x14ac:dyDescent="0.3">
      <c r="A107" s="1207"/>
      <c r="B107" s="1207"/>
      <c r="C107" s="1655"/>
      <c r="D107" s="1654" t="s">
        <v>607</v>
      </c>
      <c r="E107" s="23"/>
      <c r="F107" s="23"/>
      <c r="G107" s="23"/>
      <c r="H107" s="2186"/>
      <c r="I107" s="2186"/>
      <c r="J107" s="2186"/>
      <c r="K107" s="23"/>
      <c r="L107" s="23"/>
      <c r="M107" s="23"/>
      <c r="N107" s="2186">
        <v>0</v>
      </c>
      <c r="O107" s="2186">
        <v>0</v>
      </c>
      <c r="P107" s="2186">
        <v>0</v>
      </c>
      <c r="Q107" s="23"/>
      <c r="R107" s="23"/>
      <c r="S107" s="23"/>
      <c r="T107" s="2189">
        <f t="shared" si="71"/>
        <v>0</v>
      </c>
      <c r="U107" s="2190">
        <f t="shared" si="69"/>
        <v>0</v>
      </c>
      <c r="V107" s="2191">
        <f t="shared" si="70"/>
        <v>0</v>
      </c>
      <c r="W107" s="2192">
        <f t="shared" si="72"/>
        <v>0</v>
      </c>
      <c r="X107" s="1535" t="str">
        <f t="shared" si="73"/>
        <v>1.33</v>
      </c>
      <c r="Y107" s="1075" t="str">
        <f t="shared" si="74"/>
        <v>D+</v>
      </c>
      <c r="Z107" s="1075" t="str">
        <f t="shared" si="75"/>
        <v>0</v>
      </c>
      <c r="AA107" s="2173"/>
      <c r="AB107" s="2174"/>
      <c r="AC107" s="2174"/>
      <c r="AD107" s="2174"/>
      <c r="AE107" s="2174"/>
      <c r="AF107" s="2174"/>
      <c r="AG107" s="2174"/>
      <c r="AH107" s="2174"/>
      <c r="AI107" s="2174"/>
      <c r="AJ107" s="2175"/>
      <c r="AK107" s="2175"/>
      <c r="AL107" s="2175"/>
      <c r="AM107" s="2175"/>
      <c r="AN107" s="2175"/>
      <c r="AO107" s="2175"/>
      <c r="AP107" s="2175"/>
      <c r="AQ107" s="2175"/>
      <c r="AR107" s="2176"/>
      <c r="AS107" s="1948"/>
      <c r="AT107" s="1949"/>
    </row>
    <row r="108" spans="1:46" ht="24.95" customHeight="1" x14ac:dyDescent="0.3">
      <c r="A108" s="1656"/>
      <c r="B108" s="1207"/>
      <c r="C108" s="1655"/>
      <c r="D108" s="1654" t="s">
        <v>22</v>
      </c>
      <c r="E108" s="2187"/>
      <c r="F108" s="2187"/>
      <c r="G108" s="2187"/>
      <c r="H108" s="2188"/>
      <c r="I108" s="2186"/>
      <c r="J108" s="2186"/>
      <c r="K108" s="23"/>
      <c r="L108" s="23"/>
      <c r="M108" s="23"/>
      <c r="N108" s="2186"/>
      <c r="O108" s="2186"/>
      <c r="P108" s="2186"/>
      <c r="Q108" s="23">
        <v>0</v>
      </c>
      <c r="R108" s="23">
        <v>0</v>
      </c>
      <c r="S108" s="23">
        <v>0</v>
      </c>
      <c r="T108" s="2189">
        <f t="shared" si="71"/>
        <v>0</v>
      </c>
      <c r="U108" s="2190">
        <f t="shared" si="69"/>
        <v>0</v>
      </c>
      <c r="V108" s="2191">
        <f t="shared" si="70"/>
        <v>0</v>
      </c>
      <c r="W108" s="2192">
        <f t="shared" si="72"/>
        <v>0</v>
      </c>
      <c r="X108" s="1535" t="str">
        <f t="shared" si="73"/>
        <v>1.33</v>
      </c>
      <c r="Y108" s="1075" t="str">
        <f t="shared" si="74"/>
        <v>D+</v>
      </c>
      <c r="Z108" s="1075" t="str">
        <f t="shared" si="75"/>
        <v>0</v>
      </c>
      <c r="AA108" s="2173"/>
      <c r="AB108" s="2174"/>
      <c r="AC108" s="2174"/>
      <c r="AD108" s="2174"/>
      <c r="AE108" s="2174"/>
      <c r="AF108" s="2174"/>
      <c r="AG108" s="2174"/>
      <c r="AH108" s="2174"/>
      <c r="AI108" s="2174"/>
      <c r="AJ108" s="2175"/>
      <c r="AK108" s="2175"/>
      <c r="AL108" s="2175"/>
      <c r="AM108" s="2175"/>
      <c r="AN108" s="2175"/>
      <c r="AO108" s="2175"/>
      <c r="AP108" s="2175"/>
      <c r="AQ108" s="2175"/>
      <c r="AR108" s="2176"/>
      <c r="AS108" s="1950"/>
      <c r="AT108" s="1951"/>
    </row>
    <row r="109" spans="1:46" ht="24.95" customHeight="1" x14ac:dyDescent="0.3">
      <c r="A109" s="1236"/>
      <c r="B109" s="1237">
        <v>10</v>
      </c>
      <c r="C109" s="1658"/>
      <c r="D109" s="1236"/>
      <c r="E109" s="2650"/>
      <c r="F109" s="2651"/>
      <c r="G109" s="2651"/>
      <c r="H109" s="2651"/>
      <c r="I109" s="2652"/>
      <c r="J109" s="2109"/>
      <c r="K109" s="2109"/>
      <c r="L109" s="2109"/>
      <c r="M109" s="2109"/>
      <c r="N109" s="2109"/>
      <c r="O109" s="2109"/>
      <c r="P109" s="2109"/>
      <c r="Q109" s="2109"/>
      <c r="R109" s="2109"/>
      <c r="S109" s="2109"/>
      <c r="T109" s="2193"/>
      <c r="U109" s="2193"/>
      <c r="V109" s="2193"/>
      <c r="W109" s="2194">
        <f>IFERROR(AVERAGE(W100:W108),"  ")</f>
        <v>0</v>
      </c>
      <c r="X109" s="1454" t="str">
        <f>IF(W109&gt;85,("4"),IF(W109&gt;80,("3.66"),IF(W109&gt;75,("3.33"),IF(W109&gt;70,("3.00"),IF(W109&gt;65,("2.66"),IF(W109&gt;60,("2.33"),IF(W109&gt;55,("2"),IF(W109&gt;50,("1.66"),"1.33"))))))))</f>
        <v>1.33</v>
      </c>
      <c r="Y109" s="1454" t="str">
        <f>IF(W109&gt;85,("A"),IF(W109&gt;80,("A-"),IF(W109&gt;75,("B+"),IF(W109&gt;70,("B"),IF(W109&gt;65,("B-"),IF(W109&gt;60,("C+"),IF(W109&gt;55,("C"),IF(W109&gt;50,("C-"),"D+"))))))))</f>
        <v>D+</v>
      </c>
      <c r="Z109" s="1666"/>
      <c r="AA109" s="2182"/>
      <c r="AB109" s="2183"/>
      <c r="AC109" s="2183"/>
      <c r="AD109" s="2183"/>
      <c r="AE109" s="2183"/>
      <c r="AF109" s="2183"/>
      <c r="AG109" s="2183"/>
      <c r="AH109" s="2183"/>
      <c r="AI109" s="2183"/>
      <c r="AJ109" s="2183"/>
      <c r="AK109" s="2183"/>
      <c r="AL109" s="2183"/>
      <c r="AM109" s="2183"/>
      <c r="AN109" s="2183"/>
      <c r="AO109" s="2183"/>
      <c r="AP109" s="2183"/>
      <c r="AQ109" s="2183"/>
      <c r="AR109" s="2184"/>
      <c r="AS109" s="1952"/>
      <c r="AT109" s="1953"/>
    </row>
    <row r="110" spans="1:46" ht="24.95" customHeight="1" x14ac:dyDescent="0.3">
      <c r="A110" s="1224">
        <v>11</v>
      </c>
      <c r="B110" s="1224"/>
      <c r="C110" s="1653" t="str">
        <f>VLOOKUP(A110,data_siswa,4,FALSE)</f>
        <v>Fania Mutiara Felichia</v>
      </c>
      <c r="D110" s="1654" t="s">
        <v>603</v>
      </c>
      <c r="E110" s="1211">
        <v>0</v>
      </c>
      <c r="F110" s="1211">
        <v>0</v>
      </c>
      <c r="G110" s="1211">
        <v>0</v>
      </c>
      <c r="H110" s="2185"/>
      <c r="I110" s="2185"/>
      <c r="J110" s="2185"/>
      <c r="K110" s="1211"/>
      <c r="L110" s="1211"/>
      <c r="M110" s="1211"/>
      <c r="N110" s="2185"/>
      <c r="O110" s="2185"/>
      <c r="P110" s="2185"/>
      <c r="Q110" s="1211"/>
      <c r="R110" s="1211"/>
      <c r="S110" s="1211"/>
      <c r="T110" s="2189">
        <f>MAX(H110,K110,N110,Q110)</f>
        <v>0</v>
      </c>
      <c r="U110" s="2190">
        <f t="shared" ref="U110:U118" si="76">MAX(I110,L110,O110,R110)</f>
        <v>0</v>
      </c>
      <c r="V110" s="2191">
        <f t="shared" ref="V110:V118" si="77">MAX(J110,M110,P110,S110)</f>
        <v>0</v>
      </c>
      <c r="W110" s="2192">
        <f>IFERROR(AVERAGE(T110:V110),"")</f>
        <v>0</v>
      </c>
      <c r="X110" s="1075" t="str">
        <f>IF(W110&gt;85,("4"),IF(W110&gt;80,("3.66"),IF(W110&gt;75,("3.33"),IF(W110&gt;70,("3.00"),IF(W110&gt;65,("2.66"),IF(W110&gt;60,("2.33"),IF(W110&gt;55,("2"),IF(W110&gt;50,("1.66"),"1.33"))))))))</f>
        <v>1.33</v>
      </c>
      <c r="Y110" s="1075" t="str">
        <f>IF(W110&gt;85,("A"),IF(W110&gt;80,("A-"),IF(W110&gt;75,("B+"),IF(W110&gt;70,("B"),IF(W110&gt;65,("B-"),IF(W110&gt;60,("C+"),IF(W110&gt;55,("C"),IF(W110&gt;50,("C-"),"D+"))))))))</f>
        <v>D+</v>
      </c>
      <c r="Z110" s="1075" t="str">
        <f>IF(W110&gt;80,("SB"),IF(W110&gt;65,("B"),IF(W110&gt;50,("C"),IF(W110&gt;0,("K"),"0"))))</f>
        <v>0</v>
      </c>
      <c r="AA110" s="2180"/>
      <c r="AB110" s="2180"/>
      <c r="AC110" s="2180"/>
      <c r="AD110" s="2180"/>
      <c r="AE110" s="2180"/>
      <c r="AF110" s="2180"/>
      <c r="AG110" s="2180"/>
      <c r="AH110" s="2180"/>
      <c r="AI110" s="2180"/>
      <c r="AJ110" s="2181"/>
      <c r="AK110" s="2181"/>
      <c r="AL110" s="2181"/>
      <c r="AM110" s="2181"/>
      <c r="AN110" s="2181"/>
      <c r="AO110" s="2181"/>
      <c r="AP110" s="2181"/>
      <c r="AQ110" s="2181"/>
      <c r="AR110" s="2181"/>
      <c r="AS110" s="1910">
        <f>W119</f>
        <v>0</v>
      </c>
      <c r="AT110" s="1910" t="str">
        <f>Y119</f>
        <v>D+</v>
      </c>
    </row>
    <row r="111" spans="1:46" ht="24.95" customHeight="1" x14ac:dyDescent="0.3">
      <c r="A111" s="1207"/>
      <c r="B111" s="1207"/>
      <c r="C111" s="1655"/>
      <c r="D111" s="1654" t="s">
        <v>604</v>
      </c>
      <c r="E111" s="23">
        <v>0</v>
      </c>
      <c r="F111" s="23">
        <v>0</v>
      </c>
      <c r="G111" s="23">
        <v>0</v>
      </c>
      <c r="H111" s="2186"/>
      <c r="I111" s="2186"/>
      <c r="J111" s="2186"/>
      <c r="K111" s="23"/>
      <c r="L111" s="23"/>
      <c r="M111" s="23"/>
      <c r="N111" s="2186"/>
      <c r="O111" s="2186"/>
      <c r="P111" s="2186"/>
      <c r="Q111" s="23"/>
      <c r="R111" s="23"/>
      <c r="S111" s="23"/>
      <c r="T111" s="2189">
        <f t="shared" ref="T111:T118" si="78">MAX(H111,K111,N111,Q111)</f>
        <v>0</v>
      </c>
      <c r="U111" s="2190">
        <f t="shared" si="76"/>
        <v>0</v>
      </c>
      <c r="V111" s="2191">
        <f t="shared" si="77"/>
        <v>0</v>
      </c>
      <c r="W111" s="2192">
        <f t="shared" ref="W111:W118" si="79">IFERROR(AVERAGE(T111:V111),"")</f>
        <v>0</v>
      </c>
      <c r="X111" s="1075" t="str">
        <f t="shared" ref="X111:X118" si="80">IF(W111&gt;85,("4"),IF(W111&gt;80,("3.66"),IF(W111&gt;75,("3.33"),IF(W111&gt;70,("3.00"),IF(W111&gt;65,("2.66"),IF(W111&gt;60,("2.33"),IF(W111&gt;55,("2"),IF(W111&gt;50,("1.66"),"1.33"))))))))</f>
        <v>1.33</v>
      </c>
      <c r="Y111" s="1075" t="str">
        <f t="shared" ref="Y111:Y118" si="81">IF(W111&gt;85,("A"),IF(W111&gt;80,("A-"),IF(W111&gt;75,("B+"),IF(W111&gt;70,("B"),IF(W111&gt;65,("B-"),IF(W111&gt;60,("C+"),IF(W111&gt;55,("C"),IF(W111&gt;50,("C-"),"D+"))))))))</f>
        <v>D+</v>
      </c>
      <c r="Z111" s="1075" t="str">
        <f t="shared" ref="Z111:Z118" si="82">IF(W111&gt;80,("SB"),IF(W111&gt;65,("B"),IF(W111&gt;50,("C"),IF(W111&gt;0,("K"),"0"))))</f>
        <v>0</v>
      </c>
      <c r="AA111" s="2169"/>
      <c r="AB111" s="2170"/>
      <c r="AC111" s="2170"/>
      <c r="AD111" s="2170"/>
      <c r="AE111" s="2170"/>
      <c r="AF111" s="2170"/>
      <c r="AG111" s="2170"/>
      <c r="AH111" s="2170"/>
      <c r="AI111" s="2170"/>
      <c r="AJ111" s="2171"/>
      <c r="AK111" s="2171"/>
      <c r="AL111" s="2171"/>
      <c r="AM111" s="2171"/>
      <c r="AN111" s="2171"/>
      <c r="AO111" s="2171"/>
      <c r="AP111" s="2171"/>
      <c r="AQ111" s="2171"/>
      <c r="AR111" s="2172"/>
      <c r="AS111" s="1946"/>
      <c r="AT111" s="1947"/>
    </row>
    <row r="112" spans="1:46" ht="24.95" customHeight="1" x14ac:dyDescent="0.3">
      <c r="A112" s="1207"/>
      <c r="B112" s="1207"/>
      <c r="C112" s="1655"/>
      <c r="D112" s="1654" t="s">
        <v>605</v>
      </c>
      <c r="E112" s="23">
        <v>0</v>
      </c>
      <c r="F112" s="23">
        <v>0</v>
      </c>
      <c r="G112" s="23">
        <v>0</v>
      </c>
      <c r="H112" s="2186"/>
      <c r="I112" s="2186"/>
      <c r="J112" s="2186"/>
      <c r="K112" s="23"/>
      <c r="L112" s="23"/>
      <c r="M112" s="23"/>
      <c r="N112" s="2186"/>
      <c r="O112" s="2186"/>
      <c r="P112" s="2186"/>
      <c r="Q112" s="23"/>
      <c r="R112" s="23"/>
      <c r="S112" s="23"/>
      <c r="T112" s="2189">
        <f t="shared" si="78"/>
        <v>0</v>
      </c>
      <c r="U112" s="2190">
        <f t="shared" si="76"/>
        <v>0</v>
      </c>
      <c r="V112" s="2191">
        <f t="shared" si="77"/>
        <v>0</v>
      </c>
      <c r="W112" s="2192">
        <f t="shared" si="79"/>
        <v>0</v>
      </c>
      <c r="X112" s="1075" t="str">
        <f t="shared" si="80"/>
        <v>1.33</v>
      </c>
      <c r="Y112" s="1075" t="str">
        <f t="shared" si="81"/>
        <v>D+</v>
      </c>
      <c r="Z112" s="1075" t="str">
        <f t="shared" si="82"/>
        <v>0</v>
      </c>
      <c r="AA112" s="2173"/>
      <c r="AB112" s="2174"/>
      <c r="AC112" s="2174"/>
      <c r="AD112" s="2174"/>
      <c r="AE112" s="2174"/>
      <c r="AF112" s="2174"/>
      <c r="AG112" s="2174"/>
      <c r="AH112" s="2174"/>
      <c r="AI112" s="2174"/>
      <c r="AJ112" s="2175"/>
      <c r="AK112" s="2175"/>
      <c r="AL112" s="2175"/>
      <c r="AM112" s="2175"/>
      <c r="AN112" s="2175"/>
      <c r="AO112" s="2175"/>
      <c r="AP112" s="2175"/>
      <c r="AQ112" s="2175"/>
      <c r="AR112" s="2176"/>
      <c r="AS112" s="1948"/>
      <c r="AT112" s="1949"/>
    </row>
    <row r="113" spans="1:46" ht="24.95" customHeight="1" x14ac:dyDescent="0.3">
      <c r="A113" s="1207"/>
      <c r="B113" s="1207"/>
      <c r="C113" s="1655"/>
      <c r="D113" s="1654" t="s">
        <v>155</v>
      </c>
      <c r="E113" s="23"/>
      <c r="F113" s="23"/>
      <c r="G113" s="23"/>
      <c r="H113" s="2186">
        <v>0</v>
      </c>
      <c r="I113" s="2186">
        <v>0</v>
      </c>
      <c r="J113" s="2186">
        <v>0</v>
      </c>
      <c r="K113" s="23"/>
      <c r="L113" s="23"/>
      <c r="M113" s="23"/>
      <c r="N113" s="2186"/>
      <c r="O113" s="2186"/>
      <c r="P113" s="2186"/>
      <c r="Q113" s="23"/>
      <c r="R113" s="23"/>
      <c r="S113" s="23"/>
      <c r="T113" s="2189">
        <f t="shared" si="78"/>
        <v>0</v>
      </c>
      <c r="U113" s="2190">
        <f t="shared" si="76"/>
        <v>0</v>
      </c>
      <c r="V113" s="2191">
        <f t="shared" si="77"/>
        <v>0</v>
      </c>
      <c r="W113" s="2192">
        <f t="shared" si="79"/>
        <v>0</v>
      </c>
      <c r="X113" s="1075" t="str">
        <f t="shared" si="80"/>
        <v>1.33</v>
      </c>
      <c r="Y113" s="1075" t="str">
        <f t="shared" si="81"/>
        <v>D+</v>
      </c>
      <c r="Z113" s="1075" t="str">
        <f t="shared" si="82"/>
        <v>0</v>
      </c>
      <c r="AA113" s="2173"/>
      <c r="AB113" s="2174"/>
      <c r="AC113" s="2174"/>
      <c r="AD113" s="2174"/>
      <c r="AE113" s="2174"/>
      <c r="AF113" s="2174"/>
      <c r="AG113" s="2174"/>
      <c r="AH113" s="2174"/>
      <c r="AI113" s="2174"/>
      <c r="AJ113" s="2175"/>
      <c r="AK113" s="2175"/>
      <c r="AL113" s="2175"/>
      <c r="AM113" s="2175"/>
      <c r="AN113" s="2175"/>
      <c r="AO113" s="2175"/>
      <c r="AP113" s="2175"/>
      <c r="AQ113" s="2175"/>
      <c r="AR113" s="2176"/>
      <c r="AS113" s="1948"/>
      <c r="AT113" s="1949"/>
    </row>
    <row r="114" spans="1:46" ht="24.95" customHeight="1" x14ac:dyDescent="0.3">
      <c r="A114" s="1207"/>
      <c r="B114" s="1207"/>
      <c r="C114" s="1655"/>
      <c r="D114" s="1654" t="s">
        <v>187</v>
      </c>
      <c r="E114" s="23"/>
      <c r="F114" s="23"/>
      <c r="G114" s="23"/>
      <c r="H114" s="2186"/>
      <c r="I114" s="2186"/>
      <c r="J114" s="2186"/>
      <c r="K114" s="23">
        <v>0</v>
      </c>
      <c r="L114" s="23">
        <v>0</v>
      </c>
      <c r="M114" s="23">
        <v>0</v>
      </c>
      <c r="N114" s="2186"/>
      <c r="O114" s="2186"/>
      <c r="P114" s="2186"/>
      <c r="Q114" s="23"/>
      <c r="R114" s="23"/>
      <c r="S114" s="23"/>
      <c r="T114" s="2189">
        <f t="shared" si="78"/>
        <v>0</v>
      </c>
      <c r="U114" s="2190">
        <f t="shared" si="76"/>
        <v>0</v>
      </c>
      <c r="V114" s="2191">
        <f t="shared" si="77"/>
        <v>0</v>
      </c>
      <c r="W114" s="2192">
        <f t="shared" si="79"/>
        <v>0</v>
      </c>
      <c r="X114" s="1075" t="str">
        <f t="shared" si="80"/>
        <v>1.33</v>
      </c>
      <c r="Y114" s="1075" t="str">
        <f t="shared" si="81"/>
        <v>D+</v>
      </c>
      <c r="Z114" s="1075" t="str">
        <f t="shared" si="82"/>
        <v>0</v>
      </c>
      <c r="AA114" s="2173"/>
      <c r="AB114" s="2174"/>
      <c r="AC114" s="2174"/>
      <c r="AD114" s="2174"/>
      <c r="AE114" s="2174"/>
      <c r="AF114" s="2174"/>
      <c r="AG114" s="2174"/>
      <c r="AH114" s="2174"/>
      <c r="AI114" s="2174"/>
      <c r="AJ114" s="2175"/>
      <c r="AK114" s="2175"/>
      <c r="AL114" s="2175"/>
      <c r="AM114" s="2175"/>
      <c r="AN114" s="2175"/>
      <c r="AO114" s="2175"/>
      <c r="AP114" s="2175"/>
      <c r="AQ114" s="2175"/>
      <c r="AR114" s="2176"/>
      <c r="AS114" s="1948"/>
      <c r="AT114" s="1949"/>
    </row>
    <row r="115" spans="1:46" ht="24.95" customHeight="1" x14ac:dyDescent="0.3">
      <c r="A115" s="1207"/>
      <c r="B115" s="1207"/>
      <c r="C115" s="1655"/>
      <c r="D115" s="1654" t="s">
        <v>17</v>
      </c>
      <c r="E115" s="23"/>
      <c r="F115" s="23"/>
      <c r="G115" s="23"/>
      <c r="H115" s="2186"/>
      <c r="I115" s="2186"/>
      <c r="J115" s="2186"/>
      <c r="K115" s="23">
        <v>0</v>
      </c>
      <c r="L115" s="23">
        <v>0</v>
      </c>
      <c r="M115" s="23">
        <v>0</v>
      </c>
      <c r="N115" s="2186"/>
      <c r="O115" s="2186"/>
      <c r="P115" s="2186"/>
      <c r="Q115" s="23"/>
      <c r="R115" s="23"/>
      <c r="S115" s="23"/>
      <c r="T115" s="2189">
        <f t="shared" si="78"/>
        <v>0</v>
      </c>
      <c r="U115" s="2190">
        <f t="shared" si="76"/>
        <v>0</v>
      </c>
      <c r="V115" s="2191">
        <f t="shared" si="77"/>
        <v>0</v>
      </c>
      <c r="W115" s="2192">
        <f t="shared" si="79"/>
        <v>0</v>
      </c>
      <c r="X115" s="1075" t="str">
        <f t="shared" si="80"/>
        <v>1.33</v>
      </c>
      <c r="Y115" s="1075" t="str">
        <f t="shared" si="81"/>
        <v>D+</v>
      </c>
      <c r="Z115" s="1075" t="str">
        <f t="shared" si="82"/>
        <v>0</v>
      </c>
      <c r="AA115" s="2173"/>
      <c r="AB115" s="2174"/>
      <c r="AC115" s="2174"/>
      <c r="AD115" s="2174"/>
      <c r="AE115" s="2174"/>
      <c r="AF115" s="2174"/>
      <c r="AG115" s="2174"/>
      <c r="AH115" s="2174"/>
      <c r="AI115" s="2174"/>
      <c r="AJ115" s="2175"/>
      <c r="AK115" s="2175"/>
      <c r="AL115" s="2175"/>
      <c r="AM115" s="2175"/>
      <c r="AN115" s="2175"/>
      <c r="AO115" s="2175"/>
      <c r="AP115" s="2175"/>
      <c r="AQ115" s="2175"/>
      <c r="AR115" s="2176"/>
      <c r="AS115" s="1948"/>
      <c r="AT115" s="1949"/>
    </row>
    <row r="116" spans="1:46" ht="24.95" customHeight="1" x14ac:dyDescent="0.3">
      <c r="A116" s="1207"/>
      <c r="B116" s="1207"/>
      <c r="C116" s="1655"/>
      <c r="D116" s="1654" t="s">
        <v>606</v>
      </c>
      <c r="E116" s="23"/>
      <c r="F116" s="23"/>
      <c r="G116" s="23"/>
      <c r="H116" s="2186"/>
      <c r="I116" s="2186"/>
      <c r="J116" s="2186"/>
      <c r="K116" s="23"/>
      <c r="L116" s="23"/>
      <c r="M116" s="23"/>
      <c r="N116" s="2186">
        <v>0</v>
      </c>
      <c r="O116" s="2186">
        <v>0</v>
      </c>
      <c r="P116" s="2186">
        <v>0</v>
      </c>
      <c r="Q116" s="23"/>
      <c r="R116" s="23"/>
      <c r="S116" s="23"/>
      <c r="T116" s="2189">
        <f t="shared" si="78"/>
        <v>0</v>
      </c>
      <c r="U116" s="2190">
        <f t="shared" si="76"/>
        <v>0</v>
      </c>
      <c r="V116" s="2191">
        <f t="shared" si="77"/>
        <v>0</v>
      </c>
      <c r="W116" s="2192">
        <f t="shared" si="79"/>
        <v>0</v>
      </c>
      <c r="X116" s="1075" t="str">
        <f t="shared" si="80"/>
        <v>1.33</v>
      </c>
      <c r="Y116" s="1075" t="str">
        <f t="shared" si="81"/>
        <v>D+</v>
      </c>
      <c r="Z116" s="1075" t="str">
        <f t="shared" si="82"/>
        <v>0</v>
      </c>
      <c r="AA116" s="2173"/>
      <c r="AB116" s="2174"/>
      <c r="AC116" s="2174"/>
      <c r="AD116" s="2174"/>
      <c r="AE116" s="2174"/>
      <c r="AF116" s="2174"/>
      <c r="AG116" s="2174"/>
      <c r="AH116" s="2174"/>
      <c r="AI116" s="2174"/>
      <c r="AJ116" s="2175"/>
      <c r="AK116" s="2175"/>
      <c r="AL116" s="2175"/>
      <c r="AM116" s="2175"/>
      <c r="AN116" s="2175"/>
      <c r="AO116" s="2175"/>
      <c r="AP116" s="2175"/>
      <c r="AQ116" s="2175"/>
      <c r="AR116" s="2176"/>
      <c r="AS116" s="1948"/>
      <c r="AT116" s="1949"/>
    </row>
    <row r="117" spans="1:46" ht="24.95" customHeight="1" x14ac:dyDescent="0.3">
      <c r="A117" s="1207"/>
      <c r="B117" s="1207"/>
      <c r="C117" s="1655"/>
      <c r="D117" s="1654" t="s">
        <v>607</v>
      </c>
      <c r="E117" s="23"/>
      <c r="F117" s="23"/>
      <c r="G117" s="23"/>
      <c r="H117" s="2186"/>
      <c r="I117" s="2186"/>
      <c r="J117" s="2186"/>
      <c r="K117" s="23"/>
      <c r="L117" s="23"/>
      <c r="M117" s="23"/>
      <c r="N117" s="2186">
        <v>0</v>
      </c>
      <c r="O117" s="2186">
        <v>0</v>
      </c>
      <c r="P117" s="2186">
        <v>0</v>
      </c>
      <c r="Q117" s="23"/>
      <c r="R117" s="23"/>
      <c r="S117" s="23"/>
      <c r="T117" s="2189">
        <f t="shared" si="78"/>
        <v>0</v>
      </c>
      <c r="U117" s="2190">
        <f t="shared" si="76"/>
        <v>0</v>
      </c>
      <c r="V117" s="2191">
        <f t="shared" si="77"/>
        <v>0</v>
      </c>
      <c r="W117" s="2192">
        <f t="shared" si="79"/>
        <v>0</v>
      </c>
      <c r="X117" s="1075" t="str">
        <f t="shared" si="80"/>
        <v>1.33</v>
      </c>
      <c r="Y117" s="1075" t="str">
        <f t="shared" si="81"/>
        <v>D+</v>
      </c>
      <c r="Z117" s="1075" t="str">
        <f t="shared" si="82"/>
        <v>0</v>
      </c>
      <c r="AA117" s="2173"/>
      <c r="AB117" s="2174"/>
      <c r="AC117" s="2174"/>
      <c r="AD117" s="2174"/>
      <c r="AE117" s="2174"/>
      <c r="AF117" s="2174"/>
      <c r="AG117" s="2174"/>
      <c r="AH117" s="2174"/>
      <c r="AI117" s="2174"/>
      <c r="AJ117" s="2175"/>
      <c r="AK117" s="2175"/>
      <c r="AL117" s="2175"/>
      <c r="AM117" s="2175"/>
      <c r="AN117" s="2175"/>
      <c r="AO117" s="2175"/>
      <c r="AP117" s="2175"/>
      <c r="AQ117" s="2175"/>
      <c r="AR117" s="2176"/>
      <c r="AS117" s="1948"/>
      <c r="AT117" s="1949"/>
    </row>
    <row r="118" spans="1:46" ht="24.95" customHeight="1" x14ac:dyDescent="0.3">
      <c r="A118" s="1656"/>
      <c r="B118" s="1207"/>
      <c r="C118" s="1655"/>
      <c r="D118" s="1654" t="s">
        <v>22</v>
      </c>
      <c r="E118" s="2187"/>
      <c r="F118" s="2187"/>
      <c r="G118" s="2187"/>
      <c r="H118" s="2188"/>
      <c r="I118" s="2186"/>
      <c r="J118" s="2186"/>
      <c r="K118" s="23"/>
      <c r="L118" s="23"/>
      <c r="M118" s="23"/>
      <c r="N118" s="2186"/>
      <c r="O118" s="2186"/>
      <c r="P118" s="2186"/>
      <c r="Q118" s="23">
        <v>0</v>
      </c>
      <c r="R118" s="23">
        <v>0</v>
      </c>
      <c r="S118" s="23">
        <v>0</v>
      </c>
      <c r="T118" s="2189">
        <f t="shared" si="78"/>
        <v>0</v>
      </c>
      <c r="U118" s="2190">
        <f t="shared" si="76"/>
        <v>0</v>
      </c>
      <c r="V118" s="2191">
        <f t="shared" si="77"/>
        <v>0</v>
      </c>
      <c r="W118" s="2192">
        <f t="shared" si="79"/>
        <v>0</v>
      </c>
      <c r="X118" s="1075" t="str">
        <f t="shared" si="80"/>
        <v>1.33</v>
      </c>
      <c r="Y118" s="1075" t="str">
        <f t="shared" si="81"/>
        <v>D+</v>
      </c>
      <c r="Z118" s="1075" t="str">
        <f t="shared" si="82"/>
        <v>0</v>
      </c>
      <c r="AA118" s="2173"/>
      <c r="AB118" s="2174"/>
      <c r="AC118" s="2174"/>
      <c r="AD118" s="2174"/>
      <c r="AE118" s="2174"/>
      <c r="AF118" s="2174"/>
      <c r="AG118" s="2174"/>
      <c r="AH118" s="2174"/>
      <c r="AI118" s="2174"/>
      <c r="AJ118" s="2175"/>
      <c r="AK118" s="2175"/>
      <c r="AL118" s="2175"/>
      <c r="AM118" s="2175"/>
      <c r="AN118" s="2175"/>
      <c r="AO118" s="2175"/>
      <c r="AP118" s="2175"/>
      <c r="AQ118" s="2175"/>
      <c r="AR118" s="2176"/>
      <c r="AS118" s="1950"/>
      <c r="AT118" s="1951"/>
    </row>
    <row r="119" spans="1:46" ht="24.95" customHeight="1" x14ac:dyDescent="0.3">
      <c r="A119" s="1236"/>
      <c r="B119" s="1237">
        <v>11</v>
      </c>
      <c r="C119" s="1658"/>
      <c r="D119" s="1236"/>
      <c r="E119" s="2650"/>
      <c r="F119" s="2651"/>
      <c r="G119" s="2651"/>
      <c r="H119" s="2651"/>
      <c r="I119" s="2652"/>
      <c r="J119" s="2109"/>
      <c r="K119" s="2109"/>
      <c r="L119" s="2109"/>
      <c r="M119" s="2109"/>
      <c r="N119" s="2109"/>
      <c r="O119" s="2109"/>
      <c r="P119" s="2109"/>
      <c r="Q119" s="2109"/>
      <c r="R119" s="2109"/>
      <c r="S119" s="2109"/>
      <c r="T119" s="2193"/>
      <c r="U119" s="2193"/>
      <c r="V119" s="2193"/>
      <c r="W119" s="2194">
        <f>IFERROR(AVERAGE(W110:W118),"  ")</f>
        <v>0</v>
      </c>
      <c r="X119" s="1454" t="str">
        <f>IF(W119&gt;85,("4"),IF(W119&gt;80,("3.66"),IF(W119&gt;75,("3.33"),IF(W119&gt;70,("3.00"),IF(W119&gt;65,("2.66"),IF(W119&gt;60,("2.33"),IF(W119&gt;55,("2"),IF(W119&gt;50,("1.66"),"1.33"))))))))</f>
        <v>1.33</v>
      </c>
      <c r="Y119" s="1454" t="str">
        <f>IF(W119&gt;85,("A"),IF(W119&gt;80,("A-"),IF(W119&gt;75,("B+"),IF(W119&gt;70,("B"),IF(W119&gt;65,("B-"),IF(W119&gt;60,("C+"),IF(W119&gt;55,("C"),IF(W119&gt;50,("C-"),"D+"))))))))</f>
        <v>D+</v>
      </c>
      <c r="Z119" s="1666"/>
      <c r="AA119" s="2182"/>
      <c r="AB119" s="2183"/>
      <c r="AC119" s="2183"/>
      <c r="AD119" s="2183"/>
      <c r="AE119" s="2183"/>
      <c r="AF119" s="2183"/>
      <c r="AG119" s="2183"/>
      <c r="AH119" s="2183"/>
      <c r="AI119" s="2183"/>
      <c r="AJ119" s="2183"/>
      <c r="AK119" s="2183"/>
      <c r="AL119" s="2183"/>
      <c r="AM119" s="2183"/>
      <c r="AN119" s="2183"/>
      <c r="AO119" s="2183"/>
      <c r="AP119" s="2183"/>
      <c r="AQ119" s="2183"/>
      <c r="AR119" s="2184"/>
      <c r="AS119" s="1952"/>
      <c r="AT119" s="1953"/>
    </row>
    <row r="120" spans="1:46" ht="24.95" customHeight="1" x14ac:dyDescent="0.3">
      <c r="A120" s="1224">
        <v>12</v>
      </c>
      <c r="B120" s="1224"/>
      <c r="C120" s="1653" t="str">
        <f>VLOOKUP(A120,data_siswa,4,FALSE)</f>
        <v>Intan Dyah Nowari</v>
      </c>
      <c r="D120" s="1654" t="s">
        <v>603</v>
      </c>
      <c r="E120" s="1211">
        <v>0</v>
      </c>
      <c r="F120" s="1211">
        <v>0</v>
      </c>
      <c r="G120" s="1211">
        <v>0</v>
      </c>
      <c r="H120" s="2185"/>
      <c r="I120" s="2185"/>
      <c r="J120" s="2185"/>
      <c r="K120" s="1211"/>
      <c r="L120" s="1211"/>
      <c r="M120" s="1211"/>
      <c r="N120" s="2185"/>
      <c r="O120" s="2185"/>
      <c r="P120" s="2185"/>
      <c r="Q120" s="1211"/>
      <c r="R120" s="1211"/>
      <c r="S120" s="1211"/>
      <c r="T120" s="2189">
        <f>MAX(H120,K120,N120,Q120)</f>
        <v>0</v>
      </c>
      <c r="U120" s="2190">
        <f t="shared" ref="U120:U128" si="83">MAX(I120,L120,O120,R120)</f>
        <v>0</v>
      </c>
      <c r="V120" s="2191">
        <f t="shared" ref="V120:V128" si="84">MAX(J120,M120,P120,S120)</f>
        <v>0</v>
      </c>
      <c r="W120" s="2192">
        <f>IFERROR(AVERAGE(T120:V120),"")</f>
        <v>0</v>
      </c>
      <c r="X120" s="1075" t="str">
        <f>IF(W120&gt;85,("4"),IF(W120&gt;80,("3.66"),IF(W120&gt;75,("3.33"),IF(W120&gt;70,("3.00"),IF(W120&gt;65,("2.66"),IF(W120&gt;60,("2.33"),IF(W120&gt;55,("2"),IF(W120&gt;50,("1.66"),"1.33"))))))))</f>
        <v>1.33</v>
      </c>
      <c r="Y120" s="1075" t="str">
        <f>IF(W120&gt;85,("A"),IF(W120&gt;80,("A-"),IF(W120&gt;75,("B+"),IF(W120&gt;70,("B"),IF(W120&gt;65,("B-"),IF(W120&gt;60,("C+"),IF(W120&gt;55,("C"),IF(W120&gt;50,("C-"),"D+"))))))))</f>
        <v>D+</v>
      </c>
      <c r="Z120" s="1075" t="str">
        <f>IF(W120&gt;80,("SB"),IF(W120&gt;65,("B"),IF(W120&gt;50,("C"),IF(W120&gt;0,("K"),"0"))))</f>
        <v>0</v>
      </c>
      <c r="AA120" s="2180"/>
      <c r="AB120" s="2180"/>
      <c r="AC120" s="2180"/>
      <c r="AD120" s="2180"/>
      <c r="AE120" s="2180"/>
      <c r="AF120" s="2180"/>
      <c r="AG120" s="2180"/>
      <c r="AH120" s="2180"/>
      <c r="AI120" s="2180"/>
      <c r="AJ120" s="2181"/>
      <c r="AK120" s="2181"/>
      <c r="AL120" s="2181"/>
      <c r="AM120" s="2181"/>
      <c r="AN120" s="2181"/>
      <c r="AO120" s="2181"/>
      <c r="AP120" s="2181"/>
      <c r="AQ120" s="2181"/>
      <c r="AR120" s="2181"/>
      <c r="AS120" s="1910">
        <f>W129</f>
        <v>0</v>
      </c>
      <c r="AT120" s="1910" t="str">
        <f>Y129</f>
        <v>D+</v>
      </c>
    </row>
    <row r="121" spans="1:46" ht="24.95" customHeight="1" x14ac:dyDescent="0.3">
      <c r="A121" s="1207"/>
      <c r="B121" s="1207"/>
      <c r="C121" s="1655"/>
      <c r="D121" s="1654" t="s">
        <v>604</v>
      </c>
      <c r="E121" s="23">
        <v>0</v>
      </c>
      <c r="F121" s="23">
        <v>0</v>
      </c>
      <c r="G121" s="23">
        <v>0</v>
      </c>
      <c r="H121" s="2186"/>
      <c r="I121" s="2186"/>
      <c r="J121" s="2186"/>
      <c r="K121" s="23"/>
      <c r="L121" s="23"/>
      <c r="M121" s="23"/>
      <c r="N121" s="2186"/>
      <c r="O121" s="2186"/>
      <c r="P121" s="2186"/>
      <c r="Q121" s="23"/>
      <c r="R121" s="23"/>
      <c r="S121" s="23"/>
      <c r="T121" s="2189">
        <f t="shared" ref="T121:T128" si="85">MAX(H121,K121,N121,Q121)</f>
        <v>0</v>
      </c>
      <c r="U121" s="2190">
        <f t="shared" si="83"/>
        <v>0</v>
      </c>
      <c r="V121" s="2191">
        <f t="shared" si="84"/>
        <v>0</v>
      </c>
      <c r="W121" s="2192">
        <f t="shared" ref="W121:W128" si="86">IFERROR(AVERAGE(T121:V121),"")</f>
        <v>0</v>
      </c>
      <c r="X121" s="1075" t="str">
        <f t="shared" ref="X121:X128" si="87">IF(W121&gt;85,("4"),IF(W121&gt;80,("3.66"),IF(W121&gt;75,("3.33"),IF(W121&gt;70,("3.00"),IF(W121&gt;65,("2.66"),IF(W121&gt;60,("2.33"),IF(W121&gt;55,("2"),IF(W121&gt;50,("1.66"),"1.33"))))))))</f>
        <v>1.33</v>
      </c>
      <c r="Y121" s="1075" t="str">
        <f t="shared" ref="Y121:Y128" si="88">IF(W121&gt;85,("A"),IF(W121&gt;80,("A-"),IF(W121&gt;75,("B+"),IF(W121&gt;70,("B"),IF(W121&gt;65,("B-"),IF(W121&gt;60,("C+"),IF(W121&gt;55,("C"),IF(W121&gt;50,("C-"),"D+"))))))))</f>
        <v>D+</v>
      </c>
      <c r="Z121" s="1075" t="str">
        <f t="shared" ref="Z121:Z128" si="89">IF(W121&gt;80,("SB"),IF(W121&gt;65,("B"),IF(W121&gt;50,("C"),IF(W121&gt;0,("K"),"0"))))</f>
        <v>0</v>
      </c>
      <c r="AA121" s="2169"/>
      <c r="AB121" s="2170"/>
      <c r="AC121" s="2170"/>
      <c r="AD121" s="2170"/>
      <c r="AE121" s="2170"/>
      <c r="AF121" s="2170"/>
      <c r="AG121" s="2170"/>
      <c r="AH121" s="2170"/>
      <c r="AI121" s="2170"/>
      <c r="AJ121" s="2171"/>
      <c r="AK121" s="2171"/>
      <c r="AL121" s="2171"/>
      <c r="AM121" s="2171"/>
      <c r="AN121" s="2171"/>
      <c r="AO121" s="2171"/>
      <c r="AP121" s="2171"/>
      <c r="AQ121" s="2171"/>
      <c r="AR121" s="2172"/>
      <c r="AS121" s="1946"/>
      <c r="AT121" s="1947"/>
    </row>
    <row r="122" spans="1:46" ht="24.95" customHeight="1" x14ac:dyDescent="0.3">
      <c r="A122" s="1207"/>
      <c r="B122" s="1207"/>
      <c r="C122" s="1655"/>
      <c r="D122" s="1654" t="s">
        <v>605</v>
      </c>
      <c r="E122" s="23">
        <v>0</v>
      </c>
      <c r="F122" s="23">
        <v>0</v>
      </c>
      <c r="G122" s="23">
        <v>0</v>
      </c>
      <c r="H122" s="2186"/>
      <c r="I122" s="2186"/>
      <c r="J122" s="2186"/>
      <c r="K122" s="23"/>
      <c r="L122" s="23"/>
      <c r="M122" s="23"/>
      <c r="N122" s="2186"/>
      <c r="O122" s="2186"/>
      <c r="P122" s="2186"/>
      <c r="Q122" s="23"/>
      <c r="R122" s="23"/>
      <c r="S122" s="23"/>
      <c r="T122" s="2189">
        <f t="shared" si="85"/>
        <v>0</v>
      </c>
      <c r="U122" s="2190">
        <f t="shared" si="83"/>
        <v>0</v>
      </c>
      <c r="V122" s="2191">
        <f t="shared" si="84"/>
        <v>0</v>
      </c>
      <c r="W122" s="2192">
        <f t="shared" si="86"/>
        <v>0</v>
      </c>
      <c r="X122" s="1075" t="str">
        <f t="shared" si="87"/>
        <v>1.33</v>
      </c>
      <c r="Y122" s="1075" t="str">
        <f t="shared" si="88"/>
        <v>D+</v>
      </c>
      <c r="Z122" s="1075" t="str">
        <f t="shared" si="89"/>
        <v>0</v>
      </c>
      <c r="AA122" s="2173"/>
      <c r="AB122" s="2174"/>
      <c r="AC122" s="2174"/>
      <c r="AD122" s="2174"/>
      <c r="AE122" s="2174"/>
      <c r="AF122" s="2174"/>
      <c r="AG122" s="2174"/>
      <c r="AH122" s="2174"/>
      <c r="AI122" s="2174"/>
      <c r="AJ122" s="2175"/>
      <c r="AK122" s="2175"/>
      <c r="AL122" s="2175"/>
      <c r="AM122" s="2175"/>
      <c r="AN122" s="2175"/>
      <c r="AO122" s="2175"/>
      <c r="AP122" s="2175"/>
      <c r="AQ122" s="2175"/>
      <c r="AR122" s="2176"/>
      <c r="AS122" s="1948"/>
      <c r="AT122" s="1949"/>
    </row>
    <row r="123" spans="1:46" ht="24.95" customHeight="1" x14ac:dyDescent="0.3">
      <c r="A123" s="1207"/>
      <c r="B123" s="1207"/>
      <c r="C123" s="1655"/>
      <c r="D123" s="1654" t="s">
        <v>155</v>
      </c>
      <c r="E123" s="23"/>
      <c r="F123" s="23"/>
      <c r="G123" s="23"/>
      <c r="H123" s="2186">
        <v>0</v>
      </c>
      <c r="I123" s="2186">
        <v>0</v>
      </c>
      <c r="J123" s="2186">
        <v>0</v>
      </c>
      <c r="K123" s="23"/>
      <c r="L123" s="23"/>
      <c r="M123" s="23"/>
      <c r="N123" s="2186"/>
      <c r="O123" s="2186"/>
      <c r="P123" s="2186"/>
      <c r="Q123" s="23"/>
      <c r="R123" s="23"/>
      <c r="S123" s="23"/>
      <c r="T123" s="2189">
        <f t="shared" si="85"/>
        <v>0</v>
      </c>
      <c r="U123" s="2190">
        <f t="shared" si="83"/>
        <v>0</v>
      </c>
      <c r="V123" s="2191">
        <f t="shared" si="84"/>
        <v>0</v>
      </c>
      <c r="W123" s="2192">
        <f t="shared" si="86"/>
        <v>0</v>
      </c>
      <c r="X123" s="1075" t="str">
        <f t="shared" si="87"/>
        <v>1.33</v>
      </c>
      <c r="Y123" s="1075" t="str">
        <f t="shared" si="88"/>
        <v>D+</v>
      </c>
      <c r="Z123" s="1075" t="str">
        <f t="shared" si="89"/>
        <v>0</v>
      </c>
      <c r="AA123" s="2173"/>
      <c r="AB123" s="2174"/>
      <c r="AC123" s="2174"/>
      <c r="AD123" s="2174"/>
      <c r="AE123" s="2174"/>
      <c r="AF123" s="2174"/>
      <c r="AG123" s="2174"/>
      <c r="AH123" s="2174"/>
      <c r="AI123" s="2174"/>
      <c r="AJ123" s="2175"/>
      <c r="AK123" s="2175"/>
      <c r="AL123" s="2175"/>
      <c r="AM123" s="2175"/>
      <c r="AN123" s="2175"/>
      <c r="AO123" s="2175"/>
      <c r="AP123" s="2175"/>
      <c r="AQ123" s="2175"/>
      <c r="AR123" s="2176"/>
      <c r="AS123" s="1948"/>
      <c r="AT123" s="1949"/>
    </row>
    <row r="124" spans="1:46" ht="24.95" customHeight="1" x14ac:dyDescent="0.3">
      <c r="A124" s="1207"/>
      <c r="B124" s="1207"/>
      <c r="C124" s="1655"/>
      <c r="D124" s="1654" t="s">
        <v>187</v>
      </c>
      <c r="E124" s="23"/>
      <c r="F124" s="23"/>
      <c r="G124" s="23"/>
      <c r="H124" s="2186"/>
      <c r="I124" s="2186"/>
      <c r="J124" s="2186"/>
      <c r="K124" s="23">
        <v>0</v>
      </c>
      <c r="L124" s="23">
        <v>0</v>
      </c>
      <c r="M124" s="23">
        <v>0</v>
      </c>
      <c r="N124" s="2186"/>
      <c r="O124" s="2186"/>
      <c r="P124" s="2186"/>
      <c r="Q124" s="23"/>
      <c r="R124" s="23"/>
      <c r="S124" s="23"/>
      <c r="T124" s="2189">
        <f t="shared" si="85"/>
        <v>0</v>
      </c>
      <c r="U124" s="2190">
        <f t="shared" si="83"/>
        <v>0</v>
      </c>
      <c r="V124" s="2191">
        <f t="shared" si="84"/>
        <v>0</v>
      </c>
      <c r="W124" s="2192">
        <f t="shared" si="86"/>
        <v>0</v>
      </c>
      <c r="X124" s="1075" t="str">
        <f t="shared" si="87"/>
        <v>1.33</v>
      </c>
      <c r="Y124" s="1075" t="str">
        <f t="shared" si="88"/>
        <v>D+</v>
      </c>
      <c r="Z124" s="1075" t="str">
        <f t="shared" si="89"/>
        <v>0</v>
      </c>
      <c r="AA124" s="2173"/>
      <c r="AB124" s="2174"/>
      <c r="AC124" s="2174"/>
      <c r="AD124" s="2174"/>
      <c r="AE124" s="2174"/>
      <c r="AF124" s="2174"/>
      <c r="AG124" s="2174"/>
      <c r="AH124" s="2174"/>
      <c r="AI124" s="2174"/>
      <c r="AJ124" s="2175"/>
      <c r="AK124" s="2175"/>
      <c r="AL124" s="2175"/>
      <c r="AM124" s="2175"/>
      <c r="AN124" s="2175"/>
      <c r="AO124" s="2175"/>
      <c r="AP124" s="2175"/>
      <c r="AQ124" s="2175"/>
      <c r="AR124" s="2176"/>
      <c r="AS124" s="1948"/>
      <c r="AT124" s="1949"/>
    </row>
    <row r="125" spans="1:46" ht="24.95" customHeight="1" x14ac:dyDescent="0.3">
      <c r="A125" s="1207"/>
      <c r="B125" s="1207"/>
      <c r="C125" s="1655"/>
      <c r="D125" s="1654" t="s">
        <v>17</v>
      </c>
      <c r="E125" s="23"/>
      <c r="F125" s="23"/>
      <c r="G125" s="23"/>
      <c r="H125" s="2186"/>
      <c r="I125" s="2186"/>
      <c r="J125" s="2186"/>
      <c r="K125" s="23">
        <v>0</v>
      </c>
      <c r="L125" s="23">
        <v>0</v>
      </c>
      <c r="M125" s="23">
        <v>0</v>
      </c>
      <c r="N125" s="2186"/>
      <c r="O125" s="2186"/>
      <c r="P125" s="2186"/>
      <c r="Q125" s="23"/>
      <c r="R125" s="23"/>
      <c r="S125" s="23"/>
      <c r="T125" s="2189">
        <f t="shared" si="85"/>
        <v>0</v>
      </c>
      <c r="U125" s="2190">
        <f t="shared" si="83"/>
        <v>0</v>
      </c>
      <c r="V125" s="2191">
        <f t="shared" si="84"/>
        <v>0</v>
      </c>
      <c r="W125" s="2192">
        <f t="shared" si="86"/>
        <v>0</v>
      </c>
      <c r="X125" s="1075" t="str">
        <f t="shared" si="87"/>
        <v>1.33</v>
      </c>
      <c r="Y125" s="1075" t="str">
        <f t="shared" si="88"/>
        <v>D+</v>
      </c>
      <c r="Z125" s="1075" t="str">
        <f t="shared" si="89"/>
        <v>0</v>
      </c>
      <c r="AA125" s="2173"/>
      <c r="AB125" s="2174"/>
      <c r="AC125" s="2174"/>
      <c r="AD125" s="2174"/>
      <c r="AE125" s="2174"/>
      <c r="AF125" s="2174"/>
      <c r="AG125" s="2174"/>
      <c r="AH125" s="2174"/>
      <c r="AI125" s="2174"/>
      <c r="AJ125" s="2175"/>
      <c r="AK125" s="2175"/>
      <c r="AL125" s="2175"/>
      <c r="AM125" s="2175"/>
      <c r="AN125" s="2175"/>
      <c r="AO125" s="2175"/>
      <c r="AP125" s="2175"/>
      <c r="AQ125" s="2175"/>
      <c r="AR125" s="2176"/>
      <c r="AS125" s="1948"/>
      <c r="AT125" s="1949"/>
    </row>
    <row r="126" spans="1:46" ht="24.95" customHeight="1" x14ac:dyDescent="0.3">
      <c r="A126" s="1207"/>
      <c r="B126" s="1207"/>
      <c r="C126" s="1655"/>
      <c r="D126" s="1654" t="s">
        <v>606</v>
      </c>
      <c r="E126" s="23"/>
      <c r="F126" s="23"/>
      <c r="G126" s="23"/>
      <c r="H126" s="2186"/>
      <c r="I126" s="2186"/>
      <c r="J126" s="2186"/>
      <c r="K126" s="23"/>
      <c r="L126" s="23"/>
      <c r="M126" s="23"/>
      <c r="N126" s="2186">
        <v>0</v>
      </c>
      <c r="O126" s="2186">
        <v>0</v>
      </c>
      <c r="P126" s="2186">
        <v>0</v>
      </c>
      <c r="Q126" s="23"/>
      <c r="R126" s="23"/>
      <c r="S126" s="23"/>
      <c r="T126" s="2189">
        <f t="shared" si="85"/>
        <v>0</v>
      </c>
      <c r="U126" s="2190">
        <f t="shared" si="83"/>
        <v>0</v>
      </c>
      <c r="V126" s="2191">
        <f t="shared" si="84"/>
        <v>0</v>
      </c>
      <c r="W126" s="2192">
        <f t="shared" si="86"/>
        <v>0</v>
      </c>
      <c r="X126" s="1075" t="str">
        <f t="shared" si="87"/>
        <v>1.33</v>
      </c>
      <c r="Y126" s="1075" t="str">
        <f t="shared" si="88"/>
        <v>D+</v>
      </c>
      <c r="Z126" s="1075" t="str">
        <f t="shared" si="89"/>
        <v>0</v>
      </c>
      <c r="AA126" s="2173"/>
      <c r="AB126" s="2174"/>
      <c r="AC126" s="2174"/>
      <c r="AD126" s="2174"/>
      <c r="AE126" s="2174"/>
      <c r="AF126" s="2174"/>
      <c r="AG126" s="2174"/>
      <c r="AH126" s="2174"/>
      <c r="AI126" s="2174"/>
      <c r="AJ126" s="2175"/>
      <c r="AK126" s="2175"/>
      <c r="AL126" s="2175"/>
      <c r="AM126" s="2175"/>
      <c r="AN126" s="2175"/>
      <c r="AO126" s="2175"/>
      <c r="AP126" s="2175"/>
      <c r="AQ126" s="2175"/>
      <c r="AR126" s="2176"/>
      <c r="AS126" s="1948"/>
      <c r="AT126" s="1949"/>
    </row>
    <row r="127" spans="1:46" ht="24.95" customHeight="1" x14ac:dyDescent="0.3">
      <c r="A127" s="1207"/>
      <c r="B127" s="1207"/>
      <c r="C127" s="1655"/>
      <c r="D127" s="1654" t="s">
        <v>607</v>
      </c>
      <c r="E127" s="23"/>
      <c r="F127" s="23"/>
      <c r="G127" s="23"/>
      <c r="H127" s="2186"/>
      <c r="I127" s="2186"/>
      <c r="J127" s="2186"/>
      <c r="K127" s="23"/>
      <c r="L127" s="23"/>
      <c r="M127" s="23"/>
      <c r="N127" s="2186">
        <v>0</v>
      </c>
      <c r="O127" s="2186">
        <v>0</v>
      </c>
      <c r="P127" s="2186">
        <v>0</v>
      </c>
      <c r="Q127" s="23"/>
      <c r="R127" s="23"/>
      <c r="S127" s="23"/>
      <c r="T127" s="2189">
        <f t="shared" si="85"/>
        <v>0</v>
      </c>
      <c r="U127" s="2190">
        <f t="shared" si="83"/>
        <v>0</v>
      </c>
      <c r="V127" s="2191">
        <f t="shared" si="84"/>
        <v>0</v>
      </c>
      <c r="W127" s="2192">
        <f t="shared" si="86"/>
        <v>0</v>
      </c>
      <c r="X127" s="1075" t="str">
        <f t="shared" si="87"/>
        <v>1.33</v>
      </c>
      <c r="Y127" s="1075" t="str">
        <f t="shared" si="88"/>
        <v>D+</v>
      </c>
      <c r="Z127" s="1075" t="str">
        <f t="shared" si="89"/>
        <v>0</v>
      </c>
      <c r="AA127" s="2173"/>
      <c r="AB127" s="2174"/>
      <c r="AC127" s="2174"/>
      <c r="AD127" s="2174"/>
      <c r="AE127" s="2174"/>
      <c r="AF127" s="2174"/>
      <c r="AG127" s="2174"/>
      <c r="AH127" s="2174"/>
      <c r="AI127" s="2174"/>
      <c r="AJ127" s="2175"/>
      <c r="AK127" s="2175"/>
      <c r="AL127" s="2175"/>
      <c r="AM127" s="2175"/>
      <c r="AN127" s="2175"/>
      <c r="AO127" s="2175"/>
      <c r="AP127" s="2175"/>
      <c r="AQ127" s="2175"/>
      <c r="AR127" s="2176"/>
      <c r="AS127" s="1948"/>
      <c r="AT127" s="1949"/>
    </row>
    <row r="128" spans="1:46" ht="24.95" customHeight="1" x14ac:dyDescent="0.3">
      <c r="A128" s="1656"/>
      <c r="B128" s="1207"/>
      <c r="C128" s="1655"/>
      <c r="D128" s="1654" t="s">
        <v>22</v>
      </c>
      <c r="E128" s="2187"/>
      <c r="F128" s="2187"/>
      <c r="G128" s="2187"/>
      <c r="H128" s="2188"/>
      <c r="I128" s="2186"/>
      <c r="J128" s="2186"/>
      <c r="K128" s="23"/>
      <c r="L128" s="23"/>
      <c r="M128" s="23"/>
      <c r="N128" s="2186"/>
      <c r="O128" s="2186"/>
      <c r="P128" s="2186"/>
      <c r="Q128" s="23">
        <v>0</v>
      </c>
      <c r="R128" s="23">
        <v>0</v>
      </c>
      <c r="S128" s="23">
        <v>0</v>
      </c>
      <c r="T128" s="2189">
        <f t="shared" si="85"/>
        <v>0</v>
      </c>
      <c r="U128" s="2190">
        <f t="shared" si="83"/>
        <v>0</v>
      </c>
      <c r="V128" s="2191">
        <f t="shared" si="84"/>
        <v>0</v>
      </c>
      <c r="W128" s="2192">
        <f t="shared" si="86"/>
        <v>0</v>
      </c>
      <c r="X128" s="1075" t="str">
        <f t="shared" si="87"/>
        <v>1.33</v>
      </c>
      <c r="Y128" s="1075" t="str">
        <f t="shared" si="88"/>
        <v>D+</v>
      </c>
      <c r="Z128" s="1075" t="str">
        <f t="shared" si="89"/>
        <v>0</v>
      </c>
      <c r="AA128" s="2173"/>
      <c r="AB128" s="2174"/>
      <c r="AC128" s="2174"/>
      <c r="AD128" s="2174"/>
      <c r="AE128" s="2174"/>
      <c r="AF128" s="2174"/>
      <c r="AG128" s="2174"/>
      <c r="AH128" s="2174"/>
      <c r="AI128" s="2174"/>
      <c r="AJ128" s="2175"/>
      <c r="AK128" s="2175"/>
      <c r="AL128" s="2175"/>
      <c r="AM128" s="2175"/>
      <c r="AN128" s="2175"/>
      <c r="AO128" s="2175"/>
      <c r="AP128" s="2175"/>
      <c r="AQ128" s="2175"/>
      <c r="AR128" s="2176"/>
      <c r="AS128" s="1950"/>
      <c r="AT128" s="1951"/>
    </row>
    <row r="129" spans="1:46" ht="24.95" customHeight="1" x14ac:dyDescent="0.3">
      <c r="A129" s="1236"/>
      <c r="B129" s="1237">
        <v>12</v>
      </c>
      <c r="C129" s="1658"/>
      <c r="D129" s="1236"/>
      <c r="E129" s="2650"/>
      <c r="F129" s="2651"/>
      <c r="G129" s="2651"/>
      <c r="H129" s="2651"/>
      <c r="I129" s="2652"/>
      <c r="J129" s="2109"/>
      <c r="K129" s="2109"/>
      <c r="L129" s="2109"/>
      <c r="M129" s="2109"/>
      <c r="N129" s="2109"/>
      <c r="O129" s="2109"/>
      <c r="P129" s="2109"/>
      <c r="Q129" s="2109"/>
      <c r="R129" s="2109"/>
      <c r="S129" s="2109"/>
      <c r="T129" s="2193"/>
      <c r="U129" s="2193"/>
      <c r="V129" s="2193"/>
      <c r="W129" s="2194">
        <f>IFERROR(AVERAGE(W120:W128),"  ")</f>
        <v>0</v>
      </c>
      <c r="X129" s="1454" t="str">
        <f>IF(W129&gt;85,("4"),IF(W129&gt;80,("3.66"),IF(W129&gt;75,("3.33"),IF(W129&gt;70,("3.00"),IF(W129&gt;65,("2.66"),IF(W129&gt;60,("2.33"),IF(W129&gt;55,("2"),IF(W129&gt;50,("1.66"),"1.33"))))))))</f>
        <v>1.33</v>
      </c>
      <c r="Y129" s="1454" t="str">
        <f>IF(W129&gt;85,("A"),IF(W129&gt;80,("A-"),IF(W129&gt;75,("B+"),IF(W129&gt;70,("B"),IF(W129&gt;65,("B-"),IF(W129&gt;60,("C+"),IF(W129&gt;55,("C"),IF(W129&gt;50,("C-"),"D+"))))))))</f>
        <v>D+</v>
      </c>
      <c r="Z129" s="1666"/>
      <c r="AA129" s="2182"/>
      <c r="AB129" s="2183"/>
      <c r="AC129" s="2183"/>
      <c r="AD129" s="2183"/>
      <c r="AE129" s="2183"/>
      <c r="AF129" s="2183"/>
      <c r="AG129" s="2183"/>
      <c r="AH129" s="2183"/>
      <c r="AI129" s="2183"/>
      <c r="AJ129" s="2183"/>
      <c r="AK129" s="2183"/>
      <c r="AL129" s="2183"/>
      <c r="AM129" s="2183"/>
      <c r="AN129" s="2183"/>
      <c r="AO129" s="2183"/>
      <c r="AP129" s="2183"/>
      <c r="AQ129" s="2183"/>
      <c r="AR129" s="2184"/>
      <c r="AS129" s="1952"/>
      <c r="AT129" s="1953"/>
    </row>
    <row r="130" spans="1:46" ht="24.95" customHeight="1" x14ac:dyDescent="0.3">
      <c r="A130" s="1224">
        <v>13</v>
      </c>
      <c r="B130" s="1224"/>
      <c r="C130" s="1653" t="str">
        <f>VLOOKUP(A130,data_siswa,4,FALSE)</f>
        <v>Misyanita Nurfitri S</v>
      </c>
      <c r="D130" s="1654" t="s">
        <v>603</v>
      </c>
      <c r="E130" s="1211">
        <v>0</v>
      </c>
      <c r="F130" s="1211">
        <v>0</v>
      </c>
      <c r="G130" s="1211">
        <v>0</v>
      </c>
      <c r="H130" s="2185"/>
      <c r="I130" s="2185"/>
      <c r="J130" s="2185"/>
      <c r="K130" s="1211"/>
      <c r="L130" s="1211"/>
      <c r="M130" s="1211"/>
      <c r="N130" s="2185"/>
      <c r="O130" s="2185"/>
      <c r="P130" s="2185"/>
      <c r="Q130" s="1211"/>
      <c r="R130" s="1211"/>
      <c r="S130" s="1211"/>
      <c r="T130" s="2189">
        <f>MAX(H130,K130,N130,Q130)</f>
        <v>0</v>
      </c>
      <c r="U130" s="2190">
        <f t="shared" ref="U130:U138" si="90">MAX(I130,L130,O130,R130)</f>
        <v>0</v>
      </c>
      <c r="V130" s="2191">
        <f t="shared" ref="V130:V138" si="91">MAX(J130,M130,P130,S130)</f>
        <v>0</v>
      </c>
      <c r="W130" s="2192">
        <f>IFERROR(AVERAGE(T130:V130),"")</f>
        <v>0</v>
      </c>
      <c r="X130" s="1075" t="str">
        <f>IF(W130&gt;85,("4"),IF(W130&gt;80,("3.66"),IF(W130&gt;75,("3.33"),IF(W130&gt;70,("3.00"),IF(W130&gt;65,("2.66"),IF(W130&gt;60,("2.33"),IF(W130&gt;55,("2"),IF(W130&gt;50,("1.66"),"1.33"))))))))</f>
        <v>1.33</v>
      </c>
      <c r="Y130" s="1075" t="str">
        <f>IF(W130&gt;85,("A"),IF(W130&gt;80,("A-"),IF(W130&gt;75,("B+"),IF(W130&gt;70,("B"),IF(W130&gt;65,("B-"),IF(W130&gt;60,("C+"),IF(W130&gt;55,("C"),IF(W130&gt;50,("C-"),"D+"))))))))</f>
        <v>D+</v>
      </c>
      <c r="Z130" s="1075" t="str">
        <f>IF(W130&gt;80,("SB"),IF(W130&gt;65,("B"),IF(W130&gt;50,("C"),IF(W130&gt;0,("K"),"0"))))</f>
        <v>0</v>
      </c>
      <c r="AA130" s="2180"/>
      <c r="AB130" s="2180"/>
      <c r="AC130" s="2180"/>
      <c r="AD130" s="2180"/>
      <c r="AE130" s="2180"/>
      <c r="AF130" s="2180"/>
      <c r="AG130" s="2180"/>
      <c r="AH130" s="2180"/>
      <c r="AI130" s="2180"/>
      <c r="AJ130" s="2181"/>
      <c r="AK130" s="2181"/>
      <c r="AL130" s="2181"/>
      <c r="AM130" s="2181"/>
      <c r="AN130" s="2181"/>
      <c r="AO130" s="2181"/>
      <c r="AP130" s="2181"/>
      <c r="AQ130" s="2181"/>
      <c r="AR130" s="2181"/>
      <c r="AS130" s="1910">
        <f>W139</f>
        <v>0</v>
      </c>
      <c r="AT130" s="1910" t="str">
        <f>Y139</f>
        <v>D+</v>
      </c>
    </row>
    <row r="131" spans="1:46" ht="24.95" customHeight="1" x14ac:dyDescent="0.3">
      <c r="A131" s="1207"/>
      <c r="B131" s="1207"/>
      <c r="C131" s="1655"/>
      <c r="D131" s="1654" t="s">
        <v>604</v>
      </c>
      <c r="E131" s="23">
        <v>0</v>
      </c>
      <c r="F131" s="23">
        <v>0</v>
      </c>
      <c r="G131" s="23">
        <v>0</v>
      </c>
      <c r="H131" s="2186"/>
      <c r="I131" s="2186"/>
      <c r="J131" s="2186"/>
      <c r="K131" s="23"/>
      <c r="L131" s="23"/>
      <c r="M131" s="23"/>
      <c r="N131" s="2186"/>
      <c r="O131" s="2186"/>
      <c r="P131" s="2186"/>
      <c r="Q131" s="23"/>
      <c r="R131" s="23"/>
      <c r="S131" s="23"/>
      <c r="T131" s="2189">
        <f t="shared" ref="T131:T138" si="92">MAX(H131,K131,N131,Q131)</f>
        <v>0</v>
      </c>
      <c r="U131" s="2190">
        <f t="shared" si="90"/>
        <v>0</v>
      </c>
      <c r="V131" s="2191">
        <f t="shared" si="91"/>
        <v>0</v>
      </c>
      <c r="W131" s="2192">
        <f t="shared" ref="W131:W138" si="93">IFERROR(AVERAGE(T131:V131),"")</f>
        <v>0</v>
      </c>
      <c r="X131" s="1075" t="str">
        <f t="shared" ref="X131:X138" si="94">IF(W131&gt;85,("4"),IF(W131&gt;80,("3.66"),IF(W131&gt;75,("3.33"),IF(W131&gt;70,("3.00"),IF(W131&gt;65,("2.66"),IF(W131&gt;60,("2.33"),IF(W131&gt;55,("2"),IF(W131&gt;50,("1.66"),"1.33"))))))))</f>
        <v>1.33</v>
      </c>
      <c r="Y131" s="1075" t="str">
        <f t="shared" ref="Y131:Y138" si="95">IF(W131&gt;85,("A"),IF(W131&gt;80,("A-"),IF(W131&gt;75,("B+"),IF(W131&gt;70,("B"),IF(W131&gt;65,("B-"),IF(W131&gt;60,("C+"),IF(W131&gt;55,("C"),IF(W131&gt;50,("C-"),"D+"))))))))</f>
        <v>D+</v>
      </c>
      <c r="Z131" s="1075" t="str">
        <f t="shared" ref="Z131:Z138" si="96">IF(W131&gt;80,("SB"),IF(W131&gt;65,("B"),IF(W131&gt;50,("C"),IF(W131&gt;0,("K"),"0"))))</f>
        <v>0</v>
      </c>
      <c r="AA131" s="2169"/>
      <c r="AB131" s="2170"/>
      <c r="AC131" s="2170"/>
      <c r="AD131" s="2170"/>
      <c r="AE131" s="2170"/>
      <c r="AF131" s="2170"/>
      <c r="AG131" s="2170"/>
      <c r="AH131" s="2170"/>
      <c r="AI131" s="2170"/>
      <c r="AJ131" s="2171"/>
      <c r="AK131" s="2171"/>
      <c r="AL131" s="2171"/>
      <c r="AM131" s="2171"/>
      <c r="AN131" s="2171"/>
      <c r="AO131" s="2171"/>
      <c r="AP131" s="2171"/>
      <c r="AQ131" s="2171"/>
      <c r="AR131" s="2172"/>
      <c r="AS131" s="1946"/>
      <c r="AT131" s="1947"/>
    </row>
    <row r="132" spans="1:46" ht="24.95" customHeight="1" x14ac:dyDescent="0.3">
      <c r="A132" s="1207"/>
      <c r="B132" s="1207"/>
      <c r="C132" s="1655"/>
      <c r="D132" s="1654" t="s">
        <v>605</v>
      </c>
      <c r="E132" s="23">
        <v>0</v>
      </c>
      <c r="F132" s="23">
        <v>0</v>
      </c>
      <c r="G132" s="23">
        <v>0</v>
      </c>
      <c r="H132" s="2186"/>
      <c r="I132" s="2186"/>
      <c r="J132" s="2186"/>
      <c r="K132" s="23"/>
      <c r="L132" s="23"/>
      <c r="M132" s="23"/>
      <c r="N132" s="2186"/>
      <c r="O132" s="2186"/>
      <c r="P132" s="2186"/>
      <c r="Q132" s="23"/>
      <c r="R132" s="23"/>
      <c r="S132" s="23"/>
      <c r="T132" s="2189">
        <f t="shared" si="92"/>
        <v>0</v>
      </c>
      <c r="U132" s="2190">
        <f t="shared" si="90"/>
        <v>0</v>
      </c>
      <c r="V132" s="2191">
        <f t="shared" si="91"/>
        <v>0</v>
      </c>
      <c r="W132" s="2192">
        <f t="shared" si="93"/>
        <v>0</v>
      </c>
      <c r="X132" s="1075" t="str">
        <f t="shared" si="94"/>
        <v>1.33</v>
      </c>
      <c r="Y132" s="1075" t="str">
        <f t="shared" si="95"/>
        <v>D+</v>
      </c>
      <c r="Z132" s="1075" t="str">
        <f t="shared" si="96"/>
        <v>0</v>
      </c>
      <c r="AA132" s="2173"/>
      <c r="AB132" s="2174"/>
      <c r="AC132" s="2174"/>
      <c r="AD132" s="2174"/>
      <c r="AE132" s="2174"/>
      <c r="AF132" s="2174"/>
      <c r="AG132" s="2174"/>
      <c r="AH132" s="2174"/>
      <c r="AI132" s="2174"/>
      <c r="AJ132" s="2175"/>
      <c r="AK132" s="2175"/>
      <c r="AL132" s="2175"/>
      <c r="AM132" s="2175"/>
      <c r="AN132" s="2175"/>
      <c r="AO132" s="2175"/>
      <c r="AP132" s="2175"/>
      <c r="AQ132" s="2175"/>
      <c r="AR132" s="2176"/>
      <c r="AS132" s="1948"/>
      <c r="AT132" s="1949"/>
    </row>
    <row r="133" spans="1:46" ht="24.95" customHeight="1" x14ac:dyDescent="0.3">
      <c r="A133" s="1207"/>
      <c r="B133" s="1207"/>
      <c r="C133" s="1655"/>
      <c r="D133" s="1654" t="s">
        <v>155</v>
      </c>
      <c r="E133" s="23"/>
      <c r="F133" s="23"/>
      <c r="G133" s="23"/>
      <c r="H133" s="2186">
        <v>0</v>
      </c>
      <c r="I133" s="2186">
        <v>0</v>
      </c>
      <c r="J133" s="2186">
        <v>0</v>
      </c>
      <c r="K133" s="23"/>
      <c r="L133" s="23"/>
      <c r="M133" s="23"/>
      <c r="N133" s="2186"/>
      <c r="O133" s="2186"/>
      <c r="P133" s="2186"/>
      <c r="Q133" s="23"/>
      <c r="R133" s="23"/>
      <c r="S133" s="23"/>
      <c r="T133" s="2189">
        <f t="shared" si="92"/>
        <v>0</v>
      </c>
      <c r="U133" s="2190">
        <f t="shared" si="90"/>
        <v>0</v>
      </c>
      <c r="V133" s="2191">
        <f t="shared" si="91"/>
        <v>0</v>
      </c>
      <c r="W133" s="2192">
        <f t="shared" si="93"/>
        <v>0</v>
      </c>
      <c r="X133" s="1075" t="str">
        <f t="shared" si="94"/>
        <v>1.33</v>
      </c>
      <c r="Y133" s="1075" t="str">
        <f t="shared" si="95"/>
        <v>D+</v>
      </c>
      <c r="Z133" s="1075" t="str">
        <f t="shared" si="96"/>
        <v>0</v>
      </c>
      <c r="AA133" s="2173"/>
      <c r="AB133" s="2174"/>
      <c r="AC133" s="2174"/>
      <c r="AD133" s="2174"/>
      <c r="AE133" s="2174"/>
      <c r="AF133" s="2174"/>
      <c r="AG133" s="2174"/>
      <c r="AH133" s="2174"/>
      <c r="AI133" s="2174"/>
      <c r="AJ133" s="2175"/>
      <c r="AK133" s="2175"/>
      <c r="AL133" s="2175"/>
      <c r="AM133" s="2175"/>
      <c r="AN133" s="2175"/>
      <c r="AO133" s="2175"/>
      <c r="AP133" s="2175"/>
      <c r="AQ133" s="2175"/>
      <c r="AR133" s="2176"/>
      <c r="AS133" s="1948"/>
      <c r="AT133" s="1949"/>
    </row>
    <row r="134" spans="1:46" ht="24.95" customHeight="1" x14ac:dyDescent="0.3">
      <c r="A134" s="1207"/>
      <c r="B134" s="1207"/>
      <c r="C134" s="1655"/>
      <c r="D134" s="1654" t="s">
        <v>187</v>
      </c>
      <c r="E134" s="23"/>
      <c r="F134" s="23"/>
      <c r="G134" s="23"/>
      <c r="H134" s="2186"/>
      <c r="I134" s="2186"/>
      <c r="J134" s="2186"/>
      <c r="K134" s="23">
        <v>0</v>
      </c>
      <c r="L134" s="23">
        <v>0</v>
      </c>
      <c r="M134" s="23">
        <v>0</v>
      </c>
      <c r="N134" s="2186"/>
      <c r="O134" s="2186"/>
      <c r="P134" s="2186"/>
      <c r="Q134" s="23"/>
      <c r="R134" s="23"/>
      <c r="S134" s="23"/>
      <c r="T134" s="2189">
        <f t="shared" si="92"/>
        <v>0</v>
      </c>
      <c r="U134" s="2190">
        <f t="shared" si="90"/>
        <v>0</v>
      </c>
      <c r="V134" s="2191">
        <f t="shared" si="91"/>
        <v>0</v>
      </c>
      <c r="W134" s="2192">
        <f t="shared" si="93"/>
        <v>0</v>
      </c>
      <c r="X134" s="1075" t="str">
        <f t="shared" si="94"/>
        <v>1.33</v>
      </c>
      <c r="Y134" s="1075" t="str">
        <f t="shared" si="95"/>
        <v>D+</v>
      </c>
      <c r="Z134" s="1075" t="str">
        <f t="shared" si="96"/>
        <v>0</v>
      </c>
      <c r="AA134" s="2173"/>
      <c r="AB134" s="2174"/>
      <c r="AC134" s="2174"/>
      <c r="AD134" s="2174"/>
      <c r="AE134" s="2174"/>
      <c r="AF134" s="2174"/>
      <c r="AG134" s="2174"/>
      <c r="AH134" s="2174"/>
      <c r="AI134" s="2174"/>
      <c r="AJ134" s="2175"/>
      <c r="AK134" s="2175"/>
      <c r="AL134" s="2175"/>
      <c r="AM134" s="2175"/>
      <c r="AN134" s="2175"/>
      <c r="AO134" s="2175"/>
      <c r="AP134" s="2175"/>
      <c r="AQ134" s="2175"/>
      <c r="AR134" s="2176"/>
      <c r="AS134" s="1948"/>
      <c r="AT134" s="1949"/>
    </row>
    <row r="135" spans="1:46" ht="24.95" customHeight="1" x14ac:dyDescent="0.3">
      <c r="A135" s="1207"/>
      <c r="B135" s="1207"/>
      <c r="C135" s="1655"/>
      <c r="D135" s="1654" t="s">
        <v>17</v>
      </c>
      <c r="E135" s="23"/>
      <c r="F135" s="23"/>
      <c r="G135" s="23"/>
      <c r="H135" s="2186"/>
      <c r="I135" s="2186"/>
      <c r="J135" s="2186"/>
      <c r="K135" s="23">
        <v>0</v>
      </c>
      <c r="L135" s="23">
        <v>0</v>
      </c>
      <c r="M135" s="23">
        <v>0</v>
      </c>
      <c r="N135" s="2186"/>
      <c r="O135" s="2186"/>
      <c r="P135" s="2186"/>
      <c r="Q135" s="23"/>
      <c r="R135" s="23"/>
      <c r="S135" s="23"/>
      <c r="T135" s="2189">
        <f t="shared" si="92"/>
        <v>0</v>
      </c>
      <c r="U135" s="2190">
        <f t="shared" si="90"/>
        <v>0</v>
      </c>
      <c r="V135" s="2191">
        <f t="shared" si="91"/>
        <v>0</v>
      </c>
      <c r="W135" s="2192">
        <f t="shared" si="93"/>
        <v>0</v>
      </c>
      <c r="X135" s="1075" t="str">
        <f t="shared" si="94"/>
        <v>1.33</v>
      </c>
      <c r="Y135" s="1075" t="str">
        <f t="shared" si="95"/>
        <v>D+</v>
      </c>
      <c r="Z135" s="1075" t="str">
        <f t="shared" si="96"/>
        <v>0</v>
      </c>
      <c r="AA135" s="2173"/>
      <c r="AB135" s="2174"/>
      <c r="AC135" s="2174"/>
      <c r="AD135" s="2174"/>
      <c r="AE135" s="2174"/>
      <c r="AF135" s="2174"/>
      <c r="AG135" s="2174"/>
      <c r="AH135" s="2174"/>
      <c r="AI135" s="2174"/>
      <c r="AJ135" s="2175"/>
      <c r="AK135" s="2175"/>
      <c r="AL135" s="2175"/>
      <c r="AM135" s="2175"/>
      <c r="AN135" s="2175"/>
      <c r="AO135" s="2175"/>
      <c r="AP135" s="2175"/>
      <c r="AQ135" s="2175"/>
      <c r="AR135" s="2176"/>
      <c r="AS135" s="1948"/>
      <c r="AT135" s="1949"/>
    </row>
    <row r="136" spans="1:46" ht="24.95" customHeight="1" x14ac:dyDescent="0.3">
      <c r="A136" s="1207"/>
      <c r="B136" s="1207"/>
      <c r="C136" s="1655"/>
      <c r="D136" s="1654" t="s">
        <v>606</v>
      </c>
      <c r="E136" s="23"/>
      <c r="F136" s="23"/>
      <c r="G136" s="23"/>
      <c r="H136" s="2186"/>
      <c r="I136" s="2186"/>
      <c r="J136" s="2186"/>
      <c r="K136" s="23"/>
      <c r="L136" s="23"/>
      <c r="M136" s="23"/>
      <c r="N136" s="2186">
        <v>0</v>
      </c>
      <c r="O136" s="2186">
        <v>0</v>
      </c>
      <c r="P136" s="2186">
        <v>0</v>
      </c>
      <c r="Q136" s="23"/>
      <c r="R136" s="23"/>
      <c r="S136" s="23"/>
      <c r="T136" s="2189">
        <f t="shared" si="92"/>
        <v>0</v>
      </c>
      <c r="U136" s="2190">
        <f t="shared" si="90"/>
        <v>0</v>
      </c>
      <c r="V136" s="2191">
        <f t="shared" si="91"/>
        <v>0</v>
      </c>
      <c r="W136" s="2192">
        <f t="shared" si="93"/>
        <v>0</v>
      </c>
      <c r="X136" s="1075" t="str">
        <f t="shared" si="94"/>
        <v>1.33</v>
      </c>
      <c r="Y136" s="1075" t="str">
        <f t="shared" si="95"/>
        <v>D+</v>
      </c>
      <c r="Z136" s="1075" t="str">
        <f t="shared" si="96"/>
        <v>0</v>
      </c>
      <c r="AA136" s="2173"/>
      <c r="AB136" s="2174"/>
      <c r="AC136" s="2174"/>
      <c r="AD136" s="2174"/>
      <c r="AE136" s="2174"/>
      <c r="AF136" s="2174"/>
      <c r="AG136" s="2174"/>
      <c r="AH136" s="2174"/>
      <c r="AI136" s="2174"/>
      <c r="AJ136" s="2175"/>
      <c r="AK136" s="2175"/>
      <c r="AL136" s="2175"/>
      <c r="AM136" s="2175"/>
      <c r="AN136" s="2175"/>
      <c r="AO136" s="2175"/>
      <c r="AP136" s="2175"/>
      <c r="AQ136" s="2175"/>
      <c r="AR136" s="2176"/>
      <c r="AS136" s="1948"/>
      <c r="AT136" s="1949"/>
    </row>
    <row r="137" spans="1:46" ht="24.95" customHeight="1" x14ac:dyDescent="0.3">
      <c r="A137" s="1207"/>
      <c r="B137" s="1207"/>
      <c r="C137" s="1655"/>
      <c r="D137" s="1654" t="s">
        <v>607</v>
      </c>
      <c r="E137" s="23"/>
      <c r="F137" s="23"/>
      <c r="G137" s="23"/>
      <c r="H137" s="2186"/>
      <c r="I137" s="2186"/>
      <c r="J137" s="2186"/>
      <c r="K137" s="23"/>
      <c r="L137" s="23"/>
      <c r="M137" s="23"/>
      <c r="N137" s="2186">
        <v>0</v>
      </c>
      <c r="O137" s="2186">
        <v>0</v>
      </c>
      <c r="P137" s="2186">
        <v>0</v>
      </c>
      <c r="Q137" s="23"/>
      <c r="R137" s="23"/>
      <c r="S137" s="23"/>
      <c r="T137" s="2189">
        <f t="shared" si="92"/>
        <v>0</v>
      </c>
      <c r="U137" s="2190">
        <f t="shared" si="90"/>
        <v>0</v>
      </c>
      <c r="V137" s="2191">
        <f t="shared" si="91"/>
        <v>0</v>
      </c>
      <c r="W137" s="2192">
        <f t="shared" si="93"/>
        <v>0</v>
      </c>
      <c r="X137" s="1075" t="str">
        <f t="shared" si="94"/>
        <v>1.33</v>
      </c>
      <c r="Y137" s="1075" t="str">
        <f t="shared" si="95"/>
        <v>D+</v>
      </c>
      <c r="Z137" s="1075" t="str">
        <f t="shared" si="96"/>
        <v>0</v>
      </c>
      <c r="AA137" s="2173"/>
      <c r="AB137" s="2174"/>
      <c r="AC137" s="2174"/>
      <c r="AD137" s="2174"/>
      <c r="AE137" s="2174"/>
      <c r="AF137" s="2174"/>
      <c r="AG137" s="2174"/>
      <c r="AH137" s="2174"/>
      <c r="AI137" s="2174"/>
      <c r="AJ137" s="2175"/>
      <c r="AK137" s="2175"/>
      <c r="AL137" s="2175"/>
      <c r="AM137" s="2175"/>
      <c r="AN137" s="2175"/>
      <c r="AO137" s="2175"/>
      <c r="AP137" s="2175"/>
      <c r="AQ137" s="2175"/>
      <c r="AR137" s="2176"/>
      <c r="AS137" s="1948"/>
      <c r="AT137" s="1949"/>
    </row>
    <row r="138" spans="1:46" ht="24.95" customHeight="1" x14ac:dyDescent="0.3">
      <c r="A138" s="1656"/>
      <c r="B138" s="1207"/>
      <c r="C138" s="1655"/>
      <c r="D138" s="1654" t="s">
        <v>22</v>
      </c>
      <c r="E138" s="2187"/>
      <c r="F138" s="2187"/>
      <c r="G138" s="2187"/>
      <c r="H138" s="2188"/>
      <c r="I138" s="2186"/>
      <c r="J138" s="2186"/>
      <c r="K138" s="23"/>
      <c r="L138" s="23"/>
      <c r="M138" s="23"/>
      <c r="N138" s="2186"/>
      <c r="O138" s="2186"/>
      <c r="P138" s="2186"/>
      <c r="Q138" s="23">
        <v>0</v>
      </c>
      <c r="R138" s="23">
        <v>0</v>
      </c>
      <c r="S138" s="23">
        <v>0</v>
      </c>
      <c r="T138" s="2189">
        <f t="shared" si="92"/>
        <v>0</v>
      </c>
      <c r="U138" s="2190">
        <f t="shared" si="90"/>
        <v>0</v>
      </c>
      <c r="V138" s="2191">
        <f t="shared" si="91"/>
        <v>0</v>
      </c>
      <c r="W138" s="2192">
        <f t="shared" si="93"/>
        <v>0</v>
      </c>
      <c r="X138" s="1075" t="str">
        <f t="shared" si="94"/>
        <v>1.33</v>
      </c>
      <c r="Y138" s="1075" t="str">
        <f t="shared" si="95"/>
        <v>D+</v>
      </c>
      <c r="Z138" s="1075" t="str">
        <f t="shared" si="96"/>
        <v>0</v>
      </c>
      <c r="AA138" s="2173"/>
      <c r="AB138" s="2174"/>
      <c r="AC138" s="2174"/>
      <c r="AD138" s="2174"/>
      <c r="AE138" s="2174"/>
      <c r="AF138" s="2174"/>
      <c r="AG138" s="2174"/>
      <c r="AH138" s="2174"/>
      <c r="AI138" s="2174"/>
      <c r="AJ138" s="2175"/>
      <c r="AK138" s="2175"/>
      <c r="AL138" s="2175"/>
      <c r="AM138" s="2175"/>
      <c r="AN138" s="2175"/>
      <c r="AO138" s="2175"/>
      <c r="AP138" s="2175"/>
      <c r="AQ138" s="2175"/>
      <c r="AR138" s="2176"/>
      <c r="AS138" s="1950"/>
      <c r="AT138" s="1951"/>
    </row>
    <row r="139" spans="1:46" ht="24.95" customHeight="1" x14ac:dyDescent="0.3">
      <c r="A139" s="1236"/>
      <c r="B139" s="1237">
        <v>13</v>
      </c>
      <c r="C139" s="1658"/>
      <c r="D139" s="1236"/>
      <c r="E139" s="2650"/>
      <c r="F139" s="2651"/>
      <c r="G139" s="2651"/>
      <c r="H139" s="2651"/>
      <c r="I139" s="2652"/>
      <c r="J139" s="2109"/>
      <c r="K139" s="2109"/>
      <c r="L139" s="2109"/>
      <c r="M139" s="2109"/>
      <c r="N139" s="2109"/>
      <c r="O139" s="2109"/>
      <c r="P139" s="2109"/>
      <c r="Q139" s="2109"/>
      <c r="R139" s="2109"/>
      <c r="S139" s="2109"/>
      <c r="T139" s="2193"/>
      <c r="U139" s="2193"/>
      <c r="V139" s="2193"/>
      <c r="W139" s="2194">
        <f>IFERROR(AVERAGE(W130:W138),"  ")</f>
        <v>0</v>
      </c>
      <c r="X139" s="1454" t="str">
        <f>IF(W139&gt;85,("4"),IF(W139&gt;80,("3.66"),IF(W139&gt;75,("3.33"),IF(W139&gt;70,("3.00"),IF(W139&gt;65,("2.66"),IF(W139&gt;60,("2.33"),IF(W139&gt;55,("2"),IF(W139&gt;50,("1.66"),"1.33"))))))))</f>
        <v>1.33</v>
      </c>
      <c r="Y139" s="1454" t="str">
        <f>IF(W139&gt;85,("A"),IF(W139&gt;80,("A-"),IF(W139&gt;75,("B+"),IF(W139&gt;70,("B"),IF(W139&gt;65,("B-"),IF(W139&gt;60,("C+"),IF(W139&gt;55,("C"),IF(W139&gt;50,("C-"),"D+"))))))))</f>
        <v>D+</v>
      </c>
      <c r="Z139" s="1666"/>
      <c r="AA139" s="2182"/>
      <c r="AB139" s="2183"/>
      <c r="AC139" s="2183"/>
      <c r="AD139" s="2183"/>
      <c r="AE139" s="2183"/>
      <c r="AF139" s="2183"/>
      <c r="AG139" s="2183"/>
      <c r="AH139" s="2183"/>
      <c r="AI139" s="2183"/>
      <c r="AJ139" s="2183"/>
      <c r="AK139" s="2183"/>
      <c r="AL139" s="2183"/>
      <c r="AM139" s="2183"/>
      <c r="AN139" s="2183"/>
      <c r="AO139" s="2183"/>
      <c r="AP139" s="2183"/>
      <c r="AQ139" s="2183"/>
      <c r="AR139" s="2184"/>
      <c r="AS139" s="1952"/>
      <c r="AT139" s="1953"/>
    </row>
    <row r="140" spans="1:46" ht="24.95" customHeight="1" x14ac:dyDescent="0.3">
      <c r="A140" s="1224">
        <v>14</v>
      </c>
      <c r="B140" s="1224"/>
      <c r="C140" s="1653" t="str">
        <f>VLOOKUP(A140,data_siswa,4,FALSE)</f>
        <v>Moch Zidane Hita L. U</v>
      </c>
      <c r="D140" s="1654" t="s">
        <v>603</v>
      </c>
      <c r="E140" s="1211">
        <v>0</v>
      </c>
      <c r="F140" s="1211">
        <v>0</v>
      </c>
      <c r="G140" s="1211">
        <v>0</v>
      </c>
      <c r="H140" s="2185"/>
      <c r="I140" s="2185"/>
      <c r="J140" s="2185"/>
      <c r="K140" s="1211"/>
      <c r="L140" s="1211"/>
      <c r="M140" s="1211"/>
      <c r="N140" s="2185"/>
      <c r="O140" s="2185"/>
      <c r="P140" s="2185"/>
      <c r="Q140" s="1211"/>
      <c r="R140" s="1211"/>
      <c r="S140" s="1211"/>
      <c r="T140" s="2189">
        <f>MAX(H140,K140,N140,Q140)</f>
        <v>0</v>
      </c>
      <c r="U140" s="2190">
        <f t="shared" ref="U140:U148" si="97">MAX(I140,L140,O140,R140)</f>
        <v>0</v>
      </c>
      <c r="V140" s="2191">
        <f t="shared" ref="V140:V148" si="98">MAX(J140,M140,P140,S140)</f>
        <v>0</v>
      </c>
      <c r="W140" s="2192">
        <f>IFERROR(AVERAGE(T140:V140),"")</f>
        <v>0</v>
      </c>
      <c r="X140" s="1075" t="str">
        <f>IF(W140&gt;85,("4"),IF(W140&gt;80,("3.66"),IF(W140&gt;75,("3.33"),IF(W140&gt;70,("3.00"),IF(W140&gt;65,("2.66"),IF(W140&gt;60,("2.33"),IF(W140&gt;55,("2"),IF(W140&gt;50,("1.66"),"1.33"))))))))</f>
        <v>1.33</v>
      </c>
      <c r="Y140" s="1075" t="str">
        <f>IF(W140&gt;85,("A"),IF(W140&gt;80,("A-"),IF(W140&gt;75,("B+"),IF(W140&gt;70,("B"),IF(W140&gt;65,("B-"),IF(W140&gt;60,("C+"),IF(W140&gt;55,("C"),IF(W140&gt;50,("C-"),"D+"))))))))</f>
        <v>D+</v>
      </c>
      <c r="Z140" s="1075" t="str">
        <f>IF(W140&gt;80,("SB"),IF(W140&gt;65,("B"),IF(W140&gt;50,("C"),IF(W140&gt;0,("K"),"0"))))</f>
        <v>0</v>
      </c>
      <c r="AA140" s="2180"/>
      <c r="AB140" s="2180"/>
      <c r="AC140" s="2180"/>
      <c r="AD140" s="2180"/>
      <c r="AE140" s="2180"/>
      <c r="AF140" s="2180"/>
      <c r="AG140" s="2180"/>
      <c r="AH140" s="2180"/>
      <c r="AI140" s="2180"/>
      <c r="AJ140" s="2181"/>
      <c r="AK140" s="2181"/>
      <c r="AL140" s="2181"/>
      <c r="AM140" s="2181"/>
      <c r="AN140" s="2181"/>
      <c r="AO140" s="2181"/>
      <c r="AP140" s="2181"/>
      <c r="AQ140" s="2181"/>
      <c r="AR140" s="2181"/>
      <c r="AS140" s="1910">
        <f>W149</f>
        <v>0</v>
      </c>
      <c r="AT140" s="1910" t="str">
        <f>Y149</f>
        <v>D+</v>
      </c>
    </row>
    <row r="141" spans="1:46" ht="24.95" customHeight="1" x14ac:dyDescent="0.3">
      <c r="A141" s="1207"/>
      <c r="B141" s="1207"/>
      <c r="C141" s="1655"/>
      <c r="D141" s="1654" t="s">
        <v>604</v>
      </c>
      <c r="E141" s="23">
        <v>0</v>
      </c>
      <c r="F141" s="23">
        <v>0</v>
      </c>
      <c r="G141" s="23">
        <v>0</v>
      </c>
      <c r="H141" s="2186"/>
      <c r="I141" s="2186"/>
      <c r="J141" s="2186"/>
      <c r="K141" s="23"/>
      <c r="L141" s="23"/>
      <c r="M141" s="23"/>
      <c r="N141" s="2186"/>
      <c r="O141" s="2186"/>
      <c r="P141" s="2186"/>
      <c r="Q141" s="23"/>
      <c r="R141" s="23"/>
      <c r="S141" s="23"/>
      <c r="T141" s="2189">
        <f t="shared" ref="T141:T148" si="99">MAX(H141,K141,N141,Q141)</f>
        <v>0</v>
      </c>
      <c r="U141" s="2190">
        <f t="shared" si="97"/>
        <v>0</v>
      </c>
      <c r="V141" s="2191">
        <f t="shared" si="98"/>
        <v>0</v>
      </c>
      <c r="W141" s="2192">
        <f t="shared" ref="W141:W148" si="100">IFERROR(AVERAGE(T141:V141),"")</f>
        <v>0</v>
      </c>
      <c r="X141" s="1075" t="str">
        <f t="shared" ref="X141:X148" si="101">IF(W141&gt;85,("4"),IF(W141&gt;80,("3.66"),IF(W141&gt;75,("3.33"),IF(W141&gt;70,("3.00"),IF(W141&gt;65,("2.66"),IF(W141&gt;60,("2.33"),IF(W141&gt;55,("2"),IF(W141&gt;50,("1.66"),"1.33"))))))))</f>
        <v>1.33</v>
      </c>
      <c r="Y141" s="1075" t="str">
        <f t="shared" ref="Y141:Y148" si="102">IF(W141&gt;85,("A"),IF(W141&gt;80,("A-"),IF(W141&gt;75,("B+"),IF(W141&gt;70,("B"),IF(W141&gt;65,("B-"),IF(W141&gt;60,("C+"),IF(W141&gt;55,("C"),IF(W141&gt;50,("C-"),"D+"))))))))</f>
        <v>D+</v>
      </c>
      <c r="Z141" s="1075" t="str">
        <f t="shared" ref="Z141:Z148" si="103">IF(W141&gt;80,("SB"),IF(W141&gt;65,("B"),IF(W141&gt;50,("C"),IF(W141&gt;0,("K"),"0"))))</f>
        <v>0</v>
      </c>
      <c r="AA141" s="2169"/>
      <c r="AB141" s="2170"/>
      <c r="AC141" s="2170"/>
      <c r="AD141" s="2170"/>
      <c r="AE141" s="2170"/>
      <c r="AF141" s="2170"/>
      <c r="AG141" s="2170"/>
      <c r="AH141" s="2170"/>
      <c r="AI141" s="2170"/>
      <c r="AJ141" s="2171"/>
      <c r="AK141" s="2171"/>
      <c r="AL141" s="2171"/>
      <c r="AM141" s="2171"/>
      <c r="AN141" s="2171"/>
      <c r="AO141" s="2171"/>
      <c r="AP141" s="2171"/>
      <c r="AQ141" s="2171"/>
      <c r="AR141" s="2172"/>
      <c r="AS141" s="1946"/>
      <c r="AT141" s="1947"/>
    </row>
    <row r="142" spans="1:46" ht="24.95" customHeight="1" x14ac:dyDescent="0.3">
      <c r="A142" s="1207"/>
      <c r="B142" s="1207"/>
      <c r="C142" s="1655"/>
      <c r="D142" s="1654" t="s">
        <v>605</v>
      </c>
      <c r="E142" s="23">
        <v>0</v>
      </c>
      <c r="F142" s="23">
        <v>0</v>
      </c>
      <c r="G142" s="23">
        <v>0</v>
      </c>
      <c r="H142" s="2186"/>
      <c r="I142" s="2186"/>
      <c r="J142" s="2186"/>
      <c r="K142" s="23"/>
      <c r="L142" s="23"/>
      <c r="M142" s="23"/>
      <c r="N142" s="2186"/>
      <c r="O142" s="2186"/>
      <c r="P142" s="2186"/>
      <c r="Q142" s="23"/>
      <c r="R142" s="23"/>
      <c r="S142" s="23"/>
      <c r="T142" s="2189">
        <f t="shared" si="99"/>
        <v>0</v>
      </c>
      <c r="U142" s="2190">
        <f t="shared" si="97"/>
        <v>0</v>
      </c>
      <c r="V142" s="2191">
        <f t="shared" si="98"/>
        <v>0</v>
      </c>
      <c r="W142" s="2192">
        <f t="shared" si="100"/>
        <v>0</v>
      </c>
      <c r="X142" s="1075" t="str">
        <f t="shared" si="101"/>
        <v>1.33</v>
      </c>
      <c r="Y142" s="1075" t="str">
        <f t="shared" si="102"/>
        <v>D+</v>
      </c>
      <c r="Z142" s="1075" t="str">
        <f t="shared" si="103"/>
        <v>0</v>
      </c>
      <c r="AA142" s="2173"/>
      <c r="AB142" s="2174"/>
      <c r="AC142" s="2174"/>
      <c r="AD142" s="2174"/>
      <c r="AE142" s="2174"/>
      <c r="AF142" s="2174"/>
      <c r="AG142" s="2174"/>
      <c r="AH142" s="2174"/>
      <c r="AI142" s="2174"/>
      <c r="AJ142" s="2175"/>
      <c r="AK142" s="2175"/>
      <c r="AL142" s="2175"/>
      <c r="AM142" s="2175"/>
      <c r="AN142" s="2175"/>
      <c r="AO142" s="2175"/>
      <c r="AP142" s="2175"/>
      <c r="AQ142" s="2175"/>
      <c r="AR142" s="2176"/>
      <c r="AS142" s="1948"/>
      <c r="AT142" s="1949"/>
    </row>
    <row r="143" spans="1:46" ht="24.95" customHeight="1" x14ac:dyDescent="0.3">
      <c r="A143" s="1207"/>
      <c r="B143" s="1207"/>
      <c r="C143" s="1655"/>
      <c r="D143" s="1654" t="s">
        <v>155</v>
      </c>
      <c r="E143" s="23"/>
      <c r="F143" s="23"/>
      <c r="G143" s="23"/>
      <c r="H143" s="2186">
        <v>0</v>
      </c>
      <c r="I143" s="2186">
        <v>0</v>
      </c>
      <c r="J143" s="2186">
        <v>0</v>
      </c>
      <c r="K143" s="23"/>
      <c r="L143" s="23"/>
      <c r="M143" s="23"/>
      <c r="N143" s="2186"/>
      <c r="O143" s="2186"/>
      <c r="P143" s="2186"/>
      <c r="Q143" s="23"/>
      <c r="R143" s="23"/>
      <c r="S143" s="23"/>
      <c r="T143" s="2189">
        <f t="shared" si="99"/>
        <v>0</v>
      </c>
      <c r="U143" s="2190">
        <f t="shared" si="97"/>
        <v>0</v>
      </c>
      <c r="V143" s="2191">
        <f t="shared" si="98"/>
        <v>0</v>
      </c>
      <c r="W143" s="2192">
        <f t="shared" si="100"/>
        <v>0</v>
      </c>
      <c r="X143" s="1075" t="str">
        <f t="shared" si="101"/>
        <v>1.33</v>
      </c>
      <c r="Y143" s="1075" t="str">
        <f t="shared" si="102"/>
        <v>D+</v>
      </c>
      <c r="Z143" s="1075" t="str">
        <f t="shared" si="103"/>
        <v>0</v>
      </c>
      <c r="AA143" s="2173"/>
      <c r="AB143" s="2174"/>
      <c r="AC143" s="2174"/>
      <c r="AD143" s="2174"/>
      <c r="AE143" s="2174"/>
      <c r="AF143" s="2174"/>
      <c r="AG143" s="2174"/>
      <c r="AH143" s="2174"/>
      <c r="AI143" s="2174"/>
      <c r="AJ143" s="2175"/>
      <c r="AK143" s="2175"/>
      <c r="AL143" s="2175"/>
      <c r="AM143" s="2175"/>
      <c r="AN143" s="2175"/>
      <c r="AO143" s="2175"/>
      <c r="AP143" s="2175"/>
      <c r="AQ143" s="2175"/>
      <c r="AR143" s="2176"/>
      <c r="AS143" s="1948"/>
      <c r="AT143" s="1949"/>
    </row>
    <row r="144" spans="1:46" ht="24.95" customHeight="1" x14ac:dyDescent="0.3">
      <c r="A144" s="1207"/>
      <c r="B144" s="1207"/>
      <c r="C144" s="1655"/>
      <c r="D144" s="1654" t="s">
        <v>187</v>
      </c>
      <c r="E144" s="23"/>
      <c r="F144" s="23"/>
      <c r="G144" s="23"/>
      <c r="H144" s="2186"/>
      <c r="I144" s="2186"/>
      <c r="J144" s="2186"/>
      <c r="K144" s="23">
        <v>0</v>
      </c>
      <c r="L144" s="23">
        <v>0</v>
      </c>
      <c r="M144" s="23">
        <v>0</v>
      </c>
      <c r="N144" s="2186"/>
      <c r="O144" s="2186"/>
      <c r="P144" s="2186"/>
      <c r="Q144" s="23"/>
      <c r="R144" s="23"/>
      <c r="S144" s="23"/>
      <c r="T144" s="2189">
        <f t="shared" si="99"/>
        <v>0</v>
      </c>
      <c r="U144" s="2190">
        <f t="shared" si="97"/>
        <v>0</v>
      </c>
      <c r="V144" s="2191">
        <f t="shared" si="98"/>
        <v>0</v>
      </c>
      <c r="W144" s="2192">
        <f t="shared" si="100"/>
        <v>0</v>
      </c>
      <c r="X144" s="1075" t="str">
        <f t="shared" si="101"/>
        <v>1.33</v>
      </c>
      <c r="Y144" s="1075" t="str">
        <f t="shared" si="102"/>
        <v>D+</v>
      </c>
      <c r="Z144" s="1075" t="str">
        <f t="shared" si="103"/>
        <v>0</v>
      </c>
      <c r="AA144" s="2173"/>
      <c r="AB144" s="2174"/>
      <c r="AC144" s="2174"/>
      <c r="AD144" s="2174"/>
      <c r="AE144" s="2174"/>
      <c r="AF144" s="2174"/>
      <c r="AG144" s="2174"/>
      <c r="AH144" s="2174"/>
      <c r="AI144" s="2174"/>
      <c r="AJ144" s="2175"/>
      <c r="AK144" s="2175"/>
      <c r="AL144" s="2175"/>
      <c r="AM144" s="2175"/>
      <c r="AN144" s="2175"/>
      <c r="AO144" s="2175"/>
      <c r="AP144" s="2175"/>
      <c r="AQ144" s="2175"/>
      <c r="AR144" s="2176"/>
      <c r="AS144" s="1948"/>
      <c r="AT144" s="1949"/>
    </row>
    <row r="145" spans="1:46" ht="24.95" customHeight="1" x14ac:dyDescent="0.3">
      <c r="A145" s="1207"/>
      <c r="B145" s="1207"/>
      <c r="C145" s="1655"/>
      <c r="D145" s="1654" t="s">
        <v>17</v>
      </c>
      <c r="E145" s="23"/>
      <c r="F145" s="23"/>
      <c r="G145" s="23"/>
      <c r="H145" s="2186"/>
      <c r="I145" s="2186"/>
      <c r="J145" s="2186"/>
      <c r="K145" s="23">
        <v>0</v>
      </c>
      <c r="L145" s="23">
        <v>0</v>
      </c>
      <c r="M145" s="23">
        <v>0</v>
      </c>
      <c r="N145" s="2186"/>
      <c r="O145" s="2186"/>
      <c r="P145" s="2186"/>
      <c r="Q145" s="23"/>
      <c r="R145" s="23"/>
      <c r="S145" s="23"/>
      <c r="T145" s="2189">
        <f t="shared" si="99"/>
        <v>0</v>
      </c>
      <c r="U145" s="2190">
        <f t="shared" si="97"/>
        <v>0</v>
      </c>
      <c r="V145" s="2191">
        <f t="shared" si="98"/>
        <v>0</v>
      </c>
      <c r="W145" s="2192">
        <f t="shared" si="100"/>
        <v>0</v>
      </c>
      <c r="X145" s="1075" t="str">
        <f t="shared" si="101"/>
        <v>1.33</v>
      </c>
      <c r="Y145" s="1075" t="str">
        <f t="shared" si="102"/>
        <v>D+</v>
      </c>
      <c r="Z145" s="1075" t="str">
        <f t="shared" si="103"/>
        <v>0</v>
      </c>
      <c r="AA145" s="2173"/>
      <c r="AB145" s="2174"/>
      <c r="AC145" s="2174"/>
      <c r="AD145" s="2174"/>
      <c r="AE145" s="2174"/>
      <c r="AF145" s="2174"/>
      <c r="AG145" s="2174"/>
      <c r="AH145" s="2174"/>
      <c r="AI145" s="2174"/>
      <c r="AJ145" s="2175"/>
      <c r="AK145" s="2175"/>
      <c r="AL145" s="2175"/>
      <c r="AM145" s="2175"/>
      <c r="AN145" s="2175"/>
      <c r="AO145" s="2175"/>
      <c r="AP145" s="2175"/>
      <c r="AQ145" s="2175"/>
      <c r="AR145" s="2176"/>
      <c r="AS145" s="1948"/>
      <c r="AT145" s="1949"/>
    </row>
    <row r="146" spans="1:46" ht="24.95" customHeight="1" x14ac:dyDescent="0.3">
      <c r="A146" s="1207"/>
      <c r="B146" s="1207"/>
      <c r="C146" s="1655"/>
      <c r="D146" s="1654" t="s">
        <v>606</v>
      </c>
      <c r="E146" s="23"/>
      <c r="F146" s="23"/>
      <c r="G146" s="23"/>
      <c r="H146" s="2186"/>
      <c r="I146" s="2186"/>
      <c r="J146" s="2186"/>
      <c r="K146" s="23"/>
      <c r="L146" s="23"/>
      <c r="M146" s="23"/>
      <c r="N146" s="2186">
        <v>0</v>
      </c>
      <c r="O146" s="2186">
        <v>0</v>
      </c>
      <c r="P146" s="2186">
        <v>0</v>
      </c>
      <c r="Q146" s="23"/>
      <c r="R146" s="23"/>
      <c r="S146" s="23"/>
      <c r="T146" s="2189">
        <f t="shared" si="99"/>
        <v>0</v>
      </c>
      <c r="U146" s="2190">
        <f t="shared" si="97"/>
        <v>0</v>
      </c>
      <c r="V146" s="2191">
        <f t="shared" si="98"/>
        <v>0</v>
      </c>
      <c r="W146" s="2192">
        <f t="shared" si="100"/>
        <v>0</v>
      </c>
      <c r="X146" s="1075" t="str">
        <f t="shared" si="101"/>
        <v>1.33</v>
      </c>
      <c r="Y146" s="1075" t="str">
        <f t="shared" si="102"/>
        <v>D+</v>
      </c>
      <c r="Z146" s="1075" t="str">
        <f t="shared" si="103"/>
        <v>0</v>
      </c>
      <c r="AA146" s="2173"/>
      <c r="AB146" s="2174"/>
      <c r="AC146" s="2174"/>
      <c r="AD146" s="2174"/>
      <c r="AE146" s="2174"/>
      <c r="AF146" s="2174"/>
      <c r="AG146" s="2174"/>
      <c r="AH146" s="2174"/>
      <c r="AI146" s="2174"/>
      <c r="AJ146" s="2175"/>
      <c r="AK146" s="2175"/>
      <c r="AL146" s="2175"/>
      <c r="AM146" s="2175"/>
      <c r="AN146" s="2175"/>
      <c r="AO146" s="2175"/>
      <c r="AP146" s="2175"/>
      <c r="AQ146" s="2175"/>
      <c r="AR146" s="2176"/>
      <c r="AS146" s="1948"/>
      <c r="AT146" s="1949"/>
    </row>
    <row r="147" spans="1:46" ht="24.95" customHeight="1" x14ac:dyDescent="0.3">
      <c r="A147" s="1207"/>
      <c r="B147" s="1207"/>
      <c r="C147" s="1655"/>
      <c r="D147" s="1654" t="s">
        <v>607</v>
      </c>
      <c r="E147" s="23"/>
      <c r="F147" s="23"/>
      <c r="G147" s="23"/>
      <c r="H147" s="2186"/>
      <c r="I147" s="2186"/>
      <c r="J147" s="2186"/>
      <c r="K147" s="23"/>
      <c r="L147" s="23"/>
      <c r="M147" s="23"/>
      <c r="N147" s="2186">
        <v>0</v>
      </c>
      <c r="O147" s="2186">
        <v>0</v>
      </c>
      <c r="P147" s="2186">
        <v>0</v>
      </c>
      <c r="Q147" s="23"/>
      <c r="R147" s="23"/>
      <c r="S147" s="23"/>
      <c r="T147" s="2189">
        <f t="shared" si="99"/>
        <v>0</v>
      </c>
      <c r="U147" s="2190">
        <f t="shared" si="97"/>
        <v>0</v>
      </c>
      <c r="V147" s="2191">
        <f t="shared" si="98"/>
        <v>0</v>
      </c>
      <c r="W147" s="2192">
        <f t="shared" si="100"/>
        <v>0</v>
      </c>
      <c r="X147" s="1075" t="str">
        <f t="shared" si="101"/>
        <v>1.33</v>
      </c>
      <c r="Y147" s="1075" t="str">
        <f t="shared" si="102"/>
        <v>D+</v>
      </c>
      <c r="Z147" s="1075" t="str">
        <f t="shared" si="103"/>
        <v>0</v>
      </c>
      <c r="AA147" s="2173"/>
      <c r="AB147" s="2174"/>
      <c r="AC147" s="2174"/>
      <c r="AD147" s="2174"/>
      <c r="AE147" s="2174"/>
      <c r="AF147" s="2174"/>
      <c r="AG147" s="2174"/>
      <c r="AH147" s="2174"/>
      <c r="AI147" s="2174"/>
      <c r="AJ147" s="2175"/>
      <c r="AK147" s="2175"/>
      <c r="AL147" s="2175"/>
      <c r="AM147" s="2175"/>
      <c r="AN147" s="2175"/>
      <c r="AO147" s="2175"/>
      <c r="AP147" s="2175"/>
      <c r="AQ147" s="2175"/>
      <c r="AR147" s="2176"/>
      <c r="AS147" s="1948"/>
      <c r="AT147" s="1949"/>
    </row>
    <row r="148" spans="1:46" ht="24.95" customHeight="1" x14ac:dyDescent="0.3">
      <c r="A148" s="1656"/>
      <c r="B148" s="1207"/>
      <c r="C148" s="1655"/>
      <c r="D148" s="1654" t="s">
        <v>22</v>
      </c>
      <c r="E148" s="2187"/>
      <c r="F148" s="2187"/>
      <c r="G148" s="2187"/>
      <c r="H148" s="2188"/>
      <c r="I148" s="2186"/>
      <c r="J148" s="2186"/>
      <c r="K148" s="23"/>
      <c r="L148" s="23"/>
      <c r="M148" s="23"/>
      <c r="N148" s="2186"/>
      <c r="O148" s="2186"/>
      <c r="P148" s="2186"/>
      <c r="Q148" s="23">
        <v>0</v>
      </c>
      <c r="R148" s="23">
        <v>0</v>
      </c>
      <c r="S148" s="23">
        <v>0</v>
      </c>
      <c r="T148" s="2189">
        <f t="shared" si="99"/>
        <v>0</v>
      </c>
      <c r="U148" s="2190">
        <f t="shared" si="97"/>
        <v>0</v>
      </c>
      <c r="V148" s="2191">
        <f t="shared" si="98"/>
        <v>0</v>
      </c>
      <c r="W148" s="2192">
        <f t="shared" si="100"/>
        <v>0</v>
      </c>
      <c r="X148" s="1075" t="str">
        <f t="shared" si="101"/>
        <v>1.33</v>
      </c>
      <c r="Y148" s="1075" t="str">
        <f t="shared" si="102"/>
        <v>D+</v>
      </c>
      <c r="Z148" s="1075" t="str">
        <f t="shared" si="103"/>
        <v>0</v>
      </c>
      <c r="AA148" s="2173"/>
      <c r="AB148" s="2174"/>
      <c r="AC148" s="2174"/>
      <c r="AD148" s="2174"/>
      <c r="AE148" s="2174"/>
      <c r="AF148" s="2174"/>
      <c r="AG148" s="2174"/>
      <c r="AH148" s="2174"/>
      <c r="AI148" s="2174"/>
      <c r="AJ148" s="2175"/>
      <c r="AK148" s="2175"/>
      <c r="AL148" s="2175"/>
      <c r="AM148" s="2175"/>
      <c r="AN148" s="2175"/>
      <c r="AO148" s="2175"/>
      <c r="AP148" s="2175"/>
      <c r="AQ148" s="2175"/>
      <c r="AR148" s="2176"/>
      <c r="AS148" s="1950"/>
      <c r="AT148" s="1951"/>
    </row>
    <row r="149" spans="1:46" ht="24.95" customHeight="1" x14ac:dyDescent="0.3">
      <c r="A149" s="1236"/>
      <c r="B149" s="1237">
        <v>14</v>
      </c>
      <c r="C149" s="1658"/>
      <c r="D149" s="1236"/>
      <c r="E149" s="2650"/>
      <c r="F149" s="2651"/>
      <c r="G149" s="2651"/>
      <c r="H149" s="2651"/>
      <c r="I149" s="2652"/>
      <c r="J149" s="2109"/>
      <c r="K149" s="2109"/>
      <c r="L149" s="2109"/>
      <c r="M149" s="2109"/>
      <c r="N149" s="2109"/>
      <c r="O149" s="2109"/>
      <c r="P149" s="2109"/>
      <c r="Q149" s="2109"/>
      <c r="R149" s="2109"/>
      <c r="S149" s="2109"/>
      <c r="T149" s="2193"/>
      <c r="U149" s="2193"/>
      <c r="V149" s="2193"/>
      <c r="W149" s="2194">
        <f>IFERROR(AVERAGE(W140:W148),"  ")</f>
        <v>0</v>
      </c>
      <c r="X149" s="1454" t="str">
        <f>IF(W149&gt;85,("4"),IF(W149&gt;80,("3.66"),IF(W149&gt;75,("3.33"),IF(W149&gt;70,("3.00"),IF(W149&gt;65,("2.66"),IF(W149&gt;60,("2.33"),IF(W149&gt;55,("2"),IF(W149&gt;50,("1.66"),"1.33"))))))))</f>
        <v>1.33</v>
      </c>
      <c r="Y149" s="1454" t="str">
        <f>IF(W149&gt;85,("A"),IF(W149&gt;80,("A-"),IF(W149&gt;75,("B+"),IF(W149&gt;70,("B"),IF(W149&gt;65,("B-"),IF(W149&gt;60,("C+"),IF(W149&gt;55,("C"),IF(W149&gt;50,("C-"),"D+"))))))))</f>
        <v>D+</v>
      </c>
      <c r="Z149" s="1666"/>
      <c r="AA149" s="2182"/>
      <c r="AB149" s="2183"/>
      <c r="AC149" s="2183"/>
      <c r="AD149" s="2183"/>
      <c r="AE149" s="2183"/>
      <c r="AF149" s="2183"/>
      <c r="AG149" s="2183"/>
      <c r="AH149" s="2183"/>
      <c r="AI149" s="2183"/>
      <c r="AJ149" s="2183"/>
      <c r="AK149" s="2183"/>
      <c r="AL149" s="2183"/>
      <c r="AM149" s="2183"/>
      <c r="AN149" s="2183"/>
      <c r="AO149" s="2183"/>
      <c r="AP149" s="2183"/>
      <c r="AQ149" s="2183"/>
      <c r="AR149" s="2184"/>
      <c r="AS149" s="1952"/>
      <c r="AT149" s="1953"/>
    </row>
    <row r="150" spans="1:46" ht="24.95" customHeight="1" x14ac:dyDescent="0.3">
      <c r="A150" s="1224">
        <v>15</v>
      </c>
      <c r="B150" s="1224"/>
      <c r="C150" s="1653" t="str">
        <f>VLOOKUP(A150,data_siswa,4,FALSE)</f>
        <v>Muhammad Ibra Maulana</v>
      </c>
      <c r="D150" s="1654" t="s">
        <v>603</v>
      </c>
      <c r="E150" s="1211">
        <v>0</v>
      </c>
      <c r="F150" s="1211">
        <v>0</v>
      </c>
      <c r="G150" s="1211">
        <v>0</v>
      </c>
      <c r="H150" s="2185"/>
      <c r="I150" s="2185"/>
      <c r="J150" s="2185"/>
      <c r="K150" s="1211"/>
      <c r="L150" s="1211"/>
      <c r="M150" s="1211"/>
      <c r="N150" s="2185"/>
      <c r="O150" s="2185"/>
      <c r="P150" s="2185"/>
      <c r="Q150" s="1211"/>
      <c r="R150" s="1211"/>
      <c r="S150" s="1211"/>
      <c r="T150" s="2189">
        <f>MAX(H150,K150,N150,Q150)</f>
        <v>0</v>
      </c>
      <c r="U150" s="2190">
        <f t="shared" ref="U150:U158" si="104">MAX(I150,L150,O150,R150)</f>
        <v>0</v>
      </c>
      <c r="V150" s="2191">
        <f t="shared" ref="V150:V158" si="105">MAX(J150,M150,P150,S150)</f>
        <v>0</v>
      </c>
      <c r="W150" s="2192">
        <f>IFERROR(AVERAGE(T150:V150),"")</f>
        <v>0</v>
      </c>
      <c r="X150" s="1075" t="str">
        <f>IF(W150&gt;85,("4"),IF(W150&gt;80,("3.66"),IF(W150&gt;75,("3.33"),IF(W150&gt;70,("3.00"),IF(W150&gt;65,("2.66"),IF(W150&gt;60,("2.33"),IF(W150&gt;55,("2"),IF(W150&gt;50,("1.66"),"1.33"))))))))</f>
        <v>1.33</v>
      </c>
      <c r="Y150" s="1075" t="str">
        <f>IF(W150&gt;85,("A"),IF(W150&gt;80,("A-"),IF(W150&gt;75,("B+"),IF(W150&gt;70,("B"),IF(W150&gt;65,("B-"),IF(W150&gt;60,("C+"),IF(W150&gt;55,("C"),IF(W150&gt;50,("C-"),"D+"))))))))</f>
        <v>D+</v>
      </c>
      <c r="Z150" s="1075" t="str">
        <f>IF(W150&gt;80,("SB"),IF(W150&gt;65,("B"),IF(W150&gt;50,("C"),IF(W150&gt;0,("K"),"0"))))</f>
        <v>0</v>
      </c>
      <c r="AA150" s="2180"/>
      <c r="AB150" s="2180"/>
      <c r="AC150" s="2180"/>
      <c r="AD150" s="2180"/>
      <c r="AE150" s="2180"/>
      <c r="AF150" s="2180"/>
      <c r="AG150" s="2180"/>
      <c r="AH150" s="2180"/>
      <c r="AI150" s="2180"/>
      <c r="AJ150" s="2181"/>
      <c r="AK150" s="2181"/>
      <c r="AL150" s="2181"/>
      <c r="AM150" s="2181"/>
      <c r="AN150" s="2181"/>
      <c r="AO150" s="2181"/>
      <c r="AP150" s="2181"/>
      <c r="AQ150" s="2181"/>
      <c r="AR150" s="2181"/>
      <c r="AS150" s="1910">
        <f>W159</f>
        <v>0</v>
      </c>
      <c r="AT150" s="1910" t="str">
        <f>Y159</f>
        <v>D+</v>
      </c>
    </row>
    <row r="151" spans="1:46" ht="24.95" customHeight="1" x14ac:dyDescent="0.3">
      <c r="A151" s="1207"/>
      <c r="B151" s="1207"/>
      <c r="C151" s="1655"/>
      <c r="D151" s="1654" t="s">
        <v>604</v>
      </c>
      <c r="E151" s="23">
        <v>0</v>
      </c>
      <c r="F151" s="23">
        <v>0</v>
      </c>
      <c r="G151" s="23">
        <v>0</v>
      </c>
      <c r="H151" s="2186"/>
      <c r="I151" s="2186"/>
      <c r="J151" s="2186"/>
      <c r="K151" s="23"/>
      <c r="L151" s="23"/>
      <c r="M151" s="23"/>
      <c r="N151" s="2186"/>
      <c r="O151" s="2186"/>
      <c r="P151" s="2186"/>
      <c r="Q151" s="23"/>
      <c r="R151" s="23"/>
      <c r="S151" s="23"/>
      <c r="T151" s="2189">
        <f t="shared" ref="T151:T158" si="106">MAX(H151,K151,N151,Q151)</f>
        <v>0</v>
      </c>
      <c r="U151" s="2190">
        <f t="shared" si="104"/>
        <v>0</v>
      </c>
      <c r="V151" s="2191">
        <f t="shared" si="105"/>
        <v>0</v>
      </c>
      <c r="W151" s="2192">
        <f t="shared" ref="W151:W158" si="107">IFERROR(AVERAGE(T151:V151),"")</f>
        <v>0</v>
      </c>
      <c r="X151" s="1075" t="str">
        <f t="shared" ref="X151:X158" si="108">IF(W151&gt;85,("4"),IF(W151&gt;80,("3.66"),IF(W151&gt;75,("3.33"),IF(W151&gt;70,("3.00"),IF(W151&gt;65,("2.66"),IF(W151&gt;60,("2.33"),IF(W151&gt;55,("2"),IF(W151&gt;50,("1.66"),"1.33"))))))))</f>
        <v>1.33</v>
      </c>
      <c r="Y151" s="1075" t="str">
        <f t="shared" ref="Y151:Y158" si="109">IF(W151&gt;85,("A"),IF(W151&gt;80,("A-"),IF(W151&gt;75,("B+"),IF(W151&gt;70,("B"),IF(W151&gt;65,("B-"),IF(W151&gt;60,("C+"),IF(W151&gt;55,("C"),IF(W151&gt;50,("C-"),"D+"))))))))</f>
        <v>D+</v>
      </c>
      <c r="Z151" s="1075" t="str">
        <f t="shared" ref="Z151:Z158" si="110">IF(W151&gt;80,("SB"),IF(W151&gt;65,("B"),IF(W151&gt;50,("C"),IF(W151&gt;0,("K"),"0"))))</f>
        <v>0</v>
      </c>
      <c r="AA151" s="2169"/>
      <c r="AB151" s="2170"/>
      <c r="AC151" s="2170"/>
      <c r="AD151" s="2170"/>
      <c r="AE151" s="2170"/>
      <c r="AF151" s="2170"/>
      <c r="AG151" s="2170"/>
      <c r="AH151" s="2170"/>
      <c r="AI151" s="2170"/>
      <c r="AJ151" s="2171"/>
      <c r="AK151" s="2171"/>
      <c r="AL151" s="2171"/>
      <c r="AM151" s="2171"/>
      <c r="AN151" s="2171"/>
      <c r="AO151" s="2171"/>
      <c r="AP151" s="2171"/>
      <c r="AQ151" s="2171"/>
      <c r="AR151" s="2172"/>
      <c r="AS151" s="1946"/>
      <c r="AT151" s="1947"/>
    </row>
    <row r="152" spans="1:46" ht="24.95" customHeight="1" x14ac:dyDescent="0.3">
      <c r="A152" s="1207"/>
      <c r="B152" s="1207"/>
      <c r="C152" s="1655"/>
      <c r="D152" s="1654" t="s">
        <v>605</v>
      </c>
      <c r="E152" s="23">
        <v>0</v>
      </c>
      <c r="F152" s="23">
        <v>0</v>
      </c>
      <c r="G152" s="23">
        <v>0</v>
      </c>
      <c r="H152" s="2186"/>
      <c r="I152" s="2186"/>
      <c r="J152" s="2186"/>
      <c r="K152" s="23"/>
      <c r="L152" s="23"/>
      <c r="M152" s="23"/>
      <c r="N152" s="2186"/>
      <c r="O152" s="2186"/>
      <c r="P152" s="2186"/>
      <c r="Q152" s="23"/>
      <c r="R152" s="23"/>
      <c r="S152" s="23"/>
      <c r="T152" s="2189">
        <f t="shared" si="106"/>
        <v>0</v>
      </c>
      <c r="U152" s="2190">
        <f t="shared" si="104"/>
        <v>0</v>
      </c>
      <c r="V152" s="2191">
        <f t="shared" si="105"/>
        <v>0</v>
      </c>
      <c r="W152" s="2192">
        <f t="shared" si="107"/>
        <v>0</v>
      </c>
      <c r="X152" s="1075" t="str">
        <f t="shared" si="108"/>
        <v>1.33</v>
      </c>
      <c r="Y152" s="1075" t="str">
        <f t="shared" si="109"/>
        <v>D+</v>
      </c>
      <c r="Z152" s="1075" t="str">
        <f t="shared" si="110"/>
        <v>0</v>
      </c>
      <c r="AA152" s="2173"/>
      <c r="AB152" s="2174"/>
      <c r="AC152" s="2174"/>
      <c r="AD152" s="2174"/>
      <c r="AE152" s="2174"/>
      <c r="AF152" s="2174"/>
      <c r="AG152" s="2174"/>
      <c r="AH152" s="2174"/>
      <c r="AI152" s="2174"/>
      <c r="AJ152" s="2175"/>
      <c r="AK152" s="2175"/>
      <c r="AL152" s="2175"/>
      <c r="AM152" s="2175"/>
      <c r="AN152" s="2175"/>
      <c r="AO152" s="2175"/>
      <c r="AP152" s="2175"/>
      <c r="AQ152" s="2175"/>
      <c r="AR152" s="2176"/>
      <c r="AS152" s="1948"/>
      <c r="AT152" s="1949"/>
    </row>
    <row r="153" spans="1:46" ht="24.95" customHeight="1" x14ac:dyDescent="0.3">
      <c r="A153" s="1207"/>
      <c r="B153" s="1207"/>
      <c r="C153" s="1655"/>
      <c r="D153" s="1654" t="s">
        <v>155</v>
      </c>
      <c r="E153" s="23"/>
      <c r="F153" s="23"/>
      <c r="G153" s="23"/>
      <c r="H153" s="2186">
        <v>0</v>
      </c>
      <c r="I153" s="2186">
        <v>0</v>
      </c>
      <c r="J153" s="2186">
        <v>0</v>
      </c>
      <c r="K153" s="23"/>
      <c r="L153" s="23"/>
      <c r="M153" s="23"/>
      <c r="N153" s="2186"/>
      <c r="O153" s="2186"/>
      <c r="P153" s="2186"/>
      <c r="Q153" s="23"/>
      <c r="R153" s="23"/>
      <c r="S153" s="23"/>
      <c r="T153" s="2189">
        <f t="shared" si="106"/>
        <v>0</v>
      </c>
      <c r="U153" s="2190">
        <f t="shared" si="104"/>
        <v>0</v>
      </c>
      <c r="V153" s="2191">
        <f t="shared" si="105"/>
        <v>0</v>
      </c>
      <c r="W153" s="2192">
        <f t="shared" si="107"/>
        <v>0</v>
      </c>
      <c r="X153" s="1075" t="str">
        <f t="shared" si="108"/>
        <v>1.33</v>
      </c>
      <c r="Y153" s="1075" t="str">
        <f t="shared" si="109"/>
        <v>D+</v>
      </c>
      <c r="Z153" s="1075" t="str">
        <f t="shared" si="110"/>
        <v>0</v>
      </c>
      <c r="AA153" s="2173"/>
      <c r="AB153" s="2174"/>
      <c r="AC153" s="2174"/>
      <c r="AD153" s="2174"/>
      <c r="AE153" s="2174"/>
      <c r="AF153" s="2174"/>
      <c r="AG153" s="2174"/>
      <c r="AH153" s="2174"/>
      <c r="AI153" s="2174"/>
      <c r="AJ153" s="2175"/>
      <c r="AK153" s="2175"/>
      <c r="AL153" s="2175"/>
      <c r="AM153" s="2175"/>
      <c r="AN153" s="2175"/>
      <c r="AO153" s="2175"/>
      <c r="AP153" s="2175"/>
      <c r="AQ153" s="2175"/>
      <c r="AR153" s="2176"/>
      <c r="AS153" s="1948"/>
      <c r="AT153" s="1949"/>
    </row>
    <row r="154" spans="1:46" ht="24.95" customHeight="1" x14ac:dyDescent="0.3">
      <c r="A154" s="1207"/>
      <c r="B154" s="1207"/>
      <c r="C154" s="1655"/>
      <c r="D154" s="1654" t="s">
        <v>187</v>
      </c>
      <c r="E154" s="23"/>
      <c r="F154" s="23"/>
      <c r="G154" s="23"/>
      <c r="H154" s="2186"/>
      <c r="I154" s="2186"/>
      <c r="J154" s="2186"/>
      <c r="K154" s="23">
        <v>0</v>
      </c>
      <c r="L154" s="23">
        <v>0</v>
      </c>
      <c r="M154" s="23">
        <v>0</v>
      </c>
      <c r="N154" s="2186"/>
      <c r="O154" s="2186"/>
      <c r="P154" s="2186"/>
      <c r="Q154" s="23"/>
      <c r="R154" s="23"/>
      <c r="S154" s="23"/>
      <c r="T154" s="2189">
        <f t="shared" si="106"/>
        <v>0</v>
      </c>
      <c r="U154" s="2190">
        <f t="shared" si="104"/>
        <v>0</v>
      </c>
      <c r="V154" s="2191">
        <f t="shared" si="105"/>
        <v>0</v>
      </c>
      <c r="W154" s="2192">
        <f t="shared" si="107"/>
        <v>0</v>
      </c>
      <c r="X154" s="1075" t="str">
        <f t="shared" si="108"/>
        <v>1.33</v>
      </c>
      <c r="Y154" s="1075" t="str">
        <f t="shared" si="109"/>
        <v>D+</v>
      </c>
      <c r="Z154" s="1075" t="str">
        <f t="shared" si="110"/>
        <v>0</v>
      </c>
      <c r="AA154" s="2173"/>
      <c r="AB154" s="2174"/>
      <c r="AC154" s="2174"/>
      <c r="AD154" s="2174"/>
      <c r="AE154" s="2174"/>
      <c r="AF154" s="2174"/>
      <c r="AG154" s="2174"/>
      <c r="AH154" s="2174"/>
      <c r="AI154" s="2174"/>
      <c r="AJ154" s="2175"/>
      <c r="AK154" s="2175"/>
      <c r="AL154" s="2175"/>
      <c r="AM154" s="2175"/>
      <c r="AN154" s="2175"/>
      <c r="AO154" s="2175"/>
      <c r="AP154" s="2175"/>
      <c r="AQ154" s="2175"/>
      <c r="AR154" s="2176"/>
      <c r="AS154" s="1948"/>
      <c r="AT154" s="1949"/>
    </row>
    <row r="155" spans="1:46" ht="24.95" customHeight="1" x14ac:dyDescent="0.3">
      <c r="A155" s="1207"/>
      <c r="B155" s="1207"/>
      <c r="C155" s="1655"/>
      <c r="D155" s="1654" t="s">
        <v>17</v>
      </c>
      <c r="E155" s="23"/>
      <c r="F155" s="23"/>
      <c r="G155" s="23"/>
      <c r="H155" s="2186"/>
      <c r="I155" s="2186"/>
      <c r="J155" s="2186"/>
      <c r="K155" s="23">
        <v>0</v>
      </c>
      <c r="L155" s="23">
        <v>0</v>
      </c>
      <c r="M155" s="23">
        <v>0</v>
      </c>
      <c r="N155" s="2186"/>
      <c r="O155" s="2186"/>
      <c r="P155" s="2186"/>
      <c r="Q155" s="23"/>
      <c r="R155" s="23"/>
      <c r="S155" s="23"/>
      <c r="T155" s="2189">
        <f t="shared" si="106"/>
        <v>0</v>
      </c>
      <c r="U155" s="2190">
        <f t="shared" si="104"/>
        <v>0</v>
      </c>
      <c r="V155" s="2191">
        <f t="shared" si="105"/>
        <v>0</v>
      </c>
      <c r="W155" s="2192">
        <f t="shared" si="107"/>
        <v>0</v>
      </c>
      <c r="X155" s="1075" t="str">
        <f t="shared" si="108"/>
        <v>1.33</v>
      </c>
      <c r="Y155" s="1075" t="str">
        <f t="shared" si="109"/>
        <v>D+</v>
      </c>
      <c r="Z155" s="1075" t="str">
        <f t="shared" si="110"/>
        <v>0</v>
      </c>
      <c r="AA155" s="2173"/>
      <c r="AB155" s="2174"/>
      <c r="AC155" s="2174"/>
      <c r="AD155" s="2174"/>
      <c r="AE155" s="2174"/>
      <c r="AF155" s="2174"/>
      <c r="AG155" s="2174"/>
      <c r="AH155" s="2174"/>
      <c r="AI155" s="2174"/>
      <c r="AJ155" s="2175"/>
      <c r="AK155" s="2175"/>
      <c r="AL155" s="2175"/>
      <c r="AM155" s="2175"/>
      <c r="AN155" s="2175"/>
      <c r="AO155" s="2175"/>
      <c r="AP155" s="2175"/>
      <c r="AQ155" s="2175"/>
      <c r="AR155" s="2176"/>
      <c r="AS155" s="1948"/>
      <c r="AT155" s="1949"/>
    </row>
    <row r="156" spans="1:46" ht="24.95" customHeight="1" x14ac:dyDescent="0.3">
      <c r="A156" s="1207"/>
      <c r="B156" s="1207"/>
      <c r="C156" s="1655"/>
      <c r="D156" s="1654" t="s">
        <v>606</v>
      </c>
      <c r="E156" s="23"/>
      <c r="F156" s="23"/>
      <c r="G156" s="23"/>
      <c r="H156" s="2186"/>
      <c r="I156" s="2186"/>
      <c r="J156" s="2186"/>
      <c r="K156" s="23"/>
      <c r="L156" s="23"/>
      <c r="M156" s="23"/>
      <c r="N156" s="2186">
        <v>0</v>
      </c>
      <c r="O156" s="2186">
        <v>0</v>
      </c>
      <c r="P156" s="2186">
        <v>0</v>
      </c>
      <c r="Q156" s="23"/>
      <c r="R156" s="23"/>
      <c r="S156" s="23"/>
      <c r="T156" s="2189">
        <f t="shared" si="106"/>
        <v>0</v>
      </c>
      <c r="U156" s="2190">
        <f t="shared" si="104"/>
        <v>0</v>
      </c>
      <c r="V156" s="2191">
        <f t="shared" si="105"/>
        <v>0</v>
      </c>
      <c r="W156" s="2192">
        <f t="shared" si="107"/>
        <v>0</v>
      </c>
      <c r="X156" s="1075" t="str">
        <f t="shared" si="108"/>
        <v>1.33</v>
      </c>
      <c r="Y156" s="1075" t="str">
        <f t="shared" si="109"/>
        <v>D+</v>
      </c>
      <c r="Z156" s="1075" t="str">
        <f t="shared" si="110"/>
        <v>0</v>
      </c>
      <c r="AA156" s="2173"/>
      <c r="AB156" s="2174"/>
      <c r="AC156" s="2174"/>
      <c r="AD156" s="2174"/>
      <c r="AE156" s="2174"/>
      <c r="AF156" s="2174"/>
      <c r="AG156" s="2174"/>
      <c r="AH156" s="2174"/>
      <c r="AI156" s="2174"/>
      <c r="AJ156" s="2175"/>
      <c r="AK156" s="2175"/>
      <c r="AL156" s="2175"/>
      <c r="AM156" s="2175"/>
      <c r="AN156" s="2175"/>
      <c r="AO156" s="2175"/>
      <c r="AP156" s="2175"/>
      <c r="AQ156" s="2175"/>
      <c r="AR156" s="2176"/>
      <c r="AS156" s="1948"/>
      <c r="AT156" s="1949"/>
    </row>
    <row r="157" spans="1:46" ht="24.95" customHeight="1" x14ac:dyDescent="0.3">
      <c r="A157" s="1207"/>
      <c r="B157" s="1207"/>
      <c r="C157" s="1655"/>
      <c r="D157" s="1654" t="s">
        <v>607</v>
      </c>
      <c r="E157" s="23"/>
      <c r="F157" s="23"/>
      <c r="G157" s="23"/>
      <c r="H157" s="2186"/>
      <c r="I157" s="2186"/>
      <c r="J157" s="2186"/>
      <c r="K157" s="23"/>
      <c r="L157" s="23"/>
      <c r="M157" s="23"/>
      <c r="N157" s="2186">
        <v>0</v>
      </c>
      <c r="O157" s="2186">
        <v>0</v>
      </c>
      <c r="P157" s="2186">
        <v>0</v>
      </c>
      <c r="Q157" s="23"/>
      <c r="R157" s="23"/>
      <c r="S157" s="23"/>
      <c r="T157" s="2189">
        <f t="shared" si="106"/>
        <v>0</v>
      </c>
      <c r="U157" s="2190">
        <f t="shared" si="104"/>
        <v>0</v>
      </c>
      <c r="V157" s="2191">
        <f t="shared" si="105"/>
        <v>0</v>
      </c>
      <c r="W157" s="2192">
        <f t="shared" si="107"/>
        <v>0</v>
      </c>
      <c r="X157" s="1075" t="str">
        <f t="shared" si="108"/>
        <v>1.33</v>
      </c>
      <c r="Y157" s="1075" t="str">
        <f t="shared" si="109"/>
        <v>D+</v>
      </c>
      <c r="Z157" s="1075" t="str">
        <f t="shared" si="110"/>
        <v>0</v>
      </c>
      <c r="AA157" s="2173"/>
      <c r="AB157" s="2174"/>
      <c r="AC157" s="2174"/>
      <c r="AD157" s="2174"/>
      <c r="AE157" s="2174"/>
      <c r="AF157" s="2174"/>
      <c r="AG157" s="2174"/>
      <c r="AH157" s="2174"/>
      <c r="AI157" s="2174"/>
      <c r="AJ157" s="2175"/>
      <c r="AK157" s="2175"/>
      <c r="AL157" s="2175"/>
      <c r="AM157" s="2175"/>
      <c r="AN157" s="2175"/>
      <c r="AO157" s="2175"/>
      <c r="AP157" s="2175"/>
      <c r="AQ157" s="2175"/>
      <c r="AR157" s="2176"/>
      <c r="AS157" s="1948"/>
      <c r="AT157" s="1949"/>
    </row>
    <row r="158" spans="1:46" ht="24.95" customHeight="1" x14ac:dyDescent="0.3">
      <c r="A158" s="1656"/>
      <c r="B158" s="1207"/>
      <c r="C158" s="1655"/>
      <c r="D158" s="1654" t="s">
        <v>22</v>
      </c>
      <c r="E158" s="2187"/>
      <c r="F158" s="2187"/>
      <c r="G158" s="2187"/>
      <c r="H158" s="2188"/>
      <c r="I158" s="2186"/>
      <c r="J158" s="2186"/>
      <c r="K158" s="23"/>
      <c r="L158" s="23"/>
      <c r="M158" s="23"/>
      <c r="N158" s="2186"/>
      <c r="O158" s="2186"/>
      <c r="P158" s="2186"/>
      <c r="Q158" s="23">
        <v>0</v>
      </c>
      <c r="R158" s="23">
        <v>0</v>
      </c>
      <c r="S158" s="23">
        <v>0</v>
      </c>
      <c r="T158" s="2189">
        <f t="shared" si="106"/>
        <v>0</v>
      </c>
      <c r="U158" s="2190">
        <f t="shared" si="104"/>
        <v>0</v>
      </c>
      <c r="V158" s="2191">
        <f t="shared" si="105"/>
        <v>0</v>
      </c>
      <c r="W158" s="2192">
        <f t="shared" si="107"/>
        <v>0</v>
      </c>
      <c r="X158" s="1075" t="str">
        <f t="shared" si="108"/>
        <v>1.33</v>
      </c>
      <c r="Y158" s="1075" t="str">
        <f t="shared" si="109"/>
        <v>D+</v>
      </c>
      <c r="Z158" s="1075" t="str">
        <f t="shared" si="110"/>
        <v>0</v>
      </c>
      <c r="AA158" s="2173"/>
      <c r="AB158" s="2174"/>
      <c r="AC158" s="2174"/>
      <c r="AD158" s="2174"/>
      <c r="AE158" s="2174"/>
      <c r="AF158" s="2174"/>
      <c r="AG158" s="2174"/>
      <c r="AH158" s="2174"/>
      <c r="AI158" s="2174"/>
      <c r="AJ158" s="2175"/>
      <c r="AK158" s="2175"/>
      <c r="AL158" s="2175"/>
      <c r="AM158" s="2175"/>
      <c r="AN158" s="2175"/>
      <c r="AO158" s="2175"/>
      <c r="AP158" s="2175"/>
      <c r="AQ158" s="2175"/>
      <c r="AR158" s="2176"/>
      <c r="AS158" s="1950"/>
      <c r="AT158" s="1951"/>
    </row>
    <row r="159" spans="1:46" ht="24.95" customHeight="1" x14ac:dyDescent="0.3">
      <c r="A159" s="1236"/>
      <c r="B159" s="1237">
        <v>15</v>
      </c>
      <c r="C159" s="1658"/>
      <c r="D159" s="1236"/>
      <c r="E159" s="2650"/>
      <c r="F159" s="2651"/>
      <c r="G159" s="2651"/>
      <c r="H159" s="2651"/>
      <c r="I159" s="2652"/>
      <c r="J159" s="2109"/>
      <c r="K159" s="2109"/>
      <c r="L159" s="2109"/>
      <c r="M159" s="2109"/>
      <c r="N159" s="2109"/>
      <c r="O159" s="2109"/>
      <c r="P159" s="2109"/>
      <c r="Q159" s="2109"/>
      <c r="R159" s="2109"/>
      <c r="S159" s="2109"/>
      <c r="T159" s="2193"/>
      <c r="U159" s="2193"/>
      <c r="V159" s="2193"/>
      <c r="W159" s="2194">
        <f>IFERROR(AVERAGE(W150:W158),"  ")</f>
        <v>0</v>
      </c>
      <c r="X159" s="1454" t="str">
        <f>IF(W159&gt;85,("4"),IF(W159&gt;80,("3.66"),IF(W159&gt;75,("3.33"),IF(W159&gt;70,("3.00"),IF(W159&gt;65,("2.66"),IF(W159&gt;60,("2.33"),IF(W159&gt;55,("2"),IF(W159&gt;50,("1.66"),"1.33"))))))))</f>
        <v>1.33</v>
      </c>
      <c r="Y159" s="1454" t="str">
        <f>IF(W159&gt;85,("A"),IF(W159&gt;80,("A-"),IF(W159&gt;75,("B+"),IF(W159&gt;70,("B"),IF(W159&gt;65,("B-"),IF(W159&gt;60,("C+"),IF(W159&gt;55,("C"),IF(W159&gt;50,("C-"),"D+"))))))))</f>
        <v>D+</v>
      </c>
      <c r="Z159" s="1666"/>
      <c r="AA159" s="2182"/>
      <c r="AB159" s="2183"/>
      <c r="AC159" s="2183"/>
      <c r="AD159" s="2183"/>
      <c r="AE159" s="2183"/>
      <c r="AF159" s="2183"/>
      <c r="AG159" s="2183"/>
      <c r="AH159" s="2183"/>
      <c r="AI159" s="2183"/>
      <c r="AJ159" s="2183"/>
      <c r="AK159" s="2183"/>
      <c r="AL159" s="2183"/>
      <c r="AM159" s="2183"/>
      <c r="AN159" s="2183"/>
      <c r="AO159" s="2183"/>
      <c r="AP159" s="2183"/>
      <c r="AQ159" s="2183"/>
      <c r="AR159" s="2184"/>
      <c r="AS159" s="1952"/>
      <c r="AT159" s="1953"/>
    </row>
    <row r="160" spans="1:46" ht="24.95" customHeight="1" x14ac:dyDescent="0.3">
      <c r="A160" s="1224">
        <v>16</v>
      </c>
      <c r="B160" s="1224"/>
      <c r="C160" s="1653" t="str">
        <f>VLOOKUP(A160,data_siswa,4,FALSE)</f>
        <v>Nabilla Shiva Putri</v>
      </c>
      <c r="D160" s="1654" t="s">
        <v>603</v>
      </c>
      <c r="E160" s="1211">
        <v>0</v>
      </c>
      <c r="F160" s="1211">
        <v>0</v>
      </c>
      <c r="G160" s="1211">
        <v>0</v>
      </c>
      <c r="H160" s="2185"/>
      <c r="I160" s="2185"/>
      <c r="J160" s="2185"/>
      <c r="K160" s="1211"/>
      <c r="L160" s="1211"/>
      <c r="M160" s="1211"/>
      <c r="N160" s="2185"/>
      <c r="O160" s="2185"/>
      <c r="P160" s="2185"/>
      <c r="Q160" s="1211"/>
      <c r="R160" s="1211"/>
      <c r="S160" s="1211"/>
      <c r="T160" s="2189">
        <f>MAX(H160,K160,N160,Q160)</f>
        <v>0</v>
      </c>
      <c r="U160" s="2190">
        <f t="shared" ref="U160:U168" si="111">MAX(I160,L160,O160,R160)</f>
        <v>0</v>
      </c>
      <c r="V160" s="2191">
        <f t="shared" ref="V160:V168" si="112">MAX(J160,M160,P160,S160)</f>
        <v>0</v>
      </c>
      <c r="W160" s="2192">
        <f>IFERROR(AVERAGE(T160:V160),"")</f>
        <v>0</v>
      </c>
      <c r="X160" s="1075" t="str">
        <f>IF(W160&gt;85,("4"),IF(W160&gt;80,("3.66"),IF(W160&gt;75,("3.33"),IF(W160&gt;70,("3.00"),IF(W160&gt;65,("2.66"),IF(W160&gt;60,("2.33"),IF(W160&gt;55,("2"),IF(W160&gt;50,("1.66"),"1.33"))))))))</f>
        <v>1.33</v>
      </c>
      <c r="Y160" s="1075" t="str">
        <f>IF(W160&gt;85,("A"),IF(W160&gt;80,("A-"),IF(W160&gt;75,("B+"),IF(W160&gt;70,("B"),IF(W160&gt;65,("B-"),IF(W160&gt;60,("C+"),IF(W160&gt;55,("C"),IF(W160&gt;50,("C-"),"D+"))))))))</f>
        <v>D+</v>
      </c>
      <c r="Z160" s="1075" t="str">
        <f>IF(W160&gt;80,("SB"),IF(W160&gt;65,("B"),IF(W160&gt;50,("C"),IF(W160&gt;0,("K"),"0"))))</f>
        <v>0</v>
      </c>
      <c r="AA160" s="2180"/>
      <c r="AB160" s="2180"/>
      <c r="AC160" s="2180"/>
      <c r="AD160" s="2180"/>
      <c r="AE160" s="2180"/>
      <c r="AF160" s="2180"/>
      <c r="AG160" s="2180"/>
      <c r="AH160" s="2180"/>
      <c r="AI160" s="2180"/>
      <c r="AJ160" s="2181"/>
      <c r="AK160" s="2181"/>
      <c r="AL160" s="2181"/>
      <c r="AM160" s="2181"/>
      <c r="AN160" s="2181"/>
      <c r="AO160" s="2181"/>
      <c r="AP160" s="2181"/>
      <c r="AQ160" s="2181"/>
      <c r="AR160" s="2181"/>
      <c r="AS160" s="1910">
        <f>W169</f>
        <v>0</v>
      </c>
      <c r="AT160" s="1910" t="str">
        <f>Y169</f>
        <v>D+</v>
      </c>
    </row>
    <row r="161" spans="1:46" ht="24.95" customHeight="1" x14ac:dyDescent="0.3">
      <c r="A161" s="1207"/>
      <c r="B161" s="1207"/>
      <c r="C161" s="1655"/>
      <c r="D161" s="1654" t="s">
        <v>604</v>
      </c>
      <c r="E161" s="23">
        <v>0</v>
      </c>
      <c r="F161" s="23">
        <v>0</v>
      </c>
      <c r="G161" s="23">
        <v>0</v>
      </c>
      <c r="H161" s="2186"/>
      <c r="I161" s="2186"/>
      <c r="J161" s="2186"/>
      <c r="K161" s="23"/>
      <c r="L161" s="23"/>
      <c r="M161" s="23"/>
      <c r="N161" s="2186"/>
      <c r="O161" s="2186"/>
      <c r="P161" s="2186"/>
      <c r="Q161" s="23"/>
      <c r="R161" s="23"/>
      <c r="S161" s="23"/>
      <c r="T161" s="2189">
        <f t="shared" ref="T161:T168" si="113">MAX(H161,K161,N161,Q161)</f>
        <v>0</v>
      </c>
      <c r="U161" s="2190">
        <f t="shared" si="111"/>
        <v>0</v>
      </c>
      <c r="V161" s="2191">
        <f t="shared" si="112"/>
        <v>0</v>
      </c>
      <c r="W161" s="2192">
        <f t="shared" ref="W161:W168" si="114">IFERROR(AVERAGE(T161:V161),"")</f>
        <v>0</v>
      </c>
      <c r="X161" s="1075" t="str">
        <f t="shared" ref="X161:X168" si="115">IF(W161&gt;85,("4"),IF(W161&gt;80,("3.66"),IF(W161&gt;75,("3.33"),IF(W161&gt;70,("3.00"),IF(W161&gt;65,("2.66"),IF(W161&gt;60,("2.33"),IF(W161&gt;55,("2"),IF(W161&gt;50,("1.66"),"1.33"))))))))</f>
        <v>1.33</v>
      </c>
      <c r="Y161" s="1075" t="str">
        <f t="shared" ref="Y161:Y168" si="116">IF(W161&gt;85,("A"),IF(W161&gt;80,("A-"),IF(W161&gt;75,("B+"),IF(W161&gt;70,("B"),IF(W161&gt;65,("B-"),IF(W161&gt;60,("C+"),IF(W161&gt;55,("C"),IF(W161&gt;50,("C-"),"D+"))))))))</f>
        <v>D+</v>
      </c>
      <c r="Z161" s="1075" t="str">
        <f t="shared" ref="Z161:Z168" si="117">IF(W161&gt;80,("SB"),IF(W161&gt;65,("B"),IF(W161&gt;50,("C"),IF(W161&gt;0,("K"),"0"))))</f>
        <v>0</v>
      </c>
      <c r="AA161" s="2169"/>
      <c r="AB161" s="2170"/>
      <c r="AC161" s="2170"/>
      <c r="AD161" s="2170"/>
      <c r="AE161" s="2170"/>
      <c r="AF161" s="2170"/>
      <c r="AG161" s="2170"/>
      <c r="AH161" s="2170"/>
      <c r="AI161" s="2170"/>
      <c r="AJ161" s="2171"/>
      <c r="AK161" s="2171"/>
      <c r="AL161" s="2171"/>
      <c r="AM161" s="2171"/>
      <c r="AN161" s="2171"/>
      <c r="AO161" s="2171"/>
      <c r="AP161" s="2171"/>
      <c r="AQ161" s="2171"/>
      <c r="AR161" s="2172"/>
      <c r="AS161" s="1946"/>
      <c r="AT161" s="1947"/>
    </row>
    <row r="162" spans="1:46" ht="24.95" customHeight="1" x14ac:dyDescent="0.3">
      <c r="A162" s="1207"/>
      <c r="B162" s="1207"/>
      <c r="C162" s="1655"/>
      <c r="D162" s="1654" t="s">
        <v>605</v>
      </c>
      <c r="E162" s="23">
        <v>0</v>
      </c>
      <c r="F162" s="23">
        <v>0</v>
      </c>
      <c r="G162" s="23">
        <v>0</v>
      </c>
      <c r="H162" s="2186"/>
      <c r="I162" s="2186"/>
      <c r="J162" s="2186"/>
      <c r="K162" s="23"/>
      <c r="L162" s="23"/>
      <c r="M162" s="23"/>
      <c r="N162" s="2186"/>
      <c r="O162" s="2186"/>
      <c r="P162" s="2186"/>
      <c r="Q162" s="23"/>
      <c r="R162" s="23"/>
      <c r="S162" s="23"/>
      <c r="T162" s="2189">
        <f t="shared" si="113"/>
        <v>0</v>
      </c>
      <c r="U162" s="2190">
        <f t="shared" si="111"/>
        <v>0</v>
      </c>
      <c r="V162" s="2191">
        <f t="shared" si="112"/>
        <v>0</v>
      </c>
      <c r="W162" s="2192">
        <f t="shared" si="114"/>
        <v>0</v>
      </c>
      <c r="X162" s="1075" t="str">
        <f t="shared" si="115"/>
        <v>1.33</v>
      </c>
      <c r="Y162" s="1075" t="str">
        <f t="shared" si="116"/>
        <v>D+</v>
      </c>
      <c r="Z162" s="1075" t="str">
        <f t="shared" si="117"/>
        <v>0</v>
      </c>
      <c r="AA162" s="2173"/>
      <c r="AB162" s="2174"/>
      <c r="AC162" s="2174"/>
      <c r="AD162" s="2174"/>
      <c r="AE162" s="2174"/>
      <c r="AF162" s="2174"/>
      <c r="AG162" s="2174"/>
      <c r="AH162" s="2174"/>
      <c r="AI162" s="2174"/>
      <c r="AJ162" s="2175"/>
      <c r="AK162" s="2175"/>
      <c r="AL162" s="2175"/>
      <c r="AM162" s="2175"/>
      <c r="AN162" s="2175"/>
      <c r="AO162" s="2175"/>
      <c r="AP162" s="2175"/>
      <c r="AQ162" s="2175"/>
      <c r="AR162" s="2176"/>
      <c r="AS162" s="1948"/>
      <c r="AT162" s="1949"/>
    </row>
    <row r="163" spans="1:46" ht="24.95" customHeight="1" x14ac:dyDescent="0.3">
      <c r="A163" s="1207"/>
      <c r="B163" s="1207"/>
      <c r="C163" s="1655"/>
      <c r="D163" s="1654" t="s">
        <v>155</v>
      </c>
      <c r="E163" s="23"/>
      <c r="F163" s="23"/>
      <c r="G163" s="23"/>
      <c r="H163" s="2186">
        <v>0</v>
      </c>
      <c r="I163" s="2186">
        <v>0</v>
      </c>
      <c r="J163" s="2186">
        <v>0</v>
      </c>
      <c r="K163" s="23"/>
      <c r="L163" s="23"/>
      <c r="M163" s="23"/>
      <c r="N163" s="2186"/>
      <c r="O163" s="2186"/>
      <c r="P163" s="2186"/>
      <c r="Q163" s="23"/>
      <c r="R163" s="23"/>
      <c r="S163" s="23"/>
      <c r="T163" s="2189">
        <f t="shared" si="113"/>
        <v>0</v>
      </c>
      <c r="U163" s="2190">
        <f t="shared" si="111"/>
        <v>0</v>
      </c>
      <c r="V163" s="2191">
        <f t="shared" si="112"/>
        <v>0</v>
      </c>
      <c r="W163" s="2192">
        <f t="shared" si="114"/>
        <v>0</v>
      </c>
      <c r="X163" s="1075" t="str">
        <f t="shared" si="115"/>
        <v>1.33</v>
      </c>
      <c r="Y163" s="1075" t="str">
        <f t="shared" si="116"/>
        <v>D+</v>
      </c>
      <c r="Z163" s="1075" t="str">
        <f t="shared" si="117"/>
        <v>0</v>
      </c>
      <c r="AA163" s="2173"/>
      <c r="AB163" s="2174"/>
      <c r="AC163" s="2174"/>
      <c r="AD163" s="2174"/>
      <c r="AE163" s="2174"/>
      <c r="AF163" s="2174"/>
      <c r="AG163" s="2174"/>
      <c r="AH163" s="2174"/>
      <c r="AI163" s="2174"/>
      <c r="AJ163" s="2175"/>
      <c r="AK163" s="2175"/>
      <c r="AL163" s="2175"/>
      <c r="AM163" s="2175"/>
      <c r="AN163" s="2175"/>
      <c r="AO163" s="2175"/>
      <c r="AP163" s="2175"/>
      <c r="AQ163" s="2175"/>
      <c r="AR163" s="2176"/>
      <c r="AS163" s="1948"/>
      <c r="AT163" s="1949"/>
    </row>
    <row r="164" spans="1:46" ht="24.95" customHeight="1" x14ac:dyDescent="0.3">
      <c r="A164" s="1207"/>
      <c r="B164" s="1207"/>
      <c r="C164" s="1655"/>
      <c r="D164" s="1654" t="s">
        <v>187</v>
      </c>
      <c r="E164" s="23"/>
      <c r="F164" s="23"/>
      <c r="G164" s="23"/>
      <c r="H164" s="2186"/>
      <c r="I164" s="2186"/>
      <c r="J164" s="2186"/>
      <c r="K164" s="23">
        <v>0</v>
      </c>
      <c r="L164" s="23">
        <v>0</v>
      </c>
      <c r="M164" s="23">
        <v>0</v>
      </c>
      <c r="N164" s="2186"/>
      <c r="O164" s="2186"/>
      <c r="P164" s="2186"/>
      <c r="Q164" s="23"/>
      <c r="R164" s="23"/>
      <c r="S164" s="23"/>
      <c r="T164" s="2189">
        <f t="shared" si="113"/>
        <v>0</v>
      </c>
      <c r="U164" s="2190">
        <f t="shared" si="111"/>
        <v>0</v>
      </c>
      <c r="V164" s="2191">
        <f t="shared" si="112"/>
        <v>0</v>
      </c>
      <c r="W164" s="2192">
        <f t="shared" si="114"/>
        <v>0</v>
      </c>
      <c r="X164" s="1075" t="str">
        <f t="shared" si="115"/>
        <v>1.33</v>
      </c>
      <c r="Y164" s="1075" t="str">
        <f t="shared" si="116"/>
        <v>D+</v>
      </c>
      <c r="Z164" s="1075" t="str">
        <f t="shared" si="117"/>
        <v>0</v>
      </c>
      <c r="AA164" s="2173"/>
      <c r="AB164" s="2174"/>
      <c r="AC164" s="2174"/>
      <c r="AD164" s="2174"/>
      <c r="AE164" s="2174"/>
      <c r="AF164" s="2174"/>
      <c r="AG164" s="2174"/>
      <c r="AH164" s="2174"/>
      <c r="AI164" s="2174"/>
      <c r="AJ164" s="2175"/>
      <c r="AK164" s="2175"/>
      <c r="AL164" s="2175"/>
      <c r="AM164" s="2175"/>
      <c r="AN164" s="2175"/>
      <c r="AO164" s="2175"/>
      <c r="AP164" s="2175"/>
      <c r="AQ164" s="2175"/>
      <c r="AR164" s="2176"/>
      <c r="AS164" s="1948"/>
      <c r="AT164" s="1949"/>
    </row>
    <row r="165" spans="1:46" ht="24.95" customHeight="1" x14ac:dyDescent="0.3">
      <c r="A165" s="1207"/>
      <c r="B165" s="1207"/>
      <c r="C165" s="1655"/>
      <c r="D165" s="1654" t="s">
        <v>17</v>
      </c>
      <c r="E165" s="23"/>
      <c r="F165" s="23"/>
      <c r="G165" s="23"/>
      <c r="H165" s="2186"/>
      <c r="I165" s="2186"/>
      <c r="J165" s="2186"/>
      <c r="K165" s="23">
        <v>0</v>
      </c>
      <c r="L165" s="23">
        <v>0</v>
      </c>
      <c r="M165" s="23">
        <v>0</v>
      </c>
      <c r="N165" s="2186"/>
      <c r="O165" s="2186"/>
      <c r="P165" s="2186"/>
      <c r="Q165" s="23"/>
      <c r="R165" s="23"/>
      <c r="S165" s="23"/>
      <c r="T165" s="2189">
        <f t="shared" si="113"/>
        <v>0</v>
      </c>
      <c r="U165" s="2190">
        <f t="shared" si="111"/>
        <v>0</v>
      </c>
      <c r="V165" s="2191">
        <f t="shared" si="112"/>
        <v>0</v>
      </c>
      <c r="W165" s="2192">
        <f t="shared" si="114"/>
        <v>0</v>
      </c>
      <c r="X165" s="1075" t="str">
        <f t="shared" si="115"/>
        <v>1.33</v>
      </c>
      <c r="Y165" s="1075" t="str">
        <f t="shared" si="116"/>
        <v>D+</v>
      </c>
      <c r="Z165" s="1075" t="str">
        <f t="shared" si="117"/>
        <v>0</v>
      </c>
      <c r="AA165" s="2173"/>
      <c r="AB165" s="2174"/>
      <c r="AC165" s="2174"/>
      <c r="AD165" s="2174"/>
      <c r="AE165" s="2174"/>
      <c r="AF165" s="2174"/>
      <c r="AG165" s="2174"/>
      <c r="AH165" s="2174"/>
      <c r="AI165" s="2174"/>
      <c r="AJ165" s="2175"/>
      <c r="AK165" s="2175"/>
      <c r="AL165" s="2175"/>
      <c r="AM165" s="2175"/>
      <c r="AN165" s="2175"/>
      <c r="AO165" s="2175"/>
      <c r="AP165" s="2175"/>
      <c r="AQ165" s="2175"/>
      <c r="AR165" s="2176"/>
      <c r="AS165" s="1948"/>
      <c r="AT165" s="1949"/>
    </row>
    <row r="166" spans="1:46" ht="24.95" customHeight="1" x14ac:dyDescent="0.3">
      <c r="A166" s="1207"/>
      <c r="B166" s="1207"/>
      <c r="C166" s="1655"/>
      <c r="D166" s="1654" t="s">
        <v>606</v>
      </c>
      <c r="E166" s="23"/>
      <c r="F166" s="23"/>
      <c r="G166" s="23"/>
      <c r="H166" s="2186"/>
      <c r="I166" s="2186"/>
      <c r="J166" s="2186"/>
      <c r="K166" s="23"/>
      <c r="L166" s="23"/>
      <c r="M166" s="23"/>
      <c r="N166" s="2186">
        <v>0</v>
      </c>
      <c r="O166" s="2186">
        <v>0</v>
      </c>
      <c r="P166" s="2186">
        <v>0</v>
      </c>
      <c r="Q166" s="23"/>
      <c r="R166" s="23"/>
      <c r="S166" s="23"/>
      <c r="T166" s="2189">
        <f t="shared" si="113"/>
        <v>0</v>
      </c>
      <c r="U166" s="2190">
        <f t="shared" si="111"/>
        <v>0</v>
      </c>
      <c r="V166" s="2191">
        <f t="shared" si="112"/>
        <v>0</v>
      </c>
      <c r="W166" s="2192">
        <f t="shared" si="114"/>
        <v>0</v>
      </c>
      <c r="X166" s="1075" t="str">
        <f t="shared" si="115"/>
        <v>1.33</v>
      </c>
      <c r="Y166" s="1075" t="str">
        <f t="shared" si="116"/>
        <v>D+</v>
      </c>
      <c r="Z166" s="1075" t="str">
        <f t="shared" si="117"/>
        <v>0</v>
      </c>
      <c r="AA166" s="2173"/>
      <c r="AB166" s="2174"/>
      <c r="AC166" s="2174"/>
      <c r="AD166" s="2174"/>
      <c r="AE166" s="2174"/>
      <c r="AF166" s="2174"/>
      <c r="AG166" s="2174"/>
      <c r="AH166" s="2174"/>
      <c r="AI166" s="2174"/>
      <c r="AJ166" s="2175"/>
      <c r="AK166" s="2175"/>
      <c r="AL166" s="2175"/>
      <c r="AM166" s="2175"/>
      <c r="AN166" s="2175"/>
      <c r="AO166" s="2175"/>
      <c r="AP166" s="2175"/>
      <c r="AQ166" s="2175"/>
      <c r="AR166" s="2176"/>
      <c r="AS166" s="1948"/>
      <c r="AT166" s="1949"/>
    </row>
    <row r="167" spans="1:46" ht="24.95" customHeight="1" x14ac:dyDescent="0.3">
      <c r="A167" s="1207"/>
      <c r="B167" s="1207"/>
      <c r="C167" s="1655"/>
      <c r="D167" s="1654" t="s">
        <v>607</v>
      </c>
      <c r="E167" s="23"/>
      <c r="F167" s="23"/>
      <c r="G167" s="23"/>
      <c r="H167" s="2186"/>
      <c r="I167" s="2186"/>
      <c r="J167" s="2186"/>
      <c r="K167" s="23"/>
      <c r="L167" s="23"/>
      <c r="M167" s="23"/>
      <c r="N167" s="2186">
        <v>0</v>
      </c>
      <c r="O167" s="2186">
        <v>0</v>
      </c>
      <c r="P167" s="2186">
        <v>0</v>
      </c>
      <c r="Q167" s="23"/>
      <c r="R167" s="23"/>
      <c r="S167" s="23"/>
      <c r="T167" s="2189">
        <f t="shared" si="113"/>
        <v>0</v>
      </c>
      <c r="U167" s="2190">
        <f t="shared" si="111"/>
        <v>0</v>
      </c>
      <c r="V167" s="2191">
        <f t="shared" si="112"/>
        <v>0</v>
      </c>
      <c r="W167" s="2192">
        <f t="shared" si="114"/>
        <v>0</v>
      </c>
      <c r="X167" s="1075" t="str">
        <f t="shared" si="115"/>
        <v>1.33</v>
      </c>
      <c r="Y167" s="1075" t="str">
        <f t="shared" si="116"/>
        <v>D+</v>
      </c>
      <c r="Z167" s="1075" t="str">
        <f t="shared" si="117"/>
        <v>0</v>
      </c>
      <c r="AA167" s="2173"/>
      <c r="AB167" s="2174"/>
      <c r="AC167" s="2174"/>
      <c r="AD167" s="2174"/>
      <c r="AE167" s="2174"/>
      <c r="AF167" s="2174"/>
      <c r="AG167" s="2174"/>
      <c r="AH167" s="2174"/>
      <c r="AI167" s="2174"/>
      <c r="AJ167" s="2175"/>
      <c r="AK167" s="2175"/>
      <c r="AL167" s="2175"/>
      <c r="AM167" s="2175"/>
      <c r="AN167" s="2175"/>
      <c r="AO167" s="2175"/>
      <c r="AP167" s="2175"/>
      <c r="AQ167" s="2175"/>
      <c r="AR167" s="2176"/>
      <c r="AS167" s="1948"/>
      <c r="AT167" s="1949"/>
    </row>
    <row r="168" spans="1:46" ht="24.95" customHeight="1" x14ac:dyDescent="0.3">
      <c r="A168" s="1656"/>
      <c r="B168" s="1207"/>
      <c r="C168" s="1655"/>
      <c r="D168" s="1654" t="s">
        <v>22</v>
      </c>
      <c r="E168" s="2187"/>
      <c r="F168" s="2187"/>
      <c r="G168" s="2187"/>
      <c r="H168" s="2188"/>
      <c r="I168" s="2186"/>
      <c r="J168" s="2186"/>
      <c r="K168" s="23"/>
      <c r="L168" s="23"/>
      <c r="M168" s="23"/>
      <c r="N168" s="2186"/>
      <c r="O168" s="2186"/>
      <c r="P168" s="2186"/>
      <c r="Q168" s="23">
        <v>0</v>
      </c>
      <c r="R168" s="23">
        <v>0</v>
      </c>
      <c r="S168" s="23">
        <v>0</v>
      </c>
      <c r="T168" s="2189">
        <f t="shared" si="113"/>
        <v>0</v>
      </c>
      <c r="U168" s="2190">
        <f t="shared" si="111"/>
        <v>0</v>
      </c>
      <c r="V168" s="2191">
        <f t="shared" si="112"/>
        <v>0</v>
      </c>
      <c r="W168" s="2192">
        <f t="shared" si="114"/>
        <v>0</v>
      </c>
      <c r="X168" s="1075" t="str">
        <f t="shared" si="115"/>
        <v>1.33</v>
      </c>
      <c r="Y168" s="1075" t="str">
        <f t="shared" si="116"/>
        <v>D+</v>
      </c>
      <c r="Z168" s="1075" t="str">
        <f t="shared" si="117"/>
        <v>0</v>
      </c>
      <c r="AA168" s="2173"/>
      <c r="AB168" s="2174"/>
      <c r="AC168" s="2174"/>
      <c r="AD168" s="2174"/>
      <c r="AE168" s="2174"/>
      <c r="AF168" s="2174"/>
      <c r="AG168" s="2174"/>
      <c r="AH168" s="2174"/>
      <c r="AI168" s="2174"/>
      <c r="AJ168" s="2175"/>
      <c r="AK168" s="2175"/>
      <c r="AL168" s="2175"/>
      <c r="AM168" s="2175"/>
      <c r="AN168" s="2175"/>
      <c r="AO168" s="2175"/>
      <c r="AP168" s="2175"/>
      <c r="AQ168" s="2175"/>
      <c r="AR168" s="2176"/>
      <c r="AS168" s="1950"/>
      <c r="AT168" s="1951"/>
    </row>
    <row r="169" spans="1:46" ht="24.95" customHeight="1" x14ac:dyDescent="0.3">
      <c r="A169" s="1236"/>
      <c r="B169" s="1237">
        <v>16</v>
      </c>
      <c r="C169" s="1658"/>
      <c r="D169" s="1236"/>
      <c r="E169" s="2650"/>
      <c r="F169" s="2651"/>
      <c r="G169" s="2651"/>
      <c r="H169" s="2651"/>
      <c r="I169" s="2652"/>
      <c r="J169" s="2109"/>
      <c r="K169" s="2109"/>
      <c r="L169" s="2109"/>
      <c r="M169" s="2109"/>
      <c r="N169" s="2109"/>
      <c r="O169" s="2109"/>
      <c r="P169" s="2109"/>
      <c r="Q169" s="2109"/>
      <c r="R169" s="2109"/>
      <c r="S169" s="2109"/>
      <c r="T169" s="2193"/>
      <c r="U169" s="2193"/>
      <c r="V169" s="2193"/>
      <c r="W169" s="2194">
        <f>IFERROR(AVERAGE(W160:W168),"  ")</f>
        <v>0</v>
      </c>
      <c r="X169" s="1454" t="str">
        <f>IF(W169&gt;85,("4"),IF(W169&gt;80,("3.66"),IF(W169&gt;75,("3.33"),IF(W169&gt;70,("3.00"),IF(W169&gt;65,("2.66"),IF(W169&gt;60,("2.33"),IF(W169&gt;55,("2"),IF(W169&gt;50,("1.66"),"1.33"))))))))</f>
        <v>1.33</v>
      </c>
      <c r="Y169" s="1454" t="str">
        <f>IF(W169&gt;85,("A"),IF(W169&gt;80,("A-"),IF(W169&gt;75,("B+"),IF(W169&gt;70,("B"),IF(W169&gt;65,("B-"),IF(W169&gt;60,("C+"),IF(W169&gt;55,("C"),IF(W169&gt;50,("C-"),"D+"))))))))</f>
        <v>D+</v>
      </c>
      <c r="Z169" s="1666"/>
      <c r="AA169" s="2182"/>
      <c r="AB169" s="2183"/>
      <c r="AC169" s="2183"/>
      <c r="AD169" s="2183"/>
      <c r="AE169" s="2183"/>
      <c r="AF169" s="2183"/>
      <c r="AG169" s="2183"/>
      <c r="AH169" s="2183"/>
      <c r="AI169" s="2183"/>
      <c r="AJ169" s="2183"/>
      <c r="AK169" s="2183"/>
      <c r="AL169" s="2183"/>
      <c r="AM169" s="2183"/>
      <c r="AN169" s="2183"/>
      <c r="AO169" s="2183"/>
      <c r="AP169" s="2183"/>
      <c r="AQ169" s="2183"/>
      <c r="AR169" s="2184"/>
      <c r="AS169" s="1952"/>
      <c r="AT169" s="1953"/>
    </row>
    <row r="170" spans="1:46" ht="24.95" customHeight="1" x14ac:dyDescent="0.3">
      <c r="A170" s="1224">
        <v>17</v>
      </c>
      <c r="B170" s="1224"/>
      <c r="C170" s="1653" t="str">
        <f>VLOOKUP(A170,data_siswa,4,FALSE)</f>
        <v>Naufal Falih F</v>
      </c>
      <c r="D170" s="1654" t="s">
        <v>603</v>
      </c>
      <c r="E170" s="1211">
        <v>0</v>
      </c>
      <c r="F170" s="1211">
        <v>0</v>
      </c>
      <c r="G170" s="1211">
        <v>0</v>
      </c>
      <c r="H170" s="2185"/>
      <c r="I170" s="2185"/>
      <c r="J170" s="2185"/>
      <c r="K170" s="1211"/>
      <c r="L170" s="1211"/>
      <c r="M170" s="1211"/>
      <c r="N170" s="2185"/>
      <c r="O170" s="2185"/>
      <c r="P170" s="2185"/>
      <c r="Q170" s="1211"/>
      <c r="R170" s="1211"/>
      <c r="S170" s="1211"/>
      <c r="T170" s="2189">
        <f>MAX(H170,K170,N170,Q170)</f>
        <v>0</v>
      </c>
      <c r="U170" s="2190">
        <f t="shared" ref="U170:U178" si="118">MAX(I170,L170,O170,R170)</f>
        <v>0</v>
      </c>
      <c r="V170" s="2191">
        <f t="shared" ref="V170:V178" si="119">MAX(J170,M170,P170,S170)</f>
        <v>0</v>
      </c>
      <c r="W170" s="2192">
        <f>IFERROR(AVERAGE(T170:V170),"")</f>
        <v>0</v>
      </c>
      <c r="X170" s="1075" t="str">
        <f>IF(W170&gt;85,("4"),IF(W170&gt;80,("3.66"),IF(W170&gt;75,("3.33"),IF(W170&gt;70,("3.00"),IF(W170&gt;65,("2.66"),IF(W170&gt;60,("2.33"),IF(W170&gt;55,("2"),IF(W170&gt;50,("1.66"),"1.33"))))))))</f>
        <v>1.33</v>
      </c>
      <c r="Y170" s="1075" t="str">
        <f>IF(W170&gt;85,("A"),IF(W170&gt;80,("A-"),IF(W170&gt;75,("B+"),IF(W170&gt;70,("B"),IF(W170&gt;65,("B-"),IF(W170&gt;60,("C+"),IF(W170&gt;55,("C"),IF(W170&gt;50,("C-"),"D+"))))))))</f>
        <v>D+</v>
      </c>
      <c r="Z170" s="1075" t="str">
        <f>IF(W170&gt;80,("SB"),IF(W170&gt;65,("B"),IF(W170&gt;50,("C"),IF(W170&gt;0,("K"),"0"))))</f>
        <v>0</v>
      </c>
      <c r="AA170" s="2180"/>
      <c r="AB170" s="2180"/>
      <c r="AC170" s="2180"/>
      <c r="AD170" s="2180"/>
      <c r="AE170" s="2180"/>
      <c r="AF170" s="2180"/>
      <c r="AG170" s="2180"/>
      <c r="AH170" s="2180"/>
      <c r="AI170" s="2180"/>
      <c r="AJ170" s="2181"/>
      <c r="AK170" s="2181"/>
      <c r="AL170" s="2181"/>
      <c r="AM170" s="2181"/>
      <c r="AN170" s="2181"/>
      <c r="AO170" s="2181"/>
      <c r="AP170" s="2181"/>
      <c r="AQ170" s="2181"/>
      <c r="AR170" s="2181"/>
      <c r="AS170" s="1910">
        <f>W179</f>
        <v>0</v>
      </c>
      <c r="AT170" s="1910" t="str">
        <f>Y179</f>
        <v>D+</v>
      </c>
    </row>
    <row r="171" spans="1:46" ht="24.95" customHeight="1" x14ac:dyDescent="0.3">
      <c r="A171" s="1207"/>
      <c r="B171" s="1207"/>
      <c r="C171" s="1655"/>
      <c r="D171" s="1654" t="s">
        <v>604</v>
      </c>
      <c r="E171" s="23">
        <v>0</v>
      </c>
      <c r="F171" s="23">
        <v>0</v>
      </c>
      <c r="G171" s="23">
        <v>0</v>
      </c>
      <c r="H171" s="2186"/>
      <c r="I171" s="2186"/>
      <c r="J171" s="2186"/>
      <c r="K171" s="23"/>
      <c r="L171" s="23"/>
      <c r="M171" s="23"/>
      <c r="N171" s="2186"/>
      <c r="O171" s="2186"/>
      <c r="P171" s="2186"/>
      <c r="Q171" s="23"/>
      <c r="R171" s="23"/>
      <c r="S171" s="23"/>
      <c r="T171" s="2189">
        <f t="shared" ref="T171:T178" si="120">MAX(H171,K171,N171,Q171)</f>
        <v>0</v>
      </c>
      <c r="U171" s="2190">
        <f t="shared" si="118"/>
        <v>0</v>
      </c>
      <c r="V171" s="2191">
        <f t="shared" si="119"/>
        <v>0</v>
      </c>
      <c r="W171" s="2192">
        <f t="shared" ref="W171:W178" si="121">IFERROR(AVERAGE(T171:V171),"")</f>
        <v>0</v>
      </c>
      <c r="X171" s="1075" t="str">
        <f t="shared" ref="X171:X178" si="122">IF(W171&gt;85,("4"),IF(W171&gt;80,("3.66"),IF(W171&gt;75,("3.33"),IF(W171&gt;70,("3.00"),IF(W171&gt;65,("2.66"),IF(W171&gt;60,("2.33"),IF(W171&gt;55,("2"),IF(W171&gt;50,("1.66"),"1.33"))))))))</f>
        <v>1.33</v>
      </c>
      <c r="Y171" s="1075" t="str">
        <f t="shared" ref="Y171:Y178" si="123">IF(W171&gt;85,("A"),IF(W171&gt;80,("A-"),IF(W171&gt;75,("B+"),IF(W171&gt;70,("B"),IF(W171&gt;65,("B-"),IF(W171&gt;60,("C+"),IF(W171&gt;55,("C"),IF(W171&gt;50,("C-"),"D+"))))))))</f>
        <v>D+</v>
      </c>
      <c r="Z171" s="1075" t="str">
        <f t="shared" ref="Z171:Z178" si="124">IF(W171&gt;80,("SB"),IF(W171&gt;65,("B"),IF(W171&gt;50,("C"),IF(W171&gt;0,("K"),"0"))))</f>
        <v>0</v>
      </c>
      <c r="AA171" s="2169"/>
      <c r="AB171" s="2170"/>
      <c r="AC171" s="2170"/>
      <c r="AD171" s="2170"/>
      <c r="AE171" s="2170"/>
      <c r="AF171" s="2170"/>
      <c r="AG171" s="2170"/>
      <c r="AH171" s="2170"/>
      <c r="AI171" s="2170"/>
      <c r="AJ171" s="2171"/>
      <c r="AK171" s="2171"/>
      <c r="AL171" s="2171"/>
      <c r="AM171" s="2171"/>
      <c r="AN171" s="2171"/>
      <c r="AO171" s="2171"/>
      <c r="AP171" s="2171"/>
      <c r="AQ171" s="2171"/>
      <c r="AR171" s="2172"/>
      <c r="AS171" s="1946"/>
      <c r="AT171" s="1947"/>
    </row>
    <row r="172" spans="1:46" ht="24.95" customHeight="1" x14ac:dyDescent="0.3">
      <c r="A172" s="1207"/>
      <c r="B172" s="1207"/>
      <c r="C172" s="1655"/>
      <c r="D172" s="1654" t="s">
        <v>605</v>
      </c>
      <c r="E172" s="23">
        <v>0</v>
      </c>
      <c r="F172" s="23">
        <v>0</v>
      </c>
      <c r="G172" s="23">
        <v>0</v>
      </c>
      <c r="H172" s="2186"/>
      <c r="I172" s="2186"/>
      <c r="J172" s="2186"/>
      <c r="K172" s="23"/>
      <c r="L172" s="23"/>
      <c r="M172" s="23"/>
      <c r="N172" s="2186"/>
      <c r="O172" s="2186"/>
      <c r="P172" s="2186"/>
      <c r="Q172" s="23"/>
      <c r="R172" s="23"/>
      <c r="S172" s="23"/>
      <c r="T172" s="2189">
        <f t="shared" si="120"/>
        <v>0</v>
      </c>
      <c r="U172" s="2190">
        <f t="shared" si="118"/>
        <v>0</v>
      </c>
      <c r="V172" s="2191">
        <f t="shared" si="119"/>
        <v>0</v>
      </c>
      <c r="W172" s="2192">
        <f t="shared" si="121"/>
        <v>0</v>
      </c>
      <c r="X172" s="1075" t="str">
        <f t="shared" si="122"/>
        <v>1.33</v>
      </c>
      <c r="Y172" s="1075" t="str">
        <f t="shared" si="123"/>
        <v>D+</v>
      </c>
      <c r="Z172" s="1075" t="str">
        <f t="shared" si="124"/>
        <v>0</v>
      </c>
      <c r="AA172" s="2173"/>
      <c r="AB172" s="2174"/>
      <c r="AC172" s="2174"/>
      <c r="AD172" s="2174"/>
      <c r="AE172" s="2174"/>
      <c r="AF172" s="2174"/>
      <c r="AG172" s="2174"/>
      <c r="AH172" s="2174"/>
      <c r="AI172" s="2174"/>
      <c r="AJ172" s="2175"/>
      <c r="AK172" s="2175"/>
      <c r="AL172" s="2175"/>
      <c r="AM172" s="2175"/>
      <c r="AN172" s="2175"/>
      <c r="AO172" s="2175"/>
      <c r="AP172" s="2175"/>
      <c r="AQ172" s="2175"/>
      <c r="AR172" s="2176"/>
      <c r="AS172" s="1948"/>
      <c r="AT172" s="1949"/>
    </row>
    <row r="173" spans="1:46" ht="24.95" customHeight="1" x14ac:dyDescent="0.3">
      <c r="A173" s="1207"/>
      <c r="B173" s="1207"/>
      <c r="C173" s="1655"/>
      <c r="D173" s="1654" t="s">
        <v>155</v>
      </c>
      <c r="E173" s="23"/>
      <c r="F173" s="23"/>
      <c r="G173" s="23"/>
      <c r="H173" s="2186">
        <v>0</v>
      </c>
      <c r="I173" s="2186">
        <v>0</v>
      </c>
      <c r="J173" s="2186">
        <v>0</v>
      </c>
      <c r="K173" s="23"/>
      <c r="L173" s="23"/>
      <c r="M173" s="23"/>
      <c r="N173" s="2186"/>
      <c r="O173" s="2186"/>
      <c r="P173" s="2186"/>
      <c r="Q173" s="23"/>
      <c r="R173" s="23"/>
      <c r="S173" s="23"/>
      <c r="T173" s="2189">
        <f t="shared" si="120"/>
        <v>0</v>
      </c>
      <c r="U173" s="2190">
        <f t="shared" si="118"/>
        <v>0</v>
      </c>
      <c r="V173" s="2191">
        <f t="shared" si="119"/>
        <v>0</v>
      </c>
      <c r="W173" s="2192">
        <f t="shared" si="121"/>
        <v>0</v>
      </c>
      <c r="X173" s="1075" t="str">
        <f t="shared" si="122"/>
        <v>1.33</v>
      </c>
      <c r="Y173" s="1075" t="str">
        <f t="shared" si="123"/>
        <v>D+</v>
      </c>
      <c r="Z173" s="1075" t="str">
        <f t="shared" si="124"/>
        <v>0</v>
      </c>
      <c r="AA173" s="2173"/>
      <c r="AB173" s="2174"/>
      <c r="AC173" s="2174"/>
      <c r="AD173" s="2174"/>
      <c r="AE173" s="2174"/>
      <c r="AF173" s="2174"/>
      <c r="AG173" s="2174"/>
      <c r="AH173" s="2174"/>
      <c r="AI173" s="2174"/>
      <c r="AJ173" s="2175"/>
      <c r="AK173" s="2175"/>
      <c r="AL173" s="2175"/>
      <c r="AM173" s="2175"/>
      <c r="AN173" s="2175"/>
      <c r="AO173" s="2175"/>
      <c r="AP173" s="2175"/>
      <c r="AQ173" s="2175"/>
      <c r="AR173" s="2176"/>
      <c r="AS173" s="1948"/>
      <c r="AT173" s="1949"/>
    </row>
    <row r="174" spans="1:46" ht="24.95" customHeight="1" x14ac:dyDescent="0.3">
      <c r="A174" s="1207"/>
      <c r="B174" s="1207"/>
      <c r="C174" s="1655"/>
      <c r="D174" s="1654" t="s">
        <v>187</v>
      </c>
      <c r="E174" s="23"/>
      <c r="F174" s="23"/>
      <c r="G174" s="23"/>
      <c r="H174" s="2186"/>
      <c r="I174" s="2186"/>
      <c r="J174" s="2186"/>
      <c r="K174" s="23">
        <v>0</v>
      </c>
      <c r="L174" s="23">
        <v>0</v>
      </c>
      <c r="M174" s="23">
        <v>0</v>
      </c>
      <c r="N174" s="2186"/>
      <c r="O174" s="2186"/>
      <c r="P174" s="2186"/>
      <c r="Q174" s="23"/>
      <c r="R174" s="23"/>
      <c r="S174" s="23"/>
      <c r="T174" s="2189">
        <f t="shared" si="120"/>
        <v>0</v>
      </c>
      <c r="U174" s="2190">
        <f t="shared" si="118"/>
        <v>0</v>
      </c>
      <c r="V174" s="2191">
        <f t="shared" si="119"/>
        <v>0</v>
      </c>
      <c r="W174" s="2192">
        <f t="shared" si="121"/>
        <v>0</v>
      </c>
      <c r="X174" s="1075" t="str">
        <f t="shared" si="122"/>
        <v>1.33</v>
      </c>
      <c r="Y174" s="1075" t="str">
        <f t="shared" si="123"/>
        <v>D+</v>
      </c>
      <c r="Z174" s="1075" t="str">
        <f t="shared" si="124"/>
        <v>0</v>
      </c>
      <c r="AA174" s="2173"/>
      <c r="AB174" s="2174"/>
      <c r="AC174" s="2174"/>
      <c r="AD174" s="2174"/>
      <c r="AE174" s="2174"/>
      <c r="AF174" s="2174"/>
      <c r="AG174" s="2174"/>
      <c r="AH174" s="2174"/>
      <c r="AI174" s="2174"/>
      <c r="AJ174" s="2175"/>
      <c r="AK174" s="2175"/>
      <c r="AL174" s="2175"/>
      <c r="AM174" s="2175"/>
      <c r="AN174" s="2175"/>
      <c r="AO174" s="2175"/>
      <c r="AP174" s="2175"/>
      <c r="AQ174" s="2175"/>
      <c r="AR174" s="2176"/>
      <c r="AS174" s="1948"/>
      <c r="AT174" s="1949"/>
    </row>
    <row r="175" spans="1:46" ht="24.95" customHeight="1" x14ac:dyDescent="0.3">
      <c r="A175" s="1207"/>
      <c r="B175" s="1207"/>
      <c r="C175" s="1655"/>
      <c r="D175" s="1654" t="s">
        <v>17</v>
      </c>
      <c r="E175" s="23"/>
      <c r="F175" s="23"/>
      <c r="G175" s="23"/>
      <c r="H175" s="2186"/>
      <c r="I175" s="2186"/>
      <c r="J175" s="2186"/>
      <c r="K175" s="23">
        <v>0</v>
      </c>
      <c r="L175" s="23">
        <v>0</v>
      </c>
      <c r="M175" s="23">
        <v>0</v>
      </c>
      <c r="N175" s="2186"/>
      <c r="O175" s="2186"/>
      <c r="P175" s="2186"/>
      <c r="Q175" s="23"/>
      <c r="R175" s="23"/>
      <c r="S175" s="23"/>
      <c r="T175" s="2189">
        <f t="shared" si="120"/>
        <v>0</v>
      </c>
      <c r="U175" s="2190">
        <f t="shared" si="118"/>
        <v>0</v>
      </c>
      <c r="V175" s="2191">
        <f t="shared" si="119"/>
        <v>0</v>
      </c>
      <c r="W175" s="2192">
        <f t="shared" si="121"/>
        <v>0</v>
      </c>
      <c r="X175" s="1075" t="str">
        <f t="shared" si="122"/>
        <v>1.33</v>
      </c>
      <c r="Y175" s="1075" t="str">
        <f t="shared" si="123"/>
        <v>D+</v>
      </c>
      <c r="Z175" s="1075" t="str">
        <f t="shared" si="124"/>
        <v>0</v>
      </c>
      <c r="AA175" s="2173"/>
      <c r="AB175" s="2174"/>
      <c r="AC175" s="2174"/>
      <c r="AD175" s="2174"/>
      <c r="AE175" s="2174"/>
      <c r="AF175" s="2174"/>
      <c r="AG175" s="2174"/>
      <c r="AH175" s="2174"/>
      <c r="AI175" s="2174"/>
      <c r="AJ175" s="2175"/>
      <c r="AK175" s="2175"/>
      <c r="AL175" s="2175"/>
      <c r="AM175" s="2175"/>
      <c r="AN175" s="2175"/>
      <c r="AO175" s="2175"/>
      <c r="AP175" s="2175"/>
      <c r="AQ175" s="2175"/>
      <c r="AR175" s="2176"/>
      <c r="AS175" s="1948"/>
      <c r="AT175" s="1949"/>
    </row>
    <row r="176" spans="1:46" ht="24.95" customHeight="1" x14ac:dyDescent="0.3">
      <c r="A176" s="1207"/>
      <c r="B176" s="1207"/>
      <c r="C176" s="1655"/>
      <c r="D176" s="1654" t="s">
        <v>606</v>
      </c>
      <c r="E176" s="23"/>
      <c r="F176" s="23"/>
      <c r="G176" s="23"/>
      <c r="H176" s="2186"/>
      <c r="I176" s="2186"/>
      <c r="J176" s="2186"/>
      <c r="K176" s="23"/>
      <c r="L176" s="23"/>
      <c r="M176" s="23"/>
      <c r="N176" s="2186">
        <v>0</v>
      </c>
      <c r="O176" s="2186">
        <v>0</v>
      </c>
      <c r="P176" s="2186">
        <v>0</v>
      </c>
      <c r="Q176" s="23"/>
      <c r="R176" s="23"/>
      <c r="S176" s="23"/>
      <c r="T176" s="2189">
        <f t="shared" si="120"/>
        <v>0</v>
      </c>
      <c r="U176" s="2190">
        <f t="shared" si="118"/>
        <v>0</v>
      </c>
      <c r="V176" s="2191">
        <f t="shared" si="119"/>
        <v>0</v>
      </c>
      <c r="W176" s="2192">
        <f t="shared" si="121"/>
        <v>0</v>
      </c>
      <c r="X176" s="1075" t="str">
        <f t="shared" si="122"/>
        <v>1.33</v>
      </c>
      <c r="Y176" s="1075" t="str">
        <f t="shared" si="123"/>
        <v>D+</v>
      </c>
      <c r="Z176" s="1075" t="str">
        <f t="shared" si="124"/>
        <v>0</v>
      </c>
      <c r="AA176" s="2173"/>
      <c r="AB176" s="2174"/>
      <c r="AC176" s="2174"/>
      <c r="AD176" s="2174"/>
      <c r="AE176" s="2174"/>
      <c r="AF176" s="2174"/>
      <c r="AG176" s="2174"/>
      <c r="AH176" s="2174"/>
      <c r="AI176" s="2174"/>
      <c r="AJ176" s="2175"/>
      <c r="AK176" s="2175"/>
      <c r="AL176" s="2175"/>
      <c r="AM176" s="2175"/>
      <c r="AN176" s="2175"/>
      <c r="AO176" s="2175"/>
      <c r="AP176" s="2175"/>
      <c r="AQ176" s="2175"/>
      <c r="AR176" s="2176"/>
      <c r="AS176" s="1948"/>
      <c r="AT176" s="1949"/>
    </row>
    <row r="177" spans="1:46" ht="24.95" customHeight="1" x14ac:dyDescent="0.3">
      <c r="A177" s="1207"/>
      <c r="B177" s="1207"/>
      <c r="C177" s="1655"/>
      <c r="D177" s="1654" t="s">
        <v>607</v>
      </c>
      <c r="E177" s="23"/>
      <c r="F177" s="23"/>
      <c r="G177" s="23"/>
      <c r="H177" s="2186"/>
      <c r="I177" s="2186"/>
      <c r="J177" s="2186"/>
      <c r="K177" s="23"/>
      <c r="L177" s="23"/>
      <c r="M177" s="23"/>
      <c r="N177" s="2186">
        <v>0</v>
      </c>
      <c r="O177" s="2186">
        <v>0</v>
      </c>
      <c r="P177" s="2186">
        <v>0</v>
      </c>
      <c r="Q177" s="23"/>
      <c r="R177" s="23"/>
      <c r="S177" s="23"/>
      <c r="T177" s="2189">
        <f t="shared" si="120"/>
        <v>0</v>
      </c>
      <c r="U177" s="2190">
        <f t="shared" si="118"/>
        <v>0</v>
      </c>
      <c r="V177" s="2191">
        <f t="shared" si="119"/>
        <v>0</v>
      </c>
      <c r="W177" s="2192">
        <f t="shared" si="121"/>
        <v>0</v>
      </c>
      <c r="X177" s="1075" t="str">
        <f t="shared" si="122"/>
        <v>1.33</v>
      </c>
      <c r="Y177" s="1075" t="str">
        <f t="shared" si="123"/>
        <v>D+</v>
      </c>
      <c r="Z177" s="1075" t="str">
        <f t="shared" si="124"/>
        <v>0</v>
      </c>
      <c r="AA177" s="2173"/>
      <c r="AB177" s="2174"/>
      <c r="AC177" s="2174"/>
      <c r="AD177" s="2174"/>
      <c r="AE177" s="2174"/>
      <c r="AF177" s="2174"/>
      <c r="AG177" s="2174"/>
      <c r="AH177" s="2174"/>
      <c r="AI177" s="2174"/>
      <c r="AJ177" s="2175"/>
      <c r="AK177" s="2175"/>
      <c r="AL177" s="2175"/>
      <c r="AM177" s="2175"/>
      <c r="AN177" s="2175"/>
      <c r="AO177" s="2175"/>
      <c r="AP177" s="2175"/>
      <c r="AQ177" s="2175"/>
      <c r="AR177" s="2176"/>
      <c r="AS177" s="1948"/>
      <c r="AT177" s="1949"/>
    </row>
    <row r="178" spans="1:46" ht="24.95" customHeight="1" x14ac:dyDescent="0.3">
      <c r="A178" s="1656"/>
      <c r="B178" s="1207"/>
      <c r="C178" s="1655"/>
      <c r="D178" s="1654" t="s">
        <v>22</v>
      </c>
      <c r="E178" s="2187"/>
      <c r="F178" s="2187"/>
      <c r="G178" s="2187"/>
      <c r="H178" s="2188"/>
      <c r="I178" s="2186"/>
      <c r="J178" s="2186"/>
      <c r="K178" s="23"/>
      <c r="L178" s="23"/>
      <c r="M178" s="23"/>
      <c r="N178" s="2186"/>
      <c r="O178" s="2186"/>
      <c r="P178" s="2186"/>
      <c r="Q178" s="23">
        <v>0</v>
      </c>
      <c r="R178" s="23">
        <v>0</v>
      </c>
      <c r="S178" s="23">
        <v>0</v>
      </c>
      <c r="T178" s="2189">
        <f t="shared" si="120"/>
        <v>0</v>
      </c>
      <c r="U178" s="2190">
        <f t="shared" si="118"/>
        <v>0</v>
      </c>
      <c r="V178" s="2191">
        <f t="shared" si="119"/>
        <v>0</v>
      </c>
      <c r="W178" s="2192">
        <f t="shared" si="121"/>
        <v>0</v>
      </c>
      <c r="X178" s="1075" t="str">
        <f t="shared" si="122"/>
        <v>1.33</v>
      </c>
      <c r="Y178" s="1075" t="str">
        <f t="shared" si="123"/>
        <v>D+</v>
      </c>
      <c r="Z178" s="1075" t="str">
        <f t="shared" si="124"/>
        <v>0</v>
      </c>
      <c r="AA178" s="2173"/>
      <c r="AB178" s="2174"/>
      <c r="AC178" s="2174"/>
      <c r="AD178" s="2174"/>
      <c r="AE178" s="2174"/>
      <c r="AF178" s="2174"/>
      <c r="AG178" s="2174"/>
      <c r="AH178" s="2174"/>
      <c r="AI178" s="2174"/>
      <c r="AJ178" s="2175"/>
      <c r="AK178" s="2175"/>
      <c r="AL178" s="2175"/>
      <c r="AM178" s="2175"/>
      <c r="AN178" s="2175"/>
      <c r="AO178" s="2175"/>
      <c r="AP178" s="2175"/>
      <c r="AQ178" s="2175"/>
      <c r="AR178" s="2176"/>
      <c r="AS178" s="1950"/>
      <c r="AT178" s="1951"/>
    </row>
    <row r="179" spans="1:46" ht="24.95" customHeight="1" x14ac:dyDescent="0.3">
      <c r="A179" s="1236"/>
      <c r="B179" s="1237">
        <v>17</v>
      </c>
      <c r="C179" s="1658"/>
      <c r="D179" s="1236"/>
      <c r="E179" s="2650"/>
      <c r="F179" s="2651"/>
      <c r="G179" s="2651"/>
      <c r="H179" s="2651"/>
      <c r="I179" s="2652"/>
      <c r="J179" s="2109"/>
      <c r="K179" s="2109"/>
      <c r="L179" s="2109"/>
      <c r="M179" s="2109"/>
      <c r="N179" s="2109"/>
      <c r="O179" s="2109"/>
      <c r="P179" s="2109"/>
      <c r="Q179" s="2109"/>
      <c r="R179" s="2109"/>
      <c r="S179" s="2109"/>
      <c r="T179" s="2193"/>
      <c r="U179" s="2193"/>
      <c r="V179" s="2193"/>
      <c r="W179" s="2194">
        <f>IFERROR(AVERAGE(W170:W178),"  ")</f>
        <v>0</v>
      </c>
      <c r="X179" s="1454" t="str">
        <f>IF(W179&gt;85,("4"),IF(W179&gt;80,("3.66"),IF(W179&gt;75,("3.33"),IF(W179&gt;70,("3.00"),IF(W179&gt;65,("2.66"),IF(W179&gt;60,("2.33"),IF(W179&gt;55,("2"),IF(W179&gt;50,("1.66"),"1.33"))))))))</f>
        <v>1.33</v>
      </c>
      <c r="Y179" s="1454" t="str">
        <f>IF(W179&gt;85,("A"),IF(W179&gt;80,("A-"),IF(W179&gt;75,("B+"),IF(W179&gt;70,("B"),IF(W179&gt;65,("B-"),IF(W179&gt;60,("C+"),IF(W179&gt;55,("C"),IF(W179&gt;50,("C-"),"D+"))))))))</f>
        <v>D+</v>
      </c>
      <c r="Z179" s="1666"/>
      <c r="AA179" s="2182"/>
      <c r="AB179" s="2183"/>
      <c r="AC179" s="2183"/>
      <c r="AD179" s="2183"/>
      <c r="AE179" s="2183"/>
      <c r="AF179" s="2183"/>
      <c r="AG179" s="2183"/>
      <c r="AH179" s="2183"/>
      <c r="AI179" s="2183"/>
      <c r="AJ179" s="2183"/>
      <c r="AK179" s="2183"/>
      <c r="AL179" s="2183"/>
      <c r="AM179" s="2183"/>
      <c r="AN179" s="2183"/>
      <c r="AO179" s="2183"/>
      <c r="AP179" s="2183"/>
      <c r="AQ179" s="2183"/>
      <c r="AR179" s="2184"/>
      <c r="AS179" s="1952"/>
      <c r="AT179" s="1953"/>
    </row>
    <row r="180" spans="1:46" ht="24.95" customHeight="1" x14ac:dyDescent="0.3">
      <c r="A180" s="1224">
        <v>18</v>
      </c>
      <c r="B180" s="1224"/>
      <c r="C180" s="1653" t="str">
        <f>VLOOKUP(A180,data_siswa,4,FALSE)</f>
        <v>Nayla Annora Nobel W</v>
      </c>
      <c r="D180" s="1654" t="s">
        <v>603</v>
      </c>
      <c r="E180" s="1211">
        <v>0</v>
      </c>
      <c r="F180" s="1211">
        <v>0</v>
      </c>
      <c r="G180" s="1211">
        <v>0</v>
      </c>
      <c r="H180" s="2185"/>
      <c r="I180" s="2185"/>
      <c r="J180" s="2185"/>
      <c r="K180" s="1211"/>
      <c r="L180" s="1211"/>
      <c r="M180" s="1211"/>
      <c r="N180" s="2185"/>
      <c r="O180" s="2185"/>
      <c r="P180" s="2185"/>
      <c r="Q180" s="1211"/>
      <c r="R180" s="1211"/>
      <c r="S180" s="1211"/>
      <c r="T180" s="2189">
        <f>MAX(H180,K180,N180,Q180)</f>
        <v>0</v>
      </c>
      <c r="U180" s="2190">
        <f t="shared" ref="U180:U188" si="125">MAX(I180,L180,O180,R180)</f>
        <v>0</v>
      </c>
      <c r="V180" s="2191">
        <f t="shared" ref="V180:V188" si="126">MAX(J180,M180,P180,S180)</f>
        <v>0</v>
      </c>
      <c r="W180" s="2192">
        <f>IFERROR(AVERAGE(T180:V180),"")</f>
        <v>0</v>
      </c>
      <c r="X180" s="1075" t="str">
        <f>IF(W180&gt;85,("4"),IF(W180&gt;80,("3.66"),IF(W180&gt;75,("3.33"),IF(W180&gt;70,("3.00"),IF(W180&gt;65,("2.66"),IF(W180&gt;60,("2.33"),IF(W180&gt;55,("2"),IF(W180&gt;50,("1.66"),"1.33"))))))))</f>
        <v>1.33</v>
      </c>
      <c r="Y180" s="1075" t="str">
        <f>IF(W180&gt;85,("A"),IF(W180&gt;80,("A-"),IF(W180&gt;75,("B+"),IF(W180&gt;70,("B"),IF(W180&gt;65,("B-"),IF(W180&gt;60,("C+"),IF(W180&gt;55,("C"),IF(W180&gt;50,("C-"),"D+"))))))))</f>
        <v>D+</v>
      </c>
      <c r="Z180" s="1075" t="str">
        <f>IF(W180&gt;80,("SB"),IF(W180&gt;65,("B"),IF(W180&gt;50,("C"),IF(W180&gt;0,("K"),"0"))))</f>
        <v>0</v>
      </c>
      <c r="AA180" s="2180"/>
      <c r="AB180" s="2180"/>
      <c r="AC180" s="2180"/>
      <c r="AD180" s="2180"/>
      <c r="AE180" s="2180"/>
      <c r="AF180" s="2180"/>
      <c r="AG180" s="2180"/>
      <c r="AH180" s="2180"/>
      <c r="AI180" s="2180"/>
      <c r="AJ180" s="2181"/>
      <c r="AK180" s="2181"/>
      <c r="AL180" s="2181"/>
      <c r="AM180" s="2181"/>
      <c r="AN180" s="2181"/>
      <c r="AO180" s="2181"/>
      <c r="AP180" s="2181"/>
      <c r="AQ180" s="2181"/>
      <c r="AR180" s="2181"/>
      <c r="AS180" s="1910">
        <f>W189</f>
        <v>0</v>
      </c>
      <c r="AT180" s="1910" t="str">
        <f>Y189</f>
        <v>D+</v>
      </c>
    </row>
    <row r="181" spans="1:46" ht="24.95" customHeight="1" x14ac:dyDescent="0.3">
      <c r="A181" s="1207"/>
      <c r="B181" s="1207"/>
      <c r="C181" s="1655"/>
      <c r="D181" s="1654" t="s">
        <v>604</v>
      </c>
      <c r="E181" s="23">
        <v>0</v>
      </c>
      <c r="F181" s="23">
        <v>0</v>
      </c>
      <c r="G181" s="23">
        <v>0</v>
      </c>
      <c r="H181" s="2186"/>
      <c r="I181" s="2186"/>
      <c r="J181" s="2186"/>
      <c r="K181" s="23"/>
      <c r="L181" s="23"/>
      <c r="M181" s="23"/>
      <c r="N181" s="2186"/>
      <c r="O181" s="2186"/>
      <c r="P181" s="2186"/>
      <c r="Q181" s="23"/>
      <c r="R181" s="23"/>
      <c r="S181" s="23"/>
      <c r="T181" s="2189">
        <f t="shared" ref="T181:T188" si="127">MAX(H181,K181,N181,Q181)</f>
        <v>0</v>
      </c>
      <c r="U181" s="2190">
        <f t="shared" si="125"/>
        <v>0</v>
      </c>
      <c r="V181" s="2191">
        <f t="shared" si="126"/>
        <v>0</v>
      </c>
      <c r="W181" s="2192">
        <f t="shared" ref="W181:W188" si="128">IFERROR(AVERAGE(T181:V181),"")</f>
        <v>0</v>
      </c>
      <c r="X181" s="1075" t="str">
        <f t="shared" ref="X181:X188" si="129">IF(W181&gt;85,("4"),IF(W181&gt;80,("3.66"),IF(W181&gt;75,("3.33"),IF(W181&gt;70,("3.00"),IF(W181&gt;65,("2.66"),IF(W181&gt;60,("2.33"),IF(W181&gt;55,("2"),IF(W181&gt;50,("1.66"),"1.33"))))))))</f>
        <v>1.33</v>
      </c>
      <c r="Y181" s="1075" t="str">
        <f t="shared" ref="Y181:Y188" si="130">IF(W181&gt;85,("A"),IF(W181&gt;80,("A-"),IF(W181&gt;75,("B+"),IF(W181&gt;70,("B"),IF(W181&gt;65,("B-"),IF(W181&gt;60,("C+"),IF(W181&gt;55,("C"),IF(W181&gt;50,("C-"),"D+"))))))))</f>
        <v>D+</v>
      </c>
      <c r="Z181" s="1075" t="str">
        <f t="shared" ref="Z181:Z188" si="131">IF(W181&gt;80,("SB"),IF(W181&gt;65,("B"),IF(W181&gt;50,("C"),IF(W181&gt;0,("K"),"0"))))</f>
        <v>0</v>
      </c>
      <c r="AA181" s="2169"/>
      <c r="AB181" s="2170"/>
      <c r="AC181" s="2170"/>
      <c r="AD181" s="2170"/>
      <c r="AE181" s="2170"/>
      <c r="AF181" s="2170"/>
      <c r="AG181" s="2170"/>
      <c r="AH181" s="2170"/>
      <c r="AI181" s="2170"/>
      <c r="AJ181" s="2171"/>
      <c r="AK181" s="2171"/>
      <c r="AL181" s="2171"/>
      <c r="AM181" s="2171"/>
      <c r="AN181" s="2171"/>
      <c r="AO181" s="2171"/>
      <c r="AP181" s="2171"/>
      <c r="AQ181" s="2171"/>
      <c r="AR181" s="2172"/>
      <c r="AS181" s="1946"/>
      <c r="AT181" s="1947"/>
    </row>
    <row r="182" spans="1:46" ht="24.95" customHeight="1" x14ac:dyDescent="0.3">
      <c r="A182" s="1207"/>
      <c r="B182" s="1207"/>
      <c r="C182" s="1655"/>
      <c r="D182" s="1654" t="s">
        <v>605</v>
      </c>
      <c r="E182" s="23">
        <v>0</v>
      </c>
      <c r="F182" s="23">
        <v>0</v>
      </c>
      <c r="G182" s="23">
        <v>0</v>
      </c>
      <c r="H182" s="2186"/>
      <c r="I182" s="2186"/>
      <c r="J182" s="2186"/>
      <c r="K182" s="23"/>
      <c r="L182" s="23"/>
      <c r="M182" s="23"/>
      <c r="N182" s="2186"/>
      <c r="O182" s="2186"/>
      <c r="P182" s="2186"/>
      <c r="Q182" s="23"/>
      <c r="R182" s="23"/>
      <c r="S182" s="23"/>
      <c r="T182" s="2189">
        <f t="shared" si="127"/>
        <v>0</v>
      </c>
      <c r="U182" s="2190">
        <f t="shared" si="125"/>
        <v>0</v>
      </c>
      <c r="V182" s="2191">
        <f t="shared" si="126"/>
        <v>0</v>
      </c>
      <c r="W182" s="2192">
        <f t="shared" si="128"/>
        <v>0</v>
      </c>
      <c r="X182" s="1075" t="str">
        <f t="shared" si="129"/>
        <v>1.33</v>
      </c>
      <c r="Y182" s="1075" t="str">
        <f t="shared" si="130"/>
        <v>D+</v>
      </c>
      <c r="Z182" s="1075" t="str">
        <f t="shared" si="131"/>
        <v>0</v>
      </c>
      <c r="AA182" s="2173"/>
      <c r="AB182" s="2174"/>
      <c r="AC182" s="2174"/>
      <c r="AD182" s="2174"/>
      <c r="AE182" s="2174"/>
      <c r="AF182" s="2174"/>
      <c r="AG182" s="2174"/>
      <c r="AH182" s="2174"/>
      <c r="AI182" s="2174"/>
      <c r="AJ182" s="2175"/>
      <c r="AK182" s="2175"/>
      <c r="AL182" s="2175"/>
      <c r="AM182" s="2175"/>
      <c r="AN182" s="2175"/>
      <c r="AO182" s="2175"/>
      <c r="AP182" s="2175"/>
      <c r="AQ182" s="2175"/>
      <c r="AR182" s="2176"/>
      <c r="AS182" s="1948"/>
      <c r="AT182" s="1949"/>
    </row>
    <row r="183" spans="1:46" ht="24.95" customHeight="1" x14ac:dyDescent="0.3">
      <c r="A183" s="1207"/>
      <c r="B183" s="1207"/>
      <c r="C183" s="1655"/>
      <c r="D183" s="1654" t="s">
        <v>155</v>
      </c>
      <c r="E183" s="23"/>
      <c r="F183" s="23"/>
      <c r="G183" s="23"/>
      <c r="H183" s="2186">
        <v>0</v>
      </c>
      <c r="I183" s="2186">
        <v>0</v>
      </c>
      <c r="J183" s="2186">
        <v>0</v>
      </c>
      <c r="K183" s="23"/>
      <c r="L183" s="23"/>
      <c r="M183" s="23"/>
      <c r="N183" s="2186"/>
      <c r="O183" s="2186"/>
      <c r="P183" s="2186"/>
      <c r="Q183" s="23"/>
      <c r="R183" s="23"/>
      <c r="S183" s="23"/>
      <c r="T183" s="2189">
        <f t="shared" si="127"/>
        <v>0</v>
      </c>
      <c r="U183" s="2190">
        <f t="shared" si="125"/>
        <v>0</v>
      </c>
      <c r="V183" s="2191">
        <f t="shared" si="126"/>
        <v>0</v>
      </c>
      <c r="W183" s="2192">
        <f t="shared" si="128"/>
        <v>0</v>
      </c>
      <c r="X183" s="1075" t="str">
        <f t="shared" si="129"/>
        <v>1.33</v>
      </c>
      <c r="Y183" s="1075" t="str">
        <f t="shared" si="130"/>
        <v>D+</v>
      </c>
      <c r="Z183" s="1075" t="str">
        <f t="shared" si="131"/>
        <v>0</v>
      </c>
      <c r="AA183" s="2173"/>
      <c r="AB183" s="2174"/>
      <c r="AC183" s="2174"/>
      <c r="AD183" s="2174"/>
      <c r="AE183" s="2174"/>
      <c r="AF183" s="2174"/>
      <c r="AG183" s="2174"/>
      <c r="AH183" s="2174"/>
      <c r="AI183" s="2174"/>
      <c r="AJ183" s="2175"/>
      <c r="AK183" s="2175"/>
      <c r="AL183" s="2175"/>
      <c r="AM183" s="2175"/>
      <c r="AN183" s="2175"/>
      <c r="AO183" s="2175"/>
      <c r="AP183" s="2175"/>
      <c r="AQ183" s="2175"/>
      <c r="AR183" s="2176"/>
      <c r="AS183" s="1948"/>
      <c r="AT183" s="1949"/>
    </row>
    <row r="184" spans="1:46" ht="24.95" customHeight="1" x14ac:dyDescent="0.3">
      <c r="A184" s="1207"/>
      <c r="B184" s="1207"/>
      <c r="C184" s="1655"/>
      <c r="D184" s="1654" t="s">
        <v>187</v>
      </c>
      <c r="E184" s="23"/>
      <c r="F184" s="23"/>
      <c r="G184" s="23"/>
      <c r="H184" s="2186"/>
      <c r="I184" s="2186"/>
      <c r="J184" s="2186"/>
      <c r="K184" s="23">
        <v>0</v>
      </c>
      <c r="L184" s="23">
        <v>0</v>
      </c>
      <c r="M184" s="23">
        <v>0</v>
      </c>
      <c r="N184" s="2186"/>
      <c r="O184" s="2186"/>
      <c r="P184" s="2186"/>
      <c r="Q184" s="23"/>
      <c r="R184" s="23"/>
      <c r="S184" s="23"/>
      <c r="T184" s="2189">
        <f t="shared" si="127"/>
        <v>0</v>
      </c>
      <c r="U184" s="2190">
        <f t="shared" si="125"/>
        <v>0</v>
      </c>
      <c r="V184" s="2191">
        <f t="shared" si="126"/>
        <v>0</v>
      </c>
      <c r="W184" s="2192">
        <f t="shared" si="128"/>
        <v>0</v>
      </c>
      <c r="X184" s="1075" t="str">
        <f t="shared" si="129"/>
        <v>1.33</v>
      </c>
      <c r="Y184" s="1075" t="str">
        <f t="shared" si="130"/>
        <v>D+</v>
      </c>
      <c r="Z184" s="1075" t="str">
        <f t="shared" si="131"/>
        <v>0</v>
      </c>
      <c r="AA184" s="2173"/>
      <c r="AB184" s="2174"/>
      <c r="AC184" s="2174"/>
      <c r="AD184" s="2174"/>
      <c r="AE184" s="2174"/>
      <c r="AF184" s="2174"/>
      <c r="AG184" s="2174"/>
      <c r="AH184" s="2174"/>
      <c r="AI184" s="2174"/>
      <c r="AJ184" s="2175"/>
      <c r="AK184" s="2175"/>
      <c r="AL184" s="2175"/>
      <c r="AM184" s="2175"/>
      <c r="AN184" s="2175"/>
      <c r="AO184" s="2175"/>
      <c r="AP184" s="2175"/>
      <c r="AQ184" s="2175"/>
      <c r="AR184" s="2176"/>
      <c r="AS184" s="1948"/>
      <c r="AT184" s="1949"/>
    </row>
    <row r="185" spans="1:46" ht="24.95" customHeight="1" x14ac:dyDescent="0.3">
      <c r="A185" s="1207"/>
      <c r="B185" s="1207"/>
      <c r="C185" s="1655"/>
      <c r="D185" s="1654" t="s">
        <v>17</v>
      </c>
      <c r="E185" s="23"/>
      <c r="F185" s="23"/>
      <c r="G185" s="23"/>
      <c r="H185" s="2186"/>
      <c r="I185" s="2186"/>
      <c r="J185" s="2186"/>
      <c r="K185" s="23">
        <v>0</v>
      </c>
      <c r="L185" s="23">
        <v>0</v>
      </c>
      <c r="M185" s="23">
        <v>0</v>
      </c>
      <c r="N185" s="2186"/>
      <c r="O185" s="2186"/>
      <c r="P185" s="2186"/>
      <c r="Q185" s="23"/>
      <c r="R185" s="23"/>
      <c r="S185" s="23"/>
      <c r="T185" s="2189">
        <f t="shared" si="127"/>
        <v>0</v>
      </c>
      <c r="U185" s="2190">
        <f t="shared" si="125"/>
        <v>0</v>
      </c>
      <c r="V185" s="2191">
        <f t="shared" si="126"/>
        <v>0</v>
      </c>
      <c r="W185" s="2192">
        <f t="shared" si="128"/>
        <v>0</v>
      </c>
      <c r="X185" s="1075" t="str">
        <f t="shared" si="129"/>
        <v>1.33</v>
      </c>
      <c r="Y185" s="1075" t="str">
        <f t="shared" si="130"/>
        <v>D+</v>
      </c>
      <c r="Z185" s="1075" t="str">
        <f t="shared" si="131"/>
        <v>0</v>
      </c>
      <c r="AA185" s="2173"/>
      <c r="AB185" s="2174"/>
      <c r="AC185" s="2174"/>
      <c r="AD185" s="2174"/>
      <c r="AE185" s="2174"/>
      <c r="AF185" s="2174"/>
      <c r="AG185" s="2174"/>
      <c r="AH185" s="2174"/>
      <c r="AI185" s="2174"/>
      <c r="AJ185" s="2175"/>
      <c r="AK185" s="2175"/>
      <c r="AL185" s="2175"/>
      <c r="AM185" s="2175"/>
      <c r="AN185" s="2175"/>
      <c r="AO185" s="2175"/>
      <c r="AP185" s="2175"/>
      <c r="AQ185" s="2175"/>
      <c r="AR185" s="2176"/>
      <c r="AS185" s="1948"/>
      <c r="AT185" s="1949"/>
    </row>
    <row r="186" spans="1:46" ht="24.95" customHeight="1" x14ac:dyDescent="0.3">
      <c r="A186" s="1207"/>
      <c r="B186" s="1207"/>
      <c r="C186" s="1655"/>
      <c r="D186" s="1654" t="s">
        <v>606</v>
      </c>
      <c r="E186" s="23"/>
      <c r="F186" s="23"/>
      <c r="G186" s="23"/>
      <c r="H186" s="2186"/>
      <c r="I186" s="2186"/>
      <c r="J186" s="2186"/>
      <c r="K186" s="23"/>
      <c r="L186" s="23"/>
      <c r="M186" s="23"/>
      <c r="N186" s="2186">
        <v>0</v>
      </c>
      <c r="O186" s="2186">
        <v>0</v>
      </c>
      <c r="P186" s="2186">
        <v>0</v>
      </c>
      <c r="Q186" s="23"/>
      <c r="R186" s="23"/>
      <c r="S186" s="23"/>
      <c r="T186" s="2189">
        <f t="shared" si="127"/>
        <v>0</v>
      </c>
      <c r="U186" s="2190">
        <f t="shared" si="125"/>
        <v>0</v>
      </c>
      <c r="V186" s="2191">
        <f t="shared" si="126"/>
        <v>0</v>
      </c>
      <c r="W186" s="2192">
        <f t="shared" si="128"/>
        <v>0</v>
      </c>
      <c r="X186" s="1075" t="str">
        <f t="shared" si="129"/>
        <v>1.33</v>
      </c>
      <c r="Y186" s="1075" t="str">
        <f t="shared" si="130"/>
        <v>D+</v>
      </c>
      <c r="Z186" s="1075" t="str">
        <f t="shared" si="131"/>
        <v>0</v>
      </c>
      <c r="AA186" s="2173"/>
      <c r="AB186" s="2174"/>
      <c r="AC186" s="2174"/>
      <c r="AD186" s="2174"/>
      <c r="AE186" s="2174"/>
      <c r="AF186" s="2174"/>
      <c r="AG186" s="2174"/>
      <c r="AH186" s="2174"/>
      <c r="AI186" s="2174"/>
      <c r="AJ186" s="2175"/>
      <c r="AK186" s="2175"/>
      <c r="AL186" s="2175"/>
      <c r="AM186" s="2175"/>
      <c r="AN186" s="2175"/>
      <c r="AO186" s="2175"/>
      <c r="AP186" s="2175"/>
      <c r="AQ186" s="2175"/>
      <c r="AR186" s="2176"/>
      <c r="AS186" s="1948"/>
      <c r="AT186" s="1949"/>
    </row>
    <row r="187" spans="1:46" ht="24.95" customHeight="1" x14ac:dyDescent="0.3">
      <c r="A187" s="1207"/>
      <c r="B187" s="1207"/>
      <c r="C187" s="1655"/>
      <c r="D187" s="1654" t="s">
        <v>607</v>
      </c>
      <c r="E187" s="23"/>
      <c r="F187" s="23"/>
      <c r="G187" s="23"/>
      <c r="H187" s="2186"/>
      <c r="I187" s="2186"/>
      <c r="J187" s="2186"/>
      <c r="K187" s="23"/>
      <c r="L187" s="23"/>
      <c r="M187" s="23"/>
      <c r="N187" s="2186">
        <v>0</v>
      </c>
      <c r="O187" s="2186">
        <v>0</v>
      </c>
      <c r="P187" s="2186">
        <v>0</v>
      </c>
      <c r="Q187" s="23"/>
      <c r="R187" s="23"/>
      <c r="S187" s="23"/>
      <c r="T187" s="2189">
        <f t="shared" si="127"/>
        <v>0</v>
      </c>
      <c r="U187" s="2190">
        <f t="shared" si="125"/>
        <v>0</v>
      </c>
      <c r="V187" s="2191">
        <f t="shared" si="126"/>
        <v>0</v>
      </c>
      <c r="W187" s="2192">
        <f t="shared" si="128"/>
        <v>0</v>
      </c>
      <c r="X187" s="1075" t="str">
        <f t="shared" si="129"/>
        <v>1.33</v>
      </c>
      <c r="Y187" s="1075" t="str">
        <f t="shared" si="130"/>
        <v>D+</v>
      </c>
      <c r="Z187" s="1075" t="str">
        <f t="shared" si="131"/>
        <v>0</v>
      </c>
      <c r="AA187" s="2173"/>
      <c r="AB187" s="2174"/>
      <c r="AC187" s="2174"/>
      <c r="AD187" s="2174"/>
      <c r="AE187" s="2174"/>
      <c r="AF187" s="2174"/>
      <c r="AG187" s="2174"/>
      <c r="AH187" s="2174"/>
      <c r="AI187" s="2174"/>
      <c r="AJ187" s="2175"/>
      <c r="AK187" s="2175"/>
      <c r="AL187" s="2175"/>
      <c r="AM187" s="2175"/>
      <c r="AN187" s="2175"/>
      <c r="AO187" s="2175"/>
      <c r="AP187" s="2175"/>
      <c r="AQ187" s="2175"/>
      <c r="AR187" s="2176"/>
      <c r="AS187" s="1948"/>
      <c r="AT187" s="1949"/>
    </row>
    <row r="188" spans="1:46" ht="24.95" customHeight="1" x14ac:dyDescent="0.3">
      <c r="A188" s="1656"/>
      <c r="B188" s="1207"/>
      <c r="C188" s="1655"/>
      <c r="D188" s="1654" t="s">
        <v>22</v>
      </c>
      <c r="E188" s="2187"/>
      <c r="F188" s="2187"/>
      <c r="G188" s="2187"/>
      <c r="H188" s="2188"/>
      <c r="I188" s="2186"/>
      <c r="J188" s="2186"/>
      <c r="K188" s="23"/>
      <c r="L188" s="23"/>
      <c r="M188" s="23"/>
      <c r="N188" s="2186"/>
      <c r="O188" s="2186"/>
      <c r="P188" s="2186"/>
      <c r="Q188" s="23">
        <v>0</v>
      </c>
      <c r="R188" s="23">
        <v>0</v>
      </c>
      <c r="S188" s="23">
        <v>0</v>
      </c>
      <c r="T188" s="2189">
        <f t="shared" si="127"/>
        <v>0</v>
      </c>
      <c r="U188" s="2190">
        <f t="shared" si="125"/>
        <v>0</v>
      </c>
      <c r="V188" s="2191">
        <f t="shared" si="126"/>
        <v>0</v>
      </c>
      <c r="W188" s="2192">
        <f t="shared" si="128"/>
        <v>0</v>
      </c>
      <c r="X188" s="1075" t="str">
        <f t="shared" si="129"/>
        <v>1.33</v>
      </c>
      <c r="Y188" s="1075" t="str">
        <f t="shared" si="130"/>
        <v>D+</v>
      </c>
      <c r="Z188" s="1075" t="str">
        <f t="shared" si="131"/>
        <v>0</v>
      </c>
      <c r="AA188" s="2173"/>
      <c r="AB188" s="2174"/>
      <c r="AC188" s="2174"/>
      <c r="AD188" s="2174"/>
      <c r="AE188" s="2174"/>
      <c r="AF188" s="2174"/>
      <c r="AG188" s="2174"/>
      <c r="AH188" s="2174"/>
      <c r="AI188" s="2174"/>
      <c r="AJ188" s="2175"/>
      <c r="AK188" s="2175"/>
      <c r="AL188" s="2175"/>
      <c r="AM188" s="2175"/>
      <c r="AN188" s="2175"/>
      <c r="AO188" s="2175"/>
      <c r="AP188" s="2175"/>
      <c r="AQ188" s="2175"/>
      <c r="AR188" s="2176"/>
      <c r="AS188" s="1950"/>
      <c r="AT188" s="1951"/>
    </row>
    <row r="189" spans="1:46" ht="24.95" customHeight="1" x14ac:dyDescent="0.3">
      <c r="A189" s="1236"/>
      <c r="B189" s="1237">
        <v>18</v>
      </c>
      <c r="C189" s="1658"/>
      <c r="D189" s="1236"/>
      <c r="E189" s="2650"/>
      <c r="F189" s="2651"/>
      <c r="G189" s="2651"/>
      <c r="H189" s="2651"/>
      <c r="I189" s="2652"/>
      <c r="J189" s="2109"/>
      <c r="K189" s="2109"/>
      <c r="L189" s="2109"/>
      <c r="M189" s="2109"/>
      <c r="N189" s="2109"/>
      <c r="O189" s="2109"/>
      <c r="P189" s="2109"/>
      <c r="Q189" s="2109"/>
      <c r="R189" s="2109"/>
      <c r="S189" s="2109"/>
      <c r="T189" s="2193"/>
      <c r="U189" s="2193"/>
      <c r="V189" s="2193"/>
      <c r="W189" s="2194">
        <f>IFERROR(AVERAGE(W180:W188),"  ")</f>
        <v>0</v>
      </c>
      <c r="X189" s="1454" t="str">
        <f>IF(W189&gt;85,("4"),IF(W189&gt;80,("3.66"),IF(W189&gt;75,("3.33"),IF(W189&gt;70,("3.00"),IF(W189&gt;65,("2.66"),IF(W189&gt;60,("2.33"),IF(W189&gt;55,("2"),IF(W189&gt;50,("1.66"),"1.33"))))))))</f>
        <v>1.33</v>
      </c>
      <c r="Y189" s="1454" t="str">
        <f>IF(W189&gt;85,("A"),IF(W189&gt;80,("A-"),IF(W189&gt;75,("B+"),IF(W189&gt;70,("B"),IF(W189&gt;65,("B-"),IF(W189&gt;60,("C+"),IF(W189&gt;55,("C"),IF(W189&gt;50,("C-"),"D+"))))))))</f>
        <v>D+</v>
      </c>
      <c r="Z189" s="1666"/>
      <c r="AA189" s="2182"/>
      <c r="AB189" s="2183"/>
      <c r="AC189" s="2183"/>
      <c r="AD189" s="2183"/>
      <c r="AE189" s="2183"/>
      <c r="AF189" s="2183"/>
      <c r="AG189" s="2183"/>
      <c r="AH189" s="2183"/>
      <c r="AI189" s="2183"/>
      <c r="AJ189" s="2183"/>
      <c r="AK189" s="2183"/>
      <c r="AL189" s="2183"/>
      <c r="AM189" s="2183"/>
      <c r="AN189" s="2183"/>
      <c r="AO189" s="2183"/>
      <c r="AP189" s="2183"/>
      <c r="AQ189" s="2183"/>
      <c r="AR189" s="2184"/>
      <c r="AS189" s="1952"/>
      <c r="AT189" s="1953"/>
    </row>
    <row r="190" spans="1:46" ht="24.95" customHeight="1" x14ac:dyDescent="0.3">
      <c r="A190" s="1224">
        <v>19</v>
      </c>
      <c r="B190" s="1224"/>
      <c r="C190" s="1653" t="str">
        <f>VLOOKUP(A190,data_siswa,4,FALSE)</f>
        <v>Raihan Danang P</v>
      </c>
      <c r="D190" s="1654" t="s">
        <v>603</v>
      </c>
      <c r="E190" s="1211">
        <v>0</v>
      </c>
      <c r="F190" s="1211">
        <v>0</v>
      </c>
      <c r="G190" s="1211">
        <v>0</v>
      </c>
      <c r="H190" s="2185"/>
      <c r="I190" s="2185"/>
      <c r="J190" s="2185"/>
      <c r="K190" s="1211"/>
      <c r="L190" s="1211"/>
      <c r="M190" s="1211"/>
      <c r="N190" s="2185"/>
      <c r="O190" s="2185"/>
      <c r="P190" s="2185"/>
      <c r="Q190" s="1211"/>
      <c r="R190" s="1211"/>
      <c r="S190" s="1211"/>
      <c r="T190" s="2189">
        <f>MAX(H190,K190,N190,Q190)</f>
        <v>0</v>
      </c>
      <c r="U190" s="2190">
        <f t="shared" ref="U190:U198" si="132">MAX(I190,L190,O190,R190)</f>
        <v>0</v>
      </c>
      <c r="V190" s="2191">
        <f t="shared" ref="V190:V198" si="133">MAX(J190,M190,P190,S190)</f>
        <v>0</v>
      </c>
      <c r="W190" s="2192">
        <f>IFERROR(AVERAGE(T190:V190),"")</f>
        <v>0</v>
      </c>
      <c r="X190" s="1075" t="str">
        <f>IF(W190&gt;85,("4"),IF(W190&gt;80,("3.66"),IF(W190&gt;75,("3.33"),IF(W190&gt;70,("3.00"),IF(W190&gt;65,("2.66"),IF(W190&gt;60,("2.33"),IF(W190&gt;55,("2"),IF(W190&gt;50,("1.66"),"1.33"))))))))</f>
        <v>1.33</v>
      </c>
      <c r="Y190" s="1075" t="str">
        <f>IF(W190&gt;85,("A"),IF(W190&gt;80,("A-"),IF(W190&gt;75,("B+"),IF(W190&gt;70,("B"),IF(W190&gt;65,("B-"),IF(W190&gt;60,("C+"),IF(W190&gt;55,("C"),IF(W190&gt;50,("C-"),"D+"))))))))</f>
        <v>D+</v>
      </c>
      <c r="Z190" s="1075" t="str">
        <f>IF(W190&gt;80,("SB"),IF(W190&gt;65,("B"),IF(W190&gt;50,("C"),IF(W190&gt;0,("K"),"0"))))</f>
        <v>0</v>
      </c>
      <c r="AA190" s="2180"/>
      <c r="AB190" s="2180"/>
      <c r="AC190" s="2180"/>
      <c r="AD190" s="2180"/>
      <c r="AE190" s="2180"/>
      <c r="AF190" s="2180"/>
      <c r="AG190" s="2180"/>
      <c r="AH190" s="2180"/>
      <c r="AI190" s="2180"/>
      <c r="AJ190" s="2181"/>
      <c r="AK190" s="2181"/>
      <c r="AL190" s="2181"/>
      <c r="AM190" s="2181"/>
      <c r="AN190" s="2181"/>
      <c r="AO190" s="2181"/>
      <c r="AP190" s="2181"/>
      <c r="AQ190" s="2181"/>
      <c r="AR190" s="2181"/>
      <c r="AS190" s="1910">
        <f>W199</f>
        <v>0</v>
      </c>
      <c r="AT190" s="1910" t="str">
        <f>Y199</f>
        <v>D+</v>
      </c>
    </row>
    <row r="191" spans="1:46" ht="24.95" customHeight="1" x14ac:dyDescent="0.3">
      <c r="A191" s="1207"/>
      <c r="B191" s="1207"/>
      <c r="C191" s="1655"/>
      <c r="D191" s="1654" t="s">
        <v>604</v>
      </c>
      <c r="E191" s="23">
        <v>0</v>
      </c>
      <c r="F191" s="23">
        <v>0</v>
      </c>
      <c r="G191" s="23">
        <v>0</v>
      </c>
      <c r="H191" s="2186"/>
      <c r="I191" s="2186"/>
      <c r="J191" s="2186"/>
      <c r="K191" s="23"/>
      <c r="L191" s="23"/>
      <c r="M191" s="23"/>
      <c r="N191" s="2186"/>
      <c r="O191" s="2186"/>
      <c r="P191" s="2186"/>
      <c r="Q191" s="23"/>
      <c r="R191" s="23"/>
      <c r="S191" s="23"/>
      <c r="T191" s="2189">
        <f t="shared" ref="T191:T198" si="134">MAX(H191,K191,N191,Q191)</f>
        <v>0</v>
      </c>
      <c r="U191" s="2190">
        <f t="shared" si="132"/>
        <v>0</v>
      </c>
      <c r="V191" s="2191">
        <f t="shared" si="133"/>
        <v>0</v>
      </c>
      <c r="W191" s="2192">
        <f t="shared" ref="W191:W198" si="135">IFERROR(AVERAGE(T191:V191),"")</f>
        <v>0</v>
      </c>
      <c r="X191" s="1075" t="str">
        <f t="shared" ref="X191:X198" si="136">IF(W191&gt;85,("4"),IF(W191&gt;80,("3.66"),IF(W191&gt;75,("3.33"),IF(W191&gt;70,("3.00"),IF(W191&gt;65,("2.66"),IF(W191&gt;60,("2.33"),IF(W191&gt;55,("2"),IF(W191&gt;50,("1.66"),"1.33"))))))))</f>
        <v>1.33</v>
      </c>
      <c r="Y191" s="1075" t="str">
        <f t="shared" ref="Y191:Y198" si="137">IF(W191&gt;85,("A"),IF(W191&gt;80,("A-"),IF(W191&gt;75,("B+"),IF(W191&gt;70,("B"),IF(W191&gt;65,("B-"),IF(W191&gt;60,("C+"),IF(W191&gt;55,("C"),IF(W191&gt;50,("C-"),"D+"))))))))</f>
        <v>D+</v>
      </c>
      <c r="Z191" s="1075" t="str">
        <f t="shared" ref="Z191:Z198" si="138">IF(W191&gt;80,("SB"),IF(W191&gt;65,("B"),IF(W191&gt;50,("C"),IF(W191&gt;0,("K"),"0"))))</f>
        <v>0</v>
      </c>
      <c r="AA191" s="2169"/>
      <c r="AB191" s="2170"/>
      <c r="AC191" s="2170"/>
      <c r="AD191" s="2170"/>
      <c r="AE191" s="2170"/>
      <c r="AF191" s="2170"/>
      <c r="AG191" s="2170"/>
      <c r="AH191" s="2170"/>
      <c r="AI191" s="2170"/>
      <c r="AJ191" s="2171"/>
      <c r="AK191" s="2171"/>
      <c r="AL191" s="2171"/>
      <c r="AM191" s="2171"/>
      <c r="AN191" s="2171"/>
      <c r="AO191" s="2171"/>
      <c r="AP191" s="2171"/>
      <c r="AQ191" s="2171"/>
      <c r="AR191" s="2172"/>
      <c r="AS191" s="1946"/>
      <c r="AT191" s="1947"/>
    </row>
    <row r="192" spans="1:46" ht="24.95" customHeight="1" x14ac:dyDescent="0.3">
      <c r="A192" s="1207"/>
      <c r="B192" s="1207"/>
      <c r="C192" s="1655"/>
      <c r="D192" s="1654" t="s">
        <v>605</v>
      </c>
      <c r="E192" s="23">
        <v>0</v>
      </c>
      <c r="F192" s="23">
        <v>0</v>
      </c>
      <c r="G192" s="23">
        <v>0</v>
      </c>
      <c r="H192" s="2186"/>
      <c r="I192" s="2186"/>
      <c r="J192" s="2186"/>
      <c r="K192" s="23"/>
      <c r="L192" s="23"/>
      <c r="M192" s="23"/>
      <c r="N192" s="2186"/>
      <c r="O192" s="2186"/>
      <c r="P192" s="2186"/>
      <c r="Q192" s="23"/>
      <c r="R192" s="23"/>
      <c r="S192" s="23"/>
      <c r="T192" s="2189">
        <f t="shared" si="134"/>
        <v>0</v>
      </c>
      <c r="U192" s="2190">
        <f t="shared" si="132"/>
        <v>0</v>
      </c>
      <c r="V192" s="2191">
        <f t="shared" si="133"/>
        <v>0</v>
      </c>
      <c r="W192" s="2192">
        <f t="shared" si="135"/>
        <v>0</v>
      </c>
      <c r="X192" s="1075" t="str">
        <f t="shared" si="136"/>
        <v>1.33</v>
      </c>
      <c r="Y192" s="1075" t="str">
        <f t="shared" si="137"/>
        <v>D+</v>
      </c>
      <c r="Z192" s="1075" t="str">
        <f t="shared" si="138"/>
        <v>0</v>
      </c>
      <c r="AA192" s="2173"/>
      <c r="AB192" s="2174"/>
      <c r="AC192" s="2174"/>
      <c r="AD192" s="2174"/>
      <c r="AE192" s="2174"/>
      <c r="AF192" s="2174"/>
      <c r="AG192" s="2174"/>
      <c r="AH192" s="2174"/>
      <c r="AI192" s="2174"/>
      <c r="AJ192" s="2175"/>
      <c r="AK192" s="2175"/>
      <c r="AL192" s="2175"/>
      <c r="AM192" s="2175"/>
      <c r="AN192" s="2175"/>
      <c r="AO192" s="2175"/>
      <c r="AP192" s="2175"/>
      <c r="AQ192" s="2175"/>
      <c r="AR192" s="2176"/>
      <c r="AS192" s="1948"/>
      <c r="AT192" s="1949"/>
    </row>
    <row r="193" spans="1:46" ht="24.95" customHeight="1" x14ac:dyDescent="0.3">
      <c r="A193" s="1207"/>
      <c r="B193" s="1207"/>
      <c r="C193" s="1655"/>
      <c r="D193" s="1654" t="s">
        <v>155</v>
      </c>
      <c r="E193" s="23"/>
      <c r="F193" s="23"/>
      <c r="G193" s="23"/>
      <c r="H193" s="2186">
        <v>0</v>
      </c>
      <c r="I193" s="2186">
        <v>0</v>
      </c>
      <c r="J193" s="2186">
        <v>0</v>
      </c>
      <c r="K193" s="23"/>
      <c r="L193" s="23"/>
      <c r="M193" s="23"/>
      <c r="N193" s="2186"/>
      <c r="O193" s="2186"/>
      <c r="P193" s="2186"/>
      <c r="Q193" s="23"/>
      <c r="R193" s="23"/>
      <c r="S193" s="23"/>
      <c r="T193" s="2189">
        <f t="shared" si="134"/>
        <v>0</v>
      </c>
      <c r="U193" s="2190">
        <f t="shared" si="132"/>
        <v>0</v>
      </c>
      <c r="V193" s="2191">
        <f t="shared" si="133"/>
        <v>0</v>
      </c>
      <c r="W193" s="2192">
        <f t="shared" si="135"/>
        <v>0</v>
      </c>
      <c r="X193" s="1075" t="str">
        <f t="shared" si="136"/>
        <v>1.33</v>
      </c>
      <c r="Y193" s="1075" t="str">
        <f t="shared" si="137"/>
        <v>D+</v>
      </c>
      <c r="Z193" s="1075" t="str">
        <f t="shared" si="138"/>
        <v>0</v>
      </c>
      <c r="AA193" s="2173"/>
      <c r="AB193" s="2174"/>
      <c r="AC193" s="2174"/>
      <c r="AD193" s="2174"/>
      <c r="AE193" s="2174"/>
      <c r="AF193" s="2174"/>
      <c r="AG193" s="2174"/>
      <c r="AH193" s="2174"/>
      <c r="AI193" s="2174"/>
      <c r="AJ193" s="2175"/>
      <c r="AK193" s="2175"/>
      <c r="AL193" s="2175"/>
      <c r="AM193" s="2175"/>
      <c r="AN193" s="2175"/>
      <c r="AO193" s="2175"/>
      <c r="AP193" s="2175"/>
      <c r="AQ193" s="2175"/>
      <c r="AR193" s="2176"/>
      <c r="AS193" s="1948"/>
      <c r="AT193" s="1949"/>
    </row>
    <row r="194" spans="1:46" ht="24.95" customHeight="1" x14ac:dyDescent="0.3">
      <c r="A194" s="1207"/>
      <c r="B194" s="1207"/>
      <c r="C194" s="1655"/>
      <c r="D194" s="1654" t="s">
        <v>187</v>
      </c>
      <c r="E194" s="23"/>
      <c r="F194" s="23"/>
      <c r="G194" s="23"/>
      <c r="H194" s="2186"/>
      <c r="I194" s="2186"/>
      <c r="J194" s="2186"/>
      <c r="K194" s="23">
        <v>0</v>
      </c>
      <c r="L194" s="23">
        <v>0</v>
      </c>
      <c r="M194" s="23">
        <v>0</v>
      </c>
      <c r="N194" s="2186"/>
      <c r="O194" s="2186"/>
      <c r="P194" s="2186"/>
      <c r="Q194" s="23"/>
      <c r="R194" s="23"/>
      <c r="S194" s="23"/>
      <c r="T194" s="2189">
        <f t="shared" si="134"/>
        <v>0</v>
      </c>
      <c r="U194" s="2190">
        <f t="shared" si="132"/>
        <v>0</v>
      </c>
      <c r="V194" s="2191">
        <f t="shared" si="133"/>
        <v>0</v>
      </c>
      <c r="W194" s="2192">
        <f t="shared" si="135"/>
        <v>0</v>
      </c>
      <c r="X194" s="1075" t="str">
        <f t="shared" si="136"/>
        <v>1.33</v>
      </c>
      <c r="Y194" s="1075" t="str">
        <f t="shared" si="137"/>
        <v>D+</v>
      </c>
      <c r="Z194" s="1075" t="str">
        <f t="shared" si="138"/>
        <v>0</v>
      </c>
      <c r="AA194" s="2173"/>
      <c r="AB194" s="2174"/>
      <c r="AC194" s="2174"/>
      <c r="AD194" s="2174"/>
      <c r="AE194" s="2174"/>
      <c r="AF194" s="2174"/>
      <c r="AG194" s="2174"/>
      <c r="AH194" s="2174"/>
      <c r="AI194" s="2174"/>
      <c r="AJ194" s="2175"/>
      <c r="AK194" s="2175"/>
      <c r="AL194" s="2175"/>
      <c r="AM194" s="2175"/>
      <c r="AN194" s="2175"/>
      <c r="AO194" s="2175"/>
      <c r="AP194" s="2175"/>
      <c r="AQ194" s="2175"/>
      <c r="AR194" s="2176"/>
      <c r="AS194" s="1948"/>
      <c r="AT194" s="1949"/>
    </row>
    <row r="195" spans="1:46" ht="24.95" customHeight="1" x14ac:dyDescent="0.3">
      <c r="A195" s="1207"/>
      <c r="B195" s="1207"/>
      <c r="C195" s="1655"/>
      <c r="D195" s="1654" t="s">
        <v>17</v>
      </c>
      <c r="E195" s="23"/>
      <c r="F195" s="23"/>
      <c r="G195" s="23"/>
      <c r="H195" s="2186"/>
      <c r="I195" s="2186"/>
      <c r="J195" s="2186"/>
      <c r="K195" s="23">
        <v>0</v>
      </c>
      <c r="L195" s="23">
        <v>0</v>
      </c>
      <c r="M195" s="23">
        <v>0</v>
      </c>
      <c r="N195" s="2186"/>
      <c r="O195" s="2186"/>
      <c r="P195" s="2186"/>
      <c r="Q195" s="23"/>
      <c r="R195" s="23"/>
      <c r="S195" s="23"/>
      <c r="T195" s="2189">
        <f t="shared" si="134"/>
        <v>0</v>
      </c>
      <c r="U195" s="2190">
        <f t="shared" si="132"/>
        <v>0</v>
      </c>
      <c r="V195" s="2191">
        <f t="shared" si="133"/>
        <v>0</v>
      </c>
      <c r="W195" s="2192">
        <f t="shared" si="135"/>
        <v>0</v>
      </c>
      <c r="X195" s="1075" t="str">
        <f t="shared" si="136"/>
        <v>1.33</v>
      </c>
      <c r="Y195" s="1075" t="str">
        <f t="shared" si="137"/>
        <v>D+</v>
      </c>
      <c r="Z195" s="1075" t="str">
        <f t="shared" si="138"/>
        <v>0</v>
      </c>
      <c r="AA195" s="2173"/>
      <c r="AB195" s="2174"/>
      <c r="AC195" s="2174"/>
      <c r="AD195" s="2174"/>
      <c r="AE195" s="2174"/>
      <c r="AF195" s="2174"/>
      <c r="AG195" s="2174"/>
      <c r="AH195" s="2174"/>
      <c r="AI195" s="2174"/>
      <c r="AJ195" s="2175"/>
      <c r="AK195" s="2175"/>
      <c r="AL195" s="2175"/>
      <c r="AM195" s="2175"/>
      <c r="AN195" s="2175"/>
      <c r="AO195" s="2175"/>
      <c r="AP195" s="2175"/>
      <c r="AQ195" s="2175"/>
      <c r="AR195" s="2176"/>
      <c r="AS195" s="1948"/>
      <c r="AT195" s="1949"/>
    </row>
    <row r="196" spans="1:46" ht="24.95" customHeight="1" x14ac:dyDescent="0.3">
      <c r="A196" s="1207"/>
      <c r="B196" s="1207"/>
      <c r="C196" s="1655"/>
      <c r="D196" s="1654" t="s">
        <v>606</v>
      </c>
      <c r="E196" s="23"/>
      <c r="F196" s="23"/>
      <c r="G196" s="23"/>
      <c r="H196" s="2186"/>
      <c r="I196" s="2186"/>
      <c r="J196" s="2186"/>
      <c r="K196" s="23"/>
      <c r="L196" s="23"/>
      <c r="M196" s="23"/>
      <c r="N196" s="2186">
        <v>0</v>
      </c>
      <c r="O196" s="2186">
        <v>0</v>
      </c>
      <c r="P196" s="2186">
        <v>0</v>
      </c>
      <c r="Q196" s="23"/>
      <c r="R196" s="23"/>
      <c r="S196" s="23"/>
      <c r="T196" s="2189">
        <f t="shared" si="134"/>
        <v>0</v>
      </c>
      <c r="U196" s="2190">
        <f t="shared" si="132"/>
        <v>0</v>
      </c>
      <c r="V196" s="2191">
        <f t="shared" si="133"/>
        <v>0</v>
      </c>
      <c r="W196" s="2192">
        <f t="shared" si="135"/>
        <v>0</v>
      </c>
      <c r="X196" s="1075" t="str">
        <f t="shared" si="136"/>
        <v>1.33</v>
      </c>
      <c r="Y196" s="1075" t="str">
        <f t="shared" si="137"/>
        <v>D+</v>
      </c>
      <c r="Z196" s="1075" t="str">
        <f t="shared" si="138"/>
        <v>0</v>
      </c>
      <c r="AA196" s="2173"/>
      <c r="AB196" s="2174"/>
      <c r="AC196" s="2174"/>
      <c r="AD196" s="2174"/>
      <c r="AE196" s="2174"/>
      <c r="AF196" s="2174"/>
      <c r="AG196" s="2174"/>
      <c r="AH196" s="2174"/>
      <c r="AI196" s="2174"/>
      <c r="AJ196" s="2175"/>
      <c r="AK196" s="2175"/>
      <c r="AL196" s="2175"/>
      <c r="AM196" s="2175"/>
      <c r="AN196" s="2175"/>
      <c r="AO196" s="2175"/>
      <c r="AP196" s="2175"/>
      <c r="AQ196" s="2175"/>
      <c r="AR196" s="2176"/>
      <c r="AS196" s="1948"/>
      <c r="AT196" s="1949"/>
    </row>
    <row r="197" spans="1:46" ht="24.95" customHeight="1" x14ac:dyDescent="0.3">
      <c r="A197" s="1207"/>
      <c r="B197" s="1207"/>
      <c r="C197" s="1655"/>
      <c r="D197" s="1654" t="s">
        <v>607</v>
      </c>
      <c r="E197" s="23"/>
      <c r="F197" s="23"/>
      <c r="G197" s="23"/>
      <c r="H197" s="2186"/>
      <c r="I197" s="2186"/>
      <c r="J197" s="2186"/>
      <c r="K197" s="23"/>
      <c r="L197" s="23"/>
      <c r="M197" s="23"/>
      <c r="N197" s="2186">
        <v>0</v>
      </c>
      <c r="O197" s="2186">
        <v>0</v>
      </c>
      <c r="P197" s="2186">
        <v>0</v>
      </c>
      <c r="Q197" s="23"/>
      <c r="R197" s="23"/>
      <c r="S197" s="23"/>
      <c r="T197" s="2189">
        <f t="shared" si="134"/>
        <v>0</v>
      </c>
      <c r="U197" s="2190">
        <f t="shared" si="132"/>
        <v>0</v>
      </c>
      <c r="V197" s="2191">
        <f t="shared" si="133"/>
        <v>0</v>
      </c>
      <c r="W197" s="2192">
        <f t="shared" si="135"/>
        <v>0</v>
      </c>
      <c r="X197" s="1075" t="str">
        <f t="shared" si="136"/>
        <v>1.33</v>
      </c>
      <c r="Y197" s="1075" t="str">
        <f t="shared" si="137"/>
        <v>D+</v>
      </c>
      <c r="Z197" s="1075" t="str">
        <f t="shared" si="138"/>
        <v>0</v>
      </c>
      <c r="AA197" s="2173"/>
      <c r="AB197" s="2174"/>
      <c r="AC197" s="2174"/>
      <c r="AD197" s="2174"/>
      <c r="AE197" s="2174"/>
      <c r="AF197" s="2174"/>
      <c r="AG197" s="2174"/>
      <c r="AH197" s="2174"/>
      <c r="AI197" s="2174"/>
      <c r="AJ197" s="2175"/>
      <c r="AK197" s="2175"/>
      <c r="AL197" s="2175"/>
      <c r="AM197" s="2175"/>
      <c r="AN197" s="2175"/>
      <c r="AO197" s="2175"/>
      <c r="AP197" s="2175"/>
      <c r="AQ197" s="2175"/>
      <c r="AR197" s="2176"/>
      <c r="AS197" s="1948"/>
      <c r="AT197" s="1949"/>
    </row>
    <row r="198" spans="1:46" ht="24.95" customHeight="1" x14ac:dyDescent="0.3">
      <c r="A198" s="1656"/>
      <c r="B198" s="1207"/>
      <c r="C198" s="1655"/>
      <c r="D198" s="1654" t="s">
        <v>22</v>
      </c>
      <c r="E198" s="2187"/>
      <c r="F198" s="2187"/>
      <c r="G198" s="2187"/>
      <c r="H198" s="2188"/>
      <c r="I198" s="2186"/>
      <c r="J198" s="2186"/>
      <c r="K198" s="23"/>
      <c r="L198" s="23"/>
      <c r="M198" s="23"/>
      <c r="N198" s="2186"/>
      <c r="O198" s="2186"/>
      <c r="P198" s="2186"/>
      <c r="Q198" s="23">
        <v>0</v>
      </c>
      <c r="R198" s="23">
        <v>0</v>
      </c>
      <c r="S198" s="23">
        <v>0</v>
      </c>
      <c r="T198" s="2189">
        <f t="shared" si="134"/>
        <v>0</v>
      </c>
      <c r="U198" s="2190">
        <f t="shared" si="132"/>
        <v>0</v>
      </c>
      <c r="V198" s="2191">
        <f t="shared" si="133"/>
        <v>0</v>
      </c>
      <c r="W198" s="2192">
        <f t="shared" si="135"/>
        <v>0</v>
      </c>
      <c r="X198" s="1075" t="str">
        <f t="shared" si="136"/>
        <v>1.33</v>
      </c>
      <c r="Y198" s="1075" t="str">
        <f t="shared" si="137"/>
        <v>D+</v>
      </c>
      <c r="Z198" s="1075" t="str">
        <f t="shared" si="138"/>
        <v>0</v>
      </c>
      <c r="AA198" s="2173"/>
      <c r="AB198" s="2174"/>
      <c r="AC198" s="2174"/>
      <c r="AD198" s="2174"/>
      <c r="AE198" s="2174"/>
      <c r="AF198" s="2174"/>
      <c r="AG198" s="2174"/>
      <c r="AH198" s="2174"/>
      <c r="AI198" s="2174"/>
      <c r="AJ198" s="2175"/>
      <c r="AK198" s="2175"/>
      <c r="AL198" s="2175"/>
      <c r="AM198" s="2175"/>
      <c r="AN198" s="2175"/>
      <c r="AO198" s="2175"/>
      <c r="AP198" s="2175"/>
      <c r="AQ198" s="2175"/>
      <c r="AR198" s="2176"/>
      <c r="AS198" s="1950"/>
      <c r="AT198" s="1951"/>
    </row>
    <row r="199" spans="1:46" ht="24.95" customHeight="1" x14ac:dyDescent="0.3">
      <c r="A199" s="1236"/>
      <c r="B199" s="1237">
        <v>19</v>
      </c>
      <c r="C199" s="1658"/>
      <c r="D199" s="1236"/>
      <c r="E199" s="2650"/>
      <c r="F199" s="2651"/>
      <c r="G199" s="2651"/>
      <c r="H199" s="2651"/>
      <c r="I199" s="2652"/>
      <c r="J199" s="2109"/>
      <c r="K199" s="2109"/>
      <c r="L199" s="2109"/>
      <c r="M199" s="2109"/>
      <c r="N199" s="2109"/>
      <c r="O199" s="2109"/>
      <c r="P199" s="2109"/>
      <c r="Q199" s="2109"/>
      <c r="R199" s="2109"/>
      <c r="S199" s="2109"/>
      <c r="T199" s="2193"/>
      <c r="U199" s="2193"/>
      <c r="V199" s="2193"/>
      <c r="W199" s="2194">
        <f>IFERROR(AVERAGE(W190:W198),"  ")</f>
        <v>0</v>
      </c>
      <c r="X199" s="1454" t="str">
        <f>IF(W199&gt;85,("4"),IF(W199&gt;80,("3.66"),IF(W199&gt;75,("3.33"),IF(W199&gt;70,("3.00"),IF(W199&gt;65,("2.66"),IF(W199&gt;60,("2.33"),IF(W199&gt;55,("2"),IF(W199&gt;50,("1.66"),"1.33"))))))))</f>
        <v>1.33</v>
      </c>
      <c r="Y199" s="1454" t="str">
        <f>IF(W199&gt;85,("A"),IF(W199&gt;80,("A-"),IF(W199&gt;75,("B+"),IF(W199&gt;70,("B"),IF(W199&gt;65,("B-"),IF(W199&gt;60,("C+"),IF(W199&gt;55,("C"),IF(W199&gt;50,("C-"),"D+"))))))))</f>
        <v>D+</v>
      </c>
      <c r="Z199" s="1666"/>
      <c r="AA199" s="2182"/>
      <c r="AB199" s="2183"/>
      <c r="AC199" s="2183"/>
      <c r="AD199" s="2183"/>
      <c r="AE199" s="2183"/>
      <c r="AF199" s="2183"/>
      <c r="AG199" s="2183"/>
      <c r="AH199" s="2183"/>
      <c r="AI199" s="2183"/>
      <c r="AJ199" s="2183"/>
      <c r="AK199" s="2183"/>
      <c r="AL199" s="2183"/>
      <c r="AM199" s="2183"/>
      <c r="AN199" s="2183"/>
      <c r="AO199" s="2183"/>
      <c r="AP199" s="2183"/>
      <c r="AQ199" s="2183"/>
      <c r="AR199" s="2184"/>
      <c r="AS199" s="1952"/>
      <c r="AT199" s="1953"/>
    </row>
    <row r="200" spans="1:46" ht="24.95" customHeight="1" x14ac:dyDescent="0.3">
      <c r="A200" s="1224">
        <v>20</v>
      </c>
      <c r="B200" s="1224"/>
      <c r="C200" s="1653" t="str">
        <f>VLOOKUP(A200,data_siswa,4,FALSE)</f>
        <v>Roby Ardiyansyah</v>
      </c>
      <c r="D200" s="1654" t="s">
        <v>603</v>
      </c>
      <c r="E200" s="1211">
        <v>0</v>
      </c>
      <c r="F200" s="1211">
        <v>0</v>
      </c>
      <c r="G200" s="1211">
        <v>0</v>
      </c>
      <c r="H200" s="2185"/>
      <c r="I200" s="2185"/>
      <c r="J200" s="2185"/>
      <c r="K200" s="1211"/>
      <c r="L200" s="1211"/>
      <c r="M200" s="1211"/>
      <c r="N200" s="2185"/>
      <c r="O200" s="2185"/>
      <c r="P200" s="2185"/>
      <c r="Q200" s="1211"/>
      <c r="R200" s="1211"/>
      <c r="S200" s="1211"/>
      <c r="T200" s="2189">
        <f>MAX(H200,K200,N200,Q200)</f>
        <v>0</v>
      </c>
      <c r="U200" s="2190">
        <f t="shared" ref="U200:U208" si="139">MAX(I200,L200,O200,R200)</f>
        <v>0</v>
      </c>
      <c r="V200" s="2191">
        <f t="shared" ref="V200:V208" si="140">MAX(J200,M200,P200,S200)</f>
        <v>0</v>
      </c>
      <c r="W200" s="2192">
        <f>IFERROR(AVERAGE(T200:V200),"")</f>
        <v>0</v>
      </c>
      <c r="X200" s="1075" t="str">
        <f>IF(W200&gt;85,("4"),IF(W200&gt;80,("3.66"),IF(W200&gt;75,("3.33"),IF(W200&gt;70,("3.00"),IF(W200&gt;65,("2.66"),IF(W200&gt;60,("2.33"),IF(W200&gt;55,("2"),IF(W200&gt;50,("1.66"),"1.33"))))))))</f>
        <v>1.33</v>
      </c>
      <c r="Y200" s="1075" t="str">
        <f>IF(W200&gt;85,("A"),IF(W200&gt;80,("A-"),IF(W200&gt;75,("B+"),IF(W200&gt;70,("B"),IF(W200&gt;65,("B-"),IF(W200&gt;60,("C+"),IF(W200&gt;55,("C"),IF(W200&gt;50,("C-"),"D+"))))))))</f>
        <v>D+</v>
      </c>
      <c r="Z200" s="1075" t="str">
        <f>IF(W200&gt;80,("SB"),IF(W200&gt;65,("B"),IF(W200&gt;50,("C"),IF(W200&gt;0,("K"),"0"))))</f>
        <v>0</v>
      </c>
      <c r="AA200" s="2180"/>
      <c r="AB200" s="2180"/>
      <c r="AC200" s="2180"/>
      <c r="AD200" s="2180"/>
      <c r="AE200" s="2180"/>
      <c r="AF200" s="2180"/>
      <c r="AG200" s="2180"/>
      <c r="AH200" s="2180"/>
      <c r="AI200" s="2180"/>
      <c r="AJ200" s="2181"/>
      <c r="AK200" s="2181"/>
      <c r="AL200" s="2181"/>
      <c r="AM200" s="2181"/>
      <c r="AN200" s="2181"/>
      <c r="AO200" s="2181"/>
      <c r="AP200" s="2181"/>
      <c r="AQ200" s="2181"/>
      <c r="AR200" s="2181"/>
      <c r="AS200" s="1910">
        <f>W209</f>
        <v>0</v>
      </c>
      <c r="AT200" s="1910" t="str">
        <f>Y209</f>
        <v>D+</v>
      </c>
    </row>
    <row r="201" spans="1:46" ht="24.95" customHeight="1" x14ac:dyDescent="0.3">
      <c r="A201" s="1207"/>
      <c r="B201" s="1207"/>
      <c r="C201" s="1655"/>
      <c r="D201" s="1654" t="s">
        <v>604</v>
      </c>
      <c r="E201" s="23">
        <v>0</v>
      </c>
      <c r="F201" s="23">
        <v>0</v>
      </c>
      <c r="G201" s="23">
        <v>0</v>
      </c>
      <c r="H201" s="2186"/>
      <c r="I201" s="2186"/>
      <c r="J201" s="2186"/>
      <c r="K201" s="23"/>
      <c r="L201" s="23"/>
      <c r="M201" s="23"/>
      <c r="N201" s="2186"/>
      <c r="O201" s="2186"/>
      <c r="P201" s="2186"/>
      <c r="Q201" s="23"/>
      <c r="R201" s="23"/>
      <c r="S201" s="23"/>
      <c r="T201" s="2189">
        <f t="shared" ref="T201:T208" si="141">MAX(H201,K201,N201,Q201)</f>
        <v>0</v>
      </c>
      <c r="U201" s="2190">
        <f t="shared" si="139"/>
        <v>0</v>
      </c>
      <c r="V201" s="2191">
        <f t="shared" si="140"/>
        <v>0</v>
      </c>
      <c r="W201" s="2192">
        <f t="shared" ref="W201:W208" si="142">IFERROR(AVERAGE(T201:V201),"")</f>
        <v>0</v>
      </c>
      <c r="X201" s="1075" t="str">
        <f t="shared" ref="X201:X208" si="143">IF(W201&gt;85,("4"),IF(W201&gt;80,("3.66"),IF(W201&gt;75,("3.33"),IF(W201&gt;70,("3.00"),IF(W201&gt;65,("2.66"),IF(W201&gt;60,("2.33"),IF(W201&gt;55,("2"),IF(W201&gt;50,("1.66"),"1.33"))))))))</f>
        <v>1.33</v>
      </c>
      <c r="Y201" s="1075" t="str">
        <f t="shared" ref="Y201:Y208" si="144">IF(W201&gt;85,("A"),IF(W201&gt;80,("A-"),IF(W201&gt;75,("B+"),IF(W201&gt;70,("B"),IF(W201&gt;65,("B-"),IF(W201&gt;60,("C+"),IF(W201&gt;55,("C"),IF(W201&gt;50,("C-"),"D+"))))))))</f>
        <v>D+</v>
      </c>
      <c r="Z201" s="1075" t="str">
        <f t="shared" ref="Z201:Z208" si="145">IF(W201&gt;80,("SB"),IF(W201&gt;65,("B"),IF(W201&gt;50,("C"),IF(W201&gt;0,("K"),"0"))))</f>
        <v>0</v>
      </c>
      <c r="AA201" s="2169"/>
      <c r="AB201" s="2170"/>
      <c r="AC201" s="2170"/>
      <c r="AD201" s="2170"/>
      <c r="AE201" s="2170"/>
      <c r="AF201" s="2170"/>
      <c r="AG201" s="2170"/>
      <c r="AH201" s="2170"/>
      <c r="AI201" s="2170"/>
      <c r="AJ201" s="2171"/>
      <c r="AK201" s="2171"/>
      <c r="AL201" s="2171"/>
      <c r="AM201" s="2171"/>
      <c r="AN201" s="2171"/>
      <c r="AO201" s="2171"/>
      <c r="AP201" s="2171"/>
      <c r="AQ201" s="2171"/>
      <c r="AR201" s="2172"/>
      <c r="AS201" s="1946"/>
      <c r="AT201" s="1947"/>
    </row>
    <row r="202" spans="1:46" ht="24.95" customHeight="1" x14ac:dyDescent="0.3">
      <c r="A202" s="1207"/>
      <c r="B202" s="1207"/>
      <c r="C202" s="1655"/>
      <c r="D202" s="1654" t="s">
        <v>605</v>
      </c>
      <c r="E202" s="23">
        <v>0</v>
      </c>
      <c r="F202" s="23">
        <v>0</v>
      </c>
      <c r="G202" s="23">
        <v>0</v>
      </c>
      <c r="H202" s="2186"/>
      <c r="I202" s="2186"/>
      <c r="J202" s="2186"/>
      <c r="K202" s="23"/>
      <c r="L202" s="23"/>
      <c r="M202" s="23"/>
      <c r="N202" s="2186"/>
      <c r="O202" s="2186"/>
      <c r="P202" s="2186"/>
      <c r="Q202" s="23"/>
      <c r="R202" s="23"/>
      <c r="S202" s="23"/>
      <c r="T202" s="2189">
        <f t="shared" si="141"/>
        <v>0</v>
      </c>
      <c r="U202" s="2190">
        <f t="shared" si="139"/>
        <v>0</v>
      </c>
      <c r="V202" s="2191">
        <f t="shared" si="140"/>
        <v>0</v>
      </c>
      <c r="W202" s="2192">
        <f t="shared" si="142"/>
        <v>0</v>
      </c>
      <c r="X202" s="1075" t="str">
        <f t="shared" si="143"/>
        <v>1.33</v>
      </c>
      <c r="Y202" s="1075" t="str">
        <f t="shared" si="144"/>
        <v>D+</v>
      </c>
      <c r="Z202" s="1075" t="str">
        <f t="shared" si="145"/>
        <v>0</v>
      </c>
      <c r="AA202" s="2173"/>
      <c r="AB202" s="2174"/>
      <c r="AC202" s="2174"/>
      <c r="AD202" s="2174"/>
      <c r="AE202" s="2174"/>
      <c r="AF202" s="2174"/>
      <c r="AG202" s="2174"/>
      <c r="AH202" s="2174"/>
      <c r="AI202" s="2174"/>
      <c r="AJ202" s="2175"/>
      <c r="AK202" s="2175"/>
      <c r="AL202" s="2175"/>
      <c r="AM202" s="2175"/>
      <c r="AN202" s="2175"/>
      <c r="AO202" s="2175"/>
      <c r="AP202" s="2175"/>
      <c r="AQ202" s="2175"/>
      <c r="AR202" s="2176"/>
      <c r="AS202" s="1948"/>
      <c r="AT202" s="1949"/>
    </row>
    <row r="203" spans="1:46" ht="24.95" customHeight="1" x14ac:dyDescent="0.3">
      <c r="A203" s="1207"/>
      <c r="B203" s="1207"/>
      <c r="C203" s="1655"/>
      <c r="D203" s="1654" t="s">
        <v>155</v>
      </c>
      <c r="E203" s="23"/>
      <c r="F203" s="23"/>
      <c r="G203" s="23"/>
      <c r="H203" s="2186">
        <v>0</v>
      </c>
      <c r="I203" s="2186">
        <v>0</v>
      </c>
      <c r="J203" s="2186">
        <v>0</v>
      </c>
      <c r="K203" s="23"/>
      <c r="L203" s="23"/>
      <c r="M203" s="23"/>
      <c r="N203" s="2186"/>
      <c r="O203" s="2186"/>
      <c r="P203" s="2186"/>
      <c r="Q203" s="23"/>
      <c r="R203" s="23"/>
      <c r="S203" s="23"/>
      <c r="T203" s="2189">
        <f t="shared" si="141"/>
        <v>0</v>
      </c>
      <c r="U203" s="2190">
        <f t="shared" si="139"/>
        <v>0</v>
      </c>
      <c r="V203" s="2191">
        <f t="shared" si="140"/>
        <v>0</v>
      </c>
      <c r="W203" s="2192">
        <f t="shared" si="142"/>
        <v>0</v>
      </c>
      <c r="X203" s="1075" t="str">
        <f t="shared" si="143"/>
        <v>1.33</v>
      </c>
      <c r="Y203" s="1075" t="str">
        <f t="shared" si="144"/>
        <v>D+</v>
      </c>
      <c r="Z203" s="1075" t="str">
        <f t="shared" si="145"/>
        <v>0</v>
      </c>
      <c r="AA203" s="2173"/>
      <c r="AB203" s="2174"/>
      <c r="AC203" s="2174"/>
      <c r="AD203" s="2174"/>
      <c r="AE203" s="2174"/>
      <c r="AF203" s="2174"/>
      <c r="AG203" s="2174"/>
      <c r="AH203" s="2174"/>
      <c r="AI203" s="2174"/>
      <c r="AJ203" s="2175"/>
      <c r="AK203" s="2175"/>
      <c r="AL203" s="2175"/>
      <c r="AM203" s="2175"/>
      <c r="AN203" s="2175"/>
      <c r="AO203" s="2175"/>
      <c r="AP203" s="2175"/>
      <c r="AQ203" s="2175"/>
      <c r="AR203" s="2176"/>
      <c r="AS203" s="1948"/>
      <c r="AT203" s="1949"/>
    </row>
    <row r="204" spans="1:46" ht="24.95" customHeight="1" x14ac:dyDescent="0.3">
      <c r="A204" s="1207"/>
      <c r="B204" s="1207"/>
      <c r="C204" s="1655"/>
      <c r="D204" s="1654" t="s">
        <v>187</v>
      </c>
      <c r="E204" s="23"/>
      <c r="F204" s="23"/>
      <c r="G204" s="23"/>
      <c r="H204" s="2186"/>
      <c r="I204" s="2186"/>
      <c r="J204" s="2186"/>
      <c r="K204" s="23">
        <v>0</v>
      </c>
      <c r="L204" s="23">
        <v>0</v>
      </c>
      <c r="M204" s="23">
        <v>0</v>
      </c>
      <c r="N204" s="2186"/>
      <c r="O204" s="2186"/>
      <c r="P204" s="2186"/>
      <c r="Q204" s="23"/>
      <c r="R204" s="23"/>
      <c r="S204" s="23"/>
      <c r="T204" s="2189">
        <f t="shared" si="141"/>
        <v>0</v>
      </c>
      <c r="U204" s="2190">
        <f t="shared" si="139"/>
        <v>0</v>
      </c>
      <c r="V204" s="2191">
        <f t="shared" si="140"/>
        <v>0</v>
      </c>
      <c r="W204" s="2192">
        <f t="shared" si="142"/>
        <v>0</v>
      </c>
      <c r="X204" s="1075" t="str">
        <f t="shared" si="143"/>
        <v>1.33</v>
      </c>
      <c r="Y204" s="1075" t="str">
        <f t="shared" si="144"/>
        <v>D+</v>
      </c>
      <c r="Z204" s="1075" t="str">
        <f t="shared" si="145"/>
        <v>0</v>
      </c>
      <c r="AA204" s="2173"/>
      <c r="AB204" s="2174"/>
      <c r="AC204" s="2174"/>
      <c r="AD204" s="2174"/>
      <c r="AE204" s="2174"/>
      <c r="AF204" s="2174"/>
      <c r="AG204" s="2174"/>
      <c r="AH204" s="2174"/>
      <c r="AI204" s="2174"/>
      <c r="AJ204" s="2175"/>
      <c r="AK204" s="2175"/>
      <c r="AL204" s="2175"/>
      <c r="AM204" s="2175"/>
      <c r="AN204" s="2175"/>
      <c r="AO204" s="2175"/>
      <c r="AP204" s="2175"/>
      <c r="AQ204" s="2175"/>
      <c r="AR204" s="2176"/>
      <c r="AS204" s="1948"/>
      <c r="AT204" s="1949"/>
    </row>
    <row r="205" spans="1:46" ht="24.95" customHeight="1" x14ac:dyDescent="0.3">
      <c r="A205" s="1207"/>
      <c r="B205" s="1207"/>
      <c r="C205" s="1655"/>
      <c r="D205" s="1654" t="s">
        <v>17</v>
      </c>
      <c r="E205" s="23"/>
      <c r="F205" s="23"/>
      <c r="G205" s="23"/>
      <c r="H205" s="2186"/>
      <c r="I205" s="2186"/>
      <c r="J205" s="2186"/>
      <c r="K205" s="23">
        <v>0</v>
      </c>
      <c r="L205" s="23">
        <v>0</v>
      </c>
      <c r="M205" s="23">
        <v>0</v>
      </c>
      <c r="N205" s="2186"/>
      <c r="O205" s="2186"/>
      <c r="P205" s="2186"/>
      <c r="Q205" s="23"/>
      <c r="R205" s="23"/>
      <c r="S205" s="23"/>
      <c r="T205" s="2189">
        <f t="shared" si="141"/>
        <v>0</v>
      </c>
      <c r="U205" s="2190">
        <f t="shared" si="139"/>
        <v>0</v>
      </c>
      <c r="V205" s="2191">
        <f t="shared" si="140"/>
        <v>0</v>
      </c>
      <c r="W205" s="2192">
        <f t="shared" si="142"/>
        <v>0</v>
      </c>
      <c r="X205" s="1075" t="str">
        <f t="shared" si="143"/>
        <v>1.33</v>
      </c>
      <c r="Y205" s="1075" t="str">
        <f t="shared" si="144"/>
        <v>D+</v>
      </c>
      <c r="Z205" s="1075" t="str">
        <f t="shared" si="145"/>
        <v>0</v>
      </c>
      <c r="AA205" s="2173"/>
      <c r="AB205" s="2174"/>
      <c r="AC205" s="2174"/>
      <c r="AD205" s="2174"/>
      <c r="AE205" s="2174"/>
      <c r="AF205" s="2174"/>
      <c r="AG205" s="2174"/>
      <c r="AH205" s="2174"/>
      <c r="AI205" s="2174"/>
      <c r="AJ205" s="2175"/>
      <c r="AK205" s="2175"/>
      <c r="AL205" s="2175"/>
      <c r="AM205" s="2175"/>
      <c r="AN205" s="2175"/>
      <c r="AO205" s="2175"/>
      <c r="AP205" s="2175"/>
      <c r="AQ205" s="2175"/>
      <c r="AR205" s="2176"/>
      <c r="AS205" s="1948"/>
      <c r="AT205" s="1949"/>
    </row>
    <row r="206" spans="1:46" ht="24.95" customHeight="1" x14ac:dyDescent="0.3">
      <c r="A206" s="1207"/>
      <c r="B206" s="1207"/>
      <c r="C206" s="1655"/>
      <c r="D206" s="1654" t="s">
        <v>606</v>
      </c>
      <c r="E206" s="23"/>
      <c r="F206" s="23"/>
      <c r="G206" s="23"/>
      <c r="H206" s="2186"/>
      <c r="I206" s="2186"/>
      <c r="J206" s="2186"/>
      <c r="K206" s="23"/>
      <c r="L206" s="23"/>
      <c r="M206" s="23"/>
      <c r="N206" s="2186">
        <v>0</v>
      </c>
      <c r="O206" s="2186">
        <v>0</v>
      </c>
      <c r="P206" s="2186">
        <v>0</v>
      </c>
      <c r="Q206" s="23"/>
      <c r="R206" s="23"/>
      <c r="S206" s="23"/>
      <c r="T206" s="2189">
        <f t="shared" si="141"/>
        <v>0</v>
      </c>
      <c r="U206" s="2190">
        <f t="shared" si="139"/>
        <v>0</v>
      </c>
      <c r="V206" s="2191">
        <f t="shared" si="140"/>
        <v>0</v>
      </c>
      <c r="W206" s="2192">
        <f t="shared" si="142"/>
        <v>0</v>
      </c>
      <c r="X206" s="1075" t="str">
        <f t="shared" si="143"/>
        <v>1.33</v>
      </c>
      <c r="Y206" s="1075" t="str">
        <f t="shared" si="144"/>
        <v>D+</v>
      </c>
      <c r="Z206" s="1075" t="str">
        <f t="shared" si="145"/>
        <v>0</v>
      </c>
      <c r="AA206" s="2173"/>
      <c r="AB206" s="2174"/>
      <c r="AC206" s="2174"/>
      <c r="AD206" s="2174"/>
      <c r="AE206" s="2174"/>
      <c r="AF206" s="2174"/>
      <c r="AG206" s="2174"/>
      <c r="AH206" s="2174"/>
      <c r="AI206" s="2174"/>
      <c r="AJ206" s="2175"/>
      <c r="AK206" s="2175"/>
      <c r="AL206" s="2175"/>
      <c r="AM206" s="2175"/>
      <c r="AN206" s="2175"/>
      <c r="AO206" s="2175"/>
      <c r="AP206" s="2175"/>
      <c r="AQ206" s="2175"/>
      <c r="AR206" s="2176"/>
      <c r="AS206" s="1948"/>
      <c r="AT206" s="1949"/>
    </row>
    <row r="207" spans="1:46" ht="24.95" customHeight="1" x14ac:dyDescent="0.3">
      <c r="A207" s="1207"/>
      <c r="B207" s="1207"/>
      <c r="C207" s="1655"/>
      <c r="D207" s="1654" t="s">
        <v>607</v>
      </c>
      <c r="E207" s="23"/>
      <c r="F207" s="23"/>
      <c r="G207" s="23"/>
      <c r="H207" s="2186"/>
      <c r="I207" s="2186"/>
      <c r="J207" s="2186"/>
      <c r="K207" s="23"/>
      <c r="L207" s="23"/>
      <c r="M207" s="23"/>
      <c r="N207" s="2186">
        <v>0</v>
      </c>
      <c r="O207" s="2186">
        <v>0</v>
      </c>
      <c r="P207" s="2186">
        <v>0</v>
      </c>
      <c r="Q207" s="23"/>
      <c r="R207" s="23"/>
      <c r="S207" s="23"/>
      <c r="T207" s="2189">
        <f t="shared" si="141"/>
        <v>0</v>
      </c>
      <c r="U207" s="2190">
        <f t="shared" si="139"/>
        <v>0</v>
      </c>
      <c r="V207" s="2191">
        <f t="shared" si="140"/>
        <v>0</v>
      </c>
      <c r="W207" s="2192">
        <f t="shared" si="142"/>
        <v>0</v>
      </c>
      <c r="X207" s="1075" t="str">
        <f t="shared" si="143"/>
        <v>1.33</v>
      </c>
      <c r="Y207" s="1075" t="str">
        <f t="shared" si="144"/>
        <v>D+</v>
      </c>
      <c r="Z207" s="1075" t="str">
        <f t="shared" si="145"/>
        <v>0</v>
      </c>
      <c r="AA207" s="2173"/>
      <c r="AB207" s="2174"/>
      <c r="AC207" s="2174"/>
      <c r="AD207" s="2174"/>
      <c r="AE207" s="2174"/>
      <c r="AF207" s="2174"/>
      <c r="AG207" s="2174"/>
      <c r="AH207" s="2174"/>
      <c r="AI207" s="2174"/>
      <c r="AJ207" s="2175"/>
      <c r="AK207" s="2175"/>
      <c r="AL207" s="2175"/>
      <c r="AM207" s="2175"/>
      <c r="AN207" s="2175"/>
      <c r="AO207" s="2175"/>
      <c r="AP207" s="2175"/>
      <c r="AQ207" s="2175"/>
      <c r="AR207" s="2176"/>
      <c r="AS207" s="1948"/>
      <c r="AT207" s="1949"/>
    </row>
    <row r="208" spans="1:46" ht="24.95" customHeight="1" x14ac:dyDescent="0.3">
      <c r="A208" s="1656"/>
      <c r="B208" s="1207"/>
      <c r="C208" s="1655"/>
      <c r="D208" s="1654" t="s">
        <v>22</v>
      </c>
      <c r="E208" s="2187"/>
      <c r="F208" s="2187"/>
      <c r="G208" s="2187"/>
      <c r="H208" s="2188"/>
      <c r="I208" s="2186"/>
      <c r="J208" s="2186"/>
      <c r="K208" s="23"/>
      <c r="L208" s="23"/>
      <c r="M208" s="23"/>
      <c r="N208" s="2186"/>
      <c r="O208" s="2186"/>
      <c r="P208" s="2186"/>
      <c r="Q208" s="23">
        <v>0</v>
      </c>
      <c r="R208" s="23">
        <v>0</v>
      </c>
      <c r="S208" s="23">
        <v>0</v>
      </c>
      <c r="T208" s="2189">
        <f t="shared" si="141"/>
        <v>0</v>
      </c>
      <c r="U208" s="2190">
        <f t="shared" si="139"/>
        <v>0</v>
      </c>
      <c r="V208" s="2191">
        <f t="shared" si="140"/>
        <v>0</v>
      </c>
      <c r="W208" s="2192">
        <f t="shared" si="142"/>
        <v>0</v>
      </c>
      <c r="X208" s="1075" t="str">
        <f t="shared" si="143"/>
        <v>1.33</v>
      </c>
      <c r="Y208" s="1075" t="str">
        <f t="shared" si="144"/>
        <v>D+</v>
      </c>
      <c r="Z208" s="1075" t="str">
        <f t="shared" si="145"/>
        <v>0</v>
      </c>
      <c r="AA208" s="2173"/>
      <c r="AB208" s="2174"/>
      <c r="AC208" s="2174"/>
      <c r="AD208" s="2174"/>
      <c r="AE208" s="2174"/>
      <c r="AF208" s="2174"/>
      <c r="AG208" s="2174"/>
      <c r="AH208" s="2174"/>
      <c r="AI208" s="2174"/>
      <c r="AJ208" s="2175"/>
      <c r="AK208" s="2175"/>
      <c r="AL208" s="2175"/>
      <c r="AM208" s="2175"/>
      <c r="AN208" s="2175"/>
      <c r="AO208" s="2175"/>
      <c r="AP208" s="2175"/>
      <c r="AQ208" s="2175"/>
      <c r="AR208" s="2176"/>
      <c r="AS208" s="1950"/>
      <c r="AT208" s="1951"/>
    </row>
    <row r="209" spans="1:46" ht="24.95" customHeight="1" x14ac:dyDescent="0.3">
      <c r="A209" s="1236"/>
      <c r="B209" s="1237">
        <v>20</v>
      </c>
      <c r="C209" s="1658"/>
      <c r="D209" s="1236"/>
      <c r="E209" s="2650"/>
      <c r="F209" s="2651"/>
      <c r="G209" s="2651"/>
      <c r="H209" s="2651"/>
      <c r="I209" s="2652"/>
      <c r="J209" s="2109"/>
      <c r="K209" s="2109"/>
      <c r="L209" s="2109"/>
      <c r="M209" s="2109"/>
      <c r="N209" s="2109"/>
      <c r="O209" s="2109"/>
      <c r="P209" s="2109"/>
      <c r="Q209" s="2109"/>
      <c r="R209" s="2109"/>
      <c r="S209" s="2109"/>
      <c r="T209" s="2193"/>
      <c r="U209" s="2193"/>
      <c r="V209" s="2193"/>
      <c r="W209" s="2194">
        <f>IFERROR(AVERAGE(W200:W208),"  ")</f>
        <v>0</v>
      </c>
      <c r="X209" s="1454" t="str">
        <f>IF(W209&gt;85,("4"),IF(W209&gt;80,("3.66"),IF(W209&gt;75,("3.33"),IF(W209&gt;70,("3.00"),IF(W209&gt;65,("2.66"),IF(W209&gt;60,("2.33"),IF(W209&gt;55,("2"),IF(W209&gt;50,("1.66"),"1.33"))))))))</f>
        <v>1.33</v>
      </c>
      <c r="Y209" s="1454" t="str">
        <f>IF(W209&gt;85,("A"),IF(W209&gt;80,("A-"),IF(W209&gt;75,("B+"),IF(W209&gt;70,("B"),IF(W209&gt;65,("B-"),IF(W209&gt;60,("C+"),IF(W209&gt;55,("C"),IF(W209&gt;50,("C-"),"D+"))))))))</f>
        <v>D+</v>
      </c>
      <c r="Z209" s="1666"/>
      <c r="AA209" s="2182"/>
      <c r="AB209" s="2183"/>
      <c r="AC209" s="2183"/>
      <c r="AD209" s="2183"/>
      <c r="AE209" s="2183"/>
      <c r="AF209" s="2183"/>
      <c r="AG209" s="2183"/>
      <c r="AH209" s="2183"/>
      <c r="AI209" s="2183"/>
      <c r="AJ209" s="2183"/>
      <c r="AK209" s="2183"/>
      <c r="AL209" s="2183"/>
      <c r="AM209" s="2183"/>
      <c r="AN209" s="2183"/>
      <c r="AO209" s="2183"/>
      <c r="AP209" s="2183"/>
      <c r="AQ209" s="2183"/>
      <c r="AR209" s="2184"/>
      <c r="AS209" s="1952"/>
      <c r="AT209" s="1953"/>
    </row>
    <row r="210" spans="1:46" ht="24.95" customHeight="1" x14ac:dyDescent="0.3">
      <c r="A210" s="1224">
        <v>21</v>
      </c>
      <c r="B210" s="1224"/>
      <c r="C210" s="1653" t="str">
        <f>VLOOKUP(A210,data_siswa,4,FALSE)</f>
        <v>Rojalingga Prana A</v>
      </c>
      <c r="D210" s="1654" t="s">
        <v>603</v>
      </c>
      <c r="E210" s="1211">
        <v>0</v>
      </c>
      <c r="F210" s="1211">
        <v>0</v>
      </c>
      <c r="G210" s="1211">
        <v>0</v>
      </c>
      <c r="H210" s="2185"/>
      <c r="I210" s="2185"/>
      <c r="J210" s="2185"/>
      <c r="K210" s="1211"/>
      <c r="L210" s="1211"/>
      <c r="M210" s="1211"/>
      <c r="N210" s="2185"/>
      <c r="O210" s="2185"/>
      <c r="P210" s="2185"/>
      <c r="Q210" s="1211"/>
      <c r="R210" s="1211"/>
      <c r="S210" s="1211"/>
      <c r="T210" s="2189">
        <f>MAX(H210,K210,N210,Q210)</f>
        <v>0</v>
      </c>
      <c r="U210" s="2190">
        <f t="shared" ref="U210:U218" si="146">MAX(I210,L210,O210,R210)</f>
        <v>0</v>
      </c>
      <c r="V210" s="2191">
        <f t="shared" ref="V210:V218" si="147">MAX(J210,M210,P210,S210)</f>
        <v>0</v>
      </c>
      <c r="W210" s="2192">
        <f>IFERROR(AVERAGE(T210:V210),"")</f>
        <v>0</v>
      </c>
      <c r="X210" s="1075" t="str">
        <f>IF(W210&gt;85,("4"),IF(W210&gt;80,("3.66"),IF(W210&gt;75,("3.33"),IF(W210&gt;70,("3.00"),IF(W210&gt;65,("2.66"),IF(W210&gt;60,("2.33"),IF(W210&gt;55,("2"),IF(W210&gt;50,("1.66"),"1.33"))))))))</f>
        <v>1.33</v>
      </c>
      <c r="Y210" s="1075" t="str">
        <f>IF(W210&gt;85,("A"),IF(W210&gt;80,("A-"),IF(W210&gt;75,("B+"),IF(W210&gt;70,("B"),IF(W210&gt;65,("B-"),IF(W210&gt;60,("C+"),IF(W210&gt;55,("C"),IF(W210&gt;50,("C-"),"D+"))))))))</f>
        <v>D+</v>
      </c>
      <c r="Z210" s="1075" t="str">
        <f>IF(W210&gt;80,("SB"),IF(W210&gt;65,("B"),IF(W210&gt;50,("C"),IF(W210&gt;0,("K"),"0"))))</f>
        <v>0</v>
      </c>
      <c r="AA210" s="2180"/>
      <c r="AB210" s="2180"/>
      <c r="AC210" s="2180"/>
      <c r="AD210" s="2180"/>
      <c r="AE210" s="2180"/>
      <c r="AF210" s="2180"/>
      <c r="AG210" s="2180"/>
      <c r="AH210" s="2180"/>
      <c r="AI210" s="2180"/>
      <c r="AJ210" s="2181"/>
      <c r="AK210" s="2181"/>
      <c r="AL210" s="2181"/>
      <c r="AM210" s="2181"/>
      <c r="AN210" s="2181"/>
      <c r="AO210" s="2181"/>
      <c r="AP210" s="2181"/>
      <c r="AQ210" s="2181"/>
      <c r="AR210" s="2181"/>
      <c r="AS210" s="1910">
        <f>W219</f>
        <v>0</v>
      </c>
      <c r="AT210" s="1910" t="str">
        <f>Y219</f>
        <v>D+</v>
      </c>
    </row>
    <row r="211" spans="1:46" ht="24.95" customHeight="1" x14ac:dyDescent="0.3">
      <c r="A211" s="1207"/>
      <c r="B211" s="1207"/>
      <c r="C211" s="1655"/>
      <c r="D211" s="1654" t="s">
        <v>604</v>
      </c>
      <c r="E211" s="23">
        <v>0</v>
      </c>
      <c r="F211" s="23">
        <v>0</v>
      </c>
      <c r="G211" s="23">
        <v>0</v>
      </c>
      <c r="H211" s="2186"/>
      <c r="I211" s="2186"/>
      <c r="J211" s="2186"/>
      <c r="K211" s="23"/>
      <c r="L211" s="23"/>
      <c r="M211" s="23"/>
      <c r="N211" s="2186"/>
      <c r="O211" s="2186"/>
      <c r="P211" s="2186"/>
      <c r="Q211" s="23"/>
      <c r="R211" s="23"/>
      <c r="S211" s="23"/>
      <c r="T211" s="2189">
        <f t="shared" ref="T211:T218" si="148">MAX(H211,K211,N211,Q211)</f>
        <v>0</v>
      </c>
      <c r="U211" s="2190">
        <f t="shared" si="146"/>
        <v>0</v>
      </c>
      <c r="V211" s="2191">
        <f t="shared" si="147"/>
        <v>0</v>
      </c>
      <c r="W211" s="2192">
        <f t="shared" ref="W211:W218" si="149">IFERROR(AVERAGE(T211:V211),"")</f>
        <v>0</v>
      </c>
      <c r="X211" s="1075" t="str">
        <f t="shared" ref="X211:X218" si="150">IF(W211&gt;85,("4"),IF(W211&gt;80,("3.66"),IF(W211&gt;75,("3.33"),IF(W211&gt;70,("3.00"),IF(W211&gt;65,("2.66"),IF(W211&gt;60,("2.33"),IF(W211&gt;55,("2"),IF(W211&gt;50,("1.66"),"1.33"))))))))</f>
        <v>1.33</v>
      </c>
      <c r="Y211" s="1075" t="str">
        <f t="shared" ref="Y211:Y218" si="151">IF(W211&gt;85,("A"),IF(W211&gt;80,("A-"),IF(W211&gt;75,("B+"),IF(W211&gt;70,("B"),IF(W211&gt;65,("B-"),IF(W211&gt;60,("C+"),IF(W211&gt;55,("C"),IF(W211&gt;50,("C-"),"D+"))))))))</f>
        <v>D+</v>
      </c>
      <c r="Z211" s="1075" t="str">
        <f t="shared" ref="Z211:Z218" si="152">IF(W211&gt;80,("SB"),IF(W211&gt;65,("B"),IF(W211&gt;50,("C"),IF(W211&gt;0,("K"),"0"))))</f>
        <v>0</v>
      </c>
      <c r="AA211" s="2169"/>
      <c r="AB211" s="2170"/>
      <c r="AC211" s="2170"/>
      <c r="AD211" s="2170"/>
      <c r="AE211" s="2170"/>
      <c r="AF211" s="2170"/>
      <c r="AG211" s="2170"/>
      <c r="AH211" s="2170"/>
      <c r="AI211" s="2170"/>
      <c r="AJ211" s="2171"/>
      <c r="AK211" s="2171"/>
      <c r="AL211" s="2171"/>
      <c r="AM211" s="2171"/>
      <c r="AN211" s="2171"/>
      <c r="AO211" s="2171"/>
      <c r="AP211" s="2171"/>
      <c r="AQ211" s="2171"/>
      <c r="AR211" s="2172"/>
      <c r="AS211" s="1946"/>
      <c r="AT211" s="1947"/>
    </row>
    <row r="212" spans="1:46" ht="24.95" customHeight="1" x14ac:dyDescent="0.3">
      <c r="A212" s="1207"/>
      <c r="B212" s="1207"/>
      <c r="C212" s="1655"/>
      <c r="D212" s="1654" t="s">
        <v>605</v>
      </c>
      <c r="E212" s="23">
        <v>0</v>
      </c>
      <c r="F212" s="23">
        <v>0</v>
      </c>
      <c r="G212" s="23">
        <v>0</v>
      </c>
      <c r="H212" s="2186"/>
      <c r="I212" s="2186"/>
      <c r="J212" s="2186"/>
      <c r="K212" s="23"/>
      <c r="L212" s="23"/>
      <c r="M212" s="23"/>
      <c r="N212" s="2186"/>
      <c r="O212" s="2186"/>
      <c r="P212" s="2186"/>
      <c r="Q212" s="23"/>
      <c r="R212" s="23"/>
      <c r="S212" s="23"/>
      <c r="T212" s="2189">
        <f t="shared" si="148"/>
        <v>0</v>
      </c>
      <c r="U212" s="2190">
        <f t="shared" si="146"/>
        <v>0</v>
      </c>
      <c r="V212" s="2191">
        <f t="shared" si="147"/>
        <v>0</v>
      </c>
      <c r="W212" s="2192">
        <f t="shared" si="149"/>
        <v>0</v>
      </c>
      <c r="X212" s="1075" t="str">
        <f t="shared" si="150"/>
        <v>1.33</v>
      </c>
      <c r="Y212" s="1075" t="str">
        <f t="shared" si="151"/>
        <v>D+</v>
      </c>
      <c r="Z212" s="1075" t="str">
        <f t="shared" si="152"/>
        <v>0</v>
      </c>
      <c r="AA212" s="2173"/>
      <c r="AB212" s="2174"/>
      <c r="AC212" s="2174"/>
      <c r="AD212" s="2174"/>
      <c r="AE212" s="2174"/>
      <c r="AF212" s="2174"/>
      <c r="AG212" s="2174"/>
      <c r="AH212" s="2174"/>
      <c r="AI212" s="2174"/>
      <c r="AJ212" s="2175"/>
      <c r="AK212" s="2175"/>
      <c r="AL212" s="2175"/>
      <c r="AM212" s="2175"/>
      <c r="AN212" s="2175"/>
      <c r="AO212" s="2175"/>
      <c r="AP212" s="2175"/>
      <c r="AQ212" s="2175"/>
      <c r="AR212" s="2176"/>
      <c r="AS212" s="1948"/>
      <c r="AT212" s="1949"/>
    </row>
    <row r="213" spans="1:46" ht="24.95" customHeight="1" x14ac:dyDescent="0.3">
      <c r="A213" s="1207"/>
      <c r="B213" s="1207"/>
      <c r="C213" s="1655"/>
      <c r="D213" s="1654" t="s">
        <v>155</v>
      </c>
      <c r="E213" s="23"/>
      <c r="F213" s="23"/>
      <c r="G213" s="23"/>
      <c r="H213" s="2186">
        <v>0</v>
      </c>
      <c r="I213" s="2186">
        <v>0</v>
      </c>
      <c r="J213" s="2186">
        <v>0</v>
      </c>
      <c r="K213" s="23"/>
      <c r="L213" s="23"/>
      <c r="M213" s="23"/>
      <c r="N213" s="2186"/>
      <c r="O213" s="2186"/>
      <c r="P213" s="2186"/>
      <c r="Q213" s="23"/>
      <c r="R213" s="23"/>
      <c r="S213" s="23"/>
      <c r="T213" s="2189">
        <f t="shared" si="148"/>
        <v>0</v>
      </c>
      <c r="U213" s="2190">
        <f t="shared" si="146"/>
        <v>0</v>
      </c>
      <c r="V213" s="2191">
        <f t="shared" si="147"/>
        <v>0</v>
      </c>
      <c r="W213" s="2192">
        <f t="shared" si="149"/>
        <v>0</v>
      </c>
      <c r="X213" s="1075" t="str">
        <f t="shared" si="150"/>
        <v>1.33</v>
      </c>
      <c r="Y213" s="1075" t="str">
        <f t="shared" si="151"/>
        <v>D+</v>
      </c>
      <c r="Z213" s="1075" t="str">
        <f t="shared" si="152"/>
        <v>0</v>
      </c>
      <c r="AA213" s="2173"/>
      <c r="AB213" s="2174"/>
      <c r="AC213" s="2174"/>
      <c r="AD213" s="2174"/>
      <c r="AE213" s="2174"/>
      <c r="AF213" s="2174"/>
      <c r="AG213" s="2174"/>
      <c r="AH213" s="2174"/>
      <c r="AI213" s="2174"/>
      <c r="AJ213" s="2175"/>
      <c r="AK213" s="2175"/>
      <c r="AL213" s="2175"/>
      <c r="AM213" s="2175"/>
      <c r="AN213" s="2175"/>
      <c r="AO213" s="2175"/>
      <c r="AP213" s="2175"/>
      <c r="AQ213" s="2175"/>
      <c r="AR213" s="2176"/>
      <c r="AS213" s="1948"/>
      <c r="AT213" s="1949"/>
    </row>
    <row r="214" spans="1:46" ht="24.95" customHeight="1" x14ac:dyDescent="0.3">
      <c r="A214" s="1207"/>
      <c r="B214" s="1207"/>
      <c r="C214" s="1655"/>
      <c r="D214" s="1654" t="s">
        <v>187</v>
      </c>
      <c r="E214" s="23"/>
      <c r="F214" s="23"/>
      <c r="G214" s="23"/>
      <c r="H214" s="2186"/>
      <c r="I214" s="2186"/>
      <c r="J214" s="2186"/>
      <c r="K214" s="23">
        <v>0</v>
      </c>
      <c r="L214" s="23">
        <v>0</v>
      </c>
      <c r="M214" s="23">
        <v>0</v>
      </c>
      <c r="N214" s="2186"/>
      <c r="O214" s="2186"/>
      <c r="P214" s="2186"/>
      <c r="Q214" s="23"/>
      <c r="R214" s="23"/>
      <c r="S214" s="23"/>
      <c r="T214" s="2189">
        <f t="shared" si="148"/>
        <v>0</v>
      </c>
      <c r="U214" s="2190">
        <f t="shared" si="146"/>
        <v>0</v>
      </c>
      <c r="V214" s="2191">
        <f t="shared" si="147"/>
        <v>0</v>
      </c>
      <c r="W214" s="2192">
        <f t="shared" si="149"/>
        <v>0</v>
      </c>
      <c r="X214" s="1075" t="str">
        <f t="shared" si="150"/>
        <v>1.33</v>
      </c>
      <c r="Y214" s="1075" t="str">
        <f t="shared" si="151"/>
        <v>D+</v>
      </c>
      <c r="Z214" s="1075" t="str">
        <f t="shared" si="152"/>
        <v>0</v>
      </c>
      <c r="AA214" s="2173"/>
      <c r="AB214" s="2174"/>
      <c r="AC214" s="2174"/>
      <c r="AD214" s="2174"/>
      <c r="AE214" s="2174"/>
      <c r="AF214" s="2174"/>
      <c r="AG214" s="2174"/>
      <c r="AH214" s="2174"/>
      <c r="AI214" s="2174"/>
      <c r="AJ214" s="2175"/>
      <c r="AK214" s="2175"/>
      <c r="AL214" s="2175"/>
      <c r="AM214" s="2175"/>
      <c r="AN214" s="2175"/>
      <c r="AO214" s="2175"/>
      <c r="AP214" s="2175"/>
      <c r="AQ214" s="2175"/>
      <c r="AR214" s="2176"/>
      <c r="AS214" s="1948"/>
      <c r="AT214" s="1949"/>
    </row>
    <row r="215" spans="1:46" ht="24.95" customHeight="1" x14ac:dyDescent="0.3">
      <c r="A215" s="1207"/>
      <c r="B215" s="1207"/>
      <c r="C215" s="1655"/>
      <c r="D215" s="1654" t="s">
        <v>17</v>
      </c>
      <c r="E215" s="23"/>
      <c r="F215" s="23"/>
      <c r="G215" s="23"/>
      <c r="H215" s="2186"/>
      <c r="I215" s="2186"/>
      <c r="J215" s="2186"/>
      <c r="K215" s="23">
        <v>0</v>
      </c>
      <c r="L215" s="23">
        <v>0</v>
      </c>
      <c r="M215" s="23">
        <v>0</v>
      </c>
      <c r="N215" s="2186"/>
      <c r="O215" s="2186"/>
      <c r="P215" s="2186"/>
      <c r="Q215" s="23"/>
      <c r="R215" s="23"/>
      <c r="S215" s="23"/>
      <c r="T215" s="2189">
        <f t="shared" si="148"/>
        <v>0</v>
      </c>
      <c r="U215" s="2190">
        <f t="shared" si="146"/>
        <v>0</v>
      </c>
      <c r="V215" s="2191">
        <f t="shared" si="147"/>
        <v>0</v>
      </c>
      <c r="W215" s="2192">
        <f t="shared" si="149"/>
        <v>0</v>
      </c>
      <c r="X215" s="1075" t="str">
        <f t="shared" si="150"/>
        <v>1.33</v>
      </c>
      <c r="Y215" s="1075" t="str">
        <f t="shared" si="151"/>
        <v>D+</v>
      </c>
      <c r="Z215" s="1075" t="str">
        <f t="shared" si="152"/>
        <v>0</v>
      </c>
      <c r="AA215" s="2173"/>
      <c r="AB215" s="2174"/>
      <c r="AC215" s="2174"/>
      <c r="AD215" s="2174"/>
      <c r="AE215" s="2174"/>
      <c r="AF215" s="2174"/>
      <c r="AG215" s="2174"/>
      <c r="AH215" s="2174"/>
      <c r="AI215" s="2174"/>
      <c r="AJ215" s="2175"/>
      <c r="AK215" s="2175"/>
      <c r="AL215" s="2175"/>
      <c r="AM215" s="2175"/>
      <c r="AN215" s="2175"/>
      <c r="AO215" s="2175"/>
      <c r="AP215" s="2175"/>
      <c r="AQ215" s="2175"/>
      <c r="AR215" s="2176"/>
      <c r="AS215" s="1948"/>
      <c r="AT215" s="1949"/>
    </row>
    <row r="216" spans="1:46" ht="24.95" customHeight="1" x14ac:dyDescent="0.3">
      <c r="A216" s="1207"/>
      <c r="B216" s="1207"/>
      <c r="C216" s="1655"/>
      <c r="D216" s="1654" t="s">
        <v>606</v>
      </c>
      <c r="E216" s="23"/>
      <c r="F216" s="23"/>
      <c r="G216" s="23"/>
      <c r="H216" s="2186"/>
      <c r="I216" s="2186"/>
      <c r="J216" s="2186"/>
      <c r="K216" s="23"/>
      <c r="L216" s="23"/>
      <c r="M216" s="23"/>
      <c r="N216" s="2186">
        <v>0</v>
      </c>
      <c r="O216" s="2186">
        <v>0</v>
      </c>
      <c r="P216" s="2186">
        <v>0</v>
      </c>
      <c r="Q216" s="23"/>
      <c r="R216" s="23"/>
      <c r="S216" s="23"/>
      <c r="T216" s="2189">
        <f t="shared" si="148"/>
        <v>0</v>
      </c>
      <c r="U216" s="2190">
        <f t="shared" si="146"/>
        <v>0</v>
      </c>
      <c r="V216" s="2191">
        <f t="shared" si="147"/>
        <v>0</v>
      </c>
      <c r="W216" s="2192">
        <f t="shared" si="149"/>
        <v>0</v>
      </c>
      <c r="X216" s="1075" t="str">
        <f t="shared" si="150"/>
        <v>1.33</v>
      </c>
      <c r="Y216" s="1075" t="str">
        <f t="shared" si="151"/>
        <v>D+</v>
      </c>
      <c r="Z216" s="1075" t="str">
        <f t="shared" si="152"/>
        <v>0</v>
      </c>
      <c r="AA216" s="2173"/>
      <c r="AB216" s="2174"/>
      <c r="AC216" s="2174"/>
      <c r="AD216" s="2174"/>
      <c r="AE216" s="2174"/>
      <c r="AF216" s="2174"/>
      <c r="AG216" s="2174"/>
      <c r="AH216" s="2174"/>
      <c r="AI216" s="2174"/>
      <c r="AJ216" s="2175"/>
      <c r="AK216" s="2175"/>
      <c r="AL216" s="2175"/>
      <c r="AM216" s="2175"/>
      <c r="AN216" s="2175"/>
      <c r="AO216" s="2175"/>
      <c r="AP216" s="2175"/>
      <c r="AQ216" s="2175"/>
      <c r="AR216" s="2176"/>
      <c r="AS216" s="1948"/>
      <c r="AT216" s="1949"/>
    </row>
    <row r="217" spans="1:46" ht="24.95" customHeight="1" x14ac:dyDescent="0.3">
      <c r="A217" s="1207"/>
      <c r="B217" s="1207"/>
      <c r="C217" s="1655"/>
      <c r="D217" s="1654" t="s">
        <v>607</v>
      </c>
      <c r="E217" s="23"/>
      <c r="F217" s="23"/>
      <c r="G217" s="23"/>
      <c r="H217" s="2186"/>
      <c r="I217" s="2186"/>
      <c r="J217" s="2186"/>
      <c r="K217" s="23"/>
      <c r="L217" s="23"/>
      <c r="M217" s="23"/>
      <c r="N217" s="2186">
        <v>0</v>
      </c>
      <c r="O217" s="2186">
        <v>0</v>
      </c>
      <c r="P217" s="2186">
        <v>0</v>
      </c>
      <c r="Q217" s="23"/>
      <c r="R217" s="23"/>
      <c r="S217" s="23"/>
      <c r="T217" s="2189">
        <f t="shared" si="148"/>
        <v>0</v>
      </c>
      <c r="U217" s="2190">
        <f t="shared" si="146"/>
        <v>0</v>
      </c>
      <c r="V217" s="2191">
        <f t="shared" si="147"/>
        <v>0</v>
      </c>
      <c r="W217" s="2192">
        <f t="shared" si="149"/>
        <v>0</v>
      </c>
      <c r="X217" s="1075" t="str">
        <f t="shared" si="150"/>
        <v>1.33</v>
      </c>
      <c r="Y217" s="1075" t="str">
        <f t="shared" si="151"/>
        <v>D+</v>
      </c>
      <c r="Z217" s="1075" t="str">
        <f t="shared" si="152"/>
        <v>0</v>
      </c>
      <c r="AA217" s="2173"/>
      <c r="AB217" s="2174"/>
      <c r="AC217" s="2174"/>
      <c r="AD217" s="2174"/>
      <c r="AE217" s="2174"/>
      <c r="AF217" s="2174"/>
      <c r="AG217" s="2174"/>
      <c r="AH217" s="2174"/>
      <c r="AI217" s="2174"/>
      <c r="AJ217" s="2175"/>
      <c r="AK217" s="2175"/>
      <c r="AL217" s="2175"/>
      <c r="AM217" s="2175"/>
      <c r="AN217" s="2175"/>
      <c r="AO217" s="2175"/>
      <c r="AP217" s="2175"/>
      <c r="AQ217" s="2175"/>
      <c r="AR217" s="2176"/>
      <c r="AS217" s="1948"/>
      <c r="AT217" s="1949"/>
    </row>
    <row r="218" spans="1:46" ht="24.95" customHeight="1" x14ac:dyDescent="0.3">
      <c r="A218" s="1656"/>
      <c r="B218" s="1207"/>
      <c r="C218" s="1655"/>
      <c r="D218" s="1654" t="s">
        <v>22</v>
      </c>
      <c r="E218" s="2187"/>
      <c r="F218" s="2187"/>
      <c r="G218" s="2187"/>
      <c r="H218" s="2188"/>
      <c r="I218" s="2186"/>
      <c r="J218" s="2186"/>
      <c r="K218" s="23"/>
      <c r="L218" s="23"/>
      <c r="M218" s="23"/>
      <c r="N218" s="2186"/>
      <c r="O218" s="2186"/>
      <c r="P218" s="2186"/>
      <c r="Q218" s="23">
        <v>0</v>
      </c>
      <c r="R218" s="23">
        <v>0</v>
      </c>
      <c r="S218" s="23">
        <v>0</v>
      </c>
      <c r="T218" s="2189">
        <f t="shared" si="148"/>
        <v>0</v>
      </c>
      <c r="U218" s="2190">
        <f t="shared" si="146"/>
        <v>0</v>
      </c>
      <c r="V218" s="2191">
        <f t="shared" si="147"/>
        <v>0</v>
      </c>
      <c r="W218" s="2192">
        <f t="shared" si="149"/>
        <v>0</v>
      </c>
      <c r="X218" s="1075" t="str">
        <f t="shared" si="150"/>
        <v>1.33</v>
      </c>
      <c r="Y218" s="1075" t="str">
        <f t="shared" si="151"/>
        <v>D+</v>
      </c>
      <c r="Z218" s="1075" t="str">
        <f t="shared" si="152"/>
        <v>0</v>
      </c>
      <c r="AA218" s="2173"/>
      <c r="AB218" s="2174"/>
      <c r="AC218" s="2174"/>
      <c r="AD218" s="2174"/>
      <c r="AE218" s="2174"/>
      <c r="AF218" s="2174"/>
      <c r="AG218" s="2174"/>
      <c r="AH218" s="2174"/>
      <c r="AI218" s="2174"/>
      <c r="AJ218" s="2175"/>
      <c r="AK218" s="2175"/>
      <c r="AL218" s="2175"/>
      <c r="AM218" s="2175"/>
      <c r="AN218" s="2175"/>
      <c r="AO218" s="2175"/>
      <c r="AP218" s="2175"/>
      <c r="AQ218" s="2175"/>
      <c r="AR218" s="2176"/>
      <c r="AS218" s="1950"/>
      <c r="AT218" s="1951"/>
    </row>
    <row r="219" spans="1:46" ht="24.95" customHeight="1" x14ac:dyDescent="0.3">
      <c r="A219" s="1659"/>
      <c r="B219" s="1237">
        <v>21</v>
      </c>
      <c r="C219" s="1658"/>
      <c r="D219" s="1236"/>
      <c r="E219" s="2650"/>
      <c r="F219" s="2651"/>
      <c r="G219" s="2651"/>
      <c r="H219" s="2651"/>
      <c r="I219" s="2652"/>
      <c r="J219" s="2109"/>
      <c r="K219" s="2109"/>
      <c r="L219" s="2109"/>
      <c r="M219" s="2109"/>
      <c r="N219" s="2109"/>
      <c r="O219" s="2109"/>
      <c r="P219" s="2109"/>
      <c r="Q219" s="2109"/>
      <c r="R219" s="2109"/>
      <c r="S219" s="2109"/>
      <c r="T219" s="2193"/>
      <c r="U219" s="2193"/>
      <c r="V219" s="2193"/>
      <c r="W219" s="2194">
        <f>IFERROR(AVERAGE(W210:W218),"  ")</f>
        <v>0</v>
      </c>
      <c r="X219" s="1454" t="str">
        <f>IF(W219&gt;85,("4"),IF(W219&gt;80,("3.66"),IF(W219&gt;75,("3.33"),IF(W219&gt;70,("3.00"),IF(W219&gt;65,("2.66"),IF(W219&gt;60,("2.33"),IF(W219&gt;55,("2"),IF(W219&gt;50,("1.66"),"1.33"))))))))</f>
        <v>1.33</v>
      </c>
      <c r="Y219" s="1454" t="str">
        <f>IF(W219&gt;85,("A"),IF(W219&gt;80,("A-"),IF(W219&gt;75,("B+"),IF(W219&gt;70,("B"),IF(W219&gt;65,("B-"),IF(W219&gt;60,("C+"),IF(W219&gt;55,("C"),IF(W219&gt;50,("C-"),"D+"))))))))</f>
        <v>D+</v>
      </c>
      <c r="Z219" s="1666"/>
      <c r="AA219" s="2182"/>
      <c r="AB219" s="2183"/>
      <c r="AC219" s="2183"/>
      <c r="AD219" s="2183"/>
      <c r="AE219" s="2183"/>
      <c r="AF219" s="2183"/>
      <c r="AG219" s="2183"/>
      <c r="AH219" s="2183"/>
      <c r="AI219" s="2183"/>
      <c r="AJ219" s="2183"/>
      <c r="AK219" s="2183"/>
      <c r="AL219" s="2183"/>
      <c r="AM219" s="2183"/>
      <c r="AN219" s="2183"/>
      <c r="AO219" s="2183"/>
      <c r="AP219" s="2183"/>
      <c r="AQ219" s="2183"/>
      <c r="AR219" s="2184"/>
      <c r="AS219" s="1952"/>
      <c r="AT219" s="1953"/>
    </row>
    <row r="220" spans="1:46" ht="24.95" customHeight="1" x14ac:dyDescent="0.3">
      <c r="A220" s="1224">
        <v>22</v>
      </c>
      <c r="B220" s="1224"/>
      <c r="C220" s="1653" t="str">
        <f>VLOOKUP(A220,data_siswa,4,FALSE)</f>
        <v>Sally Savista A</v>
      </c>
      <c r="D220" s="1654" t="s">
        <v>603</v>
      </c>
      <c r="E220" s="1211">
        <v>0</v>
      </c>
      <c r="F220" s="1211">
        <v>0</v>
      </c>
      <c r="G220" s="1211">
        <v>0</v>
      </c>
      <c r="H220" s="2185"/>
      <c r="I220" s="2185"/>
      <c r="J220" s="2185"/>
      <c r="K220" s="1211"/>
      <c r="L220" s="1211"/>
      <c r="M220" s="1211"/>
      <c r="N220" s="2185"/>
      <c r="O220" s="2185"/>
      <c r="P220" s="2185"/>
      <c r="Q220" s="1211"/>
      <c r="R220" s="1211"/>
      <c r="S220" s="1211"/>
      <c r="T220" s="2189">
        <f>MAX(H220,K220,N220,Q220)</f>
        <v>0</v>
      </c>
      <c r="U220" s="2190">
        <f t="shared" ref="U220:U228" si="153">MAX(I220,L220,O220,R220)</f>
        <v>0</v>
      </c>
      <c r="V220" s="2191">
        <f t="shared" ref="V220:V228" si="154">MAX(J220,M220,P220,S220)</f>
        <v>0</v>
      </c>
      <c r="W220" s="2192">
        <f>IFERROR(AVERAGE(T220:V220),"")</f>
        <v>0</v>
      </c>
      <c r="X220" s="1535" t="str">
        <f>IF(W220&gt;85,("4"),IF(W220&gt;80,("3.66"),IF(W220&gt;75,("3.33"),IF(W220&gt;70,("3.00"),IF(W220&gt;65,("2.66"),IF(W220&gt;60,("2.33"),IF(W220&gt;55,("2"),IF(W220&gt;50,("1.66"),"1.33"))))))))</f>
        <v>1.33</v>
      </c>
      <c r="Y220" s="1535" t="str">
        <f>IF(W220&gt;85,("A"),IF(W220&gt;80,("A-"),IF(W220&gt;75,("B+"),IF(W220&gt;70,("B"),IF(W220&gt;65,("B-"),IF(W220&gt;60,("C+"),IF(W220&gt;55,("C"),IF(W220&gt;50,("C-"),"D+"))))))))</f>
        <v>D+</v>
      </c>
      <c r="Z220" s="1535" t="str">
        <f>IF(W220&gt;80,("SB"),IF(W220&gt;65,("B"),IF(W220&gt;50,("C"),IF(W220&gt;0,("K"),"0"))))</f>
        <v>0</v>
      </c>
      <c r="AA220" s="2180"/>
      <c r="AB220" s="2180"/>
      <c r="AC220" s="2180"/>
      <c r="AD220" s="2180"/>
      <c r="AE220" s="2180"/>
      <c r="AF220" s="2180"/>
      <c r="AG220" s="2180"/>
      <c r="AH220" s="2180"/>
      <c r="AI220" s="2180"/>
      <c r="AJ220" s="2181"/>
      <c r="AK220" s="2181"/>
      <c r="AL220" s="2181"/>
      <c r="AM220" s="2181"/>
      <c r="AN220" s="2181"/>
      <c r="AO220" s="2181"/>
      <c r="AP220" s="2181"/>
      <c r="AQ220" s="2181"/>
      <c r="AR220" s="2181"/>
      <c r="AS220" s="1910">
        <f>W229</f>
        <v>0</v>
      </c>
      <c r="AT220" s="1910" t="str">
        <f>Y229</f>
        <v>D+</v>
      </c>
    </row>
    <row r="221" spans="1:46" ht="24.95" customHeight="1" x14ac:dyDescent="0.3">
      <c r="A221" s="1207"/>
      <c r="B221" s="1207"/>
      <c r="C221" s="1655"/>
      <c r="D221" s="1654" t="s">
        <v>604</v>
      </c>
      <c r="E221" s="23">
        <v>0</v>
      </c>
      <c r="F221" s="23">
        <v>0</v>
      </c>
      <c r="G221" s="23">
        <v>0</v>
      </c>
      <c r="H221" s="2186"/>
      <c r="I221" s="2186"/>
      <c r="J221" s="2186"/>
      <c r="K221" s="23"/>
      <c r="L221" s="23"/>
      <c r="M221" s="23"/>
      <c r="N221" s="2186"/>
      <c r="O221" s="2186"/>
      <c r="P221" s="2186"/>
      <c r="Q221" s="23"/>
      <c r="R221" s="23"/>
      <c r="S221" s="23"/>
      <c r="T221" s="2189">
        <f t="shared" ref="T221:T228" si="155">MAX(H221,K221,N221,Q221)</f>
        <v>0</v>
      </c>
      <c r="U221" s="2190">
        <f t="shared" si="153"/>
        <v>0</v>
      </c>
      <c r="V221" s="2191">
        <f t="shared" si="154"/>
        <v>0</v>
      </c>
      <c r="W221" s="2192">
        <f t="shared" ref="W221:W228" si="156">IFERROR(AVERAGE(T221:V221),"")</f>
        <v>0</v>
      </c>
      <c r="X221" s="1535" t="str">
        <f t="shared" ref="X221:X228" si="157">IF(W221&gt;85,("4"),IF(W221&gt;80,("3.66"),IF(W221&gt;75,("3.33"),IF(W221&gt;70,("3.00"),IF(W221&gt;65,("2.66"),IF(W221&gt;60,("2.33"),IF(W221&gt;55,("2"),IF(W221&gt;50,("1.66"),"1.33"))))))))</f>
        <v>1.33</v>
      </c>
      <c r="Y221" s="1535" t="str">
        <f t="shared" ref="Y221:Y228" si="158">IF(W221&gt;85,("A"),IF(W221&gt;80,("A-"),IF(W221&gt;75,("B+"),IF(W221&gt;70,("B"),IF(W221&gt;65,("B-"),IF(W221&gt;60,("C+"),IF(W221&gt;55,("C"),IF(W221&gt;50,("C-"),"D+"))))))))</f>
        <v>D+</v>
      </c>
      <c r="Z221" s="1535" t="str">
        <f t="shared" ref="Z221:Z228" si="159">IF(W221&gt;80,("SB"),IF(W221&gt;65,("B"),IF(W221&gt;50,("C"),IF(W221&gt;0,("K"),"0"))))</f>
        <v>0</v>
      </c>
      <c r="AA221" s="2169"/>
      <c r="AB221" s="2170"/>
      <c r="AC221" s="2170"/>
      <c r="AD221" s="2170"/>
      <c r="AE221" s="2170"/>
      <c r="AF221" s="2170"/>
      <c r="AG221" s="2170"/>
      <c r="AH221" s="2170"/>
      <c r="AI221" s="2170"/>
      <c r="AJ221" s="2171"/>
      <c r="AK221" s="2171"/>
      <c r="AL221" s="2171"/>
      <c r="AM221" s="2171"/>
      <c r="AN221" s="2171"/>
      <c r="AO221" s="2171"/>
      <c r="AP221" s="2171"/>
      <c r="AQ221" s="2171"/>
      <c r="AR221" s="2172"/>
      <c r="AS221" s="1946"/>
      <c r="AT221" s="1947"/>
    </row>
    <row r="222" spans="1:46" ht="24.95" customHeight="1" x14ac:dyDescent="0.3">
      <c r="A222" s="1207"/>
      <c r="B222" s="1207"/>
      <c r="C222" s="1655"/>
      <c r="D222" s="1654" t="s">
        <v>605</v>
      </c>
      <c r="E222" s="23">
        <v>0</v>
      </c>
      <c r="F222" s="23">
        <v>0</v>
      </c>
      <c r="G222" s="23">
        <v>0</v>
      </c>
      <c r="H222" s="2186"/>
      <c r="I222" s="2186"/>
      <c r="J222" s="2186"/>
      <c r="K222" s="23"/>
      <c r="L222" s="23"/>
      <c r="M222" s="23"/>
      <c r="N222" s="2186"/>
      <c r="O222" s="2186"/>
      <c r="P222" s="2186"/>
      <c r="Q222" s="23"/>
      <c r="R222" s="23"/>
      <c r="S222" s="23"/>
      <c r="T222" s="2189">
        <f t="shared" si="155"/>
        <v>0</v>
      </c>
      <c r="U222" s="2190">
        <f t="shared" si="153"/>
        <v>0</v>
      </c>
      <c r="V222" s="2191">
        <f t="shared" si="154"/>
        <v>0</v>
      </c>
      <c r="W222" s="2192">
        <f t="shared" si="156"/>
        <v>0</v>
      </c>
      <c r="X222" s="1535" t="str">
        <f t="shared" si="157"/>
        <v>1.33</v>
      </c>
      <c r="Y222" s="1535" t="str">
        <f t="shared" si="158"/>
        <v>D+</v>
      </c>
      <c r="Z222" s="1535" t="str">
        <f t="shared" si="159"/>
        <v>0</v>
      </c>
      <c r="AA222" s="2173"/>
      <c r="AB222" s="2174"/>
      <c r="AC222" s="2174"/>
      <c r="AD222" s="2174"/>
      <c r="AE222" s="2174"/>
      <c r="AF222" s="2174"/>
      <c r="AG222" s="2174"/>
      <c r="AH222" s="2174"/>
      <c r="AI222" s="2174"/>
      <c r="AJ222" s="2175"/>
      <c r="AK222" s="2175"/>
      <c r="AL222" s="2175"/>
      <c r="AM222" s="2175"/>
      <c r="AN222" s="2175"/>
      <c r="AO222" s="2175"/>
      <c r="AP222" s="2175"/>
      <c r="AQ222" s="2175"/>
      <c r="AR222" s="2176"/>
      <c r="AS222" s="1948"/>
      <c r="AT222" s="1949"/>
    </row>
    <row r="223" spans="1:46" ht="24.95" customHeight="1" x14ac:dyDescent="0.3">
      <c r="A223" s="1207"/>
      <c r="B223" s="1207"/>
      <c r="C223" s="1655"/>
      <c r="D223" s="1654" t="s">
        <v>155</v>
      </c>
      <c r="E223" s="23"/>
      <c r="F223" s="23"/>
      <c r="G223" s="23"/>
      <c r="H223" s="2186">
        <v>0</v>
      </c>
      <c r="I223" s="2186">
        <v>0</v>
      </c>
      <c r="J223" s="2186">
        <v>0</v>
      </c>
      <c r="K223" s="23"/>
      <c r="L223" s="23"/>
      <c r="M223" s="23"/>
      <c r="N223" s="2186"/>
      <c r="O223" s="2186"/>
      <c r="P223" s="2186"/>
      <c r="Q223" s="23"/>
      <c r="R223" s="23"/>
      <c r="S223" s="23"/>
      <c r="T223" s="2189">
        <f t="shared" si="155"/>
        <v>0</v>
      </c>
      <c r="U223" s="2190">
        <f t="shared" si="153"/>
        <v>0</v>
      </c>
      <c r="V223" s="2191">
        <f t="shared" si="154"/>
        <v>0</v>
      </c>
      <c r="W223" s="2192">
        <f t="shared" si="156"/>
        <v>0</v>
      </c>
      <c r="X223" s="1535" t="str">
        <f t="shared" si="157"/>
        <v>1.33</v>
      </c>
      <c r="Y223" s="1535" t="str">
        <f t="shared" si="158"/>
        <v>D+</v>
      </c>
      <c r="Z223" s="1535" t="str">
        <f t="shared" si="159"/>
        <v>0</v>
      </c>
      <c r="AA223" s="2173"/>
      <c r="AB223" s="2174"/>
      <c r="AC223" s="2174"/>
      <c r="AD223" s="2174"/>
      <c r="AE223" s="2174"/>
      <c r="AF223" s="2174"/>
      <c r="AG223" s="2174"/>
      <c r="AH223" s="2174"/>
      <c r="AI223" s="2174"/>
      <c r="AJ223" s="2175"/>
      <c r="AK223" s="2175"/>
      <c r="AL223" s="2175"/>
      <c r="AM223" s="2175"/>
      <c r="AN223" s="2175"/>
      <c r="AO223" s="2175"/>
      <c r="AP223" s="2175"/>
      <c r="AQ223" s="2175"/>
      <c r="AR223" s="2176"/>
      <c r="AS223" s="1948"/>
      <c r="AT223" s="1949"/>
    </row>
    <row r="224" spans="1:46" ht="24.95" customHeight="1" x14ac:dyDescent="0.3">
      <c r="A224" s="1207"/>
      <c r="B224" s="1207"/>
      <c r="C224" s="1655"/>
      <c r="D224" s="1654" t="s">
        <v>187</v>
      </c>
      <c r="E224" s="23"/>
      <c r="F224" s="23"/>
      <c r="G224" s="23"/>
      <c r="H224" s="2186"/>
      <c r="I224" s="2186"/>
      <c r="J224" s="2186"/>
      <c r="K224" s="23">
        <v>0</v>
      </c>
      <c r="L224" s="23">
        <v>0</v>
      </c>
      <c r="M224" s="23">
        <v>0</v>
      </c>
      <c r="N224" s="2186"/>
      <c r="O224" s="2186"/>
      <c r="P224" s="2186"/>
      <c r="Q224" s="23"/>
      <c r="R224" s="23"/>
      <c r="S224" s="23"/>
      <c r="T224" s="2189">
        <f t="shared" si="155"/>
        <v>0</v>
      </c>
      <c r="U224" s="2190">
        <f t="shared" si="153"/>
        <v>0</v>
      </c>
      <c r="V224" s="2191">
        <f t="shared" si="154"/>
        <v>0</v>
      </c>
      <c r="W224" s="2192">
        <f t="shared" si="156"/>
        <v>0</v>
      </c>
      <c r="X224" s="1535" t="str">
        <f t="shared" si="157"/>
        <v>1.33</v>
      </c>
      <c r="Y224" s="1535" t="str">
        <f t="shared" si="158"/>
        <v>D+</v>
      </c>
      <c r="Z224" s="1535" t="str">
        <f t="shared" si="159"/>
        <v>0</v>
      </c>
      <c r="AA224" s="2173"/>
      <c r="AB224" s="2174"/>
      <c r="AC224" s="2174"/>
      <c r="AD224" s="2174"/>
      <c r="AE224" s="2174"/>
      <c r="AF224" s="2174"/>
      <c r="AG224" s="2174"/>
      <c r="AH224" s="2174"/>
      <c r="AI224" s="2174"/>
      <c r="AJ224" s="2175"/>
      <c r="AK224" s="2175"/>
      <c r="AL224" s="2175"/>
      <c r="AM224" s="2175"/>
      <c r="AN224" s="2175"/>
      <c r="AO224" s="2175"/>
      <c r="AP224" s="2175"/>
      <c r="AQ224" s="2175"/>
      <c r="AR224" s="2176"/>
      <c r="AS224" s="1948"/>
      <c r="AT224" s="1949"/>
    </row>
    <row r="225" spans="1:46" ht="24.95" customHeight="1" x14ac:dyDescent="0.3">
      <c r="A225" s="1207"/>
      <c r="B225" s="1207"/>
      <c r="C225" s="1655"/>
      <c r="D225" s="1654" t="s">
        <v>17</v>
      </c>
      <c r="E225" s="23"/>
      <c r="F225" s="23"/>
      <c r="G225" s="23"/>
      <c r="H225" s="2186"/>
      <c r="I225" s="2186"/>
      <c r="J225" s="2186"/>
      <c r="K225" s="23">
        <v>0</v>
      </c>
      <c r="L225" s="23">
        <v>0</v>
      </c>
      <c r="M225" s="23">
        <v>0</v>
      </c>
      <c r="N225" s="2186"/>
      <c r="O225" s="2186"/>
      <c r="P225" s="2186"/>
      <c r="Q225" s="23"/>
      <c r="R225" s="23"/>
      <c r="S225" s="23"/>
      <c r="T225" s="2189">
        <f t="shared" si="155"/>
        <v>0</v>
      </c>
      <c r="U225" s="2190">
        <f t="shared" si="153"/>
        <v>0</v>
      </c>
      <c r="V225" s="2191">
        <f t="shared" si="154"/>
        <v>0</v>
      </c>
      <c r="W225" s="2192">
        <f t="shared" si="156"/>
        <v>0</v>
      </c>
      <c r="X225" s="1535" t="str">
        <f t="shared" si="157"/>
        <v>1.33</v>
      </c>
      <c r="Y225" s="1535" t="str">
        <f t="shared" si="158"/>
        <v>D+</v>
      </c>
      <c r="Z225" s="1535" t="str">
        <f t="shared" si="159"/>
        <v>0</v>
      </c>
      <c r="AA225" s="2173"/>
      <c r="AB225" s="2174"/>
      <c r="AC225" s="2174"/>
      <c r="AD225" s="2174"/>
      <c r="AE225" s="2174"/>
      <c r="AF225" s="2174"/>
      <c r="AG225" s="2174"/>
      <c r="AH225" s="2174"/>
      <c r="AI225" s="2174"/>
      <c r="AJ225" s="2175"/>
      <c r="AK225" s="2175"/>
      <c r="AL225" s="2175"/>
      <c r="AM225" s="2175"/>
      <c r="AN225" s="2175"/>
      <c r="AO225" s="2175"/>
      <c r="AP225" s="2175"/>
      <c r="AQ225" s="2175"/>
      <c r="AR225" s="2176"/>
      <c r="AS225" s="1948"/>
      <c r="AT225" s="1949"/>
    </row>
    <row r="226" spans="1:46" ht="24.95" customHeight="1" x14ac:dyDescent="0.3">
      <c r="A226" s="1207"/>
      <c r="B226" s="1207"/>
      <c r="C226" s="1655"/>
      <c r="D226" s="1654" t="s">
        <v>606</v>
      </c>
      <c r="E226" s="23"/>
      <c r="F226" s="23"/>
      <c r="G226" s="23"/>
      <c r="H226" s="2186"/>
      <c r="I226" s="2186"/>
      <c r="J226" s="2186"/>
      <c r="K226" s="23"/>
      <c r="L226" s="23"/>
      <c r="M226" s="23"/>
      <c r="N226" s="2186">
        <v>0</v>
      </c>
      <c r="O226" s="2186">
        <v>0</v>
      </c>
      <c r="P226" s="2186">
        <v>0</v>
      </c>
      <c r="Q226" s="23"/>
      <c r="R226" s="23"/>
      <c r="S226" s="23"/>
      <c r="T226" s="2189">
        <f t="shared" si="155"/>
        <v>0</v>
      </c>
      <c r="U226" s="2190">
        <f t="shared" si="153"/>
        <v>0</v>
      </c>
      <c r="V226" s="2191">
        <f t="shared" si="154"/>
        <v>0</v>
      </c>
      <c r="W226" s="2192">
        <f t="shared" si="156"/>
        <v>0</v>
      </c>
      <c r="X226" s="1535" t="str">
        <f t="shared" si="157"/>
        <v>1.33</v>
      </c>
      <c r="Y226" s="1535" t="str">
        <f t="shared" si="158"/>
        <v>D+</v>
      </c>
      <c r="Z226" s="1535" t="str">
        <f t="shared" si="159"/>
        <v>0</v>
      </c>
      <c r="AA226" s="2173"/>
      <c r="AB226" s="2174"/>
      <c r="AC226" s="2174"/>
      <c r="AD226" s="2174"/>
      <c r="AE226" s="2174"/>
      <c r="AF226" s="2174"/>
      <c r="AG226" s="2174"/>
      <c r="AH226" s="2174"/>
      <c r="AI226" s="2174"/>
      <c r="AJ226" s="2175"/>
      <c r="AK226" s="2175"/>
      <c r="AL226" s="2175"/>
      <c r="AM226" s="2175"/>
      <c r="AN226" s="2175"/>
      <c r="AO226" s="2175"/>
      <c r="AP226" s="2175"/>
      <c r="AQ226" s="2175"/>
      <c r="AR226" s="2176"/>
      <c r="AS226" s="1948"/>
      <c r="AT226" s="1949"/>
    </row>
    <row r="227" spans="1:46" ht="24.95" customHeight="1" x14ac:dyDescent="0.3">
      <c r="A227" s="1207"/>
      <c r="B227" s="1207"/>
      <c r="C227" s="1655"/>
      <c r="D227" s="1654" t="s">
        <v>607</v>
      </c>
      <c r="E227" s="23"/>
      <c r="F227" s="23"/>
      <c r="G227" s="23"/>
      <c r="H227" s="2186"/>
      <c r="I227" s="2186"/>
      <c r="J227" s="2186"/>
      <c r="K227" s="23"/>
      <c r="L227" s="23"/>
      <c r="M227" s="23"/>
      <c r="N227" s="2186">
        <v>0</v>
      </c>
      <c r="O227" s="2186">
        <v>0</v>
      </c>
      <c r="P227" s="2186">
        <v>0</v>
      </c>
      <c r="Q227" s="23"/>
      <c r="R227" s="23"/>
      <c r="S227" s="23"/>
      <c r="T227" s="2189">
        <f t="shared" si="155"/>
        <v>0</v>
      </c>
      <c r="U227" s="2190">
        <f t="shared" si="153"/>
        <v>0</v>
      </c>
      <c r="V227" s="2191">
        <f t="shared" si="154"/>
        <v>0</v>
      </c>
      <c r="W227" s="2192">
        <f t="shared" si="156"/>
        <v>0</v>
      </c>
      <c r="X227" s="1535" t="str">
        <f t="shared" si="157"/>
        <v>1.33</v>
      </c>
      <c r="Y227" s="1535" t="str">
        <f t="shared" si="158"/>
        <v>D+</v>
      </c>
      <c r="Z227" s="1535" t="str">
        <f t="shared" si="159"/>
        <v>0</v>
      </c>
      <c r="AA227" s="2173"/>
      <c r="AB227" s="2174"/>
      <c r="AC227" s="2174"/>
      <c r="AD227" s="2174"/>
      <c r="AE227" s="2174"/>
      <c r="AF227" s="2174"/>
      <c r="AG227" s="2174"/>
      <c r="AH227" s="2174"/>
      <c r="AI227" s="2174"/>
      <c r="AJ227" s="2175"/>
      <c r="AK227" s="2175"/>
      <c r="AL227" s="2175"/>
      <c r="AM227" s="2175"/>
      <c r="AN227" s="2175"/>
      <c r="AO227" s="2175"/>
      <c r="AP227" s="2175"/>
      <c r="AQ227" s="2175"/>
      <c r="AR227" s="2176"/>
      <c r="AS227" s="1948"/>
      <c r="AT227" s="1949"/>
    </row>
    <row r="228" spans="1:46" ht="24.95" customHeight="1" x14ac:dyDescent="0.3">
      <c r="A228" s="1656"/>
      <c r="B228" s="1207"/>
      <c r="C228" s="1655"/>
      <c r="D228" s="1654" t="s">
        <v>22</v>
      </c>
      <c r="E228" s="2187"/>
      <c r="F228" s="2187"/>
      <c r="G228" s="2187"/>
      <c r="H228" s="2188"/>
      <c r="I228" s="2186"/>
      <c r="J228" s="2186"/>
      <c r="K228" s="23"/>
      <c r="L228" s="23"/>
      <c r="M228" s="23"/>
      <c r="N228" s="2186"/>
      <c r="O228" s="2186"/>
      <c r="P228" s="2186"/>
      <c r="Q228" s="23">
        <v>0</v>
      </c>
      <c r="R228" s="23">
        <v>0</v>
      </c>
      <c r="S228" s="23">
        <v>0</v>
      </c>
      <c r="T228" s="2189">
        <f t="shared" si="155"/>
        <v>0</v>
      </c>
      <c r="U228" s="2190">
        <f t="shared" si="153"/>
        <v>0</v>
      </c>
      <c r="V228" s="2191">
        <f t="shared" si="154"/>
        <v>0</v>
      </c>
      <c r="W228" s="2192">
        <f t="shared" si="156"/>
        <v>0</v>
      </c>
      <c r="X228" s="1535" t="str">
        <f t="shared" si="157"/>
        <v>1.33</v>
      </c>
      <c r="Y228" s="1535" t="str">
        <f t="shared" si="158"/>
        <v>D+</v>
      </c>
      <c r="Z228" s="1535" t="str">
        <f t="shared" si="159"/>
        <v>0</v>
      </c>
      <c r="AA228" s="2173"/>
      <c r="AB228" s="2174"/>
      <c r="AC228" s="2174"/>
      <c r="AD228" s="2174"/>
      <c r="AE228" s="2174"/>
      <c r="AF228" s="2174"/>
      <c r="AG228" s="2174"/>
      <c r="AH228" s="2174"/>
      <c r="AI228" s="2174"/>
      <c r="AJ228" s="2175"/>
      <c r="AK228" s="2175"/>
      <c r="AL228" s="2175"/>
      <c r="AM228" s="2175"/>
      <c r="AN228" s="2175"/>
      <c r="AO228" s="2175"/>
      <c r="AP228" s="2175"/>
      <c r="AQ228" s="2175"/>
      <c r="AR228" s="2176"/>
      <c r="AS228" s="1950"/>
      <c r="AT228" s="1951"/>
    </row>
    <row r="229" spans="1:46" ht="24.95" customHeight="1" x14ac:dyDescent="0.3">
      <c r="A229" s="1236"/>
      <c r="B229" s="1237">
        <v>22</v>
      </c>
      <c r="C229" s="1658"/>
      <c r="D229" s="1236"/>
      <c r="E229" s="2650"/>
      <c r="F229" s="2651"/>
      <c r="G229" s="2651"/>
      <c r="H229" s="2651"/>
      <c r="I229" s="2652"/>
      <c r="J229" s="2109"/>
      <c r="K229" s="2109"/>
      <c r="L229" s="2109"/>
      <c r="M229" s="2109"/>
      <c r="N229" s="2109"/>
      <c r="O229" s="2109"/>
      <c r="P229" s="2109"/>
      <c r="Q229" s="2109"/>
      <c r="R229" s="2109"/>
      <c r="S229" s="2109"/>
      <c r="T229" s="2193"/>
      <c r="U229" s="2193"/>
      <c r="V229" s="2193"/>
      <c r="W229" s="2194">
        <f>IFERROR(AVERAGE(W220:W228),"  ")</f>
        <v>0</v>
      </c>
      <c r="X229" s="1454" t="str">
        <f>IF(W229&gt;85,("4"),IF(W229&gt;80,("3.66"),IF(W229&gt;75,("3.33"),IF(W229&gt;70,("3.00"),IF(W229&gt;65,("2.66"),IF(W229&gt;60,("2.33"),IF(W229&gt;55,("2"),IF(W229&gt;50,("1.66"),"1.33"))))))))</f>
        <v>1.33</v>
      </c>
      <c r="Y229" s="1454" t="str">
        <f>IF(W229&gt;85,("A"),IF(W229&gt;80,("A-"),IF(W229&gt;75,("B+"),IF(W229&gt;70,("B"),IF(W229&gt;65,("B-"),IF(W229&gt;60,("C+"),IF(W229&gt;55,("C"),IF(W229&gt;50,("C-"),"D+"))))))))</f>
        <v>D+</v>
      </c>
      <c r="Z229" s="1666"/>
      <c r="AA229" s="2182"/>
      <c r="AB229" s="2183"/>
      <c r="AC229" s="2183"/>
      <c r="AD229" s="2183"/>
      <c r="AE229" s="2183"/>
      <c r="AF229" s="2183"/>
      <c r="AG229" s="2183"/>
      <c r="AH229" s="2183"/>
      <c r="AI229" s="2183"/>
      <c r="AJ229" s="2183"/>
      <c r="AK229" s="2183"/>
      <c r="AL229" s="2183"/>
      <c r="AM229" s="2183"/>
      <c r="AN229" s="2183"/>
      <c r="AO229" s="2183"/>
      <c r="AP229" s="2183"/>
      <c r="AQ229" s="2183"/>
      <c r="AR229" s="2184"/>
      <c r="AS229" s="1952"/>
      <c r="AT229" s="1953"/>
    </row>
    <row r="230" spans="1:46" ht="24.95" customHeight="1" x14ac:dyDescent="0.3">
      <c r="A230" s="1224">
        <v>23</v>
      </c>
      <c r="B230" s="1224"/>
      <c r="C230" s="1653" t="str">
        <f>VLOOKUP(A230,data_siswa,4,FALSE)</f>
        <v xml:space="preserve">Tania Kaori Angelita </v>
      </c>
      <c r="D230" s="1654" t="s">
        <v>603</v>
      </c>
      <c r="E230" s="1211">
        <v>0</v>
      </c>
      <c r="F230" s="1211">
        <v>0</v>
      </c>
      <c r="G230" s="1211">
        <v>0</v>
      </c>
      <c r="H230" s="2185"/>
      <c r="I230" s="2185"/>
      <c r="J230" s="2185"/>
      <c r="K230" s="1211"/>
      <c r="L230" s="1211"/>
      <c r="M230" s="1211"/>
      <c r="N230" s="2185"/>
      <c r="O230" s="2185"/>
      <c r="P230" s="2185"/>
      <c r="Q230" s="1211"/>
      <c r="R230" s="1211"/>
      <c r="S230" s="1211"/>
      <c r="T230" s="2189">
        <f>MAX(H230,K230,N230,Q230)</f>
        <v>0</v>
      </c>
      <c r="U230" s="2190">
        <f t="shared" ref="U230:U238" si="160">MAX(I230,L230,O230,R230)</f>
        <v>0</v>
      </c>
      <c r="V230" s="2191">
        <f t="shared" ref="V230:V238" si="161">MAX(J230,M230,P230,S230)</f>
        <v>0</v>
      </c>
      <c r="W230" s="2192">
        <f>IFERROR(AVERAGE(T230:V230),"")</f>
        <v>0</v>
      </c>
      <c r="X230" s="1535" t="str">
        <f>IF(W230&gt;85,("4"),IF(W230&gt;80,("3.66"),IF(W230&gt;75,("3.33"),IF(W230&gt;70,("3.00"),IF(W230&gt;65,("2.66"),IF(W230&gt;60,("2.33"),IF(W230&gt;55,("2"),IF(W230&gt;50,("1.66"),"1.33"))))))))</f>
        <v>1.33</v>
      </c>
      <c r="Y230" s="1535" t="str">
        <f>IF(W230&gt;85,("A"),IF(W230&gt;80,("A-"),IF(W230&gt;75,("B+"),IF(W230&gt;70,("B"),IF(W230&gt;65,("B-"),IF(W230&gt;60,("C+"),IF(W230&gt;55,("C"),IF(W230&gt;50,("C-"),"D+"))))))))</f>
        <v>D+</v>
      </c>
      <c r="Z230" s="1535" t="str">
        <f>IF(W230&gt;80,("SB"),IF(W230&gt;65,("B"),IF(W230&gt;50,("C"),IF(W230&gt;0,("K"),"0"))))</f>
        <v>0</v>
      </c>
      <c r="AA230" s="2180"/>
      <c r="AB230" s="2180"/>
      <c r="AC230" s="2180"/>
      <c r="AD230" s="2180"/>
      <c r="AE230" s="2180"/>
      <c r="AF230" s="2180"/>
      <c r="AG230" s="2180"/>
      <c r="AH230" s="2180"/>
      <c r="AI230" s="2180"/>
      <c r="AJ230" s="2181"/>
      <c r="AK230" s="2181"/>
      <c r="AL230" s="2181"/>
      <c r="AM230" s="2181"/>
      <c r="AN230" s="2181"/>
      <c r="AO230" s="2181"/>
      <c r="AP230" s="2181"/>
      <c r="AQ230" s="2181"/>
      <c r="AR230" s="2181"/>
      <c r="AS230" s="1910">
        <f>W239</f>
        <v>0</v>
      </c>
      <c r="AT230" s="1910" t="str">
        <f>Y239</f>
        <v>D+</v>
      </c>
    </row>
    <row r="231" spans="1:46" ht="24.95" customHeight="1" x14ac:dyDescent="0.3">
      <c r="A231" s="1207"/>
      <c r="B231" s="1207"/>
      <c r="C231" s="1655"/>
      <c r="D231" s="1654" t="s">
        <v>604</v>
      </c>
      <c r="E231" s="23">
        <v>0</v>
      </c>
      <c r="F231" s="23">
        <v>0</v>
      </c>
      <c r="G231" s="23">
        <v>0</v>
      </c>
      <c r="H231" s="2186"/>
      <c r="I231" s="2186"/>
      <c r="J231" s="2186"/>
      <c r="K231" s="23"/>
      <c r="L231" s="23"/>
      <c r="M231" s="23"/>
      <c r="N231" s="2186"/>
      <c r="O231" s="2186"/>
      <c r="P231" s="2186"/>
      <c r="Q231" s="23"/>
      <c r="R231" s="23"/>
      <c r="S231" s="23"/>
      <c r="T231" s="2189">
        <f t="shared" ref="T231:T238" si="162">MAX(H231,K231,N231,Q231)</f>
        <v>0</v>
      </c>
      <c r="U231" s="2190">
        <f t="shared" si="160"/>
        <v>0</v>
      </c>
      <c r="V231" s="2191">
        <f t="shared" si="161"/>
        <v>0</v>
      </c>
      <c r="W231" s="2192">
        <f t="shared" ref="W231:W238" si="163">IFERROR(AVERAGE(T231:V231),"")</f>
        <v>0</v>
      </c>
      <c r="X231" s="1535" t="str">
        <f t="shared" ref="X231:X238" si="164">IF(W231&gt;85,("4"),IF(W231&gt;80,("3.66"),IF(W231&gt;75,("3.33"),IF(W231&gt;70,("3.00"),IF(W231&gt;65,("2.66"),IF(W231&gt;60,("2.33"),IF(W231&gt;55,("2"),IF(W231&gt;50,("1.66"),"1.33"))))))))</f>
        <v>1.33</v>
      </c>
      <c r="Y231" s="1535" t="str">
        <f t="shared" ref="Y231:Y238" si="165">IF(W231&gt;85,("A"),IF(W231&gt;80,("A-"),IF(W231&gt;75,("B+"),IF(W231&gt;70,("B"),IF(W231&gt;65,("B-"),IF(W231&gt;60,("C+"),IF(W231&gt;55,("C"),IF(W231&gt;50,("C-"),"D+"))))))))</f>
        <v>D+</v>
      </c>
      <c r="Z231" s="1535" t="str">
        <f t="shared" ref="Z231:Z238" si="166">IF(W231&gt;80,("SB"),IF(W231&gt;65,("B"),IF(W231&gt;50,("C"),IF(W231&gt;0,("K"),"0"))))</f>
        <v>0</v>
      </c>
      <c r="AA231" s="2169"/>
      <c r="AB231" s="2170"/>
      <c r="AC231" s="2170"/>
      <c r="AD231" s="2170"/>
      <c r="AE231" s="2170"/>
      <c r="AF231" s="2170"/>
      <c r="AG231" s="2170"/>
      <c r="AH231" s="2170"/>
      <c r="AI231" s="2170"/>
      <c r="AJ231" s="2171"/>
      <c r="AK231" s="2171"/>
      <c r="AL231" s="2171"/>
      <c r="AM231" s="2171"/>
      <c r="AN231" s="2171"/>
      <c r="AO231" s="2171"/>
      <c r="AP231" s="2171"/>
      <c r="AQ231" s="2171"/>
      <c r="AR231" s="2172"/>
      <c r="AS231" s="1946"/>
      <c r="AT231" s="1947"/>
    </row>
    <row r="232" spans="1:46" ht="24.95" customHeight="1" x14ac:dyDescent="0.3">
      <c r="A232" s="1207"/>
      <c r="B232" s="1207"/>
      <c r="C232" s="1655"/>
      <c r="D232" s="1654" t="s">
        <v>605</v>
      </c>
      <c r="E232" s="23">
        <v>0</v>
      </c>
      <c r="F232" s="23">
        <v>0</v>
      </c>
      <c r="G232" s="23">
        <v>0</v>
      </c>
      <c r="H232" s="2186"/>
      <c r="I232" s="2186"/>
      <c r="J232" s="2186"/>
      <c r="K232" s="23"/>
      <c r="L232" s="23"/>
      <c r="M232" s="23"/>
      <c r="N232" s="2186"/>
      <c r="O232" s="2186"/>
      <c r="P232" s="2186"/>
      <c r="Q232" s="23"/>
      <c r="R232" s="23"/>
      <c r="S232" s="23"/>
      <c r="T232" s="2189">
        <f t="shared" si="162"/>
        <v>0</v>
      </c>
      <c r="U232" s="2190">
        <f t="shared" si="160"/>
        <v>0</v>
      </c>
      <c r="V232" s="2191">
        <f t="shared" si="161"/>
        <v>0</v>
      </c>
      <c r="W232" s="2192">
        <f t="shared" si="163"/>
        <v>0</v>
      </c>
      <c r="X232" s="1535" t="str">
        <f t="shared" si="164"/>
        <v>1.33</v>
      </c>
      <c r="Y232" s="1535" t="str">
        <f t="shared" si="165"/>
        <v>D+</v>
      </c>
      <c r="Z232" s="1535" t="str">
        <f t="shared" si="166"/>
        <v>0</v>
      </c>
      <c r="AA232" s="2173"/>
      <c r="AB232" s="2174"/>
      <c r="AC232" s="2174"/>
      <c r="AD232" s="2174"/>
      <c r="AE232" s="2174"/>
      <c r="AF232" s="2174"/>
      <c r="AG232" s="2174"/>
      <c r="AH232" s="2174"/>
      <c r="AI232" s="2174"/>
      <c r="AJ232" s="2175"/>
      <c r="AK232" s="2175"/>
      <c r="AL232" s="2175"/>
      <c r="AM232" s="2175"/>
      <c r="AN232" s="2175"/>
      <c r="AO232" s="2175"/>
      <c r="AP232" s="2175"/>
      <c r="AQ232" s="2175"/>
      <c r="AR232" s="2176"/>
      <c r="AS232" s="1948"/>
      <c r="AT232" s="1949"/>
    </row>
    <row r="233" spans="1:46" ht="24.95" customHeight="1" x14ac:dyDescent="0.3">
      <c r="A233" s="1207"/>
      <c r="B233" s="1207"/>
      <c r="C233" s="1655"/>
      <c r="D233" s="1654" t="s">
        <v>155</v>
      </c>
      <c r="E233" s="23"/>
      <c r="F233" s="23"/>
      <c r="G233" s="23"/>
      <c r="H233" s="2186">
        <v>0</v>
      </c>
      <c r="I233" s="2186">
        <v>0</v>
      </c>
      <c r="J233" s="2186">
        <v>0</v>
      </c>
      <c r="K233" s="23"/>
      <c r="L233" s="23"/>
      <c r="M233" s="23"/>
      <c r="N233" s="2186"/>
      <c r="O233" s="2186"/>
      <c r="P233" s="2186"/>
      <c r="Q233" s="23"/>
      <c r="R233" s="23"/>
      <c r="S233" s="23"/>
      <c r="T233" s="2189">
        <f t="shared" si="162"/>
        <v>0</v>
      </c>
      <c r="U233" s="2190">
        <f t="shared" si="160"/>
        <v>0</v>
      </c>
      <c r="V233" s="2191">
        <f t="shared" si="161"/>
        <v>0</v>
      </c>
      <c r="W233" s="2192">
        <f t="shared" si="163"/>
        <v>0</v>
      </c>
      <c r="X233" s="1535" t="str">
        <f t="shared" si="164"/>
        <v>1.33</v>
      </c>
      <c r="Y233" s="1535" t="str">
        <f t="shared" si="165"/>
        <v>D+</v>
      </c>
      <c r="Z233" s="1535" t="str">
        <f t="shared" si="166"/>
        <v>0</v>
      </c>
      <c r="AA233" s="2173"/>
      <c r="AB233" s="2174"/>
      <c r="AC233" s="2174"/>
      <c r="AD233" s="2174"/>
      <c r="AE233" s="2174"/>
      <c r="AF233" s="2174"/>
      <c r="AG233" s="2174"/>
      <c r="AH233" s="2174"/>
      <c r="AI233" s="2174"/>
      <c r="AJ233" s="2175"/>
      <c r="AK233" s="2175"/>
      <c r="AL233" s="2175"/>
      <c r="AM233" s="2175"/>
      <c r="AN233" s="2175"/>
      <c r="AO233" s="2175"/>
      <c r="AP233" s="2175"/>
      <c r="AQ233" s="2175"/>
      <c r="AR233" s="2176"/>
      <c r="AS233" s="1948"/>
      <c r="AT233" s="1949"/>
    </row>
    <row r="234" spans="1:46" ht="24.95" customHeight="1" x14ac:dyDescent="0.3">
      <c r="A234" s="1207"/>
      <c r="B234" s="1207"/>
      <c r="C234" s="1655"/>
      <c r="D234" s="1654" t="s">
        <v>187</v>
      </c>
      <c r="E234" s="23"/>
      <c r="F234" s="23"/>
      <c r="G234" s="23"/>
      <c r="H234" s="2186"/>
      <c r="I234" s="2186"/>
      <c r="J234" s="2186"/>
      <c r="K234" s="23">
        <v>0</v>
      </c>
      <c r="L234" s="23">
        <v>0</v>
      </c>
      <c r="M234" s="23">
        <v>0</v>
      </c>
      <c r="N234" s="2186"/>
      <c r="O234" s="2186"/>
      <c r="P234" s="2186"/>
      <c r="Q234" s="23"/>
      <c r="R234" s="23"/>
      <c r="S234" s="23"/>
      <c r="T234" s="2189">
        <f t="shared" si="162"/>
        <v>0</v>
      </c>
      <c r="U234" s="2190">
        <f t="shared" si="160"/>
        <v>0</v>
      </c>
      <c r="V234" s="2191">
        <f t="shared" si="161"/>
        <v>0</v>
      </c>
      <c r="W234" s="2192">
        <f t="shared" si="163"/>
        <v>0</v>
      </c>
      <c r="X234" s="1535" t="str">
        <f t="shared" si="164"/>
        <v>1.33</v>
      </c>
      <c r="Y234" s="1535" t="str">
        <f t="shared" si="165"/>
        <v>D+</v>
      </c>
      <c r="Z234" s="1535" t="str">
        <f t="shared" si="166"/>
        <v>0</v>
      </c>
      <c r="AA234" s="2173"/>
      <c r="AB234" s="2174"/>
      <c r="AC234" s="2174"/>
      <c r="AD234" s="2174"/>
      <c r="AE234" s="2174"/>
      <c r="AF234" s="2174"/>
      <c r="AG234" s="2174"/>
      <c r="AH234" s="2174"/>
      <c r="AI234" s="2174"/>
      <c r="AJ234" s="2175"/>
      <c r="AK234" s="2175"/>
      <c r="AL234" s="2175"/>
      <c r="AM234" s="2175"/>
      <c r="AN234" s="2175"/>
      <c r="AO234" s="2175"/>
      <c r="AP234" s="2175"/>
      <c r="AQ234" s="2175"/>
      <c r="AR234" s="2176"/>
      <c r="AS234" s="1948"/>
      <c r="AT234" s="1949"/>
    </row>
    <row r="235" spans="1:46" ht="24.95" customHeight="1" x14ac:dyDescent="0.3">
      <c r="A235" s="1207"/>
      <c r="B235" s="1207"/>
      <c r="C235" s="1655"/>
      <c r="D235" s="1654" t="s">
        <v>17</v>
      </c>
      <c r="E235" s="23"/>
      <c r="F235" s="23"/>
      <c r="G235" s="23"/>
      <c r="H235" s="2186"/>
      <c r="I235" s="2186"/>
      <c r="J235" s="2186"/>
      <c r="K235" s="23">
        <v>0</v>
      </c>
      <c r="L235" s="23">
        <v>0</v>
      </c>
      <c r="M235" s="23">
        <v>0</v>
      </c>
      <c r="N235" s="2186"/>
      <c r="O235" s="2186"/>
      <c r="P235" s="2186"/>
      <c r="Q235" s="23"/>
      <c r="R235" s="23"/>
      <c r="S235" s="23"/>
      <c r="T235" s="2189">
        <f t="shared" si="162"/>
        <v>0</v>
      </c>
      <c r="U235" s="2190">
        <f t="shared" si="160"/>
        <v>0</v>
      </c>
      <c r="V235" s="2191">
        <f t="shared" si="161"/>
        <v>0</v>
      </c>
      <c r="W235" s="2192">
        <f t="shared" si="163"/>
        <v>0</v>
      </c>
      <c r="X235" s="1535" t="str">
        <f t="shared" si="164"/>
        <v>1.33</v>
      </c>
      <c r="Y235" s="1535" t="str">
        <f t="shared" si="165"/>
        <v>D+</v>
      </c>
      <c r="Z235" s="1535" t="str">
        <f t="shared" si="166"/>
        <v>0</v>
      </c>
      <c r="AA235" s="2173"/>
      <c r="AB235" s="2174"/>
      <c r="AC235" s="2174"/>
      <c r="AD235" s="2174"/>
      <c r="AE235" s="2174"/>
      <c r="AF235" s="2174"/>
      <c r="AG235" s="2174"/>
      <c r="AH235" s="2174"/>
      <c r="AI235" s="2174"/>
      <c r="AJ235" s="2175"/>
      <c r="AK235" s="2175"/>
      <c r="AL235" s="2175"/>
      <c r="AM235" s="2175"/>
      <c r="AN235" s="2175"/>
      <c r="AO235" s="2175"/>
      <c r="AP235" s="2175"/>
      <c r="AQ235" s="2175"/>
      <c r="AR235" s="2176"/>
      <c r="AS235" s="1948"/>
      <c r="AT235" s="1949"/>
    </row>
    <row r="236" spans="1:46" ht="24.95" customHeight="1" x14ac:dyDescent="0.3">
      <c r="A236" s="1207"/>
      <c r="B236" s="1207"/>
      <c r="C236" s="1655"/>
      <c r="D236" s="1654" t="s">
        <v>606</v>
      </c>
      <c r="E236" s="23"/>
      <c r="F236" s="23"/>
      <c r="G236" s="23"/>
      <c r="H236" s="2186"/>
      <c r="I236" s="2186"/>
      <c r="J236" s="2186"/>
      <c r="K236" s="23"/>
      <c r="L236" s="23"/>
      <c r="M236" s="23"/>
      <c r="N236" s="2186">
        <v>0</v>
      </c>
      <c r="O236" s="2186">
        <v>0</v>
      </c>
      <c r="P236" s="2186">
        <v>0</v>
      </c>
      <c r="Q236" s="23"/>
      <c r="R236" s="23"/>
      <c r="S236" s="23"/>
      <c r="T236" s="2189">
        <f t="shared" si="162"/>
        <v>0</v>
      </c>
      <c r="U236" s="2190">
        <f t="shared" si="160"/>
        <v>0</v>
      </c>
      <c r="V236" s="2191">
        <f t="shared" si="161"/>
        <v>0</v>
      </c>
      <c r="W236" s="2192">
        <f t="shared" si="163"/>
        <v>0</v>
      </c>
      <c r="X236" s="1535" t="str">
        <f t="shared" si="164"/>
        <v>1.33</v>
      </c>
      <c r="Y236" s="1535" t="str">
        <f t="shared" si="165"/>
        <v>D+</v>
      </c>
      <c r="Z236" s="1535" t="str">
        <f t="shared" si="166"/>
        <v>0</v>
      </c>
      <c r="AA236" s="2173"/>
      <c r="AB236" s="2174"/>
      <c r="AC236" s="2174"/>
      <c r="AD236" s="2174"/>
      <c r="AE236" s="2174"/>
      <c r="AF236" s="2174"/>
      <c r="AG236" s="2174"/>
      <c r="AH236" s="2174"/>
      <c r="AI236" s="2174"/>
      <c r="AJ236" s="2175"/>
      <c r="AK236" s="2175"/>
      <c r="AL236" s="2175"/>
      <c r="AM236" s="2175"/>
      <c r="AN236" s="2175"/>
      <c r="AO236" s="2175"/>
      <c r="AP236" s="2175"/>
      <c r="AQ236" s="2175"/>
      <c r="AR236" s="2176"/>
      <c r="AS236" s="1948"/>
      <c r="AT236" s="1949"/>
    </row>
    <row r="237" spans="1:46" ht="24.95" customHeight="1" x14ac:dyDescent="0.3">
      <c r="A237" s="1207"/>
      <c r="B237" s="1207"/>
      <c r="C237" s="1655"/>
      <c r="D237" s="1654" t="s">
        <v>607</v>
      </c>
      <c r="E237" s="23"/>
      <c r="F237" s="23"/>
      <c r="G237" s="23"/>
      <c r="H237" s="2186"/>
      <c r="I237" s="2186"/>
      <c r="J237" s="2186"/>
      <c r="K237" s="23"/>
      <c r="L237" s="23"/>
      <c r="M237" s="23"/>
      <c r="N237" s="2186">
        <v>0</v>
      </c>
      <c r="O237" s="2186">
        <v>0</v>
      </c>
      <c r="P237" s="2186">
        <v>0</v>
      </c>
      <c r="Q237" s="23"/>
      <c r="R237" s="23"/>
      <c r="S237" s="23"/>
      <c r="T237" s="2189">
        <f t="shared" si="162"/>
        <v>0</v>
      </c>
      <c r="U237" s="2190">
        <f t="shared" si="160"/>
        <v>0</v>
      </c>
      <c r="V237" s="2191">
        <f t="shared" si="161"/>
        <v>0</v>
      </c>
      <c r="W237" s="2192">
        <f t="shared" si="163"/>
        <v>0</v>
      </c>
      <c r="X237" s="1535" t="str">
        <f t="shared" si="164"/>
        <v>1.33</v>
      </c>
      <c r="Y237" s="1535" t="str">
        <f t="shared" si="165"/>
        <v>D+</v>
      </c>
      <c r="Z237" s="1535" t="str">
        <f t="shared" si="166"/>
        <v>0</v>
      </c>
      <c r="AA237" s="2173"/>
      <c r="AB237" s="2174"/>
      <c r="AC237" s="2174"/>
      <c r="AD237" s="2174"/>
      <c r="AE237" s="2174"/>
      <c r="AF237" s="2174"/>
      <c r="AG237" s="2174"/>
      <c r="AH237" s="2174"/>
      <c r="AI237" s="2174"/>
      <c r="AJ237" s="2175"/>
      <c r="AK237" s="2175"/>
      <c r="AL237" s="2175"/>
      <c r="AM237" s="2175"/>
      <c r="AN237" s="2175"/>
      <c r="AO237" s="2175"/>
      <c r="AP237" s="2175"/>
      <c r="AQ237" s="2175"/>
      <c r="AR237" s="2176"/>
      <c r="AS237" s="1948"/>
      <c r="AT237" s="1949"/>
    </row>
    <row r="238" spans="1:46" ht="24.95" customHeight="1" x14ac:dyDescent="0.3">
      <c r="A238" s="1656"/>
      <c r="B238" s="1207"/>
      <c r="C238" s="1655"/>
      <c r="D238" s="1654" t="s">
        <v>22</v>
      </c>
      <c r="E238" s="2187"/>
      <c r="F238" s="2187"/>
      <c r="G238" s="2187"/>
      <c r="H238" s="2188"/>
      <c r="I238" s="2186"/>
      <c r="J238" s="2186"/>
      <c r="K238" s="23"/>
      <c r="L238" s="23"/>
      <c r="M238" s="23"/>
      <c r="N238" s="2186"/>
      <c r="O238" s="2186"/>
      <c r="P238" s="2186"/>
      <c r="Q238" s="23">
        <v>0</v>
      </c>
      <c r="R238" s="23">
        <v>0</v>
      </c>
      <c r="S238" s="23">
        <v>0</v>
      </c>
      <c r="T238" s="2189">
        <f t="shared" si="162"/>
        <v>0</v>
      </c>
      <c r="U238" s="2190">
        <f t="shared" si="160"/>
        <v>0</v>
      </c>
      <c r="V238" s="2191">
        <f t="shared" si="161"/>
        <v>0</v>
      </c>
      <c r="W238" s="2192">
        <f t="shared" si="163"/>
        <v>0</v>
      </c>
      <c r="X238" s="1535" t="str">
        <f t="shared" si="164"/>
        <v>1.33</v>
      </c>
      <c r="Y238" s="1535" t="str">
        <f t="shared" si="165"/>
        <v>D+</v>
      </c>
      <c r="Z238" s="1535" t="str">
        <f t="shared" si="166"/>
        <v>0</v>
      </c>
      <c r="AA238" s="2173"/>
      <c r="AB238" s="2174"/>
      <c r="AC238" s="2174"/>
      <c r="AD238" s="2174"/>
      <c r="AE238" s="2174"/>
      <c r="AF238" s="2174"/>
      <c r="AG238" s="2174"/>
      <c r="AH238" s="2174"/>
      <c r="AI238" s="2174"/>
      <c r="AJ238" s="2175"/>
      <c r="AK238" s="2175"/>
      <c r="AL238" s="2175"/>
      <c r="AM238" s="2175"/>
      <c r="AN238" s="2175"/>
      <c r="AO238" s="2175"/>
      <c r="AP238" s="2175"/>
      <c r="AQ238" s="2175"/>
      <c r="AR238" s="2176"/>
      <c r="AS238" s="1950"/>
      <c r="AT238" s="1951"/>
    </row>
    <row r="239" spans="1:46" ht="24.95" customHeight="1" x14ac:dyDescent="0.3">
      <c r="A239" s="1236"/>
      <c r="B239" s="1237">
        <v>23</v>
      </c>
      <c r="C239" s="1658"/>
      <c r="D239" s="1236"/>
      <c r="E239" s="2650"/>
      <c r="F239" s="2651"/>
      <c r="G239" s="2651"/>
      <c r="H239" s="2651"/>
      <c r="I239" s="2652"/>
      <c r="J239" s="2109"/>
      <c r="K239" s="2109"/>
      <c r="L239" s="2109"/>
      <c r="M239" s="2109"/>
      <c r="N239" s="2109"/>
      <c r="O239" s="2109"/>
      <c r="P239" s="2109"/>
      <c r="Q239" s="2109"/>
      <c r="R239" s="2109"/>
      <c r="S239" s="2109"/>
      <c r="T239" s="2193"/>
      <c r="U239" s="2193"/>
      <c r="V239" s="2193"/>
      <c r="W239" s="2194">
        <f>IFERROR(AVERAGE(W230:W238),"  ")</f>
        <v>0</v>
      </c>
      <c r="X239" s="1454" t="str">
        <f>IF(W239&gt;85,("4"),IF(W239&gt;80,("3.66"),IF(W239&gt;75,("3.33"),IF(W239&gt;70,("3.00"),IF(W239&gt;65,("2.66"),IF(W239&gt;60,("2.33"),IF(W239&gt;55,("2"),IF(W239&gt;50,("1.66"),"1.33"))))))))</f>
        <v>1.33</v>
      </c>
      <c r="Y239" s="1454" t="str">
        <f>IF(W239&gt;85,("A"),IF(W239&gt;80,("A-"),IF(W239&gt;75,("B+"),IF(W239&gt;70,("B"),IF(W239&gt;65,("B-"),IF(W239&gt;60,("C+"),IF(W239&gt;55,("C"),IF(W239&gt;50,("C-"),"D+"))))))))</f>
        <v>D+</v>
      </c>
      <c r="Z239" s="1666"/>
      <c r="AA239" s="2182"/>
      <c r="AB239" s="2183"/>
      <c r="AC239" s="2183"/>
      <c r="AD239" s="2183"/>
      <c r="AE239" s="2183"/>
      <c r="AF239" s="2183"/>
      <c r="AG239" s="2183"/>
      <c r="AH239" s="2183"/>
      <c r="AI239" s="2183"/>
      <c r="AJ239" s="2183"/>
      <c r="AK239" s="2183"/>
      <c r="AL239" s="2183"/>
      <c r="AM239" s="2183"/>
      <c r="AN239" s="2183"/>
      <c r="AO239" s="2183"/>
      <c r="AP239" s="2183"/>
      <c r="AQ239" s="2183"/>
      <c r="AR239" s="2184"/>
      <c r="AS239" s="1952"/>
      <c r="AT239" s="1953"/>
    </row>
    <row r="240" spans="1:46" ht="24.95" customHeight="1" x14ac:dyDescent="0.3">
      <c r="A240" s="1224">
        <v>24</v>
      </c>
      <c r="B240" s="1224"/>
      <c r="C240" s="1653" t="str">
        <f>VLOOKUP(A240,data_siswa,4,FALSE)</f>
        <v>Romzy Oka Ramadhani P</v>
      </c>
      <c r="D240" s="1654" t="s">
        <v>603</v>
      </c>
      <c r="E240" s="1211">
        <v>0</v>
      </c>
      <c r="F240" s="1211">
        <v>0</v>
      </c>
      <c r="G240" s="1211">
        <v>0</v>
      </c>
      <c r="H240" s="2185"/>
      <c r="I240" s="2185"/>
      <c r="J240" s="2185"/>
      <c r="K240" s="1211"/>
      <c r="L240" s="1211"/>
      <c r="M240" s="1211"/>
      <c r="N240" s="2185"/>
      <c r="O240" s="2185"/>
      <c r="P240" s="2185"/>
      <c r="Q240" s="1211"/>
      <c r="R240" s="1211"/>
      <c r="S240" s="1211"/>
      <c r="T240" s="2189">
        <f>MAX(H240,K240,N240,Q240)</f>
        <v>0</v>
      </c>
      <c r="U240" s="2190">
        <f t="shared" ref="U240:U248" si="167">MAX(I240,L240,O240,R240)</f>
        <v>0</v>
      </c>
      <c r="V240" s="2191">
        <f t="shared" ref="V240:V248" si="168">MAX(J240,M240,P240,S240)</f>
        <v>0</v>
      </c>
      <c r="W240" s="2192">
        <f>IFERROR(AVERAGE(T240:V240),"")</f>
        <v>0</v>
      </c>
      <c r="X240" s="1075" t="str">
        <f>IF(W240&gt;85,("4"),IF(W240&gt;80,("3.66"),IF(W240&gt;75,("3.33"),IF(W240&gt;70,("3.00"),IF(W240&gt;65,("2.66"),IF(W240&gt;60,("2.33"),IF(W240&gt;55,("2"),IF(W240&gt;50,("1.66"),"1.33"))))))))</f>
        <v>1.33</v>
      </c>
      <c r="Y240" s="1075" t="str">
        <f>IF(W240&gt;85,("A"),IF(W240&gt;80,("A-"),IF(W240&gt;75,("B+"),IF(W240&gt;70,("B"),IF(W240&gt;65,("B-"),IF(W240&gt;60,("C+"),IF(W240&gt;55,("C"),IF(W240&gt;50,("C-"),"D+"))))))))</f>
        <v>D+</v>
      </c>
      <c r="Z240" s="1075" t="str">
        <f>IF(W240&gt;80,("SB"),IF(W240&gt;65,("B"),IF(W240&gt;50,("C"),IF(W240&gt;0,("K"),"0"))))</f>
        <v>0</v>
      </c>
      <c r="AA240" s="2180"/>
      <c r="AB240" s="2180"/>
      <c r="AC240" s="2180"/>
      <c r="AD240" s="2180"/>
      <c r="AE240" s="2180"/>
      <c r="AF240" s="2180"/>
      <c r="AG240" s="2180"/>
      <c r="AH240" s="2180"/>
      <c r="AI240" s="2180"/>
      <c r="AJ240" s="2181"/>
      <c r="AK240" s="2181"/>
      <c r="AL240" s="2181"/>
      <c r="AM240" s="2181"/>
      <c r="AN240" s="2181"/>
      <c r="AO240" s="2181"/>
      <c r="AP240" s="2181"/>
      <c r="AQ240" s="2181"/>
      <c r="AR240" s="2181"/>
      <c r="AS240" s="1910">
        <f>W249</f>
        <v>0</v>
      </c>
      <c r="AT240" s="1910" t="str">
        <f>Y249</f>
        <v>D+</v>
      </c>
    </row>
    <row r="241" spans="1:46" ht="24.95" customHeight="1" x14ac:dyDescent="0.3">
      <c r="A241" s="1207"/>
      <c r="B241" s="1207"/>
      <c r="C241" s="1655"/>
      <c r="D241" s="1654" t="s">
        <v>604</v>
      </c>
      <c r="E241" s="23">
        <v>0</v>
      </c>
      <c r="F241" s="23">
        <v>0</v>
      </c>
      <c r="G241" s="23">
        <v>0</v>
      </c>
      <c r="H241" s="2186"/>
      <c r="I241" s="2186"/>
      <c r="J241" s="2186"/>
      <c r="K241" s="23"/>
      <c r="L241" s="23"/>
      <c r="M241" s="23"/>
      <c r="N241" s="2186"/>
      <c r="O241" s="2186"/>
      <c r="P241" s="2186"/>
      <c r="Q241" s="23"/>
      <c r="R241" s="23"/>
      <c r="S241" s="23"/>
      <c r="T241" s="2189">
        <f t="shared" ref="T241:T248" si="169">MAX(H241,K241,N241,Q241)</f>
        <v>0</v>
      </c>
      <c r="U241" s="2190">
        <f t="shared" si="167"/>
        <v>0</v>
      </c>
      <c r="V241" s="2191">
        <f t="shared" si="168"/>
        <v>0</v>
      </c>
      <c r="W241" s="2192">
        <f t="shared" ref="W241:W248" si="170">IFERROR(AVERAGE(T241:V241),"")</f>
        <v>0</v>
      </c>
      <c r="X241" s="1075" t="str">
        <f t="shared" ref="X241:X248" si="171">IF(W241&gt;85,("4"),IF(W241&gt;80,("3.66"),IF(W241&gt;75,("3.33"),IF(W241&gt;70,("3.00"),IF(W241&gt;65,("2.66"),IF(W241&gt;60,("2.33"),IF(W241&gt;55,("2"),IF(W241&gt;50,("1.66"),"1.33"))))))))</f>
        <v>1.33</v>
      </c>
      <c r="Y241" s="1075" t="str">
        <f t="shared" ref="Y241:Y248" si="172">IF(W241&gt;85,("A"),IF(W241&gt;80,("A-"),IF(W241&gt;75,("B+"),IF(W241&gt;70,("B"),IF(W241&gt;65,("B-"),IF(W241&gt;60,("C+"),IF(W241&gt;55,("C"),IF(W241&gt;50,("C-"),"D+"))))))))</f>
        <v>D+</v>
      </c>
      <c r="Z241" s="1075" t="str">
        <f t="shared" ref="Z241:Z248" si="173">IF(W241&gt;80,("SB"),IF(W241&gt;65,("B"),IF(W241&gt;50,("C"),IF(W241&gt;0,("K"),"0"))))</f>
        <v>0</v>
      </c>
      <c r="AA241" s="2169"/>
      <c r="AB241" s="2170"/>
      <c r="AC241" s="2170"/>
      <c r="AD241" s="2170"/>
      <c r="AE241" s="2170"/>
      <c r="AF241" s="2170"/>
      <c r="AG241" s="2170"/>
      <c r="AH241" s="2170"/>
      <c r="AI241" s="2170"/>
      <c r="AJ241" s="2171"/>
      <c r="AK241" s="2171"/>
      <c r="AL241" s="2171"/>
      <c r="AM241" s="2171"/>
      <c r="AN241" s="2171"/>
      <c r="AO241" s="2171"/>
      <c r="AP241" s="2171"/>
      <c r="AQ241" s="2171"/>
      <c r="AR241" s="2172"/>
      <c r="AS241" s="1946"/>
      <c r="AT241" s="1947"/>
    </row>
    <row r="242" spans="1:46" ht="24.95" customHeight="1" x14ac:dyDescent="0.3">
      <c r="A242" s="1207"/>
      <c r="B242" s="1207"/>
      <c r="C242" s="1655"/>
      <c r="D242" s="1654" t="s">
        <v>605</v>
      </c>
      <c r="E242" s="23">
        <v>0</v>
      </c>
      <c r="F242" s="23">
        <v>0</v>
      </c>
      <c r="G242" s="23">
        <v>0</v>
      </c>
      <c r="H242" s="2186"/>
      <c r="I242" s="2186"/>
      <c r="J242" s="2186"/>
      <c r="K242" s="23"/>
      <c r="L242" s="23"/>
      <c r="M242" s="23"/>
      <c r="N242" s="2186"/>
      <c r="O242" s="2186"/>
      <c r="P242" s="2186"/>
      <c r="Q242" s="23"/>
      <c r="R242" s="23"/>
      <c r="S242" s="23"/>
      <c r="T242" s="2189">
        <f t="shared" si="169"/>
        <v>0</v>
      </c>
      <c r="U242" s="2190">
        <f t="shared" si="167"/>
        <v>0</v>
      </c>
      <c r="V242" s="2191">
        <f t="shared" si="168"/>
        <v>0</v>
      </c>
      <c r="W242" s="2192">
        <f t="shared" si="170"/>
        <v>0</v>
      </c>
      <c r="X242" s="1075" t="str">
        <f t="shared" si="171"/>
        <v>1.33</v>
      </c>
      <c r="Y242" s="1075" t="str">
        <f t="shared" si="172"/>
        <v>D+</v>
      </c>
      <c r="Z242" s="1075" t="str">
        <f t="shared" si="173"/>
        <v>0</v>
      </c>
      <c r="AA242" s="2173"/>
      <c r="AB242" s="2174"/>
      <c r="AC242" s="2174"/>
      <c r="AD242" s="2174"/>
      <c r="AE242" s="2174"/>
      <c r="AF242" s="2174"/>
      <c r="AG242" s="2174"/>
      <c r="AH242" s="2174"/>
      <c r="AI242" s="2174"/>
      <c r="AJ242" s="2175"/>
      <c r="AK242" s="2175"/>
      <c r="AL242" s="2175"/>
      <c r="AM242" s="2175"/>
      <c r="AN242" s="2175"/>
      <c r="AO242" s="2175"/>
      <c r="AP242" s="2175"/>
      <c r="AQ242" s="2175"/>
      <c r="AR242" s="2176"/>
      <c r="AS242" s="1948"/>
      <c r="AT242" s="1949"/>
    </row>
    <row r="243" spans="1:46" ht="24.95" customHeight="1" x14ac:dyDescent="0.3">
      <c r="A243" s="1207"/>
      <c r="B243" s="1207"/>
      <c r="C243" s="1655"/>
      <c r="D243" s="1654" t="s">
        <v>155</v>
      </c>
      <c r="E243" s="23"/>
      <c r="F243" s="23"/>
      <c r="G243" s="23"/>
      <c r="H243" s="2186">
        <v>0</v>
      </c>
      <c r="I243" s="2186">
        <v>0</v>
      </c>
      <c r="J243" s="2186">
        <v>0</v>
      </c>
      <c r="K243" s="23"/>
      <c r="L243" s="23"/>
      <c r="M243" s="23"/>
      <c r="N243" s="2186"/>
      <c r="O243" s="2186"/>
      <c r="P243" s="2186"/>
      <c r="Q243" s="23"/>
      <c r="R243" s="23"/>
      <c r="S243" s="23"/>
      <c r="T243" s="2189">
        <f t="shared" si="169"/>
        <v>0</v>
      </c>
      <c r="U243" s="2190">
        <f t="shared" si="167"/>
        <v>0</v>
      </c>
      <c r="V243" s="2191">
        <f t="shared" si="168"/>
        <v>0</v>
      </c>
      <c r="W243" s="2192">
        <f t="shared" si="170"/>
        <v>0</v>
      </c>
      <c r="X243" s="1075" t="str">
        <f t="shared" si="171"/>
        <v>1.33</v>
      </c>
      <c r="Y243" s="1075" t="str">
        <f t="shared" si="172"/>
        <v>D+</v>
      </c>
      <c r="Z243" s="1075" t="str">
        <f t="shared" si="173"/>
        <v>0</v>
      </c>
      <c r="AA243" s="2173"/>
      <c r="AB243" s="2174"/>
      <c r="AC243" s="2174"/>
      <c r="AD243" s="2174"/>
      <c r="AE243" s="2174"/>
      <c r="AF243" s="2174"/>
      <c r="AG243" s="2174"/>
      <c r="AH243" s="2174"/>
      <c r="AI243" s="2174"/>
      <c r="AJ243" s="2175"/>
      <c r="AK243" s="2175"/>
      <c r="AL243" s="2175"/>
      <c r="AM243" s="2175"/>
      <c r="AN243" s="2175"/>
      <c r="AO243" s="2175"/>
      <c r="AP243" s="2175"/>
      <c r="AQ243" s="2175"/>
      <c r="AR243" s="2176"/>
      <c r="AS243" s="1948"/>
      <c r="AT243" s="1949"/>
    </row>
    <row r="244" spans="1:46" ht="24.95" customHeight="1" x14ac:dyDescent="0.3">
      <c r="A244" s="1207"/>
      <c r="B244" s="1207"/>
      <c r="C244" s="1655"/>
      <c r="D244" s="1654" t="s">
        <v>187</v>
      </c>
      <c r="E244" s="23"/>
      <c r="F244" s="23"/>
      <c r="G244" s="23"/>
      <c r="H244" s="2186"/>
      <c r="I244" s="2186"/>
      <c r="J244" s="2186"/>
      <c r="K244" s="23">
        <v>0</v>
      </c>
      <c r="L244" s="23">
        <v>0</v>
      </c>
      <c r="M244" s="23">
        <v>0</v>
      </c>
      <c r="N244" s="2186"/>
      <c r="O244" s="2186"/>
      <c r="P244" s="2186"/>
      <c r="Q244" s="23"/>
      <c r="R244" s="23"/>
      <c r="S244" s="23"/>
      <c r="T244" s="2189">
        <f t="shared" si="169"/>
        <v>0</v>
      </c>
      <c r="U244" s="2190">
        <f t="shared" si="167"/>
        <v>0</v>
      </c>
      <c r="V244" s="2191">
        <f t="shared" si="168"/>
        <v>0</v>
      </c>
      <c r="W244" s="2192">
        <f t="shared" si="170"/>
        <v>0</v>
      </c>
      <c r="X244" s="1075" t="str">
        <f t="shared" si="171"/>
        <v>1.33</v>
      </c>
      <c r="Y244" s="1075" t="str">
        <f t="shared" si="172"/>
        <v>D+</v>
      </c>
      <c r="Z244" s="1075" t="str">
        <f t="shared" si="173"/>
        <v>0</v>
      </c>
      <c r="AA244" s="2173"/>
      <c r="AB244" s="2174"/>
      <c r="AC244" s="2174"/>
      <c r="AD244" s="2174"/>
      <c r="AE244" s="2174"/>
      <c r="AF244" s="2174"/>
      <c r="AG244" s="2174"/>
      <c r="AH244" s="2174"/>
      <c r="AI244" s="2174"/>
      <c r="AJ244" s="2175"/>
      <c r="AK244" s="2175"/>
      <c r="AL244" s="2175"/>
      <c r="AM244" s="2175"/>
      <c r="AN244" s="2175"/>
      <c r="AO244" s="2175"/>
      <c r="AP244" s="2175"/>
      <c r="AQ244" s="2175"/>
      <c r="AR244" s="2176"/>
      <c r="AS244" s="1948"/>
      <c r="AT244" s="1949"/>
    </row>
    <row r="245" spans="1:46" ht="24.95" customHeight="1" x14ac:dyDescent="0.3">
      <c r="A245" s="1207"/>
      <c r="B245" s="1207"/>
      <c r="C245" s="1655"/>
      <c r="D245" s="1654" t="s">
        <v>17</v>
      </c>
      <c r="E245" s="23"/>
      <c r="F245" s="23"/>
      <c r="G245" s="23"/>
      <c r="H245" s="2186"/>
      <c r="I245" s="2186"/>
      <c r="J245" s="2186"/>
      <c r="K245" s="23">
        <v>0</v>
      </c>
      <c r="L245" s="23">
        <v>0</v>
      </c>
      <c r="M245" s="23">
        <v>0</v>
      </c>
      <c r="N245" s="2186"/>
      <c r="O245" s="2186"/>
      <c r="P245" s="2186"/>
      <c r="Q245" s="23"/>
      <c r="R245" s="23"/>
      <c r="S245" s="23"/>
      <c r="T245" s="2189">
        <f t="shared" si="169"/>
        <v>0</v>
      </c>
      <c r="U245" s="2190">
        <f t="shared" si="167"/>
        <v>0</v>
      </c>
      <c r="V245" s="2191">
        <f t="shared" si="168"/>
        <v>0</v>
      </c>
      <c r="W245" s="2192">
        <f t="shared" si="170"/>
        <v>0</v>
      </c>
      <c r="X245" s="1075" t="str">
        <f t="shared" si="171"/>
        <v>1.33</v>
      </c>
      <c r="Y245" s="1075" t="str">
        <f t="shared" si="172"/>
        <v>D+</v>
      </c>
      <c r="Z245" s="1075" t="str">
        <f t="shared" si="173"/>
        <v>0</v>
      </c>
      <c r="AA245" s="2173"/>
      <c r="AB245" s="2174"/>
      <c r="AC245" s="2174"/>
      <c r="AD245" s="2174"/>
      <c r="AE245" s="2174"/>
      <c r="AF245" s="2174"/>
      <c r="AG245" s="2174"/>
      <c r="AH245" s="2174"/>
      <c r="AI245" s="2174"/>
      <c r="AJ245" s="2175"/>
      <c r="AK245" s="2175"/>
      <c r="AL245" s="2175"/>
      <c r="AM245" s="2175"/>
      <c r="AN245" s="2175"/>
      <c r="AO245" s="2175"/>
      <c r="AP245" s="2175"/>
      <c r="AQ245" s="2175"/>
      <c r="AR245" s="2176"/>
      <c r="AS245" s="1948"/>
      <c r="AT245" s="1949"/>
    </row>
    <row r="246" spans="1:46" ht="24.95" customHeight="1" x14ac:dyDescent="0.3">
      <c r="A246" s="1207"/>
      <c r="B246" s="1207"/>
      <c r="C246" s="1655"/>
      <c r="D246" s="1654" t="s">
        <v>606</v>
      </c>
      <c r="E246" s="23"/>
      <c r="F246" s="23"/>
      <c r="G246" s="23"/>
      <c r="H246" s="2186"/>
      <c r="I246" s="2186"/>
      <c r="J246" s="2186"/>
      <c r="K246" s="23"/>
      <c r="L246" s="23"/>
      <c r="M246" s="23"/>
      <c r="N246" s="2186">
        <v>0</v>
      </c>
      <c r="O246" s="2186">
        <v>0</v>
      </c>
      <c r="P246" s="2186">
        <v>0</v>
      </c>
      <c r="Q246" s="23"/>
      <c r="R246" s="23"/>
      <c r="S246" s="23"/>
      <c r="T246" s="2189">
        <f t="shared" si="169"/>
        <v>0</v>
      </c>
      <c r="U246" s="2190">
        <f t="shared" si="167"/>
        <v>0</v>
      </c>
      <c r="V246" s="2191">
        <f t="shared" si="168"/>
        <v>0</v>
      </c>
      <c r="W246" s="2192">
        <f t="shared" si="170"/>
        <v>0</v>
      </c>
      <c r="X246" s="1075" t="str">
        <f t="shared" si="171"/>
        <v>1.33</v>
      </c>
      <c r="Y246" s="1075" t="str">
        <f t="shared" si="172"/>
        <v>D+</v>
      </c>
      <c r="Z246" s="1075" t="str">
        <f t="shared" si="173"/>
        <v>0</v>
      </c>
      <c r="AA246" s="2173"/>
      <c r="AB246" s="2174"/>
      <c r="AC246" s="2174"/>
      <c r="AD246" s="2174"/>
      <c r="AE246" s="2174"/>
      <c r="AF246" s="2174"/>
      <c r="AG246" s="2174"/>
      <c r="AH246" s="2174"/>
      <c r="AI246" s="2174"/>
      <c r="AJ246" s="2175"/>
      <c r="AK246" s="2175"/>
      <c r="AL246" s="2175"/>
      <c r="AM246" s="2175"/>
      <c r="AN246" s="2175"/>
      <c r="AO246" s="2175"/>
      <c r="AP246" s="2175"/>
      <c r="AQ246" s="2175"/>
      <c r="AR246" s="2176"/>
      <c r="AS246" s="1948"/>
      <c r="AT246" s="1949"/>
    </row>
    <row r="247" spans="1:46" ht="24.95" customHeight="1" x14ac:dyDescent="0.3">
      <c r="A247" s="1207"/>
      <c r="B247" s="1207"/>
      <c r="C247" s="1655"/>
      <c r="D247" s="1654" t="s">
        <v>607</v>
      </c>
      <c r="E247" s="23"/>
      <c r="F247" s="23"/>
      <c r="G247" s="23"/>
      <c r="H247" s="2186"/>
      <c r="I247" s="2186"/>
      <c r="J247" s="2186"/>
      <c r="K247" s="23"/>
      <c r="L247" s="23"/>
      <c r="M247" s="23"/>
      <c r="N247" s="2186">
        <v>0</v>
      </c>
      <c r="O247" s="2186">
        <v>0</v>
      </c>
      <c r="P247" s="2186">
        <v>0</v>
      </c>
      <c r="Q247" s="23"/>
      <c r="R247" s="23"/>
      <c r="S247" s="23"/>
      <c r="T247" s="2189">
        <f t="shared" si="169"/>
        <v>0</v>
      </c>
      <c r="U247" s="2190">
        <f t="shared" si="167"/>
        <v>0</v>
      </c>
      <c r="V247" s="2191">
        <f t="shared" si="168"/>
        <v>0</v>
      </c>
      <c r="W247" s="2192">
        <f t="shared" si="170"/>
        <v>0</v>
      </c>
      <c r="X247" s="1075" t="str">
        <f t="shared" si="171"/>
        <v>1.33</v>
      </c>
      <c r="Y247" s="1075" t="str">
        <f t="shared" si="172"/>
        <v>D+</v>
      </c>
      <c r="Z247" s="1075" t="str">
        <f t="shared" si="173"/>
        <v>0</v>
      </c>
      <c r="AA247" s="2173"/>
      <c r="AB247" s="2174"/>
      <c r="AC247" s="2174"/>
      <c r="AD247" s="2174"/>
      <c r="AE247" s="2174"/>
      <c r="AF247" s="2174"/>
      <c r="AG247" s="2174"/>
      <c r="AH247" s="2174"/>
      <c r="AI247" s="2174"/>
      <c r="AJ247" s="2175"/>
      <c r="AK247" s="2175"/>
      <c r="AL247" s="2175"/>
      <c r="AM247" s="2175"/>
      <c r="AN247" s="2175"/>
      <c r="AO247" s="2175"/>
      <c r="AP247" s="2175"/>
      <c r="AQ247" s="2175"/>
      <c r="AR247" s="2176"/>
      <c r="AS247" s="1948"/>
      <c r="AT247" s="1949"/>
    </row>
    <row r="248" spans="1:46" ht="24.95" customHeight="1" x14ac:dyDescent="0.3">
      <c r="A248" s="1656"/>
      <c r="B248" s="1207"/>
      <c r="C248" s="1655"/>
      <c r="D248" s="1654" t="s">
        <v>22</v>
      </c>
      <c r="E248" s="2187"/>
      <c r="F248" s="2187"/>
      <c r="G248" s="2187"/>
      <c r="H248" s="2188"/>
      <c r="I248" s="2186"/>
      <c r="J248" s="2186"/>
      <c r="K248" s="23"/>
      <c r="L248" s="23"/>
      <c r="M248" s="23"/>
      <c r="N248" s="2186"/>
      <c r="O248" s="2186"/>
      <c r="P248" s="2186"/>
      <c r="Q248" s="23">
        <v>0</v>
      </c>
      <c r="R248" s="23">
        <v>0</v>
      </c>
      <c r="S248" s="23">
        <v>0</v>
      </c>
      <c r="T248" s="2189">
        <f t="shared" si="169"/>
        <v>0</v>
      </c>
      <c r="U248" s="2190">
        <f t="shared" si="167"/>
        <v>0</v>
      </c>
      <c r="V248" s="2191">
        <f t="shared" si="168"/>
        <v>0</v>
      </c>
      <c r="W248" s="2192">
        <f t="shared" si="170"/>
        <v>0</v>
      </c>
      <c r="X248" s="1075" t="str">
        <f t="shared" si="171"/>
        <v>1.33</v>
      </c>
      <c r="Y248" s="1075" t="str">
        <f t="shared" si="172"/>
        <v>D+</v>
      </c>
      <c r="Z248" s="1075" t="str">
        <f t="shared" si="173"/>
        <v>0</v>
      </c>
      <c r="AA248" s="2173"/>
      <c r="AB248" s="2174"/>
      <c r="AC248" s="2174"/>
      <c r="AD248" s="2174"/>
      <c r="AE248" s="2174"/>
      <c r="AF248" s="2174"/>
      <c r="AG248" s="2174"/>
      <c r="AH248" s="2174"/>
      <c r="AI248" s="2174"/>
      <c r="AJ248" s="2175"/>
      <c r="AK248" s="2175"/>
      <c r="AL248" s="2175"/>
      <c r="AM248" s="2175"/>
      <c r="AN248" s="2175"/>
      <c r="AO248" s="2175"/>
      <c r="AP248" s="2175"/>
      <c r="AQ248" s="2175"/>
      <c r="AR248" s="2176"/>
      <c r="AS248" s="1950"/>
      <c r="AT248" s="1951"/>
    </row>
    <row r="249" spans="1:46" ht="24.95" customHeight="1" x14ac:dyDescent="0.3">
      <c r="A249" s="1236"/>
      <c r="B249" s="1237">
        <v>24</v>
      </c>
      <c r="C249" s="1658"/>
      <c r="D249" s="1236"/>
      <c r="E249" s="2650"/>
      <c r="F249" s="2651"/>
      <c r="G249" s="2651"/>
      <c r="H249" s="2651"/>
      <c r="I249" s="2652"/>
      <c r="J249" s="2109"/>
      <c r="K249" s="2109"/>
      <c r="L249" s="2109"/>
      <c r="M249" s="2109"/>
      <c r="N249" s="2109"/>
      <c r="O249" s="2109"/>
      <c r="P249" s="2109"/>
      <c r="Q249" s="2109"/>
      <c r="R249" s="2109"/>
      <c r="S249" s="2109"/>
      <c r="T249" s="2193"/>
      <c r="U249" s="2193"/>
      <c r="V249" s="2193"/>
      <c r="W249" s="2194">
        <f>IFERROR(AVERAGE(W240:W248),"  ")</f>
        <v>0</v>
      </c>
      <c r="X249" s="1454" t="str">
        <f>IF(W249&gt;85,("4"),IF(W249&gt;80,("3.66"),IF(W249&gt;75,("3.33"),IF(W249&gt;70,("3.00"),IF(W249&gt;65,("2.66"),IF(W249&gt;60,("2.33"),IF(W249&gt;55,("2"),IF(W249&gt;50,("1.66"),"1.33"))))))))</f>
        <v>1.33</v>
      </c>
      <c r="Y249" s="1454" t="str">
        <f>IF(W249&gt;85,("A"),IF(W249&gt;80,("A-"),IF(W249&gt;75,("B+"),IF(W249&gt;70,("B"),IF(W249&gt;65,("B-"),IF(W249&gt;60,("C+"),IF(W249&gt;55,("C"),IF(W249&gt;50,("C-"),"D+"))))))))</f>
        <v>D+</v>
      </c>
      <c r="Z249" s="1666"/>
      <c r="AA249" s="2182"/>
      <c r="AB249" s="2183"/>
      <c r="AC249" s="2183"/>
      <c r="AD249" s="2183"/>
      <c r="AE249" s="2183"/>
      <c r="AF249" s="2183"/>
      <c r="AG249" s="2183"/>
      <c r="AH249" s="2183"/>
      <c r="AI249" s="2183"/>
      <c r="AJ249" s="2183"/>
      <c r="AK249" s="2183"/>
      <c r="AL249" s="2183"/>
      <c r="AM249" s="2183"/>
      <c r="AN249" s="2183"/>
      <c r="AO249" s="2183"/>
      <c r="AP249" s="2183"/>
      <c r="AQ249" s="2183"/>
      <c r="AR249" s="2184"/>
      <c r="AS249" s="1952"/>
      <c r="AT249" s="1953"/>
    </row>
    <row r="250" spans="1:46" ht="24.95" customHeight="1" x14ac:dyDescent="0.3">
      <c r="A250" s="1224">
        <v>25</v>
      </c>
      <c r="B250" s="1224"/>
      <c r="C250" s="1653" t="str">
        <f>VLOOKUP(A250,data_siswa,4,FALSE)</f>
        <v>Larasati Jagadhita P</v>
      </c>
      <c r="D250" s="1654" t="s">
        <v>603</v>
      </c>
      <c r="E250" s="1211">
        <v>0</v>
      </c>
      <c r="F250" s="1211">
        <v>0</v>
      </c>
      <c r="G250" s="1211">
        <v>0</v>
      </c>
      <c r="H250" s="2185"/>
      <c r="I250" s="2185"/>
      <c r="J250" s="2185"/>
      <c r="K250" s="1211"/>
      <c r="L250" s="1211"/>
      <c r="M250" s="1211"/>
      <c r="N250" s="2185"/>
      <c r="O250" s="2185"/>
      <c r="P250" s="2185"/>
      <c r="Q250" s="1211"/>
      <c r="R250" s="1211"/>
      <c r="S250" s="1211"/>
      <c r="T250" s="2189">
        <f>MAX(H250,K250,N250,Q250)</f>
        <v>0</v>
      </c>
      <c r="U250" s="2190">
        <f t="shared" ref="U250:U258" si="174">MAX(I250,L250,O250,R250)</f>
        <v>0</v>
      </c>
      <c r="V250" s="2191">
        <f t="shared" ref="V250:V258" si="175">MAX(J250,M250,P250,S250)</f>
        <v>0</v>
      </c>
      <c r="W250" s="2192">
        <f>IFERROR(AVERAGE(T250:V250),"")</f>
        <v>0</v>
      </c>
      <c r="X250" s="1075" t="str">
        <f>IF(W250&gt;85,("4"),IF(W250&gt;80,("3.66"),IF(W250&gt;75,("3.33"),IF(W250&gt;70,("3.00"),IF(W250&gt;65,("2.66"),IF(W250&gt;60,("2.33"),IF(W250&gt;55,("2"),IF(W250&gt;50,("1.66"),"1.33"))))))))</f>
        <v>1.33</v>
      </c>
      <c r="Y250" s="1075" t="str">
        <f>IF(W250&gt;85,("A"),IF(W250&gt;80,("A-"),IF(W250&gt;75,("B+"),IF(W250&gt;70,("B"),IF(W250&gt;65,("B-"),IF(W250&gt;60,("C+"),IF(W250&gt;55,("C"),IF(W250&gt;50,("C-"),"D+"))))))))</f>
        <v>D+</v>
      </c>
      <c r="Z250" s="1075" t="str">
        <f>IF(W250&gt;80,("SB"),IF(W250&gt;65,("B"),IF(W250&gt;50,("C"),IF(W250&gt;0,("K"),"0"))))</f>
        <v>0</v>
      </c>
      <c r="AA250" s="2180"/>
      <c r="AB250" s="2180"/>
      <c r="AC250" s="2180"/>
      <c r="AD250" s="2180"/>
      <c r="AE250" s="2180"/>
      <c r="AF250" s="2180"/>
      <c r="AG250" s="2180"/>
      <c r="AH250" s="2180"/>
      <c r="AI250" s="2180"/>
      <c r="AJ250" s="2181"/>
      <c r="AK250" s="2181"/>
      <c r="AL250" s="2181"/>
      <c r="AM250" s="2181"/>
      <c r="AN250" s="2181"/>
      <c r="AO250" s="2181"/>
      <c r="AP250" s="2181"/>
      <c r="AQ250" s="2181"/>
      <c r="AR250" s="2181"/>
      <c r="AS250" s="1910">
        <f>W259</f>
        <v>0</v>
      </c>
      <c r="AT250" s="1910" t="str">
        <f>Y259</f>
        <v>D+</v>
      </c>
    </row>
    <row r="251" spans="1:46" ht="24.95" customHeight="1" x14ac:dyDescent="0.3">
      <c r="A251" s="1207"/>
      <c r="B251" s="1207"/>
      <c r="C251" s="1655"/>
      <c r="D251" s="1654" t="s">
        <v>604</v>
      </c>
      <c r="E251" s="23">
        <v>0</v>
      </c>
      <c r="F251" s="23">
        <v>0</v>
      </c>
      <c r="G251" s="23">
        <v>0</v>
      </c>
      <c r="H251" s="2186"/>
      <c r="I251" s="2186"/>
      <c r="J251" s="2186"/>
      <c r="K251" s="23"/>
      <c r="L251" s="23"/>
      <c r="M251" s="23"/>
      <c r="N251" s="2186"/>
      <c r="O251" s="2186"/>
      <c r="P251" s="2186"/>
      <c r="Q251" s="23"/>
      <c r="R251" s="23"/>
      <c r="S251" s="23"/>
      <c r="T251" s="2189">
        <f t="shared" ref="T251:T258" si="176">MAX(H251,K251,N251,Q251)</f>
        <v>0</v>
      </c>
      <c r="U251" s="2190">
        <f t="shared" si="174"/>
        <v>0</v>
      </c>
      <c r="V251" s="2191">
        <f t="shared" si="175"/>
        <v>0</v>
      </c>
      <c r="W251" s="2192">
        <f t="shared" ref="W251:W258" si="177">IFERROR(AVERAGE(T251:V251),"")</f>
        <v>0</v>
      </c>
      <c r="X251" s="1075" t="str">
        <f t="shared" ref="X251:X258" si="178">IF(W251&gt;85,("4"),IF(W251&gt;80,("3.66"),IF(W251&gt;75,("3.33"),IF(W251&gt;70,("3.00"),IF(W251&gt;65,("2.66"),IF(W251&gt;60,("2.33"),IF(W251&gt;55,("2"),IF(W251&gt;50,("1.66"),"1.33"))))))))</f>
        <v>1.33</v>
      </c>
      <c r="Y251" s="1075" t="str">
        <f t="shared" ref="Y251:Y258" si="179">IF(W251&gt;85,("A"),IF(W251&gt;80,("A-"),IF(W251&gt;75,("B+"),IF(W251&gt;70,("B"),IF(W251&gt;65,("B-"),IF(W251&gt;60,("C+"),IF(W251&gt;55,("C"),IF(W251&gt;50,("C-"),"D+"))))))))</f>
        <v>D+</v>
      </c>
      <c r="Z251" s="1075" t="str">
        <f t="shared" ref="Z251:Z258" si="180">IF(W251&gt;80,("SB"),IF(W251&gt;65,("B"),IF(W251&gt;50,("C"),IF(W251&gt;0,("K"),"0"))))</f>
        <v>0</v>
      </c>
      <c r="AA251" s="2169"/>
      <c r="AB251" s="2170"/>
      <c r="AC251" s="2170"/>
      <c r="AD251" s="2170"/>
      <c r="AE251" s="2170"/>
      <c r="AF251" s="2170"/>
      <c r="AG251" s="2170"/>
      <c r="AH251" s="2170"/>
      <c r="AI251" s="2170"/>
      <c r="AJ251" s="2171"/>
      <c r="AK251" s="2171"/>
      <c r="AL251" s="2171"/>
      <c r="AM251" s="2171"/>
      <c r="AN251" s="2171"/>
      <c r="AO251" s="2171"/>
      <c r="AP251" s="2171"/>
      <c r="AQ251" s="2171"/>
      <c r="AR251" s="2172"/>
      <c r="AS251" s="1946"/>
      <c r="AT251" s="1947"/>
    </row>
    <row r="252" spans="1:46" ht="24.95" customHeight="1" x14ac:dyDescent="0.3">
      <c r="A252" s="1207"/>
      <c r="B252" s="1207"/>
      <c r="C252" s="1655"/>
      <c r="D252" s="1654" t="s">
        <v>605</v>
      </c>
      <c r="E252" s="23">
        <v>0</v>
      </c>
      <c r="F252" s="23">
        <v>0</v>
      </c>
      <c r="G252" s="23">
        <v>0</v>
      </c>
      <c r="H252" s="2186"/>
      <c r="I252" s="2186"/>
      <c r="J252" s="2186"/>
      <c r="K252" s="23"/>
      <c r="L252" s="23"/>
      <c r="M252" s="23"/>
      <c r="N252" s="2186"/>
      <c r="O252" s="2186"/>
      <c r="P252" s="2186"/>
      <c r="Q252" s="23"/>
      <c r="R252" s="23"/>
      <c r="S252" s="23"/>
      <c r="T252" s="2189">
        <f t="shared" si="176"/>
        <v>0</v>
      </c>
      <c r="U252" s="2190">
        <f t="shared" si="174"/>
        <v>0</v>
      </c>
      <c r="V252" s="2191">
        <f t="shared" si="175"/>
        <v>0</v>
      </c>
      <c r="W252" s="2192">
        <f t="shared" si="177"/>
        <v>0</v>
      </c>
      <c r="X252" s="1075" t="str">
        <f t="shared" si="178"/>
        <v>1.33</v>
      </c>
      <c r="Y252" s="1075" t="str">
        <f t="shared" si="179"/>
        <v>D+</v>
      </c>
      <c r="Z252" s="1075" t="str">
        <f t="shared" si="180"/>
        <v>0</v>
      </c>
      <c r="AA252" s="2173"/>
      <c r="AB252" s="2174"/>
      <c r="AC252" s="2174"/>
      <c r="AD252" s="2174"/>
      <c r="AE252" s="2174"/>
      <c r="AF252" s="2174"/>
      <c r="AG252" s="2174"/>
      <c r="AH252" s="2174"/>
      <c r="AI252" s="2174"/>
      <c r="AJ252" s="2175"/>
      <c r="AK252" s="2175"/>
      <c r="AL252" s="2175"/>
      <c r="AM252" s="2175"/>
      <c r="AN252" s="2175"/>
      <c r="AO252" s="2175"/>
      <c r="AP252" s="2175"/>
      <c r="AQ252" s="2175"/>
      <c r="AR252" s="2176"/>
      <c r="AS252" s="1948"/>
      <c r="AT252" s="1949"/>
    </row>
    <row r="253" spans="1:46" ht="24.95" customHeight="1" x14ac:dyDescent="0.3">
      <c r="A253" s="1207"/>
      <c r="B253" s="1207"/>
      <c r="C253" s="1655"/>
      <c r="D253" s="1654" t="s">
        <v>155</v>
      </c>
      <c r="E253" s="23"/>
      <c r="F253" s="23"/>
      <c r="G253" s="23"/>
      <c r="H253" s="2186">
        <v>0</v>
      </c>
      <c r="I253" s="2186">
        <v>0</v>
      </c>
      <c r="J253" s="2186">
        <v>0</v>
      </c>
      <c r="K253" s="23"/>
      <c r="L253" s="23"/>
      <c r="M253" s="23"/>
      <c r="N253" s="2186"/>
      <c r="O253" s="2186"/>
      <c r="P253" s="2186"/>
      <c r="Q253" s="23"/>
      <c r="R253" s="23"/>
      <c r="S253" s="23"/>
      <c r="T253" s="2189">
        <f t="shared" si="176"/>
        <v>0</v>
      </c>
      <c r="U253" s="2190">
        <f t="shared" si="174"/>
        <v>0</v>
      </c>
      <c r="V253" s="2191">
        <f t="shared" si="175"/>
        <v>0</v>
      </c>
      <c r="W253" s="2192">
        <f t="shared" si="177"/>
        <v>0</v>
      </c>
      <c r="X253" s="1075" t="str">
        <f t="shared" si="178"/>
        <v>1.33</v>
      </c>
      <c r="Y253" s="1075" t="str">
        <f t="shared" si="179"/>
        <v>D+</v>
      </c>
      <c r="Z253" s="1075" t="str">
        <f t="shared" si="180"/>
        <v>0</v>
      </c>
      <c r="AA253" s="2173"/>
      <c r="AB253" s="2174"/>
      <c r="AC253" s="2174"/>
      <c r="AD253" s="2174"/>
      <c r="AE253" s="2174"/>
      <c r="AF253" s="2174"/>
      <c r="AG253" s="2174"/>
      <c r="AH253" s="2174"/>
      <c r="AI253" s="2174"/>
      <c r="AJ253" s="2175"/>
      <c r="AK253" s="2175"/>
      <c r="AL253" s="2175"/>
      <c r="AM253" s="2175"/>
      <c r="AN253" s="2175"/>
      <c r="AO253" s="2175"/>
      <c r="AP253" s="2175"/>
      <c r="AQ253" s="2175"/>
      <c r="AR253" s="2176"/>
      <c r="AS253" s="1948"/>
      <c r="AT253" s="1949"/>
    </row>
    <row r="254" spans="1:46" ht="24.95" customHeight="1" x14ac:dyDescent="0.3">
      <c r="A254" s="1207"/>
      <c r="B254" s="1207"/>
      <c r="C254" s="1655"/>
      <c r="D254" s="1654" t="s">
        <v>187</v>
      </c>
      <c r="E254" s="23"/>
      <c r="F254" s="23"/>
      <c r="G254" s="23"/>
      <c r="H254" s="2186"/>
      <c r="I254" s="2186"/>
      <c r="J254" s="2186"/>
      <c r="K254" s="23">
        <v>0</v>
      </c>
      <c r="L254" s="23">
        <v>0</v>
      </c>
      <c r="M254" s="23">
        <v>0</v>
      </c>
      <c r="N254" s="2186"/>
      <c r="O254" s="2186"/>
      <c r="P254" s="2186"/>
      <c r="Q254" s="23"/>
      <c r="R254" s="23"/>
      <c r="S254" s="23"/>
      <c r="T254" s="2189">
        <f t="shared" si="176"/>
        <v>0</v>
      </c>
      <c r="U254" s="2190">
        <f t="shared" si="174"/>
        <v>0</v>
      </c>
      <c r="V254" s="2191">
        <f t="shared" si="175"/>
        <v>0</v>
      </c>
      <c r="W254" s="2192">
        <f t="shared" si="177"/>
        <v>0</v>
      </c>
      <c r="X254" s="1075" t="str">
        <f t="shared" si="178"/>
        <v>1.33</v>
      </c>
      <c r="Y254" s="1075" t="str">
        <f t="shared" si="179"/>
        <v>D+</v>
      </c>
      <c r="Z254" s="1075" t="str">
        <f t="shared" si="180"/>
        <v>0</v>
      </c>
      <c r="AA254" s="2173"/>
      <c r="AB254" s="2174"/>
      <c r="AC254" s="2174"/>
      <c r="AD254" s="2174"/>
      <c r="AE254" s="2174"/>
      <c r="AF254" s="2174"/>
      <c r="AG254" s="2174"/>
      <c r="AH254" s="2174"/>
      <c r="AI254" s="2174"/>
      <c r="AJ254" s="2175"/>
      <c r="AK254" s="2175"/>
      <c r="AL254" s="2175"/>
      <c r="AM254" s="2175"/>
      <c r="AN254" s="2175"/>
      <c r="AO254" s="2175"/>
      <c r="AP254" s="2175"/>
      <c r="AQ254" s="2175"/>
      <c r="AR254" s="2176"/>
      <c r="AS254" s="1948"/>
      <c r="AT254" s="1949"/>
    </row>
    <row r="255" spans="1:46" ht="24.95" customHeight="1" x14ac:dyDescent="0.3">
      <c r="A255" s="1207"/>
      <c r="B255" s="1207"/>
      <c r="C255" s="1655"/>
      <c r="D255" s="1654" t="s">
        <v>17</v>
      </c>
      <c r="E255" s="23"/>
      <c r="F255" s="23"/>
      <c r="G255" s="23"/>
      <c r="H255" s="2186"/>
      <c r="I255" s="2186"/>
      <c r="J255" s="2186"/>
      <c r="K255" s="23">
        <v>0</v>
      </c>
      <c r="L255" s="23">
        <v>0</v>
      </c>
      <c r="M255" s="23">
        <v>0</v>
      </c>
      <c r="N255" s="2186"/>
      <c r="O255" s="2186"/>
      <c r="P255" s="2186"/>
      <c r="Q255" s="23"/>
      <c r="R255" s="23"/>
      <c r="S255" s="23"/>
      <c r="T255" s="2189">
        <f t="shared" si="176"/>
        <v>0</v>
      </c>
      <c r="U255" s="2190">
        <f t="shared" si="174"/>
        <v>0</v>
      </c>
      <c r="V255" s="2191">
        <f t="shared" si="175"/>
        <v>0</v>
      </c>
      <c r="W255" s="2192">
        <f t="shared" si="177"/>
        <v>0</v>
      </c>
      <c r="X255" s="1075" t="str">
        <f t="shared" si="178"/>
        <v>1.33</v>
      </c>
      <c r="Y255" s="1075" t="str">
        <f t="shared" si="179"/>
        <v>D+</v>
      </c>
      <c r="Z255" s="1075" t="str">
        <f t="shared" si="180"/>
        <v>0</v>
      </c>
      <c r="AA255" s="2173"/>
      <c r="AB255" s="2174"/>
      <c r="AC255" s="2174"/>
      <c r="AD255" s="2174"/>
      <c r="AE255" s="2174"/>
      <c r="AF255" s="2174"/>
      <c r="AG255" s="2174"/>
      <c r="AH255" s="2174"/>
      <c r="AI255" s="2174"/>
      <c r="AJ255" s="2175"/>
      <c r="AK255" s="2175"/>
      <c r="AL255" s="2175"/>
      <c r="AM255" s="2175"/>
      <c r="AN255" s="2175"/>
      <c r="AO255" s="2175"/>
      <c r="AP255" s="2175"/>
      <c r="AQ255" s="2175"/>
      <c r="AR255" s="2176"/>
      <c r="AS255" s="1948"/>
      <c r="AT255" s="1949"/>
    </row>
    <row r="256" spans="1:46" ht="24.95" customHeight="1" x14ac:dyDescent="0.3">
      <c r="A256" s="1207"/>
      <c r="B256" s="1207"/>
      <c r="C256" s="1655"/>
      <c r="D256" s="1654" t="s">
        <v>606</v>
      </c>
      <c r="E256" s="23"/>
      <c r="F256" s="23"/>
      <c r="G256" s="23"/>
      <c r="H256" s="2186"/>
      <c r="I256" s="2186"/>
      <c r="J256" s="2186"/>
      <c r="K256" s="23"/>
      <c r="L256" s="23"/>
      <c r="M256" s="23"/>
      <c r="N256" s="2186">
        <v>0</v>
      </c>
      <c r="O256" s="2186">
        <v>0</v>
      </c>
      <c r="P256" s="2186">
        <v>0</v>
      </c>
      <c r="Q256" s="23"/>
      <c r="R256" s="23"/>
      <c r="S256" s="23"/>
      <c r="T256" s="2189">
        <f t="shared" si="176"/>
        <v>0</v>
      </c>
      <c r="U256" s="2190">
        <f t="shared" si="174"/>
        <v>0</v>
      </c>
      <c r="V256" s="2191">
        <f t="shared" si="175"/>
        <v>0</v>
      </c>
      <c r="W256" s="2192">
        <f t="shared" si="177"/>
        <v>0</v>
      </c>
      <c r="X256" s="1075" t="str">
        <f t="shared" si="178"/>
        <v>1.33</v>
      </c>
      <c r="Y256" s="1075" t="str">
        <f t="shared" si="179"/>
        <v>D+</v>
      </c>
      <c r="Z256" s="1075" t="str">
        <f t="shared" si="180"/>
        <v>0</v>
      </c>
      <c r="AA256" s="2173"/>
      <c r="AB256" s="2174"/>
      <c r="AC256" s="2174"/>
      <c r="AD256" s="2174"/>
      <c r="AE256" s="2174"/>
      <c r="AF256" s="2174"/>
      <c r="AG256" s="2174"/>
      <c r="AH256" s="2174"/>
      <c r="AI256" s="2174"/>
      <c r="AJ256" s="2175"/>
      <c r="AK256" s="2175"/>
      <c r="AL256" s="2175"/>
      <c r="AM256" s="2175"/>
      <c r="AN256" s="2175"/>
      <c r="AO256" s="2175"/>
      <c r="AP256" s="2175"/>
      <c r="AQ256" s="2175"/>
      <c r="AR256" s="2176"/>
      <c r="AS256" s="1948"/>
      <c r="AT256" s="1949"/>
    </row>
    <row r="257" spans="1:46" ht="24.95" customHeight="1" x14ac:dyDescent="0.3">
      <c r="A257" s="1207"/>
      <c r="B257" s="1207"/>
      <c r="C257" s="1655"/>
      <c r="D257" s="1654" t="s">
        <v>607</v>
      </c>
      <c r="E257" s="23"/>
      <c r="F257" s="23"/>
      <c r="G257" s="23"/>
      <c r="H257" s="2186"/>
      <c r="I257" s="2186"/>
      <c r="J257" s="2186"/>
      <c r="K257" s="23"/>
      <c r="L257" s="23"/>
      <c r="M257" s="23"/>
      <c r="N257" s="2186">
        <v>0</v>
      </c>
      <c r="O257" s="2186">
        <v>0</v>
      </c>
      <c r="P257" s="2186">
        <v>0</v>
      </c>
      <c r="Q257" s="23"/>
      <c r="R257" s="23"/>
      <c r="S257" s="23"/>
      <c r="T257" s="2189">
        <f t="shared" si="176"/>
        <v>0</v>
      </c>
      <c r="U257" s="2190">
        <f t="shared" si="174"/>
        <v>0</v>
      </c>
      <c r="V257" s="2191">
        <f t="shared" si="175"/>
        <v>0</v>
      </c>
      <c r="W257" s="2192">
        <f t="shared" si="177"/>
        <v>0</v>
      </c>
      <c r="X257" s="1075" t="str">
        <f t="shared" si="178"/>
        <v>1.33</v>
      </c>
      <c r="Y257" s="1075" t="str">
        <f t="shared" si="179"/>
        <v>D+</v>
      </c>
      <c r="Z257" s="1075" t="str">
        <f t="shared" si="180"/>
        <v>0</v>
      </c>
      <c r="AA257" s="2173"/>
      <c r="AB257" s="2174"/>
      <c r="AC257" s="2174"/>
      <c r="AD257" s="2174"/>
      <c r="AE257" s="2174"/>
      <c r="AF257" s="2174"/>
      <c r="AG257" s="2174"/>
      <c r="AH257" s="2174"/>
      <c r="AI257" s="2174"/>
      <c r="AJ257" s="2175"/>
      <c r="AK257" s="2175"/>
      <c r="AL257" s="2175"/>
      <c r="AM257" s="2175"/>
      <c r="AN257" s="2175"/>
      <c r="AO257" s="2175"/>
      <c r="AP257" s="2175"/>
      <c r="AQ257" s="2175"/>
      <c r="AR257" s="2176"/>
      <c r="AS257" s="1948"/>
      <c r="AT257" s="1949"/>
    </row>
    <row r="258" spans="1:46" ht="24.95" customHeight="1" x14ac:dyDescent="0.3">
      <c r="A258" s="1656"/>
      <c r="B258" s="1207"/>
      <c r="C258" s="1655"/>
      <c r="D258" s="1654" t="s">
        <v>22</v>
      </c>
      <c r="E258" s="2187"/>
      <c r="F258" s="2187"/>
      <c r="G258" s="2187"/>
      <c r="H258" s="2188"/>
      <c r="I258" s="2186"/>
      <c r="J258" s="2186"/>
      <c r="K258" s="23"/>
      <c r="L258" s="23"/>
      <c r="M258" s="23"/>
      <c r="N258" s="2186"/>
      <c r="O258" s="2186"/>
      <c r="P258" s="2186"/>
      <c r="Q258" s="23">
        <v>0</v>
      </c>
      <c r="R258" s="23">
        <v>0</v>
      </c>
      <c r="S258" s="23">
        <v>0</v>
      </c>
      <c r="T258" s="2189">
        <f t="shared" si="176"/>
        <v>0</v>
      </c>
      <c r="U258" s="2190">
        <f t="shared" si="174"/>
        <v>0</v>
      </c>
      <c r="V258" s="2191">
        <f t="shared" si="175"/>
        <v>0</v>
      </c>
      <c r="W258" s="2192">
        <f t="shared" si="177"/>
        <v>0</v>
      </c>
      <c r="X258" s="1075" t="str">
        <f t="shared" si="178"/>
        <v>1.33</v>
      </c>
      <c r="Y258" s="1075" t="str">
        <f t="shared" si="179"/>
        <v>D+</v>
      </c>
      <c r="Z258" s="1075" t="str">
        <f t="shared" si="180"/>
        <v>0</v>
      </c>
      <c r="AA258" s="2173"/>
      <c r="AB258" s="2174"/>
      <c r="AC258" s="2174"/>
      <c r="AD258" s="2174"/>
      <c r="AE258" s="2174"/>
      <c r="AF258" s="2174"/>
      <c r="AG258" s="2174"/>
      <c r="AH258" s="2174"/>
      <c r="AI258" s="2174"/>
      <c r="AJ258" s="2175"/>
      <c r="AK258" s="2175"/>
      <c r="AL258" s="2175"/>
      <c r="AM258" s="2175"/>
      <c r="AN258" s="2175"/>
      <c r="AO258" s="2175"/>
      <c r="AP258" s="2175"/>
      <c r="AQ258" s="2175"/>
      <c r="AR258" s="2176"/>
      <c r="AS258" s="1950"/>
      <c r="AT258" s="1951"/>
    </row>
    <row r="259" spans="1:46" ht="24.95" customHeight="1" x14ac:dyDescent="0.3">
      <c r="A259" s="1236"/>
      <c r="B259" s="1237">
        <v>25</v>
      </c>
      <c r="C259" s="1658"/>
      <c r="D259" s="1236"/>
      <c r="E259" s="2650"/>
      <c r="F259" s="2651"/>
      <c r="G259" s="2651"/>
      <c r="H259" s="2651"/>
      <c r="I259" s="2652"/>
      <c r="J259" s="2109"/>
      <c r="K259" s="2109"/>
      <c r="L259" s="2109"/>
      <c r="M259" s="2109"/>
      <c r="N259" s="2109"/>
      <c r="O259" s="2109"/>
      <c r="P259" s="2109"/>
      <c r="Q259" s="2109"/>
      <c r="R259" s="2109"/>
      <c r="S259" s="2109"/>
      <c r="T259" s="2193"/>
      <c r="U259" s="2193"/>
      <c r="V259" s="2193"/>
      <c r="W259" s="2194">
        <f>IFERROR(AVERAGE(W250:W258),"  ")</f>
        <v>0</v>
      </c>
      <c r="X259" s="1454" t="str">
        <f>IF(W259&gt;85,("4"),IF(W259&gt;80,("3.66"),IF(W259&gt;75,("3.33"),IF(W259&gt;70,("3.00"),IF(W259&gt;65,("2.66"),IF(W259&gt;60,("2.33"),IF(W259&gt;55,("2"),IF(W259&gt;50,("1.66"),"1.33"))))))))</f>
        <v>1.33</v>
      </c>
      <c r="Y259" s="1454" t="str">
        <f>IF(W259&gt;85,("A"),IF(W259&gt;80,("A-"),IF(W259&gt;75,("B+"),IF(W259&gt;70,("B"),IF(W259&gt;65,("B-"),IF(W259&gt;60,("C+"),IF(W259&gt;55,("C"),IF(W259&gt;50,("C-"),"D+"))))))))</f>
        <v>D+</v>
      </c>
      <c r="Z259" s="1666"/>
      <c r="AA259" s="2182"/>
      <c r="AB259" s="2183"/>
      <c r="AC259" s="2183"/>
      <c r="AD259" s="2183"/>
      <c r="AE259" s="2183"/>
      <c r="AF259" s="2183"/>
      <c r="AG259" s="2183"/>
      <c r="AH259" s="2183"/>
      <c r="AI259" s="2183"/>
      <c r="AJ259" s="2183"/>
      <c r="AK259" s="2183"/>
      <c r="AL259" s="2183"/>
      <c r="AM259" s="2183"/>
      <c r="AN259" s="2183"/>
      <c r="AO259" s="2183"/>
      <c r="AP259" s="2183"/>
      <c r="AQ259" s="2183"/>
      <c r="AR259" s="2184"/>
      <c r="AS259" s="1952"/>
      <c r="AT259" s="1953"/>
    </row>
    <row r="260" spans="1:46" ht="24.95" customHeight="1" x14ac:dyDescent="0.3">
      <c r="A260" s="1224">
        <v>26</v>
      </c>
      <c r="B260" s="1224"/>
      <c r="C260" s="1653" t="str">
        <f>VLOOKUP(A260,data_siswa,4,FALSE)</f>
        <v>Meliana Citra A</v>
      </c>
      <c r="D260" s="1654" t="s">
        <v>603</v>
      </c>
      <c r="E260" s="1211">
        <v>0</v>
      </c>
      <c r="F260" s="1211">
        <v>0</v>
      </c>
      <c r="G260" s="1211">
        <v>0</v>
      </c>
      <c r="H260" s="2185"/>
      <c r="I260" s="2185"/>
      <c r="J260" s="2185"/>
      <c r="K260" s="1211"/>
      <c r="L260" s="1211"/>
      <c r="M260" s="1211"/>
      <c r="N260" s="2185"/>
      <c r="O260" s="2185"/>
      <c r="P260" s="2185"/>
      <c r="Q260" s="1211"/>
      <c r="R260" s="1211"/>
      <c r="S260" s="1211"/>
      <c r="T260" s="2189">
        <f>MAX(H260,K260,N260,Q260)</f>
        <v>0</v>
      </c>
      <c r="U260" s="2190">
        <f t="shared" ref="U260:U268" si="181">MAX(I260,L260,O260,R260)</f>
        <v>0</v>
      </c>
      <c r="V260" s="2191">
        <f t="shared" ref="V260:V268" si="182">MAX(J260,M260,P260,S260)</f>
        <v>0</v>
      </c>
      <c r="W260" s="2192">
        <f>IFERROR(AVERAGE(T260:V260),"")</f>
        <v>0</v>
      </c>
      <c r="X260" s="1075" t="str">
        <f>IF(W260&gt;85,("4"),IF(W260&gt;80,("3.66"),IF(W260&gt;75,("3.33"),IF(W260&gt;70,("3.00"),IF(W260&gt;65,("2.66"),IF(W260&gt;60,("2.33"),IF(W260&gt;55,("2"),IF(W260&gt;50,("1.66"),"1.33"))))))))</f>
        <v>1.33</v>
      </c>
      <c r="Y260" s="1075" t="str">
        <f>IF(W260&gt;85,("A"),IF(W260&gt;80,("A-"),IF(W260&gt;75,("B+"),IF(W260&gt;70,("B"),IF(W260&gt;65,("B-"),IF(W260&gt;60,("C+"),IF(W260&gt;55,("C"),IF(W260&gt;50,("C-"),"D+"))))))))</f>
        <v>D+</v>
      </c>
      <c r="Z260" s="1075" t="str">
        <f>IF(W260&gt;80,("SB"),IF(W260&gt;65,("B"),IF(W260&gt;50,("C"),IF(W260&gt;0,("K"),"0"))))</f>
        <v>0</v>
      </c>
      <c r="AA260" s="2180"/>
      <c r="AB260" s="2180"/>
      <c r="AC260" s="2180"/>
      <c r="AD260" s="2180"/>
      <c r="AE260" s="2180"/>
      <c r="AF260" s="2180"/>
      <c r="AG260" s="2180"/>
      <c r="AH260" s="2180"/>
      <c r="AI260" s="2180"/>
      <c r="AJ260" s="2181"/>
      <c r="AK260" s="2181"/>
      <c r="AL260" s="2181"/>
      <c r="AM260" s="2181"/>
      <c r="AN260" s="2181"/>
      <c r="AO260" s="2181"/>
      <c r="AP260" s="2181"/>
      <c r="AQ260" s="2181"/>
      <c r="AR260" s="2181"/>
      <c r="AS260" s="1910">
        <f>W269</f>
        <v>0</v>
      </c>
      <c r="AT260" s="1910" t="str">
        <f>Y269</f>
        <v>D+</v>
      </c>
    </row>
    <row r="261" spans="1:46" ht="24.95" customHeight="1" x14ac:dyDescent="0.3">
      <c r="A261" s="1207"/>
      <c r="B261" s="1207"/>
      <c r="C261" s="1655"/>
      <c r="D261" s="1654" t="s">
        <v>604</v>
      </c>
      <c r="E261" s="23">
        <v>0</v>
      </c>
      <c r="F261" s="23">
        <v>0</v>
      </c>
      <c r="G261" s="23">
        <v>0</v>
      </c>
      <c r="H261" s="2186"/>
      <c r="I261" s="2186"/>
      <c r="J261" s="2186"/>
      <c r="K261" s="23"/>
      <c r="L261" s="23"/>
      <c r="M261" s="23"/>
      <c r="N261" s="2186"/>
      <c r="O261" s="2186"/>
      <c r="P261" s="2186"/>
      <c r="Q261" s="23"/>
      <c r="R261" s="23"/>
      <c r="S261" s="23"/>
      <c r="T261" s="2189">
        <f t="shared" ref="T261:T268" si="183">MAX(H261,K261,N261,Q261)</f>
        <v>0</v>
      </c>
      <c r="U261" s="2190">
        <f t="shared" si="181"/>
        <v>0</v>
      </c>
      <c r="V261" s="2191">
        <f t="shared" si="182"/>
        <v>0</v>
      </c>
      <c r="W261" s="2192">
        <f t="shared" ref="W261:W268" si="184">IFERROR(AVERAGE(T261:V261),"")</f>
        <v>0</v>
      </c>
      <c r="X261" s="1075" t="str">
        <f t="shared" ref="X261:X268" si="185">IF(W261&gt;85,("4"),IF(W261&gt;80,("3.66"),IF(W261&gt;75,("3.33"),IF(W261&gt;70,("3.00"),IF(W261&gt;65,("2.66"),IF(W261&gt;60,("2.33"),IF(W261&gt;55,("2"),IF(W261&gt;50,("1.66"),"1.33"))))))))</f>
        <v>1.33</v>
      </c>
      <c r="Y261" s="1075" t="str">
        <f t="shared" ref="Y261:Y268" si="186">IF(W261&gt;85,("A"),IF(W261&gt;80,("A-"),IF(W261&gt;75,("B+"),IF(W261&gt;70,("B"),IF(W261&gt;65,("B-"),IF(W261&gt;60,("C+"),IF(W261&gt;55,("C"),IF(W261&gt;50,("C-"),"D+"))))))))</f>
        <v>D+</v>
      </c>
      <c r="Z261" s="1075" t="str">
        <f t="shared" ref="Z261:Z268" si="187">IF(W261&gt;80,("SB"),IF(W261&gt;65,("B"),IF(W261&gt;50,("C"),IF(W261&gt;0,("K"),"0"))))</f>
        <v>0</v>
      </c>
      <c r="AA261" s="2169"/>
      <c r="AB261" s="2170"/>
      <c r="AC261" s="2170"/>
      <c r="AD261" s="2170"/>
      <c r="AE261" s="2170"/>
      <c r="AF261" s="2170"/>
      <c r="AG261" s="2170"/>
      <c r="AH261" s="2170"/>
      <c r="AI261" s="2170"/>
      <c r="AJ261" s="2171"/>
      <c r="AK261" s="2171"/>
      <c r="AL261" s="2171"/>
      <c r="AM261" s="2171"/>
      <c r="AN261" s="2171"/>
      <c r="AO261" s="2171"/>
      <c r="AP261" s="2171"/>
      <c r="AQ261" s="2171"/>
      <c r="AR261" s="2172"/>
      <c r="AS261" s="1946"/>
      <c r="AT261" s="1947"/>
    </row>
    <row r="262" spans="1:46" ht="24.95" customHeight="1" x14ac:dyDescent="0.3">
      <c r="A262" s="1207"/>
      <c r="B262" s="1207"/>
      <c r="C262" s="1655"/>
      <c r="D262" s="1654" t="s">
        <v>605</v>
      </c>
      <c r="E262" s="23">
        <v>0</v>
      </c>
      <c r="F262" s="23">
        <v>0</v>
      </c>
      <c r="G262" s="23">
        <v>0</v>
      </c>
      <c r="H262" s="2186"/>
      <c r="I262" s="2186"/>
      <c r="J262" s="2186"/>
      <c r="K262" s="23"/>
      <c r="L262" s="23"/>
      <c r="M262" s="23"/>
      <c r="N262" s="2186"/>
      <c r="O262" s="2186"/>
      <c r="P262" s="2186"/>
      <c r="Q262" s="23"/>
      <c r="R262" s="23"/>
      <c r="S262" s="23"/>
      <c r="T262" s="2189">
        <f t="shared" si="183"/>
        <v>0</v>
      </c>
      <c r="U262" s="2190">
        <f t="shared" si="181"/>
        <v>0</v>
      </c>
      <c r="V262" s="2191">
        <f t="shared" si="182"/>
        <v>0</v>
      </c>
      <c r="W262" s="2192">
        <f t="shared" si="184"/>
        <v>0</v>
      </c>
      <c r="X262" s="1075" t="str">
        <f t="shared" si="185"/>
        <v>1.33</v>
      </c>
      <c r="Y262" s="1075" t="str">
        <f t="shared" si="186"/>
        <v>D+</v>
      </c>
      <c r="Z262" s="1075" t="str">
        <f t="shared" si="187"/>
        <v>0</v>
      </c>
      <c r="AA262" s="2173"/>
      <c r="AB262" s="2174"/>
      <c r="AC262" s="2174"/>
      <c r="AD262" s="2174"/>
      <c r="AE262" s="2174"/>
      <c r="AF262" s="2174"/>
      <c r="AG262" s="2174"/>
      <c r="AH262" s="2174"/>
      <c r="AI262" s="2174"/>
      <c r="AJ262" s="2175"/>
      <c r="AK262" s="2175"/>
      <c r="AL262" s="2175"/>
      <c r="AM262" s="2175"/>
      <c r="AN262" s="2175"/>
      <c r="AO262" s="2175"/>
      <c r="AP262" s="2175"/>
      <c r="AQ262" s="2175"/>
      <c r="AR262" s="2176"/>
      <c r="AS262" s="1948"/>
      <c r="AT262" s="1949"/>
    </row>
    <row r="263" spans="1:46" ht="24.95" customHeight="1" x14ac:dyDescent="0.3">
      <c r="A263" s="1207"/>
      <c r="B263" s="1207"/>
      <c r="C263" s="1655"/>
      <c r="D263" s="1654" t="s">
        <v>155</v>
      </c>
      <c r="E263" s="23"/>
      <c r="F263" s="23"/>
      <c r="G263" s="23"/>
      <c r="H263" s="2186">
        <v>0</v>
      </c>
      <c r="I263" s="2186">
        <v>0</v>
      </c>
      <c r="J263" s="2186">
        <v>0</v>
      </c>
      <c r="K263" s="23"/>
      <c r="L263" s="23"/>
      <c r="M263" s="23"/>
      <c r="N263" s="2186"/>
      <c r="O263" s="2186"/>
      <c r="P263" s="2186"/>
      <c r="Q263" s="23"/>
      <c r="R263" s="23"/>
      <c r="S263" s="23"/>
      <c r="T263" s="2189">
        <f t="shared" si="183"/>
        <v>0</v>
      </c>
      <c r="U263" s="2190">
        <f t="shared" si="181"/>
        <v>0</v>
      </c>
      <c r="V263" s="2191">
        <f t="shared" si="182"/>
        <v>0</v>
      </c>
      <c r="W263" s="2192">
        <f t="shared" si="184"/>
        <v>0</v>
      </c>
      <c r="X263" s="1075" t="str">
        <f t="shared" si="185"/>
        <v>1.33</v>
      </c>
      <c r="Y263" s="1075" t="str">
        <f t="shared" si="186"/>
        <v>D+</v>
      </c>
      <c r="Z263" s="1075" t="str">
        <f t="shared" si="187"/>
        <v>0</v>
      </c>
      <c r="AA263" s="2173"/>
      <c r="AB263" s="2174"/>
      <c r="AC263" s="2174"/>
      <c r="AD263" s="2174"/>
      <c r="AE263" s="2174"/>
      <c r="AF263" s="2174"/>
      <c r="AG263" s="2174"/>
      <c r="AH263" s="2174"/>
      <c r="AI263" s="2174"/>
      <c r="AJ263" s="2175"/>
      <c r="AK263" s="2175"/>
      <c r="AL263" s="2175"/>
      <c r="AM263" s="2175"/>
      <c r="AN263" s="2175"/>
      <c r="AO263" s="2175"/>
      <c r="AP263" s="2175"/>
      <c r="AQ263" s="2175"/>
      <c r="AR263" s="2176"/>
      <c r="AS263" s="1948"/>
      <c r="AT263" s="1949"/>
    </row>
    <row r="264" spans="1:46" ht="24.95" customHeight="1" x14ac:dyDescent="0.3">
      <c r="A264" s="1207"/>
      <c r="B264" s="1207"/>
      <c r="C264" s="1655"/>
      <c r="D264" s="1654" t="s">
        <v>187</v>
      </c>
      <c r="E264" s="23"/>
      <c r="F264" s="23"/>
      <c r="G264" s="23"/>
      <c r="H264" s="2186"/>
      <c r="I264" s="2186"/>
      <c r="J264" s="2186"/>
      <c r="K264" s="23">
        <v>0</v>
      </c>
      <c r="L264" s="23">
        <v>0</v>
      </c>
      <c r="M264" s="23">
        <v>0</v>
      </c>
      <c r="N264" s="2186"/>
      <c r="O264" s="2186"/>
      <c r="P264" s="2186"/>
      <c r="Q264" s="23"/>
      <c r="R264" s="23"/>
      <c r="S264" s="23"/>
      <c r="T264" s="2189">
        <f t="shared" si="183"/>
        <v>0</v>
      </c>
      <c r="U264" s="2190">
        <f t="shared" si="181"/>
        <v>0</v>
      </c>
      <c r="V264" s="2191">
        <f t="shared" si="182"/>
        <v>0</v>
      </c>
      <c r="W264" s="2192">
        <f t="shared" si="184"/>
        <v>0</v>
      </c>
      <c r="X264" s="1075" t="str">
        <f t="shared" si="185"/>
        <v>1.33</v>
      </c>
      <c r="Y264" s="1075" t="str">
        <f t="shared" si="186"/>
        <v>D+</v>
      </c>
      <c r="Z264" s="1075" t="str">
        <f t="shared" si="187"/>
        <v>0</v>
      </c>
      <c r="AA264" s="2173"/>
      <c r="AB264" s="2174"/>
      <c r="AC264" s="2174"/>
      <c r="AD264" s="2174"/>
      <c r="AE264" s="2174"/>
      <c r="AF264" s="2174"/>
      <c r="AG264" s="2174"/>
      <c r="AH264" s="2174"/>
      <c r="AI264" s="2174"/>
      <c r="AJ264" s="2175"/>
      <c r="AK264" s="2175"/>
      <c r="AL264" s="2175"/>
      <c r="AM264" s="2175"/>
      <c r="AN264" s="2175"/>
      <c r="AO264" s="2175"/>
      <c r="AP264" s="2175"/>
      <c r="AQ264" s="2175"/>
      <c r="AR264" s="2176"/>
      <c r="AS264" s="1948"/>
      <c r="AT264" s="1949"/>
    </row>
    <row r="265" spans="1:46" ht="24.95" customHeight="1" x14ac:dyDescent="0.3">
      <c r="A265" s="1207"/>
      <c r="B265" s="1207"/>
      <c r="C265" s="1655"/>
      <c r="D265" s="1654" t="s">
        <v>17</v>
      </c>
      <c r="E265" s="23"/>
      <c r="F265" s="23"/>
      <c r="G265" s="23"/>
      <c r="H265" s="2186"/>
      <c r="I265" s="2186"/>
      <c r="J265" s="2186"/>
      <c r="K265" s="23">
        <v>0</v>
      </c>
      <c r="L265" s="23">
        <v>0</v>
      </c>
      <c r="M265" s="23">
        <v>0</v>
      </c>
      <c r="N265" s="2186"/>
      <c r="O265" s="2186"/>
      <c r="P265" s="2186"/>
      <c r="Q265" s="23"/>
      <c r="R265" s="23"/>
      <c r="S265" s="23"/>
      <c r="T265" s="2189">
        <f t="shared" si="183"/>
        <v>0</v>
      </c>
      <c r="U265" s="2190">
        <f t="shared" si="181"/>
        <v>0</v>
      </c>
      <c r="V265" s="2191">
        <f t="shared" si="182"/>
        <v>0</v>
      </c>
      <c r="W265" s="2192">
        <f t="shared" si="184"/>
        <v>0</v>
      </c>
      <c r="X265" s="1075" t="str">
        <f t="shared" si="185"/>
        <v>1.33</v>
      </c>
      <c r="Y265" s="1075" t="str">
        <f t="shared" si="186"/>
        <v>D+</v>
      </c>
      <c r="Z265" s="1075" t="str">
        <f t="shared" si="187"/>
        <v>0</v>
      </c>
      <c r="AA265" s="2173"/>
      <c r="AB265" s="2174"/>
      <c r="AC265" s="2174"/>
      <c r="AD265" s="2174"/>
      <c r="AE265" s="2174"/>
      <c r="AF265" s="2174"/>
      <c r="AG265" s="2174"/>
      <c r="AH265" s="2174"/>
      <c r="AI265" s="2174"/>
      <c r="AJ265" s="2175"/>
      <c r="AK265" s="2175"/>
      <c r="AL265" s="2175"/>
      <c r="AM265" s="2175"/>
      <c r="AN265" s="2175"/>
      <c r="AO265" s="2175"/>
      <c r="AP265" s="2175"/>
      <c r="AQ265" s="2175"/>
      <c r="AR265" s="2176"/>
      <c r="AS265" s="1948"/>
      <c r="AT265" s="1949"/>
    </row>
    <row r="266" spans="1:46" ht="24.95" customHeight="1" x14ac:dyDescent="0.3">
      <c r="A266" s="1207"/>
      <c r="B266" s="1207"/>
      <c r="C266" s="1655"/>
      <c r="D266" s="1654" t="s">
        <v>606</v>
      </c>
      <c r="E266" s="23"/>
      <c r="F266" s="23"/>
      <c r="G266" s="23"/>
      <c r="H266" s="2186"/>
      <c r="I266" s="2186"/>
      <c r="J266" s="2186"/>
      <c r="K266" s="23"/>
      <c r="L266" s="23"/>
      <c r="M266" s="23"/>
      <c r="N266" s="2186">
        <v>0</v>
      </c>
      <c r="O266" s="2186">
        <v>0</v>
      </c>
      <c r="P266" s="2186">
        <v>0</v>
      </c>
      <c r="Q266" s="23"/>
      <c r="R266" s="23"/>
      <c r="S266" s="23"/>
      <c r="T266" s="2189">
        <f t="shared" si="183"/>
        <v>0</v>
      </c>
      <c r="U266" s="2190">
        <f t="shared" si="181"/>
        <v>0</v>
      </c>
      <c r="V266" s="2191">
        <f t="shared" si="182"/>
        <v>0</v>
      </c>
      <c r="W266" s="2192">
        <f t="shared" si="184"/>
        <v>0</v>
      </c>
      <c r="X266" s="1075" t="str">
        <f t="shared" si="185"/>
        <v>1.33</v>
      </c>
      <c r="Y266" s="1075" t="str">
        <f t="shared" si="186"/>
        <v>D+</v>
      </c>
      <c r="Z266" s="1075" t="str">
        <f t="shared" si="187"/>
        <v>0</v>
      </c>
      <c r="AA266" s="2173"/>
      <c r="AB266" s="2174"/>
      <c r="AC266" s="2174"/>
      <c r="AD266" s="2174"/>
      <c r="AE266" s="2174"/>
      <c r="AF266" s="2174"/>
      <c r="AG266" s="2174"/>
      <c r="AH266" s="2174"/>
      <c r="AI266" s="2174"/>
      <c r="AJ266" s="2175"/>
      <c r="AK266" s="2175"/>
      <c r="AL266" s="2175"/>
      <c r="AM266" s="2175"/>
      <c r="AN266" s="2175"/>
      <c r="AO266" s="2175"/>
      <c r="AP266" s="2175"/>
      <c r="AQ266" s="2175"/>
      <c r="AR266" s="2176"/>
      <c r="AS266" s="1948"/>
      <c r="AT266" s="1949"/>
    </row>
    <row r="267" spans="1:46" ht="24.95" customHeight="1" x14ac:dyDescent="0.3">
      <c r="A267" s="1207"/>
      <c r="B267" s="1207"/>
      <c r="C267" s="1655"/>
      <c r="D267" s="1654" t="s">
        <v>607</v>
      </c>
      <c r="E267" s="23"/>
      <c r="F267" s="23"/>
      <c r="G267" s="23"/>
      <c r="H267" s="2186"/>
      <c r="I267" s="2186"/>
      <c r="J267" s="2186"/>
      <c r="K267" s="23"/>
      <c r="L267" s="23"/>
      <c r="M267" s="23"/>
      <c r="N267" s="2186">
        <v>0</v>
      </c>
      <c r="O267" s="2186">
        <v>0</v>
      </c>
      <c r="P267" s="2186">
        <v>0</v>
      </c>
      <c r="Q267" s="23"/>
      <c r="R267" s="23"/>
      <c r="S267" s="23"/>
      <c r="T267" s="2189">
        <f t="shared" si="183"/>
        <v>0</v>
      </c>
      <c r="U267" s="2190">
        <f t="shared" si="181"/>
        <v>0</v>
      </c>
      <c r="V267" s="2191">
        <f t="shared" si="182"/>
        <v>0</v>
      </c>
      <c r="W267" s="2192">
        <f t="shared" si="184"/>
        <v>0</v>
      </c>
      <c r="X267" s="1075" t="str">
        <f t="shared" si="185"/>
        <v>1.33</v>
      </c>
      <c r="Y267" s="1075" t="str">
        <f t="shared" si="186"/>
        <v>D+</v>
      </c>
      <c r="Z267" s="1075" t="str">
        <f t="shared" si="187"/>
        <v>0</v>
      </c>
      <c r="AA267" s="2173"/>
      <c r="AB267" s="2174"/>
      <c r="AC267" s="2174"/>
      <c r="AD267" s="2174"/>
      <c r="AE267" s="2174"/>
      <c r="AF267" s="2174"/>
      <c r="AG267" s="2174"/>
      <c r="AH267" s="2174"/>
      <c r="AI267" s="2174"/>
      <c r="AJ267" s="2175"/>
      <c r="AK267" s="2175"/>
      <c r="AL267" s="2175"/>
      <c r="AM267" s="2175"/>
      <c r="AN267" s="2175"/>
      <c r="AO267" s="2175"/>
      <c r="AP267" s="2175"/>
      <c r="AQ267" s="2175"/>
      <c r="AR267" s="2176"/>
      <c r="AS267" s="1948"/>
      <c r="AT267" s="1949"/>
    </row>
    <row r="268" spans="1:46" ht="24.95" customHeight="1" x14ac:dyDescent="0.3">
      <c r="A268" s="1656"/>
      <c r="B268" s="1207"/>
      <c r="C268" s="1655"/>
      <c r="D268" s="1654" t="s">
        <v>22</v>
      </c>
      <c r="E268" s="2187"/>
      <c r="F268" s="2187"/>
      <c r="G268" s="2187"/>
      <c r="H268" s="2188"/>
      <c r="I268" s="2186"/>
      <c r="J268" s="2186"/>
      <c r="K268" s="23"/>
      <c r="L268" s="23"/>
      <c r="M268" s="23"/>
      <c r="N268" s="2186"/>
      <c r="O268" s="2186"/>
      <c r="P268" s="2186"/>
      <c r="Q268" s="23">
        <v>0</v>
      </c>
      <c r="R268" s="23">
        <v>0</v>
      </c>
      <c r="S268" s="23">
        <v>0</v>
      </c>
      <c r="T268" s="2189">
        <f t="shared" si="183"/>
        <v>0</v>
      </c>
      <c r="U268" s="2190">
        <f t="shared" si="181"/>
        <v>0</v>
      </c>
      <c r="V268" s="2191">
        <f t="shared" si="182"/>
        <v>0</v>
      </c>
      <c r="W268" s="2192">
        <f t="shared" si="184"/>
        <v>0</v>
      </c>
      <c r="X268" s="1075" t="str">
        <f t="shared" si="185"/>
        <v>1.33</v>
      </c>
      <c r="Y268" s="1075" t="str">
        <f t="shared" si="186"/>
        <v>D+</v>
      </c>
      <c r="Z268" s="1075" t="str">
        <f t="shared" si="187"/>
        <v>0</v>
      </c>
      <c r="AA268" s="2173"/>
      <c r="AB268" s="2174"/>
      <c r="AC268" s="2174"/>
      <c r="AD268" s="2174"/>
      <c r="AE268" s="2174"/>
      <c r="AF268" s="2174"/>
      <c r="AG268" s="2174"/>
      <c r="AH268" s="2174"/>
      <c r="AI268" s="2174"/>
      <c r="AJ268" s="2175"/>
      <c r="AK268" s="2175"/>
      <c r="AL268" s="2175"/>
      <c r="AM268" s="2175"/>
      <c r="AN268" s="2175"/>
      <c r="AO268" s="2175"/>
      <c r="AP268" s="2175"/>
      <c r="AQ268" s="2175"/>
      <c r="AR268" s="2176"/>
      <c r="AS268" s="1950"/>
      <c r="AT268" s="1951"/>
    </row>
    <row r="269" spans="1:46" ht="24.95" customHeight="1" x14ac:dyDescent="0.3">
      <c r="A269" s="1236"/>
      <c r="B269" s="1237">
        <v>26</v>
      </c>
      <c r="C269" s="1658"/>
      <c r="D269" s="1236"/>
      <c r="E269" s="2650"/>
      <c r="F269" s="2651"/>
      <c r="G269" s="2651"/>
      <c r="H269" s="2651"/>
      <c r="I269" s="2652"/>
      <c r="J269" s="2109"/>
      <c r="K269" s="2109"/>
      <c r="L269" s="2109"/>
      <c r="M269" s="2109"/>
      <c r="N269" s="2109"/>
      <c r="O269" s="2109"/>
      <c r="P269" s="2109"/>
      <c r="Q269" s="2109"/>
      <c r="R269" s="2109"/>
      <c r="S269" s="2109"/>
      <c r="T269" s="2193"/>
      <c r="U269" s="2193"/>
      <c r="V269" s="2193"/>
      <c r="W269" s="2194">
        <f>IFERROR(AVERAGE(W260:W268),"  ")</f>
        <v>0</v>
      </c>
      <c r="X269" s="1454" t="str">
        <f>IF(W269&gt;85,("4"),IF(W269&gt;80,("3.66"),IF(W269&gt;75,("3.33"),IF(W269&gt;70,("3.00"),IF(W269&gt;65,("2.66"),IF(W269&gt;60,("2.33"),IF(W269&gt;55,("2"),IF(W269&gt;50,("1.66"),"1.33"))))))))</f>
        <v>1.33</v>
      </c>
      <c r="Y269" s="1454" t="str">
        <f>IF(W269&gt;85,("A"),IF(W269&gt;80,("A-"),IF(W269&gt;75,("B+"),IF(W269&gt;70,("B"),IF(W269&gt;65,("B-"),IF(W269&gt;60,("C+"),IF(W269&gt;55,("C"),IF(W269&gt;50,("C-"),"D+"))))))))</f>
        <v>D+</v>
      </c>
      <c r="Z269" s="1666"/>
      <c r="AA269" s="2182"/>
      <c r="AB269" s="2183"/>
      <c r="AC269" s="2183"/>
      <c r="AD269" s="2183"/>
      <c r="AE269" s="2183"/>
      <c r="AF269" s="2183"/>
      <c r="AG269" s="2183"/>
      <c r="AH269" s="2183"/>
      <c r="AI269" s="2183"/>
      <c r="AJ269" s="2183"/>
      <c r="AK269" s="2183"/>
      <c r="AL269" s="2183"/>
      <c r="AM269" s="2183"/>
      <c r="AN269" s="2183"/>
      <c r="AO269" s="2183"/>
      <c r="AP269" s="2183"/>
      <c r="AQ269" s="2183"/>
      <c r="AR269" s="2184"/>
      <c r="AS269" s="1952"/>
      <c r="AT269" s="1953"/>
    </row>
    <row r="270" spans="1:46" ht="24.95" customHeight="1" x14ac:dyDescent="0.3">
      <c r="A270" s="1224">
        <v>27</v>
      </c>
      <c r="B270" s="1224"/>
      <c r="C270" s="1653" t="str">
        <f>VLOOKUP(A270,data_siswa,4,FALSE)</f>
        <v>Mohammad Rizky</v>
      </c>
      <c r="D270" s="1654" t="s">
        <v>603</v>
      </c>
      <c r="E270" s="1211">
        <v>0</v>
      </c>
      <c r="F270" s="1211">
        <v>0</v>
      </c>
      <c r="G270" s="1211">
        <v>0</v>
      </c>
      <c r="H270" s="2185"/>
      <c r="I270" s="2185"/>
      <c r="J270" s="2185"/>
      <c r="K270" s="1211"/>
      <c r="L270" s="1211"/>
      <c r="M270" s="1211"/>
      <c r="N270" s="2185"/>
      <c r="O270" s="2185"/>
      <c r="P270" s="2185"/>
      <c r="Q270" s="1211"/>
      <c r="R270" s="1211"/>
      <c r="S270" s="1211"/>
      <c r="T270" s="2189">
        <f>MAX(H270,K270,N270,Q270)</f>
        <v>0</v>
      </c>
      <c r="U270" s="2190">
        <f t="shared" ref="U270:U278" si="188">MAX(I270,L270,O270,R270)</f>
        <v>0</v>
      </c>
      <c r="V270" s="2191">
        <f t="shared" ref="V270:V278" si="189">MAX(J270,M270,P270,S270)</f>
        <v>0</v>
      </c>
      <c r="W270" s="2192">
        <f>IFERROR(AVERAGE(T270:V270),"")</f>
        <v>0</v>
      </c>
      <c r="X270" s="1075" t="str">
        <f>IF(W270&gt;85,("4"),IF(W270&gt;80,("3.66"),IF(W270&gt;75,("3.33"),IF(W270&gt;70,("3.00"),IF(W270&gt;65,("2.66"),IF(W270&gt;60,("2.33"),IF(W270&gt;55,("2"),IF(W270&gt;50,("1.66"),"1.33"))))))))</f>
        <v>1.33</v>
      </c>
      <c r="Y270" s="1075" t="str">
        <f>IF(W270&gt;85,("A"),IF(W270&gt;80,("A-"),IF(W270&gt;75,("B+"),IF(W270&gt;70,("B"),IF(W270&gt;65,("B-"),IF(W270&gt;60,("C+"),IF(W270&gt;55,("C"),IF(W270&gt;50,("C-"),"D+"))))))))</f>
        <v>D+</v>
      </c>
      <c r="Z270" s="1075" t="str">
        <f>IF(W270&gt;80,("SB"),IF(W270&gt;65,("B"),IF(W270&gt;50,("C"),IF(W270&gt;0,("K"),"0"))))</f>
        <v>0</v>
      </c>
      <c r="AA270" s="2180"/>
      <c r="AB270" s="2180"/>
      <c r="AC270" s="2180"/>
      <c r="AD270" s="2180"/>
      <c r="AE270" s="2180"/>
      <c r="AF270" s="2180"/>
      <c r="AG270" s="2180"/>
      <c r="AH270" s="2180"/>
      <c r="AI270" s="2180"/>
      <c r="AJ270" s="2181"/>
      <c r="AK270" s="2181"/>
      <c r="AL270" s="2181"/>
      <c r="AM270" s="2181"/>
      <c r="AN270" s="2181"/>
      <c r="AO270" s="2181"/>
      <c r="AP270" s="2181"/>
      <c r="AQ270" s="2181"/>
      <c r="AR270" s="2181"/>
      <c r="AS270" s="1910">
        <f>W279</f>
        <v>0</v>
      </c>
      <c r="AT270" s="1910" t="str">
        <f>Y279</f>
        <v>D+</v>
      </c>
    </row>
    <row r="271" spans="1:46" ht="24.95" customHeight="1" x14ac:dyDescent="0.3">
      <c r="A271" s="1207"/>
      <c r="B271" s="1207"/>
      <c r="C271" s="1655"/>
      <c r="D271" s="1654" t="s">
        <v>604</v>
      </c>
      <c r="E271" s="23">
        <v>0</v>
      </c>
      <c r="F271" s="23">
        <v>0</v>
      </c>
      <c r="G271" s="23">
        <v>0</v>
      </c>
      <c r="H271" s="2186"/>
      <c r="I271" s="2186"/>
      <c r="J271" s="2186"/>
      <c r="K271" s="23"/>
      <c r="L271" s="23"/>
      <c r="M271" s="23"/>
      <c r="N271" s="2186"/>
      <c r="O271" s="2186"/>
      <c r="P271" s="2186"/>
      <c r="Q271" s="23"/>
      <c r="R271" s="23"/>
      <c r="S271" s="23"/>
      <c r="T271" s="2189">
        <f t="shared" ref="T271:T278" si="190">MAX(H271,K271,N271,Q271)</f>
        <v>0</v>
      </c>
      <c r="U271" s="2190">
        <f t="shared" si="188"/>
        <v>0</v>
      </c>
      <c r="V271" s="2191">
        <f t="shared" si="189"/>
        <v>0</v>
      </c>
      <c r="W271" s="2192">
        <f t="shared" ref="W271:W278" si="191">IFERROR(AVERAGE(T271:V271),"")</f>
        <v>0</v>
      </c>
      <c r="X271" s="1075" t="str">
        <f t="shared" ref="X271:X278" si="192">IF(W271&gt;85,("4"),IF(W271&gt;80,("3.66"),IF(W271&gt;75,("3.33"),IF(W271&gt;70,("3.00"),IF(W271&gt;65,("2.66"),IF(W271&gt;60,("2.33"),IF(W271&gt;55,("2"),IF(W271&gt;50,("1.66"),"1.33"))))))))</f>
        <v>1.33</v>
      </c>
      <c r="Y271" s="1075" t="str">
        <f t="shared" ref="Y271:Y278" si="193">IF(W271&gt;85,("A"),IF(W271&gt;80,("A-"),IF(W271&gt;75,("B+"),IF(W271&gt;70,("B"),IF(W271&gt;65,("B-"),IF(W271&gt;60,("C+"),IF(W271&gt;55,("C"),IF(W271&gt;50,("C-"),"D+"))))))))</f>
        <v>D+</v>
      </c>
      <c r="Z271" s="1075" t="str">
        <f t="shared" ref="Z271:Z278" si="194">IF(W271&gt;80,("SB"),IF(W271&gt;65,("B"),IF(W271&gt;50,("C"),IF(W271&gt;0,("K"),"0"))))</f>
        <v>0</v>
      </c>
      <c r="AA271" s="2169"/>
      <c r="AB271" s="2170"/>
      <c r="AC271" s="2170"/>
      <c r="AD271" s="2170"/>
      <c r="AE271" s="2170"/>
      <c r="AF271" s="2170"/>
      <c r="AG271" s="2170"/>
      <c r="AH271" s="2170"/>
      <c r="AI271" s="2170"/>
      <c r="AJ271" s="2171"/>
      <c r="AK271" s="2171"/>
      <c r="AL271" s="2171"/>
      <c r="AM271" s="2171"/>
      <c r="AN271" s="2171"/>
      <c r="AO271" s="2171"/>
      <c r="AP271" s="2171"/>
      <c r="AQ271" s="2171"/>
      <c r="AR271" s="2172"/>
      <c r="AS271" s="1946"/>
      <c r="AT271" s="1947"/>
    </row>
    <row r="272" spans="1:46" ht="24.95" customHeight="1" x14ac:dyDescent="0.3">
      <c r="A272" s="1207"/>
      <c r="B272" s="1207"/>
      <c r="C272" s="1655"/>
      <c r="D272" s="1654" t="s">
        <v>605</v>
      </c>
      <c r="E272" s="23">
        <v>0</v>
      </c>
      <c r="F272" s="23">
        <v>0</v>
      </c>
      <c r="G272" s="23">
        <v>0</v>
      </c>
      <c r="H272" s="2186"/>
      <c r="I272" s="2186"/>
      <c r="J272" s="2186"/>
      <c r="K272" s="23"/>
      <c r="L272" s="23"/>
      <c r="M272" s="23"/>
      <c r="N272" s="2186"/>
      <c r="O272" s="2186"/>
      <c r="P272" s="2186"/>
      <c r="Q272" s="23"/>
      <c r="R272" s="23"/>
      <c r="S272" s="23"/>
      <c r="T272" s="2189">
        <f t="shared" si="190"/>
        <v>0</v>
      </c>
      <c r="U272" s="2190">
        <f t="shared" si="188"/>
        <v>0</v>
      </c>
      <c r="V272" s="2191">
        <f t="shared" si="189"/>
        <v>0</v>
      </c>
      <c r="W272" s="2192">
        <f t="shared" si="191"/>
        <v>0</v>
      </c>
      <c r="X272" s="1075" t="str">
        <f t="shared" si="192"/>
        <v>1.33</v>
      </c>
      <c r="Y272" s="1075" t="str">
        <f t="shared" si="193"/>
        <v>D+</v>
      </c>
      <c r="Z272" s="1075" t="str">
        <f t="shared" si="194"/>
        <v>0</v>
      </c>
      <c r="AA272" s="2173"/>
      <c r="AB272" s="2174"/>
      <c r="AC272" s="2174"/>
      <c r="AD272" s="2174"/>
      <c r="AE272" s="2174"/>
      <c r="AF272" s="2174"/>
      <c r="AG272" s="2174"/>
      <c r="AH272" s="2174"/>
      <c r="AI272" s="2174"/>
      <c r="AJ272" s="2175"/>
      <c r="AK272" s="2175"/>
      <c r="AL272" s="2175"/>
      <c r="AM272" s="2175"/>
      <c r="AN272" s="2175"/>
      <c r="AO272" s="2175"/>
      <c r="AP272" s="2175"/>
      <c r="AQ272" s="2175"/>
      <c r="AR272" s="2176"/>
      <c r="AS272" s="1948"/>
      <c r="AT272" s="1949"/>
    </row>
    <row r="273" spans="1:46" ht="24.95" customHeight="1" x14ac:dyDescent="0.3">
      <c r="A273" s="1207"/>
      <c r="B273" s="1207"/>
      <c r="C273" s="1655"/>
      <c r="D273" s="1654" t="s">
        <v>155</v>
      </c>
      <c r="E273" s="23"/>
      <c r="F273" s="23"/>
      <c r="G273" s="23"/>
      <c r="H273" s="2186">
        <v>0</v>
      </c>
      <c r="I273" s="2186">
        <v>0</v>
      </c>
      <c r="J273" s="2186">
        <v>0</v>
      </c>
      <c r="K273" s="23"/>
      <c r="L273" s="23"/>
      <c r="M273" s="23"/>
      <c r="N273" s="2186"/>
      <c r="O273" s="2186"/>
      <c r="P273" s="2186"/>
      <c r="Q273" s="23"/>
      <c r="R273" s="23"/>
      <c r="S273" s="23"/>
      <c r="T273" s="2189">
        <f t="shared" si="190"/>
        <v>0</v>
      </c>
      <c r="U273" s="2190">
        <f t="shared" si="188"/>
        <v>0</v>
      </c>
      <c r="V273" s="2191">
        <f t="shared" si="189"/>
        <v>0</v>
      </c>
      <c r="W273" s="2192">
        <f t="shared" si="191"/>
        <v>0</v>
      </c>
      <c r="X273" s="1075" t="str">
        <f t="shared" si="192"/>
        <v>1.33</v>
      </c>
      <c r="Y273" s="1075" t="str">
        <f t="shared" si="193"/>
        <v>D+</v>
      </c>
      <c r="Z273" s="1075" t="str">
        <f t="shared" si="194"/>
        <v>0</v>
      </c>
      <c r="AA273" s="2173"/>
      <c r="AB273" s="2174"/>
      <c r="AC273" s="2174"/>
      <c r="AD273" s="2174"/>
      <c r="AE273" s="2174"/>
      <c r="AF273" s="2174"/>
      <c r="AG273" s="2174"/>
      <c r="AH273" s="2174"/>
      <c r="AI273" s="2174"/>
      <c r="AJ273" s="2175"/>
      <c r="AK273" s="2175"/>
      <c r="AL273" s="2175"/>
      <c r="AM273" s="2175"/>
      <c r="AN273" s="2175"/>
      <c r="AO273" s="2175"/>
      <c r="AP273" s="2175"/>
      <c r="AQ273" s="2175"/>
      <c r="AR273" s="2176"/>
      <c r="AS273" s="1948"/>
      <c r="AT273" s="1949"/>
    </row>
    <row r="274" spans="1:46" ht="24.95" customHeight="1" x14ac:dyDescent="0.3">
      <c r="A274" s="1207"/>
      <c r="B274" s="1207"/>
      <c r="C274" s="1655"/>
      <c r="D274" s="1654" t="s">
        <v>187</v>
      </c>
      <c r="E274" s="23"/>
      <c r="F274" s="23"/>
      <c r="G274" s="23"/>
      <c r="H274" s="2186"/>
      <c r="I274" s="2186"/>
      <c r="J274" s="2186"/>
      <c r="K274" s="23">
        <v>0</v>
      </c>
      <c r="L274" s="23">
        <v>0</v>
      </c>
      <c r="M274" s="23">
        <v>0</v>
      </c>
      <c r="N274" s="2186"/>
      <c r="O274" s="2186"/>
      <c r="P274" s="2186"/>
      <c r="Q274" s="23"/>
      <c r="R274" s="23"/>
      <c r="S274" s="23"/>
      <c r="T274" s="2189">
        <f t="shared" si="190"/>
        <v>0</v>
      </c>
      <c r="U274" s="2190">
        <f t="shared" si="188"/>
        <v>0</v>
      </c>
      <c r="V274" s="2191">
        <f t="shared" si="189"/>
        <v>0</v>
      </c>
      <c r="W274" s="2192">
        <f t="shared" si="191"/>
        <v>0</v>
      </c>
      <c r="X274" s="1075" t="str">
        <f t="shared" si="192"/>
        <v>1.33</v>
      </c>
      <c r="Y274" s="1075" t="str">
        <f t="shared" si="193"/>
        <v>D+</v>
      </c>
      <c r="Z274" s="1075" t="str">
        <f t="shared" si="194"/>
        <v>0</v>
      </c>
      <c r="AA274" s="2173"/>
      <c r="AB274" s="2174"/>
      <c r="AC274" s="2174"/>
      <c r="AD274" s="2174"/>
      <c r="AE274" s="2174"/>
      <c r="AF274" s="2174"/>
      <c r="AG274" s="2174"/>
      <c r="AH274" s="2174"/>
      <c r="AI274" s="2174"/>
      <c r="AJ274" s="2175"/>
      <c r="AK274" s="2175"/>
      <c r="AL274" s="2175"/>
      <c r="AM274" s="2175"/>
      <c r="AN274" s="2175"/>
      <c r="AO274" s="2175"/>
      <c r="AP274" s="2175"/>
      <c r="AQ274" s="2175"/>
      <c r="AR274" s="2176"/>
      <c r="AS274" s="1948"/>
      <c r="AT274" s="1949"/>
    </row>
    <row r="275" spans="1:46" ht="24.95" customHeight="1" x14ac:dyDescent="0.3">
      <c r="A275" s="1207"/>
      <c r="B275" s="1207"/>
      <c r="C275" s="1655"/>
      <c r="D275" s="1654" t="s">
        <v>17</v>
      </c>
      <c r="E275" s="23"/>
      <c r="F275" s="23"/>
      <c r="G275" s="23"/>
      <c r="H275" s="2186"/>
      <c r="I275" s="2186"/>
      <c r="J275" s="2186"/>
      <c r="K275" s="23">
        <v>0</v>
      </c>
      <c r="L275" s="23">
        <v>0</v>
      </c>
      <c r="M275" s="23">
        <v>0</v>
      </c>
      <c r="N275" s="2186"/>
      <c r="O275" s="2186"/>
      <c r="P275" s="2186"/>
      <c r="Q275" s="23"/>
      <c r="R275" s="23"/>
      <c r="S275" s="23"/>
      <c r="T275" s="2189">
        <f t="shared" si="190"/>
        <v>0</v>
      </c>
      <c r="U275" s="2190">
        <f t="shared" si="188"/>
        <v>0</v>
      </c>
      <c r="V275" s="2191">
        <f t="shared" si="189"/>
        <v>0</v>
      </c>
      <c r="W275" s="2192">
        <f t="shared" si="191"/>
        <v>0</v>
      </c>
      <c r="X275" s="1075" t="str">
        <f t="shared" si="192"/>
        <v>1.33</v>
      </c>
      <c r="Y275" s="1075" t="str">
        <f t="shared" si="193"/>
        <v>D+</v>
      </c>
      <c r="Z275" s="1075" t="str">
        <f t="shared" si="194"/>
        <v>0</v>
      </c>
      <c r="AA275" s="2173"/>
      <c r="AB275" s="2174"/>
      <c r="AC275" s="2174"/>
      <c r="AD275" s="2174"/>
      <c r="AE275" s="2174"/>
      <c r="AF275" s="2174"/>
      <c r="AG275" s="2174"/>
      <c r="AH275" s="2174"/>
      <c r="AI275" s="2174"/>
      <c r="AJ275" s="2175"/>
      <c r="AK275" s="2175"/>
      <c r="AL275" s="2175"/>
      <c r="AM275" s="2175"/>
      <c r="AN275" s="2175"/>
      <c r="AO275" s="2175"/>
      <c r="AP275" s="2175"/>
      <c r="AQ275" s="2175"/>
      <c r="AR275" s="2176"/>
      <c r="AS275" s="1948"/>
      <c r="AT275" s="1949"/>
    </row>
    <row r="276" spans="1:46" ht="24.95" customHeight="1" x14ac:dyDescent="0.3">
      <c r="A276" s="1207"/>
      <c r="B276" s="1207"/>
      <c r="C276" s="1655"/>
      <c r="D276" s="1654" t="s">
        <v>606</v>
      </c>
      <c r="E276" s="23"/>
      <c r="F276" s="23"/>
      <c r="G276" s="23"/>
      <c r="H276" s="2186"/>
      <c r="I276" s="2186"/>
      <c r="J276" s="2186"/>
      <c r="K276" s="23"/>
      <c r="L276" s="23"/>
      <c r="M276" s="23"/>
      <c r="N276" s="2186">
        <v>0</v>
      </c>
      <c r="O276" s="2186">
        <v>0</v>
      </c>
      <c r="P276" s="2186">
        <v>0</v>
      </c>
      <c r="Q276" s="23"/>
      <c r="R276" s="23"/>
      <c r="S276" s="23"/>
      <c r="T276" s="2189">
        <f t="shared" si="190"/>
        <v>0</v>
      </c>
      <c r="U276" s="2190">
        <f t="shared" si="188"/>
        <v>0</v>
      </c>
      <c r="V276" s="2191">
        <f t="shared" si="189"/>
        <v>0</v>
      </c>
      <c r="W276" s="2192">
        <f t="shared" si="191"/>
        <v>0</v>
      </c>
      <c r="X276" s="1075" t="str">
        <f t="shared" si="192"/>
        <v>1.33</v>
      </c>
      <c r="Y276" s="1075" t="str">
        <f t="shared" si="193"/>
        <v>D+</v>
      </c>
      <c r="Z276" s="1075" t="str">
        <f t="shared" si="194"/>
        <v>0</v>
      </c>
      <c r="AA276" s="2173"/>
      <c r="AB276" s="2174"/>
      <c r="AC276" s="2174"/>
      <c r="AD276" s="2174"/>
      <c r="AE276" s="2174"/>
      <c r="AF276" s="2174"/>
      <c r="AG276" s="2174"/>
      <c r="AH276" s="2174"/>
      <c r="AI276" s="2174"/>
      <c r="AJ276" s="2175"/>
      <c r="AK276" s="2175"/>
      <c r="AL276" s="2175"/>
      <c r="AM276" s="2175"/>
      <c r="AN276" s="2175"/>
      <c r="AO276" s="2175"/>
      <c r="AP276" s="2175"/>
      <c r="AQ276" s="2175"/>
      <c r="AR276" s="2176"/>
      <c r="AS276" s="1948"/>
      <c r="AT276" s="1949"/>
    </row>
    <row r="277" spans="1:46" ht="24.95" customHeight="1" x14ac:dyDescent="0.3">
      <c r="A277" s="1207"/>
      <c r="B277" s="1207"/>
      <c r="C277" s="1655"/>
      <c r="D277" s="1654" t="s">
        <v>607</v>
      </c>
      <c r="E277" s="23"/>
      <c r="F277" s="23"/>
      <c r="G277" s="23"/>
      <c r="H277" s="2186"/>
      <c r="I277" s="2186"/>
      <c r="J277" s="2186"/>
      <c r="K277" s="23"/>
      <c r="L277" s="23"/>
      <c r="M277" s="23"/>
      <c r="N277" s="2186">
        <v>0</v>
      </c>
      <c r="O277" s="2186">
        <v>0</v>
      </c>
      <c r="P277" s="2186">
        <v>0</v>
      </c>
      <c r="Q277" s="23"/>
      <c r="R277" s="23"/>
      <c r="S277" s="23"/>
      <c r="T277" s="2189">
        <f t="shared" si="190"/>
        <v>0</v>
      </c>
      <c r="U277" s="2190">
        <f t="shared" si="188"/>
        <v>0</v>
      </c>
      <c r="V277" s="2191">
        <f t="shared" si="189"/>
        <v>0</v>
      </c>
      <c r="W277" s="2192">
        <f t="shared" si="191"/>
        <v>0</v>
      </c>
      <c r="X277" s="1075" t="str">
        <f t="shared" si="192"/>
        <v>1.33</v>
      </c>
      <c r="Y277" s="1075" t="str">
        <f t="shared" si="193"/>
        <v>D+</v>
      </c>
      <c r="Z277" s="1075" t="str">
        <f t="shared" si="194"/>
        <v>0</v>
      </c>
      <c r="AA277" s="2173"/>
      <c r="AB277" s="2174"/>
      <c r="AC277" s="2174"/>
      <c r="AD277" s="2174"/>
      <c r="AE277" s="2174"/>
      <c r="AF277" s="2174"/>
      <c r="AG277" s="2174"/>
      <c r="AH277" s="2174"/>
      <c r="AI277" s="2174"/>
      <c r="AJ277" s="2175"/>
      <c r="AK277" s="2175"/>
      <c r="AL277" s="2175"/>
      <c r="AM277" s="2175"/>
      <c r="AN277" s="2175"/>
      <c r="AO277" s="2175"/>
      <c r="AP277" s="2175"/>
      <c r="AQ277" s="2175"/>
      <c r="AR277" s="2176"/>
      <c r="AS277" s="1948"/>
      <c r="AT277" s="1949"/>
    </row>
    <row r="278" spans="1:46" ht="24.95" customHeight="1" x14ac:dyDescent="0.3">
      <c r="A278" s="1656"/>
      <c r="B278" s="1207"/>
      <c r="C278" s="1655"/>
      <c r="D278" s="1654" t="s">
        <v>22</v>
      </c>
      <c r="E278" s="2187"/>
      <c r="F278" s="2187"/>
      <c r="G278" s="2187"/>
      <c r="H278" s="2188"/>
      <c r="I278" s="2186"/>
      <c r="J278" s="2186"/>
      <c r="K278" s="23"/>
      <c r="L278" s="23"/>
      <c r="M278" s="23"/>
      <c r="N278" s="2186"/>
      <c r="O278" s="2186"/>
      <c r="P278" s="2186"/>
      <c r="Q278" s="23">
        <v>0</v>
      </c>
      <c r="R278" s="23">
        <v>0</v>
      </c>
      <c r="S278" s="23">
        <v>0</v>
      </c>
      <c r="T278" s="2189">
        <f t="shared" si="190"/>
        <v>0</v>
      </c>
      <c r="U278" s="2190">
        <f t="shared" si="188"/>
        <v>0</v>
      </c>
      <c r="V278" s="2191">
        <f t="shared" si="189"/>
        <v>0</v>
      </c>
      <c r="W278" s="2192">
        <f t="shared" si="191"/>
        <v>0</v>
      </c>
      <c r="X278" s="1075" t="str">
        <f t="shared" si="192"/>
        <v>1.33</v>
      </c>
      <c r="Y278" s="1075" t="str">
        <f t="shared" si="193"/>
        <v>D+</v>
      </c>
      <c r="Z278" s="1075" t="str">
        <f t="shared" si="194"/>
        <v>0</v>
      </c>
      <c r="AA278" s="2173"/>
      <c r="AB278" s="2174"/>
      <c r="AC278" s="2174"/>
      <c r="AD278" s="2174"/>
      <c r="AE278" s="2174"/>
      <c r="AF278" s="2174"/>
      <c r="AG278" s="2174"/>
      <c r="AH278" s="2174"/>
      <c r="AI278" s="2174"/>
      <c r="AJ278" s="2175"/>
      <c r="AK278" s="2175"/>
      <c r="AL278" s="2175"/>
      <c r="AM278" s="2175"/>
      <c r="AN278" s="2175"/>
      <c r="AO278" s="2175"/>
      <c r="AP278" s="2175"/>
      <c r="AQ278" s="2175"/>
      <c r="AR278" s="2176"/>
      <c r="AS278" s="1950"/>
      <c r="AT278" s="1951"/>
    </row>
    <row r="279" spans="1:46" ht="24.95" customHeight="1" x14ac:dyDescent="0.3">
      <c r="A279" s="1236"/>
      <c r="B279" s="1237">
        <v>27</v>
      </c>
      <c r="C279" s="1658"/>
      <c r="D279" s="1236"/>
      <c r="E279" s="2650"/>
      <c r="F279" s="2651"/>
      <c r="G279" s="2651"/>
      <c r="H279" s="2651"/>
      <c r="I279" s="2652"/>
      <c r="J279" s="2109"/>
      <c r="K279" s="2109"/>
      <c r="L279" s="2109"/>
      <c r="M279" s="2109"/>
      <c r="N279" s="2109"/>
      <c r="O279" s="2109"/>
      <c r="P279" s="2109"/>
      <c r="Q279" s="2109"/>
      <c r="R279" s="2109"/>
      <c r="S279" s="2109"/>
      <c r="T279" s="2193"/>
      <c r="U279" s="2193"/>
      <c r="V279" s="2193"/>
      <c r="W279" s="2194">
        <f>IFERROR(AVERAGE(W270:W278),"  ")</f>
        <v>0</v>
      </c>
      <c r="X279" s="1454" t="str">
        <f>IF(W279&gt;85,("4"),IF(W279&gt;80,("3.66"),IF(W279&gt;75,("3.33"),IF(W279&gt;70,("3.00"),IF(W279&gt;65,("2.66"),IF(W279&gt;60,("2.33"),IF(W279&gt;55,("2"),IF(W279&gt;50,("1.66"),"1.33"))))))))</f>
        <v>1.33</v>
      </c>
      <c r="Y279" s="1454" t="str">
        <f>IF(W279&gt;85,("A"),IF(W279&gt;80,("A-"),IF(W279&gt;75,("B+"),IF(W279&gt;70,("B"),IF(W279&gt;65,("B-"),IF(W279&gt;60,("C+"),IF(W279&gt;55,("C"),IF(W279&gt;50,("C-"),"D+"))))))))</f>
        <v>D+</v>
      </c>
      <c r="Z279" s="1666"/>
      <c r="AA279" s="2182"/>
      <c r="AB279" s="2183"/>
      <c r="AC279" s="2183"/>
      <c r="AD279" s="2183"/>
      <c r="AE279" s="2183"/>
      <c r="AF279" s="2183"/>
      <c r="AG279" s="2183"/>
      <c r="AH279" s="2183"/>
      <c r="AI279" s="2183"/>
      <c r="AJ279" s="2183"/>
      <c r="AK279" s="2183"/>
      <c r="AL279" s="2183"/>
      <c r="AM279" s="2183"/>
      <c r="AN279" s="2183"/>
      <c r="AO279" s="2183"/>
      <c r="AP279" s="2183"/>
      <c r="AQ279" s="2183"/>
      <c r="AR279" s="2184"/>
      <c r="AS279" s="1952"/>
      <c r="AT279" s="1953"/>
    </row>
    <row r="280" spans="1:46" ht="24.95" customHeight="1" x14ac:dyDescent="0.3">
      <c r="A280" s="1224">
        <v>28</v>
      </c>
      <c r="B280" s="1224"/>
      <c r="C280" s="1653" t="e">
        <f>VLOOKUP(A280,data_siswa,4,FALSE)</f>
        <v>#N/A</v>
      </c>
      <c r="D280" s="1654" t="s">
        <v>603</v>
      </c>
      <c r="E280" s="1211">
        <v>0</v>
      </c>
      <c r="F280" s="1211">
        <v>0</v>
      </c>
      <c r="G280" s="1211">
        <v>0</v>
      </c>
      <c r="H280" s="2185"/>
      <c r="I280" s="2185"/>
      <c r="J280" s="2185"/>
      <c r="K280" s="1211"/>
      <c r="L280" s="1211"/>
      <c r="M280" s="1211"/>
      <c r="N280" s="2185"/>
      <c r="O280" s="2185"/>
      <c r="P280" s="2185"/>
      <c r="Q280" s="1211"/>
      <c r="R280" s="1211"/>
      <c r="S280" s="1211"/>
      <c r="T280" s="2189">
        <f>MAX(H280,K280,N280,Q280)</f>
        <v>0</v>
      </c>
      <c r="U280" s="2190">
        <f t="shared" ref="U280:U288" si="195">MAX(I280,L280,O280,R280)</f>
        <v>0</v>
      </c>
      <c r="V280" s="2191">
        <f t="shared" ref="V280:V288" si="196">MAX(J280,M280,P280,S280)</f>
        <v>0</v>
      </c>
      <c r="W280" s="2192">
        <f>IFERROR(AVERAGE(T280:V280),"")</f>
        <v>0</v>
      </c>
      <c r="X280" s="1075" t="str">
        <f>IF(W280&gt;85,("4"),IF(W280&gt;80,("3.66"),IF(W280&gt;75,("3.33"),IF(W280&gt;70,("3.00"),IF(W280&gt;65,("2.66"),IF(W280&gt;60,("2.33"),IF(W280&gt;55,("2"),IF(W280&gt;50,("1.66"),"1.33"))))))))</f>
        <v>1.33</v>
      </c>
      <c r="Y280" s="1075" t="str">
        <f>IF(W280&gt;85,("A"),IF(W280&gt;80,("A-"),IF(W280&gt;75,("B+"),IF(W280&gt;70,("B"),IF(W280&gt;65,("B-"),IF(W280&gt;60,("C+"),IF(W280&gt;55,("C"),IF(W280&gt;50,("C-"),"D+"))))))))</f>
        <v>D+</v>
      </c>
      <c r="Z280" s="1075" t="str">
        <f>IF(W280&gt;80,("SB"),IF(W280&gt;65,("B"),IF(W280&gt;50,("C"),IF(W280&gt;0,("K"),"0"))))</f>
        <v>0</v>
      </c>
      <c r="AA280" s="2180"/>
      <c r="AB280" s="2180"/>
      <c r="AC280" s="2180"/>
      <c r="AD280" s="2180"/>
      <c r="AE280" s="2180"/>
      <c r="AF280" s="2180"/>
      <c r="AG280" s="2180"/>
      <c r="AH280" s="2180"/>
      <c r="AI280" s="2180"/>
      <c r="AJ280" s="2181"/>
      <c r="AK280" s="2181"/>
      <c r="AL280" s="2181"/>
      <c r="AM280" s="2181"/>
      <c r="AN280" s="2181"/>
      <c r="AO280" s="2181"/>
      <c r="AP280" s="2181"/>
      <c r="AQ280" s="2181"/>
      <c r="AR280" s="2181"/>
      <c r="AS280" s="1910">
        <f>W289</f>
        <v>0</v>
      </c>
      <c r="AT280" s="1910" t="str">
        <f>Y289</f>
        <v>D+</v>
      </c>
    </row>
    <row r="281" spans="1:46" ht="24.95" customHeight="1" x14ac:dyDescent="0.3">
      <c r="A281" s="1207"/>
      <c r="B281" s="1207"/>
      <c r="C281" s="1655"/>
      <c r="D281" s="1654" t="s">
        <v>604</v>
      </c>
      <c r="E281" s="23">
        <v>0</v>
      </c>
      <c r="F281" s="23">
        <v>0</v>
      </c>
      <c r="G281" s="23">
        <v>0</v>
      </c>
      <c r="H281" s="2186"/>
      <c r="I281" s="2186"/>
      <c r="J281" s="2186"/>
      <c r="K281" s="23"/>
      <c r="L281" s="23"/>
      <c r="M281" s="23"/>
      <c r="N281" s="2186"/>
      <c r="O281" s="2186"/>
      <c r="P281" s="2186"/>
      <c r="Q281" s="23"/>
      <c r="R281" s="23"/>
      <c r="S281" s="23"/>
      <c r="T281" s="2189">
        <f t="shared" ref="T281:T288" si="197">MAX(H281,K281,N281,Q281)</f>
        <v>0</v>
      </c>
      <c r="U281" s="2190">
        <f t="shared" si="195"/>
        <v>0</v>
      </c>
      <c r="V281" s="2191">
        <f t="shared" si="196"/>
        <v>0</v>
      </c>
      <c r="W281" s="2192">
        <f t="shared" ref="W281:W288" si="198">IFERROR(AVERAGE(T281:V281),"")</f>
        <v>0</v>
      </c>
      <c r="X281" s="1075" t="str">
        <f t="shared" ref="X281:X288" si="199">IF(W281&gt;85,("4"),IF(W281&gt;80,("3.66"),IF(W281&gt;75,("3.33"),IF(W281&gt;70,("3.00"),IF(W281&gt;65,("2.66"),IF(W281&gt;60,("2.33"),IF(W281&gt;55,("2"),IF(W281&gt;50,("1.66"),"1.33"))))))))</f>
        <v>1.33</v>
      </c>
      <c r="Y281" s="1075" t="str">
        <f t="shared" ref="Y281:Y288" si="200">IF(W281&gt;85,("A"),IF(W281&gt;80,("A-"),IF(W281&gt;75,("B+"),IF(W281&gt;70,("B"),IF(W281&gt;65,("B-"),IF(W281&gt;60,("C+"),IF(W281&gt;55,("C"),IF(W281&gt;50,("C-"),"D+"))))))))</f>
        <v>D+</v>
      </c>
      <c r="Z281" s="1075" t="str">
        <f t="shared" ref="Z281:Z288" si="201">IF(W281&gt;80,("SB"),IF(W281&gt;65,("B"),IF(W281&gt;50,("C"),IF(W281&gt;0,("K"),"0"))))</f>
        <v>0</v>
      </c>
      <c r="AA281" s="2169"/>
      <c r="AB281" s="2170"/>
      <c r="AC281" s="2170"/>
      <c r="AD281" s="2170"/>
      <c r="AE281" s="2170"/>
      <c r="AF281" s="2170"/>
      <c r="AG281" s="2170"/>
      <c r="AH281" s="2170"/>
      <c r="AI281" s="2170"/>
      <c r="AJ281" s="2171"/>
      <c r="AK281" s="2171"/>
      <c r="AL281" s="2171"/>
      <c r="AM281" s="2171"/>
      <c r="AN281" s="2171"/>
      <c r="AO281" s="2171"/>
      <c r="AP281" s="2171"/>
      <c r="AQ281" s="2171"/>
      <c r="AR281" s="2172"/>
      <c r="AS281" s="1946"/>
      <c r="AT281" s="1947"/>
    </row>
    <row r="282" spans="1:46" ht="24.95" customHeight="1" x14ac:dyDescent="0.3">
      <c r="A282" s="1207"/>
      <c r="B282" s="1207"/>
      <c r="C282" s="1655"/>
      <c r="D282" s="1654" t="s">
        <v>605</v>
      </c>
      <c r="E282" s="23">
        <v>0</v>
      </c>
      <c r="F282" s="23">
        <v>0</v>
      </c>
      <c r="G282" s="23">
        <v>0</v>
      </c>
      <c r="H282" s="2186"/>
      <c r="I282" s="2186"/>
      <c r="J282" s="2186"/>
      <c r="K282" s="23"/>
      <c r="L282" s="23"/>
      <c r="M282" s="23"/>
      <c r="N282" s="2186"/>
      <c r="O282" s="2186"/>
      <c r="P282" s="2186"/>
      <c r="Q282" s="23"/>
      <c r="R282" s="23"/>
      <c r="S282" s="23"/>
      <c r="T282" s="2189">
        <f t="shared" si="197"/>
        <v>0</v>
      </c>
      <c r="U282" s="2190">
        <f t="shared" si="195"/>
        <v>0</v>
      </c>
      <c r="V282" s="2191">
        <f t="shared" si="196"/>
        <v>0</v>
      </c>
      <c r="W282" s="2192">
        <f t="shared" si="198"/>
        <v>0</v>
      </c>
      <c r="X282" s="1075" t="str">
        <f t="shared" si="199"/>
        <v>1.33</v>
      </c>
      <c r="Y282" s="1075" t="str">
        <f t="shared" si="200"/>
        <v>D+</v>
      </c>
      <c r="Z282" s="1075" t="str">
        <f t="shared" si="201"/>
        <v>0</v>
      </c>
      <c r="AA282" s="2173"/>
      <c r="AB282" s="2174"/>
      <c r="AC282" s="2174"/>
      <c r="AD282" s="2174"/>
      <c r="AE282" s="2174"/>
      <c r="AF282" s="2174"/>
      <c r="AG282" s="2174"/>
      <c r="AH282" s="2174"/>
      <c r="AI282" s="2174"/>
      <c r="AJ282" s="2175"/>
      <c r="AK282" s="2175"/>
      <c r="AL282" s="2175"/>
      <c r="AM282" s="2175"/>
      <c r="AN282" s="2175"/>
      <c r="AO282" s="2175"/>
      <c r="AP282" s="2175"/>
      <c r="AQ282" s="2175"/>
      <c r="AR282" s="2176"/>
      <c r="AS282" s="1948"/>
      <c r="AT282" s="1949"/>
    </row>
    <row r="283" spans="1:46" ht="24.95" customHeight="1" x14ac:dyDescent="0.3">
      <c r="A283" s="1207"/>
      <c r="B283" s="1207"/>
      <c r="C283" s="1655"/>
      <c r="D283" s="1654" t="s">
        <v>155</v>
      </c>
      <c r="E283" s="23"/>
      <c r="F283" s="23"/>
      <c r="G283" s="23"/>
      <c r="H283" s="2186">
        <v>0</v>
      </c>
      <c r="I283" s="2186">
        <v>0</v>
      </c>
      <c r="J283" s="2186">
        <v>0</v>
      </c>
      <c r="K283" s="23"/>
      <c r="L283" s="23"/>
      <c r="M283" s="23"/>
      <c r="N283" s="2186"/>
      <c r="O283" s="2186"/>
      <c r="P283" s="2186"/>
      <c r="Q283" s="23"/>
      <c r="R283" s="23"/>
      <c r="S283" s="23"/>
      <c r="T283" s="2189">
        <f t="shared" si="197"/>
        <v>0</v>
      </c>
      <c r="U283" s="2190">
        <f t="shared" si="195"/>
        <v>0</v>
      </c>
      <c r="V283" s="2191">
        <f t="shared" si="196"/>
        <v>0</v>
      </c>
      <c r="W283" s="2192">
        <f t="shared" si="198"/>
        <v>0</v>
      </c>
      <c r="X283" s="1075" t="str">
        <f t="shared" si="199"/>
        <v>1.33</v>
      </c>
      <c r="Y283" s="1075" t="str">
        <f t="shared" si="200"/>
        <v>D+</v>
      </c>
      <c r="Z283" s="1075" t="str">
        <f t="shared" si="201"/>
        <v>0</v>
      </c>
      <c r="AA283" s="2173"/>
      <c r="AB283" s="2174"/>
      <c r="AC283" s="2174"/>
      <c r="AD283" s="2174"/>
      <c r="AE283" s="2174"/>
      <c r="AF283" s="2174"/>
      <c r="AG283" s="2174"/>
      <c r="AH283" s="2174"/>
      <c r="AI283" s="2174"/>
      <c r="AJ283" s="2175"/>
      <c r="AK283" s="2175"/>
      <c r="AL283" s="2175"/>
      <c r="AM283" s="2175"/>
      <c r="AN283" s="2175"/>
      <c r="AO283" s="2175"/>
      <c r="AP283" s="2175"/>
      <c r="AQ283" s="2175"/>
      <c r="AR283" s="2176"/>
      <c r="AS283" s="1948"/>
      <c r="AT283" s="1949"/>
    </row>
    <row r="284" spans="1:46" ht="24.95" customHeight="1" x14ac:dyDescent="0.3">
      <c r="A284" s="1207"/>
      <c r="B284" s="1207"/>
      <c r="C284" s="1655"/>
      <c r="D284" s="1654" t="s">
        <v>187</v>
      </c>
      <c r="E284" s="23"/>
      <c r="F284" s="23"/>
      <c r="G284" s="23"/>
      <c r="H284" s="2186"/>
      <c r="I284" s="2186"/>
      <c r="J284" s="2186"/>
      <c r="K284" s="23">
        <v>0</v>
      </c>
      <c r="L284" s="23">
        <v>0</v>
      </c>
      <c r="M284" s="23">
        <v>0</v>
      </c>
      <c r="N284" s="2186"/>
      <c r="O284" s="2186"/>
      <c r="P284" s="2186"/>
      <c r="Q284" s="23"/>
      <c r="R284" s="23"/>
      <c r="S284" s="23"/>
      <c r="T284" s="2189">
        <f t="shared" si="197"/>
        <v>0</v>
      </c>
      <c r="U284" s="2190">
        <f t="shared" si="195"/>
        <v>0</v>
      </c>
      <c r="V284" s="2191">
        <f t="shared" si="196"/>
        <v>0</v>
      </c>
      <c r="W284" s="2192">
        <f t="shared" si="198"/>
        <v>0</v>
      </c>
      <c r="X284" s="1075" t="str">
        <f t="shared" si="199"/>
        <v>1.33</v>
      </c>
      <c r="Y284" s="1075" t="str">
        <f t="shared" si="200"/>
        <v>D+</v>
      </c>
      <c r="Z284" s="1075" t="str">
        <f t="shared" si="201"/>
        <v>0</v>
      </c>
      <c r="AA284" s="2173"/>
      <c r="AB284" s="2174"/>
      <c r="AC284" s="2174"/>
      <c r="AD284" s="2174"/>
      <c r="AE284" s="2174"/>
      <c r="AF284" s="2174"/>
      <c r="AG284" s="2174"/>
      <c r="AH284" s="2174"/>
      <c r="AI284" s="2174"/>
      <c r="AJ284" s="2175"/>
      <c r="AK284" s="2175"/>
      <c r="AL284" s="2175"/>
      <c r="AM284" s="2175"/>
      <c r="AN284" s="2175"/>
      <c r="AO284" s="2175"/>
      <c r="AP284" s="2175"/>
      <c r="AQ284" s="2175"/>
      <c r="AR284" s="2176"/>
      <c r="AS284" s="1948"/>
      <c r="AT284" s="1949"/>
    </row>
    <row r="285" spans="1:46" ht="24.95" customHeight="1" x14ac:dyDescent="0.3">
      <c r="A285" s="1207"/>
      <c r="B285" s="1207"/>
      <c r="C285" s="1655"/>
      <c r="D285" s="1654" t="s">
        <v>17</v>
      </c>
      <c r="E285" s="23"/>
      <c r="F285" s="23"/>
      <c r="G285" s="23"/>
      <c r="H285" s="2186"/>
      <c r="I285" s="2186"/>
      <c r="J285" s="2186"/>
      <c r="K285" s="23">
        <v>0</v>
      </c>
      <c r="L285" s="23">
        <v>0</v>
      </c>
      <c r="M285" s="23">
        <v>0</v>
      </c>
      <c r="N285" s="2186"/>
      <c r="O285" s="2186"/>
      <c r="P285" s="2186"/>
      <c r="Q285" s="23"/>
      <c r="R285" s="23"/>
      <c r="S285" s="23"/>
      <c r="T285" s="2189">
        <f t="shared" si="197"/>
        <v>0</v>
      </c>
      <c r="U285" s="2190">
        <f t="shared" si="195"/>
        <v>0</v>
      </c>
      <c r="V285" s="2191">
        <f t="shared" si="196"/>
        <v>0</v>
      </c>
      <c r="W285" s="2192">
        <f t="shared" si="198"/>
        <v>0</v>
      </c>
      <c r="X285" s="1075" t="str">
        <f t="shared" si="199"/>
        <v>1.33</v>
      </c>
      <c r="Y285" s="1075" t="str">
        <f t="shared" si="200"/>
        <v>D+</v>
      </c>
      <c r="Z285" s="1075" t="str">
        <f t="shared" si="201"/>
        <v>0</v>
      </c>
      <c r="AA285" s="2173"/>
      <c r="AB285" s="2174"/>
      <c r="AC285" s="2174"/>
      <c r="AD285" s="2174"/>
      <c r="AE285" s="2174"/>
      <c r="AF285" s="2174"/>
      <c r="AG285" s="2174"/>
      <c r="AH285" s="2174"/>
      <c r="AI285" s="2174"/>
      <c r="AJ285" s="2175"/>
      <c r="AK285" s="2175"/>
      <c r="AL285" s="2175"/>
      <c r="AM285" s="2175"/>
      <c r="AN285" s="2175"/>
      <c r="AO285" s="2175"/>
      <c r="AP285" s="2175"/>
      <c r="AQ285" s="2175"/>
      <c r="AR285" s="2176"/>
      <c r="AS285" s="1948"/>
      <c r="AT285" s="1949"/>
    </row>
    <row r="286" spans="1:46" ht="24.95" customHeight="1" x14ac:dyDescent="0.3">
      <c r="A286" s="1207"/>
      <c r="B286" s="1207"/>
      <c r="C286" s="1655"/>
      <c r="D286" s="1654" t="s">
        <v>606</v>
      </c>
      <c r="E286" s="23"/>
      <c r="F286" s="23"/>
      <c r="G286" s="23"/>
      <c r="H286" s="2186"/>
      <c r="I286" s="2186"/>
      <c r="J286" s="2186"/>
      <c r="K286" s="23"/>
      <c r="L286" s="23"/>
      <c r="M286" s="23"/>
      <c r="N286" s="2186">
        <v>0</v>
      </c>
      <c r="O286" s="2186">
        <v>0</v>
      </c>
      <c r="P286" s="2186">
        <v>0</v>
      </c>
      <c r="Q286" s="23"/>
      <c r="R286" s="23"/>
      <c r="S286" s="23"/>
      <c r="T286" s="2189">
        <f t="shared" si="197"/>
        <v>0</v>
      </c>
      <c r="U286" s="2190">
        <f t="shared" si="195"/>
        <v>0</v>
      </c>
      <c r="V286" s="2191">
        <f t="shared" si="196"/>
        <v>0</v>
      </c>
      <c r="W286" s="2192">
        <f t="shared" si="198"/>
        <v>0</v>
      </c>
      <c r="X286" s="1075" t="str">
        <f t="shared" si="199"/>
        <v>1.33</v>
      </c>
      <c r="Y286" s="1075" t="str">
        <f t="shared" si="200"/>
        <v>D+</v>
      </c>
      <c r="Z286" s="1075" t="str">
        <f t="shared" si="201"/>
        <v>0</v>
      </c>
      <c r="AA286" s="2173"/>
      <c r="AB286" s="2174"/>
      <c r="AC286" s="2174"/>
      <c r="AD286" s="2174"/>
      <c r="AE286" s="2174"/>
      <c r="AF286" s="2174"/>
      <c r="AG286" s="2174"/>
      <c r="AH286" s="2174"/>
      <c r="AI286" s="2174"/>
      <c r="AJ286" s="2175"/>
      <c r="AK286" s="2175"/>
      <c r="AL286" s="2175"/>
      <c r="AM286" s="2175"/>
      <c r="AN286" s="2175"/>
      <c r="AO286" s="2175"/>
      <c r="AP286" s="2175"/>
      <c r="AQ286" s="2175"/>
      <c r="AR286" s="2176"/>
      <c r="AS286" s="1948"/>
      <c r="AT286" s="1949"/>
    </row>
    <row r="287" spans="1:46" ht="24.95" customHeight="1" x14ac:dyDescent="0.3">
      <c r="A287" s="1207"/>
      <c r="B287" s="1207"/>
      <c r="C287" s="1655"/>
      <c r="D287" s="1654" t="s">
        <v>607</v>
      </c>
      <c r="E287" s="23"/>
      <c r="F287" s="23"/>
      <c r="G287" s="23"/>
      <c r="H287" s="2186"/>
      <c r="I287" s="2186"/>
      <c r="J287" s="2186"/>
      <c r="K287" s="23"/>
      <c r="L287" s="23"/>
      <c r="M287" s="23"/>
      <c r="N287" s="2186">
        <v>0</v>
      </c>
      <c r="O287" s="2186">
        <v>0</v>
      </c>
      <c r="P287" s="2186">
        <v>0</v>
      </c>
      <c r="Q287" s="23"/>
      <c r="R287" s="23"/>
      <c r="S287" s="23"/>
      <c r="T287" s="2189">
        <f t="shared" si="197"/>
        <v>0</v>
      </c>
      <c r="U287" s="2190">
        <f t="shared" si="195"/>
        <v>0</v>
      </c>
      <c r="V287" s="2191">
        <f t="shared" si="196"/>
        <v>0</v>
      </c>
      <c r="W287" s="2192">
        <f t="shared" si="198"/>
        <v>0</v>
      </c>
      <c r="X287" s="1075" t="str">
        <f t="shared" si="199"/>
        <v>1.33</v>
      </c>
      <c r="Y287" s="1075" t="str">
        <f t="shared" si="200"/>
        <v>D+</v>
      </c>
      <c r="Z287" s="1075" t="str">
        <f t="shared" si="201"/>
        <v>0</v>
      </c>
      <c r="AA287" s="2173"/>
      <c r="AB287" s="2174"/>
      <c r="AC287" s="2174"/>
      <c r="AD287" s="2174"/>
      <c r="AE287" s="2174"/>
      <c r="AF287" s="2174"/>
      <c r="AG287" s="2174"/>
      <c r="AH287" s="2174"/>
      <c r="AI287" s="2174"/>
      <c r="AJ287" s="2175"/>
      <c r="AK287" s="2175"/>
      <c r="AL287" s="2175"/>
      <c r="AM287" s="2175"/>
      <c r="AN287" s="2175"/>
      <c r="AO287" s="2175"/>
      <c r="AP287" s="2175"/>
      <c r="AQ287" s="2175"/>
      <c r="AR287" s="2176"/>
      <c r="AS287" s="1948"/>
      <c r="AT287" s="1949"/>
    </row>
    <row r="288" spans="1:46" ht="24.95" customHeight="1" x14ac:dyDescent="0.3">
      <c r="A288" s="1656"/>
      <c r="B288" s="1207"/>
      <c r="C288" s="1655"/>
      <c r="D288" s="1654" t="s">
        <v>22</v>
      </c>
      <c r="E288" s="2187"/>
      <c r="F288" s="2187"/>
      <c r="G288" s="2187"/>
      <c r="H288" s="2188"/>
      <c r="I288" s="2186"/>
      <c r="J288" s="2186"/>
      <c r="K288" s="23"/>
      <c r="L288" s="23"/>
      <c r="M288" s="23"/>
      <c r="N288" s="2186"/>
      <c r="O288" s="2186"/>
      <c r="P288" s="2186"/>
      <c r="Q288" s="23">
        <v>0</v>
      </c>
      <c r="R288" s="23">
        <v>0</v>
      </c>
      <c r="S288" s="23">
        <v>0</v>
      </c>
      <c r="T288" s="2189">
        <f t="shared" si="197"/>
        <v>0</v>
      </c>
      <c r="U288" s="2190">
        <f t="shared" si="195"/>
        <v>0</v>
      </c>
      <c r="V288" s="2191">
        <f t="shared" si="196"/>
        <v>0</v>
      </c>
      <c r="W288" s="2192">
        <f t="shared" si="198"/>
        <v>0</v>
      </c>
      <c r="X288" s="1075" t="str">
        <f t="shared" si="199"/>
        <v>1.33</v>
      </c>
      <c r="Y288" s="1075" t="str">
        <f t="shared" si="200"/>
        <v>D+</v>
      </c>
      <c r="Z288" s="1075" t="str">
        <f t="shared" si="201"/>
        <v>0</v>
      </c>
      <c r="AA288" s="2173"/>
      <c r="AB288" s="2174"/>
      <c r="AC288" s="2174"/>
      <c r="AD288" s="2174"/>
      <c r="AE288" s="2174"/>
      <c r="AF288" s="2174"/>
      <c r="AG288" s="2174"/>
      <c r="AH288" s="2174"/>
      <c r="AI288" s="2174"/>
      <c r="AJ288" s="2175"/>
      <c r="AK288" s="2175"/>
      <c r="AL288" s="2175"/>
      <c r="AM288" s="2175"/>
      <c r="AN288" s="2175"/>
      <c r="AO288" s="2175"/>
      <c r="AP288" s="2175"/>
      <c r="AQ288" s="2175"/>
      <c r="AR288" s="2176"/>
      <c r="AS288" s="1950"/>
      <c r="AT288" s="1951"/>
    </row>
    <row r="289" spans="1:46" ht="24.95" customHeight="1" x14ac:dyDescent="0.3">
      <c r="A289" s="1236"/>
      <c r="B289" s="1237">
        <v>28</v>
      </c>
      <c r="C289" s="1658"/>
      <c r="D289" s="1236"/>
      <c r="E289" s="2650"/>
      <c r="F289" s="2651"/>
      <c r="G289" s="2651"/>
      <c r="H289" s="2651"/>
      <c r="I289" s="2652"/>
      <c r="J289" s="2109"/>
      <c r="K289" s="2109"/>
      <c r="L289" s="2109"/>
      <c r="M289" s="2109"/>
      <c r="N289" s="2109"/>
      <c r="O289" s="2109"/>
      <c r="P289" s="2109"/>
      <c r="Q289" s="2109"/>
      <c r="R289" s="2109"/>
      <c r="S289" s="2109"/>
      <c r="T289" s="2193"/>
      <c r="U289" s="2193"/>
      <c r="V289" s="2193"/>
      <c r="W289" s="2194">
        <f>IFERROR(AVERAGE(W280:W288),"  ")</f>
        <v>0</v>
      </c>
      <c r="X289" s="1454" t="str">
        <f>IF(W289&gt;85,("4"),IF(W289&gt;80,("3.66"),IF(W289&gt;75,("3.33"),IF(W289&gt;70,("3.00"),IF(W289&gt;65,("2.66"),IF(W289&gt;60,("2.33"),IF(W289&gt;55,("2"),IF(W289&gt;50,("1.66"),"1.33"))))))))</f>
        <v>1.33</v>
      </c>
      <c r="Y289" s="1454" t="str">
        <f>IF(W289&gt;85,("A"),IF(W289&gt;80,("A-"),IF(W289&gt;75,("B+"),IF(W289&gt;70,("B"),IF(W289&gt;65,("B-"),IF(W289&gt;60,("C+"),IF(W289&gt;55,("C"),IF(W289&gt;50,("C-"),"D+"))))))))</f>
        <v>D+</v>
      </c>
      <c r="Z289" s="1666"/>
      <c r="AA289" s="2182"/>
      <c r="AB289" s="2183"/>
      <c r="AC289" s="2183"/>
      <c r="AD289" s="2183"/>
      <c r="AE289" s="2183"/>
      <c r="AF289" s="2183"/>
      <c r="AG289" s="2183"/>
      <c r="AH289" s="2183"/>
      <c r="AI289" s="2183"/>
      <c r="AJ289" s="2183"/>
      <c r="AK289" s="2183"/>
      <c r="AL289" s="2183"/>
      <c r="AM289" s="2183"/>
      <c r="AN289" s="2183"/>
      <c r="AO289" s="2183"/>
      <c r="AP289" s="2183"/>
      <c r="AQ289" s="2183"/>
      <c r="AR289" s="2184"/>
      <c r="AS289" s="1952"/>
      <c r="AT289" s="1953"/>
    </row>
    <row r="290" spans="1:46" ht="24.95" customHeight="1" x14ac:dyDescent="0.3">
      <c r="A290" s="1224">
        <v>29</v>
      </c>
      <c r="B290" s="1224"/>
      <c r="C290" s="1653" t="e">
        <f>VLOOKUP(A290,data_siswa,4,FALSE)</f>
        <v>#N/A</v>
      </c>
      <c r="D290" s="1654" t="s">
        <v>603</v>
      </c>
      <c r="E290" s="1211">
        <v>0</v>
      </c>
      <c r="F290" s="1211">
        <v>0</v>
      </c>
      <c r="G290" s="1211">
        <v>0</v>
      </c>
      <c r="H290" s="2185"/>
      <c r="I290" s="2185"/>
      <c r="J290" s="2185"/>
      <c r="K290" s="1211"/>
      <c r="L290" s="1211"/>
      <c r="M290" s="1211"/>
      <c r="N290" s="2185"/>
      <c r="O290" s="2185"/>
      <c r="P290" s="2185"/>
      <c r="Q290" s="1211"/>
      <c r="R290" s="1211"/>
      <c r="S290" s="1211"/>
      <c r="T290" s="2189">
        <f>MAX(H290,K290,N290,Q290)</f>
        <v>0</v>
      </c>
      <c r="U290" s="2190">
        <f t="shared" ref="U290:U298" si="202">MAX(I290,L290,O290,R290)</f>
        <v>0</v>
      </c>
      <c r="V290" s="2191">
        <f t="shared" ref="V290:V298" si="203">MAX(J290,M290,P290,S290)</f>
        <v>0</v>
      </c>
      <c r="W290" s="2192">
        <f>IFERROR(AVERAGE(T290:V290),"")</f>
        <v>0</v>
      </c>
      <c r="X290" s="1075" t="str">
        <f>IF(W290&gt;85,("4"),IF(W290&gt;80,("3.66"),IF(W290&gt;75,("3.33"),IF(W290&gt;70,("3.00"),IF(W290&gt;65,("2.66"),IF(W290&gt;60,("2.33"),IF(W290&gt;55,("2"),IF(W290&gt;50,("1.66"),"1.33"))))))))</f>
        <v>1.33</v>
      </c>
      <c r="Y290" s="1075" t="str">
        <f>IF(W290&gt;85,("A"),IF(W290&gt;80,("A-"),IF(W290&gt;75,("B+"),IF(W290&gt;70,("B"),IF(W290&gt;65,("B-"),IF(W290&gt;60,("C+"),IF(W290&gt;55,("C"),IF(W290&gt;50,("C-"),"D+"))))))))</f>
        <v>D+</v>
      </c>
      <c r="Z290" s="1075" t="str">
        <f>IF(W290&gt;80,("SB"),IF(W290&gt;65,("B"),IF(W290&gt;50,("C"),IF(W290&gt;0,("K"),"0"))))</f>
        <v>0</v>
      </c>
      <c r="AA290" s="2180"/>
      <c r="AB290" s="2180"/>
      <c r="AC290" s="2180"/>
      <c r="AD290" s="2180"/>
      <c r="AE290" s="2180"/>
      <c r="AF290" s="2180"/>
      <c r="AG290" s="2180"/>
      <c r="AH290" s="2180"/>
      <c r="AI290" s="2180"/>
      <c r="AJ290" s="2181"/>
      <c r="AK290" s="2181"/>
      <c r="AL290" s="2181"/>
      <c r="AM290" s="2181"/>
      <c r="AN290" s="2181"/>
      <c r="AO290" s="2181"/>
      <c r="AP290" s="2181"/>
      <c r="AQ290" s="2181"/>
      <c r="AR290" s="2181"/>
      <c r="AS290" s="1910">
        <f>W299</f>
        <v>0</v>
      </c>
      <c r="AT290" s="1910" t="str">
        <f>Y299</f>
        <v>D+</v>
      </c>
    </row>
    <row r="291" spans="1:46" ht="24.95" customHeight="1" x14ac:dyDescent="0.3">
      <c r="A291" s="1207"/>
      <c r="B291" s="1207"/>
      <c r="C291" s="1655"/>
      <c r="D291" s="1654" t="s">
        <v>604</v>
      </c>
      <c r="E291" s="23">
        <v>0</v>
      </c>
      <c r="F291" s="23">
        <v>0</v>
      </c>
      <c r="G291" s="23">
        <v>0</v>
      </c>
      <c r="H291" s="2186"/>
      <c r="I291" s="2186"/>
      <c r="J291" s="2186"/>
      <c r="K291" s="23"/>
      <c r="L291" s="23"/>
      <c r="M291" s="23"/>
      <c r="N291" s="2186"/>
      <c r="O291" s="2186"/>
      <c r="P291" s="2186"/>
      <c r="Q291" s="23"/>
      <c r="R291" s="23"/>
      <c r="S291" s="23"/>
      <c r="T291" s="2189">
        <f t="shared" ref="T291:T298" si="204">MAX(H291,K291,N291,Q291)</f>
        <v>0</v>
      </c>
      <c r="U291" s="2190">
        <f t="shared" si="202"/>
        <v>0</v>
      </c>
      <c r="V291" s="2191">
        <f t="shared" si="203"/>
        <v>0</v>
      </c>
      <c r="W291" s="2192">
        <f t="shared" ref="W291:W298" si="205">IFERROR(AVERAGE(T291:V291),"")</f>
        <v>0</v>
      </c>
      <c r="X291" s="1075" t="str">
        <f t="shared" ref="X291:X298" si="206">IF(W291&gt;85,("4"),IF(W291&gt;80,("3.66"),IF(W291&gt;75,("3.33"),IF(W291&gt;70,("3.00"),IF(W291&gt;65,("2.66"),IF(W291&gt;60,("2.33"),IF(W291&gt;55,("2"),IF(W291&gt;50,("1.66"),"1.33"))))))))</f>
        <v>1.33</v>
      </c>
      <c r="Y291" s="1075" t="str">
        <f t="shared" ref="Y291:Y298" si="207">IF(W291&gt;85,("A"),IF(W291&gt;80,("A-"),IF(W291&gt;75,("B+"),IF(W291&gt;70,("B"),IF(W291&gt;65,("B-"),IF(W291&gt;60,("C+"),IF(W291&gt;55,("C"),IF(W291&gt;50,("C-"),"D+"))))))))</f>
        <v>D+</v>
      </c>
      <c r="Z291" s="1075" t="str">
        <f t="shared" ref="Z291:Z298" si="208">IF(W291&gt;80,("SB"),IF(W291&gt;65,("B"),IF(W291&gt;50,("C"),IF(W291&gt;0,("K"),"0"))))</f>
        <v>0</v>
      </c>
      <c r="AA291" s="2169"/>
      <c r="AB291" s="2170"/>
      <c r="AC291" s="2170"/>
      <c r="AD291" s="2170"/>
      <c r="AE291" s="2170"/>
      <c r="AF291" s="2170"/>
      <c r="AG291" s="2170"/>
      <c r="AH291" s="2170"/>
      <c r="AI291" s="2170"/>
      <c r="AJ291" s="2171"/>
      <c r="AK291" s="2171"/>
      <c r="AL291" s="2171"/>
      <c r="AM291" s="2171"/>
      <c r="AN291" s="2171"/>
      <c r="AO291" s="2171"/>
      <c r="AP291" s="2171"/>
      <c r="AQ291" s="2171"/>
      <c r="AR291" s="2172"/>
      <c r="AS291" s="1946"/>
      <c r="AT291" s="1947"/>
    </row>
    <row r="292" spans="1:46" ht="24.95" customHeight="1" x14ac:dyDescent="0.3">
      <c r="A292" s="1207"/>
      <c r="B292" s="1207"/>
      <c r="C292" s="1655"/>
      <c r="D292" s="1654" t="s">
        <v>605</v>
      </c>
      <c r="E292" s="23">
        <v>0</v>
      </c>
      <c r="F292" s="23">
        <v>0</v>
      </c>
      <c r="G292" s="23">
        <v>0</v>
      </c>
      <c r="H292" s="2186"/>
      <c r="I292" s="2186"/>
      <c r="J292" s="2186"/>
      <c r="K292" s="23"/>
      <c r="L292" s="23"/>
      <c r="M292" s="23"/>
      <c r="N292" s="2186"/>
      <c r="O292" s="2186"/>
      <c r="P292" s="2186"/>
      <c r="Q292" s="23"/>
      <c r="R292" s="23"/>
      <c r="S292" s="23"/>
      <c r="T292" s="2189">
        <f t="shared" si="204"/>
        <v>0</v>
      </c>
      <c r="U292" s="2190">
        <f t="shared" si="202"/>
        <v>0</v>
      </c>
      <c r="V292" s="2191">
        <f t="shared" si="203"/>
        <v>0</v>
      </c>
      <c r="W292" s="2192">
        <f t="shared" si="205"/>
        <v>0</v>
      </c>
      <c r="X292" s="1075" t="str">
        <f t="shared" si="206"/>
        <v>1.33</v>
      </c>
      <c r="Y292" s="1075" t="str">
        <f t="shared" si="207"/>
        <v>D+</v>
      </c>
      <c r="Z292" s="1075" t="str">
        <f t="shared" si="208"/>
        <v>0</v>
      </c>
      <c r="AA292" s="2173"/>
      <c r="AB292" s="2174"/>
      <c r="AC292" s="2174"/>
      <c r="AD292" s="2174"/>
      <c r="AE292" s="2174"/>
      <c r="AF292" s="2174"/>
      <c r="AG292" s="2174"/>
      <c r="AH292" s="2174"/>
      <c r="AI292" s="2174"/>
      <c r="AJ292" s="2175"/>
      <c r="AK292" s="2175"/>
      <c r="AL292" s="2175"/>
      <c r="AM292" s="2175"/>
      <c r="AN292" s="2175"/>
      <c r="AO292" s="2175"/>
      <c r="AP292" s="2175"/>
      <c r="AQ292" s="2175"/>
      <c r="AR292" s="2176"/>
      <c r="AS292" s="1948"/>
      <c r="AT292" s="1949"/>
    </row>
    <row r="293" spans="1:46" ht="24.95" customHeight="1" x14ac:dyDescent="0.3">
      <c r="A293" s="1207"/>
      <c r="B293" s="1207"/>
      <c r="C293" s="1655"/>
      <c r="D293" s="1654" t="s">
        <v>155</v>
      </c>
      <c r="E293" s="23"/>
      <c r="F293" s="23"/>
      <c r="G293" s="23"/>
      <c r="H293" s="2186">
        <v>0</v>
      </c>
      <c r="I293" s="2186">
        <v>0</v>
      </c>
      <c r="J293" s="2186">
        <v>0</v>
      </c>
      <c r="K293" s="23"/>
      <c r="L293" s="23"/>
      <c r="M293" s="23"/>
      <c r="N293" s="2186"/>
      <c r="O293" s="2186"/>
      <c r="P293" s="2186"/>
      <c r="Q293" s="23"/>
      <c r="R293" s="23"/>
      <c r="S293" s="23"/>
      <c r="T293" s="2189">
        <f t="shared" si="204"/>
        <v>0</v>
      </c>
      <c r="U293" s="2190">
        <f t="shared" si="202"/>
        <v>0</v>
      </c>
      <c r="V293" s="2191">
        <f t="shared" si="203"/>
        <v>0</v>
      </c>
      <c r="W293" s="2192">
        <f t="shared" si="205"/>
        <v>0</v>
      </c>
      <c r="X293" s="1075" t="str">
        <f t="shared" si="206"/>
        <v>1.33</v>
      </c>
      <c r="Y293" s="1075" t="str">
        <f t="shared" si="207"/>
        <v>D+</v>
      </c>
      <c r="Z293" s="1075" t="str">
        <f t="shared" si="208"/>
        <v>0</v>
      </c>
      <c r="AA293" s="2173"/>
      <c r="AB293" s="2174"/>
      <c r="AC293" s="2174"/>
      <c r="AD293" s="2174"/>
      <c r="AE293" s="2174"/>
      <c r="AF293" s="2174"/>
      <c r="AG293" s="2174"/>
      <c r="AH293" s="2174"/>
      <c r="AI293" s="2174"/>
      <c r="AJ293" s="2175"/>
      <c r="AK293" s="2175"/>
      <c r="AL293" s="2175"/>
      <c r="AM293" s="2175"/>
      <c r="AN293" s="2175"/>
      <c r="AO293" s="2175"/>
      <c r="AP293" s="2175"/>
      <c r="AQ293" s="2175"/>
      <c r="AR293" s="2176"/>
      <c r="AS293" s="1948"/>
      <c r="AT293" s="1949"/>
    </row>
    <row r="294" spans="1:46" ht="24.95" customHeight="1" x14ac:dyDescent="0.3">
      <c r="A294" s="1207"/>
      <c r="B294" s="1207"/>
      <c r="C294" s="1655"/>
      <c r="D294" s="1654" t="s">
        <v>187</v>
      </c>
      <c r="E294" s="23"/>
      <c r="F294" s="23"/>
      <c r="G294" s="23"/>
      <c r="H294" s="2186"/>
      <c r="I294" s="2186"/>
      <c r="J294" s="2186"/>
      <c r="K294" s="23">
        <v>0</v>
      </c>
      <c r="L294" s="23">
        <v>0</v>
      </c>
      <c r="M294" s="23">
        <v>0</v>
      </c>
      <c r="N294" s="2186"/>
      <c r="O294" s="2186"/>
      <c r="P294" s="2186"/>
      <c r="Q294" s="23"/>
      <c r="R294" s="23"/>
      <c r="S294" s="23"/>
      <c r="T294" s="2189">
        <f t="shared" si="204"/>
        <v>0</v>
      </c>
      <c r="U294" s="2190">
        <f t="shared" si="202"/>
        <v>0</v>
      </c>
      <c r="V294" s="2191">
        <f t="shared" si="203"/>
        <v>0</v>
      </c>
      <c r="W294" s="2192">
        <f t="shared" si="205"/>
        <v>0</v>
      </c>
      <c r="X294" s="1075" t="str">
        <f t="shared" si="206"/>
        <v>1.33</v>
      </c>
      <c r="Y294" s="1075" t="str">
        <f t="shared" si="207"/>
        <v>D+</v>
      </c>
      <c r="Z294" s="1075" t="str">
        <f t="shared" si="208"/>
        <v>0</v>
      </c>
      <c r="AA294" s="2173"/>
      <c r="AB294" s="2174"/>
      <c r="AC294" s="2174"/>
      <c r="AD294" s="2174"/>
      <c r="AE294" s="2174"/>
      <c r="AF294" s="2174"/>
      <c r="AG294" s="2174"/>
      <c r="AH294" s="2174"/>
      <c r="AI294" s="2174"/>
      <c r="AJ294" s="2175"/>
      <c r="AK294" s="2175"/>
      <c r="AL294" s="2175"/>
      <c r="AM294" s="2175"/>
      <c r="AN294" s="2175"/>
      <c r="AO294" s="2175"/>
      <c r="AP294" s="2175"/>
      <c r="AQ294" s="2175"/>
      <c r="AR294" s="2176"/>
      <c r="AS294" s="1948"/>
      <c r="AT294" s="1949"/>
    </row>
    <row r="295" spans="1:46" ht="24.95" customHeight="1" x14ac:dyDescent="0.3">
      <c r="A295" s="1207"/>
      <c r="B295" s="1207"/>
      <c r="C295" s="1655"/>
      <c r="D295" s="1654" t="s">
        <v>17</v>
      </c>
      <c r="E295" s="23"/>
      <c r="F295" s="23"/>
      <c r="G295" s="23"/>
      <c r="H295" s="2186"/>
      <c r="I295" s="2186"/>
      <c r="J295" s="2186"/>
      <c r="K295" s="23">
        <v>0</v>
      </c>
      <c r="L295" s="23">
        <v>0</v>
      </c>
      <c r="M295" s="23">
        <v>0</v>
      </c>
      <c r="N295" s="2186"/>
      <c r="O295" s="2186"/>
      <c r="P295" s="2186"/>
      <c r="Q295" s="23"/>
      <c r="R295" s="23"/>
      <c r="S295" s="23"/>
      <c r="T295" s="2189">
        <f t="shared" si="204"/>
        <v>0</v>
      </c>
      <c r="U295" s="2190">
        <f t="shared" si="202"/>
        <v>0</v>
      </c>
      <c r="V295" s="2191">
        <f t="shared" si="203"/>
        <v>0</v>
      </c>
      <c r="W295" s="2192">
        <f t="shared" si="205"/>
        <v>0</v>
      </c>
      <c r="X295" s="1075" t="str">
        <f t="shared" si="206"/>
        <v>1.33</v>
      </c>
      <c r="Y295" s="1075" t="str">
        <f t="shared" si="207"/>
        <v>D+</v>
      </c>
      <c r="Z295" s="1075" t="str">
        <f t="shared" si="208"/>
        <v>0</v>
      </c>
      <c r="AA295" s="2173"/>
      <c r="AB295" s="2174"/>
      <c r="AC295" s="2174"/>
      <c r="AD295" s="2174"/>
      <c r="AE295" s="2174"/>
      <c r="AF295" s="2174"/>
      <c r="AG295" s="2174"/>
      <c r="AH295" s="2174"/>
      <c r="AI295" s="2174"/>
      <c r="AJ295" s="2175"/>
      <c r="AK295" s="2175"/>
      <c r="AL295" s="2175"/>
      <c r="AM295" s="2175"/>
      <c r="AN295" s="2175"/>
      <c r="AO295" s="2175"/>
      <c r="AP295" s="2175"/>
      <c r="AQ295" s="2175"/>
      <c r="AR295" s="2176"/>
      <c r="AS295" s="1948"/>
      <c r="AT295" s="1949"/>
    </row>
    <row r="296" spans="1:46" ht="24.95" customHeight="1" x14ac:dyDescent="0.3">
      <c r="A296" s="1207"/>
      <c r="B296" s="1207"/>
      <c r="C296" s="1655"/>
      <c r="D296" s="1654" t="s">
        <v>606</v>
      </c>
      <c r="E296" s="23"/>
      <c r="F296" s="23"/>
      <c r="G296" s="23"/>
      <c r="H296" s="2186"/>
      <c r="I296" s="2186"/>
      <c r="J296" s="2186"/>
      <c r="K296" s="23"/>
      <c r="L296" s="23"/>
      <c r="M296" s="23"/>
      <c r="N296" s="2186">
        <v>0</v>
      </c>
      <c r="O296" s="2186">
        <v>0</v>
      </c>
      <c r="P296" s="2186">
        <v>0</v>
      </c>
      <c r="Q296" s="23"/>
      <c r="R296" s="23"/>
      <c r="S296" s="23"/>
      <c r="T296" s="2189">
        <f t="shared" si="204"/>
        <v>0</v>
      </c>
      <c r="U296" s="2190">
        <f t="shared" si="202"/>
        <v>0</v>
      </c>
      <c r="V296" s="2191">
        <f t="shared" si="203"/>
        <v>0</v>
      </c>
      <c r="W296" s="2192">
        <f t="shared" si="205"/>
        <v>0</v>
      </c>
      <c r="X296" s="1075" t="str">
        <f t="shared" si="206"/>
        <v>1.33</v>
      </c>
      <c r="Y296" s="1075" t="str">
        <f t="shared" si="207"/>
        <v>D+</v>
      </c>
      <c r="Z296" s="1075" t="str">
        <f t="shared" si="208"/>
        <v>0</v>
      </c>
      <c r="AA296" s="2173"/>
      <c r="AB296" s="2174"/>
      <c r="AC296" s="2174"/>
      <c r="AD296" s="2174"/>
      <c r="AE296" s="2174"/>
      <c r="AF296" s="2174"/>
      <c r="AG296" s="2174"/>
      <c r="AH296" s="2174"/>
      <c r="AI296" s="2174"/>
      <c r="AJ296" s="2175"/>
      <c r="AK296" s="2175"/>
      <c r="AL296" s="2175"/>
      <c r="AM296" s="2175"/>
      <c r="AN296" s="2175"/>
      <c r="AO296" s="2175"/>
      <c r="AP296" s="2175"/>
      <c r="AQ296" s="2175"/>
      <c r="AR296" s="2176"/>
      <c r="AS296" s="1948"/>
      <c r="AT296" s="1949"/>
    </row>
    <row r="297" spans="1:46" ht="24.95" customHeight="1" x14ac:dyDescent="0.3">
      <c r="A297" s="1207"/>
      <c r="B297" s="1207"/>
      <c r="C297" s="1655"/>
      <c r="D297" s="1654" t="s">
        <v>607</v>
      </c>
      <c r="E297" s="23"/>
      <c r="F297" s="23"/>
      <c r="G297" s="23"/>
      <c r="H297" s="2186"/>
      <c r="I297" s="2186"/>
      <c r="J297" s="2186"/>
      <c r="K297" s="23"/>
      <c r="L297" s="23"/>
      <c r="M297" s="23"/>
      <c r="N297" s="2186">
        <v>0</v>
      </c>
      <c r="O297" s="2186">
        <v>0</v>
      </c>
      <c r="P297" s="2186">
        <v>0</v>
      </c>
      <c r="Q297" s="23"/>
      <c r="R297" s="23"/>
      <c r="S297" s="23"/>
      <c r="T297" s="2189">
        <f t="shared" si="204"/>
        <v>0</v>
      </c>
      <c r="U297" s="2190">
        <f t="shared" si="202"/>
        <v>0</v>
      </c>
      <c r="V297" s="2191">
        <f t="shared" si="203"/>
        <v>0</v>
      </c>
      <c r="W297" s="2192">
        <f t="shared" si="205"/>
        <v>0</v>
      </c>
      <c r="X297" s="1075" t="str">
        <f t="shared" si="206"/>
        <v>1.33</v>
      </c>
      <c r="Y297" s="1075" t="str">
        <f t="shared" si="207"/>
        <v>D+</v>
      </c>
      <c r="Z297" s="1075" t="str">
        <f t="shared" si="208"/>
        <v>0</v>
      </c>
      <c r="AA297" s="2173"/>
      <c r="AB297" s="2174"/>
      <c r="AC297" s="2174"/>
      <c r="AD297" s="2174"/>
      <c r="AE297" s="2174"/>
      <c r="AF297" s="2174"/>
      <c r="AG297" s="2174"/>
      <c r="AH297" s="2174"/>
      <c r="AI297" s="2174"/>
      <c r="AJ297" s="2175"/>
      <c r="AK297" s="2175"/>
      <c r="AL297" s="2175"/>
      <c r="AM297" s="2175"/>
      <c r="AN297" s="2175"/>
      <c r="AO297" s="2175"/>
      <c r="AP297" s="2175"/>
      <c r="AQ297" s="2175"/>
      <c r="AR297" s="2176"/>
      <c r="AS297" s="1948"/>
      <c r="AT297" s="1949"/>
    </row>
    <row r="298" spans="1:46" ht="24.95" customHeight="1" x14ac:dyDescent="0.3">
      <c r="A298" s="1656"/>
      <c r="B298" s="1207"/>
      <c r="C298" s="1655"/>
      <c r="D298" s="1654" t="s">
        <v>22</v>
      </c>
      <c r="E298" s="2187"/>
      <c r="F298" s="2187"/>
      <c r="G298" s="2187"/>
      <c r="H298" s="2188"/>
      <c r="I298" s="2186"/>
      <c r="J298" s="2186"/>
      <c r="K298" s="23"/>
      <c r="L298" s="23"/>
      <c r="M298" s="23"/>
      <c r="N298" s="2186"/>
      <c r="O298" s="2186"/>
      <c r="P298" s="2186"/>
      <c r="Q298" s="23">
        <v>0</v>
      </c>
      <c r="R298" s="23">
        <v>0</v>
      </c>
      <c r="S298" s="23">
        <v>0</v>
      </c>
      <c r="T298" s="2189">
        <f t="shared" si="204"/>
        <v>0</v>
      </c>
      <c r="U298" s="2190">
        <f t="shared" si="202"/>
        <v>0</v>
      </c>
      <c r="V298" s="2191">
        <f t="shared" si="203"/>
        <v>0</v>
      </c>
      <c r="W298" s="2192">
        <f t="shared" si="205"/>
        <v>0</v>
      </c>
      <c r="X298" s="1075" t="str">
        <f t="shared" si="206"/>
        <v>1.33</v>
      </c>
      <c r="Y298" s="1075" t="str">
        <f t="shared" si="207"/>
        <v>D+</v>
      </c>
      <c r="Z298" s="1075" t="str">
        <f t="shared" si="208"/>
        <v>0</v>
      </c>
      <c r="AA298" s="2173"/>
      <c r="AB298" s="2174"/>
      <c r="AC298" s="2174"/>
      <c r="AD298" s="2174"/>
      <c r="AE298" s="2174"/>
      <c r="AF298" s="2174"/>
      <c r="AG298" s="2174"/>
      <c r="AH298" s="2174"/>
      <c r="AI298" s="2174"/>
      <c r="AJ298" s="2175"/>
      <c r="AK298" s="2175"/>
      <c r="AL298" s="2175"/>
      <c r="AM298" s="2175"/>
      <c r="AN298" s="2175"/>
      <c r="AO298" s="2175"/>
      <c r="AP298" s="2175"/>
      <c r="AQ298" s="2175"/>
      <c r="AR298" s="2176"/>
      <c r="AS298" s="1950"/>
      <c r="AT298" s="1951"/>
    </row>
    <row r="299" spans="1:46" ht="24.95" customHeight="1" x14ac:dyDescent="0.3">
      <c r="A299" s="1236"/>
      <c r="B299" s="1237">
        <v>29</v>
      </c>
      <c r="C299" s="1658"/>
      <c r="D299" s="1236"/>
      <c r="E299" s="2650"/>
      <c r="F299" s="2651"/>
      <c r="G299" s="2651"/>
      <c r="H299" s="2651"/>
      <c r="I299" s="2652"/>
      <c r="J299" s="2109"/>
      <c r="K299" s="2109"/>
      <c r="L299" s="2109"/>
      <c r="M299" s="2109"/>
      <c r="N299" s="2109"/>
      <c r="O299" s="2109"/>
      <c r="P299" s="2109"/>
      <c r="Q299" s="2109"/>
      <c r="R299" s="2109"/>
      <c r="S299" s="2109"/>
      <c r="T299" s="2193"/>
      <c r="U299" s="2193"/>
      <c r="V299" s="2193"/>
      <c r="W299" s="2194">
        <f>IFERROR(AVERAGE(W290:W298),"  ")</f>
        <v>0</v>
      </c>
      <c r="X299" s="1454" t="str">
        <f>IF(W299&gt;85,("4"),IF(W299&gt;80,("3.66"),IF(W299&gt;75,("3.33"),IF(W299&gt;70,("3.00"),IF(W299&gt;65,("2.66"),IF(W299&gt;60,("2.33"),IF(W299&gt;55,("2"),IF(W299&gt;50,("1.66"),"1.33"))))))))</f>
        <v>1.33</v>
      </c>
      <c r="Y299" s="1454" t="str">
        <f>IF(W299&gt;85,("A"),IF(W299&gt;80,("A-"),IF(W299&gt;75,("B+"),IF(W299&gt;70,("B"),IF(W299&gt;65,("B-"),IF(W299&gt;60,("C+"),IF(W299&gt;55,("C"),IF(W299&gt;50,("C-"),"D+"))))))))</f>
        <v>D+</v>
      </c>
      <c r="Z299" s="1666"/>
      <c r="AA299" s="2182"/>
      <c r="AB299" s="2183"/>
      <c r="AC299" s="2183"/>
      <c r="AD299" s="2183"/>
      <c r="AE299" s="2183"/>
      <c r="AF299" s="2183"/>
      <c r="AG299" s="2183"/>
      <c r="AH299" s="2183"/>
      <c r="AI299" s="2183"/>
      <c r="AJ299" s="2183"/>
      <c r="AK299" s="2183"/>
      <c r="AL299" s="2183"/>
      <c r="AM299" s="2183"/>
      <c r="AN299" s="2183"/>
      <c r="AO299" s="2183"/>
      <c r="AP299" s="2183"/>
      <c r="AQ299" s="2183"/>
      <c r="AR299" s="2184"/>
      <c r="AS299" s="1952"/>
      <c r="AT299" s="1953"/>
    </row>
    <row r="300" spans="1:46" ht="24.95" customHeight="1" x14ac:dyDescent="0.3">
      <c r="A300" s="1224">
        <v>30</v>
      </c>
      <c r="B300" s="1224"/>
      <c r="C300" s="1653" t="e">
        <f>VLOOKUP(A300,data_siswa,4,FALSE)</f>
        <v>#N/A</v>
      </c>
      <c r="D300" s="1654" t="s">
        <v>603</v>
      </c>
      <c r="E300" s="1211">
        <v>0</v>
      </c>
      <c r="F300" s="1211">
        <v>0</v>
      </c>
      <c r="G300" s="1211">
        <v>0</v>
      </c>
      <c r="H300" s="2185"/>
      <c r="I300" s="2185"/>
      <c r="J300" s="2185"/>
      <c r="K300" s="1211"/>
      <c r="L300" s="1211"/>
      <c r="M300" s="1211"/>
      <c r="N300" s="2185"/>
      <c r="O300" s="2185"/>
      <c r="P300" s="2185"/>
      <c r="Q300" s="1211"/>
      <c r="R300" s="1211"/>
      <c r="S300" s="1211"/>
      <c r="T300" s="2189">
        <f>MAX(H300,K300,N300,Q300)</f>
        <v>0</v>
      </c>
      <c r="U300" s="2190">
        <f t="shared" ref="U300:U308" si="209">MAX(I300,L300,O300,R300)</f>
        <v>0</v>
      </c>
      <c r="V300" s="2191">
        <f t="shared" ref="V300:V308" si="210">MAX(J300,M300,P300,S300)</f>
        <v>0</v>
      </c>
      <c r="W300" s="2192">
        <f>IFERROR(AVERAGE(T300:V300),"")</f>
        <v>0</v>
      </c>
      <c r="X300" s="1075" t="str">
        <f>IF(W300&gt;85,("4"),IF(W300&gt;80,("3.66"),IF(W300&gt;75,("3.33"),IF(W300&gt;70,("3.00"),IF(W300&gt;65,("2.66"),IF(W300&gt;60,("2.33"),IF(W300&gt;55,("2"),IF(W300&gt;50,("1.66"),"1.33"))))))))</f>
        <v>1.33</v>
      </c>
      <c r="Y300" s="1075" t="str">
        <f>IF(W300&gt;85,("A"),IF(W300&gt;80,("A-"),IF(W300&gt;75,("B+"),IF(W300&gt;70,("B"),IF(W300&gt;65,("B-"),IF(W300&gt;60,("C+"),IF(W300&gt;55,("C"),IF(W300&gt;50,("C-"),"D+"))))))))</f>
        <v>D+</v>
      </c>
      <c r="Z300" s="1075" t="str">
        <f>IF(W300&gt;80,("SB"),IF(W300&gt;65,("B"),IF(W300&gt;50,("C"),IF(W300&gt;0,("K"),"0"))))</f>
        <v>0</v>
      </c>
      <c r="AA300" s="2180"/>
      <c r="AB300" s="2180"/>
      <c r="AC300" s="2180"/>
      <c r="AD300" s="2180"/>
      <c r="AE300" s="2180"/>
      <c r="AF300" s="2180"/>
      <c r="AG300" s="2180"/>
      <c r="AH300" s="2180"/>
      <c r="AI300" s="2180"/>
      <c r="AJ300" s="2181"/>
      <c r="AK300" s="2181"/>
      <c r="AL300" s="2181"/>
      <c r="AM300" s="2181"/>
      <c r="AN300" s="2181"/>
      <c r="AO300" s="2181"/>
      <c r="AP300" s="2181"/>
      <c r="AQ300" s="2181"/>
      <c r="AR300" s="2181"/>
      <c r="AS300" s="1910">
        <f>W309</f>
        <v>0</v>
      </c>
      <c r="AT300" s="1910" t="str">
        <f>Y309</f>
        <v>D+</v>
      </c>
    </row>
    <row r="301" spans="1:46" ht="24.95" customHeight="1" x14ac:dyDescent="0.3">
      <c r="A301" s="1207"/>
      <c r="B301" s="1207"/>
      <c r="C301" s="1655"/>
      <c r="D301" s="1654" t="s">
        <v>604</v>
      </c>
      <c r="E301" s="23">
        <v>0</v>
      </c>
      <c r="F301" s="23">
        <v>0</v>
      </c>
      <c r="G301" s="23">
        <v>0</v>
      </c>
      <c r="H301" s="2186"/>
      <c r="I301" s="2186"/>
      <c r="J301" s="2186"/>
      <c r="K301" s="23"/>
      <c r="L301" s="23"/>
      <c r="M301" s="23"/>
      <c r="N301" s="2186"/>
      <c r="O301" s="2186"/>
      <c r="P301" s="2186"/>
      <c r="Q301" s="23"/>
      <c r="R301" s="23"/>
      <c r="S301" s="23"/>
      <c r="T301" s="2189">
        <f t="shared" ref="T301:T308" si="211">MAX(H301,K301,N301,Q301)</f>
        <v>0</v>
      </c>
      <c r="U301" s="2190">
        <f t="shared" si="209"/>
        <v>0</v>
      </c>
      <c r="V301" s="2191">
        <f t="shared" si="210"/>
        <v>0</v>
      </c>
      <c r="W301" s="2192">
        <f t="shared" ref="W301:W308" si="212">IFERROR(AVERAGE(T301:V301),"")</f>
        <v>0</v>
      </c>
      <c r="X301" s="1075" t="str">
        <f t="shared" ref="X301:X308" si="213">IF(W301&gt;85,("4"),IF(W301&gt;80,("3.66"),IF(W301&gt;75,("3.33"),IF(W301&gt;70,("3.00"),IF(W301&gt;65,("2.66"),IF(W301&gt;60,("2.33"),IF(W301&gt;55,("2"),IF(W301&gt;50,("1.66"),"1.33"))))))))</f>
        <v>1.33</v>
      </c>
      <c r="Y301" s="1075" t="str">
        <f t="shared" ref="Y301:Y308" si="214">IF(W301&gt;85,("A"),IF(W301&gt;80,("A-"),IF(W301&gt;75,("B+"),IF(W301&gt;70,("B"),IF(W301&gt;65,("B-"),IF(W301&gt;60,("C+"),IF(W301&gt;55,("C"),IF(W301&gt;50,("C-"),"D+"))))))))</f>
        <v>D+</v>
      </c>
      <c r="Z301" s="1075" t="str">
        <f t="shared" ref="Z301:Z308" si="215">IF(W301&gt;80,("SB"),IF(W301&gt;65,("B"),IF(W301&gt;50,("C"),IF(W301&gt;0,("K"),"0"))))</f>
        <v>0</v>
      </c>
      <c r="AA301" s="2169"/>
      <c r="AB301" s="2170"/>
      <c r="AC301" s="2170"/>
      <c r="AD301" s="2170"/>
      <c r="AE301" s="2170"/>
      <c r="AF301" s="2170"/>
      <c r="AG301" s="2170"/>
      <c r="AH301" s="2170"/>
      <c r="AI301" s="2170"/>
      <c r="AJ301" s="2171"/>
      <c r="AK301" s="2171"/>
      <c r="AL301" s="2171"/>
      <c r="AM301" s="2171"/>
      <c r="AN301" s="2171"/>
      <c r="AO301" s="2171"/>
      <c r="AP301" s="2171"/>
      <c r="AQ301" s="2171"/>
      <c r="AR301" s="2172"/>
      <c r="AS301" s="1946"/>
      <c r="AT301" s="1947"/>
    </row>
    <row r="302" spans="1:46" ht="24.95" customHeight="1" x14ac:dyDescent="0.3">
      <c r="A302" s="1207"/>
      <c r="B302" s="1207"/>
      <c r="C302" s="1655"/>
      <c r="D302" s="1654" t="s">
        <v>605</v>
      </c>
      <c r="E302" s="23">
        <v>0</v>
      </c>
      <c r="F302" s="23">
        <v>0</v>
      </c>
      <c r="G302" s="23">
        <v>0</v>
      </c>
      <c r="H302" s="2186"/>
      <c r="I302" s="2186"/>
      <c r="J302" s="2186"/>
      <c r="K302" s="23"/>
      <c r="L302" s="23"/>
      <c r="M302" s="23"/>
      <c r="N302" s="2186"/>
      <c r="O302" s="2186"/>
      <c r="P302" s="2186"/>
      <c r="Q302" s="23"/>
      <c r="R302" s="23"/>
      <c r="S302" s="23"/>
      <c r="T302" s="2189">
        <f t="shared" si="211"/>
        <v>0</v>
      </c>
      <c r="U302" s="2190">
        <f t="shared" si="209"/>
        <v>0</v>
      </c>
      <c r="V302" s="2191">
        <f t="shared" si="210"/>
        <v>0</v>
      </c>
      <c r="W302" s="2192">
        <f t="shared" si="212"/>
        <v>0</v>
      </c>
      <c r="X302" s="1075" t="str">
        <f t="shared" si="213"/>
        <v>1.33</v>
      </c>
      <c r="Y302" s="1075" t="str">
        <f t="shared" si="214"/>
        <v>D+</v>
      </c>
      <c r="Z302" s="1075" t="str">
        <f t="shared" si="215"/>
        <v>0</v>
      </c>
      <c r="AA302" s="2173"/>
      <c r="AB302" s="2174"/>
      <c r="AC302" s="2174"/>
      <c r="AD302" s="2174"/>
      <c r="AE302" s="2174"/>
      <c r="AF302" s="2174"/>
      <c r="AG302" s="2174"/>
      <c r="AH302" s="2174"/>
      <c r="AI302" s="2174"/>
      <c r="AJ302" s="2175"/>
      <c r="AK302" s="2175"/>
      <c r="AL302" s="2175"/>
      <c r="AM302" s="2175"/>
      <c r="AN302" s="2175"/>
      <c r="AO302" s="2175"/>
      <c r="AP302" s="2175"/>
      <c r="AQ302" s="2175"/>
      <c r="AR302" s="2176"/>
      <c r="AS302" s="1948"/>
      <c r="AT302" s="1949"/>
    </row>
    <row r="303" spans="1:46" ht="24.95" customHeight="1" x14ac:dyDescent="0.3">
      <c r="A303" s="1207"/>
      <c r="B303" s="1207"/>
      <c r="C303" s="1655"/>
      <c r="D303" s="1654" t="s">
        <v>155</v>
      </c>
      <c r="E303" s="23"/>
      <c r="F303" s="23"/>
      <c r="G303" s="23"/>
      <c r="H303" s="2186">
        <v>0</v>
      </c>
      <c r="I303" s="2186">
        <v>0</v>
      </c>
      <c r="J303" s="2186">
        <v>0</v>
      </c>
      <c r="K303" s="23"/>
      <c r="L303" s="23"/>
      <c r="M303" s="23"/>
      <c r="N303" s="2186"/>
      <c r="O303" s="2186"/>
      <c r="P303" s="2186"/>
      <c r="Q303" s="23"/>
      <c r="R303" s="23"/>
      <c r="S303" s="23"/>
      <c r="T303" s="2189">
        <f t="shared" si="211"/>
        <v>0</v>
      </c>
      <c r="U303" s="2190">
        <f t="shared" si="209"/>
        <v>0</v>
      </c>
      <c r="V303" s="2191">
        <f t="shared" si="210"/>
        <v>0</v>
      </c>
      <c r="W303" s="2192">
        <f t="shared" si="212"/>
        <v>0</v>
      </c>
      <c r="X303" s="1075" t="str">
        <f t="shared" si="213"/>
        <v>1.33</v>
      </c>
      <c r="Y303" s="1075" t="str">
        <f t="shared" si="214"/>
        <v>D+</v>
      </c>
      <c r="Z303" s="1075" t="str">
        <f t="shared" si="215"/>
        <v>0</v>
      </c>
      <c r="AA303" s="2173"/>
      <c r="AB303" s="2174"/>
      <c r="AC303" s="2174"/>
      <c r="AD303" s="2174"/>
      <c r="AE303" s="2174"/>
      <c r="AF303" s="2174"/>
      <c r="AG303" s="2174"/>
      <c r="AH303" s="2174"/>
      <c r="AI303" s="2174"/>
      <c r="AJ303" s="2175"/>
      <c r="AK303" s="2175"/>
      <c r="AL303" s="2175"/>
      <c r="AM303" s="2175"/>
      <c r="AN303" s="2175"/>
      <c r="AO303" s="2175"/>
      <c r="AP303" s="2175"/>
      <c r="AQ303" s="2175"/>
      <c r="AR303" s="2176"/>
      <c r="AS303" s="1948"/>
      <c r="AT303" s="1949"/>
    </row>
    <row r="304" spans="1:46" ht="24.95" customHeight="1" x14ac:dyDescent="0.3">
      <c r="A304" s="1207"/>
      <c r="B304" s="1207"/>
      <c r="C304" s="1655"/>
      <c r="D304" s="1654" t="s">
        <v>187</v>
      </c>
      <c r="E304" s="23"/>
      <c r="F304" s="23"/>
      <c r="G304" s="23"/>
      <c r="H304" s="2186"/>
      <c r="I304" s="2186"/>
      <c r="J304" s="2186"/>
      <c r="K304" s="23">
        <v>0</v>
      </c>
      <c r="L304" s="23">
        <v>0</v>
      </c>
      <c r="M304" s="23">
        <v>0</v>
      </c>
      <c r="N304" s="2186"/>
      <c r="O304" s="2186"/>
      <c r="P304" s="2186"/>
      <c r="Q304" s="23"/>
      <c r="R304" s="23"/>
      <c r="S304" s="23"/>
      <c r="T304" s="2189">
        <f t="shared" si="211"/>
        <v>0</v>
      </c>
      <c r="U304" s="2190">
        <f t="shared" si="209"/>
        <v>0</v>
      </c>
      <c r="V304" s="2191">
        <f t="shared" si="210"/>
        <v>0</v>
      </c>
      <c r="W304" s="2192">
        <f t="shared" si="212"/>
        <v>0</v>
      </c>
      <c r="X304" s="1075" t="str">
        <f t="shared" si="213"/>
        <v>1.33</v>
      </c>
      <c r="Y304" s="1075" t="str">
        <f t="shared" si="214"/>
        <v>D+</v>
      </c>
      <c r="Z304" s="1075" t="str">
        <f t="shared" si="215"/>
        <v>0</v>
      </c>
      <c r="AA304" s="2173"/>
      <c r="AB304" s="2174"/>
      <c r="AC304" s="2174"/>
      <c r="AD304" s="2174"/>
      <c r="AE304" s="2174"/>
      <c r="AF304" s="2174"/>
      <c r="AG304" s="2174"/>
      <c r="AH304" s="2174"/>
      <c r="AI304" s="2174"/>
      <c r="AJ304" s="2175"/>
      <c r="AK304" s="2175"/>
      <c r="AL304" s="2175"/>
      <c r="AM304" s="2175"/>
      <c r="AN304" s="2175"/>
      <c r="AO304" s="2175"/>
      <c r="AP304" s="2175"/>
      <c r="AQ304" s="2175"/>
      <c r="AR304" s="2176"/>
      <c r="AS304" s="1948"/>
      <c r="AT304" s="1949"/>
    </row>
    <row r="305" spans="1:46" ht="24.95" customHeight="1" x14ac:dyDescent="0.3">
      <c r="A305" s="1207"/>
      <c r="B305" s="1207"/>
      <c r="C305" s="1655"/>
      <c r="D305" s="1654" t="s">
        <v>17</v>
      </c>
      <c r="E305" s="23"/>
      <c r="F305" s="23"/>
      <c r="G305" s="23"/>
      <c r="H305" s="2186"/>
      <c r="I305" s="2186"/>
      <c r="J305" s="2186"/>
      <c r="K305" s="23">
        <v>0</v>
      </c>
      <c r="L305" s="23">
        <v>0</v>
      </c>
      <c r="M305" s="23">
        <v>0</v>
      </c>
      <c r="N305" s="2186"/>
      <c r="O305" s="2186"/>
      <c r="P305" s="2186"/>
      <c r="Q305" s="23"/>
      <c r="R305" s="23"/>
      <c r="S305" s="23"/>
      <c r="T305" s="2189">
        <f t="shared" si="211"/>
        <v>0</v>
      </c>
      <c r="U305" s="2190">
        <f t="shared" si="209"/>
        <v>0</v>
      </c>
      <c r="V305" s="2191">
        <f t="shared" si="210"/>
        <v>0</v>
      </c>
      <c r="W305" s="2192">
        <f t="shared" si="212"/>
        <v>0</v>
      </c>
      <c r="X305" s="1075" t="str">
        <f t="shared" si="213"/>
        <v>1.33</v>
      </c>
      <c r="Y305" s="1075" t="str">
        <f t="shared" si="214"/>
        <v>D+</v>
      </c>
      <c r="Z305" s="1075" t="str">
        <f t="shared" si="215"/>
        <v>0</v>
      </c>
      <c r="AA305" s="2173"/>
      <c r="AB305" s="2174"/>
      <c r="AC305" s="2174"/>
      <c r="AD305" s="2174"/>
      <c r="AE305" s="2174"/>
      <c r="AF305" s="2174"/>
      <c r="AG305" s="2174"/>
      <c r="AH305" s="2174"/>
      <c r="AI305" s="2174"/>
      <c r="AJ305" s="2175"/>
      <c r="AK305" s="2175"/>
      <c r="AL305" s="2175"/>
      <c r="AM305" s="2175"/>
      <c r="AN305" s="2175"/>
      <c r="AO305" s="2175"/>
      <c r="AP305" s="2175"/>
      <c r="AQ305" s="2175"/>
      <c r="AR305" s="2176"/>
      <c r="AS305" s="1948"/>
      <c r="AT305" s="1949"/>
    </row>
    <row r="306" spans="1:46" ht="24.95" customHeight="1" x14ac:dyDescent="0.3">
      <c r="A306" s="1207"/>
      <c r="B306" s="1207"/>
      <c r="C306" s="1655"/>
      <c r="D306" s="1654" t="s">
        <v>606</v>
      </c>
      <c r="E306" s="23"/>
      <c r="F306" s="23"/>
      <c r="G306" s="23"/>
      <c r="H306" s="2186"/>
      <c r="I306" s="2186"/>
      <c r="J306" s="2186"/>
      <c r="K306" s="23"/>
      <c r="L306" s="23"/>
      <c r="M306" s="23"/>
      <c r="N306" s="2186">
        <v>0</v>
      </c>
      <c r="O306" s="2186">
        <v>0</v>
      </c>
      <c r="P306" s="2186">
        <v>0</v>
      </c>
      <c r="Q306" s="23"/>
      <c r="R306" s="23"/>
      <c r="S306" s="23"/>
      <c r="T306" s="2189">
        <f t="shared" si="211"/>
        <v>0</v>
      </c>
      <c r="U306" s="2190">
        <f t="shared" si="209"/>
        <v>0</v>
      </c>
      <c r="V306" s="2191">
        <f t="shared" si="210"/>
        <v>0</v>
      </c>
      <c r="W306" s="2192">
        <f t="shared" si="212"/>
        <v>0</v>
      </c>
      <c r="X306" s="1075" t="str">
        <f t="shared" si="213"/>
        <v>1.33</v>
      </c>
      <c r="Y306" s="1075" t="str">
        <f t="shared" si="214"/>
        <v>D+</v>
      </c>
      <c r="Z306" s="1075" t="str">
        <f t="shared" si="215"/>
        <v>0</v>
      </c>
      <c r="AA306" s="2173"/>
      <c r="AB306" s="2174"/>
      <c r="AC306" s="2174"/>
      <c r="AD306" s="2174"/>
      <c r="AE306" s="2174"/>
      <c r="AF306" s="2174"/>
      <c r="AG306" s="2174"/>
      <c r="AH306" s="2174"/>
      <c r="AI306" s="2174"/>
      <c r="AJ306" s="2175"/>
      <c r="AK306" s="2175"/>
      <c r="AL306" s="2175"/>
      <c r="AM306" s="2175"/>
      <c r="AN306" s="2175"/>
      <c r="AO306" s="2175"/>
      <c r="AP306" s="2175"/>
      <c r="AQ306" s="2175"/>
      <c r="AR306" s="2176"/>
      <c r="AS306" s="1948"/>
      <c r="AT306" s="1949"/>
    </row>
    <row r="307" spans="1:46" ht="24.95" customHeight="1" x14ac:dyDescent="0.3">
      <c r="A307" s="1207"/>
      <c r="B307" s="1207"/>
      <c r="C307" s="1655"/>
      <c r="D307" s="1654" t="s">
        <v>607</v>
      </c>
      <c r="E307" s="23"/>
      <c r="F307" s="23"/>
      <c r="G307" s="23"/>
      <c r="H307" s="2186"/>
      <c r="I307" s="2186"/>
      <c r="J307" s="2186"/>
      <c r="K307" s="23"/>
      <c r="L307" s="23"/>
      <c r="M307" s="23"/>
      <c r="N307" s="2186">
        <v>0</v>
      </c>
      <c r="O307" s="2186">
        <v>0</v>
      </c>
      <c r="P307" s="2186">
        <v>0</v>
      </c>
      <c r="Q307" s="23"/>
      <c r="R307" s="23"/>
      <c r="S307" s="23"/>
      <c r="T307" s="2189">
        <f t="shared" si="211"/>
        <v>0</v>
      </c>
      <c r="U307" s="2190">
        <f t="shared" si="209"/>
        <v>0</v>
      </c>
      <c r="V307" s="2191">
        <f t="shared" si="210"/>
        <v>0</v>
      </c>
      <c r="W307" s="2192">
        <f t="shared" si="212"/>
        <v>0</v>
      </c>
      <c r="X307" s="1075" t="str">
        <f t="shared" si="213"/>
        <v>1.33</v>
      </c>
      <c r="Y307" s="1075" t="str">
        <f t="shared" si="214"/>
        <v>D+</v>
      </c>
      <c r="Z307" s="1075" t="str">
        <f t="shared" si="215"/>
        <v>0</v>
      </c>
      <c r="AA307" s="2173"/>
      <c r="AB307" s="2174"/>
      <c r="AC307" s="2174"/>
      <c r="AD307" s="2174"/>
      <c r="AE307" s="2174"/>
      <c r="AF307" s="2174"/>
      <c r="AG307" s="2174"/>
      <c r="AH307" s="2174"/>
      <c r="AI307" s="2174"/>
      <c r="AJ307" s="2175"/>
      <c r="AK307" s="2175"/>
      <c r="AL307" s="2175"/>
      <c r="AM307" s="2175"/>
      <c r="AN307" s="2175"/>
      <c r="AO307" s="2175"/>
      <c r="AP307" s="2175"/>
      <c r="AQ307" s="2175"/>
      <c r="AR307" s="2176"/>
      <c r="AS307" s="1948"/>
      <c r="AT307" s="1949"/>
    </row>
    <row r="308" spans="1:46" ht="24.95" customHeight="1" x14ac:dyDescent="0.3">
      <c r="A308" s="1656"/>
      <c r="B308" s="1207"/>
      <c r="C308" s="1655"/>
      <c r="D308" s="1654" t="s">
        <v>22</v>
      </c>
      <c r="E308" s="2187"/>
      <c r="F308" s="2187"/>
      <c r="G308" s="2187"/>
      <c r="H308" s="2188"/>
      <c r="I308" s="2186"/>
      <c r="J308" s="2186"/>
      <c r="K308" s="23"/>
      <c r="L308" s="23"/>
      <c r="M308" s="23"/>
      <c r="N308" s="2186"/>
      <c r="O308" s="2186"/>
      <c r="P308" s="2186"/>
      <c r="Q308" s="23">
        <v>0</v>
      </c>
      <c r="R308" s="23">
        <v>0</v>
      </c>
      <c r="S308" s="23">
        <v>0</v>
      </c>
      <c r="T308" s="2189">
        <f t="shared" si="211"/>
        <v>0</v>
      </c>
      <c r="U308" s="2190">
        <f t="shared" si="209"/>
        <v>0</v>
      </c>
      <c r="V308" s="2191">
        <f t="shared" si="210"/>
        <v>0</v>
      </c>
      <c r="W308" s="2192">
        <f t="shared" si="212"/>
        <v>0</v>
      </c>
      <c r="X308" s="1075" t="str">
        <f t="shared" si="213"/>
        <v>1.33</v>
      </c>
      <c r="Y308" s="1075" t="str">
        <f t="shared" si="214"/>
        <v>D+</v>
      </c>
      <c r="Z308" s="1075" t="str">
        <f t="shared" si="215"/>
        <v>0</v>
      </c>
      <c r="AA308" s="2173"/>
      <c r="AB308" s="2174"/>
      <c r="AC308" s="2174"/>
      <c r="AD308" s="2174"/>
      <c r="AE308" s="2174"/>
      <c r="AF308" s="2174"/>
      <c r="AG308" s="2174"/>
      <c r="AH308" s="2174"/>
      <c r="AI308" s="2174"/>
      <c r="AJ308" s="2175"/>
      <c r="AK308" s="2175"/>
      <c r="AL308" s="2175"/>
      <c r="AM308" s="2175"/>
      <c r="AN308" s="2175"/>
      <c r="AO308" s="2175"/>
      <c r="AP308" s="2175"/>
      <c r="AQ308" s="2175"/>
      <c r="AR308" s="2176"/>
      <c r="AS308" s="1950"/>
      <c r="AT308" s="1951"/>
    </row>
    <row r="309" spans="1:46" ht="24.95" customHeight="1" x14ac:dyDescent="0.3">
      <c r="A309" s="1236"/>
      <c r="B309" s="1237">
        <v>30</v>
      </c>
      <c r="C309" s="1658"/>
      <c r="D309" s="1236"/>
      <c r="E309" s="2650"/>
      <c r="F309" s="2651"/>
      <c r="G309" s="2651"/>
      <c r="H309" s="2651"/>
      <c r="I309" s="2652"/>
      <c r="J309" s="2109"/>
      <c r="K309" s="2109"/>
      <c r="L309" s="2109"/>
      <c r="M309" s="2109"/>
      <c r="N309" s="2109"/>
      <c r="O309" s="2109"/>
      <c r="P309" s="2109"/>
      <c r="Q309" s="2109"/>
      <c r="R309" s="2109"/>
      <c r="S309" s="2109"/>
      <c r="T309" s="2193"/>
      <c r="U309" s="2193"/>
      <c r="V309" s="2193"/>
      <c r="W309" s="2194">
        <f>IFERROR(AVERAGE(W300:W308),"  ")</f>
        <v>0</v>
      </c>
      <c r="X309" s="1454" t="str">
        <f>IF(W309&gt;85,("4"),IF(W309&gt;80,("3.66"),IF(W309&gt;75,("3.33"),IF(W309&gt;70,("3.00"),IF(W309&gt;65,("2.66"),IF(W309&gt;60,("2.33"),IF(W309&gt;55,("2"),IF(W309&gt;50,("1.66"),"1.33"))))))))</f>
        <v>1.33</v>
      </c>
      <c r="Y309" s="1454" t="str">
        <f>IF(W309&gt;85,("A"),IF(W309&gt;80,("A-"),IF(W309&gt;75,("B+"),IF(W309&gt;70,("B"),IF(W309&gt;65,("B-"),IF(W309&gt;60,("C+"),IF(W309&gt;55,("C"),IF(W309&gt;50,("C-"),"D+"))))))))</f>
        <v>D+</v>
      </c>
      <c r="Z309" s="1666"/>
      <c r="AA309" s="2182"/>
      <c r="AB309" s="2183"/>
      <c r="AC309" s="2183"/>
      <c r="AD309" s="2183"/>
      <c r="AE309" s="2183"/>
      <c r="AF309" s="2183"/>
      <c r="AG309" s="2183"/>
      <c r="AH309" s="2183"/>
      <c r="AI309" s="2183"/>
      <c r="AJ309" s="2183"/>
      <c r="AK309" s="2183"/>
      <c r="AL309" s="2183"/>
      <c r="AM309" s="2183"/>
      <c r="AN309" s="2183"/>
      <c r="AO309" s="2183"/>
      <c r="AP309" s="2183"/>
      <c r="AQ309" s="2183"/>
      <c r="AR309" s="2184"/>
      <c r="AS309" s="1952"/>
      <c r="AT309" s="1953"/>
    </row>
    <row r="310" spans="1:46" ht="24.95" customHeight="1" x14ac:dyDescent="0.3">
      <c r="A310" s="1224">
        <v>31</v>
      </c>
      <c r="B310" s="1224"/>
      <c r="C310" s="1653" t="e">
        <f>VLOOKUP(A310,data_siswa,4,FALSE)</f>
        <v>#N/A</v>
      </c>
      <c r="D310" s="1654" t="s">
        <v>603</v>
      </c>
      <c r="E310" s="1211">
        <v>0</v>
      </c>
      <c r="F310" s="1211">
        <v>0</v>
      </c>
      <c r="G310" s="1211">
        <v>0</v>
      </c>
      <c r="H310" s="2185"/>
      <c r="I310" s="2185"/>
      <c r="J310" s="2185"/>
      <c r="K310" s="1211"/>
      <c r="L310" s="1211"/>
      <c r="M310" s="1211"/>
      <c r="N310" s="2185"/>
      <c r="O310" s="2185"/>
      <c r="P310" s="2185"/>
      <c r="Q310" s="1211"/>
      <c r="R310" s="1211"/>
      <c r="S310" s="1211"/>
      <c r="T310" s="2189">
        <f>MAX(H310,K310,N310,Q310)</f>
        <v>0</v>
      </c>
      <c r="U310" s="2190">
        <f t="shared" ref="U310:U318" si="216">MAX(I310,L310,O310,R310)</f>
        <v>0</v>
      </c>
      <c r="V310" s="2191">
        <f t="shared" ref="V310:V318" si="217">MAX(J310,M310,P310,S310)</f>
        <v>0</v>
      </c>
      <c r="W310" s="2192">
        <f>IFERROR(AVERAGE(T310:V310),"")</f>
        <v>0</v>
      </c>
      <c r="X310" s="1075" t="str">
        <f>IF(W310&gt;85,("4"),IF(W310&gt;80,("3.66"),IF(W310&gt;75,("3.33"),IF(W310&gt;70,("3.00"),IF(W310&gt;65,("2.66"),IF(W310&gt;60,("2.33"),IF(W310&gt;55,("2"),IF(W310&gt;50,("1.66"),"1.33"))))))))</f>
        <v>1.33</v>
      </c>
      <c r="Y310" s="1075" t="str">
        <f>IF(W310&gt;85,("A"),IF(W310&gt;80,("A-"),IF(W310&gt;75,("B+"),IF(W310&gt;70,("B"),IF(W310&gt;65,("B-"),IF(W310&gt;60,("C+"),IF(W310&gt;55,("C"),IF(W310&gt;50,("C-"),"D+"))))))))</f>
        <v>D+</v>
      </c>
      <c r="Z310" s="1075" t="str">
        <f>IF(W310&gt;80,("SB"),IF(W310&gt;65,("B"),IF(W310&gt;50,("C"),IF(W310&gt;0,("K"),"0"))))</f>
        <v>0</v>
      </c>
      <c r="AA310" s="2180"/>
      <c r="AB310" s="2180"/>
      <c r="AC310" s="2180"/>
      <c r="AD310" s="2180"/>
      <c r="AE310" s="2180"/>
      <c r="AF310" s="2180"/>
      <c r="AG310" s="2180"/>
      <c r="AH310" s="2180"/>
      <c r="AI310" s="2180"/>
      <c r="AJ310" s="2181"/>
      <c r="AK310" s="2181"/>
      <c r="AL310" s="2181"/>
      <c r="AM310" s="2181"/>
      <c r="AN310" s="2181"/>
      <c r="AO310" s="2181"/>
      <c r="AP310" s="2181"/>
      <c r="AQ310" s="2181"/>
      <c r="AR310" s="2181"/>
      <c r="AS310" s="1910">
        <f>W319</f>
        <v>0</v>
      </c>
      <c r="AT310" s="1910" t="str">
        <f>Y319</f>
        <v>D+</v>
      </c>
    </row>
    <row r="311" spans="1:46" ht="24.95" customHeight="1" x14ac:dyDescent="0.3">
      <c r="A311" s="1207"/>
      <c r="B311" s="1207"/>
      <c r="C311" s="1655"/>
      <c r="D311" s="1654" t="s">
        <v>604</v>
      </c>
      <c r="E311" s="23">
        <v>0</v>
      </c>
      <c r="F311" s="23">
        <v>0</v>
      </c>
      <c r="G311" s="23">
        <v>0</v>
      </c>
      <c r="H311" s="2186"/>
      <c r="I311" s="2186"/>
      <c r="J311" s="2186"/>
      <c r="K311" s="23"/>
      <c r="L311" s="23"/>
      <c r="M311" s="23"/>
      <c r="N311" s="2186"/>
      <c r="O311" s="2186"/>
      <c r="P311" s="2186"/>
      <c r="Q311" s="23"/>
      <c r="R311" s="23"/>
      <c r="S311" s="23"/>
      <c r="T311" s="2189">
        <f t="shared" ref="T311:T318" si="218">MAX(H311,K311,N311,Q311)</f>
        <v>0</v>
      </c>
      <c r="U311" s="2190">
        <f t="shared" si="216"/>
        <v>0</v>
      </c>
      <c r="V311" s="2191">
        <f t="shared" si="217"/>
        <v>0</v>
      </c>
      <c r="W311" s="2192">
        <f t="shared" ref="W311:W318" si="219">IFERROR(AVERAGE(T311:V311),"")</f>
        <v>0</v>
      </c>
      <c r="X311" s="1075" t="str">
        <f t="shared" ref="X311:X318" si="220">IF(W311&gt;85,("4"),IF(W311&gt;80,("3.66"),IF(W311&gt;75,("3.33"),IF(W311&gt;70,("3.00"),IF(W311&gt;65,("2.66"),IF(W311&gt;60,("2.33"),IF(W311&gt;55,("2"),IF(W311&gt;50,("1.66"),"1.33"))))))))</f>
        <v>1.33</v>
      </c>
      <c r="Y311" s="1075" t="str">
        <f t="shared" ref="Y311:Y318" si="221">IF(W311&gt;85,("A"),IF(W311&gt;80,("A-"),IF(W311&gt;75,("B+"),IF(W311&gt;70,("B"),IF(W311&gt;65,("B-"),IF(W311&gt;60,("C+"),IF(W311&gt;55,("C"),IF(W311&gt;50,("C-"),"D+"))))))))</f>
        <v>D+</v>
      </c>
      <c r="Z311" s="1075" t="str">
        <f t="shared" ref="Z311:Z318" si="222">IF(W311&gt;80,("SB"),IF(W311&gt;65,("B"),IF(W311&gt;50,("C"),IF(W311&gt;0,("K"),"0"))))</f>
        <v>0</v>
      </c>
      <c r="AA311" s="2169"/>
      <c r="AB311" s="2170"/>
      <c r="AC311" s="2170"/>
      <c r="AD311" s="2170"/>
      <c r="AE311" s="2170"/>
      <c r="AF311" s="2170"/>
      <c r="AG311" s="2170"/>
      <c r="AH311" s="2170"/>
      <c r="AI311" s="2170"/>
      <c r="AJ311" s="2171"/>
      <c r="AK311" s="2171"/>
      <c r="AL311" s="2171"/>
      <c r="AM311" s="2171"/>
      <c r="AN311" s="2171"/>
      <c r="AO311" s="2171"/>
      <c r="AP311" s="2171"/>
      <c r="AQ311" s="2171"/>
      <c r="AR311" s="2172"/>
      <c r="AS311" s="1946"/>
      <c r="AT311" s="1947"/>
    </row>
    <row r="312" spans="1:46" ht="24.95" customHeight="1" x14ac:dyDescent="0.3">
      <c r="A312" s="1207"/>
      <c r="B312" s="1207"/>
      <c r="C312" s="1655"/>
      <c r="D312" s="1654" t="s">
        <v>605</v>
      </c>
      <c r="E312" s="23">
        <v>0</v>
      </c>
      <c r="F312" s="23">
        <v>0</v>
      </c>
      <c r="G312" s="23">
        <v>0</v>
      </c>
      <c r="H312" s="2186"/>
      <c r="I312" s="2186"/>
      <c r="J312" s="2186"/>
      <c r="K312" s="23"/>
      <c r="L312" s="23"/>
      <c r="M312" s="23"/>
      <c r="N312" s="2186"/>
      <c r="O312" s="2186"/>
      <c r="P312" s="2186"/>
      <c r="Q312" s="23"/>
      <c r="R312" s="23"/>
      <c r="S312" s="23"/>
      <c r="T312" s="2189">
        <f t="shared" si="218"/>
        <v>0</v>
      </c>
      <c r="U312" s="2190">
        <f t="shared" si="216"/>
        <v>0</v>
      </c>
      <c r="V312" s="2191">
        <f t="shared" si="217"/>
        <v>0</v>
      </c>
      <c r="W312" s="2192">
        <f t="shared" si="219"/>
        <v>0</v>
      </c>
      <c r="X312" s="1075" t="str">
        <f t="shared" si="220"/>
        <v>1.33</v>
      </c>
      <c r="Y312" s="1075" t="str">
        <f t="shared" si="221"/>
        <v>D+</v>
      </c>
      <c r="Z312" s="1075" t="str">
        <f t="shared" si="222"/>
        <v>0</v>
      </c>
      <c r="AA312" s="2173"/>
      <c r="AB312" s="2174"/>
      <c r="AC312" s="2174"/>
      <c r="AD312" s="2174"/>
      <c r="AE312" s="2174"/>
      <c r="AF312" s="2174"/>
      <c r="AG312" s="2174"/>
      <c r="AH312" s="2174"/>
      <c r="AI312" s="2174"/>
      <c r="AJ312" s="2175"/>
      <c r="AK312" s="2175"/>
      <c r="AL312" s="2175"/>
      <c r="AM312" s="2175"/>
      <c r="AN312" s="2175"/>
      <c r="AO312" s="2175"/>
      <c r="AP312" s="2175"/>
      <c r="AQ312" s="2175"/>
      <c r="AR312" s="2176"/>
      <c r="AS312" s="1948"/>
      <c r="AT312" s="1949"/>
    </row>
    <row r="313" spans="1:46" ht="24.95" customHeight="1" x14ac:dyDescent="0.3">
      <c r="A313" s="1207"/>
      <c r="B313" s="1207"/>
      <c r="C313" s="1655"/>
      <c r="D313" s="1654" t="s">
        <v>155</v>
      </c>
      <c r="E313" s="23"/>
      <c r="F313" s="23"/>
      <c r="G313" s="23"/>
      <c r="H313" s="2186">
        <v>0</v>
      </c>
      <c r="I313" s="2186">
        <v>0</v>
      </c>
      <c r="J313" s="2186">
        <v>0</v>
      </c>
      <c r="K313" s="23"/>
      <c r="L313" s="23"/>
      <c r="M313" s="23"/>
      <c r="N313" s="2186"/>
      <c r="O313" s="2186"/>
      <c r="P313" s="2186"/>
      <c r="Q313" s="23"/>
      <c r="R313" s="23"/>
      <c r="S313" s="23"/>
      <c r="T313" s="2189">
        <f t="shared" si="218"/>
        <v>0</v>
      </c>
      <c r="U313" s="2190">
        <f t="shared" si="216"/>
        <v>0</v>
      </c>
      <c r="V313" s="2191">
        <f t="shared" si="217"/>
        <v>0</v>
      </c>
      <c r="W313" s="2192">
        <f t="shared" si="219"/>
        <v>0</v>
      </c>
      <c r="X313" s="1075" t="str">
        <f t="shared" si="220"/>
        <v>1.33</v>
      </c>
      <c r="Y313" s="1075" t="str">
        <f t="shared" si="221"/>
        <v>D+</v>
      </c>
      <c r="Z313" s="1075" t="str">
        <f t="shared" si="222"/>
        <v>0</v>
      </c>
      <c r="AA313" s="2173"/>
      <c r="AB313" s="2174"/>
      <c r="AC313" s="2174"/>
      <c r="AD313" s="2174"/>
      <c r="AE313" s="2174"/>
      <c r="AF313" s="2174"/>
      <c r="AG313" s="2174"/>
      <c r="AH313" s="2174"/>
      <c r="AI313" s="2174"/>
      <c r="AJ313" s="2175"/>
      <c r="AK313" s="2175"/>
      <c r="AL313" s="2175"/>
      <c r="AM313" s="2175"/>
      <c r="AN313" s="2175"/>
      <c r="AO313" s="2175"/>
      <c r="AP313" s="2175"/>
      <c r="AQ313" s="2175"/>
      <c r="AR313" s="2176"/>
      <c r="AS313" s="1948"/>
      <c r="AT313" s="1949"/>
    </row>
    <row r="314" spans="1:46" ht="24.95" customHeight="1" x14ac:dyDescent="0.3">
      <c r="A314" s="1207"/>
      <c r="B314" s="1207"/>
      <c r="C314" s="1655"/>
      <c r="D314" s="1654" t="s">
        <v>187</v>
      </c>
      <c r="E314" s="23"/>
      <c r="F314" s="23"/>
      <c r="G314" s="23"/>
      <c r="H314" s="2186"/>
      <c r="I314" s="2186"/>
      <c r="J314" s="2186"/>
      <c r="K314" s="23">
        <v>0</v>
      </c>
      <c r="L314" s="23">
        <v>0</v>
      </c>
      <c r="M314" s="23">
        <v>0</v>
      </c>
      <c r="N314" s="2186"/>
      <c r="O314" s="2186"/>
      <c r="P314" s="2186"/>
      <c r="Q314" s="23"/>
      <c r="R314" s="23"/>
      <c r="S314" s="23"/>
      <c r="T314" s="2189">
        <f t="shared" si="218"/>
        <v>0</v>
      </c>
      <c r="U314" s="2190">
        <f t="shared" si="216"/>
        <v>0</v>
      </c>
      <c r="V314" s="2191">
        <f t="shared" si="217"/>
        <v>0</v>
      </c>
      <c r="W314" s="2192">
        <f t="shared" si="219"/>
        <v>0</v>
      </c>
      <c r="X314" s="1075" t="str">
        <f t="shared" si="220"/>
        <v>1.33</v>
      </c>
      <c r="Y314" s="1075" t="str">
        <f t="shared" si="221"/>
        <v>D+</v>
      </c>
      <c r="Z314" s="1075" t="str">
        <f t="shared" si="222"/>
        <v>0</v>
      </c>
      <c r="AA314" s="2173"/>
      <c r="AB314" s="2174"/>
      <c r="AC314" s="2174"/>
      <c r="AD314" s="2174"/>
      <c r="AE314" s="2174"/>
      <c r="AF314" s="2174"/>
      <c r="AG314" s="2174"/>
      <c r="AH314" s="2174"/>
      <c r="AI314" s="2174"/>
      <c r="AJ314" s="2175"/>
      <c r="AK314" s="2175"/>
      <c r="AL314" s="2175"/>
      <c r="AM314" s="2175"/>
      <c r="AN314" s="2175"/>
      <c r="AO314" s="2175"/>
      <c r="AP314" s="2175"/>
      <c r="AQ314" s="2175"/>
      <c r="AR314" s="2176"/>
      <c r="AS314" s="1948"/>
      <c r="AT314" s="1949"/>
    </row>
    <row r="315" spans="1:46" ht="24.95" customHeight="1" x14ac:dyDescent="0.3">
      <c r="A315" s="1207"/>
      <c r="B315" s="1207"/>
      <c r="C315" s="1655"/>
      <c r="D315" s="1654" t="s">
        <v>17</v>
      </c>
      <c r="E315" s="23"/>
      <c r="F315" s="23"/>
      <c r="G315" s="23"/>
      <c r="H315" s="2186"/>
      <c r="I315" s="2186"/>
      <c r="J315" s="2186"/>
      <c r="K315" s="23">
        <v>0</v>
      </c>
      <c r="L315" s="23">
        <v>0</v>
      </c>
      <c r="M315" s="23">
        <v>0</v>
      </c>
      <c r="N315" s="2186"/>
      <c r="O315" s="2186"/>
      <c r="P315" s="2186"/>
      <c r="Q315" s="23"/>
      <c r="R315" s="23"/>
      <c r="S315" s="23"/>
      <c r="T315" s="2189">
        <f t="shared" si="218"/>
        <v>0</v>
      </c>
      <c r="U315" s="2190">
        <f t="shared" si="216"/>
        <v>0</v>
      </c>
      <c r="V315" s="2191">
        <f t="shared" si="217"/>
        <v>0</v>
      </c>
      <c r="W315" s="2192">
        <f t="shared" si="219"/>
        <v>0</v>
      </c>
      <c r="X315" s="1075" t="str">
        <f t="shared" si="220"/>
        <v>1.33</v>
      </c>
      <c r="Y315" s="1075" t="str">
        <f t="shared" si="221"/>
        <v>D+</v>
      </c>
      <c r="Z315" s="1075" t="str">
        <f t="shared" si="222"/>
        <v>0</v>
      </c>
      <c r="AA315" s="2173"/>
      <c r="AB315" s="2174"/>
      <c r="AC315" s="2174"/>
      <c r="AD315" s="2174"/>
      <c r="AE315" s="2174"/>
      <c r="AF315" s="2174"/>
      <c r="AG315" s="2174"/>
      <c r="AH315" s="2174"/>
      <c r="AI315" s="2174"/>
      <c r="AJ315" s="2175"/>
      <c r="AK315" s="2175"/>
      <c r="AL315" s="2175"/>
      <c r="AM315" s="2175"/>
      <c r="AN315" s="2175"/>
      <c r="AO315" s="2175"/>
      <c r="AP315" s="2175"/>
      <c r="AQ315" s="2175"/>
      <c r="AR315" s="2176"/>
      <c r="AS315" s="1948"/>
      <c r="AT315" s="1949"/>
    </row>
    <row r="316" spans="1:46" ht="24.95" customHeight="1" x14ac:dyDescent="0.3">
      <c r="A316" s="1207"/>
      <c r="B316" s="1207"/>
      <c r="C316" s="1655"/>
      <c r="D316" s="1654" t="s">
        <v>606</v>
      </c>
      <c r="E316" s="23"/>
      <c r="F316" s="23"/>
      <c r="G316" s="23"/>
      <c r="H316" s="2186"/>
      <c r="I316" s="2186"/>
      <c r="J316" s="2186"/>
      <c r="K316" s="23"/>
      <c r="L316" s="23"/>
      <c r="M316" s="23"/>
      <c r="N316" s="2186">
        <v>0</v>
      </c>
      <c r="O316" s="2186">
        <v>0</v>
      </c>
      <c r="P316" s="2186">
        <v>0</v>
      </c>
      <c r="Q316" s="23"/>
      <c r="R316" s="23"/>
      <c r="S316" s="23"/>
      <c r="T316" s="2189">
        <f t="shared" si="218"/>
        <v>0</v>
      </c>
      <c r="U316" s="2190">
        <f t="shared" si="216"/>
        <v>0</v>
      </c>
      <c r="V316" s="2191">
        <f t="shared" si="217"/>
        <v>0</v>
      </c>
      <c r="W316" s="2192">
        <f t="shared" si="219"/>
        <v>0</v>
      </c>
      <c r="X316" s="1075" t="str">
        <f t="shared" si="220"/>
        <v>1.33</v>
      </c>
      <c r="Y316" s="1075" t="str">
        <f t="shared" si="221"/>
        <v>D+</v>
      </c>
      <c r="Z316" s="1075" t="str">
        <f t="shared" si="222"/>
        <v>0</v>
      </c>
      <c r="AA316" s="2173"/>
      <c r="AB316" s="2174"/>
      <c r="AC316" s="2174"/>
      <c r="AD316" s="2174"/>
      <c r="AE316" s="2174"/>
      <c r="AF316" s="2174"/>
      <c r="AG316" s="2174"/>
      <c r="AH316" s="2174"/>
      <c r="AI316" s="2174"/>
      <c r="AJ316" s="2175"/>
      <c r="AK316" s="2175"/>
      <c r="AL316" s="2175"/>
      <c r="AM316" s="2175"/>
      <c r="AN316" s="2175"/>
      <c r="AO316" s="2175"/>
      <c r="AP316" s="2175"/>
      <c r="AQ316" s="2175"/>
      <c r="AR316" s="2176"/>
      <c r="AS316" s="1948"/>
      <c r="AT316" s="1949"/>
    </row>
    <row r="317" spans="1:46" ht="24.95" customHeight="1" x14ac:dyDescent="0.3">
      <c r="A317" s="1207"/>
      <c r="B317" s="1207"/>
      <c r="C317" s="1655"/>
      <c r="D317" s="1654" t="s">
        <v>607</v>
      </c>
      <c r="E317" s="23"/>
      <c r="F317" s="23"/>
      <c r="G317" s="23"/>
      <c r="H317" s="2186"/>
      <c r="I317" s="2186"/>
      <c r="J317" s="2186"/>
      <c r="K317" s="23"/>
      <c r="L317" s="23"/>
      <c r="M317" s="23"/>
      <c r="N317" s="2186">
        <v>0</v>
      </c>
      <c r="O317" s="2186">
        <v>0</v>
      </c>
      <c r="P317" s="2186">
        <v>0</v>
      </c>
      <c r="Q317" s="23"/>
      <c r="R317" s="23"/>
      <c r="S317" s="23"/>
      <c r="T317" s="2189">
        <f t="shared" si="218"/>
        <v>0</v>
      </c>
      <c r="U317" s="2190">
        <f t="shared" si="216"/>
        <v>0</v>
      </c>
      <c r="V317" s="2191">
        <f t="shared" si="217"/>
        <v>0</v>
      </c>
      <c r="W317" s="2192">
        <f t="shared" si="219"/>
        <v>0</v>
      </c>
      <c r="X317" s="1075" t="str">
        <f t="shared" si="220"/>
        <v>1.33</v>
      </c>
      <c r="Y317" s="1075" t="str">
        <f t="shared" si="221"/>
        <v>D+</v>
      </c>
      <c r="Z317" s="1075" t="str">
        <f t="shared" si="222"/>
        <v>0</v>
      </c>
      <c r="AA317" s="2173"/>
      <c r="AB317" s="2174"/>
      <c r="AC317" s="2174"/>
      <c r="AD317" s="2174"/>
      <c r="AE317" s="2174"/>
      <c r="AF317" s="2174"/>
      <c r="AG317" s="2174"/>
      <c r="AH317" s="2174"/>
      <c r="AI317" s="2174"/>
      <c r="AJ317" s="2175"/>
      <c r="AK317" s="2175"/>
      <c r="AL317" s="2175"/>
      <c r="AM317" s="2175"/>
      <c r="AN317" s="2175"/>
      <c r="AO317" s="2175"/>
      <c r="AP317" s="2175"/>
      <c r="AQ317" s="2175"/>
      <c r="AR317" s="2176"/>
      <c r="AS317" s="1948"/>
      <c r="AT317" s="1949"/>
    </row>
    <row r="318" spans="1:46" ht="24.95" customHeight="1" x14ac:dyDescent="0.3">
      <c r="A318" s="1656"/>
      <c r="B318" s="1207"/>
      <c r="C318" s="1655"/>
      <c r="D318" s="1654" t="s">
        <v>22</v>
      </c>
      <c r="E318" s="2187"/>
      <c r="F318" s="2187"/>
      <c r="G318" s="2187"/>
      <c r="H318" s="2188"/>
      <c r="I318" s="2186"/>
      <c r="J318" s="2186"/>
      <c r="K318" s="23"/>
      <c r="L318" s="23"/>
      <c r="M318" s="23"/>
      <c r="N318" s="2186"/>
      <c r="O318" s="2186"/>
      <c r="P318" s="2186"/>
      <c r="Q318" s="23">
        <v>0</v>
      </c>
      <c r="R318" s="23">
        <v>0</v>
      </c>
      <c r="S318" s="23">
        <v>0</v>
      </c>
      <c r="T318" s="2189">
        <f t="shared" si="218"/>
        <v>0</v>
      </c>
      <c r="U318" s="2190">
        <f t="shared" si="216"/>
        <v>0</v>
      </c>
      <c r="V318" s="2191">
        <f t="shared" si="217"/>
        <v>0</v>
      </c>
      <c r="W318" s="2192">
        <f t="shared" si="219"/>
        <v>0</v>
      </c>
      <c r="X318" s="1075" t="str">
        <f t="shared" si="220"/>
        <v>1.33</v>
      </c>
      <c r="Y318" s="1075" t="str">
        <f t="shared" si="221"/>
        <v>D+</v>
      </c>
      <c r="Z318" s="1075" t="str">
        <f t="shared" si="222"/>
        <v>0</v>
      </c>
      <c r="AA318" s="2173"/>
      <c r="AB318" s="2174"/>
      <c r="AC318" s="2174"/>
      <c r="AD318" s="2174"/>
      <c r="AE318" s="2174"/>
      <c r="AF318" s="2174"/>
      <c r="AG318" s="2174"/>
      <c r="AH318" s="2174"/>
      <c r="AI318" s="2174"/>
      <c r="AJ318" s="2175"/>
      <c r="AK318" s="2175"/>
      <c r="AL318" s="2175"/>
      <c r="AM318" s="2175"/>
      <c r="AN318" s="2175"/>
      <c r="AO318" s="2175"/>
      <c r="AP318" s="2175"/>
      <c r="AQ318" s="2175"/>
      <c r="AR318" s="2176"/>
      <c r="AS318" s="1950"/>
      <c r="AT318" s="1951"/>
    </row>
    <row r="319" spans="1:46" ht="24.95" customHeight="1" x14ac:dyDescent="0.3">
      <c r="A319" s="1236"/>
      <c r="B319" s="1237">
        <v>31</v>
      </c>
      <c r="C319" s="1658"/>
      <c r="D319" s="1236"/>
      <c r="E319" s="2650"/>
      <c r="F319" s="2651"/>
      <c r="G319" s="2651"/>
      <c r="H319" s="2651"/>
      <c r="I319" s="2652"/>
      <c r="J319" s="2109"/>
      <c r="K319" s="2109"/>
      <c r="L319" s="2109"/>
      <c r="M319" s="2109"/>
      <c r="N319" s="2109"/>
      <c r="O319" s="2109"/>
      <c r="P319" s="2109"/>
      <c r="Q319" s="2109"/>
      <c r="R319" s="2109"/>
      <c r="S319" s="2109"/>
      <c r="T319" s="2193"/>
      <c r="U319" s="2193"/>
      <c r="V319" s="2193"/>
      <c r="W319" s="2194">
        <f>IFERROR(AVERAGE(W310:W318),"  ")</f>
        <v>0</v>
      </c>
      <c r="X319" s="1454" t="str">
        <f>IF(W319&gt;85,("4"),IF(W319&gt;80,("3.66"),IF(W319&gt;75,("3.33"),IF(W319&gt;70,("3.00"),IF(W319&gt;65,("2.66"),IF(W319&gt;60,("2.33"),IF(W319&gt;55,("2"),IF(W319&gt;50,("1.66"),"1.33"))))))))</f>
        <v>1.33</v>
      </c>
      <c r="Y319" s="1454" t="str">
        <f>IF(W319&gt;85,("A"),IF(W319&gt;80,("A-"),IF(W319&gt;75,("B+"),IF(W319&gt;70,("B"),IF(W319&gt;65,("B-"),IF(W319&gt;60,("C+"),IF(W319&gt;55,("C"),IF(W319&gt;50,("C-"),"D+"))))))))</f>
        <v>D+</v>
      </c>
      <c r="Z319" s="1666"/>
      <c r="AA319" s="2182"/>
      <c r="AB319" s="2183"/>
      <c r="AC319" s="2183"/>
      <c r="AD319" s="2183"/>
      <c r="AE319" s="2183"/>
      <c r="AF319" s="2183"/>
      <c r="AG319" s="2183"/>
      <c r="AH319" s="2183"/>
      <c r="AI319" s="2183"/>
      <c r="AJ319" s="2183"/>
      <c r="AK319" s="2183"/>
      <c r="AL319" s="2183"/>
      <c r="AM319" s="2183"/>
      <c r="AN319" s="2183"/>
      <c r="AO319" s="2183"/>
      <c r="AP319" s="2183"/>
      <c r="AQ319" s="2183"/>
      <c r="AR319" s="2184"/>
      <c r="AS319" s="1952"/>
      <c r="AT319" s="1953"/>
    </row>
    <row r="320" spans="1:46" ht="24.95" customHeight="1" x14ac:dyDescent="0.3">
      <c r="A320" s="1224">
        <v>32</v>
      </c>
      <c r="B320" s="1224"/>
      <c r="C320" s="1653" t="e">
        <f>VLOOKUP(A320,data_siswa,4,FALSE)</f>
        <v>#N/A</v>
      </c>
      <c r="D320" s="1654" t="s">
        <v>603</v>
      </c>
      <c r="E320" s="1211">
        <v>0</v>
      </c>
      <c r="F320" s="1211">
        <v>0</v>
      </c>
      <c r="G320" s="1211">
        <v>0</v>
      </c>
      <c r="H320" s="2185"/>
      <c r="I320" s="2185"/>
      <c r="J320" s="2185"/>
      <c r="K320" s="1211"/>
      <c r="L320" s="1211"/>
      <c r="M320" s="1211"/>
      <c r="N320" s="2185"/>
      <c r="O320" s="2185"/>
      <c r="P320" s="2185"/>
      <c r="Q320" s="1211"/>
      <c r="R320" s="1211"/>
      <c r="S320" s="1211"/>
      <c r="T320" s="2189">
        <f>MAX(H320,K320,N320,Q320)</f>
        <v>0</v>
      </c>
      <c r="U320" s="2190">
        <f t="shared" ref="U320:U328" si="223">MAX(I320,L320,O320,R320)</f>
        <v>0</v>
      </c>
      <c r="V320" s="2191">
        <f t="shared" ref="V320:V328" si="224">MAX(J320,M320,P320,S320)</f>
        <v>0</v>
      </c>
      <c r="W320" s="2192">
        <f>IFERROR(AVERAGE(T320:V320),"")</f>
        <v>0</v>
      </c>
      <c r="X320" s="1075" t="str">
        <f>IF(W320&gt;85,("4"),IF(W320&gt;80,("3.66"),IF(W320&gt;75,("3.33"),IF(W320&gt;70,("3.00"),IF(W320&gt;65,("2.66"),IF(W320&gt;60,("2.33"),IF(W320&gt;55,("2"),IF(W320&gt;50,("1.66"),"1.33"))))))))</f>
        <v>1.33</v>
      </c>
      <c r="Y320" s="1075" t="str">
        <f>IF(W320&gt;85,("A"),IF(W320&gt;80,("A-"),IF(W320&gt;75,("B+"),IF(W320&gt;70,("B"),IF(W320&gt;65,("B-"),IF(W320&gt;60,("C+"),IF(W320&gt;55,("C"),IF(W320&gt;50,("C-"),"D+"))))))))</f>
        <v>D+</v>
      </c>
      <c r="Z320" s="1075" t="str">
        <f>IF(W320&gt;80,("SB"),IF(W320&gt;65,("B"),IF(W320&gt;50,("C"),IF(W320&gt;0,("K"),"0"))))</f>
        <v>0</v>
      </c>
      <c r="AA320" s="2180"/>
      <c r="AB320" s="2180"/>
      <c r="AC320" s="2180"/>
      <c r="AD320" s="2180"/>
      <c r="AE320" s="2180"/>
      <c r="AF320" s="2180"/>
      <c r="AG320" s="2180"/>
      <c r="AH320" s="2180"/>
      <c r="AI320" s="2180"/>
      <c r="AJ320" s="2181"/>
      <c r="AK320" s="2181"/>
      <c r="AL320" s="2181"/>
      <c r="AM320" s="2181"/>
      <c r="AN320" s="2181"/>
      <c r="AO320" s="2181"/>
      <c r="AP320" s="2181"/>
      <c r="AQ320" s="2181"/>
      <c r="AR320" s="2181"/>
      <c r="AS320" s="1910">
        <f>W329</f>
        <v>0</v>
      </c>
      <c r="AT320" s="1910" t="str">
        <f>Y329</f>
        <v>D+</v>
      </c>
    </row>
    <row r="321" spans="1:46" ht="24.95" customHeight="1" x14ac:dyDescent="0.3">
      <c r="A321" s="1207"/>
      <c r="B321" s="1207"/>
      <c r="C321" s="1655"/>
      <c r="D321" s="1654" t="s">
        <v>604</v>
      </c>
      <c r="E321" s="23">
        <v>0</v>
      </c>
      <c r="F321" s="23">
        <v>0</v>
      </c>
      <c r="G321" s="23">
        <v>0</v>
      </c>
      <c r="H321" s="2186"/>
      <c r="I321" s="2186"/>
      <c r="J321" s="2186"/>
      <c r="K321" s="23"/>
      <c r="L321" s="23"/>
      <c r="M321" s="23"/>
      <c r="N321" s="2186"/>
      <c r="O321" s="2186"/>
      <c r="P321" s="2186"/>
      <c r="Q321" s="23"/>
      <c r="R321" s="23"/>
      <c r="S321" s="23"/>
      <c r="T321" s="2189">
        <f t="shared" ref="T321:T328" si="225">MAX(H321,K321,N321,Q321)</f>
        <v>0</v>
      </c>
      <c r="U321" s="2190">
        <f t="shared" si="223"/>
        <v>0</v>
      </c>
      <c r="V321" s="2191">
        <f t="shared" si="224"/>
        <v>0</v>
      </c>
      <c r="W321" s="2192">
        <f t="shared" ref="W321:W328" si="226">IFERROR(AVERAGE(T321:V321),"")</f>
        <v>0</v>
      </c>
      <c r="X321" s="1075" t="str">
        <f t="shared" ref="X321:X328" si="227">IF(W321&gt;85,("4"),IF(W321&gt;80,("3.66"),IF(W321&gt;75,("3.33"),IF(W321&gt;70,("3.00"),IF(W321&gt;65,("2.66"),IF(W321&gt;60,("2.33"),IF(W321&gt;55,("2"),IF(W321&gt;50,("1.66"),"1.33"))))))))</f>
        <v>1.33</v>
      </c>
      <c r="Y321" s="1075" t="str">
        <f t="shared" ref="Y321:Y328" si="228">IF(W321&gt;85,("A"),IF(W321&gt;80,("A-"),IF(W321&gt;75,("B+"),IF(W321&gt;70,("B"),IF(W321&gt;65,("B-"),IF(W321&gt;60,("C+"),IF(W321&gt;55,("C"),IF(W321&gt;50,("C-"),"D+"))))))))</f>
        <v>D+</v>
      </c>
      <c r="Z321" s="1075" t="str">
        <f t="shared" ref="Z321:Z328" si="229">IF(W321&gt;80,("SB"),IF(W321&gt;65,("B"),IF(W321&gt;50,("C"),IF(W321&gt;0,("K"),"0"))))</f>
        <v>0</v>
      </c>
      <c r="AA321" s="2169"/>
      <c r="AB321" s="2170"/>
      <c r="AC321" s="2170"/>
      <c r="AD321" s="2170"/>
      <c r="AE321" s="2170"/>
      <c r="AF321" s="2170"/>
      <c r="AG321" s="2170"/>
      <c r="AH321" s="2170"/>
      <c r="AI321" s="2170"/>
      <c r="AJ321" s="2171"/>
      <c r="AK321" s="2171"/>
      <c r="AL321" s="2171"/>
      <c r="AM321" s="2171"/>
      <c r="AN321" s="2171"/>
      <c r="AO321" s="2171"/>
      <c r="AP321" s="2171"/>
      <c r="AQ321" s="2171"/>
      <c r="AR321" s="2172"/>
      <c r="AS321" s="1946"/>
      <c r="AT321" s="1947"/>
    </row>
    <row r="322" spans="1:46" ht="24.95" customHeight="1" x14ac:dyDescent="0.3">
      <c r="A322" s="1207"/>
      <c r="B322" s="1207"/>
      <c r="C322" s="1655"/>
      <c r="D322" s="1654" t="s">
        <v>605</v>
      </c>
      <c r="E322" s="23">
        <v>0</v>
      </c>
      <c r="F322" s="23">
        <v>0</v>
      </c>
      <c r="G322" s="23">
        <v>0</v>
      </c>
      <c r="H322" s="2186"/>
      <c r="I322" s="2186"/>
      <c r="J322" s="2186"/>
      <c r="K322" s="23"/>
      <c r="L322" s="23"/>
      <c r="M322" s="23"/>
      <c r="N322" s="2186"/>
      <c r="O322" s="2186"/>
      <c r="P322" s="2186"/>
      <c r="Q322" s="23"/>
      <c r="R322" s="23"/>
      <c r="S322" s="23"/>
      <c r="T322" s="2189">
        <f t="shared" si="225"/>
        <v>0</v>
      </c>
      <c r="U322" s="2190">
        <f t="shared" si="223"/>
        <v>0</v>
      </c>
      <c r="V322" s="2191">
        <f t="shared" si="224"/>
        <v>0</v>
      </c>
      <c r="W322" s="2192">
        <f t="shared" si="226"/>
        <v>0</v>
      </c>
      <c r="X322" s="1075" t="str">
        <f t="shared" si="227"/>
        <v>1.33</v>
      </c>
      <c r="Y322" s="1075" t="str">
        <f t="shared" si="228"/>
        <v>D+</v>
      </c>
      <c r="Z322" s="1075" t="str">
        <f t="shared" si="229"/>
        <v>0</v>
      </c>
      <c r="AA322" s="2173"/>
      <c r="AB322" s="2174"/>
      <c r="AC322" s="2174"/>
      <c r="AD322" s="2174"/>
      <c r="AE322" s="2174"/>
      <c r="AF322" s="2174"/>
      <c r="AG322" s="2174"/>
      <c r="AH322" s="2174"/>
      <c r="AI322" s="2174"/>
      <c r="AJ322" s="2175"/>
      <c r="AK322" s="2175"/>
      <c r="AL322" s="2175"/>
      <c r="AM322" s="2175"/>
      <c r="AN322" s="2175"/>
      <c r="AO322" s="2175"/>
      <c r="AP322" s="2175"/>
      <c r="AQ322" s="2175"/>
      <c r="AR322" s="2176"/>
      <c r="AS322" s="1948"/>
      <c r="AT322" s="1949"/>
    </row>
    <row r="323" spans="1:46" ht="24.95" customHeight="1" x14ac:dyDescent="0.3">
      <c r="A323" s="1207"/>
      <c r="B323" s="1207"/>
      <c r="C323" s="1655"/>
      <c r="D323" s="1654" t="s">
        <v>155</v>
      </c>
      <c r="E323" s="23"/>
      <c r="F323" s="23"/>
      <c r="G323" s="23"/>
      <c r="H323" s="2186">
        <v>0</v>
      </c>
      <c r="I323" s="2186">
        <v>0</v>
      </c>
      <c r="J323" s="2186">
        <v>0</v>
      </c>
      <c r="K323" s="23"/>
      <c r="L323" s="23"/>
      <c r="M323" s="23"/>
      <c r="N323" s="2186"/>
      <c r="O323" s="2186"/>
      <c r="P323" s="2186"/>
      <c r="Q323" s="23"/>
      <c r="R323" s="23"/>
      <c r="S323" s="23"/>
      <c r="T323" s="2189">
        <f t="shared" si="225"/>
        <v>0</v>
      </c>
      <c r="U323" s="2190">
        <f t="shared" si="223"/>
        <v>0</v>
      </c>
      <c r="V323" s="2191">
        <f t="shared" si="224"/>
        <v>0</v>
      </c>
      <c r="W323" s="2192">
        <f t="shared" si="226"/>
        <v>0</v>
      </c>
      <c r="X323" s="1075" t="str">
        <f t="shared" si="227"/>
        <v>1.33</v>
      </c>
      <c r="Y323" s="1075" t="str">
        <f t="shared" si="228"/>
        <v>D+</v>
      </c>
      <c r="Z323" s="1075" t="str">
        <f t="shared" si="229"/>
        <v>0</v>
      </c>
      <c r="AA323" s="2173"/>
      <c r="AB323" s="2174"/>
      <c r="AC323" s="2174"/>
      <c r="AD323" s="2174"/>
      <c r="AE323" s="2174"/>
      <c r="AF323" s="2174"/>
      <c r="AG323" s="2174"/>
      <c r="AH323" s="2174"/>
      <c r="AI323" s="2174"/>
      <c r="AJ323" s="2175"/>
      <c r="AK323" s="2175"/>
      <c r="AL323" s="2175"/>
      <c r="AM323" s="2175"/>
      <c r="AN323" s="2175"/>
      <c r="AO323" s="2175"/>
      <c r="AP323" s="2175"/>
      <c r="AQ323" s="2175"/>
      <c r="AR323" s="2176"/>
      <c r="AS323" s="1948"/>
      <c r="AT323" s="1949"/>
    </row>
    <row r="324" spans="1:46" ht="24.95" customHeight="1" x14ac:dyDescent="0.3">
      <c r="A324" s="1207"/>
      <c r="B324" s="1207"/>
      <c r="C324" s="1655"/>
      <c r="D324" s="1654" t="s">
        <v>187</v>
      </c>
      <c r="E324" s="23"/>
      <c r="F324" s="23"/>
      <c r="G324" s="23"/>
      <c r="H324" s="2186"/>
      <c r="I324" s="2186"/>
      <c r="J324" s="2186"/>
      <c r="K324" s="23">
        <v>0</v>
      </c>
      <c r="L324" s="23">
        <v>0</v>
      </c>
      <c r="M324" s="23">
        <v>0</v>
      </c>
      <c r="N324" s="2186"/>
      <c r="O324" s="2186"/>
      <c r="P324" s="2186"/>
      <c r="Q324" s="23"/>
      <c r="R324" s="23"/>
      <c r="S324" s="23"/>
      <c r="T324" s="2189">
        <f t="shared" si="225"/>
        <v>0</v>
      </c>
      <c r="U324" s="2190">
        <f t="shared" si="223"/>
        <v>0</v>
      </c>
      <c r="V324" s="2191">
        <f t="shared" si="224"/>
        <v>0</v>
      </c>
      <c r="W324" s="2192">
        <f t="shared" si="226"/>
        <v>0</v>
      </c>
      <c r="X324" s="1075" t="str">
        <f t="shared" si="227"/>
        <v>1.33</v>
      </c>
      <c r="Y324" s="1075" t="str">
        <f t="shared" si="228"/>
        <v>D+</v>
      </c>
      <c r="Z324" s="1075" t="str">
        <f t="shared" si="229"/>
        <v>0</v>
      </c>
      <c r="AA324" s="2173"/>
      <c r="AB324" s="2174"/>
      <c r="AC324" s="2174"/>
      <c r="AD324" s="2174"/>
      <c r="AE324" s="2174"/>
      <c r="AF324" s="2174"/>
      <c r="AG324" s="2174"/>
      <c r="AH324" s="2174"/>
      <c r="AI324" s="2174"/>
      <c r="AJ324" s="2175"/>
      <c r="AK324" s="2175"/>
      <c r="AL324" s="2175"/>
      <c r="AM324" s="2175"/>
      <c r="AN324" s="2175"/>
      <c r="AO324" s="2175"/>
      <c r="AP324" s="2175"/>
      <c r="AQ324" s="2175"/>
      <c r="AR324" s="2176"/>
      <c r="AS324" s="1948"/>
      <c r="AT324" s="1949"/>
    </row>
    <row r="325" spans="1:46" ht="24.95" customHeight="1" x14ac:dyDescent="0.3">
      <c r="A325" s="1207"/>
      <c r="B325" s="1207"/>
      <c r="C325" s="1655"/>
      <c r="D325" s="1654" t="s">
        <v>17</v>
      </c>
      <c r="E325" s="23"/>
      <c r="F325" s="23"/>
      <c r="G325" s="23"/>
      <c r="H325" s="2186"/>
      <c r="I325" s="2186"/>
      <c r="J325" s="2186"/>
      <c r="K325" s="23">
        <v>0</v>
      </c>
      <c r="L325" s="23">
        <v>0</v>
      </c>
      <c r="M325" s="23">
        <v>0</v>
      </c>
      <c r="N325" s="2186"/>
      <c r="O325" s="2186"/>
      <c r="P325" s="2186"/>
      <c r="Q325" s="23"/>
      <c r="R325" s="23"/>
      <c r="S325" s="23"/>
      <c r="T325" s="2189">
        <f t="shared" si="225"/>
        <v>0</v>
      </c>
      <c r="U325" s="2190">
        <f t="shared" si="223"/>
        <v>0</v>
      </c>
      <c r="V325" s="2191">
        <f t="shared" si="224"/>
        <v>0</v>
      </c>
      <c r="W325" s="2192">
        <f t="shared" si="226"/>
        <v>0</v>
      </c>
      <c r="X325" s="1075" t="str">
        <f t="shared" si="227"/>
        <v>1.33</v>
      </c>
      <c r="Y325" s="1075" t="str">
        <f t="shared" si="228"/>
        <v>D+</v>
      </c>
      <c r="Z325" s="1075" t="str">
        <f t="shared" si="229"/>
        <v>0</v>
      </c>
      <c r="AA325" s="2173"/>
      <c r="AB325" s="2174"/>
      <c r="AC325" s="2174"/>
      <c r="AD325" s="2174"/>
      <c r="AE325" s="2174"/>
      <c r="AF325" s="2174"/>
      <c r="AG325" s="2174"/>
      <c r="AH325" s="2174"/>
      <c r="AI325" s="2174"/>
      <c r="AJ325" s="2175"/>
      <c r="AK325" s="2175"/>
      <c r="AL325" s="2175"/>
      <c r="AM325" s="2175"/>
      <c r="AN325" s="2175"/>
      <c r="AO325" s="2175"/>
      <c r="AP325" s="2175"/>
      <c r="AQ325" s="2175"/>
      <c r="AR325" s="2176"/>
      <c r="AS325" s="1948"/>
      <c r="AT325" s="1949"/>
    </row>
    <row r="326" spans="1:46" ht="24.95" customHeight="1" x14ac:dyDescent="0.3">
      <c r="A326" s="1207"/>
      <c r="B326" s="1207"/>
      <c r="C326" s="1655"/>
      <c r="D326" s="1654" t="s">
        <v>606</v>
      </c>
      <c r="E326" s="23"/>
      <c r="F326" s="23"/>
      <c r="G326" s="23"/>
      <c r="H326" s="2186"/>
      <c r="I326" s="2186"/>
      <c r="J326" s="2186"/>
      <c r="K326" s="23"/>
      <c r="L326" s="23"/>
      <c r="M326" s="23"/>
      <c r="N326" s="2186">
        <v>0</v>
      </c>
      <c r="O326" s="2186">
        <v>0</v>
      </c>
      <c r="P326" s="2186">
        <v>0</v>
      </c>
      <c r="Q326" s="23"/>
      <c r="R326" s="23"/>
      <c r="S326" s="23"/>
      <c r="T326" s="2189">
        <f t="shared" si="225"/>
        <v>0</v>
      </c>
      <c r="U326" s="2190">
        <f t="shared" si="223"/>
        <v>0</v>
      </c>
      <c r="V326" s="2191">
        <f t="shared" si="224"/>
        <v>0</v>
      </c>
      <c r="W326" s="2192">
        <f t="shared" si="226"/>
        <v>0</v>
      </c>
      <c r="X326" s="1075" t="str">
        <f t="shared" si="227"/>
        <v>1.33</v>
      </c>
      <c r="Y326" s="1075" t="str">
        <f t="shared" si="228"/>
        <v>D+</v>
      </c>
      <c r="Z326" s="1075" t="str">
        <f t="shared" si="229"/>
        <v>0</v>
      </c>
      <c r="AA326" s="2173"/>
      <c r="AB326" s="2174"/>
      <c r="AC326" s="2174"/>
      <c r="AD326" s="2174"/>
      <c r="AE326" s="2174"/>
      <c r="AF326" s="2174"/>
      <c r="AG326" s="2174"/>
      <c r="AH326" s="2174"/>
      <c r="AI326" s="2174"/>
      <c r="AJ326" s="2175"/>
      <c r="AK326" s="2175"/>
      <c r="AL326" s="2175"/>
      <c r="AM326" s="2175"/>
      <c r="AN326" s="2175"/>
      <c r="AO326" s="2175"/>
      <c r="AP326" s="2175"/>
      <c r="AQ326" s="2175"/>
      <c r="AR326" s="2176"/>
      <c r="AS326" s="1948"/>
      <c r="AT326" s="1949"/>
    </row>
    <row r="327" spans="1:46" ht="24.95" customHeight="1" x14ac:dyDescent="0.3">
      <c r="A327" s="1207"/>
      <c r="B327" s="1207"/>
      <c r="C327" s="1655"/>
      <c r="D327" s="1654" t="s">
        <v>607</v>
      </c>
      <c r="E327" s="23"/>
      <c r="F327" s="23"/>
      <c r="G327" s="23"/>
      <c r="H327" s="2186"/>
      <c r="I327" s="2186"/>
      <c r="J327" s="2186"/>
      <c r="K327" s="23"/>
      <c r="L327" s="23"/>
      <c r="M327" s="23"/>
      <c r="N327" s="2186">
        <v>0</v>
      </c>
      <c r="O327" s="2186">
        <v>0</v>
      </c>
      <c r="P327" s="2186">
        <v>0</v>
      </c>
      <c r="Q327" s="23"/>
      <c r="R327" s="23"/>
      <c r="S327" s="23"/>
      <c r="T327" s="2189">
        <f t="shared" si="225"/>
        <v>0</v>
      </c>
      <c r="U327" s="2190">
        <f t="shared" si="223"/>
        <v>0</v>
      </c>
      <c r="V327" s="2191">
        <f t="shared" si="224"/>
        <v>0</v>
      </c>
      <c r="W327" s="2192">
        <f t="shared" si="226"/>
        <v>0</v>
      </c>
      <c r="X327" s="1075" t="str">
        <f t="shared" si="227"/>
        <v>1.33</v>
      </c>
      <c r="Y327" s="1075" t="str">
        <f t="shared" si="228"/>
        <v>D+</v>
      </c>
      <c r="Z327" s="1075" t="str">
        <f t="shared" si="229"/>
        <v>0</v>
      </c>
      <c r="AA327" s="2173"/>
      <c r="AB327" s="2174"/>
      <c r="AC327" s="2174"/>
      <c r="AD327" s="2174"/>
      <c r="AE327" s="2174"/>
      <c r="AF327" s="2174"/>
      <c r="AG327" s="2174"/>
      <c r="AH327" s="2174"/>
      <c r="AI327" s="2174"/>
      <c r="AJ327" s="2175"/>
      <c r="AK327" s="2175"/>
      <c r="AL327" s="2175"/>
      <c r="AM327" s="2175"/>
      <c r="AN327" s="2175"/>
      <c r="AO327" s="2175"/>
      <c r="AP327" s="2175"/>
      <c r="AQ327" s="2175"/>
      <c r="AR327" s="2176"/>
      <c r="AS327" s="1948"/>
      <c r="AT327" s="1949"/>
    </row>
    <row r="328" spans="1:46" ht="24.95" customHeight="1" x14ac:dyDescent="0.3">
      <c r="A328" s="1656"/>
      <c r="B328" s="1207"/>
      <c r="C328" s="1655"/>
      <c r="D328" s="1654" t="s">
        <v>22</v>
      </c>
      <c r="E328" s="2187"/>
      <c r="F328" s="2187"/>
      <c r="G328" s="2187"/>
      <c r="H328" s="2188"/>
      <c r="I328" s="2186"/>
      <c r="J328" s="2186"/>
      <c r="K328" s="23"/>
      <c r="L328" s="23"/>
      <c r="M328" s="23"/>
      <c r="N328" s="2186"/>
      <c r="O328" s="2186"/>
      <c r="P328" s="2186"/>
      <c r="Q328" s="23">
        <v>0</v>
      </c>
      <c r="R328" s="23">
        <v>0</v>
      </c>
      <c r="S328" s="23">
        <v>0</v>
      </c>
      <c r="T328" s="2189">
        <f t="shared" si="225"/>
        <v>0</v>
      </c>
      <c r="U328" s="2190">
        <f t="shared" si="223"/>
        <v>0</v>
      </c>
      <c r="V328" s="2191">
        <f t="shared" si="224"/>
        <v>0</v>
      </c>
      <c r="W328" s="2192">
        <f t="shared" si="226"/>
        <v>0</v>
      </c>
      <c r="X328" s="1075" t="str">
        <f t="shared" si="227"/>
        <v>1.33</v>
      </c>
      <c r="Y328" s="1075" t="str">
        <f t="shared" si="228"/>
        <v>D+</v>
      </c>
      <c r="Z328" s="1075" t="str">
        <f t="shared" si="229"/>
        <v>0</v>
      </c>
      <c r="AA328" s="2173"/>
      <c r="AB328" s="2174"/>
      <c r="AC328" s="2174"/>
      <c r="AD328" s="2174"/>
      <c r="AE328" s="2174"/>
      <c r="AF328" s="2174"/>
      <c r="AG328" s="2174"/>
      <c r="AH328" s="2174"/>
      <c r="AI328" s="2174"/>
      <c r="AJ328" s="2175"/>
      <c r="AK328" s="2175"/>
      <c r="AL328" s="2175"/>
      <c r="AM328" s="2175"/>
      <c r="AN328" s="2175"/>
      <c r="AO328" s="2175"/>
      <c r="AP328" s="2175"/>
      <c r="AQ328" s="2175"/>
      <c r="AR328" s="2176"/>
      <c r="AS328" s="1950"/>
      <c r="AT328" s="1951"/>
    </row>
    <row r="329" spans="1:46" ht="24.95" customHeight="1" x14ac:dyDescent="0.3">
      <c r="A329" s="1236"/>
      <c r="B329" s="1237">
        <v>32</v>
      </c>
      <c r="C329" s="1658"/>
      <c r="D329" s="1236"/>
      <c r="E329" s="2650"/>
      <c r="F329" s="2651"/>
      <c r="G329" s="2651"/>
      <c r="H329" s="2651"/>
      <c r="I329" s="2652"/>
      <c r="J329" s="2109"/>
      <c r="K329" s="2109"/>
      <c r="L329" s="2109"/>
      <c r="M329" s="2109"/>
      <c r="N329" s="2109"/>
      <c r="O329" s="2109"/>
      <c r="P329" s="2109"/>
      <c r="Q329" s="2109"/>
      <c r="R329" s="2109"/>
      <c r="S329" s="2109"/>
      <c r="T329" s="2193"/>
      <c r="U329" s="2193"/>
      <c r="V329" s="2193"/>
      <c r="W329" s="2194">
        <f>IFERROR(AVERAGE(W320:W328),"  ")</f>
        <v>0</v>
      </c>
      <c r="X329" s="1454" t="str">
        <f>IF(W329&gt;85,("4"),IF(W329&gt;80,("3.66"),IF(W329&gt;75,("3.33"),IF(W329&gt;70,("3.00"),IF(W329&gt;65,("2.66"),IF(W329&gt;60,("2.33"),IF(W329&gt;55,("2"),IF(W329&gt;50,("1.66"),"1.33"))))))))</f>
        <v>1.33</v>
      </c>
      <c r="Y329" s="1454" t="str">
        <f>IF(W329&gt;85,("A"),IF(W329&gt;80,("A-"),IF(W329&gt;75,("B+"),IF(W329&gt;70,("B"),IF(W329&gt;65,("B-"),IF(W329&gt;60,("C+"),IF(W329&gt;55,("C"),IF(W329&gt;50,("C-"),"D+"))))))))</f>
        <v>D+</v>
      </c>
      <c r="Z329" s="1666"/>
      <c r="AA329" s="2182"/>
      <c r="AB329" s="2183"/>
      <c r="AC329" s="2183"/>
      <c r="AD329" s="2183"/>
      <c r="AE329" s="2183"/>
      <c r="AF329" s="2183"/>
      <c r="AG329" s="2183"/>
      <c r="AH329" s="2183"/>
      <c r="AI329" s="2183"/>
      <c r="AJ329" s="2183"/>
      <c r="AK329" s="2183"/>
      <c r="AL329" s="2183"/>
      <c r="AM329" s="2183"/>
      <c r="AN329" s="2183"/>
      <c r="AO329" s="2183"/>
      <c r="AP329" s="2183"/>
      <c r="AQ329" s="2183"/>
      <c r="AR329" s="2184"/>
      <c r="AS329" s="1952"/>
      <c r="AT329" s="1953"/>
    </row>
    <row r="330" spans="1:46" ht="24.95" customHeight="1" x14ac:dyDescent="0.3">
      <c r="A330" s="1224">
        <v>33</v>
      </c>
      <c r="B330" s="1224"/>
      <c r="C330" s="1653" t="e">
        <f>VLOOKUP(A330,data_siswa,4,FALSE)</f>
        <v>#N/A</v>
      </c>
      <c r="D330" s="1654" t="s">
        <v>603</v>
      </c>
      <c r="E330" s="1211">
        <v>0</v>
      </c>
      <c r="F330" s="1211">
        <v>0</v>
      </c>
      <c r="G330" s="1211">
        <v>0</v>
      </c>
      <c r="H330" s="2185"/>
      <c r="I330" s="2185"/>
      <c r="J330" s="2185"/>
      <c r="K330" s="1211"/>
      <c r="L330" s="1211"/>
      <c r="M330" s="1211"/>
      <c r="N330" s="2185"/>
      <c r="O330" s="2185"/>
      <c r="P330" s="2185"/>
      <c r="Q330" s="1211"/>
      <c r="R330" s="1211"/>
      <c r="S330" s="1211"/>
      <c r="T330" s="2189">
        <f>MAX(H330,K330,N330,Q330)</f>
        <v>0</v>
      </c>
      <c r="U330" s="2190">
        <f t="shared" ref="U330:U338" si="230">MAX(I330,L330,O330,R330)</f>
        <v>0</v>
      </c>
      <c r="V330" s="2191">
        <f t="shared" ref="V330:V338" si="231">MAX(J330,M330,P330,S330)</f>
        <v>0</v>
      </c>
      <c r="W330" s="2192">
        <f>IFERROR(AVERAGE(T330:V330),"")</f>
        <v>0</v>
      </c>
      <c r="X330" s="1075" t="str">
        <f>IF(W330&gt;85,("4"),IF(W330&gt;80,("3.66"),IF(W330&gt;75,("3.33"),IF(W330&gt;70,("3.00"),IF(W330&gt;65,("2.66"),IF(W330&gt;60,("2.33"),IF(W330&gt;55,("2"),IF(W330&gt;50,("1.66"),"1.33"))))))))</f>
        <v>1.33</v>
      </c>
      <c r="Y330" s="1075" t="str">
        <f>IF(W330&gt;85,("A"),IF(W330&gt;80,("A-"),IF(W330&gt;75,("B+"),IF(W330&gt;70,("B"),IF(W330&gt;65,("B-"),IF(W330&gt;60,("C+"),IF(W330&gt;55,("C"),IF(W330&gt;50,("C-"),"D+"))))))))</f>
        <v>D+</v>
      </c>
      <c r="Z330" s="1075" t="str">
        <f>IF(W330&gt;80,("SB"),IF(W330&gt;65,("B"),IF(W330&gt;50,("C"),IF(W330&gt;0,("K"),"0"))))</f>
        <v>0</v>
      </c>
      <c r="AA330" s="2180"/>
      <c r="AB330" s="2180"/>
      <c r="AC330" s="2180"/>
      <c r="AD330" s="2180"/>
      <c r="AE330" s="2180"/>
      <c r="AF330" s="2180"/>
      <c r="AG330" s="2180"/>
      <c r="AH330" s="2180"/>
      <c r="AI330" s="2180"/>
      <c r="AJ330" s="2181"/>
      <c r="AK330" s="2181"/>
      <c r="AL330" s="2181"/>
      <c r="AM330" s="2181"/>
      <c r="AN330" s="2181"/>
      <c r="AO330" s="2181"/>
      <c r="AP330" s="2181"/>
      <c r="AQ330" s="2181"/>
      <c r="AR330" s="2181"/>
      <c r="AS330" s="1910">
        <f>W339</f>
        <v>0</v>
      </c>
      <c r="AT330" s="1910" t="str">
        <f>Y339</f>
        <v>D+</v>
      </c>
    </row>
    <row r="331" spans="1:46" ht="24.95" customHeight="1" x14ac:dyDescent="0.3">
      <c r="A331" s="1207"/>
      <c r="B331" s="1207"/>
      <c r="C331" s="1655"/>
      <c r="D331" s="1654" t="s">
        <v>604</v>
      </c>
      <c r="E331" s="23">
        <v>0</v>
      </c>
      <c r="F331" s="23">
        <v>0</v>
      </c>
      <c r="G331" s="23">
        <v>0</v>
      </c>
      <c r="H331" s="2186"/>
      <c r="I331" s="2186"/>
      <c r="J331" s="2186"/>
      <c r="K331" s="23"/>
      <c r="L331" s="23"/>
      <c r="M331" s="23"/>
      <c r="N331" s="2186"/>
      <c r="O331" s="2186"/>
      <c r="P331" s="2186"/>
      <c r="Q331" s="23"/>
      <c r="R331" s="23"/>
      <c r="S331" s="23"/>
      <c r="T331" s="2189">
        <f t="shared" ref="T331:T338" si="232">MAX(H331,K331,N331,Q331)</f>
        <v>0</v>
      </c>
      <c r="U331" s="2190">
        <f t="shared" si="230"/>
        <v>0</v>
      </c>
      <c r="V331" s="2191">
        <f t="shared" si="231"/>
        <v>0</v>
      </c>
      <c r="W331" s="2192">
        <f t="shared" ref="W331:W338" si="233">IFERROR(AVERAGE(T331:V331),"")</f>
        <v>0</v>
      </c>
      <c r="X331" s="1075" t="str">
        <f t="shared" ref="X331:X338" si="234">IF(W331&gt;85,("4"),IF(W331&gt;80,("3.66"),IF(W331&gt;75,("3.33"),IF(W331&gt;70,("3.00"),IF(W331&gt;65,("2.66"),IF(W331&gt;60,("2.33"),IF(W331&gt;55,("2"),IF(W331&gt;50,("1.66"),"1.33"))))))))</f>
        <v>1.33</v>
      </c>
      <c r="Y331" s="1075" t="str">
        <f t="shared" ref="Y331:Y338" si="235">IF(W331&gt;85,("A"),IF(W331&gt;80,("A-"),IF(W331&gt;75,("B+"),IF(W331&gt;70,("B"),IF(W331&gt;65,("B-"),IF(W331&gt;60,("C+"),IF(W331&gt;55,("C"),IF(W331&gt;50,("C-"),"D+"))))))))</f>
        <v>D+</v>
      </c>
      <c r="Z331" s="1075" t="str">
        <f t="shared" ref="Z331:Z338" si="236">IF(W331&gt;80,("SB"),IF(W331&gt;65,("B"),IF(W331&gt;50,("C"),IF(W331&gt;0,("K"),"0"))))</f>
        <v>0</v>
      </c>
      <c r="AA331" s="2169"/>
      <c r="AB331" s="2170"/>
      <c r="AC331" s="2170"/>
      <c r="AD331" s="2170"/>
      <c r="AE331" s="2170"/>
      <c r="AF331" s="2170"/>
      <c r="AG331" s="2170"/>
      <c r="AH331" s="2170"/>
      <c r="AI331" s="2170"/>
      <c r="AJ331" s="2171"/>
      <c r="AK331" s="2171"/>
      <c r="AL331" s="2171"/>
      <c r="AM331" s="2171"/>
      <c r="AN331" s="2171"/>
      <c r="AO331" s="2171"/>
      <c r="AP331" s="2171"/>
      <c r="AQ331" s="2171"/>
      <c r="AR331" s="2172"/>
      <c r="AS331" s="1946"/>
      <c r="AT331" s="1947"/>
    </row>
    <row r="332" spans="1:46" ht="24.95" customHeight="1" x14ac:dyDescent="0.3">
      <c r="A332" s="1207"/>
      <c r="B332" s="1207"/>
      <c r="C332" s="1655"/>
      <c r="D332" s="1654" t="s">
        <v>605</v>
      </c>
      <c r="E332" s="23">
        <v>0</v>
      </c>
      <c r="F332" s="23">
        <v>0</v>
      </c>
      <c r="G332" s="23">
        <v>0</v>
      </c>
      <c r="H332" s="2186"/>
      <c r="I332" s="2186"/>
      <c r="J332" s="2186"/>
      <c r="K332" s="23"/>
      <c r="L332" s="23"/>
      <c r="M332" s="23"/>
      <c r="N332" s="2186"/>
      <c r="O332" s="2186"/>
      <c r="P332" s="2186"/>
      <c r="Q332" s="23"/>
      <c r="R332" s="23"/>
      <c r="S332" s="23"/>
      <c r="T332" s="2189">
        <f t="shared" si="232"/>
        <v>0</v>
      </c>
      <c r="U332" s="2190">
        <f t="shared" si="230"/>
        <v>0</v>
      </c>
      <c r="V332" s="2191">
        <f t="shared" si="231"/>
        <v>0</v>
      </c>
      <c r="W332" s="2192">
        <f t="shared" si="233"/>
        <v>0</v>
      </c>
      <c r="X332" s="1075" t="str">
        <f t="shared" si="234"/>
        <v>1.33</v>
      </c>
      <c r="Y332" s="1075" t="str">
        <f t="shared" si="235"/>
        <v>D+</v>
      </c>
      <c r="Z332" s="1075" t="str">
        <f t="shared" si="236"/>
        <v>0</v>
      </c>
      <c r="AA332" s="2173"/>
      <c r="AB332" s="2174"/>
      <c r="AC332" s="2174"/>
      <c r="AD332" s="2174"/>
      <c r="AE332" s="2174"/>
      <c r="AF332" s="2174"/>
      <c r="AG332" s="2174"/>
      <c r="AH332" s="2174"/>
      <c r="AI332" s="2174"/>
      <c r="AJ332" s="2175"/>
      <c r="AK332" s="2175"/>
      <c r="AL332" s="2175"/>
      <c r="AM332" s="2175"/>
      <c r="AN332" s="2175"/>
      <c r="AO332" s="2175"/>
      <c r="AP332" s="2175"/>
      <c r="AQ332" s="2175"/>
      <c r="AR332" s="2176"/>
      <c r="AS332" s="1948"/>
      <c r="AT332" s="1949"/>
    </row>
    <row r="333" spans="1:46" ht="24.95" customHeight="1" x14ac:dyDescent="0.3">
      <c r="A333" s="1207"/>
      <c r="B333" s="1207"/>
      <c r="C333" s="1655"/>
      <c r="D333" s="1654" t="s">
        <v>155</v>
      </c>
      <c r="E333" s="23"/>
      <c r="F333" s="23"/>
      <c r="G333" s="23"/>
      <c r="H333" s="2186">
        <v>0</v>
      </c>
      <c r="I333" s="2186">
        <v>0</v>
      </c>
      <c r="J333" s="2186">
        <v>0</v>
      </c>
      <c r="K333" s="23"/>
      <c r="L333" s="23"/>
      <c r="M333" s="23"/>
      <c r="N333" s="2186"/>
      <c r="O333" s="2186"/>
      <c r="P333" s="2186"/>
      <c r="Q333" s="23"/>
      <c r="R333" s="23"/>
      <c r="S333" s="23"/>
      <c r="T333" s="2189">
        <f t="shared" si="232"/>
        <v>0</v>
      </c>
      <c r="U333" s="2190">
        <f t="shared" si="230"/>
        <v>0</v>
      </c>
      <c r="V333" s="2191">
        <f t="shared" si="231"/>
        <v>0</v>
      </c>
      <c r="W333" s="2192">
        <f t="shared" si="233"/>
        <v>0</v>
      </c>
      <c r="X333" s="1075" t="str">
        <f t="shared" si="234"/>
        <v>1.33</v>
      </c>
      <c r="Y333" s="1075" t="str">
        <f t="shared" si="235"/>
        <v>D+</v>
      </c>
      <c r="Z333" s="1075" t="str">
        <f t="shared" si="236"/>
        <v>0</v>
      </c>
      <c r="AA333" s="2173"/>
      <c r="AB333" s="2174"/>
      <c r="AC333" s="2174"/>
      <c r="AD333" s="2174"/>
      <c r="AE333" s="2174"/>
      <c r="AF333" s="2174"/>
      <c r="AG333" s="2174"/>
      <c r="AH333" s="2174"/>
      <c r="AI333" s="2174"/>
      <c r="AJ333" s="2175"/>
      <c r="AK333" s="2175"/>
      <c r="AL333" s="2175"/>
      <c r="AM333" s="2175"/>
      <c r="AN333" s="2175"/>
      <c r="AO333" s="2175"/>
      <c r="AP333" s="2175"/>
      <c r="AQ333" s="2175"/>
      <c r="AR333" s="2176"/>
      <c r="AS333" s="1948"/>
      <c r="AT333" s="1949"/>
    </row>
    <row r="334" spans="1:46" ht="24.95" customHeight="1" x14ac:dyDescent="0.3">
      <c r="A334" s="1207"/>
      <c r="B334" s="1207"/>
      <c r="C334" s="1655"/>
      <c r="D334" s="1654" t="s">
        <v>187</v>
      </c>
      <c r="E334" s="23"/>
      <c r="F334" s="23"/>
      <c r="G334" s="23"/>
      <c r="H334" s="2186"/>
      <c r="I334" s="2186"/>
      <c r="J334" s="2186"/>
      <c r="K334" s="23">
        <v>0</v>
      </c>
      <c r="L334" s="23">
        <v>0</v>
      </c>
      <c r="M334" s="23">
        <v>0</v>
      </c>
      <c r="N334" s="2186"/>
      <c r="O334" s="2186"/>
      <c r="P334" s="2186"/>
      <c r="Q334" s="23"/>
      <c r="R334" s="23"/>
      <c r="S334" s="23"/>
      <c r="T334" s="2189">
        <f t="shared" si="232"/>
        <v>0</v>
      </c>
      <c r="U334" s="2190">
        <f t="shared" si="230"/>
        <v>0</v>
      </c>
      <c r="V334" s="2191">
        <f t="shared" si="231"/>
        <v>0</v>
      </c>
      <c r="W334" s="2192">
        <f t="shared" si="233"/>
        <v>0</v>
      </c>
      <c r="X334" s="1075" t="str">
        <f t="shared" si="234"/>
        <v>1.33</v>
      </c>
      <c r="Y334" s="1075" t="str">
        <f t="shared" si="235"/>
        <v>D+</v>
      </c>
      <c r="Z334" s="1075" t="str">
        <f t="shared" si="236"/>
        <v>0</v>
      </c>
      <c r="AA334" s="2173"/>
      <c r="AB334" s="2174"/>
      <c r="AC334" s="2174"/>
      <c r="AD334" s="2174"/>
      <c r="AE334" s="2174"/>
      <c r="AF334" s="2174"/>
      <c r="AG334" s="2174"/>
      <c r="AH334" s="2174"/>
      <c r="AI334" s="2174"/>
      <c r="AJ334" s="2175"/>
      <c r="AK334" s="2175"/>
      <c r="AL334" s="2175"/>
      <c r="AM334" s="2175"/>
      <c r="AN334" s="2175"/>
      <c r="AO334" s="2175"/>
      <c r="AP334" s="2175"/>
      <c r="AQ334" s="2175"/>
      <c r="AR334" s="2176"/>
      <c r="AS334" s="1948"/>
      <c r="AT334" s="1949"/>
    </row>
    <row r="335" spans="1:46" ht="24.95" customHeight="1" x14ac:dyDescent="0.3">
      <c r="A335" s="1207"/>
      <c r="B335" s="1207"/>
      <c r="C335" s="1655"/>
      <c r="D335" s="1654" t="s">
        <v>17</v>
      </c>
      <c r="E335" s="23"/>
      <c r="F335" s="23"/>
      <c r="G335" s="23"/>
      <c r="H335" s="2186"/>
      <c r="I335" s="2186"/>
      <c r="J335" s="2186"/>
      <c r="K335" s="23">
        <v>0</v>
      </c>
      <c r="L335" s="23">
        <v>0</v>
      </c>
      <c r="M335" s="23">
        <v>0</v>
      </c>
      <c r="N335" s="2186"/>
      <c r="O335" s="2186"/>
      <c r="P335" s="2186"/>
      <c r="Q335" s="23"/>
      <c r="R335" s="23"/>
      <c r="S335" s="23"/>
      <c r="T335" s="2189">
        <f t="shared" si="232"/>
        <v>0</v>
      </c>
      <c r="U335" s="2190">
        <f t="shared" si="230"/>
        <v>0</v>
      </c>
      <c r="V335" s="2191">
        <f t="shared" si="231"/>
        <v>0</v>
      </c>
      <c r="W335" s="2192">
        <f t="shared" si="233"/>
        <v>0</v>
      </c>
      <c r="X335" s="1075" t="str">
        <f t="shared" si="234"/>
        <v>1.33</v>
      </c>
      <c r="Y335" s="1075" t="str">
        <f t="shared" si="235"/>
        <v>D+</v>
      </c>
      <c r="Z335" s="1075" t="str">
        <f t="shared" si="236"/>
        <v>0</v>
      </c>
      <c r="AA335" s="2173"/>
      <c r="AB335" s="2174"/>
      <c r="AC335" s="2174"/>
      <c r="AD335" s="2174"/>
      <c r="AE335" s="2174"/>
      <c r="AF335" s="2174"/>
      <c r="AG335" s="2174"/>
      <c r="AH335" s="2174"/>
      <c r="AI335" s="2174"/>
      <c r="AJ335" s="2175"/>
      <c r="AK335" s="2175"/>
      <c r="AL335" s="2175"/>
      <c r="AM335" s="2175"/>
      <c r="AN335" s="2175"/>
      <c r="AO335" s="2175"/>
      <c r="AP335" s="2175"/>
      <c r="AQ335" s="2175"/>
      <c r="AR335" s="2176"/>
      <c r="AS335" s="1948"/>
      <c r="AT335" s="1949"/>
    </row>
    <row r="336" spans="1:46" ht="24.95" customHeight="1" x14ac:dyDescent="0.3">
      <c r="A336" s="1207"/>
      <c r="B336" s="1207"/>
      <c r="C336" s="1655"/>
      <c r="D336" s="1654" t="s">
        <v>606</v>
      </c>
      <c r="E336" s="23"/>
      <c r="F336" s="23"/>
      <c r="G336" s="23"/>
      <c r="H336" s="2186"/>
      <c r="I336" s="2186"/>
      <c r="J336" s="2186"/>
      <c r="K336" s="23"/>
      <c r="L336" s="23"/>
      <c r="M336" s="23"/>
      <c r="N336" s="2186">
        <v>0</v>
      </c>
      <c r="O336" s="2186">
        <v>0</v>
      </c>
      <c r="P336" s="2186">
        <v>0</v>
      </c>
      <c r="Q336" s="23"/>
      <c r="R336" s="23"/>
      <c r="S336" s="23"/>
      <c r="T336" s="2189">
        <f t="shared" si="232"/>
        <v>0</v>
      </c>
      <c r="U336" s="2190">
        <f t="shared" si="230"/>
        <v>0</v>
      </c>
      <c r="V336" s="2191">
        <f t="shared" si="231"/>
        <v>0</v>
      </c>
      <c r="W336" s="2192">
        <f t="shared" si="233"/>
        <v>0</v>
      </c>
      <c r="X336" s="1075" t="str">
        <f t="shared" si="234"/>
        <v>1.33</v>
      </c>
      <c r="Y336" s="1075" t="str">
        <f t="shared" si="235"/>
        <v>D+</v>
      </c>
      <c r="Z336" s="1075" t="str">
        <f t="shared" si="236"/>
        <v>0</v>
      </c>
      <c r="AA336" s="2173"/>
      <c r="AB336" s="2174"/>
      <c r="AC336" s="2174"/>
      <c r="AD336" s="2174"/>
      <c r="AE336" s="2174"/>
      <c r="AF336" s="2174"/>
      <c r="AG336" s="2174"/>
      <c r="AH336" s="2174"/>
      <c r="AI336" s="2174"/>
      <c r="AJ336" s="2175"/>
      <c r="AK336" s="2175"/>
      <c r="AL336" s="2175"/>
      <c r="AM336" s="2175"/>
      <c r="AN336" s="2175"/>
      <c r="AO336" s="2175"/>
      <c r="AP336" s="2175"/>
      <c r="AQ336" s="2175"/>
      <c r="AR336" s="2176"/>
      <c r="AS336" s="1948"/>
      <c r="AT336" s="1949"/>
    </row>
    <row r="337" spans="1:46" ht="24.95" customHeight="1" x14ac:dyDescent="0.3">
      <c r="A337" s="1207"/>
      <c r="B337" s="1207"/>
      <c r="C337" s="1655"/>
      <c r="D337" s="1654" t="s">
        <v>607</v>
      </c>
      <c r="E337" s="23"/>
      <c r="F337" s="23"/>
      <c r="G337" s="23"/>
      <c r="H337" s="2186"/>
      <c r="I337" s="2186"/>
      <c r="J337" s="2186"/>
      <c r="K337" s="23"/>
      <c r="L337" s="23"/>
      <c r="M337" s="23"/>
      <c r="N337" s="2186">
        <v>0</v>
      </c>
      <c r="O337" s="2186">
        <v>0</v>
      </c>
      <c r="P337" s="2186">
        <v>0</v>
      </c>
      <c r="Q337" s="23"/>
      <c r="R337" s="23"/>
      <c r="S337" s="23"/>
      <c r="T337" s="2189">
        <f t="shared" si="232"/>
        <v>0</v>
      </c>
      <c r="U337" s="2190">
        <f t="shared" si="230"/>
        <v>0</v>
      </c>
      <c r="V337" s="2191">
        <f t="shared" si="231"/>
        <v>0</v>
      </c>
      <c r="W337" s="2192">
        <f t="shared" si="233"/>
        <v>0</v>
      </c>
      <c r="X337" s="1075" t="str">
        <f t="shared" si="234"/>
        <v>1.33</v>
      </c>
      <c r="Y337" s="1075" t="str">
        <f t="shared" si="235"/>
        <v>D+</v>
      </c>
      <c r="Z337" s="1075" t="str">
        <f t="shared" si="236"/>
        <v>0</v>
      </c>
      <c r="AA337" s="2173"/>
      <c r="AB337" s="2174"/>
      <c r="AC337" s="2174"/>
      <c r="AD337" s="2174"/>
      <c r="AE337" s="2174"/>
      <c r="AF337" s="2174"/>
      <c r="AG337" s="2174"/>
      <c r="AH337" s="2174"/>
      <c r="AI337" s="2174"/>
      <c r="AJ337" s="2175"/>
      <c r="AK337" s="2175"/>
      <c r="AL337" s="2175"/>
      <c r="AM337" s="2175"/>
      <c r="AN337" s="2175"/>
      <c r="AO337" s="2175"/>
      <c r="AP337" s="2175"/>
      <c r="AQ337" s="2175"/>
      <c r="AR337" s="2176"/>
      <c r="AS337" s="1948"/>
      <c r="AT337" s="1949"/>
    </row>
    <row r="338" spans="1:46" ht="24.95" customHeight="1" x14ac:dyDescent="0.3">
      <c r="A338" s="1656"/>
      <c r="B338" s="1207"/>
      <c r="C338" s="1655"/>
      <c r="D338" s="1654" t="s">
        <v>22</v>
      </c>
      <c r="E338" s="2187"/>
      <c r="F338" s="2187"/>
      <c r="G338" s="2187"/>
      <c r="H338" s="2188"/>
      <c r="I338" s="2186"/>
      <c r="J338" s="2186"/>
      <c r="K338" s="23"/>
      <c r="L338" s="23"/>
      <c r="M338" s="23"/>
      <c r="N338" s="2186"/>
      <c r="O338" s="2186"/>
      <c r="P338" s="2186"/>
      <c r="Q338" s="23">
        <v>0</v>
      </c>
      <c r="R338" s="23">
        <v>0</v>
      </c>
      <c r="S338" s="23">
        <v>0</v>
      </c>
      <c r="T338" s="2189">
        <f t="shared" si="232"/>
        <v>0</v>
      </c>
      <c r="U338" s="2190">
        <f t="shared" si="230"/>
        <v>0</v>
      </c>
      <c r="V338" s="2191">
        <f t="shared" si="231"/>
        <v>0</v>
      </c>
      <c r="W338" s="2192">
        <f t="shared" si="233"/>
        <v>0</v>
      </c>
      <c r="X338" s="1075" t="str">
        <f t="shared" si="234"/>
        <v>1.33</v>
      </c>
      <c r="Y338" s="1075" t="str">
        <f t="shared" si="235"/>
        <v>D+</v>
      </c>
      <c r="Z338" s="1075" t="str">
        <f t="shared" si="236"/>
        <v>0</v>
      </c>
      <c r="AA338" s="2173"/>
      <c r="AB338" s="2174"/>
      <c r="AC338" s="2174"/>
      <c r="AD338" s="2174"/>
      <c r="AE338" s="2174"/>
      <c r="AF338" s="2174"/>
      <c r="AG338" s="2174"/>
      <c r="AH338" s="2174"/>
      <c r="AI338" s="2174"/>
      <c r="AJ338" s="2175"/>
      <c r="AK338" s="2175"/>
      <c r="AL338" s="2175"/>
      <c r="AM338" s="2175"/>
      <c r="AN338" s="2175"/>
      <c r="AO338" s="2175"/>
      <c r="AP338" s="2175"/>
      <c r="AQ338" s="2175"/>
      <c r="AR338" s="2176"/>
      <c r="AS338" s="1950"/>
      <c r="AT338" s="1951"/>
    </row>
    <row r="339" spans="1:46" ht="24.95" customHeight="1" x14ac:dyDescent="0.3">
      <c r="A339" s="1236"/>
      <c r="B339" s="1237">
        <v>33</v>
      </c>
      <c r="C339" s="1658"/>
      <c r="D339" s="1236"/>
      <c r="E339" s="2650"/>
      <c r="F339" s="2651"/>
      <c r="G339" s="2651"/>
      <c r="H339" s="2651"/>
      <c r="I339" s="2652"/>
      <c r="J339" s="2109"/>
      <c r="K339" s="2109"/>
      <c r="L339" s="2109"/>
      <c r="M339" s="2109"/>
      <c r="N339" s="2109"/>
      <c r="O339" s="2109"/>
      <c r="P339" s="2109"/>
      <c r="Q339" s="2109"/>
      <c r="R339" s="2109"/>
      <c r="S339" s="2109"/>
      <c r="T339" s="2193"/>
      <c r="U339" s="2193"/>
      <c r="V339" s="2193"/>
      <c r="W339" s="2194">
        <f>IFERROR(AVERAGE(W330:W338),"  ")</f>
        <v>0</v>
      </c>
      <c r="X339" s="1454" t="str">
        <f>IF(W339&gt;85,("4"),IF(W339&gt;80,("3.66"),IF(W339&gt;75,("3.33"),IF(W339&gt;70,("3.00"),IF(W339&gt;65,("2.66"),IF(W339&gt;60,("2.33"),IF(W339&gt;55,("2"),IF(W339&gt;50,("1.66"),"1.33"))))))))</f>
        <v>1.33</v>
      </c>
      <c r="Y339" s="1454" t="str">
        <f>IF(W339&gt;85,("A"),IF(W339&gt;80,("A-"),IF(W339&gt;75,("B+"),IF(W339&gt;70,("B"),IF(W339&gt;65,("B-"),IF(W339&gt;60,("C+"),IF(W339&gt;55,("C"),IF(W339&gt;50,("C-"),"D+"))))))))</f>
        <v>D+</v>
      </c>
      <c r="Z339" s="1666"/>
      <c r="AA339" s="2182"/>
      <c r="AB339" s="2183"/>
      <c r="AC339" s="2183"/>
      <c r="AD339" s="2183"/>
      <c r="AE339" s="2183"/>
      <c r="AF339" s="2183"/>
      <c r="AG339" s="2183"/>
      <c r="AH339" s="2183"/>
      <c r="AI339" s="2183"/>
      <c r="AJ339" s="2183"/>
      <c r="AK339" s="2183"/>
      <c r="AL339" s="2183"/>
      <c r="AM339" s="2183"/>
      <c r="AN339" s="2183"/>
      <c r="AO339" s="2183"/>
      <c r="AP339" s="2183"/>
      <c r="AQ339" s="2183"/>
      <c r="AR339" s="2184"/>
      <c r="AS339" s="1952"/>
      <c r="AT339" s="1953"/>
    </row>
    <row r="340" spans="1:46" ht="24.95" customHeight="1" x14ac:dyDescent="0.3">
      <c r="A340" s="1224">
        <v>34</v>
      </c>
      <c r="B340" s="1224"/>
      <c r="C340" s="1653" t="e">
        <f>VLOOKUP(A340,data_siswa,4,FALSE)</f>
        <v>#N/A</v>
      </c>
      <c r="D340" s="1654" t="s">
        <v>603</v>
      </c>
      <c r="E340" s="1211">
        <v>0</v>
      </c>
      <c r="F340" s="1211">
        <v>0</v>
      </c>
      <c r="G340" s="1211">
        <v>0</v>
      </c>
      <c r="H340" s="2185"/>
      <c r="I340" s="2185"/>
      <c r="J340" s="2185"/>
      <c r="K340" s="1211"/>
      <c r="L340" s="1211"/>
      <c r="M340" s="1211"/>
      <c r="N340" s="2185"/>
      <c r="O340" s="2185"/>
      <c r="P340" s="2185"/>
      <c r="Q340" s="1211"/>
      <c r="R340" s="1211"/>
      <c r="S340" s="1211"/>
      <c r="T340" s="2189">
        <f>MAX(H340,K340,N340,Q340)</f>
        <v>0</v>
      </c>
      <c r="U340" s="2190">
        <f t="shared" ref="U340:U348" si="237">MAX(I340,L340,O340,R340)</f>
        <v>0</v>
      </c>
      <c r="V340" s="2191">
        <f t="shared" ref="V340:V348" si="238">MAX(J340,M340,P340,S340)</f>
        <v>0</v>
      </c>
      <c r="W340" s="2192">
        <f>IFERROR(AVERAGE(T340:V340),"")</f>
        <v>0</v>
      </c>
      <c r="X340" s="1075" t="str">
        <f>IF(W340&gt;85,("4"),IF(W340&gt;80,("3.66"),IF(W340&gt;75,("3.33"),IF(W340&gt;70,("3.00"),IF(W340&gt;65,("2.66"),IF(W340&gt;60,("2.33"),IF(W340&gt;55,("2"),IF(W340&gt;50,("1.66"),"1.33"))))))))</f>
        <v>1.33</v>
      </c>
      <c r="Y340" s="1075" t="str">
        <f>IF(W340&gt;85,("A"),IF(W340&gt;80,("A-"),IF(W340&gt;75,("B+"),IF(W340&gt;70,("B"),IF(W340&gt;65,("B-"),IF(W340&gt;60,("C+"),IF(W340&gt;55,("C"),IF(W340&gt;50,("C-"),"D+"))))))))</f>
        <v>D+</v>
      </c>
      <c r="Z340" s="1075" t="str">
        <f>IF(W340&gt;80,("SB"),IF(W340&gt;65,("B"),IF(W340&gt;50,("C"),IF(W340&gt;0,("K"),"0"))))</f>
        <v>0</v>
      </c>
      <c r="AA340" s="2180"/>
      <c r="AB340" s="2180"/>
      <c r="AC340" s="2180"/>
      <c r="AD340" s="2180"/>
      <c r="AE340" s="2180"/>
      <c r="AF340" s="2180"/>
      <c r="AG340" s="2180"/>
      <c r="AH340" s="2180"/>
      <c r="AI340" s="2180"/>
      <c r="AJ340" s="2181"/>
      <c r="AK340" s="2181"/>
      <c r="AL340" s="2181"/>
      <c r="AM340" s="2181"/>
      <c r="AN340" s="2181"/>
      <c r="AO340" s="2181"/>
      <c r="AP340" s="2181"/>
      <c r="AQ340" s="2181"/>
      <c r="AR340" s="2181"/>
      <c r="AS340" s="1910">
        <f>W349</f>
        <v>0</v>
      </c>
      <c r="AT340" s="1910" t="str">
        <f>Y349</f>
        <v>D+</v>
      </c>
    </row>
    <row r="341" spans="1:46" ht="24.95" customHeight="1" x14ac:dyDescent="0.3">
      <c r="A341" s="1207"/>
      <c r="B341" s="1207"/>
      <c r="C341" s="1655"/>
      <c r="D341" s="1654" t="s">
        <v>604</v>
      </c>
      <c r="E341" s="23">
        <v>0</v>
      </c>
      <c r="F341" s="23">
        <v>0</v>
      </c>
      <c r="G341" s="23">
        <v>0</v>
      </c>
      <c r="H341" s="2186"/>
      <c r="I341" s="2186"/>
      <c r="J341" s="2186"/>
      <c r="K341" s="23"/>
      <c r="L341" s="23"/>
      <c r="M341" s="23"/>
      <c r="N341" s="2186"/>
      <c r="O341" s="2186"/>
      <c r="P341" s="2186"/>
      <c r="Q341" s="23"/>
      <c r="R341" s="23"/>
      <c r="S341" s="23"/>
      <c r="T341" s="2189">
        <f t="shared" ref="T341:T348" si="239">MAX(H341,K341,N341,Q341)</f>
        <v>0</v>
      </c>
      <c r="U341" s="2190">
        <f t="shared" si="237"/>
        <v>0</v>
      </c>
      <c r="V341" s="2191">
        <f t="shared" si="238"/>
        <v>0</v>
      </c>
      <c r="W341" s="2192">
        <f t="shared" ref="W341:W348" si="240">IFERROR(AVERAGE(T341:V341),"")</f>
        <v>0</v>
      </c>
      <c r="X341" s="1075" t="str">
        <f t="shared" ref="X341:X348" si="241">IF(W341&gt;85,("4"),IF(W341&gt;80,("3.66"),IF(W341&gt;75,("3.33"),IF(W341&gt;70,("3.00"),IF(W341&gt;65,("2.66"),IF(W341&gt;60,("2.33"),IF(W341&gt;55,("2"),IF(W341&gt;50,("1.66"),"1.33"))))))))</f>
        <v>1.33</v>
      </c>
      <c r="Y341" s="1075" t="str">
        <f t="shared" ref="Y341:Y348" si="242">IF(W341&gt;85,("A"),IF(W341&gt;80,("A-"),IF(W341&gt;75,("B+"),IF(W341&gt;70,("B"),IF(W341&gt;65,("B-"),IF(W341&gt;60,("C+"),IF(W341&gt;55,("C"),IF(W341&gt;50,("C-"),"D+"))))))))</f>
        <v>D+</v>
      </c>
      <c r="Z341" s="1075" t="str">
        <f t="shared" ref="Z341:Z348" si="243">IF(W341&gt;80,("SB"),IF(W341&gt;65,("B"),IF(W341&gt;50,("C"),IF(W341&gt;0,("K"),"0"))))</f>
        <v>0</v>
      </c>
      <c r="AA341" s="2169"/>
      <c r="AB341" s="2170"/>
      <c r="AC341" s="2170"/>
      <c r="AD341" s="2170"/>
      <c r="AE341" s="2170"/>
      <c r="AF341" s="2170"/>
      <c r="AG341" s="2170"/>
      <c r="AH341" s="2170"/>
      <c r="AI341" s="2170"/>
      <c r="AJ341" s="2171"/>
      <c r="AK341" s="2171"/>
      <c r="AL341" s="2171"/>
      <c r="AM341" s="2171"/>
      <c r="AN341" s="2171"/>
      <c r="AO341" s="2171"/>
      <c r="AP341" s="2171"/>
      <c r="AQ341" s="2171"/>
      <c r="AR341" s="2172"/>
      <c r="AS341" s="1946"/>
      <c r="AT341" s="1947"/>
    </row>
    <row r="342" spans="1:46" ht="24.95" customHeight="1" x14ac:dyDescent="0.3">
      <c r="A342" s="1207"/>
      <c r="B342" s="1207"/>
      <c r="C342" s="1655"/>
      <c r="D342" s="1654" t="s">
        <v>605</v>
      </c>
      <c r="E342" s="23">
        <v>0</v>
      </c>
      <c r="F342" s="23">
        <v>0</v>
      </c>
      <c r="G342" s="23">
        <v>0</v>
      </c>
      <c r="H342" s="2186"/>
      <c r="I342" s="2186"/>
      <c r="J342" s="2186"/>
      <c r="K342" s="23"/>
      <c r="L342" s="23"/>
      <c r="M342" s="23"/>
      <c r="N342" s="2186"/>
      <c r="O342" s="2186"/>
      <c r="P342" s="2186"/>
      <c r="Q342" s="23"/>
      <c r="R342" s="23"/>
      <c r="S342" s="23"/>
      <c r="T342" s="2189">
        <f t="shared" si="239"/>
        <v>0</v>
      </c>
      <c r="U342" s="2190">
        <f t="shared" si="237"/>
        <v>0</v>
      </c>
      <c r="V342" s="2191">
        <f t="shared" si="238"/>
        <v>0</v>
      </c>
      <c r="W342" s="2192">
        <f t="shared" si="240"/>
        <v>0</v>
      </c>
      <c r="X342" s="1075" t="str">
        <f t="shared" si="241"/>
        <v>1.33</v>
      </c>
      <c r="Y342" s="1075" t="str">
        <f t="shared" si="242"/>
        <v>D+</v>
      </c>
      <c r="Z342" s="1075" t="str">
        <f t="shared" si="243"/>
        <v>0</v>
      </c>
      <c r="AA342" s="2173"/>
      <c r="AB342" s="2174"/>
      <c r="AC342" s="2174"/>
      <c r="AD342" s="2174"/>
      <c r="AE342" s="2174"/>
      <c r="AF342" s="2174"/>
      <c r="AG342" s="2174"/>
      <c r="AH342" s="2174"/>
      <c r="AI342" s="2174"/>
      <c r="AJ342" s="2175"/>
      <c r="AK342" s="2175"/>
      <c r="AL342" s="2175"/>
      <c r="AM342" s="2175"/>
      <c r="AN342" s="2175"/>
      <c r="AO342" s="2175"/>
      <c r="AP342" s="2175"/>
      <c r="AQ342" s="2175"/>
      <c r="AR342" s="2176"/>
      <c r="AS342" s="1948"/>
      <c r="AT342" s="1949"/>
    </row>
    <row r="343" spans="1:46" ht="24.95" customHeight="1" x14ac:dyDescent="0.3">
      <c r="A343" s="1207"/>
      <c r="B343" s="1207"/>
      <c r="C343" s="1655"/>
      <c r="D343" s="1654" t="s">
        <v>155</v>
      </c>
      <c r="E343" s="23"/>
      <c r="F343" s="23"/>
      <c r="G343" s="23"/>
      <c r="H343" s="2186">
        <v>0</v>
      </c>
      <c r="I343" s="2186">
        <v>0</v>
      </c>
      <c r="J343" s="2186">
        <v>0</v>
      </c>
      <c r="K343" s="23"/>
      <c r="L343" s="23"/>
      <c r="M343" s="23"/>
      <c r="N343" s="2186"/>
      <c r="O343" s="2186"/>
      <c r="P343" s="2186"/>
      <c r="Q343" s="23"/>
      <c r="R343" s="23"/>
      <c r="S343" s="23"/>
      <c r="T343" s="2189">
        <f t="shared" si="239"/>
        <v>0</v>
      </c>
      <c r="U343" s="2190">
        <f t="shared" si="237"/>
        <v>0</v>
      </c>
      <c r="V343" s="2191">
        <f t="shared" si="238"/>
        <v>0</v>
      </c>
      <c r="W343" s="2192">
        <f t="shared" si="240"/>
        <v>0</v>
      </c>
      <c r="X343" s="1075" t="str">
        <f t="shared" si="241"/>
        <v>1.33</v>
      </c>
      <c r="Y343" s="1075" t="str">
        <f t="shared" si="242"/>
        <v>D+</v>
      </c>
      <c r="Z343" s="1075" t="str">
        <f t="shared" si="243"/>
        <v>0</v>
      </c>
      <c r="AA343" s="2173"/>
      <c r="AB343" s="2174"/>
      <c r="AC343" s="2174"/>
      <c r="AD343" s="2174"/>
      <c r="AE343" s="2174"/>
      <c r="AF343" s="2174"/>
      <c r="AG343" s="2174"/>
      <c r="AH343" s="2174"/>
      <c r="AI343" s="2174"/>
      <c r="AJ343" s="2175"/>
      <c r="AK343" s="2175"/>
      <c r="AL343" s="2175"/>
      <c r="AM343" s="2175"/>
      <c r="AN343" s="2175"/>
      <c r="AO343" s="2175"/>
      <c r="AP343" s="2175"/>
      <c r="AQ343" s="2175"/>
      <c r="AR343" s="2176"/>
      <c r="AS343" s="1948"/>
      <c r="AT343" s="1949"/>
    </row>
    <row r="344" spans="1:46" ht="24.95" customHeight="1" x14ac:dyDescent="0.3">
      <c r="A344" s="1207"/>
      <c r="B344" s="1207"/>
      <c r="C344" s="1655"/>
      <c r="D344" s="1654" t="s">
        <v>187</v>
      </c>
      <c r="E344" s="23"/>
      <c r="F344" s="23"/>
      <c r="G344" s="23"/>
      <c r="H344" s="2186"/>
      <c r="I344" s="2186"/>
      <c r="J344" s="2186"/>
      <c r="K344" s="23">
        <v>0</v>
      </c>
      <c r="L344" s="23">
        <v>0</v>
      </c>
      <c r="M344" s="23">
        <v>0</v>
      </c>
      <c r="N344" s="2186"/>
      <c r="O344" s="2186"/>
      <c r="P344" s="2186"/>
      <c r="Q344" s="23"/>
      <c r="R344" s="23"/>
      <c r="S344" s="23"/>
      <c r="T344" s="2189">
        <f t="shared" si="239"/>
        <v>0</v>
      </c>
      <c r="U344" s="2190">
        <f t="shared" si="237"/>
        <v>0</v>
      </c>
      <c r="V344" s="2191">
        <f t="shared" si="238"/>
        <v>0</v>
      </c>
      <c r="W344" s="2192">
        <f t="shared" si="240"/>
        <v>0</v>
      </c>
      <c r="X344" s="1075" t="str">
        <f t="shared" si="241"/>
        <v>1.33</v>
      </c>
      <c r="Y344" s="1075" t="str">
        <f t="shared" si="242"/>
        <v>D+</v>
      </c>
      <c r="Z344" s="1075" t="str">
        <f t="shared" si="243"/>
        <v>0</v>
      </c>
      <c r="AA344" s="2173"/>
      <c r="AB344" s="2174"/>
      <c r="AC344" s="2174"/>
      <c r="AD344" s="2174"/>
      <c r="AE344" s="2174"/>
      <c r="AF344" s="2174"/>
      <c r="AG344" s="2174"/>
      <c r="AH344" s="2174"/>
      <c r="AI344" s="2174"/>
      <c r="AJ344" s="2175"/>
      <c r="AK344" s="2175"/>
      <c r="AL344" s="2175"/>
      <c r="AM344" s="2175"/>
      <c r="AN344" s="2175"/>
      <c r="AO344" s="2175"/>
      <c r="AP344" s="2175"/>
      <c r="AQ344" s="2175"/>
      <c r="AR344" s="2176"/>
      <c r="AS344" s="1948"/>
      <c r="AT344" s="1949"/>
    </row>
    <row r="345" spans="1:46" ht="24.95" customHeight="1" x14ac:dyDescent="0.3">
      <c r="A345" s="1207"/>
      <c r="B345" s="1207"/>
      <c r="C345" s="1655"/>
      <c r="D345" s="1654" t="s">
        <v>17</v>
      </c>
      <c r="E345" s="23"/>
      <c r="F345" s="23"/>
      <c r="G345" s="23"/>
      <c r="H345" s="2186"/>
      <c r="I345" s="2186"/>
      <c r="J345" s="2186"/>
      <c r="K345" s="23">
        <v>0</v>
      </c>
      <c r="L345" s="23">
        <v>0</v>
      </c>
      <c r="M345" s="23">
        <v>0</v>
      </c>
      <c r="N345" s="2186"/>
      <c r="O345" s="2186"/>
      <c r="P345" s="2186"/>
      <c r="Q345" s="23"/>
      <c r="R345" s="23"/>
      <c r="S345" s="23"/>
      <c r="T345" s="2189">
        <f t="shared" si="239"/>
        <v>0</v>
      </c>
      <c r="U345" s="2190">
        <f t="shared" si="237"/>
        <v>0</v>
      </c>
      <c r="V345" s="2191">
        <f t="shared" si="238"/>
        <v>0</v>
      </c>
      <c r="W345" s="2192">
        <f t="shared" si="240"/>
        <v>0</v>
      </c>
      <c r="X345" s="1075" t="str">
        <f t="shared" si="241"/>
        <v>1.33</v>
      </c>
      <c r="Y345" s="1075" t="str">
        <f t="shared" si="242"/>
        <v>D+</v>
      </c>
      <c r="Z345" s="1075" t="str">
        <f t="shared" si="243"/>
        <v>0</v>
      </c>
      <c r="AA345" s="2173"/>
      <c r="AB345" s="2174"/>
      <c r="AC345" s="2174"/>
      <c r="AD345" s="2174"/>
      <c r="AE345" s="2174"/>
      <c r="AF345" s="2174"/>
      <c r="AG345" s="2174"/>
      <c r="AH345" s="2174"/>
      <c r="AI345" s="2174"/>
      <c r="AJ345" s="2175"/>
      <c r="AK345" s="2175"/>
      <c r="AL345" s="2175"/>
      <c r="AM345" s="2175"/>
      <c r="AN345" s="2175"/>
      <c r="AO345" s="2175"/>
      <c r="AP345" s="2175"/>
      <c r="AQ345" s="2175"/>
      <c r="AR345" s="2176"/>
      <c r="AS345" s="1948"/>
      <c r="AT345" s="1949"/>
    </row>
    <row r="346" spans="1:46" ht="24.95" customHeight="1" x14ac:dyDescent="0.3">
      <c r="A346" s="1207"/>
      <c r="B346" s="1207"/>
      <c r="C346" s="1655"/>
      <c r="D346" s="1654" t="s">
        <v>606</v>
      </c>
      <c r="E346" s="23"/>
      <c r="F346" s="23"/>
      <c r="G346" s="23"/>
      <c r="H346" s="2186"/>
      <c r="I346" s="2186"/>
      <c r="J346" s="2186"/>
      <c r="K346" s="23"/>
      <c r="L346" s="23"/>
      <c r="M346" s="23"/>
      <c r="N346" s="2186">
        <v>0</v>
      </c>
      <c r="O346" s="2186">
        <v>0</v>
      </c>
      <c r="P346" s="2186">
        <v>0</v>
      </c>
      <c r="Q346" s="23"/>
      <c r="R346" s="23"/>
      <c r="S346" s="23"/>
      <c r="T346" s="2189">
        <f t="shared" si="239"/>
        <v>0</v>
      </c>
      <c r="U346" s="2190">
        <f t="shared" si="237"/>
        <v>0</v>
      </c>
      <c r="V346" s="2191">
        <f t="shared" si="238"/>
        <v>0</v>
      </c>
      <c r="W346" s="2192">
        <f t="shared" si="240"/>
        <v>0</v>
      </c>
      <c r="X346" s="1075" t="str">
        <f t="shared" si="241"/>
        <v>1.33</v>
      </c>
      <c r="Y346" s="1075" t="str">
        <f t="shared" si="242"/>
        <v>D+</v>
      </c>
      <c r="Z346" s="1075" t="str">
        <f t="shared" si="243"/>
        <v>0</v>
      </c>
      <c r="AA346" s="2173"/>
      <c r="AB346" s="2174"/>
      <c r="AC346" s="2174"/>
      <c r="AD346" s="2174"/>
      <c r="AE346" s="2174"/>
      <c r="AF346" s="2174"/>
      <c r="AG346" s="2174"/>
      <c r="AH346" s="2174"/>
      <c r="AI346" s="2174"/>
      <c r="AJ346" s="2175"/>
      <c r="AK346" s="2175"/>
      <c r="AL346" s="2175"/>
      <c r="AM346" s="2175"/>
      <c r="AN346" s="2175"/>
      <c r="AO346" s="2175"/>
      <c r="AP346" s="2175"/>
      <c r="AQ346" s="2175"/>
      <c r="AR346" s="2176"/>
      <c r="AS346" s="1948"/>
      <c r="AT346" s="1949"/>
    </row>
    <row r="347" spans="1:46" ht="24.95" customHeight="1" x14ac:dyDescent="0.3">
      <c r="A347" s="1207"/>
      <c r="B347" s="1207"/>
      <c r="C347" s="1655"/>
      <c r="D347" s="1654" t="s">
        <v>607</v>
      </c>
      <c r="E347" s="23"/>
      <c r="F347" s="23"/>
      <c r="G347" s="23"/>
      <c r="H347" s="2186"/>
      <c r="I347" s="2186"/>
      <c r="J347" s="2186"/>
      <c r="K347" s="23"/>
      <c r="L347" s="23"/>
      <c r="M347" s="23"/>
      <c r="N347" s="2186">
        <v>0</v>
      </c>
      <c r="O347" s="2186">
        <v>0</v>
      </c>
      <c r="P347" s="2186">
        <v>0</v>
      </c>
      <c r="Q347" s="23"/>
      <c r="R347" s="23"/>
      <c r="S347" s="23"/>
      <c r="T347" s="2189">
        <f t="shared" si="239"/>
        <v>0</v>
      </c>
      <c r="U347" s="2190">
        <f t="shared" si="237"/>
        <v>0</v>
      </c>
      <c r="V347" s="2191">
        <f t="shared" si="238"/>
        <v>0</v>
      </c>
      <c r="W347" s="2192">
        <f t="shared" si="240"/>
        <v>0</v>
      </c>
      <c r="X347" s="1075" t="str">
        <f t="shared" si="241"/>
        <v>1.33</v>
      </c>
      <c r="Y347" s="1075" t="str">
        <f t="shared" si="242"/>
        <v>D+</v>
      </c>
      <c r="Z347" s="1075" t="str">
        <f t="shared" si="243"/>
        <v>0</v>
      </c>
      <c r="AA347" s="2173"/>
      <c r="AB347" s="2174"/>
      <c r="AC347" s="2174"/>
      <c r="AD347" s="2174"/>
      <c r="AE347" s="2174"/>
      <c r="AF347" s="2174"/>
      <c r="AG347" s="2174"/>
      <c r="AH347" s="2174"/>
      <c r="AI347" s="2174"/>
      <c r="AJ347" s="2175"/>
      <c r="AK347" s="2175"/>
      <c r="AL347" s="2175"/>
      <c r="AM347" s="2175"/>
      <c r="AN347" s="2175"/>
      <c r="AO347" s="2175"/>
      <c r="AP347" s="2175"/>
      <c r="AQ347" s="2175"/>
      <c r="AR347" s="2176"/>
      <c r="AS347" s="1948"/>
      <c r="AT347" s="1949"/>
    </row>
    <row r="348" spans="1:46" ht="24.95" customHeight="1" x14ac:dyDescent="0.3">
      <c r="A348" s="1656"/>
      <c r="B348" s="1207"/>
      <c r="C348" s="1655"/>
      <c r="D348" s="1654" t="s">
        <v>22</v>
      </c>
      <c r="E348" s="2187"/>
      <c r="F348" s="2187"/>
      <c r="G348" s="2187"/>
      <c r="H348" s="2188"/>
      <c r="I348" s="2186"/>
      <c r="J348" s="2186"/>
      <c r="K348" s="23"/>
      <c r="L348" s="23"/>
      <c r="M348" s="23"/>
      <c r="N348" s="2186"/>
      <c r="O348" s="2186"/>
      <c r="P348" s="2186"/>
      <c r="Q348" s="23">
        <v>0</v>
      </c>
      <c r="R348" s="23">
        <v>0</v>
      </c>
      <c r="S348" s="23">
        <v>0</v>
      </c>
      <c r="T348" s="2189">
        <f t="shared" si="239"/>
        <v>0</v>
      </c>
      <c r="U348" s="2190">
        <f t="shared" si="237"/>
        <v>0</v>
      </c>
      <c r="V348" s="2191">
        <f t="shared" si="238"/>
        <v>0</v>
      </c>
      <c r="W348" s="2192">
        <f t="shared" si="240"/>
        <v>0</v>
      </c>
      <c r="X348" s="1075" t="str">
        <f t="shared" si="241"/>
        <v>1.33</v>
      </c>
      <c r="Y348" s="1075" t="str">
        <f t="shared" si="242"/>
        <v>D+</v>
      </c>
      <c r="Z348" s="1075" t="str">
        <f t="shared" si="243"/>
        <v>0</v>
      </c>
      <c r="AA348" s="2173"/>
      <c r="AB348" s="2174"/>
      <c r="AC348" s="2174"/>
      <c r="AD348" s="2174"/>
      <c r="AE348" s="2174"/>
      <c r="AF348" s="2174"/>
      <c r="AG348" s="2174"/>
      <c r="AH348" s="2174"/>
      <c r="AI348" s="2174"/>
      <c r="AJ348" s="2175"/>
      <c r="AK348" s="2175"/>
      <c r="AL348" s="2175"/>
      <c r="AM348" s="2175"/>
      <c r="AN348" s="2175"/>
      <c r="AO348" s="2175"/>
      <c r="AP348" s="2175"/>
      <c r="AQ348" s="2175"/>
      <c r="AR348" s="2176"/>
      <c r="AS348" s="1950"/>
      <c r="AT348" s="1951"/>
    </row>
    <row r="349" spans="1:46" ht="24.95" customHeight="1" x14ac:dyDescent="0.3">
      <c r="A349" s="1236"/>
      <c r="B349" s="1237">
        <v>34</v>
      </c>
      <c r="C349" s="1658"/>
      <c r="D349" s="1236"/>
      <c r="E349" s="2650"/>
      <c r="F349" s="2651"/>
      <c r="G349" s="2651"/>
      <c r="H349" s="2651"/>
      <c r="I349" s="2652"/>
      <c r="J349" s="2109"/>
      <c r="K349" s="2109"/>
      <c r="L349" s="2109"/>
      <c r="M349" s="2109"/>
      <c r="N349" s="2109"/>
      <c r="O349" s="2109"/>
      <c r="P349" s="2109"/>
      <c r="Q349" s="2109"/>
      <c r="R349" s="2109"/>
      <c r="S349" s="2109"/>
      <c r="T349" s="2193"/>
      <c r="U349" s="2193"/>
      <c r="V349" s="2193"/>
      <c r="W349" s="2194">
        <f>IFERROR(AVERAGE(W340:W348),"  ")</f>
        <v>0</v>
      </c>
      <c r="X349" s="1454" t="str">
        <f>IF(W349&gt;85,("4"),IF(W349&gt;80,("3.66"),IF(W349&gt;75,("3.33"),IF(W349&gt;70,("3.00"),IF(W349&gt;65,("2.66"),IF(W349&gt;60,("2.33"),IF(W349&gt;55,("2"),IF(W349&gt;50,("1.66"),"1.33"))))))))</f>
        <v>1.33</v>
      </c>
      <c r="Y349" s="1454" t="str">
        <f>IF(W349&gt;85,("A"),IF(W349&gt;80,("A-"),IF(W349&gt;75,("B+"),IF(W349&gt;70,("B"),IF(W349&gt;65,("B-"),IF(W349&gt;60,("C+"),IF(W349&gt;55,("C"),IF(W349&gt;50,("C-"),"D+"))))))))</f>
        <v>D+</v>
      </c>
      <c r="Z349" s="1666"/>
      <c r="AA349" s="2182"/>
      <c r="AB349" s="2183"/>
      <c r="AC349" s="2183"/>
      <c r="AD349" s="2183"/>
      <c r="AE349" s="2183"/>
      <c r="AF349" s="2183"/>
      <c r="AG349" s="2183"/>
      <c r="AH349" s="2183"/>
      <c r="AI349" s="2183"/>
      <c r="AJ349" s="2183"/>
      <c r="AK349" s="2183"/>
      <c r="AL349" s="2183"/>
      <c r="AM349" s="2183"/>
      <c r="AN349" s="2183"/>
      <c r="AO349" s="2183"/>
      <c r="AP349" s="2183"/>
      <c r="AQ349" s="2183"/>
      <c r="AR349" s="2184"/>
      <c r="AS349" s="1952"/>
      <c r="AT349" s="1953"/>
    </row>
    <row r="350" spans="1:46" ht="24.95" customHeight="1" x14ac:dyDescent="0.3">
      <c r="A350" s="1224">
        <v>35</v>
      </c>
      <c r="B350" s="1224"/>
      <c r="C350" s="1653" t="e">
        <f>VLOOKUP(A350,data_siswa,4,FALSE)</f>
        <v>#N/A</v>
      </c>
      <c r="D350" s="1654" t="s">
        <v>603</v>
      </c>
      <c r="E350" s="1211">
        <v>0</v>
      </c>
      <c r="F350" s="1211">
        <v>0</v>
      </c>
      <c r="G350" s="1211">
        <v>0</v>
      </c>
      <c r="H350" s="2185"/>
      <c r="I350" s="2185"/>
      <c r="J350" s="2185"/>
      <c r="K350" s="1211"/>
      <c r="L350" s="1211"/>
      <c r="M350" s="1211"/>
      <c r="N350" s="2185"/>
      <c r="O350" s="2185"/>
      <c r="P350" s="2185"/>
      <c r="Q350" s="1211"/>
      <c r="R350" s="1211"/>
      <c r="S350" s="1211"/>
      <c r="T350" s="2189">
        <f>MAX(H350,K350,N350,Q350)</f>
        <v>0</v>
      </c>
      <c r="U350" s="2190">
        <f t="shared" ref="U350:U358" si="244">MAX(I350,L350,O350,R350)</f>
        <v>0</v>
      </c>
      <c r="V350" s="2191">
        <f t="shared" ref="V350:V358" si="245">MAX(J350,M350,P350,S350)</f>
        <v>0</v>
      </c>
      <c r="W350" s="2192">
        <f>IFERROR(AVERAGE(T350:V350),"")</f>
        <v>0</v>
      </c>
      <c r="X350" s="1075" t="str">
        <f>IF(W350&gt;85,("4"),IF(W350&gt;80,("3.66"),IF(W350&gt;75,("3.33"),IF(W350&gt;70,("3.00"),IF(W350&gt;65,("2.66"),IF(W350&gt;60,("2.33"),IF(W350&gt;55,("2"),IF(W350&gt;50,("1.66"),"1.33"))))))))</f>
        <v>1.33</v>
      </c>
      <c r="Y350" s="1075" t="str">
        <f>IF(W350&gt;85,("A"),IF(W350&gt;80,("A-"),IF(W350&gt;75,("B+"),IF(W350&gt;70,("B"),IF(W350&gt;65,("B-"),IF(W350&gt;60,("C+"),IF(W350&gt;55,("C"),IF(W350&gt;50,("C-"),"D+"))))))))</f>
        <v>D+</v>
      </c>
      <c r="Z350" s="1075" t="str">
        <f>IF(W350&gt;80,("SB"),IF(W350&gt;65,("B"),IF(W350&gt;50,("C"),IF(W350&gt;0,("K"),"0"))))</f>
        <v>0</v>
      </c>
      <c r="AA350" s="2180"/>
      <c r="AB350" s="2180"/>
      <c r="AC350" s="2180"/>
      <c r="AD350" s="2180"/>
      <c r="AE350" s="2180"/>
      <c r="AF350" s="2180"/>
      <c r="AG350" s="2180"/>
      <c r="AH350" s="2180"/>
      <c r="AI350" s="2180"/>
      <c r="AJ350" s="2181"/>
      <c r="AK350" s="2181"/>
      <c r="AL350" s="2181"/>
      <c r="AM350" s="2181"/>
      <c r="AN350" s="2181"/>
      <c r="AO350" s="2181"/>
      <c r="AP350" s="2181"/>
      <c r="AQ350" s="2181"/>
      <c r="AR350" s="2181"/>
      <c r="AS350" s="1910">
        <f>W359</f>
        <v>0</v>
      </c>
      <c r="AT350" s="1910" t="str">
        <f>Y359</f>
        <v>D+</v>
      </c>
    </row>
    <row r="351" spans="1:46" ht="24.95" customHeight="1" x14ac:dyDescent="0.3">
      <c r="A351" s="1207"/>
      <c r="B351" s="1207"/>
      <c r="C351" s="1655"/>
      <c r="D351" s="1654" t="s">
        <v>604</v>
      </c>
      <c r="E351" s="23">
        <v>0</v>
      </c>
      <c r="F351" s="23">
        <v>0</v>
      </c>
      <c r="G351" s="23">
        <v>0</v>
      </c>
      <c r="H351" s="2186"/>
      <c r="I351" s="2186"/>
      <c r="J351" s="2186"/>
      <c r="K351" s="23"/>
      <c r="L351" s="23"/>
      <c r="M351" s="23"/>
      <c r="N351" s="2186"/>
      <c r="O351" s="2186"/>
      <c r="P351" s="2186"/>
      <c r="Q351" s="23"/>
      <c r="R351" s="23"/>
      <c r="S351" s="23"/>
      <c r="T351" s="2189">
        <f t="shared" ref="T351:T358" si="246">MAX(H351,K351,N351,Q351)</f>
        <v>0</v>
      </c>
      <c r="U351" s="2190">
        <f t="shared" si="244"/>
        <v>0</v>
      </c>
      <c r="V351" s="2191">
        <f t="shared" si="245"/>
        <v>0</v>
      </c>
      <c r="W351" s="2192">
        <f t="shared" ref="W351:W358" si="247">IFERROR(AVERAGE(T351:V351),"")</f>
        <v>0</v>
      </c>
      <c r="X351" s="1075" t="str">
        <f t="shared" ref="X351:X358" si="248">IF(W351&gt;85,("4"),IF(W351&gt;80,("3.66"),IF(W351&gt;75,("3.33"),IF(W351&gt;70,("3.00"),IF(W351&gt;65,("2.66"),IF(W351&gt;60,("2.33"),IF(W351&gt;55,("2"),IF(W351&gt;50,("1.66"),"1.33"))))))))</f>
        <v>1.33</v>
      </c>
      <c r="Y351" s="1075" t="str">
        <f t="shared" ref="Y351:Y358" si="249">IF(W351&gt;85,("A"),IF(W351&gt;80,("A-"),IF(W351&gt;75,("B+"),IF(W351&gt;70,("B"),IF(W351&gt;65,("B-"),IF(W351&gt;60,("C+"),IF(W351&gt;55,("C"),IF(W351&gt;50,("C-"),"D+"))))))))</f>
        <v>D+</v>
      </c>
      <c r="Z351" s="1075" t="str">
        <f t="shared" ref="Z351:Z358" si="250">IF(W351&gt;80,("SB"),IF(W351&gt;65,("B"),IF(W351&gt;50,("C"),IF(W351&gt;0,("K"),"0"))))</f>
        <v>0</v>
      </c>
      <c r="AA351" s="2169"/>
      <c r="AB351" s="2170"/>
      <c r="AC351" s="2170"/>
      <c r="AD351" s="2170"/>
      <c r="AE351" s="2170"/>
      <c r="AF351" s="2170"/>
      <c r="AG351" s="2170"/>
      <c r="AH351" s="2170"/>
      <c r="AI351" s="2170"/>
      <c r="AJ351" s="2171"/>
      <c r="AK351" s="2171"/>
      <c r="AL351" s="2171"/>
      <c r="AM351" s="2171"/>
      <c r="AN351" s="2171"/>
      <c r="AO351" s="2171"/>
      <c r="AP351" s="2171"/>
      <c r="AQ351" s="2171"/>
      <c r="AR351" s="2172"/>
      <c r="AS351" s="1946"/>
      <c r="AT351" s="1947"/>
    </row>
    <row r="352" spans="1:46" ht="24.95" customHeight="1" x14ac:dyDescent="0.3">
      <c r="A352" s="1207"/>
      <c r="B352" s="1207"/>
      <c r="C352" s="1655"/>
      <c r="D352" s="1654" t="s">
        <v>605</v>
      </c>
      <c r="E352" s="23">
        <v>0</v>
      </c>
      <c r="F352" s="23">
        <v>0</v>
      </c>
      <c r="G352" s="23">
        <v>0</v>
      </c>
      <c r="H352" s="2186"/>
      <c r="I352" s="2186"/>
      <c r="J352" s="2186"/>
      <c r="K352" s="23"/>
      <c r="L352" s="23"/>
      <c r="M352" s="23"/>
      <c r="N352" s="2186"/>
      <c r="O352" s="2186"/>
      <c r="P352" s="2186"/>
      <c r="Q352" s="23"/>
      <c r="R352" s="23"/>
      <c r="S352" s="23"/>
      <c r="T352" s="2189">
        <f t="shared" si="246"/>
        <v>0</v>
      </c>
      <c r="U352" s="2190">
        <f t="shared" si="244"/>
        <v>0</v>
      </c>
      <c r="V352" s="2191">
        <f t="shared" si="245"/>
        <v>0</v>
      </c>
      <c r="W352" s="2192">
        <f t="shared" si="247"/>
        <v>0</v>
      </c>
      <c r="X352" s="1075" t="str">
        <f t="shared" si="248"/>
        <v>1.33</v>
      </c>
      <c r="Y352" s="1075" t="str">
        <f t="shared" si="249"/>
        <v>D+</v>
      </c>
      <c r="Z352" s="1075" t="str">
        <f t="shared" si="250"/>
        <v>0</v>
      </c>
      <c r="AA352" s="2173"/>
      <c r="AB352" s="2174"/>
      <c r="AC352" s="2174"/>
      <c r="AD352" s="2174"/>
      <c r="AE352" s="2174"/>
      <c r="AF352" s="2174"/>
      <c r="AG352" s="2174"/>
      <c r="AH352" s="2174"/>
      <c r="AI352" s="2174"/>
      <c r="AJ352" s="2175"/>
      <c r="AK352" s="2175"/>
      <c r="AL352" s="2175"/>
      <c r="AM352" s="2175"/>
      <c r="AN352" s="2175"/>
      <c r="AO352" s="2175"/>
      <c r="AP352" s="2175"/>
      <c r="AQ352" s="2175"/>
      <c r="AR352" s="2176"/>
      <c r="AS352" s="1948"/>
      <c r="AT352" s="1949"/>
    </row>
    <row r="353" spans="1:46" ht="24.95" customHeight="1" x14ac:dyDescent="0.3">
      <c r="A353" s="1207"/>
      <c r="B353" s="1207"/>
      <c r="C353" s="1655"/>
      <c r="D353" s="1654" t="s">
        <v>155</v>
      </c>
      <c r="E353" s="23"/>
      <c r="F353" s="23"/>
      <c r="G353" s="23"/>
      <c r="H353" s="2186">
        <v>0</v>
      </c>
      <c r="I353" s="2186">
        <v>0</v>
      </c>
      <c r="J353" s="2186">
        <v>0</v>
      </c>
      <c r="K353" s="23"/>
      <c r="L353" s="23"/>
      <c r="M353" s="23"/>
      <c r="N353" s="2186"/>
      <c r="O353" s="2186"/>
      <c r="P353" s="2186"/>
      <c r="Q353" s="23"/>
      <c r="R353" s="23"/>
      <c r="S353" s="23"/>
      <c r="T353" s="2189">
        <f t="shared" si="246"/>
        <v>0</v>
      </c>
      <c r="U353" s="2190">
        <f t="shared" si="244"/>
        <v>0</v>
      </c>
      <c r="V353" s="2191">
        <f t="shared" si="245"/>
        <v>0</v>
      </c>
      <c r="W353" s="2192">
        <f t="shared" si="247"/>
        <v>0</v>
      </c>
      <c r="X353" s="1075" t="str">
        <f t="shared" si="248"/>
        <v>1.33</v>
      </c>
      <c r="Y353" s="1075" t="str">
        <f t="shared" si="249"/>
        <v>D+</v>
      </c>
      <c r="Z353" s="1075" t="str">
        <f t="shared" si="250"/>
        <v>0</v>
      </c>
      <c r="AA353" s="2173"/>
      <c r="AB353" s="2174"/>
      <c r="AC353" s="2174"/>
      <c r="AD353" s="2174"/>
      <c r="AE353" s="2174"/>
      <c r="AF353" s="2174"/>
      <c r="AG353" s="2174"/>
      <c r="AH353" s="2174"/>
      <c r="AI353" s="2174"/>
      <c r="AJ353" s="2175"/>
      <c r="AK353" s="2175"/>
      <c r="AL353" s="2175"/>
      <c r="AM353" s="2175"/>
      <c r="AN353" s="2175"/>
      <c r="AO353" s="2175"/>
      <c r="AP353" s="2175"/>
      <c r="AQ353" s="2175"/>
      <c r="AR353" s="2176"/>
      <c r="AS353" s="1948"/>
      <c r="AT353" s="1949"/>
    </row>
    <row r="354" spans="1:46" ht="24.95" customHeight="1" x14ac:dyDescent="0.3">
      <c r="A354" s="1207"/>
      <c r="B354" s="1207"/>
      <c r="C354" s="1655"/>
      <c r="D354" s="1654" t="s">
        <v>187</v>
      </c>
      <c r="E354" s="23"/>
      <c r="F354" s="23"/>
      <c r="G354" s="23"/>
      <c r="H354" s="2186"/>
      <c r="I354" s="2186"/>
      <c r="J354" s="2186"/>
      <c r="K354" s="23">
        <v>0</v>
      </c>
      <c r="L354" s="23">
        <v>0</v>
      </c>
      <c r="M354" s="23">
        <v>0</v>
      </c>
      <c r="N354" s="2186"/>
      <c r="O354" s="2186"/>
      <c r="P354" s="2186"/>
      <c r="Q354" s="23"/>
      <c r="R354" s="23"/>
      <c r="S354" s="23"/>
      <c r="T354" s="2189">
        <f t="shared" si="246"/>
        <v>0</v>
      </c>
      <c r="U354" s="2190">
        <f t="shared" si="244"/>
        <v>0</v>
      </c>
      <c r="V354" s="2191">
        <f t="shared" si="245"/>
        <v>0</v>
      </c>
      <c r="W354" s="2192">
        <f t="shared" si="247"/>
        <v>0</v>
      </c>
      <c r="X354" s="1075" t="str">
        <f t="shared" si="248"/>
        <v>1.33</v>
      </c>
      <c r="Y354" s="1075" t="str">
        <f t="shared" si="249"/>
        <v>D+</v>
      </c>
      <c r="Z354" s="1075" t="str">
        <f t="shared" si="250"/>
        <v>0</v>
      </c>
      <c r="AA354" s="2173"/>
      <c r="AB354" s="2174"/>
      <c r="AC354" s="2174"/>
      <c r="AD354" s="2174"/>
      <c r="AE354" s="2174"/>
      <c r="AF354" s="2174"/>
      <c r="AG354" s="2174"/>
      <c r="AH354" s="2174"/>
      <c r="AI354" s="2174"/>
      <c r="AJ354" s="2175"/>
      <c r="AK354" s="2175"/>
      <c r="AL354" s="2175"/>
      <c r="AM354" s="2175"/>
      <c r="AN354" s="2175"/>
      <c r="AO354" s="2175"/>
      <c r="AP354" s="2175"/>
      <c r="AQ354" s="2175"/>
      <c r="AR354" s="2176"/>
      <c r="AS354" s="1948"/>
      <c r="AT354" s="1949"/>
    </row>
    <row r="355" spans="1:46" ht="24.95" customHeight="1" x14ac:dyDescent="0.3">
      <c r="A355" s="1207"/>
      <c r="B355" s="1207"/>
      <c r="C355" s="1655"/>
      <c r="D355" s="1654" t="s">
        <v>17</v>
      </c>
      <c r="E355" s="23"/>
      <c r="F355" s="23"/>
      <c r="G355" s="23"/>
      <c r="H355" s="2186"/>
      <c r="I355" s="2186"/>
      <c r="J355" s="2186"/>
      <c r="K355" s="23">
        <v>0</v>
      </c>
      <c r="L355" s="23">
        <v>0</v>
      </c>
      <c r="M355" s="23">
        <v>0</v>
      </c>
      <c r="N355" s="2186"/>
      <c r="O355" s="2186"/>
      <c r="P355" s="2186"/>
      <c r="Q355" s="23"/>
      <c r="R355" s="23"/>
      <c r="S355" s="23"/>
      <c r="T355" s="2189">
        <f t="shared" si="246"/>
        <v>0</v>
      </c>
      <c r="U355" s="2190">
        <f t="shared" si="244"/>
        <v>0</v>
      </c>
      <c r="V355" s="2191">
        <f t="shared" si="245"/>
        <v>0</v>
      </c>
      <c r="W355" s="2192">
        <f t="shared" si="247"/>
        <v>0</v>
      </c>
      <c r="X355" s="1075" t="str">
        <f t="shared" si="248"/>
        <v>1.33</v>
      </c>
      <c r="Y355" s="1075" t="str">
        <f t="shared" si="249"/>
        <v>D+</v>
      </c>
      <c r="Z355" s="1075" t="str">
        <f t="shared" si="250"/>
        <v>0</v>
      </c>
      <c r="AA355" s="2173"/>
      <c r="AB355" s="2174"/>
      <c r="AC355" s="2174"/>
      <c r="AD355" s="2174"/>
      <c r="AE355" s="2174"/>
      <c r="AF355" s="2174"/>
      <c r="AG355" s="2174"/>
      <c r="AH355" s="2174"/>
      <c r="AI355" s="2174"/>
      <c r="AJ355" s="2175"/>
      <c r="AK355" s="2175"/>
      <c r="AL355" s="2175"/>
      <c r="AM355" s="2175"/>
      <c r="AN355" s="2175"/>
      <c r="AO355" s="2175"/>
      <c r="AP355" s="2175"/>
      <c r="AQ355" s="2175"/>
      <c r="AR355" s="2176"/>
      <c r="AS355" s="1948"/>
      <c r="AT355" s="1949"/>
    </row>
    <row r="356" spans="1:46" ht="24.95" customHeight="1" x14ac:dyDescent="0.3">
      <c r="A356" s="1207"/>
      <c r="B356" s="1207"/>
      <c r="C356" s="1655"/>
      <c r="D356" s="1654" t="s">
        <v>606</v>
      </c>
      <c r="E356" s="23"/>
      <c r="F356" s="23"/>
      <c r="G356" s="23"/>
      <c r="H356" s="2186"/>
      <c r="I356" s="2186"/>
      <c r="J356" s="2186"/>
      <c r="K356" s="23"/>
      <c r="L356" s="23"/>
      <c r="M356" s="23"/>
      <c r="N356" s="2186">
        <v>0</v>
      </c>
      <c r="O356" s="2186">
        <v>0</v>
      </c>
      <c r="P356" s="2186">
        <v>0</v>
      </c>
      <c r="Q356" s="23"/>
      <c r="R356" s="23"/>
      <c r="S356" s="23"/>
      <c r="T356" s="2189">
        <f t="shared" si="246"/>
        <v>0</v>
      </c>
      <c r="U356" s="2190">
        <f t="shared" si="244"/>
        <v>0</v>
      </c>
      <c r="V356" s="2191">
        <f t="shared" si="245"/>
        <v>0</v>
      </c>
      <c r="W356" s="2192">
        <f t="shared" si="247"/>
        <v>0</v>
      </c>
      <c r="X356" s="1075" t="str">
        <f t="shared" si="248"/>
        <v>1.33</v>
      </c>
      <c r="Y356" s="1075" t="str">
        <f t="shared" si="249"/>
        <v>D+</v>
      </c>
      <c r="Z356" s="1075" t="str">
        <f t="shared" si="250"/>
        <v>0</v>
      </c>
      <c r="AA356" s="2173"/>
      <c r="AB356" s="2174"/>
      <c r="AC356" s="2174"/>
      <c r="AD356" s="2174"/>
      <c r="AE356" s="2174"/>
      <c r="AF356" s="2174"/>
      <c r="AG356" s="2174"/>
      <c r="AH356" s="2174"/>
      <c r="AI356" s="2174"/>
      <c r="AJ356" s="2175"/>
      <c r="AK356" s="2175"/>
      <c r="AL356" s="2175"/>
      <c r="AM356" s="2175"/>
      <c r="AN356" s="2175"/>
      <c r="AO356" s="2175"/>
      <c r="AP356" s="2175"/>
      <c r="AQ356" s="2175"/>
      <c r="AR356" s="2176"/>
      <c r="AS356" s="1948"/>
      <c r="AT356" s="1949"/>
    </row>
    <row r="357" spans="1:46" ht="24.95" customHeight="1" x14ac:dyDescent="0.3">
      <c r="A357" s="1207"/>
      <c r="B357" s="1207"/>
      <c r="C357" s="1655"/>
      <c r="D357" s="1654" t="s">
        <v>607</v>
      </c>
      <c r="E357" s="23"/>
      <c r="F357" s="23"/>
      <c r="G357" s="23"/>
      <c r="H357" s="2186"/>
      <c r="I357" s="2186"/>
      <c r="J357" s="2186"/>
      <c r="K357" s="23"/>
      <c r="L357" s="23"/>
      <c r="M357" s="23"/>
      <c r="N357" s="2186">
        <v>0</v>
      </c>
      <c r="O357" s="2186">
        <v>0</v>
      </c>
      <c r="P357" s="2186">
        <v>0</v>
      </c>
      <c r="Q357" s="23"/>
      <c r="R357" s="23"/>
      <c r="S357" s="23"/>
      <c r="T357" s="2189">
        <f t="shared" si="246"/>
        <v>0</v>
      </c>
      <c r="U357" s="2190">
        <f t="shared" si="244"/>
        <v>0</v>
      </c>
      <c r="V357" s="2191">
        <f t="shared" si="245"/>
        <v>0</v>
      </c>
      <c r="W357" s="2192">
        <f t="shared" si="247"/>
        <v>0</v>
      </c>
      <c r="X357" s="1075" t="str">
        <f t="shared" si="248"/>
        <v>1.33</v>
      </c>
      <c r="Y357" s="1075" t="str">
        <f t="shared" si="249"/>
        <v>D+</v>
      </c>
      <c r="Z357" s="1075" t="str">
        <f t="shared" si="250"/>
        <v>0</v>
      </c>
      <c r="AA357" s="2173"/>
      <c r="AB357" s="2174"/>
      <c r="AC357" s="2174"/>
      <c r="AD357" s="2174"/>
      <c r="AE357" s="2174"/>
      <c r="AF357" s="2174"/>
      <c r="AG357" s="2174"/>
      <c r="AH357" s="2174"/>
      <c r="AI357" s="2174"/>
      <c r="AJ357" s="2175"/>
      <c r="AK357" s="2175"/>
      <c r="AL357" s="2175"/>
      <c r="AM357" s="2175"/>
      <c r="AN357" s="2175"/>
      <c r="AO357" s="2175"/>
      <c r="AP357" s="2175"/>
      <c r="AQ357" s="2175"/>
      <c r="AR357" s="2176"/>
      <c r="AS357" s="1948"/>
      <c r="AT357" s="1949"/>
    </row>
    <row r="358" spans="1:46" ht="24.95" customHeight="1" x14ac:dyDescent="0.3">
      <c r="A358" s="1656"/>
      <c r="B358" s="1207"/>
      <c r="C358" s="1655"/>
      <c r="D358" s="1654" t="s">
        <v>22</v>
      </c>
      <c r="E358" s="2187"/>
      <c r="F358" s="2187"/>
      <c r="G358" s="2187"/>
      <c r="H358" s="2188"/>
      <c r="I358" s="2186"/>
      <c r="J358" s="2186"/>
      <c r="K358" s="23"/>
      <c r="L358" s="23"/>
      <c r="M358" s="23"/>
      <c r="N358" s="2186"/>
      <c r="O358" s="2186"/>
      <c r="P358" s="2186"/>
      <c r="Q358" s="23">
        <v>0</v>
      </c>
      <c r="R358" s="23">
        <v>0</v>
      </c>
      <c r="S358" s="23">
        <v>0</v>
      </c>
      <c r="T358" s="2189">
        <f t="shared" si="246"/>
        <v>0</v>
      </c>
      <c r="U358" s="2190">
        <f t="shared" si="244"/>
        <v>0</v>
      </c>
      <c r="V358" s="2191">
        <f t="shared" si="245"/>
        <v>0</v>
      </c>
      <c r="W358" s="2192">
        <f t="shared" si="247"/>
        <v>0</v>
      </c>
      <c r="X358" s="1075" t="str">
        <f t="shared" si="248"/>
        <v>1.33</v>
      </c>
      <c r="Y358" s="1075" t="str">
        <f t="shared" si="249"/>
        <v>D+</v>
      </c>
      <c r="Z358" s="1075" t="str">
        <f t="shared" si="250"/>
        <v>0</v>
      </c>
      <c r="AA358" s="2173"/>
      <c r="AB358" s="2174"/>
      <c r="AC358" s="2174"/>
      <c r="AD358" s="2174"/>
      <c r="AE358" s="2174"/>
      <c r="AF358" s="2174"/>
      <c r="AG358" s="2174"/>
      <c r="AH358" s="2174"/>
      <c r="AI358" s="2174"/>
      <c r="AJ358" s="2175"/>
      <c r="AK358" s="2175"/>
      <c r="AL358" s="2175"/>
      <c r="AM358" s="2175"/>
      <c r="AN358" s="2175"/>
      <c r="AO358" s="2175"/>
      <c r="AP358" s="2175"/>
      <c r="AQ358" s="2175"/>
      <c r="AR358" s="2176"/>
      <c r="AS358" s="1950"/>
      <c r="AT358" s="1951"/>
    </row>
    <row r="359" spans="1:46" ht="24.95" customHeight="1" x14ac:dyDescent="0.3">
      <c r="A359" s="1236"/>
      <c r="B359" s="1237">
        <v>35</v>
      </c>
      <c r="C359" s="1658"/>
      <c r="D359" s="1236"/>
      <c r="E359" s="2650"/>
      <c r="F359" s="2651"/>
      <c r="G359" s="2651"/>
      <c r="H359" s="2651"/>
      <c r="I359" s="2652"/>
      <c r="J359" s="2109"/>
      <c r="K359" s="2109"/>
      <c r="L359" s="2109"/>
      <c r="M359" s="2109"/>
      <c r="N359" s="2109"/>
      <c r="O359" s="2109"/>
      <c r="P359" s="2109"/>
      <c r="Q359" s="2109"/>
      <c r="R359" s="2109"/>
      <c r="S359" s="2109"/>
      <c r="T359" s="2193"/>
      <c r="U359" s="2193"/>
      <c r="V359" s="2193"/>
      <c r="W359" s="2194">
        <f>IFERROR(AVERAGE(W350:W358),"  ")</f>
        <v>0</v>
      </c>
      <c r="X359" s="1454" t="str">
        <f>IF(W359&gt;85,("4"),IF(W359&gt;80,("3.66"),IF(W359&gt;75,("3.33"),IF(W359&gt;70,("3.00"),IF(W359&gt;65,("2.66"),IF(W359&gt;60,("2.33"),IF(W359&gt;55,("2"),IF(W359&gt;50,("1.66"),"1.33"))))))))</f>
        <v>1.33</v>
      </c>
      <c r="Y359" s="1454" t="str">
        <f>IF(W359&gt;85,("A"),IF(W359&gt;80,("A-"),IF(W359&gt;75,("B+"),IF(W359&gt;70,("B"),IF(W359&gt;65,("B-"),IF(W359&gt;60,("C+"),IF(W359&gt;55,("C"),IF(W359&gt;50,("C-"),"D+"))))))))</f>
        <v>D+</v>
      </c>
      <c r="Z359" s="1666"/>
      <c r="AA359" s="2182"/>
      <c r="AB359" s="2183"/>
      <c r="AC359" s="2183"/>
      <c r="AD359" s="2183"/>
      <c r="AE359" s="2183"/>
      <c r="AF359" s="2183"/>
      <c r="AG359" s="2183"/>
      <c r="AH359" s="2183"/>
      <c r="AI359" s="2183"/>
      <c r="AJ359" s="2183"/>
      <c r="AK359" s="2183"/>
      <c r="AL359" s="2183"/>
      <c r="AM359" s="2183"/>
      <c r="AN359" s="2183"/>
      <c r="AO359" s="2183"/>
      <c r="AP359" s="2183"/>
      <c r="AQ359" s="2183"/>
      <c r="AR359" s="2184"/>
      <c r="AS359" s="1952"/>
      <c r="AT359" s="1953"/>
    </row>
    <row r="360" spans="1:46" ht="24.95" customHeight="1" x14ac:dyDescent="0.3">
      <c r="A360" s="1224">
        <v>36</v>
      </c>
      <c r="B360" s="1224"/>
      <c r="C360" s="1653" t="e">
        <f>VLOOKUP(A360,data_siswa,4,FALSE)</f>
        <v>#N/A</v>
      </c>
      <c r="D360" s="1654" t="s">
        <v>603</v>
      </c>
      <c r="E360" s="1211">
        <v>0</v>
      </c>
      <c r="F360" s="1211">
        <v>0</v>
      </c>
      <c r="G360" s="1211">
        <v>0</v>
      </c>
      <c r="H360" s="2185"/>
      <c r="I360" s="2185"/>
      <c r="J360" s="2185"/>
      <c r="K360" s="1211"/>
      <c r="L360" s="1211"/>
      <c r="M360" s="1211"/>
      <c r="N360" s="2185"/>
      <c r="O360" s="2185"/>
      <c r="P360" s="2185"/>
      <c r="Q360" s="1211"/>
      <c r="R360" s="1211"/>
      <c r="S360" s="1211"/>
      <c r="T360" s="2189">
        <f>MAX(H360,K360,N360,Q360)</f>
        <v>0</v>
      </c>
      <c r="U360" s="2190">
        <f t="shared" ref="U360:U368" si="251">MAX(I360,L360,O360,R360)</f>
        <v>0</v>
      </c>
      <c r="V360" s="2191">
        <f t="shared" ref="V360:V368" si="252">MAX(J360,M360,P360,S360)</f>
        <v>0</v>
      </c>
      <c r="W360" s="2192">
        <f>IFERROR(AVERAGE(T360:V360),"")</f>
        <v>0</v>
      </c>
      <c r="X360" s="1075" t="str">
        <f>IF(W360&gt;85,("4"),IF(W360&gt;80,("3.66"),IF(W360&gt;75,("3.33"),IF(W360&gt;70,("3.00"),IF(W360&gt;65,("2.66"),IF(W360&gt;60,("2.33"),IF(W360&gt;55,("2"),IF(W360&gt;50,("1.66"),"1.33"))))))))</f>
        <v>1.33</v>
      </c>
      <c r="Y360" s="1075" t="str">
        <f>IF(W360&gt;85,("A"),IF(W360&gt;80,("A-"),IF(W360&gt;75,("B+"),IF(W360&gt;70,("B"),IF(W360&gt;65,("B-"),IF(W360&gt;60,("C+"),IF(W360&gt;55,("C"),IF(W360&gt;50,("C-"),"D+"))))))))</f>
        <v>D+</v>
      </c>
      <c r="Z360" s="1075" t="str">
        <f>IF(W360&gt;80,("SB"),IF(W360&gt;65,("B"),IF(W360&gt;50,("C"),IF(W360&gt;0,("K"),"0"))))</f>
        <v>0</v>
      </c>
      <c r="AA360" s="2180"/>
      <c r="AB360" s="2180"/>
      <c r="AC360" s="2180"/>
      <c r="AD360" s="2180"/>
      <c r="AE360" s="2180"/>
      <c r="AF360" s="2180"/>
      <c r="AG360" s="2180"/>
      <c r="AH360" s="2180"/>
      <c r="AI360" s="2180"/>
      <c r="AJ360" s="2181"/>
      <c r="AK360" s="2181"/>
      <c r="AL360" s="2181"/>
      <c r="AM360" s="2181"/>
      <c r="AN360" s="2181"/>
      <c r="AO360" s="2181"/>
      <c r="AP360" s="2181"/>
      <c r="AQ360" s="2181"/>
      <c r="AR360" s="2181"/>
      <c r="AS360" s="1910">
        <f>W369</f>
        <v>0</v>
      </c>
      <c r="AT360" s="1910" t="str">
        <f>Y369</f>
        <v>D+</v>
      </c>
    </row>
    <row r="361" spans="1:46" ht="24.95" customHeight="1" x14ac:dyDescent="0.3">
      <c r="A361" s="1207"/>
      <c r="B361" s="1207"/>
      <c r="C361" s="1655"/>
      <c r="D361" s="1654" t="s">
        <v>604</v>
      </c>
      <c r="E361" s="23">
        <v>0</v>
      </c>
      <c r="F361" s="23">
        <v>0</v>
      </c>
      <c r="G361" s="23">
        <v>0</v>
      </c>
      <c r="H361" s="2186"/>
      <c r="I361" s="2186"/>
      <c r="J361" s="2186"/>
      <c r="K361" s="23"/>
      <c r="L361" s="23"/>
      <c r="M361" s="23"/>
      <c r="N361" s="2186"/>
      <c r="O361" s="2186"/>
      <c r="P361" s="2186"/>
      <c r="Q361" s="23"/>
      <c r="R361" s="23"/>
      <c r="S361" s="23"/>
      <c r="T361" s="2189">
        <f t="shared" ref="T361:T368" si="253">MAX(H361,K361,N361,Q361)</f>
        <v>0</v>
      </c>
      <c r="U361" s="2190">
        <f t="shared" si="251"/>
        <v>0</v>
      </c>
      <c r="V361" s="2191">
        <f t="shared" si="252"/>
        <v>0</v>
      </c>
      <c r="W361" s="2192">
        <f t="shared" ref="W361:W368" si="254">IFERROR(AVERAGE(T361:V361),"")</f>
        <v>0</v>
      </c>
      <c r="X361" s="1075" t="str">
        <f t="shared" ref="X361:X368" si="255">IF(W361&gt;85,("4"),IF(W361&gt;80,("3.66"),IF(W361&gt;75,("3.33"),IF(W361&gt;70,("3.00"),IF(W361&gt;65,("2.66"),IF(W361&gt;60,("2.33"),IF(W361&gt;55,("2"),IF(W361&gt;50,("1.66"),"1.33"))))))))</f>
        <v>1.33</v>
      </c>
      <c r="Y361" s="1075" t="str">
        <f t="shared" ref="Y361:Y368" si="256">IF(W361&gt;85,("A"),IF(W361&gt;80,("A-"),IF(W361&gt;75,("B+"),IF(W361&gt;70,("B"),IF(W361&gt;65,("B-"),IF(W361&gt;60,("C+"),IF(W361&gt;55,("C"),IF(W361&gt;50,("C-"),"D+"))))))))</f>
        <v>D+</v>
      </c>
      <c r="Z361" s="1075" t="str">
        <f t="shared" ref="Z361:Z368" si="257">IF(W361&gt;80,("SB"),IF(W361&gt;65,("B"),IF(W361&gt;50,("C"),IF(W361&gt;0,("K"),"0"))))</f>
        <v>0</v>
      </c>
      <c r="AA361" s="2169"/>
      <c r="AB361" s="2170"/>
      <c r="AC361" s="2170"/>
      <c r="AD361" s="2170"/>
      <c r="AE361" s="2170"/>
      <c r="AF361" s="2170"/>
      <c r="AG361" s="2170"/>
      <c r="AH361" s="2170"/>
      <c r="AI361" s="2170"/>
      <c r="AJ361" s="2171"/>
      <c r="AK361" s="2171"/>
      <c r="AL361" s="2171"/>
      <c r="AM361" s="2171"/>
      <c r="AN361" s="2171"/>
      <c r="AO361" s="2171"/>
      <c r="AP361" s="2171"/>
      <c r="AQ361" s="2171"/>
      <c r="AR361" s="2172"/>
      <c r="AS361" s="1946"/>
      <c r="AT361" s="1947"/>
    </row>
    <row r="362" spans="1:46" ht="24.95" customHeight="1" x14ac:dyDescent="0.3">
      <c r="A362" s="1207"/>
      <c r="B362" s="1207"/>
      <c r="C362" s="1655"/>
      <c r="D362" s="1654" t="s">
        <v>605</v>
      </c>
      <c r="E362" s="23">
        <v>0</v>
      </c>
      <c r="F362" s="23">
        <v>0</v>
      </c>
      <c r="G362" s="23">
        <v>0</v>
      </c>
      <c r="H362" s="2186"/>
      <c r="I362" s="2186"/>
      <c r="J362" s="2186"/>
      <c r="K362" s="23"/>
      <c r="L362" s="23"/>
      <c r="M362" s="23"/>
      <c r="N362" s="2186"/>
      <c r="O362" s="2186"/>
      <c r="P362" s="2186"/>
      <c r="Q362" s="23"/>
      <c r="R362" s="23"/>
      <c r="S362" s="23"/>
      <c r="T362" s="2189">
        <f t="shared" si="253"/>
        <v>0</v>
      </c>
      <c r="U362" s="2190">
        <f t="shared" si="251"/>
        <v>0</v>
      </c>
      <c r="V362" s="2191">
        <f t="shared" si="252"/>
        <v>0</v>
      </c>
      <c r="W362" s="2192">
        <f t="shared" si="254"/>
        <v>0</v>
      </c>
      <c r="X362" s="1075" t="str">
        <f t="shared" si="255"/>
        <v>1.33</v>
      </c>
      <c r="Y362" s="1075" t="str">
        <f t="shared" si="256"/>
        <v>D+</v>
      </c>
      <c r="Z362" s="1075" t="str">
        <f t="shared" si="257"/>
        <v>0</v>
      </c>
      <c r="AA362" s="2173"/>
      <c r="AB362" s="2174"/>
      <c r="AC362" s="2174"/>
      <c r="AD362" s="2174"/>
      <c r="AE362" s="2174"/>
      <c r="AF362" s="2174"/>
      <c r="AG362" s="2174"/>
      <c r="AH362" s="2174"/>
      <c r="AI362" s="2174"/>
      <c r="AJ362" s="2175"/>
      <c r="AK362" s="2175"/>
      <c r="AL362" s="2175"/>
      <c r="AM362" s="2175"/>
      <c r="AN362" s="2175"/>
      <c r="AO362" s="2175"/>
      <c r="AP362" s="2175"/>
      <c r="AQ362" s="2175"/>
      <c r="AR362" s="2176"/>
      <c r="AS362" s="1948"/>
      <c r="AT362" s="1949"/>
    </row>
    <row r="363" spans="1:46" ht="24.95" customHeight="1" x14ac:dyDescent="0.3">
      <c r="A363" s="1207"/>
      <c r="B363" s="1207"/>
      <c r="C363" s="1655"/>
      <c r="D363" s="1654" t="s">
        <v>155</v>
      </c>
      <c r="E363" s="23"/>
      <c r="F363" s="23"/>
      <c r="G363" s="23"/>
      <c r="H363" s="2186">
        <v>0</v>
      </c>
      <c r="I363" s="2186">
        <v>0</v>
      </c>
      <c r="J363" s="2186">
        <v>0</v>
      </c>
      <c r="K363" s="23"/>
      <c r="L363" s="23"/>
      <c r="M363" s="23"/>
      <c r="N363" s="2186"/>
      <c r="O363" s="2186"/>
      <c r="P363" s="2186"/>
      <c r="Q363" s="23"/>
      <c r="R363" s="23"/>
      <c r="S363" s="23"/>
      <c r="T363" s="2189">
        <f t="shared" si="253"/>
        <v>0</v>
      </c>
      <c r="U363" s="2190">
        <f t="shared" si="251"/>
        <v>0</v>
      </c>
      <c r="V363" s="2191">
        <f t="shared" si="252"/>
        <v>0</v>
      </c>
      <c r="W363" s="2192">
        <f t="shared" si="254"/>
        <v>0</v>
      </c>
      <c r="X363" s="1075" t="str">
        <f t="shared" si="255"/>
        <v>1.33</v>
      </c>
      <c r="Y363" s="1075" t="str">
        <f t="shared" si="256"/>
        <v>D+</v>
      </c>
      <c r="Z363" s="1075" t="str">
        <f t="shared" si="257"/>
        <v>0</v>
      </c>
      <c r="AA363" s="2173"/>
      <c r="AB363" s="2174"/>
      <c r="AC363" s="2174"/>
      <c r="AD363" s="2174"/>
      <c r="AE363" s="2174"/>
      <c r="AF363" s="2174"/>
      <c r="AG363" s="2174"/>
      <c r="AH363" s="2174"/>
      <c r="AI363" s="2174"/>
      <c r="AJ363" s="2175"/>
      <c r="AK363" s="2175"/>
      <c r="AL363" s="2175"/>
      <c r="AM363" s="2175"/>
      <c r="AN363" s="2175"/>
      <c r="AO363" s="2175"/>
      <c r="AP363" s="2175"/>
      <c r="AQ363" s="2175"/>
      <c r="AR363" s="2176"/>
      <c r="AS363" s="1948"/>
      <c r="AT363" s="1949"/>
    </row>
    <row r="364" spans="1:46" ht="24.95" customHeight="1" x14ac:dyDescent="0.3">
      <c r="A364" s="1207"/>
      <c r="B364" s="1207"/>
      <c r="C364" s="1655"/>
      <c r="D364" s="1654" t="s">
        <v>187</v>
      </c>
      <c r="E364" s="23"/>
      <c r="F364" s="23"/>
      <c r="G364" s="23"/>
      <c r="H364" s="2186"/>
      <c r="I364" s="2186"/>
      <c r="J364" s="2186"/>
      <c r="K364" s="23">
        <v>0</v>
      </c>
      <c r="L364" s="23">
        <v>0</v>
      </c>
      <c r="M364" s="23">
        <v>0</v>
      </c>
      <c r="N364" s="2186"/>
      <c r="O364" s="2186"/>
      <c r="P364" s="2186"/>
      <c r="Q364" s="23"/>
      <c r="R364" s="23"/>
      <c r="S364" s="23"/>
      <c r="T364" s="2189">
        <f t="shared" si="253"/>
        <v>0</v>
      </c>
      <c r="U364" s="2190">
        <f t="shared" si="251"/>
        <v>0</v>
      </c>
      <c r="V364" s="2191">
        <f t="shared" si="252"/>
        <v>0</v>
      </c>
      <c r="W364" s="2192">
        <f t="shared" si="254"/>
        <v>0</v>
      </c>
      <c r="X364" s="1075" t="str">
        <f t="shared" si="255"/>
        <v>1.33</v>
      </c>
      <c r="Y364" s="1075" t="str">
        <f t="shared" si="256"/>
        <v>D+</v>
      </c>
      <c r="Z364" s="1075" t="str">
        <f t="shared" si="257"/>
        <v>0</v>
      </c>
      <c r="AA364" s="2173"/>
      <c r="AB364" s="2174"/>
      <c r="AC364" s="2174"/>
      <c r="AD364" s="2174"/>
      <c r="AE364" s="2174"/>
      <c r="AF364" s="2174"/>
      <c r="AG364" s="2174"/>
      <c r="AH364" s="2174"/>
      <c r="AI364" s="2174"/>
      <c r="AJ364" s="2175"/>
      <c r="AK364" s="2175"/>
      <c r="AL364" s="2175"/>
      <c r="AM364" s="2175"/>
      <c r="AN364" s="2175"/>
      <c r="AO364" s="2175"/>
      <c r="AP364" s="2175"/>
      <c r="AQ364" s="2175"/>
      <c r="AR364" s="2176"/>
      <c r="AS364" s="1948"/>
      <c r="AT364" s="1949"/>
    </row>
    <row r="365" spans="1:46" ht="24.95" customHeight="1" x14ac:dyDescent="0.3">
      <c r="A365" s="1207"/>
      <c r="B365" s="1207"/>
      <c r="C365" s="1655"/>
      <c r="D365" s="1654" t="s">
        <v>17</v>
      </c>
      <c r="E365" s="23"/>
      <c r="F365" s="23"/>
      <c r="G365" s="23"/>
      <c r="H365" s="2186"/>
      <c r="I365" s="2186"/>
      <c r="J365" s="2186"/>
      <c r="K365" s="23">
        <v>0</v>
      </c>
      <c r="L365" s="23">
        <v>0</v>
      </c>
      <c r="M365" s="23">
        <v>0</v>
      </c>
      <c r="N365" s="2186"/>
      <c r="O365" s="2186"/>
      <c r="P365" s="2186"/>
      <c r="Q365" s="23"/>
      <c r="R365" s="23"/>
      <c r="S365" s="23"/>
      <c r="T365" s="2189">
        <f t="shared" si="253"/>
        <v>0</v>
      </c>
      <c r="U365" s="2190">
        <f t="shared" si="251"/>
        <v>0</v>
      </c>
      <c r="V365" s="2191">
        <f t="shared" si="252"/>
        <v>0</v>
      </c>
      <c r="W365" s="2192">
        <f t="shared" si="254"/>
        <v>0</v>
      </c>
      <c r="X365" s="1075" t="str">
        <f t="shared" si="255"/>
        <v>1.33</v>
      </c>
      <c r="Y365" s="1075" t="str">
        <f t="shared" si="256"/>
        <v>D+</v>
      </c>
      <c r="Z365" s="1075" t="str">
        <f t="shared" si="257"/>
        <v>0</v>
      </c>
      <c r="AA365" s="2173"/>
      <c r="AB365" s="2174"/>
      <c r="AC365" s="2174"/>
      <c r="AD365" s="2174"/>
      <c r="AE365" s="2174"/>
      <c r="AF365" s="2174"/>
      <c r="AG365" s="2174"/>
      <c r="AH365" s="2174"/>
      <c r="AI365" s="2174"/>
      <c r="AJ365" s="2175"/>
      <c r="AK365" s="2175"/>
      <c r="AL365" s="2175"/>
      <c r="AM365" s="2175"/>
      <c r="AN365" s="2175"/>
      <c r="AO365" s="2175"/>
      <c r="AP365" s="2175"/>
      <c r="AQ365" s="2175"/>
      <c r="AR365" s="2176"/>
      <c r="AS365" s="1948"/>
      <c r="AT365" s="1949"/>
    </row>
    <row r="366" spans="1:46" ht="24.95" customHeight="1" x14ac:dyDescent="0.3">
      <c r="A366" s="1207"/>
      <c r="B366" s="1207"/>
      <c r="C366" s="1655"/>
      <c r="D366" s="1654" t="s">
        <v>606</v>
      </c>
      <c r="E366" s="23"/>
      <c r="F366" s="23"/>
      <c r="G366" s="23"/>
      <c r="H366" s="2186"/>
      <c r="I366" s="2186"/>
      <c r="J366" s="2186"/>
      <c r="K366" s="23"/>
      <c r="L366" s="23"/>
      <c r="M366" s="23"/>
      <c r="N366" s="2186">
        <v>0</v>
      </c>
      <c r="O366" s="2186">
        <v>0</v>
      </c>
      <c r="P366" s="2186">
        <v>0</v>
      </c>
      <c r="Q366" s="23"/>
      <c r="R366" s="23"/>
      <c r="S366" s="23"/>
      <c r="T366" s="2189">
        <f t="shared" si="253"/>
        <v>0</v>
      </c>
      <c r="U366" s="2190">
        <f t="shared" si="251"/>
        <v>0</v>
      </c>
      <c r="V366" s="2191">
        <f t="shared" si="252"/>
        <v>0</v>
      </c>
      <c r="W366" s="2192">
        <f t="shared" si="254"/>
        <v>0</v>
      </c>
      <c r="X366" s="1075" t="str">
        <f t="shared" si="255"/>
        <v>1.33</v>
      </c>
      <c r="Y366" s="1075" t="str">
        <f t="shared" si="256"/>
        <v>D+</v>
      </c>
      <c r="Z366" s="1075" t="str">
        <f t="shared" si="257"/>
        <v>0</v>
      </c>
      <c r="AA366" s="2173"/>
      <c r="AB366" s="2174"/>
      <c r="AC366" s="2174"/>
      <c r="AD366" s="2174"/>
      <c r="AE366" s="2174"/>
      <c r="AF366" s="2174"/>
      <c r="AG366" s="2174"/>
      <c r="AH366" s="2174"/>
      <c r="AI366" s="2174"/>
      <c r="AJ366" s="2175"/>
      <c r="AK366" s="2175"/>
      <c r="AL366" s="2175"/>
      <c r="AM366" s="2175"/>
      <c r="AN366" s="2175"/>
      <c r="AO366" s="2175"/>
      <c r="AP366" s="2175"/>
      <c r="AQ366" s="2175"/>
      <c r="AR366" s="2176"/>
      <c r="AS366" s="1948"/>
      <c r="AT366" s="1949"/>
    </row>
    <row r="367" spans="1:46" ht="24.95" customHeight="1" x14ac:dyDescent="0.3">
      <c r="A367" s="1207"/>
      <c r="B367" s="1207"/>
      <c r="C367" s="1655"/>
      <c r="D367" s="1654" t="s">
        <v>607</v>
      </c>
      <c r="E367" s="23"/>
      <c r="F367" s="23"/>
      <c r="G367" s="23"/>
      <c r="H367" s="2186"/>
      <c r="I367" s="2186"/>
      <c r="J367" s="2186"/>
      <c r="K367" s="23"/>
      <c r="L367" s="23"/>
      <c r="M367" s="23"/>
      <c r="N367" s="2186">
        <v>0</v>
      </c>
      <c r="O367" s="2186">
        <v>0</v>
      </c>
      <c r="P367" s="2186">
        <v>0</v>
      </c>
      <c r="Q367" s="23"/>
      <c r="R367" s="23"/>
      <c r="S367" s="23"/>
      <c r="T367" s="2189">
        <f t="shared" si="253"/>
        <v>0</v>
      </c>
      <c r="U367" s="2190">
        <f t="shared" si="251"/>
        <v>0</v>
      </c>
      <c r="V367" s="2191">
        <f t="shared" si="252"/>
        <v>0</v>
      </c>
      <c r="W367" s="2192">
        <f t="shared" si="254"/>
        <v>0</v>
      </c>
      <c r="X367" s="1075" t="str">
        <f t="shared" si="255"/>
        <v>1.33</v>
      </c>
      <c r="Y367" s="1075" t="str">
        <f t="shared" si="256"/>
        <v>D+</v>
      </c>
      <c r="Z367" s="1075" t="str">
        <f t="shared" si="257"/>
        <v>0</v>
      </c>
      <c r="AA367" s="2173"/>
      <c r="AB367" s="2174"/>
      <c r="AC367" s="2174"/>
      <c r="AD367" s="2174"/>
      <c r="AE367" s="2174"/>
      <c r="AF367" s="2174"/>
      <c r="AG367" s="2174"/>
      <c r="AH367" s="2174"/>
      <c r="AI367" s="2174"/>
      <c r="AJ367" s="2175"/>
      <c r="AK367" s="2175"/>
      <c r="AL367" s="2175"/>
      <c r="AM367" s="2175"/>
      <c r="AN367" s="2175"/>
      <c r="AO367" s="2175"/>
      <c r="AP367" s="2175"/>
      <c r="AQ367" s="2175"/>
      <c r="AR367" s="2176"/>
      <c r="AS367" s="1948"/>
      <c r="AT367" s="1949"/>
    </row>
    <row r="368" spans="1:46" ht="24.95" customHeight="1" x14ac:dyDescent="0.3">
      <c r="A368" s="1656"/>
      <c r="B368" s="1207"/>
      <c r="C368" s="1655"/>
      <c r="D368" s="1654" t="s">
        <v>22</v>
      </c>
      <c r="E368" s="2187"/>
      <c r="F368" s="2187"/>
      <c r="G368" s="2187"/>
      <c r="H368" s="2188"/>
      <c r="I368" s="2186"/>
      <c r="J368" s="2186"/>
      <c r="K368" s="23"/>
      <c r="L368" s="23"/>
      <c r="M368" s="23"/>
      <c r="N368" s="2186"/>
      <c r="O368" s="2186"/>
      <c r="P368" s="2186"/>
      <c r="Q368" s="23">
        <v>0</v>
      </c>
      <c r="R368" s="23">
        <v>0</v>
      </c>
      <c r="S368" s="23">
        <v>0</v>
      </c>
      <c r="T368" s="2189">
        <f t="shared" si="253"/>
        <v>0</v>
      </c>
      <c r="U368" s="2190">
        <f t="shared" si="251"/>
        <v>0</v>
      </c>
      <c r="V368" s="2191">
        <f t="shared" si="252"/>
        <v>0</v>
      </c>
      <c r="W368" s="2192">
        <f t="shared" si="254"/>
        <v>0</v>
      </c>
      <c r="X368" s="1075" t="str">
        <f t="shared" si="255"/>
        <v>1.33</v>
      </c>
      <c r="Y368" s="1075" t="str">
        <f t="shared" si="256"/>
        <v>D+</v>
      </c>
      <c r="Z368" s="1075" t="str">
        <f t="shared" si="257"/>
        <v>0</v>
      </c>
      <c r="AA368" s="2173"/>
      <c r="AB368" s="2174"/>
      <c r="AC368" s="2174"/>
      <c r="AD368" s="2174"/>
      <c r="AE368" s="2174"/>
      <c r="AF368" s="2174"/>
      <c r="AG368" s="2174"/>
      <c r="AH368" s="2174"/>
      <c r="AI368" s="2174"/>
      <c r="AJ368" s="2175"/>
      <c r="AK368" s="2175"/>
      <c r="AL368" s="2175"/>
      <c r="AM368" s="2175"/>
      <c r="AN368" s="2175"/>
      <c r="AO368" s="2175"/>
      <c r="AP368" s="2175"/>
      <c r="AQ368" s="2175"/>
      <c r="AR368" s="2176"/>
      <c r="AS368" s="1950"/>
      <c r="AT368" s="1951"/>
    </row>
    <row r="369" spans="1:46" ht="24.95" customHeight="1" x14ac:dyDescent="0.3">
      <c r="A369" s="1236"/>
      <c r="B369" s="1237">
        <v>36</v>
      </c>
      <c r="C369" s="1658"/>
      <c r="D369" s="1236"/>
      <c r="E369" s="2650"/>
      <c r="F369" s="2651"/>
      <c r="G369" s="2651"/>
      <c r="H369" s="2651"/>
      <c r="I369" s="2652"/>
      <c r="J369" s="2109"/>
      <c r="K369" s="2109"/>
      <c r="L369" s="2109"/>
      <c r="M369" s="2109"/>
      <c r="N369" s="2109"/>
      <c r="O369" s="2109"/>
      <c r="P369" s="2109"/>
      <c r="Q369" s="2109"/>
      <c r="R369" s="2109"/>
      <c r="S369" s="2109"/>
      <c r="T369" s="2193"/>
      <c r="U369" s="2193"/>
      <c r="V369" s="2193"/>
      <c r="W369" s="2194">
        <f>IFERROR(AVERAGE(W360:W368),"  ")</f>
        <v>0</v>
      </c>
      <c r="X369" s="1454" t="str">
        <f>IF(W369&gt;85,("4"),IF(W369&gt;80,("3.66"),IF(W369&gt;75,("3.33"),IF(W369&gt;70,("3.00"),IF(W369&gt;65,("2.66"),IF(W369&gt;60,("2.33"),IF(W369&gt;55,("2"),IF(W369&gt;50,("1.66"),"1.33"))))))))</f>
        <v>1.33</v>
      </c>
      <c r="Y369" s="1454" t="str">
        <f>IF(W369&gt;85,("A"),IF(W369&gt;80,("A-"),IF(W369&gt;75,("B+"),IF(W369&gt;70,("B"),IF(W369&gt;65,("B-"),IF(W369&gt;60,("C+"),IF(W369&gt;55,("C"),IF(W369&gt;50,("C-"),"D+"))))))))</f>
        <v>D+</v>
      </c>
      <c r="Z369" s="1666"/>
      <c r="AA369" s="2182"/>
      <c r="AB369" s="2183"/>
      <c r="AC369" s="2183"/>
      <c r="AD369" s="2183"/>
      <c r="AE369" s="2183"/>
      <c r="AF369" s="2183"/>
      <c r="AG369" s="2183"/>
      <c r="AH369" s="2183"/>
      <c r="AI369" s="2183"/>
      <c r="AJ369" s="2183"/>
      <c r="AK369" s="2183"/>
      <c r="AL369" s="2183"/>
      <c r="AM369" s="2183"/>
      <c r="AN369" s="2183"/>
      <c r="AO369" s="2183"/>
      <c r="AP369" s="2183"/>
      <c r="AQ369" s="2183"/>
      <c r="AR369" s="2184"/>
      <c r="AS369" s="1952"/>
      <c r="AT369" s="1953"/>
    </row>
    <row r="370" spans="1:46" ht="24.95" customHeight="1" x14ac:dyDescent="0.3">
      <c r="A370" s="1224">
        <v>37</v>
      </c>
      <c r="B370" s="1224"/>
      <c r="C370" s="1653" t="e">
        <f>VLOOKUP(A370,data_siswa,4,FALSE)</f>
        <v>#N/A</v>
      </c>
      <c r="D370" s="1654" t="s">
        <v>603</v>
      </c>
      <c r="E370" s="1211">
        <v>0</v>
      </c>
      <c r="F370" s="1211">
        <v>0</v>
      </c>
      <c r="G370" s="1211">
        <v>0</v>
      </c>
      <c r="H370" s="2185"/>
      <c r="I370" s="2185"/>
      <c r="J370" s="2185"/>
      <c r="K370" s="1211"/>
      <c r="L370" s="1211"/>
      <c r="M370" s="1211"/>
      <c r="N370" s="2185"/>
      <c r="O370" s="2185"/>
      <c r="P370" s="2185"/>
      <c r="Q370" s="1211"/>
      <c r="R370" s="1211"/>
      <c r="S370" s="1211"/>
      <c r="T370" s="2189">
        <f>MAX(H370,K370,N370,Q370)</f>
        <v>0</v>
      </c>
      <c r="U370" s="2190">
        <f t="shared" ref="U370:U378" si="258">MAX(I370,L370,O370,R370)</f>
        <v>0</v>
      </c>
      <c r="V370" s="2191">
        <f t="shared" ref="V370:V378" si="259">MAX(J370,M370,P370,S370)</f>
        <v>0</v>
      </c>
      <c r="W370" s="2192">
        <f>IFERROR(AVERAGE(T370:V370),"")</f>
        <v>0</v>
      </c>
      <c r="X370" s="1075" t="str">
        <f>IF(W370&gt;85,("4"),IF(W370&gt;80,("3.66"),IF(W370&gt;75,("3.33"),IF(W370&gt;70,("3.00"),IF(W370&gt;65,("2.66"),IF(W370&gt;60,("2.33"),IF(W370&gt;55,("2"),IF(W370&gt;50,("1.66"),"1.33"))))))))</f>
        <v>1.33</v>
      </c>
      <c r="Y370" s="1075" t="str">
        <f>IF(W370&gt;85,("A"),IF(W370&gt;80,("A-"),IF(W370&gt;75,("B+"),IF(W370&gt;70,("B"),IF(W370&gt;65,("B-"),IF(W370&gt;60,("C+"),IF(W370&gt;55,("C"),IF(W370&gt;50,("C-"),"D+"))))))))</f>
        <v>D+</v>
      </c>
      <c r="Z370" s="1075" t="str">
        <f>IF(W370&gt;80,("SB"),IF(W370&gt;65,("B"),IF(W370&gt;50,("C"),IF(W370&gt;0,("K"),"0"))))</f>
        <v>0</v>
      </c>
      <c r="AA370" s="2180"/>
      <c r="AB370" s="2180"/>
      <c r="AC370" s="2180"/>
      <c r="AD370" s="2180"/>
      <c r="AE370" s="2180"/>
      <c r="AF370" s="2180"/>
      <c r="AG370" s="2180"/>
      <c r="AH370" s="2180"/>
      <c r="AI370" s="2180"/>
      <c r="AJ370" s="2181"/>
      <c r="AK370" s="2181"/>
      <c r="AL370" s="2181"/>
      <c r="AM370" s="2181"/>
      <c r="AN370" s="2181"/>
      <c r="AO370" s="2181"/>
      <c r="AP370" s="2181"/>
      <c r="AQ370" s="2181"/>
      <c r="AR370" s="2181"/>
      <c r="AS370" s="1910">
        <f>W379</f>
        <v>0</v>
      </c>
      <c r="AT370" s="1910" t="str">
        <f>Y379</f>
        <v>D+</v>
      </c>
    </row>
    <row r="371" spans="1:46" ht="24.95" customHeight="1" x14ac:dyDescent="0.3">
      <c r="A371" s="1207"/>
      <c r="B371" s="1207"/>
      <c r="C371" s="1655"/>
      <c r="D371" s="1654" t="s">
        <v>604</v>
      </c>
      <c r="E371" s="23">
        <v>0</v>
      </c>
      <c r="F371" s="23">
        <v>0</v>
      </c>
      <c r="G371" s="23">
        <v>0</v>
      </c>
      <c r="H371" s="2186"/>
      <c r="I371" s="2186"/>
      <c r="J371" s="2186"/>
      <c r="K371" s="23"/>
      <c r="L371" s="23"/>
      <c r="M371" s="23"/>
      <c r="N371" s="2186"/>
      <c r="O371" s="2186"/>
      <c r="P371" s="2186"/>
      <c r="Q371" s="23"/>
      <c r="R371" s="23"/>
      <c r="S371" s="23"/>
      <c r="T371" s="2189">
        <f t="shared" ref="T371:T378" si="260">MAX(H371,K371,N371,Q371)</f>
        <v>0</v>
      </c>
      <c r="U371" s="2190">
        <f t="shared" si="258"/>
        <v>0</v>
      </c>
      <c r="V371" s="2191">
        <f t="shared" si="259"/>
        <v>0</v>
      </c>
      <c r="W371" s="2192">
        <f t="shared" ref="W371:W378" si="261">IFERROR(AVERAGE(T371:V371),"")</f>
        <v>0</v>
      </c>
      <c r="X371" s="1075" t="str">
        <f t="shared" ref="X371:X378" si="262">IF(W371&gt;85,("4"),IF(W371&gt;80,("3.66"),IF(W371&gt;75,("3.33"),IF(W371&gt;70,("3.00"),IF(W371&gt;65,("2.66"),IF(W371&gt;60,("2.33"),IF(W371&gt;55,("2"),IF(W371&gt;50,("1.66"),"1.33"))))))))</f>
        <v>1.33</v>
      </c>
      <c r="Y371" s="1075" t="str">
        <f t="shared" ref="Y371:Y378" si="263">IF(W371&gt;85,("A"),IF(W371&gt;80,("A-"),IF(W371&gt;75,("B+"),IF(W371&gt;70,("B"),IF(W371&gt;65,("B-"),IF(W371&gt;60,("C+"),IF(W371&gt;55,("C"),IF(W371&gt;50,("C-"),"D+"))))))))</f>
        <v>D+</v>
      </c>
      <c r="Z371" s="1075" t="str">
        <f t="shared" ref="Z371:Z378" si="264">IF(W371&gt;80,("SB"),IF(W371&gt;65,("B"),IF(W371&gt;50,("C"),IF(W371&gt;0,("K"),"0"))))</f>
        <v>0</v>
      </c>
      <c r="AA371" s="2169"/>
      <c r="AB371" s="2170"/>
      <c r="AC371" s="2170"/>
      <c r="AD371" s="2170"/>
      <c r="AE371" s="2170"/>
      <c r="AF371" s="2170"/>
      <c r="AG371" s="2170"/>
      <c r="AH371" s="2170"/>
      <c r="AI371" s="2170"/>
      <c r="AJ371" s="2171"/>
      <c r="AK371" s="2171"/>
      <c r="AL371" s="2171"/>
      <c r="AM371" s="2171"/>
      <c r="AN371" s="2171"/>
      <c r="AO371" s="2171"/>
      <c r="AP371" s="2171"/>
      <c r="AQ371" s="2171"/>
      <c r="AR371" s="2172"/>
      <c r="AS371" s="1946"/>
      <c r="AT371" s="1947"/>
    </row>
    <row r="372" spans="1:46" ht="24.95" customHeight="1" x14ac:dyDescent="0.3">
      <c r="A372" s="1207"/>
      <c r="B372" s="1207"/>
      <c r="C372" s="1655"/>
      <c r="D372" s="1654" t="s">
        <v>605</v>
      </c>
      <c r="E372" s="23">
        <v>0</v>
      </c>
      <c r="F372" s="23">
        <v>0</v>
      </c>
      <c r="G372" s="23">
        <v>0</v>
      </c>
      <c r="H372" s="2186"/>
      <c r="I372" s="2186"/>
      <c r="J372" s="2186"/>
      <c r="K372" s="23"/>
      <c r="L372" s="23"/>
      <c r="M372" s="23"/>
      <c r="N372" s="2186"/>
      <c r="O372" s="2186"/>
      <c r="P372" s="2186"/>
      <c r="Q372" s="23"/>
      <c r="R372" s="23"/>
      <c r="S372" s="23"/>
      <c r="T372" s="2189">
        <f t="shared" si="260"/>
        <v>0</v>
      </c>
      <c r="U372" s="2190">
        <f t="shared" si="258"/>
        <v>0</v>
      </c>
      <c r="V372" s="2191">
        <f t="shared" si="259"/>
        <v>0</v>
      </c>
      <c r="W372" s="2192">
        <f t="shared" si="261"/>
        <v>0</v>
      </c>
      <c r="X372" s="1075" t="str">
        <f t="shared" si="262"/>
        <v>1.33</v>
      </c>
      <c r="Y372" s="1075" t="str">
        <f t="shared" si="263"/>
        <v>D+</v>
      </c>
      <c r="Z372" s="1075" t="str">
        <f t="shared" si="264"/>
        <v>0</v>
      </c>
      <c r="AA372" s="2173"/>
      <c r="AB372" s="2174"/>
      <c r="AC372" s="2174"/>
      <c r="AD372" s="2174"/>
      <c r="AE372" s="2174"/>
      <c r="AF372" s="2174"/>
      <c r="AG372" s="2174"/>
      <c r="AH372" s="2174"/>
      <c r="AI372" s="2174"/>
      <c r="AJ372" s="2175"/>
      <c r="AK372" s="2175"/>
      <c r="AL372" s="2175"/>
      <c r="AM372" s="2175"/>
      <c r="AN372" s="2175"/>
      <c r="AO372" s="2175"/>
      <c r="AP372" s="2175"/>
      <c r="AQ372" s="2175"/>
      <c r="AR372" s="2176"/>
      <c r="AS372" s="1948"/>
      <c r="AT372" s="1949"/>
    </row>
    <row r="373" spans="1:46" ht="24.95" customHeight="1" x14ac:dyDescent="0.3">
      <c r="A373" s="1207"/>
      <c r="B373" s="1207"/>
      <c r="C373" s="1655"/>
      <c r="D373" s="1654" t="s">
        <v>155</v>
      </c>
      <c r="E373" s="23"/>
      <c r="F373" s="23"/>
      <c r="G373" s="23"/>
      <c r="H373" s="2186">
        <v>0</v>
      </c>
      <c r="I373" s="2186">
        <v>0</v>
      </c>
      <c r="J373" s="2186">
        <v>0</v>
      </c>
      <c r="K373" s="23"/>
      <c r="L373" s="23"/>
      <c r="M373" s="23"/>
      <c r="N373" s="2186"/>
      <c r="O373" s="2186"/>
      <c r="P373" s="2186"/>
      <c r="Q373" s="23"/>
      <c r="R373" s="23"/>
      <c r="S373" s="23"/>
      <c r="T373" s="2189">
        <f t="shared" si="260"/>
        <v>0</v>
      </c>
      <c r="U373" s="2190">
        <f t="shared" si="258"/>
        <v>0</v>
      </c>
      <c r="V373" s="2191">
        <f t="shared" si="259"/>
        <v>0</v>
      </c>
      <c r="W373" s="2192">
        <f t="shared" si="261"/>
        <v>0</v>
      </c>
      <c r="X373" s="1075" t="str">
        <f t="shared" si="262"/>
        <v>1.33</v>
      </c>
      <c r="Y373" s="1075" t="str">
        <f t="shared" si="263"/>
        <v>D+</v>
      </c>
      <c r="Z373" s="1075" t="str">
        <f t="shared" si="264"/>
        <v>0</v>
      </c>
      <c r="AA373" s="2173"/>
      <c r="AB373" s="2174"/>
      <c r="AC373" s="2174"/>
      <c r="AD373" s="2174"/>
      <c r="AE373" s="2174"/>
      <c r="AF373" s="2174"/>
      <c r="AG373" s="2174"/>
      <c r="AH373" s="2174"/>
      <c r="AI373" s="2174"/>
      <c r="AJ373" s="2175"/>
      <c r="AK373" s="2175"/>
      <c r="AL373" s="2175"/>
      <c r="AM373" s="2175"/>
      <c r="AN373" s="2175"/>
      <c r="AO373" s="2175"/>
      <c r="AP373" s="2175"/>
      <c r="AQ373" s="2175"/>
      <c r="AR373" s="2176"/>
      <c r="AS373" s="1948"/>
      <c r="AT373" s="1949"/>
    </row>
    <row r="374" spans="1:46" ht="24.95" customHeight="1" x14ac:dyDescent="0.3">
      <c r="A374" s="1207"/>
      <c r="B374" s="1207"/>
      <c r="C374" s="1655"/>
      <c r="D374" s="1654" t="s">
        <v>187</v>
      </c>
      <c r="E374" s="23"/>
      <c r="F374" s="23"/>
      <c r="G374" s="23"/>
      <c r="H374" s="2186"/>
      <c r="I374" s="2186"/>
      <c r="J374" s="2186"/>
      <c r="K374" s="23">
        <v>0</v>
      </c>
      <c r="L374" s="23">
        <v>0</v>
      </c>
      <c r="M374" s="23">
        <v>0</v>
      </c>
      <c r="N374" s="2186"/>
      <c r="O374" s="2186"/>
      <c r="P374" s="2186"/>
      <c r="Q374" s="23"/>
      <c r="R374" s="23"/>
      <c r="S374" s="23"/>
      <c r="T374" s="2189">
        <f t="shared" si="260"/>
        <v>0</v>
      </c>
      <c r="U374" s="2190">
        <f t="shared" si="258"/>
        <v>0</v>
      </c>
      <c r="V374" s="2191">
        <f t="shared" si="259"/>
        <v>0</v>
      </c>
      <c r="W374" s="2192">
        <f t="shared" si="261"/>
        <v>0</v>
      </c>
      <c r="X374" s="1075" t="str">
        <f t="shared" si="262"/>
        <v>1.33</v>
      </c>
      <c r="Y374" s="1075" t="str">
        <f t="shared" si="263"/>
        <v>D+</v>
      </c>
      <c r="Z374" s="1075" t="str">
        <f t="shared" si="264"/>
        <v>0</v>
      </c>
      <c r="AA374" s="2173"/>
      <c r="AB374" s="2174"/>
      <c r="AC374" s="2174"/>
      <c r="AD374" s="2174"/>
      <c r="AE374" s="2174"/>
      <c r="AF374" s="2174"/>
      <c r="AG374" s="2174"/>
      <c r="AH374" s="2174"/>
      <c r="AI374" s="2174"/>
      <c r="AJ374" s="2175"/>
      <c r="AK374" s="2175"/>
      <c r="AL374" s="2175"/>
      <c r="AM374" s="2175"/>
      <c r="AN374" s="2175"/>
      <c r="AO374" s="2175"/>
      <c r="AP374" s="2175"/>
      <c r="AQ374" s="2175"/>
      <c r="AR374" s="2176"/>
      <c r="AS374" s="1948"/>
      <c r="AT374" s="1949"/>
    </row>
    <row r="375" spans="1:46" ht="24.95" customHeight="1" x14ac:dyDescent="0.3">
      <c r="A375" s="1207"/>
      <c r="B375" s="1207"/>
      <c r="C375" s="1655"/>
      <c r="D375" s="1654" t="s">
        <v>17</v>
      </c>
      <c r="E375" s="23"/>
      <c r="F375" s="23"/>
      <c r="G375" s="23"/>
      <c r="H375" s="2186"/>
      <c r="I375" s="2186"/>
      <c r="J375" s="2186"/>
      <c r="K375" s="23">
        <v>0</v>
      </c>
      <c r="L375" s="23">
        <v>0</v>
      </c>
      <c r="M375" s="23">
        <v>0</v>
      </c>
      <c r="N375" s="2186"/>
      <c r="O375" s="2186"/>
      <c r="P375" s="2186"/>
      <c r="Q375" s="23"/>
      <c r="R375" s="23"/>
      <c r="S375" s="23"/>
      <c r="T375" s="2189">
        <f t="shared" si="260"/>
        <v>0</v>
      </c>
      <c r="U375" s="2190">
        <f t="shared" si="258"/>
        <v>0</v>
      </c>
      <c r="V375" s="2191">
        <f t="shared" si="259"/>
        <v>0</v>
      </c>
      <c r="W375" s="2192">
        <f t="shared" si="261"/>
        <v>0</v>
      </c>
      <c r="X375" s="1075" t="str">
        <f t="shared" si="262"/>
        <v>1.33</v>
      </c>
      <c r="Y375" s="1075" t="str">
        <f t="shared" si="263"/>
        <v>D+</v>
      </c>
      <c r="Z375" s="1075" t="str">
        <f t="shared" si="264"/>
        <v>0</v>
      </c>
      <c r="AA375" s="2173"/>
      <c r="AB375" s="2174"/>
      <c r="AC375" s="2174"/>
      <c r="AD375" s="2174"/>
      <c r="AE375" s="2174"/>
      <c r="AF375" s="2174"/>
      <c r="AG375" s="2174"/>
      <c r="AH375" s="2174"/>
      <c r="AI375" s="2174"/>
      <c r="AJ375" s="2175"/>
      <c r="AK375" s="2175"/>
      <c r="AL375" s="2175"/>
      <c r="AM375" s="2175"/>
      <c r="AN375" s="2175"/>
      <c r="AO375" s="2175"/>
      <c r="AP375" s="2175"/>
      <c r="AQ375" s="2175"/>
      <c r="AR375" s="2176"/>
      <c r="AS375" s="1948"/>
      <c r="AT375" s="1949"/>
    </row>
    <row r="376" spans="1:46" ht="24.95" customHeight="1" x14ac:dyDescent="0.3">
      <c r="A376" s="1207"/>
      <c r="B376" s="1207"/>
      <c r="C376" s="1655"/>
      <c r="D376" s="1654" t="s">
        <v>606</v>
      </c>
      <c r="E376" s="23"/>
      <c r="F376" s="23"/>
      <c r="G376" s="23"/>
      <c r="H376" s="2186"/>
      <c r="I376" s="2186"/>
      <c r="J376" s="2186"/>
      <c r="K376" s="23"/>
      <c r="L376" s="23"/>
      <c r="M376" s="23"/>
      <c r="N376" s="2186">
        <v>0</v>
      </c>
      <c r="O376" s="2186">
        <v>0</v>
      </c>
      <c r="P376" s="2186">
        <v>0</v>
      </c>
      <c r="Q376" s="23"/>
      <c r="R376" s="23"/>
      <c r="S376" s="23"/>
      <c r="T376" s="2189">
        <f t="shared" si="260"/>
        <v>0</v>
      </c>
      <c r="U376" s="2190">
        <f t="shared" si="258"/>
        <v>0</v>
      </c>
      <c r="V376" s="2191">
        <f t="shared" si="259"/>
        <v>0</v>
      </c>
      <c r="W376" s="2192">
        <f t="shared" si="261"/>
        <v>0</v>
      </c>
      <c r="X376" s="1075" t="str">
        <f t="shared" si="262"/>
        <v>1.33</v>
      </c>
      <c r="Y376" s="1075" t="str">
        <f t="shared" si="263"/>
        <v>D+</v>
      </c>
      <c r="Z376" s="1075" t="str">
        <f t="shared" si="264"/>
        <v>0</v>
      </c>
      <c r="AA376" s="2173"/>
      <c r="AB376" s="2174"/>
      <c r="AC376" s="2174"/>
      <c r="AD376" s="2174"/>
      <c r="AE376" s="2174"/>
      <c r="AF376" s="2174"/>
      <c r="AG376" s="2174"/>
      <c r="AH376" s="2174"/>
      <c r="AI376" s="2174"/>
      <c r="AJ376" s="2175"/>
      <c r="AK376" s="2175"/>
      <c r="AL376" s="2175"/>
      <c r="AM376" s="2175"/>
      <c r="AN376" s="2175"/>
      <c r="AO376" s="2175"/>
      <c r="AP376" s="2175"/>
      <c r="AQ376" s="2175"/>
      <c r="AR376" s="2176"/>
      <c r="AS376" s="1948"/>
      <c r="AT376" s="1949"/>
    </row>
    <row r="377" spans="1:46" ht="24.95" customHeight="1" x14ac:dyDescent="0.3">
      <c r="A377" s="1207"/>
      <c r="B377" s="1207"/>
      <c r="C377" s="1655"/>
      <c r="D377" s="1654" t="s">
        <v>607</v>
      </c>
      <c r="E377" s="23"/>
      <c r="F377" s="23"/>
      <c r="G377" s="23"/>
      <c r="H377" s="2186"/>
      <c r="I377" s="2186"/>
      <c r="J377" s="2186"/>
      <c r="K377" s="23"/>
      <c r="L377" s="23"/>
      <c r="M377" s="23"/>
      <c r="N377" s="2186">
        <v>0</v>
      </c>
      <c r="O377" s="2186">
        <v>0</v>
      </c>
      <c r="P377" s="2186">
        <v>0</v>
      </c>
      <c r="Q377" s="23"/>
      <c r="R377" s="23"/>
      <c r="S377" s="23"/>
      <c r="T377" s="2189">
        <f t="shared" si="260"/>
        <v>0</v>
      </c>
      <c r="U377" s="2190">
        <f t="shared" si="258"/>
        <v>0</v>
      </c>
      <c r="V377" s="2191">
        <f t="shared" si="259"/>
        <v>0</v>
      </c>
      <c r="W377" s="2192">
        <f t="shared" si="261"/>
        <v>0</v>
      </c>
      <c r="X377" s="1075" t="str">
        <f t="shared" si="262"/>
        <v>1.33</v>
      </c>
      <c r="Y377" s="1075" t="str">
        <f t="shared" si="263"/>
        <v>D+</v>
      </c>
      <c r="Z377" s="1075" t="str">
        <f t="shared" si="264"/>
        <v>0</v>
      </c>
      <c r="AA377" s="2173"/>
      <c r="AB377" s="2174"/>
      <c r="AC377" s="2174"/>
      <c r="AD377" s="2174"/>
      <c r="AE377" s="2174"/>
      <c r="AF377" s="2174"/>
      <c r="AG377" s="2174"/>
      <c r="AH377" s="2174"/>
      <c r="AI377" s="2174"/>
      <c r="AJ377" s="2175"/>
      <c r="AK377" s="2175"/>
      <c r="AL377" s="2175"/>
      <c r="AM377" s="2175"/>
      <c r="AN377" s="2175"/>
      <c r="AO377" s="2175"/>
      <c r="AP377" s="2175"/>
      <c r="AQ377" s="2175"/>
      <c r="AR377" s="2176"/>
      <c r="AS377" s="1948"/>
      <c r="AT377" s="1949"/>
    </row>
    <row r="378" spans="1:46" ht="24.95" customHeight="1" x14ac:dyDescent="0.3">
      <c r="A378" s="1656"/>
      <c r="B378" s="1207"/>
      <c r="C378" s="1655"/>
      <c r="D378" s="1654" t="s">
        <v>22</v>
      </c>
      <c r="E378" s="2187"/>
      <c r="F378" s="2187"/>
      <c r="G378" s="2187"/>
      <c r="H378" s="2188"/>
      <c r="I378" s="2186"/>
      <c r="J378" s="2186"/>
      <c r="K378" s="23"/>
      <c r="L378" s="23"/>
      <c r="M378" s="23"/>
      <c r="N378" s="2186"/>
      <c r="O378" s="2186"/>
      <c r="P378" s="2186"/>
      <c r="Q378" s="23">
        <v>0</v>
      </c>
      <c r="R378" s="23">
        <v>0</v>
      </c>
      <c r="S378" s="23">
        <v>0</v>
      </c>
      <c r="T378" s="2189">
        <f t="shared" si="260"/>
        <v>0</v>
      </c>
      <c r="U378" s="2190">
        <f t="shared" si="258"/>
        <v>0</v>
      </c>
      <c r="V378" s="2191">
        <f t="shared" si="259"/>
        <v>0</v>
      </c>
      <c r="W378" s="2192">
        <f t="shared" si="261"/>
        <v>0</v>
      </c>
      <c r="X378" s="1075" t="str">
        <f t="shared" si="262"/>
        <v>1.33</v>
      </c>
      <c r="Y378" s="1075" t="str">
        <f t="shared" si="263"/>
        <v>D+</v>
      </c>
      <c r="Z378" s="1075" t="str">
        <f t="shared" si="264"/>
        <v>0</v>
      </c>
      <c r="AA378" s="2173"/>
      <c r="AB378" s="2174"/>
      <c r="AC378" s="2174"/>
      <c r="AD378" s="2174"/>
      <c r="AE378" s="2174"/>
      <c r="AF378" s="2174"/>
      <c r="AG378" s="2174"/>
      <c r="AH378" s="2174"/>
      <c r="AI378" s="2174"/>
      <c r="AJ378" s="2175"/>
      <c r="AK378" s="2175"/>
      <c r="AL378" s="2175"/>
      <c r="AM378" s="2175"/>
      <c r="AN378" s="2175"/>
      <c r="AO378" s="2175"/>
      <c r="AP378" s="2175"/>
      <c r="AQ378" s="2175"/>
      <c r="AR378" s="2176"/>
      <c r="AS378" s="1950"/>
      <c r="AT378" s="1951"/>
    </row>
    <row r="379" spans="1:46" ht="24.95" customHeight="1" x14ac:dyDescent="0.3">
      <c r="A379" s="1236"/>
      <c r="B379" s="1237">
        <v>37</v>
      </c>
      <c r="C379" s="1658"/>
      <c r="D379" s="1236"/>
      <c r="E379" s="2650"/>
      <c r="F379" s="2651"/>
      <c r="G379" s="2651"/>
      <c r="H379" s="2651"/>
      <c r="I379" s="2652"/>
      <c r="J379" s="2109"/>
      <c r="K379" s="2109"/>
      <c r="L379" s="2109"/>
      <c r="M379" s="2109"/>
      <c r="N379" s="2109"/>
      <c r="O379" s="2109"/>
      <c r="P379" s="2109"/>
      <c r="Q379" s="2109"/>
      <c r="R379" s="2109"/>
      <c r="S379" s="2109"/>
      <c r="T379" s="2193"/>
      <c r="U379" s="2193"/>
      <c r="V379" s="2193"/>
      <c r="W379" s="2194">
        <f>IFERROR(AVERAGE(W370:W378),"  ")</f>
        <v>0</v>
      </c>
      <c r="X379" s="1454" t="str">
        <f>IF(W379&gt;85,("4"),IF(W379&gt;80,("3.66"),IF(W379&gt;75,("3.33"),IF(W379&gt;70,("3.00"),IF(W379&gt;65,("2.66"),IF(W379&gt;60,("2.33"),IF(W379&gt;55,("2"),IF(W379&gt;50,("1.66"),"1.33"))))))))</f>
        <v>1.33</v>
      </c>
      <c r="Y379" s="1454" t="str">
        <f>IF(W379&gt;85,("A"),IF(W379&gt;80,("A-"),IF(W379&gt;75,("B+"),IF(W379&gt;70,("B"),IF(W379&gt;65,("B-"),IF(W379&gt;60,("C+"),IF(W379&gt;55,("C"),IF(W379&gt;50,("C-"),"D+"))))))))</f>
        <v>D+</v>
      </c>
      <c r="Z379" s="1666"/>
      <c r="AA379" s="2182"/>
      <c r="AB379" s="2183"/>
      <c r="AC379" s="2183"/>
      <c r="AD379" s="2183"/>
      <c r="AE379" s="2183"/>
      <c r="AF379" s="2183"/>
      <c r="AG379" s="2183"/>
      <c r="AH379" s="2183"/>
      <c r="AI379" s="2183"/>
      <c r="AJ379" s="2183"/>
      <c r="AK379" s="2183"/>
      <c r="AL379" s="2183"/>
      <c r="AM379" s="2183"/>
      <c r="AN379" s="2183"/>
      <c r="AO379" s="2183"/>
      <c r="AP379" s="2183"/>
      <c r="AQ379" s="2183"/>
      <c r="AR379" s="2184"/>
      <c r="AS379" s="1952"/>
      <c r="AT379" s="1953"/>
    </row>
    <row r="380" spans="1:46" ht="24.95" customHeight="1" x14ac:dyDescent="0.3">
      <c r="A380" s="1224">
        <v>38</v>
      </c>
      <c r="B380" s="1224"/>
      <c r="C380" s="1653" t="e">
        <f>VLOOKUP(A380,data_siswa,4,FALSE)</f>
        <v>#N/A</v>
      </c>
      <c r="D380" s="1654" t="s">
        <v>603</v>
      </c>
      <c r="E380" s="1211">
        <v>0</v>
      </c>
      <c r="F380" s="1211">
        <v>0</v>
      </c>
      <c r="G380" s="1211">
        <v>0</v>
      </c>
      <c r="H380" s="2185"/>
      <c r="I380" s="2185"/>
      <c r="J380" s="2185"/>
      <c r="K380" s="1211"/>
      <c r="L380" s="1211"/>
      <c r="M380" s="1211"/>
      <c r="N380" s="2185"/>
      <c r="O380" s="2185"/>
      <c r="P380" s="2185"/>
      <c r="Q380" s="1211"/>
      <c r="R380" s="1211"/>
      <c r="S380" s="1211"/>
      <c r="T380" s="2189">
        <f>MAX(H380,K380,N380,Q380)</f>
        <v>0</v>
      </c>
      <c r="U380" s="2190">
        <f t="shared" ref="U380:U388" si="265">MAX(I380,L380,O380,R380)</f>
        <v>0</v>
      </c>
      <c r="V380" s="2191">
        <f t="shared" ref="V380:V388" si="266">MAX(J380,M380,P380,S380)</f>
        <v>0</v>
      </c>
      <c r="W380" s="2192">
        <f>IFERROR(AVERAGE(T380:V380),"")</f>
        <v>0</v>
      </c>
      <c r="X380" s="1075" t="str">
        <f>IF(W380&gt;85,("4"),IF(W380&gt;80,("3.66"),IF(W380&gt;75,("3.33"),IF(W380&gt;70,("3.00"),IF(W380&gt;65,("2.66"),IF(W380&gt;60,("2.33"),IF(W380&gt;55,("2"),IF(W380&gt;50,("1.66"),"1.33"))))))))</f>
        <v>1.33</v>
      </c>
      <c r="Y380" s="1075" t="str">
        <f>IF(W380&gt;85,("A"),IF(W380&gt;80,("A-"),IF(W380&gt;75,("B+"),IF(W380&gt;70,("B"),IF(W380&gt;65,("B-"),IF(W380&gt;60,("C+"),IF(W380&gt;55,("C"),IF(W380&gt;50,("C-"),"D+"))))))))</f>
        <v>D+</v>
      </c>
      <c r="Z380" s="1075" t="str">
        <f>IF(W380&gt;80,("SB"),IF(W380&gt;65,("B"),IF(W380&gt;50,("C"),IF(W380&gt;0,("K"),"0"))))</f>
        <v>0</v>
      </c>
      <c r="AA380" s="2180"/>
      <c r="AB380" s="2180"/>
      <c r="AC380" s="2180"/>
      <c r="AD380" s="2180"/>
      <c r="AE380" s="2180"/>
      <c r="AF380" s="2180"/>
      <c r="AG380" s="2180"/>
      <c r="AH380" s="2180"/>
      <c r="AI380" s="2180"/>
      <c r="AJ380" s="2181"/>
      <c r="AK380" s="2181"/>
      <c r="AL380" s="2181"/>
      <c r="AM380" s="2181"/>
      <c r="AN380" s="2181"/>
      <c r="AO380" s="2181"/>
      <c r="AP380" s="2181"/>
      <c r="AQ380" s="2181"/>
      <c r="AR380" s="2181"/>
      <c r="AS380" s="1910">
        <f>W389</f>
        <v>0</v>
      </c>
      <c r="AT380" s="1910" t="str">
        <f>Y389</f>
        <v>D+</v>
      </c>
    </row>
    <row r="381" spans="1:46" ht="24.95" customHeight="1" x14ac:dyDescent="0.3">
      <c r="A381" s="1207"/>
      <c r="B381" s="1207"/>
      <c r="C381" s="1655"/>
      <c r="D381" s="1654" t="s">
        <v>604</v>
      </c>
      <c r="E381" s="23">
        <v>0</v>
      </c>
      <c r="F381" s="23">
        <v>0</v>
      </c>
      <c r="G381" s="23">
        <v>0</v>
      </c>
      <c r="H381" s="2186"/>
      <c r="I381" s="2186"/>
      <c r="J381" s="2186"/>
      <c r="K381" s="23"/>
      <c r="L381" s="23"/>
      <c r="M381" s="23"/>
      <c r="N381" s="2186"/>
      <c r="O381" s="2186"/>
      <c r="P381" s="2186"/>
      <c r="Q381" s="23"/>
      <c r="R381" s="23"/>
      <c r="S381" s="23"/>
      <c r="T381" s="2189">
        <f t="shared" ref="T381:T388" si="267">MAX(H381,K381,N381,Q381)</f>
        <v>0</v>
      </c>
      <c r="U381" s="2190">
        <f t="shared" si="265"/>
        <v>0</v>
      </c>
      <c r="V381" s="2191">
        <f t="shared" si="266"/>
        <v>0</v>
      </c>
      <c r="W381" s="2192">
        <f t="shared" ref="W381:W388" si="268">IFERROR(AVERAGE(T381:V381),"")</f>
        <v>0</v>
      </c>
      <c r="X381" s="1075" t="str">
        <f t="shared" ref="X381:X388" si="269">IF(W381&gt;85,("4"),IF(W381&gt;80,("3.66"),IF(W381&gt;75,("3.33"),IF(W381&gt;70,("3.00"),IF(W381&gt;65,("2.66"),IF(W381&gt;60,("2.33"),IF(W381&gt;55,("2"),IF(W381&gt;50,("1.66"),"1.33"))))))))</f>
        <v>1.33</v>
      </c>
      <c r="Y381" s="1075" t="str">
        <f t="shared" ref="Y381:Y388" si="270">IF(W381&gt;85,("A"),IF(W381&gt;80,("A-"),IF(W381&gt;75,("B+"),IF(W381&gt;70,("B"),IF(W381&gt;65,("B-"),IF(W381&gt;60,("C+"),IF(W381&gt;55,("C"),IF(W381&gt;50,("C-"),"D+"))))))))</f>
        <v>D+</v>
      </c>
      <c r="Z381" s="1075" t="str">
        <f t="shared" ref="Z381:Z388" si="271">IF(W381&gt;80,("SB"),IF(W381&gt;65,("B"),IF(W381&gt;50,("C"),IF(W381&gt;0,("K"),"0"))))</f>
        <v>0</v>
      </c>
      <c r="AA381" s="2169"/>
      <c r="AB381" s="2170"/>
      <c r="AC381" s="2170"/>
      <c r="AD381" s="2170"/>
      <c r="AE381" s="2170"/>
      <c r="AF381" s="2170"/>
      <c r="AG381" s="2170"/>
      <c r="AH381" s="2170"/>
      <c r="AI381" s="2170"/>
      <c r="AJ381" s="2171"/>
      <c r="AK381" s="2171"/>
      <c r="AL381" s="2171"/>
      <c r="AM381" s="2171"/>
      <c r="AN381" s="2171"/>
      <c r="AO381" s="2171"/>
      <c r="AP381" s="2171"/>
      <c r="AQ381" s="2171"/>
      <c r="AR381" s="2172"/>
      <c r="AS381" s="1946"/>
      <c r="AT381" s="1947"/>
    </row>
    <row r="382" spans="1:46" ht="24.95" customHeight="1" x14ac:dyDescent="0.3">
      <c r="A382" s="1207"/>
      <c r="B382" s="1207"/>
      <c r="C382" s="1655"/>
      <c r="D382" s="1654" t="s">
        <v>605</v>
      </c>
      <c r="E382" s="23">
        <v>0</v>
      </c>
      <c r="F382" s="23">
        <v>0</v>
      </c>
      <c r="G382" s="23">
        <v>0</v>
      </c>
      <c r="H382" s="2186"/>
      <c r="I382" s="2186"/>
      <c r="J382" s="2186"/>
      <c r="K382" s="23"/>
      <c r="L382" s="23"/>
      <c r="M382" s="23"/>
      <c r="N382" s="2186"/>
      <c r="O382" s="2186"/>
      <c r="P382" s="2186"/>
      <c r="Q382" s="23"/>
      <c r="R382" s="23"/>
      <c r="S382" s="23"/>
      <c r="T382" s="2189">
        <f t="shared" si="267"/>
        <v>0</v>
      </c>
      <c r="U382" s="2190">
        <f t="shared" si="265"/>
        <v>0</v>
      </c>
      <c r="V382" s="2191">
        <f t="shared" si="266"/>
        <v>0</v>
      </c>
      <c r="W382" s="2192">
        <f t="shared" si="268"/>
        <v>0</v>
      </c>
      <c r="X382" s="1075" t="str">
        <f t="shared" si="269"/>
        <v>1.33</v>
      </c>
      <c r="Y382" s="1075" t="str">
        <f t="shared" si="270"/>
        <v>D+</v>
      </c>
      <c r="Z382" s="1075" t="str">
        <f t="shared" si="271"/>
        <v>0</v>
      </c>
      <c r="AA382" s="2173"/>
      <c r="AB382" s="2174"/>
      <c r="AC382" s="2174"/>
      <c r="AD382" s="2174"/>
      <c r="AE382" s="2174"/>
      <c r="AF382" s="2174"/>
      <c r="AG382" s="2174"/>
      <c r="AH382" s="2174"/>
      <c r="AI382" s="2174"/>
      <c r="AJ382" s="2175"/>
      <c r="AK382" s="2175"/>
      <c r="AL382" s="2175"/>
      <c r="AM382" s="2175"/>
      <c r="AN382" s="2175"/>
      <c r="AO382" s="2175"/>
      <c r="AP382" s="2175"/>
      <c r="AQ382" s="2175"/>
      <c r="AR382" s="2176"/>
      <c r="AS382" s="1948"/>
      <c r="AT382" s="1949"/>
    </row>
    <row r="383" spans="1:46" ht="24.95" customHeight="1" x14ac:dyDescent="0.3">
      <c r="A383" s="1207"/>
      <c r="B383" s="1207"/>
      <c r="C383" s="1655"/>
      <c r="D383" s="1654" t="s">
        <v>155</v>
      </c>
      <c r="E383" s="23"/>
      <c r="F383" s="23"/>
      <c r="G383" s="23"/>
      <c r="H383" s="2186">
        <v>0</v>
      </c>
      <c r="I383" s="2186">
        <v>0</v>
      </c>
      <c r="J383" s="2186">
        <v>0</v>
      </c>
      <c r="K383" s="23"/>
      <c r="L383" s="23"/>
      <c r="M383" s="23"/>
      <c r="N383" s="2186"/>
      <c r="O383" s="2186"/>
      <c r="P383" s="2186"/>
      <c r="Q383" s="23"/>
      <c r="R383" s="23"/>
      <c r="S383" s="23"/>
      <c r="T383" s="2189">
        <f t="shared" si="267"/>
        <v>0</v>
      </c>
      <c r="U383" s="2190">
        <f t="shared" si="265"/>
        <v>0</v>
      </c>
      <c r="V383" s="2191">
        <f t="shared" si="266"/>
        <v>0</v>
      </c>
      <c r="W383" s="2192">
        <f t="shared" si="268"/>
        <v>0</v>
      </c>
      <c r="X383" s="1075" t="str">
        <f t="shared" si="269"/>
        <v>1.33</v>
      </c>
      <c r="Y383" s="1075" t="str">
        <f t="shared" si="270"/>
        <v>D+</v>
      </c>
      <c r="Z383" s="1075" t="str">
        <f t="shared" si="271"/>
        <v>0</v>
      </c>
      <c r="AA383" s="2173"/>
      <c r="AB383" s="2174"/>
      <c r="AC383" s="2174"/>
      <c r="AD383" s="2174"/>
      <c r="AE383" s="2174"/>
      <c r="AF383" s="2174"/>
      <c r="AG383" s="2174"/>
      <c r="AH383" s="2174"/>
      <c r="AI383" s="2174"/>
      <c r="AJ383" s="2175"/>
      <c r="AK383" s="2175"/>
      <c r="AL383" s="2175"/>
      <c r="AM383" s="2175"/>
      <c r="AN383" s="2175"/>
      <c r="AO383" s="2175"/>
      <c r="AP383" s="2175"/>
      <c r="AQ383" s="2175"/>
      <c r="AR383" s="2176"/>
      <c r="AS383" s="1948"/>
      <c r="AT383" s="1949"/>
    </row>
    <row r="384" spans="1:46" ht="24.95" customHeight="1" x14ac:dyDescent="0.3">
      <c r="A384" s="1207"/>
      <c r="B384" s="1207"/>
      <c r="C384" s="1655"/>
      <c r="D384" s="1654" t="s">
        <v>187</v>
      </c>
      <c r="E384" s="23"/>
      <c r="F384" s="23"/>
      <c r="G384" s="23"/>
      <c r="H384" s="2186"/>
      <c r="I384" s="2186"/>
      <c r="J384" s="2186"/>
      <c r="K384" s="23">
        <v>0</v>
      </c>
      <c r="L384" s="23">
        <v>0</v>
      </c>
      <c r="M384" s="23">
        <v>0</v>
      </c>
      <c r="N384" s="2186"/>
      <c r="O384" s="2186"/>
      <c r="P384" s="2186"/>
      <c r="Q384" s="23"/>
      <c r="R384" s="23"/>
      <c r="S384" s="23"/>
      <c r="T384" s="2189">
        <f t="shared" si="267"/>
        <v>0</v>
      </c>
      <c r="U384" s="2190">
        <f t="shared" si="265"/>
        <v>0</v>
      </c>
      <c r="V384" s="2191">
        <f t="shared" si="266"/>
        <v>0</v>
      </c>
      <c r="W384" s="2192">
        <f t="shared" si="268"/>
        <v>0</v>
      </c>
      <c r="X384" s="1075" t="str">
        <f t="shared" si="269"/>
        <v>1.33</v>
      </c>
      <c r="Y384" s="1075" t="str">
        <f t="shared" si="270"/>
        <v>D+</v>
      </c>
      <c r="Z384" s="1075" t="str">
        <f t="shared" si="271"/>
        <v>0</v>
      </c>
      <c r="AA384" s="2173"/>
      <c r="AB384" s="2174"/>
      <c r="AC384" s="2174"/>
      <c r="AD384" s="2174"/>
      <c r="AE384" s="2174"/>
      <c r="AF384" s="2174"/>
      <c r="AG384" s="2174"/>
      <c r="AH384" s="2174"/>
      <c r="AI384" s="2174"/>
      <c r="AJ384" s="2175"/>
      <c r="AK384" s="2175"/>
      <c r="AL384" s="2175"/>
      <c r="AM384" s="2175"/>
      <c r="AN384" s="2175"/>
      <c r="AO384" s="2175"/>
      <c r="AP384" s="2175"/>
      <c r="AQ384" s="2175"/>
      <c r="AR384" s="2176"/>
      <c r="AS384" s="1948"/>
      <c r="AT384" s="1949"/>
    </row>
    <row r="385" spans="1:46" ht="24.95" customHeight="1" x14ac:dyDescent="0.3">
      <c r="A385" s="1207"/>
      <c r="B385" s="1207"/>
      <c r="C385" s="1655"/>
      <c r="D385" s="1654" t="s">
        <v>17</v>
      </c>
      <c r="E385" s="23"/>
      <c r="F385" s="23"/>
      <c r="G385" s="23"/>
      <c r="H385" s="2186"/>
      <c r="I385" s="2186"/>
      <c r="J385" s="2186"/>
      <c r="K385" s="23">
        <v>0</v>
      </c>
      <c r="L385" s="23">
        <v>0</v>
      </c>
      <c r="M385" s="23">
        <v>0</v>
      </c>
      <c r="N385" s="2186"/>
      <c r="O385" s="2186"/>
      <c r="P385" s="2186"/>
      <c r="Q385" s="23"/>
      <c r="R385" s="23"/>
      <c r="S385" s="23"/>
      <c r="T385" s="2189">
        <f t="shared" si="267"/>
        <v>0</v>
      </c>
      <c r="U385" s="2190">
        <f t="shared" si="265"/>
        <v>0</v>
      </c>
      <c r="V385" s="2191">
        <f t="shared" si="266"/>
        <v>0</v>
      </c>
      <c r="W385" s="2192">
        <f t="shared" si="268"/>
        <v>0</v>
      </c>
      <c r="X385" s="1075" t="str">
        <f t="shared" si="269"/>
        <v>1.33</v>
      </c>
      <c r="Y385" s="1075" t="str">
        <f t="shared" si="270"/>
        <v>D+</v>
      </c>
      <c r="Z385" s="1075" t="str">
        <f t="shared" si="271"/>
        <v>0</v>
      </c>
      <c r="AA385" s="2173"/>
      <c r="AB385" s="2174"/>
      <c r="AC385" s="2174"/>
      <c r="AD385" s="2174"/>
      <c r="AE385" s="2174"/>
      <c r="AF385" s="2174"/>
      <c r="AG385" s="2174"/>
      <c r="AH385" s="2174"/>
      <c r="AI385" s="2174"/>
      <c r="AJ385" s="2175"/>
      <c r="AK385" s="2175"/>
      <c r="AL385" s="2175"/>
      <c r="AM385" s="2175"/>
      <c r="AN385" s="2175"/>
      <c r="AO385" s="2175"/>
      <c r="AP385" s="2175"/>
      <c r="AQ385" s="2175"/>
      <c r="AR385" s="2176"/>
      <c r="AS385" s="1948"/>
      <c r="AT385" s="1949"/>
    </row>
    <row r="386" spans="1:46" ht="24.95" customHeight="1" x14ac:dyDescent="0.3">
      <c r="A386" s="1207"/>
      <c r="B386" s="1207"/>
      <c r="C386" s="1655"/>
      <c r="D386" s="1654" t="s">
        <v>606</v>
      </c>
      <c r="E386" s="23"/>
      <c r="F386" s="23"/>
      <c r="G386" s="23"/>
      <c r="H386" s="2186"/>
      <c r="I386" s="2186"/>
      <c r="J386" s="2186"/>
      <c r="K386" s="23"/>
      <c r="L386" s="23"/>
      <c r="M386" s="23"/>
      <c r="N386" s="2186">
        <v>0</v>
      </c>
      <c r="O386" s="2186">
        <v>0</v>
      </c>
      <c r="P386" s="2186">
        <v>0</v>
      </c>
      <c r="Q386" s="23"/>
      <c r="R386" s="23"/>
      <c r="S386" s="23"/>
      <c r="T386" s="2189">
        <f t="shared" si="267"/>
        <v>0</v>
      </c>
      <c r="U386" s="2190">
        <f t="shared" si="265"/>
        <v>0</v>
      </c>
      <c r="V386" s="2191">
        <f t="shared" si="266"/>
        <v>0</v>
      </c>
      <c r="W386" s="2192">
        <f t="shared" si="268"/>
        <v>0</v>
      </c>
      <c r="X386" s="1075" t="str">
        <f t="shared" si="269"/>
        <v>1.33</v>
      </c>
      <c r="Y386" s="1075" t="str">
        <f t="shared" si="270"/>
        <v>D+</v>
      </c>
      <c r="Z386" s="1075" t="str">
        <f t="shared" si="271"/>
        <v>0</v>
      </c>
      <c r="AA386" s="2173"/>
      <c r="AB386" s="2174"/>
      <c r="AC386" s="2174"/>
      <c r="AD386" s="2174"/>
      <c r="AE386" s="2174"/>
      <c r="AF386" s="2174"/>
      <c r="AG386" s="2174"/>
      <c r="AH386" s="2174"/>
      <c r="AI386" s="2174"/>
      <c r="AJ386" s="2175"/>
      <c r="AK386" s="2175"/>
      <c r="AL386" s="2175"/>
      <c r="AM386" s="2175"/>
      <c r="AN386" s="2175"/>
      <c r="AO386" s="2175"/>
      <c r="AP386" s="2175"/>
      <c r="AQ386" s="2175"/>
      <c r="AR386" s="2176"/>
      <c r="AS386" s="1948"/>
      <c r="AT386" s="1949"/>
    </row>
    <row r="387" spans="1:46" ht="24.95" customHeight="1" x14ac:dyDescent="0.3">
      <c r="A387" s="1207"/>
      <c r="B387" s="1207"/>
      <c r="C387" s="1655"/>
      <c r="D387" s="1654" t="s">
        <v>607</v>
      </c>
      <c r="E387" s="23"/>
      <c r="F387" s="23"/>
      <c r="G387" s="23"/>
      <c r="H387" s="2186"/>
      <c r="I387" s="2186"/>
      <c r="J387" s="2186"/>
      <c r="K387" s="23"/>
      <c r="L387" s="23"/>
      <c r="M387" s="23"/>
      <c r="N387" s="2186">
        <v>0</v>
      </c>
      <c r="O387" s="2186">
        <v>0</v>
      </c>
      <c r="P387" s="2186">
        <v>0</v>
      </c>
      <c r="Q387" s="23"/>
      <c r="R387" s="23"/>
      <c r="S387" s="23"/>
      <c r="T387" s="2189">
        <f t="shared" si="267"/>
        <v>0</v>
      </c>
      <c r="U387" s="2190">
        <f t="shared" si="265"/>
        <v>0</v>
      </c>
      <c r="V387" s="2191">
        <f t="shared" si="266"/>
        <v>0</v>
      </c>
      <c r="W387" s="2192">
        <f t="shared" si="268"/>
        <v>0</v>
      </c>
      <c r="X387" s="1075" t="str">
        <f t="shared" si="269"/>
        <v>1.33</v>
      </c>
      <c r="Y387" s="1075" t="str">
        <f t="shared" si="270"/>
        <v>D+</v>
      </c>
      <c r="Z387" s="1075" t="str">
        <f t="shared" si="271"/>
        <v>0</v>
      </c>
      <c r="AA387" s="2173"/>
      <c r="AB387" s="2174"/>
      <c r="AC387" s="2174"/>
      <c r="AD387" s="2174"/>
      <c r="AE387" s="2174"/>
      <c r="AF387" s="2174"/>
      <c r="AG387" s="2174"/>
      <c r="AH387" s="2174"/>
      <c r="AI387" s="2174"/>
      <c r="AJ387" s="2175"/>
      <c r="AK387" s="2175"/>
      <c r="AL387" s="2175"/>
      <c r="AM387" s="2175"/>
      <c r="AN387" s="2175"/>
      <c r="AO387" s="2175"/>
      <c r="AP387" s="2175"/>
      <c r="AQ387" s="2175"/>
      <c r="AR387" s="2176"/>
      <c r="AS387" s="1948"/>
      <c r="AT387" s="1949"/>
    </row>
    <row r="388" spans="1:46" ht="24.95" customHeight="1" x14ac:dyDescent="0.3">
      <c r="A388" s="1656"/>
      <c r="B388" s="1207"/>
      <c r="C388" s="1655"/>
      <c r="D388" s="1654" t="s">
        <v>22</v>
      </c>
      <c r="E388" s="2187"/>
      <c r="F388" s="2187"/>
      <c r="G388" s="2187"/>
      <c r="H388" s="2188"/>
      <c r="I388" s="2186"/>
      <c r="J388" s="2186"/>
      <c r="K388" s="23"/>
      <c r="L388" s="23"/>
      <c r="M388" s="23"/>
      <c r="N388" s="2186"/>
      <c r="O388" s="2186"/>
      <c r="P388" s="2186"/>
      <c r="Q388" s="23">
        <v>0</v>
      </c>
      <c r="R388" s="23">
        <v>0</v>
      </c>
      <c r="S388" s="23">
        <v>0</v>
      </c>
      <c r="T388" s="2189">
        <f t="shared" si="267"/>
        <v>0</v>
      </c>
      <c r="U388" s="2190">
        <f t="shared" si="265"/>
        <v>0</v>
      </c>
      <c r="V388" s="2191">
        <f t="shared" si="266"/>
        <v>0</v>
      </c>
      <c r="W388" s="2192">
        <f t="shared" si="268"/>
        <v>0</v>
      </c>
      <c r="X388" s="1075" t="str">
        <f t="shared" si="269"/>
        <v>1.33</v>
      </c>
      <c r="Y388" s="1075" t="str">
        <f t="shared" si="270"/>
        <v>D+</v>
      </c>
      <c r="Z388" s="1075" t="str">
        <f t="shared" si="271"/>
        <v>0</v>
      </c>
      <c r="AA388" s="2173"/>
      <c r="AB388" s="2174"/>
      <c r="AC388" s="2174"/>
      <c r="AD388" s="2174"/>
      <c r="AE388" s="2174"/>
      <c r="AF388" s="2174"/>
      <c r="AG388" s="2174"/>
      <c r="AH388" s="2174"/>
      <c r="AI388" s="2174"/>
      <c r="AJ388" s="2175"/>
      <c r="AK388" s="2175"/>
      <c r="AL388" s="2175"/>
      <c r="AM388" s="2175"/>
      <c r="AN388" s="2175"/>
      <c r="AO388" s="2175"/>
      <c r="AP388" s="2175"/>
      <c r="AQ388" s="2175"/>
      <c r="AR388" s="2176"/>
      <c r="AS388" s="1950"/>
      <c r="AT388" s="1951"/>
    </row>
    <row r="389" spans="1:46" ht="24.95" customHeight="1" x14ac:dyDescent="0.3">
      <c r="A389" s="1236"/>
      <c r="B389" s="1237">
        <v>38</v>
      </c>
      <c r="C389" s="1658"/>
      <c r="D389" s="1236"/>
      <c r="E389" s="2650"/>
      <c r="F389" s="2651"/>
      <c r="G389" s="2651"/>
      <c r="H389" s="2651"/>
      <c r="I389" s="2652"/>
      <c r="J389" s="2109"/>
      <c r="K389" s="2109"/>
      <c r="L389" s="2109"/>
      <c r="M389" s="2109"/>
      <c r="N389" s="2109"/>
      <c r="O389" s="2109"/>
      <c r="P389" s="2109"/>
      <c r="Q389" s="2109"/>
      <c r="R389" s="2109"/>
      <c r="S389" s="2109"/>
      <c r="T389" s="2193"/>
      <c r="U389" s="2193"/>
      <c r="V389" s="2193"/>
      <c r="W389" s="2194">
        <f>IFERROR(AVERAGE(W380:W388),"  ")</f>
        <v>0</v>
      </c>
      <c r="X389" s="1454" t="str">
        <f>IF(W389&gt;85,("4"),IF(W389&gt;80,("3.66"),IF(W389&gt;75,("3.33"),IF(W389&gt;70,("3.00"),IF(W389&gt;65,("2.66"),IF(W389&gt;60,("2.33"),IF(W389&gt;55,("2"),IF(W389&gt;50,("1.66"),"1.33"))))))))</f>
        <v>1.33</v>
      </c>
      <c r="Y389" s="1454" t="str">
        <f>IF(W389&gt;85,("A"),IF(W389&gt;80,("A-"),IF(W389&gt;75,("B+"),IF(W389&gt;70,("B"),IF(W389&gt;65,("B-"),IF(W389&gt;60,("C+"),IF(W389&gt;55,("C"),IF(W389&gt;50,("C-"),"D+"))))))))</f>
        <v>D+</v>
      </c>
      <c r="Z389" s="1666"/>
      <c r="AA389" s="2182"/>
      <c r="AB389" s="2183"/>
      <c r="AC389" s="2183"/>
      <c r="AD389" s="2183"/>
      <c r="AE389" s="2183"/>
      <c r="AF389" s="2183"/>
      <c r="AG389" s="2183"/>
      <c r="AH389" s="2183"/>
      <c r="AI389" s="2183"/>
      <c r="AJ389" s="2183"/>
      <c r="AK389" s="2183"/>
      <c r="AL389" s="2183"/>
      <c r="AM389" s="2183"/>
      <c r="AN389" s="2183"/>
      <c r="AO389" s="2183"/>
      <c r="AP389" s="2183"/>
      <c r="AQ389" s="2183"/>
      <c r="AR389" s="2184"/>
      <c r="AS389" s="1952"/>
      <c r="AT389" s="1953"/>
    </row>
    <row r="390" spans="1:46" ht="24.95" customHeight="1" x14ac:dyDescent="0.3">
      <c r="A390" s="1224">
        <v>39</v>
      </c>
      <c r="B390" s="1224"/>
      <c r="C390" s="1653" t="e">
        <f>VLOOKUP(A390,data_siswa,4,FALSE)</f>
        <v>#N/A</v>
      </c>
      <c r="D390" s="1654" t="s">
        <v>603</v>
      </c>
      <c r="E390" s="1211">
        <v>0</v>
      </c>
      <c r="F390" s="1211">
        <v>0</v>
      </c>
      <c r="G390" s="1211">
        <v>0</v>
      </c>
      <c r="H390" s="2185"/>
      <c r="I390" s="2185"/>
      <c r="J390" s="2185"/>
      <c r="K390" s="1211"/>
      <c r="L390" s="1211"/>
      <c r="M390" s="1211"/>
      <c r="N390" s="2185"/>
      <c r="O390" s="2185"/>
      <c r="P390" s="2185"/>
      <c r="Q390" s="1211"/>
      <c r="R390" s="1211"/>
      <c r="S390" s="1211"/>
      <c r="T390" s="2189">
        <f>MAX(H390,K390,N390,Q390)</f>
        <v>0</v>
      </c>
      <c r="U390" s="2190">
        <f t="shared" ref="U390:U398" si="272">MAX(I390,L390,O390,R390)</f>
        <v>0</v>
      </c>
      <c r="V390" s="2191">
        <f t="shared" ref="V390:V398" si="273">MAX(J390,M390,P390,S390)</f>
        <v>0</v>
      </c>
      <c r="W390" s="2192">
        <f>IFERROR(AVERAGE(T390:V390),"")</f>
        <v>0</v>
      </c>
      <c r="X390" s="1075" t="str">
        <f>IF(W390&gt;85,("4"),IF(W390&gt;80,("3.66"),IF(W390&gt;75,("3.33"),IF(W390&gt;70,("3.00"),IF(W390&gt;65,("2.66"),IF(W390&gt;60,("2.33"),IF(W390&gt;55,("2"),IF(W390&gt;50,("1.66"),"1.33"))))))))</f>
        <v>1.33</v>
      </c>
      <c r="Y390" s="1075" t="str">
        <f>IF(W390&gt;85,("A"),IF(W390&gt;80,("A-"),IF(W390&gt;75,("B+"),IF(W390&gt;70,("B"),IF(W390&gt;65,("B-"),IF(W390&gt;60,("C+"),IF(W390&gt;55,("C"),IF(W390&gt;50,("C-"),"D+"))))))))</f>
        <v>D+</v>
      </c>
      <c r="Z390" s="1075" t="str">
        <f>IF(W390&gt;80,("SB"),IF(W390&gt;65,("B"),IF(W390&gt;50,("C"),IF(W390&gt;0,("K"),"0"))))</f>
        <v>0</v>
      </c>
      <c r="AA390" s="2180"/>
      <c r="AB390" s="2180"/>
      <c r="AC390" s="2180"/>
      <c r="AD390" s="2180"/>
      <c r="AE390" s="2180"/>
      <c r="AF390" s="2180"/>
      <c r="AG390" s="2180"/>
      <c r="AH390" s="2180"/>
      <c r="AI390" s="2180"/>
      <c r="AJ390" s="2181"/>
      <c r="AK390" s="2181"/>
      <c r="AL390" s="2181"/>
      <c r="AM390" s="2181"/>
      <c r="AN390" s="2181"/>
      <c r="AO390" s="2181"/>
      <c r="AP390" s="2181"/>
      <c r="AQ390" s="2181"/>
      <c r="AR390" s="2181"/>
      <c r="AS390" s="1910">
        <f>W399</f>
        <v>0</v>
      </c>
      <c r="AT390" s="1910" t="str">
        <f>Y399</f>
        <v>D+</v>
      </c>
    </row>
    <row r="391" spans="1:46" ht="24.95" customHeight="1" x14ac:dyDescent="0.3">
      <c r="A391" s="1207"/>
      <c r="B391" s="1207"/>
      <c r="C391" s="1655"/>
      <c r="D391" s="1654" t="s">
        <v>604</v>
      </c>
      <c r="E391" s="23">
        <v>0</v>
      </c>
      <c r="F391" s="23">
        <v>0</v>
      </c>
      <c r="G391" s="23">
        <v>0</v>
      </c>
      <c r="H391" s="2186"/>
      <c r="I391" s="2186"/>
      <c r="J391" s="2186"/>
      <c r="K391" s="23"/>
      <c r="L391" s="23"/>
      <c r="M391" s="23"/>
      <c r="N391" s="2186"/>
      <c r="O391" s="2186"/>
      <c r="P391" s="2186"/>
      <c r="Q391" s="23"/>
      <c r="R391" s="23"/>
      <c r="S391" s="23"/>
      <c r="T391" s="2189">
        <f t="shared" ref="T391:T398" si="274">MAX(H391,K391,N391,Q391)</f>
        <v>0</v>
      </c>
      <c r="U391" s="2190">
        <f t="shared" si="272"/>
        <v>0</v>
      </c>
      <c r="V391" s="2191">
        <f t="shared" si="273"/>
        <v>0</v>
      </c>
      <c r="W391" s="2192">
        <f t="shared" ref="W391:W398" si="275">IFERROR(AVERAGE(T391:V391),"")</f>
        <v>0</v>
      </c>
      <c r="X391" s="1075" t="str">
        <f t="shared" ref="X391:X398" si="276">IF(W391&gt;85,("4"),IF(W391&gt;80,("3.66"),IF(W391&gt;75,("3.33"),IF(W391&gt;70,("3.00"),IF(W391&gt;65,("2.66"),IF(W391&gt;60,("2.33"),IF(W391&gt;55,("2"),IF(W391&gt;50,("1.66"),"1.33"))))))))</f>
        <v>1.33</v>
      </c>
      <c r="Y391" s="1075" t="str">
        <f t="shared" ref="Y391:Y398" si="277">IF(W391&gt;85,("A"),IF(W391&gt;80,("A-"),IF(W391&gt;75,("B+"),IF(W391&gt;70,("B"),IF(W391&gt;65,("B-"),IF(W391&gt;60,("C+"),IF(W391&gt;55,("C"),IF(W391&gt;50,("C-"),"D+"))))))))</f>
        <v>D+</v>
      </c>
      <c r="Z391" s="1075" t="str">
        <f t="shared" ref="Z391:Z398" si="278">IF(W391&gt;80,("SB"),IF(W391&gt;65,("B"),IF(W391&gt;50,("C"),IF(W391&gt;0,("K"),"0"))))</f>
        <v>0</v>
      </c>
      <c r="AA391" s="2169"/>
      <c r="AB391" s="2170"/>
      <c r="AC391" s="2170"/>
      <c r="AD391" s="2170"/>
      <c r="AE391" s="2170"/>
      <c r="AF391" s="2170"/>
      <c r="AG391" s="2170"/>
      <c r="AH391" s="2170"/>
      <c r="AI391" s="2170"/>
      <c r="AJ391" s="2171"/>
      <c r="AK391" s="2171"/>
      <c r="AL391" s="2171"/>
      <c r="AM391" s="2171"/>
      <c r="AN391" s="2171"/>
      <c r="AO391" s="2171"/>
      <c r="AP391" s="2171"/>
      <c r="AQ391" s="2171"/>
      <c r="AR391" s="2172"/>
      <c r="AS391" s="1946"/>
      <c r="AT391" s="1947"/>
    </row>
    <row r="392" spans="1:46" ht="24.95" customHeight="1" x14ac:dyDescent="0.3">
      <c r="A392" s="1207"/>
      <c r="B392" s="1207"/>
      <c r="C392" s="1655"/>
      <c r="D392" s="1654" t="s">
        <v>605</v>
      </c>
      <c r="E392" s="23">
        <v>0</v>
      </c>
      <c r="F392" s="23">
        <v>0</v>
      </c>
      <c r="G392" s="23">
        <v>0</v>
      </c>
      <c r="H392" s="2186"/>
      <c r="I392" s="2186"/>
      <c r="J392" s="2186"/>
      <c r="K392" s="23"/>
      <c r="L392" s="23"/>
      <c r="M392" s="23"/>
      <c r="N392" s="2186"/>
      <c r="O392" s="2186"/>
      <c r="P392" s="2186"/>
      <c r="Q392" s="23"/>
      <c r="R392" s="23"/>
      <c r="S392" s="23"/>
      <c r="T392" s="2189">
        <f t="shared" si="274"/>
        <v>0</v>
      </c>
      <c r="U392" s="2190">
        <f t="shared" si="272"/>
        <v>0</v>
      </c>
      <c r="V392" s="2191">
        <f t="shared" si="273"/>
        <v>0</v>
      </c>
      <c r="W392" s="2192">
        <f t="shared" si="275"/>
        <v>0</v>
      </c>
      <c r="X392" s="1075" t="str">
        <f t="shared" si="276"/>
        <v>1.33</v>
      </c>
      <c r="Y392" s="1075" t="str">
        <f t="shared" si="277"/>
        <v>D+</v>
      </c>
      <c r="Z392" s="1075" t="str">
        <f t="shared" si="278"/>
        <v>0</v>
      </c>
      <c r="AA392" s="2173"/>
      <c r="AB392" s="2174"/>
      <c r="AC392" s="2174"/>
      <c r="AD392" s="2174"/>
      <c r="AE392" s="2174"/>
      <c r="AF392" s="2174"/>
      <c r="AG392" s="2174"/>
      <c r="AH392" s="2174"/>
      <c r="AI392" s="2174"/>
      <c r="AJ392" s="2175"/>
      <c r="AK392" s="2175"/>
      <c r="AL392" s="2175"/>
      <c r="AM392" s="2175"/>
      <c r="AN392" s="2175"/>
      <c r="AO392" s="2175"/>
      <c r="AP392" s="2175"/>
      <c r="AQ392" s="2175"/>
      <c r="AR392" s="2176"/>
      <c r="AS392" s="1948"/>
      <c r="AT392" s="1949"/>
    </row>
    <row r="393" spans="1:46" ht="24.95" customHeight="1" x14ac:dyDescent="0.3">
      <c r="A393" s="1207"/>
      <c r="B393" s="1207"/>
      <c r="C393" s="1655"/>
      <c r="D393" s="1654" t="s">
        <v>155</v>
      </c>
      <c r="E393" s="23"/>
      <c r="F393" s="23"/>
      <c r="G393" s="23"/>
      <c r="H393" s="2186">
        <v>0</v>
      </c>
      <c r="I393" s="2186">
        <v>0</v>
      </c>
      <c r="J393" s="2186">
        <v>0</v>
      </c>
      <c r="K393" s="23"/>
      <c r="L393" s="23"/>
      <c r="M393" s="23"/>
      <c r="N393" s="2186"/>
      <c r="O393" s="2186"/>
      <c r="P393" s="2186"/>
      <c r="Q393" s="23"/>
      <c r="R393" s="23"/>
      <c r="S393" s="23"/>
      <c r="T393" s="2189">
        <f t="shared" si="274"/>
        <v>0</v>
      </c>
      <c r="U393" s="2190">
        <f t="shared" si="272"/>
        <v>0</v>
      </c>
      <c r="V393" s="2191">
        <f t="shared" si="273"/>
        <v>0</v>
      </c>
      <c r="W393" s="2192">
        <f t="shared" si="275"/>
        <v>0</v>
      </c>
      <c r="X393" s="1075" t="str">
        <f t="shared" si="276"/>
        <v>1.33</v>
      </c>
      <c r="Y393" s="1075" t="str">
        <f t="shared" si="277"/>
        <v>D+</v>
      </c>
      <c r="Z393" s="1075" t="str">
        <f t="shared" si="278"/>
        <v>0</v>
      </c>
      <c r="AA393" s="2173"/>
      <c r="AB393" s="2174"/>
      <c r="AC393" s="2174"/>
      <c r="AD393" s="2174"/>
      <c r="AE393" s="2174"/>
      <c r="AF393" s="2174"/>
      <c r="AG393" s="2174"/>
      <c r="AH393" s="2174"/>
      <c r="AI393" s="2174"/>
      <c r="AJ393" s="2175"/>
      <c r="AK393" s="2175"/>
      <c r="AL393" s="2175"/>
      <c r="AM393" s="2175"/>
      <c r="AN393" s="2175"/>
      <c r="AO393" s="2175"/>
      <c r="AP393" s="2175"/>
      <c r="AQ393" s="2175"/>
      <c r="AR393" s="2176"/>
      <c r="AS393" s="1948"/>
      <c r="AT393" s="1949"/>
    </row>
    <row r="394" spans="1:46" ht="24.95" customHeight="1" x14ac:dyDescent="0.3">
      <c r="A394" s="1207"/>
      <c r="B394" s="1207"/>
      <c r="C394" s="1655"/>
      <c r="D394" s="1654" t="s">
        <v>187</v>
      </c>
      <c r="E394" s="23"/>
      <c r="F394" s="23"/>
      <c r="G394" s="23"/>
      <c r="H394" s="2186"/>
      <c r="I394" s="2186"/>
      <c r="J394" s="2186"/>
      <c r="K394" s="23">
        <v>0</v>
      </c>
      <c r="L394" s="23">
        <v>0</v>
      </c>
      <c r="M394" s="23">
        <v>0</v>
      </c>
      <c r="N394" s="2186"/>
      <c r="O394" s="2186"/>
      <c r="P394" s="2186"/>
      <c r="Q394" s="23"/>
      <c r="R394" s="23"/>
      <c r="S394" s="23"/>
      <c r="T394" s="2189">
        <f t="shared" si="274"/>
        <v>0</v>
      </c>
      <c r="U394" s="2190">
        <f t="shared" si="272"/>
        <v>0</v>
      </c>
      <c r="V394" s="2191">
        <f t="shared" si="273"/>
        <v>0</v>
      </c>
      <c r="W394" s="2192">
        <f t="shared" si="275"/>
        <v>0</v>
      </c>
      <c r="X394" s="1075" t="str">
        <f t="shared" si="276"/>
        <v>1.33</v>
      </c>
      <c r="Y394" s="1075" t="str">
        <f t="shared" si="277"/>
        <v>D+</v>
      </c>
      <c r="Z394" s="1075" t="str">
        <f t="shared" si="278"/>
        <v>0</v>
      </c>
      <c r="AA394" s="2173"/>
      <c r="AB394" s="2174"/>
      <c r="AC394" s="2174"/>
      <c r="AD394" s="2174"/>
      <c r="AE394" s="2174"/>
      <c r="AF394" s="2174"/>
      <c r="AG394" s="2174"/>
      <c r="AH394" s="2174"/>
      <c r="AI394" s="2174"/>
      <c r="AJ394" s="2175"/>
      <c r="AK394" s="2175"/>
      <c r="AL394" s="2175"/>
      <c r="AM394" s="2175"/>
      <c r="AN394" s="2175"/>
      <c r="AO394" s="2175"/>
      <c r="AP394" s="2175"/>
      <c r="AQ394" s="2175"/>
      <c r="AR394" s="2176"/>
      <c r="AS394" s="1948"/>
      <c r="AT394" s="1949"/>
    </row>
    <row r="395" spans="1:46" ht="24.95" customHeight="1" x14ac:dyDescent="0.3">
      <c r="A395" s="1207"/>
      <c r="B395" s="1207"/>
      <c r="C395" s="1655"/>
      <c r="D395" s="1654" t="s">
        <v>17</v>
      </c>
      <c r="E395" s="23"/>
      <c r="F395" s="23"/>
      <c r="G395" s="23"/>
      <c r="H395" s="2186"/>
      <c r="I395" s="2186"/>
      <c r="J395" s="2186"/>
      <c r="K395" s="23">
        <v>0</v>
      </c>
      <c r="L395" s="23">
        <v>0</v>
      </c>
      <c r="M395" s="23">
        <v>0</v>
      </c>
      <c r="N395" s="2186"/>
      <c r="O395" s="2186"/>
      <c r="P395" s="2186"/>
      <c r="Q395" s="23"/>
      <c r="R395" s="23"/>
      <c r="S395" s="23"/>
      <c r="T395" s="2189">
        <f t="shared" si="274"/>
        <v>0</v>
      </c>
      <c r="U395" s="2190">
        <f t="shared" si="272"/>
        <v>0</v>
      </c>
      <c r="V395" s="2191">
        <f t="shared" si="273"/>
        <v>0</v>
      </c>
      <c r="W395" s="2192">
        <f t="shared" si="275"/>
        <v>0</v>
      </c>
      <c r="X395" s="1075" t="str">
        <f t="shared" si="276"/>
        <v>1.33</v>
      </c>
      <c r="Y395" s="1075" t="str">
        <f t="shared" si="277"/>
        <v>D+</v>
      </c>
      <c r="Z395" s="1075" t="str">
        <f t="shared" si="278"/>
        <v>0</v>
      </c>
      <c r="AA395" s="2173"/>
      <c r="AB395" s="2174"/>
      <c r="AC395" s="2174"/>
      <c r="AD395" s="2174"/>
      <c r="AE395" s="2174"/>
      <c r="AF395" s="2174"/>
      <c r="AG395" s="2174"/>
      <c r="AH395" s="2174"/>
      <c r="AI395" s="2174"/>
      <c r="AJ395" s="2175"/>
      <c r="AK395" s="2175"/>
      <c r="AL395" s="2175"/>
      <c r="AM395" s="2175"/>
      <c r="AN395" s="2175"/>
      <c r="AO395" s="2175"/>
      <c r="AP395" s="2175"/>
      <c r="AQ395" s="2175"/>
      <c r="AR395" s="2176"/>
      <c r="AS395" s="1948"/>
      <c r="AT395" s="1949"/>
    </row>
    <row r="396" spans="1:46" ht="24.95" customHeight="1" x14ac:dyDescent="0.3">
      <c r="A396" s="1207"/>
      <c r="B396" s="1207"/>
      <c r="C396" s="1655"/>
      <c r="D396" s="1654" t="s">
        <v>606</v>
      </c>
      <c r="E396" s="23"/>
      <c r="F396" s="23"/>
      <c r="G396" s="23"/>
      <c r="H396" s="2186"/>
      <c r="I396" s="2186"/>
      <c r="J396" s="2186"/>
      <c r="K396" s="23"/>
      <c r="L396" s="23"/>
      <c r="M396" s="23"/>
      <c r="N396" s="2186">
        <v>0</v>
      </c>
      <c r="O396" s="2186">
        <v>0</v>
      </c>
      <c r="P396" s="2186">
        <v>0</v>
      </c>
      <c r="Q396" s="23"/>
      <c r="R396" s="23"/>
      <c r="S396" s="23"/>
      <c r="T396" s="2189">
        <f t="shared" si="274"/>
        <v>0</v>
      </c>
      <c r="U396" s="2190">
        <f t="shared" si="272"/>
        <v>0</v>
      </c>
      <c r="V396" s="2191">
        <f t="shared" si="273"/>
        <v>0</v>
      </c>
      <c r="W396" s="2192">
        <f t="shared" si="275"/>
        <v>0</v>
      </c>
      <c r="X396" s="1075" t="str">
        <f t="shared" si="276"/>
        <v>1.33</v>
      </c>
      <c r="Y396" s="1075" t="str">
        <f t="shared" si="277"/>
        <v>D+</v>
      </c>
      <c r="Z396" s="1075" t="str">
        <f t="shared" si="278"/>
        <v>0</v>
      </c>
      <c r="AA396" s="2173"/>
      <c r="AB396" s="2174"/>
      <c r="AC396" s="2174"/>
      <c r="AD396" s="2174"/>
      <c r="AE396" s="2174"/>
      <c r="AF396" s="2174"/>
      <c r="AG396" s="2174"/>
      <c r="AH396" s="2174"/>
      <c r="AI396" s="2174"/>
      <c r="AJ396" s="2175"/>
      <c r="AK396" s="2175"/>
      <c r="AL396" s="2175"/>
      <c r="AM396" s="2175"/>
      <c r="AN396" s="2175"/>
      <c r="AO396" s="2175"/>
      <c r="AP396" s="2175"/>
      <c r="AQ396" s="2175"/>
      <c r="AR396" s="2176"/>
      <c r="AS396" s="1948"/>
      <c r="AT396" s="1949"/>
    </row>
    <row r="397" spans="1:46" ht="24.95" customHeight="1" x14ac:dyDescent="0.3">
      <c r="A397" s="1207"/>
      <c r="B397" s="1207"/>
      <c r="C397" s="1655"/>
      <c r="D397" s="1654" t="s">
        <v>607</v>
      </c>
      <c r="E397" s="23"/>
      <c r="F397" s="23"/>
      <c r="G397" s="23"/>
      <c r="H397" s="2186"/>
      <c r="I397" s="2186"/>
      <c r="J397" s="2186"/>
      <c r="K397" s="23"/>
      <c r="L397" s="23"/>
      <c r="M397" s="23"/>
      <c r="N397" s="2186">
        <v>0</v>
      </c>
      <c r="O397" s="2186">
        <v>0</v>
      </c>
      <c r="P397" s="2186">
        <v>0</v>
      </c>
      <c r="Q397" s="23"/>
      <c r="R397" s="23"/>
      <c r="S397" s="23"/>
      <c r="T397" s="2189">
        <f t="shared" si="274"/>
        <v>0</v>
      </c>
      <c r="U397" s="2190">
        <f t="shared" si="272"/>
        <v>0</v>
      </c>
      <c r="V397" s="2191">
        <f t="shared" si="273"/>
        <v>0</v>
      </c>
      <c r="W397" s="2192">
        <f t="shared" si="275"/>
        <v>0</v>
      </c>
      <c r="X397" s="1075" t="str">
        <f t="shared" si="276"/>
        <v>1.33</v>
      </c>
      <c r="Y397" s="1075" t="str">
        <f t="shared" si="277"/>
        <v>D+</v>
      </c>
      <c r="Z397" s="1075" t="str">
        <f t="shared" si="278"/>
        <v>0</v>
      </c>
      <c r="AA397" s="2173"/>
      <c r="AB397" s="2174"/>
      <c r="AC397" s="2174"/>
      <c r="AD397" s="2174"/>
      <c r="AE397" s="2174"/>
      <c r="AF397" s="2174"/>
      <c r="AG397" s="2174"/>
      <c r="AH397" s="2174"/>
      <c r="AI397" s="2174"/>
      <c r="AJ397" s="2175"/>
      <c r="AK397" s="2175"/>
      <c r="AL397" s="2175"/>
      <c r="AM397" s="2175"/>
      <c r="AN397" s="2175"/>
      <c r="AO397" s="2175"/>
      <c r="AP397" s="2175"/>
      <c r="AQ397" s="2175"/>
      <c r="AR397" s="2176"/>
      <c r="AS397" s="1948"/>
      <c r="AT397" s="1949"/>
    </row>
    <row r="398" spans="1:46" ht="24.95" customHeight="1" x14ac:dyDescent="0.3">
      <c r="A398" s="1656"/>
      <c r="B398" s="1207"/>
      <c r="C398" s="1655"/>
      <c r="D398" s="1654" t="s">
        <v>22</v>
      </c>
      <c r="E398" s="2187"/>
      <c r="F398" s="2187"/>
      <c r="G398" s="2187"/>
      <c r="H398" s="2188"/>
      <c r="I398" s="2186"/>
      <c r="J398" s="2186"/>
      <c r="K398" s="23"/>
      <c r="L398" s="23"/>
      <c r="M398" s="23"/>
      <c r="N398" s="2186"/>
      <c r="O398" s="2186"/>
      <c r="P398" s="2186"/>
      <c r="Q398" s="23">
        <v>0</v>
      </c>
      <c r="R398" s="23">
        <v>0</v>
      </c>
      <c r="S398" s="23">
        <v>0</v>
      </c>
      <c r="T398" s="2189">
        <f t="shared" si="274"/>
        <v>0</v>
      </c>
      <c r="U398" s="2190">
        <f t="shared" si="272"/>
        <v>0</v>
      </c>
      <c r="V398" s="2191">
        <f t="shared" si="273"/>
        <v>0</v>
      </c>
      <c r="W398" s="2192">
        <f t="shared" si="275"/>
        <v>0</v>
      </c>
      <c r="X398" s="1075" t="str">
        <f t="shared" si="276"/>
        <v>1.33</v>
      </c>
      <c r="Y398" s="1075" t="str">
        <f t="shared" si="277"/>
        <v>D+</v>
      </c>
      <c r="Z398" s="1075" t="str">
        <f t="shared" si="278"/>
        <v>0</v>
      </c>
      <c r="AA398" s="2173"/>
      <c r="AB398" s="2174"/>
      <c r="AC398" s="2174"/>
      <c r="AD398" s="2174"/>
      <c r="AE398" s="2174"/>
      <c r="AF398" s="2174"/>
      <c r="AG398" s="2174"/>
      <c r="AH398" s="2174"/>
      <c r="AI398" s="2174"/>
      <c r="AJ398" s="2175"/>
      <c r="AK398" s="2175"/>
      <c r="AL398" s="2175"/>
      <c r="AM398" s="2175"/>
      <c r="AN398" s="2175"/>
      <c r="AO398" s="2175"/>
      <c r="AP398" s="2175"/>
      <c r="AQ398" s="2175"/>
      <c r="AR398" s="2176"/>
      <c r="AS398" s="1950"/>
      <c r="AT398" s="1951"/>
    </row>
    <row r="399" spans="1:46" ht="24.95" customHeight="1" x14ac:dyDescent="0.3">
      <c r="A399" s="1236"/>
      <c r="B399" s="1237">
        <v>39</v>
      </c>
      <c r="C399" s="1658"/>
      <c r="D399" s="1236"/>
      <c r="E399" s="2650"/>
      <c r="F399" s="2651"/>
      <c r="G399" s="2651"/>
      <c r="H399" s="2651"/>
      <c r="I399" s="2652"/>
      <c r="J399" s="2109"/>
      <c r="K399" s="2109"/>
      <c r="L399" s="2109"/>
      <c r="M399" s="2109"/>
      <c r="N399" s="2109"/>
      <c r="O399" s="2109"/>
      <c r="P399" s="2109"/>
      <c r="Q399" s="2109"/>
      <c r="R399" s="2109"/>
      <c r="S399" s="2109"/>
      <c r="T399" s="2193"/>
      <c r="U399" s="2193"/>
      <c r="V399" s="2193"/>
      <c r="W399" s="2194">
        <f>IFERROR(AVERAGE(W390:W398),"  ")</f>
        <v>0</v>
      </c>
      <c r="X399" s="1454" t="str">
        <f>IF(W399&gt;85,("4"),IF(W399&gt;80,("3.66"),IF(W399&gt;75,("3.33"),IF(W399&gt;70,("3.00"),IF(W399&gt;65,("2.66"),IF(W399&gt;60,("2.33"),IF(W399&gt;55,("2"),IF(W399&gt;50,("1.66"),"1.33"))))))))</f>
        <v>1.33</v>
      </c>
      <c r="Y399" s="1454" t="str">
        <f>IF(W399&gt;85,("A"),IF(W399&gt;80,("A-"),IF(W399&gt;75,("B+"),IF(W399&gt;70,("B"),IF(W399&gt;65,("B-"),IF(W399&gt;60,("C+"),IF(W399&gt;55,("C"),IF(W399&gt;50,("C-"),"D+"))))))))</f>
        <v>D+</v>
      </c>
      <c r="Z399" s="1666"/>
      <c r="AA399" s="2182"/>
      <c r="AB399" s="2183"/>
      <c r="AC399" s="2183"/>
      <c r="AD399" s="2183"/>
      <c r="AE399" s="2183"/>
      <c r="AF399" s="2183"/>
      <c r="AG399" s="2183"/>
      <c r="AH399" s="2183"/>
      <c r="AI399" s="2183"/>
      <c r="AJ399" s="2183"/>
      <c r="AK399" s="2183"/>
      <c r="AL399" s="2183"/>
      <c r="AM399" s="2183"/>
      <c r="AN399" s="2183"/>
      <c r="AO399" s="2183"/>
      <c r="AP399" s="2183"/>
      <c r="AQ399" s="2183"/>
      <c r="AR399" s="2184"/>
      <c r="AS399" s="1952"/>
      <c r="AT399" s="1953"/>
    </row>
    <row r="400" spans="1:46" ht="24.95" customHeight="1" x14ac:dyDescent="0.3">
      <c r="A400" s="1224">
        <v>40</v>
      </c>
      <c r="B400" s="1224"/>
      <c r="C400" s="1653" t="e">
        <f>VLOOKUP(A400,data_siswa,4,FALSE)</f>
        <v>#N/A</v>
      </c>
      <c r="D400" s="1654" t="s">
        <v>603</v>
      </c>
      <c r="E400" s="1211">
        <v>0</v>
      </c>
      <c r="F400" s="1211">
        <v>0</v>
      </c>
      <c r="G400" s="1211">
        <v>0</v>
      </c>
      <c r="H400" s="2185"/>
      <c r="I400" s="2185"/>
      <c r="J400" s="2185"/>
      <c r="K400" s="1211"/>
      <c r="L400" s="1211"/>
      <c r="M400" s="1211"/>
      <c r="N400" s="2185"/>
      <c r="O400" s="2185"/>
      <c r="P400" s="2185"/>
      <c r="Q400" s="1211"/>
      <c r="R400" s="1211"/>
      <c r="S400" s="1211"/>
      <c r="T400" s="2189">
        <f>MAX(H400,K400,N400,Q400)</f>
        <v>0</v>
      </c>
      <c r="U400" s="2190">
        <f t="shared" ref="U400:U408" si="279">MAX(I400,L400,O400,R400)</f>
        <v>0</v>
      </c>
      <c r="V400" s="2191">
        <f t="shared" ref="V400:V408" si="280">MAX(J400,M400,P400,S400)</f>
        <v>0</v>
      </c>
      <c r="W400" s="2192">
        <f>IFERROR(AVERAGE(T400:V400),"")</f>
        <v>0</v>
      </c>
      <c r="X400" s="1075" t="str">
        <f>IF(W400&gt;85,("4"),IF(W400&gt;80,("3.66"),IF(W400&gt;75,("3.33"),IF(W400&gt;70,("3.00"),IF(W400&gt;65,("2.66"),IF(W400&gt;60,("2.33"),IF(W400&gt;55,("2"),IF(W400&gt;50,("1.66"),"1.33"))))))))</f>
        <v>1.33</v>
      </c>
      <c r="Y400" s="1075" t="str">
        <f>IF(W400&gt;85,("A"),IF(W400&gt;80,("A-"),IF(W400&gt;75,("B+"),IF(W400&gt;70,("B"),IF(W400&gt;65,("B-"),IF(W400&gt;60,("C+"),IF(W400&gt;55,("C"),IF(W400&gt;50,("C-"),"D+"))))))))</f>
        <v>D+</v>
      </c>
      <c r="Z400" s="1075" t="str">
        <f>IF(W400&gt;80,("SB"),IF(W400&gt;65,("B"),IF(W400&gt;50,("C"),IF(W400&gt;0,("K"),"0"))))</f>
        <v>0</v>
      </c>
      <c r="AA400" s="2180"/>
      <c r="AB400" s="2180">
        <v>3</v>
      </c>
      <c r="AC400" s="2180"/>
      <c r="AD400" s="2180"/>
      <c r="AE400" s="2180"/>
      <c r="AF400" s="2180"/>
      <c r="AG400" s="2180"/>
      <c r="AH400" s="2180"/>
      <c r="AI400" s="2180"/>
      <c r="AJ400" s="2181"/>
      <c r="AK400" s="2181"/>
      <c r="AL400" s="2181"/>
      <c r="AM400" s="2181"/>
      <c r="AN400" s="2181"/>
      <c r="AO400" s="2181">
        <v>1</v>
      </c>
      <c r="AP400" s="2181"/>
      <c r="AQ400" s="2181"/>
      <c r="AR400" s="2181"/>
      <c r="AS400" s="1910">
        <f>W409</f>
        <v>0</v>
      </c>
      <c r="AT400" s="1910" t="str">
        <f>Y409</f>
        <v>D+</v>
      </c>
    </row>
    <row r="401" spans="1:46" ht="24.95" customHeight="1" x14ac:dyDescent="0.3">
      <c r="A401" s="1207"/>
      <c r="B401" s="1207"/>
      <c r="C401" s="1655"/>
      <c r="D401" s="1654" t="s">
        <v>604</v>
      </c>
      <c r="E401" s="23">
        <v>0</v>
      </c>
      <c r="F401" s="23">
        <v>0</v>
      </c>
      <c r="G401" s="23">
        <v>0</v>
      </c>
      <c r="H401" s="2186"/>
      <c r="I401" s="2186"/>
      <c r="J401" s="2186"/>
      <c r="K401" s="23"/>
      <c r="L401" s="23"/>
      <c r="M401" s="23"/>
      <c r="N401" s="2186"/>
      <c r="O401" s="2186"/>
      <c r="P401" s="2186"/>
      <c r="Q401" s="23"/>
      <c r="R401" s="23"/>
      <c r="S401" s="23"/>
      <c r="T401" s="2189">
        <f t="shared" ref="T401:T408" si="281">MAX(H401,K401,N401,Q401)</f>
        <v>0</v>
      </c>
      <c r="U401" s="2190">
        <f t="shared" si="279"/>
        <v>0</v>
      </c>
      <c r="V401" s="2191">
        <f t="shared" si="280"/>
        <v>0</v>
      </c>
      <c r="W401" s="2192">
        <f t="shared" ref="W401:W408" si="282">IFERROR(AVERAGE(T401:V401),"")</f>
        <v>0</v>
      </c>
      <c r="X401" s="1075" t="str">
        <f t="shared" ref="X401:X408" si="283">IF(W401&gt;85,("4"),IF(W401&gt;80,("3.66"),IF(W401&gt;75,("3.33"),IF(W401&gt;70,("3.00"),IF(W401&gt;65,("2.66"),IF(W401&gt;60,("2.33"),IF(W401&gt;55,("2"),IF(W401&gt;50,("1.66"),"1.33"))))))))</f>
        <v>1.33</v>
      </c>
      <c r="Y401" s="1075" t="str">
        <f t="shared" ref="Y401:Y408" si="284">IF(W401&gt;85,("A"),IF(W401&gt;80,("A-"),IF(W401&gt;75,("B+"),IF(W401&gt;70,("B"),IF(W401&gt;65,("B-"),IF(W401&gt;60,("C+"),IF(W401&gt;55,("C"),IF(W401&gt;50,("C-"),"D+"))))))))</f>
        <v>D+</v>
      </c>
      <c r="Z401" s="1075" t="str">
        <f t="shared" ref="Z401:Z408" si="285">IF(W401&gt;80,("SB"),IF(W401&gt;65,("B"),IF(W401&gt;50,("C"),IF(W401&gt;0,("K"),"0"))))</f>
        <v>0</v>
      </c>
      <c r="AA401" s="2169"/>
      <c r="AB401" s="2170"/>
      <c r="AC401" s="2170"/>
      <c r="AD401" s="2170"/>
      <c r="AE401" s="2170"/>
      <c r="AF401" s="2170"/>
      <c r="AG401" s="2170"/>
      <c r="AH401" s="2170"/>
      <c r="AI401" s="2170"/>
      <c r="AJ401" s="2171"/>
      <c r="AK401" s="2171"/>
      <c r="AL401" s="2171"/>
      <c r="AM401" s="2171"/>
      <c r="AN401" s="2171"/>
      <c r="AO401" s="2171"/>
      <c r="AP401" s="2171"/>
      <c r="AQ401" s="2171"/>
      <c r="AR401" s="2172"/>
      <c r="AS401" s="1946"/>
      <c r="AT401" s="1947"/>
    </row>
    <row r="402" spans="1:46" ht="24.95" customHeight="1" x14ac:dyDescent="0.3">
      <c r="A402" s="1207"/>
      <c r="B402" s="1207"/>
      <c r="C402" s="1655"/>
      <c r="D402" s="1654" t="s">
        <v>605</v>
      </c>
      <c r="E402" s="23">
        <v>0</v>
      </c>
      <c r="F402" s="23">
        <v>0</v>
      </c>
      <c r="G402" s="23">
        <v>0</v>
      </c>
      <c r="H402" s="2186"/>
      <c r="I402" s="2186"/>
      <c r="J402" s="2186"/>
      <c r="K402" s="23"/>
      <c r="L402" s="23"/>
      <c r="M402" s="23"/>
      <c r="N402" s="2186"/>
      <c r="O402" s="2186"/>
      <c r="P402" s="2186"/>
      <c r="Q402" s="23"/>
      <c r="R402" s="23"/>
      <c r="S402" s="23"/>
      <c r="T402" s="2189">
        <f t="shared" si="281"/>
        <v>0</v>
      </c>
      <c r="U402" s="2190">
        <f t="shared" si="279"/>
        <v>0</v>
      </c>
      <c r="V402" s="2191">
        <f t="shared" si="280"/>
        <v>0</v>
      </c>
      <c r="W402" s="2192">
        <f t="shared" si="282"/>
        <v>0</v>
      </c>
      <c r="X402" s="1075" t="str">
        <f t="shared" si="283"/>
        <v>1.33</v>
      </c>
      <c r="Y402" s="1075" t="str">
        <f t="shared" si="284"/>
        <v>D+</v>
      </c>
      <c r="Z402" s="1075" t="str">
        <f t="shared" si="285"/>
        <v>0</v>
      </c>
      <c r="AA402" s="2173"/>
      <c r="AB402" s="2174"/>
      <c r="AC402" s="2174"/>
      <c r="AD402" s="2174"/>
      <c r="AE402" s="2174"/>
      <c r="AF402" s="2174"/>
      <c r="AG402" s="2174"/>
      <c r="AH402" s="2174"/>
      <c r="AI402" s="2174"/>
      <c r="AJ402" s="2175"/>
      <c r="AK402" s="2175"/>
      <c r="AL402" s="2175"/>
      <c r="AM402" s="2175"/>
      <c r="AN402" s="2175"/>
      <c r="AO402" s="2175"/>
      <c r="AP402" s="2175"/>
      <c r="AQ402" s="2175"/>
      <c r="AR402" s="2176"/>
      <c r="AS402" s="1948"/>
      <c r="AT402" s="1949"/>
    </row>
    <row r="403" spans="1:46" ht="24.95" customHeight="1" x14ac:dyDescent="0.3">
      <c r="A403" s="1207"/>
      <c r="B403" s="1207"/>
      <c r="C403" s="1655"/>
      <c r="D403" s="1654" t="s">
        <v>155</v>
      </c>
      <c r="E403" s="23"/>
      <c r="F403" s="23"/>
      <c r="G403" s="23"/>
      <c r="H403" s="2186">
        <v>0</v>
      </c>
      <c r="I403" s="2186">
        <v>0</v>
      </c>
      <c r="J403" s="2186">
        <v>0</v>
      </c>
      <c r="K403" s="23"/>
      <c r="L403" s="23"/>
      <c r="M403" s="23"/>
      <c r="N403" s="2186"/>
      <c r="O403" s="2186"/>
      <c r="P403" s="2186"/>
      <c r="Q403" s="23"/>
      <c r="R403" s="23"/>
      <c r="S403" s="23"/>
      <c r="T403" s="2189">
        <f t="shared" si="281"/>
        <v>0</v>
      </c>
      <c r="U403" s="2190">
        <f t="shared" si="279"/>
        <v>0</v>
      </c>
      <c r="V403" s="2191">
        <f t="shared" si="280"/>
        <v>0</v>
      </c>
      <c r="W403" s="2192">
        <f t="shared" si="282"/>
        <v>0</v>
      </c>
      <c r="X403" s="1075" t="str">
        <f t="shared" si="283"/>
        <v>1.33</v>
      </c>
      <c r="Y403" s="1075" t="str">
        <f t="shared" si="284"/>
        <v>D+</v>
      </c>
      <c r="Z403" s="1075" t="str">
        <f t="shared" si="285"/>
        <v>0</v>
      </c>
      <c r="AA403" s="2173"/>
      <c r="AB403" s="2174"/>
      <c r="AC403" s="2174"/>
      <c r="AD403" s="2174"/>
      <c r="AE403" s="2174"/>
      <c r="AF403" s="2174"/>
      <c r="AG403" s="2174"/>
      <c r="AH403" s="2174"/>
      <c r="AI403" s="2174"/>
      <c r="AJ403" s="2175"/>
      <c r="AK403" s="2175"/>
      <c r="AL403" s="2175"/>
      <c r="AM403" s="2175"/>
      <c r="AN403" s="2175"/>
      <c r="AO403" s="2175"/>
      <c r="AP403" s="2175"/>
      <c r="AQ403" s="2175"/>
      <c r="AR403" s="2176"/>
      <c r="AS403" s="1948"/>
      <c r="AT403" s="1949"/>
    </row>
    <row r="404" spans="1:46" ht="24.95" customHeight="1" x14ac:dyDescent="0.3">
      <c r="A404" s="1207"/>
      <c r="B404" s="1207"/>
      <c r="C404" s="1655"/>
      <c r="D404" s="1654" t="s">
        <v>187</v>
      </c>
      <c r="E404" s="23"/>
      <c r="F404" s="23"/>
      <c r="G404" s="23"/>
      <c r="H404" s="2186"/>
      <c r="I404" s="2186"/>
      <c r="J404" s="2186"/>
      <c r="K404" s="23">
        <v>0</v>
      </c>
      <c r="L404" s="23">
        <v>0</v>
      </c>
      <c r="M404" s="23">
        <v>0</v>
      </c>
      <c r="N404" s="2186"/>
      <c r="O404" s="2186"/>
      <c r="P404" s="2186"/>
      <c r="Q404" s="23"/>
      <c r="R404" s="23"/>
      <c r="S404" s="23"/>
      <c r="T404" s="2189">
        <f t="shared" si="281"/>
        <v>0</v>
      </c>
      <c r="U404" s="2190">
        <f t="shared" si="279"/>
        <v>0</v>
      </c>
      <c r="V404" s="2191">
        <f t="shared" si="280"/>
        <v>0</v>
      </c>
      <c r="W404" s="2192">
        <f t="shared" si="282"/>
        <v>0</v>
      </c>
      <c r="X404" s="1075" t="str">
        <f t="shared" si="283"/>
        <v>1.33</v>
      </c>
      <c r="Y404" s="1075" t="str">
        <f t="shared" si="284"/>
        <v>D+</v>
      </c>
      <c r="Z404" s="1075" t="str">
        <f t="shared" si="285"/>
        <v>0</v>
      </c>
      <c r="AA404" s="2173"/>
      <c r="AB404" s="2174"/>
      <c r="AC404" s="2174"/>
      <c r="AD404" s="2174"/>
      <c r="AE404" s="2174"/>
      <c r="AF404" s="2174"/>
      <c r="AG404" s="2174"/>
      <c r="AH404" s="2174"/>
      <c r="AI404" s="2174"/>
      <c r="AJ404" s="2175"/>
      <c r="AK404" s="2175"/>
      <c r="AL404" s="2175"/>
      <c r="AM404" s="2175"/>
      <c r="AN404" s="2175"/>
      <c r="AO404" s="2175"/>
      <c r="AP404" s="2175"/>
      <c r="AQ404" s="2175"/>
      <c r="AR404" s="2176"/>
      <c r="AS404" s="1948"/>
      <c r="AT404" s="1949"/>
    </row>
    <row r="405" spans="1:46" ht="24.95" customHeight="1" x14ac:dyDescent="0.3">
      <c r="A405" s="1207"/>
      <c r="B405" s="1207"/>
      <c r="C405" s="1655"/>
      <c r="D405" s="1654" t="s">
        <v>17</v>
      </c>
      <c r="E405" s="23"/>
      <c r="F405" s="23"/>
      <c r="G405" s="23"/>
      <c r="H405" s="2186"/>
      <c r="I405" s="2186"/>
      <c r="J405" s="2186"/>
      <c r="K405" s="23">
        <v>0</v>
      </c>
      <c r="L405" s="23">
        <v>0</v>
      </c>
      <c r="M405" s="23">
        <v>0</v>
      </c>
      <c r="N405" s="2186"/>
      <c r="O405" s="2186"/>
      <c r="P405" s="2186"/>
      <c r="Q405" s="23"/>
      <c r="R405" s="23"/>
      <c r="S405" s="23"/>
      <c r="T405" s="2189">
        <f t="shared" si="281"/>
        <v>0</v>
      </c>
      <c r="U405" s="2190">
        <f t="shared" si="279"/>
        <v>0</v>
      </c>
      <c r="V405" s="2191">
        <f t="shared" si="280"/>
        <v>0</v>
      </c>
      <c r="W405" s="2192">
        <f t="shared" si="282"/>
        <v>0</v>
      </c>
      <c r="X405" s="1075" t="str">
        <f t="shared" si="283"/>
        <v>1.33</v>
      </c>
      <c r="Y405" s="1075" t="str">
        <f t="shared" si="284"/>
        <v>D+</v>
      </c>
      <c r="Z405" s="1075" t="str">
        <f t="shared" si="285"/>
        <v>0</v>
      </c>
      <c r="AA405" s="2173"/>
      <c r="AB405" s="2174"/>
      <c r="AC405" s="2174"/>
      <c r="AD405" s="2174"/>
      <c r="AE405" s="2174"/>
      <c r="AF405" s="2174"/>
      <c r="AG405" s="2174"/>
      <c r="AH405" s="2174"/>
      <c r="AI405" s="2174"/>
      <c r="AJ405" s="2175"/>
      <c r="AK405" s="2175"/>
      <c r="AL405" s="2175"/>
      <c r="AM405" s="2175"/>
      <c r="AN405" s="2175"/>
      <c r="AO405" s="2175"/>
      <c r="AP405" s="2175"/>
      <c r="AQ405" s="2175"/>
      <c r="AR405" s="2176"/>
      <c r="AS405" s="1948"/>
      <c r="AT405" s="1949"/>
    </row>
    <row r="406" spans="1:46" ht="24.95" customHeight="1" x14ac:dyDescent="0.3">
      <c r="A406" s="1207"/>
      <c r="B406" s="1207"/>
      <c r="C406" s="1655"/>
      <c r="D406" s="1654" t="s">
        <v>606</v>
      </c>
      <c r="E406" s="23"/>
      <c r="F406" s="23"/>
      <c r="G406" s="23"/>
      <c r="H406" s="2186"/>
      <c r="I406" s="2186"/>
      <c r="J406" s="2186"/>
      <c r="K406" s="23"/>
      <c r="L406" s="23"/>
      <c r="M406" s="23"/>
      <c r="N406" s="2186">
        <v>0</v>
      </c>
      <c r="O406" s="2186">
        <v>0</v>
      </c>
      <c r="P406" s="2186">
        <v>0</v>
      </c>
      <c r="Q406" s="23"/>
      <c r="R406" s="23"/>
      <c r="S406" s="23"/>
      <c r="T406" s="2189">
        <f t="shared" si="281"/>
        <v>0</v>
      </c>
      <c r="U406" s="2190">
        <f t="shared" si="279"/>
        <v>0</v>
      </c>
      <c r="V406" s="2191">
        <f t="shared" si="280"/>
        <v>0</v>
      </c>
      <c r="W406" s="2192">
        <f t="shared" si="282"/>
        <v>0</v>
      </c>
      <c r="X406" s="1075" t="str">
        <f t="shared" si="283"/>
        <v>1.33</v>
      </c>
      <c r="Y406" s="1075" t="str">
        <f t="shared" si="284"/>
        <v>D+</v>
      </c>
      <c r="Z406" s="1075" t="str">
        <f t="shared" si="285"/>
        <v>0</v>
      </c>
      <c r="AA406" s="2173"/>
      <c r="AB406" s="2174"/>
      <c r="AC406" s="2174"/>
      <c r="AD406" s="2174"/>
      <c r="AE406" s="2174"/>
      <c r="AF406" s="2174"/>
      <c r="AG406" s="2174"/>
      <c r="AH406" s="2174"/>
      <c r="AI406" s="2174"/>
      <c r="AJ406" s="2175"/>
      <c r="AK406" s="2175"/>
      <c r="AL406" s="2175"/>
      <c r="AM406" s="2175"/>
      <c r="AN406" s="2175"/>
      <c r="AO406" s="2175"/>
      <c r="AP406" s="2175"/>
      <c r="AQ406" s="2175"/>
      <c r="AR406" s="2176"/>
      <c r="AS406" s="1948"/>
      <c r="AT406" s="1949"/>
    </row>
    <row r="407" spans="1:46" ht="24.95" customHeight="1" x14ac:dyDescent="0.3">
      <c r="A407" s="1207"/>
      <c r="B407" s="1207"/>
      <c r="C407" s="1655"/>
      <c r="D407" s="1654" t="s">
        <v>607</v>
      </c>
      <c r="E407" s="23"/>
      <c r="F407" s="23"/>
      <c r="G407" s="23"/>
      <c r="H407" s="2186"/>
      <c r="I407" s="2186"/>
      <c r="J407" s="2186"/>
      <c r="K407" s="23"/>
      <c r="L407" s="23"/>
      <c r="M407" s="23"/>
      <c r="N407" s="2186">
        <v>0</v>
      </c>
      <c r="O407" s="2186">
        <v>0</v>
      </c>
      <c r="P407" s="2186">
        <v>0</v>
      </c>
      <c r="Q407" s="23"/>
      <c r="R407" s="23"/>
      <c r="S407" s="23"/>
      <c r="T407" s="2189">
        <f t="shared" si="281"/>
        <v>0</v>
      </c>
      <c r="U407" s="2190">
        <f t="shared" si="279"/>
        <v>0</v>
      </c>
      <c r="V407" s="2191">
        <f t="shared" si="280"/>
        <v>0</v>
      </c>
      <c r="W407" s="2192">
        <f t="shared" si="282"/>
        <v>0</v>
      </c>
      <c r="X407" s="1075" t="str">
        <f t="shared" si="283"/>
        <v>1.33</v>
      </c>
      <c r="Y407" s="1075" t="str">
        <f t="shared" si="284"/>
        <v>D+</v>
      </c>
      <c r="Z407" s="1075" t="str">
        <f t="shared" si="285"/>
        <v>0</v>
      </c>
      <c r="AA407" s="2173"/>
      <c r="AB407" s="2174"/>
      <c r="AC407" s="2174"/>
      <c r="AD407" s="2174"/>
      <c r="AE407" s="2174"/>
      <c r="AF407" s="2174"/>
      <c r="AG407" s="2174"/>
      <c r="AH407" s="2174"/>
      <c r="AI407" s="2174"/>
      <c r="AJ407" s="2175"/>
      <c r="AK407" s="2175"/>
      <c r="AL407" s="2175"/>
      <c r="AM407" s="2175"/>
      <c r="AN407" s="2175"/>
      <c r="AO407" s="2175"/>
      <c r="AP407" s="2175"/>
      <c r="AQ407" s="2175"/>
      <c r="AR407" s="2176"/>
      <c r="AS407" s="1948"/>
      <c r="AT407" s="1949"/>
    </row>
    <row r="408" spans="1:46" ht="24.95" customHeight="1" x14ac:dyDescent="0.3">
      <c r="A408" s="1656"/>
      <c r="B408" s="1207"/>
      <c r="C408" s="1655"/>
      <c r="D408" s="1654" t="s">
        <v>22</v>
      </c>
      <c r="E408" s="2187"/>
      <c r="F408" s="2187"/>
      <c r="G408" s="2187"/>
      <c r="H408" s="2188"/>
      <c r="I408" s="2186"/>
      <c r="J408" s="2186"/>
      <c r="K408" s="23"/>
      <c r="L408" s="23"/>
      <c r="M408" s="23"/>
      <c r="N408" s="2186"/>
      <c r="O408" s="2186"/>
      <c r="P408" s="2186"/>
      <c r="Q408" s="23">
        <v>0</v>
      </c>
      <c r="R408" s="23">
        <v>0</v>
      </c>
      <c r="S408" s="23">
        <v>0</v>
      </c>
      <c r="T408" s="2189">
        <f t="shared" si="281"/>
        <v>0</v>
      </c>
      <c r="U408" s="2190">
        <f t="shared" si="279"/>
        <v>0</v>
      </c>
      <c r="V408" s="2191">
        <f t="shared" si="280"/>
        <v>0</v>
      </c>
      <c r="W408" s="2192">
        <f t="shared" si="282"/>
        <v>0</v>
      </c>
      <c r="X408" s="1075" t="str">
        <f t="shared" si="283"/>
        <v>1.33</v>
      </c>
      <c r="Y408" s="1075" t="str">
        <f t="shared" si="284"/>
        <v>D+</v>
      </c>
      <c r="Z408" s="1075" t="str">
        <f t="shared" si="285"/>
        <v>0</v>
      </c>
      <c r="AA408" s="2173"/>
      <c r="AB408" s="2174"/>
      <c r="AC408" s="2174"/>
      <c r="AD408" s="2174"/>
      <c r="AE408" s="2174"/>
      <c r="AF408" s="2174"/>
      <c r="AG408" s="2174"/>
      <c r="AH408" s="2174"/>
      <c r="AI408" s="2174"/>
      <c r="AJ408" s="2175"/>
      <c r="AK408" s="2175"/>
      <c r="AL408" s="2175"/>
      <c r="AM408" s="2175"/>
      <c r="AN408" s="2175"/>
      <c r="AO408" s="2175"/>
      <c r="AP408" s="2175"/>
      <c r="AQ408" s="2175"/>
      <c r="AR408" s="2176"/>
      <c r="AS408" s="1950"/>
      <c r="AT408" s="1951"/>
    </row>
    <row r="409" spans="1:46" ht="24.95" customHeight="1" x14ac:dyDescent="0.3">
      <c r="A409" s="1236"/>
      <c r="B409" s="1237">
        <v>40</v>
      </c>
      <c r="C409" s="1658"/>
      <c r="D409" s="1236"/>
      <c r="E409" s="2650"/>
      <c r="F409" s="2651"/>
      <c r="G409" s="2651"/>
      <c r="H409" s="2651"/>
      <c r="I409" s="2652"/>
      <c r="J409" s="2109"/>
      <c r="K409" s="2109"/>
      <c r="L409" s="2109"/>
      <c r="M409" s="2109"/>
      <c r="N409" s="2109"/>
      <c r="O409" s="2109"/>
      <c r="P409" s="2109"/>
      <c r="Q409" s="2109"/>
      <c r="R409" s="2109"/>
      <c r="S409" s="2109"/>
      <c r="T409" s="2193"/>
      <c r="U409" s="2193"/>
      <c r="V409" s="2193"/>
      <c r="W409" s="2194">
        <f>IFERROR(AVERAGE(W400:W408),"  ")</f>
        <v>0</v>
      </c>
      <c r="X409" s="1454" t="str">
        <f>IF(W409&gt;85,("4"),IF(W409&gt;80,("3.66"),IF(W409&gt;75,("3.33"),IF(W409&gt;70,("3.00"),IF(W409&gt;65,("2.66"),IF(W409&gt;60,("2.33"),IF(W409&gt;55,("2"),IF(W409&gt;50,("1.66"),"1.33"))))))))</f>
        <v>1.33</v>
      </c>
      <c r="Y409" s="1454" t="str">
        <f>IF(W409&gt;85,("A"),IF(W409&gt;80,("A-"),IF(W409&gt;75,("B+"),IF(W409&gt;70,("B"),IF(W409&gt;65,("B-"),IF(W409&gt;60,("C+"),IF(W409&gt;55,("C"),IF(W409&gt;50,("C-"),"D+"))))))))</f>
        <v>D+</v>
      </c>
      <c r="Z409" s="1666"/>
      <c r="AA409" s="2182"/>
      <c r="AB409" s="2183"/>
      <c r="AC409" s="2183"/>
      <c r="AD409" s="2183"/>
      <c r="AE409" s="2183"/>
      <c r="AF409" s="2183"/>
      <c r="AG409" s="2183"/>
      <c r="AH409" s="2183"/>
      <c r="AI409" s="2183"/>
      <c r="AJ409" s="2183"/>
      <c r="AK409" s="2183"/>
      <c r="AL409" s="2183"/>
      <c r="AM409" s="2183"/>
      <c r="AN409" s="2183"/>
      <c r="AO409" s="2183"/>
      <c r="AP409" s="2183"/>
      <c r="AQ409" s="2183"/>
      <c r="AR409" s="2184"/>
      <c r="AS409" s="1952"/>
      <c r="AT409" s="1953"/>
    </row>
  </sheetData>
  <sheetProtection password="C6F9" sheet="1" objects="1" scenarios="1"/>
  <mergeCells count="59">
    <mergeCell ref="E379:I379"/>
    <mergeCell ref="E389:I389"/>
    <mergeCell ref="E399:I399"/>
    <mergeCell ref="E409:I409"/>
    <mergeCell ref="E329:I329"/>
    <mergeCell ref="E339:I339"/>
    <mergeCell ref="E349:I349"/>
    <mergeCell ref="E359:I359"/>
    <mergeCell ref="E369:I369"/>
    <mergeCell ref="E279:I279"/>
    <mergeCell ref="E289:I289"/>
    <mergeCell ref="E299:I299"/>
    <mergeCell ref="E309:I309"/>
    <mergeCell ref="E319:I319"/>
    <mergeCell ref="E229:I229"/>
    <mergeCell ref="E239:I239"/>
    <mergeCell ref="E249:I249"/>
    <mergeCell ref="E259:I259"/>
    <mergeCell ref="E269:I269"/>
    <mergeCell ref="E99:I99"/>
    <mergeCell ref="E109:I109"/>
    <mergeCell ref="E119:I119"/>
    <mergeCell ref="E129:I129"/>
    <mergeCell ref="E139:I139"/>
    <mergeCell ref="E199:I199"/>
    <mergeCell ref="E209:I209"/>
    <mergeCell ref="E219:I219"/>
    <mergeCell ref="E149:I149"/>
    <mergeCell ref="E159:I159"/>
    <mergeCell ref="E169:I169"/>
    <mergeCell ref="E179:I179"/>
    <mergeCell ref="E189:I189"/>
    <mergeCell ref="E69:I69"/>
    <mergeCell ref="E79:I79"/>
    <mergeCell ref="E89:I89"/>
    <mergeCell ref="A7:A9"/>
    <mergeCell ref="B7:B9"/>
    <mergeCell ref="C7:C9"/>
    <mergeCell ref="D7:D9"/>
    <mergeCell ref="E49:I49"/>
    <mergeCell ref="E59:I59"/>
    <mergeCell ref="E8:G8"/>
    <mergeCell ref="H8:J8"/>
    <mergeCell ref="E7:S7"/>
    <mergeCell ref="AJ7:AR8"/>
    <mergeCell ref="AS7:AS9"/>
    <mergeCell ref="AT7:AT9"/>
    <mergeCell ref="E39:I39"/>
    <mergeCell ref="E29:I29"/>
    <mergeCell ref="E19:I19"/>
    <mergeCell ref="W7:W9"/>
    <mergeCell ref="X7:X9"/>
    <mergeCell ref="Y7:Y9"/>
    <mergeCell ref="Z7:Z9"/>
    <mergeCell ref="K8:M8"/>
    <mergeCell ref="N8:P8"/>
    <mergeCell ref="Q8:S8"/>
    <mergeCell ref="T7:V8"/>
    <mergeCell ref="AA7:AI8"/>
  </mergeCells>
  <conditionalFormatting sqref="W10:W18">
    <cfRule type="top10" dxfId="1445" priority="79" bottom="1" rank="1"/>
    <cfRule type="top10" dxfId="1444" priority="80" rank="1"/>
  </conditionalFormatting>
  <conditionalFormatting sqref="W20:W28">
    <cfRule type="top10" dxfId="1443" priority="77" bottom="1" rank="1"/>
    <cfRule type="top10" dxfId="1442" priority="78" rank="1"/>
  </conditionalFormatting>
  <conditionalFormatting sqref="W30:W38">
    <cfRule type="top10" dxfId="1441" priority="75" bottom="1" rank="1"/>
    <cfRule type="top10" dxfId="1440" priority="76" rank="1"/>
  </conditionalFormatting>
  <conditionalFormatting sqref="W40:W48">
    <cfRule type="top10" dxfId="1439" priority="73" bottom="1" rank="1"/>
    <cfRule type="top10" dxfId="1438" priority="74" rank="1"/>
  </conditionalFormatting>
  <conditionalFormatting sqref="W50:W58">
    <cfRule type="top10" dxfId="1437" priority="71" bottom="1" rank="1"/>
    <cfRule type="top10" dxfId="1436" priority="72" rank="1"/>
  </conditionalFormatting>
  <conditionalFormatting sqref="W60:W68">
    <cfRule type="top10" dxfId="1435" priority="69" bottom="1" rank="1"/>
    <cfRule type="top10" dxfId="1434" priority="70" rank="1"/>
  </conditionalFormatting>
  <conditionalFormatting sqref="W70:W78">
    <cfRule type="top10" dxfId="1433" priority="67" bottom="1" rank="1"/>
    <cfRule type="top10" dxfId="1432" priority="68" rank="1"/>
  </conditionalFormatting>
  <conditionalFormatting sqref="W80:W88">
    <cfRule type="top10" dxfId="1431" priority="65" bottom="1" rank="1"/>
    <cfRule type="top10" dxfId="1430" priority="66" rank="1"/>
  </conditionalFormatting>
  <conditionalFormatting sqref="W90:W98">
    <cfRule type="top10" dxfId="1429" priority="63" bottom="1" rank="1"/>
    <cfRule type="top10" dxfId="1428" priority="64" rank="1"/>
  </conditionalFormatting>
  <conditionalFormatting sqref="W100:W108">
    <cfRule type="top10" dxfId="1427" priority="61" bottom="1" rank="1"/>
    <cfRule type="top10" dxfId="1426" priority="62" rank="1"/>
  </conditionalFormatting>
  <conditionalFormatting sqref="W110:W118">
    <cfRule type="top10" dxfId="1425" priority="59" bottom="1" rank="1"/>
    <cfRule type="top10" dxfId="1424" priority="60" rank="1"/>
  </conditionalFormatting>
  <conditionalFormatting sqref="W120:W128">
    <cfRule type="top10" dxfId="1423" priority="57" bottom="1" rank="1"/>
    <cfRule type="top10" dxfId="1422" priority="58" rank="1"/>
  </conditionalFormatting>
  <conditionalFormatting sqref="W130:W138">
    <cfRule type="top10" dxfId="1421" priority="55" bottom="1" rank="1"/>
    <cfRule type="top10" dxfId="1420" priority="56" rank="1"/>
  </conditionalFormatting>
  <conditionalFormatting sqref="W140:W148">
    <cfRule type="top10" dxfId="1419" priority="53" bottom="1" rank="1"/>
    <cfRule type="top10" dxfId="1418" priority="54" rank="1"/>
  </conditionalFormatting>
  <conditionalFormatting sqref="W150:W158">
    <cfRule type="top10" dxfId="1417" priority="51" bottom="1" rank="1"/>
    <cfRule type="top10" dxfId="1416" priority="52" rank="1"/>
  </conditionalFormatting>
  <conditionalFormatting sqref="W160:W168">
    <cfRule type="top10" dxfId="1415" priority="49" bottom="1" rank="1"/>
    <cfRule type="top10" dxfId="1414" priority="50" rank="1"/>
  </conditionalFormatting>
  <conditionalFormatting sqref="W170:W178">
    <cfRule type="top10" dxfId="1413" priority="47" bottom="1" rank="1"/>
    <cfRule type="top10" dxfId="1412" priority="48" rank="1"/>
  </conditionalFormatting>
  <conditionalFormatting sqref="W180:W188">
    <cfRule type="top10" dxfId="1411" priority="45" bottom="1" rank="1"/>
    <cfRule type="top10" dxfId="1410" priority="46" rank="1"/>
  </conditionalFormatting>
  <conditionalFormatting sqref="W190:W198">
    <cfRule type="top10" dxfId="1409" priority="43" bottom="1" rank="1"/>
    <cfRule type="top10" dxfId="1408" priority="44" rank="1"/>
  </conditionalFormatting>
  <conditionalFormatting sqref="W200:W208">
    <cfRule type="top10" dxfId="1407" priority="41" bottom="1" rank="1"/>
    <cfRule type="top10" dxfId="1406" priority="42" rank="1"/>
  </conditionalFormatting>
  <conditionalFormatting sqref="W210:W218">
    <cfRule type="top10" dxfId="1405" priority="39" bottom="1" rank="1"/>
    <cfRule type="top10" dxfId="1404" priority="40" rank="1"/>
  </conditionalFormatting>
  <conditionalFormatting sqref="W220:W228">
    <cfRule type="top10" dxfId="1403" priority="37" bottom="1" rank="1"/>
    <cfRule type="top10" dxfId="1402" priority="38" rank="1"/>
  </conditionalFormatting>
  <conditionalFormatting sqref="W230:W238">
    <cfRule type="top10" dxfId="1401" priority="35" bottom="1" rank="1"/>
    <cfRule type="top10" dxfId="1400" priority="36" rank="1"/>
  </conditionalFormatting>
  <conditionalFormatting sqref="W240:W248">
    <cfRule type="top10" dxfId="1399" priority="33" bottom="1" rank="1"/>
    <cfRule type="top10" dxfId="1398" priority="34" rank="1"/>
  </conditionalFormatting>
  <conditionalFormatting sqref="W250:W258">
    <cfRule type="top10" dxfId="1397" priority="31" bottom="1" rank="1"/>
    <cfRule type="top10" dxfId="1396" priority="32" rank="1"/>
  </conditionalFormatting>
  <conditionalFormatting sqref="W260:W268">
    <cfRule type="top10" dxfId="1395" priority="29" bottom="1" rank="1"/>
    <cfRule type="top10" dxfId="1394" priority="30" rank="1"/>
  </conditionalFormatting>
  <conditionalFormatting sqref="W270:W278">
    <cfRule type="top10" dxfId="1393" priority="27" bottom="1" rank="1"/>
    <cfRule type="top10" dxfId="1392" priority="28" rank="1"/>
  </conditionalFormatting>
  <conditionalFormatting sqref="W280:W288">
    <cfRule type="top10" dxfId="1391" priority="25" bottom="1" rank="1"/>
    <cfRule type="top10" dxfId="1390" priority="26" rank="1"/>
  </conditionalFormatting>
  <conditionalFormatting sqref="W290:W298">
    <cfRule type="top10" dxfId="1389" priority="23" bottom="1" rank="1"/>
    <cfRule type="top10" dxfId="1388" priority="24" rank="1"/>
  </conditionalFormatting>
  <conditionalFormatting sqref="W300:W308">
    <cfRule type="top10" dxfId="1387" priority="21" bottom="1" rank="1"/>
    <cfRule type="top10" dxfId="1386" priority="22" rank="1"/>
  </conditionalFormatting>
  <conditionalFormatting sqref="W310:W318">
    <cfRule type="top10" dxfId="1385" priority="19" bottom="1" rank="1"/>
    <cfRule type="top10" dxfId="1384" priority="20" rank="1"/>
  </conditionalFormatting>
  <conditionalFormatting sqref="W320:W328">
    <cfRule type="top10" dxfId="1383" priority="17" bottom="1" rank="1"/>
    <cfRule type="top10" dxfId="1382" priority="18" rank="1"/>
  </conditionalFormatting>
  <conditionalFormatting sqref="W330:W338">
    <cfRule type="top10" dxfId="1381" priority="15" bottom="1" rank="1"/>
    <cfRule type="top10" dxfId="1380" priority="16" rank="1"/>
  </conditionalFormatting>
  <conditionalFormatting sqref="W340:W348">
    <cfRule type="top10" dxfId="1379" priority="13" bottom="1" rank="1"/>
    <cfRule type="top10" dxfId="1378" priority="14" rank="1"/>
  </conditionalFormatting>
  <conditionalFormatting sqref="W350:W358">
    <cfRule type="top10" dxfId="1377" priority="11" bottom="1" rank="1"/>
    <cfRule type="top10" dxfId="1376" priority="12" rank="1"/>
  </conditionalFormatting>
  <conditionalFormatting sqref="W360:W368">
    <cfRule type="top10" dxfId="1375" priority="9" bottom="1" rank="1"/>
    <cfRule type="top10" dxfId="1374" priority="10" rank="1"/>
  </conditionalFormatting>
  <conditionalFormatting sqref="W370:W378">
    <cfRule type="top10" dxfId="1373" priority="7" bottom="1" rank="1"/>
    <cfRule type="top10" dxfId="1372" priority="8" rank="1"/>
  </conditionalFormatting>
  <conditionalFormatting sqref="W380:W388">
    <cfRule type="top10" dxfId="1371" priority="5" bottom="1" rank="1"/>
    <cfRule type="top10" dxfId="1370" priority="6" rank="1"/>
  </conditionalFormatting>
  <conditionalFormatting sqref="W390:W398">
    <cfRule type="top10" dxfId="1369" priority="3" bottom="1" rank="1"/>
    <cfRule type="top10" dxfId="1368" priority="4" rank="1"/>
  </conditionalFormatting>
  <conditionalFormatting sqref="W400:W408">
    <cfRule type="top10" dxfId="1367" priority="1" bottom="1" rank="1"/>
    <cfRule type="top10" dxfId="1366" priority="2" rank="1"/>
  </conditionalFormatting>
  <pageMargins left="0.7" right="0.7" top="0.75" bottom="0.75" header="0.3" footer="0.3"/>
  <pageSetup paperSize="9"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AE445"/>
  <sheetViews>
    <sheetView showGridLines="0" zoomScale="75" zoomScaleNormal="75" workbookViewId="0">
      <pane xSplit="3" ySplit="7" topLeftCell="D8" activePane="bottomRight" state="frozen"/>
      <selection pane="topRight" activeCell="D1" sqref="D1"/>
      <selection pane="bottomLeft" activeCell="A8" sqref="A8"/>
      <selection pane="bottomRight" activeCell="Q10" sqref="Q10"/>
    </sheetView>
  </sheetViews>
  <sheetFormatPr defaultRowHeight="15.75" x14ac:dyDescent="0.25"/>
  <cols>
    <col min="1" max="1" width="4.85546875" style="432" customWidth="1"/>
    <col min="2" max="2" width="5.85546875" style="1197" customWidth="1"/>
    <col min="3" max="3" width="32.7109375" style="432" customWidth="1"/>
    <col min="4" max="4" width="5.7109375" style="432" customWidth="1"/>
    <col min="5" max="19" width="7.28515625" style="432" customWidth="1"/>
    <col min="20" max="20" width="8.7109375" style="1203" customWidth="1"/>
    <col min="21" max="21" width="10.5703125" style="432" customWidth="1"/>
    <col min="22" max="22" width="6.5703125" style="1204" customWidth="1"/>
    <col min="23" max="23" width="7.140625" style="1204" customWidth="1"/>
    <col min="24" max="29" width="6.7109375" style="432" customWidth="1"/>
    <col min="30" max="30" width="10.28515625" style="432" customWidth="1"/>
    <col min="31" max="31" width="7" style="432" customWidth="1"/>
    <col min="32" max="16384" width="9.140625" style="432"/>
  </cols>
  <sheetData>
    <row r="1" spans="1:31" ht="23.25" x14ac:dyDescent="0.35">
      <c r="A1" s="434" t="s">
        <v>166</v>
      </c>
      <c r="D1" s="435"/>
      <c r="E1" s="435"/>
      <c r="F1" s="1198"/>
      <c r="G1" s="1199"/>
      <c r="H1" s="1199"/>
      <c r="I1" s="1199"/>
      <c r="J1" s="1199"/>
      <c r="K1" s="1199"/>
      <c r="L1" s="1199"/>
      <c r="M1" s="1199"/>
      <c r="N1" s="1199"/>
      <c r="O1" s="1199"/>
      <c r="P1" s="1199"/>
      <c r="Q1" s="1199"/>
      <c r="R1" s="1199"/>
      <c r="S1" s="1199"/>
      <c r="T1" s="1199"/>
      <c r="U1" s="1199"/>
      <c r="V1" s="1199"/>
      <c r="W1" s="1199"/>
      <c r="X1" s="1198"/>
      <c r="Y1" s="433"/>
    </row>
    <row r="2" spans="1:31" ht="21" x14ac:dyDescent="0.35">
      <c r="A2" s="1200" t="s">
        <v>54</v>
      </c>
      <c r="F2" s="1201"/>
      <c r="G2" s="1201"/>
      <c r="H2" s="1201"/>
      <c r="I2" s="1201"/>
      <c r="J2" s="1201"/>
      <c r="K2" s="1201"/>
      <c r="L2" s="1201"/>
      <c r="M2" s="1201"/>
      <c r="N2" s="1201"/>
      <c r="O2" s="1201"/>
      <c r="P2" s="1201"/>
      <c r="Q2" s="1201"/>
      <c r="R2" s="1201"/>
      <c r="S2" s="1201"/>
      <c r="T2" s="1201"/>
      <c r="U2" s="1199"/>
      <c r="V2" s="1201"/>
      <c r="W2" s="1201"/>
      <c r="X2" s="1201"/>
      <c r="Y2" s="433"/>
    </row>
    <row r="3" spans="1:31" ht="18.75" x14ac:dyDescent="0.3">
      <c r="A3" s="1202" t="s">
        <v>562</v>
      </c>
    </row>
    <row r="4" spans="1:31" s="1206" customFormat="1" ht="16.5" thickBot="1" x14ac:dyDescent="0.3">
      <c r="A4" s="1205">
        <v>1</v>
      </c>
      <c r="B4" s="1205">
        <v>2</v>
      </c>
      <c r="C4" s="1205">
        <v>3</v>
      </c>
      <c r="D4" s="1205">
        <v>4</v>
      </c>
      <c r="E4" s="1205">
        <v>5</v>
      </c>
      <c r="F4" s="1205">
        <v>6</v>
      </c>
      <c r="G4" s="1205">
        <v>7</v>
      </c>
      <c r="H4" s="1205">
        <v>8</v>
      </c>
      <c r="I4" s="1205">
        <v>9</v>
      </c>
      <c r="J4" s="1205">
        <v>10</v>
      </c>
      <c r="K4" s="1205">
        <v>11</v>
      </c>
      <c r="L4" s="1205">
        <v>12</v>
      </c>
      <c r="M4" s="1205">
        <v>13</v>
      </c>
      <c r="N4" s="1205">
        <v>14</v>
      </c>
      <c r="O4" s="1205">
        <v>15</v>
      </c>
      <c r="P4" s="1205">
        <v>16</v>
      </c>
      <c r="Q4" s="1205">
        <v>17</v>
      </c>
      <c r="R4" s="1205">
        <v>18</v>
      </c>
      <c r="S4" s="1205">
        <v>19</v>
      </c>
      <c r="T4" s="1205">
        <v>20</v>
      </c>
      <c r="U4" s="1205">
        <v>21</v>
      </c>
      <c r="V4" s="1205">
        <v>22</v>
      </c>
      <c r="W4" s="1205">
        <v>23</v>
      </c>
      <c r="X4" s="1205">
        <v>24</v>
      </c>
      <c r="Y4" s="1205">
        <v>25</v>
      </c>
      <c r="Z4" s="1205">
        <v>26</v>
      </c>
      <c r="AA4" s="1205">
        <v>27</v>
      </c>
      <c r="AB4" s="1205">
        <v>28</v>
      </c>
      <c r="AC4" s="1205">
        <v>29</v>
      </c>
      <c r="AD4" s="1205">
        <v>30</v>
      </c>
      <c r="AE4" s="1205">
        <v>31</v>
      </c>
    </row>
    <row r="5" spans="1:31" ht="24" customHeight="1" x14ac:dyDescent="0.25">
      <c r="A5" s="2717" t="s">
        <v>0</v>
      </c>
      <c r="B5" s="2714" t="s">
        <v>55</v>
      </c>
      <c r="C5" s="2592" t="s">
        <v>1</v>
      </c>
      <c r="D5" s="2592" t="s">
        <v>56</v>
      </c>
      <c r="E5" s="2719" t="s">
        <v>32</v>
      </c>
      <c r="F5" s="2720"/>
      <c r="G5" s="2720"/>
      <c r="H5" s="2720"/>
      <c r="I5" s="2720"/>
      <c r="J5" s="2720"/>
      <c r="K5" s="2720"/>
      <c r="L5" s="2720"/>
      <c r="M5" s="2720"/>
      <c r="N5" s="2720"/>
      <c r="O5" s="2720"/>
      <c r="P5" s="2721"/>
      <c r="Q5" s="2665" t="s">
        <v>1004</v>
      </c>
      <c r="R5" s="2666"/>
      <c r="S5" s="2667"/>
      <c r="T5" s="2695" t="s">
        <v>64</v>
      </c>
      <c r="U5" s="2703" t="s">
        <v>61</v>
      </c>
      <c r="V5" s="2700" t="s">
        <v>5</v>
      </c>
      <c r="W5" s="2700" t="s">
        <v>1005</v>
      </c>
      <c r="X5" s="2706" t="s">
        <v>731</v>
      </c>
      <c r="Y5" s="2707"/>
      <c r="Z5" s="2708"/>
      <c r="AA5" s="2709" t="s">
        <v>730</v>
      </c>
      <c r="AB5" s="2710"/>
      <c r="AC5" s="2711"/>
      <c r="AD5" s="2689" t="s">
        <v>60</v>
      </c>
      <c r="AE5" s="2692" t="s">
        <v>5</v>
      </c>
    </row>
    <row r="6" spans="1:31" ht="24" customHeight="1" x14ac:dyDescent="0.25">
      <c r="A6" s="2673"/>
      <c r="B6" s="2715"/>
      <c r="C6" s="2674"/>
      <c r="D6" s="2674"/>
      <c r="E6" s="2678" t="s">
        <v>443</v>
      </c>
      <c r="F6" s="2679"/>
      <c r="G6" s="2680"/>
      <c r="H6" s="2681" t="s">
        <v>442</v>
      </c>
      <c r="I6" s="2682"/>
      <c r="J6" s="2683"/>
      <c r="K6" s="2659" t="s">
        <v>441</v>
      </c>
      <c r="L6" s="2660"/>
      <c r="M6" s="2661"/>
      <c r="N6" s="2662" t="s">
        <v>685</v>
      </c>
      <c r="O6" s="2663"/>
      <c r="P6" s="2664"/>
      <c r="Q6" s="2668"/>
      <c r="R6" s="2669"/>
      <c r="S6" s="2670"/>
      <c r="T6" s="2696"/>
      <c r="U6" s="2704"/>
      <c r="V6" s="2701"/>
      <c r="W6" s="2701"/>
      <c r="X6" s="2698" t="s">
        <v>154</v>
      </c>
      <c r="Y6" s="2698" t="s">
        <v>155</v>
      </c>
      <c r="Z6" s="2698" t="s">
        <v>9</v>
      </c>
      <c r="AA6" s="2712" t="s">
        <v>154</v>
      </c>
      <c r="AB6" s="2712" t="s">
        <v>155</v>
      </c>
      <c r="AC6" s="2712" t="s">
        <v>9</v>
      </c>
      <c r="AD6" s="2690"/>
      <c r="AE6" s="2693"/>
    </row>
    <row r="7" spans="1:31" ht="24" customHeight="1" thickBot="1" x14ac:dyDescent="0.3">
      <c r="A7" s="2718"/>
      <c r="B7" s="2716"/>
      <c r="C7" s="2593"/>
      <c r="D7" s="2593"/>
      <c r="E7" s="1425" t="s">
        <v>1001</v>
      </c>
      <c r="F7" s="1425" t="s">
        <v>1002</v>
      </c>
      <c r="G7" s="1425" t="s">
        <v>1003</v>
      </c>
      <c r="H7" s="2031" t="s">
        <v>1001</v>
      </c>
      <c r="I7" s="2031" t="s">
        <v>1002</v>
      </c>
      <c r="J7" s="2031" t="s">
        <v>1003</v>
      </c>
      <c r="K7" s="2032" t="s">
        <v>1001</v>
      </c>
      <c r="L7" s="2032" t="s">
        <v>1002</v>
      </c>
      <c r="M7" s="2032" t="s">
        <v>1003</v>
      </c>
      <c r="N7" s="2033" t="s">
        <v>1001</v>
      </c>
      <c r="O7" s="2033" t="s">
        <v>1002</v>
      </c>
      <c r="P7" s="2033" t="s">
        <v>1003</v>
      </c>
      <c r="Q7" s="1425" t="s">
        <v>1001</v>
      </c>
      <c r="R7" s="1425" t="s">
        <v>1002</v>
      </c>
      <c r="S7" s="1425" t="s">
        <v>1003</v>
      </c>
      <c r="T7" s="2697"/>
      <c r="U7" s="2705"/>
      <c r="V7" s="2702"/>
      <c r="W7" s="2702"/>
      <c r="X7" s="2699"/>
      <c r="Y7" s="2699"/>
      <c r="Z7" s="2699"/>
      <c r="AA7" s="2713"/>
      <c r="AB7" s="2713"/>
      <c r="AC7" s="2713"/>
      <c r="AD7" s="2691"/>
      <c r="AE7" s="2694"/>
    </row>
    <row r="8" spans="1:31" ht="24.95" customHeight="1" x14ac:dyDescent="0.25">
      <c r="A8" s="1207">
        <v>1</v>
      </c>
      <c r="B8" s="1208"/>
      <c r="C8" s="1209" t="str">
        <f>VLOOKUP(A8,data_siswa,4,FALSE)</f>
        <v>Achmad Zacky</v>
      </c>
      <c r="D8" s="1210" t="s">
        <v>154</v>
      </c>
      <c r="E8" s="1672"/>
      <c r="F8" s="1672"/>
      <c r="G8" s="1672"/>
      <c r="H8" s="2025">
        <v>70</v>
      </c>
      <c r="I8" s="2025">
        <v>65</v>
      </c>
      <c r="J8" s="2025">
        <v>78</v>
      </c>
      <c r="K8" s="1672"/>
      <c r="L8" s="1672"/>
      <c r="M8" s="1672"/>
      <c r="N8" s="2025"/>
      <c r="O8" s="2025"/>
      <c r="P8" s="2025"/>
      <c r="Q8" s="1077">
        <f>MAX(E8,H8,K8,N8)</f>
        <v>70</v>
      </c>
      <c r="R8" s="2126">
        <f t="shared" ref="R8:S10" si="0">MAX(F8,I8,L8,O8)</f>
        <v>65</v>
      </c>
      <c r="S8" s="2127">
        <f t="shared" si="0"/>
        <v>78</v>
      </c>
      <c r="T8" s="853">
        <f>IFERROR(AVERAGE(Q8:S8),"")</f>
        <v>71</v>
      </c>
      <c r="U8" s="1095" t="str">
        <f>IF(T8&gt;85,("4"),IF(T8&gt;80,("3.66"),IF(T8&gt;75,("3.33"),IF(T8&gt;70,("3.00"),IF(T8&gt;65,("2.66"),IF(T8&gt;60,("2.33"),IF(T8&gt;55,("2"),IF(T8&gt;50,("1.66"),"1.33"))))))))</f>
        <v>3.00</v>
      </c>
      <c r="V8" s="1095" t="str">
        <f>IF(T8&gt;85,("A"),IF(T8&gt;80,("A-"),IF(T8&gt;75,("B+"),IF(T8&gt;70,("B"),IF(T8&gt;65,("B-"),IF(T8&gt;60,("C+"),IF(T8&gt;55,("C"),IF(T8&gt;50,("C-"),"D+"))))))))</f>
        <v>B</v>
      </c>
      <c r="W8" s="1095" t="str">
        <f>IF(T8&gt;80,("SB"),IF(T8&gt;65,("B"),IF(T8&gt;50,("C"),IF(T8&gt;0,("K"),"0"))))</f>
        <v>B</v>
      </c>
      <c r="X8" s="2019"/>
      <c r="Y8" s="2019">
        <v>3</v>
      </c>
      <c r="Z8" s="2019"/>
      <c r="AA8" s="2020">
        <v>3</v>
      </c>
      <c r="AB8" s="2020"/>
      <c r="AC8" s="2020"/>
      <c r="AD8" s="2021">
        <f>T11</f>
        <v>78.444444444444443</v>
      </c>
      <c r="AE8" s="2022" t="str">
        <f>IF(AD8&gt;85,("A"),IF(AD8&gt;80,("A-"),IF(AD8&gt;75,("B+"),IF(AD8&gt;70,("B"),IF(AD8&gt;65,("B-"),IF(AD8&gt;60,("C+"),IF(AD8&gt;55,("C"),IF(AD8&gt;50,("C-"),"D+"))))))))</f>
        <v>B+</v>
      </c>
    </row>
    <row r="9" spans="1:31" ht="24.95" customHeight="1" x14ac:dyDescent="0.25">
      <c r="A9" s="1207"/>
      <c r="B9" s="1208"/>
      <c r="C9" s="1212"/>
      <c r="D9" s="1213" t="s">
        <v>155</v>
      </c>
      <c r="E9" s="1672">
        <v>87</v>
      </c>
      <c r="F9" s="1385">
        <v>67</v>
      </c>
      <c r="G9" s="1385">
        <v>78</v>
      </c>
      <c r="H9" s="2025">
        <v>65</v>
      </c>
      <c r="I9" s="2025">
        <v>72</v>
      </c>
      <c r="J9" s="2025">
        <v>69</v>
      </c>
      <c r="K9" s="1672">
        <v>68</v>
      </c>
      <c r="L9" s="1672">
        <v>76</v>
      </c>
      <c r="M9" s="1672">
        <v>86</v>
      </c>
      <c r="N9" s="2025">
        <v>74</v>
      </c>
      <c r="O9" s="2025">
        <v>73</v>
      </c>
      <c r="P9" s="2025">
        <v>71</v>
      </c>
      <c r="Q9" s="1077">
        <f t="shared" ref="Q9:Q10" si="1">MAX(E9,H9,K9,N9)</f>
        <v>87</v>
      </c>
      <c r="R9" s="2126">
        <f t="shared" si="0"/>
        <v>76</v>
      </c>
      <c r="S9" s="2127">
        <f t="shared" si="0"/>
        <v>86</v>
      </c>
      <c r="T9" s="853">
        <f t="shared" ref="T9:T10" si="2">IFERROR(AVERAGE(Q9:S9),"")</f>
        <v>83</v>
      </c>
      <c r="U9" s="1075" t="str">
        <f t="shared" ref="U9:U10" si="3">IF(T9&gt;85,("4"),IF(T9&gt;80,("3.66"),IF(T9&gt;75,("3.33"),IF(T9&gt;70,("3.00"),IF(T9&gt;65,("2.66"),IF(T9&gt;60,("2.33"),IF(T9&gt;55,("2"),IF(T9&gt;50,("1.66"),"1.33"))))))))</f>
        <v>3.66</v>
      </c>
      <c r="V9" s="1075" t="str">
        <f t="shared" ref="V9:V10" si="4">IF(T9&gt;85,("A"),IF(T9&gt;80,("A-"),IF(T9&gt;75,("B+"),IF(T9&gt;70,("B"),IF(T9&gt;65,("B-"),IF(T9&gt;60,("C+"),IF(T9&gt;55,("C"),IF(T9&gt;50,("C-"),"D+"))))))))</f>
        <v>A-</v>
      </c>
      <c r="W9" s="1075" t="str">
        <f t="shared" ref="W9:W10" si="5">IF(T9&gt;80,("SB"),IF(T9&gt;65,("B"),IF(T9&gt;50,("C"),IF(T9&gt;0,("K"),"0"))))</f>
        <v>SB</v>
      </c>
      <c r="X9" s="1214"/>
      <c r="Y9" s="1215"/>
      <c r="Z9" s="1215"/>
      <c r="AA9" s="1215"/>
      <c r="AB9" s="1215"/>
      <c r="AC9" s="1215"/>
      <c r="AD9" s="1819"/>
      <c r="AE9" s="1246"/>
    </row>
    <row r="10" spans="1:31" ht="24.95" customHeight="1" x14ac:dyDescent="0.25">
      <c r="A10" s="1207"/>
      <c r="B10" s="1208"/>
      <c r="C10" s="1212"/>
      <c r="D10" s="1213" t="s">
        <v>9</v>
      </c>
      <c r="E10" s="1385"/>
      <c r="F10" s="1385"/>
      <c r="G10" s="1385"/>
      <c r="H10" s="2025">
        <v>74</v>
      </c>
      <c r="I10" s="2025">
        <v>68</v>
      </c>
      <c r="J10" s="2025">
        <v>82</v>
      </c>
      <c r="K10" s="1672">
        <v>90</v>
      </c>
      <c r="L10" s="1672">
        <v>72</v>
      </c>
      <c r="M10" s="1672">
        <v>65</v>
      </c>
      <c r="N10" s="2025"/>
      <c r="O10" s="2025"/>
      <c r="P10" s="2025"/>
      <c r="Q10" s="1077">
        <f t="shared" si="1"/>
        <v>90</v>
      </c>
      <c r="R10" s="2126">
        <f t="shared" si="0"/>
        <v>72</v>
      </c>
      <c r="S10" s="2127">
        <f t="shared" si="0"/>
        <v>82</v>
      </c>
      <c r="T10" s="853">
        <f t="shared" si="2"/>
        <v>81.333333333333329</v>
      </c>
      <c r="U10" s="1075" t="str">
        <f t="shared" si="3"/>
        <v>3.66</v>
      </c>
      <c r="V10" s="1075" t="str">
        <f t="shared" si="4"/>
        <v>A-</v>
      </c>
      <c r="W10" s="1075" t="str">
        <f t="shared" si="5"/>
        <v>SB</v>
      </c>
      <c r="X10" s="1216"/>
      <c r="Y10" s="1217"/>
      <c r="Z10" s="1217"/>
      <c r="AA10" s="1217"/>
      <c r="AB10" s="1217"/>
      <c r="AC10" s="1217"/>
      <c r="AD10" s="1820"/>
      <c r="AE10" s="1247"/>
    </row>
    <row r="11" spans="1:31" s="1223" customFormat="1" ht="24.95" customHeight="1" x14ac:dyDescent="0.25">
      <c r="A11" s="1218"/>
      <c r="B11" s="1219"/>
      <c r="C11" s="1220" t="s">
        <v>167</v>
      </c>
      <c r="D11" s="1220"/>
      <c r="E11" s="2687"/>
      <c r="F11" s="2688"/>
      <c r="G11" s="2688"/>
      <c r="H11" s="2688"/>
      <c r="I11" s="2076"/>
      <c r="J11" s="2076"/>
      <c r="K11" s="2076"/>
      <c r="L11" s="2076"/>
      <c r="M11" s="2076"/>
      <c r="N11" s="2076"/>
      <c r="O11" s="2076"/>
      <c r="P11" s="2076"/>
      <c r="Q11" s="2128"/>
      <c r="R11" s="2128"/>
      <c r="S11" s="2128"/>
      <c r="T11" s="732">
        <f>IFERROR(AVERAGE(T8:T10),"  ")</f>
        <v>78.444444444444443</v>
      </c>
      <c r="U11" s="1244" t="str">
        <f>IF(T11&gt;85,("4"),IF(T11&gt;80,("3.66"),IF(T11&gt;75,("3.33"),IF(T11&gt;70,("3.00"),IF(T11&gt;65,("2.66"),IF(T11&gt;60,("2.33"),IF(T11&gt;55,("2"),IF(T11&gt;50,("1.66"),"1.33"))))))))</f>
        <v>3.33</v>
      </c>
      <c r="V11" s="1244" t="str">
        <f>IF(T11&gt;85,("A"),IF(T11&gt;80,("A-"),IF(T11&gt;75,("B+"),IF(T11&gt;70,("B"),IF(T11&gt;65,("B-"),IF(T11&gt;60,("C+"),IF(T11&gt;55,("C"),IF(T11&gt;50,("C-"),"D+"))))))))</f>
        <v>B+</v>
      </c>
      <c r="W11" s="1244"/>
      <c r="X11" s="1221"/>
      <c r="Y11" s="1222"/>
      <c r="Z11" s="1222"/>
      <c r="AA11" s="1222"/>
      <c r="AB11" s="1222"/>
      <c r="AC11" s="1222"/>
      <c r="AD11" s="1821"/>
      <c r="AE11" s="1249"/>
    </row>
    <row r="12" spans="1:31" ht="24.95" customHeight="1" x14ac:dyDescent="0.25">
      <c r="A12" s="1224">
        <v>2</v>
      </c>
      <c r="B12" s="1225"/>
      <c r="C12" s="1209" t="str">
        <f>VLOOKUP(A12,data_siswa,4,FALSE)</f>
        <v>Angelia Vabel R</v>
      </c>
      <c r="D12" s="1210" t="s">
        <v>154</v>
      </c>
      <c r="E12" s="1672"/>
      <c r="F12" s="1672"/>
      <c r="G12" s="1672"/>
      <c r="H12" s="2025">
        <v>0</v>
      </c>
      <c r="I12" s="2025">
        <v>0</v>
      </c>
      <c r="J12" s="2025">
        <v>0</v>
      </c>
      <c r="K12" s="1672"/>
      <c r="L12" s="1672"/>
      <c r="M12" s="1672"/>
      <c r="N12" s="2025"/>
      <c r="O12" s="2025"/>
      <c r="P12" s="2025"/>
      <c r="Q12" s="1077">
        <f>MAX(E12,H12,K12,N12)</f>
        <v>0</v>
      </c>
      <c r="R12" s="2126">
        <f t="shared" ref="R12:R14" si="6">MAX(F12,I12,L12,O12)</f>
        <v>0</v>
      </c>
      <c r="S12" s="2127">
        <f t="shared" ref="S12:S14" si="7">MAX(G12,J12,M12,P12)</f>
        <v>0</v>
      </c>
      <c r="T12" s="853">
        <f>IFERROR(AVERAGE(Q12:S12),"")</f>
        <v>0</v>
      </c>
      <c r="U12" s="1075" t="str">
        <f>IF(T12&gt;85,("4"),IF(T12&gt;80,("3.66"),IF(T12&gt;75,("3.33"),IF(T12&gt;70,("3.00"),IF(T12&gt;65,("2.66"),IF(T12&gt;60,("2.33"),IF(T12&gt;55,("2"),IF(T12&gt;50,("1.66"),"1.33"))))))))</f>
        <v>1.33</v>
      </c>
      <c r="V12" s="1075" t="str">
        <f>IF(T12&gt;85,("A"),IF(T12&gt;80,("A-"),IF(T12&gt;75,("B+"),IF(T12&gt;70,("B"),IF(T12&gt;65,("B-"),IF(T12&gt;60,("C+"),IF(T12&gt;55,("C"),IF(T12&gt;50,("C-"),"D+"))))))))</f>
        <v>D+</v>
      </c>
      <c r="W12" s="1075" t="str">
        <f>IF(T12&gt;80,("SB"),IF(T12&gt;65,("B"),IF(T12&gt;50,("C"),IF(T12&gt;0,("K"),"0"))))</f>
        <v>0</v>
      </c>
      <c r="X12" s="1816"/>
      <c r="Y12" s="1816"/>
      <c r="Z12" s="1816"/>
      <c r="AA12" s="1817"/>
      <c r="AB12" s="1817"/>
      <c r="AC12" s="1817"/>
      <c r="AD12" s="1818">
        <f>T15</f>
        <v>0</v>
      </c>
      <c r="AE12" s="1245" t="str">
        <f>IF(AD12&gt;85,("A"),IF(AD12&gt;80,("A-"),IF(AD12&gt;75,("B+"),IF(AD12&gt;70,("B"),IF(AD12&gt;65,("B-"),IF(AD12&gt;60,("C+"),IF(AD12&gt;55,("C"),IF(AD12&gt;50,("C-"),"D+"))))))))</f>
        <v>D+</v>
      </c>
    </row>
    <row r="13" spans="1:31" ht="24.95" customHeight="1" x14ac:dyDescent="0.25">
      <c r="A13" s="1207"/>
      <c r="B13" s="1208"/>
      <c r="C13" s="1212"/>
      <c r="D13" s="1213" t="s">
        <v>155</v>
      </c>
      <c r="E13" s="1672">
        <v>0</v>
      </c>
      <c r="F13" s="1385">
        <v>0</v>
      </c>
      <c r="G13" s="1385">
        <v>0</v>
      </c>
      <c r="H13" s="2025">
        <v>0</v>
      </c>
      <c r="I13" s="2025">
        <v>0</v>
      </c>
      <c r="J13" s="2025">
        <v>0</v>
      </c>
      <c r="K13" s="1672">
        <v>0</v>
      </c>
      <c r="L13" s="1672">
        <v>0</v>
      </c>
      <c r="M13" s="1672">
        <v>0</v>
      </c>
      <c r="N13" s="2025">
        <v>0</v>
      </c>
      <c r="O13" s="2025">
        <v>0</v>
      </c>
      <c r="P13" s="2025">
        <v>0</v>
      </c>
      <c r="Q13" s="1077">
        <f t="shared" ref="Q13:Q14" si="8">MAX(E13,H13,K13,N13)</f>
        <v>0</v>
      </c>
      <c r="R13" s="2126">
        <f t="shared" si="6"/>
        <v>0</v>
      </c>
      <c r="S13" s="2127">
        <f t="shared" si="7"/>
        <v>0</v>
      </c>
      <c r="T13" s="853">
        <f t="shared" ref="T13:T14" si="9">IFERROR(AVERAGE(Q13:S13),"")</f>
        <v>0</v>
      </c>
      <c r="U13" s="1075" t="str">
        <f t="shared" ref="U13:U14" si="10">IF(T13&gt;85,("4"),IF(T13&gt;80,("3.66"),IF(T13&gt;75,("3.33"),IF(T13&gt;70,("3.00"),IF(T13&gt;65,("2.66"),IF(T13&gt;60,("2.33"),IF(T13&gt;55,("2"),IF(T13&gt;50,("1.66"),"1.33"))))))))</f>
        <v>1.33</v>
      </c>
      <c r="V13" s="1075" t="str">
        <f t="shared" ref="V13:V14" si="11">IF(T13&gt;85,("A"),IF(T13&gt;80,("A-"),IF(T13&gt;75,("B+"),IF(T13&gt;70,("B"),IF(T13&gt;65,("B-"),IF(T13&gt;60,("C+"),IF(T13&gt;55,("C"),IF(T13&gt;50,("C-"),"D+"))))))))</f>
        <v>D+</v>
      </c>
      <c r="W13" s="1075" t="str">
        <f t="shared" ref="W13:W14" si="12">IF(T13&gt;80,("SB"),IF(T13&gt;65,("B"),IF(T13&gt;50,("C"),IF(T13&gt;0,("K"),"0"))))</f>
        <v>0</v>
      </c>
      <c r="X13" s="1214"/>
      <c r="Y13" s="1215"/>
      <c r="Z13" s="1215"/>
      <c r="AA13" s="1215"/>
      <c r="AB13" s="1215"/>
      <c r="AC13" s="1215"/>
      <c r="AD13" s="1819"/>
      <c r="AE13" s="1246"/>
    </row>
    <row r="14" spans="1:31" ht="24.95" customHeight="1" x14ac:dyDescent="0.25">
      <c r="A14" s="1207"/>
      <c r="B14" s="1208"/>
      <c r="C14" s="1212"/>
      <c r="D14" s="1213" t="s">
        <v>9</v>
      </c>
      <c r="E14" s="1385"/>
      <c r="F14" s="1385"/>
      <c r="G14" s="1385"/>
      <c r="H14" s="2025">
        <v>0</v>
      </c>
      <c r="I14" s="2025">
        <v>0</v>
      </c>
      <c r="J14" s="2025">
        <v>0</v>
      </c>
      <c r="K14" s="1672">
        <v>0</v>
      </c>
      <c r="L14" s="1672">
        <v>0</v>
      </c>
      <c r="M14" s="1672">
        <v>0</v>
      </c>
      <c r="N14" s="2025"/>
      <c r="O14" s="2025"/>
      <c r="P14" s="2025"/>
      <c r="Q14" s="1077">
        <f t="shared" si="8"/>
        <v>0</v>
      </c>
      <c r="R14" s="2126">
        <f t="shared" si="6"/>
        <v>0</v>
      </c>
      <c r="S14" s="2127">
        <f t="shared" si="7"/>
        <v>0</v>
      </c>
      <c r="T14" s="853">
        <f t="shared" si="9"/>
        <v>0</v>
      </c>
      <c r="U14" s="1075" t="str">
        <f t="shared" si="10"/>
        <v>1.33</v>
      </c>
      <c r="V14" s="1075" t="str">
        <f t="shared" si="11"/>
        <v>D+</v>
      </c>
      <c r="W14" s="1075" t="str">
        <f t="shared" si="12"/>
        <v>0</v>
      </c>
      <c r="X14" s="1216"/>
      <c r="Y14" s="1217"/>
      <c r="Z14" s="1217"/>
      <c r="AA14" s="1217"/>
      <c r="AB14" s="1217"/>
      <c r="AC14" s="1217"/>
      <c r="AD14" s="1820"/>
      <c r="AE14" s="1247"/>
    </row>
    <row r="15" spans="1:31" ht="24.95" customHeight="1" x14ac:dyDescent="0.25">
      <c r="A15" s="1236"/>
      <c r="B15" s="1219"/>
      <c r="C15" s="1220" t="s">
        <v>167</v>
      </c>
      <c r="D15" s="1237"/>
      <c r="E15" s="2687"/>
      <c r="F15" s="2688"/>
      <c r="G15" s="2688"/>
      <c r="H15" s="2688"/>
      <c r="I15" s="2076"/>
      <c r="J15" s="2076"/>
      <c r="K15" s="2076"/>
      <c r="L15" s="2076"/>
      <c r="M15" s="2076"/>
      <c r="N15" s="2076"/>
      <c r="O15" s="2076"/>
      <c r="P15" s="2076"/>
      <c r="Q15" s="2128"/>
      <c r="R15" s="2128"/>
      <c r="S15" s="2128"/>
      <c r="T15" s="732">
        <f>IFERROR(AVERAGE(T12:T14),"  ")</f>
        <v>0</v>
      </c>
      <c r="U15" s="1244" t="str">
        <f>IF(T15&gt;85,("4"),IF(T15&gt;80,("3.66"),IF(T15&gt;75,("3.33"),IF(T15&gt;70,("3.00"),IF(T15&gt;65,("2.66"),IF(T15&gt;60,("2.33"),IF(T15&gt;55,("2"),IF(T15&gt;50,("1.66"),"1.33"))))))))</f>
        <v>1.33</v>
      </c>
      <c r="V15" s="1244" t="str">
        <f>IF(T15&gt;85,("A"),IF(T15&gt;80,("A-"),IF(T15&gt;75,("B+"),IF(T15&gt;70,("B"),IF(T15&gt;65,("B-"),IF(T15&gt;60,("C+"),IF(T15&gt;55,("C"),IF(T15&gt;50,("C-"),"D+"))))))))</f>
        <v>D+</v>
      </c>
      <c r="W15" s="1244"/>
      <c r="X15" s="1221"/>
      <c r="Y15" s="1222"/>
      <c r="Z15" s="1222"/>
      <c r="AA15" s="1222"/>
      <c r="AB15" s="1222"/>
      <c r="AC15" s="1222"/>
      <c r="AD15" s="1821"/>
      <c r="AE15" s="1249"/>
    </row>
    <row r="16" spans="1:31" ht="24.95" customHeight="1" x14ac:dyDescent="0.25">
      <c r="A16" s="1224">
        <v>3</v>
      </c>
      <c r="B16" s="1225"/>
      <c r="C16" s="1209" t="str">
        <f>VLOOKUP(A16,data_siswa,4,FALSE)</f>
        <v>Anggun Dwi P.I</v>
      </c>
      <c r="D16" s="1210" t="s">
        <v>154</v>
      </c>
      <c r="E16" s="1672"/>
      <c r="F16" s="1672"/>
      <c r="G16" s="1672"/>
      <c r="H16" s="2025">
        <v>0</v>
      </c>
      <c r="I16" s="2025">
        <v>0</v>
      </c>
      <c r="J16" s="2025">
        <v>0</v>
      </c>
      <c r="K16" s="1672"/>
      <c r="L16" s="1672"/>
      <c r="M16" s="1672"/>
      <c r="N16" s="2025"/>
      <c r="O16" s="2025"/>
      <c r="P16" s="2025"/>
      <c r="Q16" s="1077">
        <f>MAX(E16,H16,K16,N16)</f>
        <v>0</v>
      </c>
      <c r="R16" s="2126">
        <f t="shared" ref="R16:R18" si="13">MAX(F16,I16,L16,O16)</f>
        <v>0</v>
      </c>
      <c r="S16" s="2127">
        <f t="shared" ref="S16:S18" si="14">MAX(G16,J16,M16,P16)</f>
        <v>0</v>
      </c>
      <c r="T16" s="853">
        <f>IFERROR(AVERAGE(Q16:S16),"")</f>
        <v>0</v>
      </c>
      <c r="U16" s="1075" t="str">
        <f>IF(T16&gt;85,("4"),IF(T16&gt;80,("3.66"),IF(T16&gt;75,("3.33"),IF(T16&gt;70,("3.00"),IF(T16&gt;65,("2.66"),IF(T16&gt;60,("2.33"),IF(T16&gt;55,("2"),IF(T16&gt;50,("1.66"),"1.33"))))))))</f>
        <v>1.33</v>
      </c>
      <c r="V16" s="1075" t="str">
        <f>IF(T16&gt;85,("A"),IF(T16&gt;80,("A-"),IF(T16&gt;75,("B+"),IF(T16&gt;70,("B"),IF(T16&gt;65,("B-"),IF(T16&gt;60,("C+"),IF(T16&gt;55,("C"),IF(T16&gt;50,("C-"),"D+"))))))))</f>
        <v>D+</v>
      </c>
      <c r="W16" s="1075" t="str">
        <f>IF(T16&gt;80,("SB"),IF(T16&gt;65,("B"),IF(T16&gt;50,("C"),IF(T16&gt;0,("K"),"0"))))</f>
        <v>0</v>
      </c>
      <c r="X16" s="1816"/>
      <c r="Y16" s="1816"/>
      <c r="Z16" s="1816"/>
      <c r="AA16" s="1817"/>
      <c r="AB16" s="1817"/>
      <c r="AC16" s="1817"/>
      <c r="AD16" s="1818">
        <f>T19</f>
        <v>0</v>
      </c>
      <c r="AE16" s="1245" t="str">
        <f>IF(AD16&gt;85,("A"),IF(AD16&gt;80,("A-"),IF(AD16&gt;75,("B+"),IF(AD16&gt;70,("B"),IF(AD16&gt;65,("B-"),IF(AD16&gt;60,("C+"),IF(AD16&gt;55,("C"),IF(AD16&gt;50,("C-"),"D+"))))))))</f>
        <v>D+</v>
      </c>
    </row>
    <row r="17" spans="1:31" ht="24.95" customHeight="1" x14ac:dyDescent="0.25">
      <c r="A17" s="1207"/>
      <c r="B17" s="1208"/>
      <c r="C17" s="1212"/>
      <c r="D17" s="1213" t="s">
        <v>155</v>
      </c>
      <c r="E17" s="1672">
        <v>0</v>
      </c>
      <c r="F17" s="1385">
        <v>0</v>
      </c>
      <c r="G17" s="1385">
        <v>0</v>
      </c>
      <c r="H17" s="2025">
        <v>0</v>
      </c>
      <c r="I17" s="2025">
        <v>0</v>
      </c>
      <c r="J17" s="2025">
        <v>0</v>
      </c>
      <c r="K17" s="1672">
        <v>0</v>
      </c>
      <c r="L17" s="1672">
        <v>0</v>
      </c>
      <c r="M17" s="1672">
        <v>0</v>
      </c>
      <c r="N17" s="2025">
        <v>0</v>
      </c>
      <c r="O17" s="2025">
        <v>0</v>
      </c>
      <c r="P17" s="2025">
        <v>0</v>
      </c>
      <c r="Q17" s="1077">
        <f t="shared" ref="Q17:Q18" si="15">MAX(E17,H17,K17,N17)</f>
        <v>0</v>
      </c>
      <c r="R17" s="2126">
        <f t="shared" si="13"/>
        <v>0</v>
      </c>
      <c r="S17" s="2127">
        <f t="shared" si="14"/>
        <v>0</v>
      </c>
      <c r="T17" s="853">
        <f t="shared" ref="T17:T18" si="16">IFERROR(AVERAGE(Q17:S17),"")</f>
        <v>0</v>
      </c>
      <c r="U17" s="1075" t="str">
        <f t="shared" ref="U17:U18" si="17">IF(T17&gt;85,("4"),IF(T17&gt;80,("3.66"),IF(T17&gt;75,("3.33"),IF(T17&gt;70,("3.00"),IF(T17&gt;65,("2.66"),IF(T17&gt;60,("2.33"),IF(T17&gt;55,("2"),IF(T17&gt;50,("1.66"),"1.33"))))))))</f>
        <v>1.33</v>
      </c>
      <c r="V17" s="1075" t="str">
        <f t="shared" ref="V17:V18" si="18">IF(T17&gt;85,("A"),IF(T17&gt;80,("A-"),IF(T17&gt;75,("B+"),IF(T17&gt;70,("B"),IF(T17&gt;65,("B-"),IF(T17&gt;60,("C+"),IF(T17&gt;55,("C"),IF(T17&gt;50,("C-"),"D+"))))))))</f>
        <v>D+</v>
      </c>
      <c r="W17" s="1075" t="str">
        <f t="shared" ref="W17:W18" si="19">IF(T17&gt;80,("SB"),IF(T17&gt;65,("B"),IF(T17&gt;50,("C"),IF(T17&gt;0,("K"),"0"))))</f>
        <v>0</v>
      </c>
      <c r="X17" s="1214"/>
      <c r="Y17" s="1215"/>
      <c r="Z17" s="1215"/>
      <c r="AA17" s="1215"/>
      <c r="AB17" s="1215"/>
      <c r="AC17" s="1215"/>
      <c r="AD17" s="1819"/>
      <c r="AE17" s="1246"/>
    </row>
    <row r="18" spans="1:31" ht="24.95" customHeight="1" x14ac:dyDescent="0.25">
      <c r="A18" s="1207"/>
      <c r="B18" s="1208"/>
      <c r="C18" s="1212"/>
      <c r="D18" s="1213" t="s">
        <v>9</v>
      </c>
      <c r="E18" s="1385"/>
      <c r="F18" s="1385"/>
      <c r="G18" s="1385"/>
      <c r="H18" s="2025">
        <v>0</v>
      </c>
      <c r="I18" s="2025">
        <v>0</v>
      </c>
      <c r="J18" s="2025">
        <v>0</v>
      </c>
      <c r="K18" s="1672">
        <v>0</v>
      </c>
      <c r="L18" s="1672">
        <v>0</v>
      </c>
      <c r="M18" s="1672">
        <v>0</v>
      </c>
      <c r="N18" s="2025"/>
      <c r="O18" s="2025"/>
      <c r="P18" s="2025"/>
      <c r="Q18" s="1077">
        <f t="shared" si="15"/>
        <v>0</v>
      </c>
      <c r="R18" s="2126">
        <f t="shared" si="13"/>
        <v>0</v>
      </c>
      <c r="S18" s="2127">
        <f t="shared" si="14"/>
        <v>0</v>
      </c>
      <c r="T18" s="853">
        <f t="shared" si="16"/>
        <v>0</v>
      </c>
      <c r="U18" s="1075" t="str">
        <f t="shared" si="17"/>
        <v>1.33</v>
      </c>
      <c r="V18" s="1075" t="str">
        <f t="shared" si="18"/>
        <v>D+</v>
      </c>
      <c r="W18" s="1075" t="str">
        <f t="shared" si="19"/>
        <v>0</v>
      </c>
      <c r="X18" s="1216"/>
      <c r="Y18" s="1217"/>
      <c r="Z18" s="1217"/>
      <c r="AA18" s="1217"/>
      <c r="AB18" s="1217"/>
      <c r="AC18" s="1217"/>
      <c r="AD18" s="1820"/>
      <c r="AE18" s="1247"/>
    </row>
    <row r="19" spans="1:31" ht="24.95" customHeight="1" x14ac:dyDescent="0.25">
      <c r="A19" s="1236"/>
      <c r="B19" s="1241"/>
      <c r="C19" s="1220" t="s">
        <v>167</v>
      </c>
      <c r="D19" s="1237"/>
      <c r="E19" s="2687"/>
      <c r="F19" s="2688"/>
      <c r="G19" s="2688"/>
      <c r="H19" s="2688"/>
      <c r="I19" s="2076"/>
      <c r="J19" s="2076"/>
      <c r="K19" s="2076"/>
      <c r="L19" s="2076"/>
      <c r="M19" s="2076"/>
      <c r="N19" s="2076"/>
      <c r="O19" s="2076"/>
      <c r="P19" s="2076"/>
      <c r="Q19" s="2128"/>
      <c r="R19" s="2128"/>
      <c r="S19" s="2128"/>
      <c r="T19" s="732">
        <f>IFERROR(AVERAGE(T16:T18),"  ")</f>
        <v>0</v>
      </c>
      <c r="U19" s="1244" t="str">
        <f>IF(T19&gt;85,("4"),IF(T19&gt;80,("3.66"),IF(T19&gt;75,("3.33"),IF(T19&gt;70,("3.00"),IF(T19&gt;65,("2.66"),IF(T19&gt;60,("2.33"),IF(T19&gt;55,("2"),IF(T19&gt;50,("1.66"),"1.33"))))))))</f>
        <v>1.33</v>
      </c>
      <c r="V19" s="1244" t="str">
        <f>IF(T19&gt;85,("A"),IF(T19&gt;80,("A-"),IF(T19&gt;75,("B+"),IF(T19&gt;70,("B"),IF(T19&gt;65,("B-"),IF(T19&gt;60,("C+"),IF(T19&gt;55,("C"),IF(T19&gt;50,("C-"),"D+"))))))))</f>
        <v>D+</v>
      </c>
      <c r="W19" s="1244"/>
      <c r="X19" s="1221"/>
      <c r="Y19" s="1222"/>
      <c r="Z19" s="1222"/>
      <c r="AA19" s="1222"/>
      <c r="AB19" s="1222"/>
      <c r="AC19" s="1222"/>
      <c r="AD19" s="1821"/>
      <c r="AE19" s="1249"/>
    </row>
    <row r="20" spans="1:31" ht="24.95" customHeight="1" x14ac:dyDescent="0.25">
      <c r="A20" s="1224">
        <v>4</v>
      </c>
      <c r="B20" s="1225"/>
      <c r="C20" s="1209" t="str">
        <f>VLOOKUP(A20,data_siswa,4,FALSE)</f>
        <v>Antonio Permata A</v>
      </c>
      <c r="D20" s="1210" t="s">
        <v>154</v>
      </c>
      <c r="E20" s="1672"/>
      <c r="F20" s="1672"/>
      <c r="G20" s="1672"/>
      <c r="H20" s="2025">
        <v>0</v>
      </c>
      <c r="I20" s="2025">
        <v>0</v>
      </c>
      <c r="J20" s="2025">
        <v>0</v>
      </c>
      <c r="K20" s="1672"/>
      <c r="L20" s="1672"/>
      <c r="M20" s="1672"/>
      <c r="N20" s="2025"/>
      <c r="O20" s="2025"/>
      <c r="P20" s="2025"/>
      <c r="Q20" s="1077">
        <f>MAX(E20,H20,K20,N20)</f>
        <v>0</v>
      </c>
      <c r="R20" s="2126">
        <f t="shared" ref="R20:R22" si="20">MAX(F20,I20,L20,O20)</f>
        <v>0</v>
      </c>
      <c r="S20" s="2127">
        <f t="shared" ref="S20:S22" si="21">MAX(G20,J20,M20,P20)</f>
        <v>0</v>
      </c>
      <c r="T20" s="853">
        <f>IFERROR(AVERAGE(Q20:S20),"")</f>
        <v>0</v>
      </c>
      <c r="U20" s="1075" t="str">
        <f>IF(T20&gt;85,("4"),IF(T20&gt;80,("3.66"),IF(T20&gt;75,("3.33"),IF(T20&gt;70,("3.00"),IF(T20&gt;65,("2.66"),IF(T20&gt;60,("2.33"),IF(T20&gt;55,("2"),IF(T20&gt;50,("1.66"),"1.33"))))))))</f>
        <v>1.33</v>
      </c>
      <c r="V20" s="1075" t="str">
        <f>IF(T20&gt;85,("A"),IF(T20&gt;80,("A-"),IF(T20&gt;75,("B+"),IF(T20&gt;70,("B"),IF(T20&gt;65,("B-"),IF(T20&gt;60,("C+"),IF(T20&gt;55,("C"),IF(T20&gt;50,("C-"),"D+"))))))))</f>
        <v>D+</v>
      </c>
      <c r="W20" s="1075" t="str">
        <f>IF(T20&gt;80,("SB"),IF(T20&gt;65,("B"),IF(T20&gt;50,("C"),IF(T20&gt;0,("K"),"0"))))</f>
        <v>0</v>
      </c>
      <c r="X20" s="1816"/>
      <c r="Y20" s="1816"/>
      <c r="Z20" s="1816"/>
      <c r="AA20" s="1817"/>
      <c r="AB20" s="1817"/>
      <c r="AC20" s="1817"/>
      <c r="AD20" s="1818">
        <f>T23</f>
        <v>0</v>
      </c>
      <c r="AE20" s="1245" t="str">
        <f>IF(AD20&gt;85,("A"),IF(AD20&gt;80,("A-"),IF(AD20&gt;75,("B+"),IF(AD20&gt;70,("B"),IF(AD20&gt;65,("B-"),IF(AD20&gt;60,("C+"),IF(AD20&gt;55,("C"),IF(AD20&gt;50,("C-"),"D+"))))))))</f>
        <v>D+</v>
      </c>
    </row>
    <row r="21" spans="1:31" ht="24.95" customHeight="1" x14ac:dyDescent="0.25">
      <c r="A21" s="1207"/>
      <c r="B21" s="1208"/>
      <c r="C21" s="1212"/>
      <c r="D21" s="1213" t="s">
        <v>155</v>
      </c>
      <c r="E21" s="1672">
        <v>0</v>
      </c>
      <c r="F21" s="1385">
        <v>0</v>
      </c>
      <c r="G21" s="1385">
        <v>0</v>
      </c>
      <c r="H21" s="2025">
        <v>0</v>
      </c>
      <c r="I21" s="2025">
        <v>0</v>
      </c>
      <c r="J21" s="2025">
        <v>0</v>
      </c>
      <c r="K21" s="1672">
        <v>0</v>
      </c>
      <c r="L21" s="1672">
        <v>0</v>
      </c>
      <c r="M21" s="1672">
        <v>0</v>
      </c>
      <c r="N21" s="2025">
        <v>0</v>
      </c>
      <c r="O21" s="2025">
        <v>0</v>
      </c>
      <c r="P21" s="2025">
        <v>0</v>
      </c>
      <c r="Q21" s="1077">
        <f t="shared" ref="Q21:Q22" si="22">MAX(E21,H21,K21,N21)</f>
        <v>0</v>
      </c>
      <c r="R21" s="2126">
        <f t="shared" si="20"/>
        <v>0</v>
      </c>
      <c r="S21" s="2127">
        <f t="shared" si="21"/>
        <v>0</v>
      </c>
      <c r="T21" s="853">
        <f t="shared" ref="T21:T22" si="23">IFERROR(AVERAGE(Q21:S21),"")</f>
        <v>0</v>
      </c>
      <c r="U21" s="1075" t="str">
        <f t="shared" ref="U21:U22" si="24">IF(T21&gt;85,("4"),IF(T21&gt;80,("3.66"),IF(T21&gt;75,("3.33"),IF(T21&gt;70,("3.00"),IF(T21&gt;65,("2.66"),IF(T21&gt;60,("2.33"),IF(T21&gt;55,("2"),IF(T21&gt;50,("1.66"),"1.33"))))))))</f>
        <v>1.33</v>
      </c>
      <c r="V21" s="1075" t="str">
        <f t="shared" ref="V21:V22" si="25">IF(T21&gt;85,("A"),IF(T21&gt;80,("A-"),IF(T21&gt;75,("B+"),IF(T21&gt;70,("B"),IF(T21&gt;65,("B-"),IF(T21&gt;60,("C+"),IF(T21&gt;55,("C"),IF(T21&gt;50,("C-"),"D+"))))))))</f>
        <v>D+</v>
      </c>
      <c r="W21" s="1075" t="str">
        <f t="shared" ref="W21:W22" si="26">IF(T21&gt;80,("SB"),IF(T21&gt;65,("B"),IF(T21&gt;50,("C"),IF(T21&gt;0,("K"),"0"))))</f>
        <v>0</v>
      </c>
      <c r="X21" s="1214"/>
      <c r="Y21" s="1215"/>
      <c r="Z21" s="1215"/>
      <c r="AA21" s="1215"/>
      <c r="AB21" s="1215"/>
      <c r="AC21" s="1215"/>
      <c r="AD21" s="1819"/>
      <c r="AE21" s="1246"/>
    </row>
    <row r="22" spans="1:31" ht="24.95" customHeight="1" x14ac:dyDescent="0.25">
      <c r="A22" s="1207"/>
      <c r="B22" s="1208"/>
      <c r="C22" s="1212"/>
      <c r="D22" s="1213" t="s">
        <v>9</v>
      </c>
      <c r="E22" s="1385"/>
      <c r="F22" s="1385"/>
      <c r="G22" s="1385"/>
      <c r="H22" s="2025">
        <v>0</v>
      </c>
      <c r="I22" s="2025">
        <v>0</v>
      </c>
      <c r="J22" s="2025">
        <v>0</v>
      </c>
      <c r="K22" s="1672">
        <v>0</v>
      </c>
      <c r="L22" s="1672">
        <v>0</v>
      </c>
      <c r="M22" s="1672">
        <v>0</v>
      </c>
      <c r="N22" s="2025"/>
      <c r="O22" s="2025"/>
      <c r="P22" s="2025"/>
      <c r="Q22" s="1077">
        <f t="shared" si="22"/>
        <v>0</v>
      </c>
      <c r="R22" s="2126">
        <f t="shared" si="20"/>
        <v>0</v>
      </c>
      <c r="S22" s="2127">
        <f t="shared" si="21"/>
        <v>0</v>
      </c>
      <c r="T22" s="853">
        <f t="shared" si="23"/>
        <v>0</v>
      </c>
      <c r="U22" s="1075" t="str">
        <f t="shared" si="24"/>
        <v>1.33</v>
      </c>
      <c r="V22" s="1075" t="str">
        <f t="shared" si="25"/>
        <v>D+</v>
      </c>
      <c r="W22" s="1075" t="str">
        <f t="shared" si="26"/>
        <v>0</v>
      </c>
      <c r="X22" s="1216"/>
      <c r="Y22" s="1217"/>
      <c r="Z22" s="1217"/>
      <c r="AA22" s="1217"/>
      <c r="AB22" s="1217"/>
      <c r="AC22" s="1217"/>
      <c r="AD22" s="1820"/>
      <c r="AE22" s="1247"/>
    </row>
    <row r="23" spans="1:31" ht="24.95" customHeight="1" x14ac:dyDescent="0.25">
      <c r="A23" s="1236"/>
      <c r="B23" s="1241"/>
      <c r="C23" s="1220" t="s">
        <v>167</v>
      </c>
      <c r="D23" s="1237"/>
      <c r="E23" s="2687"/>
      <c r="F23" s="2688"/>
      <c r="G23" s="2688"/>
      <c r="H23" s="2688"/>
      <c r="I23" s="2076"/>
      <c r="J23" s="2076"/>
      <c r="K23" s="2076"/>
      <c r="L23" s="2076"/>
      <c r="M23" s="2076"/>
      <c r="N23" s="2076"/>
      <c r="O23" s="2076"/>
      <c r="P23" s="2076"/>
      <c r="Q23" s="2128"/>
      <c r="R23" s="2128"/>
      <c r="S23" s="2128"/>
      <c r="T23" s="732">
        <f>IFERROR(AVERAGE(T20:T22),"  ")</f>
        <v>0</v>
      </c>
      <c r="U23" s="1244" t="str">
        <f>IF(T23&gt;85,("4"),IF(T23&gt;80,("3.66"),IF(T23&gt;75,("3.33"),IF(T23&gt;70,("3.00"),IF(T23&gt;65,("2.66"),IF(T23&gt;60,("2.33"),IF(T23&gt;55,("2"),IF(T23&gt;50,("1.66"),"1.33"))))))))</f>
        <v>1.33</v>
      </c>
      <c r="V23" s="1244" t="str">
        <f>IF(T23&gt;85,("A"),IF(T23&gt;80,("A-"),IF(T23&gt;75,("B+"),IF(T23&gt;70,("B"),IF(T23&gt;65,("B-"),IF(T23&gt;60,("C+"),IF(T23&gt;55,("C"),IF(T23&gt;50,("C-"),"D+"))))))))</f>
        <v>D+</v>
      </c>
      <c r="W23" s="1244"/>
      <c r="X23" s="1221"/>
      <c r="Y23" s="1222"/>
      <c r="Z23" s="1222"/>
      <c r="AA23" s="1222"/>
      <c r="AB23" s="1222"/>
      <c r="AC23" s="1222"/>
      <c r="AD23" s="1821"/>
      <c r="AE23" s="1249"/>
    </row>
    <row r="24" spans="1:31" ht="24.95" customHeight="1" x14ac:dyDescent="0.25">
      <c r="A24" s="1224">
        <v>5</v>
      </c>
      <c r="B24" s="1225"/>
      <c r="C24" s="1209" t="str">
        <f>VLOOKUP(A24,data_siswa,4,FALSE)</f>
        <v>Arya Pratama G</v>
      </c>
      <c r="D24" s="1210" t="s">
        <v>154</v>
      </c>
      <c r="E24" s="1672"/>
      <c r="F24" s="1672"/>
      <c r="G24" s="1672"/>
      <c r="H24" s="2025">
        <v>0</v>
      </c>
      <c r="I24" s="2025">
        <v>0</v>
      </c>
      <c r="J24" s="2025">
        <v>0</v>
      </c>
      <c r="K24" s="1672"/>
      <c r="L24" s="1672"/>
      <c r="M24" s="1672"/>
      <c r="N24" s="2025"/>
      <c r="O24" s="2025"/>
      <c r="P24" s="2025"/>
      <c r="Q24" s="1077">
        <f>MAX(E24,H24,K24,N24)</f>
        <v>0</v>
      </c>
      <c r="R24" s="2126">
        <f t="shared" ref="R24:R26" si="27">MAX(F24,I24,L24,O24)</f>
        <v>0</v>
      </c>
      <c r="S24" s="2127">
        <f t="shared" ref="S24:S26" si="28">MAX(G24,J24,M24,P24)</f>
        <v>0</v>
      </c>
      <c r="T24" s="853">
        <f>IFERROR(AVERAGE(Q24:S24),"")</f>
        <v>0</v>
      </c>
      <c r="U24" s="1075" t="str">
        <f>IF(T24&gt;85,("4"),IF(T24&gt;80,("3.66"),IF(T24&gt;75,("3.33"),IF(T24&gt;70,("3.00"),IF(T24&gt;65,("2.66"),IF(T24&gt;60,("2.33"),IF(T24&gt;55,("2"),IF(T24&gt;50,("1.66"),"1.33"))))))))</f>
        <v>1.33</v>
      </c>
      <c r="V24" s="1075" t="str">
        <f>IF(T24&gt;85,("A"),IF(T24&gt;80,("A-"),IF(T24&gt;75,("B+"),IF(T24&gt;70,("B"),IF(T24&gt;65,("B-"),IF(T24&gt;60,("C+"),IF(T24&gt;55,("C"),IF(T24&gt;50,("C-"),"D+"))))))))</f>
        <v>D+</v>
      </c>
      <c r="W24" s="1075" t="str">
        <f>IF(T24&gt;80,("SB"),IF(T24&gt;65,("B"),IF(T24&gt;50,("C"),IF(T24&gt;0,("K"),"0"))))</f>
        <v>0</v>
      </c>
      <c r="X24" s="1816"/>
      <c r="Y24" s="1816"/>
      <c r="Z24" s="1816"/>
      <c r="AA24" s="1817"/>
      <c r="AB24" s="1817"/>
      <c r="AC24" s="1817"/>
      <c r="AD24" s="1818">
        <f>T27</f>
        <v>0</v>
      </c>
      <c r="AE24" s="1245" t="str">
        <f>IF(AD24&gt;85,("A"),IF(AD24&gt;80,("A-"),IF(AD24&gt;75,("B+"),IF(AD24&gt;70,("B"),IF(AD24&gt;65,("B-"),IF(AD24&gt;60,("C+"),IF(AD24&gt;55,("C"),IF(AD24&gt;50,("C-"),"D+"))))))))</f>
        <v>D+</v>
      </c>
    </row>
    <row r="25" spans="1:31" ht="24.95" customHeight="1" x14ac:dyDescent="0.25">
      <c r="A25" s="1207"/>
      <c r="B25" s="1208"/>
      <c r="C25" s="1212"/>
      <c r="D25" s="1213" t="s">
        <v>155</v>
      </c>
      <c r="E25" s="1672">
        <v>0</v>
      </c>
      <c r="F25" s="1385">
        <v>0</v>
      </c>
      <c r="G25" s="1385">
        <v>0</v>
      </c>
      <c r="H25" s="2025">
        <v>0</v>
      </c>
      <c r="I25" s="2025">
        <v>0</v>
      </c>
      <c r="J25" s="2025">
        <v>0</v>
      </c>
      <c r="K25" s="1672">
        <v>0</v>
      </c>
      <c r="L25" s="1672">
        <v>0</v>
      </c>
      <c r="M25" s="1672">
        <v>0</v>
      </c>
      <c r="N25" s="2025">
        <v>0</v>
      </c>
      <c r="O25" s="2025">
        <v>0</v>
      </c>
      <c r="P25" s="2025">
        <v>0</v>
      </c>
      <c r="Q25" s="1077">
        <f t="shared" ref="Q25:Q26" si="29">MAX(E25,H25,K25,N25)</f>
        <v>0</v>
      </c>
      <c r="R25" s="2126">
        <f t="shared" si="27"/>
        <v>0</v>
      </c>
      <c r="S25" s="2127">
        <f t="shared" si="28"/>
        <v>0</v>
      </c>
      <c r="T25" s="853">
        <f t="shared" ref="T25:T26" si="30">IFERROR(AVERAGE(Q25:S25),"")</f>
        <v>0</v>
      </c>
      <c r="U25" s="1075" t="str">
        <f t="shared" ref="U25:U26" si="31">IF(T25&gt;85,("4"),IF(T25&gt;80,("3.66"),IF(T25&gt;75,("3.33"),IF(T25&gt;70,("3.00"),IF(T25&gt;65,("2.66"),IF(T25&gt;60,("2.33"),IF(T25&gt;55,("2"),IF(T25&gt;50,("1.66"),"1.33"))))))))</f>
        <v>1.33</v>
      </c>
      <c r="V25" s="1075" t="str">
        <f t="shared" ref="V25:V26" si="32">IF(T25&gt;85,("A"),IF(T25&gt;80,("A-"),IF(T25&gt;75,("B+"),IF(T25&gt;70,("B"),IF(T25&gt;65,("B-"),IF(T25&gt;60,("C+"),IF(T25&gt;55,("C"),IF(T25&gt;50,("C-"),"D+"))))))))</f>
        <v>D+</v>
      </c>
      <c r="W25" s="1075" t="str">
        <f t="shared" ref="W25:W26" si="33">IF(T25&gt;80,("SB"),IF(T25&gt;65,("B"),IF(T25&gt;50,("C"),IF(T25&gt;0,("K"),"0"))))</f>
        <v>0</v>
      </c>
      <c r="X25" s="1214"/>
      <c r="Y25" s="1215"/>
      <c r="Z25" s="1215"/>
      <c r="AA25" s="1215"/>
      <c r="AB25" s="1215"/>
      <c r="AC25" s="1215"/>
      <c r="AD25" s="1819"/>
      <c r="AE25" s="1246"/>
    </row>
    <row r="26" spans="1:31" ht="24.95" customHeight="1" x14ac:dyDescent="0.25">
      <c r="A26" s="1207"/>
      <c r="B26" s="1208"/>
      <c r="C26" s="1212"/>
      <c r="D26" s="1213" t="s">
        <v>9</v>
      </c>
      <c r="E26" s="1385"/>
      <c r="F26" s="1385"/>
      <c r="G26" s="1385"/>
      <c r="H26" s="2025">
        <v>0</v>
      </c>
      <c r="I26" s="2025">
        <v>0</v>
      </c>
      <c r="J26" s="2025">
        <v>0</v>
      </c>
      <c r="K26" s="1672">
        <v>0</v>
      </c>
      <c r="L26" s="1672">
        <v>0</v>
      </c>
      <c r="M26" s="1672">
        <v>0</v>
      </c>
      <c r="N26" s="2025"/>
      <c r="O26" s="2025"/>
      <c r="P26" s="2025"/>
      <c r="Q26" s="1077">
        <f t="shared" si="29"/>
        <v>0</v>
      </c>
      <c r="R26" s="2126">
        <f t="shared" si="27"/>
        <v>0</v>
      </c>
      <c r="S26" s="2127">
        <f t="shared" si="28"/>
        <v>0</v>
      </c>
      <c r="T26" s="853">
        <f t="shared" si="30"/>
        <v>0</v>
      </c>
      <c r="U26" s="1075" t="str">
        <f t="shared" si="31"/>
        <v>1.33</v>
      </c>
      <c r="V26" s="1075" t="str">
        <f t="shared" si="32"/>
        <v>D+</v>
      </c>
      <c r="W26" s="1075" t="str">
        <f t="shared" si="33"/>
        <v>0</v>
      </c>
      <c r="X26" s="1216"/>
      <c r="Y26" s="1217"/>
      <c r="Z26" s="1217"/>
      <c r="AA26" s="1217"/>
      <c r="AB26" s="1217"/>
      <c r="AC26" s="1217"/>
      <c r="AD26" s="1820"/>
      <c r="AE26" s="1247"/>
    </row>
    <row r="27" spans="1:31" ht="24.95" customHeight="1" x14ac:dyDescent="0.25">
      <c r="A27" s="1236"/>
      <c r="B27" s="1241"/>
      <c r="C27" s="1220" t="s">
        <v>167</v>
      </c>
      <c r="D27" s="1237"/>
      <c r="E27" s="2687"/>
      <c r="F27" s="2688"/>
      <c r="G27" s="2688"/>
      <c r="H27" s="2688"/>
      <c r="I27" s="2076"/>
      <c r="J27" s="2076"/>
      <c r="K27" s="2076"/>
      <c r="L27" s="2076"/>
      <c r="M27" s="2076"/>
      <c r="N27" s="2076"/>
      <c r="O27" s="2076"/>
      <c r="P27" s="2076"/>
      <c r="Q27" s="2128"/>
      <c r="R27" s="2128"/>
      <c r="S27" s="2128"/>
      <c r="T27" s="732">
        <f>IFERROR(AVERAGE(T24:T26),"  ")</f>
        <v>0</v>
      </c>
      <c r="U27" s="1244" t="str">
        <f>IF(T27&gt;85,("4"),IF(T27&gt;80,("3.66"),IF(T27&gt;75,("3.33"),IF(T27&gt;70,("3.00"),IF(T27&gt;65,("2.66"),IF(T27&gt;60,("2.33"),IF(T27&gt;55,("2"),IF(T27&gt;50,("1.66"),"1.33"))))))))</f>
        <v>1.33</v>
      </c>
      <c r="V27" s="1244" t="str">
        <f>IF(T27&gt;85,("A"),IF(T27&gt;80,("A-"),IF(T27&gt;75,("B+"),IF(T27&gt;70,("B"),IF(T27&gt;65,("B-"),IF(T27&gt;60,("C+"),IF(T27&gt;55,("C"),IF(T27&gt;50,("C-"),"D+"))))))))</f>
        <v>D+</v>
      </c>
      <c r="W27" s="1244"/>
      <c r="X27" s="1221"/>
      <c r="Y27" s="1222"/>
      <c r="Z27" s="1222"/>
      <c r="AA27" s="1222"/>
      <c r="AB27" s="1222"/>
      <c r="AC27" s="1222"/>
      <c r="AD27" s="1821"/>
      <c r="AE27" s="1249"/>
    </row>
    <row r="28" spans="1:31" ht="24.95" customHeight="1" x14ac:dyDescent="0.25">
      <c r="A28" s="1224">
        <v>6</v>
      </c>
      <c r="B28" s="1225"/>
      <c r="C28" s="1209" t="str">
        <f>VLOOKUP(A28,data_siswa,4,FALSE)</f>
        <v>Asyam Hanif Ihsan H</v>
      </c>
      <c r="D28" s="1210" t="s">
        <v>154</v>
      </c>
      <c r="E28" s="1672"/>
      <c r="F28" s="1672"/>
      <c r="G28" s="1672"/>
      <c r="H28" s="2025">
        <v>0</v>
      </c>
      <c r="I28" s="2025">
        <v>0</v>
      </c>
      <c r="J28" s="2025">
        <v>0</v>
      </c>
      <c r="K28" s="1672"/>
      <c r="L28" s="1672"/>
      <c r="M28" s="1672"/>
      <c r="N28" s="2025"/>
      <c r="O28" s="2025"/>
      <c r="P28" s="2025"/>
      <c r="Q28" s="1077">
        <f>MAX(E28,H28,K28,N28)</f>
        <v>0</v>
      </c>
      <c r="R28" s="2126">
        <f t="shared" ref="R28:R30" si="34">MAX(F28,I28,L28,O28)</f>
        <v>0</v>
      </c>
      <c r="S28" s="2127">
        <f t="shared" ref="S28:S30" si="35">MAX(G28,J28,M28,P28)</f>
        <v>0</v>
      </c>
      <c r="T28" s="853">
        <f>IFERROR(AVERAGE(Q28:S28),"")</f>
        <v>0</v>
      </c>
      <c r="U28" s="1075" t="str">
        <f>IF(T28&gt;85,("4"),IF(T28&gt;80,("3.66"),IF(T28&gt;75,("3.33"),IF(T28&gt;70,("3.00"),IF(T28&gt;65,("2.66"),IF(T28&gt;60,("2.33"),IF(T28&gt;55,("2"),IF(T28&gt;50,("1.66"),"1.33"))))))))</f>
        <v>1.33</v>
      </c>
      <c r="V28" s="1075" t="str">
        <f>IF(T28&gt;85,("A"),IF(T28&gt;80,("A-"),IF(T28&gt;75,("B+"),IF(T28&gt;70,("B"),IF(T28&gt;65,("B-"),IF(T28&gt;60,("C+"),IF(T28&gt;55,("C"),IF(T28&gt;50,("C-"),"D+"))))))))</f>
        <v>D+</v>
      </c>
      <c r="W28" s="1075" t="str">
        <f>IF(T28&gt;80,("SB"),IF(T28&gt;65,("B"),IF(T28&gt;50,("C"),IF(T28&gt;0,("K"),"0"))))</f>
        <v>0</v>
      </c>
      <c r="X28" s="1816"/>
      <c r="Y28" s="1816"/>
      <c r="Z28" s="1816"/>
      <c r="AA28" s="1817"/>
      <c r="AB28" s="1817"/>
      <c r="AC28" s="1817"/>
      <c r="AD28" s="1818">
        <f>T31</f>
        <v>0</v>
      </c>
      <c r="AE28" s="1245" t="str">
        <f>IF(AD28&gt;85,("A"),IF(AD28&gt;80,("A-"),IF(AD28&gt;75,("B+"),IF(AD28&gt;70,("B"),IF(AD28&gt;65,("B-"),IF(AD28&gt;60,("C+"),IF(AD28&gt;55,("C"),IF(AD28&gt;50,("C-"),"D+"))))))))</f>
        <v>D+</v>
      </c>
    </row>
    <row r="29" spans="1:31" ht="24.95" customHeight="1" x14ac:dyDescent="0.25">
      <c r="A29" s="1207"/>
      <c r="B29" s="1208"/>
      <c r="C29" s="1212"/>
      <c r="D29" s="1213" t="s">
        <v>155</v>
      </c>
      <c r="E29" s="1672">
        <v>0</v>
      </c>
      <c r="F29" s="1385">
        <v>0</v>
      </c>
      <c r="G29" s="1385">
        <v>0</v>
      </c>
      <c r="H29" s="2025">
        <v>0</v>
      </c>
      <c r="I29" s="2025">
        <v>0</v>
      </c>
      <c r="J29" s="2025">
        <v>0</v>
      </c>
      <c r="K29" s="1672">
        <v>0</v>
      </c>
      <c r="L29" s="1672">
        <v>0</v>
      </c>
      <c r="M29" s="1672">
        <v>0</v>
      </c>
      <c r="N29" s="2025">
        <v>0</v>
      </c>
      <c r="O29" s="2025">
        <v>0</v>
      </c>
      <c r="P29" s="2025">
        <v>0</v>
      </c>
      <c r="Q29" s="1077">
        <f t="shared" ref="Q29:Q30" si="36">MAX(E29,H29,K29,N29)</f>
        <v>0</v>
      </c>
      <c r="R29" s="2126">
        <f t="shared" si="34"/>
        <v>0</v>
      </c>
      <c r="S29" s="2127">
        <f t="shared" si="35"/>
        <v>0</v>
      </c>
      <c r="T29" s="853">
        <f t="shared" ref="T29:T30" si="37">IFERROR(AVERAGE(Q29:S29),"")</f>
        <v>0</v>
      </c>
      <c r="U29" s="1075" t="str">
        <f t="shared" ref="U29:U30" si="38">IF(T29&gt;85,("4"),IF(T29&gt;80,("3.66"),IF(T29&gt;75,("3.33"),IF(T29&gt;70,("3.00"),IF(T29&gt;65,("2.66"),IF(T29&gt;60,("2.33"),IF(T29&gt;55,("2"),IF(T29&gt;50,("1.66"),"1.33"))))))))</f>
        <v>1.33</v>
      </c>
      <c r="V29" s="1075" t="str">
        <f t="shared" ref="V29:V30" si="39">IF(T29&gt;85,("A"),IF(T29&gt;80,("A-"),IF(T29&gt;75,("B+"),IF(T29&gt;70,("B"),IF(T29&gt;65,("B-"),IF(T29&gt;60,("C+"),IF(T29&gt;55,("C"),IF(T29&gt;50,("C-"),"D+"))))))))</f>
        <v>D+</v>
      </c>
      <c r="W29" s="1075" t="str">
        <f t="shared" ref="W29:W30" si="40">IF(T29&gt;80,("SB"),IF(T29&gt;65,("B"),IF(T29&gt;50,("C"),IF(T29&gt;0,("K"),"0"))))</f>
        <v>0</v>
      </c>
      <c r="X29" s="1214"/>
      <c r="Y29" s="1215"/>
      <c r="Z29" s="1215"/>
      <c r="AA29" s="1215"/>
      <c r="AB29" s="1215"/>
      <c r="AC29" s="1215"/>
      <c r="AD29" s="1819"/>
      <c r="AE29" s="1246"/>
    </row>
    <row r="30" spans="1:31" ht="24.95" customHeight="1" x14ac:dyDescent="0.25">
      <c r="A30" s="1207"/>
      <c r="B30" s="1208"/>
      <c r="C30" s="1212"/>
      <c r="D30" s="1213" t="s">
        <v>9</v>
      </c>
      <c r="E30" s="1385"/>
      <c r="F30" s="1385"/>
      <c r="G30" s="1385"/>
      <c r="H30" s="2025">
        <v>0</v>
      </c>
      <c r="I30" s="2025">
        <v>0</v>
      </c>
      <c r="J30" s="2025">
        <v>0</v>
      </c>
      <c r="K30" s="1672">
        <v>0</v>
      </c>
      <c r="L30" s="1672">
        <v>0</v>
      </c>
      <c r="M30" s="1672">
        <v>0</v>
      </c>
      <c r="N30" s="2025"/>
      <c r="O30" s="2025"/>
      <c r="P30" s="2025"/>
      <c r="Q30" s="1077">
        <f t="shared" si="36"/>
        <v>0</v>
      </c>
      <c r="R30" s="2126">
        <f t="shared" si="34"/>
        <v>0</v>
      </c>
      <c r="S30" s="2127">
        <f t="shared" si="35"/>
        <v>0</v>
      </c>
      <c r="T30" s="853">
        <f t="shared" si="37"/>
        <v>0</v>
      </c>
      <c r="U30" s="1075" t="str">
        <f t="shared" si="38"/>
        <v>1.33</v>
      </c>
      <c r="V30" s="1075" t="str">
        <f t="shared" si="39"/>
        <v>D+</v>
      </c>
      <c r="W30" s="1075" t="str">
        <f t="shared" si="40"/>
        <v>0</v>
      </c>
      <c r="X30" s="1216"/>
      <c r="Y30" s="1217"/>
      <c r="Z30" s="1217"/>
      <c r="AA30" s="1217"/>
      <c r="AB30" s="1217"/>
      <c r="AC30" s="1217"/>
      <c r="AD30" s="1820"/>
      <c r="AE30" s="1247"/>
    </row>
    <row r="31" spans="1:31" ht="24.95" customHeight="1" x14ac:dyDescent="0.25">
      <c r="A31" s="1236"/>
      <c r="B31" s="1241"/>
      <c r="C31" s="1220" t="s">
        <v>167</v>
      </c>
      <c r="D31" s="1237"/>
      <c r="E31" s="2687"/>
      <c r="F31" s="2688"/>
      <c r="G31" s="2688"/>
      <c r="H31" s="2688"/>
      <c r="I31" s="2076"/>
      <c r="J31" s="2076"/>
      <c r="K31" s="2076"/>
      <c r="L31" s="2076"/>
      <c r="M31" s="2076"/>
      <c r="N31" s="2076"/>
      <c r="O31" s="2076"/>
      <c r="P31" s="2076"/>
      <c r="Q31" s="2128"/>
      <c r="R31" s="2128"/>
      <c r="S31" s="2128"/>
      <c r="T31" s="732">
        <f>IFERROR(AVERAGE(T28:T30),"  ")</f>
        <v>0</v>
      </c>
      <c r="U31" s="1244" t="str">
        <f>IF(T31&gt;85,("4"),IF(T31&gt;80,("3.66"),IF(T31&gt;75,("3.33"),IF(T31&gt;70,("3.00"),IF(T31&gt;65,("2.66"),IF(T31&gt;60,("2.33"),IF(T31&gt;55,("2"),IF(T31&gt;50,("1.66"),"1.33"))))))))</f>
        <v>1.33</v>
      </c>
      <c r="V31" s="1244" t="str">
        <f>IF(T31&gt;85,("A"),IF(T31&gt;80,("A-"),IF(T31&gt;75,("B+"),IF(T31&gt;70,("B"),IF(T31&gt;65,("B-"),IF(T31&gt;60,("C+"),IF(T31&gt;55,("C"),IF(T31&gt;50,("C-"),"D+"))))))))</f>
        <v>D+</v>
      </c>
      <c r="W31" s="1244"/>
      <c r="X31" s="1221"/>
      <c r="Y31" s="1222"/>
      <c r="Z31" s="1222"/>
      <c r="AA31" s="1222"/>
      <c r="AB31" s="1222"/>
      <c r="AC31" s="1222"/>
      <c r="AD31" s="1821"/>
      <c r="AE31" s="1249"/>
    </row>
    <row r="32" spans="1:31" ht="24.95" customHeight="1" x14ac:dyDescent="0.25">
      <c r="A32" s="1224">
        <v>7</v>
      </c>
      <c r="B32" s="1225"/>
      <c r="C32" s="1242" t="str">
        <f>UTagm!$B$15</f>
        <v>Athaya Salsabilla Z</v>
      </c>
      <c r="D32" s="1210" t="s">
        <v>154</v>
      </c>
      <c r="E32" s="1672"/>
      <c r="F32" s="1672"/>
      <c r="G32" s="1672"/>
      <c r="H32" s="2025">
        <v>0</v>
      </c>
      <c r="I32" s="2025">
        <v>0</v>
      </c>
      <c r="J32" s="2025">
        <v>0</v>
      </c>
      <c r="K32" s="1672"/>
      <c r="L32" s="1672"/>
      <c r="M32" s="1672"/>
      <c r="N32" s="2025"/>
      <c r="O32" s="2025"/>
      <c r="P32" s="2025"/>
      <c r="Q32" s="1077">
        <f>MAX(E32,H32,K32,N32)</f>
        <v>0</v>
      </c>
      <c r="R32" s="2126">
        <f t="shared" ref="R32:R34" si="41">MAX(F32,I32,L32,O32)</f>
        <v>0</v>
      </c>
      <c r="S32" s="2127">
        <f t="shared" ref="S32:S34" si="42">MAX(G32,J32,M32,P32)</f>
        <v>0</v>
      </c>
      <c r="T32" s="853">
        <f>IFERROR(AVERAGE(Q32:S32),"")</f>
        <v>0</v>
      </c>
      <c r="U32" s="1075" t="str">
        <f>IF(T32&gt;85,("4"),IF(T32&gt;80,("3.66"),IF(T32&gt;75,("3.33"),IF(T32&gt;70,("3.00"),IF(T32&gt;65,("2.66"),IF(T32&gt;60,("2.33"),IF(T32&gt;55,("2"),IF(T32&gt;50,("1.66"),"1.33"))))))))</f>
        <v>1.33</v>
      </c>
      <c r="V32" s="1075" t="str">
        <f>IF(T32&gt;85,("A"),IF(T32&gt;80,("A-"),IF(T32&gt;75,("B+"),IF(T32&gt;70,("B"),IF(T32&gt;65,("B-"),IF(T32&gt;60,("C+"),IF(T32&gt;55,("C"),IF(T32&gt;50,("C-"),"D+"))))))))</f>
        <v>D+</v>
      </c>
      <c r="W32" s="1075" t="str">
        <f>IF(T32&gt;80,("SB"),IF(T32&gt;65,("B"),IF(T32&gt;50,("C"),IF(T32&gt;0,("K"),"0"))))</f>
        <v>0</v>
      </c>
      <c r="X32" s="1816"/>
      <c r="Y32" s="1816"/>
      <c r="Z32" s="1816"/>
      <c r="AA32" s="1817"/>
      <c r="AB32" s="1817"/>
      <c r="AC32" s="1817"/>
      <c r="AD32" s="1818">
        <f>T35</f>
        <v>0</v>
      </c>
      <c r="AE32" s="1245" t="str">
        <f>IF(AD32&gt;85,("A"),IF(AD32&gt;80,("A-"),IF(AD32&gt;75,("B+"),IF(AD32&gt;70,("B"),IF(AD32&gt;65,("B-"),IF(AD32&gt;60,("C+"),IF(AD32&gt;55,("C"),IF(AD32&gt;50,("C-"),"D+"))))))))</f>
        <v>D+</v>
      </c>
    </row>
    <row r="33" spans="1:31" ht="24.95" customHeight="1" x14ac:dyDescent="0.25">
      <c r="A33" s="1207"/>
      <c r="B33" s="1208"/>
      <c r="C33" s="1212"/>
      <c r="D33" s="1213" t="s">
        <v>155</v>
      </c>
      <c r="E33" s="1672">
        <v>0</v>
      </c>
      <c r="F33" s="1385">
        <v>0</v>
      </c>
      <c r="G33" s="1385">
        <v>0</v>
      </c>
      <c r="H33" s="2025">
        <v>0</v>
      </c>
      <c r="I33" s="2025">
        <v>0</v>
      </c>
      <c r="J33" s="2025">
        <v>0</v>
      </c>
      <c r="K33" s="1672">
        <v>0</v>
      </c>
      <c r="L33" s="1672">
        <v>0</v>
      </c>
      <c r="M33" s="1672">
        <v>0</v>
      </c>
      <c r="N33" s="2025">
        <v>0</v>
      </c>
      <c r="O33" s="2025">
        <v>0</v>
      </c>
      <c r="P33" s="2025">
        <v>0</v>
      </c>
      <c r="Q33" s="1077">
        <f t="shared" ref="Q33:Q34" si="43">MAX(E33,H33,K33,N33)</f>
        <v>0</v>
      </c>
      <c r="R33" s="2126">
        <f t="shared" si="41"/>
        <v>0</v>
      </c>
      <c r="S33" s="2127">
        <f t="shared" si="42"/>
        <v>0</v>
      </c>
      <c r="T33" s="853">
        <f t="shared" ref="T33:T34" si="44">IFERROR(AVERAGE(Q33:S33),"")</f>
        <v>0</v>
      </c>
      <c r="U33" s="1075" t="str">
        <f t="shared" ref="U33:U34" si="45">IF(T33&gt;85,("4"),IF(T33&gt;80,("3.66"),IF(T33&gt;75,("3.33"),IF(T33&gt;70,("3.00"),IF(T33&gt;65,("2.66"),IF(T33&gt;60,("2.33"),IF(T33&gt;55,("2"),IF(T33&gt;50,("1.66"),"1.33"))))))))</f>
        <v>1.33</v>
      </c>
      <c r="V33" s="1075" t="str">
        <f t="shared" ref="V33:V34" si="46">IF(T33&gt;85,("A"),IF(T33&gt;80,("A-"),IF(T33&gt;75,("B+"),IF(T33&gt;70,("B"),IF(T33&gt;65,("B-"),IF(T33&gt;60,("C+"),IF(T33&gt;55,("C"),IF(T33&gt;50,("C-"),"D+"))))))))</f>
        <v>D+</v>
      </c>
      <c r="W33" s="1075" t="str">
        <f t="shared" ref="W33:W34" si="47">IF(T33&gt;80,("SB"),IF(T33&gt;65,("B"),IF(T33&gt;50,("C"),IF(T33&gt;0,("K"),"0"))))</f>
        <v>0</v>
      </c>
      <c r="X33" s="1214"/>
      <c r="Y33" s="1215"/>
      <c r="Z33" s="1215"/>
      <c r="AA33" s="1215"/>
      <c r="AB33" s="1215"/>
      <c r="AC33" s="1215"/>
      <c r="AD33" s="1819"/>
      <c r="AE33" s="1246"/>
    </row>
    <row r="34" spans="1:31" ht="24.95" customHeight="1" x14ac:dyDescent="0.25">
      <c r="A34" s="1207"/>
      <c r="B34" s="1208"/>
      <c r="C34" s="1212"/>
      <c r="D34" s="1213" t="s">
        <v>9</v>
      </c>
      <c r="E34" s="1385"/>
      <c r="F34" s="1385"/>
      <c r="G34" s="1385"/>
      <c r="H34" s="2025">
        <v>0</v>
      </c>
      <c r="I34" s="2025">
        <v>0</v>
      </c>
      <c r="J34" s="2025">
        <v>0</v>
      </c>
      <c r="K34" s="1672">
        <v>0</v>
      </c>
      <c r="L34" s="1672">
        <v>0</v>
      </c>
      <c r="M34" s="1672">
        <v>0</v>
      </c>
      <c r="N34" s="2025"/>
      <c r="O34" s="2025"/>
      <c r="P34" s="2025"/>
      <c r="Q34" s="1077">
        <f t="shared" si="43"/>
        <v>0</v>
      </c>
      <c r="R34" s="2126">
        <f t="shared" si="41"/>
        <v>0</v>
      </c>
      <c r="S34" s="2127">
        <f t="shared" si="42"/>
        <v>0</v>
      </c>
      <c r="T34" s="853">
        <f t="shared" si="44"/>
        <v>0</v>
      </c>
      <c r="U34" s="1075" t="str">
        <f t="shared" si="45"/>
        <v>1.33</v>
      </c>
      <c r="V34" s="1075" t="str">
        <f t="shared" si="46"/>
        <v>D+</v>
      </c>
      <c r="W34" s="1075" t="str">
        <f t="shared" si="47"/>
        <v>0</v>
      </c>
      <c r="X34" s="1216"/>
      <c r="Y34" s="1217"/>
      <c r="Z34" s="1217"/>
      <c r="AA34" s="1217"/>
      <c r="AB34" s="1217"/>
      <c r="AC34" s="1217"/>
      <c r="AD34" s="1820"/>
      <c r="AE34" s="1247"/>
    </row>
    <row r="35" spans="1:31" ht="24.95" customHeight="1" x14ac:dyDescent="0.25">
      <c r="A35" s="1236"/>
      <c r="B35" s="1241"/>
      <c r="C35" s="1220" t="s">
        <v>167</v>
      </c>
      <c r="D35" s="1237"/>
      <c r="E35" s="2687"/>
      <c r="F35" s="2688"/>
      <c r="G35" s="2688"/>
      <c r="H35" s="2688"/>
      <c r="I35" s="2076"/>
      <c r="J35" s="2076"/>
      <c r="K35" s="2076"/>
      <c r="L35" s="2076"/>
      <c r="M35" s="2076"/>
      <c r="N35" s="2076"/>
      <c r="O35" s="2076"/>
      <c r="P35" s="2076"/>
      <c r="Q35" s="2128"/>
      <c r="R35" s="2128"/>
      <c r="S35" s="2128"/>
      <c r="T35" s="732">
        <f>IFERROR(AVERAGE(T32:T34),"  ")</f>
        <v>0</v>
      </c>
      <c r="U35" s="1244" t="str">
        <f>IF(T35&gt;85,("4"),IF(T35&gt;80,("3.66"),IF(T35&gt;75,("3.33"),IF(T35&gt;70,("3.00"),IF(T35&gt;65,("2.66"),IF(T35&gt;60,("2.33"),IF(T35&gt;55,("2"),IF(T35&gt;50,("1.66"),"1.33"))))))))</f>
        <v>1.33</v>
      </c>
      <c r="V35" s="1244" t="str">
        <f>IF(T35&gt;85,("A"),IF(T35&gt;80,("A-"),IF(T35&gt;75,("B+"),IF(T35&gt;70,("B"),IF(T35&gt;65,("B-"),IF(T35&gt;60,("C+"),IF(T35&gt;55,("C"),IF(T35&gt;50,("C-"),"D+"))))))))</f>
        <v>D+</v>
      </c>
      <c r="W35" s="1244"/>
      <c r="X35" s="1221"/>
      <c r="Y35" s="1222"/>
      <c r="Z35" s="1222"/>
      <c r="AA35" s="1222"/>
      <c r="AB35" s="1222"/>
      <c r="AC35" s="1222"/>
      <c r="AD35" s="1821"/>
      <c r="AE35" s="1249"/>
    </row>
    <row r="36" spans="1:31" ht="24.95" customHeight="1" x14ac:dyDescent="0.25">
      <c r="A36" s="1224">
        <v>8</v>
      </c>
      <c r="B36" s="1225"/>
      <c r="C36" s="1209" t="str">
        <f>VLOOKUP(A36,data_siswa,4,FALSE)</f>
        <v>Aulia Dea Rosalinda</v>
      </c>
      <c r="D36" s="1210" t="s">
        <v>154</v>
      </c>
      <c r="E36" s="1672"/>
      <c r="F36" s="1672"/>
      <c r="G36" s="1672"/>
      <c r="H36" s="2025">
        <v>0</v>
      </c>
      <c r="I36" s="2025">
        <v>0</v>
      </c>
      <c r="J36" s="2025">
        <v>0</v>
      </c>
      <c r="K36" s="1672"/>
      <c r="L36" s="1672"/>
      <c r="M36" s="1672"/>
      <c r="N36" s="2025"/>
      <c r="O36" s="2025"/>
      <c r="P36" s="2025"/>
      <c r="Q36" s="1077">
        <f>MAX(E36,H36,K36,N36)</f>
        <v>0</v>
      </c>
      <c r="R36" s="2126">
        <f t="shared" ref="R36:R38" si="48">MAX(F36,I36,L36,O36)</f>
        <v>0</v>
      </c>
      <c r="S36" s="2127">
        <f t="shared" ref="S36:S38" si="49">MAX(G36,J36,M36,P36)</f>
        <v>0</v>
      </c>
      <c r="T36" s="853">
        <f>IFERROR(AVERAGE(Q36:S36),"")</f>
        <v>0</v>
      </c>
      <c r="U36" s="1075" t="str">
        <f>IF(T36&gt;85,("4"),IF(T36&gt;80,("3.66"),IF(T36&gt;75,("3.33"),IF(T36&gt;70,("3.00"),IF(T36&gt;65,("2.66"),IF(T36&gt;60,("2.33"),IF(T36&gt;55,("2"),IF(T36&gt;50,("1.66"),"1.33"))))))))</f>
        <v>1.33</v>
      </c>
      <c r="V36" s="1075" t="str">
        <f>IF(T36&gt;85,("A"),IF(T36&gt;80,("A-"),IF(T36&gt;75,("B+"),IF(T36&gt;70,("B"),IF(T36&gt;65,("B-"),IF(T36&gt;60,("C+"),IF(T36&gt;55,("C"),IF(T36&gt;50,("C-"),"D+"))))))))</f>
        <v>D+</v>
      </c>
      <c r="W36" s="1075" t="str">
        <f>IF(T36&gt;80,("SB"),IF(T36&gt;65,("B"),IF(T36&gt;50,("C"),IF(T36&gt;0,("K"),"0"))))</f>
        <v>0</v>
      </c>
      <c r="X36" s="1816"/>
      <c r="Y36" s="1816"/>
      <c r="Z36" s="1816"/>
      <c r="AA36" s="1817"/>
      <c r="AB36" s="1817"/>
      <c r="AC36" s="1817"/>
      <c r="AD36" s="1818">
        <f>T39</f>
        <v>0</v>
      </c>
      <c r="AE36" s="1245" t="str">
        <f>IF(AD36&gt;85,("A"),IF(AD36&gt;80,("A-"),IF(AD36&gt;75,("B+"),IF(AD36&gt;70,("B"),IF(AD36&gt;65,("B-"),IF(AD36&gt;60,("C+"),IF(AD36&gt;55,("C"),IF(AD36&gt;50,("C-"),"D+"))))))))</f>
        <v>D+</v>
      </c>
    </row>
    <row r="37" spans="1:31" ht="24.95" customHeight="1" x14ac:dyDescent="0.25">
      <c r="A37" s="1207"/>
      <c r="B37" s="1208"/>
      <c r="C37" s="1212"/>
      <c r="D37" s="1213" t="s">
        <v>155</v>
      </c>
      <c r="E37" s="1672">
        <v>0</v>
      </c>
      <c r="F37" s="1385">
        <v>0</v>
      </c>
      <c r="G37" s="1385">
        <v>0</v>
      </c>
      <c r="H37" s="2025">
        <v>0</v>
      </c>
      <c r="I37" s="2025">
        <v>0</v>
      </c>
      <c r="J37" s="2025">
        <v>0</v>
      </c>
      <c r="K37" s="1672">
        <v>0</v>
      </c>
      <c r="L37" s="1672">
        <v>0</v>
      </c>
      <c r="M37" s="1672">
        <v>0</v>
      </c>
      <c r="N37" s="2025">
        <v>0</v>
      </c>
      <c r="O37" s="2025">
        <v>0</v>
      </c>
      <c r="P37" s="2025">
        <v>0</v>
      </c>
      <c r="Q37" s="1077">
        <f t="shared" ref="Q37:Q38" si="50">MAX(E37,H37,K37,N37)</f>
        <v>0</v>
      </c>
      <c r="R37" s="2126">
        <f t="shared" si="48"/>
        <v>0</v>
      </c>
      <c r="S37" s="2127">
        <f t="shared" si="49"/>
        <v>0</v>
      </c>
      <c r="T37" s="853">
        <f t="shared" ref="T37:T38" si="51">IFERROR(AVERAGE(Q37:S37),"")</f>
        <v>0</v>
      </c>
      <c r="U37" s="1075" t="str">
        <f t="shared" ref="U37:U38" si="52">IF(T37&gt;85,("4"),IF(T37&gt;80,("3.66"),IF(T37&gt;75,("3.33"),IF(T37&gt;70,("3.00"),IF(T37&gt;65,("2.66"),IF(T37&gt;60,("2.33"),IF(T37&gt;55,("2"),IF(T37&gt;50,("1.66"),"1.33"))))))))</f>
        <v>1.33</v>
      </c>
      <c r="V37" s="1075" t="str">
        <f t="shared" ref="V37:V38" si="53">IF(T37&gt;85,("A"),IF(T37&gt;80,("A-"),IF(T37&gt;75,("B+"),IF(T37&gt;70,("B"),IF(T37&gt;65,("B-"),IF(T37&gt;60,("C+"),IF(T37&gt;55,("C"),IF(T37&gt;50,("C-"),"D+"))))))))</f>
        <v>D+</v>
      </c>
      <c r="W37" s="1075" t="str">
        <f t="shared" ref="W37:W38" si="54">IF(T37&gt;80,("SB"),IF(T37&gt;65,("B"),IF(T37&gt;50,("C"),IF(T37&gt;0,("K"),"0"))))</f>
        <v>0</v>
      </c>
      <c r="X37" s="1214"/>
      <c r="Y37" s="1215"/>
      <c r="Z37" s="1215"/>
      <c r="AA37" s="1215"/>
      <c r="AB37" s="1215"/>
      <c r="AC37" s="1215"/>
      <c r="AD37" s="1819"/>
      <c r="AE37" s="1246"/>
    </row>
    <row r="38" spans="1:31" ht="24.95" customHeight="1" x14ac:dyDescent="0.25">
      <c r="A38" s="1207"/>
      <c r="B38" s="1208"/>
      <c r="C38" s="1212"/>
      <c r="D38" s="1213" t="s">
        <v>9</v>
      </c>
      <c r="E38" s="1385"/>
      <c r="F38" s="1385"/>
      <c r="G38" s="1385"/>
      <c r="H38" s="2025">
        <v>0</v>
      </c>
      <c r="I38" s="2025">
        <v>0</v>
      </c>
      <c r="J38" s="2025">
        <v>0</v>
      </c>
      <c r="K38" s="1672">
        <v>0</v>
      </c>
      <c r="L38" s="1672">
        <v>0</v>
      </c>
      <c r="M38" s="1672">
        <v>0</v>
      </c>
      <c r="N38" s="2025"/>
      <c r="O38" s="2025"/>
      <c r="P38" s="2025"/>
      <c r="Q38" s="1077">
        <f t="shared" si="50"/>
        <v>0</v>
      </c>
      <c r="R38" s="2126">
        <f t="shared" si="48"/>
        <v>0</v>
      </c>
      <c r="S38" s="2127">
        <f t="shared" si="49"/>
        <v>0</v>
      </c>
      <c r="T38" s="853">
        <f t="shared" si="51"/>
        <v>0</v>
      </c>
      <c r="U38" s="1075" t="str">
        <f t="shared" si="52"/>
        <v>1.33</v>
      </c>
      <c r="V38" s="1075" t="str">
        <f t="shared" si="53"/>
        <v>D+</v>
      </c>
      <c r="W38" s="1075" t="str">
        <f t="shared" si="54"/>
        <v>0</v>
      </c>
      <c r="X38" s="1216"/>
      <c r="Y38" s="1217"/>
      <c r="Z38" s="1217"/>
      <c r="AA38" s="1217"/>
      <c r="AB38" s="1217"/>
      <c r="AC38" s="1217"/>
      <c r="AD38" s="1820"/>
      <c r="AE38" s="1247"/>
    </row>
    <row r="39" spans="1:31" ht="24.95" customHeight="1" x14ac:dyDescent="0.25">
      <c r="A39" s="1236"/>
      <c r="B39" s="1241"/>
      <c r="C39" s="1220" t="s">
        <v>167</v>
      </c>
      <c r="D39" s="1237"/>
      <c r="E39" s="2687"/>
      <c r="F39" s="2688"/>
      <c r="G39" s="2688"/>
      <c r="H39" s="2688"/>
      <c r="I39" s="2076"/>
      <c r="J39" s="2076"/>
      <c r="K39" s="2076"/>
      <c r="L39" s="2076"/>
      <c r="M39" s="2076"/>
      <c r="N39" s="2076"/>
      <c r="O39" s="2076"/>
      <c r="P39" s="2076"/>
      <c r="Q39" s="2128"/>
      <c r="R39" s="2128"/>
      <c r="S39" s="2128"/>
      <c r="T39" s="732">
        <f>IFERROR(AVERAGE(T36:T38),"  ")</f>
        <v>0</v>
      </c>
      <c r="U39" s="1244" t="str">
        <f>IF(T39&gt;85,("4"),IF(T39&gt;80,("3.66"),IF(T39&gt;75,("3.33"),IF(T39&gt;70,("3.00"),IF(T39&gt;65,("2.66"),IF(T39&gt;60,("2.33"),IF(T39&gt;55,("2"),IF(T39&gt;50,("1.66"),"1.33"))))))))</f>
        <v>1.33</v>
      </c>
      <c r="V39" s="1244" t="str">
        <f>IF(T39&gt;85,("A"),IF(T39&gt;80,("A-"),IF(T39&gt;75,("B+"),IF(T39&gt;70,("B"),IF(T39&gt;65,("B-"),IF(T39&gt;60,("C+"),IF(T39&gt;55,("C"),IF(T39&gt;50,("C-"),"D+"))))))))</f>
        <v>D+</v>
      </c>
      <c r="W39" s="1244"/>
      <c r="X39" s="1221"/>
      <c r="Y39" s="1222"/>
      <c r="Z39" s="1222"/>
      <c r="AA39" s="1222"/>
      <c r="AB39" s="1222"/>
      <c r="AC39" s="1222"/>
      <c r="AD39" s="1821"/>
      <c r="AE39" s="1249"/>
    </row>
    <row r="40" spans="1:31" ht="24.95" customHeight="1" x14ac:dyDescent="0.25">
      <c r="A40" s="1224">
        <v>9</v>
      </c>
      <c r="B40" s="1225"/>
      <c r="C40" s="1209" t="str">
        <f>VLOOKUP(A40,data_siswa,4,FALSE)</f>
        <v>Claudia Gabriella L</v>
      </c>
      <c r="D40" s="1210" t="s">
        <v>154</v>
      </c>
      <c r="E40" s="1672"/>
      <c r="F40" s="1672"/>
      <c r="G40" s="1672"/>
      <c r="H40" s="2025">
        <v>0</v>
      </c>
      <c r="I40" s="2025">
        <v>0</v>
      </c>
      <c r="J40" s="2025">
        <v>0</v>
      </c>
      <c r="K40" s="1672"/>
      <c r="L40" s="1672"/>
      <c r="M40" s="1672"/>
      <c r="N40" s="2025"/>
      <c r="O40" s="2025"/>
      <c r="P40" s="2025"/>
      <c r="Q40" s="1077">
        <f>MAX(E40,H40,K40,N40)</f>
        <v>0</v>
      </c>
      <c r="R40" s="2126">
        <f t="shared" ref="R40:R42" si="55">MAX(F40,I40,L40,O40)</f>
        <v>0</v>
      </c>
      <c r="S40" s="2127">
        <f t="shared" ref="S40:S42" si="56">MAX(G40,J40,M40,P40)</f>
        <v>0</v>
      </c>
      <c r="T40" s="853">
        <f>IFERROR(AVERAGE(Q40:S40),"")</f>
        <v>0</v>
      </c>
      <c r="U40" s="1075" t="str">
        <f>IF(T40&gt;85,("4"),IF(T40&gt;80,("3.66"),IF(T40&gt;75,("3.33"),IF(T40&gt;70,("3.00"),IF(T40&gt;65,("2.66"),IF(T40&gt;60,("2.33"),IF(T40&gt;55,("2"),IF(T40&gt;50,("1.66"),"1.33"))))))))</f>
        <v>1.33</v>
      </c>
      <c r="V40" s="1075" t="str">
        <f>IF(T40&gt;85,("A"),IF(T40&gt;80,("A-"),IF(T40&gt;75,("B+"),IF(T40&gt;70,("B"),IF(T40&gt;65,("B-"),IF(T40&gt;60,("C+"),IF(T40&gt;55,("C"),IF(T40&gt;50,("C-"),"D+"))))))))</f>
        <v>D+</v>
      </c>
      <c r="W40" s="1075" t="str">
        <f>IF(T40&gt;80,("SB"),IF(T40&gt;65,("B"),IF(T40&gt;50,("C"),IF(T40&gt;0,("K"),"0"))))</f>
        <v>0</v>
      </c>
      <c r="X40" s="1816"/>
      <c r="Y40" s="1816"/>
      <c r="Z40" s="1816"/>
      <c r="AA40" s="1817"/>
      <c r="AB40" s="1817"/>
      <c r="AC40" s="1817"/>
      <c r="AD40" s="1818">
        <f>T43</f>
        <v>0</v>
      </c>
      <c r="AE40" s="1245" t="str">
        <f>IF(AD40&gt;85,("A"),IF(AD40&gt;80,("A-"),IF(AD40&gt;75,("B+"),IF(AD40&gt;70,("B"),IF(AD40&gt;65,("B-"),IF(AD40&gt;60,("C+"),IF(AD40&gt;55,("C"),IF(AD40&gt;50,("C-"),"D+"))))))))</f>
        <v>D+</v>
      </c>
    </row>
    <row r="41" spans="1:31" ht="24.95" customHeight="1" x14ac:dyDescent="0.25">
      <c r="A41" s="1207"/>
      <c r="B41" s="1208"/>
      <c r="C41" s="1212"/>
      <c r="D41" s="1213" t="s">
        <v>155</v>
      </c>
      <c r="E41" s="1672">
        <v>0</v>
      </c>
      <c r="F41" s="1385">
        <v>0</v>
      </c>
      <c r="G41" s="1385">
        <v>0</v>
      </c>
      <c r="H41" s="2025">
        <v>0</v>
      </c>
      <c r="I41" s="2025">
        <v>0</v>
      </c>
      <c r="J41" s="2025">
        <v>0</v>
      </c>
      <c r="K41" s="1672">
        <v>0</v>
      </c>
      <c r="L41" s="1672">
        <v>0</v>
      </c>
      <c r="M41" s="1672">
        <v>0</v>
      </c>
      <c r="N41" s="2025">
        <v>0</v>
      </c>
      <c r="O41" s="2025">
        <v>0</v>
      </c>
      <c r="P41" s="2025">
        <v>0</v>
      </c>
      <c r="Q41" s="1077">
        <f t="shared" ref="Q41:Q42" si="57">MAX(E41,H41,K41,N41)</f>
        <v>0</v>
      </c>
      <c r="R41" s="2126">
        <f t="shared" si="55"/>
        <v>0</v>
      </c>
      <c r="S41" s="2127">
        <f t="shared" si="56"/>
        <v>0</v>
      </c>
      <c r="T41" s="853">
        <f t="shared" ref="T41:T42" si="58">IFERROR(AVERAGE(Q41:S41),"")</f>
        <v>0</v>
      </c>
      <c r="U41" s="1075" t="str">
        <f t="shared" ref="U41:U42" si="59">IF(T41&gt;85,("4"),IF(T41&gt;80,("3.66"),IF(T41&gt;75,("3.33"),IF(T41&gt;70,("3.00"),IF(T41&gt;65,("2.66"),IF(T41&gt;60,("2.33"),IF(T41&gt;55,("2"),IF(T41&gt;50,("1.66"),"1.33"))))))))</f>
        <v>1.33</v>
      </c>
      <c r="V41" s="1075" t="str">
        <f t="shared" ref="V41:V42" si="60">IF(T41&gt;85,("A"),IF(T41&gt;80,("A-"),IF(T41&gt;75,("B+"),IF(T41&gt;70,("B"),IF(T41&gt;65,("B-"),IF(T41&gt;60,("C+"),IF(T41&gt;55,("C"),IF(T41&gt;50,("C-"),"D+"))))))))</f>
        <v>D+</v>
      </c>
      <c r="W41" s="1075" t="str">
        <f t="shared" ref="W41:W42" si="61">IF(T41&gt;80,("SB"),IF(T41&gt;65,("B"),IF(T41&gt;50,("C"),IF(T41&gt;0,("K"),"0"))))</f>
        <v>0</v>
      </c>
      <c r="X41" s="1214"/>
      <c r="Y41" s="1215"/>
      <c r="Z41" s="1215"/>
      <c r="AA41" s="1215"/>
      <c r="AB41" s="1215"/>
      <c r="AC41" s="1215"/>
      <c r="AD41" s="1819"/>
      <c r="AE41" s="1246"/>
    </row>
    <row r="42" spans="1:31" ht="24.95" customHeight="1" x14ac:dyDescent="0.25">
      <c r="A42" s="1207"/>
      <c r="B42" s="1208"/>
      <c r="C42" s="1212"/>
      <c r="D42" s="1213" t="s">
        <v>9</v>
      </c>
      <c r="E42" s="1385"/>
      <c r="F42" s="1385"/>
      <c r="G42" s="1385"/>
      <c r="H42" s="2025">
        <v>0</v>
      </c>
      <c r="I42" s="2025">
        <v>0</v>
      </c>
      <c r="J42" s="2025">
        <v>0</v>
      </c>
      <c r="K42" s="1672">
        <v>0</v>
      </c>
      <c r="L42" s="1672">
        <v>0</v>
      </c>
      <c r="M42" s="1672">
        <v>0</v>
      </c>
      <c r="N42" s="2025"/>
      <c r="O42" s="2025"/>
      <c r="P42" s="2025"/>
      <c r="Q42" s="1077">
        <f t="shared" si="57"/>
        <v>0</v>
      </c>
      <c r="R42" s="2126">
        <f t="shared" si="55"/>
        <v>0</v>
      </c>
      <c r="S42" s="2127">
        <f t="shared" si="56"/>
        <v>0</v>
      </c>
      <c r="T42" s="853">
        <f t="shared" si="58"/>
        <v>0</v>
      </c>
      <c r="U42" s="1075" t="str">
        <f t="shared" si="59"/>
        <v>1.33</v>
      </c>
      <c r="V42" s="1075" t="str">
        <f t="shared" si="60"/>
        <v>D+</v>
      </c>
      <c r="W42" s="1075" t="str">
        <f t="shared" si="61"/>
        <v>0</v>
      </c>
      <c r="X42" s="1216"/>
      <c r="Y42" s="1217"/>
      <c r="Z42" s="1217"/>
      <c r="AA42" s="1217"/>
      <c r="AB42" s="1217"/>
      <c r="AC42" s="1217"/>
      <c r="AD42" s="1820"/>
      <c r="AE42" s="1247"/>
    </row>
    <row r="43" spans="1:31" ht="24.95" customHeight="1" x14ac:dyDescent="0.25">
      <c r="A43" s="1236"/>
      <c r="B43" s="1241"/>
      <c r="C43" s="1220" t="s">
        <v>167</v>
      </c>
      <c r="D43" s="1237"/>
      <c r="E43" s="2687"/>
      <c r="F43" s="2688"/>
      <c r="G43" s="2688"/>
      <c r="H43" s="2688"/>
      <c r="I43" s="2076"/>
      <c r="J43" s="2076"/>
      <c r="K43" s="2076"/>
      <c r="L43" s="2076"/>
      <c r="M43" s="2076"/>
      <c r="N43" s="2076"/>
      <c r="O43" s="2076"/>
      <c r="P43" s="2076"/>
      <c r="Q43" s="2128"/>
      <c r="R43" s="2128"/>
      <c r="S43" s="2128"/>
      <c r="T43" s="732">
        <f>IFERROR(AVERAGE(T40:T42),"  ")</f>
        <v>0</v>
      </c>
      <c r="U43" s="1244" t="str">
        <f>IF(T43&gt;85,("4"),IF(T43&gt;80,("3.66"),IF(T43&gt;75,("3.33"),IF(T43&gt;70,("3.00"),IF(T43&gt;65,("2.66"),IF(T43&gt;60,("2.33"),IF(T43&gt;55,("2"),IF(T43&gt;50,("1.66"),"1.33"))))))))</f>
        <v>1.33</v>
      </c>
      <c r="V43" s="1244" t="str">
        <f>IF(T43&gt;85,("A"),IF(T43&gt;80,("A-"),IF(T43&gt;75,("B+"),IF(T43&gt;70,("B"),IF(T43&gt;65,("B-"),IF(T43&gt;60,("C+"),IF(T43&gt;55,("C"),IF(T43&gt;50,("C-"),"D+"))))))))</f>
        <v>D+</v>
      </c>
      <c r="W43" s="1244"/>
      <c r="X43" s="1221"/>
      <c r="Y43" s="1222"/>
      <c r="Z43" s="1222"/>
      <c r="AA43" s="1222"/>
      <c r="AB43" s="1222"/>
      <c r="AC43" s="1222"/>
      <c r="AD43" s="1821"/>
      <c r="AE43" s="1249"/>
    </row>
    <row r="44" spans="1:31" ht="24.95" customHeight="1" x14ac:dyDescent="0.25">
      <c r="A44" s="1224">
        <v>10</v>
      </c>
      <c r="B44" s="1225"/>
      <c r="C44" s="1209" t="str">
        <f>VLOOKUP(A44,data_siswa,4,FALSE)</f>
        <v xml:space="preserve">Deco Badarus Zaman </v>
      </c>
      <c r="D44" s="1210" t="s">
        <v>154</v>
      </c>
      <c r="E44" s="1672"/>
      <c r="F44" s="1672"/>
      <c r="G44" s="1672"/>
      <c r="H44" s="2025">
        <v>0</v>
      </c>
      <c r="I44" s="2025">
        <v>0</v>
      </c>
      <c r="J44" s="2025">
        <v>0</v>
      </c>
      <c r="K44" s="1672"/>
      <c r="L44" s="1672"/>
      <c r="M44" s="1672"/>
      <c r="N44" s="2025"/>
      <c r="O44" s="2025"/>
      <c r="P44" s="2025"/>
      <c r="Q44" s="1077">
        <f>MAX(E44,H44,K44,N44)</f>
        <v>0</v>
      </c>
      <c r="R44" s="2126">
        <f t="shared" ref="R44:R46" si="62">MAX(F44,I44,L44,O44)</f>
        <v>0</v>
      </c>
      <c r="S44" s="2127">
        <f t="shared" ref="S44:S46" si="63">MAX(G44,J44,M44,P44)</f>
        <v>0</v>
      </c>
      <c r="T44" s="853">
        <f>IFERROR(AVERAGE(Q44:S44),"")</f>
        <v>0</v>
      </c>
      <c r="U44" s="1075" t="str">
        <f>IF(T44&gt;85,("4"),IF(T44&gt;80,("3.66"),IF(T44&gt;75,("3.33"),IF(T44&gt;70,("3.00"),IF(T44&gt;65,("2.66"),IF(T44&gt;60,("2.33"),IF(T44&gt;55,("2"),IF(T44&gt;50,("1.66"),"1.33"))))))))</f>
        <v>1.33</v>
      </c>
      <c r="V44" s="1075" t="str">
        <f>IF(T44&gt;85,("A"),IF(T44&gt;80,("A-"),IF(T44&gt;75,("B+"),IF(T44&gt;70,("B"),IF(T44&gt;65,("B-"),IF(T44&gt;60,("C+"),IF(T44&gt;55,("C"),IF(T44&gt;50,("C-"),"D+"))))))))</f>
        <v>D+</v>
      </c>
      <c r="W44" s="1075" t="str">
        <f>IF(T44&gt;80,("SB"),IF(T44&gt;65,("B"),IF(T44&gt;50,("C"),IF(T44&gt;0,("K"),"0"))))</f>
        <v>0</v>
      </c>
      <c r="X44" s="1816"/>
      <c r="Y44" s="1816"/>
      <c r="Z44" s="1816"/>
      <c r="AA44" s="1817"/>
      <c r="AB44" s="1817"/>
      <c r="AC44" s="1817"/>
      <c r="AD44" s="1818">
        <f>T47</f>
        <v>0</v>
      </c>
      <c r="AE44" s="1245" t="str">
        <f>IF(AD44&gt;85,("A"),IF(AD44&gt;80,("A-"),IF(AD44&gt;75,("B+"),IF(AD44&gt;70,("B"),IF(AD44&gt;65,("B-"),IF(AD44&gt;60,("C+"),IF(AD44&gt;55,("C"),IF(AD44&gt;50,("C-"),"D+"))))))))</f>
        <v>D+</v>
      </c>
    </row>
    <row r="45" spans="1:31" ht="24.95" customHeight="1" x14ac:dyDescent="0.25">
      <c r="A45" s="1207"/>
      <c r="B45" s="1208"/>
      <c r="C45" s="1212"/>
      <c r="D45" s="1213" t="s">
        <v>155</v>
      </c>
      <c r="E45" s="1672">
        <v>0</v>
      </c>
      <c r="F45" s="1385">
        <v>0</v>
      </c>
      <c r="G45" s="1385">
        <v>0</v>
      </c>
      <c r="H45" s="2025">
        <v>0</v>
      </c>
      <c r="I45" s="2025">
        <v>0</v>
      </c>
      <c r="J45" s="2025">
        <v>0</v>
      </c>
      <c r="K45" s="1672">
        <v>0</v>
      </c>
      <c r="L45" s="1672">
        <v>0</v>
      </c>
      <c r="M45" s="1672">
        <v>0</v>
      </c>
      <c r="N45" s="2025">
        <v>0</v>
      </c>
      <c r="O45" s="2025">
        <v>0</v>
      </c>
      <c r="P45" s="2025">
        <v>0</v>
      </c>
      <c r="Q45" s="1077">
        <f t="shared" ref="Q45:Q46" si="64">MAX(E45,H45,K45,N45)</f>
        <v>0</v>
      </c>
      <c r="R45" s="2126">
        <f t="shared" si="62"/>
        <v>0</v>
      </c>
      <c r="S45" s="2127">
        <f t="shared" si="63"/>
        <v>0</v>
      </c>
      <c r="T45" s="853">
        <f t="shared" ref="T45:T46" si="65">IFERROR(AVERAGE(Q45:S45),"")</f>
        <v>0</v>
      </c>
      <c r="U45" s="1075" t="str">
        <f t="shared" ref="U45:U46" si="66">IF(T45&gt;85,("4"),IF(T45&gt;80,("3.66"),IF(T45&gt;75,("3.33"),IF(T45&gt;70,("3.00"),IF(T45&gt;65,("2.66"),IF(T45&gt;60,("2.33"),IF(T45&gt;55,("2"),IF(T45&gt;50,("1.66"),"1.33"))))))))</f>
        <v>1.33</v>
      </c>
      <c r="V45" s="1075" t="str">
        <f t="shared" ref="V45:V46" si="67">IF(T45&gt;85,("A"),IF(T45&gt;80,("A-"),IF(T45&gt;75,("B+"),IF(T45&gt;70,("B"),IF(T45&gt;65,("B-"),IF(T45&gt;60,("C+"),IF(T45&gt;55,("C"),IF(T45&gt;50,("C-"),"D+"))))))))</f>
        <v>D+</v>
      </c>
      <c r="W45" s="1075" t="str">
        <f t="shared" ref="W45:W46" si="68">IF(T45&gt;80,("SB"),IF(T45&gt;65,("B"),IF(T45&gt;50,("C"),IF(T45&gt;0,("K"),"0"))))</f>
        <v>0</v>
      </c>
      <c r="X45" s="1214"/>
      <c r="Y45" s="1215"/>
      <c r="Z45" s="1215"/>
      <c r="AA45" s="1215"/>
      <c r="AB45" s="1215"/>
      <c r="AC45" s="1215"/>
      <c r="AD45" s="1819"/>
      <c r="AE45" s="1246"/>
    </row>
    <row r="46" spans="1:31" ht="24.95" customHeight="1" x14ac:dyDescent="0.25">
      <c r="A46" s="1207"/>
      <c r="B46" s="1208"/>
      <c r="C46" s="1212"/>
      <c r="D46" s="1213" t="s">
        <v>9</v>
      </c>
      <c r="E46" s="1385"/>
      <c r="F46" s="1385"/>
      <c r="G46" s="1385"/>
      <c r="H46" s="2025">
        <v>0</v>
      </c>
      <c r="I46" s="2025">
        <v>0</v>
      </c>
      <c r="J46" s="2025">
        <v>0</v>
      </c>
      <c r="K46" s="1672">
        <v>0</v>
      </c>
      <c r="L46" s="1672">
        <v>0</v>
      </c>
      <c r="M46" s="1672">
        <v>0</v>
      </c>
      <c r="N46" s="2025"/>
      <c r="O46" s="2025"/>
      <c r="P46" s="2025"/>
      <c r="Q46" s="1077">
        <f t="shared" si="64"/>
        <v>0</v>
      </c>
      <c r="R46" s="2126">
        <f t="shared" si="62"/>
        <v>0</v>
      </c>
      <c r="S46" s="2127">
        <f t="shared" si="63"/>
        <v>0</v>
      </c>
      <c r="T46" s="853">
        <f t="shared" si="65"/>
        <v>0</v>
      </c>
      <c r="U46" s="1075" t="str">
        <f t="shared" si="66"/>
        <v>1.33</v>
      </c>
      <c r="V46" s="1075" t="str">
        <f t="shared" si="67"/>
        <v>D+</v>
      </c>
      <c r="W46" s="1075" t="str">
        <f t="shared" si="68"/>
        <v>0</v>
      </c>
      <c r="X46" s="1216"/>
      <c r="Y46" s="1217"/>
      <c r="Z46" s="1217"/>
      <c r="AA46" s="1217"/>
      <c r="AB46" s="1217"/>
      <c r="AC46" s="1217"/>
      <c r="AD46" s="1820"/>
      <c r="AE46" s="1247"/>
    </row>
    <row r="47" spans="1:31" ht="24.95" customHeight="1" x14ac:dyDescent="0.25">
      <c r="A47" s="1236"/>
      <c r="B47" s="1241"/>
      <c r="C47" s="1220" t="s">
        <v>167</v>
      </c>
      <c r="D47" s="1237"/>
      <c r="E47" s="2687"/>
      <c r="F47" s="2688"/>
      <c r="G47" s="2688"/>
      <c r="H47" s="2688"/>
      <c r="I47" s="2076"/>
      <c r="J47" s="2076"/>
      <c r="K47" s="2076"/>
      <c r="L47" s="2076"/>
      <c r="M47" s="2076"/>
      <c r="N47" s="2076"/>
      <c r="O47" s="2076"/>
      <c r="P47" s="2076"/>
      <c r="Q47" s="2128"/>
      <c r="R47" s="2128"/>
      <c r="S47" s="2128"/>
      <c r="T47" s="732">
        <f>IFERROR(AVERAGE(T44:T46),"  ")</f>
        <v>0</v>
      </c>
      <c r="U47" s="1244" t="str">
        <f>IF(T47&gt;85,("4"),IF(T47&gt;80,("3.66"),IF(T47&gt;75,("3.33"),IF(T47&gt;70,("3.00"),IF(T47&gt;65,("2.66"),IF(T47&gt;60,("2.33"),IF(T47&gt;55,("2"),IF(T47&gt;50,("1.66"),"1.33"))))))))</f>
        <v>1.33</v>
      </c>
      <c r="V47" s="1244" t="str">
        <f>IF(T47&gt;85,("A"),IF(T47&gt;80,("A-"),IF(T47&gt;75,("B+"),IF(T47&gt;70,("B"),IF(T47&gt;65,("B-"),IF(T47&gt;60,("C+"),IF(T47&gt;55,("C"),IF(T47&gt;50,("C-"),"D+"))))))))</f>
        <v>D+</v>
      </c>
      <c r="W47" s="1244"/>
      <c r="X47" s="1221"/>
      <c r="Y47" s="1222"/>
      <c r="Z47" s="1222"/>
      <c r="AA47" s="1222"/>
      <c r="AB47" s="1222"/>
      <c r="AC47" s="1222"/>
      <c r="AD47" s="1821"/>
      <c r="AE47" s="1249"/>
    </row>
    <row r="48" spans="1:31" ht="24.95" customHeight="1" x14ac:dyDescent="0.25">
      <c r="A48" s="1224">
        <v>11</v>
      </c>
      <c r="B48" s="1225"/>
      <c r="C48" s="1209" t="str">
        <f>VLOOKUP(A48,data_siswa,4,FALSE)</f>
        <v>Fania Mutiara Felichia</v>
      </c>
      <c r="D48" s="1210" t="s">
        <v>154</v>
      </c>
      <c r="E48" s="1672"/>
      <c r="F48" s="1672"/>
      <c r="G48" s="1672"/>
      <c r="H48" s="2025">
        <v>0</v>
      </c>
      <c r="I48" s="2025">
        <v>0</v>
      </c>
      <c r="J48" s="2025">
        <v>0</v>
      </c>
      <c r="K48" s="1672"/>
      <c r="L48" s="1672"/>
      <c r="M48" s="1672"/>
      <c r="N48" s="2025"/>
      <c r="O48" s="2025"/>
      <c r="P48" s="2025"/>
      <c r="Q48" s="1077">
        <f>MAX(E48,H48,K48,N48)</f>
        <v>0</v>
      </c>
      <c r="R48" s="2126">
        <f t="shared" ref="R48:R50" si="69">MAX(F48,I48,L48,O48)</f>
        <v>0</v>
      </c>
      <c r="S48" s="2127">
        <f t="shared" ref="S48:S50" si="70">MAX(G48,J48,M48,P48)</f>
        <v>0</v>
      </c>
      <c r="T48" s="853">
        <f>IFERROR(AVERAGE(Q48:S48),"")</f>
        <v>0</v>
      </c>
      <c r="U48" s="1075" t="str">
        <f>IF(T48&gt;85,("4"),IF(T48&gt;80,("3.66"),IF(T48&gt;75,("3.33"),IF(T48&gt;70,("3.00"),IF(T48&gt;65,("2.66"),IF(T48&gt;60,("2.33"),IF(T48&gt;55,("2"),IF(T48&gt;50,("1.66"),"1.33"))))))))</f>
        <v>1.33</v>
      </c>
      <c r="V48" s="1075" t="str">
        <f>IF(T48&gt;85,("A"),IF(T48&gt;80,("A-"),IF(T48&gt;75,("B+"),IF(T48&gt;70,("B"),IF(T48&gt;65,("B-"),IF(T48&gt;60,("C+"),IF(T48&gt;55,("C"),IF(T48&gt;50,("C-"),"D+"))))))))</f>
        <v>D+</v>
      </c>
      <c r="W48" s="1075" t="str">
        <f>IF(T48&gt;80,("SB"),IF(T48&gt;65,("B"),IF(T48&gt;50,("C"),IF(T48&gt;0,("K"),"0"))))</f>
        <v>0</v>
      </c>
      <c r="X48" s="1816"/>
      <c r="Y48" s="1816"/>
      <c r="Z48" s="1816"/>
      <c r="AA48" s="1817"/>
      <c r="AB48" s="1817"/>
      <c r="AC48" s="1817"/>
      <c r="AD48" s="1818">
        <f>T51</f>
        <v>0</v>
      </c>
      <c r="AE48" s="1245" t="str">
        <f>IF(AD48&gt;85,("A"),IF(AD48&gt;80,("A-"),IF(AD48&gt;75,("B+"),IF(AD48&gt;70,("B"),IF(AD48&gt;65,("B-"),IF(AD48&gt;60,("C+"),IF(AD48&gt;55,("C"),IF(AD48&gt;50,("C-"),"D+"))))))))</f>
        <v>D+</v>
      </c>
    </row>
    <row r="49" spans="1:31" ht="24.95" customHeight="1" x14ac:dyDescent="0.25">
      <c r="A49" s="1207"/>
      <c r="B49" s="1208"/>
      <c r="C49" s="1212"/>
      <c r="D49" s="1213" t="s">
        <v>155</v>
      </c>
      <c r="E49" s="1672">
        <v>0</v>
      </c>
      <c r="F49" s="1385">
        <v>0</v>
      </c>
      <c r="G49" s="1385">
        <v>0</v>
      </c>
      <c r="H49" s="2025">
        <v>0</v>
      </c>
      <c r="I49" s="2025">
        <v>0</v>
      </c>
      <c r="J49" s="2025">
        <v>0</v>
      </c>
      <c r="K49" s="1672">
        <v>0</v>
      </c>
      <c r="L49" s="1672">
        <v>0</v>
      </c>
      <c r="M49" s="1672">
        <v>0</v>
      </c>
      <c r="N49" s="2025">
        <v>0</v>
      </c>
      <c r="O49" s="2025">
        <v>0</v>
      </c>
      <c r="P49" s="2025">
        <v>0</v>
      </c>
      <c r="Q49" s="1077">
        <f t="shared" ref="Q49:Q50" si="71">MAX(E49,H49,K49,N49)</f>
        <v>0</v>
      </c>
      <c r="R49" s="2126">
        <f t="shared" si="69"/>
        <v>0</v>
      </c>
      <c r="S49" s="2127">
        <f t="shared" si="70"/>
        <v>0</v>
      </c>
      <c r="T49" s="853">
        <f t="shared" ref="T49:T50" si="72">IFERROR(AVERAGE(Q49:S49),"")</f>
        <v>0</v>
      </c>
      <c r="U49" s="1075" t="str">
        <f t="shared" ref="U49:U50" si="73">IF(T49&gt;85,("4"),IF(T49&gt;80,("3.66"),IF(T49&gt;75,("3.33"),IF(T49&gt;70,("3.00"),IF(T49&gt;65,("2.66"),IF(T49&gt;60,("2.33"),IF(T49&gt;55,("2"),IF(T49&gt;50,("1.66"),"1.33"))))))))</f>
        <v>1.33</v>
      </c>
      <c r="V49" s="1075" t="str">
        <f t="shared" ref="V49:V50" si="74">IF(T49&gt;85,("A"),IF(T49&gt;80,("A-"),IF(T49&gt;75,("B+"),IF(T49&gt;70,("B"),IF(T49&gt;65,("B-"),IF(T49&gt;60,("C+"),IF(T49&gt;55,("C"),IF(T49&gt;50,("C-"),"D+"))))))))</f>
        <v>D+</v>
      </c>
      <c r="W49" s="1075" t="str">
        <f t="shared" ref="W49:W50" si="75">IF(T49&gt;80,("SB"),IF(T49&gt;65,("B"),IF(T49&gt;50,("C"),IF(T49&gt;0,("K"),"0"))))</f>
        <v>0</v>
      </c>
      <c r="X49" s="1214"/>
      <c r="Y49" s="1215"/>
      <c r="Z49" s="1215"/>
      <c r="AA49" s="1215"/>
      <c r="AB49" s="1215"/>
      <c r="AC49" s="1215"/>
      <c r="AD49" s="1819"/>
      <c r="AE49" s="1246"/>
    </row>
    <row r="50" spans="1:31" ht="24.95" customHeight="1" x14ac:dyDescent="0.25">
      <c r="A50" s="1207"/>
      <c r="B50" s="1208"/>
      <c r="C50" s="1212"/>
      <c r="D50" s="1213" t="s">
        <v>9</v>
      </c>
      <c r="E50" s="1385"/>
      <c r="F50" s="1385"/>
      <c r="G50" s="1385"/>
      <c r="H50" s="2025">
        <v>0</v>
      </c>
      <c r="I50" s="2025">
        <v>0</v>
      </c>
      <c r="J50" s="2025">
        <v>0</v>
      </c>
      <c r="K50" s="1672">
        <v>0</v>
      </c>
      <c r="L50" s="1672">
        <v>0</v>
      </c>
      <c r="M50" s="1672">
        <v>0</v>
      </c>
      <c r="N50" s="2025"/>
      <c r="O50" s="2025"/>
      <c r="P50" s="2025"/>
      <c r="Q50" s="1077">
        <f t="shared" si="71"/>
        <v>0</v>
      </c>
      <c r="R50" s="2126">
        <f t="shared" si="69"/>
        <v>0</v>
      </c>
      <c r="S50" s="2127">
        <f t="shared" si="70"/>
        <v>0</v>
      </c>
      <c r="T50" s="853">
        <f t="shared" si="72"/>
        <v>0</v>
      </c>
      <c r="U50" s="1075" t="str">
        <f t="shared" si="73"/>
        <v>1.33</v>
      </c>
      <c r="V50" s="1075" t="str">
        <f t="shared" si="74"/>
        <v>D+</v>
      </c>
      <c r="W50" s="1075" t="str">
        <f t="shared" si="75"/>
        <v>0</v>
      </c>
      <c r="X50" s="1216"/>
      <c r="Y50" s="1217"/>
      <c r="Z50" s="1217"/>
      <c r="AA50" s="1217"/>
      <c r="AB50" s="1217"/>
      <c r="AC50" s="1217"/>
      <c r="AD50" s="1820"/>
      <c r="AE50" s="1247"/>
    </row>
    <row r="51" spans="1:31" ht="24.95" customHeight="1" x14ac:dyDescent="0.25">
      <c r="A51" s="1236"/>
      <c r="B51" s="1241"/>
      <c r="C51" s="1220" t="s">
        <v>167</v>
      </c>
      <c r="D51" s="1237"/>
      <c r="E51" s="2687"/>
      <c r="F51" s="2688"/>
      <c r="G51" s="2688"/>
      <c r="H51" s="2688"/>
      <c r="I51" s="2076"/>
      <c r="J51" s="2076"/>
      <c r="K51" s="2076"/>
      <c r="L51" s="2076"/>
      <c r="M51" s="2076"/>
      <c r="N51" s="2076"/>
      <c r="O51" s="2076"/>
      <c r="P51" s="2076"/>
      <c r="Q51" s="2128"/>
      <c r="R51" s="2128"/>
      <c r="S51" s="2128"/>
      <c r="T51" s="732">
        <f>IFERROR(AVERAGE(T48:T50),"  ")</f>
        <v>0</v>
      </c>
      <c r="U51" s="1244" t="str">
        <f>IF(T51&gt;85,("4"),IF(T51&gt;80,("3.66"),IF(T51&gt;75,("3.33"),IF(T51&gt;70,("3.00"),IF(T51&gt;65,("2.66"),IF(T51&gt;60,("2.33"),IF(T51&gt;55,("2"),IF(T51&gt;50,("1.66"),"1.33"))))))))</f>
        <v>1.33</v>
      </c>
      <c r="V51" s="1244" t="str">
        <f>IF(T51&gt;85,("A"),IF(T51&gt;80,("A-"),IF(T51&gt;75,("B+"),IF(T51&gt;70,("B"),IF(T51&gt;65,("B-"),IF(T51&gt;60,("C+"),IF(T51&gt;55,("C"),IF(T51&gt;50,("C-"),"D+"))))))))</f>
        <v>D+</v>
      </c>
      <c r="W51" s="1244"/>
      <c r="X51" s="1221"/>
      <c r="Y51" s="1222"/>
      <c r="Z51" s="1222"/>
      <c r="AA51" s="1222"/>
      <c r="AB51" s="1222"/>
      <c r="AC51" s="1222"/>
      <c r="AD51" s="1821"/>
      <c r="AE51" s="1249"/>
    </row>
    <row r="52" spans="1:31" ht="24.95" customHeight="1" x14ac:dyDescent="0.25">
      <c r="A52" s="1224">
        <v>12</v>
      </c>
      <c r="B52" s="1225"/>
      <c r="C52" s="1209" t="str">
        <f>VLOOKUP(A52,data_siswa,4,FALSE)</f>
        <v>Intan Dyah Nowari</v>
      </c>
      <c r="D52" s="1210" t="s">
        <v>154</v>
      </c>
      <c r="E52" s="1672"/>
      <c r="F52" s="1672"/>
      <c r="G52" s="1672"/>
      <c r="H52" s="2025">
        <v>0</v>
      </c>
      <c r="I52" s="2025">
        <v>0</v>
      </c>
      <c r="J52" s="2025">
        <v>0</v>
      </c>
      <c r="K52" s="1672"/>
      <c r="L52" s="1672"/>
      <c r="M52" s="1672"/>
      <c r="N52" s="2025"/>
      <c r="O52" s="2025"/>
      <c r="P52" s="2025"/>
      <c r="Q52" s="1077">
        <f>MAX(E52,H52,K52,N52)</f>
        <v>0</v>
      </c>
      <c r="R52" s="2126">
        <f t="shared" ref="R52:R54" si="76">MAX(F52,I52,L52,O52)</f>
        <v>0</v>
      </c>
      <c r="S52" s="2127">
        <f t="shared" ref="S52:S54" si="77">MAX(G52,J52,M52,P52)</f>
        <v>0</v>
      </c>
      <c r="T52" s="853">
        <f>IFERROR(AVERAGE(Q52:S52),"")</f>
        <v>0</v>
      </c>
      <c r="U52" s="1075" t="str">
        <f>IF(T52&gt;85,("4"),IF(T52&gt;80,("3.66"),IF(T52&gt;75,("3.33"),IF(T52&gt;70,("3.00"),IF(T52&gt;65,("2.66"),IF(T52&gt;60,("2.33"),IF(T52&gt;55,("2"),IF(T52&gt;50,("1.66"),"1.33"))))))))</f>
        <v>1.33</v>
      </c>
      <c r="V52" s="1075" t="str">
        <f>IF(T52&gt;85,("A"),IF(T52&gt;80,("A-"),IF(T52&gt;75,("B+"),IF(T52&gt;70,("B"),IF(T52&gt;65,("B-"),IF(T52&gt;60,("C+"),IF(T52&gt;55,("C"),IF(T52&gt;50,("C-"),"D+"))))))))</f>
        <v>D+</v>
      </c>
      <c r="W52" s="1075" t="str">
        <f>IF(T52&gt;80,("SB"),IF(T52&gt;65,("B"),IF(T52&gt;50,("C"),IF(T52&gt;0,("K"),"0"))))</f>
        <v>0</v>
      </c>
      <c r="X52" s="1816"/>
      <c r="Y52" s="1816"/>
      <c r="Z52" s="1816"/>
      <c r="AA52" s="1817"/>
      <c r="AB52" s="1817"/>
      <c r="AC52" s="1817"/>
      <c r="AD52" s="1818">
        <f>T55</f>
        <v>0</v>
      </c>
      <c r="AE52" s="1245" t="str">
        <f>IF(AD52&gt;85,("A"),IF(AD52&gt;80,("A-"),IF(AD52&gt;75,("B+"),IF(AD52&gt;70,("B"),IF(AD52&gt;65,("B-"),IF(AD52&gt;60,("C+"),IF(AD52&gt;55,("C"),IF(AD52&gt;50,("C-"),"D+"))))))))</f>
        <v>D+</v>
      </c>
    </row>
    <row r="53" spans="1:31" ht="24.95" customHeight="1" x14ac:dyDescent="0.25">
      <c r="A53" s="1207"/>
      <c r="B53" s="1208"/>
      <c r="C53" s="1212"/>
      <c r="D53" s="1213" t="s">
        <v>155</v>
      </c>
      <c r="E53" s="1672">
        <v>0</v>
      </c>
      <c r="F53" s="1385">
        <v>0</v>
      </c>
      <c r="G53" s="1385">
        <v>0</v>
      </c>
      <c r="H53" s="2025">
        <v>0</v>
      </c>
      <c r="I53" s="2025">
        <v>0</v>
      </c>
      <c r="J53" s="2025">
        <v>0</v>
      </c>
      <c r="K53" s="1672">
        <v>0</v>
      </c>
      <c r="L53" s="1672">
        <v>0</v>
      </c>
      <c r="M53" s="1672">
        <v>0</v>
      </c>
      <c r="N53" s="2025">
        <v>0</v>
      </c>
      <c r="O53" s="2025">
        <v>0</v>
      </c>
      <c r="P53" s="2025">
        <v>0</v>
      </c>
      <c r="Q53" s="1077">
        <f t="shared" ref="Q53:Q54" si="78">MAX(E53,H53,K53,N53)</f>
        <v>0</v>
      </c>
      <c r="R53" s="2126">
        <f t="shared" si="76"/>
        <v>0</v>
      </c>
      <c r="S53" s="2127">
        <f t="shared" si="77"/>
        <v>0</v>
      </c>
      <c r="T53" s="853">
        <f t="shared" ref="T53:T54" si="79">IFERROR(AVERAGE(Q53:S53),"")</f>
        <v>0</v>
      </c>
      <c r="U53" s="1075" t="str">
        <f t="shared" ref="U53:U54" si="80">IF(T53&gt;85,("4"),IF(T53&gt;80,("3.66"),IF(T53&gt;75,("3.33"),IF(T53&gt;70,("3.00"),IF(T53&gt;65,("2.66"),IF(T53&gt;60,("2.33"),IF(T53&gt;55,("2"),IF(T53&gt;50,("1.66"),"1.33"))))))))</f>
        <v>1.33</v>
      </c>
      <c r="V53" s="1075" t="str">
        <f t="shared" ref="V53:V54" si="81">IF(T53&gt;85,("A"),IF(T53&gt;80,("A-"),IF(T53&gt;75,("B+"),IF(T53&gt;70,("B"),IF(T53&gt;65,("B-"),IF(T53&gt;60,("C+"),IF(T53&gt;55,("C"),IF(T53&gt;50,("C-"),"D+"))))))))</f>
        <v>D+</v>
      </c>
      <c r="W53" s="1075" t="str">
        <f t="shared" ref="W53:W54" si="82">IF(T53&gt;80,("SB"),IF(T53&gt;65,("B"),IF(T53&gt;50,("C"),IF(T53&gt;0,("K"),"0"))))</f>
        <v>0</v>
      </c>
      <c r="X53" s="1214"/>
      <c r="Y53" s="1215"/>
      <c r="Z53" s="1215"/>
      <c r="AA53" s="1215"/>
      <c r="AB53" s="1215"/>
      <c r="AC53" s="1215"/>
      <c r="AD53" s="1819"/>
      <c r="AE53" s="1246"/>
    </row>
    <row r="54" spans="1:31" ht="24.95" customHeight="1" x14ac:dyDescent="0.25">
      <c r="A54" s="1207"/>
      <c r="B54" s="1208"/>
      <c r="C54" s="1212"/>
      <c r="D54" s="1213" t="s">
        <v>9</v>
      </c>
      <c r="E54" s="1385"/>
      <c r="F54" s="1385"/>
      <c r="G54" s="1385"/>
      <c r="H54" s="2025">
        <v>0</v>
      </c>
      <c r="I54" s="2025">
        <v>0</v>
      </c>
      <c r="J54" s="2025">
        <v>0</v>
      </c>
      <c r="K54" s="1672">
        <v>0</v>
      </c>
      <c r="L54" s="1672">
        <v>0</v>
      </c>
      <c r="M54" s="1672">
        <v>0</v>
      </c>
      <c r="N54" s="2025"/>
      <c r="O54" s="2025"/>
      <c r="P54" s="2025"/>
      <c r="Q54" s="1077">
        <f t="shared" si="78"/>
        <v>0</v>
      </c>
      <c r="R54" s="2126">
        <f t="shared" si="76"/>
        <v>0</v>
      </c>
      <c r="S54" s="2127">
        <f t="shared" si="77"/>
        <v>0</v>
      </c>
      <c r="T54" s="853">
        <f t="shared" si="79"/>
        <v>0</v>
      </c>
      <c r="U54" s="1075" t="str">
        <f t="shared" si="80"/>
        <v>1.33</v>
      </c>
      <c r="V54" s="1075" t="str">
        <f t="shared" si="81"/>
        <v>D+</v>
      </c>
      <c r="W54" s="1075" t="str">
        <f t="shared" si="82"/>
        <v>0</v>
      </c>
      <c r="X54" s="1216"/>
      <c r="Y54" s="1217"/>
      <c r="Z54" s="1217"/>
      <c r="AA54" s="1217"/>
      <c r="AB54" s="1217"/>
      <c r="AC54" s="1217"/>
      <c r="AD54" s="1820"/>
      <c r="AE54" s="1247"/>
    </row>
    <row r="55" spans="1:31" ht="24.95" customHeight="1" x14ac:dyDescent="0.25">
      <c r="A55" s="1236"/>
      <c r="B55" s="1241"/>
      <c r="C55" s="1220" t="s">
        <v>167</v>
      </c>
      <c r="D55" s="1237"/>
      <c r="E55" s="2687"/>
      <c r="F55" s="2688"/>
      <c r="G55" s="2688"/>
      <c r="H55" s="2688"/>
      <c r="I55" s="2076"/>
      <c r="J55" s="2076"/>
      <c r="K55" s="2076"/>
      <c r="L55" s="2076"/>
      <c r="M55" s="2076"/>
      <c r="N55" s="2076"/>
      <c r="O55" s="2076"/>
      <c r="P55" s="2076"/>
      <c r="Q55" s="2128"/>
      <c r="R55" s="2128"/>
      <c r="S55" s="2128"/>
      <c r="T55" s="732">
        <f>IFERROR(AVERAGE(T52:T54),"  ")</f>
        <v>0</v>
      </c>
      <c r="U55" s="1244" t="str">
        <f>IF(T55&gt;85,("4"),IF(T55&gt;80,("3.66"),IF(T55&gt;75,("3.33"),IF(T55&gt;70,("3.00"),IF(T55&gt;65,("2.66"),IF(T55&gt;60,("2.33"),IF(T55&gt;55,("2"),IF(T55&gt;50,("1.66"),"1.33"))))))))</f>
        <v>1.33</v>
      </c>
      <c r="V55" s="1244" t="str">
        <f>IF(T55&gt;85,("A"),IF(T55&gt;80,("A-"),IF(T55&gt;75,("B+"),IF(T55&gt;70,("B"),IF(T55&gt;65,("B-"),IF(T55&gt;60,("C+"),IF(T55&gt;55,("C"),IF(T55&gt;50,("C-"),"D+"))))))))</f>
        <v>D+</v>
      </c>
      <c r="W55" s="1244"/>
      <c r="X55" s="1221"/>
      <c r="Y55" s="1222"/>
      <c r="Z55" s="1222"/>
      <c r="AA55" s="1222"/>
      <c r="AB55" s="1222"/>
      <c r="AC55" s="1222"/>
      <c r="AD55" s="1821"/>
      <c r="AE55" s="1249"/>
    </row>
    <row r="56" spans="1:31" ht="24.95" customHeight="1" x14ac:dyDescent="0.25">
      <c r="A56" s="1224">
        <v>13</v>
      </c>
      <c r="B56" s="1225"/>
      <c r="C56" s="1209" t="str">
        <f>VLOOKUP(A56,data_siswa,4,FALSE)</f>
        <v>Misyanita Nurfitri S</v>
      </c>
      <c r="D56" s="1210" t="s">
        <v>154</v>
      </c>
      <c r="E56" s="1672"/>
      <c r="F56" s="1672"/>
      <c r="G56" s="1672"/>
      <c r="H56" s="2025">
        <v>0</v>
      </c>
      <c r="I56" s="2025">
        <v>0</v>
      </c>
      <c r="J56" s="2025">
        <v>0</v>
      </c>
      <c r="K56" s="1672"/>
      <c r="L56" s="1672"/>
      <c r="M56" s="1672"/>
      <c r="N56" s="2025"/>
      <c r="O56" s="2025"/>
      <c r="P56" s="2025"/>
      <c r="Q56" s="1077">
        <f>MAX(E56,H56,K56,N56)</f>
        <v>0</v>
      </c>
      <c r="R56" s="2126">
        <f t="shared" ref="R56:R58" si="83">MAX(F56,I56,L56,O56)</f>
        <v>0</v>
      </c>
      <c r="S56" s="2127">
        <f t="shared" ref="S56:S58" si="84">MAX(G56,J56,M56,P56)</f>
        <v>0</v>
      </c>
      <c r="T56" s="853">
        <f>IFERROR(AVERAGE(Q56:S56),"")</f>
        <v>0</v>
      </c>
      <c r="U56" s="1075" t="str">
        <f>IF(T56&gt;85,("4"),IF(T56&gt;80,("3.66"),IF(T56&gt;75,("3.33"),IF(T56&gt;70,("3.00"),IF(T56&gt;65,("2.66"),IF(T56&gt;60,("2.33"),IF(T56&gt;55,("2"),IF(T56&gt;50,("1.66"),"1.33"))))))))</f>
        <v>1.33</v>
      </c>
      <c r="V56" s="1075" t="str">
        <f>IF(T56&gt;85,("A"),IF(T56&gt;80,("A-"),IF(T56&gt;75,("B+"),IF(T56&gt;70,("B"),IF(T56&gt;65,("B-"),IF(T56&gt;60,("C+"),IF(T56&gt;55,("C"),IF(T56&gt;50,("C-"),"D+"))))))))</f>
        <v>D+</v>
      </c>
      <c r="W56" s="1075" t="str">
        <f>IF(T56&gt;80,("SB"),IF(T56&gt;65,("B"),IF(T56&gt;50,("C"),IF(T56&gt;0,("K"),"0"))))</f>
        <v>0</v>
      </c>
      <c r="X56" s="1816"/>
      <c r="Y56" s="1816"/>
      <c r="Z56" s="1816"/>
      <c r="AA56" s="1817"/>
      <c r="AB56" s="1817"/>
      <c r="AC56" s="1817"/>
      <c r="AD56" s="1818">
        <f>T59</f>
        <v>0</v>
      </c>
      <c r="AE56" s="1245" t="str">
        <f>IF(AD56&gt;85,("A"),IF(AD56&gt;80,("A-"),IF(AD56&gt;75,("B+"),IF(AD56&gt;70,("B"),IF(AD56&gt;65,("B-"),IF(AD56&gt;60,("C+"),IF(AD56&gt;55,("C"),IF(AD56&gt;50,("C-"),"D+"))))))))</f>
        <v>D+</v>
      </c>
    </row>
    <row r="57" spans="1:31" ht="24.95" customHeight="1" x14ac:dyDescent="0.25">
      <c r="A57" s="1207"/>
      <c r="B57" s="1208"/>
      <c r="C57" s="1212"/>
      <c r="D57" s="1213" t="s">
        <v>155</v>
      </c>
      <c r="E57" s="1672">
        <v>0</v>
      </c>
      <c r="F57" s="1385">
        <v>0</v>
      </c>
      <c r="G57" s="1385">
        <v>0</v>
      </c>
      <c r="H57" s="2025">
        <v>0</v>
      </c>
      <c r="I57" s="2025">
        <v>0</v>
      </c>
      <c r="J57" s="2025">
        <v>0</v>
      </c>
      <c r="K57" s="1672">
        <v>0</v>
      </c>
      <c r="L57" s="1672">
        <v>0</v>
      </c>
      <c r="M57" s="1672">
        <v>0</v>
      </c>
      <c r="N57" s="2025">
        <v>0</v>
      </c>
      <c r="O57" s="2025">
        <v>0</v>
      </c>
      <c r="P57" s="2025">
        <v>0</v>
      </c>
      <c r="Q57" s="1077">
        <f t="shared" ref="Q57:Q58" si="85">MAX(E57,H57,K57,N57)</f>
        <v>0</v>
      </c>
      <c r="R57" s="2126">
        <f t="shared" si="83"/>
        <v>0</v>
      </c>
      <c r="S57" s="2127">
        <f t="shared" si="84"/>
        <v>0</v>
      </c>
      <c r="T57" s="853">
        <f t="shared" ref="T57:T58" si="86">IFERROR(AVERAGE(Q57:S57),"")</f>
        <v>0</v>
      </c>
      <c r="U57" s="1075" t="str">
        <f t="shared" ref="U57:U58" si="87">IF(T57&gt;85,("4"),IF(T57&gt;80,("3.66"),IF(T57&gt;75,("3.33"),IF(T57&gt;70,("3.00"),IF(T57&gt;65,("2.66"),IF(T57&gt;60,("2.33"),IF(T57&gt;55,("2"),IF(T57&gt;50,("1.66"),"1.33"))))))))</f>
        <v>1.33</v>
      </c>
      <c r="V57" s="1075" t="str">
        <f t="shared" ref="V57:V58" si="88">IF(T57&gt;85,("A"),IF(T57&gt;80,("A-"),IF(T57&gt;75,("B+"),IF(T57&gt;70,("B"),IF(T57&gt;65,("B-"),IF(T57&gt;60,("C+"),IF(T57&gt;55,("C"),IF(T57&gt;50,("C-"),"D+"))))))))</f>
        <v>D+</v>
      </c>
      <c r="W57" s="1075" t="str">
        <f t="shared" ref="W57:W58" si="89">IF(T57&gt;80,("SB"),IF(T57&gt;65,("B"),IF(T57&gt;50,("C"),IF(T57&gt;0,("K"),"0"))))</f>
        <v>0</v>
      </c>
      <c r="X57" s="1214"/>
      <c r="Y57" s="1215"/>
      <c r="Z57" s="1215"/>
      <c r="AA57" s="1215"/>
      <c r="AB57" s="1215"/>
      <c r="AC57" s="1215"/>
      <c r="AD57" s="1819"/>
      <c r="AE57" s="1246"/>
    </row>
    <row r="58" spans="1:31" ht="24.95" customHeight="1" x14ac:dyDescent="0.25">
      <c r="A58" s="1207"/>
      <c r="B58" s="1208"/>
      <c r="C58" s="1212"/>
      <c r="D58" s="1213" t="s">
        <v>9</v>
      </c>
      <c r="E58" s="1385"/>
      <c r="F58" s="1385"/>
      <c r="G58" s="1385"/>
      <c r="H58" s="2025">
        <v>0</v>
      </c>
      <c r="I58" s="2025">
        <v>0</v>
      </c>
      <c r="J58" s="2025">
        <v>0</v>
      </c>
      <c r="K58" s="1672">
        <v>0</v>
      </c>
      <c r="L58" s="1672">
        <v>0</v>
      </c>
      <c r="M58" s="1672">
        <v>0</v>
      </c>
      <c r="N58" s="2025"/>
      <c r="O58" s="2025"/>
      <c r="P58" s="2025"/>
      <c r="Q58" s="1077">
        <f t="shared" si="85"/>
        <v>0</v>
      </c>
      <c r="R58" s="2126">
        <f t="shared" si="83"/>
        <v>0</v>
      </c>
      <c r="S58" s="2127">
        <f t="shared" si="84"/>
        <v>0</v>
      </c>
      <c r="T58" s="853">
        <f t="shared" si="86"/>
        <v>0</v>
      </c>
      <c r="U58" s="1075" t="str">
        <f t="shared" si="87"/>
        <v>1.33</v>
      </c>
      <c r="V58" s="1075" t="str">
        <f t="shared" si="88"/>
        <v>D+</v>
      </c>
      <c r="W58" s="1075" t="str">
        <f t="shared" si="89"/>
        <v>0</v>
      </c>
      <c r="X58" s="1216"/>
      <c r="Y58" s="1217"/>
      <c r="Z58" s="1217"/>
      <c r="AA58" s="1217"/>
      <c r="AB58" s="1217"/>
      <c r="AC58" s="1217"/>
      <c r="AD58" s="1820"/>
      <c r="AE58" s="1247"/>
    </row>
    <row r="59" spans="1:31" ht="24.95" customHeight="1" x14ac:dyDescent="0.25">
      <c r="A59" s="1236"/>
      <c r="B59" s="1241"/>
      <c r="C59" s="1220" t="s">
        <v>167</v>
      </c>
      <c r="D59" s="1237"/>
      <c r="E59" s="2687"/>
      <c r="F59" s="2688"/>
      <c r="G59" s="2688"/>
      <c r="H59" s="2688"/>
      <c r="I59" s="2076"/>
      <c r="J59" s="2076"/>
      <c r="K59" s="2076"/>
      <c r="L59" s="2076"/>
      <c r="M59" s="2076"/>
      <c r="N59" s="2076"/>
      <c r="O59" s="2076"/>
      <c r="P59" s="2076"/>
      <c r="Q59" s="2128"/>
      <c r="R59" s="2128"/>
      <c r="S59" s="2128"/>
      <c r="T59" s="732">
        <f>IFERROR(AVERAGE(T56:T58),"  ")</f>
        <v>0</v>
      </c>
      <c r="U59" s="1244" t="str">
        <f>IF(T59&gt;85,("4"),IF(T59&gt;80,("3.66"),IF(T59&gt;75,("3.33"),IF(T59&gt;70,("3.00"),IF(T59&gt;65,("2.66"),IF(T59&gt;60,("2.33"),IF(T59&gt;55,("2"),IF(T59&gt;50,("1.66"),"1.33"))))))))</f>
        <v>1.33</v>
      </c>
      <c r="V59" s="1244" t="str">
        <f>IF(T59&gt;85,("A"),IF(T59&gt;80,("A-"),IF(T59&gt;75,("B+"),IF(T59&gt;70,("B"),IF(T59&gt;65,("B-"),IF(T59&gt;60,("C+"),IF(T59&gt;55,("C"),IF(T59&gt;50,("C-"),"D+"))))))))</f>
        <v>D+</v>
      </c>
      <c r="W59" s="1244"/>
      <c r="X59" s="1221"/>
      <c r="Y59" s="1222"/>
      <c r="Z59" s="1222"/>
      <c r="AA59" s="1222"/>
      <c r="AB59" s="1222"/>
      <c r="AC59" s="1222"/>
      <c r="AD59" s="1821"/>
      <c r="AE59" s="1249"/>
    </row>
    <row r="60" spans="1:31" ht="24.95" customHeight="1" x14ac:dyDescent="0.25">
      <c r="A60" s="1224">
        <v>14</v>
      </c>
      <c r="B60" s="1225"/>
      <c r="C60" s="1209" t="str">
        <f>VLOOKUP(A60,data_siswa,4,FALSE)</f>
        <v>Moch Zidane Hita L. U</v>
      </c>
      <c r="D60" s="1210" t="s">
        <v>154</v>
      </c>
      <c r="E60" s="1672"/>
      <c r="F60" s="1672"/>
      <c r="G60" s="1672"/>
      <c r="H60" s="2025">
        <v>0</v>
      </c>
      <c r="I60" s="2025">
        <v>0</v>
      </c>
      <c r="J60" s="2025">
        <v>0</v>
      </c>
      <c r="K60" s="1672"/>
      <c r="L60" s="1672"/>
      <c r="M60" s="1672"/>
      <c r="N60" s="2025"/>
      <c r="O60" s="2025"/>
      <c r="P60" s="2025"/>
      <c r="Q60" s="1077">
        <f>MAX(E60,H60,K60,N60)</f>
        <v>0</v>
      </c>
      <c r="R60" s="2126">
        <f t="shared" ref="R60:R62" si="90">MAX(F60,I60,L60,O60)</f>
        <v>0</v>
      </c>
      <c r="S60" s="2127">
        <f t="shared" ref="S60:S62" si="91">MAX(G60,J60,M60,P60)</f>
        <v>0</v>
      </c>
      <c r="T60" s="853">
        <f>IFERROR(AVERAGE(Q60:S60),"")</f>
        <v>0</v>
      </c>
      <c r="U60" s="1075" t="str">
        <f>IF(T60&gt;85,("4"),IF(T60&gt;80,("3.66"),IF(T60&gt;75,("3.33"),IF(T60&gt;70,("3.00"),IF(T60&gt;65,("2.66"),IF(T60&gt;60,("2.33"),IF(T60&gt;55,("2"),IF(T60&gt;50,("1.66"),"1.33"))))))))</f>
        <v>1.33</v>
      </c>
      <c r="V60" s="1075" t="str">
        <f>IF(T60&gt;85,("A"),IF(T60&gt;80,("A-"),IF(T60&gt;75,("B+"),IF(T60&gt;70,("B"),IF(T60&gt;65,("B-"),IF(T60&gt;60,("C+"),IF(T60&gt;55,("C"),IF(T60&gt;50,("C-"),"D+"))))))))</f>
        <v>D+</v>
      </c>
      <c r="W60" s="1075" t="str">
        <f>IF(T60&gt;80,("SB"),IF(T60&gt;65,("B"),IF(T60&gt;50,("C"),IF(T60&gt;0,("K"),"0"))))</f>
        <v>0</v>
      </c>
      <c r="X60" s="1816"/>
      <c r="Y60" s="1816"/>
      <c r="Z60" s="1816"/>
      <c r="AA60" s="1817"/>
      <c r="AB60" s="1817"/>
      <c r="AC60" s="1817"/>
      <c r="AD60" s="1818">
        <f>T63</f>
        <v>0</v>
      </c>
      <c r="AE60" s="1245" t="str">
        <f>IF(AD60&gt;85,("A"),IF(AD60&gt;80,("A-"),IF(AD60&gt;75,("B+"),IF(AD60&gt;70,("B"),IF(AD60&gt;65,("B-"),IF(AD60&gt;60,("C+"),IF(AD60&gt;55,("C"),IF(AD60&gt;50,("C-"),"D+"))))))))</f>
        <v>D+</v>
      </c>
    </row>
    <row r="61" spans="1:31" ht="24.95" customHeight="1" x14ac:dyDescent="0.25">
      <c r="A61" s="1207"/>
      <c r="B61" s="1208"/>
      <c r="C61" s="1212"/>
      <c r="D61" s="1213" t="s">
        <v>155</v>
      </c>
      <c r="E61" s="1672">
        <v>0</v>
      </c>
      <c r="F61" s="1385">
        <v>0</v>
      </c>
      <c r="G61" s="1385">
        <v>0</v>
      </c>
      <c r="H61" s="2025">
        <v>0</v>
      </c>
      <c r="I61" s="2025">
        <v>0</v>
      </c>
      <c r="J61" s="2025">
        <v>0</v>
      </c>
      <c r="K61" s="1672">
        <v>0</v>
      </c>
      <c r="L61" s="1672">
        <v>0</v>
      </c>
      <c r="M61" s="1672">
        <v>0</v>
      </c>
      <c r="N61" s="2025">
        <v>0</v>
      </c>
      <c r="O61" s="2025">
        <v>0</v>
      </c>
      <c r="P61" s="2025">
        <v>0</v>
      </c>
      <c r="Q61" s="1077">
        <f t="shared" ref="Q61:Q62" si="92">MAX(E61,H61,K61,N61)</f>
        <v>0</v>
      </c>
      <c r="R61" s="2126">
        <f t="shared" si="90"/>
        <v>0</v>
      </c>
      <c r="S61" s="2127">
        <f t="shared" si="91"/>
        <v>0</v>
      </c>
      <c r="T61" s="853">
        <f t="shared" ref="T61:T62" si="93">IFERROR(AVERAGE(Q61:S61),"")</f>
        <v>0</v>
      </c>
      <c r="U61" s="1075" t="str">
        <f t="shared" ref="U61:U62" si="94">IF(T61&gt;85,("4"),IF(T61&gt;80,("3.66"),IF(T61&gt;75,("3.33"),IF(T61&gt;70,("3.00"),IF(T61&gt;65,("2.66"),IF(T61&gt;60,("2.33"),IF(T61&gt;55,("2"),IF(T61&gt;50,("1.66"),"1.33"))))))))</f>
        <v>1.33</v>
      </c>
      <c r="V61" s="1075" t="str">
        <f t="shared" ref="V61:V62" si="95">IF(T61&gt;85,("A"),IF(T61&gt;80,("A-"),IF(T61&gt;75,("B+"),IF(T61&gt;70,("B"),IF(T61&gt;65,("B-"),IF(T61&gt;60,("C+"),IF(T61&gt;55,("C"),IF(T61&gt;50,("C-"),"D+"))))))))</f>
        <v>D+</v>
      </c>
      <c r="W61" s="1075" t="str">
        <f t="shared" ref="W61:W62" si="96">IF(T61&gt;80,("SB"),IF(T61&gt;65,("B"),IF(T61&gt;50,("C"),IF(T61&gt;0,("K"),"0"))))</f>
        <v>0</v>
      </c>
      <c r="X61" s="1214"/>
      <c r="Y61" s="1215"/>
      <c r="Z61" s="1215"/>
      <c r="AA61" s="1215"/>
      <c r="AB61" s="1215"/>
      <c r="AC61" s="1215"/>
      <c r="AD61" s="1819"/>
      <c r="AE61" s="1246"/>
    </row>
    <row r="62" spans="1:31" ht="24.95" customHeight="1" x14ac:dyDescent="0.25">
      <c r="A62" s="1207"/>
      <c r="B62" s="1208"/>
      <c r="C62" s="1212"/>
      <c r="D62" s="1213" t="s">
        <v>9</v>
      </c>
      <c r="E62" s="1385"/>
      <c r="F62" s="1385"/>
      <c r="G62" s="1385"/>
      <c r="H62" s="2025">
        <v>0</v>
      </c>
      <c r="I62" s="2025">
        <v>0</v>
      </c>
      <c r="J62" s="2025">
        <v>0</v>
      </c>
      <c r="K62" s="1672">
        <v>0</v>
      </c>
      <c r="L62" s="1672">
        <v>0</v>
      </c>
      <c r="M62" s="1672">
        <v>0</v>
      </c>
      <c r="N62" s="2025"/>
      <c r="O62" s="2025"/>
      <c r="P62" s="2025"/>
      <c r="Q62" s="1077">
        <f t="shared" si="92"/>
        <v>0</v>
      </c>
      <c r="R62" s="2126">
        <f t="shared" si="90"/>
        <v>0</v>
      </c>
      <c r="S62" s="2127">
        <f t="shared" si="91"/>
        <v>0</v>
      </c>
      <c r="T62" s="853">
        <f t="shared" si="93"/>
        <v>0</v>
      </c>
      <c r="U62" s="1075" t="str">
        <f t="shared" si="94"/>
        <v>1.33</v>
      </c>
      <c r="V62" s="1075" t="str">
        <f t="shared" si="95"/>
        <v>D+</v>
      </c>
      <c r="W62" s="1075" t="str">
        <f t="shared" si="96"/>
        <v>0</v>
      </c>
      <c r="X62" s="1216"/>
      <c r="Y62" s="1217"/>
      <c r="Z62" s="1217"/>
      <c r="AA62" s="1217"/>
      <c r="AB62" s="1217"/>
      <c r="AC62" s="1217"/>
      <c r="AD62" s="1820"/>
      <c r="AE62" s="1247"/>
    </row>
    <row r="63" spans="1:31" ht="24.95" customHeight="1" x14ac:dyDescent="0.25">
      <c r="A63" s="1236"/>
      <c r="B63" s="1241"/>
      <c r="C63" s="1220" t="s">
        <v>167</v>
      </c>
      <c r="D63" s="1237"/>
      <c r="E63" s="2687"/>
      <c r="F63" s="2688"/>
      <c r="G63" s="2688"/>
      <c r="H63" s="2688"/>
      <c r="I63" s="2076"/>
      <c r="J63" s="2076"/>
      <c r="K63" s="2076"/>
      <c r="L63" s="2076"/>
      <c r="M63" s="2076"/>
      <c r="N63" s="2076"/>
      <c r="O63" s="2076"/>
      <c r="P63" s="2076"/>
      <c r="Q63" s="2128"/>
      <c r="R63" s="2128"/>
      <c r="S63" s="2128"/>
      <c r="T63" s="732">
        <f>IFERROR(AVERAGE(T60:T62),"  ")</f>
        <v>0</v>
      </c>
      <c r="U63" s="1244" t="str">
        <f>IF(T63&gt;85,("4"),IF(T63&gt;80,("3.66"),IF(T63&gt;75,("3.33"),IF(T63&gt;70,("3.00"),IF(T63&gt;65,("2.66"),IF(T63&gt;60,("2.33"),IF(T63&gt;55,("2"),IF(T63&gt;50,("1.66"),"1.33"))))))))</f>
        <v>1.33</v>
      </c>
      <c r="V63" s="1244" t="str">
        <f>IF(T63&gt;85,("A"),IF(T63&gt;80,("A-"),IF(T63&gt;75,("B+"),IF(T63&gt;70,("B"),IF(T63&gt;65,("B-"),IF(T63&gt;60,("C+"),IF(T63&gt;55,("C"),IF(T63&gt;50,("C-"),"D+"))))))))</f>
        <v>D+</v>
      </c>
      <c r="W63" s="1244"/>
      <c r="X63" s="1221"/>
      <c r="Y63" s="1222"/>
      <c r="Z63" s="1222"/>
      <c r="AA63" s="1222"/>
      <c r="AB63" s="1222"/>
      <c r="AC63" s="1222"/>
      <c r="AD63" s="1821"/>
      <c r="AE63" s="1249"/>
    </row>
    <row r="64" spans="1:31" ht="24.95" customHeight="1" x14ac:dyDescent="0.25">
      <c r="A64" s="1224">
        <v>15</v>
      </c>
      <c r="B64" s="1225"/>
      <c r="C64" s="1209" t="str">
        <f>VLOOKUP(A64,data_siswa,4,FALSE)</f>
        <v>Muhammad Ibra Maulana</v>
      </c>
      <c r="D64" s="1210" t="s">
        <v>154</v>
      </c>
      <c r="E64" s="1672"/>
      <c r="F64" s="1672"/>
      <c r="G64" s="1672"/>
      <c r="H64" s="2025">
        <v>0</v>
      </c>
      <c r="I64" s="2025">
        <v>0</v>
      </c>
      <c r="J64" s="2025">
        <v>0</v>
      </c>
      <c r="K64" s="1672"/>
      <c r="L64" s="1672"/>
      <c r="M64" s="1672"/>
      <c r="N64" s="2025"/>
      <c r="O64" s="2025"/>
      <c r="P64" s="2025"/>
      <c r="Q64" s="1077">
        <f>MAX(E64,H64,K64,N64)</f>
        <v>0</v>
      </c>
      <c r="R64" s="2126">
        <f t="shared" ref="R64:R66" si="97">MAX(F64,I64,L64,O64)</f>
        <v>0</v>
      </c>
      <c r="S64" s="2127">
        <f t="shared" ref="S64:S66" si="98">MAX(G64,J64,M64,P64)</f>
        <v>0</v>
      </c>
      <c r="T64" s="853">
        <f>IFERROR(AVERAGE(Q64:S64),"")</f>
        <v>0</v>
      </c>
      <c r="U64" s="1075" t="str">
        <f>IF(T64&gt;85,("4"),IF(T64&gt;80,("3.66"),IF(T64&gt;75,("3.33"),IF(T64&gt;70,("3.00"),IF(T64&gt;65,("2.66"),IF(T64&gt;60,("2.33"),IF(T64&gt;55,("2"),IF(T64&gt;50,("1.66"),"1.33"))))))))</f>
        <v>1.33</v>
      </c>
      <c r="V64" s="1075" t="str">
        <f>IF(T64&gt;85,("A"),IF(T64&gt;80,("A-"),IF(T64&gt;75,("B+"),IF(T64&gt;70,("B"),IF(T64&gt;65,("B-"),IF(T64&gt;60,("C+"),IF(T64&gt;55,("C"),IF(T64&gt;50,("C-"),"D+"))))))))</f>
        <v>D+</v>
      </c>
      <c r="W64" s="1075" t="str">
        <f>IF(T64&gt;80,("SB"),IF(T64&gt;65,("B"),IF(T64&gt;50,("C"),IF(T64&gt;0,("K"),"0"))))</f>
        <v>0</v>
      </c>
      <c r="X64" s="1816"/>
      <c r="Y64" s="1816"/>
      <c r="Z64" s="1816"/>
      <c r="AA64" s="1817"/>
      <c r="AB64" s="1817"/>
      <c r="AC64" s="1817"/>
      <c r="AD64" s="1818">
        <f>T67</f>
        <v>0</v>
      </c>
      <c r="AE64" s="1245" t="str">
        <f>IF(AD64&gt;85,("A"),IF(AD64&gt;80,("A-"),IF(AD64&gt;75,("B+"),IF(AD64&gt;70,("B"),IF(AD64&gt;65,("B-"),IF(AD64&gt;60,("C+"),IF(AD64&gt;55,("C"),IF(AD64&gt;50,("C-"),"D+"))))))))</f>
        <v>D+</v>
      </c>
    </row>
    <row r="65" spans="1:31" ht="24.95" customHeight="1" x14ac:dyDescent="0.25">
      <c r="A65" s="1207"/>
      <c r="B65" s="1208"/>
      <c r="C65" s="1212"/>
      <c r="D65" s="1213" t="s">
        <v>155</v>
      </c>
      <c r="E65" s="1672">
        <v>0</v>
      </c>
      <c r="F65" s="1385">
        <v>0</v>
      </c>
      <c r="G65" s="1385">
        <v>0</v>
      </c>
      <c r="H65" s="2025">
        <v>0</v>
      </c>
      <c r="I65" s="2025">
        <v>0</v>
      </c>
      <c r="J65" s="2025">
        <v>0</v>
      </c>
      <c r="K65" s="1672">
        <v>0</v>
      </c>
      <c r="L65" s="1672">
        <v>0</v>
      </c>
      <c r="M65" s="1672">
        <v>0</v>
      </c>
      <c r="N65" s="2025">
        <v>0</v>
      </c>
      <c r="O65" s="2025">
        <v>0</v>
      </c>
      <c r="P65" s="2025">
        <v>0</v>
      </c>
      <c r="Q65" s="1077">
        <f t="shared" ref="Q65:Q66" si="99">MAX(E65,H65,K65,N65)</f>
        <v>0</v>
      </c>
      <c r="R65" s="2126">
        <f t="shared" si="97"/>
        <v>0</v>
      </c>
      <c r="S65" s="2127">
        <f t="shared" si="98"/>
        <v>0</v>
      </c>
      <c r="T65" s="853">
        <f t="shared" ref="T65:T66" si="100">IFERROR(AVERAGE(Q65:S65),"")</f>
        <v>0</v>
      </c>
      <c r="U65" s="1075" t="str">
        <f t="shared" ref="U65:U66" si="101">IF(T65&gt;85,("4"),IF(T65&gt;80,("3.66"),IF(T65&gt;75,("3.33"),IF(T65&gt;70,("3.00"),IF(T65&gt;65,("2.66"),IF(T65&gt;60,("2.33"),IF(T65&gt;55,("2"),IF(T65&gt;50,("1.66"),"1.33"))))))))</f>
        <v>1.33</v>
      </c>
      <c r="V65" s="1075" t="str">
        <f t="shared" ref="V65:V66" si="102">IF(T65&gt;85,("A"),IF(T65&gt;80,("A-"),IF(T65&gt;75,("B+"),IF(T65&gt;70,("B"),IF(T65&gt;65,("B-"),IF(T65&gt;60,("C+"),IF(T65&gt;55,("C"),IF(T65&gt;50,("C-"),"D+"))))))))</f>
        <v>D+</v>
      </c>
      <c r="W65" s="1075" t="str">
        <f t="shared" ref="W65:W66" si="103">IF(T65&gt;80,("SB"),IF(T65&gt;65,("B"),IF(T65&gt;50,("C"),IF(T65&gt;0,("K"),"0"))))</f>
        <v>0</v>
      </c>
      <c r="X65" s="1214"/>
      <c r="Y65" s="1215"/>
      <c r="Z65" s="1215"/>
      <c r="AA65" s="1215"/>
      <c r="AB65" s="1215"/>
      <c r="AC65" s="1215"/>
      <c r="AD65" s="1819"/>
      <c r="AE65" s="1246"/>
    </row>
    <row r="66" spans="1:31" ht="24.95" customHeight="1" x14ac:dyDescent="0.25">
      <c r="A66" s="1207"/>
      <c r="B66" s="1208"/>
      <c r="C66" s="1212"/>
      <c r="D66" s="1213" t="s">
        <v>9</v>
      </c>
      <c r="E66" s="1385"/>
      <c r="F66" s="1385"/>
      <c r="G66" s="1385"/>
      <c r="H66" s="2025">
        <v>0</v>
      </c>
      <c r="I66" s="2025">
        <v>0</v>
      </c>
      <c r="J66" s="2025">
        <v>0</v>
      </c>
      <c r="K66" s="1672">
        <v>0</v>
      </c>
      <c r="L66" s="1672">
        <v>0</v>
      </c>
      <c r="M66" s="1672">
        <v>0</v>
      </c>
      <c r="N66" s="2025"/>
      <c r="O66" s="2025"/>
      <c r="P66" s="2025"/>
      <c r="Q66" s="1077">
        <f t="shared" si="99"/>
        <v>0</v>
      </c>
      <c r="R66" s="2126">
        <f t="shared" si="97"/>
        <v>0</v>
      </c>
      <c r="S66" s="2127">
        <f t="shared" si="98"/>
        <v>0</v>
      </c>
      <c r="T66" s="853">
        <f t="shared" si="100"/>
        <v>0</v>
      </c>
      <c r="U66" s="1075" t="str">
        <f t="shared" si="101"/>
        <v>1.33</v>
      </c>
      <c r="V66" s="1075" t="str">
        <f t="shared" si="102"/>
        <v>D+</v>
      </c>
      <c r="W66" s="1075" t="str">
        <f t="shared" si="103"/>
        <v>0</v>
      </c>
      <c r="X66" s="1216"/>
      <c r="Y66" s="1217"/>
      <c r="Z66" s="1217"/>
      <c r="AA66" s="1217"/>
      <c r="AB66" s="1217"/>
      <c r="AC66" s="1217"/>
      <c r="AD66" s="1820"/>
      <c r="AE66" s="1247"/>
    </row>
    <row r="67" spans="1:31" ht="24.95" customHeight="1" x14ac:dyDescent="0.25">
      <c r="A67" s="1236"/>
      <c r="B67" s="1241"/>
      <c r="C67" s="1220" t="s">
        <v>167</v>
      </c>
      <c r="D67" s="1237"/>
      <c r="E67" s="2687"/>
      <c r="F67" s="2688"/>
      <c r="G67" s="2688"/>
      <c r="H67" s="2688"/>
      <c r="I67" s="2076"/>
      <c r="J67" s="2076"/>
      <c r="K67" s="2076"/>
      <c r="L67" s="2076"/>
      <c r="M67" s="2076"/>
      <c r="N67" s="2076"/>
      <c r="O67" s="2076"/>
      <c r="P67" s="2076"/>
      <c r="Q67" s="2128"/>
      <c r="R67" s="2128"/>
      <c r="S67" s="2128"/>
      <c r="T67" s="732">
        <f>IFERROR(AVERAGE(T64:T66),"  ")</f>
        <v>0</v>
      </c>
      <c r="U67" s="1244" t="str">
        <f>IF(T67&gt;85,("4"),IF(T67&gt;80,("3.66"),IF(T67&gt;75,("3.33"),IF(T67&gt;70,("3.00"),IF(T67&gt;65,("2.66"),IF(T67&gt;60,("2.33"),IF(T67&gt;55,("2"),IF(T67&gt;50,("1.66"),"1.33"))))))))</f>
        <v>1.33</v>
      </c>
      <c r="V67" s="1244" t="str">
        <f>IF(T67&gt;85,("A"),IF(T67&gt;80,("A-"),IF(T67&gt;75,("B+"),IF(T67&gt;70,("B"),IF(T67&gt;65,("B-"),IF(T67&gt;60,("C+"),IF(T67&gt;55,("C"),IF(T67&gt;50,("C-"),"D+"))))))))</f>
        <v>D+</v>
      </c>
      <c r="W67" s="1244"/>
      <c r="X67" s="1221"/>
      <c r="Y67" s="1222"/>
      <c r="Z67" s="1222"/>
      <c r="AA67" s="1222"/>
      <c r="AB67" s="1222"/>
      <c r="AC67" s="1222"/>
      <c r="AD67" s="1821"/>
      <c r="AE67" s="1249"/>
    </row>
    <row r="68" spans="1:31" ht="24.95" customHeight="1" x14ac:dyDescent="0.25">
      <c r="A68" s="1224">
        <v>16</v>
      </c>
      <c r="B68" s="1225"/>
      <c r="C68" s="1209" t="str">
        <f>VLOOKUP(A68,data_siswa,4,FALSE)</f>
        <v>Nabilla Shiva Putri</v>
      </c>
      <c r="D68" s="1210" t="s">
        <v>154</v>
      </c>
      <c r="E68" s="1672"/>
      <c r="F68" s="1672"/>
      <c r="G68" s="1672"/>
      <c r="H68" s="2025">
        <v>0</v>
      </c>
      <c r="I68" s="2025">
        <v>0</v>
      </c>
      <c r="J68" s="2025">
        <v>0</v>
      </c>
      <c r="K68" s="1672"/>
      <c r="L68" s="1672"/>
      <c r="M68" s="1672"/>
      <c r="N68" s="2025"/>
      <c r="O68" s="2025"/>
      <c r="P68" s="2025"/>
      <c r="Q68" s="1077">
        <f>MAX(E68,H68,K68,N68)</f>
        <v>0</v>
      </c>
      <c r="R68" s="2126">
        <f t="shared" ref="R68:R70" si="104">MAX(F68,I68,L68,O68)</f>
        <v>0</v>
      </c>
      <c r="S68" s="2127">
        <f t="shared" ref="S68:S70" si="105">MAX(G68,J68,M68,P68)</f>
        <v>0</v>
      </c>
      <c r="T68" s="853">
        <f>IFERROR(AVERAGE(Q68:S68),"")</f>
        <v>0</v>
      </c>
      <c r="U68" s="1075" t="str">
        <f>IF(T68&gt;85,("4"),IF(T68&gt;80,("3.66"),IF(T68&gt;75,("3.33"),IF(T68&gt;70,("3.00"),IF(T68&gt;65,("2.66"),IF(T68&gt;60,("2.33"),IF(T68&gt;55,("2"),IF(T68&gt;50,("1.66"),"1.33"))))))))</f>
        <v>1.33</v>
      </c>
      <c r="V68" s="1075" t="str">
        <f>IF(T68&gt;85,("A"),IF(T68&gt;80,("A-"),IF(T68&gt;75,("B+"),IF(T68&gt;70,("B"),IF(T68&gt;65,("B-"),IF(T68&gt;60,("C+"),IF(T68&gt;55,("C"),IF(T68&gt;50,("C-"),"D+"))))))))</f>
        <v>D+</v>
      </c>
      <c r="W68" s="1075" t="str">
        <f>IF(T68&gt;80,("SB"),IF(T68&gt;65,("B"),IF(T68&gt;50,("C"),IF(T68&gt;0,("K"),"0"))))</f>
        <v>0</v>
      </c>
      <c r="X68" s="1816"/>
      <c r="Y68" s="1816"/>
      <c r="Z68" s="1816"/>
      <c r="AA68" s="1817"/>
      <c r="AB68" s="1817"/>
      <c r="AC68" s="1817"/>
      <c r="AD68" s="1818">
        <f>T71</f>
        <v>0</v>
      </c>
      <c r="AE68" s="1245" t="str">
        <f>IF(AD68&gt;85,("A"),IF(AD68&gt;80,("A-"),IF(AD68&gt;75,("B+"),IF(AD68&gt;70,("B"),IF(AD68&gt;65,("B-"),IF(AD68&gt;60,("C+"),IF(AD68&gt;55,("C"),IF(AD68&gt;50,("C-"),"D+"))))))))</f>
        <v>D+</v>
      </c>
    </row>
    <row r="69" spans="1:31" ht="24.95" customHeight="1" x14ac:dyDescent="0.25">
      <c r="A69" s="1207"/>
      <c r="B69" s="1208"/>
      <c r="C69" s="1212"/>
      <c r="D69" s="1213" t="s">
        <v>155</v>
      </c>
      <c r="E69" s="1672">
        <v>0</v>
      </c>
      <c r="F69" s="1385">
        <v>0</v>
      </c>
      <c r="G69" s="1385">
        <v>0</v>
      </c>
      <c r="H69" s="2025">
        <v>0</v>
      </c>
      <c r="I69" s="2025">
        <v>0</v>
      </c>
      <c r="J69" s="2025">
        <v>0</v>
      </c>
      <c r="K69" s="1672">
        <v>0</v>
      </c>
      <c r="L69" s="1672">
        <v>0</v>
      </c>
      <c r="M69" s="1672">
        <v>0</v>
      </c>
      <c r="N69" s="2025">
        <v>0</v>
      </c>
      <c r="O69" s="2025">
        <v>0</v>
      </c>
      <c r="P69" s="2025">
        <v>0</v>
      </c>
      <c r="Q69" s="1077">
        <f t="shared" ref="Q69:Q70" si="106">MAX(E69,H69,K69,N69)</f>
        <v>0</v>
      </c>
      <c r="R69" s="2126">
        <f t="shared" si="104"/>
        <v>0</v>
      </c>
      <c r="S69" s="2127">
        <f t="shared" si="105"/>
        <v>0</v>
      </c>
      <c r="T69" s="853">
        <f t="shared" ref="T69:T70" si="107">IFERROR(AVERAGE(Q69:S69),"")</f>
        <v>0</v>
      </c>
      <c r="U69" s="1075" t="str">
        <f t="shared" ref="U69:U70" si="108">IF(T69&gt;85,("4"),IF(T69&gt;80,("3.66"),IF(T69&gt;75,("3.33"),IF(T69&gt;70,("3.00"),IF(T69&gt;65,("2.66"),IF(T69&gt;60,("2.33"),IF(T69&gt;55,("2"),IF(T69&gt;50,("1.66"),"1.33"))))))))</f>
        <v>1.33</v>
      </c>
      <c r="V69" s="1075" t="str">
        <f t="shared" ref="V69:V70" si="109">IF(T69&gt;85,("A"),IF(T69&gt;80,("A-"),IF(T69&gt;75,("B+"),IF(T69&gt;70,("B"),IF(T69&gt;65,("B-"),IF(T69&gt;60,("C+"),IF(T69&gt;55,("C"),IF(T69&gt;50,("C-"),"D+"))))))))</f>
        <v>D+</v>
      </c>
      <c r="W69" s="1075" t="str">
        <f t="shared" ref="W69:W70" si="110">IF(T69&gt;80,("SB"),IF(T69&gt;65,("B"),IF(T69&gt;50,("C"),IF(T69&gt;0,("K"),"0"))))</f>
        <v>0</v>
      </c>
      <c r="X69" s="1214"/>
      <c r="Y69" s="1215"/>
      <c r="Z69" s="1215"/>
      <c r="AA69" s="1215"/>
      <c r="AB69" s="1215"/>
      <c r="AC69" s="1215"/>
      <c r="AD69" s="1819"/>
      <c r="AE69" s="1246"/>
    </row>
    <row r="70" spans="1:31" ht="24.95" customHeight="1" x14ac:dyDescent="0.25">
      <c r="A70" s="1207"/>
      <c r="B70" s="1208"/>
      <c r="C70" s="1212"/>
      <c r="D70" s="1213" t="s">
        <v>9</v>
      </c>
      <c r="E70" s="1385"/>
      <c r="F70" s="1385"/>
      <c r="G70" s="1385"/>
      <c r="H70" s="2025">
        <v>0</v>
      </c>
      <c r="I70" s="2025">
        <v>0</v>
      </c>
      <c r="J70" s="2025">
        <v>0</v>
      </c>
      <c r="K70" s="1672">
        <v>0</v>
      </c>
      <c r="L70" s="1672">
        <v>0</v>
      </c>
      <c r="M70" s="1672">
        <v>0</v>
      </c>
      <c r="N70" s="2025"/>
      <c r="O70" s="2025"/>
      <c r="P70" s="2025"/>
      <c r="Q70" s="1077">
        <f t="shared" si="106"/>
        <v>0</v>
      </c>
      <c r="R70" s="2126">
        <f t="shared" si="104"/>
        <v>0</v>
      </c>
      <c r="S70" s="2127">
        <f t="shared" si="105"/>
        <v>0</v>
      </c>
      <c r="T70" s="853">
        <f t="shared" si="107"/>
        <v>0</v>
      </c>
      <c r="U70" s="1075" t="str">
        <f t="shared" si="108"/>
        <v>1.33</v>
      </c>
      <c r="V70" s="1075" t="str">
        <f t="shared" si="109"/>
        <v>D+</v>
      </c>
      <c r="W70" s="1075" t="str">
        <f t="shared" si="110"/>
        <v>0</v>
      </c>
      <c r="X70" s="1216"/>
      <c r="Y70" s="1217"/>
      <c r="Z70" s="1217"/>
      <c r="AA70" s="1217"/>
      <c r="AB70" s="1217"/>
      <c r="AC70" s="1217"/>
      <c r="AD70" s="1820"/>
      <c r="AE70" s="1247"/>
    </row>
    <row r="71" spans="1:31" ht="24.95" customHeight="1" x14ac:dyDescent="0.25">
      <c r="A71" s="1236"/>
      <c r="B71" s="1241"/>
      <c r="C71" s="1220" t="s">
        <v>167</v>
      </c>
      <c r="D71" s="1237"/>
      <c r="E71" s="2687"/>
      <c r="F71" s="2688"/>
      <c r="G71" s="2688"/>
      <c r="H71" s="2688"/>
      <c r="I71" s="2076"/>
      <c r="J71" s="2076"/>
      <c r="K71" s="2076"/>
      <c r="L71" s="2076"/>
      <c r="M71" s="2076"/>
      <c r="N71" s="2076"/>
      <c r="O71" s="2076"/>
      <c r="P71" s="2076"/>
      <c r="Q71" s="2128"/>
      <c r="R71" s="2128"/>
      <c r="S71" s="2128"/>
      <c r="T71" s="732">
        <f>IFERROR(AVERAGE(T68:T70),"  ")</f>
        <v>0</v>
      </c>
      <c r="U71" s="1244" t="str">
        <f>IF(T71&gt;85,("4"),IF(T71&gt;80,("3.66"),IF(T71&gt;75,("3.33"),IF(T71&gt;70,("3.00"),IF(T71&gt;65,("2.66"),IF(T71&gt;60,("2.33"),IF(T71&gt;55,("2"),IF(T71&gt;50,("1.66"),"1.33"))))))))</f>
        <v>1.33</v>
      </c>
      <c r="V71" s="1244" t="str">
        <f>IF(T71&gt;85,("A"),IF(T71&gt;80,("A-"),IF(T71&gt;75,("B+"),IF(T71&gt;70,("B"),IF(T71&gt;65,("B-"),IF(T71&gt;60,("C+"),IF(T71&gt;55,("C"),IF(T71&gt;50,("C-"),"D+"))))))))</f>
        <v>D+</v>
      </c>
      <c r="W71" s="1244"/>
      <c r="X71" s="1221"/>
      <c r="Y71" s="1222"/>
      <c r="Z71" s="1222"/>
      <c r="AA71" s="1222"/>
      <c r="AB71" s="1222"/>
      <c r="AC71" s="1222"/>
      <c r="AD71" s="1821"/>
      <c r="AE71" s="1249"/>
    </row>
    <row r="72" spans="1:31" ht="24.95" customHeight="1" x14ac:dyDescent="0.25">
      <c r="A72" s="1224">
        <v>17</v>
      </c>
      <c r="B72" s="1225"/>
      <c r="C72" s="1209" t="str">
        <f>VLOOKUP(A72,data_siswa,4,FALSE)</f>
        <v>Naufal Falih F</v>
      </c>
      <c r="D72" s="1210" t="s">
        <v>154</v>
      </c>
      <c r="E72" s="1672"/>
      <c r="F72" s="1672"/>
      <c r="G72" s="1672"/>
      <c r="H72" s="2025">
        <v>0</v>
      </c>
      <c r="I72" s="2025">
        <v>0</v>
      </c>
      <c r="J72" s="2025">
        <v>0</v>
      </c>
      <c r="K72" s="1672"/>
      <c r="L72" s="1672"/>
      <c r="M72" s="1672"/>
      <c r="N72" s="2025"/>
      <c r="O72" s="2025"/>
      <c r="P72" s="2025"/>
      <c r="Q72" s="1077">
        <f>MAX(E72,H72,K72,N72)</f>
        <v>0</v>
      </c>
      <c r="R72" s="2126">
        <f t="shared" ref="R72:R74" si="111">MAX(F72,I72,L72,O72)</f>
        <v>0</v>
      </c>
      <c r="S72" s="2127">
        <f t="shared" ref="S72:S74" si="112">MAX(G72,J72,M72,P72)</f>
        <v>0</v>
      </c>
      <c r="T72" s="853">
        <f>IFERROR(AVERAGE(Q72:S72),"")</f>
        <v>0</v>
      </c>
      <c r="U72" s="1075" t="str">
        <f>IF(T72&gt;85,("4"),IF(T72&gt;80,("3.66"),IF(T72&gt;75,("3.33"),IF(T72&gt;70,("3.00"),IF(T72&gt;65,("2.66"),IF(T72&gt;60,("2.33"),IF(T72&gt;55,("2"),IF(T72&gt;50,("1.66"),"1.33"))))))))</f>
        <v>1.33</v>
      </c>
      <c r="V72" s="1075" t="str">
        <f>IF(T72&gt;85,("A"),IF(T72&gt;80,("A-"),IF(T72&gt;75,("B+"),IF(T72&gt;70,("B"),IF(T72&gt;65,("B-"),IF(T72&gt;60,("C+"),IF(T72&gt;55,("C"),IF(T72&gt;50,("C-"),"D+"))))))))</f>
        <v>D+</v>
      </c>
      <c r="W72" s="1075" t="str">
        <f>IF(T72&gt;80,("SB"),IF(T72&gt;65,("B"),IF(T72&gt;50,("C"),IF(T72&gt;0,("K"),"0"))))</f>
        <v>0</v>
      </c>
      <c r="X72" s="1816"/>
      <c r="Y72" s="1816"/>
      <c r="Z72" s="1816"/>
      <c r="AA72" s="1817"/>
      <c r="AB72" s="1817"/>
      <c r="AC72" s="1817"/>
      <c r="AD72" s="1818">
        <f>T75</f>
        <v>0</v>
      </c>
      <c r="AE72" s="1245" t="str">
        <f>IF(AD72&gt;85,("A"),IF(AD72&gt;80,("A-"),IF(AD72&gt;75,("B+"),IF(AD72&gt;70,("B"),IF(AD72&gt;65,("B-"),IF(AD72&gt;60,("C+"),IF(AD72&gt;55,("C"),IF(AD72&gt;50,("C-"),"D+"))))))))</f>
        <v>D+</v>
      </c>
    </row>
    <row r="73" spans="1:31" ht="24.95" customHeight="1" x14ac:dyDescent="0.25">
      <c r="A73" s="1207"/>
      <c r="B73" s="1208"/>
      <c r="C73" s="1212"/>
      <c r="D73" s="1213" t="s">
        <v>155</v>
      </c>
      <c r="E73" s="1672">
        <v>0</v>
      </c>
      <c r="F73" s="1385">
        <v>0</v>
      </c>
      <c r="G73" s="1385">
        <v>0</v>
      </c>
      <c r="H73" s="2025">
        <v>0</v>
      </c>
      <c r="I73" s="2025">
        <v>0</v>
      </c>
      <c r="J73" s="2025">
        <v>0</v>
      </c>
      <c r="K73" s="1672">
        <v>0</v>
      </c>
      <c r="L73" s="1672">
        <v>0</v>
      </c>
      <c r="M73" s="1672">
        <v>0</v>
      </c>
      <c r="N73" s="2025">
        <v>0</v>
      </c>
      <c r="O73" s="2025">
        <v>0</v>
      </c>
      <c r="P73" s="2025">
        <v>0</v>
      </c>
      <c r="Q73" s="1077">
        <f t="shared" ref="Q73:Q74" si="113">MAX(E73,H73,K73,N73)</f>
        <v>0</v>
      </c>
      <c r="R73" s="2126">
        <f t="shared" si="111"/>
        <v>0</v>
      </c>
      <c r="S73" s="2127">
        <f t="shared" si="112"/>
        <v>0</v>
      </c>
      <c r="T73" s="853">
        <f t="shared" ref="T73:T74" si="114">IFERROR(AVERAGE(Q73:S73),"")</f>
        <v>0</v>
      </c>
      <c r="U73" s="1075" t="str">
        <f t="shared" ref="U73:U74" si="115">IF(T73&gt;85,("4"),IF(T73&gt;80,("3.66"),IF(T73&gt;75,("3.33"),IF(T73&gt;70,("3.00"),IF(T73&gt;65,("2.66"),IF(T73&gt;60,("2.33"),IF(T73&gt;55,("2"),IF(T73&gt;50,("1.66"),"1.33"))))))))</f>
        <v>1.33</v>
      </c>
      <c r="V73" s="1075" t="str">
        <f t="shared" ref="V73:V74" si="116">IF(T73&gt;85,("A"),IF(T73&gt;80,("A-"),IF(T73&gt;75,("B+"),IF(T73&gt;70,("B"),IF(T73&gt;65,("B-"),IF(T73&gt;60,("C+"),IF(T73&gt;55,("C"),IF(T73&gt;50,("C-"),"D+"))))))))</f>
        <v>D+</v>
      </c>
      <c r="W73" s="1075" t="str">
        <f t="shared" ref="W73:W74" si="117">IF(T73&gt;80,("SB"),IF(T73&gt;65,("B"),IF(T73&gt;50,("C"),IF(T73&gt;0,("K"),"0"))))</f>
        <v>0</v>
      </c>
      <c r="X73" s="1214"/>
      <c r="Y73" s="1215"/>
      <c r="Z73" s="1215"/>
      <c r="AA73" s="1215"/>
      <c r="AB73" s="1215"/>
      <c r="AC73" s="1215"/>
      <c r="AD73" s="1819"/>
      <c r="AE73" s="1246"/>
    </row>
    <row r="74" spans="1:31" ht="24.95" customHeight="1" x14ac:dyDescent="0.25">
      <c r="A74" s="1207"/>
      <c r="B74" s="1208"/>
      <c r="C74" s="1212"/>
      <c r="D74" s="1213" t="s">
        <v>9</v>
      </c>
      <c r="E74" s="1385"/>
      <c r="F74" s="1385"/>
      <c r="G74" s="1385"/>
      <c r="H74" s="2025">
        <v>0</v>
      </c>
      <c r="I74" s="2025">
        <v>0</v>
      </c>
      <c r="J74" s="2025">
        <v>0</v>
      </c>
      <c r="K74" s="1672">
        <v>0</v>
      </c>
      <c r="L74" s="1672">
        <v>0</v>
      </c>
      <c r="M74" s="1672">
        <v>0</v>
      </c>
      <c r="N74" s="2025"/>
      <c r="O74" s="2025"/>
      <c r="P74" s="2025"/>
      <c r="Q74" s="1077">
        <f t="shared" si="113"/>
        <v>0</v>
      </c>
      <c r="R74" s="2126">
        <f t="shared" si="111"/>
        <v>0</v>
      </c>
      <c r="S74" s="2127">
        <f t="shared" si="112"/>
        <v>0</v>
      </c>
      <c r="T74" s="853">
        <f t="shared" si="114"/>
        <v>0</v>
      </c>
      <c r="U74" s="1075" t="str">
        <f t="shared" si="115"/>
        <v>1.33</v>
      </c>
      <c r="V74" s="1075" t="str">
        <f t="shared" si="116"/>
        <v>D+</v>
      </c>
      <c r="W74" s="1075" t="str">
        <f t="shared" si="117"/>
        <v>0</v>
      </c>
      <c r="X74" s="1216"/>
      <c r="Y74" s="1217"/>
      <c r="Z74" s="1217"/>
      <c r="AA74" s="1217"/>
      <c r="AB74" s="1217"/>
      <c r="AC74" s="1217"/>
      <c r="AD74" s="1820"/>
      <c r="AE74" s="1247"/>
    </row>
    <row r="75" spans="1:31" ht="24.95" customHeight="1" x14ac:dyDescent="0.25">
      <c r="A75" s="1236"/>
      <c r="B75" s="1241"/>
      <c r="C75" s="1220" t="s">
        <v>167</v>
      </c>
      <c r="D75" s="1237"/>
      <c r="E75" s="2687"/>
      <c r="F75" s="2688"/>
      <c r="G75" s="2688"/>
      <c r="H75" s="2688"/>
      <c r="I75" s="2076"/>
      <c r="J75" s="2076"/>
      <c r="K75" s="2076"/>
      <c r="L75" s="2076"/>
      <c r="M75" s="2076"/>
      <c r="N75" s="2076"/>
      <c r="O75" s="2076"/>
      <c r="P75" s="2076"/>
      <c r="Q75" s="2128"/>
      <c r="R75" s="2128"/>
      <c r="S75" s="2128"/>
      <c r="T75" s="732">
        <f>IFERROR(AVERAGE(T72:T74),"  ")</f>
        <v>0</v>
      </c>
      <c r="U75" s="1244" t="str">
        <f>IF(T75&gt;85,("4"),IF(T75&gt;80,("3.66"),IF(T75&gt;75,("3.33"),IF(T75&gt;70,("3.00"),IF(T75&gt;65,("2.66"),IF(T75&gt;60,("2.33"),IF(T75&gt;55,("2"),IF(T75&gt;50,("1.66"),"1.33"))))))))</f>
        <v>1.33</v>
      </c>
      <c r="V75" s="1244" t="str">
        <f>IF(T75&gt;85,("A"),IF(T75&gt;80,("A-"),IF(T75&gt;75,("B+"),IF(T75&gt;70,("B"),IF(T75&gt;65,("B-"),IF(T75&gt;60,("C+"),IF(T75&gt;55,("C"),IF(T75&gt;50,("C-"),"D+"))))))))</f>
        <v>D+</v>
      </c>
      <c r="W75" s="1244"/>
      <c r="X75" s="1221"/>
      <c r="Y75" s="1222"/>
      <c r="Z75" s="1222"/>
      <c r="AA75" s="1222"/>
      <c r="AB75" s="1222"/>
      <c r="AC75" s="1222"/>
      <c r="AD75" s="1821"/>
      <c r="AE75" s="1249"/>
    </row>
    <row r="76" spans="1:31" ht="24.95" customHeight="1" x14ac:dyDescent="0.25">
      <c r="A76" s="1224">
        <v>18</v>
      </c>
      <c r="B76" s="1225"/>
      <c r="C76" s="1209" t="str">
        <f>VLOOKUP(A76,data_siswa,4,FALSE)</f>
        <v>Nayla Annora Nobel W</v>
      </c>
      <c r="D76" s="1210" t="s">
        <v>154</v>
      </c>
      <c r="E76" s="1672"/>
      <c r="F76" s="1672"/>
      <c r="G76" s="1672"/>
      <c r="H76" s="2025">
        <v>0</v>
      </c>
      <c r="I76" s="2025">
        <v>0</v>
      </c>
      <c r="J76" s="2025">
        <v>0</v>
      </c>
      <c r="K76" s="1672"/>
      <c r="L76" s="1672"/>
      <c r="M76" s="1672"/>
      <c r="N76" s="2025"/>
      <c r="O76" s="2025"/>
      <c r="P76" s="2025"/>
      <c r="Q76" s="1077">
        <f>MAX(E76,H76,K76,N76)</f>
        <v>0</v>
      </c>
      <c r="R76" s="2126">
        <f t="shared" ref="R76:R78" si="118">MAX(F76,I76,L76,O76)</f>
        <v>0</v>
      </c>
      <c r="S76" s="2127">
        <f t="shared" ref="S76:S78" si="119">MAX(G76,J76,M76,P76)</f>
        <v>0</v>
      </c>
      <c r="T76" s="853">
        <f>IFERROR(AVERAGE(Q76:S76),"")</f>
        <v>0</v>
      </c>
      <c r="U76" s="1075" t="str">
        <f>IF(T76&gt;85,("4"),IF(T76&gt;80,("3.66"),IF(T76&gt;75,("3.33"),IF(T76&gt;70,("3.00"),IF(T76&gt;65,("2.66"),IF(T76&gt;60,("2.33"),IF(T76&gt;55,("2"),IF(T76&gt;50,("1.66"),"1.33"))))))))</f>
        <v>1.33</v>
      </c>
      <c r="V76" s="1075" t="str">
        <f>IF(T76&gt;85,("A"),IF(T76&gt;80,("A-"),IF(T76&gt;75,("B+"),IF(T76&gt;70,("B"),IF(T76&gt;65,("B-"),IF(T76&gt;60,("C+"),IF(T76&gt;55,("C"),IF(T76&gt;50,("C-"),"D+"))))))))</f>
        <v>D+</v>
      </c>
      <c r="W76" s="1075" t="str">
        <f>IF(T76&gt;80,("SB"),IF(T76&gt;65,("B"),IF(T76&gt;50,("C"),IF(T76&gt;0,("K"),"0"))))</f>
        <v>0</v>
      </c>
      <c r="X76" s="1816"/>
      <c r="Y76" s="1816"/>
      <c r="Z76" s="1816"/>
      <c r="AA76" s="1817"/>
      <c r="AB76" s="1817"/>
      <c r="AC76" s="1817"/>
      <c r="AD76" s="1818">
        <f>T79</f>
        <v>0</v>
      </c>
      <c r="AE76" s="1245" t="str">
        <f>IF(AD76&gt;85,("A"),IF(AD76&gt;80,("A-"),IF(AD76&gt;75,("B+"),IF(AD76&gt;70,("B"),IF(AD76&gt;65,("B-"),IF(AD76&gt;60,("C+"),IF(AD76&gt;55,("C"),IF(AD76&gt;50,("C-"),"D+"))))))))</f>
        <v>D+</v>
      </c>
    </row>
    <row r="77" spans="1:31" ht="24.95" customHeight="1" x14ac:dyDescent="0.25">
      <c r="A77" s="1207"/>
      <c r="B77" s="1208"/>
      <c r="C77" s="1212"/>
      <c r="D77" s="1213" t="s">
        <v>155</v>
      </c>
      <c r="E77" s="1672">
        <v>0</v>
      </c>
      <c r="F77" s="1385">
        <v>0</v>
      </c>
      <c r="G77" s="1385">
        <v>0</v>
      </c>
      <c r="H77" s="2025">
        <v>0</v>
      </c>
      <c r="I77" s="2025">
        <v>0</v>
      </c>
      <c r="J77" s="2025">
        <v>0</v>
      </c>
      <c r="K77" s="1672">
        <v>0</v>
      </c>
      <c r="L77" s="1672">
        <v>0</v>
      </c>
      <c r="M77" s="1672">
        <v>0</v>
      </c>
      <c r="N77" s="2025">
        <v>0</v>
      </c>
      <c r="O77" s="2025">
        <v>0</v>
      </c>
      <c r="P77" s="2025">
        <v>0</v>
      </c>
      <c r="Q77" s="1077">
        <f t="shared" ref="Q77:Q78" si="120">MAX(E77,H77,K77,N77)</f>
        <v>0</v>
      </c>
      <c r="R77" s="2126">
        <f t="shared" si="118"/>
        <v>0</v>
      </c>
      <c r="S77" s="2127">
        <f t="shared" si="119"/>
        <v>0</v>
      </c>
      <c r="T77" s="853">
        <f t="shared" ref="T77:T78" si="121">IFERROR(AVERAGE(Q77:S77),"")</f>
        <v>0</v>
      </c>
      <c r="U77" s="1075" t="str">
        <f t="shared" ref="U77:U78" si="122">IF(T77&gt;85,("4"),IF(T77&gt;80,("3.66"),IF(T77&gt;75,("3.33"),IF(T77&gt;70,("3.00"),IF(T77&gt;65,("2.66"),IF(T77&gt;60,("2.33"),IF(T77&gt;55,("2"),IF(T77&gt;50,("1.66"),"1.33"))))))))</f>
        <v>1.33</v>
      </c>
      <c r="V77" s="1075" t="str">
        <f t="shared" ref="V77:V78" si="123">IF(T77&gt;85,("A"),IF(T77&gt;80,("A-"),IF(T77&gt;75,("B+"),IF(T77&gt;70,("B"),IF(T77&gt;65,("B-"),IF(T77&gt;60,("C+"),IF(T77&gt;55,("C"),IF(T77&gt;50,("C-"),"D+"))))))))</f>
        <v>D+</v>
      </c>
      <c r="W77" s="1075" t="str">
        <f t="shared" ref="W77:W78" si="124">IF(T77&gt;80,("SB"),IF(T77&gt;65,("B"),IF(T77&gt;50,("C"),IF(T77&gt;0,("K"),"0"))))</f>
        <v>0</v>
      </c>
      <c r="X77" s="1214"/>
      <c r="Y77" s="1215"/>
      <c r="Z77" s="1215"/>
      <c r="AA77" s="1215"/>
      <c r="AB77" s="1215"/>
      <c r="AC77" s="1215"/>
      <c r="AD77" s="1819"/>
      <c r="AE77" s="1246"/>
    </row>
    <row r="78" spans="1:31" ht="24.95" customHeight="1" x14ac:dyDescent="0.25">
      <c r="A78" s="1207"/>
      <c r="B78" s="1208"/>
      <c r="C78" s="1212"/>
      <c r="D78" s="1213" t="s">
        <v>9</v>
      </c>
      <c r="E78" s="1385"/>
      <c r="F78" s="1385"/>
      <c r="G78" s="1385"/>
      <c r="H78" s="2025">
        <v>0</v>
      </c>
      <c r="I78" s="2025">
        <v>0</v>
      </c>
      <c r="J78" s="2025">
        <v>0</v>
      </c>
      <c r="K78" s="1672">
        <v>0</v>
      </c>
      <c r="L78" s="1672">
        <v>0</v>
      </c>
      <c r="M78" s="1672">
        <v>0</v>
      </c>
      <c r="N78" s="2025"/>
      <c r="O78" s="2025"/>
      <c r="P78" s="2025"/>
      <c r="Q78" s="1077">
        <f t="shared" si="120"/>
        <v>0</v>
      </c>
      <c r="R78" s="2126">
        <f t="shared" si="118"/>
        <v>0</v>
      </c>
      <c r="S78" s="2127">
        <f t="shared" si="119"/>
        <v>0</v>
      </c>
      <c r="T78" s="853">
        <f t="shared" si="121"/>
        <v>0</v>
      </c>
      <c r="U78" s="1075" t="str">
        <f t="shared" si="122"/>
        <v>1.33</v>
      </c>
      <c r="V78" s="1075" t="str">
        <f t="shared" si="123"/>
        <v>D+</v>
      </c>
      <c r="W78" s="1075" t="str">
        <f t="shared" si="124"/>
        <v>0</v>
      </c>
      <c r="X78" s="1216"/>
      <c r="Y78" s="1217"/>
      <c r="Z78" s="1217"/>
      <c r="AA78" s="1217"/>
      <c r="AB78" s="1217"/>
      <c r="AC78" s="1217"/>
      <c r="AD78" s="1820"/>
      <c r="AE78" s="1247"/>
    </row>
    <row r="79" spans="1:31" ht="24.95" customHeight="1" x14ac:dyDescent="0.25">
      <c r="A79" s="1236"/>
      <c r="B79" s="1241"/>
      <c r="C79" s="1220" t="s">
        <v>167</v>
      </c>
      <c r="D79" s="1237"/>
      <c r="E79" s="2687"/>
      <c r="F79" s="2688"/>
      <c r="G79" s="2688"/>
      <c r="H79" s="2688"/>
      <c r="I79" s="2076"/>
      <c r="J79" s="2076"/>
      <c r="K79" s="2076"/>
      <c r="L79" s="2076"/>
      <c r="M79" s="2076"/>
      <c r="N79" s="2076"/>
      <c r="O79" s="2076"/>
      <c r="P79" s="2076"/>
      <c r="Q79" s="2128"/>
      <c r="R79" s="2128"/>
      <c r="S79" s="2128"/>
      <c r="T79" s="732">
        <f>IFERROR(AVERAGE(T76:T78),"  ")</f>
        <v>0</v>
      </c>
      <c r="U79" s="1244" t="str">
        <f>IF(T79&gt;85,("4"),IF(T79&gt;80,("3.66"),IF(T79&gt;75,("3.33"),IF(T79&gt;70,("3.00"),IF(T79&gt;65,("2.66"),IF(T79&gt;60,("2.33"),IF(T79&gt;55,("2"),IF(T79&gt;50,("1.66"),"1.33"))))))))</f>
        <v>1.33</v>
      </c>
      <c r="V79" s="1244" t="str">
        <f>IF(T79&gt;85,("A"),IF(T79&gt;80,("A-"),IF(T79&gt;75,("B+"),IF(T79&gt;70,("B"),IF(T79&gt;65,("B-"),IF(T79&gt;60,("C+"),IF(T79&gt;55,("C"),IF(T79&gt;50,("C-"),"D+"))))))))</f>
        <v>D+</v>
      </c>
      <c r="W79" s="1244"/>
      <c r="X79" s="1221"/>
      <c r="Y79" s="1222"/>
      <c r="Z79" s="1222"/>
      <c r="AA79" s="1222"/>
      <c r="AB79" s="1222"/>
      <c r="AC79" s="1222"/>
      <c r="AD79" s="1821"/>
      <c r="AE79" s="1249"/>
    </row>
    <row r="80" spans="1:31" ht="24.95" customHeight="1" x14ac:dyDescent="0.25">
      <c r="A80" s="1224">
        <v>19</v>
      </c>
      <c r="B80" s="1225"/>
      <c r="C80" s="1209" t="str">
        <f>VLOOKUP(A80,data_siswa,4,FALSE)</f>
        <v>Raihan Danang P</v>
      </c>
      <c r="D80" s="1210" t="s">
        <v>154</v>
      </c>
      <c r="E80" s="1672"/>
      <c r="F80" s="1672"/>
      <c r="G80" s="1672"/>
      <c r="H80" s="2025">
        <v>0</v>
      </c>
      <c r="I80" s="2025">
        <v>0</v>
      </c>
      <c r="J80" s="2025">
        <v>0</v>
      </c>
      <c r="K80" s="1672"/>
      <c r="L80" s="1672"/>
      <c r="M80" s="1672"/>
      <c r="N80" s="2025"/>
      <c r="O80" s="2025"/>
      <c r="P80" s="2025"/>
      <c r="Q80" s="1077">
        <f>MAX(E80,H80,K80,N80)</f>
        <v>0</v>
      </c>
      <c r="R80" s="2126">
        <f t="shared" ref="R80:R82" si="125">MAX(F80,I80,L80,O80)</f>
        <v>0</v>
      </c>
      <c r="S80" s="2127">
        <f t="shared" ref="S80:S82" si="126">MAX(G80,J80,M80,P80)</f>
        <v>0</v>
      </c>
      <c r="T80" s="853">
        <f>IFERROR(AVERAGE(Q80:S80),"")</f>
        <v>0</v>
      </c>
      <c r="U80" s="1075" t="str">
        <f>IF(T80&gt;85,("4"),IF(T80&gt;80,("3.66"),IF(T80&gt;75,("3.33"),IF(T80&gt;70,("3.00"),IF(T80&gt;65,("2.66"),IF(T80&gt;60,("2.33"),IF(T80&gt;55,("2"),IF(T80&gt;50,("1.66"),"1.33"))))))))</f>
        <v>1.33</v>
      </c>
      <c r="V80" s="1075" t="str">
        <f>IF(T80&gt;85,("A"),IF(T80&gt;80,("A-"),IF(T80&gt;75,("B+"),IF(T80&gt;70,("B"),IF(T80&gt;65,("B-"),IF(T80&gt;60,("C+"),IF(T80&gt;55,("C"),IF(T80&gt;50,("C-"),"D+"))))))))</f>
        <v>D+</v>
      </c>
      <c r="W80" s="1075" t="str">
        <f>IF(T80&gt;80,("SB"),IF(T80&gt;65,("B"),IF(T80&gt;50,("C"),IF(T80&gt;0,("K"),"0"))))</f>
        <v>0</v>
      </c>
      <c r="X80" s="1816"/>
      <c r="Y80" s="1816"/>
      <c r="Z80" s="1816"/>
      <c r="AA80" s="1817"/>
      <c r="AB80" s="1817"/>
      <c r="AC80" s="1817"/>
      <c r="AD80" s="1818">
        <f>T83</f>
        <v>0</v>
      </c>
      <c r="AE80" s="1245" t="str">
        <f>IF(AD80&gt;85,("A"),IF(AD80&gt;80,("A-"),IF(AD80&gt;75,("B+"),IF(AD80&gt;70,("B"),IF(AD80&gt;65,("B-"),IF(AD80&gt;60,("C+"),IF(AD80&gt;55,("C"),IF(AD80&gt;50,("C-"),"D+"))))))))</f>
        <v>D+</v>
      </c>
    </row>
    <row r="81" spans="1:31" ht="24.95" customHeight="1" x14ac:dyDescent="0.25">
      <c r="A81" s="1207"/>
      <c r="B81" s="1208"/>
      <c r="C81" s="1212"/>
      <c r="D81" s="1213" t="s">
        <v>155</v>
      </c>
      <c r="E81" s="1672">
        <v>0</v>
      </c>
      <c r="F81" s="1385">
        <v>0</v>
      </c>
      <c r="G81" s="1385">
        <v>0</v>
      </c>
      <c r="H81" s="2025">
        <v>0</v>
      </c>
      <c r="I81" s="2025">
        <v>0</v>
      </c>
      <c r="J81" s="2025">
        <v>0</v>
      </c>
      <c r="K81" s="1672">
        <v>0</v>
      </c>
      <c r="L81" s="1672">
        <v>0</v>
      </c>
      <c r="M81" s="1672">
        <v>0</v>
      </c>
      <c r="N81" s="2025">
        <v>0</v>
      </c>
      <c r="O81" s="2025">
        <v>0</v>
      </c>
      <c r="P81" s="2025">
        <v>0</v>
      </c>
      <c r="Q81" s="1077">
        <f t="shared" ref="Q81:Q82" si="127">MAX(E81,H81,K81,N81)</f>
        <v>0</v>
      </c>
      <c r="R81" s="2126">
        <f t="shared" si="125"/>
        <v>0</v>
      </c>
      <c r="S81" s="2127">
        <f t="shared" si="126"/>
        <v>0</v>
      </c>
      <c r="T81" s="853">
        <f t="shared" ref="T81:T82" si="128">IFERROR(AVERAGE(Q81:S81),"")</f>
        <v>0</v>
      </c>
      <c r="U81" s="1075" t="str">
        <f t="shared" ref="U81:U82" si="129">IF(T81&gt;85,("4"),IF(T81&gt;80,("3.66"),IF(T81&gt;75,("3.33"),IF(T81&gt;70,("3.00"),IF(T81&gt;65,("2.66"),IF(T81&gt;60,("2.33"),IF(T81&gt;55,("2"),IF(T81&gt;50,("1.66"),"1.33"))))))))</f>
        <v>1.33</v>
      </c>
      <c r="V81" s="1075" t="str">
        <f t="shared" ref="V81:V82" si="130">IF(T81&gt;85,("A"),IF(T81&gt;80,("A-"),IF(T81&gt;75,("B+"),IF(T81&gt;70,("B"),IF(T81&gt;65,("B-"),IF(T81&gt;60,("C+"),IF(T81&gt;55,("C"),IF(T81&gt;50,("C-"),"D+"))))))))</f>
        <v>D+</v>
      </c>
      <c r="W81" s="1075" t="str">
        <f t="shared" ref="W81:W82" si="131">IF(T81&gt;80,("SB"),IF(T81&gt;65,("B"),IF(T81&gt;50,("C"),IF(T81&gt;0,("K"),"0"))))</f>
        <v>0</v>
      </c>
      <c r="X81" s="1214"/>
      <c r="Y81" s="1215"/>
      <c r="Z81" s="1215"/>
      <c r="AA81" s="1215"/>
      <c r="AB81" s="1215"/>
      <c r="AC81" s="1215"/>
      <c r="AD81" s="1819"/>
      <c r="AE81" s="1246"/>
    </row>
    <row r="82" spans="1:31" ht="24.95" customHeight="1" x14ac:dyDescent="0.25">
      <c r="A82" s="1207"/>
      <c r="B82" s="1208"/>
      <c r="C82" s="1212"/>
      <c r="D82" s="1213" t="s">
        <v>9</v>
      </c>
      <c r="E82" s="1385"/>
      <c r="F82" s="1385"/>
      <c r="G82" s="1385"/>
      <c r="H82" s="2025">
        <v>0</v>
      </c>
      <c r="I82" s="2025">
        <v>0</v>
      </c>
      <c r="J82" s="2025">
        <v>0</v>
      </c>
      <c r="K82" s="1672">
        <v>0</v>
      </c>
      <c r="L82" s="1672">
        <v>0</v>
      </c>
      <c r="M82" s="1672">
        <v>0</v>
      </c>
      <c r="N82" s="2025"/>
      <c r="O82" s="2025"/>
      <c r="P82" s="2025"/>
      <c r="Q82" s="1077">
        <f t="shared" si="127"/>
        <v>0</v>
      </c>
      <c r="R82" s="2126">
        <f t="shared" si="125"/>
        <v>0</v>
      </c>
      <c r="S82" s="2127">
        <f t="shared" si="126"/>
        <v>0</v>
      </c>
      <c r="T82" s="853">
        <f t="shared" si="128"/>
        <v>0</v>
      </c>
      <c r="U82" s="1075" t="str">
        <f t="shared" si="129"/>
        <v>1.33</v>
      </c>
      <c r="V82" s="1075" t="str">
        <f t="shared" si="130"/>
        <v>D+</v>
      </c>
      <c r="W82" s="1075" t="str">
        <f t="shared" si="131"/>
        <v>0</v>
      </c>
      <c r="X82" s="1216"/>
      <c r="Y82" s="1217"/>
      <c r="Z82" s="1217"/>
      <c r="AA82" s="1217"/>
      <c r="AB82" s="1217"/>
      <c r="AC82" s="1217"/>
      <c r="AD82" s="1820"/>
      <c r="AE82" s="1247"/>
    </row>
    <row r="83" spans="1:31" ht="24.95" customHeight="1" x14ac:dyDescent="0.25">
      <c r="A83" s="1236"/>
      <c r="B83" s="1241"/>
      <c r="C83" s="1220" t="s">
        <v>167</v>
      </c>
      <c r="D83" s="1237"/>
      <c r="E83" s="2687"/>
      <c r="F83" s="2688"/>
      <c r="G83" s="2688"/>
      <c r="H83" s="2688"/>
      <c r="I83" s="2076"/>
      <c r="J83" s="2076"/>
      <c r="K83" s="2076"/>
      <c r="L83" s="2076"/>
      <c r="M83" s="2076"/>
      <c r="N83" s="2076"/>
      <c r="O83" s="2076"/>
      <c r="P83" s="2076"/>
      <c r="Q83" s="2128"/>
      <c r="R83" s="2128"/>
      <c r="S83" s="2128"/>
      <c r="T83" s="732">
        <f>IFERROR(AVERAGE(T80:T82),"  ")</f>
        <v>0</v>
      </c>
      <c r="U83" s="1244" t="str">
        <f>IF(T83&gt;85,("4"),IF(T83&gt;80,("3.66"),IF(T83&gt;75,("3.33"),IF(T83&gt;70,("3.00"),IF(T83&gt;65,("2.66"),IF(T83&gt;60,("2.33"),IF(T83&gt;55,("2"),IF(T83&gt;50,("1.66"),"1.33"))))))))</f>
        <v>1.33</v>
      </c>
      <c r="V83" s="1244" t="str">
        <f>IF(T83&gt;85,("A"),IF(T83&gt;80,("A-"),IF(T83&gt;75,("B+"),IF(T83&gt;70,("B"),IF(T83&gt;65,("B-"),IF(T83&gt;60,("C+"),IF(T83&gt;55,("C"),IF(T83&gt;50,("C-"),"D+"))))))))</f>
        <v>D+</v>
      </c>
      <c r="W83" s="1244"/>
      <c r="X83" s="1221"/>
      <c r="Y83" s="1222"/>
      <c r="Z83" s="1222"/>
      <c r="AA83" s="1222"/>
      <c r="AB83" s="1222"/>
      <c r="AC83" s="1222"/>
      <c r="AD83" s="1821"/>
      <c r="AE83" s="1249"/>
    </row>
    <row r="84" spans="1:31" ht="24.95" customHeight="1" x14ac:dyDescent="0.25">
      <c r="A84" s="1224">
        <v>20</v>
      </c>
      <c r="B84" s="1225"/>
      <c r="C84" s="1209" t="str">
        <f>VLOOKUP(A84,data_siswa,4,FALSE)</f>
        <v>Roby Ardiyansyah</v>
      </c>
      <c r="D84" s="1210" t="s">
        <v>154</v>
      </c>
      <c r="E84" s="1672"/>
      <c r="F84" s="1672"/>
      <c r="G84" s="1672"/>
      <c r="H84" s="2025">
        <v>0</v>
      </c>
      <c r="I84" s="2025">
        <v>0</v>
      </c>
      <c r="J84" s="2025">
        <v>0</v>
      </c>
      <c r="K84" s="1672"/>
      <c r="L84" s="1672"/>
      <c r="M84" s="1672"/>
      <c r="N84" s="2025"/>
      <c r="O84" s="2025"/>
      <c r="P84" s="2025"/>
      <c r="Q84" s="1077">
        <f>MAX(E84,H84,K84,N84)</f>
        <v>0</v>
      </c>
      <c r="R84" s="2126">
        <f t="shared" ref="R84:R86" si="132">MAX(F84,I84,L84,O84)</f>
        <v>0</v>
      </c>
      <c r="S84" s="2127">
        <f t="shared" ref="S84:S86" si="133">MAX(G84,J84,M84,P84)</f>
        <v>0</v>
      </c>
      <c r="T84" s="853">
        <f>IFERROR(AVERAGE(Q84:S84),"")</f>
        <v>0</v>
      </c>
      <c r="U84" s="1075" t="str">
        <f>IF(T84&gt;85,("4"),IF(T84&gt;80,("3.66"),IF(T84&gt;75,("3.33"),IF(T84&gt;70,("3.00"),IF(T84&gt;65,("2.66"),IF(T84&gt;60,("2.33"),IF(T84&gt;55,("2"),IF(T84&gt;50,("1.66"),"1.33"))))))))</f>
        <v>1.33</v>
      </c>
      <c r="V84" s="1075" t="str">
        <f>IF(T84&gt;85,("A"),IF(T84&gt;80,("A-"),IF(T84&gt;75,("B+"),IF(T84&gt;70,("B"),IF(T84&gt;65,("B-"),IF(T84&gt;60,("C+"),IF(T84&gt;55,("C"),IF(T84&gt;50,("C-"),"D+"))))))))</f>
        <v>D+</v>
      </c>
      <c r="W84" s="1075" t="str">
        <f>IF(T84&gt;80,("SB"),IF(T84&gt;65,("B"),IF(T84&gt;50,("C"),IF(T84&gt;0,("K"),"0"))))</f>
        <v>0</v>
      </c>
      <c r="X84" s="1816"/>
      <c r="Y84" s="1816"/>
      <c r="Z84" s="1816"/>
      <c r="AA84" s="1817"/>
      <c r="AB84" s="1817"/>
      <c r="AC84" s="1817"/>
      <c r="AD84" s="1818">
        <f>T87</f>
        <v>0</v>
      </c>
      <c r="AE84" s="1245" t="str">
        <f>IF(AD84&gt;85,("A"),IF(AD84&gt;80,("A-"),IF(AD84&gt;75,("B+"),IF(AD84&gt;70,("B"),IF(AD84&gt;65,("B-"),IF(AD84&gt;60,("C+"),IF(AD84&gt;55,("C"),IF(AD84&gt;50,("C-"),"D+"))))))))</f>
        <v>D+</v>
      </c>
    </row>
    <row r="85" spans="1:31" ht="24.95" customHeight="1" x14ac:dyDescent="0.25">
      <c r="A85" s="1207"/>
      <c r="B85" s="1208"/>
      <c r="C85" s="1212"/>
      <c r="D85" s="1213" t="s">
        <v>155</v>
      </c>
      <c r="E85" s="1672">
        <v>0</v>
      </c>
      <c r="F85" s="1385">
        <v>0</v>
      </c>
      <c r="G85" s="1385">
        <v>0</v>
      </c>
      <c r="H85" s="2025">
        <v>0</v>
      </c>
      <c r="I85" s="2025">
        <v>0</v>
      </c>
      <c r="J85" s="2025">
        <v>0</v>
      </c>
      <c r="K85" s="1672">
        <v>0</v>
      </c>
      <c r="L85" s="1672">
        <v>0</v>
      </c>
      <c r="M85" s="1672">
        <v>0</v>
      </c>
      <c r="N85" s="2025">
        <v>0</v>
      </c>
      <c r="O85" s="2025">
        <v>0</v>
      </c>
      <c r="P85" s="2025">
        <v>0</v>
      </c>
      <c r="Q85" s="1077">
        <f t="shared" ref="Q85:Q86" si="134">MAX(E85,H85,K85,N85)</f>
        <v>0</v>
      </c>
      <c r="R85" s="2126">
        <f t="shared" si="132"/>
        <v>0</v>
      </c>
      <c r="S85" s="2127">
        <f t="shared" si="133"/>
        <v>0</v>
      </c>
      <c r="T85" s="853">
        <f t="shared" ref="T85:T86" si="135">IFERROR(AVERAGE(Q85:S85),"")</f>
        <v>0</v>
      </c>
      <c r="U85" s="1075" t="str">
        <f t="shared" ref="U85:U86" si="136">IF(T85&gt;85,("4"),IF(T85&gt;80,("3.66"),IF(T85&gt;75,("3.33"),IF(T85&gt;70,("3.00"),IF(T85&gt;65,("2.66"),IF(T85&gt;60,("2.33"),IF(T85&gt;55,("2"),IF(T85&gt;50,("1.66"),"1.33"))))))))</f>
        <v>1.33</v>
      </c>
      <c r="V85" s="1075" t="str">
        <f t="shared" ref="V85:V86" si="137">IF(T85&gt;85,("A"),IF(T85&gt;80,("A-"),IF(T85&gt;75,("B+"),IF(T85&gt;70,("B"),IF(T85&gt;65,("B-"),IF(T85&gt;60,("C+"),IF(T85&gt;55,("C"),IF(T85&gt;50,("C-"),"D+"))))))))</f>
        <v>D+</v>
      </c>
      <c r="W85" s="1075" t="str">
        <f t="shared" ref="W85:W86" si="138">IF(T85&gt;80,("SB"),IF(T85&gt;65,("B"),IF(T85&gt;50,("C"),IF(T85&gt;0,("K"),"0"))))</f>
        <v>0</v>
      </c>
      <c r="X85" s="1214"/>
      <c r="Y85" s="1215"/>
      <c r="Z85" s="1215"/>
      <c r="AA85" s="1215"/>
      <c r="AB85" s="1215"/>
      <c r="AC85" s="1215"/>
      <c r="AD85" s="1819"/>
      <c r="AE85" s="1246"/>
    </row>
    <row r="86" spans="1:31" ht="24.95" customHeight="1" x14ac:dyDescent="0.25">
      <c r="A86" s="1207"/>
      <c r="B86" s="1208"/>
      <c r="C86" s="1212"/>
      <c r="D86" s="1213" t="s">
        <v>9</v>
      </c>
      <c r="E86" s="1385"/>
      <c r="F86" s="1385"/>
      <c r="G86" s="1385"/>
      <c r="H86" s="2025">
        <v>0</v>
      </c>
      <c r="I86" s="2025">
        <v>0</v>
      </c>
      <c r="J86" s="2025">
        <v>0</v>
      </c>
      <c r="K86" s="1672">
        <v>0</v>
      </c>
      <c r="L86" s="1672">
        <v>0</v>
      </c>
      <c r="M86" s="1672">
        <v>0</v>
      </c>
      <c r="N86" s="2025"/>
      <c r="O86" s="2025"/>
      <c r="P86" s="2025"/>
      <c r="Q86" s="1077">
        <f t="shared" si="134"/>
        <v>0</v>
      </c>
      <c r="R86" s="2126">
        <f t="shared" si="132"/>
        <v>0</v>
      </c>
      <c r="S86" s="2127">
        <f t="shared" si="133"/>
        <v>0</v>
      </c>
      <c r="T86" s="853">
        <f t="shared" si="135"/>
        <v>0</v>
      </c>
      <c r="U86" s="1075" t="str">
        <f t="shared" si="136"/>
        <v>1.33</v>
      </c>
      <c r="V86" s="1075" t="str">
        <f t="shared" si="137"/>
        <v>D+</v>
      </c>
      <c r="W86" s="1075" t="str">
        <f t="shared" si="138"/>
        <v>0</v>
      </c>
      <c r="X86" s="1216"/>
      <c r="Y86" s="1217"/>
      <c r="Z86" s="1217"/>
      <c r="AA86" s="1217"/>
      <c r="AB86" s="1217"/>
      <c r="AC86" s="1217"/>
      <c r="AD86" s="1820"/>
      <c r="AE86" s="1247"/>
    </row>
    <row r="87" spans="1:31" ht="24.95" customHeight="1" x14ac:dyDescent="0.25">
      <c r="A87" s="1236"/>
      <c r="B87" s="1241"/>
      <c r="C87" s="1220" t="s">
        <v>167</v>
      </c>
      <c r="D87" s="1237"/>
      <c r="E87" s="2687"/>
      <c r="F87" s="2688"/>
      <c r="G87" s="2688"/>
      <c r="H87" s="2688"/>
      <c r="I87" s="2076"/>
      <c r="J87" s="2076"/>
      <c r="K87" s="2076"/>
      <c r="L87" s="2076"/>
      <c r="M87" s="2076"/>
      <c r="N87" s="2076"/>
      <c r="O87" s="2076"/>
      <c r="P87" s="2076"/>
      <c r="Q87" s="2128"/>
      <c r="R87" s="2128"/>
      <c r="S87" s="2128"/>
      <c r="T87" s="732">
        <f>IFERROR(AVERAGE(T84:T86),"  ")</f>
        <v>0</v>
      </c>
      <c r="U87" s="1244" t="str">
        <f>IF(T87&gt;85,("4"),IF(T87&gt;80,("3.66"),IF(T87&gt;75,("3.33"),IF(T87&gt;70,("3.00"),IF(T87&gt;65,("2.66"),IF(T87&gt;60,("2.33"),IF(T87&gt;55,("2"),IF(T87&gt;50,("1.66"),"1.33"))))))))</f>
        <v>1.33</v>
      </c>
      <c r="V87" s="1244" t="str">
        <f>IF(T87&gt;85,("A"),IF(T87&gt;80,("A-"),IF(T87&gt;75,("B+"),IF(T87&gt;70,("B"),IF(T87&gt;65,("B-"),IF(T87&gt;60,("C+"),IF(T87&gt;55,("C"),IF(T87&gt;50,("C-"),"D+"))))))))</f>
        <v>D+</v>
      </c>
      <c r="W87" s="1244"/>
      <c r="X87" s="1221"/>
      <c r="Y87" s="1222"/>
      <c r="Z87" s="1222"/>
      <c r="AA87" s="1222"/>
      <c r="AB87" s="1222"/>
      <c r="AC87" s="1222"/>
      <c r="AD87" s="1821"/>
      <c r="AE87" s="1249"/>
    </row>
    <row r="88" spans="1:31" ht="24.95" customHeight="1" x14ac:dyDescent="0.25">
      <c r="A88" s="1224">
        <v>21</v>
      </c>
      <c r="B88" s="1225"/>
      <c r="C88" s="1209" t="str">
        <f>VLOOKUP(A88,data_siswa,4,FALSE)</f>
        <v>Rojalingga Prana A</v>
      </c>
      <c r="D88" s="1210" t="s">
        <v>154</v>
      </c>
      <c r="E88" s="1672"/>
      <c r="F88" s="1672"/>
      <c r="G88" s="1672"/>
      <c r="H88" s="2025">
        <v>0</v>
      </c>
      <c r="I88" s="2025">
        <v>0</v>
      </c>
      <c r="J88" s="2025">
        <v>0</v>
      </c>
      <c r="K88" s="1672"/>
      <c r="L88" s="1672"/>
      <c r="M88" s="1672"/>
      <c r="N88" s="2025"/>
      <c r="O88" s="2025"/>
      <c r="P88" s="2025"/>
      <c r="Q88" s="1077">
        <f>MAX(E88,H88,K88,N88)</f>
        <v>0</v>
      </c>
      <c r="R88" s="2126">
        <f t="shared" ref="R88:R90" si="139">MAX(F88,I88,L88,O88)</f>
        <v>0</v>
      </c>
      <c r="S88" s="2127">
        <f t="shared" ref="S88:S90" si="140">MAX(G88,J88,M88,P88)</f>
        <v>0</v>
      </c>
      <c r="T88" s="853">
        <f>IFERROR(AVERAGE(Q88:S88),"")</f>
        <v>0</v>
      </c>
      <c r="U88" s="1075" t="str">
        <f>IF(T88&gt;85,("4"),IF(T88&gt;80,("3.66"),IF(T88&gt;75,("3.33"),IF(T88&gt;70,("3.00"),IF(T88&gt;65,("2.66"),IF(T88&gt;60,("2.33"),IF(T88&gt;55,("2"),IF(T88&gt;50,("1.66"),"1.33"))))))))</f>
        <v>1.33</v>
      </c>
      <c r="V88" s="1075" t="str">
        <f>IF(T88&gt;85,("A"),IF(T88&gt;80,("A-"),IF(T88&gt;75,("B+"),IF(T88&gt;70,("B"),IF(T88&gt;65,("B-"),IF(T88&gt;60,("C+"),IF(T88&gt;55,("C"),IF(T88&gt;50,("C-"),"D+"))))))))</f>
        <v>D+</v>
      </c>
      <c r="W88" s="1075" t="str">
        <f>IF(T88&gt;80,("SB"),IF(T88&gt;65,("B"),IF(T88&gt;50,("C"),IF(T88&gt;0,("K"),"0"))))</f>
        <v>0</v>
      </c>
      <c r="X88" s="1816"/>
      <c r="Y88" s="1816"/>
      <c r="Z88" s="1816"/>
      <c r="AA88" s="1817"/>
      <c r="AB88" s="1817"/>
      <c r="AC88" s="1817"/>
      <c r="AD88" s="1818">
        <f>T91</f>
        <v>0</v>
      </c>
      <c r="AE88" s="1245" t="str">
        <f>IF(AD88&gt;85,("A"),IF(AD88&gt;80,("A-"),IF(AD88&gt;75,("B+"),IF(AD88&gt;70,("B"),IF(AD88&gt;65,("B-"),IF(AD88&gt;60,("C+"),IF(AD88&gt;55,("C"),IF(AD88&gt;50,("C-"),"D+"))))))))</f>
        <v>D+</v>
      </c>
    </row>
    <row r="89" spans="1:31" ht="24.95" customHeight="1" x14ac:dyDescent="0.25">
      <c r="A89" s="1207"/>
      <c r="B89" s="1208"/>
      <c r="C89" s="1212"/>
      <c r="D89" s="1213" t="s">
        <v>155</v>
      </c>
      <c r="E89" s="1672">
        <v>0</v>
      </c>
      <c r="F89" s="1385">
        <v>0</v>
      </c>
      <c r="G89" s="1385">
        <v>0</v>
      </c>
      <c r="H89" s="2025">
        <v>0</v>
      </c>
      <c r="I89" s="2025">
        <v>0</v>
      </c>
      <c r="J89" s="2025">
        <v>0</v>
      </c>
      <c r="K89" s="1672">
        <v>0</v>
      </c>
      <c r="L89" s="1672">
        <v>0</v>
      </c>
      <c r="M89" s="1672">
        <v>0</v>
      </c>
      <c r="N89" s="2025">
        <v>0</v>
      </c>
      <c r="O89" s="2025">
        <v>0</v>
      </c>
      <c r="P89" s="2025">
        <v>0</v>
      </c>
      <c r="Q89" s="1077">
        <f t="shared" ref="Q89:Q90" si="141">MAX(E89,H89,K89,N89)</f>
        <v>0</v>
      </c>
      <c r="R89" s="2126">
        <f t="shared" si="139"/>
        <v>0</v>
      </c>
      <c r="S89" s="2127">
        <f t="shared" si="140"/>
        <v>0</v>
      </c>
      <c r="T89" s="853">
        <f t="shared" ref="T89:T90" si="142">IFERROR(AVERAGE(Q89:S89),"")</f>
        <v>0</v>
      </c>
      <c r="U89" s="1075" t="str">
        <f t="shared" ref="U89:U90" si="143">IF(T89&gt;85,("4"),IF(T89&gt;80,("3.66"),IF(T89&gt;75,("3.33"),IF(T89&gt;70,("3.00"),IF(T89&gt;65,("2.66"),IF(T89&gt;60,("2.33"),IF(T89&gt;55,("2"),IF(T89&gt;50,("1.66"),"1.33"))))))))</f>
        <v>1.33</v>
      </c>
      <c r="V89" s="1075" t="str">
        <f t="shared" ref="V89:V90" si="144">IF(T89&gt;85,("A"),IF(T89&gt;80,("A-"),IF(T89&gt;75,("B+"),IF(T89&gt;70,("B"),IF(T89&gt;65,("B-"),IF(T89&gt;60,("C+"),IF(T89&gt;55,("C"),IF(T89&gt;50,("C-"),"D+"))))))))</f>
        <v>D+</v>
      </c>
      <c r="W89" s="1075" t="str">
        <f t="shared" ref="W89:W90" si="145">IF(T89&gt;80,("SB"),IF(T89&gt;65,("B"),IF(T89&gt;50,("C"),IF(T89&gt;0,("K"),"0"))))</f>
        <v>0</v>
      </c>
      <c r="X89" s="1214"/>
      <c r="Y89" s="1215"/>
      <c r="Z89" s="1215"/>
      <c r="AA89" s="1215"/>
      <c r="AB89" s="1215"/>
      <c r="AC89" s="1215"/>
      <c r="AD89" s="1819"/>
      <c r="AE89" s="1246"/>
    </row>
    <row r="90" spans="1:31" ht="24.95" customHeight="1" x14ac:dyDescent="0.25">
      <c r="A90" s="1207"/>
      <c r="B90" s="1208"/>
      <c r="C90" s="1212"/>
      <c r="D90" s="1213" t="s">
        <v>9</v>
      </c>
      <c r="E90" s="1385"/>
      <c r="F90" s="1385"/>
      <c r="G90" s="1385"/>
      <c r="H90" s="2025">
        <v>0</v>
      </c>
      <c r="I90" s="2025">
        <v>0</v>
      </c>
      <c r="J90" s="2025">
        <v>0</v>
      </c>
      <c r="K90" s="1672">
        <v>0</v>
      </c>
      <c r="L90" s="1672">
        <v>0</v>
      </c>
      <c r="M90" s="1672">
        <v>0</v>
      </c>
      <c r="N90" s="2025"/>
      <c r="O90" s="2025"/>
      <c r="P90" s="2025"/>
      <c r="Q90" s="1077">
        <f t="shared" si="141"/>
        <v>0</v>
      </c>
      <c r="R90" s="2126">
        <f t="shared" si="139"/>
        <v>0</v>
      </c>
      <c r="S90" s="2127">
        <f t="shared" si="140"/>
        <v>0</v>
      </c>
      <c r="T90" s="853">
        <f t="shared" si="142"/>
        <v>0</v>
      </c>
      <c r="U90" s="1075" t="str">
        <f t="shared" si="143"/>
        <v>1.33</v>
      </c>
      <c r="V90" s="1075" t="str">
        <f t="shared" si="144"/>
        <v>D+</v>
      </c>
      <c r="W90" s="1075" t="str">
        <f t="shared" si="145"/>
        <v>0</v>
      </c>
      <c r="X90" s="1216"/>
      <c r="Y90" s="1217"/>
      <c r="Z90" s="1217"/>
      <c r="AA90" s="1217"/>
      <c r="AB90" s="1217"/>
      <c r="AC90" s="1217"/>
      <c r="AD90" s="1820"/>
      <c r="AE90" s="1247"/>
    </row>
    <row r="91" spans="1:31" ht="24.95" customHeight="1" x14ac:dyDescent="0.25">
      <c r="A91" s="1236"/>
      <c r="B91" s="1241"/>
      <c r="C91" s="1220" t="s">
        <v>167</v>
      </c>
      <c r="D91" s="1237"/>
      <c r="E91" s="2687"/>
      <c r="F91" s="2688"/>
      <c r="G91" s="2688"/>
      <c r="H91" s="2688"/>
      <c r="I91" s="2076"/>
      <c r="J91" s="2076"/>
      <c r="K91" s="2076"/>
      <c r="L91" s="2076"/>
      <c r="M91" s="2076"/>
      <c r="N91" s="2076"/>
      <c r="O91" s="2076"/>
      <c r="P91" s="2076"/>
      <c r="Q91" s="2128"/>
      <c r="R91" s="2128"/>
      <c r="S91" s="2128"/>
      <c r="T91" s="732">
        <f>IFERROR(AVERAGE(T88:T90),"  ")</f>
        <v>0</v>
      </c>
      <c r="U91" s="1244" t="str">
        <f>IF(T91&gt;85,("4"),IF(T91&gt;80,("3.66"),IF(T91&gt;75,("3.33"),IF(T91&gt;70,("3.00"),IF(T91&gt;65,("2.66"),IF(T91&gt;60,("2.33"),IF(T91&gt;55,("2"),IF(T91&gt;50,("1.66"),"1.33"))))))))</f>
        <v>1.33</v>
      </c>
      <c r="V91" s="1244" t="str">
        <f>IF(T91&gt;85,("A"),IF(T91&gt;80,("A-"),IF(T91&gt;75,("B+"),IF(T91&gt;70,("B"),IF(T91&gt;65,("B-"),IF(T91&gt;60,("C+"),IF(T91&gt;55,("C"),IF(T91&gt;50,("C-"),"D+"))))))))</f>
        <v>D+</v>
      </c>
      <c r="W91" s="1244"/>
      <c r="X91" s="1221"/>
      <c r="Y91" s="1222"/>
      <c r="Z91" s="1222"/>
      <c r="AA91" s="1222"/>
      <c r="AB91" s="1222"/>
      <c r="AC91" s="1222"/>
      <c r="AD91" s="1821"/>
      <c r="AE91" s="1249"/>
    </row>
    <row r="92" spans="1:31" ht="24.95" customHeight="1" x14ac:dyDescent="0.25">
      <c r="A92" s="1224">
        <v>22</v>
      </c>
      <c r="B92" s="1225"/>
      <c r="C92" s="1209" t="str">
        <f>VLOOKUP(A92,data_siswa,4,FALSE)</f>
        <v>Sally Savista A</v>
      </c>
      <c r="D92" s="1210" t="s">
        <v>154</v>
      </c>
      <c r="E92" s="1672"/>
      <c r="F92" s="1672"/>
      <c r="G92" s="1672"/>
      <c r="H92" s="2025">
        <v>0</v>
      </c>
      <c r="I92" s="2025">
        <v>0</v>
      </c>
      <c r="J92" s="2025">
        <v>0</v>
      </c>
      <c r="K92" s="1672"/>
      <c r="L92" s="1672"/>
      <c r="M92" s="1672"/>
      <c r="N92" s="2025"/>
      <c r="O92" s="2025"/>
      <c r="P92" s="2025"/>
      <c r="Q92" s="1077">
        <f>MAX(E92,H92,K92,N92)</f>
        <v>0</v>
      </c>
      <c r="R92" s="2126">
        <f t="shared" ref="R92:R94" si="146">MAX(F92,I92,L92,O92)</f>
        <v>0</v>
      </c>
      <c r="S92" s="2127">
        <f t="shared" ref="S92:S94" si="147">MAX(G92,J92,M92,P92)</f>
        <v>0</v>
      </c>
      <c r="T92" s="853">
        <f>IFERROR(AVERAGE(Q92:S92),"")</f>
        <v>0</v>
      </c>
      <c r="U92" s="1075" t="str">
        <f>IF(T92&gt;85,("4"),IF(T92&gt;80,("3.66"),IF(T92&gt;75,("3.33"),IF(T92&gt;70,("3.00"),IF(T92&gt;65,("2.66"),IF(T92&gt;60,("2.33"),IF(T92&gt;55,("2"),IF(T92&gt;50,("1.66"),"1.33"))))))))</f>
        <v>1.33</v>
      </c>
      <c r="V92" s="1075" t="str">
        <f>IF(T92&gt;85,("A"),IF(T92&gt;80,("A-"),IF(T92&gt;75,("B+"),IF(T92&gt;70,("B"),IF(T92&gt;65,("B-"),IF(T92&gt;60,("C+"),IF(T92&gt;55,("C"),IF(T92&gt;50,("C-"),"D+"))))))))</f>
        <v>D+</v>
      </c>
      <c r="W92" s="1075" t="str">
        <f>IF(T92&gt;80,("SB"),IF(T92&gt;65,("B"),IF(T92&gt;50,("C"),IF(T92&gt;0,("K"),"0"))))</f>
        <v>0</v>
      </c>
      <c r="X92" s="1816"/>
      <c r="Y92" s="1816"/>
      <c r="Z92" s="1816"/>
      <c r="AA92" s="1817"/>
      <c r="AB92" s="1817"/>
      <c r="AC92" s="1817"/>
      <c r="AD92" s="1818">
        <f>T95</f>
        <v>0</v>
      </c>
      <c r="AE92" s="1245" t="str">
        <f>IF(AD92&gt;85,("A"),IF(AD92&gt;80,("A-"),IF(AD92&gt;75,("B+"),IF(AD92&gt;70,("B"),IF(AD92&gt;65,("B-"),IF(AD92&gt;60,("C+"),IF(AD92&gt;55,("C"),IF(AD92&gt;50,("C-"),"D+"))))))))</f>
        <v>D+</v>
      </c>
    </row>
    <row r="93" spans="1:31" ht="24.95" customHeight="1" x14ac:dyDescent="0.25">
      <c r="A93" s="1207"/>
      <c r="B93" s="1208"/>
      <c r="C93" s="1212"/>
      <c r="D93" s="1213" t="s">
        <v>155</v>
      </c>
      <c r="E93" s="1672">
        <v>0</v>
      </c>
      <c r="F93" s="1385">
        <v>0</v>
      </c>
      <c r="G93" s="1385">
        <v>0</v>
      </c>
      <c r="H93" s="2025">
        <v>0</v>
      </c>
      <c r="I93" s="2025">
        <v>0</v>
      </c>
      <c r="J93" s="2025">
        <v>0</v>
      </c>
      <c r="K93" s="1672">
        <v>0</v>
      </c>
      <c r="L93" s="1672">
        <v>0</v>
      </c>
      <c r="M93" s="1672">
        <v>0</v>
      </c>
      <c r="N93" s="2025">
        <v>0</v>
      </c>
      <c r="O93" s="2025">
        <v>0</v>
      </c>
      <c r="P93" s="2025">
        <v>0</v>
      </c>
      <c r="Q93" s="1077">
        <f t="shared" ref="Q93:Q94" si="148">MAX(E93,H93,K93,N93)</f>
        <v>0</v>
      </c>
      <c r="R93" s="2126">
        <f t="shared" si="146"/>
        <v>0</v>
      </c>
      <c r="S93" s="2127">
        <f t="shared" si="147"/>
        <v>0</v>
      </c>
      <c r="T93" s="853">
        <f t="shared" ref="T93:T94" si="149">IFERROR(AVERAGE(Q93:S93),"")</f>
        <v>0</v>
      </c>
      <c r="U93" s="1075" t="str">
        <f t="shared" ref="U93:U94" si="150">IF(T93&gt;85,("4"),IF(T93&gt;80,("3.66"),IF(T93&gt;75,("3.33"),IF(T93&gt;70,("3.00"),IF(T93&gt;65,("2.66"),IF(T93&gt;60,("2.33"),IF(T93&gt;55,("2"),IF(T93&gt;50,("1.66"),"1.33"))))))))</f>
        <v>1.33</v>
      </c>
      <c r="V93" s="1075" t="str">
        <f t="shared" ref="V93:V94" si="151">IF(T93&gt;85,("A"),IF(T93&gt;80,("A-"),IF(T93&gt;75,("B+"),IF(T93&gt;70,("B"),IF(T93&gt;65,("B-"),IF(T93&gt;60,("C+"),IF(T93&gt;55,("C"),IF(T93&gt;50,("C-"),"D+"))))))))</f>
        <v>D+</v>
      </c>
      <c r="W93" s="1075" t="str">
        <f t="shared" ref="W93:W94" si="152">IF(T93&gt;80,("SB"),IF(T93&gt;65,("B"),IF(T93&gt;50,("C"),IF(T93&gt;0,("K"),"0"))))</f>
        <v>0</v>
      </c>
      <c r="X93" s="1214"/>
      <c r="Y93" s="1215"/>
      <c r="Z93" s="1215"/>
      <c r="AA93" s="1215"/>
      <c r="AB93" s="1215"/>
      <c r="AC93" s="1215"/>
      <c r="AD93" s="1819"/>
      <c r="AE93" s="1246"/>
    </row>
    <row r="94" spans="1:31" ht="24.95" customHeight="1" x14ac:dyDescent="0.25">
      <c r="A94" s="1207"/>
      <c r="B94" s="1208"/>
      <c r="C94" s="1212"/>
      <c r="D94" s="1213" t="s">
        <v>9</v>
      </c>
      <c r="E94" s="1385"/>
      <c r="F94" s="1385"/>
      <c r="G94" s="1385"/>
      <c r="H94" s="2025">
        <v>0</v>
      </c>
      <c r="I94" s="2025">
        <v>0</v>
      </c>
      <c r="J94" s="2025">
        <v>0</v>
      </c>
      <c r="K94" s="1672">
        <v>0</v>
      </c>
      <c r="L94" s="1672">
        <v>0</v>
      </c>
      <c r="M94" s="1672">
        <v>0</v>
      </c>
      <c r="N94" s="2025"/>
      <c r="O94" s="2025"/>
      <c r="P94" s="2025"/>
      <c r="Q94" s="1077">
        <f t="shared" si="148"/>
        <v>0</v>
      </c>
      <c r="R94" s="2126">
        <f t="shared" si="146"/>
        <v>0</v>
      </c>
      <c r="S94" s="2127">
        <f t="shared" si="147"/>
        <v>0</v>
      </c>
      <c r="T94" s="853">
        <f t="shared" si="149"/>
        <v>0</v>
      </c>
      <c r="U94" s="1075" t="str">
        <f t="shared" si="150"/>
        <v>1.33</v>
      </c>
      <c r="V94" s="1075" t="str">
        <f t="shared" si="151"/>
        <v>D+</v>
      </c>
      <c r="W94" s="1075" t="str">
        <f t="shared" si="152"/>
        <v>0</v>
      </c>
      <c r="X94" s="1216"/>
      <c r="Y94" s="1217"/>
      <c r="Z94" s="1217"/>
      <c r="AA94" s="1217"/>
      <c r="AB94" s="1217"/>
      <c r="AC94" s="1217"/>
      <c r="AD94" s="1820"/>
      <c r="AE94" s="1247"/>
    </row>
    <row r="95" spans="1:31" ht="24.95" customHeight="1" x14ac:dyDescent="0.25">
      <c r="A95" s="1236"/>
      <c r="B95" s="1241"/>
      <c r="C95" s="1220" t="s">
        <v>167</v>
      </c>
      <c r="D95" s="1237"/>
      <c r="E95" s="2687"/>
      <c r="F95" s="2688"/>
      <c r="G95" s="2688"/>
      <c r="H95" s="2688"/>
      <c r="I95" s="2076"/>
      <c r="J95" s="2076"/>
      <c r="K95" s="2076"/>
      <c r="L95" s="2076"/>
      <c r="M95" s="2076"/>
      <c r="N95" s="2076"/>
      <c r="O95" s="2076"/>
      <c r="P95" s="2076"/>
      <c r="Q95" s="2128"/>
      <c r="R95" s="2128"/>
      <c r="S95" s="2128"/>
      <c r="T95" s="732">
        <f>IFERROR(AVERAGE(T92:T94),"  ")</f>
        <v>0</v>
      </c>
      <c r="U95" s="1244" t="str">
        <f>IF(T95&gt;85,("4"),IF(T95&gt;80,("3.66"),IF(T95&gt;75,("3.33"),IF(T95&gt;70,("3.00"),IF(T95&gt;65,("2.66"),IF(T95&gt;60,("2.33"),IF(T95&gt;55,("2"),IF(T95&gt;50,("1.66"),"1.33"))))))))</f>
        <v>1.33</v>
      </c>
      <c r="V95" s="1244" t="str">
        <f>IF(T95&gt;85,("A"),IF(T95&gt;80,("A-"),IF(T95&gt;75,("B+"),IF(T95&gt;70,("B"),IF(T95&gt;65,("B-"),IF(T95&gt;60,("C+"),IF(T95&gt;55,("C"),IF(T95&gt;50,("C-"),"D+"))))))))</f>
        <v>D+</v>
      </c>
      <c r="W95" s="1244"/>
      <c r="X95" s="1221"/>
      <c r="Y95" s="1222"/>
      <c r="Z95" s="1222"/>
      <c r="AA95" s="1222"/>
      <c r="AB95" s="1222"/>
      <c r="AC95" s="1222"/>
      <c r="AD95" s="1821"/>
      <c r="AE95" s="1249"/>
    </row>
    <row r="96" spans="1:31" ht="24.95" customHeight="1" x14ac:dyDescent="0.25">
      <c r="A96" s="1224">
        <v>23</v>
      </c>
      <c r="B96" s="1225"/>
      <c r="C96" s="1209" t="str">
        <f>VLOOKUP(A96,data_siswa,4,FALSE)</f>
        <v xml:space="preserve">Tania Kaori Angelita </v>
      </c>
      <c r="D96" s="1210" t="s">
        <v>154</v>
      </c>
      <c r="E96" s="1672"/>
      <c r="F96" s="1672"/>
      <c r="G96" s="1672"/>
      <c r="H96" s="2025">
        <v>0</v>
      </c>
      <c r="I96" s="2025">
        <v>0</v>
      </c>
      <c r="J96" s="2025">
        <v>0</v>
      </c>
      <c r="K96" s="1672"/>
      <c r="L96" s="1672"/>
      <c r="M96" s="1672"/>
      <c r="N96" s="2025"/>
      <c r="O96" s="2025"/>
      <c r="P96" s="2025"/>
      <c r="Q96" s="1077">
        <f>MAX(E96,H96,K96,N96)</f>
        <v>0</v>
      </c>
      <c r="R96" s="2126">
        <f t="shared" ref="R96:R98" si="153">MAX(F96,I96,L96,O96)</f>
        <v>0</v>
      </c>
      <c r="S96" s="2127">
        <f t="shared" ref="S96:S98" si="154">MAX(G96,J96,M96,P96)</f>
        <v>0</v>
      </c>
      <c r="T96" s="853">
        <f>IFERROR(AVERAGE(Q96:S96),"")</f>
        <v>0</v>
      </c>
      <c r="U96" s="1075" t="str">
        <f>IF(T96&gt;85,("4"),IF(T96&gt;80,("3.66"),IF(T96&gt;75,("3.33"),IF(T96&gt;70,("3.00"),IF(T96&gt;65,("2.66"),IF(T96&gt;60,("2.33"),IF(T96&gt;55,("2"),IF(T96&gt;50,("1.66"),"1.33"))))))))</f>
        <v>1.33</v>
      </c>
      <c r="V96" s="1075" t="str">
        <f>IF(T96&gt;85,("A"),IF(T96&gt;80,("A-"),IF(T96&gt;75,("B+"),IF(T96&gt;70,("B"),IF(T96&gt;65,("B-"),IF(T96&gt;60,("C+"),IF(T96&gt;55,("C"),IF(T96&gt;50,("C-"),"D+"))))))))</f>
        <v>D+</v>
      </c>
      <c r="W96" s="1075" t="str">
        <f>IF(T96&gt;80,("SB"),IF(T96&gt;65,("B"),IF(T96&gt;50,("C"),IF(T96&gt;0,("K"),"0"))))</f>
        <v>0</v>
      </c>
      <c r="X96" s="1816"/>
      <c r="Y96" s="1816"/>
      <c r="Z96" s="1816"/>
      <c r="AA96" s="1817"/>
      <c r="AB96" s="1817"/>
      <c r="AC96" s="1817"/>
      <c r="AD96" s="1818">
        <f>T99</f>
        <v>0</v>
      </c>
      <c r="AE96" s="1245" t="str">
        <f>IF(AD96&gt;85,("A"),IF(AD96&gt;80,("A-"),IF(AD96&gt;75,("B+"),IF(AD96&gt;70,("B"),IF(AD96&gt;65,("B-"),IF(AD96&gt;60,("C+"),IF(AD96&gt;55,("C"),IF(AD96&gt;50,("C-"),"D+"))))))))</f>
        <v>D+</v>
      </c>
    </row>
    <row r="97" spans="1:31" ht="24.95" customHeight="1" x14ac:dyDescent="0.25">
      <c r="A97" s="1207"/>
      <c r="B97" s="1208"/>
      <c r="C97" s="1212"/>
      <c r="D97" s="1213" t="s">
        <v>155</v>
      </c>
      <c r="E97" s="1672">
        <v>0</v>
      </c>
      <c r="F97" s="1385">
        <v>0</v>
      </c>
      <c r="G97" s="1385">
        <v>0</v>
      </c>
      <c r="H97" s="2025">
        <v>0</v>
      </c>
      <c r="I97" s="2025">
        <v>0</v>
      </c>
      <c r="J97" s="2025">
        <v>0</v>
      </c>
      <c r="K97" s="1672">
        <v>0</v>
      </c>
      <c r="L97" s="1672">
        <v>0</v>
      </c>
      <c r="M97" s="1672">
        <v>0</v>
      </c>
      <c r="N97" s="2025">
        <v>0</v>
      </c>
      <c r="O97" s="2025">
        <v>0</v>
      </c>
      <c r="P97" s="2025">
        <v>0</v>
      </c>
      <c r="Q97" s="1077">
        <f t="shared" ref="Q97:Q98" si="155">MAX(E97,H97,K97,N97)</f>
        <v>0</v>
      </c>
      <c r="R97" s="2126">
        <f t="shared" si="153"/>
        <v>0</v>
      </c>
      <c r="S97" s="2127">
        <f t="shared" si="154"/>
        <v>0</v>
      </c>
      <c r="T97" s="853">
        <f t="shared" ref="T97:T98" si="156">IFERROR(AVERAGE(Q97:S97),"")</f>
        <v>0</v>
      </c>
      <c r="U97" s="1075" t="str">
        <f t="shared" ref="U97:U98" si="157">IF(T97&gt;85,("4"),IF(T97&gt;80,("3.66"),IF(T97&gt;75,("3.33"),IF(T97&gt;70,("3.00"),IF(T97&gt;65,("2.66"),IF(T97&gt;60,("2.33"),IF(T97&gt;55,("2"),IF(T97&gt;50,("1.66"),"1.33"))))))))</f>
        <v>1.33</v>
      </c>
      <c r="V97" s="1075" t="str">
        <f t="shared" ref="V97:V98" si="158">IF(T97&gt;85,("A"),IF(T97&gt;80,("A-"),IF(T97&gt;75,("B+"),IF(T97&gt;70,("B"),IF(T97&gt;65,("B-"),IF(T97&gt;60,("C+"),IF(T97&gt;55,("C"),IF(T97&gt;50,("C-"),"D+"))))))))</f>
        <v>D+</v>
      </c>
      <c r="W97" s="1075" t="str">
        <f t="shared" ref="W97:W98" si="159">IF(T97&gt;80,("SB"),IF(T97&gt;65,("B"),IF(T97&gt;50,("C"),IF(T97&gt;0,("K"),"0"))))</f>
        <v>0</v>
      </c>
      <c r="X97" s="1214"/>
      <c r="Y97" s="1215"/>
      <c r="Z97" s="1215"/>
      <c r="AA97" s="1215"/>
      <c r="AB97" s="1215"/>
      <c r="AC97" s="1215"/>
      <c r="AD97" s="1819"/>
      <c r="AE97" s="1246"/>
    </row>
    <row r="98" spans="1:31" ht="24.95" customHeight="1" x14ac:dyDescent="0.25">
      <c r="A98" s="1207"/>
      <c r="B98" s="1208"/>
      <c r="C98" s="1212"/>
      <c r="D98" s="1213" t="s">
        <v>9</v>
      </c>
      <c r="E98" s="1385"/>
      <c r="F98" s="1385"/>
      <c r="G98" s="1385"/>
      <c r="H98" s="2025">
        <v>0</v>
      </c>
      <c r="I98" s="2025">
        <v>0</v>
      </c>
      <c r="J98" s="2025">
        <v>0</v>
      </c>
      <c r="K98" s="1672">
        <v>0</v>
      </c>
      <c r="L98" s="1672">
        <v>0</v>
      </c>
      <c r="M98" s="1672">
        <v>0</v>
      </c>
      <c r="N98" s="2025"/>
      <c r="O98" s="2025"/>
      <c r="P98" s="2025"/>
      <c r="Q98" s="1077">
        <f t="shared" si="155"/>
        <v>0</v>
      </c>
      <c r="R98" s="2126">
        <f t="shared" si="153"/>
        <v>0</v>
      </c>
      <c r="S98" s="2127">
        <f t="shared" si="154"/>
        <v>0</v>
      </c>
      <c r="T98" s="853">
        <f t="shared" si="156"/>
        <v>0</v>
      </c>
      <c r="U98" s="1075" t="str">
        <f t="shared" si="157"/>
        <v>1.33</v>
      </c>
      <c r="V98" s="1075" t="str">
        <f t="shared" si="158"/>
        <v>D+</v>
      </c>
      <c r="W98" s="1075" t="str">
        <f t="shared" si="159"/>
        <v>0</v>
      </c>
      <c r="X98" s="1216"/>
      <c r="Y98" s="1217"/>
      <c r="Z98" s="1217"/>
      <c r="AA98" s="1217"/>
      <c r="AB98" s="1217"/>
      <c r="AC98" s="1217"/>
      <c r="AD98" s="1820"/>
      <c r="AE98" s="1247"/>
    </row>
    <row r="99" spans="1:31" ht="24.95" customHeight="1" x14ac:dyDescent="0.25">
      <c r="A99" s="1236"/>
      <c r="B99" s="1241"/>
      <c r="C99" s="1220" t="s">
        <v>167</v>
      </c>
      <c r="D99" s="1237"/>
      <c r="E99" s="2687"/>
      <c r="F99" s="2688"/>
      <c r="G99" s="2688"/>
      <c r="H99" s="2688"/>
      <c r="I99" s="2076"/>
      <c r="J99" s="2076"/>
      <c r="K99" s="2076"/>
      <c r="L99" s="2076"/>
      <c r="M99" s="2076"/>
      <c r="N99" s="2076"/>
      <c r="O99" s="2076"/>
      <c r="P99" s="2076"/>
      <c r="Q99" s="2128"/>
      <c r="R99" s="2128"/>
      <c r="S99" s="2128"/>
      <c r="T99" s="732">
        <f>IFERROR(AVERAGE(T96:T98),"  ")</f>
        <v>0</v>
      </c>
      <c r="U99" s="1244" t="str">
        <f>IF(T99&gt;85,("4"),IF(T99&gt;80,("3.66"),IF(T99&gt;75,("3.33"),IF(T99&gt;70,("3.00"),IF(T99&gt;65,("2.66"),IF(T99&gt;60,("2.33"),IF(T99&gt;55,("2"),IF(T99&gt;50,("1.66"),"1.33"))))))))</f>
        <v>1.33</v>
      </c>
      <c r="V99" s="1244" t="str">
        <f>IF(T99&gt;85,("A"),IF(T99&gt;80,("A-"),IF(T99&gt;75,("B+"),IF(T99&gt;70,("B"),IF(T99&gt;65,("B-"),IF(T99&gt;60,("C+"),IF(T99&gt;55,("C"),IF(T99&gt;50,("C-"),"D+"))))))))</f>
        <v>D+</v>
      </c>
      <c r="W99" s="1244"/>
      <c r="X99" s="1221"/>
      <c r="Y99" s="1222"/>
      <c r="Z99" s="1222"/>
      <c r="AA99" s="1222"/>
      <c r="AB99" s="1222"/>
      <c r="AC99" s="1222"/>
      <c r="AD99" s="1821"/>
      <c r="AE99" s="1249"/>
    </row>
    <row r="100" spans="1:31" ht="24.95" customHeight="1" x14ac:dyDescent="0.25">
      <c r="A100" s="1224">
        <v>24</v>
      </c>
      <c r="B100" s="1225"/>
      <c r="C100" s="1209" t="str">
        <f>VLOOKUP(A100,data_siswa,4,FALSE)</f>
        <v>Romzy Oka Ramadhani P</v>
      </c>
      <c r="D100" s="1210" t="s">
        <v>154</v>
      </c>
      <c r="E100" s="1672"/>
      <c r="F100" s="1672"/>
      <c r="G100" s="1672"/>
      <c r="H100" s="2025">
        <v>0</v>
      </c>
      <c r="I100" s="2025">
        <v>0</v>
      </c>
      <c r="J100" s="2025">
        <v>0</v>
      </c>
      <c r="K100" s="1672"/>
      <c r="L100" s="1672"/>
      <c r="M100" s="1672"/>
      <c r="N100" s="2025"/>
      <c r="O100" s="2025"/>
      <c r="P100" s="2025"/>
      <c r="Q100" s="1077">
        <f>MAX(E100,H100,K100,N100)</f>
        <v>0</v>
      </c>
      <c r="R100" s="2126">
        <f t="shared" ref="R100:R102" si="160">MAX(F100,I100,L100,O100)</f>
        <v>0</v>
      </c>
      <c r="S100" s="2127">
        <f t="shared" ref="S100:S102" si="161">MAX(G100,J100,M100,P100)</f>
        <v>0</v>
      </c>
      <c r="T100" s="853">
        <f>IFERROR(AVERAGE(Q100:S100),"")</f>
        <v>0</v>
      </c>
      <c r="U100" s="1075" t="str">
        <f>IF(T100&gt;85,("4"),IF(T100&gt;80,("3.66"),IF(T100&gt;75,("3.33"),IF(T100&gt;70,("3.00"),IF(T100&gt;65,("2.66"),IF(T100&gt;60,("2.33"),IF(T100&gt;55,("2"),IF(T100&gt;50,("1.66"),"1.33"))))))))</f>
        <v>1.33</v>
      </c>
      <c r="V100" s="1075" t="str">
        <f>IF(T100&gt;85,("A"),IF(T100&gt;80,("A-"),IF(T100&gt;75,("B+"),IF(T100&gt;70,("B"),IF(T100&gt;65,("B-"),IF(T100&gt;60,("C+"),IF(T100&gt;55,("C"),IF(T100&gt;50,("C-"),"D+"))))))))</f>
        <v>D+</v>
      </c>
      <c r="W100" s="1075" t="str">
        <f>IF(T100&gt;80,("SB"),IF(T100&gt;65,("B"),IF(T100&gt;50,("C"),IF(T100&gt;0,("K"),"0"))))</f>
        <v>0</v>
      </c>
      <c r="X100" s="1816"/>
      <c r="Y100" s="1816"/>
      <c r="Z100" s="1816"/>
      <c r="AA100" s="1817"/>
      <c r="AB100" s="1817"/>
      <c r="AC100" s="1817"/>
      <c r="AD100" s="1818">
        <f>T103</f>
        <v>0</v>
      </c>
      <c r="AE100" s="1245" t="str">
        <f>IF(AD100&gt;85,("A"),IF(AD100&gt;80,("A-"),IF(AD100&gt;75,("B+"),IF(AD100&gt;70,("B"),IF(AD100&gt;65,("B-"),IF(AD100&gt;60,("C+"),IF(AD100&gt;55,("C"),IF(AD100&gt;50,("C-"),"D+"))))))))</f>
        <v>D+</v>
      </c>
    </row>
    <row r="101" spans="1:31" ht="24.95" customHeight="1" x14ac:dyDescent="0.25">
      <c r="A101" s="1207"/>
      <c r="B101" s="1208"/>
      <c r="C101" s="1212"/>
      <c r="D101" s="1213" t="s">
        <v>155</v>
      </c>
      <c r="E101" s="1672">
        <v>0</v>
      </c>
      <c r="F101" s="1385">
        <v>0</v>
      </c>
      <c r="G101" s="1385">
        <v>0</v>
      </c>
      <c r="H101" s="2025">
        <v>0</v>
      </c>
      <c r="I101" s="2025">
        <v>0</v>
      </c>
      <c r="J101" s="2025">
        <v>0</v>
      </c>
      <c r="K101" s="1672">
        <v>0</v>
      </c>
      <c r="L101" s="1672">
        <v>0</v>
      </c>
      <c r="M101" s="1672">
        <v>0</v>
      </c>
      <c r="N101" s="2025">
        <v>0</v>
      </c>
      <c r="O101" s="2025">
        <v>0</v>
      </c>
      <c r="P101" s="2025">
        <v>0</v>
      </c>
      <c r="Q101" s="1077">
        <f t="shared" ref="Q101:Q102" si="162">MAX(E101,H101,K101,N101)</f>
        <v>0</v>
      </c>
      <c r="R101" s="2126">
        <f t="shared" si="160"/>
        <v>0</v>
      </c>
      <c r="S101" s="2127">
        <f t="shared" si="161"/>
        <v>0</v>
      </c>
      <c r="T101" s="853">
        <f t="shared" ref="T101:T102" si="163">IFERROR(AVERAGE(Q101:S101),"")</f>
        <v>0</v>
      </c>
      <c r="U101" s="1075" t="str">
        <f t="shared" ref="U101:U102" si="164">IF(T101&gt;85,("4"),IF(T101&gt;80,("3.66"),IF(T101&gt;75,("3.33"),IF(T101&gt;70,("3.00"),IF(T101&gt;65,("2.66"),IF(T101&gt;60,("2.33"),IF(T101&gt;55,("2"),IF(T101&gt;50,("1.66"),"1.33"))))))))</f>
        <v>1.33</v>
      </c>
      <c r="V101" s="1075" t="str">
        <f t="shared" ref="V101:V102" si="165">IF(T101&gt;85,("A"),IF(T101&gt;80,("A-"),IF(T101&gt;75,("B+"),IF(T101&gt;70,("B"),IF(T101&gt;65,("B-"),IF(T101&gt;60,("C+"),IF(T101&gt;55,("C"),IF(T101&gt;50,("C-"),"D+"))))))))</f>
        <v>D+</v>
      </c>
      <c r="W101" s="1075" t="str">
        <f t="shared" ref="W101:W102" si="166">IF(T101&gt;80,("SB"),IF(T101&gt;65,("B"),IF(T101&gt;50,("C"),IF(T101&gt;0,("K"),"0"))))</f>
        <v>0</v>
      </c>
      <c r="X101" s="1214"/>
      <c r="Y101" s="1215"/>
      <c r="Z101" s="1215"/>
      <c r="AA101" s="1215"/>
      <c r="AB101" s="1215"/>
      <c r="AC101" s="1215"/>
      <c r="AD101" s="1819"/>
      <c r="AE101" s="1246"/>
    </row>
    <row r="102" spans="1:31" ht="24.95" customHeight="1" x14ac:dyDescent="0.25">
      <c r="A102" s="1207"/>
      <c r="B102" s="1208"/>
      <c r="C102" s="1212"/>
      <c r="D102" s="1213" t="s">
        <v>9</v>
      </c>
      <c r="E102" s="1385"/>
      <c r="F102" s="1385"/>
      <c r="G102" s="1385"/>
      <c r="H102" s="2025">
        <v>0</v>
      </c>
      <c r="I102" s="2025">
        <v>0</v>
      </c>
      <c r="J102" s="2025">
        <v>0</v>
      </c>
      <c r="K102" s="1672">
        <v>0</v>
      </c>
      <c r="L102" s="1672">
        <v>0</v>
      </c>
      <c r="M102" s="1672">
        <v>0</v>
      </c>
      <c r="N102" s="2025"/>
      <c r="O102" s="2025"/>
      <c r="P102" s="2025"/>
      <c r="Q102" s="1077">
        <f t="shared" si="162"/>
        <v>0</v>
      </c>
      <c r="R102" s="2126">
        <f t="shared" si="160"/>
        <v>0</v>
      </c>
      <c r="S102" s="2127">
        <f t="shared" si="161"/>
        <v>0</v>
      </c>
      <c r="T102" s="853">
        <f t="shared" si="163"/>
        <v>0</v>
      </c>
      <c r="U102" s="1075" t="str">
        <f t="shared" si="164"/>
        <v>1.33</v>
      </c>
      <c r="V102" s="1075" t="str">
        <f t="shared" si="165"/>
        <v>D+</v>
      </c>
      <c r="W102" s="1075" t="str">
        <f t="shared" si="166"/>
        <v>0</v>
      </c>
      <c r="X102" s="1216"/>
      <c r="Y102" s="1217"/>
      <c r="Z102" s="1217"/>
      <c r="AA102" s="1217"/>
      <c r="AB102" s="1217"/>
      <c r="AC102" s="1217"/>
      <c r="AD102" s="1820"/>
      <c r="AE102" s="1247"/>
    </row>
    <row r="103" spans="1:31" ht="24.95" customHeight="1" x14ac:dyDescent="0.25">
      <c r="A103" s="1236"/>
      <c r="B103" s="1241"/>
      <c r="C103" s="1220" t="s">
        <v>167</v>
      </c>
      <c r="D103" s="1237"/>
      <c r="E103" s="2687"/>
      <c r="F103" s="2688"/>
      <c r="G103" s="2688"/>
      <c r="H103" s="2688"/>
      <c r="I103" s="2076"/>
      <c r="J103" s="2076"/>
      <c r="K103" s="2076"/>
      <c r="L103" s="2076"/>
      <c r="M103" s="2076"/>
      <c r="N103" s="2076"/>
      <c r="O103" s="2076"/>
      <c r="P103" s="2076"/>
      <c r="Q103" s="2128"/>
      <c r="R103" s="2128"/>
      <c r="S103" s="2128"/>
      <c r="T103" s="732">
        <f>IFERROR(AVERAGE(T100:T102),"  ")</f>
        <v>0</v>
      </c>
      <c r="U103" s="1244" t="str">
        <f>IF(T103&gt;85,("4"),IF(T103&gt;80,("3.66"),IF(T103&gt;75,("3.33"),IF(T103&gt;70,("3.00"),IF(T103&gt;65,("2.66"),IF(T103&gt;60,("2.33"),IF(T103&gt;55,("2"),IF(T103&gt;50,("1.66"),"1.33"))))))))</f>
        <v>1.33</v>
      </c>
      <c r="V103" s="1244" t="str">
        <f>IF(T103&gt;85,("A"),IF(T103&gt;80,("A-"),IF(T103&gt;75,("B+"),IF(T103&gt;70,("B"),IF(T103&gt;65,("B-"),IF(T103&gt;60,("C+"),IF(T103&gt;55,("C"),IF(T103&gt;50,("C-"),"D+"))))))))</f>
        <v>D+</v>
      </c>
      <c r="W103" s="1244"/>
      <c r="X103" s="1221"/>
      <c r="Y103" s="1222"/>
      <c r="Z103" s="1222"/>
      <c r="AA103" s="1222"/>
      <c r="AB103" s="1222"/>
      <c r="AC103" s="1222"/>
      <c r="AD103" s="1821"/>
      <c r="AE103" s="1249"/>
    </row>
    <row r="104" spans="1:31" ht="24.95" customHeight="1" x14ac:dyDescent="0.25">
      <c r="A104" s="1224">
        <v>25</v>
      </c>
      <c r="B104" s="1225"/>
      <c r="C104" s="1209" t="str">
        <f>VLOOKUP(A104,data_siswa,4,FALSE)</f>
        <v>Larasati Jagadhita P</v>
      </c>
      <c r="D104" s="1210" t="s">
        <v>154</v>
      </c>
      <c r="E104" s="1672"/>
      <c r="F104" s="1672"/>
      <c r="G104" s="1672"/>
      <c r="H104" s="2025">
        <v>0</v>
      </c>
      <c r="I104" s="2025">
        <v>0</v>
      </c>
      <c r="J104" s="2025">
        <v>0</v>
      </c>
      <c r="K104" s="1672"/>
      <c r="L104" s="1672"/>
      <c r="M104" s="1672"/>
      <c r="N104" s="2025"/>
      <c r="O104" s="2025"/>
      <c r="P104" s="2025"/>
      <c r="Q104" s="1077">
        <f>MAX(E104,H104,K104,N104)</f>
        <v>0</v>
      </c>
      <c r="R104" s="2126">
        <f t="shared" ref="R104:R106" si="167">MAX(F104,I104,L104,O104)</f>
        <v>0</v>
      </c>
      <c r="S104" s="2127">
        <f t="shared" ref="S104:S106" si="168">MAX(G104,J104,M104,P104)</f>
        <v>0</v>
      </c>
      <c r="T104" s="853">
        <f>IFERROR(AVERAGE(Q104:S104),"")</f>
        <v>0</v>
      </c>
      <c r="U104" s="1075" t="str">
        <f>IF(T104&gt;85,("4"),IF(T104&gt;80,("3.66"),IF(T104&gt;75,("3.33"),IF(T104&gt;70,("3.00"),IF(T104&gt;65,("2.66"),IF(T104&gt;60,("2.33"),IF(T104&gt;55,("2"),IF(T104&gt;50,("1.66"),"1.33"))))))))</f>
        <v>1.33</v>
      </c>
      <c r="V104" s="1075" t="str">
        <f>IF(T104&gt;85,("A"),IF(T104&gt;80,("A-"),IF(T104&gt;75,("B+"),IF(T104&gt;70,("B"),IF(T104&gt;65,("B-"),IF(T104&gt;60,("C+"),IF(T104&gt;55,("C"),IF(T104&gt;50,("C-"),"D+"))))))))</f>
        <v>D+</v>
      </c>
      <c r="W104" s="1075" t="str">
        <f>IF(T104&gt;80,("SB"),IF(T104&gt;65,("B"),IF(T104&gt;50,("C"),IF(T104&gt;0,("K"),"0"))))</f>
        <v>0</v>
      </c>
      <c r="X104" s="1816"/>
      <c r="Y104" s="1816"/>
      <c r="Z104" s="1816"/>
      <c r="AA104" s="1817"/>
      <c r="AB104" s="1817"/>
      <c r="AC104" s="1817"/>
      <c r="AD104" s="1818">
        <f>T107</f>
        <v>0</v>
      </c>
      <c r="AE104" s="1245" t="str">
        <f>IF(AD104&gt;85,("A"),IF(AD104&gt;80,("A-"),IF(AD104&gt;75,("B+"),IF(AD104&gt;70,("B"),IF(AD104&gt;65,("B-"),IF(AD104&gt;60,("C+"),IF(AD104&gt;55,("C"),IF(AD104&gt;50,("C-"),"D+"))))))))</f>
        <v>D+</v>
      </c>
    </row>
    <row r="105" spans="1:31" ht="24.95" customHeight="1" x14ac:dyDescent="0.25">
      <c r="A105" s="1207"/>
      <c r="B105" s="1208"/>
      <c r="C105" s="1212"/>
      <c r="D105" s="1213" t="s">
        <v>155</v>
      </c>
      <c r="E105" s="1672">
        <v>0</v>
      </c>
      <c r="F105" s="1385">
        <v>0</v>
      </c>
      <c r="G105" s="1385">
        <v>0</v>
      </c>
      <c r="H105" s="2025">
        <v>0</v>
      </c>
      <c r="I105" s="2025">
        <v>0</v>
      </c>
      <c r="J105" s="2025">
        <v>0</v>
      </c>
      <c r="K105" s="1672">
        <v>0</v>
      </c>
      <c r="L105" s="1672">
        <v>0</v>
      </c>
      <c r="M105" s="1672">
        <v>0</v>
      </c>
      <c r="N105" s="2025">
        <v>0</v>
      </c>
      <c r="O105" s="2025">
        <v>0</v>
      </c>
      <c r="P105" s="2025">
        <v>0</v>
      </c>
      <c r="Q105" s="1077">
        <f t="shared" ref="Q105:Q106" si="169">MAX(E105,H105,K105,N105)</f>
        <v>0</v>
      </c>
      <c r="R105" s="2126">
        <f t="shared" si="167"/>
        <v>0</v>
      </c>
      <c r="S105" s="2127">
        <f t="shared" si="168"/>
        <v>0</v>
      </c>
      <c r="T105" s="853">
        <f t="shared" ref="T105:T106" si="170">IFERROR(AVERAGE(Q105:S105),"")</f>
        <v>0</v>
      </c>
      <c r="U105" s="1075" t="str">
        <f t="shared" ref="U105:U106" si="171">IF(T105&gt;85,("4"),IF(T105&gt;80,("3.66"),IF(T105&gt;75,("3.33"),IF(T105&gt;70,("3.00"),IF(T105&gt;65,("2.66"),IF(T105&gt;60,("2.33"),IF(T105&gt;55,("2"),IF(T105&gt;50,("1.66"),"1.33"))))))))</f>
        <v>1.33</v>
      </c>
      <c r="V105" s="1075" t="str">
        <f t="shared" ref="V105:V106" si="172">IF(T105&gt;85,("A"),IF(T105&gt;80,("A-"),IF(T105&gt;75,("B+"),IF(T105&gt;70,("B"),IF(T105&gt;65,("B-"),IF(T105&gt;60,("C+"),IF(T105&gt;55,("C"),IF(T105&gt;50,("C-"),"D+"))))))))</f>
        <v>D+</v>
      </c>
      <c r="W105" s="1075" t="str">
        <f t="shared" ref="W105:W106" si="173">IF(T105&gt;80,("SB"),IF(T105&gt;65,("B"),IF(T105&gt;50,("C"),IF(T105&gt;0,("K"),"0"))))</f>
        <v>0</v>
      </c>
      <c r="X105" s="1214"/>
      <c r="Y105" s="1215"/>
      <c r="Z105" s="1215"/>
      <c r="AA105" s="1215"/>
      <c r="AB105" s="1215"/>
      <c r="AC105" s="1215"/>
      <c r="AD105" s="1819"/>
      <c r="AE105" s="1246"/>
    </row>
    <row r="106" spans="1:31" ht="24.95" customHeight="1" x14ac:dyDescent="0.25">
      <c r="A106" s="1207"/>
      <c r="B106" s="1208"/>
      <c r="C106" s="1212"/>
      <c r="D106" s="1213" t="s">
        <v>9</v>
      </c>
      <c r="E106" s="1385"/>
      <c r="F106" s="1385"/>
      <c r="G106" s="1385"/>
      <c r="H106" s="2025">
        <v>0</v>
      </c>
      <c r="I106" s="2025">
        <v>0</v>
      </c>
      <c r="J106" s="2025">
        <v>0</v>
      </c>
      <c r="K106" s="1672">
        <v>0</v>
      </c>
      <c r="L106" s="1672">
        <v>0</v>
      </c>
      <c r="M106" s="1672">
        <v>0</v>
      </c>
      <c r="N106" s="2025"/>
      <c r="O106" s="2025"/>
      <c r="P106" s="2025"/>
      <c r="Q106" s="1077">
        <f t="shared" si="169"/>
        <v>0</v>
      </c>
      <c r="R106" s="2126">
        <f t="shared" si="167"/>
        <v>0</v>
      </c>
      <c r="S106" s="2127">
        <f t="shared" si="168"/>
        <v>0</v>
      </c>
      <c r="T106" s="853">
        <f t="shared" si="170"/>
        <v>0</v>
      </c>
      <c r="U106" s="1075" t="str">
        <f t="shared" si="171"/>
        <v>1.33</v>
      </c>
      <c r="V106" s="1075" t="str">
        <f t="shared" si="172"/>
        <v>D+</v>
      </c>
      <c r="W106" s="1075" t="str">
        <f t="shared" si="173"/>
        <v>0</v>
      </c>
      <c r="X106" s="1216"/>
      <c r="Y106" s="1217"/>
      <c r="Z106" s="1217"/>
      <c r="AA106" s="1217"/>
      <c r="AB106" s="1217"/>
      <c r="AC106" s="1217"/>
      <c r="AD106" s="1820"/>
      <c r="AE106" s="1247"/>
    </row>
    <row r="107" spans="1:31" ht="24.95" customHeight="1" x14ac:dyDescent="0.25">
      <c r="A107" s="1236"/>
      <c r="B107" s="1241"/>
      <c r="C107" s="1220" t="s">
        <v>167</v>
      </c>
      <c r="D107" s="1237"/>
      <c r="E107" s="2687"/>
      <c r="F107" s="2688"/>
      <c r="G107" s="2688"/>
      <c r="H107" s="2688"/>
      <c r="I107" s="2076"/>
      <c r="J107" s="2076"/>
      <c r="K107" s="2076"/>
      <c r="L107" s="2076"/>
      <c r="M107" s="2076"/>
      <c r="N107" s="2076"/>
      <c r="O107" s="2076"/>
      <c r="P107" s="2076"/>
      <c r="Q107" s="2128"/>
      <c r="R107" s="2128"/>
      <c r="S107" s="2128"/>
      <c r="T107" s="732">
        <f>IFERROR(AVERAGE(T104:T106),"  ")</f>
        <v>0</v>
      </c>
      <c r="U107" s="1244" t="str">
        <f>IF(T107&gt;85,("4"),IF(T107&gt;80,("3.66"),IF(T107&gt;75,("3.33"),IF(T107&gt;70,("3.00"),IF(T107&gt;65,("2.66"),IF(T107&gt;60,("2.33"),IF(T107&gt;55,("2"),IF(T107&gt;50,("1.66"),"1.33"))))))))</f>
        <v>1.33</v>
      </c>
      <c r="V107" s="1244" t="str">
        <f>IF(T107&gt;85,("A"),IF(T107&gt;80,("A-"),IF(T107&gt;75,("B+"),IF(T107&gt;70,("B"),IF(T107&gt;65,("B-"),IF(T107&gt;60,("C+"),IF(T107&gt;55,("C"),IF(T107&gt;50,("C-"),"D+"))))))))</f>
        <v>D+</v>
      </c>
      <c r="W107" s="1244"/>
      <c r="X107" s="1221"/>
      <c r="Y107" s="1222"/>
      <c r="Z107" s="1222"/>
      <c r="AA107" s="1222"/>
      <c r="AB107" s="1222"/>
      <c r="AC107" s="1222"/>
      <c r="AD107" s="1821"/>
      <c r="AE107" s="1249"/>
    </row>
    <row r="108" spans="1:31" ht="24.95" customHeight="1" x14ac:dyDescent="0.25">
      <c r="A108" s="1224">
        <v>26</v>
      </c>
      <c r="B108" s="1225"/>
      <c r="C108" s="1209" t="str">
        <f>VLOOKUP(A108,data_siswa,4,FALSE)</f>
        <v>Meliana Citra A</v>
      </c>
      <c r="D108" s="1210" t="s">
        <v>154</v>
      </c>
      <c r="E108" s="1672"/>
      <c r="F108" s="1672"/>
      <c r="G108" s="1672"/>
      <c r="H108" s="2025">
        <v>0</v>
      </c>
      <c r="I108" s="2025">
        <v>0</v>
      </c>
      <c r="J108" s="2025">
        <v>0</v>
      </c>
      <c r="K108" s="1672"/>
      <c r="L108" s="1672"/>
      <c r="M108" s="1672"/>
      <c r="N108" s="2025"/>
      <c r="O108" s="2025"/>
      <c r="P108" s="2025"/>
      <c r="Q108" s="1077">
        <f>MAX(E108,H108,K108,N108)</f>
        <v>0</v>
      </c>
      <c r="R108" s="2126">
        <f t="shared" ref="R108:R110" si="174">MAX(F108,I108,L108,O108)</f>
        <v>0</v>
      </c>
      <c r="S108" s="2127">
        <f t="shared" ref="S108:S110" si="175">MAX(G108,J108,M108,P108)</f>
        <v>0</v>
      </c>
      <c r="T108" s="853">
        <f>IFERROR(AVERAGE(Q108:S108),"")</f>
        <v>0</v>
      </c>
      <c r="U108" s="1075" t="str">
        <f>IF(T108&gt;85,("4"),IF(T108&gt;80,("3.66"),IF(T108&gt;75,("3.33"),IF(T108&gt;70,("3.00"),IF(T108&gt;65,("2.66"),IF(T108&gt;60,("2.33"),IF(T108&gt;55,("2"),IF(T108&gt;50,("1.66"),"1.33"))))))))</f>
        <v>1.33</v>
      </c>
      <c r="V108" s="1075" t="str">
        <f>IF(T108&gt;85,("A"),IF(T108&gt;80,("A-"),IF(T108&gt;75,("B+"),IF(T108&gt;70,("B"),IF(T108&gt;65,("B-"),IF(T108&gt;60,("C+"),IF(T108&gt;55,("C"),IF(T108&gt;50,("C-"),"D+"))))))))</f>
        <v>D+</v>
      </c>
      <c r="W108" s="1075" t="str">
        <f>IF(T108&gt;80,("SB"),IF(T108&gt;65,("B"),IF(T108&gt;50,("C"),IF(T108&gt;0,("K"),"0"))))</f>
        <v>0</v>
      </c>
      <c r="X108" s="1816"/>
      <c r="Y108" s="1816"/>
      <c r="Z108" s="1816"/>
      <c r="AA108" s="1817"/>
      <c r="AB108" s="1817"/>
      <c r="AC108" s="1817"/>
      <c r="AD108" s="1818">
        <f>T111</f>
        <v>0</v>
      </c>
      <c r="AE108" s="1245" t="str">
        <f>IF(AD108&gt;85,("A"),IF(AD108&gt;80,("A-"),IF(AD108&gt;75,("B+"),IF(AD108&gt;70,("B"),IF(AD108&gt;65,("B-"),IF(AD108&gt;60,("C+"),IF(AD108&gt;55,("C"),IF(AD108&gt;50,("C-"),"D+"))))))))</f>
        <v>D+</v>
      </c>
    </row>
    <row r="109" spans="1:31" ht="24.95" customHeight="1" x14ac:dyDescent="0.25">
      <c r="A109" s="1207"/>
      <c r="B109" s="1208"/>
      <c r="C109" s="1212"/>
      <c r="D109" s="1213" t="s">
        <v>155</v>
      </c>
      <c r="E109" s="1672">
        <v>0</v>
      </c>
      <c r="F109" s="1385">
        <v>0</v>
      </c>
      <c r="G109" s="1385">
        <v>0</v>
      </c>
      <c r="H109" s="2025">
        <v>0</v>
      </c>
      <c r="I109" s="2025">
        <v>0</v>
      </c>
      <c r="J109" s="2025">
        <v>0</v>
      </c>
      <c r="K109" s="1672">
        <v>0</v>
      </c>
      <c r="L109" s="1672">
        <v>0</v>
      </c>
      <c r="M109" s="1672">
        <v>0</v>
      </c>
      <c r="N109" s="2025">
        <v>0</v>
      </c>
      <c r="O109" s="2025">
        <v>0</v>
      </c>
      <c r="P109" s="2025">
        <v>0</v>
      </c>
      <c r="Q109" s="1077">
        <f t="shared" ref="Q109:Q110" si="176">MAX(E109,H109,K109,N109)</f>
        <v>0</v>
      </c>
      <c r="R109" s="2126">
        <f t="shared" si="174"/>
        <v>0</v>
      </c>
      <c r="S109" s="2127">
        <f t="shared" si="175"/>
        <v>0</v>
      </c>
      <c r="T109" s="853">
        <f t="shared" ref="T109:T110" si="177">IFERROR(AVERAGE(Q109:S109),"")</f>
        <v>0</v>
      </c>
      <c r="U109" s="1075" t="str">
        <f t="shared" ref="U109:U110" si="178">IF(T109&gt;85,("4"),IF(T109&gt;80,("3.66"),IF(T109&gt;75,("3.33"),IF(T109&gt;70,("3.00"),IF(T109&gt;65,("2.66"),IF(T109&gt;60,("2.33"),IF(T109&gt;55,("2"),IF(T109&gt;50,("1.66"),"1.33"))))))))</f>
        <v>1.33</v>
      </c>
      <c r="V109" s="1075" t="str">
        <f t="shared" ref="V109:V110" si="179">IF(T109&gt;85,("A"),IF(T109&gt;80,("A-"),IF(T109&gt;75,("B+"),IF(T109&gt;70,("B"),IF(T109&gt;65,("B-"),IF(T109&gt;60,("C+"),IF(T109&gt;55,("C"),IF(T109&gt;50,("C-"),"D+"))))))))</f>
        <v>D+</v>
      </c>
      <c r="W109" s="1075" t="str">
        <f t="shared" ref="W109:W110" si="180">IF(T109&gt;80,("SB"),IF(T109&gt;65,("B"),IF(T109&gt;50,("C"),IF(T109&gt;0,("K"),"0"))))</f>
        <v>0</v>
      </c>
      <c r="X109" s="1214"/>
      <c r="Y109" s="1215"/>
      <c r="Z109" s="1215"/>
      <c r="AA109" s="1215"/>
      <c r="AB109" s="1215"/>
      <c r="AC109" s="1215"/>
      <c r="AD109" s="1819"/>
      <c r="AE109" s="1246"/>
    </row>
    <row r="110" spans="1:31" ht="24.95" customHeight="1" x14ac:dyDescent="0.25">
      <c r="A110" s="1207"/>
      <c r="B110" s="1208"/>
      <c r="C110" s="1212"/>
      <c r="D110" s="1213" t="s">
        <v>9</v>
      </c>
      <c r="E110" s="1385"/>
      <c r="F110" s="1385"/>
      <c r="G110" s="1385"/>
      <c r="H110" s="2025">
        <v>0</v>
      </c>
      <c r="I110" s="2025">
        <v>0</v>
      </c>
      <c r="J110" s="2025">
        <v>0</v>
      </c>
      <c r="K110" s="1672">
        <v>0</v>
      </c>
      <c r="L110" s="1672">
        <v>0</v>
      </c>
      <c r="M110" s="1672">
        <v>0</v>
      </c>
      <c r="N110" s="2025"/>
      <c r="O110" s="2025"/>
      <c r="P110" s="2025"/>
      <c r="Q110" s="1077">
        <f t="shared" si="176"/>
        <v>0</v>
      </c>
      <c r="R110" s="2126">
        <f t="shared" si="174"/>
        <v>0</v>
      </c>
      <c r="S110" s="2127">
        <f t="shared" si="175"/>
        <v>0</v>
      </c>
      <c r="T110" s="853">
        <f t="shared" si="177"/>
        <v>0</v>
      </c>
      <c r="U110" s="1075" t="str">
        <f t="shared" si="178"/>
        <v>1.33</v>
      </c>
      <c r="V110" s="1075" t="str">
        <f t="shared" si="179"/>
        <v>D+</v>
      </c>
      <c r="W110" s="1075" t="str">
        <f t="shared" si="180"/>
        <v>0</v>
      </c>
      <c r="X110" s="1216"/>
      <c r="Y110" s="1217"/>
      <c r="Z110" s="1217"/>
      <c r="AA110" s="1217"/>
      <c r="AB110" s="1217"/>
      <c r="AC110" s="1217"/>
      <c r="AD110" s="1820"/>
      <c r="AE110" s="1247"/>
    </row>
    <row r="111" spans="1:31" ht="24.95" customHeight="1" x14ac:dyDescent="0.25">
      <c r="A111" s="1236"/>
      <c r="B111" s="1241"/>
      <c r="C111" s="1220" t="s">
        <v>167</v>
      </c>
      <c r="D111" s="1237"/>
      <c r="E111" s="2687"/>
      <c r="F111" s="2688"/>
      <c r="G111" s="2688"/>
      <c r="H111" s="2688"/>
      <c r="I111" s="2076"/>
      <c r="J111" s="2076"/>
      <c r="K111" s="2076"/>
      <c r="L111" s="2076"/>
      <c r="M111" s="2076"/>
      <c r="N111" s="2076"/>
      <c r="O111" s="2076"/>
      <c r="P111" s="2076"/>
      <c r="Q111" s="2128"/>
      <c r="R111" s="2128"/>
      <c r="S111" s="2128"/>
      <c r="T111" s="732">
        <f>IFERROR(AVERAGE(T108:T110),"  ")</f>
        <v>0</v>
      </c>
      <c r="U111" s="1244" t="str">
        <f>IF(T111&gt;85,("4"),IF(T111&gt;80,("3.66"),IF(T111&gt;75,("3.33"),IF(T111&gt;70,("3.00"),IF(T111&gt;65,("2.66"),IF(T111&gt;60,("2.33"),IF(T111&gt;55,("2"),IF(T111&gt;50,("1.66"),"1.33"))))))))</f>
        <v>1.33</v>
      </c>
      <c r="V111" s="1244" t="str">
        <f>IF(T111&gt;85,("A"),IF(T111&gt;80,("A-"),IF(T111&gt;75,("B+"),IF(T111&gt;70,("B"),IF(T111&gt;65,("B-"),IF(T111&gt;60,("C+"),IF(T111&gt;55,("C"),IF(T111&gt;50,("C-"),"D+"))))))))</f>
        <v>D+</v>
      </c>
      <c r="W111" s="1244"/>
      <c r="X111" s="1221"/>
      <c r="Y111" s="1222"/>
      <c r="Z111" s="1222"/>
      <c r="AA111" s="1222"/>
      <c r="AB111" s="1222"/>
      <c r="AC111" s="1222"/>
      <c r="AD111" s="1821"/>
      <c r="AE111" s="1249"/>
    </row>
    <row r="112" spans="1:31" ht="24.95" customHeight="1" x14ac:dyDescent="0.25">
      <c r="A112" s="1224">
        <v>27</v>
      </c>
      <c r="B112" s="1225"/>
      <c r="C112" s="1209" t="str">
        <f>VLOOKUP(A112,data_siswa,4,FALSE)</f>
        <v>Mohammad Rizky</v>
      </c>
      <c r="D112" s="1210" t="s">
        <v>154</v>
      </c>
      <c r="E112" s="1672"/>
      <c r="F112" s="1672"/>
      <c r="G112" s="1672"/>
      <c r="H112" s="2025">
        <v>0</v>
      </c>
      <c r="I112" s="2025">
        <v>0</v>
      </c>
      <c r="J112" s="2025">
        <v>0</v>
      </c>
      <c r="K112" s="1672"/>
      <c r="L112" s="1672"/>
      <c r="M112" s="1672"/>
      <c r="N112" s="2025"/>
      <c r="O112" s="2025"/>
      <c r="P112" s="2025"/>
      <c r="Q112" s="1077">
        <f>MAX(E112,H112,K112,N112)</f>
        <v>0</v>
      </c>
      <c r="R112" s="2126">
        <f t="shared" ref="R112:R114" si="181">MAX(F112,I112,L112,O112)</f>
        <v>0</v>
      </c>
      <c r="S112" s="2127">
        <f t="shared" ref="S112:S114" si="182">MAX(G112,J112,M112,P112)</f>
        <v>0</v>
      </c>
      <c r="T112" s="853">
        <f>IFERROR(AVERAGE(Q112:S112),"")</f>
        <v>0</v>
      </c>
      <c r="U112" s="1075" t="str">
        <f>IF(T112&gt;85,("4"),IF(T112&gt;80,("3.66"),IF(T112&gt;75,("3.33"),IF(T112&gt;70,("3.00"),IF(T112&gt;65,("2.66"),IF(T112&gt;60,("2.33"),IF(T112&gt;55,("2"),IF(T112&gt;50,("1.66"),"1.33"))))))))</f>
        <v>1.33</v>
      </c>
      <c r="V112" s="1075" t="str">
        <f>IF(T112&gt;85,("A"),IF(T112&gt;80,("A-"),IF(T112&gt;75,("B+"),IF(T112&gt;70,("B"),IF(T112&gt;65,("B-"),IF(T112&gt;60,("C+"),IF(T112&gt;55,("C"),IF(T112&gt;50,("C-"),"D+"))))))))</f>
        <v>D+</v>
      </c>
      <c r="W112" s="1075" t="str">
        <f>IF(T112&gt;80,("SB"),IF(T112&gt;65,("B"),IF(T112&gt;50,("C"),IF(T112&gt;0,("K"),"0"))))</f>
        <v>0</v>
      </c>
      <c r="X112" s="1816"/>
      <c r="Y112" s="1816"/>
      <c r="Z112" s="1816"/>
      <c r="AA112" s="1817"/>
      <c r="AB112" s="1817"/>
      <c r="AC112" s="1817"/>
      <c r="AD112" s="1818">
        <f>T115</f>
        <v>0</v>
      </c>
      <c r="AE112" s="1245" t="str">
        <f>IF(AD112&gt;85,("A"),IF(AD112&gt;80,("A-"),IF(AD112&gt;75,("B+"),IF(AD112&gt;70,("B"),IF(AD112&gt;65,("B-"),IF(AD112&gt;60,("C+"),IF(AD112&gt;55,("C"),IF(AD112&gt;50,("C-"),"D+"))))))))</f>
        <v>D+</v>
      </c>
    </row>
    <row r="113" spans="1:31" ht="24.95" customHeight="1" x14ac:dyDescent="0.25">
      <c r="A113" s="1207"/>
      <c r="B113" s="1208"/>
      <c r="C113" s="1212"/>
      <c r="D113" s="1213" t="s">
        <v>155</v>
      </c>
      <c r="E113" s="1672">
        <v>0</v>
      </c>
      <c r="F113" s="1385">
        <v>0</v>
      </c>
      <c r="G113" s="1385">
        <v>0</v>
      </c>
      <c r="H113" s="2025">
        <v>0</v>
      </c>
      <c r="I113" s="2025">
        <v>0</v>
      </c>
      <c r="J113" s="2025">
        <v>0</v>
      </c>
      <c r="K113" s="1672">
        <v>0</v>
      </c>
      <c r="L113" s="1672">
        <v>0</v>
      </c>
      <c r="M113" s="1672">
        <v>0</v>
      </c>
      <c r="N113" s="2025">
        <v>0</v>
      </c>
      <c r="O113" s="2025">
        <v>0</v>
      </c>
      <c r="P113" s="2025">
        <v>0</v>
      </c>
      <c r="Q113" s="1077">
        <f t="shared" ref="Q113:Q114" si="183">MAX(E113,H113,K113,N113)</f>
        <v>0</v>
      </c>
      <c r="R113" s="2126">
        <f t="shared" si="181"/>
        <v>0</v>
      </c>
      <c r="S113" s="2127">
        <f t="shared" si="182"/>
        <v>0</v>
      </c>
      <c r="T113" s="853">
        <f t="shared" ref="T113:T114" si="184">IFERROR(AVERAGE(Q113:S113),"")</f>
        <v>0</v>
      </c>
      <c r="U113" s="1075" t="str">
        <f t="shared" ref="U113:U114" si="185">IF(T113&gt;85,("4"),IF(T113&gt;80,("3.66"),IF(T113&gt;75,("3.33"),IF(T113&gt;70,("3.00"),IF(T113&gt;65,("2.66"),IF(T113&gt;60,("2.33"),IF(T113&gt;55,("2"),IF(T113&gt;50,("1.66"),"1.33"))))))))</f>
        <v>1.33</v>
      </c>
      <c r="V113" s="1075" t="str">
        <f t="shared" ref="V113:V114" si="186">IF(T113&gt;85,("A"),IF(T113&gt;80,("A-"),IF(T113&gt;75,("B+"),IF(T113&gt;70,("B"),IF(T113&gt;65,("B-"),IF(T113&gt;60,("C+"),IF(T113&gt;55,("C"),IF(T113&gt;50,("C-"),"D+"))))))))</f>
        <v>D+</v>
      </c>
      <c r="W113" s="1075" t="str">
        <f t="shared" ref="W113:W114" si="187">IF(T113&gt;80,("SB"),IF(T113&gt;65,("B"),IF(T113&gt;50,("C"),IF(T113&gt;0,("K"),"0"))))</f>
        <v>0</v>
      </c>
      <c r="X113" s="1214"/>
      <c r="Y113" s="1215"/>
      <c r="Z113" s="1215"/>
      <c r="AA113" s="1215"/>
      <c r="AB113" s="1215"/>
      <c r="AC113" s="1215"/>
      <c r="AD113" s="1819"/>
      <c r="AE113" s="1246"/>
    </row>
    <row r="114" spans="1:31" ht="24.95" customHeight="1" x14ac:dyDescent="0.25">
      <c r="A114" s="1207"/>
      <c r="B114" s="1208"/>
      <c r="C114" s="1212"/>
      <c r="D114" s="1213" t="s">
        <v>9</v>
      </c>
      <c r="E114" s="1385"/>
      <c r="F114" s="1385"/>
      <c r="G114" s="1385"/>
      <c r="H114" s="2025">
        <v>0</v>
      </c>
      <c r="I114" s="2025">
        <v>0</v>
      </c>
      <c r="J114" s="2025">
        <v>0</v>
      </c>
      <c r="K114" s="1672">
        <v>0</v>
      </c>
      <c r="L114" s="1672">
        <v>0</v>
      </c>
      <c r="M114" s="1672">
        <v>0</v>
      </c>
      <c r="N114" s="2025"/>
      <c r="O114" s="2025"/>
      <c r="P114" s="2025"/>
      <c r="Q114" s="1077">
        <f t="shared" si="183"/>
        <v>0</v>
      </c>
      <c r="R114" s="2126">
        <f t="shared" si="181"/>
        <v>0</v>
      </c>
      <c r="S114" s="2127">
        <f t="shared" si="182"/>
        <v>0</v>
      </c>
      <c r="T114" s="853">
        <f t="shared" si="184"/>
        <v>0</v>
      </c>
      <c r="U114" s="1075" t="str">
        <f t="shared" si="185"/>
        <v>1.33</v>
      </c>
      <c r="V114" s="1075" t="str">
        <f t="shared" si="186"/>
        <v>D+</v>
      </c>
      <c r="W114" s="1075" t="str">
        <f t="shared" si="187"/>
        <v>0</v>
      </c>
      <c r="X114" s="1216"/>
      <c r="Y114" s="1217"/>
      <c r="Z114" s="1217"/>
      <c r="AA114" s="1217"/>
      <c r="AB114" s="1217"/>
      <c r="AC114" s="1217"/>
      <c r="AD114" s="1820"/>
      <c r="AE114" s="1247"/>
    </row>
    <row r="115" spans="1:31" ht="24.95" customHeight="1" x14ac:dyDescent="0.25">
      <c r="A115" s="1236"/>
      <c r="B115" s="1241"/>
      <c r="C115" s="1220" t="s">
        <v>167</v>
      </c>
      <c r="D115" s="1237"/>
      <c r="E115" s="2687"/>
      <c r="F115" s="2688"/>
      <c r="G115" s="2688"/>
      <c r="H115" s="2688"/>
      <c r="I115" s="2076"/>
      <c r="J115" s="2076"/>
      <c r="K115" s="2076"/>
      <c r="L115" s="2076"/>
      <c r="M115" s="2076"/>
      <c r="N115" s="2076"/>
      <c r="O115" s="2076"/>
      <c r="P115" s="2076"/>
      <c r="Q115" s="2128"/>
      <c r="R115" s="2128"/>
      <c r="S115" s="2128"/>
      <c r="T115" s="732">
        <f>IFERROR(AVERAGE(T112:T114),"  ")</f>
        <v>0</v>
      </c>
      <c r="U115" s="1244" t="str">
        <f>IF(T115&gt;85,("4"),IF(T115&gt;80,("3.66"),IF(T115&gt;75,("3.33"),IF(T115&gt;70,("3.00"),IF(T115&gt;65,("2.66"),IF(T115&gt;60,("2.33"),IF(T115&gt;55,("2"),IF(T115&gt;50,("1.66"),"1.33"))))))))</f>
        <v>1.33</v>
      </c>
      <c r="V115" s="1244" t="str">
        <f>IF(T115&gt;85,("A"),IF(T115&gt;80,("A-"),IF(T115&gt;75,("B+"),IF(T115&gt;70,("B"),IF(T115&gt;65,("B-"),IF(T115&gt;60,("C+"),IF(T115&gt;55,("C"),IF(T115&gt;50,("C-"),"D+"))))))))</f>
        <v>D+</v>
      </c>
      <c r="W115" s="1244"/>
      <c r="X115" s="1221"/>
      <c r="Y115" s="1222"/>
      <c r="Z115" s="1222"/>
      <c r="AA115" s="1222"/>
      <c r="AB115" s="1222"/>
      <c r="AC115" s="1222"/>
      <c r="AD115" s="1821"/>
      <c r="AE115" s="1249"/>
    </row>
    <row r="116" spans="1:31" ht="24.95" customHeight="1" x14ac:dyDescent="0.25">
      <c r="A116" s="1224">
        <v>28</v>
      </c>
      <c r="B116" s="1225"/>
      <c r="C116" s="1209" t="e">
        <f>VLOOKUP(A116,data_siswa,4,FALSE)</f>
        <v>#N/A</v>
      </c>
      <c r="D116" s="1210" t="s">
        <v>154</v>
      </c>
      <c r="E116" s="1672"/>
      <c r="F116" s="1672"/>
      <c r="G116" s="1672"/>
      <c r="H116" s="2025">
        <v>0</v>
      </c>
      <c r="I116" s="2025">
        <v>0</v>
      </c>
      <c r="J116" s="2025">
        <v>0</v>
      </c>
      <c r="K116" s="1672"/>
      <c r="L116" s="1672"/>
      <c r="M116" s="1672"/>
      <c r="N116" s="2025"/>
      <c r="O116" s="2025"/>
      <c r="P116" s="2025"/>
      <c r="Q116" s="1077">
        <f>MAX(E116,H116,K116,N116)</f>
        <v>0</v>
      </c>
      <c r="R116" s="2126">
        <f t="shared" ref="R116:R118" si="188">MAX(F116,I116,L116,O116)</f>
        <v>0</v>
      </c>
      <c r="S116" s="2127">
        <f t="shared" ref="S116:S118" si="189">MAX(G116,J116,M116,P116)</f>
        <v>0</v>
      </c>
      <c r="T116" s="853">
        <f>IFERROR(AVERAGE(Q116:S116),"")</f>
        <v>0</v>
      </c>
      <c r="U116" s="1075" t="str">
        <f>IF(T116&gt;85,("4"),IF(T116&gt;80,("3.66"),IF(T116&gt;75,("3.33"),IF(T116&gt;70,("3.00"),IF(T116&gt;65,("2.66"),IF(T116&gt;60,("2.33"),IF(T116&gt;55,("2"),IF(T116&gt;50,("1.66"),"1.33"))))))))</f>
        <v>1.33</v>
      </c>
      <c r="V116" s="1075" t="str">
        <f>IF(T116&gt;85,("A"),IF(T116&gt;80,("A-"),IF(T116&gt;75,("B+"),IF(T116&gt;70,("B"),IF(T116&gt;65,("B-"),IF(T116&gt;60,("C+"),IF(T116&gt;55,("C"),IF(T116&gt;50,("C-"),"D+"))))))))</f>
        <v>D+</v>
      </c>
      <c r="W116" s="1075" t="str">
        <f>IF(T116&gt;80,("SB"),IF(T116&gt;65,("B"),IF(T116&gt;50,("C"),IF(T116&gt;0,("K"),"0"))))</f>
        <v>0</v>
      </c>
      <c r="X116" s="1816"/>
      <c r="Y116" s="1816"/>
      <c r="Z116" s="1816"/>
      <c r="AA116" s="1817"/>
      <c r="AB116" s="1817"/>
      <c r="AC116" s="1817"/>
      <c r="AD116" s="1818">
        <f>T119</f>
        <v>0</v>
      </c>
      <c r="AE116" s="1245" t="str">
        <f>IF(AD116&gt;85,("A"),IF(AD116&gt;80,("A-"),IF(AD116&gt;75,("B+"),IF(AD116&gt;70,("B"),IF(AD116&gt;65,("B-"),IF(AD116&gt;60,("C+"),IF(AD116&gt;55,("C"),IF(AD116&gt;50,("C-"),"D+"))))))))</f>
        <v>D+</v>
      </c>
    </row>
    <row r="117" spans="1:31" ht="24.95" customHeight="1" x14ac:dyDescent="0.25">
      <c r="A117" s="1207"/>
      <c r="B117" s="1208"/>
      <c r="C117" s="1212"/>
      <c r="D117" s="1213" t="s">
        <v>155</v>
      </c>
      <c r="E117" s="1672">
        <v>0</v>
      </c>
      <c r="F117" s="1385">
        <v>0</v>
      </c>
      <c r="G117" s="1385">
        <v>0</v>
      </c>
      <c r="H117" s="2025">
        <v>0</v>
      </c>
      <c r="I117" s="2025">
        <v>0</v>
      </c>
      <c r="J117" s="2025">
        <v>0</v>
      </c>
      <c r="K117" s="1672">
        <v>0</v>
      </c>
      <c r="L117" s="1672">
        <v>0</v>
      </c>
      <c r="M117" s="1672">
        <v>0</v>
      </c>
      <c r="N117" s="2025">
        <v>0</v>
      </c>
      <c r="O117" s="2025">
        <v>0</v>
      </c>
      <c r="P117" s="2025">
        <v>0</v>
      </c>
      <c r="Q117" s="1077">
        <f t="shared" ref="Q117:Q118" si="190">MAX(E117,H117,K117,N117)</f>
        <v>0</v>
      </c>
      <c r="R117" s="2126">
        <f t="shared" si="188"/>
        <v>0</v>
      </c>
      <c r="S117" s="2127">
        <f t="shared" si="189"/>
        <v>0</v>
      </c>
      <c r="T117" s="853">
        <f t="shared" ref="T117:T118" si="191">IFERROR(AVERAGE(Q117:S117),"")</f>
        <v>0</v>
      </c>
      <c r="U117" s="1075" t="str">
        <f t="shared" ref="U117:U118" si="192">IF(T117&gt;85,("4"),IF(T117&gt;80,("3.66"),IF(T117&gt;75,("3.33"),IF(T117&gt;70,("3.00"),IF(T117&gt;65,("2.66"),IF(T117&gt;60,("2.33"),IF(T117&gt;55,("2"),IF(T117&gt;50,("1.66"),"1.33"))))))))</f>
        <v>1.33</v>
      </c>
      <c r="V117" s="1075" t="str">
        <f t="shared" ref="V117:V118" si="193">IF(T117&gt;85,("A"),IF(T117&gt;80,("A-"),IF(T117&gt;75,("B+"),IF(T117&gt;70,("B"),IF(T117&gt;65,("B-"),IF(T117&gt;60,("C+"),IF(T117&gt;55,("C"),IF(T117&gt;50,("C-"),"D+"))))))))</f>
        <v>D+</v>
      </c>
      <c r="W117" s="1075" t="str">
        <f t="shared" ref="W117:W118" si="194">IF(T117&gt;80,("SB"),IF(T117&gt;65,("B"),IF(T117&gt;50,("C"),IF(T117&gt;0,("K"),"0"))))</f>
        <v>0</v>
      </c>
      <c r="X117" s="1214"/>
      <c r="Y117" s="1215"/>
      <c r="Z117" s="1215"/>
      <c r="AA117" s="1215"/>
      <c r="AB117" s="1215"/>
      <c r="AC117" s="1215"/>
      <c r="AD117" s="1819"/>
      <c r="AE117" s="1246"/>
    </row>
    <row r="118" spans="1:31" ht="24.95" customHeight="1" x14ac:dyDescent="0.25">
      <c r="A118" s="1207"/>
      <c r="B118" s="1208"/>
      <c r="C118" s="1212"/>
      <c r="D118" s="1213" t="s">
        <v>9</v>
      </c>
      <c r="E118" s="1385"/>
      <c r="F118" s="1385"/>
      <c r="G118" s="1385"/>
      <c r="H118" s="2025">
        <v>0</v>
      </c>
      <c r="I118" s="2025">
        <v>0</v>
      </c>
      <c r="J118" s="2025">
        <v>0</v>
      </c>
      <c r="K118" s="1672">
        <v>0</v>
      </c>
      <c r="L118" s="1672">
        <v>0</v>
      </c>
      <c r="M118" s="1672">
        <v>0</v>
      </c>
      <c r="N118" s="2025"/>
      <c r="O118" s="2025"/>
      <c r="P118" s="2025"/>
      <c r="Q118" s="1077">
        <f t="shared" si="190"/>
        <v>0</v>
      </c>
      <c r="R118" s="2126">
        <f t="shared" si="188"/>
        <v>0</v>
      </c>
      <c r="S118" s="2127">
        <f t="shared" si="189"/>
        <v>0</v>
      </c>
      <c r="T118" s="853">
        <f t="shared" si="191"/>
        <v>0</v>
      </c>
      <c r="U118" s="1075" t="str">
        <f t="shared" si="192"/>
        <v>1.33</v>
      </c>
      <c r="V118" s="1075" t="str">
        <f t="shared" si="193"/>
        <v>D+</v>
      </c>
      <c r="W118" s="1075" t="str">
        <f t="shared" si="194"/>
        <v>0</v>
      </c>
      <c r="X118" s="1216"/>
      <c r="Y118" s="1217"/>
      <c r="Z118" s="1217"/>
      <c r="AA118" s="1217"/>
      <c r="AB118" s="1217"/>
      <c r="AC118" s="1217"/>
      <c r="AD118" s="1820"/>
      <c r="AE118" s="1247"/>
    </row>
    <row r="119" spans="1:31" ht="24.95" customHeight="1" x14ac:dyDescent="0.25">
      <c r="A119" s="1236"/>
      <c r="B119" s="1241"/>
      <c r="C119" s="1220" t="s">
        <v>167</v>
      </c>
      <c r="D119" s="1237"/>
      <c r="E119" s="2687"/>
      <c r="F119" s="2688"/>
      <c r="G119" s="2688"/>
      <c r="H119" s="2688"/>
      <c r="I119" s="2076"/>
      <c r="J119" s="2076"/>
      <c r="K119" s="2076"/>
      <c r="L119" s="2076"/>
      <c r="M119" s="2076"/>
      <c r="N119" s="2076"/>
      <c r="O119" s="2076"/>
      <c r="P119" s="2076"/>
      <c r="Q119" s="2128"/>
      <c r="R119" s="2128"/>
      <c r="S119" s="2128"/>
      <c r="T119" s="732">
        <f>IFERROR(AVERAGE(T116:T118),"  ")</f>
        <v>0</v>
      </c>
      <c r="U119" s="1244" t="str">
        <f>IF(T119&gt;85,("4"),IF(T119&gt;80,("3.66"),IF(T119&gt;75,("3.33"),IF(T119&gt;70,("3.00"),IF(T119&gt;65,("2.66"),IF(T119&gt;60,("2.33"),IF(T119&gt;55,("2"),IF(T119&gt;50,("1.66"),"1.33"))))))))</f>
        <v>1.33</v>
      </c>
      <c r="V119" s="1244" t="str">
        <f>IF(T119&gt;85,("A"),IF(T119&gt;80,("A-"),IF(T119&gt;75,("B+"),IF(T119&gt;70,("B"),IF(T119&gt;65,("B-"),IF(T119&gt;60,("C+"),IF(T119&gt;55,("C"),IF(T119&gt;50,("C-"),"D+"))))))))</f>
        <v>D+</v>
      </c>
      <c r="W119" s="1244"/>
      <c r="X119" s="1221"/>
      <c r="Y119" s="1222"/>
      <c r="Z119" s="1222"/>
      <c r="AA119" s="1222"/>
      <c r="AB119" s="1222"/>
      <c r="AC119" s="1222"/>
      <c r="AD119" s="1821"/>
      <c r="AE119" s="1249"/>
    </row>
    <row r="120" spans="1:31" ht="24.95" customHeight="1" x14ac:dyDescent="0.25">
      <c r="A120" s="1224">
        <v>29</v>
      </c>
      <c r="B120" s="1225"/>
      <c r="C120" s="1209" t="e">
        <f>VLOOKUP(A120,data_siswa,4,FALSE)</f>
        <v>#N/A</v>
      </c>
      <c r="D120" s="1210" t="s">
        <v>154</v>
      </c>
      <c r="E120" s="1672"/>
      <c r="F120" s="1672"/>
      <c r="G120" s="1672"/>
      <c r="H120" s="2025">
        <v>0</v>
      </c>
      <c r="I120" s="2025">
        <v>0</v>
      </c>
      <c r="J120" s="2025">
        <v>0</v>
      </c>
      <c r="K120" s="1672"/>
      <c r="L120" s="1672"/>
      <c r="M120" s="1672"/>
      <c r="N120" s="2025"/>
      <c r="O120" s="2025"/>
      <c r="P120" s="2025"/>
      <c r="Q120" s="1077">
        <f>MAX(E120,H120,K120,N120)</f>
        <v>0</v>
      </c>
      <c r="R120" s="2126">
        <f t="shared" ref="R120:R122" si="195">MAX(F120,I120,L120,O120)</f>
        <v>0</v>
      </c>
      <c r="S120" s="2127">
        <f t="shared" ref="S120:S122" si="196">MAX(G120,J120,M120,P120)</f>
        <v>0</v>
      </c>
      <c r="T120" s="853">
        <f>IFERROR(AVERAGE(Q120:S120),"")</f>
        <v>0</v>
      </c>
      <c r="U120" s="1075" t="str">
        <f>IF(T120&gt;85,("4"),IF(T120&gt;80,("3.66"),IF(T120&gt;75,("3.33"),IF(T120&gt;70,("3.00"),IF(T120&gt;65,("2.66"),IF(T120&gt;60,("2.33"),IF(T120&gt;55,("2"),IF(T120&gt;50,("1.66"),"1.33"))))))))</f>
        <v>1.33</v>
      </c>
      <c r="V120" s="1075" t="str">
        <f>IF(T120&gt;85,("A"),IF(T120&gt;80,("A-"),IF(T120&gt;75,("B+"),IF(T120&gt;70,("B"),IF(T120&gt;65,("B-"),IF(T120&gt;60,("C+"),IF(T120&gt;55,("C"),IF(T120&gt;50,("C-"),"D+"))))))))</f>
        <v>D+</v>
      </c>
      <c r="W120" s="1075" t="str">
        <f>IF(T120&gt;80,("SB"),IF(T120&gt;65,("B"),IF(T120&gt;50,("C"),IF(T120&gt;0,("K"),"0"))))</f>
        <v>0</v>
      </c>
      <c r="X120" s="1816"/>
      <c r="Y120" s="1816"/>
      <c r="Z120" s="1816"/>
      <c r="AA120" s="1817"/>
      <c r="AB120" s="1817"/>
      <c r="AC120" s="1817"/>
      <c r="AD120" s="1818">
        <f>T123</f>
        <v>0</v>
      </c>
      <c r="AE120" s="1245" t="str">
        <f>IF(AD120&gt;85,("A"),IF(AD120&gt;80,("A-"),IF(AD120&gt;75,("B+"),IF(AD120&gt;70,("B"),IF(AD120&gt;65,("B-"),IF(AD120&gt;60,("C+"),IF(AD120&gt;55,("C"),IF(AD120&gt;50,("C-"),"D+"))))))))</f>
        <v>D+</v>
      </c>
    </row>
    <row r="121" spans="1:31" ht="24.95" customHeight="1" x14ac:dyDescent="0.25">
      <c r="A121" s="1207"/>
      <c r="B121" s="1208"/>
      <c r="C121" s="1212"/>
      <c r="D121" s="1213" t="s">
        <v>155</v>
      </c>
      <c r="E121" s="1672">
        <v>0</v>
      </c>
      <c r="F121" s="1385">
        <v>0</v>
      </c>
      <c r="G121" s="1385">
        <v>0</v>
      </c>
      <c r="H121" s="2025">
        <v>0</v>
      </c>
      <c r="I121" s="2025">
        <v>0</v>
      </c>
      <c r="J121" s="2025">
        <v>0</v>
      </c>
      <c r="K121" s="1672">
        <v>0</v>
      </c>
      <c r="L121" s="1672">
        <v>0</v>
      </c>
      <c r="M121" s="1672">
        <v>0</v>
      </c>
      <c r="N121" s="2025">
        <v>0</v>
      </c>
      <c r="O121" s="2025">
        <v>0</v>
      </c>
      <c r="P121" s="2025">
        <v>0</v>
      </c>
      <c r="Q121" s="1077">
        <f t="shared" ref="Q121:Q122" si="197">MAX(E121,H121,K121,N121)</f>
        <v>0</v>
      </c>
      <c r="R121" s="2126">
        <f t="shared" si="195"/>
        <v>0</v>
      </c>
      <c r="S121" s="2127">
        <f t="shared" si="196"/>
        <v>0</v>
      </c>
      <c r="T121" s="853">
        <f t="shared" ref="T121:T122" si="198">IFERROR(AVERAGE(Q121:S121),"")</f>
        <v>0</v>
      </c>
      <c r="U121" s="1075" t="str">
        <f t="shared" ref="U121:U122" si="199">IF(T121&gt;85,("4"),IF(T121&gt;80,("3.66"),IF(T121&gt;75,("3.33"),IF(T121&gt;70,("3.00"),IF(T121&gt;65,("2.66"),IF(T121&gt;60,("2.33"),IF(T121&gt;55,("2"),IF(T121&gt;50,("1.66"),"1.33"))))))))</f>
        <v>1.33</v>
      </c>
      <c r="V121" s="1075" t="str">
        <f t="shared" ref="V121:V122" si="200">IF(T121&gt;85,("A"),IF(T121&gt;80,("A-"),IF(T121&gt;75,("B+"),IF(T121&gt;70,("B"),IF(T121&gt;65,("B-"),IF(T121&gt;60,("C+"),IF(T121&gt;55,("C"),IF(T121&gt;50,("C-"),"D+"))))))))</f>
        <v>D+</v>
      </c>
      <c r="W121" s="1075" t="str">
        <f t="shared" ref="W121:W122" si="201">IF(T121&gt;80,("SB"),IF(T121&gt;65,("B"),IF(T121&gt;50,("C"),IF(T121&gt;0,("K"),"0"))))</f>
        <v>0</v>
      </c>
      <c r="X121" s="1214"/>
      <c r="Y121" s="1215"/>
      <c r="Z121" s="1215"/>
      <c r="AA121" s="1215"/>
      <c r="AB121" s="1215"/>
      <c r="AC121" s="1215"/>
      <c r="AD121" s="1819"/>
      <c r="AE121" s="1246"/>
    </row>
    <row r="122" spans="1:31" ht="24.95" customHeight="1" x14ac:dyDescent="0.25">
      <c r="A122" s="1207"/>
      <c r="B122" s="1208"/>
      <c r="C122" s="1212"/>
      <c r="D122" s="1213" t="s">
        <v>9</v>
      </c>
      <c r="E122" s="1385"/>
      <c r="F122" s="1385"/>
      <c r="G122" s="1385"/>
      <c r="H122" s="2025">
        <v>0</v>
      </c>
      <c r="I122" s="2025">
        <v>0</v>
      </c>
      <c r="J122" s="2025">
        <v>0</v>
      </c>
      <c r="K122" s="1672">
        <v>0</v>
      </c>
      <c r="L122" s="1672">
        <v>0</v>
      </c>
      <c r="M122" s="1672">
        <v>0</v>
      </c>
      <c r="N122" s="2025"/>
      <c r="O122" s="2025"/>
      <c r="P122" s="2025"/>
      <c r="Q122" s="1077">
        <f t="shared" si="197"/>
        <v>0</v>
      </c>
      <c r="R122" s="2126">
        <f t="shared" si="195"/>
        <v>0</v>
      </c>
      <c r="S122" s="2127">
        <f t="shared" si="196"/>
        <v>0</v>
      </c>
      <c r="T122" s="853">
        <f t="shared" si="198"/>
        <v>0</v>
      </c>
      <c r="U122" s="1075" t="str">
        <f t="shared" si="199"/>
        <v>1.33</v>
      </c>
      <c r="V122" s="1075" t="str">
        <f t="shared" si="200"/>
        <v>D+</v>
      </c>
      <c r="W122" s="1075" t="str">
        <f t="shared" si="201"/>
        <v>0</v>
      </c>
      <c r="X122" s="1216"/>
      <c r="Y122" s="1217"/>
      <c r="Z122" s="1217"/>
      <c r="AA122" s="1217"/>
      <c r="AB122" s="1217"/>
      <c r="AC122" s="1217"/>
      <c r="AD122" s="1820"/>
      <c r="AE122" s="1247"/>
    </row>
    <row r="123" spans="1:31" ht="24.95" customHeight="1" x14ac:dyDescent="0.25">
      <c r="A123" s="1236"/>
      <c r="B123" s="1241"/>
      <c r="C123" s="1220" t="s">
        <v>167</v>
      </c>
      <c r="D123" s="1237"/>
      <c r="E123" s="2687"/>
      <c r="F123" s="2688"/>
      <c r="G123" s="2688"/>
      <c r="H123" s="2688"/>
      <c r="I123" s="2076"/>
      <c r="J123" s="2076"/>
      <c r="K123" s="2076"/>
      <c r="L123" s="2076"/>
      <c r="M123" s="2076"/>
      <c r="N123" s="2076"/>
      <c r="O123" s="2076"/>
      <c r="P123" s="2076"/>
      <c r="Q123" s="2128"/>
      <c r="R123" s="2128"/>
      <c r="S123" s="2128"/>
      <c r="T123" s="732">
        <f>IFERROR(AVERAGE(T120:T122),"  ")</f>
        <v>0</v>
      </c>
      <c r="U123" s="1244" t="str">
        <f>IF(T123&gt;85,("4"),IF(T123&gt;80,("3.66"),IF(T123&gt;75,("3.33"),IF(T123&gt;70,("3.00"),IF(T123&gt;65,("2.66"),IF(T123&gt;60,("2.33"),IF(T123&gt;55,("2"),IF(T123&gt;50,("1.66"),"1.33"))))))))</f>
        <v>1.33</v>
      </c>
      <c r="V123" s="1244" t="str">
        <f>IF(T123&gt;85,("A"),IF(T123&gt;80,("A-"),IF(T123&gt;75,("B+"),IF(T123&gt;70,("B"),IF(T123&gt;65,("B-"),IF(T123&gt;60,("C+"),IF(T123&gt;55,("C"),IF(T123&gt;50,("C-"),"D+"))))))))</f>
        <v>D+</v>
      </c>
      <c r="W123" s="1244"/>
      <c r="X123" s="1221"/>
      <c r="Y123" s="1222"/>
      <c r="Z123" s="1222"/>
      <c r="AA123" s="1222"/>
      <c r="AB123" s="1222"/>
      <c r="AC123" s="1222"/>
      <c r="AD123" s="1821"/>
      <c r="AE123" s="1249"/>
    </row>
    <row r="124" spans="1:31" ht="24.95" customHeight="1" x14ac:dyDescent="0.25">
      <c r="A124" s="1224">
        <v>30</v>
      </c>
      <c r="B124" s="1225"/>
      <c r="C124" s="1209" t="e">
        <f>VLOOKUP(A124,data_siswa,4,FALSE)</f>
        <v>#N/A</v>
      </c>
      <c r="D124" s="1210" t="s">
        <v>154</v>
      </c>
      <c r="E124" s="1672"/>
      <c r="F124" s="1672"/>
      <c r="G124" s="1672"/>
      <c r="H124" s="2025">
        <v>0</v>
      </c>
      <c r="I124" s="2025">
        <v>0</v>
      </c>
      <c r="J124" s="2025">
        <v>0</v>
      </c>
      <c r="K124" s="1672"/>
      <c r="L124" s="1672"/>
      <c r="M124" s="1672"/>
      <c r="N124" s="2025"/>
      <c r="O124" s="2025"/>
      <c r="P124" s="2025"/>
      <c r="Q124" s="1077">
        <f>MAX(E124,H124,K124,N124)</f>
        <v>0</v>
      </c>
      <c r="R124" s="2126">
        <f t="shared" ref="R124:R126" si="202">MAX(F124,I124,L124,O124)</f>
        <v>0</v>
      </c>
      <c r="S124" s="2127">
        <f t="shared" ref="S124:S126" si="203">MAX(G124,J124,M124,P124)</f>
        <v>0</v>
      </c>
      <c r="T124" s="853">
        <f>IFERROR(AVERAGE(Q124:S124),"")</f>
        <v>0</v>
      </c>
      <c r="U124" s="1075" t="str">
        <f>IF(T124&gt;85,("4"),IF(T124&gt;80,("3.66"),IF(T124&gt;75,("3.33"),IF(T124&gt;70,("3.00"),IF(T124&gt;65,("2.66"),IF(T124&gt;60,("2.33"),IF(T124&gt;55,("2"),IF(T124&gt;50,("1.66"),"1.33"))))))))</f>
        <v>1.33</v>
      </c>
      <c r="V124" s="1075" t="str">
        <f>IF(T124&gt;85,("A"),IF(T124&gt;80,("A-"),IF(T124&gt;75,("B+"),IF(T124&gt;70,("B"),IF(T124&gt;65,("B-"),IF(T124&gt;60,("C+"),IF(T124&gt;55,("C"),IF(T124&gt;50,("C-"),"D+"))))))))</f>
        <v>D+</v>
      </c>
      <c r="W124" s="1075" t="str">
        <f>IF(T124&gt;80,("SB"),IF(T124&gt;65,("B"),IF(T124&gt;50,("C"),IF(T124&gt;0,("K"),"0"))))</f>
        <v>0</v>
      </c>
      <c r="X124" s="1816"/>
      <c r="Y124" s="1816"/>
      <c r="Z124" s="1816"/>
      <c r="AA124" s="1817"/>
      <c r="AB124" s="1817"/>
      <c r="AC124" s="1817"/>
      <c r="AD124" s="1818">
        <f>T127</f>
        <v>0</v>
      </c>
      <c r="AE124" s="1245" t="str">
        <f>IF(AD124&gt;85,("A"),IF(AD124&gt;80,("A-"),IF(AD124&gt;75,("B+"),IF(AD124&gt;70,("B"),IF(AD124&gt;65,("B-"),IF(AD124&gt;60,("C+"),IF(AD124&gt;55,("C"),IF(AD124&gt;50,("C-"),"D+"))))))))</f>
        <v>D+</v>
      </c>
    </row>
    <row r="125" spans="1:31" ht="24.95" customHeight="1" x14ac:dyDescent="0.25">
      <c r="A125" s="1207"/>
      <c r="B125" s="1208"/>
      <c r="C125" s="1212"/>
      <c r="D125" s="1213" t="s">
        <v>155</v>
      </c>
      <c r="E125" s="1672">
        <v>0</v>
      </c>
      <c r="F125" s="1385">
        <v>0</v>
      </c>
      <c r="G125" s="1385">
        <v>0</v>
      </c>
      <c r="H125" s="2025">
        <v>0</v>
      </c>
      <c r="I125" s="2025">
        <v>0</v>
      </c>
      <c r="J125" s="2025">
        <v>0</v>
      </c>
      <c r="K125" s="1672">
        <v>0</v>
      </c>
      <c r="L125" s="1672">
        <v>0</v>
      </c>
      <c r="M125" s="1672">
        <v>0</v>
      </c>
      <c r="N125" s="2025">
        <v>0</v>
      </c>
      <c r="O125" s="2025">
        <v>0</v>
      </c>
      <c r="P125" s="2025">
        <v>0</v>
      </c>
      <c r="Q125" s="1077">
        <f t="shared" ref="Q125:Q126" si="204">MAX(E125,H125,K125,N125)</f>
        <v>0</v>
      </c>
      <c r="R125" s="2126">
        <f t="shared" si="202"/>
        <v>0</v>
      </c>
      <c r="S125" s="2127">
        <f t="shared" si="203"/>
        <v>0</v>
      </c>
      <c r="T125" s="853">
        <f t="shared" ref="T125:T126" si="205">IFERROR(AVERAGE(Q125:S125),"")</f>
        <v>0</v>
      </c>
      <c r="U125" s="1075" t="str">
        <f t="shared" ref="U125:U126" si="206">IF(T125&gt;85,("4"),IF(T125&gt;80,("3.66"),IF(T125&gt;75,("3.33"),IF(T125&gt;70,("3.00"),IF(T125&gt;65,("2.66"),IF(T125&gt;60,("2.33"),IF(T125&gt;55,("2"),IF(T125&gt;50,("1.66"),"1.33"))))))))</f>
        <v>1.33</v>
      </c>
      <c r="V125" s="1075" t="str">
        <f t="shared" ref="V125:V126" si="207">IF(T125&gt;85,("A"),IF(T125&gt;80,("A-"),IF(T125&gt;75,("B+"),IF(T125&gt;70,("B"),IF(T125&gt;65,("B-"),IF(T125&gt;60,("C+"),IF(T125&gt;55,("C"),IF(T125&gt;50,("C-"),"D+"))))))))</f>
        <v>D+</v>
      </c>
      <c r="W125" s="1075" t="str">
        <f t="shared" ref="W125:W126" si="208">IF(T125&gt;80,("SB"),IF(T125&gt;65,("B"),IF(T125&gt;50,("C"),IF(T125&gt;0,("K"),"0"))))</f>
        <v>0</v>
      </c>
      <c r="X125" s="1214"/>
      <c r="Y125" s="1215"/>
      <c r="Z125" s="1215"/>
      <c r="AA125" s="1215"/>
      <c r="AB125" s="1215"/>
      <c r="AC125" s="1215"/>
      <c r="AD125" s="1819"/>
      <c r="AE125" s="1246"/>
    </row>
    <row r="126" spans="1:31" ht="24.95" customHeight="1" x14ac:dyDescent="0.25">
      <c r="A126" s="1207"/>
      <c r="B126" s="1208"/>
      <c r="C126" s="1212"/>
      <c r="D126" s="1213" t="s">
        <v>9</v>
      </c>
      <c r="E126" s="1385"/>
      <c r="F126" s="1385"/>
      <c r="G126" s="1385"/>
      <c r="H126" s="2025">
        <v>0</v>
      </c>
      <c r="I126" s="2025">
        <v>0</v>
      </c>
      <c r="J126" s="2025">
        <v>0</v>
      </c>
      <c r="K126" s="1672">
        <v>0</v>
      </c>
      <c r="L126" s="1672">
        <v>0</v>
      </c>
      <c r="M126" s="1672">
        <v>0</v>
      </c>
      <c r="N126" s="2025"/>
      <c r="O126" s="2025"/>
      <c r="P126" s="2025"/>
      <c r="Q126" s="1077">
        <f t="shared" si="204"/>
        <v>0</v>
      </c>
      <c r="R126" s="2126">
        <f t="shared" si="202"/>
        <v>0</v>
      </c>
      <c r="S126" s="2127">
        <f t="shared" si="203"/>
        <v>0</v>
      </c>
      <c r="T126" s="853">
        <f t="shared" si="205"/>
        <v>0</v>
      </c>
      <c r="U126" s="1075" t="str">
        <f t="shared" si="206"/>
        <v>1.33</v>
      </c>
      <c r="V126" s="1075" t="str">
        <f t="shared" si="207"/>
        <v>D+</v>
      </c>
      <c r="W126" s="1075" t="str">
        <f t="shared" si="208"/>
        <v>0</v>
      </c>
      <c r="X126" s="1216"/>
      <c r="Y126" s="1217"/>
      <c r="Z126" s="1217"/>
      <c r="AA126" s="1217"/>
      <c r="AB126" s="1217"/>
      <c r="AC126" s="1217"/>
      <c r="AD126" s="1820"/>
      <c r="AE126" s="1247"/>
    </row>
    <row r="127" spans="1:31" ht="24.95" customHeight="1" x14ac:dyDescent="0.25">
      <c r="A127" s="1236"/>
      <c r="B127" s="1241"/>
      <c r="C127" s="1220" t="s">
        <v>167</v>
      </c>
      <c r="D127" s="1237"/>
      <c r="E127" s="2687"/>
      <c r="F127" s="2688"/>
      <c r="G127" s="2688"/>
      <c r="H127" s="2688"/>
      <c r="I127" s="2076"/>
      <c r="J127" s="2076"/>
      <c r="K127" s="2076"/>
      <c r="L127" s="2076"/>
      <c r="M127" s="2076"/>
      <c r="N127" s="2076"/>
      <c r="O127" s="2076"/>
      <c r="P127" s="2076"/>
      <c r="Q127" s="2128"/>
      <c r="R127" s="2128"/>
      <c r="S127" s="2128"/>
      <c r="T127" s="732">
        <f>IFERROR(AVERAGE(T124:T126),"  ")</f>
        <v>0</v>
      </c>
      <c r="U127" s="1244" t="str">
        <f>IF(T127&gt;85,("4"),IF(T127&gt;80,("3.66"),IF(T127&gt;75,("3.33"),IF(T127&gt;70,("3.00"),IF(T127&gt;65,("2.66"),IF(T127&gt;60,("2.33"),IF(T127&gt;55,("2"),IF(T127&gt;50,("1.66"),"1.33"))))))))</f>
        <v>1.33</v>
      </c>
      <c r="V127" s="1244" t="str">
        <f>IF(T127&gt;85,("A"),IF(T127&gt;80,("A-"),IF(T127&gt;75,("B+"),IF(T127&gt;70,("B"),IF(T127&gt;65,("B-"),IF(T127&gt;60,("C+"),IF(T127&gt;55,("C"),IF(T127&gt;50,("C-"),"D+"))))))))</f>
        <v>D+</v>
      </c>
      <c r="W127" s="1244"/>
      <c r="X127" s="1221"/>
      <c r="Y127" s="1222"/>
      <c r="Z127" s="1222"/>
      <c r="AA127" s="1222"/>
      <c r="AB127" s="1222"/>
      <c r="AC127" s="1222"/>
      <c r="AD127" s="1821"/>
      <c r="AE127" s="1249"/>
    </row>
    <row r="128" spans="1:31" ht="24.95" customHeight="1" x14ac:dyDescent="0.25">
      <c r="A128" s="1224">
        <v>31</v>
      </c>
      <c r="B128" s="1225"/>
      <c r="C128" s="1209" t="e">
        <f>VLOOKUP(A128,data_siswa,4,FALSE)</f>
        <v>#N/A</v>
      </c>
      <c r="D128" s="1210" t="s">
        <v>154</v>
      </c>
      <c r="E128" s="1672"/>
      <c r="F128" s="1672"/>
      <c r="G128" s="1672"/>
      <c r="H128" s="2025">
        <v>0</v>
      </c>
      <c r="I128" s="2025">
        <v>0</v>
      </c>
      <c r="J128" s="2025">
        <v>0</v>
      </c>
      <c r="K128" s="1672"/>
      <c r="L128" s="1672"/>
      <c r="M128" s="1672"/>
      <c r="N128" s="2025"/>
      <c r="O128" s="2025"/>
      <c r="P128" s="2025"/>
      <c r="Q128" s="1077">
        <f>MAX(E128,H128,K128,N128)</f>
        <v>0</v>
      </c>
      <c r="R128" s="2126">
        <f t="shared" ref="R128:R130" si="209">MAX(F128,I128,L128,O128)</f>
        <v>0</v>
      </c>
      <c r="S128" s="2127">
        <f t="shared" ref="S128:S130" si="210">MAX(G128,J128,M128,P128)</f>
        <v>0</v>
      </c>
      <c r="T128" s="853">
        <f>IFERROR(AVERAGE(Q128:S128),"")</f>
        <v>0</v>
      </c>
      <c r="U128" s="1075" t="str">
        <f>IF(T128&gt;85,("4"),IF(T128&gt;80,("3.66"),IF(T128&gt;75,("3.33"),IF(T128&gt;70,("3.00"),IF(T128&gt;65,("2.66"),IF(T128&gt;60,("2.33"),IF(T128&gt;55,("2"),IF(T128&gt;50,("1.66"),"1.33"))))))))</f>
        <v>1.33</v>
      </c>
      <c r="V128" s="1075" t="str">
        <f>IF(T128&gt;85,("A"),IF(T128&gt;80,("A-"),IF(T128&gt;75,("B+"),IF(T128&gt;70,("B"),IF(T128&gt;65,("B-"),IF(T128&gt;60,("C+"),IF(T128&gt;55,("C"),IF(T128&gt;50,("C-"),"D+"))))))))</f>
        <v>D+</v>
      </c>
      <c r="W128" s="1075" t="str">
        <f>IF(T128&gt;80,("SB"),IF(T128&gt;65,("B"),IF(T128&gt;50,("C"),IF(T128&gt;0,("K"),"0"))))</f>
        <v>0</v>
      </c>
      <c r="X128" s="1816"/>
      <c r="Y128" s="1816"/>
      <c r="Z128" s="1816"/>
      <c r="AA128" s="1817"/>
      <c r="AB128" s="1817"/>
      <c r="AC128" s="1817"/>
      <c r="AD128" s="1818">
        <f>T131</f>
        <v>0</v>
      </c>
      <c r="AE128" s="1245" t="str">
        <f>IF(AD128&gt;85,("A"),IF(AD128&gt;80,("A-"),IF(AD128&gt;75,("B+"),IF(AD128&gt;70,("B"),IF(AD128&gt;65,("B-"),IF(AD128&gt;60,("C+"),IF(AD128&gt;55,("C"),IF(AD128&gt;50,("C-"),"D+"))))))))</f>
        <v>D+</v>
      </c>
    </row>
    <row r="129" spans="1:31" ht="24.95" customHeight="1" x14ac:dyDescent="0.25">
      <c r="A129" s="1207"/>
      <c r="B129" s="1208"/>
      <c r="C129" s="1212"/>
      <c r="D129" s="1213" t="s">
        <v>155</v>
      </c>
      <c r="E129" s="1672">
        <v>0</v>
      </c>
      <c r="F129" s="1385">
        <v>0</v>
      </c>
      <c r="G129" s="1385">
        <v>0</v>
      </c>
      <c r="H129" s="2025">
        <v>0</v>
      </c>
      <c r="I129" s="2025">
        <v>0</v>
      </c>
      <c r="J129" s="2025">
        <v>0</v>
      </c>
      <c r="K129" s="1672">
        <v>0</v>
      </c>
      <c r="L129" s="1672">
        <v>0</v>
      </c>
      <c r="M129" s="1672">
        <v>0</v>
      </c>
      <c r="N129" s="2025">
        <v>0</v>
      </c>
      <c r="O129" s="2025">
        <v>0</v>
      </c>
      <c r="P129" s="2025">
        <v>0</v>
      </c>
      <c r="Q129" s="1077">
        <f t="shared" ref="Q129:Q130" si="211">MAX(E129,H129,K129,N129)</f>
        <v>0</v>
      </c>
      <c r="R129" s="2126">
        <f t="shared" si="209"/>
        <v>0</v>
      </c>
      <c r="S129" s="2127">
        <f t="shared" si="210"/>
        <v>0</v>
      </c>
      <c r="T129" s="853">
        <f t="shared" ref="T129:T130" si="212">IFERROR(AVERAGE(Q129:S129),"")</f>
        <v>0</v>
      </c>
      <c r="U129" s="1075" t="str">
        <f t="shared" ref="U129:U130" si="213">IF(T129&gt;85,("4"),IF(T129&gt;80,("3.66"),IF(T129&gt;75,("3.33"),IF(T129&gt;70,("3.00"),IF(T129&gt;65,("2.66"),IF(T129&gt;60,("2.33"),IF(T129&gt;55,("2"),IF(T129&gt;50,("1.66"),"1.33"))))))))</f>
        <v>1.33</v>
      </c>
      <c r="V129" s="1075" t="str">
        <f t="shared" ref="V129:V130" si="214">IF(T129&gt;85,("A"),IF(T129&gt;80,("A-"),IF(T129&gt;75,("B+"),IF(T129&gt;70,("B"),IF(T129&gt;65,("B-"),IF(T129&gt;60,("C+"),IF(T129&gt;55,("C"),IF(T129&gt;50,("C-"),"D+"))))))))</f>
        <v>D+</v>
      </c>
      <c r="W129" s="1075" t="str">
        <f t="shared" ref="W129:W130" si="215">IF(T129&gt;80,("SB"),IF(T129&gt;65,("B"),IF(T129&gt;50,("C"),IF(T129&gt;0,("K"),"0"))))</f>
        <v>0</v>
      </c>
      <c r="X129" s="1214"/>
      <c r="Y129" s="1215"/>
      <c r="Z129" s="1215"/>
      <c r="AA129" s="1215"/>
      <c r="AB129" s="1215"/>
      <c r="AC129" s="1215"/>
      <c r="AD129" s="1819"/>
      <c r="AE129" s="1246"/>
    </row>
    <row r="130" spans="1:31" ht="24.95" customHeight="1" x14ac:dyDescent="0.25">
      <c r="A130" s="1207"/>
      <c r="B130" s="1208"/>
      <c r="C130" s="1212"/>
      <c r="D130" s="1213" t="s">
        <v>9</v>
      </c>
      <c r="E130" s="1385"/>
      <c r="F130" s="1385"/>
      <c r="G130" s="1385"/>
      <c r="H130" s="2025">
        <v>0</v>
      </c>
      <c r="I130" s="2025">
        <v>0</v>
      </c>
      <c r="J130" s="2025">
        <v>0</v>
      </c>
      <c r="K130" s="1672">
        <v>0</v>
      </c>
      <c r="L130" s="1672">
        <v>0</v>
      </c>
      <c r="M130" s="1672">
        <v>0</v>
      </c>
      <c r="N130" s="2025"/>
      <c r="O130" s="2025"/>
      <c r="P130" s="2025"/>
      <c r="Q130" s="1077">
        <f t="shared" si="211"/>
        <v>0</v>
      </c>
      <c r="R130" s="2126">
        <f t="shared" si="209"/>
        <v>0</v>
      </c>
      <c r="S130" s="2127">
        <f t="shared" si="210"/>
        <v>0</v>
      </c>
      <c r="T130" s="853">
        <f t="shared" si="212"/>
        <v>0</v>
      </c>
      <c r="U130" s="1075" t="str">
        <f t="shared" si="213"/>
        <v>1.33</v>
      </c>
      <c r="V130" s="1075" t="str">
        <f t="shared" si="214"/>
        <v>D+</v>
      </c>
      <c r="W130" s="1075" t="str">
        <f t="shared" si="215"/>
        <v>0</v>
      </c>
      <c r="X130" s="1216"/>
      <c r="Y130" s="1217"/>
      <c r="Z130" s="1217"/>
      <c r="AA130" s="1217"/>
      <c r="AB130" s="1217"/>
      <c r="AC130" s="1217"/>
      <c r="AD130" s="1820"/>
      <c r="AE130" s="1247"/>
    </row>
    <row r="131" spans="1:31" ht="24.95" customHeight="1" x14ac:dyDescent="0.25">
      <c r="A131" s="1236"/>
      <c r="B131" s="1241"/>
      <c r="C131" s="1220" t="s">
        <v>167</v>
      </c>
      <c r="D131" s="1237"/>
      <c r="E131" s="2687"/>
      <c r="F131" s="2688"/>
      <c r="G131" s="2688"/>
      <c r="H131" s="2688"/>
      <c r="I131" s="2076"/>
      <c r="J131" s="2076"/>
      <c r="K131" s="2076"/>
      <c r="L131" s="2076"/>
      <c r="M131" s="2076"/>
      <c r="N131" s="2076"/>
      <c r="O131" s="2076"/>
      <c r="P131" s="2076"/>
      <c r="Q131" s="2128"/>
      <c r="R131" s="2128"/>
      <c r="S131" s="2128"/>
      <c r="T131" s="732">
        <f>IFERROR(AVERAGE(T128:T130),"  ")</f>
        <v>0</v>
      </c>
      <c r="U131" s="1244" t="str">
        <f>IF(T131&gt;85,("4"),IF(T131&gt;80,("3.66"),IF(T131&gt;75,("3.33"),IF(T131&gt;70,("3.00"),IF(T131&gt;65,("2.66"),IF(T131&gt;60,("2.33"),IF(T131&gt;55,("2"),IF(T131&gt;50,("1.66"),"1.33"))))))))</f>
        <v>1.33</v>
      </c>
      <c r="V131" s="1244" t="str">
        <f>IF(T131&gt;85,("A"),IF(T131&gt;80,("A-"),IF(T131&gt;75,("B+"),IF(T131&gt;70,("B"),IF(T131&gt;65,("B-"),IF(T131&gt;60,("C+"),IF(T131&gt;55,("C"),IF(T131&gt;50,("C-"),"D+"))))))))</f>
        <v>D+</v>
      </c>
      <c r="W131" s="1244"/>
      <c r="X131" s="1221"/>
      <c r="Y131" s="1222"/>
      <c r="Z131" s="1222"/>
      <c r="AA131" s="1222"/>
      <c r="AB131" s="1222"/>
      <c r="AC131" s="1222"/>
      <c r="AD131" s="1821"/>
      <c r="AE131" s="1249"/>
    </row>
    <row r="132" spans="1:31" ht="24.95" customHeight="1" x14ac:dyDescent="0.25">
      <c r="A132" s="1224">
        <v>32</v>
      </c>
      <c r="B132" s="1225"/>
      <c r="C132" s="1209" t="e">
        <f>VLOOKUP(A132,data_siswa,4,FALSE)</f>
        <v>#N/A</v>
      </c>
      <c r="D132" s="1210" t="s">
        <v>154</v>
      </c>
      <c r="E132" s="1672"/>
      <c r="F132" s="1672"/>
      <c r="G132" s="1672"/>
      <c r="H132" s="2025">
        <v>0</v>
      </c>
      <c r="I132" s="2025">
        <v>0</v>
      </c>
      <c r="J132" s="2025">
        <v>0</v>
      </c>
      <c r="K132" s="1672"/>
      <c r="L132" s="1672"/>
      <c r="M132" s="1672"/>
      <c r="N132" s="2025"/>
      <c r="O132" s="2025"/>
      <c r="P132" s="2025"/>
      <c r="Q132" s="1077">
        <f>MAX(E132,H132,K132,N132)</f>
        <v>0</v>
      </c>
      <c r="R132" s="2126">
        <f t="shared" ref="R132:R134" si="216">MAX(F132,I132,L132,O132)</f>
        <v>0</v>
      </c>
      <c r="S132" s="2127">
        <f t="shared" ref="S132:S134" si="217">MAX(G132,J132,M132,P132)</f>
        <v>0</v>
      </c>
      <c r="T132" s="853">
        <f>IFERROR(AVERAGE(Q132:S132),"")</f>
        <v>0</v>
      </c>
      <c r="U132" s="1075" t="str">
        <f>IF(T132&gt;85,("4"),IF(T132&gt;80,("3.66"),IF(T132&gt;75,("3.33"),IF(T132&gt;70,("3.00"),IF(T132&gt;65,("2.66"),IF(T132&gt;60,("2.33"),IF(T132&gt;55,("2"),IF(T132&gt;50,("1.66"),"1.33"))))))))</f>
        <v>1.33</v>
      </c>
      <c r="V132" s="1075" t="str">
        <f>IF(T132&gt;85,("A"),IF(T132&gt;80,("A-"),IF(T132&gt;75,("B+"),IF(T132&gt;70,("B"),IF(T132&gt;65,("B-"),IF(T132&gt;60,("C+"),IF(T132&gt;55,("C"),IF(T132&gt;50,("C-"),"D+"))))))))</f>
        <v>D+</v>
      </c>
      <c r="W132" s="1075" t="str">
        <f>IF(T132&gt;80,("SB"),IF(T132&gt;65,("B"),IF(T132&gt;50,("C"),IF(T132&gt;0,("K"),"0"))))</f>
        <v>0</v>
      </c>
      <c r="X132" s="1816"/>
      <c r="Y132" s="1816"/>
      <c r="Z132" s="1816"/>
      <c r="AA132" s="1817"/>
      <c r="AB132" s="1817"/>
      <c r="AC132" s="1817"/>
      <c r="AD132" s="1818">
        <f>T135</f>
        <v>0</v>
      </c>
      <c r="AE132" s="1245" t="str">
        <f>IF(AD132&gt;85,("A"),IF(AD132&gt;80,("A-"),IF(AD132&gt;75,("B+"),IF(AD132&gt;70,("B"),IF(AD132&gt;65,("B-"),IF(AD132&gt;60,("C+"),IF(AD132&gt;55,("C"),IF(AD132&gt;50,("C-"),"D+"))))))))</f>
        <v>D+</v>
      </c>
    </row>
    <row r="133" spans="1:31" ht="24.95" customHeight="1" x14ac:dyDescent="0.25">
      <c r="A133" s="1207"/>
      <c r="B133" s="1208"/>
      <c r="C133" s="1212"/>
      <c r="D133" s="1213" t="s">
        <v>155</v>
      </c>
      <c r="E133" s="1672">
        <v>0</v>
      </c>
      <c r="F133" s="1385">
        <v>0</v>
      </c>
      <c r="G133" s="1385">
        <v>0</v>
      </c>
      <c r="H133" s="2025">
        <v>0</v>
      </c>
      <c r="I133" s="2025">
        <v>0</v>
      </c>
      <c r="J133" s="2025">
        <v>0</v>
      </c>
      <c r="K133" s="1672">
        <v>0</v>
      </c>
      <c r="L133" s="1672">
        <v>0</v>
      </c>
      <c r="M133" s="1672">
        <v>0</v>
      </c>
      <c r="N133" s="2025">
        <v>0</v>
      </c>
      <c r="O133" s="2025">
        <v>0</v>
      </c>
      <c r="P133" s="2025">
        <v>0</v>
      </c>
      <c r="Q133" s="1077">
        <f t="shared" ref="Q133:Q134" si="218">MAX(E133,H133,K133,N133)</f>
        <v>0</v>
      </c>
      <c r="R133" s="2126">
        <f t="shared" si="216"/>
        <v>0</v>
      </c>
      <c r="S133" s="2127">
        <f t="shared" si="217"/>
        <v>0</v>
      </c>
      <c r="T133" s="853">
        <f t="shared" ref="T133:T134" si="219">IFERROR(AVERAGE(Q133:S133),"")</f>
        <v>0</v>
      </c>
      <c r="U133" s="1075" t="str">
        <f t="shared" ref="U133:U134" si="220">IF(T133&gt;85,("4"),IF(T133&gt;80,("3.66"),IF(T133&gt;75,("3.33"),IF(T133&gt;70,("3.00"),IF(T133&gt;65,("2.66"),IF(T133&gt;60,("2.33"),IF(T133&gt;55,("2"),IF(T133&gt;50,("1.66"),"1.33"))))))))</f>
        <v>1.33</v>
      </c>
      <c r="V133" s="1075" t="str">
        <f t="shared" ref="V133:V134" si="221">IF(T133&gt;85,("A"),IF(T133&gt;80,("A-"),IF(T133&gt;75,("B+"),IF(T133&gt;70,("B"),IF(T133&gt;65,("B-"),IF(T133&gt;60,("C+"),IF(T133&gt;55,("C"),IF(T133&gt;50,("C-"),"D+"))))))))</f>
        <v>D+</v>
      </c>
      <c r="W133" s="1075" t="str">
        <f t="shared" ref="W133:W134" si="222">IF(T133&gt;80,("SB"),IF(T133&gt;65,("B"),IF(T133&gt;50,("C"),IF(T133&gt;0,("K"),"0"))))</f>
        <v>0</v>
      </c>
      <c r="X133" s="1214"/>
      <c r="Y133" s="1215"/>
      <c r="Z133" s="1215"/>
      <c r="AA133" s="1215"/>
      <c r="AB133" s="1215"/>
      <c r="AC133" s="1215"/>
      <c r="AD133" s="1819"/>
      <c r="AE133" s="1246"/>
    </row>
    <row r="134" spans="1:31" ht="24.95" customHeight="1" x14ac:dyDescent="0.25">
      <c r="A134" s="1207"/>
      <c r="B134" s="1208"/>
      <c r="C134" s="1212"/>
      <c r="D134" s="1213" t="s">
        <v>9</v>
      </c>
      <c r="E134" s="1385"/>
      <c r="F134" s="1385"/>
      <c r="G134" s="1385"/>
      <c r="H134" s="2025">
        <v>0</v>
      </c>
      <c r="I134" s="2025">
        <v>0</v>
      </c>
      <c r="J134" s="2025">
        <v>0</v>
      </c>
      <c r="K134" s="1672">
        <v>0</v>
      </c>
      <c r="L134" s="1672">
        <v>0</v>
      </c>
      <c r="M134" s="1672">
        <v>0</v>
      </c>
      <c r="N134" s="2025"/>
      <c r="O134" s="2025"/>
      <c r="P134" s="2025"/>
      <c r="Q134" s="1077">
        <f t="shared" si="218"/>
        <v>0</v>
      </c>
      <c r="R134" s="2126">
        <f t="shared" si="216"/>
        <v>0</v>
      </c>
      <c r="S134" s="2127">
        <f t="shared" si="217"/>
        <v>0</v>
      </c>
      <c r="T134" s="853">
        <f t="shared" si="219"/>
        <v>0</v>
      </c>
      <c r="U134" s="1075" t="str">
        <f t="shared" si="220"/>
        <v>1.33</v>
      </c>
      <c r="V134" s="1075" t="str">
        <f t="shared" si="221"/>
        <v>D+</v>
      </c>
      <c r="W134" s="1075" t="str">
        <f t="shared" si="222"/>
        <v>0</v>
      </c>
      <c r="X134" s="1216"/>
      <c r="Y134" s="1217"/>
      <c r="Z134" s="1217"/>
      <c r="AA134" s="1217"/>
      <c r="AB134" s="1217"/>
      <c r="AC134" s="1217"/>
      <c r="AD134" s="1820"/>
      <c r="AE134" s="1247"/>
    </row>
    <row r="135" spans="1:31" ht="24.95" customHeight="1" x14ac:dyDescent="0.25">
      <c r="A135" s="1236"/>
      <c r="B135" s="1241"/>
      <c r="C135" s="1220" t="s">
        <v>167</v>
      </c>
      <c r="D135" s="1237"/>
      <c r="E135" s="2687"/>
      <c r="F135" s="2688"/>
      <c r="G135" s="2688"/>
      <c r="H135" s="2688"/>
      <c r="I135" s="2076"/>
      <c r="J135" s="2076"/>
      <c r="K135" s="2076"/>
      <c r="L135" s="2076"/>
      <c r="M135" s="2076"/>
      <c r="N135" s="2076"/>
      <c r="O135" s="2076"/>
      <c r="P135" s="2076"/>
      <c r="Q135" s="2128"/>
      <c r="R135" s="2128"/>
      <c r="S135" s="2128"/>
      <c r="T135" s="732">
        <f>IFERROR(AVERAGE(T132:T134),"  ")</f>
        <v>0</v>
      </c>
      <c r="U135" s="1244" t="str">
        <f>IF(T135&gt;85,("4"),IF(T135&gt;80,("3.66"),IF(T135&gt;75,("3.33"),IF(T135&gt;70,("3.00"),IF(T135&gt;65,("2.66"),IF(T135&gt;60,("2.33"),IF(T135&gt;55,("2"),IF(T135&gt;50,("1.66"),"1.33"))))))))</f>
        <v>1.33</v>
      </c>
      <c r="V135" s="1244" t="str">
        <f>IF(T135&gt;85,("A"),IF(T135&gt;80,("A-"),IF(T135&gt;75,("B+"),IF(T135&gt;70,("B"),IF(T135&gt;65,("B-"),IF(T135&gt;60,("C+"),IF(T135&gt;55,("C"),IF(T135&gt;50,("C-"),"D+"))))))))</f>
        <v>D+</v>
      </c>
      <c r="W135" s="1244"/>
      <c r="X135" s="1221"/>
      <c r="Y135" s="1222"/>
      <c r="Z135" s="1222"/>
      <c r="AA135" s="1222"/>
      <c r="AB135" s="1222"/>
      <c r="AC135" s="1222"/>
      <c r="AD135" s="1821"/>
      <c r="AE135" s="1249"/>
    </row>
    <row r="136" spans="1:31" ht="24.95" customHeight="1" x14ac:dyDescent="0.25">
      <c r="A136" s="1224">
        <v>33</v>
      </c>
      <c r="B136" s="1225"/>
      <c r="C136" s="1209" t="e">
        <f>VLOOKUP(A136,data_siswa,4,FALSE)</f>
        <v>#N/A</v>
      </c>
      <c r="D136" s="1210" t="s">
        <v>154</v>
      </c>
      <c r="E136" s="1672"/>
      <c r="F136" s="1672"/>
      <c r="G136" s="1672"/>
      <c r="H136" s="2025">
        <v>0</v>
      </c>
      <c r="I136" s="2025">
        <v>0</v>
      </c>
      <c r="J136" s="2025">
        <v>0</v>
      </c>
      <c r="K136" s="1672"/>
      <c r="L136" s="1672"/>
      <c r="M136" s="1672"/>
      <c r="N136" s="2025"/>
      <c r="O136" s="2025"/>
      <c r="P136" s="2025"/>
      <c r="Q136" s="1077">
        <f>MAX(E136,H136,K136,N136)</f>
        <v>0</v>
      </c>
      <c r="R136" s="2126">
        <f t="shared" ref="R136:R138" si="223">MAX(F136,I136,L136,O136)</f>
        <v>0</v>
      </c>
      <c r="S136" s="2127">
        <f t="shared" ref="S136:S138" si="224">MAX(G136,J136,M136,P136)</f>
        <v>0</v>
      </c>
      <c r="T136" s="853">
        <f>IFERROR(AVERAGE(Q136:S136),"")</f>
        <v>0</v>
      </c>
      <c r="U136" s="1075" t="str">
        <f>IF(T136&gt;85,("4"),IF(T136&gt;80,("3.66"),IF(T136&gt;75,("3.33"),IF(T136&gt;70,("3.00"),IF(T136&gt;65,("2.66"),IF(T136&gt;60,("2.33"),IF(T136&gt;55,("2"),IF(T136&gt;50,("1.66"),"1.33"))))))))</f>
        <v>1.33</v>
      </c>
      <c r="V136" s="1075" t="str">
        <f>IF(T136&gt;85,("A"),IF(T136&gt;80,("A-"),IF(T136&gt;75,("B+"),IF(T136&gt;70,("B"),IF(T136&gt;65,("B-"),IF(T136&gt;60,("C+"),IF(T136&gt;55,("C"),IF(T136&gt;50,("C-"),"D+"))))))))</f>
        <v>D+</v>
      </c>
      <c r="W136" s="1075" t="str">
        <f>IF(T136&gt;80,("SB"),IF(T136&gt;65,("B"),IF(T136&gt;50,("C"),IF(T136&gt;0,("K"),"0"))))</f>
        <v>0</v>
      </c>
      <c r="X136" s="1816"/>
      <c r="Y136" s="1816"/>
      <c r="Z136" s="1816"/>
      <c r="AA136" s="1817"/>
      <c r="AB136" s="1817"/>
      <c r="AC136" s="1817"/>
      <c r="AD136" s="1818">
        <f>T139</f>
        <v>0</v>
      </c>
      <c r="AE136" s="1245" t="str">
        <f>IF(AD136&gt;85,("A"),IF(AD136&gt;80,("A-"),IF(AD136&gt;75,("B+"),IF(AD136&gt;70,("B"),IF(AD136&gt;65,("B-"),IF(AD136&gt;60,("C+"),IF(AD136&gt;55,("C"),IF(AD136&gt;50,("C-"),"D+"))))))))</f>
        <v>D+</v>
      </c>
    </row>
    <row r="137" spans="1:31" ht="24.95" customHeight="1" x14ac:dyDescent="0.25">
      <c r="A137" s="1207"/>
      <c r="B137" s="1208"/>
      <c r="C137" s="1212"/>
      <c r="D137" s="1213" t="s">
        <v>155</v>
      </c>
      <c r="E137" s="1672">
        <v>0</v>
      </c>
      <c r="F137" s="1385">
        <v>0</v>
      </c>
      <c r="G137" s="1385">
        <v>0</v>
      </c>
      <c r="H137" s="2025">
        <v>0</v>
      </c>
      <c r="I137" s="2025">
        <v>0</v>
      </c>
      <c r="J137" s="2025">
        <v>0</v>
      </c>
      <c r="K137" s="1672">
        <v>0</v>
      </c>
      <c r="L137" s="1672">
        <v>0</v>
      </c>
      <c r="M137" s="1672">
        <v>0</v>
      </c>
      <c r="N137" s="2025">
        <v>0</v>
      </c>
      <c r="O137" s="2025">
        <v>0</v>
      </c>
      <c r="P137" s="2025">
        <v>0</v>
      </c>
      <c r="Q137" s="1077">
        <f t="shared" ref="Q137:Q138" si="225">MAX(E137,H137,K137,N137)</f>
        <v>0</v>
      </c>
      <c r="R137" s="2126">
        <f t="shared" si="223"/>
        <v>0</v>
      </c>
      <c r="S137" s="2127">
        <f t="shared" si="224"/>
        <v>0</v>
      </c>
      <c r="T137" s="853">
        <f t="shared" ref="T137:T138" si="226">IFERROR(AVERAGE(Q137:S137),"")</f>
        <v>0</v>
      </c>
      <c r="U137" s="1075" t="str">
        <f t="shared" ref="U137:U138" si="227">IF(T137&gt;85,("4"),IF(T137&gt;80,("3.66"),IF(T137&gt;75,("3.33"),IF(T137&gt;70,("3.00"),IF(T137&gt;65,("2.66"),IF(T137&gt;60,("2.33"),IF(T137&gt;55,("2"),IF(T137&gt;50,("1.66"),"1.33"))))))))</f>
        <v>1.33</v>
      </c>
      <c r="V137" s="1075" t="str">
        <f t="shared" ref="V137:V138" si="228">IF(T137&gt;85,("A"),IF(T137&gt;80,("A-"),IF(T137&gt;75,("B+"),IF(T137&gt;70,("B"),IF(T137&gt;65,("B-"),IF(T137&gt;60,("C+"),IF(T137&gt;55,("C"),IF(T137&gt;50,("C-"),"D+"))))))))</f>
        <v>D+</v>
      </c>
      <c r="W137" s="1075" t="str">
        <f t="shared" ref="W137:W138" si="229">IF(T137&gt;80,("SB"),IF(T137&gt;65,("B"),IF(T137&gt;50,("C"),IF(T137&gt;0,("K"),"0"))))</f>
        <v>0</v>
      </c>
      <c r="X137" s="1214"/>
      <c r="Y137" s="1215"/>
      <c r="Z137" s="1215"/>
      <c r="AA137" s="1215"/>
      <c r="AB137" s="1215"/>
      <c r="AC137" s="1215"/>
      <c r="AD137" s="1819"/>
      <c r="AE137" s="1246"/>
    </row>
    <row r="138" spans="1:31" ht="24.95" customHeight="1" x14ac:dyDescent="0.25">
      <c r="A138" s="1207"/>
      <c r="B138" s="1208"/>
      <c r="C138" s="1212"/>
      <c r="D138" s="1213" t="s">
        <v>9</v>
      </c>
      <c r="E138" s="1385"/>
      <c r="F138" s="1385"/>
      <c r="G138" s="1385"/>
      <c r="H138" s="2025">
        <v>0</v>
      </c>
      <c r="I138" s="2025">
        <v>0</v>
      </c>
      <c r="J138" s="2025">
        <v>0</v>
      </c>
      <c r="K138" s="1672">
        <v>0</v>
      </c>
      <c r="L138" s="1672">
        <v>0</v>
      </c>
      <c r="M138" s="1672">
        <v>0</v>
      </c>
      <c r="N138" s="2025"/>
      <c r="O138" s="2025"/>
      <c r="P138" s="2025"/>
      <c r="Q138" s="1077">
        <f t="shared" si="225"/>
        <v>0</v>
      </c>
      <c r="R138" s="2126">
        <f t="shared" si="223"/>
        <v>0</v>
      </c>
      <c r="S138" s="2127">
        <f t="shared" si="224"/>
        <v>0</v>
      </c>
      <c r="T138" s="853">
        <f t="shared" si="226"/>
        <v>0</v>
      </c>
      <c r="U138" s="1075" t="str">
        <f t="shared" si="227"/>
        <v>1.33</v>
      </c>
      <c r="V138" s="1075" t="str">
        <f t="shared" si="228"/>
        <v>D+</v>
      </c>
      <c r="W138" s="1075" t="str">
        <f t="shared" si="229"/>
        <v>0</v>
      </c>
      <c r="X138" s="1216"/>
      <c r="Y138" s="1217"/>
      <c r="Z138" s="1217"/>
      <c r="AA138" s="1217"/>
      <c r="AB138" s="1217"/>
      <c r="AC138" s="1217"/>
      <c r="AD138" s="1820"/>
      <c r="AE138" s="1247"/>
    </row>
    <row r="139" spans="1:31" ht="24.95" customHeight="1" x14ac:dyDescent="0.25">
      <c r="A139" s="1236"/>
      <c r="B139" s="1241"/>
      <c r="C139" s="1220" t="s">
        <v>167</v>
      </c>
      <c r="D139" s="1237"/>
      <c r="E139" s="2687"/>
      <c r="F139" s="2688"/>
      <c r="G139" s="2688"/>
      <c r="H139" s="2688"/>
      <c r="I139" s="2076"/>
      <c r="J139" s="2076"/>
      <c r="K139" s="2076"/>
      <c r="L139" s="2076"/>
      <c r="M139" s="2076"/>
      <c r="N139" s="2076"/>
      <c r="O139" s="2076"/>
      <c r="P139" s="2076"/>
      <c r="Q139" s="2128"/>
      <c r="R139" s="2128"/>
      <c r="S139" s="2128"/>
      <c r="T139" s="732">
        <f>IFERROR(AVERAGE(T136:T138),"  ")</f>
        <v>0</v>
      </c>
      <c r="U139" s="1244" t="str">
        <f>IF(T139&gt;85,("4"),IF(T139&gt;80,("3.66"),IF(T139&gt;75,("3.33"),IF(T139&gt;70,("3.00"),IF(T139&gt;65,("2.66"),IF(T139&gt;60,("2.33"),IF(T139&gt;55,("2"),IF(T139&gt;50,("1.66"),"1.33"))))))))</f>
        <v>1.33</v>
      </c>
      <c r="V139" s="1244" t="str">
        <f>IF(T139&gt;85,("A"),IF(T139&gt;80,("A-"),IF(T139&gt;75,("B+"),IF(T139&gt;70,("B"),IF(T139&gt;65,("B-"),IF(T139&gt;60,("C+"),IF(T139&gt;55,("C"),IF(T139&gt;50,("C-"),"D+"))))))))</f>
        <v>D+</v>
      </c>
      <c r="W139" s="1244"/>
      <c r="X139" s="1221"/>
      <c r="Y139" s="1222"/>
      <c r="Z139" s="1222"/>
      <c r="AA139" s="1222"/>
      <c r="AB139" s="1222"/>
      <c r="AC139" s="1222"/>
      <c r="AD139" s="1821"/>
      <c r="AE139" s="1249"/>
    </row>
    <row r="140" spans="1:31" ht="24.95" customHeight="1" x14ac:dyDescent="0.25">
      <c r="A140" s="1224">
        <v>34</v>
      </c>
      <c r="B140" s="1225"/>
      <c r="C140" s="1209" t="e">
        <f>VLOOKUP(A140,data_siswa,4,FALSE)</f>
        <v>#N/A</v>
      </c>
      <c r="D140" s="1210" t="s">
        <v>154</v>
      </c>
      <c r="E140" s="1672"/>
      <c r="F140" s="1672"/>
      <c r="G140" s="1672"/>
      <c r="H140" s="2025">
        <v>0</v>
      </c>
      <c r="I140" s="2025">
        <v>0</v>
      </c>
      <c r="J140" s="2025">
        <v>0</v>
      </c>
      <c r="K140" s="1672"/>
      <c r="L140" s="1672"/>
      <c r="M140" s="1672"/>
      <c r="N140" s="2025"/>
      <c r="O140" s="2025"/>
      <c r="P140" s="2025"/>
      <c r="Q140" s="1077">
        <f>MAX(E140,H140,K140,N140)</f>
        <v>0</v>
      </c>
      <c r="R140" s="2126">
        <f t="shared" ref="R140:R142" si="230">MAX(F140,I140,L140,O140)</f>
        <v>0</v>
      </c>
      <c r="S140" s="2127">
        <f t="shared" ref="S140:S142" si="231">MAX(G140,J140,M140,P140)</f>
        <v>0</v>
      </c>
      <c r="T140" s="853">
        <f>IFERROR(AVERAGE(Q140:S140),"")</f>
        <v>0</v>
      </c>
      <c r="U140" s="1075" t="str">
        <f>IF(T140&gt;85,("4"),IF(T140&gt;80,("3.66"),IF(T140&gt;75,("3.33"),IF(T140&gt;70,("3.00"),IF(T140&gt;65,("2.66"),IF(T140&gt;60,("2.33"),IF(T140&gt;55,("2"),IF(T140&gt;50,("1.66"),"1.33"))))))))</f>
        <v>1.33</v>
      </c>
      <c r="V140" s="1075" t="str">
        <f>IF(T140&gt;85,("A"),IF(T140&gt;80,("A-"),IF(T140&gt;75,("B+"),IF(T140&gt;70,("B"),IF(T140&gt;65,("B-"),IF(T140&gt;60,("C+"),IF(T140&gt;55,("C"),IF(T140&gt;50,("C-"),"D+"))))))))</f>
        <v>D+</v>
      </c>
      <c r="W140" s="1075" t="str">
        <f>IF(T140&gt;80,("SB"),IF(T140&gt;65,("B"),IF(T140&gt;50,("C"),IF(T140&gt;0,("K"),"0"))))</f>
        <v>0</v>
      </c>
      <c r="X140" s="1816"/>
      <c r="Y140" s="1816"/>
      <c r="Z140" s="1816"/>
      <c r="AA140" s="1817"/>
      <c r="AB140" s="1817"/>
      <c r="AC140" s="1817"/>
      <c r="AD140" s="1818">
        <f>T143</f>
        <v>0</v>
      </c>
      <c r="AE140" s="1245" t="str">
        <f>IF(AD140&gt;85,("A"),IF(AD140&gt;80,("A-"),IF(AD140&gt;75,("B+"),IF(AD140&gt;70,("B"),IF(AD140&gt;65,("B-"),IF(AD140&gt;60,("C+"),IF(AD140&gt;55,("C"),IF(AD140&gt;50,("C-"),"D+"))))))))</f>
        <v>D+</v>
      </c>
    </row>
    <row r="141" spans="1:31" ht="24.95" customHeight="1" x14ac:dyDescent="0.25">
      <c r="A141" s="1207"/>
      <c r="B141" s="1208"/>
      <c r="C141" s="1212"/>
      <c r="D141" s="1213" t="s">
        <v>155</v>
      </c>
      <c r="E141" s="1672">
        <v>0</v>
      </c>
      <c r="F141" s="1385">
        <v>0</v>
      </c>
      <c r="G141" s="1385">
        <v>0</v>
      </c>
      <c r="H141" s="2025">
        <v>0</v>
      </c>
      <c r="I141" s="2025">
        <v>0</v>
      </c>
      <c r="J141" s="2025">
        <v>0</v>
      </c>
      <c r="K141" s="1672">
        <v>0</v>
      </c>
      <c r="L141" s="1672">
        <v>0</v>
      </c>
      <c r="M141" s="1672">
        <v>0</v>
      </c>
      <c r="N141" s="2025">
        <v>0</v>
      </c>
      <c r="O141" s="2025">
        <v>0</v>
      </c>
      <c r="P141" s="2025">
        <v>0</v>
      </c>
      <c r="Q141" s="1077">
        <f t="shared" ref="Q141:Q142" si="232">MAX(E141,H141,K141,N141)</f>
        <v>0</v>
      </c>
      <c r="R141" s="2126">
        <f t="shared" si="230"/>
        <v>0</v>
      </c>
      <c r="S141" s="2127">
        <f t="shared" si="231"/>
        <v>0</v>
      </c>
      <c r="T141" s="853">
        <f t="shared" ref="T141:T142" si="233">IFERROR(AVERAGE(Q141:S141),"")</f>
        <v>0</v>
      </c>
      <c r="U141" s="1075" t="str">
        <f t="shared" ref="U141:U142" si="234">IF(T141&gt;85,("4"),IF(T141&gt;80,("3.66"),IF(T141&gt;75,("3.33"),IF(T141&gt;70,("3.00"),IF(T141&gt;65,("2.66"),IF(T141&gt;60,("2.33"),IF(T141&gt;55,("2"),IF(T141&gt;50,("1.66"),"1.33"))))))))</f>
        <v>1.33</v>
      </c>
      <c r="V141" s="1075" t="str">
        <f t="shared" ref="V141:V142" si="235">IF(T141&gt;85,("A"),IF(T141&gt;80,("A-"),IF(T141&gt;75,("B+"),IF(T141&gt;70,("B"),IF(T141&gt;65,("B-"),IF(T141&gt;60,("C+"),IF(T141&gt;55,("C"),IF(T141&gt;50,("C-"),"D+"))))))))</f>
        <v>D+</v>
      </c>
      <c r="W141" s="1075" t="str">
        <f t="shared" ref="W141:W142" si="236">IF(T141&gt;80,("SB"),IF(T141&gt;65,("B"),IF(T141&gt;50,("C"),IF(T141&gt;0,("K"),"0"))))</f>
        <v>0</v>
      </c>
      <c r="X141" s="1214"/>
      <c r="Y141" s="1215"/>
      <c r="Z141" s="1215"/>
      <c r="AA141" s="1215"/>
      <c r="AB141" s="1215"/>
      <c r="AC141" s="1215"/>
      <c r="AD141" s="1819"/>
      <c r="AE141" s="1246"/>
    </row>
    <row r="142" spans="1:31" ht="24.95" customHeight="1" x14ac:dyDescent="0.25">
      <c r="A142" s="1207"/>
      <c r="B142" s="1208"/>
      <c r="C142" s="1212"/>
      <c r="D142" s="1213" t="s">
        <v>9</v>
      </c>
      <c r="E142" s="1385"/>
      <c r="F142" s="1385"/>
      <c r="G142" s="1385"/>
      <c r="H142" s="2025">
        <v>0</v>
      </c>
      <c r="I142" s="2025">
        <v>0</v>
      </c>
      <c r="J142" s="2025">
        <v>0</v>
      </c>
      <c r="K142" s="1672">
        <v>0</v>
      </c>
      <c r="L142" s="1672">
        <v>0</v>
      </c>
      <c r="M142" s="1672">
        <v>0</v>
      </c>
      <c r="N142" s="2025"/>
      <c r="O142" s="2025"/>
      <c r="P142" s="2025"/>
      <c r="Q142" s="1077">
        <f t="shared" si="232"/>
        <v>0</v>
      </c>
      <c r="R142" s="2126">
        <f t="shared" si="230"/>
        <v>0</v>
      </c>
      <c r="S142" s="2127">
        <f t="shared" si="231"/>
        <v>0</v>
      </c>
      <c r="T142" s="853">
        <f t="shared" si="233"/>
        <v>0</v>
      </c>
      <c r="U142" s="1075" t="str">
        <f t="shared" si="234"/>
        <v>1.33</v>
      </c>
      <c r="V142" s="1075" t="str">
        <f t="shared" si="235"/>
        <v>D+</v>
      </c>
      <c r="W142" s="1075" t="str">
        <f t="shared" si="236"/>
        <v>0</v>
      </c>
      <c r="X142" s="1216"/>
      <c r="Y142" s="1217"/>
      <c r="Z142" s="1217"/>
      <c r="AA142" s="1217"/>
      <c r="AB142" s="1217"/>
      <c r="AC142" s="1217"/>
      <c r="AD142" s="1820"/>
      <c r="AE142" s="1247"/>
    </row>
    <row r="143" spans="1:31" ht="24.95" customHeight="1" x14ac:dyDescent="0.25">
      <c r="A143" s="1236"/>
      <c r="B143" s="1241"/>
      <c r="C143" s="1220" t="s">
        <v>167</v>
      </c>
      <c r="D143" s="1237"/>
      <c r="E143" s="2687"/>
      <c r="F143" s="2688"/>
      <c r="G143" s="2688"/>
      <c r="H143" s="2688"/>
      <c r="I143" s="2076"/>
      <c r="J143" s="2076"/>
      <c r="K143" s="2076"/>
      <c r="L143" s="2076"/>
      <c r="M143" s="2076"/>
      <c r="N143" s="2076"/>
      <c r="O143" s="2076"/>
      <c r="P143" s="2076"/>
      <c r="Q143" s="2128"/>
      <c r="R143" s="2128"/>
      <c r="S143" s="2128"/>
      <c r="T143" s="732">
        <f>IFERROR(AVERAGE(T140:T142),"  ")</f>
        <v>0</v>
      </c>
      <c r="U143" s="1244" t="str">
        <f>IF(T143&gt;85,("4"),IF(T143&gt;80,("3.66"),IF(T143&gt;75,("3.33"),IF(T143&gt;70,("3.00"),IF(T143&gt;65,("2.66"),IF(T143&gt;60,("2.33"),IF(T143&gt;55,("2"),IF(T143&gt;50,("1.66"),"1.33"))))))))</f>
        <v>1.33</v>
      </c>
      <c r="V143" s="1244" t="str">
        <f>IF(T143&gt;85,("A"),IF(T143&gt;80,("A-"),IF(T143&gt;75,("B+"),IF(T143&gt;70,("B"),IF(T143&gt;65,("B-"),IF(T143&gt;60,("C+"),IF(T143&gt;55,("C"),IF(T143&gt;50,("C-"),"D+"))))))))</f>
        <v>D+</v>
      </c>
      <c r="W143" s="1244"/>
      <c r="X143" s="1221"/>
      <c r="Y143" s="1222"/>
      <c r="Z143" s="1222"/>
      <c r="AA143" s="1222"/>
      <c r="AB143" s="1222"/>
      <c r="AC143" s="1222"/>
      <c r="AD143" s="1821"/>
      <c r="AE143" s="1249"/>
    </row>
    <row r="144" spans="1:31" ht="24.95" customHeight="1" x14ac:dyDescent="0.25">
      <c r="A144" s="1224">
        <v>35</v>
      </c>
      <c r="B144" s="1225"/>
      <c r="C144" s="1209" t="e">
        <f>VLOOKUP(A144,data_siswa,4,FALSE)</f>
        <v>#N/A</v>
      </c>
      <c r="D144" s="1210" t="s">
        <v>154</v>
      </c>
      <c r="E144" s="1672"/>
      <c r="F144" s="1672"/>
      <c r="G144" s="1672"/>
      <c r="H144" s="2025">
        <v>0</v>
      </c>
      <c r="I144" s="2025">
        <v>0</v>
      </c>
      <c r="J144" s="2025">
        <v>0</v>
      </c>
      <c r="K144" s="1672"/>
      <c r="L144" s="1672"/>
      <c r="M144" s="1672"/>
      <c r="N144" s="2025"/>
      <c r="O144" s="2025"/>
      <c r="P144" s="2025"/>
      <c r="Q144" s="1077">
        <f>MAX(E144,H144,K144,N144)</f>
        <v>0</v>
      </c>
      <c r="R144" s="2126">
        <f t="shared" ref="R144:R146" si="237">MAX(F144,I144,L144,O144)</f>
        <v>0</v>
      </c>
      <c r="S144" s="2127">
        <f t="shared" ref="S144:S146" si="238">MAX(G144,J144,M144,P144)</f>
        <v>0</v>
      </c>
      <c r="T144" s="853">
        <f>IFERROR(AVERAGE(Q144:S144),"")</f>
        <v>0</v>
      </c>
      <c r="U144" s="1075" t="str">
        <f>IF(T144&gt;85,("4"),IF(T144&gt;80,("3.66"),IF(T144&gt;75,("3.33"),IF(T144&gt;70,("3.00"),IF(T144&gt;65,("2.66"),IF(T144&gt;60,("2.33"),IF(T144&gt;55,("2"),IF(T144&gt;50,("1.66"),"1.33"))))))))</f>
        <v>1.33</v>
      </c>
      <c r="V144" s="1075" t="str">
        <f>IF(T144&gt;85,("A"),IF(T144&gt;80,("A-"),IF(T144&gt;75,("B+"),IF(T144&gt;70,("B"),IF(T144&gt;65,("B-"),IF(T144&gt;60,("C+"),IF(T144&gt;55,("C"),IF(T144&gt;50,("C-"),"D+"))))))))</f>
        <v>D+</v>
      </c>
      <c r="W144" s="1075" t="str">
        <f>IF(T144&gt;80,("SB"),IF(T144&gt;65,("B"),IF(T144&gt;50,("C"),IF(T144&gt;0,("K"),"0"))))</f>
        <v>0</v>
      </c>
      <c r="X144" s="1816"/>
      <c r="Y144" s="1816"/>
      <c r="Z144" s="1816"/>
      <c r="AA144" s="1817"/>
      <c r="AB144" s="1817"/>
      <c r="AC144" s="1817"/>
      <c r="AD144" s="1818">
        <f>T147</f>
        <v>0</v>
      </c>
      <c r="AE144" s="1245" t="str">
        <f>IF(AD144&gt;85,("A"),IF(AD144&gt;80,("A-"),IF(AD144&gt;75,("B+"),IF(AD144&gt;70,("B"),IF(AD144&gt;65,("B-"),IF(AD144&gt;60,("C+"),IF(AD144&gt;55,("C"),IF(AD144&gt;50,("C-"),"D+"))))))))</f>
        <v>D+</v>
      </c>
    </row>
    <row r="145" spans="1:31" ht="24.95" customHeight="1" x14ac:dyDescent="0.25">
      <c r="A145" s="1207"/>
      <c r="B145" s="1208"/>
      <c r="C145" s="1212"/>
      <c r="D145" s="1213" t="s">
        <v>155</v>
      </c>
      <c r="E145" s="1672">
        <v>0</v>
      </c>
      <c r="F145" s="1385">
        <v>0</v>
      </c>
      <c r="G145" s="1385">
        <v>0</v>
      </c>
      <c r="H145" s="2025">
        <v>0</v>
      </c>
      <c r="I145" s="2025">
        <v>0</v>
      </c>
      <c r="J145" s="2025">
        <v>0</v>
      </c>
      <c r="K145" s="1672">
        <v>0</v>
      </c>
      <c r="L145" s="1672">
        <v>0</v>
      </c>
      <c r="M145" s="1672">
        <v>0</v>
      </c>
      <c r="N145" s="2025">
        <v>0</v>
      </c>
      <c r="O145" s="2025">
        <v>0</v>
      </c>
      <c r="P145" s="2025">
        <v>0</v>
      </c>
      <c r="Q145" s="1077">
        <f t="shared" ref="Q145:Q146" si="239">MAX(E145,H145,K145,N145)</f>
        <v>0</v>
      </c>
      <c r="R145" s="2126">
        <f t="shared" si="237"/>
        <v>0</v>
      </c>
      <c r="S145" s="2127">
        <f t="shared" si="238"/>
        <v>0</v>
      </c>
      <c r="T145" s="853">
        <f t="shared" ref="T145:T146" si="240">IFERROR(AVERAGE(Q145:S145),"")</f>
        <v>0</v>
      </c>
      <c r="U145" s="1075" t="str">
        <f t="shared" ref="U145:U146" si="241">IF(T145&gt;85,("4"),IF(T145&gt;80,("3.66"),IF(T145&gt;75,("3.33"),IF(T145&gt;70,("3.00"),IF(T145&gt;65,("2.66"),IF(T145&gt;60,("2.33"),IF(T145&gt;55,("2"),IF(T145&gt;50,("1.66"),"1.33"))))))))</f>
        <v>1.33</v>
      </c>
      <c r="V145" s="1075" t="str">
        <f t="shared" ref="V145:V146" si="242">IF(T145&gt;85,("A"),IF(T145&gt;80,("A-"),IF(T145&gt;75,("B+"),IF(T145&gt;70,("B"),IF(T145&gt;65,("B-"),IF(T145&gt;60,("C+"),IF(T145&gt;55,("C"),IF(T145&gt;50,("C-"),"D+"))))))))</f>
        <v>D+</v>
      </c>
      <c r="W145" s="1075" t="str">
        <f t="shared" ref="W145:W146" si="243">IF(T145&gt;80,("SB"),IF(T145&gt;65,("B"),IF(T145&gt;50,("C"),IF(T145&gt;0,("K"),"0"))))</f>
        <v>0</v>
      </c>
      <c r="X145" s="1214"/>
      <c r="Y145" s="1215"/>
      <c r="Z145" s="1215"/>
      <c r="AA145" s="1215"/>
      <c r="AB145" s="1215"/>
      <c r="AC145" s="1215"/>
      <c r="AD145" s="1819"/>
      <c r="AE145" s="1246"/>
    </row>
    <row r="146" spans="1:31" ht="24.95" customHeight="1" x14ac:dyDescent="0.25">
      <c r="A146" s="1207"/>
      <c r="B146" s="1208"/>
      <c r="C146" s="1212"/>
      <c r="D146" s="1213" t="s">
        <v>9</v>
      </c>
      <c r="E146" s="1385"/>
      <c r="F146" s="1385"/>
      <c r="G146" s="1385"/>
      <c r="H146" s="2025">
        <v>0</v>
      </c>
      <c r="I146" s="2025">
        <v>0</v>
      </c>
      <c r="J146" s="2025">
        <v>0</v>
      </c>
      <c r="K146" s="1672">
        <v>0</v>
      </c>
      <c r="L146" s="1672">
        <v>0</v>
      </c>
      <c r="M146" s="1672">
        <v>0</v>
      </c>
      <c r="N146" s="2025"/>
      <c r="O146" s="2025"/>
      <c r="P146" s="2025"/>
      <c r="Q146" s="1077">
        <f t="shared" si="239"/>
        <v>0</v>
      </c>
      <c r="R146" s="2126">
        <f t="shared" si="237"/>
        <v>0</v>
      </c>
      <c r="S146" s="2127">
        <f t="shared" si="238"/>
        <v>0</v>
      </c>
      <c r="T146" s="853">
        <f t="shared" si="240"/>
        <v>0</v>
      </c>
      <c r="U146" s="1075" t="str">
        <f t="shared" si="241"/>
        <v>1.33</v>
      </c>
      <c r="V146" s="1075" t="str">
        <f t="shared" si="242"/>
        <v>D+</v>
      </c>
      <c r="W146" s="1075" t="str">
        <f t="shared" si="243"/>
        <v>0</v>
      </c>
      <c r="X146" s="1216"/>
      <c r="Y146" s="1217"/>
      <c r="Z146" s="1217"/>
      <c r="AA146" s="1217"/>
      <c r="AB146" s="1217"/>
      <c r="AC146" s="1217"/>
      <c r="AD146" s="1820"/>
      <c r="AE146" s="1247"/>
    </row>
    <row r="147" spans="1:31" ht="24.95" customHeight="1" x14ac:dyDescent="0.25">
      <c r="A147" s="1236"/>
      <c r="B147" s="1241"/>
      <c r="C147" s="1220" t="s">
        <v>167</v>
      </c>
      <c r="D147" s="1237"/>
      <c r="E147" s="2687"/>
      <c r="F147" s="2688"/>
      <c r="G147" s="2688"/>
      <c r="H147" s="2688"/>
      <c r="I147" s="2076"/>
      <c r="J147" s="2076"/>
      <c r="K147" s="2076"/>
      <c r="L147" s="2076"/>
      <c r="M147" s="2076"/>
      <c r="N147" s="2076"/>
      <c r="O147" s="2076"/>
      <c r="P147" s="2076"/>
      <c r="Q147" s="2128"/>
      <c r="R147" s="2128"/>
      <c r="S147" s="2128"/>
      <c r="T147" s="732">
        <f>IFERROR(AVERAGE(T144:T146),"  ")</f>
        <v>0</v>
      </c>
      <c r="U147" s="1244" t="str">
        <f>IF(T147&gt;85,("4"),IF(T147&gt;80,("3.66"),IF(T147&gt;75,("3.33"),IF(T147&gt;70,("3.00"),IF(T147&gt;65,("2.66"),IF(T147&gt;60,("2.33"),IF(T147&gt;55,("2"),IF(T147&gt;50,("1.66"),"1.33"))))))))</f>
        <v>1.33</v>
      </c>
      <c r="V147" s="1244" t="str">
        <f>IF(T147&gt;85,("A"),IF(T147&gt;80,("A-"),IF(T147&gt;75,("B+"),IF(T147&gt;70,("B"),IF(T147&gt;65,("B-"),IF(T147&gt;60,("C+"),IF(T147&gt;55,("C"),IF(T147&gt;50,("C-"),"D+"))))))))</f>
        <v>D+</v>
      </c>
      <c r="W147" s="1244"/>
      <c r="X147" s="1221"/>
      <c r="Y147" s="1222"/>
      <c r="Z147" s="1222"/>
      <c r="AA147" s="1222"/>
      <c r="AB147" s="1222"/>
      <c r="AC147" s="1222"/>
      <c r="AD147" s="1821"/>
      <c r="AE147" s="1249"/>
    </row>
    <row r="148" spans="1:31" ht="24.95" customHeight="1" x14ac:dyDescent="0.25">
      <c r="A148" s="1224">
        <v>36</v>
      </c>
      <c r="B148" s="1225"/>
      <c r="C148" s="1209" t="e">
        <f>VLOOKUP(A148,data_siswa,4,FALSE)</f>
        <v>#N/A</v>
      </c>
      <c r="D148" s="1210" t="s">
        <v>154</v>
      </c>
      <c r="E148" s="1672"/>
      <c r="F148" s="1672"/>
      <c r="G148" s="1672"/>
      <c r="H148" s="2025">
        <v>0</v>
      </c>
      <c r="I148" s="2025">
        <v>0</v>
      </c>
      <c r="J148" s="2025">
        <v>0</v>
      </c>
      <c r="K148" s="1672"/>
      <c r="L148" s="1672"/>
      <c r="M148" s="1672"/>
      <c r="N148" s="2025"/>
      <c r="O148" s="2025"/>
      <c r="P148" s="2025"/>
      <c r="Q148" s="1077">
        <f>MAX(E148,H148,K148,N148)</f>
        <v>0</v>
      </c>
      <c r="R148" s="2126">
        <f t="shared" ref="R148:R150" si="244">MAX(F148,I148,L148,O148)</f>
        <v>0</v>
      </c>
      <c r="S148" s="2127">
        <f t="shared" ref="S148:S150" si="245">MAX(G148,J148,M148,P148)</f>
        <v>0</v>
      </c>
      <c r="T148" s="853">
        <f>IFERROR(AVERAGE(Q148:S148),"")</f>
        <v>0</v>
      </c>
      <c r="U148" s="1075" t="str">
        <f>IF(T148&gt;85,("4"),IF(T148&gt;80,("3.66"),IF(T148&gt;75,("3.33"),IF(T148&gt;70,("3.00"),IF(T148&gt;65,("2.66"),IF(T148&gt;60,("2.33"),IF(T148&gt;55,("2"),IF(T148&gt;50,("1.66"),"1.33"))))))))</f>
        <v>1.33</v>
      </c>
      <c r="V148" s="1075" t="str">
        <f>IF(T148&gt;85,("A"),IF(T148&gt;80,("A-"),IF(T148&gt;75,("B+"),IF(T148&gt;70,("B"),IF(T148&gt;65,("B-"),IF(T148&gt;60,("C+"),IF(T148&gt;55,("C"),IF(T148&gt;50,("C-"),"D+"))))))))</f>
        <v>D+</v>
      </c>
      <c r="W148" s="1075" t="str">
        <f>IF(T148&gt;80,("SB"),IF(T148&gt;65,("B"),IF(T148&gt;50,("C"),IF(T148&gt;0,("K"),"0"))))</f>
        <v>0</v>
      </c>
      <c r="X148" s="1816"/>
      <c r="Y148" s="1816"/>
      <c r="Z148" s="1816"/>
      <c r="AA148" s="1817"/>
      <c r="AB148" s="1817"/>
      <c r="AC148" s="1817"/>
      <c r="AD148" s="1818">
        <f>T151</f>
        <v>0</v>
      </c>
      <c r="AE148" s="1245" t="str">
        <f>IF(AD148&gt;85,("A"),IF(AD148&gt;80,("A-"),IF(AD148&gt;75,("B+"),IF(AD148&gt;70,("B"),IF(AD148&gt;65,("B-"),IF(AD148&gt;60,("C+"),IF(AD148&gt;55,("C"),IF(AD148&gt;50,("C-"),"D+"))))))))</f>
        <v>D+</v>
      </c>
    </row>
    <row r="149" spans="1:31" ht="24.95" customHeight="1" x14ac:dyDescent="0.25">
      <c r="A149" s="1207"/>
      <c r="B149" s="1208"/>
      <c r="C149" s="1212"/>
      <c r="D149" s="1213" t="s">
        <v>155</v>
      </c>
      <c r="E149" s="1672">
        <v>0</v>
      </c>
      <c r="F149" s="1385">
        <v>0</v>
      </c>
      <c r="G149" s="1385">
        <v>0</v>
      </c>
      <c r="H149" s="2025">
        <v>0</v>
      </c>
      <c r="I149" s="2025">
        <v>0</v>
      </c>
      <c r="J149" s="2025">
        <v>0</v>
      </c>
      <c r="K149" s="1672">
        <v>0</v>
      </c>
      <c r="L149" s="1672">
        <v>0</v>
      </c>
      <c r="M149" s="1672">
        <v>0</v>
      </c>
      <c r="N149" s="2025">
        <v>0</v>
      </c>
      <c r="O149" s="2025">
        <v>0</v>
      </c>
      <c r="P149" s="2025">
        <v>0</v>
      </c>
      <c r="Q149" s="1077">
        <f t="shared" ref="Q149:Q150" si="246">MAX(E149,H149,K149,N149)</f>
        <v>0</v>
      </c>
      <c r="R149" s="2126">
        <f t="shared" si="244"/>
        <v>0</v>
      </c>
      <c r="S149" s="2127">
        <f t="shared" si="245"/>
        <v>0</v>
      </c>
      <c r="T149" s="853">
        <f t="shared" ref="T149:T150" si="247">IFERROR(AVERAGE(Q149:S149),"")</f>
        <v>0</v>
      </c>
      <c r="U149" s="1075" t="str">
        <f t="shared" ref="U149:U150" si="248">IF(T149&gt;85,("4"),IF(T149&gt;80,("3.66"),IF(T149&gt;75,("3.33"),IF(T149&gt;70,("3.00"),IF(T149&gt;65,("2.66"),IF(T149&gt;60,("2.33"),IF(T149&gt;55,("2"),IF(T149&gt;50,("1.66"),"1.33"))))))))</f>
        <v>1.33</v>
      </c>
      <c r="V149" s="1075" t="str">
        <f t="shared" ref="V149:V150" si="249">IF(T149&gt;85,("A"),IF(T149&gt;80,("A-"),IF(T149&gt;75,("B+"),IF(T149&gt;70,("B"),IF(T149&gt;65,("B-"),IF(T149&gt;60,("C+"),IF(T149&gt;55,("C"),IF(T149&gt;50,("C-"),"D+"))))))))</f>
        <v>D+</v>
      </c>
      <c r="W149" s="1075" t="str">
        <f t="shared" ref="W149:W150" si="250">IF(T149&gt;80,("SB"),IF(T149&gt;65,("B"),IF(T149&gt;50,("C"),IF(T149&gt;0,("K"),"0"))))</f>
        <v>0</v>
      </c>
      <c r="X149" s="1214"/>
      <c r="Y149" s="1215"/>
      <c r="Z149" s="1215"/>
      <c r="AA149" s="1215"/>
      <c r="AB149" s="1215"/>
      <c r="AC149" s="1215"/>
      <c r="AD149" s="1819"/>
      <c r="AE149" s="1246"/>
    </row>
    <row r="150" spans="1:31" ht="24.95" customHeight="1" x14ac:dyDescent="0.25">
      <c r="A150" s="1207"/>
      <c r="B150" s="1208"/>
      <c r="C150" s="1212"/>
      <c r="D150" s="1213" t="s">
        <v>9</v>
      </c>
      <c r="E150" s="1385"/>
      <c r="F150" s="1385"/>
      <c r="G150" s="1385"/>
      <c r="H150" s="2025">
        <v>0</v>
      </c>
      <c r="I150" s="2025">
        <v>0</v>
      </c>
      <c r="J150" s="2025">
        <v>0</v>
      </c>
      <c r="K150" s="1672">
        <v>0</v>
      </c>
      <c r="L150" s="1672">
        <v>0</v>
      </c>
      <c r="M150" s="1672">
        <v>0</v>
      </c>
      <c r="N150" s="2025"/>
      <c r="O150" s="2025"/>
      <c r="P150" s="2025"/>
      <c r="Q150" s="1077">
        <f t="shared" si="246"/>
        <v>0</v>
      </c>
      <c r="R150" s="2126">
        <f t="shared" si="244"/>
        <v>0</v>
      </c>
      <c r="S150" s="2127">
        <f t="shared" si="245"/>
        <v>0</v>
      </c>
      <c r="T150" s="853">
        <f t="shared" si="247"/>
        <v>0</v>
      </c>
      <c r="U150" s="1075" t="str">
        <f t="shared" si="248"/>
        <v>1.33</v>
      </c>
      <c r="V150" s="1075" t="str">
        <f t="shared" si="249"/>
        <v>D+</v>
      </c>
      <c r="W150" s="1075" t="str">
        <f t="shared" si="250"/>
        <v>0</v>
      </c>
      <c r="X150" s="1216"/>
      <c r="Y150" s="1217"/>
      <c r="Z150" s="1217"/>
      <c r="AA150" s="1217"/>
      <c r="AB150" s="1217"/>
      <c r="AC150" s="1217"/>
      <c r="AD150" s="1820"/>
      <c r="AE150" s="1247"/>
    </row>
    <row r="151" spans="1:31" ht="24.95" customHeight="1" x14ac:dyDescent="0.25">
      <c r="A151" s="1236"/>
      <c r="B151" s="1241"/>
      <c r="C151" s="1220" t="s">
        <v>167</v>
      </c>
      <c r="D151" s="1237"/>
      <c r="E151" s="2687"/>
      <c r="F151" s="2688"/>
      <c r="G151" s="2688"/>
      <c r="H151" s="2688"/>
      <c r="I151" s="2076"/>
      <c r="J151" s="2076"/>
      <c r="K151" s="2076"/>
      <c r="L151" s="2076"/>
      <c r="M151" s="2076"/>
      <c r="N151" s="2076"/>
      <c r="O151" s="2076"/>
      <c r="P151" s="2076"/>
      <c r="Q151" s="2128"/>
      <c r="R151" s="2128"/>
      <c r="S151" s="2128"/>
      <c r="T151" s="732">
        <f>IFERROR(AVERAGE(T148:T150),"  ")</f>
        <v>0</v>
      </c>
      <c r="U151" s="1244" t="str">
        <f>IF(T151&gt;85,("4"),IF(T151&gt;80,("3.66"),IF(T151&gt;75,("3.33"),IF(T151&gt;70,("3.00"),IF(T151&gt;65,("2.66"),IF(T151&gt;60,("2.33"),IF(T151&gt;55,("2"),IF(T151&gt;50,("1.66"),"1.33"))))))))</f>
        <v>1.33</v>
      </c>
      <c r="V151" s="1244" t="str">
        <f>IF(T151&gt;85,("A"),IF(T151&gt;80,("A-"),IF(T151&gt;75,("B+"),IF(T151&gt;70,("B"),IF(T151&gt;65,("B-"),IF(T151&gt;60,("C+"),IF(T151&gt;55,("C"),IF(T151&gt;50,("C-"),"D+"))))))))</f>
        <v>D+</v>
      </c>
      <c r="W151" s="1244"/>
      <c r="X151" s="1221"/>
      <c r="Y151" s="1222"/>
      <c r="Z151" s="1222"/>
      <c r="AA151" s="1222"/>
      <c r="AB151" s="1222"/>
      <c r="AC151" s="1222"/>
      <c r="AD151" s="1821"/>
      <c r="AE151" s="1249"/>
    </row>
    <row r="152" spans="1:31" ht="24.95" customHeight="1" x14ac:dyDescent="0.25">
      <c r="A152" s="1224">
        <v>37</v>
      </c>
      <c r="B152" s="1225"/>
      <c r="C152" s="1209" t="e">
        <f>VLOOKUP(A152,data_siswa,4,FALSE)</f>
        <v>#N/A</v>
      </c>
      <c r="D152" s="1210" t="s">
        <v>154</v>
      </c>
      <c r="E152" s="1672"/>
      <c r="F152" s="1672"/>
      <c r="G152" s="1672"/>
      <c r="H152" s="2025">
        <v>0</v>
      </c>
      <c r="I152" s="2025">
        <v>0</v>
      </c>
      <c r="J152" s="2025">
        <v>0</v>
      </c>
      <c r="K152" s="1672"/>
      <c r="L152" s="1672"/>
      <c r="M152" s="1672"/>
      <c r="N152" s="2025"/>
      <c r="O152" s="2025"/>
      <c r="P152" s="2025"/>
      <c r="Q152" s="1077">
        <f>MAX(E152,H152,K152,N152)</f>
        <v>0</v>
      </c>
      <c r="R152" s="2126">
        <f t="shared" ref="R152:R154" si="251">MAX(F152,I152,L152,O152)</f>
        <v>0</v>
      </c>
      <c r="S152" s="2127">
        <f t="shared" ref="S152:S154" si="252">MAX(G152,J152,M152,P152)</f>
        <v>0</v>
      </c>
      <c r="T152" s="853">
        <f>IFERROR(AVERAGE(Q152:S152),"")</f>
        <v>0</v>
      </c>
      <c r="U152" s="1075" t="str">
        <f>IF(T152&gt;85,("4"),IF(T152&gt;80,("3.66"),IF(T152&gt;75,("3.33"),IF(T152&gt;70,("3.00"),IF(T152&gt;65,("2.66"),IF(T152&gt;60,("2.33"),IF(T152&gt;55,("2"),IF(T152&gt;50,("1.66"),"1.33"))))))))</f>
        <v>1.33</v>
      </c>
      <c r="V152" s="1075" t="str">
        <f>IF(T152&gt;85,("A"),IF(T152&gt;80,("A-"),IF(T152&gt;75,("B+"),IF(T152&gt;70,("B"),IF(T152&gt;65,("B-"),IF(T152&gt;60,("C+"),IF(T152&gt;55,("C"),IF(T152&gt;50,("C-"),"D+"))))))))</f>
        <v>D+</v>
      </c>
      <c r="W152" s="1075" t="str">
        <f>IF(T152&gt;80,("SB"),IF(T152&gt;65,("B"),IF(T152&gt;50,("C"),IF(T152&gt;0,("K"),"0"))))</f>
        <v>0</v>
      </c>
      <c r="X152" s="1816"/>
      <c r="Y152" s="1816"/>
      <c r="Z152" s="1816"/>
      <c r="AA152" s="1817"/>
      <c r="AB152" s="1817"/>
      <c r="AC152" s="1817"/>
      <c r="AD152" s="1818">
        <f>T155</f>
        <v>0</v>
      </c>
      <c r="AE152" s="1245" t="str">
        <f>IF(AD152&gt;85,("A"),IF(AD152&gt;80,("A-"),IF(AD152&gt;75,("B+"),IF(AD152&gt;70,("B"),IF(AD152&gt;65,("B-"),IF(AD152&gt;60,("C+"),IF(AD152&gt;55,("C"),IF(AD152&gt;50,("C-"),"D+"))))))))</f>
        <v>D+</v>
      </c>
    </row>
    <row r="153" spans="1:31" ht="24.95" customHeight="1" x14ac:dyDescent="0.25">
      <c r="A153" s="1207"/>
      <c r="B153" s="1208"/>
      <c r="C153" s="1212"/>
      <c r="D153" s="1213" t="s">
        <v>155</v>
      </c>
      <c r="E153" s="1672">
        <v>0</v>
      </c>
      <c r="F153" s="1385">
        <v>0</v>
      </c>
      <c r="G153" s="1385">
        <v>0</v>
      </c>
      <c r="H153" s="2025">
        <v>0</v>
      </c>
      <c r="I153" s="2025">
        <v>0</v>
      </c>
      <c r="J153" s="2025">
        <v>0</v>
      </c>
      <c r="K153" s="1672">
        <v>0</v>
      </c>
      <c r="L153" s="1672">
        <v>0</v>
      </c>
      <c r="M153" s="1672">
        <v>0</v>
      </c>
      <c r="N153" s="2025">
        <v>0</v>
      </c>
      <c r="O153" s="2025">
        <v>0</v>
      </c>
      <c r="P153" s="2025">
        <v>0</v>
      </c>
      <c r="Q153" s="1077">
        <f t="shared" ref="Q153:Q154" si="253">MAX(E153,H153,K153,N153)</f>
        <v>0</v>
      </c>
      <c r="R153" s="2126">
        <f t="shared" si="251"/>
        <v>0</v>
      </c>
      <c r="S153" s="2127">
        <f t="shared" si="252"/>
        <v>0</v>
      </c>
      <c r="T153" s="853">
        <f t="shared" ref="T153:T154" si="254">IFERROR(AVERAGE(Q153:S153),"")</f>
        <v>0</v>
      </c>
      <c r="U153" s="1075" t="str">
        <f t="shared" ref="U153:U154" si="255">IF(T153&gt;85,("4"),IF(T153&gt;80,("3.66"),IF(T153&gt;75,("3.33"),IF(T153&gt;70,("3.00"),IF(T153&gt;65,("2.66"),IF(T153&gt;60,("2.33"),IF(T153&gt;55,("2"),IF(T153&gt;50,("1.66"),"1.33"))))))))</f>
        <v>1.33</v>
      </c>
      <c r="V153" s="1075" t="str">
        <f t="shared" ref="V153:V154" si="256">IF(T153&gt;85,("A"),IF(T153&gt;80,("A-"),IF(T153&gt;75,("B+"),IF(T153&gt;70,("B"),IF(T153&gt;65,("B-"),IF(T153&gt;60,("C+"),IF(T153&gt;55,("C"),IF(T153&gt;50,("C-"),"D+"))))))))</f>
        <v>D+</v>
      </c>
      <c r="W153" s="1075" t="str">
        <f t="shared" ref="W153:W154" si="257">IF(T153&gt;80,("SB"),IF(T153&gt;65,("B"),IF(T153&gt;50,("C"),IF(T153&gt;0,("K"),"0"))))</f>
        <v>0</v>
      </c>
      <c r="X153" s="1214"/>
      <c r="Y153" s="1215"/>
      <c r="Z153" s="1215"/>
      <c r="AA153" s="1215"/>
      <c r="AB153" s="1215"/>
      <c r="AC153" s="1215"/>
      <c r="AD153" s="1819"/>
      <c r="AE153" s="1246"/>
    </row>
    <row r="154" spans="1:31" ht="24.95" customHeight="1" x14ac:dyDescent="0.25">
      <c r="A154" s="1207"/>
      <c r="B154" s="1208"/>
      <c r="C154" s="1212"/>
      <c r="D154" s="1213" t="s">
        <v>9</v>
      </c>
      <c r="E154" s="1385"/>
      <c r="F154" s="1385"/>
      <c r="G154" s="1385"/>
      <c r="H154" s="2025">
        <v>0</v>
      </c>
      <c r="I154" s="2025">
        <v>0</v>
      </c>
      <c r="J154" s="2025">
        <v>0</v>
      </c>
      <c r="K154" s="1672">
        <v>0</v>
      </c>
      <c r="L154" s="1672">
        <v>0</v>
      </c>
      <c r="M154" s="1672">
        <v>0</v>
      </c>
      <c r="N154" s="2025"/>
      <c r="O154" s="2025"/>
      <c r="P154" s="2025"/>
      <c r="Q154" s="1077">
        <f t="shared" si="253"/>
        <v>0</v>
      </c>
      <c r="R154" s="2126">
        <f t="shared" si="251"/>
        <v>0</v>
      </c>
      <c r="S154" s="2127">
        <f t="shared" si="252"/>
        <v>0</v>
      </c>
      <c r="T154" s="853">
        <f t="shared" si="254"/>
        <v>0</v>
      </c>
      <c r="U154" s="1075" t="str">
        <f t="shared" si="255"/>
        <v>1.33</v>
      </c>
      <c r="V154" s="1075" t="str">
        <f t="shared" si="256"/>
        <v>D+</v>
      </c>
      <c r="W154" s="1075" t="str">
        <f t="shared" si="257"/>
        <v>0</v>
      </c>
      <c r="X154" s="1216"/>
      <c r="Y154" s="1217"/>
      <c r="Z154" s="1217"/>
      <c r="AA154" s="1217"/>
      <c r="AB154" s="1217"/>
      <c r="AC154" s="1217"/>
      <c r="AD154" s="1820"/>
      <c r="AE154" s="1247"/>
    </row>
    <row r="155" spans="1:31" ht="24.95" customHeight="1" x14ac:dyDescent="0.25">
      <c r="A155" s="1236"/>
      <c r="B155" s="1241"/>
      <c r="C155" s="1243"/>
      <c r="D155" s="1237"/>
      <c r="E155" s="2687"/>
      <c r="F155" s="2688"/>
      <c r="G155" s="2688"/>
      <c r="H155" s="2688"/>
      <c r="I155" s="2076"/>
      <c r="J155" s="2076"/>
      <c r="K155" s="2076"/>
      <c r="L155" s="2076"/>
      <c r="M155" s="2076"/>
      <c r="N155" s="2076"/>
      <c r="O155" s="2076"/>
      <c r="P155" s="2076"/>
      <c r="Q155" s="2128"/>
      <c r="R155" s="2128"/>
      <c r="S155" s="2128"/>
      <c r="T155" s="732">
        <f>IFERROR(AVERAGE(T152:T154),"  ")</f>
        <v>0</v>
      </c>
      <c r="U155" s="1244" t="str">
        <f>IF(T155&gt;85,("4"),IF(T155&gt;80,("3.66"),IF(T155&gt;75,("3.33"),IF(T155&gt;70,("3.00"),IF(T155&gt;65,("2.66"),IF(T155&gt;60,("2.33"),IF(T155&gt;55,("2"),IF(T155&gt;50,("1.66"),"1.33"))))))))</f>
        <v>1.33</v>
      </c>
      <c r="V155" s="1244" t="str">
        <f>IF(T155&gt;85,("A"),IF(T155&gt;80,("A-"),IF(T155&gt;75,("B+"),IF(T155&gt;70,("B"),IF(T155&gt;65,("B-"),IF(T155&gt;60,("C+"),IF(T155&gt;55,("C"),IF(T155&gt;50,("C-"),"D+"))))))))</f>
        <v>D+</v>
      </c>
      <c r="W155" s="1244"/>
      <c r="X155" s="1221"/>
      <c r="Y155" s="1222"/>
      <c r="Z155" s="1222"/>
      <c r="AA155" s="1222"/>
      <c r="AB155" s="1222"/>
      <c r="AC155" s="1222"/>
      <c r="AD155" s="1821"/>
      <c r="AE155" s="1249"/>
    </row>
    <row r="156" spans="1:31" ht="24.95" customHeight="1" x14ac:dyDescent="0.25">
      <c r="A156" s="1224">
        <v>38</v>
      </c>
      <c r="B156" s="1225"/>
      <c r="C156" s="1209" t="e">
        <f>VLOOKUP(A156,data_siswa,4,FALSE)</f>
        <v>#N/A</v>
      </c>
      <c r="D156" s="1210" t="s">
        <v>154</v>
      </c>
      <c r="E156" s="1672"/>
      <c r="F156" s="1672"/>
      <c r="G156" s="1672"/>
      <c r="H156" s="2025">
        <v>0</v>
      </c>
      <c r="I156" s="2025">
        <v>0</v>
      </c>
      <c r="J156" s="2025">
        <v>0</v>
      </c>
      <c r="K156" s="1672"/>
      <c r="L156" s="1672"/>
      <c r="M156" s="1672"/>
      <c r="N156" s="2025"/>
      <c r="O156" s="2025"/>
      <c r="P156" s="2025"/>
      <c r="Q156" s="1077">
        <f>MAX(E156,H156,K156,N156)</f>
        <v>0</v>
      </c>
      <c r="R156" s="2126">
        <f t="shared" ref="R156:R158" si="258">MAX(F156,I156,L156,O156)</f>
        <v>0</v>
      </c>
      <c r="S156" s="2127">
        <f t="shared" ref="S156:S158" si="259">MAX(G156,J156,M156,P156)</f>
        <v>0</v>
      </c>
      <c r="T156" s="853">
        <f>IFERROR(AVERAGE(Q156:S156),"")</f>
        <v>0</v>
      </c>
      <c r="U156" s="1075" t="str">
        <f>IF(T156&gt;85,("4"),IF(T156&gt;80,("3.66"),IF(T156&gt;75,("3.33"),IF(T156&gt;70,("3.00"),IF(T156&gt;65,("2.66"),IF(T156&gt;60,("2.33"),IF(T156&gt;55,("2"),IF(T156&gt;50,("1.66"),"1.33"))))))))</f>
        <v>1.33</v>
      </c>
      <c r="V156" s="1075" t="str">
        <f>IF(T156&gt;85,("A"),IF(T156&gt;80,("A-"),IF(T156&gt;75,("B+"),IF(T156&gt;70,("B"),IF(T156&gt;65,("B-"),IF(T156&gt;60,("C+"),IF(T156&gt;55,("C"),IF(T156&gt;50,("C-"),"D+"))))))))</f>
        <v>D+</v>
      </c>
      <c r="W156" s="1075" t="str">
        <f>IF(T156&gt;80,("SB"),IF(T156&gt;65,("B"),IF(T156&gt;50,("C"),IF(T156&gt;0,("K"),"0"))))</f>
        <v>0</v>
      </c>
      <c r="X156" s="1816"/>
      <c r="Y156" s="1816"/>
      <c r="Z156" s="1816"/>
      <c r="AA156" s="1817"/>
      <c r="AB156" s="1817"/>
      <c r="AC156" s="1817"/>
      <c r="AD156" s="1818">
        <f>T159</f>
        <v>0</v>
      </c>
      <c r="AE156" s="1245" t="str">
        <f>IF(AD156&gt;85,("A"),IF(AD156&gt;80,("A-"),IF(AD156&gt;75,("B+"),IF(AD156&gt;70,("B"),IF(AD156&gt;65,("B-"),IF(AD156&gt;60,("C+"),IF(AD156&gt;55,("C"),IF(AD156&gt;50,("C-"),"D+"))))))))</f>
        <v>D+</v>
      </c>
    </row>
    <row r="157" spans="1:31" ht="24.95" customHeight="1" x14ac:dyDescent="0.25">
      <c r="A157" s="1207"/>
      <c r="B157" s="1208"/>
      <c r="C157" s="1212"/>
      <c r="D157" s="1213" t="s">
        <v>155</v>
      </c>
      <c r="E157" s="1672">
        <v>0</v>
      </c>
      <c r="F157" s="1385">
        <v>0</v>
      </c>
      <c r="G157" s="1385">
        <v>0</v>
      </c>
      <c r="H157" s="2025">
        <v>0</v>
      </c>
      <c r="I157" s="2025">
        <v>0</v>
      </c>
      <c r="J157" s="2025">
        <v>0</v>
      </c>
      <c r="K157" s="1672">
        <v>0</v>
      </c>
      <c r="L157" s="1672">
        <v>0</v>
      </c>
      <c r="M157" s="1672">
        <v>0</v>
      </c>
      <c r="N157" s="2025">
        <v>0</v>
      </c>
      <c r="O157" s="2025">
        <v>0</v>
      </c>
      <c r="P157" s="2025">
        <v>0</v>
      </c>
      <c r="Q157" s="1077">
        <f t="shared" ref="Q157:Q158" si="260">MAX(E157,H157,K157,N157)</f>
        <v>0</v>
      </c>
      <c r="R157" s="2126">
        <f t="shared" si="258"/>
        <v>0</v>
      </c>
      <c r="S157" s="2127">
        <f t="shared" si="259"/>
        <v>0</v>
      </c>
      <c r="T157" s="853">
        <f t="shared" ref="T157:T158" si="261">IFERROR(AVERAGE(Q157:S157),"")</f>
        <v>0</v>
      </c>
      <c r="U157" s="1075" t="str">
        <f t="shared" ref="U157:U158" si="262">IF(T157&gt;85,("4"),IF(T157&gt;80,("3.66"),IF(T157&gt;75,("3.33"),IF(T157&gt;70,("3.00"),IF(T157&gt;65,("2.66"),IF(T157&gt;60,("2.33"),IF(T157&gt;55,("2"),IF(T157&gt;50,("1.66"),"1.33"))))))))</f>
        <v>1.33</v>
      </c>
      <c r="V157" s="1075" t="str">
        <f t="shared" ref="V157:V158" si="263">IF(T157&gt;85,("A"),IF(T157&gt;80,("A-"),IF(T157&gt;75,("B+"),IF(T157&gt;70,("B"),IF(T157&gt;65,("B-"),IF(T157&gt;60,("C+"),IF(T157&gt;55,("C"),IF(T157&gt;50,("C-"),"D+"))))))))</f>
        <v>D+</v>
      </c>
      <c r="W157" s="1075" t="str">
        <f t="shared" ref="W157:W158" si="264">IF(T157&gt;80,("SB"),IF(T157&gt;65,("B"),IF(T157&gt;50,("C"),IF(T157&gt;0,("K"),"0"))))</f>
        <v>0</v>
      </c>
      <c r="X157" s="1214"/>
      <c r="Y157" s="1215"/>
      <c r="Z157" s="1215"/>
      <c r="AA157" s="1215"/>
      <c r="AB157" s="1215"/>
      <c r="AC157" s="1215"/>
      <c r="AD157" s="1819"/>
      <c r="AE157" s="1246"/>
    </row>
    <row r="158" spans="1:31" ht="24.95" customHeight="1" x14ac:dyDescent="0.25">
      <c r="A158" s="1207"/>
      <c r="B158" s="1208"/>
      <c r="C158" s="1212"/>
      <c r="D158" s="1213" t="s">
        <v>9</v>
      </c>
      <c r="E158" s="1385"/>
      <c r="F158" s="1385"/>
      <c r="G158" s="1385"/>
      <c r="H158" s="2025">
        <v>0</v>
      </c>
      <c r="I158" s="2025">
        <v>0</v>
      </c>
      <c r="J158" s="2025">
        <v>0</v>
      </c>
      <c r="K158" s="1672">
        <v>0</v>
      </c>
      <c r="L158" s="1672">
        <v>0</v>
      </c>
      <c r="M158" s="1672">
        <v>0</v>
      </c>
      <c r="N158" s="2025"/>
      <c r="O158" s="2025"/>
      <c r="P158" s="2025"/>
      <c r="Q158" s="1077">
        <f t="shared" si="260"/>
        <v>0</v>
      </c>
      <c r="R158" s="2126">
        <f t="shared" si="258"/>
        <v>0</v>
      </c>
      <c r="S158" s="2127">
        <f t="shared" si="259"/>
        <v>0</v>
      </c>
      <c r="T158" s="853">
        <f t="shared" si="261"/>
        <v>0</v>
      </c>
      <c r="U158" s="1075" t="str">
        <f t="shared" si="262"/>
        <v>1.33</v>
      </c>
      <c r="V158" s="1075" t="str">
        <f t="shared" si="263"/>
        <v>D+</v>
      </c>
      <c r="W158" s="1075" t="str">
        <f t="shared" si="264"/>
        <v>0</v>
      </c>
      <c r="X158" s="1216"/>
      <c r="Y158" s="1217"/>
      <c r="Z158" s="1217"/>
      <c r="AA158" s="1217"/>
      <c r="AB158" s="1217"/>
      <c r="AC158" s="1217"/>
      <c r="AD158" s="1820"/>
      <c r="AE158" s="1247"/>
    </row>
    <row r="159" spans="1:31" ht="24.95" customHeight="1" x14ac:dyDescent="0.25">
      <c r="A159" s="1236"/>
      <c r="B159" s="1241"/>
      <c r="C159" s="1220" t="s">
        <v>167</v>
      </c>
      <c r="D159" s="1237"/>
      <c r="E159" s="2687"/>
      <c r="F159" s="2688"/>
      <c r="G159" s="2688"/>
      <c r="H159" s="2688"/>
      <c r="I159" s="2076"/>
      <c r="J159" s="2076"/>
      <c r="K159" s="2076"/>
      <c r="L159" s="2076"/>
      <c r="M159" s="2076"/>
      <c r="N159" s="2076"/>
      <c r="O159" s="2076"/>
      <c r="P159" s="2076"/>
      <c r="Q159" s="2128"/>
      <c r="R159" s="2128"/>
      <c r="S159" s="2128"/>
      <c r="T159" s="732">
        <f>IFERROR(AVERAGE(T156:T158),"  ")</f>
        <v>0</v>
      </c>
      <c r="U159" s="1244" t="str">
        <f>IF(T159&gt;85,("4"),IF(T159&gt;80,("3.66"),IF(T159&gt;75,("3.33"),IF(T159&gt;70,("3.00"),IF(T159&gt;65,("2.66"),IF(T159&gt;60,("2.33"),IF(T159&gt;55,("2"),IF(T159&gt;50,("1.66"),"1.33"))))))))</f>
        <v>1.33</v>
      </c>
      <c r="V159" s="1244" t="str">
        <f>IF(T159&gt;85,("A"),IF(T159&gt;80,("A-"),IF(T159&gt;75,("B+"),IF(T159&gt;70,("B"),IF(T159&gt;65,("B-"),IF(T159&gt;60,("C+"),IF(T159&gt;55,("C"),IF(T159&gt;50,("C-"),"D+"))))))))</f>
        <v>D+</v>
      </c>
      <c r="W159" s="1244"/>
      <c r="X159" s="1221"/>
      <c r="Y159" s="1222"/>
      <c r="Z159" s="1222"/>
      <c r="AA159" s="1222"/>
      <c r="AB159" s="1222"/>
      <c r="AC159" s="1222"/>
      <c r="AD159" s="1821"/>
      <c r="AE159" s="1249"/>
    </row>
    <row r="160" spans="1:31" ht="24.95" customHeight="1" x14ac:dyDescent="0.25">
      <c r="A160" s="1224">
        <v>39</v>
      </c>
      <c r="B160" s="1225"/>
      <c r="C160" s="1209" t="e">
        <f>VLOOKUP(A160,data_siswa,4,FALSE)</f>
        <v>#N/A</v>
      </c>
      <c r="D160" s="1210" t="s">
        <v>154</v>
      </c>
      <c r="E160" s="1672"/>
      <c r="F160" s="1672"/>
      <c r="G160" s="1672"/>
      <c r="H160" s="2025">
        <v>0</v>
      </c>
      <c r="I160" s="2025">
        <v>0</v>
      </c>
      <c r="J160" s="2025">
        <v>0</v>
      </c>
      <c r="K160" s="1672"/>
      <c r="L160" s="1672"/>
      <c r="M160" s="1672"/>
      <c r="N160" s="2025"/>
      <c r="O160" s="2025"/>
      <c r="P160" s="2025"/>
      <c r="Q160" s="1077">
        <f>MAX(E160,H160,K160,N160)</f>
        <v>0</v>
      </c>
      <c r="R160" s="2126">
        <f t="shared" ref="R160:R162" si="265">MAX(F160,I160,L160,O160)</f>
        <v>0</v>
      </c>
      <c r="S160" s="2127">
        <f t="shared" ref="S160:S162" si="266">MAX(G160,J160,M160,P160)</f>
        <v>0</v>
      </c>
      <c r="T160" s="853">
        <f>IFERROR(AVERAGE(Q160:S160),"")</f>
        <v>0</v>
      </c>
      <c r="U160" s="1075" t="str">
        <f>IF(T160&gt;85,("4"),IF(T160&gt;80,("3.66"),IF(T160&gt;75,("3.33"),IF(T160&gt;70,("3.00"),IF(T160&gt;65,("2.66"),IF(T160&gt;60,("2.33"),IF(T160&gt;55,("2"),IF(T160&gt;50,("1.66"),"1.33"))))))))</f>
        <v>1.33</v>
      </c>
      <c r="V160" s="1075" t="str">
        <f>IF(T160&gt;85,("A"),IF(T160&gt;80,("A-"),IF(T160&gt;75,("B+"),IF(T160&gt;70,("B"),IF(T160&gt;65,("B-"),IF(T160&gt;60,("C+"),IF(T160&gt;55,("C"),IF(T160&gt;50,("C-"),"D+"))))))))</f>
        <v>D+</v>
      </c>
      <c r="W160" s="1075" t="str">
        <f>IF(T160&gt;80,("SB"),IF(T160&gt;65,("B"),IF(T160&gt;50,("C"),IF(T160&gt;0,("K"),"0"))))</f>
        <v>0</v>
      </c>
      <c r="X160" s="1816"/>
      <c r="Y160" s="1816"/>
      <c r="Z160" s="1816"/>
      <c r="AA160" s="1817"/>
      <c r="AB160" s="1817"/>
      <c r="AC160" s="1817"/>
      <c r="AD160" s="1818">
        <f>T163</f>
        <v>0</v>
      </c>
      <c r="AE160" s="1245" t="str">
        <f>IF(AD160&gt;85,("A"),IF(AD160&gt;80,("A-"),IF(AD160&gt;75,("B+"),IF(AD160&gt;70,("B"),IF(AD160&gt;65,("B-"),IF(AD160&gt;60,("C+"),IF(AD160&gt;55,("C"),IF(AD160&gt;50,("C-"),"D+"))))))))</f>
        <v>D+</v>
      </c>
    </row>
    <row r="161" spans="1:31" ht="24.95" customHeight="1" x14ac:dyDescent="0.25">
      <c r="A161" s="1207"/>
      <c r="B161" s="1208"/>
      <c r="C161" s="1212"/>
      <c r="D161" s="1213" t="s">
        <v>155</v>
      </c>
      <c r="E161" s="1672">
        <v>0</v>
      </c>
      <c r="F161" s="1385">
        <v>0</v>
      </c>
      <c r="G161" s="1385">
        <v>0</v>
      </c>
      <c r="H161" s="2025">
        <v>0</v>
      </c>
      <c r="I161" s="2025">
        <v>0</v>
      </c>
      <c r="J161" s="2025">
        <v>0</v>
      </c>
      <c r="K161" s="1672">
        <v>0</v>
      </c>
      <c r="L161" s="1672">
        <v>0</v>
      </c>
      <c r="M161" s="1672">
        <v>0</v>
      </c>
      <c r="N161" s="2025">
        <v>0</v>
      </c>
      <c r="O161" s="2025">
        <v>0</v>
      </c>
      <c r="P161" s="2025">
        <v>0</v>
      </c>
      <c r="Q161" s="1077">
        <f t="shared" ref="Q161:Q162" si="267">MAX(E161,H161,K161,N161)</f>
        <v>0</v>
      </c>
      <c r="R161" s="2126">
        <f t="shared" si="265"/>
        <v>0</v>
      </c>
      <c r="S161" s="2127">
        <f t="shared" si="266"/>
        <v>0</v>
      </c>
      <c r="T161" s="853">
        <f t="shared" ref="T161:T162" si="268">IFERROR(AVERAGE(Q161:S161),"")</f>
        <v>0</v>
      </c>
      <c r="U161" s="1075" t="str">
        <f t="shared" ref="U161:U162" si="269">IF(T161&gt;85,("4"),IF(T161&gt;80,("3.66"),IF(T161&gt;75,("3.33"),IF(T161&gt;70,("3.00"),IF(T161&gt;65,("2.66"),IF(T161&gt;60,("2.33"),IF(T161&gt;55,("2"),IF(T161&gt;50,("1.66"),"1.33"))))))))</f>
        <v>1.33</v>
      </c>
      <c r="V161" s="1075" t="str">
        <f t="shared" ref="V161:V162" si="270">IF(T161&gt;85,("A"),IF(T161&gt;80,("A-"),IF(T161&gt;75,("B+"),IF(T161&gt;70,("B"),IF(T161&gt;65,("B-"),IF(T161&gt;60,("C+"),IF(T161&gt;55,("C"),IF(T161&gt;50,("C-"),"D+"))))))))</f>
        <v>D+</v>
      </c>
      <c r="W161" s="1075" t="str">
        <f t="shared" ref="W161:W162" si="271">IF(T161&gt;80,("SB"),IF(T161&gt;65,("B"),IF(T161&gt;50,("C"),IF(T161&gt;0,("K"),"0"))))</f>
        <v>0</v>
      </c>
      <c r="X161" s="1214"/>
      <c r="Y161" s="1215"/>
      <c r="Z161" s="1215"/>
      <c r="AA161" s="1215"/>
      <c r="AB161" s="1215"/>
      <c r="AC161" s="1215"/>
      <c r="AD161" s="1819"/>
      <c r="AE161" s="1246"/>
    </row>
    <row r="162" spans="1:31" ht="24.95" customHeight="1" x14ac:dyDescent="0.25">
      <c r="A162" s="1207"/>
      <c r="B162" s="1208"/>
      <c r="C162" s="1212"/>
      <c r="D162" s="1213" t="s">
        <v>9</v>
      </c>
      <c r="E162" s="1385"/>
      <c r="F162" s="1385"/>
      <c r="G162" s="1385"/>
      <c r="H162" s="2025">
        <v>0</v>
      </c>
      <c r="I162" s="2025">
        <v>0</v>
      </c>
      <c r="J162" s="2025">
        <v>0</v>
      </c>
      <c r="K162" s="1672">
        <v>0</v>
      </c>
      <c r="L162" s="1672">
        <v>0</v>
      </c>
      <c r="M162" s="1672">
        <v>0</v>
      </c>
      <c r="N162" s="2025"/>
      <c r="O162" s="2025"/>
      <c r="P162" s="2025"/>
      <c r="Q162" s="1077">
        <f t="shared" si="267"/>
        <v>0</v>
      </c>
      <c r="R162" s="2126">
        <f t="shared" si="265"/>
        <v>0</v>
      </c>
      <c r="S162" s="2127">
        <f t="shared" si="266"/>
        <v>0</v>
      </c>
      <c r="T162" s="853">
        <f t="shared" si="268"/>
        <v>0</v>
      </c>
      <c r="U162" s="1075" t="str">
        <f t="shared" si="269"/>
        <v>1.33</v>
      </c>
      <c r="V162" s="1075" t="str">
        <f t="shared" si="270"/>
        <v>D+</v>
      </c>
      <c r="W162" s="1075" t="str">
        <f t="shared" si="271"/>
        <v>0</v>
      </c>
      <c r="X162" s="1216"/>
      <c r="Y162" s="1217"/>
      <c r="Z162" s="1217"/>
      <c r="AA162" s="1217"/>
      <c r="AB162" s="1217"/>
      <c r="AC162" s="1217"/>
      <c r="AD162" s="1820"/>
      <c r="AE162" s="1247"/>
    </row>
    <row r="163" spans="1:31" ht="24.95" customHeight="1" x14ac:dyDescent="0.25">
      <c r="A163" s="1236"/>
      <c r="B163" s="1241"/>
      <c r="C163" s="1220" t="s">
        <v>167</v>
      </c>
      <c r="D163" s="1237"/>
      <c r="E163" s="2687"/>
      <c r="F163" s="2688"/>
      <c r="G163" s="2688"/>
      <c r="H163" s="2688"/>
      <c r="I163" s="2076"/>
      <c r="J163" s="2076"/>
      <c r="K163" s="2076"/>
      <c r="L163" s="2076"/>
      <c r="M163" s="2076"/>
      <c r="N163" s="2076"/>
      <c r="O163" s="2076"/>
      <c r="P163" s="2076"/>
      <c r="Q163" s="2128"/>
      <c r="R163" s="2128"/>
      <c r="S163" s="2128"/>
      <c r="T163" s="732">
        <f>IFERROR(AVERAGE(T160:T162),"  ")</f>
        <v>0</v>
      </c>
      <c r="U163" s="1244" t="str">
        <f>IF(T163&gt;85,("4"),IF(T163&gt;80,("3.66"),IF(T163&gt;75,("3.33"),IF(T163&gt;70,("3.00"),IF(T163&gt;65,("2.66"),IF(T163&gt;60,("2.33"),IF(T163&gt;55,("2"),IF(T163&gt;50,("1.66"),"1.33"))))))))</f>
        <v>1.33</v>
      </c>
      <c r="V163" s="1244" t="str">
        <f>IF(T163&gt;85,("A"),IF(T163&gt;80,("A-"),IF(T163&gt;75,("B+"),IF(T163&gt;70,("B"),IF(T163&gt;65,("B-"),IF(T163&gt;60,("C+"),IF(T163&gt;55,("C"),IF(T163&gt;50,("C-"),"D+"))))))))</f>
        <v>D+</v>
      </c>
      <c r="W163" s="1244"/>
      <c r="X163" s="1221"/>
      <c r="Y163" s="1222"/>
      <c r="Z163" s="1222"/>
      <c r="AA163" s="1222"/>
      <c r="AB163" s="1222"/>
      <c r="AC163" s="1222"/>
      <c r="AD163" s="1821"/>
      <c r="AE163" s="1249"/>
    </row>
    <row r="164" spans="1:31" ht="24.95" customHeight="1" x14ac:dyDescent="0.25">
      <c r="A164" s="1224">
        <v>40</v>
      </c>
      <c r="B164" s="1225"/>
      <c r="C164" s="1209" t="e">
        <f>VLOOKUP(A164,data_siswa,4,FALSE)</f>
        <v>#N/A</v>
      </c>
      <c r="D164" s="1210" t="s">
        <v>154</v>
      </c>
      <c r="E164" s="1672"/>
      <c r="F164" s="1672"/>
      <c r="G164" s="1672"/>
      <c r="H164" s="2025">
        <v>0</v>
      </c>
      <c r="I164" s="2025">
        <v>0</v>
      </c>
      <c r="J164" s="2025">
        <v>0</v>
      </c>
      <c r="K164" s="1672"/>
      <c r="L164" s="1672"/>
      <c r="M164" s="1672"/>
      <c r="N164" s="2025"/>
      <c r="O164" s="2025"/>
      <c r="P164" s="2025"/>
      <c r="Q164" s="1077">
        <f>MAX(E164,H164,K164,N164)</f>
        <v>0</v>
      </c>
      <c r="R164" s="2126">
        <f t="shared" ref="R164:R166" si="272">MAX(F164,I164,L164,O164)</f>
        <v>0</v>
      </c>
      <c r="S164" s="2127">
        <f t="shared" ref="S164:S166" si="273">MAX(G164,J164,M164,P164)</f>
        <v>0</v>
      </c>
      <c r="T164" s="853">
        <f>IFERROR(AVERAGE(Q164:S164),"")</f>
        <v>0</v>
      </c>
      <c r="U164" s="1075" t="str">
        <f>IF(T164&gt;85,("4"),IF(T164&gt;80,("3.66"),IF(T164&gt;75,("3.33"),IF(T164&gt;70,("3.00"),IF(T164&gt;65,("2.66"),IF(T164&gt;60,("2.33"),IF(T164&gt;55,("2"),IF(T164&gt;50,("1.66"),"1.33"))))))))</f>
        <v>1.33</v>
      </c>
      <c r="V164" s="1075" t="str">
        <f>IF(T164&gt;85,("A"),IF(T164&gt;80,("A-"),IF(T164&gt;75,("B+"),IF(T164&gt;70,("B"),IF(T164&gt;65,("B-"),IF(T164&gt;60,("C+"),IF(T164&gt;55,("C"),IF(T164&gt;50,("C-"),"D+"))))))))</f>
        <v>D+</v>
      </c>
      <c r="W164" s="1075" t="str">
        <f>IF(T164&gt;80,("SB"),IF(T164&gt;65,("B"),IF(T164&gt;50,("C"),IF(T164&gt;0,("K"),"0"))))</f>
        <v>0</v>
      </c>
      <c r="X164" s="1816"/>
      <c r="Y164" s="1816"/>
      <c r="Z164" s="1816"/>
      <c r="AA164" s="1817"/>
      <c r="AB164" s="1817"/>
      <c r="AC164" s="1817"/>
      <c r="AD164" s="1818">
        <f>T167</f>
        <v>0</v>
      </c>
      <c r="AE164" s="1245" t="str">
        <f>IF(AD164&gt;85,("A"),IF(AD164&gt;80,("A-"),IF(AD164&gt;75,("B+"),IF(AD164&gt;70,("B"),IF(AD164&gt;65,("B-"),IF(AD164&gt;60,("C+"),IF(AD164&gt;55,("C"),IF(AD164&gt;50,("C-"),"D+"))))))))</f>
        <v>D+</v>
      </c>
    </row>
    <row r="165" spans="1:31" ht="24.95" customHeight="1" x14ac:dyDescent="0.25">
      <c r="A165" s="1207"/>
      <c r="B165" s="1208"/>
      <c r="C165" s="1212"/>
      <c r="D165" s="1213" t="s">
        <v>155</v>
      </c>
      <c r="E165" s="1672">
        <v>0</v>
      </c>
      <c r="F165" s="1385">
        <v>0</v>
      </c>
      <c r="G165" s="1385">
        <v>0</v>
      </c>
      <c r="H165" s="2025">
        <v>0</v>
      </c>
      <c r="I165" s="2025">
        <v>0</v>
      </c>
      <c r="J165" s="2025">
        <v>0</v>
      </c>
      <c r="K165" s="1672">
        <v>0</v>
      </c>
      <c r="L165" s="1672">
        <v>0</v>
      </c>
      <c r="M165" s="1672">
        <v>0</v>
      </c>
      <c r="N165" s="2025">
        <v>0</v>
      </c>
      <c r="O165" s="2025">
        <v>0</v>
      </c>
      <c r="P165" s="2025">
        <v>0</v>
      </c>
      <c r="Q165" s="1077">
        <f t="shared" ref="Q165:Q166" si="274">MAX(E165,H165,K165,N165)</f>
        <v>0</v>
      </c>
      <c r="R165" s="2126">
        <f t="shared" si="272"/>
        <v>0</v>
      </c>
      <c r="S165" s="2127">
        <f t="shared" si="273"/>
        <v>0</v>
      </c>
      <c r="T165" s="853">
        <f t="shared" ref="T165:T166" si="275">IFERROR(AVERAGE(Q165:S165),"")</f>
        <v>0</v>
      </c>
      <c r="U165" s="1075" t="str">
        <f t="shared" ref="U165:U166" si="276">IF(T165&gt;85,("4"),IF(T165&gt;80,("3.66"),IF(T165&gt;75,("3.33"),IF(T165&gt;70,("3.00"),IF(T165&gt;65,("2.66"),IF(T165&gt;60,("2.33"),IF(T165&gt;55,("2"),IF(T165&gt;50,("1.66"),"1.33"))))))))</f>
        <v>1.33</v>
      </c>
      <c r="V165" s="1075" t="str">
        <f t="shared" ref="V165:V166" si="277">IF(T165&gt;85,("A"),IF(T165&gt;80,("A-"),IF(T165&gt;75,("B+"),IF(T165&gt;70,("B"),IF(T165&gt;65,("B-"),IF(T165&gt;60,("C+"),IF(T165&gt;55,("C"),IF(T165&gt;50,("C-"),"D+"))))))))</f>
        <v>D+</v>
      </c>
      <c r="W165" s="1075" t="str">
        <f t="shared" ref="W165:W166" si="278">IF(T165&gt;80,("SB"),IF(T165&gt;65,("B"),IF(T165&gt;50,("C"),IF(T165&gt;0,("K"),"0"))))</f>
        <v>0</v>
      </c>
      <c r="X165" s="1214"/>
      <c r="Y165" s="1215"/>
      <c r="Z165" s="1215"/>
      <c r="AA165" s="1215"/>
      <c r="AB165" s="1215"/>
      <c r="AC165" s="1215"/>
      <c r="AD165" s="1819"/>
      <c r="AE165" s="1246"/>
    </row>
    <row r="166" spans="1:31" ht="24.95" customHeight="1" x14ac:dyDescent="0.25">
      <c r="A166" s="1207"/>
      <c r="B166" s="1208"/>
      <c r="C166" s="1212"/>
      <c r="D166" s="1213" t="s">
        <v>9</v>
      </c>
      <c r="E166" s="1385"/>
      <c r="F166" s="1385"/>
      <c r="G166" s="1385"/>
      <c r="H166" s="2025">
        <v>0</v>
      </c>
      <c r="I166" s="2025">
        <v>0</v>
      </c>
      <c r="J166" s="2025">
        <v>0</v>
      </c>
      <c r="K166" s="1672">
        <v>0</v>
      </c>
      <c r="L166" s="1672">
        <v>0</v>
      </c>
      <c r="M166" s="1672">
        <v>0</v>
      </c>
      <c r="N166" s="2025"/>
      <c r="O166" s="2025"/>
      <c r="P166" s="2025"/>
      <c r="Q166" s="1077">
        <f t="shared" si="274"/>
        <v>0</v>
      </c>
      <c r="R166" s="2126">
        <f t="shared" si="272"/>
        <v>0</v>
      </c>
      <c r="S166" s="2127">
        <f t="shared" si="273"/>
        <v>0</v>
      </c>
      <c r="T166" s="853">
        <f t="shared" si="275"/>
        <v>0</v>
      </c>
      <c r="U166" s="1075" t="str">
        <f t="shared" si="276"/>
        <v>1.33</v>
      </c>
      <c r="V166" s="1075" t="str">
        <f t="shared" si="277"/>
        <v>D+</v>
      </c>
      <c r="W166" s="1075" t="str">
        <f t="shared" si="278"/>
        <v>0</v>
      </c>
      <c r="X166" s="1216"/>
      <c r="Y166" s="1217"/>
      <c r="Z166" s="1217"/>
      <c r="AA166" s="1217"/>
      <c r="AB166" s="1217"/>
      <c r="AC166" s="1217"/>
      <c r="AD166" s="1820"/>
      <c r="AE166" s="1247"/>
    </row>
    <row r="167" spans="1:31" ht="24.95" customHeight="1" x14ac:dyDescent="0.25">
      <c r="A167" s="1236"/>
      <c r="B167" s="1241"/>
      <c r="C167" s="1220" t="s">
        <v>167</v>
      </c>
      <c r="D167" s="1237"/>
      <c r="E167" s="2687"/>
      <c r="F167" s="2688"/>
      <c r="G167" s="2688"/>
      <c r="H167" s="2688"/>
      <c r="I167" s="2076"/>
      <c r="J167" s="2076"/>
      <c r="K167" s="2076"/>
      <c r="L167" s="2076"/>
      <c r="M167" s="2076"/>
      <c r="N167" s="2076"/>
      <c r="O167" s="2076"/>
      <c r="P167" s="2076"/>
      <c r="Q167" s="2128"/>
      <c r="R167" s="2128"/>
      <c r="S167" s="2128"/>
      <c r="T167" s="732">
        <f>IFERROR(AVERAGE(T164:T166),"  ")</f>
        <v>0</v>
      </c>
      <c r="U167" s="1244" t="str">
        <f>IF(T167&gt;85,("4"),IF(T167&gt;80,("3.66"),IF(T167&gt;75,("3.33"),IF(T167&gt;70,("3.00"),IF(T167&gt;65,("2.66"),IF(T167&gt;60,("2.33"),IF(T167&gt;55,("2"),IF(T167&gt;50,("1.66"),"1.33"))))))))</f>
        <v>1.33</v>
      </c>
      <c r="V167" s="1244" t="str">
        <f>IF(T167&gt;85,("A"),IF(T167&gt;80,("A-"),IF(T167&gt;75,("B+"),IF(T167&gt;70,("B"),IF(T167&gt;65,("B-"),IF(T167&gt;60,("C+"),IF(T167&gt;55,("C"),IF(T167&gt;50,("C-"),"D+"))))))))</f>
        <v>D+</v>
      </c>
      <c r="W167" s="1244"/>
      <c r="X167" s="1221"/>
      <c r="Y167" s="1222"/>
      <c r="Z167" s="1222"/>
      <c r="AA167" s="1222"/>
      <c r="AB167" s="1222"/>
      <c r="AC167" s="1222"/>
      <c r="AD167" s="1248"/>
      <c r="AE167" s="1249"/>
    </row>
    <row r="168" spans="1:31" ht="15" x14ac:dyDescent="0.25">
      <c r="B168" s="432"/>
      <c r="T168" s="432"/>
      <c r="V168" s="432"/>
      <c r="W168" s="432"/>
    </row>
    <row r="169" spans="1:31" ht="15" x14ac:dyDescent="0.25">
      <c r="B169" s="432"/>
      <c r="T169" s="432"/>
      <c r="V169" s="432"/>
      <c r="W169" s="432"/>
    </row>
    <row r="170" spans="1:31" ht="15" x14ac:dyDescent="0.25">
      <c r="B170" s="432"/>
      <c r="T170" s="432"/>
      <c r="V170" s="432"/>
      <c r="W170" s="432"/>
    </row>
    <row r="171" spans="1:31" ht="15" x14ac:dyDescent="0.25">
      <c r="B171" s="432"/>
      <c r="T171" s="432"/>
      <c r="V171" s="432"/>
      <c r="W171" s="432"/>
    </row>
    <row r="172" spans="1:31" ht="15" x14ac:dyDescent="0.25">
      <c r="B172" s="432"/>
      <c r="T172" s="432"/>
      <c r="V172" s="432"/>
      <c r="W172" s="432"/>
    </row>
    <row r="173" spans="1:31" ht="15" x14ac:dyDescent="0.25">
      <c r="B173" s="432"/>
      <c r="T173" s="432"/>
      <c r="V173" s="432"/>
      <c r="W173" s="432"/>
    </row>
    <row r="174" spans="1:31" ht="15" x14ac:dyDescent="0.25">
      <c r="B174" s="432"/>
      <c r="T174" s="432"/>
      <c r="V174" s="432"/>
      <c r="W174" s="432"/>
    </row>
    <row r="175" spans="1:31" ht="15" x14ac:dyDescent="0.25">
      <c r="B175" s="432"/>
      <c r="T175" s="432"/>
      <c r="V175" s="432"/>
      <c r="W175" s="432"/>
    </row>
    <row r="176" spans="1:31" ht="15" x14ac:dyDescent="0.25">
      <c r="B176" s="432"/>
      <c r="T176" s="432"/>
      <c r="V176" s="432"/>
      <c r="W176" s="432"/>
    </row>
    <row r="177" spans="2:23" ht="15" x14ac:dyDescent="0.25">
      <c r="B177" s="432"/>
      <c r="T177" s="432"/>
      <c r="V177" s="432"/>
      <c r="W177" s="432"/>
    </row>
    <row r="178" spans="2:23" ht="15" x14ac:dyDescent="0.25">
      <c r="B178" s="432"/>
      <c r="T178" s="432"/>
      <c r="V178" s="432"/>
      <c r="W178" s="432"/>
    </row>
    <row r="179" spans="2:23" ht="15" x14ac:dyDescent="0.25">
      <c r="B179" s="432"/>
      <c r="T179" s="432"/>
      <c r="V179" s="432"/>
      <c r="W179" s="432"/>
    </row>
    <row r="180" spans="2:23" ht="15" x14ac:dyDescent="0.25">
      <c r="B180" s="432"/>
      <c r="T180" s="432"/>
      <c r="V180" s="432"/>
      <c r="W180" s="432"/>
    </row>
    <row r="181" spans="2:23" ht="15" x14ac:dyDescent="0.25">
      <c r="B181" s="432"/>
      <c r="T181" s="432"/>
      <c r="V181" s="432"/>
      <c r="W181" s="432"/>
    </row>
    <row r="182" spans="2:23" ht="15" x14ac:dyDescent="0.25">
      <c r="B182" s="432"/>
      <c r="T182" s="432"/>
      <c r="V182" s="432"/>
      <c r="W182" s="432"/>
    </row>
    <row r="183" spans="2:23" ht="15" x14ac:dyDescent="0.25">
      <c r="B183" s="432"/>
      <c r="T183" s="432"/>
      <c r="V183" s="432"/>
      <c r="W183" s="432"/>
    </row>
    <row r="184" spans="2:23" ht="15" x14ac:dyDescent="0.25">
      <c r="B184" s="432"/>
      <c r="T184" s="432"/>
      <c r="V184" s="432"/>
      <c r="W184" s="432"/>
    </row>
    <row r="185" spans="2:23" ht="15" x14ac:dyDescent="0.25">
      <c r="B185" s="432"/>
      <c r="T185" s="432"/>
      <c r="V185" s="432"/>
      <c r="W185" s="432"/>
    </row>
    <row r="186" spans="2:23" ht="15" x14ac:dyDescent="0.25">
      <c r="B186" s="432"/>
      <c r="T186" s="432"/>
      <c r="V186" s="432"/>
      <c r="W186" s="432"/>
    </row>
    <row r="187" spans="2:23" ht="15" x14ac:dyDescent="0.25">
      <c r="B187" s="432"/>
      <c r="T187" s="432"/>
      <c r="V187" s="432"/>
      <c r="W187" s="432"/>
    </row>
    <row r="188" spans="2:23" ht="15" x14ac:dyDescent="0.25">
      <c r="B188" s="432"/>
      <c r="T188" s="432"/>
      <c r="V188" s="432"/>
      <c r="W188" s="432"/>
    </row>
    <row r="189" spans="2:23" ht="15" x14ac:dyDescent="0.25">
      <c r="B189" s="432"/>
      <c r="T189" s="432"/>
      <c r="V189" s="432"/>
      <c r="W189" s="432"/>
    </row>
    <row r="190" spans="2:23" ht="15" x14ac:dyDescent="0.25">
      <c r="B190" s="432"/>
      <c r="T190" s="432"/>
      <c r="V190" s="432"/>
      <c r="W190" s="432"/>
    </row>
    <row r="191" spans="2:23" ht="15" x14ac:dyDescent="0.25">
      <c r="B191" s="432"/>
      <c r="T191" s="432"/>
      <c r="V191" s="432"/>
      <c r="W191" s="432"/>
    </row>
    <row r="192" spans="2:23" ht="15" x14ac:dyDescent="0.25">
      <c r="B192" s="432"/>
      <c r="T192" s="432"/>
      <c r="V192" s="432"/>
      <c r="W192" s="432"/>
    </row>
    <row r="193" spans="2:23" ht="15" x14ac:dyDescent="0.25">
      <c r="B193" s="432"/>
      <c r="T193" s="432"/>
      <c r="V193" s="432"/>
      <c r="W193" s="432"/>
    </row>
    <row r="194" spans="2:23" ht="15" x14ac:dyDescent="0.25">
      <c r="B194" s="432"/>
      <c r="T194" s="432"/>
      <c r="V194" s="432"/>
      <c r="W194" s="432"/>
    </row>
    <row r="195" spans="2:23" ht="15" x14ac:dyDescent="0.25">
      <c r="B195" s="432"/>
      <c r="T195" s="432"/>
      <c r="V195" s="432"/>
      <c r="W195" s="432"/>
    </row>
    <row r="196" spans="2:23" ht="15" x14ac:dyDescent="0.25">
      <c r="B196" s="432"/>
      <c r="T196" s="432"/>
      <c r="V196" s="432"/>
      <c r="W196" s="432"/>
    </row>
    <row r="197" spans="2:23" ht="15" x14ac:dyDescent="0.25">
      <c r="B197" s="432"/>
      <c r="T197" s="432"/>
      <c r="V197" s="432"/>
      <c r="W197" s="432"/>
    </row>
    <row r="198" spans="2:23" ht="15" x14ac:dyDescent="0.25">
      <c r="B198" s="432"/>
      <c r="T198" s="432"/>
      <c r="V198" s="432"/>
      <c r="W198" s="432"/>
    </row>
    <row r="199" spans="2:23" ht="15" x14ac:dyDescent="0.25">
      <c r="B199" s="432"/>
      <c r="T199" s="432"/>
      <c r="V199" s="432"/>
      <c r="W199" s="432"/>
    </row>
    <row r="200" spans="2:23" ht="15" x14ac:dyDescent="0.25">
      <c r="B200" s="432"/>
      <c r="T200" s="432"/>
      <c r="V200" s="432"/>
      <c r="W200" s="432"/>
    </row>
    <row r="201" spans="2:23" ht="15" x14ac:dyDescent="0.25">
      <c r="B201" s="432"/>
      <c r="T201" s="432"/>
      <c r="V201" s="432"/>
      <c r="W201" s="432"/>
    </row>
    <row r="202" spans="2:23" ht="15" x14ac:dyDescent="0.25">
      <c r="B202" s="432"/>
      <c r="T202" s="432"/>
      <c r="V202" s="432"/>
      <c r="W202" s="432"/>
    </row>
    <row r="203" spans="2:23" ht="15" x14ac:dyDescent="0.25">
      <c r="B203" s="432"/>
      <c r="T203" s="432"/>
      <c r="V203" s="432"/>
      <c r="W203" s="432"/>
    </row>
    <row r="204" spans="2:23" ht="15" x14ac:dyDescent="0.25">
      <c r="B204" s="432"/>
      <c r="T204" s="432"/>
      <c r="V204" s="432"/>
      <c r="W204" s="432"/>
    </row>
    <row r="205" spans="2:23" ht="15" x14ac:dyDescent="0.25">
      <c r="B205" s="432"/>
      <c r="T205" s="432"/>
      <c r="V205" s="432"/>
      <c r="W205" s="432"/>
    </row>
    <row r="206" spans="2:23" ht="15" x14ac:dyDescent="0.25">
      <c r="B206" s="432"/>
      <c r="T206" s="432"/>
      <c r="V206" s="432"/>
      <c r="W206" s="432"/>
    </row>
    <row r="207" spans="2:23" ht="15" x14ac:dyDescent="0.25">
      <c r="B207" s="432"/>
      <c r="T207" s="432"/>
      <c r="V207" s="432"/>
      <c r="W207" s="432"/>
    </row>
    <row r="208" spans="2:23" ht="15" x14ac:dyDescent="0.25">
      <c r="B208" s="432"/>
      <c r="T208" s="432"/>
      <c r="V208" s="432"/>
      <c r="W208" s="432"/>
    </row>
    <row r="209" spans="2:23" ht="15" x14ac:dyDescent="0.25">
      <c r="B209" s="432"/>
      <c r="T209" s="432"/>
      <c r="V209" s="432"/>
      <c r="W209" s="432"/>
    </row>
    <row r="210" spans="2:23" ht="15" x14ac:dyDescent="0.25">
      <c r="B210" s="432"/>
      <c r="T210" s="432"/>
      <c r="V210" s="432"/>
      <c r="W210" s="432"/>
    </row>
    <row r="211" spans="2:23" ht="15" x14ac:dyDescent="0.25">
      <c r="B211" s="432"/>
      <c r="T211" s="432"/>
      <c r="V211" s="432"/>
      <c r="W211" s="432"/>
    </row>
    <row r="212" spans="2:23" ht="15" x14ac:dyDescent="0.25">
      <c r="B212" s="432"/>
      <c r="T212" s="432"/>
      <c r="V212" s="432"/>
      <c r="W212" s="432"/>
    </row>
    <row r="213" spans="2:23" ht="15" x14ac:dyDescent="0.25">
      <c r="B213" s="432"/>
      <c r="T213" s="432"/>
      <c r="V213" s="432"/>
      <c r="W213" s="432"/>
    </row>
    <row r="214" spans="2:23" ht="15" x14ac:dyDescent="0.25">
      <c r="B214" s="432"/>
      <c r="T214" s="432"/>
      <c r="V214" s="432"/>
      <c r="W214" s="432"/>
    </row>
    <row r="215" spans="2:23" ht="15" x14ac:dyDescent="0.25">
      <c r="B215" s="432"/>
      <c r="T215" s="432"/>
      <c r="V215" s="432"/>
      <c r="W215" s="432"/>
    </row>
    <row r="216" spans="2:23" ht="15" x14ac:dyDescent="0.25">
      <c r="B216" s="432"/>
      <c r="T216" s="432"/>
      <c r="V216" s="432"/>
      <c r="W216" s="432"/>
    </row>
    <row r="217" spans="2:23" ht="15" x14ac:dyDescent="0.25">
      <c r="B217" s="432"/>
      <c r="T217" s="432"/>
      <c r="V217" s="432"/>
      <c r="W217" s="432"/>
    </row>
    <row r="218" spans="2:23" ht="15" x14ac:dyDescent="0.25">
      <c r="B218" s="432"/>
      <c r="T218" s="432"/>
      <c r="V218" s="432"/>
      <c r="W218" s="432"/>
    </row>
    <row r="219" spans="2:23" ht="15" x14ac:dyDescent="0.25">
      <c r="B219" s="432"/>
      <c r="T219" s="432"/>
      <c r="V219" s="432"/>
      <c r="W219" s="432"/>
    </row>
    <row r="220" spans="2:23" ht="15" x14ac:dyDescent="0.25">
      <c r="B220" s="432"/>
      <c r="T220" s="432"/>
      <c r="V220" s="432"/>
      <c r="W220" s="432"/>
    </row>
    <row r="221" spans="2:23" ht="15" x14ac:dyDescent="0.25">
      <c r="B221" s="432"/>
      <c r="T221" s="432"/>
      <c r="V221" s="432"/>
      <c r="W221" s="432"/>
    </row>
    <row r="222" spans="2:23" ht="15" x14ac:dyDescent="0.25">
      <c r="B222" s="432"/>
      <c r="T222" s="432"/>
      <c r="V222" s="432"/>
      <c r="W222" s="432"/>
    </row>
    <row r="223" spans="2:23" ht="15" x14ac:dyDescent="0.25">
      <c r="B223" s="432"/>
      <c r="T223" s="432"/>
      <c r="V223" s="432"/>
      <c r="W223" s="432"/>
    </row>
    <row r="224" spans="2:23" ht="15" x14ac:dyDescent="0.25">
      <c r="B224" s="432"/>
      <c r="T224" s="432"/>
      <c r="V224" s="432"/>
      <c r="W224" s="432"/>
    </row>
    <row r="225" spans="2:23" ht="15" x14ac:dyDescent="0.25">
      <c r="B225" s="432"/>
      <c r="T225" s="432"/>
      <c r="V225" s="432"/>
      <c r="W225" s="432"/>
    </row>
    <row r="226" spans="2:23" ht="15" x14ac:dyDescent="0.25">
      <c r="B226" s="432"/>
      <c r="T226" s="432"/>
      <c r="V226" s="432"/>
      <c r="W226" s="432"/>
    </row>
    <row r="227" spans="2:23" ht="15" x14ac:dyDescent="0.25">
      <c r="B227" s="432"/>
      <c r="T227" s="432"/>
      <c r="V227" s="432"/>
      <c r="W227" s="432"/>
    </row>
    <row r="228" spans="2:23" ht="15" x14ac:dyDescent="0.25">
      <c r="B228" s="432"/>
      <c r="T228" s="432"/>
      <c r="V228" s="432"/>
      <c r="W228" s="432"/>
    </row>
    <row r="229" spans="2:23" ht="15" x14ac:dyDescent="0.25">
      <c r="B229" s="432"/>
      <c r="T229" s="432"/>
      <c r="V229" s="432"/>
      <c r="W229" s="432"/>
    </row>
    <row r="230" spans="2:23" ht="15" x14ac:dyDescent="0.25">
      <c r="B230" s="432"/>
      <c r="T230" s="432"/>
      <c r="V230" s="432"/>
      <c r="W230" s="432"/>
    </row>
    <row r="231" spans="2:23" ht="15" x14ac:dyDescent="0.25">
      <c r="B231" s="432"/>
      <c r="T231" s="432"/>
      <c r="V231" s="432"/>
      <c r="W231" s="432"/>
    </row>
    <row r="232" spans="2:23" ht="15" x14ac:dyDescent="0.25">
      <c r="B232" s="432"/>
      <c r="T232" s="432"/>
      <c r="V232" s="432"/>
      <c r="W232" s="432"/>
    </row>
    <row r="233" spans="2:23" ht="15" x14ac:dyDescent="0.25">
      <c r="B233" s="432"/>
      <c r="T233" s="432"/>
      <c r="V233" s="432"/>
      <c r="W233" s="432"/>
    </row>
    <row r="234" spans="2:23" ht="15" x14ac:dyDescent="0.25">
      <c r="B234" s="432"/>
      <c r="T234" s="432"/>
      <c r="V234" s="432"/>
      <c r="W234" s="432"/>
    </row>
    <row r="235" spans="2:23" ht="15" x14ac:dyDescent="0.25">
      <c r="B235" s="432"/>
      <c r="T235" s="432"/>
      <c r="V235" s="432"/>
      <c r="W235" s="432"/>
    </row>
    <row r="236" spans="2:23" ht="15" x14ac:dyDescent="0.25">
      <c r="B236" s="432"/>
      <c r="T236" s="432"/>
      <c r="V236" s="432"/>
      <c r="W236" s="432"/>
    </row>
    <row r="237" spans="2:23" ht="15" x14ac:dyDescent="0.25">
      <c r="B237" s="432"/>
      <c r="T237" s="432"/>
      <c r="V237" s="432"/>
      <c r="W237" s="432"/>
    </row>
    <row r="238" spans="2:23" ht="15" x14ac:dyDescent="0.25">
      <c r="B238" s="432"/>
      <c r="T238" s="432"/>
      <c r="V238" s="432"/>
      <c r="W238" s="432"/>
    </row>
    <row r="239" spans="2:23" ht="15" x14ac:dyDescent="0.25">
      <c r="B239" s="432"/>
      <c r="T239" s="432"/>
      <c r="V239" s="432"/>
      <c r="W239" s="432"/>
    </row>
    <row r="240" spans="2:23" ht="15" x14ac:dyDescent="0.25">
      <c r="B240" s="432"/>
      <c r="T240" s="432"/>
      <c r="V240" s="432"/>
      <c r="W240" s="432"/>
    </row>
    <row r="241" spans="2:23" ht="15" x14ac:dyDescent="0.25">
      <c r="B241" s="432"/>
      <c r="T241" s="432"/>
      <c r="V241" s="432"/>
      <c r="W241" s="432"/>
    </row>
    <row r="242" spans="2:23" ht="15" x14ac:dyDescent="0.25">
      <c r="B242" s="432"/>
      <c r="T242" s="432"/>
      <c r="V242" s="432"/>
      <c r="W242" s="432"/>
    </row>
    <row r="243" spans="2:23" ht="15" x14ac:dyDescent="0.25">
      <c r="B243" s="432"/>
      <c r="T243" s="432"/>
      <c r="V243" s="432"/>
      <c r="W243" s="432"/>
    </row>
    <row r="244" spans="2:23" ht="15" x14ac:dyDescent="0.25">
      <c r="B244" s="432"/>
      <c r="T244" s="432"/>
      <c r="V244" s="432"/>
      <c r="W244" s="432"/>
    </row>
    <row r="245" spans="2:23" ht="15" x14ac:dyDescent="0.25">
      <c r="B245" s="432"/>
      <c r="T245" s="432"/>
      <c r="V245" s="432"/>
      <c r="W245" s="432"/>
    </row>
    <row r="246" spans="2:23" ht="15" x14ac:dyDescent="0.25">
      <c r="B246" s="432"/>
      <c r="T246" s="432"/>
      <c r="V246" s="432"/>
      <c r="W246" s="432"/>
    </row>
    <row r="247" spans="2:23" ht="15" x14ac:dyDescent="0.25">
      <c r="B247" s="432"/>
      <c r="T247" s="432"/>
      <c r="V247" s="432"/>
      <c r="W247" s="432"/>
    </row>
    <row r="248" spans="2:23" ht="15" x14ac:dyDescent="0.25">
      <c r="B248" s="432"/>
      <c r="T248" s="432"/>
      <c r="V248" s="432"/>
      <c r="W248" s="432"/>
    </row>
    <row r="249" spans="2:23" ht="15" x14ac:dyDescent="0.25">
      <c r="B249" s="432"/>
      <c r="T249" s="432"/>
      <c r="V249" s="432"/>
      <c r="W249" s="432"/>
    </row>
    <row r="250" spans="2:23" ht="15" x14ac:dyDescent="0.25">
      <c r="B250" s="432"/>
      <c r="T250" s="432"/>
      <c r="V250" s="432"/>
      <c r="W250" s="432"/>
    </row>
    <row r="251" spans="2:23" ht="15" x14ac:dyDescent="0.25">
      <c r="B251" s="432"/>
      <c r="T251" s="432"/>
      <c r="V251" s="432"/>
      <c r="W251" s="432"/>
    </row>
    <row r="252" spans="2:23" ht="15" x14ac:dyDescent="0.25">
      <c r="B252" s="432"/>
      <c r="T252" s="432"/>
      <c r="V252" s="432"/>
      <c r="W252" s="432"/>
    </row>
    <row r="253" spans="2:23" ht="15" x14ac:dyDescent="0.25">
      <c r="B253" s="432"/>
      <c r="T253" s="432"/>
      <c r="V253" s="432"/>
      <c r="W253" s="432"/>
    </row>
    <row r="254" spans="2:23" ht="15" x14ac:dyDescent="0.25">
      <c r="B254" s="432"/>
      <c r="T254" s="432"/>
      <c r="V254" s="432"/>
      <c r="W254" s="432"/>
    </row>
    <row r="255" spans="2:23" ht="15" x14ac:dyDescent="0.25">
      <c r="B255" s="432"/>
      <c r="T255" s="432"/>
      <c r="V255" s="432"/>
      <c r="W255" s="432"/>
    </row>
    <row r="256" spans="2:23" ht="15" x14ac:dyDescent="0.25">
      <c r="B256" s="432"/>
      <c r="T256" s="432"/>
      <c r="V256" s="432"/>
      <c r="W256" s="432"/>
    </row>
    <row r="257" spans="2:23" ht="15" x14ac:dyDescent="0.25">
      <c r="B257" s="432"/>
      <c r="T257" s="432"/>
      <c r="V257" s="432"/>
      <c r="W257" s="432"/>
    </row>
    <row r="258" spans="2:23" ht="15" x14ac:dyDescent="0.25">
      <c r="B258" s="432"/>
      <c r="T258" s="432"/>
      <c r="V258" s="432"/>
      <c r="W258" s="432"/>
    </row>
    <row r="259" spans="2:23" ht="15" x14ac:dyDescent="0.25">
      <c r="B259" s="432"/>
      <c r="T259" s="432"/>
      <c r="V259" s="432"/>
      <c r="W259" s="432"/>
    </row>
    <row r="260" spans="2:23" ht="15" x14ac:dyDescent="0.25">
      <c r="B260" s="432"/>
      <c r="T260" s="432"/>
      <c r="V260" s="432"/>
      <c r="W260" s="432"/>
    </row>
    <row r="261" spans="2:23" ht="15" x14ac:dyDescent="0.25">
      <c r="B261" s="432"/>
      <c r="T261" s="432"/>
      <c r="V261" s="432"/>
      <c r="W261" s="432"/>
    </row>
    <row r="262" spans="2:23" ht="15" x14ac:dyDescent="0.25">
      <c r="B262" s="432"/>
      <c r="T262" s="432"/>
      <c r="V262" s="432"/>
      <c r="W262" s="432"/>
    </row>
    <row r="263" spans="2:23" ht="15" x14ac:dyDescent="0.25">
      <c r="B263" s="432"/>
      <c r="T263" s="432"/>
      <c r="V263" s="432"/>
      <c r="W263" s="432"/>
    </row>
    <row r="264" spans="2:23" ht="15" x14ac:dyDescent="0.25">
      <c r="B264" s="432"/>
      <c r="T264" s="432"/>
      <c r="V264" s="432"/>
      <c r="W264" s="432"/>
    </row>
    <row r="265" spans="2:23" ht="15" x14ac:dyDescent="0.25">
      <c r="B265" s="432"/>
      <c r="T265" s="432"/>
      <c r="V265" s="432"/>
      <c r="W265" s="432"/>
    </row>
    <row r="266" spans="2:23" ht="15" x14ac:dyDescent="0.25">
      <c r="B266" s="432"/>
      <c r="T266" s="432"/>
      <c r="V266" s="432"/>
      <c r="W266" s="432"/>
    </row>
    <row r="267" spans="2:23" ht="15" x14ac:dyDescent="0.25">
      <c r="B267" s="432"/>
      <c r="T267" s="432"/>
      <c r="V267" s="432"/>
      <c r="W267" s="432"/>
    </row>
    <row r="268" spans="2:23" ht="15" x14ac:dyDescent="0.25">
      <c r="B268" s="432"/>
      <c r="T268" s="432"/>
      <c r="V268" s="432"/>
      <c r="W268" s="432"/>
    </row>
    <row r="269" spans="2:23" ht="15" x14ac:dyDescent="0.25">
      <c r="B269" s="432"/>
      <c r="T269" s="432"/>
      <c r="V269" s="432"/>
      <c r="W269" s="432"/>
    </row>
    <row r="270" spans="2:23" ht="15" x14ac:dyDescent="0.25">
      <c r="B270" s="432"/>
      <c r="T270" s="432"/>
      <c r="V270" s="432"/>
      <c r="W270" s="432"/>
    </row>
    <row r="271" spans="2:23" ht="15" x14ac:dyDescent="0.25">
      <c r="B271" s="432"/>
      <c r="T271" s="432"/>
      <c r="V271" s="432"/>
      <c r="W271" s="432"/>
    </row>
    <row r="272" spans="2:23" ht="15" x14ac:dyDescent="0.25">
      <c r="B272" s="432"/>
      <c r="T272" s="432"/>
      <c r="V272" s="432"/>
      <c r="W272" s="432"/>
    </row>
    <row r="273" spans="2:23" ht="15" x14ac:dyDescent="0.25">
      <c r="B273" s="432"/>
      <c r="T273" s="432"/>
      <c r="V273" s="432"/>
      <c r="W273" s="432"/>
    </row>
    <row r="274" spans="2:23" ht="15" x14ac:dyDescent="0.25">
      <c r="B274" s="432"/>
      <c r="T274" s="432"/>
      <c r="V274" s="432"/>
      <c r="W274" s="432"/>
    </row>
    <row r="275" spans="2:23" ht="15" x14ac:dyDescent="0.25">
      <c r="B275" s="432"/>
      <c r="T275" s="432"/>
      <c r="V275" s="432"/>
      <c r="W275" s="432"/>
    </row>
    <row r="276" spans="2:23" ht="15" x14ac:dyDescent="0.25">
      <c r="B276" s="432"/>
      <c r="T276" s="432"/>
      <c r="V276" s="432"/>
      <c r="W276" s="432"/>
    </row>
    <row r="277" spans="2:23" ht="15" x14ac:dyDescent="0.25">
      <c r="B277" s="432"/>
      <c r="T277" s="432"/>
      <c r="V277" s="432"/>
      <c r="W277" s="432"/>
    </row>
    <row r="278" spans="2:23" ht="15" x14ac:dyDescent="0.25">
      <c r="B278" s="432"/>
      <c r="T278" s="432"/>
      <c r="V278" s="432"/>
      <c r="W278" s="432"/>
    </row>
    <row r="279" spans="2:23" ht="15" x14ac:dyDescent="0.25">
      <c r="B279" s="432"/>
      <c r="T279" s="432"/>
      <c r="V279" s="432"/>
      <c r="W279" s="432"/>
    </row>
    <row r="280" spans="2:23" ht="15" x14ac:dyDescent="0.25">
      <c r="B280" s="432"/>
      <c r="T280" s="432"/>
      <c r="V280" s="432"/>
      <c r="W280" s="432"/>
    </row>
    <row r="281" spans="2:23" ht="15" x14ac:dyDescent="0.25">
      <c r="B281" s="432"/>
      <c r="T281" s="432"/>
      <c r="V281" s="432"/>
      <c r="W281" s="432"/>
    </row>
    <row r="282" spans="2:23" ht="15" x14ac:dyDescent="0.25">
      <c r="B282" s="432"/>
      <c r="T282" s="432"/>
      <c r="V282" s="432"/>
      <c r="W282" s="432"/>
    </row>
    <row r="283" spans="2:23" ht="15" x14ac:dyDescent="0.25">
      <c r="B283" s="432"/>
      <c r="T283" s="432"/>
      <c r="V283" s="432"/>
      <c r="W283" s="432"/>
    </row>
    <row r="284" spans="2:23" ht="15" x14ac:dyDescent="0.25">
      <c r="B284" s="432"/>
      <c r="T284" s="432"/>
      <c r="V284" s="432"/>
      <c r="W284" s="432"/>
    </row>
    <row r="285" spans="2:23" ht="15" x14ac:dyDescent="0.25">
      <c r="B285" s="432"/>
      <c r="T285" s="432"/>
      <c r="V285" s="432"/>
      <c r="W285" s="432"/>
    </row>
    <row r="286" spans="2:23" ht="15" x14ac:dyDescent="0.25">
      <c r="B286" s="432"/>
      <c r="T286" s="432"/>
      <c r="V286" s="432"/>
      <c r="W286" s="432"/>
    </row>
    <row r="287" spans="2:23" ht="15" x14ac:dyDescent="0.25">
      <c r="B287" s="432"/>
      <c r="T287" s="432"/>
      <c r="V287" s="432"/>
      <c r="W287" s="432"/>
    </row>
    <row r="288" spans="2:23" ht="15" x14ac:dyDescent="0.25">
      <c r="B288" s="432"/>
      <c r="T288" s="432"/>
      <c r="V288" s="432"/>
      <c r="W288" s="432"/>
    </row>
    <row r="289" spans="2:23" ht="15" x14ac:dyDescent="0.25">
      <c r="B289" s="432"/>
      <c r="T289" s="432"/>
      <c r="V289" s="432"/>
      <c r="W289" s="432"/>
    </row>
    <row r="290" spans="2:23" ht="15" x14ac:dyDescent="0.25">
      <c r="B290" s="432"/>
      <c r="T290" s="432"/>
      <c r="V290" s="432"/>
      <c r="W290" s="432"/>
    </row>
    <row r="291" spans="2:23" ht="15" x14ac:dyDescent="0.25">
      <c r="B291" s="432"/>
      <c r="T291" s="432"/>
      <c r="V291" s="432"/>
      <c r="W291" s="432"/>
    </row>
    <row r="292" spans="2:23" ht="15" x14ac:dyDescent="0.25">
      <c r="B292" s="432"/>
      <c r="T292" s="432"/>
      <c r="V292" s="432"/>
      <c r="W292" s="432"/>
    </row>
    <row r="293" spans="2:23" ht="15" x14ac:dyDescent="0.25">
      <c r="B293" s="432"/>
      <c r="T293" s="432"/>
      <c r="V293" s="432"/>
      <c r="W293" s="432"/>
    </row>
    <row r="294" spans="2:23" ht="15" x14ac:dyDescent="0.25">
      <c r="B294" s="432"/>
      <c r="T294" s="432"/>
      <c r="V294" s="432"/>
      <c r="W294" s="432"/>
    </row>
    <row r="295" spans="2:23" ht="15" x14ac:dyDescent="0.25">
      <c r="B295" s="432"/>
      <c r="T295" s="432"/>
      <c r="V295" s="432"/>
      <c r="W295" s="432"/>
    </row>
    <row r="296" spans="2:23" ht="15" x14ac:dyDescent="0.25">
      <c r="B296" s="432"/>
      <c r="T296" s="432"/>
      <c r="V296" s="432"/>
      <c r="W296" s="432"/>
    </row>
    <row r="297" spans="2:23" ht="15" x14ac:dyDescent="0.25">
      <c r="B297" s="432"/>
      <c r="T297" s="432"/>
      <c r="V297" s="432"/>
      <c r="W297" s="432"/>
    </row>
    <row r="298" spans="2:23" ht="15" x14ac:dyDescent="0.25">
      <c r="B298" s="432"/>
      <c r="T298" s="432"/>
      <c r="V298" s="432"/>
      <c r="W298" s="432"/>
    </row>
    <row r="299" spans="2:23" ht="15" x14ac:dyDescent="0.25">
      <c r="B299" s="432"/>
      <c r="T299" s="432"/>
      <c r="V299" s="432"/>
      <c r="W299" s="432"/>
    </row>
    <row r="300" spans="2:23" ht="15" x14ac:dyDescent="0.25">
      <c r="B300" s="432"/>
      <c r="T300" s="432"/>
      <c r="V300" s="432"/>
      <c r="W300" s="432"/>
    </row>
    <row r="301" spans="2:23" ht="15" x14ac:dyDescent="0.25">
      <c r="B301" s="432"/>
      <c r="T301" s="432"/>
      <c r="V301" s="432"/>
      <c r="W301" s="432"/>
    </row>
    <row r="302" spans="2:23" ht="15" x14ac:dyDescent="0.25">
      <c r="B302" s="432"/>
      <c r="T302" s="432"/>
      <c r="V302" s="432"/>
      <c r="W302" s="432"/>
    </row>
    <row r="303" spans="2:23" ht="15" x14ac:dyDescent="0.25">
      <c r="B303" s="432"/>
      <c r="T303" s="432"/>
      <c r="V303" s="432"/>
      <c r="W303" s="432"/>
    </row>
    <row r="304" spans="2:23" ht="15" x14ac:dyDescent="0.25">
      <c r="B304" s="432"/>
      <c r="T304" s="432"/>
      <c r="V304" s="432"/>
      <c r="W304" s="432"/>
    </row>
    <row r="305" spans="2:23" ht="15" x14ac:dyDescent="0.25">
      <c r="B305" s="432"/>
      <c r="T305" s="432"/>
      <c r="V305" s="432"/>
      <c r="W305" s="432"/>
    </row>
    <row r="306" spans="2:23" ht="15" x14ac:dyDescent="0.25">
      <c r="B306" s="432"/>
      <c r="T306" s="432"/>
      <c r="V306" s="432"/>
      <c r="W306" s="432"/>
    </row>
    <row r="307" spans="2:23" ht="15" x14ac:dyDescent="0.25">
      <c r="B307" s="432"/>
      <c r="T307" s="432"/>
      <c r="V307" s="432"/>
      <c r="W307" s="432"/>
    </row>
    <row r="308" spans="2:23" ht="15" x14ac:dyDescent="0.25">
      <c r="B308" s="432"/>
      <c r="T308" s="432"/>
      <c r="V308" s="432"/>
      <c r="W308" s="432"/>
    </row>
    <row r="309" spans="2:23" ht="15" x14ac:dyDescent="0.25">
      <c r="B309" s="432"/>
      <c r="T309" s="432"/>
      <c r="V309" s="432"/>
      <c r="W309" s="432"/>
    </row>
    <row r="310" spans="2:23" ht="15" x14ac:dyDescent="0.25">
      <c r="B310" s="432"/>
      <c r="T310" s="432"/>
      <c r="V310" s="432"/>
      <c r="W310" s="432"/>
    </row>
    <row r="311" spans="2:23" ht="15" x14ac:dyDescent="0.25">
      <c r="B311" s="432"/>
      <c r="T311" s="432"/>
      <c r="V311" s="432"/>
      <c r="W311" s="432"/>
    </row>
    <row r="312" spans="2:23" ht="15" x14ac:dyDescent="0.25">
      <c r="B312" s="432"/>
      <c r="T312" s="432"/>
      <c r="V312" s="432"/>
      <c r="W312" s="432"/>
    </row>
    <row r="313" spans="2:23" ht="15" x14ac:dyDescent="0.25">
      <c r="B313" s="432"/>
      <c r="T313" s="432"/>
      <c r="V313" s="432"/>
      <c r="W313" s="432"/>
    </row>
    <row r="314" spans="2:23" ht="15" x14ac:dyDescent="0.25">
      <c r="B314" s="432"/>
      <c r="T314" s="432"/>
      <c r="V314" s="432"/>
      <c r="W314" s="432"/>
    </row>
    <row r="315" spans="2:23" ht="15" x14ac:dyDescent="0.25">
      <c r="B315" s="432"/>
      <c r="T315" s="432"/>
      <c r="V315" s="432"/>
      <c r="W315" s="432"/>
    </row>
    <row r="316" spans="2:23" ht="15" x14ac:dyDescent="0.25">
      <c r="B316" s="432"/>
      <c r="T316" s="432"/>
      <c r="V316" s="432"/>
      <c r="W316" s="432"/>
    </row>
    <row r="317" spans="2:23" ht="15" x14ac:dyDescent="0.25">
      <c r="B317" s="432"/>
      <c r="T317" s="432"/>
      <c r="V317" s="432"/>
      <c r="W317" s="432"/>
    </row>
    <row r="318" spans="2:23" ht="15" x14ac:dyDescent="0.25">
      <c r="B318" s="432"/>
      <c r="T318" s="432"/>
      <c r="V318" s="432"/>
      <c r="W318" s="432"/>
    </row>
    <row r="319" spans="2:23" ht="15" x14ac:dyDescent="0.25">
      <c r="B319" s="432"/>
      <c r="T319" s="432"/>
      <c r="V319" s="432"/>
      <c r="W319" s="432"/>
    </row>
    <row r="320" spans="2:23" ht="15" x14ac:dyDescent="0.25">
      <c r="B320" s="432"/>
      <c r="T320" s="432"/>
      <c r="V320" s="432"/>
      <c r="W320" s="432"/>
    </row>
    <row r="321" spans="2:23" ht="15" x14ac:dyDescent="0.25">
      <c r="B321" s="432"/>
      <c r="T321" s="432"/>
      <c r="V321" s="432"/>
      <c r="W321" s="432"/>
    </row>
    <row r="322" spans="2:23" ht="15" x14ac:dyDescent="0.25">
      <c r="B322" s="432"/>
      <c r="T322" s="432"/>
      <c r="V322" s="432"/>
      <c r="W322" s="432"/>
    </row>
    <row r="323" spans="2:23" ht="15" x14ac:dyDescent="0.25">
      <c r="B323" s="432"/>
      <c r="T323" s="432"/>
      <c r="V323" s="432"/>
      <c r="W323" s="432"/>
    </row>
    <row r="324" spans="2:23" ht="15" x14ac:dyDescent="0.25">
      <c r="B324" s="432"/>
      <c r="T324" s="432"/>
      <c r="V324" s="432"/>
      <c r="W324" s="432"/>
    </row>
    <row r="325" spans="2:23" ht="15" x14ac:dyDescent="0.25">
      <c r="B325" s="432"/>
      <c r="T325" s="432"/>
      <c r="V325" s="432"/>
      <c r="W325" s="432"/>
    </row>
    <row r="326" spans="2:23" ht="15" x14ac:dyDescent="0.25">
      <c r="B326" s="432"/>
      <c r="T326" s="432"/>
      <c r="V326" s="432"/>
      <c r="W326" s="432"/>
    </row>
    <row r="327" spans="2:23" ht="15" x14ac:dyDescent="0.25">
      <c r="B327" s="432"/>
      <c r="T327" s="432"/>
      <c r="V327" s="432"/>
      <c r="W327" s="432"/>
    </row>
    <row r="328" spans="2:23" ht="15" x14ac:dyDescent="0.25">
      <c r="B328" s="432"/>
      <c r="T328" s="432"/>
      <c r="V328" s="432"/>
      <c r="W328" s="432"/>
    </row>
    <row r="329" spans="2:23" ht="15" x14ac:dyDescent="0.25">
      <c r="B329" s="432"/>
      <c r="T329" s="432"/>
      <c r="V329" s="432"/>
      <c r="W329" s="432"/>
    </row>
    <row r="330" spans="2:23" ht="15" x14ac:dyDescent="0.25">
      <c r="B330" s="432"/>
      <c r="T330" s="432"/>
      <c r="V330" s="432"/>
      <c r="W330" s="432"/>
    </row>
    <row r="331" spans="2:23" ht="15" x14ac:dyDescent="0.25">
      <c r="B331" s="432"/>
      <c r="T331" s="432"/>
      <c r="V331" s="432"/>
      <c r="W331" s="432"/>
    </row>
    <row r="332" spans="2:23" ht="15" x14ac:dyDescent="0.25">
      <c r="B332" s="432"/>
      <c r="T332" s="432"/>
      <c r="V332" s="432"/>
      <c r="W332" s="432"/>
    </row>
    <row r="333" spans="2:23" ht="15" x14ac:dyDescent="0.25">
      <c r="B333" s="432"/>
      <c r="T333" s="432"/>
      <c r="V333" s="432"/>
      <c r="W333" s="432"/>
    </row>
    <row r="334" spans="2:23" ht="15" x14ac:dyDescent="0.25">
      <c r="B334" s="432"/>
      <c r="T334" s="432"/>
      <c r="V334" s="432"/>
      <c r="W334" s="432"/>
    </row>
    <row r="335" spans="2:23" ht="15" x14ac:dyDescent="0.25">
      <c r="B335" s="432"/>
      <c r="T335" s="432"/>
      <c r="V335" s="432"/>
      <c r="W335" s="432"/>
    </row>
    <row r="336" spans="2:23" ht="15" x14ac:dyDescent="0.25">
      <c r="B336" s="432"/>
      <c r="T336" s="432"/>
      <c r="V336" s="432"/>
      <c r="W336" s="432"/>
    </row>
    <row r="337" spans="2:23" ht="15" x14ac:dyDescent="0.25">
      <c r="B337" s="432"/>
      <c r="T337" s="432"/>
      <c r="V337" s="432"/>
      <c r="W337" s="432"/>
    </row>
    <row r="338" spans="2:23" ht="15" x14ac:dyDescent="0.25">
      <c r="B338" s="432"/>
      <c r="T338" s="432"/>
      <c r="V338" s="432"/>
      <c r="W338" s="432"/>
    </row>
    <row r="339" spans="2:23" ht="15" x14ac:dyDescent="0.25">
      <c r="B339" s="432"/>
      <c r="T339" s="432"/>
      <c r="V339" s="432"/>
      <c r="W339" s="432"/>
    </row>
    <row r="340" spans="2:23" ht="15" x14ac:dyDescent="0.25">
      <c r="B340" s="432"/>
      <c r="T340" s="432"/>
      <c r="V340" s="432"/>
      <c r="W340" s="432"/>
    </row>
    <row r="341" spans="2:23" ht="15" x14ac:dyDescent="0.25">
      <c r="B341" s="432"/>
      <c r="T341" s="432"/>
      <c r="V341" s="432"/>
      <c r="W341" s="432"/>
    </row>
    <row r="342" spans="2:23" ht="15" x14ac:dyDescent="0.25">
      <c r="B342" s="432"/>
      <c r="T342" s="432"/>
      <c r="V342" s="432"/>
      <c r="W342" s="432"/>
    </row>
    <row r="343" spans="2:23" ht="15" x14ac:dyDescent="0.25">
      <c r="B343" s="432"/>
      <c r="T343" s="432"/>
      <c r="V343" s="432"/>
      <c r="W343" s="432"/>
    </row>
    <row r="344" spans="2:23" ht="15" x14ac:dyDescent="0.25">
      <c r="B344" s="432"/>
      <c r="T344" s="432"/>
      <c r="V344" s="432"/>
      <c r="W344" s="432"/>
    </row>
    <row r="345" spans="2:23" ht="15" x14ac:dyDescent="0.25">
      <c r="B345" s="432"/>
      <c r="T345" s="432"/>
      <c r="V345" s="432"/>
      <c r="W345" s="432"/>
    </row>
    <row r="346" spans="2:23" ht="15" x14ac:dyDescent="0.25">
      <c r="B346" s="432"/>
      <c r="T346" s="432"/>
      <c r="V346" s="432"/>
      <c r="W346" s="432"/>
    </row>
    <row r="347" spans="2:23" ht="15" x14ac:dyDescent="0.25">
      <c r="B347" s="432"/>
      <c r="T347" s="432"/>
      <c r="V347" s="432"/>
      <c r="W347" s="432"/>
    </row>
    <row r="348" spans="2:23" ht="15" x14ac:dyDescent="0.25">
      <c r="B348" s="432"/>
      <c r="T348" s="432"/>
      <c r="V348" s="432"/>
      <c r="W348" s="432"/>
    </row>
    <row r="349" spans="2:23" ht="15" x14ac:dyDescent="0.25">
      <c r="B349" s="432"/>
      <c r="T349" s="432"/>
      <c r="V349" s="432"/>
      <c r="W349" s="432"/>
    </row>
    <row r="350" spans="2:23" ht="15" x14ac:dyDescent="0.25">
      <c r="B350" s="432"/>
      <c r="T350" s="432"/>
      <c r="V350" s="432"/>
      <c r="W350" s="432"/>
    </row>
    <row r="351" spans="2:23" ht="15" x14ac:dyDescent="0.25">
      <c r="B351" s="432"/>
      <c r="T351" s="432"/>
      <c r="V351" s="432"/>
      <c r="W351" s="432"/>
    </row>
    <row r="352" spans="2:23" ht="15" x14ac:dyDescent="0.25">
      <c r="B352" s="432"/>
      <c r="T352" s="432"/>
      <c r="V352" s="432"/>
      <c r="W352" s="432"/>
    </row>
    <row r="353" spans="2:23" ht="15" x14ac:dyDescent="0.25">
      <c r="B353" s="432"/>
      <c r="T353" s="432"/>
      <c r="V353" s="432"/>
      <c r="W353" s="432"/>
    </row>
    <row r="354" spans="2:23" ht="15" x14ac:dyDescent="0.25">
      <c r="B354" s="432"/>
      <c r="T354" s="432"/>
      <c r="V354" s="432"/>
      <c r="W354" s="432"/>
    </row>
    <row r="355" spans="2:23" ht="15" x14ac:dyDescent="0.25">
      <c r="B355" s="432"/>
      <c r="T355" s="432"/>
      <c r="V355" s="432"/>
      <c r="W355" s="432"/>
    </row>
    <row r="356" spans="2:23" ht="15" x14ac:dyDescent="0.25">
      <c r="B356" s="432"/>
      <c r="T356" s="432"/>
      <c r="V356" s="432"/>
      <c r="W356" s="432"/>
    </row>
    <row r="357" spans="2:23" ht="15" x14ac:dyDescent="0.25">
      <c r="B357" s="432"/>
      <c r="T357" s="432"/>
      <c r="V357" s="432"/>
      <c r="W357" s="432"/>
    </row>
    <row r="358" spans="2:23" ht="15" x14ac:dyDescent="0.25">
      <c r="B358" s="432"/>
      <c r="T358" s="432"/>
      <c r="V358" s="432"/>
      <c r="W358" s="432"/>
    </row>
    <row r="359" spans="2:23" ht="15" x14ac:dyDescent="0.25">
      <c r="B359" s="432"/>
      <c r="T359" s="432"/>
      <c r="V359" s="432"/>
      <c r="W359" s="432"/>
    </row>
    <row r="360" spans="2:23" ht="15" x14ac:dyDescent="0.25">
      <c r="B360" s="432"/>
      <c r="T360" s="432"/>
      <c r="V360" s="432"/>
      <c r="W360" s="432"/>
    </row>
    <row r="361" spans="2:23" ht="15" x14ac:dyDescent="0.25">
      <c r="B361" s="432"/>
      <c r="T361" s="432"/>
      <c r="V361" s="432"/>
      <c r="W361" s="432"/>
    </row>
    <row r="362" spans="2:23" ht="15" x14ac:dyDescent="0.25">
      <c r="B362" s="432"/>
      <c r="T362" s="432"/>
      <c r="V362" s="432"/>
      <c r="W362" s="432"/>
    </row>
    <row r="363" spans="2:23" ht="15" x14ac:dyDescent="0.25">
      <c r="B363" s="432"/>
      <c r="T363" s="432"/>
      <c r="V363" s="432"/>
      <c r="W363" s="432"/>
    </row>
    <row r="364" spans="2:23" ht="15" x14ac:dyDescent="0.25">
      <c r="B364" s="432"/>
      <c r="T364" s="432"/>
      <c r="V364" s="432"/>
      <c r="W364" s="432"/>
    </row>
    <row r="365" spans="2:23" ht="15" x14ac:dyDescent="0.25">
      <c r="B365" s="432"/>
      <c r="T365" s="432"/>
      <c r="V365" s="432"/>
      <c r="W365" s="432"/>
    </row>
    <row r="366" spans="2:23" ht="15" x14ac:dyDescent="0.25">
      <c r="B366" s="432"/>
      <c r="T366" s="432"/>
      <c r="V366" s="432"/>
      <c r="W366" s="432"/>
    </row>
    <row r="367" spans="2:23" ht="15" x14ac:dyDescent="0.25">
      <c r="B367" s="432"/>
      <c r="T367" s="432"/>
      <c r="V367" s="432"/>
      <c r="W367" s="432"/>
    </row>
    <row r="368" spans="2:23" ht="15" x14ac:dyDescent="0.25">
      <c r="B368" s="432"/>
      <c r="T368" s="432"/>
      <c r="V368" s="432"/>
      <c r="W368" s="432"/>
    </row>
    <row r="369" spans="2:23" ht="15" x14ac:dyDescent="0.25">
      <c r="B369" s="432"/>
      <c r="T369" s="432"/>
      <c r="V369" s="432"/>
      <c r="W369" s="432"/>
    </row>
    <row r="370" spans="2:23" ht="15" x14ac:dyDescent="0.25">
      <c r="B370" s="432"/>
      <c r="T370" s="432"/>
      <c r="V370" s="432"/>
      <c r="W370" s="432"/>
    </row>
    <row r="371" spans="2:23" ht="15" x14ac:dyDescent="0.25">
      <c r="B371" s="432"/>
      <c r="T371" s="432"/>
      <c r="V371" s="432"/>
      <c r="W371" s="432"/>
    </row>
    <row r="372" spans="2:23" ht="15" x14ac:dyDescent="0.25">
      <c r="B372" s="432"/>
      <c r="T372" s="432"/>
      <c r="V372" s="432"/>
      <c r="W372" s="432"/>
    </row>
    <row r="373" spans="2:23" ht="15" x14ac:dyDescent="0.25">
      <c r="B373" s="432"/>
      <c r="T373" s="432"/>
      <c r="V373" s="432"/>
      <c r="W373" s="432"/>
    </row>
    <row r="374" spans="2:23" ht="15" x14ac:dyDescent="0.25">
      <c r="B374" s="432"/>
      <c r="T374" s="432"/>
      <c r="V374" s="432"/>
      <c r="W374" s="432"/>
    </row>
    <row r="375" spans="2:23" ht="15" x14ac:dyDescent="0.25">
      <c r="B375" s="432"/>
      <c r="T375" s="432"/>
      <c r="V375" s="432"/>
      <c r="W375" s="432"/>
    </row>
    <row r="376" spans="2:23" ht="15" x14ac:dyDescent="0.25">
      <c r="B376" s="432"/>
      <c r="T376" s="432"/>
      <c r="V376" s="432"/>
      <c r="W376" s="432"/>
    </row>
    <row r="377" spans="2:23" ht="15" x14ac:dyDescent="0.25">
      <c r="B377" s="432"/>
      <c r="T377" s="432"/>
      <c r="V377" s="432"/>
      <c r="W377" s="432"/>
    </row>
    <row r="378" spans="2:23" ht="15" x14ac:dyDescent="0.25">
      <c r="B378" s="432"/>
      <c r="T378" s="432"/>
      <c r="V378" s="432"/>
      <c r="W378" s="432"/>
    </row>
    <row r="379" spans="2:23" ht="15" x14ac:dyDescent="0.25">
      <c r="B379" s="432"/>
      <c r="T379" s="432"/>
      <c r="V379" s="432"/>
      <c r="W379" s="432"/>
    </row>
    <row r="380" spans="2:23" ht="15" x14ac:dyDescent="0.25">
      <c r="B380" s="432"/>
      <c r="T380" s="432"/>
      <c r="V380" s="432"/>
      <c r="W380" s="432"/>
    </row>
    <row r="381" spans="2:23" ht="15" x14ac:dyDescent="0.25">
      <c r="B381" s="432"/>
      <c r="T381" s="432"/>
      <c r="V381" s="432"/>
      <c r="W381" s="432"/>
    </row>
    <row r="382" spans="2:23" ht="15" x14ac:dyDescent="0.25">
      <c r="B382" s="432"/>
      <c r="T382" s="432"/>
      <c r="V382" s="432"/>
      <c r="W382" s="432"/>
    </row>
    <row r="383" spans="2:23" ht="15" x14ac:dyDescent="0.25">
      <c r="B383" s="432"/>
      <c r="T383" s="432"/>
      <c r="V383" s="432"/>
      <c r="W383" s="432"/>
    </row>
    <row r="384" spans="2:23" ht="15" x14ac:dyDescent="0.25">
      <c r="B384" s="432"/>
      <c r="T384" s="432"/>
      <c r="V384" s="432"/>
      <c r="W384" s="432"/>
    </row>
    <row r="385" spans="2:23" ht="15" x14ac:dyDescent="0.25">
      <c r="B385" s="432"/>
      <c r="T385" s="432"/>
      <c r="V385" s="432"/>
      <c r="W385" s="432"/>
    </row>
    <row r="386" spans="2:23" ht="15" x14ac:dyDescent="0.25">
      <c r="B386" s="432"/>
      <c r="T386" s="432"/>
      <c r="V386" s="432"/>
      <c r="W386" s="432"/>
    </row>
    <row r="387" spans="2:23" ht="15" x14ac:dyDescent="0.25">
      <c r="B387" s="432"/>
      <c r="T387" s="432"/>
      <c r="V387" s="432"/>
      <c r="W387" s="432"/>
    </row>
    <row r="388" spans="2:23" ht="15" x14ac:dyDescent="0.25">
      <c r="B388" s="432"/>
      <c r="T388" s="432"/>
      <c r="V388" s="432"/>
      <c r="W388" s="432"/>
    </row>
    <row r="389" spans="2:23" ht="15" x14ac:dyDescent="0.25">
      <c r="B389" s="432"/>
      <c r="T389" s="432"/>
      <c r="V389" s="432"/>
      <c r="W389" s="432"/>
    </row>
    <row r="390" spans="2:23" ht="15" x14ac:dyDescent="0.25">
      <c r="B390" s="432"/>
      <c r="T390" s="432"/>
      <c r="V390" s="432"/>
      <c r="W390" s="432"/>
    </row>
    <row r="391" spans="2:23" ht="15" x14ac:dyDescent="0.25">
      <c r="B391" s="432"/>
      <c r="T391" s="432"/>
      <c r="V391" s="432"/>
      <c r="W391" s="432"/>
    </row>
    <row r="392" spans="2:23" ht="15" x14ac:dyDescent="0.25">
      <c r="B392" s="432"/>
      <c r="T392" s="432"/>
      <c r="V392" s="432"/>
      <c r="W392" s="432"/>
    </row>
    <row r="393" spans="2:23" ht="15" x14ac:dyDescent="0.25">
      <c r="B393" s="432"/>
      <c r="T393" s="432"/>
      <c r="V393" s="432"/>
      <c r="W393" s="432"/>
    </row>
    <row r="394" spans="2:23" ht="15" x14ac:dyDescent="0.25">
      <c r="B394" s="432"/>
      <c r="T394" s="432"/>
      <c r="V394" s="432"/>
      <c r="W394" s="432"/>
    </row>
    <row r="395" spans="2:23" ht="15" x14ac:dyDescent="0.25">
      <c r="B395" s="432"/>
      <c r="T395" s="432"/>
      <c r="V395" s="432"/>
      <c r="W395" s="432"/>
    </row>
    <row r="396" spans="2:23" ht="15" x14ac:dyDescent="0.25">
      <c r="B396" s="432"/>
      <c r="T396" s="432"/>
      <c r="V396" s="432"/>
      <c r="W396" s="432"/>
    </row>
    <row r="397" spans="2:23" ht="15" x14ac:dyDescent="0.25">
      <c r="B397" s="432"/>
      <c r="T397" s="432"/>
      <c r="V397" s="432"/>
      <c r="W397" s="432"/>
    </row>
    <row r="398" spans="2:23" ht="15" x14ac:dyDescent="0.25">
      <c r="B398" s="432"/>
      <c r="T398" s="432"/>
      <c r="V398" s="432"/>
      <c r="W398" s="432"/>
    </row>
    <row r="399" spans="2:23" ht="15" x14ac:dyDescent="0.25">
      <c r="B399" s="432"/>
      <c r="T399" s="432"/>
      <c r="V399" s="432"/>
      <c r="W399" s="432"/>
    </row>
    <row r="400" spans="2:23" ht="15" x14ac:dyDescent="0.25">
      <c r="B400" s="432"/>
      <c r="T400" s="432"/>
      <c r="V400" s="432"/>
      <c r="W400" s="432"/>
    </row>
    <row r="401" spans="2:23" ht="15" x14ac:dyDescent="0.25">
      <c r="B401" s="432"/>
      <c r="T401" s="432"/>
      <c r="V401" s="432"/>
      <c r="W401" s="432"/>
    </row>
    <row r="402" spans="2:23" ht="15" x14ac:dyDescent="0.25">
      <c r="B402" s="432"/>
      <c r="T402" s="432"/>
      <c r="V402" s="432"/>
      <c r="W402" s="432"/>
    </row>
    <row r="403" spans="2:23" ht="15" x14ac:dyDescent="0.25">
      <c r="B403" s="432"/>
      <c r="T403" s="432"/>
      <c r="V403" s="432"/>
      <c r="W403" s="432"/>
    </row>
    <row r="404" spans="2:23" ht="15" x14ac:dyDescent="0.25">
      <c r="B404" s="432"/>
      <c r="T404" s="432"/>
      <c r="V404" s="432"/>
      <c r="W404" s="432"/>
    </row>
    <row r="405" spans="2:23" ht="15" x14ac:dyDescent="0.25">
      <c r="B405" s="432"/>
      <c r="T405" s="432"/>
      <c r="V405" s="432"/>
      <c r="W405" s="432"/>
    </row>
    <row r="406" spans="2:23" ht="15" x14ac:dyDescent="0.25">
      <c r="B406" s="432"/>
      <c r="T406" s="432"/>
      <c r="V406" s="432"/>
      <c r="W406" s="432"/>
    </row>
    <row r="407" spans="2:23" ht="15" x14ac:dyDescent="0.25">
      <c r="B407" s="432"/>
      <c r="T407" s="432"/>
      <c r="V407" s="432"/>
      <c r="W407" s="432"/>
    </row>
    <row r="408" spans="2:23" ht="15" x14ac:dyDescent="0.25">
      <c r="B408" s="432"/>
      <c r="T408" s="432"/>
      <c r="V408" s="432"/>
      <c r="W408" s="432"/>
    </row>
    <row r="409" spans="2:23" ht="15" x14ac:dyDescent="0.25">
      <c r="B409" s="432"/>
      <c r="T409" s="432"/>
      <c r="V409" s="432"/>
      <c r="W409" s="432"/>
    </row>
    <row r="410" spans="2:23" ht="15" x14ac:dyDescent="0.25">
      <c r="B410" s="432"/>
      <c r="T410" s="432"/>
      <c r="V410" s="432"/>
      <c r="W410" s="432"/>
    </row>
    <row r="411" spans="2:23" ht="15" x14ac:dyDescent="0.25">
      <c r="B411" s="432"/>
      <c r="T411" s="432"/>
      <c r="V411" s="432"/>
      <c r="W411" s="432"/>
    </row>
    <row r="412" spans="2:23" ht="15" x14ac:dyDescent="0.25">
      <c r="B412" s="432"/>
      <c r="T412" s="432"/>
      <c r="V412" s="432"/>
      <c r="W412" s="432"/>
    </row>
    <row r="413" spans="2:23" ht="15" x14ac:dyDescent="0.25">
      <c r="B413" s="432"/>
      <c r="T413" s="432"/>
      <c r="V413" s="432"/>
      <c r="W413" s="432"/>
    </row>
    <row r="414" spans="2:23" ht="15" x14ac:dyDescent="0.25">
      <c r="B414" s="432"/>
      <c r="T414" s="432"/>
      <c r="V414" s="432"/>
      <c r="W414" s="432"/>
    </row>
    <row r="415" spans="2:23" ht="15" x14ac:dyDescent="0.25">
      <c r="B415" s="432"/>
      <c r="T415" s="432"/>
      <c r="V415" s="432"/>
      <c r="W415" s="432"/>
    </row>
    <row r="416" spans="2:23" ht="15" x14ac:dyDescent="0.25">
      <c r="B416" s="432"/>
      <c r="T416" s="432"/>
      <c r="V416" s="432"/>
      <c r="W416" s="432"/>
    </row>
    <row r="417" spans="2:23" ht="15" x14ac:dyDescent="0.25">
      <c r="B417" s="432"/>
      <c r="T417" s="432"/>
      <c r="V417" s="432"/>
      <c r="W417" s="432"/>
    </row>
    <row r="418" spans="2:23" ht="15" x14ac:dyDescent="0.25">
      <c r="B418" s="432"/>
      <c r="T418" s="432"/>
      <c r="V418" s="432"/>
      <c r="W418" s="432"/>
    </row>
    <row r="419" spans="2:23" ht="15" x14ac:dyDescent="0.25">
      <c r="B419" s="432"/>
      <c r="T419" s="432"/>
      <c r="V419" s="432"/>
      <c r="W419" s="432"/>
    </row>
    <row r="420" spans="2:23" ht="15" x14ac:dyDescent="0.25">
      <c r="B420" s="432"/>
      <c r="T420" s="432"/>
      <c r="V420" s="432"/>
      <c r="W420" s="432"/>
    </row>
    <row r="421" spans="2:23" ht="15" x14ac:dyDescent="0.25">
      <c r="B421" s="432"/>
      <c r="T421" s="432"/>
      <c r="V421" s="432"/>
      <c r="W421" s="432"/>
    </row>
    <row r="422" spans="2:23" ht="15" x14ac:dyDescent="0.25">
      <c r="B422" s="432"/>
      <c r="T422" s="432"/>
      <c r="V422" s="432"/>
      <c r="W422" s="432"/>
    </row>
    <row r="423" spans="2:23" ht="15" x14ac:dyDescent="0.25">
      <c r="B423" s="432"/>
      <c r="T423" s="432"/>
      <c r="V423" s="432"/>
      <c r="W423" s="432"/>
    </row>
    <row r="424" spans="2:23" ht="15" x14ac:dyDescent="0.25">
      <c r="B424" s="432"/>
      <c r="T424" s="432"/>
      <c r="V424" s="432"/>
      <c r="W424" s="432"/>
    </row>
    <row r="425" spans="2:23" ht="15" x14ac:dyDescent="0.25">
      <c r="B425" s="432"/>
      <c r="T425" s="432"/>
      <c r="V425" s="432"/>
      <c r="W425" s="432"/>
    </row>
    <row r="426" spans="2:23" ht="15" x14ac:dyDescent="0.25">
      <c r="B426" s="432"/>
      <c r="T426" s="432"/>
      <c r="V426" s="432"/>
      <c r="W426" s="432"/>
    </row>
    <row r="427" spans="2:23" ht="15" x14ac:dyDescent="0.25">
      <c r="B427" s="432"/>
      <c r="T427" s="432"/>
      <c r="V427" s="432"/>
      <c r="W427" s="432"/>
    </row>
    <row r="428" spans="2:23" ht="15" x14ac:dyDescent="0.25">
      <c r="B428" s="432"/>
      <c r="T428" s="432"/>
      <c r="V428" s="432"/>
      <c r="W428" s="432"/>
    </row>
    <row r="429" spans="2:23" ht="15" x14ac:dyDescent="0.25">
      <c r="B429" s="432"/>
      <c r="T429" s="432"/>
      <c r="V429" s="432"/>
      <c r="W429" s="432"/>
    </row>
    <row r="430" spans="2:23" ht="15" x14ac:dyDescent="0.25">
      <c r="B430" s="432"/>
      <c r="T430" s="432"/>
      <c r="V430" s="432"/>
      <c r="W430" s="432"/>
    </row>
    <row r="431" spans="2:23" ht="15" x14ac:dyDescent="0.25">
      <c r="B431" s="432"/>
      <c r="T431" s="432"/>
      <c r="V431" s="432"/>
      <c r="W431" s="432"/>
    </row>
    <row r="432" spans="2:23" ht="15" x14ac:dyDescent="0.25">
      <c r="B432" s="432"/>
      <c r="T432" s="432"/>
      <c r="V432" s="432"/>
      <c r="W432" s="432"/>
    </row>
    <row r="433" spans="2:23" ht="15" x14ac:dyDescent="0.25">
      <c r="B433" s="432"/>
      <c r="T433" s="432"/>
      <c r="V433" s="432"/>
      <c r="W433" s="432"/>
    </row>
    <row r="434" spans="2:23" ht="15" x14ac:dyDescent="0.25">
      <c r="B434" s="432"/>
      <c r="T434" s="432"/>
      <c r="V434" s="432"/>
      <c r="W434" s="432"/>
    </row>
    <row r="435" spans="2:23" ht="15" x14ac:dyDescent="0.25">
      <c r="B435" s="432"/>
      <c r="T435" s="432"/>
      <c r="V435" s="432"/>
      <c r="W435" s="432"/>
    </row>
    <row r="436" spans="2:23" ht="15" x14ac:dyDescent="0.25">
      <c r="B436" s="432"/>
      <c r="T436" s="432"/>
      <c r="V436" s="432"/>
      <c r="W436" s="432"/>
    </row>
    <row r="437" spans="2:23" ht="15" x14ac:dyDescent="0.25">
      <c r="B437" s="432"/>
      <c r="T437" s="432"/>
      <c r="V437" s="432"/>
      <c r="W437" s="432"/>
    </row>
    <row r="438" spans="2:23" ht="15" x14ac:dyDescent="0.25">
      <c r="B438" s="432"/>
      <c r="T438" s="432"/>
      <c r="V438" s="432"/>
      <c r="W438" s="432"/>
    </row>
    <row r="439" spans="2:23" ht="15" x14ac:dyDescent="0.25">
      <c r="B439" s="432"/>
      <c r="T439" s="432"/>
      <c r="V439" s="432"/>
      <c r="W439" s="432"/>
    </row>
    <row r="440" spans="2:23" ht="15" x14ac:dyDescent="0.25">
      <c r="B440" s="432"/>
      <c r="T440" s="432"/>
      <c r="V440" s="432"/>
      <c r="W440" s="432"/>
    </row>
    <row r="441" spans="2:23" ht="15" x14ac:dyDescent="0.25">
      <c r="B441" s="432"/>
      <c r="T441" s="432"/>
      <c r="V441" s="432"/>
      <c r="W441" s="432"/>
    </row>
    <row r="442" spans="2:23" ht="15" x14ac:dyDescent="0.25">
      <c r="B442" s="432"/>
      <c r="T442" s="432"/>
      <c r="V442" s="432"/>
      <c r="W442" s="432"/>
    </row>
    <row r="443" spans="2:23" ht="15" x14ac:dyDescent="0.25">
      <c r="B443" s="432"/>
      <c r="T443" s="432"/>
      <c r="V443" s="432"/>
      <c r="W443" s="432"/>
    </row>
    <row r="444" spans="2:23" ht="15" x14ac:dyDescent="0.25">
      <c r="B444" s="432"/>
      <c r="T444" s="432"/>
      <c r="V444" s="432"/>
      <c r="W444" s="432"/>
    </row>
    <row r="445" spans="2:23" ht="15" x14ac:dyDescent="0.25">
      <c r="B445" s="432"/>
      <c r="T445" s="432"/>
      <c r="V445" s="432"/>
      <c r="W445" s="432"/>
    </row>
  </sheetData>
  <sheetProtection password="C6F9" sheet="1" objects="1" scenarios="1"/>
  <mergeCells count="64">
    <mergeCell ref="D5:D7"/>
    <mergeCell ref="C5:C7"/>
    <mergeCell ref="B5:B7"/>
    <mergeCell ref="A5:A7"/>
    <mergeCell ref="AA6:AA7"/>
    <mergeCell ref="E6:G6"/>
    <mergeCell ref="H6:J6"/>
    <mergeCell ref="K6:M6"/>
    <mergeCell ref="N6:P6"/>
    <mergeCell ref="E5:P5"/>
    <mergeCell ref="AD5:AD7"/>
    <mergeCell ref="AE5:AE7"/>
    <mergeCell ref="Q5:S6"/>
    <mergeCell ref="T5:T7"/>
    <mergeCell ref="X6:X7"/>
    <mergeCell ref="Y6:Y7"/>
    <mergeCell ref="Z6:Z7"/>
    <mergeCell ref="W5:W7"/>
    <mergeCell ref="V5:V7"/>
    <mergeCell ref="U5:U7"/>
    <mergeCell ref="X5:Z5"/>
    <mergeCell ref="AA5:AC5"/>
    <mergeCell ref="AB6:AB7"/>
    <mergeCell ref="AC6:AC7"/>
    <mergeCell ref="E67:H67"/>
    <mergeCell ref="E71:H71"/>
    <mergeCell ref="E59:H59"/>
    <mergeCell ref="E15:H15"/>
    <mergeCell ref="E19:H19"/>
    <mergeCell ref="E23:H23"/>
    <mergeCell ref="E27:H27"/>
    <mergeCell ref="E31:H31"/>
    <mergeCell ref="E55:H55"/>
    <mergeCell ref="E51:H51"/>
    <mergeCell ref="E99:H99"/>
    <mergeCell ref="E103:H103"/>
    <mergeCell ref="E107:H107"/>
    <mergeCell ref="E111:H111"/>
    <mergeCell ref="E11:H11"/>
    <mergeCell ref="E35:H35"/>
    <mergeCell ref="E39:H39"/>
    <mergeCell ref="E43:H43"/>
    <mergeCell ref="E47:H47"/>
    <mergeCell ref="E87:H87"/>
    <mergeCell ref="E91:H91"/>
    <mergeCell ref="E95:H95"/>
    <mergeCell ref="E83:H83"/>
    <mergeCell ref="E75:H75"/>
    <mergeCell ref="E79:H79"/>
    <mergeCell ref="E63:H63"/>
    <mergeCell ref="E155:H155"/>
    <mergeCell ref="E159:H159"/>
    <mergeCell ref="E163:H163"/>
    <mergeCell ref="E167:H167"/>
    <mergeCell ref="E135:H135"/>
    <mergeCell ref="E139:H139"/>
    <mergeCell ref="E143:H143"/>
    <mergeCell ref="E147:H147"/>
    <mergeCell ref="E151:H151"/>
    <mergeCell ref="E115:H115"/>
    <mergeCell ref="E119:H119"/>
    <mergeCell ref="E123:H123"/>
    <mergeCell ref="E127:H127"/>
    <mergeCell ref="E131:H131"/>
  </mergeCells>
  <conditionalFormatting sqref="T8:T10">
    <cfRule type="top10" dxfId="1365" priority="1446" bottom="1" rank="1"/>
    <cfRule type="top10" dxfId="1364" priority="1447" rank="1"/>
  </conditionalFormatting>
  <conditionalFormatting sqref="T16:T18">
    <cfRule type="top10" dxfId="1363" priority="77" bottom="1" rank="1"/>
    <cfRule type="top10" dxfId="1362" priority="78" rank="1"/>
  </conditionalFormatting>
  <conditionalFormatting sqref="T12:T14">
    <cfRule type="top10" dxfId="1361" priority="79" bottom="1" rank="1"/>
    <cfRule type="top10" dxfId="1360" priority="80" rank="1"/>
  </conditionalFormatting>
  <conditionalFormatting sqref="T20:T22">
    <cfRule type="top10" dxfId="1359" priority="75" bottom="1" rank="1"/>
    <cfRule type="top10" dxfId="1358" priority="76" rank="1"/>
  </conditionalFormatting>
  <conditionalFormatting sqref="T24:T26">
    <cfRule type="top10" dxfId="1357" priority="73" bottom="1" rank="1"/>
    <cfRule type="top10" dxfId="1356" priority="74" rank="1"/>
  </conditionalFormatting>
  <conditionalFormatting sqref="T28:T30">
    <cfRule type="top10" dxfId="1355" priority="71" bottom="1" rank="1"/>
    <cfRule type="top10" dxfId="1354" priority="72" rank="1"/>
  </conditionalFormatting>
  <conditionalFormatting sqref="T32:T34">
    <cfRule type="top10" dxfId="1353" priority="69" bottom="1" rank="1"/>
    <cfRule type="top10" dxfId="1352" priority="70" rank="1"/>
  </conditionalFormatting>
  <conditionalFormatting sqref="T36:T38">
    <cfRule type="top10" dxfId="1351" priority="67" bottom="1" rank="1"/>
    <cfRule type="top10" dxfId="1350" priority="68" rank="1"/>
  </conditionalFormatting>
  <conditionalFormatting sqref="T40:T42">
    <cfRule type="top10" dxfId="1349" priority="65" bottom="1" rank="1"/>
    <cfRule type="top10" dxfId="1348" priority="66" rank="1"/>
  </conditionalFormatting>
  <conditionalFormatting sqref="T44:T46">
    <cfRule type="top10" dxfId="1347" priority="63" bottom="1" rank="1"/>
    <cfRule type="top10" dxfId="1346" priority="64" rank="1"/>
  </conditionalFormatting>
  <conditionalFormatting sqref="T48:T50">
    <cfRule type="top10" dxfId="1345" priority="61" bottom="1" rank="1"/>
    <cfRule type="top10" dxfId="1344" priority="62" rank="1"/>
  </conditionalFormatting>
  <conditionalFormatting sqref="T52:T54">
    <cfRule type="top10" dxfId="1343" priority="59" bottom="1" rank="1"/>
    <cfRule type="top10" dxfId="1342" priority="60" rank="1"/>
  </conditionalFormatting>
  <conditionalFormatting sqref="T56:T58">
    <cfRule type="top10" dxfId="1341" priority="57" bottom="1" rank="1"/>
    <cfRule type="top10" dxfId="1340" priority="58" rank="1"/>
  </conditionalFormatting>
  <conditionalFormatting sqref="T60:T62">
    <cfRule type="top10" dxfId="1339" priority="55" bottom="1" rank="1"/>
    <cfRule type="top10" dxfId="1338" priority="56" rank="1"/>
  </conditionalFormatting>
  <conditionalFormatting sqref="T64:T66">
    <cfRule type="top10" dxfId="1337" priority="53" bottom="1" rank="1"/>
    <cfRule type="top10" dxfId="1336" priority="54" rank="1"/>
  </conditionalFormatting>
  <conditionalFormatting sqref="T68:T70">
    <cfRule type="top10" dxfId="1335" priority="51" bottom="1" rank="1"/>
    <cfRule type="top10" dxfId="1334" priority="52" rank="1"/>
  </conditionalFormatting>
  <conditionalFormatting sqref="T72:T74">
    <cfRule type="top10" dxfId="1333" priority="49" bottom="1" rank="1"/>
    <cfRule type="top10" dxfId="1332" priority="50" rank="1"/>
  </conditionalFormatting>
  <conditionalFormatting sqref="T76:T78">
    <cfRule type="top10" dxfId="1331" priority="47" bottom="1" rank="1"/>
    <cfRule type="top10" dxfId="1330" priority="48" rank="1"/>
  </conditionalFormatting>
  <conditionalFormatting sqref="T80:T82">
    <cfRule type="top10" dxfId="1329" priority="45" bottom="1" rank="1"/>
    <cfRule type="top10" dxfId="1328" priority="46" rank="1"/>
  </conditionalFormatting>
  <conditionalFormatting sqref="T84:T86">
    <cfRule type="top10" dxfId="1327" priority="43" bottom="1" rank="1"/>
    <cfRule type="top10" dxfId="1326" priority="44" rank="1"/>
  </conditionalFormatting>
  <conditionalFormatting sqref="T88:T90">
    <cfRule type="top10" dxfId="1325" priority="41" bottom="1" rank="1"/>
    <cfRule type="top10" dxfId="1324" priority="42" rank="1"/>
  </conditionalFormatting>
  <conditionalFormatting sqref="T92:T94">
    <cfRule type="top10" dxfId="1323" priority="39" bottom="1" rank="1"/>
    <cfRule type="top10" dxfId="1322" priority="40" rank="1"/>
  </conditionalFormatting>
  <conditionalFormatting sqref="T96:T98">
    <cfRule type="top10" dxfId="1321" priority="37" bottom="1" rank="1"/>
    <cfRule type="top10" dxfId="1320" priority="38" rank="1"/>
  </conditionalFormatting>
  <conditionalFormatting sqref="T100:T102">
    <cfRule type="top10" dxfId="1319" priority="35" bottom="1" rank="1"/>
    <cfRule type="top10" dxfId="1318" priority="36" rank="1"/>
  </conditionalFormatting>
  <conditionalFormatting sqref="T104:T106">
    <cfRule type="top10" dxfId="1317" priority="33" bottom="1" rank="1"/>
    <cfRule type="top10" dxfId="1316" priority="34" rank="1"/>
  </conditionalFormatting>
  <conditionalFormatting sqref="T108:T110">
    <cfRule type="top10" dxfId="1315" priority="31" bottom="1" rank="1"/>
    <cfRule type="top10" dxfId="1314" priority="32" rank="1"/>
  </conditionalFormatting>
  <conditionalFormatting sqref="T112:T114">
    <cfRule type="top10" dxfId="1313" priority="29" bottom="1" rank="1"/>
    <cfRule type="top10" dxfId="1312" priority="30" rank="1"/>
  </conditionalFormatting>
  <conditionalFormatting sqref="T116:T118">
    <cfRule type="top10" dxfId="1311" priority="27" bottom="1" rank="1"/>
    <cfRule type="top10" dxfId="1310" priority="28" rank="1"/>
  </conditionalFormatting>
  <conditionalFormatting sqref="T120:T122">
    <cfRule type="top10" dxfId="1309" priority="25" bottom="1" rank="1"/>
    <cfRule type="top10" dxfId="1308" priority="26" rank="1"/>
  </conditionalFormatting>
  <conditionalFormatting sqref="T124:T126">
    <cfRule type="top10" dxfId="1307" priority="23" bottom="1" rank="1"/>
    <cfRule type="top10" dxfId="1306" priority="24" rank="1"/>
  </conditionalFormatting>
  <conditionalFormatting sqref="T128:T130">
    <cfRule type="top10" dxfId="1305" priority="21" bottom="1" rank="1"/>
    <cfRule type="top10" dxfId="1304" priority="22" rank="1"/>
  </conditionalFormatting>
  <conditionalFormatting sqref="T132:T134">
    <cfRule type="top10" dxfId="1303" priority="19" bottom="1" rank="1"/>
    <cfRule type="top10" dxfId="1302" priority="20" rank="1"/>
  </conditionalFormatting>
  <conditionalFormatting sqref="T136:T138">
    <cfRule type="top10" dxfId="1301" priority="17" bottom="1" rank="1"/>
    <cfRule type="top10" dxfId="1300" priority="18" rank="1"/>
  </conditionalFormatting>
  <conditionalFormatting sqref="T140:T142">
    <cfRule type="top10" dxfId="1299" priority="15" bottom="1" rank="1"/>
    <cfRule type="top10" dxfId="1298" priority="16" rank="1"/>
  </conditionalFormatting>
  <conditionalFormatting sqref="T144:T146">
    <cfRule type="top10" dxfId="1297" priority="13" bottom="1" rank="1"/>
    <cfRule type="top10" dxfId="1296" priority="14" rank="1"/>
  </conditionalFormatting>
  <conditionalFormatting sqref="T148:T150">
    <cfRule type="top10" dxfId="1295" priority="11" bottom="1" rank="1"/>
    <cfRule type="top10" dxfId="1294" priority="12" rank="1"/>
  </conditionalFormatting>
  <conditionalFormatting sqref="T152:T154">
    <cfRule type="top10" dxfId="1293" priority="9" bottom="1" rank="1"/>
    <cfRule type="top10" dxfId="1292" priority="10" rank="1"/>
  </conditionalFormatting>
  <conditionalFormatting sqref="T156:T158">
    <cfRule type="top10" dxfId="1291" priority="7" bottom="1" rank="1"/>
    <cfRule type="top10" dxfId="1290" priority="8" rank="1"/>
  </conditionalFormatting>
  <conditionalFormatting sqref="T160:T162">
    <cfRule type="top10" dxfId="1289" priority="5" bottom="1" rank="1"/>
    <cfRule type="top10" dxfId="1288" priority="6" rank="1"/>
  </conditionalFormatting>
  <conditionalFormatting sqref="T164:T166">
    <cfRule type="top10" dxfId="1287" priority="3" bottom="1" rank="1"/>
    <cfRule type="top10" dxfId="1286" priority="4" rank="1"/>
  </conditionalFormatting>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C000"/>
  </sheetPr>
  <dimension ref="A2:AG209"/>
  <sheetViews>
    <sheetView showGridLines="0" workbookViewId="0">
      <pane xSplit="4" ySplit="9" topLeftCell="E10" activePane="bottomRight" state="frozen"/>
      <selection pane="topRight" activeCell="E1" sqref="E1"/>
      <selection pane="bottomLeft" activeCell="A10" sqref="A10"/>
      <selection pane="bottomRight" activeCell="S12" sqref="S12"/>
    </sheetView>
  </sheetViews>
  <sheetFormatPr defaultRowHeight="15" x14ac:dyDescent="0.25"/>
  <cols>
    <col min="1" max="1" width="4.85546875" style="432" customWidth="1"/>
    <col min="2" max="2" width="5" style="1259" customWidth="1"/>
    <col min="3" max="3" width="24" style="1260" customWidth="1"/>
    <col min="4" max="4" width="5.7109375" style="432" customWidth="1"/>
    <col min="5" max="19" width="6.7109375" style="432" customWidth="1"/>
    <col min="20" max="20" width="6.42578125" style="592" customWidth="1"/>
    <col min="21" max="21" width="8.42578125" style="432" customWidth="1"/>
    <col min="22" max="31" width="5.7109375" style="432" customWidth="1"/>
    <col min="32" max="32" width="7.140625" style="432" customWidth="1"/>
    <col min="33" max="33" width="7" style="432" customWidth="1"/>
    <col min="34" max="16384" width="9.140625" style="432"/>
  </cols>
  <sheetData>
    <row r="2" spans="1:33" ht="15" customHeight="1" x14ac:dyDescent="0.25">
      <c r="E2" s="433"/>
      <c r="F2" s="1198"/>
      <c r="G2" s="1199"/>
      <c r="H2" s="1199"/>
      <c r="I2" s="1199"/>
      <c r="J2" s="1199"/>
      <c r="K2" s="1199"/>
      <c r="L2" s="1199"/>
      <c r="M2" s="1199"/>
      <c r="N2" s="1199"/>
      <c r="O2" s="1199"/>
      <c r="P2" s="1199"/>
      <c r="Q2" s="1199"/>
      <c r="R2" s="1199"/>
      <c r="S2" s="1199"/>
      <c r="T2" s="1199"/>
      <c r="U2" s="1199"/>
      <c r="V2" s="1261"/>
      <c r="W2" s="1199"/>
      <c r="X2" s="1262"/>
      <c r="Y2" s="1198"/>
      <c r="Z2" s="433"/>
    </row>
    <row r="3" spans="1:33" ht="21" x14ac:dyDescent="0.35">
      <c r="A3" s="1200" t="s">
        <v>737</v>
      </c>
      <c r="D3" s="435"/>
      <c r="E3" s="435"/>
      <c r="F3" s="1201"/>
      <c r="G3" s="1263"/>
      <c r="H3" s="1263"/>
      <c r="I3" s="1263"/>
      <c r="J3" s="1263"/>
      <c r="K3" s="1263"/>
      <c r="L3" s="1263"/>
      <c r="M3" s="1263"/>
      <c r="N3" s="1263"/>
      <c r="O3" s="1263"/>
      <c r="P3" s="1263"/>
      <c r="Q3" s="1263"/>
      <c r="R3" s="1263"/>
      <c r="S3" s="1263"/>
      <c r="T3" s="1263"/>
      <c r="U3" s="1263"/>
      <c r="V3" s="1261"/>
      <c r="W3" s="1201"/>
      <c r="X3" s="1262"/>
      <c r="Y3" s="1201"/>
      <c r="Z3" s="433"/>
    </row>
    <row r="4" spans="1:33" ht="21" x14ac:dyDescent="0.35">
      <c r="A4" s="1200" t="s">
        <v>54</v>
      </c>
      <c r="E4" s="433"/>
      <c r="F4" s="433"/>
      <c r="G4" s="433"/>
      <c r="H4" s="433"/>
      <c r="I4" s="433"/>
      <c r="J4" s="433"/>
      <c r="K4" s="433"/>
      <c r="L4" s="433"/>
      <c r="M4" s="433"/>
      <c r="N4" s="433"/>
      <c r="O4" s="433"/>
      <c r="P4" s="433"/>
      <c r="Q4" s="433"/>
      <c r="R4" s="433"/>
      <c r="S4" s="433"/>
      <c r="T4" s="588"/>
      <c r="U4" s="433"/>
      <c r="V4" s="433"/>
      <c r="W4" s="433"/>
      <c r="X4" s="433"/>
      <c r="Y4" s="433"/>
      <c r="Z4" s="433"/>
      <c r="AF4" s="1264"/>
    </row>
    <row r="5" spans="1:33" ht="18.75" x14ac:dyDescent="0.3">
      <c r="A5" s="1202" t="s">
        <v>562</v>
      </c>
    </row>
    <row r="6" spans="1:33" s="1266" customFormat="1" ht="16.5" thickBot="1" x14ac:dyDescent="0.3">
      <c r="A6" s="1265">
        <v>1</v>
      </c>
      <c r="B6" s="1265">
        <v>2</v>
      </c>
      <c r="C6" s="1265">
        <v>3</v>
      </c>
      <c r="D6" s="1265">
        <v>4</v>
      </c>
      <c r="E6" s="1265">
        <v>5</v>
      </c>
      <c r="F6" s="1265">
        <v>6</v>
      </c>
      <c r="G6" s="1265">
        <v>7</v>
      </c>
      <c r="H6" s="1265">
        <v>8</v>
      </c>
      <c r="I6" s="1265">
        <v>9</v>
      </c>
      <c r="J6" s="1265">
        <v>10</v>
      </c>
      <c r="K6" s="1265">
        <v>11</v>
      </c>
      <c r="L6" s="1265">
        <v>12</v>
      </c>
      <c r="M6" s="1265">
        <v>13</v>
      </c>
      <c r="N6" s="1265">
        <v>14</v>
      </c>
      <c r="O6" s="1265">
        <v>15</v>
      </c>
      <c r="P6" s="1265">
        <v>16</v>
      </c>
      <c r="Q6" s="1265">
        <v>17</v>
      </c>
      <c r="R6" s="1265">
        <v>18</v>
      </c>
      <c r="S6" s="1265">
        <v>19</v>
      </c>
      <c r="T6" s="1265">
        <v>20</v>
      </c>
      <c r="U6" s="1265">
        <v>21</v>
      </c>
      <c r="V6" s="1265">
        <v>22</v>
      </c>
      <c r="W6" s="1265">
        <v>23</v>
      </c>
      <c r="X6" s="1265">
        <v>24</v>
      </c>
      <c r="Y6" s="1265">
        <v>25</v>
      </c>
      <c r="Z6" s="1265">
        <v>26</v>
      </c>
      <c r="AA6" s="1265">
        <v>27</v>
      </c>
      <c r="AB6" s="1265">
        <v>28</v>
      </c>
      <c r="AC6" s="1265">
        <v>29</v>
      </c>
      <c r="AD6" s="1265">
        <v>30</v>
      </c>
      <c r="AE6" s="1265">
        <v>31</v>
      </c>
      <c r="AF6" s="1265">
        <v>32</v>
      </c>
      <c r="AG6" s="1265">
        <v>33</v>
      </c>
    </row>
    <row r="7" spans="1:33" ht="19.5" customHeight="1" x14ac:dyDescent="0.25">
      <c r="A7" s="2717" t="s">
        <v>0</v>
      </c>
      <c r="B7" s="2743" t="s">
        <v>55</v>
      </c>
      <c r="C7" s="2592" t="s">
        <v>1</v>
      </c>
      <c r="D7" s="2746" t="s">
        <v>56</v>
      </c>
      <c r="E7" s="2732" t="s">
        <v>32</v>
      </c>
      <c r="F7" s="2733"/>
      <c r="G7" s="2733"/>
      <c r="H7" s="2733"/>
      <c r="I7" s="2733"/>
      <c r="J7" s="2733"/>
      <c r="K7" s="2733"/>
      <c r="L7" s="2733"/>
      <c r="M7" s="2733"/>
      <c r="N7" s="2733"/>
      <c r="O7" s="2733"/>
      <c r="P7" s="2734"/>
      <c r="Q7" s="2735" t="s">
        <v>1004</v>
      </c>
      <c r="R7" s="2736"/>
      <c r="S7" s="2737"/>
      <c r="T7" s="2751" t="s">
        <v>64</v>
      </c>
      <c r="U7" s="2749" t="s">
        <v>61</v>
      </c>
      <c r="V7" s="2749" t="s">
        <v>5</v>
      </c>
      <c r="W7" s="2749" t="s">
        <v>1005</v>
      </c>
      <c r="X7" s="2731" t="s">
        <v>735</v>
      </c>
      <c r="Y7" s="2731"/>
      <c r="Z7" s="2731"/>
      <c r="AA7" s="2731"/>
      <c r="AB7" s="2722" t="s">
        <v>734</v>
      </c>
      <c r="AC7" s="2722"/>
      <c r="AD7" s="2722"/>
      <c r="AE7" s="2722"/>
      <c r="AF7" s="2725" t="s">
        <v>60</v>
      </c>
      <c r="AG7" s="2723" t="s">
        <v>5</v>
      </c>
    </row>
    <row r="8" spans="1:33" ht="18" customHeight="1" x14ac:dyDescent="0.25">
      <c r="A8" s="2673"/>
      <c r="B8" s="2744"/>
      <c r="C8" s="2674"/>
      <c r="D8" s="2747"/>
      <c r="E8" s="2678" t="s">
        <v>443</v>
      </c>
      <c r="F8" s="2679"/>
      <c r="G8" s="2680"/>
      <c r="H8" s="2681" t="s">
        <v>442</v>
      </c>
      <c r="I8" s="2682"/>
      <c r="J8" s="2683"/>
      <c r="K8" s="2659" t="s">
        <v>441</v>
      </c>
      <c r="L8" s="2660"/>
      <c r="M8" s="2661"/>
      <c r="N8" s="2662" t="s">
        <v>685</v>
      </c>
      <c r="O8" s="2663"/>
      <c r="P8" s="2664"/>
      <c r="Q8" s="2738"/>
      <c r="R8" s="2739"/>
      <c r="S8" s="2740"/>
      <c r="T8" s="2752"/>
      <c r="U8" s="2750"/>
      <c r="V8" s="2750"/>
      <c r="W8" s="2750"/>
      <c r="X8" s="2741" t="s">
        <v>154</v>
      </c>
      <c r="Y8" s="2741" t="s">
        <v>155</v>
      </c>
      <c r="Z8" s="2741" t="s">
        <v>9</v>
      </c>
      <c r="AA8" s="2741" t="s">
        <v>11</v>
      </c>
      <c r="AB8" s="2727" t="s">
        <v>154</v>
      </c>
      <c r="AC8" s="2727" t="s">
        <v>155</v>
      </c>
      <c r="AD8" s="2727" t="s">
        <v>9</v>
      </c>
      <c r="AE8" s="2727" t="s">
        <v>11</v>
      </c>
      <c r="AF8" s="2726"/>
      <c r="AG8" s="2724"/>
    </row>
    <row r="9" spans="1:33" ht="18" customHeight="1" thickBot="1" x14ac:dyDescent="0.3">
      <c r="A9" s="2718"/>
      <c r="B9" s="2745"/>
      <c r="C9" s="2593"/>
      <c r="D9" s="2748"/>
      <c r="E9" s="2034" t="s">
        <v>1001</v>
      </c>
      <c r="F9" s="2034" t="s">
        <v>1002</v>
      </c>
      <c r="G9" s="2034" t="s">
        <v>1003</v>
      </c>
      <c r="H9" s="2035" t="s">
        <v>1001</v>
      </c>
      <c r="I9" s="2035" t="s">
        <v>1002</v>
      </c>
      <c r="J9" s="2035" t="s">
        <v>1003</v>
      </c>
      <c r="K9" s="2036" t="s">
        <v>1001</v>
      </c>
      <c r="L9" s="2036" t="s">
        <v>1002</v>
      </c>
      <c r="M9" s="2036" t="s">
        <v>1003</v>
      </c>
      <c r="N9" s="2037" t="s">
        <v>1001</v>
      </c>
      <c r="O9" s="2037" t="s">
        <v>1002</v>
      </c>
      <c r="P9" s="2037" t="s">
        <v>1003</v>
      </c>
      <c r="Q9" s="2139" t="s">
        <v>1001</v>
      </c>
      <c r="R9" s="2139" t="s">
        <v>1002</v>
      </c>
      <c r="S9" s="2139" t="s">
        <v>1003</v>
      </c>
      <c r="T9" s="2752"/>
      <c r="U9" s="2750"/>
      <c r="V9" s="2750"/>
      <c r="W9" s="2750"/>
      <c r="X9" s="2742"/>
      <c r="Y9" s="2742"/>
      <c r="Z9" s="2742"/>
      <c r="AA9" s="2742"/>
      <c r="AB9" s="2728"/>
      <c r="AC9" s="2728"/>
      <c r="AD9" s="2728"/>
      <c r="AE9" s="2728"/>
      <c r="AF9" s="2726"/>
      <c r="AG9" s="2724"/>
    </row>
    <row r="10" spans="1:33" ht="24.95" customHeight="1" x14ac:dyDescent="0.25">
      <c r="A10" s="1207">
        <v>1</v>
      </c>
      <c r="B10" s="1269"/>
      <c r="C10" s="1286" t="str">
        <f>VLOOKUP(A10,data_siswa,4,FALSE)</f>
        <v>Achmad Zacky</v>
      </c>
      <c r="D10" s="1210" t="s">
        <v>154</v>
      </c>
      <c r="E10" s="1497"/>
      <c r="F10" s="1497"/>
      <c r="G10" s="1497"/>
      <c r="H10" s="2043">
        <v>75</v>
      </c>
      <c r="I10" s="2043">
        <v>81</v>
      </c>
      <c r="J10" s="2043">
        <v>75</v>
      </c>
      <c r="K10" s="1497">
        <v>65</v>
      </c>
      <c r="L10" s="1497">
        <v>69</v>
      </c>
      <c r="M10" s="1497">
        <v>80</v>
      </c>
      <c r="N10" s="2042"/>
      <c r="O10" s="2042"/>
      <c r="P10" s="2129"/>
      <c r="Q10" s="2148">
        <f>MAX(E10,H10,K10,N10)</f>
        <v>75</v>
      </c>
      <c r="R10" s="1938">
        <f t="shared" ref="R10:S12" si="0">MAX(F10,I10,L10,O10)</f>
        <v>81</v>
      </c>
      <c r="S10" s="2149">
        <f t="shared" si="0"/>
        <v>80</v>
      </c>
      <c r="T10" s="2038">
        <f>IFERROR(AVERAGE(Q10:S10),"")</f>
        <v>78.666666666666671</v>
      </c>
      <c r="U10" s="1295" t="str">
        <f>IF(T10&gt;85,("4"),IF(T10&gt;80,("3.66"),IF(T10&gt;75,("3.33"),IF(T10&gt;70,("3.00"),IF(T10&gt;65,("2.66"),IF(T10&gt;60,("2.33"),IF(T10&gt;55,("2"),IF(T10&gt;50,("1.66"),"1.33"))))))))</f>
        <v>3.33</v>
      </c>
      <c r="V10" s="1295" t="str">
        <f>IF(T10&gt;85,("A"),IF(T10&gt;80,("A-"),IF(T10&gt;75,("B+"),IF(T10&gt;70,("B"),IF(T10&gt;65,("B-"),IF(T10&gt;60,("C+"),IF(T10&gt;55,("C"),IF(T10&gt;50,("C-"),"D+"))))))))</f>
        <v>B+</v>
      </c>
      <c r="W10" s="1295" t="str">
        <f>IF(T10&gt;80,("SB"),IF(T10&gt;65,("B"),IF(T10&gt;50,("C"),IF(T10&gt;0,("K"),"0"))))</f>
        <v>B</v>
      </c>
      <c r="X10" s="2137"/>
      <c r="Y10" s="1226"/>
      <c r="Z10" s="1226"/>
      <c r="AA10" s="1226">
        <v>4</v>
      </c>
      <c r="AB10" s="1227"/>
      <c r="AC10" s="1227">
        <v>3</v>
      </c>
      <c r="AD10" s="1227"/>
      <c r="AE10" s="2131"/>
      <c r="AF10" s="1057">
        <f>T14</f>
        <v>79.333333333333343</v>
      </c>
      <c r="AG10" s="466" t="str">
        <f>IF(AF10&gt;85,("A"),IF(AF10&gt;80,("A-"),IF(AF10&gt;75,("B+"),IF(AF10&gt;70,("B"),IF(AF10&gt;65,("B-"),IF(AF10&gt;60,("C+"),IF(AF10&gt;55,("C"),IF(AF10&gt;50,("C-"),"D+"))))))))</f>
        <v>B+</v>
      </c>
    </row>
    <row r="11" spans="1:33" ht="24.95" customHeight="1" x14ac:dyDescent="0.25">
      <c r="A11" s="1207"/>
      <c r="B11" s="1269"/>
      <c r="C11" s="1270"/>
      <c r="D11" s="1213" t="s">
        <v>155</v>
      </c>
      <c r="E11" s="1493"/>
      <c r="F11" s="1497"/>
      <c r="G11" s="1493"/>
      <c r="H11" s="2040">
        <v>65</v>
      </c>
      <c r="I11" s="2040">
        <v>76</v>
      </c>
      <c r="J11" s="2040">
        <v>74</v>
      </c>
      <c r="K11" s="1497"/>
      <c r="L11" s="1497"/>
      <c r="M11" s="1497"/>
      <c r="N11" s="2041">
        <v>68</v>
      </c>
      <c r="O11" s="2041">
        <v>79</v>
      </c>
      <c r="P11" s="2130">
        <v>80</v>
      </c>
      <c r="Q11" s="1077">
        <f t="shared" ref="Q11:Q12" si="1">MAX(E11,H11,K11,N11)</f>
        <v>68</v>
      </c>
      <c r="R11" s="2126">
        <f t="shared" si="0"/>
        <v>79</v>
      </c>
      <c r="S11" s="2127">
        <f t="shared" si="0"/>
        <v>80</v>
      </c>
      <c r="T11" s="853">
        <f t="shared" ref="T11:T12" si="2">IFERROR(AVERAGE(Q11:S11),"")</f>
        <v>75.666666666666671</v>
      </c>
      <c r="U11" s="1296" t="str">
        <f t="shared" ref="U11:U13" si="3">IF(T11&gt;85,("4"),IF(T11&gt;80,("3.66"),IF(T11&gt;75,("3.33"),IF(T11&gt;70,("3.00"),IF(T11&gt;65,("2.66"),IF(T11&gt;60,("2.33"),IF(T11&gt;55,("2"),IF(T11&gt;50,("1.66"),"1.33"))))))))</f>
        <v>3.33</v>
      </c>
      <c r="V11" s="1296" t="str">
        <f t="shared" ref="V11:V13" si="4">IF(T11&gt;85,("A"),IF(T11&gt;80,("A-"),IF(T11&gt;75,("B+"),IF(T11&gt;70,("B"),IF(T11&gt;65,("B-"),IF(T11&gt;60,("C+"),IF(T11&gt;55,("C"),IF(T11&gt;50,("C-"),"D+"))))))))</f>
        <v>B+</v>
      </c>
      <c r="W11" s="1296" t="str">
        <f t="shared" ref="W11:W13" si="5">IF(T11&gt;80,("SB"),IF(T11&gt;65,("B"),IF(T11&gt;50,("C"),IF(T11&gt;0,("K"),"0"))))</f>
        <v>B</v>
      </c>
      <c r="X11" s="1271"/>
      <c r="Y11" s="1271"/>
      <c r="Z11" s="1271"/>
      <c r="AA11" s="1271"/>
      <c r="AB11" s="1272"/>
      <c r="AC11" s="1273"/>
      <c r="AD11" s="1273"/>
      <c r="AE11" s="2132"/>
      <c r="AF11" s="2140"/>
      <c r="AG11" s="2141"/>
    </row>
    <row r="12" spans="1:33" ht="24.95" customHeight="1" x14ac:dyDescent="0.25">
      <c r="A12" s="1207"/>
      <c r="B12" s="1269"/>
      <c r="C12" s="1270"/>
      <c r="D12" s="1213" t="s">
        <v>9</v>
      </c>
      <c r="E12" s="1493"/>
      <c r="F12" s="1493"/>
      <c r="G12" s="1497"/>
      <c r="H12" s="2040">
        <v>78</v>
      </c>
      <c r="I12" s="2040">
        <v>82</v>
      </c>
      <c r="J12" s="2040">
        <v>80</v>
      </c>
      <c r="K12" s="1497"/>
      <c r="L12" s="1497"/>
      <c r="M12" s="1497"/>
      <c r="N12" s="2042"/>
      <c r="O12" s="2042"/>
      <c r="P12" s="2129"/>
      <c r="Q12" s="1077">
        <f t="shared" si="1"/>
        <v>78</v>
      </c>
      <c r="R12" s="2126">
        <f t="shared" si="0"/>
        <v>82</v>
      </c>
      <c r="S12" s="2127">
        <f t="shared" si="0"/>
        <v>80</v>
      </c>
      <c r="T12" s="853">
        <f t="shared" si="2"/>
        <v>80</v>
      </c>
      <c r="U12" s="1296" t="str">
        <f t="shared" si="3"/>
        <v>3.33</v>
      </c>
      <c r="V12" s="1296" t="str">
        <f t="shared" si="4"/>
        <v>B+</v>
      </c>
      <c r="W12" s="1296" t="str">
        <f t="shared" si="5"/>
        <v>B</v>
      </c>
      <c r="X12" s="1274"/>
      <c r="Y12" s="1274"/>
      <c r="Z12" s="1274"/>
      <c r="AA12" s="1274"/>
      <c r="AB12" s="1275"/>
      <c r="AC12" s="1276"/>
      <c r="AD12" s="1276"/>
      <c r="AE12" s="2133"/>
      <c r="AF12" s="2142"/>
      <c r="AG12" s="2143"/>
    </row>
    <row r="13" spans="1:33" ht="24.95" customHeight="1" x14ac:dyDescent="0.25">
      <c r="A13" s="1207"/>
      <c r="B13" s="1269"/>
      <c r="C13" s="1270"/>
      <c r="D13" s="1213" t="s">
        <v>11</v>
      </c>
      <c r="E13" s="1497">
        <v>76</v>
      </c>
      <c r="F13" s="1497">
        <v>75</v>
      </c>
      <c r="G13" s="1493">
        <v>80</v>
      </c>
      <c r="H13" s="2040">
        <v>89</v>
      </c>
      <c r="I13" s="2040">
        <v>75</v>
      </c>
      <c r="J13" s="2040">
        <v>81</v>
      </c>
      <c r="K13" s="1493">
        <v>65</v>
      </c>
      <c r="L13" s="1493">
        <v>79</v>
      </c>
      <c r="M13" s="1493">
        <v>80</v>
      </c>
      <c r="N13" s="2042"/>
      <c r="O13" s="2042"/>
      <c r="P13" s="2129"/>
      <c r="Q13" s="1077">
        <f>MAX(E13,H13,K13,N13)</f>
        <v>89</v>
      </c>
      <c r="R13" s="2126">
        <f t="shared" ref="R13" si="6">MAX(F13,I13,L13,O13)</f>
        <v>79</v>
      </c>
      <c r="S13" s="2127">
        <f t="shared" ref="S13" si="7">MAX(G13,J13,M13,P13)</f>
        <v>81</v>
      </c>
      <c r="T13" s="853">
        <f>IFERROR(AVERAGE(Q13:S13),"")</f>
        <v>83</v>
      </c>
      <c r="U13" s="1296" t="str">
        <f t="shared" si="3"/>
        <v>3.66</v>
      </c>
      <c r="V13" s="1296" t="str">
        <f t="shared" si="4"/>
        <v>A-</v>
      </c>
      <c r="W13" s="1296" t="str">
        <f t="shared" si="5"/>
        <v>SB</v>
      </c>
      <c r="X13" s="1274"/>
      <c r="Y13" s="1274"/>
      <c r="Z13" s="1274"/>
      <c r="AA13" s="1274"/>
      <c r="AB13" s="1277"/>
      <c r="AC13" s="1278"/>
      <c r="AD13" s="1278"/>
      <c r="AE13" s="2134"/>
      <c r="AF13" s="2144"/>
      <c r="AG13" s="2145"/>
    </row>
    <row r="14" spans="1:33" s="1284" customFormat="1" ht="24.95" customHeight="1" x14ac:dyDescent="0.25">
      <c r="A14" s="1279"/>
      <c r="B14" s="1280">
        <v>1</v>
      </c>
      <c r="C14" s="1281" t="s">
        <v>167</v>
      </c>
      <c r="D14" s="1279"/>
      <c r="E14" s="2729"/>
      <c r="F14" s="2730"/>
      <c r="G14" s="2730"/>
      <c r="H14" s="2730"/>
      <c r="I14" s="2017"/>
      <c r="J14" s="2017"/>
      <c r="K14" s="2017"/>
      <c r="L14" s="2017"/>
      <c r="M14" s="2017"/>
      <c r="N14" s="2017"/>
      <c r="O14" s="2017"/>
      <c r="P14" s="2017"/>
      <c r="Q14" s="2150"/>
      <c r="R14" s="2151"/>
      <c r="S14" s="2151"/>
      <c r="T14" s="1520">
        <f>IFERROR(AVERAGE(T10:T13),"  ")</f>
        <v>79.333333333333343</v>
      </c>
      <c r="U14" s="1298" t="str">
        <f>IF(T14&gt;85,("4"),IF(T14&gt;80,("3.66"),IF(T14&gt;75,("3.33"),IF(T14&gt;70,("3.00"),IF(T14&gt;65,("2.66"),IF(T14&gt;60,("2.33"),IF(T14&gt;55,("2"),IF(T14&gt;50,("1.66"),"1.33"))))))))</f>
        <v>3.33</v>
      </c>
      <c r="V14" s="1298" t="str">
        <f>IF(T14&gt;85,("A"),IF(T14&gt;80,("A-"),IF(T14&gt;75,("B+"),IF(T14&gt;70,("B"),IF(T14&gt;65,("B-"),IF(T14&gt;60,("C+"),IF(T14&gt;55,("C"),IF(T14&gt;50,("C-"),"D+"))))))))</f>
        <v>B+</v>
      </c>
      <c r="W14" s="1299"/>
      <c r="X14" s="1283"/>
      <c r="Y14" s="1283"/>
      <c r="Z14" s="1282"/>
      <c r="AA14" s="1283"/>
      <c r="AB14" s="1283"/>
      <c r="AC14" s="1283"/>
      <c r="AD14" s="1283"/>
      <c r="AE14" s="1283"/>
      <c r="AF14" s="2146"/>
      <c r="AG14" s="2147"/>
    </row>
    <row r="15" spans="1:33" ht="24.95" customHeight="1" x14ac:dyDescent="0.25">
      <c r="A15" s="1224">
        <v>2</v>
      </c>
      <c r="B15" s="1285"/>
      <c r="C15" s="1286" t="str">
        <f>VLOOKUP(A15,data_siswa,4,FALSE)</f>
        <v>Angelia Vabel R</v>
      </c>
      <c r="D15" s="1210" t="s">
        <v>154</v>
      </c>
      <c r="E15" s="1493"/>
      <c r="F15" s="1493"/>
      <c r="G15" s="1493"/>
      <c r="H15" s="2040">
        <v>0</v>
      </c>
      <c r="I15" s="2040">
        <v>0</v>
      </c>
      <c r="J15" s="2040">
        <v>0</v>
      </c>
      <c r="K15" s="1493">
        <v>0</v>
      </c>
      <c r="L15" s="1493">
        <v>0</v>
      </c>
      <c r="M15" s="1493">
        <v>0</v>
      </c>
      <c r="N15" s="2041"/>
      <c r="O15" s="2041"/>
      <c r="P15" s="2130"/>
      <c r="Q15" s="1077">
        <f>MAX(E15,H15,K15,N15)</f>
        <v>0</v>
      </c>
      <c r="R15" s="2126">
        <f t="shared" ref="R15:R18" si="8">MAX(F15,I15,L15,O15)</f>
        <v>0</v>
      </c>
      <c r="S15" s="2127">
        <f t="shared" ref="S15:S18" si="9">MAX(G15,J15,M15,P15)</f>
        <v>0</v>
      </c>
      <c r="T15" s="853">
        <f>IFERROR(AVERAGE(Q15:S15),"")</f>
        <v>0</v>
      </c>
      <c r="U15" s="1295" t="str">
        <f>IF(T15&gt;85,("4"),IF(T15&gt;80,("3.66"),IF(T15&gt;75,("3.33"),IF(T15&gt;70,("3.00"),IF(T15&gt;65,("2.66"),IF(T15&gt;60,("2.33"),IF(T15&gt;55,("2"),IF(T15&gt;50,("1.66"),"1.33"))))))))</f>
        <v>1.33</v>
      </c>
      <c r="V15" s="1295" t="str">
        <f>IF(T15&gt;85,("A"),IF(T15&gt;80,("A-"),IF(T15&gt;75,("B+"),IF(T15&gt;70,("B"),IF(T15&gt;65,("B-"),IF(T15&gt;60,("C+"),IF(T15&gt;55,("C"),IF(T15&gt;50,("C-"),"D+"))))))))</f>
        <v>D+</v>
      </c>
      <c r="W15" s="1295" t="str">
        <f>IF(T15&gt;80,("SB"),IF(T15&gt;65,("B"),IF(T15&gt;50,("C"),IF(T15&gt;0,("K"),"0"))))</f>
        <v>0</v>
      </c>
      <c r="X15" s="2138"/>
      <c r="Y15" s="1287"/>
      <c r="Z15" s="1288"/>
      <c r="AA15" s="1288"/>
      <c r="AB15" s="1289"/>
      <c r="AC15" s="1289"/>
      <c r="AD15" s="1289"/>
      <c r="AE15" s="2135"/>
      <c r="AF15" s="466">
        <f>MAX(T15:T18)</f>
        <v>0</v>
      </c>
      <c r="AG15" s="466" t="str">
        <f>IF(AF15&gt;85,("A"),IF(AF15&gt;80,("A-"),IF(AF15&gt;75,("B+"),IF(AF15&gt;70,("B"),IF(AF15&gt;65,("B-"),IF(AF15&gt;60,("C+"),IF(AF15&gt;55,("C"),IF(AF15&gt;50,("C-"),"D+"))))))))</f>
        <v>D+</v>
      </c>
    </row>
    <row r="16" spans="1:33" ht="24.95" customHeight="1" x14ac:dyDescent="0.25">
      <c r="A16" s="1207"/>
      <c r="B16" s="1290"/>
      <c r="C16" s="1291"/>
      <c r="D16" s="1213" t="s">
        <v>155</v>
      </c>
      <c r="E16" s="1493"/>
      <c r="F16" s="1497"/>
      <c r="G16" s="1493"/>
      <c r="H16" s="2040">
        <v>0</v>
      </c>
      <c r="I16" s="2040">
        <v>0</v>
      </c>
      <c r="J16" s="2040">
        <v>0</v>
      </c>
      <c r="K16" s="1497"/>
      <c r="L16" s="1497"/>
      <c r="M16" s="1497"/>
      <c r="N16" s="2041">
        <v>0</v>
      </c>
      <c r="O16" s="2041">
        <v>0</v>
      </c>
      <c r="P16" s="2130">
        <v>0</v>
      </c>
      <c r="Q16" s="1077">
        <f t="shared" ref="Q16:Q17" si="10">MAX(E16,H16,K16,N16)</f>
        <v>0</v>
      </c>
      <c r="R16" s="2126">
        <f t="shared" si="8"/>
        <v>0</v>
      </c>
      <c r="S16" s="2127">
        <f t="shared" si="9"/>
        <v>0</v>
      </c>
      <c r="T16" s="853">
        <f t="shared" ref="T16:T17" si="11">IFERROR(AVERAGE(Q16:S16),"")</f>
        <v>0</v>
      </c>
      <c r="U16" s="1296" t="str">
        <f t="shared" ref="U16:U18" si="12">IF(T16&gt;85,("4"),IF(T16&gt;80,("3.66"),IF(T16&gt;75,("3.33"),IF(T16&gt;70,("3.00"),IF(T16&gt;65,("2.66"),IF(T16&gt;60,("2.33"),IF(T16&gt;55,("2"),IF(T16&gt;50,("1.66"),"1.33"))))))))</f>
        <v>1.33</v>
      </c>
      <c r="V16" s="1296" t="str">
        <f t="shared" ref="V16:V18" si="13">IF(T16&gt;85,("A"),IF(T16&gt;80,("A-"),IF(T16&gt;75,("B+"),IF(T16&gt;70,("B"),IF(T16&gt;65,("B-"),IF(T16&gt;60,("C+"),IF(T16&gt;55,("C"),IF(T16&gt;50,("C-"),"D+"))))))))</f>
        <v>D+</v>
      </c>
      <c r="W16" s="1296" t="str">
        <f t="shared" ref="W16:W18" si="14">IF(T16&gt;80,("SB"),IF(T16&gt;65,("B"),IF(T16&gt;50,("C"),IF(T16&gt;0,("K"),"0"))))</f>
        <v>0</v>
      </c>
      <c r="X16" s="1271"/>
      <c r="Y16" s="1271"/>
      <c r="Z16" s="1271"/>
      <c r="AA16" s="1271"/>
      <c r="AB16" s="1273"/>
      <c r="AC16" s="1273"/>
      <c r="AD16" s="1273"/>
      <c r="AE16" s="2132"/>
      <c r="AF16" s="2140"/>
      <c r="AG16" s="2141"/>
    </row>
    <row r="17" spans="1:33" ht="24.95" customHeight="1" x14ac:dyDescent="0.25">
      <c r="A17" s="1207"/>
      <c r="B17" s="1290"/>
      <c r="C17" s="1291"/>
      <c r="D17" s="1213" t="s">
        <v>9</v>
      </c>
      <c r="E17" s="1493"/>
      <c r="F17" s="1493"/>
      <c r="G17" s="1497"/>
      <c r="H17" s="2040">
        <v>0</v>
      </c>
      <c r="I17" s="2040">
        <v>0</v>
      </c>
      <c r="J17" s="2040">
        <v>0</v>
      </c>
      <c r="K17" s="1497"/>
      <c r="L17" s="1497"/>
      <c r="M17" s="1497"/>
      <c r="N17" s="2042"/>
      <c r="O17" s="2042"/>
      <c r="P17" s="2129"/>
      <c r="Q17" s="1077">
        <f t="shared" si="10"/>
        <v>0</v>
      </c>
      <c r="R17" s="2126">
        <f t="shared" si="8"/>
        <v>0</v>
      </c>
      <c r="S17" s="2127">
        <f t="shared" si="9"/>
        <v>0</v>
      </c>
      <c r="T17" s="853">
        <f t="shared" si="11"/>
        <v>0</v>
      </c>
      <c r="U17" s="1296" t="str">
        <f t="shared" si="12"/>
        <v>1.33</v>
      </c>
      <c r="V17" s="1296" t="str">
        <f t="shared" si="13"/>
        <v>D+</v>
      </c>
      <c r="W17" s="1296" t="str">
        <f t="shared" si="14"/>
        <v>0</v>
      </c>
      <c r="X17" s="1274"/>
      <c r="Y17" s="1274"/>
      <c r="Z17" s="1274"/>
      <c r="AA17" s="1274"/>
      <c r="AB17" s="1276"/>
      <c r="AC17" s="1276"/>
      <c r="AD17" s="1276"/>
      <c r="AE17" s="2133"/>
      <c r="AF17" s="2142"/>
      <c r="AG17" s="2143"/>
    </row>
    <row r="18" spans="1:33" ht="24.95" customHeight="1" x14ac:dyDescent="0.25">
      <c r="A18" s="1207"/>
      <c r="B18" s="1290"/>
      <c r="C18" s="1291"/>
      <c r="D18" s="1213" t="s">
        <v>11</v>
      </c>
      <c r="E18" s="1497">
        <v>0</v>
      </c>
      <c r="F18" s="1497">
        <v>0</v>
      </c>
      <c r="G18" s="1493">
        <v>0</v>
      </c>
      <c r="H18" s="2040">
        <v>0</v>
      </c>
      <c r="I18" s="2040">
        <v>0</v>
      </c>
      <c r="J18" s="2040">
        <v>0</v>
      </c>
      <c r="K18" s="1493">
        <v>0</v>
      </c>
      <c r="L18" s="1493">
        <v>0</v>
      </c>
      <c r="M18" s="1493">
        <v>0</v>
      </c>
      <c r="N18" s="2042"/>
      <c r="O18" s="2042"/>
      <c r="P18" s="2129"/>
      <c r="Q18" s="1077">
        <f>MAX(E18,H18,K18,N18)</f>
        <v>0</v>
      </c>
      <c r="R18" s="2126">
        <f t="shared" si="8"/>
        <v>0</v>
      </c>
      <c r="S18" s="2127">
        <f t="shared" si="9"/>
        <v>0</v>
      </c>
      <c r="T18" s="853">
        <f>IFERROR(AVERAGE(Q18:S18),"")</f>
        <v>0</v>
      </c>
      <c r="U18" s="1296" t="str">
        <f t="shared" si="12"/>
        <v>1.33</v>
      </c>
      <c r="V18" s="1296" t="str">
        <f t="shared" si="13"/>
        <v>D+</v>
      </c>
      <c r="W18" s="1296" t="str">
        <f t="shared" si="14"/>
        <v>0</v>
      </c>
      <c r="X18" s="1274"/>
      <c r="Y18" s="1274"/>
      <c r="Z18" s="1274"/>
      <c r="AA18" s="1274"/>
      <c r="AB18" s="1276"/>
      <c r="AC18" s="1276"/>
      <c r="AD18" s="1276"/>
      <c r="AE18" s="2133"/>
      <c r="AF18" s="2144"/>
      <c r="AG18" s="2145"/>
    </row>
    <row r="19" spans="1:33" ht="24.95" customHeight="1" x14ac:dyDescent="0.25">
      <c r="A19" s="1236"/>
      <c r="B19" s="1280">
        <v>2</v>
      </c>
      <c r="C19" s="1292"/>
      <c r="D19" s="1279"/>
      <c r="E19" s="2729"/>
      <c r="F19" s="2730"/>
      <c r="G19" s="2730"/>
      <c r="H19" s="2730"/>
      <c r="I19" s="2017"/>
      <c r="J19" s="2017"/>
      <c r="K19" s="2017"/>
      <c r="L19" s="2017"/>
      <c r="M19" s="2017"/>
      <c r="N19" s="2017"/>
      <c r="O19" s="2017"/>
      <c r="P19" s="2017"/>
      <c r="Q19" s="2150"/>
      <c r="R19" s="2151"/>
      <c r="S19" s="2151"/>
      <c r="T19" s="1520">
        <f>IFERROR(AVERAGE(T15:T18),"  ")</f>
        <v>0</v>
      </c>
      <c r="U19" s="1298" t="str">
        <f>IF(T14&gt;85,("4"),IF(T14&gt;80,("3.66"),IF(T14&gt;75,("3.33"),IF(T14&gt;70,("3.00"),IF(T14&gt;65,("2.66"),IF(T14&gt;60,("2.33"),IF(T14&gt;55,("2"),IF(T14&gt;50,("1.66"),"1.33"))))))))</f>
        <v>3.33</v>
      </c>
      <c r="V19" s="1298" t="str">
        <f>IF(T14&gt;85,("A"),IF(T14&gt;80,("A-"),IF(T14&gt;75,("B+"),IF(T14&gt;70,("B"),IF(T14&gt;65,("B-"),IF(T14&gt;60,("C+"),IF(T14&gt;55,("C"),IF(T14&gt;50,("C-"),"D+"))))))))</f>
        <v>B+</v>
      </c>
      <c r="W19" s="1299"/>
      <c r="X19" s="1283"/>
      <c r="Y19" s="1283"/>
      <c r="Z19" s="1283"/>
      <c r="AA19" s="1283"/>
      <c r="AB19" s="1283"/>
      <c r="AC19" s="1283"/>
      <c r="AD19" s="1283"/>
      <c r="AE19" s="1283"/>
      <c r="AF19" s="2146"/>
      <c r="AG19" s="2147"/>
    </row>
    <row r="20" spans="1:33" ht="24.95" customHeight="1" x14ac:dyDescent="0.25">
      <c r="A20" s="1224">
        <v>3</v>
      </c>
      <c r="B20" s="1285"/>
      <c r="C20" s="1286" t="str">
        <f>VLOOKUP(A20,data_siswa,4,FALSE)</f>
        <v>Anggun Dwi P.I</v>
      </c>
      <c r="D20" s="1210" t="s">
        <v>154</v>
      </c>
      <c r="E20" s="1497"/>
      <c r="F20" s="1497"/>
      <c r="G20" s="1497"/>
      <c r="H20" s="2043">
        <v>75</v>
      </c>
      <c r="I20" s="2043">
        <v>81</v>
      </c>
      <c r="J20" s="2043">
        <v>75</v>
      </c>
      <c r="K20" s="1497">
        <v>65</v>
      </c>
      <c r="L20" s="1497">
        <v>69</v>
      </c>
      <c r="M20" s="1497">
        <v>80</v>
      </c>
      <c r="N20" s="2042"/>
      <c r="O20" s="2042"/>
      <c r="P20" s="2129"/>
      <c r="Q20" s="1077">
        <f>MAX(E20,H20,K20,N20)</f>
        <v>75</v>
      </c>
      <c r="R20" s="2126">
        <f t="shared" ref="R20:R23" si="15">MAX(F20,I20,L20,O20)</f>
        <v>81</v>
      </c>
      <c r="S20" s="2127">
        <f t="shared" ref="S20:S23" si="16">MAX(G20,J20,M20,P20)</f>
        <v>80</v>
      </c>
      <c r="T20" s="853">
        <f>IFERROR(AVERAGE(Q20:S20),"")</f>
        <v>78.666666666666671</v>
      </c>
      <c r="U20" s="1295" t="str">
        <f>IF(T20&gt;85,("4"),IF(T20&gt;80,("3.66"),IF(T20&gt;75,("3.33"),IF(T20&gt;70,("3.00"),IF(T20&gt;65,("2.66"),IF(T20&gt;60,("2.33"),IF(T20&gt;55,("2"),IF(T20&gt;50,("1.66"),"1.33"))))))))</f>
        <v>3.33</v>
      </c>
      <c r="V20" s="1295" t="str">
        <f>IF(T20&gt;85,("A"),IF(T20&gt;80,("A-"),IF(T20&gt;75,("B+"),IF(T20&gt;70,("B"),IF(T20&gt;65,("B-"),IF(T20&gt;60,("C+"),IF(T20&gt;55,("C"),IF(T20&gt;50,("C-"),"D+"))))))))</f>
        <v>B+</v>
      </c>
      <c r="W20" s="1295" t="str">
        <f>IF(T20&gt;80,("SB"),IF(T20&gt;65,("B"),IF(T20&gt;50,("C"),IF(T20&gt;0,("K"),"0"))))</f>
        <v>B</v>
      </c>
      <c r="X20" s="2138"/>
      <c r="Y20" s="1287"/>
      <c r="Z20" s="1287"/>
      <c r="AA20" s="1287"/>
      <c r="AB20" s="1293"/>
      <c r="AC20" s="1293"/>
      <c r="AD20" s="1293"/>
      <c r="AE20" s="2136"/>
      <c r="AF20" s="466">
        <f>MAX(T20:T23)</f>
        <v>83</v>
      </c>
      <c r="AG20" s="466" t="str">
        <f>IF(AF20&gt;85,("A"),IF(AF20&gt;80,("A-"),IF(AF20&gt;75,("B+"),IF(AF20&gt;70,("B"),IF(AF20&gt;65,("B-"),IF(AF20&gt;60,("C+"),IF(AF20&gt;55,("C"),IF(AF20&gt;50,("C-"),"D+"))))))))</f>
        <v>A-</v>
      </c>
    </row>
    <row r="21" spans="1:33" ht="24.95" customHeight="1" x14ac:dyDescent="0.25">
      <c r="A21" s="1207"/>
      <c r="B21" s="1290"/>
      <c r="C21" s="1291"/>
      <c r="D21" s="1213" t="s">
        <v>155</v>
      </c>
      <c r="E21" s="1493"/>
      <c r="F21" s="1497"/>
      <c r="G21" s="1493"/>
      <c r="H21" s="2040">
        <v>65</v>
      </c>
      <c r="I21" s="2040">
        <v>76</v>
      </c>
      <c r="J21" s="2040">
        <v>74</v>
      </c>
      <c r="K21" s="1497"/>
      <c r="L21" s="1497"/>
      <c r="M21" s="1497"/>
      <c r="N21" s="2041">
        <v>68</v>
      </c>
      <c r="O21" s="2041">
        <v>79</v>
      </c>
      <c r="P21" s="2130">
        <v>80</v>
      </c>
      <c r="Q21" s="1077">
        <f t="shared" ref="Q21:Q22" si="17">MAX(E21,H21,K21,N21)</f>
        <v>68</v>
      </c>
      <c r="R21" s="2126">
        <f t="shared" si="15"/>
        <v>79</v>
      </c>
      <c r="S21" s="2127">
        <f t="shared" si="16"/>
        <v>80</v>
      </c>
      <c r="T21" s="853">
        <f t="shared" ref="T21:T22" si="18">IFERROR(AVERAGE(Q21:S21),"")</f>
        <v>75.666666666666671</v>
      </c>
      <c r="U21" s="1296" t="str">
        <f t="shared" ref="U21:U23" si="19">IF(T21&gt;85,("4"),IF(T21&gt;80,("3.66"),IF(T21&gt;75,("3.33"),IF(T21&gt;70,("3.00"),IF(T21&gt;65,("2.66"),IF(T21&gt;60,("2.33"),IF(T21&gt;55,("2"),IF(T21&gt;50,("1.66"),"1.33"))))))))</f>
        <v>3.33</v>
      </c>
      <c r="V21" s="1296" t="str">
        <f t="shared" ref="V21:V23" si="20">IF(T21&gt;85,("A"),IF(T21&gt;80,("A-"),IF(T21&gt;75,("B+"),IF(T21&gt;70,("B"),IF(T21&gt;65,("B-"),IF(T21&gt;60,("C+"),IF(T21&gt;55,("C"),IF(T21&gt;50,("C-"),"D+"))))))))</f>
        <v>B+</v>
      </c>
      <c r="W21" s="1296" t="str">
        <f t="shared" ref="W21:W23" si="21">IF(T21&gt;80,("SB"),IF(T21&gt;65,("B"),IF(T21&gt;50,("C"),IF(T21&gt;0,("K"),"0"))))</f>
        <v>B</v>
      </c>
      <c r="X21" s="1271"/>
      <c r="Y21" s="1271"/>
      <c r="Z21" s="1271"/>
      <c r="AA21" s="1271"/>
      <c r="AB21" s="1273"/>
      <c r="AC21" s="1273"/>
      <c r="AD21" s="1273"/>
      <c r="AE21" s="2132"/>
      <c r="AF21" s="2140"/>
      <c r="AG21" s="2141"/>
    </row>
    <row r="22" spans="1:33" ht="24.95" customHeight="1" x14ac:dyDescent="0.25">
      <c r="A22" s="1207"/>
      <c r="B22" s="1290"/>
      <c r="C22" s="1291"/>
      <c r="D22" s="1213" t="s">
        <v>9</v>
      </c>
      <c r="E22" s="1493"/>
      <c r="F22" s="1493"/>
      <c r="G22" s="1497"/>
      <c r="H22" s="2040">
        <v>78</v>
      </c>
      <c r="I22" s="2040">
        <v>82</v>
      </c>
      <c r="J22" s="2040">
        <v>80</v>
      </c>
      <c r="K22" s="1497"/>
      <c r="L22" s="1497"/>
      <c r="M22" s="1497"/>
      <c r="N22" s="2042"/>
      <c r="O22" s="2042"/>
      <c r="P22" s="2129"/>
      <c r="Q22" s="1077">
        <f t="shared" si="17"/>
        <v>78</v>
      </c>
      <c r="R22" s="2126">
        <f t="shared" si="15"/>
        <v>82</v>
      </c>
      <c r="S22" s="2127">
        <f t="shared" si="16"/>
        <v>80</v>
      </c>
      <c r="T22" s="853">
        <f t="shared" si="18"/>
        <v>80</v>
      </c>
      <c r="U22" s="1296" t="str">
        <f t="shared" si="19"/>
        <v>3.33</v>
      </c>
      <c r="V22" s="1296" t="str">
        <f t="shared" si="20"/>
        <v>B+</v>
      </c>
      <c r="W22" s="1296" t="str">
        <f t="shared" si="21"/>
        <v>B</v>
      </c>
      <c r="X22" s="1274"/>
      <c r="Y22" s="1274"/>
      <c r="Z22" s="1274"/>
      <c r="AA22" s="1274"/>
      <c r="AB22" s="1276"/>
      <c r="AC22" s="1276"/>
      <c r="AD22" s="1276"/>
      <c r="AE22" s="2133"/>
      <c r="AF22" s="2142"/>
      <c r="AG22" s="2143"/>
    </row>
    <row r="23" spans="1:33" ht="24.95" customHeight="1" x14ac:dyDescent="0.25">
      <c r="A23" s="1207"/>
      <c r="B23" s="1290"/>
      <c r="C23" s="1291"/>
      <c r="D23" s="1213" t="s">
        <v>11</v>
      </c>
      <c r="E23" s="1497">
        <v>76</v>
      </c>
      <c r="F23" s="1497">
        <v>75</v>
      </c>
      <c r="G23" s="1493">
        <v>80</v>
      </c>
      <c r="H23" s="2040">
        <v>89</v>
      </c>
      <c r="I23" s="2040">
        <v>75</v>
      </c>
      <c r="J23" s="2040">
        <v>81</v>
      </c>
      <c r="K23" s="1493">
        <v>65</v>
      </c>
      <c r="L23" s="1493">
        <v>79</v>
      </c>
      <c r="M23" s="1493">
        <v>80</v>
      </c>
      <c r="N23" s="2042"/>
      <c r="O23" s="2042"/>
      <c r="P23" s="2129"/>
      <c r="Q23" s="1077">
        <f>MAX(E23,H23,K23,N23)</f>
        <v>89</v>
      </c>
      <c r="R23" s="2126">
        <f t="shared" si="15"/>
        <v>79</v>
      </c>
      <c r="S23" s="2127">
        <f t="shared" si="16"/>
        <v>81</v>
      </c>
      <c r="T23" s="853">
        <f>IFERROR(AVERAGE(Q23:S23),"")</f>
        <v>83</v>
      </c>
      <c r="U23" s="1296" t="str">
        <f t="shared" si="19"/>
        <v>3.66</v>
      </c>
      <c r="V23" s="1296" t="str">
        <f t="shared" si="20"/>
        <v>A-</v>
      </c>
      <c r="W23" s="1296" t="str">
        <f t="shared" si="21"/>
        <v>SB</v>
      </c>
      <c r="X23" s="1274"/>
      <c r="Y23" s="1274"/>
      <c r="Z23" s="1274"/>
      <c r="AA23" s="1274"/>
      <c r="AB23" s="1276"/>
      <c r="AC23" s="1276"/>
      <c r="AD23" s="1276"/>
      <c r="AE23" s="2133"/>
      <c r="AF23" s="2144"/>
      <c r="AG23" s="2145"/>
    </row>
    <row r="24" spans="1:33" ht="24.95" customHeight="1" x14ac:dyDescent="0.25">
      <c r="A24" s="1236"/>
      <c r="B24" s="1280">
        <v>3</v>
      </c>
      <c r="C24" s="1292"/>
      <c r="D24" s="1279"/>
      <c r="E24" s="2729"/>
      <c r="F24" s="2730"/>
      <c r="G24" s="2730"/>
      <c r="H24" s="2730"/>
      <c r="I24" s="2077"/>
      <c r="J24" s="2077"/>
      <c r="K24" s="2077"/>
      <c r="L24" s="2077"/>
      <c r="M24" s="2077"/>
      <c r="N24" s="2077"/>
      <c r="O24" s="2077"/>
      <c r="P24" s="2077"/>
      <c r="Q24" s="2150"/>
      <c r="R24" s="2151"/>
      <c r="S24" s="2151"/>
      <c r="T24" s="1297">
        <f>IFERROR(AVERAGE(T20:T23),"  ")</f>
        <v>79.333333333333343</v>
      </c>
      <c r="U24" s="1298" t="str">
        <f>IF(T14&gt;85,("4"),IF(T14&gt;80,("3.66"),IF(T14&gt;75,("3.33"),IF(T14&gt;70,("3.00"),IF(T14&gt;65,("2.66"),IF(T14&gt;60,("2.33"),IF(T14&gt;55,("2"),IF(T14&gt;50,("1.66"),"1.33"))))))))</f>
        <v>3.33</v>
      </c>
      <c r="V24" s="1298" t="str">
        <f>IF(T14&gt;85,("A"),IF(T14&gt;80,("A-"),IF(T14&gt;75,("B+"),IF(T14&gt;70,("B"),IF(T14&gt;65,("B-"),IF(T14&gt;60,("C+"),IF(T14&gt;55,("C"),IF(T14&gt;50,("C-"),"D+"))))))))</f>
        <v>B+</v>
      </c>
      <c r="W24" s="1299"/>
      <c r="X24" s="1283"/>
      <c r="Y24" s="1283"/>
      <c r="Z24" s="1283"/>
      <c r="AA24" s="1283"/>
      <c r="AB24" s="1283"/>
      <c r="AC24" s="1283"/>
      <c r="AD24" s="1283"/>
      <c r="AE24" s="1283"/>
      <c r="AF24" s="2146"/>
      <c r="AG24" s="2147"/>
    </row>
    <row r="25" spans="1:33" ht="24.95" customHeight="1" x14ac:dyDescent="0.25">
      <c r="A25" s="1224">
        <v>4</v>
      </c>
      <c r="B25" s="1285"/>
      <c r="C25" s="1286" t="str">
        <f>VLOOKUP(A25,data_siswa,4,FALSE)</f>
        <v>Antonio Permata A</v>
      </c>
      <c r="D25" s="1210" t="s">
        <v>154</v>
      </c>
      <c r="E25" s="1493"/>
      <c r="F25" s="1493"/>
      <c r="G25" s="1493"/>
      <c r="H25" s="2040">
        <v>0</v>
      </c>
      <c r="I25" s="2040">
        <v>0</v>
      </c>
      <c r="J25" s="2040">
        <v>0</v>
      </c>
      <c r="K25" s="1493">
        <v>0</v>
      </c>
      <c r="L25" s="1493">
        <v>0</v>
      </c>
      <c r="M25" s="1493">
        <v>0</v>
      </c>
      <c r="N25" s="2041"/>
      <c r="O25" s="2041"/>
      <c r="P25" s="2130"/>
      <c r="Q25" s="1077">
        <f>MAX(E25,H25,K25,N25)</f>
        <v>0</v>
      </c>
      <c r="R25" s="2126">
        <f t="shared" ref="R25:R28" si="22">MAX(F25,I25,L25,O25)</f>
        <v>0</v>
      </c>
      <c r="S25" s="2127">
        <f t="shared" ref="S25:S28" si="23">MAX(G25,J25,M25,P25)</f>
        <v>0</v>
      </c>
      <c r="T25" s="853">
        <f>IFERROR(AVERAGE(Q25:S25),"")</f>
        <v>0</v>
      </c>
      <c r="U25" s="1295" t="str">
        <f>IF(T25&gt;85,("4"),IF(T25&gt;80,("3.66"),IF(T25&gt;75,("3.33"),IF(T25&gt;70,("3.00"),IF(T25&gt;65,("2.66"),IF(T25&gt;60,("2.33"),IF(T25&gt;55,("2"),IF(T25&gt;50,("1.66"),"1.33"))))))))</f>
        <v>1.33</v>
      </c>
      <c r="V25" s="1295" t="str">
        <f>IF(T25&gt;85,("A"),IF(T25&gt;80,("A-"),IF(T25&gt;75,("B+"),IF(T25&gt;70,("B"),IF(T25&gt;65,("B-"),IF(T25&gt;60,("C+"),IF(T25&gt;55,("C"),IF(T25&gt;50,("C-"),"D+"))))))))</f>
        <v>D+</v>
      </c>
      <c r="W25" s="1295" t="str">
        <f>IF(T25&gt;80,("SB"),IF(T25&gt;65,("B"),IF(T25&gt;50,("C"),IF(T25&gt;0,("K"),"0"))))</f>
        <v>0</v>
      </c>
      <c r="X25" s="2138"/>
      <c r="Y25" s="1287"/>
      <c r="Z25" s="1287"/>
      <c r="AA25" s="1287"/>
      <c r="AB25" s="1293"/>
      <c r="AC25" s="1293"/>
      <c r="AD25" s="1293"/>
      <c r="AE25" s="2136"/>
      <c r="AF25" s="466">
        <f>MAX(T25:T28)</f>
        <v>0</v>
      </c>
      <c r="AG25" s="466" t="str">
        <f>IF(AF25&gt;85,("A"),IF(AF25&gt;80,("A-"),IF(AF25&gt;75,("B+"),IF(AF25&gt;70,("B"),IF(AF25&gt;65,("B-"),IF(AF25&gt;60,("C+"),IF(AF25&gt;55,("C"),IF(AF25&gt;50,("C-"),"D+"))))))))</f>
        <v>D+</v>
      </c>
    </row>
    <row r="26" spans="1:33" ht="24.95" customHeight="1" x14ac:dyDescent="0.25">
      <c r="A26" s="1207"/>
      <c r="B26" s="1290"/>
      <c r="C26" s="1291"/>
      <c r="D26" s="1213" t="s">
        <v>155</v>
      </c>
      <c r="E26" s="1493"/>
      <c r="F26" s="1497"/>
      <c r="G26" s="1493"/>
      <c r="H26" s="2040">
        <v>0</v>
      </c>
      <c r="I26" s="2040">
        <v>0</v>
      </c>
      <c r="J26" s="2040">
        <v>0</v>
      </c>
      <c r="K26" s="1497"/>
      <c r="L26" s="1497"/>
      <c r="M26" s="1497"/>
      <c r="N26" s="2041">
        <v>0</v>
      </c>
      <c r="O26" s="2041">
        <v>0</v>
      </c>
      <c r="P26" s="2130">
        <v>0</v>
      </c>
      <c r="Q26" s="1077">
        <f t="shared" ref="Q26:Q27" si="24">MAX(E26,H26,K26,N26)</f>
        <v>0</v>
      </c>
      <c r="R26" s="2126">
        <f t="shared" si="22"/>
        <v>0</v>
      </c>
      <c r="S26" s="2127">
        <f t="shared" si="23"/>
        <v>0</v>
      </c>
      <c r="T26" s="853">
        <f t="shared" ref="T26:T27" si="25">IFERROR(AVERAGE(Q26:S26),"")</f>
        <v>0</v>
      </c>
      <c r="U26" s="1296" t="str">
        <f t="shared" ref="U26:U28" si="26">IF(T26&gt;85,("4"),IF(T26&gt;80,("3.66"),IF(T26&gt;75,("3.33"),IF(T26&gt;70,("3.00"),IF(T26&gt;65,("2.66"),IF(T26&gt;60,("2.33"),IF(T26&gt;55,("2"),IF(T26&gt;50,("1.66"),"1.33"))))))))</f>
        <v>1.33</v>
      </c>
      <c r="V26" s="1296" t="str">
        <f t="shared" ref="V26:V28" si="27">IF(T26&gt;85,("A"),IF(T26&gt;80,("A-"),IF(T26&gt;75,("B+"),IF(T26&gt;70,("B"),IF(T26&gt;65,("B-"),IF(T26&gt;60,("C+"),IF(T26&gt;55,("C"),IF(T26&gt;50,("C-"),"D+"))))))))</f>
        <v>D+</v>
      </c>
      <c r="W26" s="1296" t="str">
        <f t="shared" ref="W26:W28" si="28">IF(T26&gt;80,("SB"),IF(T26&gt;65,("B"),IF(T26&gt;50,("C"),IF(T26&gt;0,("K"),"0"))))</f>
        <v>0</v>
      </c>
      <c r="X26" s="1271"/>
      <c r="Y26" s="1271"/>
      <c r="Z26" s="1271"/>
      <c r="AA26" s="1271"/>
      <c r="AB26" s="1273"/>
      <c r="AC26" s="1273"/>
      <c r="AD26" s="1273"/>
      <c r="AE26" s="2132"/>
      <c r="AF26" s="2140"/>
      <c r="AG26" s="2141"/>
    </row>
    <row r="27" spans="1:33" ht="24.95" customHeight="1" x14ac:dyDescent="0.25">
      <c r="A27" s="1207"/>
      <c r="B27" s="1290"/>
      <c r="C27" s="1291"/>
      <c r="D27" s="1213" t="s">
        <v>9</v>
      </c>
      <c r="E27" s="1493"/>
      <c r="F27" s="1493"/>
      <c r="G27" s="1497"/>
      <c r="H27" s="2040">
        <v>0</v>
      </c>
      <c r="I27" s="2040">
        <v>0</v>
      </c>
      <c r="J27" s="2040">
        <v>0</v>
      </c>
      <c r="K27" s="1497"/>
      <c r="L27" s="1497"/>
      <c r="M27" s="1497"/>
      <c r="N27" s="2042"/>
      <c r="O27" s="2042"/>
      <c r="P27" s="2129"/>
      <c r="Q27" s="1077">
        <f t="shared" si="24"/>
        <v>0</v>
      </c>
      <c r="R27" s="2126">
        <f t="shared" si="22"/>
        <v>0</v>
      </c>
      <c r="S27" s="2127">
        <f t="shared" si="23"/>
        <v>0</v>
      </c>
      <c r="T27" s="853">
        <f t="shared" si="25"/>
        <v>0</v>
      </c>
      <c r="U27" s="1296" t="str">
        <f t="shared" si="26"/>
        <v>1.33</v>
      </c>
      <c r="V27" s="1296" t="str">
        <f t="shared" si="27"/>
        <v>D+</v>
      </c>
      <c r="W27" s="1296" t="str">
        <f t="shared" si="28"/>
        <v>0</v>
      </c>
      <c r="X27" s="1274"/>
      <c r="Y27" s="1274"/>
      <c r="Z27" s="1274"/>
      <c r="AA27" s="1274"/>
      <c r="AB27" s="1276"/>
      <c r="AC27" s="1276"/>
      <c r="AD27" s="1276"/>
      <c r="AE27" s="2133"/>
      <c r="AF27" s="2142"/>
      <c r="AG27" s="2143"/>
    </row>
    <row r="28" spans="1:33" ht="24.95" customHeight="1" x14ac:dyDescent="0.25">
      <c r="A28" s="1207"/>
      <c r="B28" s="1290"/>
      <c r="C28" s="1291"/>
      <c r="D28" s="1213" t="s">
        <v>11</v>
      </c>
      <c r="E28" s="1497">
        <v>0</v>
      </c>
      <c r="F28" s="1497">
        <v>0</v>
      </c>
      <c r="G28" s="1493">
        <v>0</v>
      </c>
      <c r="H28" s="2040">
        <v>0</v>
      </c>
      <c r="I28" s="2040">
        <v>0</v>
      </c>
      <c r="J28" s="2040">
        <v>0</v>
      </c>
      <c r="K28" s="1493">
        <v>0</v>
      </c>
      <c r="L28" s="1493">
        <v>0</v>
      </c>
      <c r="M28" s="1493">
        <v>0</v>
      </c>
      <c r="N28" s="2042"/>
      <c r="O28" s="2042"/>
      <c r="P28" s="2129"/>
      <c r="Q28" s="1077">
        <f>MAX(E28,H28,K28,N28)</f>
        <v>0</v>
      </c>
      <c r="R28" s="2126">
        <f t="shared" si="22"/>
        <v>0</v>
      </c>
      <c r="S28" s="2127">
        <f t="shared" si="23"/>
        <v>0</v>
      </c>
      <c r="T28" s="853">
        <f>IFERROR(AVERAGE(Q28:S28),"")</f>
        <v>0</v>
      </c>
      <c r="U28" s="1296" t="str">
        <f t="shared" si="26"/>
        <v>1.33</v>
      </c>
      <c r="V28" s="1296" t="str">
        <f t="shared" si="27"/>
        <v>D+</v>
      </c>
      <c r="W28" s="1296" t="str">
        <f t="shared" si="28"/>
        <v>0</v>
      </c>
      <c r="X28" s="1274"/>
      <c r="Y28" s="1274"/>
      <c r="Z28" s="1274"/>
      <c r="AA28" s="1274"/>
      <c r="AB28" s="1276"/>
      <c r="AC28" s="1276"/>
      <c r="AD28" s="1276"/>
      <c r="AE28" s="2133"/>
      <c r="AF28" s="2144"/>
      <c r="AG28" s="2145"/>
    </row>
    <row r="29" spans="1:33" ht="24.95" customHeight="1" x14ac:dyDescent="0.25">
      <c r="A29" s="1236"/>
      <c r="B29" s="1280">
        <v>4</v>
      </c>
      <c r="C29" s="1292"/>
      <c r="D29" s="1279"/>
      <c r="E29" s="2729"/>
      <c r="F29" s="2730"/>
      <c r="G29" s="2730"/>
      <c r="H29" s="2730"/>
      <c r="I29" s="2017"/>
      <c r="J29" s="2017"/>
      <c r="K29" s="2017"/>
      <c r="L29" s="2017"/>
      <c r="M29" s="2017"/>
      <c r="N29" s="2017"/>
      <c r="O29" s="2017"/>
      <c r="P29" s="2017"/>
      <c r="Q29" s="2150"/>
      <c r="R29" s="2151"/>
      <c r="S29" s="2151"/>
      <c r="T29" s="1297">
        <f>IFERROR(AVERAGE(T25:T28),"  ")</f>
        <v>0</v>
      </c>
      <c r="U29" s="1298" t="str">
        <f>IF(T14&gt;85,("4"),IF(T14&gt;80,("3.66"),IF(T14&gt;75,("3.33"),IF(T14&gt;70,("3.00"),IF(T14&gt;65,("2.66"),IF(T14&gt;60,("2.33"),IF(T14&gt;55,("2"),IF(T14&gt;50,("1.66"),"1.33"))))))))</f>
        <v>3.33</v>
      </c>
      <c r="V29" s="1298" t="str">
        <f>IF(T14&gt;85,("A"),IF(T14&gt;80,("A-"),IF(T14&gt;75,("B+"),IF(T14&gt;70,("B"),IF(T14&gt;65,("B-"),IF(T14&gt;60,("C+"),IF(T14&gt;55,("C"),IF(T14&gt;50,("C-"),"D+"))))))))</f>
        <v>B+</v>
      </c>
      <c r="W29" s="1299"/>
      <c r="X29" s="1283"/>
      <c r="Y29" s="1283"/>
      <c r="Z29" s="1283"/>
      <c r="AA29" s="1283"/>
      <c r="AB29" s="1283"/>
      <c r="AC29" s="1283"/>
      <c r="AD29" s="1283"/>
      <c r="AE29" s="1283"/>
      <c r="AF29" s="2146"/>
      <c r="AG29" s="2147"/>
    </row>
    <row r="30" spans="1:33" ht="24.95" customHeight="1" x14ac:dyDescent="0.25">
      <c r="A30" s="1224">
        <v>5</v>
      </c>
      <c r="B30" s="1285"/>
      <c r="C30" s="1286" t="str">
        <f>VLOOKUP(A30,data_siswa,4,FALSE)</f>
        <v>Arya Pratama G</v>
      </c>
      <c r="D30" s="1210" t="s">
        <v>154</v>
      </c>
      <c r="E30" s="1497"/>
      <c r="F30" s="1497"/>
      <c r="G30" s="1497"/>
      <c r="H30" s="2043">
        <v>75</v>
      </c>
      <c r="I30" s="2043">
        <v>81</v>
      </c>
      <c r="J30" s="2043">
        <v>75</v>
      </c>
      <c r="K30" s="1497">
        <v>65</v>
      </c>
      <c r="L30" s="1497">
        <v>69</v>
      </c>
      <c r="M30" s="1497">
        <v>80</v>
      </c>
      <c r="N30" s="2042"/>
      <c r="O30" s="2042"/>
      <c r="P30" s="2129"/>
      <c r="Q30" s="1077">
        <f>MAX(E30,H30,K30,N30)</f>
        <v>75</v>
      </c>
      <c r="R30" s="2126">
        <f t="shared" ref="R30:R33" si="29">MAX(F30,I30,L30,O30)</f>
        <v>81</v>
      </c>
      <c r="S30" s="2127">
        <f t="shared" ref="S30:S33" si="30">MAX(G30,J30,M30,P30)</f>
        <v>80</v>
      </c>
      <c r="T30" s="853">
        <f>IFERROR(AVERAGE(Q30:S30),"")</f>
        <v>78.666666666666671</v>
      </c>
      <c r="U30" s="1295" t="str">
        <f>IF(T30&gt;85,("4"),IF(T30&gt;80,("3.66"),IF(T30&gt;75,("3.33"),IF(T30&gt;70,("3.00"),IF(T30&gt;65,("2.66"),IF(T30&gt;60,("2.33"),IF(T30&gt;55,("2"),IF(T30&gt;50,("1.66"),"1.33"))))))))</f>
        <v>3.33</v>
      </c>
      <c r="V30" s="1295" t="str">
        <f>IF(T30&gt;85,("A"),IF(T30&gt;80,("A-"),IF(T30&gt;75,("B+"),IF(T30&gt;70,("B"),IF(T30&gt;65,("B-"),IF(T30&gt;60,("C+"),IF(T30&gt;55,("C"),IF(T30&gt;50,("C-"),"D+"))))))))</f>
        <v>B+</v>
      </c>
      <c r="W30" s="1295" t="str">
        <f>IF(T30&gt;80,("SB"),IF(T30&gt;65,("B"),IF(T30&gt;50,("C"),IF(T30&gt;0,("K"),"0"))))</f>
        <v>B</v>
      </c>
      <c r="X30" s="2138"/>
      <c r="Y30" s="1287"/>
      <c r="Z30" s="1287"/>
      <c r="AA30" s="1287"/>
      <c r="AB30" s="1293"/>
      <c r="AC30" s="1293"/>
      <c r="AD30" s="1293"/>
      <c r="AE30" s="2136"/>
      <c r="AF30" s="466">
        <f>MAX(T30:T33)</f>
        <v>83</v>
      </c>
      <c r="AG30" s="466" t="str">
        <f>IF(AF30&gt;85,("A"),IF(AF30&gt;80,("A-"),IF(AF30&gt;75,("B+"),IF(AF30&gt;70,("B"),IF(AF30&gt;65,("B-"),IF(AF30&gt;60,("C+"),IF(AF30&gt;55,("C"),IF(AF30&gt;50,("C-"),"D+"))))))))</f>
        <v>A-</v>
      </c>
    </row>
    <row r="31" spans="1:33" ht="24.95" customHeight="1" x14ac:dyDescent="0.25">
      <c r="A31" s="1207"/>
      <c r="B31" s="1290"/>
      <c r="C31" s="1291"/>
      <c r="D31" s="1213" t="s">
        <v>155</v>
      </c>
      <c r="E31" s="1493"/>
      <c r="F31" s="1497"/>
      <c r="G31" s="1493"/>
      <c r="H31" s="2040">
        <v>65</v>
      </c>
      <c r="I31" s="2040">
        <v>76</v>
      </c>
      <c r="J31" s="2040">
        <v>74</v>
      </c>
      <c r="K31" s="1497"/>
      <c r="L31" s="1497"/>
      <c r="M31" s="1497"/>
      <c r="N31" s="2041">
        <v>68</v>
      </c>
      <c r="O31" s="2041">
        <v>79</v>
      </c>
      <c r="P31" s="2130">
        <v>80</v>
      </c>
      <c r="Q31" s="1077">
        <f t="shared" ref="Q31:Q32" si="31">MAX(E31,H31,K31,N31)</f>
        <v>68</v>
      </c>
      <c r="R31" s="2126">
        <f t="shared" si="29"/>
        <v>79</v>
      </c>
      <c r="S31" s="2127">
        <f t="shared" si="30"/>
        <v>80</v>
      </c>
      <c r="T31" s="853">
        <f t="shared" ref="T31:T32" si="32">IFERROR(AVERAGE(Q31:S31),"")</f>
        <v>75.666666666666671</v>
      </c>
      <c r="U31" s="1296" t="str">
        <f t="shared" ref="U31:U33" si="33">IF(T31&gt;85,("4"),IF(T31&gt;80,("3.66"),IF(T31&gt;75,("3.33"),IF(T31&gt;70,("3.00"),IF(T31&gt;65,("2.66"),IF(T31&gt;60,("2.33"),IF(T31&gt;55,("2"),IF(T31&gt;50,("1.66"),"1.33"))))))))</f>
        <v>3.33</v>
      </c>
      <c r="V31" s="1296" t="str">
        <f t="shared" ref="V31:V33" si="34">IF(T31&gt;85,("A"),IF(T31&gt;80,("A-"),IF(T31&gt;75,("B+"),IF(T31&gt;70,("B"),IF(T31&gt;65,("B-"),IF(T31&gt;60,("C+"),IF(T31&gt;55,("C"),IF(T31&gt;50,("C-"),"D+"))))))))</f>
        <v>B+</v>
      </c>
      <c r="W31" s="1296" t="str">
        <f t="shared" ref="W31:W33" si="35">IF(T31&gt;80,("SB"),IF(T31&gt;65,("B"),IF(T31&gt;50,("C"),IF(T31&gt;0,("K"),"0"))))</f>
        <v>B</v>
      </c>
      <c r="X31" s="1271"/>
      <c r="Y31" s="1271"/>
      <c r="Z31" s="1271"/>
      <c r="AA31" s="1271"/>
      <c r="AB31" s="1273"/>
      <c r="AC31" s="1273"/>
      <c r="AD31" s="1273"/>
      <c r="AE31" s="2132"/>
      <c r="AF31" s="2140"/>
      <c r="AG31" s="2141"/>
    </row>
    <row r="32" spans="1:33" ht="24.95" customHeight="1" x14ac:dyDescent="0.25">
      <c r="A32" s="1207"/>
      <c r="B32" s="1290"/>
      <c r="C32" s="1291"/>
      <c r="D32" s="1213" t="s">
        <v>9</v>
      </c>
      <c r="E32" s="1493"/>
      <c r="F32" s="1493"/>
      <c r="G32" s="1497"/>
      <c r="H32" s="2040">
        <v>78</v>
      </c>
      <c r="I32" s="2040">
        <v>82</v>
      </c>
      <c r="J32" s="2040">
        <v>80</v>
      </c>
      <c r="K32" s="1497"/>
      <c r="L32" s="1497"/>
      <c r="M32" s="1497"/>
      <c r="N32" s="2042"/>
      <c r="O32" s="2042"/>
      <c r="P32" s="2129"/>
      <c r="Q32" s="1077">
        <f t="shared" si="31"/>
        <v>78</v>
      </c>
      <c r="R32" s="2126">
        <f t="shared" si="29"/>
        <v>82</v>
      </c>
      <c r="S32" s="2127">
        <f t="shared" si="30"/>
        <v>80</v>
      </c>
      <c r="T32" s="853">
        <f t="shared" si="32"/>
        <v>80</v>
      </c>
      <c r="U32" s="1296" t="str">
        <f t="shared" si="33"/>
        <v>3.33</v>
      </c>
      <c r="V32" s="1296" t="str">
        <f t="shared" si="34"/>
        <v>B+</v>
      </c>
      <c r="W32" s="1296" t="str">
        <f t="shared" si="35"/>
        <v>B</v>
      </c>
      <c r="X32" s="1274"/>
      <c r="Y32" s="1274"/>
      <c r="Z32" s="1274"/>
      <c r="AA32" s="1274"/>
      <c r="AB32" s="1276"/>
      <c r="AC32" s="1276"/>
      <c r="AD32" s="1276"/>
      <c r="AE32" s="2133"/>
      <c r="AF32" s="2142"/>
      <c r="AG32" s="2143"/>
    </row>
    <row r="33" spans="1:33" ht="24.95" customHeight="1" x14ac:dyDescent="0.25">
      <c r="A33" s="1207"/>
      <c r="B33" s="1290"/>
      <c r="C33" s="1291"/>
      <c r="D33" s="1213" t="s">
        <v>11</v>
      </c>
      <c r="E33" s="1497">
        <v>76</v>
      </c>
      <c r="F33" s="1497">
        <v>75</v>
      </c>
      <c r="G33" s="1493">
        <v>80</v>
      </c>
      <c r="H33" s="2040">
        <v>89</v>
      </c>
      <c r="I33" s="2040">
        <v>75</v>
      </c>
      <c r="J33" s="2040">
        <v>81</v>
      </c>
      <c r="K33" s="1493">
        <v>65</v>
      </c>
      <c r="L33" s="1493">
        <v>79</v>
      </c>
      <c r="M33" s="1493">
        <v>80</v>
      </c>
      <c r="N33" s="2042"/>
      <c r="O33" s="2042"/>
      <c r="P33" s="2129"/>
      <c r="Q33" s="1077">
        <f>MAX(E33,H33,K33,N33)</f>
        <v>89</v>
      </c>
      <c r="R33" s="2126">
        <f t="shared" si="29"/>
        <v>79</v>
      </c>
      <c r="S33" s="2127">
        <f t="shared" si="30"/>
        <v>81</v>
      </c>
      <c r="T33" s="853">
        <f>IFERROR(AVERAGE(Q33:S33),"")</f>
        <v>83</v>
      </c>
      <c r="U33" s="1296" t="str">
        <f t="shared" si="33"/>
        <v>3.66</v>
      </c>
      <c r="V33" s="1296" t="str">
        <f t="shared" si="34"/>
        <v>A-</v>
      </c>
      <c r="W33" s="1296" t="str">
        <f t="shared" si="35"/>
        <v>SB</v>
      </c>
      <c r="X33" s="1274"/>
      <c r="Y33" s="1274"/>
      <c r="Z33" s="1274"/>
      <c r="AA33" s="1274"/>
      <c r="AB33" s="1276"/>
      <c r="AC33" s="1276"/>
      <c r="AD33" s="1276"/>
      <c r="AE33" s="2133"/>
      <c r="AF33" s="2144"/>
      <c r="AG33" s="2145"/>
    </row>
    <row r="34" spans="1:33" ht="24.95" customHeight="1" x14ac:dyDescent="0.25">
      <c r="A34" s="1236"/>
      <c r="B34" s="1280">
        <v>5</v>
      </c>
      <c r="C34" s="1292"/>
      <c r="D34" s="1279"/>
      <c r="E34" s="2729"/>
      <c r="F34" s="2730"/>
      <c r="G34" s="2730"/>
      <c r="H34" s="2730"/>
      <c r="I34" s="2077"/>
      <c r="J34" s="2077"/>
      <c r="K34" s="2077"/>
      <c r="L34" s="2077"/>
      <c r="M34" s="2077"/>
      <c r="N34" s="2077"/>
      <c r="O34" s="2077"/>
      <c r="P34" s="2077"/>
      <c r="Q34" s="2150"/>
      <c r="R34" s="2151"/>
      <c r="S34" s="2151"/>
      <c r="T34" s="1297">
        <f>IFERROR(AVERAGE(T30:T33),"  ")</f>
        <v>79.333333333333343</v>
      </c>
      <c r="U34" s="1298" t="str">
        <f>IF(T14&gt;85,("4"),IF(T14&gt;80,("3.66"),IF(T14&gt;75,("3.33"),IF(T14&gt;70,("3.00"),IF(T14&gt;65,("2.66"),IF(T14&gt;60,("2.33"),IF(T14&gt;55,("2"),IF(T14&gt;50,("1.66"),"1.33"))))))))</f>
        <v>3.33</v>
      </c>
      <c r="V34" s="1298" t="str">
        <f>IF(T14&gt;85,("A"),IF(T14&gt;80,("A-"),IF(T14&gt;75,("B+"),IF(T14&gt;70,("B"),IF(T14&gt;65,("B-"),IF(T14&gt;60,("C+"),IF(T14&gt;55,("C"),IF(T14&gt;50,("C-"),"D+"))))))))</f>
        <v>B+</v>
      </c>
      <c r="W34" s="1299"/>
      <c r="X34" s="1283"/>
      <c r="Y34" s="1283"/>
      <c r="Z34" s="1283"/>
      <c r="AA34" s="1283"/>
      <c r="AB34" s="1283"/>
      <c r="AC34" s="1283"/>
      <c r="AD34" s="1283"/>
      <c r="AE34" s="1283"/>
      <c r="AF34" s="2146"/>
      <c r="AG34" s="2147"/>
    </row>
    <row r="35" spans="1:33" ht="24.95" customHeight="1" x14ac:dyDescent="0.25">
      <c r="A35" s="1224">
        <v>6</v>
      </c>
      <c r="B35" s="1285"/>
      <c r="C35" s="1286" t="str">
        <f>VLOOKUP(A35,data_siswa,4,FALSE)</f>
        <v>Asyam Hanif Ihsan H</v>
      </c>
      <c r="D35" s="1210" t="s">
        <v>154</v>
      </c>
      <c r="E35" s="1493"/>
      <c r="F35" s="1493"/>
      <c r="G35" s="1493"/>
      <c r="H35" s="2040">
        <v>0</v>
      </c>
      <c r="I35" s="2040">
        <v>0</v>
      </c>
      <c r="J35" s="2040">
        <v>0</v>
      </c>
      <c r="K35" s="1493">
        <v>0</v>
      </c>
      <c r="L35" s="1493">
        <v>0</v>
      </c>
      <c r="M35" s="1493">
        <v>0</v>
      </c>
      <c r="N35" s="2041"/>
      <c r="O35" s="2041"/>
      <c r="P35" s="2130"/>
      <c r="Q35" s="1077">
        <f>MAX(E35,H35,K35,N35)</f>
        <v>0</v>
      </c>
      <c r="R35" s="2126">
        <f t="shared" ref="R35:R38" si="36">MAX(F35,I35,L35,O35)</f>
        <v>0</v>
      </c>
      <c r="S35" s="2127">
        <f t="shared" ref="S35:S38" si="37">MAX(G35,J35,M35,P35)</f>
        <v>0</v>
      </c>
      <c r="T35" s="853">
        <f>IFERROR(AVERAGE(Q35:S35),"")</f>
        <v>0</v>
      </c>
      <c r="U35" s="1295" t="str">
        <f>IF(T35&gt;85,("4"),IF(T35&gt;80,("3.66"),IF(T35&gt;75,("3.33"),IF(T35&gt;70,("3.00"),IF(T35&gt;65,("2.66"),IF(T35&gt;60,("2.33"),IF(T35&gt;55,("2"),IF(T35&gt;50,("1.66"),"1.33"))))))))</f>
        <v>1.33</v>
      </c>
      <c r="V35" s="1295" t="str">
        <f>IF(T35&gt;85,("A"),IF(T35&gt;80,("A-"),IF(T35&gt;75,("B+"),IF(T35&gt;70,("B"),IF(T35&gt;65,("B-"),IF(T35&gt;60,("C+"),IF(T35&gt;55,("C"),IF(T35&gt;50,("C-"),"D+"))))))))</f>
        <v>D+</v>
      </c>
      <c r="W35" s="1295" t="str">
        <f>IF(T35&gt;80,("SB"),IF(T35&gt;65,("B"),IF(T35&gt;50,("C"),IF(T35&gt;0,("K"),"0"))))</f>
        <v>0</v>
      </c>
      <c r="X35" s="2138"/>
      <c r="Y35" s="1287"/>
      <c r="Z35" s="1287"/>
      <c r="AA35" s="1287"/>
      <c r="AB35" s="1293"/>
      <c r="AC35" s="1293"/>
      <c r="AD35" s="1293"/>
      <c r="AE35" s="2136"/>
      <c r="AF35" s="466">
        <f>MAX(T35:T38)</f>
        <v>0</v>
      </c>
      <c r="AG35" s="466" t="str">
        <f>IF(AF35&gt;85,("A"),IF(AF35&gt;80,("A-"),IF(AF35&gt;75,("B+"),IF(AF35&gt;70,("B"),IF(AF35&gt;65,("B-"),IF(AF35&gt;60,("C+"),IF(AF35&gt;55,("C"),IF(AF35&gt;50,("C-"),"D+"))))))))</f>
        <v>D+</v>
      </c>
    </row>
    <row r="36" spans="1:33" ht="24.95" customHeight="1" x14ac:dyDescent="0.25">
      <c r="A36" s="1207"/>
      <c r="B36" s="1290"/>
      <c r="C36" s="1291"/>
      <c r="D36" s="1213" t="s">
        <v>155</v>
      </c>
      <c r="E36" s="1493"/>
      <c r="F36" s="1497"/>
      <c r="G36" s="1493"/>
      <c r="H36" s="2040">
        <v>0</v>
      </c>
      <c r="I36" s="2040">
        <v>0</v>
      </c>
      <c r="J36" s="2040">
        <v>0</v>
      </c>
      <c r="K36" s="1497"/>
      <c r="L36" s="1497"/>
      <c r="M36" s="1497"/>
      <c r="N36" s="2041">
        <v>0</v>
      </c>
      <c r="O36" s="2041">
        <v>0</v>
      </c>
      <c r="P36" s="2130">
        <v>0</v>
      </c>
      <c r="Q36" s="1077">
        <f t="shared" ref="Q36:Q37" si="38">MAX(E36,H36,K36,N36)</f>
        <v>0</v>
      </c>
      <c r="R36" s="2126">
        <f t="shared" si="36"/>
        <v>0</v>
      </c>
      <c r="S36" s="2127">
        <f t="shared" si="37"/>
        <v>0</v>
      </c>
      <c r="T36" s="853">
        <f t="shared" ref="T36:T37" si="39">IFERROR(AVERAGE(Q36:S36),"")</f>
        <v>0</v>
      </c>
      <c r="U36" s="1296" t="str">
        <f t="shared" ref="U36:U38" si="40">IF(T36&gt;85,("4"),IF(T36&gt;80,("3.66"),IF(T36&gt;75,("3.33"),IF(T36&gt;70,("3.00"),IF(T36&gt;65,("2.66"),IF(T36&gt;60,("2.33"),IF(T36&gt;55,("2"),IF(T36&gt;50,("1.66"),"1.33"))))))))</f>
        <v>1.33</v>
      </c>
      <c r="V36" s="1296" t="str">
        <f t="shared" ref="V36:V38" si="41">IF(T36&gt;85,("A"),IF(T36&gt;80,("A-"),IF(T36&gt;75,("B+"),IF(T36&gt;70,("B"),IF(T36&gt;65,("B-"),IF(T36&gt;60,("C+"),IF(T36&gt;55,("C"),IF(T36&gt;50,("C-"),"D+"))))))))</f>
        <v>D+</v>
      </c>
      <c r="W36" s="1296" t="str">
        <f t="shared" ref="W36:W38" si="42">IF(T36&gt;80,("SB"),IF(T36&gt;65,("B"),IF(T36&gt;50,("C"),IF(T36&gt;0,("K"),"0"))))</f>
        <v>0</v>
      </c>
      <c r="X36" s="1271"/>
      <c r="Y36" s="1271"/>
      <c r="Z36" s="1271"/>
      <c r="AA36" s="1271"/>
      <c r="AB36" s="1273"/>
      <c r="AC36" s="1273"/>
      <c r="AD36" s="1273"/>
      <c r="AE36" s="2132"/>
      <c r="AF36" s="2140"/>
      <c r="AG36" s="2141"/>
    </row>
    <row r="37" spans="1:33" ht="24.95" customHeight="1" x14ac:dyDescent="0.25">
      <c r="A37" s="1207"/>
      <c r="B37" s="1290"/>
      <c r="C37" s="1291"/>
      <c r="D37" s="1213" t="s">
        <v>9</v>
      </c>
      <c r="E37" s="1493"/>
      <c r="F37" s="1493"/>
      <c r="G37" s="1497"/>
      <c r="H37" s="2040">
        <v>0</v>
      </c>
      <c r="I37" s="2040">
        <v>0</v>
      </c>
      <c r="J37" s="2040">
        <v>0</v>
      </c>
      <c r="K37" s="1497"/>
      <c r="L37" s="1497"/>
      <c r="M37" s="1497"/>
      <c r="N37" s="2042"/>
      <c r="O37" s="2042"/>
      <c r="P37" s="2129"/>
      <c r="Q37" s="1077">
        <f t="shared" si="38"/>
        <v>0</v>
      </c>
      <c r="R37" s="2126">
        <f t="shared" si="36"/>
        <v>0</v>
      </c>
      <c r="S37" s="2127">
        <f t="shared" si="37"/>
        <v>0</v>
      </c>
      <c r="T37" s="853">
        <f t="shared" si="39"/>
        <v>0</v>
      </c>
      <c r="U37" s="1296" t="str">
        <f t="shared" si="40"/>
        <v>1.33</v>
      </c>
      <c r="V37" s="1296" t="str">
        <f t="shared" si="41"/>
        <v>D+</v>
      </c>
      <c r="W37" s="1296" t="str">
        <f t="shared" si="42"/>
        <v>0</v>
      </c>
      <c r="X37" s="1274"/>
      <c r="Y37" s="1274"/>
      <c r="Z37" s="1274"/>
      <c r="AA37" s="1274"/>
      <c r="AB37" s="1276"/>
      <c r="AC37" s="1276"/>
      <c r="AD37" s="1276"/>
      <c r="AE37" s="2133"/>
      <c r="AF37" s="2142"/>
      <c r="AG37" s="2143"/>
    </row>
    <row r="38" spans="1:33" ht="24.95" customHeight="1" x14ac:dyDescent="0.25">
      <c r="A38" s="1207"/>
      <c r="B38" s="1290"/>
      <c r="C38" s="1291"/>
      <c r="D38" s="1213" t="s">
        <v>11</v>
      </c>
      <c r="E38" s="1497">
        <v>0</v>
      </c>
      <c r="F38" s="1497">
        <v>0</v>
      </c>
      <c r="G38" s="1493">
        <v>0</v>
      </c>
      <c r="H38" s="2040">
        <v>0</v>
      </c>
      <c r="I38" s="2040">
        <v>0</v>
      </c>
      <c r="J38" s="2040">
        <v>0</v>
      </c>
      <c r="K38" s="1493">
        <v>0</v>
      </c>
      <c r="L38" s="1493">
        <v>0</v>
      </c>
      <c r="M38" s="1493">
        <v>0</v>
      </c>
      <c r="N38" s="2042"/>
      <c r="O38" s="2042"/>
      <c r="P38" s="2129"/>
      <c r="Q38" s="1077">
        <f>MAX(E38,H38,K38,N38)</f>
        <v>0</v>
      </c>
      <c r="R38" s="2126">
        <f t="shared" si="36"/>
        <v>0</v>
      </c>
      <c r="S38" s="2127">
        <f t="shared" si="37"/>
        <v>0</v>
      </c>
      <c r="T38" s="853">
        <f>IFERROR(AVERAGE(Q38:S38),"")</f>
        <v>0</v>
      </c>
      <c r="U38" s="1296" t="str">
        <f t="shared" si="40"/>
        <v>1.33</v>
      </c>
      <c r="V38" s="1296" t="str">
        <f t="shared" si="41"/>
        <v>D+</v>
      </c>
      <c r="W38" s="1296" t="str">
        <f t="shared" si="42"/>
        <v>0</v>
      </c>
      <c r="X38" s="1274"/>
      <c r="Y38" s="1274"/>
      <c r="Z38" s="1274"/>
      <c r="AA38" s="1274"/>
      <c r="AB38" s="1276"/>
      <c r="AC38" s="1276"/>
      <c r="AD38" s="1276"/>
      <c r="AE38" s="2133"/>
      <c r="AF38" s="2144"/>
      <c r="AG38" s="2145"/>
    </row>
    <row r="39" spans="1:33" ht="24.95" customHeight="1" x14ac:dyDescent="0.25">
      <c r="A39" s="1236"/>
      <c r="B39" s="1280">
        <v>6</v>
      </c>
      <c r="C39" s="1292"/>
      <c r="D39" s="1279"/>
      <c r="E39" s="2729"/>
      <c r="F39" s="2730"/>
      <c r="G39" s="2730"/>
      <c r="H39" s="2730"/>
      <c r="I39" s="2017"/>
      <c r="J39" s="2017"/>
      <c r="K39" s="2017"/>
      <c r="L39" s="2017"/>
      <c r="M39" s="2017"/>
      <c r="N39" s="2017"/>
      <c r="O39" s="2017"/>
      <c r="P39" s="2017"/>
      <c r="Q39" s="2150"/>
      <c r="R39" s="2151"/>
      <c r="S39" s="2151"/>
      <c r="T39" s="1297">
        <f>IFERROR(AVERAGE(T35:T38),"  ")</f>
        <v>0</v>
      </c>
      <c r="U39" s="1298" t="str">
        <f>IF(T14&gt;85,("4"),IF(T14&gt;80,("3.66"),IF(T14&gt;75,("3.33"),IF(T14&gt;70,("3.00"),IF(T14&gt;65,("2.66"),IF(T14&gt;60,("2.33"),IF(T14&gt;55,("2"),IF(T14&gt;50,("1.66"),"1.33"))))))))</f>
        <v>3.33</v>
      </c>
      <c r="V39" s="1298" t="str">
        <f>IF(T14&gt;85,("A"),IF(T14&gt;80,("A-"),IF(T14&gt;75,("B+"),IF(T14&gt;70,("B"),IF(T14&gt;65,("B-"),IF(T14&gt;60,("C+"),IF(T14&gt;55,("C"),IF(T14&gt;50,("C-"),"D+"))))))))</f>
        <v>B+</v>
      </c>
      <c r="W39" s="1299"/>
      <c r="X39" s="1283"/>
      <c r="Y39" s="1283"/>
      <c r="Z39" s="1283"/>
      <c r="AA39" s="1283"/>
      <c r="AB39" s="1283"/>
      <c r="AC39" s="1283"/>
      <c r="AD39" s="1283"/>
      <c r="AE39" s="1283"/>
      <c r="AF39" s="2146"/>
      <c r="AG39" s="2147"/>
    </row>
    <row r="40" spans="1:33" ht="24.95" customHeight="1" x14ac:dyDescent="0.25">
      <c r="A40" s="1224">
        <v>7</v>
      </c>
      <c r="B40" s="1285"/>
      <c r="C40" s="1286" t="str">
        <f>VLOOKUP(A40,data_siswa,4,FALSE)</f>
        <v>Athaya Salsabilla Z</v>
      </c>
      <c r="D40" s="1210" t="s">
        <v>154</v>
      </c>
      <c r="E40" s="1497"/>
      <c r="F40" s="1497"/>
      <c r="G40" s="1497"/>
      <c r="H40" s="2043">
        <v>75</v>
      </c>
      <c r="I40" s="2043">
        <v>81</v>
      </c>
      <c r="J40" s="2043">
        <v>75</v>
      </c>
      <c r="K40" s="1497">
        <v>65</v>
      </c>
      <c r="L40" s="1497">
        <v>69</v>
      </c>
      <c r="M40" s="1497">
        <v>80</v>
      </c>
      <c r="N40" s="2042"/>
      <c r="O40" s="2042"/>
      <c r="P40" s="2129"/>
      <c r="Q40" s="1077">
        <f>MAX(E40,H40,K40,N40)</f>
        <v>75</v>
      </c>
      <c r="R40" s="2126">
        <f t="shared" ref="R40:R43" si="43">MAX(F40,I40,L40,O40)</f>
        <v>81</v>
      </c>
      <c r="S40" s="2127">
        <f t="shared" ref="S40:S43" si="44">MAX(G40,J40,M40,P40)</f>
        <v>80</v>
      </c>
      <c r="T40" s="853">
        <f>IFERROR(AVERAGE(Q40:S40),"")</f>
        <v>78.666666666666671</v>
      </c>
      <c r="U40" s="1295" t="str">
        <f>IF(T40&gt;85,("4"),IF(T40&gt;80,("3.66"),IF(T40&gt;75,("3.33"),IF(T40&gt;70,("3.00"),IF(T40&gt;65,("2.66"),IF(T40&gt;60,("2.33"),IF(T40&gt;55,("2"),IF(T40&gt;50,("1.66"),"1.33"))))))))</f>
        <v>3.33</v>
      </c>
      <c r="V40" s="1295" t="str">
        <f>IF(T40&gt;85,("A"),IF(T40&gt;80,("A-"),IF(T40&gt;75,("B+"),IF(T40&gt;70,("B"),IF(T40&gt;65,("B-"),IF(T40&gt;60,("C+"),IF(T40&gt;55,("C"),IF(T40&gt;50,("C-"),"D+"))))))))</f>
        <v>B+</v>
      </c>
      <c r="W40" s="1295" t="str">
        <f>IF(T40&gt;80,("SB"),IF(T40&gt;65,("B"),IF(T40&gt;50,("C"),IF(T40&gt;0,("K"),"0"))))</f>
        <v>B</v>
      </c>
      <c r="X40" s="2138"/>
      <c r="Y40" s="1287"/>
      <c r="Z40" s="1287"/>
      <c r="AA40" s="1287"/>
      <c r="AB40" s="1293"/>
      <c r="AC40" s="1293"/>
      <c r="AD40" s="1293"/>
      <c r="AE40" s="2136"/>
      <c r="AF40" s="466">
        <f>MAX(T40:T43)</f>
        <v>83</v>
      </c>
      <c r="AG40" s="466" t="str">
        <f>IF(AF40&gt;85,("A"),IF(AF40&gt;80,("A-"),IF(AF40&gt;75,("B+"),IF(AF40&gt;70,("B"),IF(AF40&gt;65,("B-"),IF(AF40&gt;60,("C+"),IF(AF40&gt;55,("C"),IF(AF40&gt;50,("C-"),"D+"))))))))</f>
        <v>A-</v>
      </c>
    </row>
    <row r="41" spans="1:33" ht="24.95" customHeight="1" x14ac:dyDescent="0.25">
      <c r="A41" s="1207"/>
      <c r="B41" s="1290"/>
      <c r="C41" s="1291"/>
      <c r="D41" s="1213" t="s">
        <v>155</v>
      </c>
      <c r="E41" s="1493"/>
      <c r="F41" s="1497"/>
      <c r="G41" s="1493"/>
      <c r="H41" s="2040">
        <v>65</v>
      </c>
      <c r="I41" s="2040">
        <v>76</v>
      </c>
      <c r="J41" s="2040">
        <v>74</v>
      </c>
      <c r="K41" s="1497"/>
      <c r="L41" s="1497"/>
      <c r="M41" s="1497"/>
      <c r="N41" s="2041">
        <v>68</v>
      </c>
      <c r="O41" s="2041">
        <v>79</v>
      </c>
      <c r="P41" s="2130">
        <v>80</v>
      </c>
      <c r="Q41" s="1077">
        <f t="shared" ref="Q41:Q42" si="45">MAX(E41,H41,K41,N41)</f>
        <v>68</v>
      </c>
      <c r="R41" s="2126">
        <f t="shared" si="43"/>
        <v>79</v>
      </c>
      <c r="S41" s="2127">
        <f t="shared" si="44"/>
        <v>80</v>
      </c>
      <c r="T41" s="853">
        <f t="shared" ref="T41:T42" si="46">IFERROR(AVERAGE(Q41:S41),"")</f>
        <v>75.666666666666671</v>
      </c>
      <c r="U41" s="1296" t="str">
        <f t="shared" ref="U41:U43" si="47">IF(T41&gt;85,("4"),IF(T41&gt;80,("3.66"),IF(T41&gt;75,("3.33"),IF(T41&gt;70,("3.00"),IF(T41&gt;65,("2.66"),IF(T41&gt;60,("2.33"),IF(T41&gt;55,("2"),IF(T41&gt;50,("1.66"),"1.33"))))))))</f>
        <v>3.33</v>
      </c>
      <c r="V41" s="1296" t="str">
        <f t="shared" ref="V41:V43" si="48">IF(T41&gt;85,("A"),IF(T41&gt;80,("A-"),IF(T41&gt;75,("B+"),IF(T41&gt;70,("B"),IF(T41&gt;65,("B-"),IF(T41&gt;60,("C+"),IF(T41&gt;55,("C"),IF(T41&gt;50,("C-"),"D+"))))))))</f>
        <v>B+</v>
      </c>
      <c r="W41" s="1296" t="str">
        <f t="shared" ref="W41:W43" si="49">IF(T41&gt;80,("SB"),IF(T41&gt;65,("B"),IF(T41&gt;50,("C"),IF(T41&gt;0,("K"),"0"))))</f>
        <v>B</v>
      </c>
      <c r="X41" s="1271"/>
      <c r="Y41" s="1271"/>
      <c r="Z41" s="1271"/>
      <c r="AA41" s="1271"/>
      <c r="AB41" s="1273"/>
      <c r="AC41" s="1273"/>
      <c r="AD41" s="1273"/>
      <c r="AE41" s="2132"/>
      <c r="AF41" s="2140"/>
      <c r="AG41" s="2141"/>
    </row>
    <row r="42" spans="1:33" ht="24.95" customHeight="1" x14ac:dyDescent="0.25">
      <c r="A42" s="1207"/>
      <c r="B42" s="1290"/>
      <c r="C42" s="1291"/>
      <c r="D42" s="1213" t="s">
        <v>9</v>
      </c>
      <c r="E42" s="1493"/>
      <c r="F42" s="1493"/>
      <c r="G42" s="1497"/>
      <c r="H42" s="2040">
        <v>78</v>
      </c>
      <c r="I42" s="2040">
        <v>82</v>
      </c>
      <c r="J42" s="2040">
        <v>80</v>
      </c>
      <c r="K42" s="1497"/>
      <c r="L42" s="1497"/>
      <c r="M42" s="1497"/>
      <c r="N42" s="2042"/>
      <c r="O42" s="2042"/>
      <c r="P42" s="2129"/>
      <c r="Q42" s="1077">
        <f t="shared" si="45"/>
        <v>78</v>
      </c>
      <c r="R42" s="2126">
        <f t="shared" si="43"/>
        <v>82</v>
      </c>
      <c r="S42" s="2127">
        <f t="shared" si="44"/>
        <v>80</v>
      </c>
      <c r="T42" s="853">
        <f t="shared" si="46"/>
        <v>80</v>
      </c>
      <c r="U42" s="1296" t="str">
        <f t="shared" si="47"/>
        <v>3.33</v>
      </c>
      <c r="V42" s="1296" t="str">
        <f t="shared" si="48"/>
        <v>B+</v>
      </c>
      <c r="W42" s="1296" t="str">
        <f t="shared" si="49"/>
        <v>B</v>
      </c>
      <c r="X42" s="1274"/>
      <c r="Y42" s="1274"/>
      <c r="Z42" s="1274"/>
      <c r="AA42" s="1274"/>
      <c r="AB42" s="1276"/>
      <c r="AC42" s="1276"/>
      <c r="AD42" s="1276"/>
      <c r="AE42" s="2133"/>
      <c r="AF42" s="2142"/>
      <c r="AG42" s="2143"/>
    </row>
    <row r="43" spans="1:33" ht="24.95" customHeight="1" x14ac:dyDescent="0.25">
      <c r="A43" s="1207"/>
      <c r="B43" s="1290"/>
      <c r="C43" s="1291"/>
      <c r="D43" s="1213" t="s">
        <v>11</v>
      </c>
      <c r="E43" s="1497">
        <v>76</v>
      </c>
      <c r="F43" s="1497">
        <v>75</v>
      </c>
      <c r="G43" s="1493">
        <v>80</v>
      </c>
      <c r="H43" s="2040">
        <v>89</v>
      </c>
      <c r="I43" s="2040">
        <v>75</v>
      </c>
      <c r="J43" s="2040">
        <v>81</v>
      </c>
      <c r="K43" s="1493">
        <v>65</v>
      </c>
      <c r="L43" s="1493">
        <v>79</v>
      </c>
      <c r="M43" s="1493">
        <v>80</v>
      </c>
      <c r="N43" s="2042"/>
      <c r="O43" s="2042"/>
      <c r="P43" s="2129"/>
      <c r="Q43" s="1077">
        <f>MAX(E43,H43,K43,N43)</f>
        <v>89</v>
      </c>
      <c r="R43" s="2126">
        <f t="shared" si="43"/>
        <v>79</v>
      </c>
      <c r="S43" s="2127">
        <f t="shared" si="44"/>
        <v>81</v>
      </c>
      <c r="T43" s="853">
        <f>IFERROR(AVERAGE(Q43:S43),"")</f>
        <v>83</v>
      </c>
      <c r="U43" s="1296" t="str">
        <f t="shared" si="47"/>
        <v>3.66</v>
      </c>
      <c r="V43" s="1296" t="str">
        <f t="shared" si="48"/>
        <v>A-</v>
      </c>
      <c r="W43" s="1296" t="str">
        <f t="shared" si="49"/>
        <v>SB</v>
      </c>
      <c r="X43" s="1274"/>
      <c r="Y43" s="1274"/>
      <c r="Z43" s="1274"/>
      <c r="AA43" s="1274"/>
      <c r="AB43" s="1276"/>
      <c r="AC43" s="1276"/>
      <c r="AD43" s="1276"/>
      <c r="AE43" s="2133"/>
      <c r="AF43" s="2144"/>
      <c r="AG43" s="2145"/>
    </row>
    <row r="44" spans="1:33" ht="24.95" customHeight="1" x14ac:dyDescent="0.25">
      <c r="A44" s="1236"/>
      <c r="B44" s="1280">
        <v>7</v>
      </c>
      <c r="C44" s="1292"/>
      <c r="D44" s="1279"/>
      <c r="E44" s="2729"/>
      <c r="F44" s="2730"/>
      <c r="G44" s="2730"/>
      <c r="H44" s="2730"/>
      <c r="I44" s="2077"/>
      <c r="J44" s="2077"/>
      <c r="K44" s="2077"/>
      <c r="L44" s="2077"/>
      <c r="M44" s="2077"/>
      <c r="N44" s="2077"/>
      <c r="O44" s="2077"/>
      <c r="P44" s="2077"/>
      <c r="Q44" s="2150"/>
      <c r="R44" s="2151"/>
      <c r="S44" s="2151"/>
      <c r="T44" s="1297">
        <f>IFERROR(AVERAGE(T40:T43),"  ")</f>
        <v>79.333333333333343</v>
      </c>
      <c r="U44" s="1298" t="str">
        <f>IF(T14&gt;85,("4"),IF(T14&gt;80,("3.66"),IF(T14&gt;75,("3.33"),IF(T14&gt;70,("3.00"),IF(T14&gt;65,("2.66"),IF(T14&gt;60,("2.33"),IF(T14&gt;55,("2"),IF(T14&gt;50,("1.66"),"1.33"))))))))</f>
        <v>3.33</v>
      </c>
      <c r="V44" s="1298" t="str">
        <f>IF(T14&gt;85,("A"),IF(T14&gt;80,("A-"),IF(T14&gt;75,("B+"),IF(T14&gt;70,("B"),IF(T14&gt;65,("B-"),IF(T14&gt;60,("C+"),IF(T14&gt;55,("C"),IF(T14&gt;50,("C-"),"D+"))))))))</f>
        <v>B+</v>
      </c>
      <c r="W44" s="1299"/>
      <c r="X44" s="1283"/>
      <c r="Y44" s="1283"/>
      <c r="Z44" s="1283"/>
      <c r="AA44" s="1283"/>
      <c r="AB44" s="1283"/>
      <c r="AC44" s="1283"/>
      <c r="AD44" s="1283"/>
      <c r="AE44" s="1283"/>
      <c r="AF44" s="2146"/>
      <c r="AG44" s="2147"/>
    </row>
    <row r="45" spans="1:33" ht="24.95" customHeight="1" x14ac:dyDescent="0.25">
      <c r="A45" s="1224">
        <v>8</v>
      </c>
      <c r="B45" s="1285"/>
      <c r="C45" s="1286" t="str">
        <f>VLOOKUP(A45,data_siswa,4,FALSE)</f>
        <v>Aulia Dea Rosalinda</v>
      </c>
      <c r="D45" s="1210" t="s">
        <v>154</v>
      </c>
      <c r="E45" s="1493"/>
      <c r="F45" s="1493"/>
      <c r="G45" s="1493"/>
      <c r="H45" s="2040">
        <v>0</v>
      </c>
      <c r="I45" s="2040">
        <v>0</v>
      </c>
      <c r="J45" s="2040">
        <v>0</v>
      </c>
      <c r="K45" s="1493">
        <v>0</v>
      </c>
      <c r="L45" s="1493">
        <v>0</v>
      </c>
      <c r="M45" s="1493">
        <v>0</v>
      </c>
      <c r="N45" s="2041"/>
      <c r="O45" s="2041"/>
      <c r="P45" s="2130"/>
      <c r="Q45" s="1077">
        <f>MAX(E45,H45,K45,N45)</f>
        <v>0</v>
      </c>
      <c r="R45" s="2126">
        <f t="shared" ref="R45:R48" si="50">MAX(F45,I45,L45,O45)</f>
        <v>0</v>
      </c>
      <c r="S45" s="2127">
        <f t="shared" ref="S45:S48" si="51">MAX(G45,J45,M45,P45)</f>
        <v>0</v>
      </c>
      <c r="T45" s="853">
        <f>IFERROR(AVERAGE(Q45:S45),"")</f>
        <v>0</v>
      </c>
      <c r="U45" s="1295" t="str">
        <f>IF(T45&gt;85,("4"),IF(T45&gt;80,("3.66"),IF(T45&gt;75,("3.33"),IF(T45&gt;70,("3.00"),IF(T45&gt;65,("2.66"),IF(T45&gt;60,("2.33"),IF(T45&gt;55,("2"),IF(T45&gt;50,("1.66"),"1.33"))))))))</f>
        <v>1.33</v>
      </c>
      <c r="V45" s="1295" t="str">
        <f>IF(T45&gt;85,("A"),IF(T45&gt;80,("A-"),IF(T45&gt;75,("B+"),IF(T45&gt;70,("B"),IF(T45&gt;65,("B-"),IF(T45&gt;60,("C+"),IF(T45&gt;55,("C"),IF(T45&gt;50,("C-"),"D+"))))))))</f>
        <v>D+</v>
      </c>
      <c r="W45" s="1295" t="str">
        <f>IF(T45&gt;80,("SB"),IF(T45&gt;65,("B"),IF(T45&gt;50,("C"),IF(T45&gt;0,("K"),"0"))))</f>
        <v>0</v>
      </c>
      <c r="X45" s="2138"/>
      <c r="Y45" s="1287"/>
      <c r="Z45" s="1287"/>
      <c r="AA45" s="1287"/>
      <c r="AB45" s="1293"/>
      <c r="AC45" s="1293"/>
      <c r="AD45" s="1293"/>
      <c r="AE45" s="2136"/>
      <c r="AF45" s="466">
        <f>MAX(T45:T48)</f>
        <v>0</v>
      </c>
      <c r="AG45" s="466" t="str">
        <f>IF(AF45&gt;85,("A"),IF(AF45&gt;80,("A-"),IF(AF45&gt;75,("B+"),IF(AF45&gt;70,("B"),IF(AF45&gt;65,("B-"),IF(AF45&gt;60,("C+"),IF(AF45&gt;55,("C"),IF(AF45&gt;50,("C-"),"D+"))))))))</f>
        <v>D+</v>
      </c>
    </row>
    <row r="46" spans="1:33" ht="24.95" customHeight="1" x14ac:dyDescent="0.25">
      <c r="A46" s="1207"/>
      <c r="B46" s="1290"/>
      <c r="C46" s="1291"/>
      <c r="D46" s="1213" t="s">
        <v>155</v>
      </c>
      <c r="E46" s="1493"/>
      <c r="F46" s="1497"/>
      <c r="G46" s="1493"/>
      <c r="H46" s="2040">
        <v>0</v>
      </c>
      <c r="I46" s="2040">
        <v>0</v>
      </c>
      <c r="J46" s="2040">
        <v>0</v>
      </c>
      <c r="K46" s="1497"/>
      <c r="L46" s="1497"/>
      <c r="M46" s="1497"/>
      <c r="N46" s="2041">
        <v>0</v>
      </c>
      <c r="O46" s="2041">
        <v>0</v>
      </c>
      <c r="P46" s="2130">
        <v>0</v>
      </c>
      <c r="Q46" s="1077">
        <f t="shared" ref="Q46:Q47" si="52">MAX(E46,H46,K46,N46)</f>
        <v>0</v>
      </c>
      <c r="R46" s="2126">
        <f t="shared" si="50"/>
        <v>0</v>
      </c>
      <c r="S46" s="2127">
        <f t="shared" si="51"/>
        <v>0</v>
      </c>
      <c r="T46" s="853">
        <f t="shared" ref="T46:T47" si="53">IFERROR(AVERAGE(Q46:S46),"")</f>
        <v>0</v>
      </c>
      <c r="U46" s="1296" t="str">
        <f t="shared" ref="U46:U48" si="54">IF(T46&gt;85,("4"),IF(T46&gt;80,("3.66"),IF(T46&gt;75,("3.33"),IF(T46&gt;70,("3.00"),IF(T46&gt;65,("2.66"),IF(T46&gt;60,("2.33"),IF(T46&gt;55,("2"),IF(T46&gt;50,("1.66"),"1.33"))))))))</f>
        <v>1.33</v>
      </c>
      <c r="V46" s="1296" t="str">
        <f t="shared" ref="V46:V48" si="55">IF(T46&gt;85,("A"),IF(T46&gt;80,("A-"),IF(T46&gt;75,("B+"),IF(T46&gt;70,("B"),IF(T46&gt;65,("B-"),IF(T46&gt;60,("C+"),IF(T46&gt;55,("C"),IF(T46&gt;50,("C-"),"D+"))))))))</f>
        <v>D+</v>
      </c>
      <c r="W46" s="1296" t="str">
        <f t="shared" ref="W46:W48" si="56">IF(T46&gt;80,("SB"),IF(T46&gt;65,("B"),IF(T46&gt;50,("C"),IF(T46&gt;0,("K"),"0"))))</f>
        <v>0</v>
      </c>
      <c r="X46" s="1271"/>
      <c r="Y46" s="1271"/>
      <c r="Z46" s="1271"/>
      <c r="AA46" s="1271"/>
      <c r="AB46" s="1273"/>
      <c r="AC46" s="1273"/>
      <c r="AD46" s="1273"/>
      <c r="AE46" s="2132"/>
      <c r="AF46" s="2140"/>
      <c r="AG46" s="2141"/>
    </row>
    <row r="47" spans="1:33" ht="24.95" customHeight="1" x14ac:dyDescent="0.25">
      <c r="A47" s="1207"/>
      <c r="B47" s="1290"/>
      <c r="C47" s="1291"/>
      <c r="D47" s="1213" t="s">
        <v>9</v>
      </c>
      <c r="E47" s="1493"/>
      <c r="F47" s="1493"/>
      <c r="G47" s="1497"/>
      <c r="H47" s="2040">
        <v>0</v>
      </c>
      <c r="I47" s="2040">
        <v>0</v>
      </c>
      <c r="J47" s="2040">
        <v>0</v>
      </c>
      <c r="K47" s="1497"/>
      <c r="L47" s="1497"/>
      <c r="M47" s="1497"/>
      <c r="N47" s="2042"/>
      <c r="O47" s="2042"/>
      <c r="P47" s="2129"/>
      <c r="Q47" s="1077">
        <f t="shared" si="52"/>
        <v>0</v>
      </c>
      <c r="R47" s="2126">
        <f t="shared" si="50"/>
        <v>0</v>
      </c>
      <c r="S47" s="2127">
        <f t="shared" si="51"/>
        <v>0</v>
      </c>
      <c r="T47" s="853">
        <f t="shared" si="53"/>
        <v>0</v>
      </c>
      <c r="U47" s="1296" t="str">
        <f t="shared" si="54"/>
        <v>1.33</v>
      </c>
      <c r="V47" s="1296" t="str">
        <f t="shared" si="55"/>
        <v>D+</v>
      </c>
      <c r="W47" s="1296" t="str">
        <f t="shared" si="56"/>
        <v>0</v>
      </c>
      <c r="X47" s="1274"/>
      <c r="Y47" s="1274"/>
      <c r="Z47" s="1274"/>
      <c r="AA47" s="1274"/>
      <c r="AB47" s="1276"/>
      <c r="AC47" s="1276"/>
      <c r="AD47" s="1276"/>
      <c r="AE47" s="2133"/>
      <c r="AF47" s="2142"/>
      <c r="AG47" s="2143"/>
    </row>
    <row r="48" spans="1:33" ht="24.95" customHeight="1" x14ac:dyDescent="0.25">
      <c r="A48" s="1207"/>
      <c r="B48" s="1290"/>
      <c r="C48" s="1291"/>
      <c r="D48" s="1213" t="s">
        <v>11</v>
      </c>
      <c r="E48" s="1497">
        <v>0</v>
      </c>
      <c r="F48" s="1497">
        <v>0</v>
      </c>
      <c r="G48" s="1493">
        <v>0</v>
      </c>
      <c r="H48" s="2040">
        <v>0</v>
      </c>
      <c r="I48" s="2040">
        <v>0</v>
      </c>
      <c r="J48" s="2040">
        <v>0</v>
      </c>
      <c r="K48" s="1493">
        <v>0</v>
      </c>
      <c r="L48" s="1493">
        <v>0</v>
      </c>
      <c r="M48" s="1493">
        <v>0</v>
      </c>
      <c r="N48" s="2042"/>
      <c r="O48" s="2042"/>
      <c r="P48" s="2129"/>
      <c r="Q48" s="1077">
        <f>MAX(E48,H48,K48,N48)</f>
        <v>0</v>
      </c>
      <c r="R48" s="2126">
        <f t="shared" si="50"/>
        <v>0</v>
      </c>
      <c r="S48" s="2127">
        <f t="shared" si="51"/>
        <v>0</v>
      </c>
      <c r="T48" s="853">
        <f>IFERROR(AVERAGE(Q48:S48),"")</f>
        <v>0</v>
      </c>
      <c r="U48" s="1296" t="str">
        <f t="shared" si="54"/>
        <v>1.33</v>
      </c>
      <c r="V48" s="1296" t="str">
        <f t="shared" si="55"/>
        <v>D+</v>
      </c>
      <c r="W48" s="1296" t="str">
        <f t="shared" si="56"/>
        <v>0</v>
      </c>
      <c r="X48" s="1274"/>
      <c r="Y48" s="1274"/>
      <c r="Z48" s="1274"/>
      <c r="AA48" s="1274"/>
      <c r="AB48" s="1276"/>
      <c r="AC48" s="1276"/>
      <c r="AD48" s="1276"/>
      <c r="AE48" s="2133"/>
      <c r="AF48" s="2144"/>
      <c r="AG48" s="2145"/>
    </row>
    <row r="49" spans="1:33" ht="24.95" customHeight="1" x14ac:dyDescent="0.25">
      <c r="A49" s="1236"/>
      <c r="B49" s="1280">
        <v>8</v>
      </c>
      <c r="C49" s="1292"/>
      <c r="D49" s="1279"/>
      <c r="E49" s="2729"/>
      <c r="F49" s="2730"/>
      <c r="G49" s="2730"/>
      <c r="H49" s="2730"/>
      <c r="I49" s="2017"/>
      <c r="J49" s="2017"/>
      <c r="K49" s="2017"/>
      <c r="L49" s="2017"/>
      <c r="M49" s="2017"/>
      <c r="N49" s="2017"/>
      <c r="O49" s="2017"/>
      <c r="P49" s="2017"/>
      <c r="Q49" s="2150"/>
      <c r="R49" s="2151"/>
      <c r="S49" s="2151"/>
      <c r="T49" s="1297">
        <f>IFERROR(AVERAGE(T45:T48),"  ")</f>
        <v>0</v>
      </c>
      <c r="U49" s="1298" t="str">
        <f>IF(T14&gt;85,("4"),IF(T14&gt;80,("3.66"),IF(T14&gt;75,("3.33"),IF(T14&gt;70,("3.00"),IF(T14&gt;65,("2.66"),IF(T14&gt;60,("2.33"),IF(T14&gt;55,("2"),IF(T14&gt;50,("1.66"),"1.33"))))))))</f>
        <v>3.33</v>
      </c>
      <c r="V49" s="1298" t="str">
        <f>IF(T14&gt;85,("A"),IF(T14&gt;80,("A-"),IF(T14&gt;75,("B+"),IF(T14&gt;70,("B"),IF(T14&gt;65,("B-"),IF(T14&gt;60,("C+"),IF(T14&gt;55,("C"),IF(T14&gt;50,("C-"),"D+"))))))))</f>
        <v>B+</v>
      </c>
      <c r="W49" s="1299"/>
      <c r="X49" s="1283"/>
      <c r="Y49" s="1283"/>
      <c r="Z49" s="1283"/>
      <c r="AA49" s="1283"/>
      <c r="AB49" s="1283"/>
      <c r="AC49" s="1283"/>
      <c r="AD49" s="1283"/>
      <c r="AE49" s="1283"/>
      <c r="AF49" s="2146"/>
      <c r="AG49" s="2147"/>
    </row>
    <row r="50" spans="1:33" ht="24.95" customHeight="1" x14ac:dyDescent="0.25">
      <c r="A50" s="1224">
        <v>9</v>
      </c>
      <c r="B50" s="1285"/>
      <c r="C50" s="1286" t="str">
        <f>VLOOKUP(A50,data_siswa,4,FALSE)</f>
        <v>Claudia Gabriella L</v>
      </c>
      <c r="D50" s="1210" t="s">
        <v>154</v>
      </c>
      <c r="E50" s="1497"/>
      <c r="F50" s="1497"/>
      <c r="G50" s="1497"/>
      <c r="H50" s="2043">
        <v>75</v>
      </c>
      <c r="I50" s="2043">
        <v>81</v>
      </c>
      <c r="J50" s="2043">
        <v>75</v>
      </c>
      <c r="K50" s="1497">
        <v>65</v>
      </c>
      <c r="L50" s="1497">
        <v>69</v>
      </c>
      <c r="M50" s="1497">
        <v>80</v>
      </c>
      <c r="N50" s="2042"/>
      <c r="O50" s="2042"/>
      <c r="P50" s="2129"/>
      <c r="Q50" s="1077">
        <f>MAX(E50,H50,K50,N50)</f>
        <v>75</v>
      </c>
      <c r="R50" s="2126">
        <f t="shared" ref="R50:R53" si="57">MAX(F50,I50,L50,O50)</f>
        <v>81</v>
      </c>
      <c r="S50" s="2127">
        <f t="shared" ref="S50:S53" si="58">MAX(G50,J50,M50,P50)</f>
        <v>80</v>
      </c>
      <c r="T50" s="853">
        <f>IFERROR(AVERAGE(Q50:S50),"")</f>
        <v>78.666666666666671</v>
      </c>
      <c r="U50" s="1295" t="str">
        <f>IF(T50&gt;85,("4"),IF(T50&gt;80,("3.66"),IF(T50&gt;75,("3.33"),IF(T50&gt;70,("3.00"),IF(T50&gt;65,("2.66"),IF(T50&gt;60,("2.33"),IF(T50&gt;55,("2"),IF(T50&gt;50,("1.66"),"1.33"))))))))</f>
        <v>3.33</v>
      </c>
      <c r="V50" s="1295" t="str">
        <f>IF(T50&gt;85,("A"),IF(T50&gt;80,("A-"),IF(T50&gt;75,("B+"),IF(T50&gt;70,("B"),IF(T50&gt;65,("B-"),IF(T50&gt;60,("C+"),IF(T50&gt;55,("C"),IF(T50&gt;50,("C-"),"D+"))))))))</f>
        <v>B+</v>
      </c>
      <c r="W50" s="1295" t="str">
        <f>IF(T50&gt;80,("SB"),IF(T50&gt;65,("B"),IF(T50&gt;50,("C"),IF(T50&gt;0,("K"),"0"))))</f>
        <v>B</v>
      </c>
      <c r="X50" s="2138"/>
      <c r="Y50" s="1287"/>
      <c r="Z50" s="1287"/>
      <c r="AA50" s="1287"/>
      <c r="AB50" s="1293"/>
      <c r="AC50" s="1293"/>
      <c r="AD50" s="1293"/>
      <c r="AE50" s="2136"/>
      <c r="AF50" s="466">
        <f>MAX(T50:T53)</f>
        <v>83</v>
      </c>
      <c r="AG50" s="466" t="str">
        <f>IF(AF50&gt;85,("A"),IF(AF50&gt;80,("A-"),IF(AF50&gt;75,("B+"),IF(AF50&gt;70,("B"),IF(AF50&gt;65,("B-"),IF(AF50&gt;60,("C+"),IF(AF50&gt;55,("C"),IF(AF50&gt;50,("C-"),"D+"))))))))</f>
        <v>A-</v>
      </c>
    </row>
    <row r="51" spans="1:33" ht="24.95" customHeight="1" x14ac:dyDescent="0.25">
      <c r="A51" s="1207"/>
      <c r="B51" s="1290"/>
      <c r="C51" s="1291"/>
      <c r="D51" s="1213" t="s">
        <v>155</v>
      </c>
      <c r="E51" s="1493"/>
      <c r="F51" s="1497"/>
      <c r="G51" s="1493"/>
      <c r="H51" s="2040">
        <v>65</v>
      </c>
      <c r="I51" s="2040">
        <v>76</v>
      </c>
      <c r="J51" s="2040">
        <v>74</v>
      </c>
      <c r="K51" s="1497"/>
      <c r="L51" s="1497"/>
      <c r="M51" s="1497"/>
      <c r="N51" s="2041">
        <v>68</v>
      </c>
      <c r="O51" s="2041">
        <v>79</v>
      </c>
      <c r="P51" s="2130">
        <v>80</v>
      </c>
      <c r="Q51" s="1077">
        <f t="shared" ref="Q51:Q52" si="59">MAX(E51,H51,K51,N51)</f>
        <v>68</v>
      </c>
      <c r="R51" s="2126">
        <f t="shared" si="57"/>
        <v>79</v>
      </c>
      <c r="S51" s="2127">
        <f t="shared" si="58"/>
        <v>80</v>
      </c>
      <c r="T51" s="853">
        <f t="shared" ref="T51:T52" si="60">IFERROR(AVERAGE(Q51:S51),"")</f>
        <v>75.666666666666671</v>
      </c>
      <c r="U51" s="1296" t="str">
        <f t="shared" ref="U51:U53" si="61">IF(T51&gt;85,("4"),IF(T51&gt;80,("3.66"),IF(T51&gt;75,("3.33"),IF(T51&gt;70,("3.00"),IF(T51&gt;65,("2.66"),IF(T51&gt;60,("2.33"),IF(T51&gt;55,("2"),IF(T51&gt;50,("1.66"),"1.33"))))))))</f>
        <v>3.33</v>
      </c>
      <c r="V51" s="1296" t="str">
        <f t="shared" ref="V51:V53" si="62">IF(T51&gt;85,("A"),IF(T51&gt;80,("A-"),IF(T51&gt;75,("B+"),IF(T51&gt;70,("B"),IF(T51&gt;65,("B-"),IF(T51&gt;60,("C+"),IF(T51&gt;55,("C"),IF(T51&gt;50,("C-"),"D+"))))))))</f>
        <v>B+</v>
      </c>
      <c r="W51" s="1296" t="str">
        <f t="shared" ref="W51:W53" si="63">IF(T51&gt;80,("SB"),IF(T51&gt;65,("B"),IF(T51&gt;50,("C"),IF(T51&gt;0,("K"),"0"))))</f>
        <v>B</v>
      </c>
      <c r="X51" s="1271"/>
      <c r="Y51" s="1271"/>
      <c r="Z51" s="1271"/>
      <c r="AA51" s="1271"/>
      <c r="AB51" s="1273"/>
      <c r="AC51" s="1273"/>
      <c r="AD51" s="1273"/>
      <c r="AE51" s="2132"/>
      <c r="AF51" s="2140"/>
      <c r="AG51" s="2141"/>
    </row>
    <row r="52" spans="1:33" ht="24.95" customHeight="1" x14ac:dyDescent="0.25">
      <c r="A52" s="1207"/>
      <c r="B52" s="1290"/>
      <c r="C52" s="1291"/>
      <c r="D52" s="1213" t="s">
        <v>9</v>
      </c>
      <c r="E52" s="1493"/>
      <c r="F52" s="1493"/>
      <c r="G52" s="1497"/>
      <c r="H52" s="2040">
        <v>78</v>
      </c>
      <c r="I52" s="2040">
        <v>82</v>
      </c>
      <c r="J52" s="2040">
        <v>80</v>
      </c>
      <c r="K52" s="1497"/>
      <c r="L52" s="1497"/>
      <c r="M52" s="1497"/>
      <c r="N52" s="2042"/>
      <c r="O52" s="2042"/>
      <c r="P52" s="2129"/>
      <c r="Q52" s="1077">
        <f t="shared" si="59"/>
        <v>78</v>
      </c>
      <c r="R52" s="2126">
        <f t="shared" si="57"/>
        <v>82</v>
      </c>
      <c r="S52" s="2127">
        <f t="shared" si="58"/>
        <v>80</v>
      </c>
      <c r="T52" s="853">
        <f t="shared" si="60"/>
        <v>80</v>
      </c>
      <c r="U52" s="1296" t="str">
        <f t="shared" si="61"/>
        <v>3.33</v>
      </c>
      <c r="V52" s="1296" t="str">
        <f t="shared" si="62"/>
        <v>B+</v>
      </c>
      <c r="W52" s="1296" t="str">
        <f t="shared" si="63"/>
        <v>B</v>
      </c>
      <c r="X52" s="1274"/>
      <c r="Y52" s="1274"/>
      <c r="Z52" s="1274"/>
      <c r="AA52" s="1274"/>
      <c r="AB52" s="1276"/>
      <c r="AC52" s="1276"/>
      <c r="AD52" s="1276"/>
      <c r="AE52" s="2133"/>
      <c r="AF52" s="2142"/>
      <c r="AG52" s="2143"/>
    </row>
    <row r="53" spans="1:33" ht="24.95" customHeight="1" x14ac:dyDescent="0.25">
      <c r="A53" s="1207"/>
      <c r="B53" s="1290"/>
      <c r="C53" s="1291"/>
      <c r="D53" s="1213" t="s">
        <v>11</v>
      </c>
      <c r="E53" s="1497">
        <v>76</v>
      </c>
      <c r="F53" s="1497">
        <v>75</v>
      </c>
      <c r="G53" s="1493">
        <v>80</v>
      </c>
      <c r="H53" s="2040">
        <v>89</v>
      </c>
      <c r="I53" s="2040">
        <v>75</v>
      </c>
      <c r="J53" s="2040">
        <v>81</v>
      </c>
      <c r="K53" s="1493">
        <v>65</v>
      </c>
      <c r="L53" s="1493">
        <v>79</v>
      </c>
      <c r="M53" s="1493">
        <v>80</v>
      </c>
      <c r="N53" s="2042"/>
      <c r="O53" s="2042"/>
      <c r="P53" s="2129"/>
      <c r="Q53" s="1077">
        <f>MAX(E53,H53,K53,N53)</f>
        <v>89</v>
      </c>
      <c r="R53" s="2126">
        <f t="shared" si="57"/>
        <v>79</v>
      </c>
      <c r="S53" s="2127">
        <f t="shared" si="58"/>
        <v>81</v>
      </c>
      <c r="T53" s="853">
        <f>IFERROR(AVERAGE(Q53:S53),"")</f>
        <v>83</v>
      </c>
      <c r="U53" s="1296" t="str">
        <f t="shared" si="61"/>
        <v>3.66</v>
      </c>
      <c r="V53" s="1296" t="str">
        <f t="shared" si="62"/>
        <v>A-</v>
      </c>
      <c r="W53" s="1296" t="str">
        <f t="shared" si="63"/>
        <v>SB</v>
      </c>
      <c r="X53" s="1274"/>
      <c r="Y53" s="1274"/>
      <c r="Z53" s="1274"/>
      <c r="AA53" s="1274"/>
      <c r="AB53" s="1276"/>
      <c r="AC53" s="1276"/>
      <c r="AD53" s="1276"/>
      <c r="AE53" s="2133"/>
      <c r="AF53" s="2144"/>
      <c r="AG53" s="2145"/>
    </row>
    <row r="54" spans="1:33" ht="24.95" customHeight="1" x14ac:dyDescent="0.25">
      <c r="A54" s="1236"/>
      <c r="B54" s="1280">
        <v>9</v>
      </c>
      <c r="C54" s="1292"/>
      <c r="D54" s="1279"/>
      <c r="E54" s="2729"/>
      <c r="F54" s="2730"/>
      <c r="G54" s="2730"/>
      <c r="H54" s="2730"/>
      <c r="I54" s="2077"/>
      <c r="J54" s="2077"/>
      <c r="K54" s="2077"/>
      <c r="L54" s="2077"/>
      <c r="M54" s="2077"/>
      <c r="N54" s="2077"/>
      <c r="O54" s="2077"/>
      <c r="P54" s="2077"/>
      <c r="Q54" s="2150"/>
      <c r="R54" s="2151"/>
      <c r="S54" s="2151"/>
      <c r="T54" s="1297">
        <f>IFERROR(AVERAGE(T50:T53),"  ")</f>
        <v>79.333333333333343</v>
      </c>
      <c r="U54" s="1298" t="str">
        <f>IF(T14&gt;85,("4"),IF(T14&gt;80,("3.66"),IF(T14&gt;75,("3.33"),IF(T14&gt;70,("3.00"),IF(T14&gt;65,("2.66"),IF(T14&gt;60,("2.33"),IF(T14&gt;55,("2"),IF(T14&gt;50,("1.66"),"1.33"))))))))</f>
        <v>3.33</v>
      </c>
      <c r="V54" s="1298" t="str">
        <f>IF(T14&gt;85,("A"),IF(T14&gt;80,("A-"),IF(T14&gt;75,("B+"),IF(T14&gt;70,("B"),IF(T14&gt;65,("B-"),IF(T14&gt;60,("C+"),IF(T14&gt;55,("C"),IF(T14&gt;50,("C-"),"D+"))))))))</f>
        <v>B+</v>
      </c>
      <c r="W54" s="1299"/>
      <c r="X54" s="1283"/>
      <c r="Y54" s="1283"/>
      <c r="Z54" s="1283"/>
      <c r="AA54" s="1283"/>
      <c r="AB54" s="1283"/>
      <c r="AC54" s="1283"/>
      <c r="AD54" s="1283"/>
      <c r="AE54" s="1283"/>
      <c r="AF54" s="2146"/>
      <c r="AG54" s="2147"/>
    </row>
    <row r="55" spans="1:33" ht="24.95" customHeight="1" x14ac:dyDescent="0.25">
      <c r="A55" s="1224">
        <v>10</v>
      </c>
      <c r="B55" s="1285"/>
      <c r="C55" s="1286" t="str">
        <f>VLOOKUP(A55,data_siswa,4,FALSE)</f>
        <v xml:space="preserve">Deco Badarus Zaman </v>
      </c>
      <c r="D55" s="1210" t="s">
        <v>154</v>
      </c>
      <c r="E55" s="1493"/>
      <c r="F55" s="1493"/>
      <c r="G55" s="1493"/>
      <c r="H55" s="2040">
        <v>0</v>
      </c>
      <c r="I55" s="2040">
        <v>0</v>
      </c>
      <c r="J55" s="2040">
        <v>0</v>
      </c>
      <c r="K55" s="1493">
        <v>0</v>
      </c>
      <c r="L55" s="1493">
        <v>0</v>
      </c>
      <c r="M55" s="1493">
        <v>0</v>
      </c>
      <c r="N55" s="2041"/>
      <c r="O55" s="2041"/>
      <c r="P55" s="2130"/>
      <c r="Q55" s="1077">
        <f>MAX(E55,H55,K55,N55)</f>
        <v>0</v>
      </c>
      <c r="R55" s="2126">
        <f t="shared" ref="R55:R58" si="64">MAX(F55,I55,L55,O55)</f>
        <v>0</v>
      </c>
      <c r="S55" s="2127">
        <f t="shared" ref="S55:S58" si="65">MAX(G55,J55,M55,P55)</f>
        <v>0</v>
      </c>
      <c r="T55" s="853">
        <f>IFERROR(AVERAGE(Q55:S55),"")</f>
        <v>0</v>
      </c>
      <c r="U55" s="1295" t="str">
        <f>IF(T55&gt;85,("4"),IF(T55&gt;80,("3.66"),IF(T55&gt;75,("3.33"),IF(T55&gt;70,("3.00"),IF(T55&gt;65,("2.66"),IF(T55&gt;60,("2.33"),IF(T55&gt;55,("2"),IF(T55&gt;50,("1.66"),"1.33"))))))))</f>
        <v>1.33</v>
      </c>
      <c r="V55" s="1295" t="str">
        <f>IF(T55&gt;85,("A"),IF(T55&gt;80,("A-"),IF(T55&gt;75,("B+"),IF(T55&gt;70,("B"),IF(T55&gt;65,("B-"),IF(T55&gt;60,("C+"),IF(T55&gt;55,("C"),IF(T55&gt;50,("C-"),"D+"))))))))</f>
        <v>D+</v>
      </c>
      <c r="W55" s="1295" t="str">
        <f>IF(T55&gt;80,("SB"),IF(T55&gt;65,("B"),IF(T55&gt;50,("C"),IF(T55&gt;0,("K"),"0"))))</f>
        <v>0</v>
      </c>
      <c r="X55" s="2138"/>
      <c r="Y55" s="1287"/>
      <c r="Z55" s="1287"/>
      <c r="AA55" s="1287"/>
      <c r="AB55" s="1293"/>
      <c r="AC55" s="1293"/>
      <c r="AD55" s="1293"/>
      <c r="AE55" s="2136"/>
      <c r="AF55" s="466">
        <f>MAX(T55:T58)</f>
        <v>0</v>
      </c>
      <c r="AG55" s="466" t="str">
        <f>IF(AF55&gt;85,("A"),IF(AF55&gt;80,("A-"),IF(AF55&gt;75,("B+"),IF(AF55&gt;70,("B"),IF(AF55&gt;65,("B-"),IF(AF55&gt;60,("C+"),IF(AF55&gt;55,("C"),IF(AF55&gt;50,("C-"),"D+"))))))))</f>
        <v>D+</v>
      </c>
    </row>
    <row r="56" spans="1:33" ht="24.95" customHeight="1" x14ac:dyDescent="0.25">
      <c r="A56" s="1207"/>
      <c r="B56" s="1290"/>
      <c r="C56" s="1291"/>
      <c r="D56" s="1213" t="s">
        <v>155</v>
      </c>
      <c r="E56" s="1493"/>
      <c r="F56" s="1497"/>
      <c r="G56" s="1493"/>
      <c r="H56" s="2040">
        <v>0</v>
      </c>
      <c r="I56" s="2040">
        <v>0</v>
      </c>
      <c r="J56" s="2040">
        <v>0</v>
      </c>
      <c r="K56" s="1497"/>
      <c r="L56" s="1497"/>
      <c r="M56" s="1497"/>
      <c r="N56" s="2041">
        <v>0</v>
      </c>
      <c r="O56" s="2041">
        <v>0</v>
      </c>
      <c r="P56" s="2130">
        <v>0</v>
      </c>
      <c r="Q56" s="1077">
        <f t="shared" ref="Q56:Q57" si="66">MAX(E56,H56,K56,N56)</f>
        <v>0</v>
      </c>
      <c r="R56" s="2126">
        <f t="shared" si="64"/>
        <v>0</v>
      </c>
      <c r="S56" s="2127">
        <f t="shared" si="65"/>
        <v>0</v>
      </c>
      <c r="T56" s="853">
        <f t="shared" ref="T56:T57" si="67">IFERROR(AVERAGE(Q56:S56),"")</f>
        <v>0</v>
      </c>
      <c r="U56" s="1296" t="str">
        <f t="shared" ref="U56:U58" si="68">IF(T56&gt;85,("4"),IF(T56&gt;80,("3.66"),IF(T56&gt;75,("3.33"),IF(T56&gt;70,("3.00"),IF(T56&gt;65,("2.66"),IF(T56&gt;60,("2.33"),IF(T56&gt;55,("2"),IF(T56&gt;50,("1.66"),"1.33"))))))))</f>
        <v>1.33</v>
      </c>
      <c r="V56" s="1296" t="str">
        <f t="shared" ref="V56:V58" si="69">IF(T56&gt;85,("A"),IF(T56&gt;80,("A-"),IF(T56&gt;75,("B+"),IF(T56&gt;70,("B"),IF(T56&gt;65,("B-"),IF(T56&gt;60,("C+"),IF(T56&gt;55,("C"),IF(T56&gt;50,("C-"),"D+"))))))))</f>
        <v>D+</v>
      </c>
      <c r="W56" s="1296" t="str">
        <f t="shared" ref="W56:W58" si="70">IF(T56&gt;80,("SB"),IF(T56&gt;65,("B"),IF(T56&gt;50,("C"),IF(T56&gt;0,("K"),"0"))))</f>
        <v>0</v>
      </c>
      <c r="X56" s="1271"/>
      <c r="Y56" s="1271"/>
      <c r="Z56" s="1271"/>
      <c r="AA56" s="1271"/>
      <c r="AB56" s="1273"/>
      <c r="AC56" s="1273"/>
      <c r="AD56" s="1273"/>
      <c r="AE56" s="2132"/>
      <c r="AF56" s="2140"/>
      <c r="AG56" s="2141"/>
    </row>
    <row r="57" spans="1:33" ht="24.95" customHeight="1" x14ac:dyDescent="0.25">
      <c r="A57" s="1207"/>
      <c r="B57" s="1290"/>
      <c r="C57" s="1291"/>
      <c r="D57" s="1213" t="s">
        <v>9</v>
      </c>
      <c r="E57" s="1493"/>
      <c r="F57" s="1493"/>
      <c r="G57" s="1497"/>
      <c r="H57" s="2040">
        <v>0</v>
      </c>
      <c r="I57" s="2040">
        <v>0</v>
      </c>
      <c r="J57" s="2040">
        <v>0</v>
      </c>
      <c r="K57" s="1497"/>
      <c r="L57" s="1497"/>
      <c r="M57" s="1497"/>
      <c r="N57" s="2042"/>
      <c r="O57" s="2042"/>
      <c r="P57" s="2129"/>
      <c r="Q57" s="1077">
        <f t="shared" si="66"/>
        <v>0</v>
      </c>
      <c r="R57" s="2126">
        <f t="shared" si="64"/>
        <v>0</v>
      </c>
      <c r="S57" s="2127">
        <f t="shared" si="65"/>
        <v>0</v>
      </c>
      <c r="T57" s="853">
        <f t="shared" si="67"/>
        <v>0</v>
      </c>
      <c r="U57" s="1296" t="str">
        <f t="shared" si="68"/>
        <v>1.33</v>
      </c>
      <c r="V57" s="1296" t="str">
        <f t="shared" si="69"/>
        <v>D+</v>
      </c>
      <c r="W57" s="1296" t="str">
        <f t="shared" si="70"/>
        <v>0</v>
      </c>
      <c r="X57" s="1274"/>
      <c r="Y57" s="1274"/>
      <c r="Z57" s="1274"/>
      <c r="AA57" s="1274"/>
      <c r="AB57" s="1276"/>
      <c r="AC57" s="1276"/>
      <c r="AD57" s="1276"/>
      <c r="AE57" s="2133"/>
      <c r="AF57" s="2142"/>
      <c r="AG57" s="2143"/>
    </row>
    <row r="58" spans="1:33" ht="24.95" customHeight="1" x14ac:dyDescent="0.25">
      <c r="A58" s="1207"/>
      <c r="B58" s="1290"/>
      <c r="C58" s="1291"/>
      <c r="D58" s="1213" t="s">
        <v>11</v>
      </c>
      <c r="E58" s="1497">
        <v>0</v>
      </c>
      <c r="F58" s="1497">
        <v>0</v>
      </c>
      <c r="G58" s="1493">
        <v>0</v>
      </c>
      <c r="H58" s="2040">
        <v>0</v>
      </c>
      <c r="I58" s="2040">
        <v>0</v>
      </c>
      <c r="J58" s="2040">
        <v>0</v>
      </c>
      <c r="K58" s="1493">
        <v>0</v>
      </c>
      <c r="L58" s="1493">
        <v>0</v>
      </c>
      <c r="M58" s="1493">
        <v>0</v>
      </c>
      <c r="N58" s="2042"/>
      <c r="O58" s="2042"/>
      <c r="P58" s="2129"/>
      <c r="Q58" s="1077">
        <f>MAX(E58,H58,K58,N58)</f>
        <v>0</v>
      </c>
      <c r="R58" s="2126">
        <f t="shared" si="64"/>
        <v>0</v>
      </c>
      <c r="S58" s="2127">
        <f t="shared" si="65"/>
        <v>0</v>
      </c>
      <c r="T58" s="853">
        <f>IFERROR(AVERAGE(Q58:S58),"")</f>
        <v>0</v>
      </c>
      <c r="U58" s="1296" t="str">
        <f t="shared" si="68"/>
        <v>1.33</v>
      </c>
      <c r="V58" s="1296" t="str">
        <f t="shared" si="69"/>
        <v>D+</v>
      </c>
      <c r="W58" s="1296" t="str">
        <f t="shared" si="70"/>
        <v>0</v>
      </c>
      <c r="X58" s="1274"/>
      <c r="Y58" s="1274"/>
      <c r="Z58" s="1274"/>
      <c r="AA58" s="1274"/>
      <c r="AB58" s="1276"/>
      <c r="AC58" s="1276"/>
      <c r="AD58" s="1276"/>
      <c r="AE58" s="2133"/>
      <c r="AF58" s="2144"/>
      <c r="AG58" s="2145"/>
    </row>
    <row r="59" spans="1:33" ht="24.95" customHeight="1" x14ac:dyDescent="0.25">
      <c r="A59" s="1236"/>
      <c r="B59" s="1280">
        <v>10</v>
      </c>
      <c r="C59" s="1292"/>
      <c r="D59" s="1279"/>
      <c r="E59" s="2729"/>
      <c r="F59" s="2730"/>
      <c r="G59" s="2730"/>
      <c r="H59" s="2730"/>
      <c r="I59" s="2017"/>
      <c r="J59" s="2017"/>
      <c r="K59" s="2017"/>
      <c r="L59" s="2017"/>
      <c r="M59" s="2017"/>
      <c r="N59" s="2017"/>
      <c r="O59" s="2017"/>
      <c r="P59" s="2017"/>
      <c r="Q59" s="2150"/>
      <c r="R59" s="2151"/>
      <c r="S59" s="2151"/>
      <c r="T59" s="1297">
        <f>IFERROR(AVERAGE(T55:T58),"  ")</f>
        <v>0</v>
      </c>
      <c r="U59" s="1298" t="str">
        <f>IF(T14&gt;85,("4"),IF(T14&gt;80,("3.66"),IF(T14&gt;75,("3.33"),IF(T14&gt;70,("3.00"),IF(T14&gt;65,("2.66"),IF(T14&gt;60,("2.33"),IF(T14&gt;55,("2"),IF(T14&gt;50,("1.66"),"1.33"))))))))</f>
        <v>3.33</v>
      </c>
      <c r="V59" s="1298" t="str">
        <f>IF(T14&gt;85,("A"),IF(T14&gt;80,("A-"),IF(T14&gt;75,("B+"),IF(T14&gt;70,("B"),IF(T14&gt;65,("B-"),IF(T14&gt;60,("C+"),IF(T14&gt;55,("C"),IF(T14&gt;50,("C-"),"D+"))))))))</f>
        <v>B+</v>
      </c>
      <c r="W59" s="1299"/>
      <c r="X59" s="1283"/>
      <c r="Y59" s="1283"/>
      <c r="Z59" s="1283"/>
      <c r="AA59" s="1283"/>
      <c r="AB59" s="1283"/>
      <c r="AC59" s="1283"/>
      <c r="AD59" s="1283"/>
      <c r="AE59" s="1283"/>
      <c r="AF59" s="2146"/>
      <c r="AG59" s="2147"/>
    </row>
    <row r="60" spans="1:33" ht="24.95" customHeight="1" x14ac:dyDescent="0.25">
      <c r="A60" s="1224">
        <v>11</v>
      </c>
      <c r="B60" s="1285"/>
      <c r="C60" s="1286" t="str">
        <f>VLOOKUP(A60,data_siswa,4,FALSE)</f>
        <v>Fania Mutiara Felichia</v>
      </c>
      <c r="D60" s="1210" t="s">
        <v>154</v>
      </c>
      <c r="E60" s="1497"/>
      <c r="F60" s="1497"/>
      <c r="G60" s="1497"/>
      <c r="H60" s="2043">
        <v>75</v>
      </c>
      <c r="I60" s="2043">
        <v>81</v>
      </c>
      <c r="J60" s="2043">
        <v>75</v>
      </c>
      <c r="K60" s="1497">
        <v>65</v>
      </c>
      <c r="L60" s="1497">
        <v>69</v>
      </c>
      <c r="M60" s="1497">
        <v>80</v>
      </c>
      <c r="N60" s="2042"/>
      <c r="O60" s="2042"/>
      <c r="P60" s="2129"/>
      <c r="Q60" s="1077">
        <f>MAX(E60,H60,K60,N60)</f>
        <v>75</v>
      </c>
      <c r="R60" s="2126">
        <f t="shared" ref="R60:R63" si="71">MAX(F60,I60,L60,O60)</f>
        <v>81</v>
      </c>
      <c r="S60" s="2127">
        <f t="shared" ref="S60:S63" si="72">MAX(G60,J60,M60,P60)</f>
        <v>80</v>
      </c>
      <c r="T60" s="853">
        <f>IFERROR(AVERAGE(Q60:S60),"")</f>
        <v>78.666666666666671</v>
      </c>
      <c r="U60" s="1295" t="str">
        <f>IF(T60&gt;85,("4"),IF(T60&gt;80,("3.66"),IF(T60&gt;75,("3.33"),IF(T60&gt;70,("3.00"),IF(T60&gt;65,("2.66"),IF(T60&gt;60,("2.33"),IF(T60&gt;55,("2"),IF(T60&gt;50,("1.66"),"1.33"))))))))</f>
        <v>3.33</v>
      </c>
      <c r="V60" s="1295" t="str">
        <f>IF(T60&gt;85,("A"),IF(T60&gt;80,("A-"),IF(T60&gt;75,("B+"),IF(T60&gt;70,("B"),IF(T60&gt;65,("B-"),IF(T60&gt;60,("C+"),IF(T60&gt;55,("C"),IF(T60&gt;50,("C-"),"D+"))))))))</f>
        <v>B+</v>
      </c>
      <c r="W60" s="1295" t="str">
        <f>IF(T60&gt;80,("SB"),IF(T60&gt;65,("B"),IF(T60&gt;50,("C"),IF(T60&gt;0,("K"),"0"))))</f>
        <v>B</v>
      </c>
      <c r="X60" s="2138"/>
      <c r="Y60" s="1287"/>
      <c r="Z60" s="1287"/>
      <c r="AA60" s="1287"/>
      <c r="AB60" s="1293"/>
      <c r="AC60" s="1293"/>
      <c r="AD60" s="1293"/>
      <c r="AE60" s="2136"/>
      <c r="AF60" s="466">
        <f>MAX(T60:T63)</f>
        <v>83</v>
      </c>
      <c r="AG60" s="466" t="str">
        <f>IF(AF60&gt;85,("A"),IF(AF60&gt;80,("A-"),IF(AF60&gt;75,("B+"),IF(AF60&gt;70,("B"),IF(AF60&gt;65,("B-"),IF(AF60&gt;60,("C+"),IF(AF60&gt;55,("C"),IF(AF60&gt;50,("C-"),"D+"))))))))</f>
        <v>A-</v>
      </c>
    </row>
    <row r="61" spans="1:33" ht="24.95" customHeight="1" x14ac:dyDescent="0.25">
      <c r="A61" s="1207"/>
      <c r="B61" s="1290"/>
      <c r="C61" s="1291"/>
      <c r="D61" s="1213" t="s">
        <v>155</v>
      </c>
      <c r="E61" s="1493"/>
      <c r="F61" s="1497"/>
      <c r="G61" s="1493"/>
      <c r="H61" s="2040">
        <v>65</v>
      </c>
      <c r="I61" s="2040">
        <v>76</v>
      </c>
      <c r="J61" s="2040">
        <v>74</v>
      </c>
      <c r="K61" s="1497"/>
      <c r="L61" s="1497"/>
      <c r="M61" s="1497"/>
      <c r="N61" s="2041">
        <v>68</v>
      </c>
      <c r="O61" s="2041">
        <v>79</v>
      </c>
      <c r="P61" s="2130">
        <v>80</v>
      </c>
      <c r="Q61" s="1077">
        <f t="shared" ref="Q61:Q62" si="73">MAX(E61,H61,K61,N61)</f>
        <v>68</v>
      </c>
      <c r="R61" s="2126">
        <f t="shared" si="71"/>
        <v>79</v>
      </c>
      <c r="S61" s="2127">
        <f t="shared" si="72"/>
        <v>80</v>
      </c>
      <c r="T61" s="853">
        <f t="shared" ref="T61:T62" si="74">IFERROR(AVERAGE(Q61:S61),"")</f>
        <v>75.666666666666671</v>
      </c>
      <c r="U61" s="1296" t="str">
        <f t="shared" ref="U61:U63" si="75">IF(T61&gt;85,("4"),IF(T61&gt;80,("3.66"),IF(T61&gt;75,("3.33"),IF(T61&gt;70,("3.00"),IF(T61&gt;65,("2.66"),IF(T61&gt;60,("2.33"),IF(T61&gt;55,("2"),IF(T61&gt;50,("1.66"),"1.33"))))))))</f>
        <v>3.33</v>
      </c>
      <c r="V61" s="1296" t="str">
        <f t="shared" ref="V61:V63" si="76">IF(T61&gt;85,("A"),IF(T61&gt;80,("A-"),IF(T61&gt;75,("B+"),IF(T61&gt;70,("B"),IF(T61&gt;65,("B-"),IF(T61&gt;60,("C+"),IF(T61&gt;55,("C"),IF(T61&gt;50,("C-"),"D+"))))))))</f>
        <v>B+</v>
      </c>
      <c r="W61" s="1296" t="str">
        <f t="shared" ref="W61:W63" si="77">IF(T61&gt;80,("SB"),IF(T61&gt;65,("B"),IF(T61&gt;50,("C"),IF(T61&gt;0,("K"),"0"))))</f>
        <v>B</v>
      </c>
      <c r="X61" s="1271"/>
      <c r="Y61" s="1271"/>
      <c r="Z61" s="1271"/>
      <c r="AA61" s="1271"/>
      <c r="AB61" s="1273"/>
      <c r="AC61" s="1273"/>
      <c r="AD61" s="1273"/>
      <c r="AE61" s="2132"/>
      <c r="AF61" s="2140"/>
      <c r="AG61" s="2141"/>
    </row>
    <row r="62" spans="1:33" ht="24.95" customHeight="1" x14ac:dyDescent="0.25">
      <c r="A62" s="1207"/>
      <c r="B62" s="1290"/>
      <c r="C62" s="1291"/>
      <c r="D62" s="1213" t="s">
        <v>9</v>
      </c>
      <c r="E62" s="1493"/>
      <c r="F62" s="1493"/>
      <c r="G62" s="1497"/>
      <c r="H62" s="2040">
        <v>78</v>
      </c>
      <c r="I62" s="2040">
        <v>82</v>
      </c>
      <c r="J62" s="2040">
        <v>80</v>
      </c>
      <c r="K62" s="1497"/>
      <c r="L62" s="1497"/>
      <c r="M62" s="1497"/>
      <c r="N62" s="2042"/>
      <c r="O62" s="2042"/>
      <c r="P62" s="2129"/>
      <c r="Q62" s="1077">
        <f t="shared" si="73"/>
        <v>78</v>
      </c>
      <c r="R62" s="2126">
        <f t="shared" si="71"/>
        <v>82</v>
      </c>
      <c r="S62" s="2127">
        <f t="shared" si="72"/>
        <v>80</v>
      </c>
      <c r="T62" s="853">
        <f t="shared" si="74"/>
        <v>80</v>
      </c>
      <c r="U62" s="1296" t="str">
        <f t="shared" si="75"/>
        <v>3.33</v>
      </c>
      <c r="V62" s="1296" t="str">
        <f t="shared" si="76"/>
        <v>B+</v>
      </c>
      <c r="W62" s="1296" t="str">
        <f t="shared" si="77"/>
        <v>B</v>
      </c>
      <c r="X62" s="1274"/>
      <c r="Y62" s="1274"/>
      <c r="Z62" s="1274"/>
      <c r="AA62" s="1274"/>
      <c r="AB62" s="1276"/>
      <c r="AC62" s="1276"/>
      <c r="AD62" s="1276"/>
      <c r="AE62" s="2133"/>
      <c r="AF62" s="2142"/>
      <c r="AG62" s="2143"/>
    </row>
    <row r="63" spans="1:33" ht="24.95" customHeight="1" x14ac:dyDescent="0.25">
      <c r="A63" s="1207"/>
      <c r="B63" s="1290"/>
      <c r="C63" s="1291"/>
      <c r="D63" s="1213" t="s">
        <v>11</v>
      </c>
      <c r="E63" s="1497">
        <v>76</v>
      </c>
      <c r="F63" s="1497">
        <v>75</v>
      </c>
      <c r="G63" s="1493">
        <v>80</v>
      </c>
      <c r="H63" s="2040">
        <v>89</v>
      </c>
      <c r="I63" s="2040">
        <v>75</v>
      </c>
      <c r="J63" s="2040">
        <v>81</v>
      </c>
      <c r="K63" s="1493">
        <v>65</v>
      </c>
      <c r="L63" s="1493">
        <v>79</v>
      </c>
      <c r="M63" s="1493">
        <v>80</v>
      </c>
      <c r="N63" s="2042"/>
      <c r="O63" s="2042"/>
      <c r="P63" s="2129"/>
      <c r="Q63" s="1077">
        <f>MAX(E63,H63,K63,N63)</f>
        <v>89</v>
      </c>
      <c r="R63" s="2126">
        <f t="shared" si="71"/>
        <v>79</v>
      </c>
      <c r="S63" s="2127">
        <f t="shared" si="72"/>
        <v>81</v>
      </c>
      <c r="T63" s="853">
        <f>IFERROR(AVERAGE(Q63:S63),"")</f>
        <v>83</v>
      </c>
      <c r="U63" s="1296" t="str">
        <f t="shared" si="75"/>
        <v>3.66</v>
      </c>
      <c r="V63" s="1296" t="str">
        <f t="shared" si="76"/>
        <v>A-</v>
      </c>
      <c r="W63" s="1296" t="str">
        <f t="shared" si="77"/>
        <v>SB</v>
      </c>
      <c r="X63" s="1274"/>
      <c r="Y63" s="1274"/>
      <c r="Z63" s="1274"/>
      <c r="AA63" s="1274"/>
      <c r="AB63" s="1276"/>
      <c r="AC63" s="1276"/>
      <c r="AD63" s="1276"/>
      <c r="AE63" s="2133"/>
      <c r="AF63" s="2144"/>
      <c r="AG63" s="2145"/>
    </row>
    <row r="64" spans="1:33" ht="24.95" customHeight="1" x14ac:dyDescent="0.25">
      <c r="A64" s="1236"/>
      <c r="B64" s="1280">
        <v>11</v>
      </c>
      <c r="C64" s="1292"/>
      <c r="D64" s="1279"/>
      <c r="E64" s="2729"/>
      <c r="F64" s="2730"/>
      <c r="G64" s="2730"/>
      <c r="H64" s="2730"/>
      <c r="I64" s="2077"/>
      <c r="J64" s="2077"/>
      <c r="K64" s="2077"/>
      <c r="L64" s="2077"/>
      <c r="M64" s="2077"/>
      <c r="N64" s="2077"/>
      <c r="O64" s="2077"/>
      <c r="P64" s="2077"/>
      <c r="Q64" s="2150"/>
      <c r="R64" s="2151"/>
      <c r="S64" s="2151"/>
      <c r="T64" s="1520">
        <f>IFERROR(AVERAGE(T60:T63),"  ")</f>
        <v>79.333333333333343</v>
      </c>
      <c r="U64" s="1298" t="str">
        <f>IF(T14&gt;85,("4"),IF(T14&gt;80,("3.66"),IF(T14&gt;75,("3.33"),IF(T14&gt;70,("3.00"),IF(T14&gt;65,("2.66"),IF(T14&gt;60,("2.33"),IF(T14&gt;55,("2"),IF(T14&gt;50,("1.66"),"1.33"))))))))</f>
        <v>3.33</v>
      </c>
      <c r="V64" s="1298" t="str">
        <f>IF(T14&gt;85,("A"),IF(T14&gt;80,("A-"),IF(T14&gt;75,("B+"),IF(T14&gt;70,("B"),IF(T14&gt;65,("B-"),IF(T14&gt;60,("C+"),IF(T14&gt;55,("C"),IF(T14&gt;50,("C-"),"D+"))))))))</f>
        <v>B+</v>
      </c>
      <c r="W64" s="1299"/>
      <c r="X64" s="1283"/>
      <c r="Y64" s="1283"/>
      <c r="Z64" s="1283"/>
      <c r="AA64" s="1283"/>
      <c r="AB64" s="1283"/>
      <c r="AC64" s="1283"/>
      <c r="AD64" s="1283"/>
      <c r="AE64" s="1283"/>
      <c r="AF64" s="2146"/>
      <c r="AG64" s="2147"/>
    </row>
    <row r="65" spans="1:33" ht="24.95" customHeight="1" x14ac:dyDescent="0.25">
      <c r="A65" s="1224">
        <v>12</v>
      </c>
      <c r="B65" s="1285"/>
      <c r="C65" s="1286" t="str">
        <f>VLOOKUP(A65,data_siswa,4,FALSE)</f>
        <v>Intan Dyah Nowari</v>
      </c>
      <c r="D65" s="1210" t="s">
        <v>154</v>
      </c>
      <c r="E65" s="1493"/>
      <c r="F65" s="1493"/>
      <c r="G65" s="1493"/>
      <c r="H65" s="2040">
        <v>0</v>
      </c>
      <c r="I65" s="2040">
        <v>0</v>
      </c>
      <c r="J65" s="2040">
        <v>0</v>
      </c>
      <c r="K65" s="1493">
        <v>0</v>
      </c>
      <c r="L65" s="1493">
        <v>0</v>
      </c>
      <c r="M65" s="1493">
        <v>0</v>
      </c>
      <c r="N65" s="2041"/>
      <c r="O65" s="2041"/>
      <c r="P65" s="2130"/>
      <c r="Q65" s="1077">
        <f>MAX(E65,H65,K65,N65)</f>
        <v>0</v>
      </c>
      <c r="R65" s="2126">
        <f t="shared" ref="R65:R68" si="78">MAX(F65,I65,L65,O65)</f>
        <v>0</v>
      </c>
      <c r="S65" s="2127">
        <f t="shared" ref="S65:S68" si="79">MAX(G65,J65,M65,P65)</f>
        <v>0</v>
      </c>
      <c r="T65" s="853">
        <f>IFERROR(AVERAGE(Q65:S65),"")</f>
        <v>0</v>
      </c>
      <c r="U65" s="1295" t="str">
        <f>IF(T65&gt;85,("4"),IF(T65&gt;80,("3.66"),IF(T65&gt;75,("3.33"),IF(T65&gt;70,("3.00"),IF(T65&gt;65,("2.66"),IF(T65&gt;60,("2.33"),IF(T65&gt;55,("2"),IF(T65&gt;50,("1.66"),"1.33"))))))))</f>
        <v>1.33</v>
      </c>
      <c r="V65" s="1295" t="str">
        <f>IF(T65&gt;85,("A"),IF(T65&gt;80,("A-"),IF(T65&gt;75,("B+"),IF(T65&gt;70,("B"),IF(T65&gt;65,("B-"),IF(T65&gt;60,("C+"),IF(T65&gt;55,("C"),IF(T65&gt;50,("C-"),"D+"))))))))</f>
        <v>D+</v>
      </c>
      <c r="W65" s="1295" t="str">
        <f>IF(T65&gt;80,("SB"),IF(T65&gt;65,("B"),IF(T65&gt;50,("C"),IF(T65&gt;0,("K"),"0"))))</f>
        <v>0</v>
      </c>
      <c r="X65" s="2138"/>
      <c r="Y65" s="1287"/>
      <c r="Z65" s="1287"/>
      <c r="AA65" s="1287"/>
      <c r="AB65" s="1293"/>
      <c r="AC65" s="1293"/>
      <c r="AD65" s="1293"/>
      <c r="AE65" s="2136"/>
      <c r="AF65" s="466">
        <f>MAX(T65:T68)</f>
        <v>0</v>
      </c>
      <c r="AG65" s="466" t="str">
        <f>IF(AF65&gt;85,("A"),IF(AF65&gt;80,("A-"),IF(AF65&gt;75,("B+"),IF(AF65&gt;70,("B"),IF(AF65&gt;65,("B-"),IF(AF65&gt;60,("C+"),IF(AF65&gt;55,("C"),IF(AF65&gt;50,("C-"),"D+"))))))))</f>
        <v>D+</v>
      </c>
    </row>
    <row r="66" spans="1:33" ht="24.95" customHeight="1" x14ac:dyDescent="0.25">
      <c r="A66" s="1207"/>
      <c r="B66" s="1290"/>
      <c r="C66" s="1291"/>
      <c r="D66" s="1213" t="s">
        <v>155</v>
      </c>
      <c r="E66" s="1493"/>
      <c r="F66" s="1497"/>
      <c r="G66" s="1493"/>
      <c r="H66" s="2040">
        <v>0</v>
      </c>
      <c r="I66" s="2040">
        <v>0</v>
      </c>
      <c r="J66" s="2040">
        <v>0</v>
      </c>
      <c r="K66" s="1497"/>
      <c r="L66" s="1497"/>
      <c r="M66" s="1497"/>
      <c r="N66" s="2041">
        <v>0</v>
      </c>
      <c r="O66" s="2041">
        <v>0</v>
      </c>
      <c r="P66" s="2130">
        <v>0</v>
      </c>
      <c r="Q66" s="1077">
        <f t="shared" ref="Q66:Q67" si="80">MAX(E66,H66,K66,N66)</f>
        <v>0</v>
      </c>
      <c r="R66" s="2126">
        <f t="shared" si="78"/>
        <v>0</v>
      </c>
      <c r="S66" s="2127">
        <f t="shared" si="79"/>
        <v>0</v>
      </c>
      <c r="T66" s="853">
        <f t="shared" ref="T66:T67" si="81">IFERROR(AVERAGE(Q66:S66),"")</f>
        <v>0</v>
      </c>
      <c r="U66" s="1296" t="str">
        <f t="shared" ref="U66:U68" si="82">IF(T66&gt;85,("4"),IF(T66&gt;80,("3.66"),IF(T66&gt;75,("3.33"),IF(T66&gt;70,("3.00"),IF(T66&gt;65,("2.66"),IF(T66&gt;60,("2.33"),IF(T66&gt;55,("2"),IF(T66&gt;50,("1.66"),"1.33"))))))))</f>
        <v>1.33</v>
      </c>
      <c r="V66" s="1296" t="str">
        <f t="shared" ref="V66:V68" si="83">IF(T66&gt;85,("A"),IF(T66&gt;80,("A-"),IF(T66&gt;75,("B+"),IF(T66&gt;70,("B"),IF(T66&gt;65,("B-"),IF(T66&gt;60,("C+"),IF(T66&gt;55,("C"),IF(T66&gt;50,("C-"),"D+"))))))))</f>
        <v>D+</v>
      </c>
      <c r="W66" s="1296" t="str">
        <f t="shared" ref="W66:W68" si="84">IF(T66&gt;80,("SB"),IF(T66&gt;65,("B"),IF(T66&gt;50,("C"),IF(T66&gt;0,("K"),"0"))))</f>
        <v>0</v>
      </c>
      <c r="X66" s="1271"/>
      <c r="Y66" s="1271"/>
      <c r="Z66" s="1271"/>
      <c r="AA66" s="1271"/>
      <c r="AB66" s="1273"/>
      <c r="AC66" s="1273"/>
      <c r="AD66" s="1273"/>
      <c r="AE66" s="2132"/>
      <c r="AF66" s="2140"/>
      <c r="AG66" s="2141"/>
    </row>
    <row r="67" spans="1:33" ht="24.95" customHeight="1" x14ac:dyDescent="0.25">
      <c r="A67" s="1207"/>
      <c r="B67" s="1290"/>
      <c r="C67" s="1291"/>
      <c r="D67" s="1213" t="s">
        <v>9</v>
      </c>
      <c r="E67" s="1493"/>
      <c r="F67" s="1493"/>
      <c r="G67" s="1497"/>
      <c r="H67" s="2040">
        <v>0</v>
      </c>
      <c r="I67" s="2040">
        <v>0</v>
      </c>
      <c r="J67" s="2040">
        <v>0</v>
      </c>
      <c r="K67" s="1497"/>
      <c r="L67" s="1497"/>
      <c r="M67" s="1497"/>
      <c r="N67" s="2042"/>
      <c r="O67" s="2042"/>
      <c r="P67" s="2129"/>
      <c r="Q67" s="1077">
        <f t="shared" si="80"/>
        <v>0</v>
      </c>
      <c r="R67" s="2126">
        <f t="shared" si="78"/>
        <v>0</v>
      </c>
      <c r="S67" s="2127">
        <f t="shared" si="79"/>
        <v>0</v>
      </c>
      <c r="T67" s="853">
        <f t="shared" si="81"/>
        <v>0</v>
      </c>
      <c r="U67" s="1296" t="str">
        <f t="shared" si="82"/>
        <v>1.33</v>
      </c>
      <c r="V67" s="1296" t="str">
        <f t="shared" si="83"/>
        <v>D+</v>
      </c>
      <c r="W67" s="1296" t="str">
        <f t="shared" si="84"/>
        <v>0</v>
      </c>
      <c r="X67" s="1274"/>
      <c r="Y67" s="1274"/>
      <c r="Z67" s="1274"/>
      <c r="AA67" s="1274"/>
      <c r="AB67" s="1276"/>
      <c r="AC67" s="1276"/>
      <c r="AD67" s="1276"/>
      <c r="AE67" s="2133"/>
      <c r="AF67" s="2142"/>
      <c r="AG67" s="2143"/>
    </row>
    <row r="68" spans="1:33" ht="24.95" customHeight="1" x14ac:dyDescent="0.25">
      <c r="A68" s="1207"/>
      <c r="B68" s="1290"/>
      <c r="C68" s="1291"/>
      <c r="D68" s="1213" t="s">
        <v>11</v>
      </c>
      <c r="E68" s="1497">
        <v>0</v>
      </c>
      <c r="F68" s="1497">
        <v>0</v>
      </c>
      <c r="G68" s="1493">
        <v>0</v>
      </c>
      <c r="H68" s="2040">
        <v>0</v>
      </c>
      <c r="I68" s="2040">
        <v>0</v>
      </c>
      <c r="J68" s="2040">
        <v>0</v>
      </c>
      <c r="K68" s="1493">
        <v>0</v>
      </c>
      <c r="L68" s="1493">
        <v>0</v>
      </c>
      <c r="M68" s="1493">
        <v>0</v>
      </c>
      <c r="N68" s="2042"/>
      <c r="O68" s="2042"/>
      <c r="P68" s="2129"/>
      <c r="Q68" s="1077">
        <f>MAX(E68,H68,K68,N68)</f>
        <v>0</v>
      </c>
      <c r="R68" s="2126">
        <f t="shared" si="78"/>
        <v>0</v>
      </c>
      <c r="S68" s="2127">
        <f t="shared" si="79"/>
        <v>0</v>
      </c>
      <c r="T68" s="853">
        <f>IFERROR(AVERAGE(Q68:S68),"")</f>
        <v>0</v>
      </c>
      <c r="U68" s="1296" t="str">
        <f t="shared" si="82"/>
        <v>1.33</v>
      </c>
      <c r="V68" s="1296" t="str">
        <f t="shared" si="83"/>
        <v>D+</v>
      </c>
      <c r="W68" s="1296" t="str">
        <f t="shared" si="84"/>
        <v>0</v>
      </c>
      <c r="X68" s="1274"/>
      <c r="Y68" s="1274"/>
      <c r="Z68" s="1274"/>
      <c r="AA68" s="1274"/>
      <c r="AB68" s="1276"/>
      <c r="AC68" s="1276"/>
      <c r="AD68" s="1276"/>
      <c r="AE68" s="2133"/>
      <c r="AF68" s="2144"/>
      <c r="AG68" s="2145"/>
    </row>
    <row r="69" spans="1:33" ht="24.95" customHeight="1" x14ac:dyDescent="0.25">
      <c r="A69" s="1236"/>
      <c r="B69" s="1280">
        <v>12</v>
      </c>
      <c r="C69" s="1292"/>
      <c r="D69" s="1279"/>
      <c r="E69" s="2729"/>
      <c r="F69" s="2730"/>
      <c r="G69" s="2730"/>
      <c r="H69" s="2730"/>
      <c r="I69" s="2017"/>
      <c r="J69" s="2017"/>
      <c r="K69" s="2017"/>
      <c r="L69" s="2017"/>
      <c r="M69" s="2017"/>
      <c r="N69" s="2017"/>
      <c r="O69" s="2017"/>
      <c r="P69" s="2017"/>
      <c r="Q69" s="2150"/>
      <c r="R69" s="2151"/>
      <c r="S69" s="2151"/>
      <c r="T69" s="1297">
        <f>IFERROR(AVERAGE(T65:T68),"  ")</f>
        <v>0</v>
      </c>
      <c r="U69" s="1298" t="str">
        <f>IF(T14&gt;85,("4"),IF(T14&gt;80,("3.66"),IF(T14&gt;75,("3.33"),IF(T14&gt;70,("3.00"),IF(T14&gt;65,("2.66"),IF(T14&gt;60,("2.33"),IF(T14&gt;55,("2"),IF(T14&gt;50,("1.66"),"1.33"))))))))</f>
        <v>3.33</v>
      </c>
      <c r="V69" s="1298" t="str">
        <f>IF(T14&gt;85,("A"),IF(T14&gt;80,("A-"),IF(T14&gt;75,("B+"),IF(T14&gt;70,("B"),IF(T14&gt;65,("B-"),IF(T14&gt;60,("C+"),IF(T14&gt;55,("C"),IF(T14&gt;50,("C-"),"D+"))))))))</f>
        <v>B+</v>
      </c>
      <c r="W69" s="1299"/>
      <c r="X69" s="1283"/>
      <c r="Y69" s="1283"/>
      <c r="Z69" s="1283"/>
      <c r="AA69" s="1283"/>
      <c r="AB69" s="1283"/>
      <c r="AC69" s="1283"/>
      <c r="AD69" s="1283"/>
      <c r="AE69" s="1283"/>
      <c r="AF69" s="2146"/>
      <c r="AG69" s="2147"/>
    </row>
    <row r="70" spans="1:33" ht="24.95" customHeight="1" x14ac:dyDescent="0.25">
      <c r="A70" s="1224">
        <v>13</v>
      </c>
      <c r="B70" s="1285"/>
      <c r="C70" s="1286" t="str">
        <f>VLOOKUP(A70,data_siswa,4,FALSE)</f>
        <v>Misyanita Nurfitri S</v>
      </c>
      <c r="D70" s="1210" t="s">
        <v>154</v>
      </c>
      <c r="E70" s="1497"/>
      <c r="F70" s="1497"/>
      <c r="G70" s="1497"/>
      <c r="H70" s="2043">
        <v>75</v>
      </c>
      <c r="I70" s="2043">
        <v>81</v>
      </c>
      <c r="J70" s="2043">
        <v>75</v>
      </c>
      <c r="K70" s="1497">
        <v>65</v>
      </c>
      <c r="L70" s="1497">
        <v>69</v>
      </c>
      <c r="M70" s="1497">
        <v>80</v>
      </c>
      <c r="N70" s="2042"/>
      <c r="O70" s="2042"/>
      <c r="P70" s="2129"/>
      <c r="Q70" s="1077">
        <f>MAX(E70,H70,K70,N70)</f>
        <v>75</v>
      </c>
      <c r="R70" s="2126">
        <f t="shared" ref="R70:R73" si="85">MAX(F70,I70,L70,O70)</f>
        <v>81</v>
      </c>
      <c r="S70" s="2127">
        <f t="shared" ref="S70:S73" si="86">MAX(G70,J70,M70,P70)</f>
        <v>80</v>
      </c>
      <c r="T70" s="853">
        <f>IFERROR(AVERAGE(Q70:S70),"")</f>
        <v>78.666666666666671</v>
      </c>
      <c r="U70" s="1295" t="str">
        <f>IF(T70&gt;85,("4"),IF(T70&gt;80,("3.66"),IF(T70&gt;75,("3.33"),IF(T70&gt;70,("3.00"),IF(T70&gt;65,("2.66"),IF(T70&gt;60,("2.33"),IF(T70&gt;55,("2"),IF(T70&gt;50,("1.66"),"1.33"))))))))</f>
        <v>3.33</v>
      </c>
      <c r="V70" s="1295" t="str">
        <f>IF(T70&gt;85,("A"),IF(T70&gt;80,("A-"),IF(T70&gt;75,("B+"),IF(T70&gt;70,("B"),IF(T70&gt;65,("B-"),IF(T70&gt;60,("C+"),IF(T70&gt;55,("C"),IF(T70&gt;50,("C-"),"D+"))))))))</f>
        <v>B+</v>
      </c>
      <c r="W70" s="1295" t="str">
        <f>IF(T70&gt;80,("SB"),IF(T70&gt;65,("B"),IF(T70&gt;50,("C"),IF(T70&gt;0,("K"),"0"))))</f>
        <v>B</v>
      </c>
      <c r="X70" s="2138"/>
      <c r="Y70" s="1287"/>
      <c r="Z70" s="1287"/>
      <c r="AA70" s="1287"/>
      <c r="AB70" s="1293"/>
      <c r="AC70" s="1293"/>
      <c r="AD70" s="1293"/>
      <c r="AE70" s="2136"/>
      <c r="AF70" s="466">
        <f>MAX(T70:T73)</f>
        <v>83</v>
      </c>
      <c r="AG70" s="466" t="str">
        <f>IF(AF70&gt;85,("A"),IF(AF70&gt;80,("A-"),IF(AF70&gt;75,("B+"),IF(AF70&gt;70,("B"),IF(AF70&gt;65,("B-"),IF(AF70&gt;60,("C+"),IF(AF70&gt;55,("C"),IF(AF70&gt;50,("C-"),"D+"))))))))</f>
        <v>A-</v>
      </c>
    </row>
    <row r="71" spans="1:33" ht="24.95" customHeight="1" x14ac:dyDescent="0.25">
      <c r="A71" s="1207"/>
      <c r="B71" s="1290"/>
      <c r="C71" s="1291"/>
      <c r="D71" s="1213" t="s">
        <v>155</v>
      </c>
      <c r="E71" s="1493"/>
      <c r="F71" s="1497"/>
      <c r="G71" s="1493"/>
      <c r="H71" s="2040">
        <v>65</v>
      </c>
      <c r="I71" s="2040">
        <v>76</v>
      </c>
      <c r="J71" s="2040">
        <v>74</v>
      </c>
      <c r="K71" s="1497"/>
      <c r="L71" s="1497"/>
      <c r="M71" s="1497"/>
      <c r="N71" s="2041">
        <v>68</v>
      </c>
      <c r="O71" s="2041">
        <v>79</v>
      </c>
      <c r="P71" s="2130">
        <v>80</v>
      </c>
      <c r="Q71" s="1077">
        <f t="shared" ref="Q71:Q72" si="87">MAX(E71,H71,K71,N71)</f>
        <v>68</v>
      </c>
      <c r="R71" s="2126">
        <f t="shared" si="85"/>
        <v>79</v>
      </c>
      <c r="S71" s="2127">
        <f t="shared" si="86"/>
        <v>80</v>
      </c>
      <c r="T71" s="853">
        <f t="shared" ref="T71:T72" si="88">IFERROR(AVERAGE(Q71:S71),"")</f>
        <v>75.666666666666671</v>
      </c>
      <c r="U71" s="1296" t="str">
        <f t="shared" ref="U71:U73" si="89">IF(T71&gt;85,("4"),IF(T71&gt;80,("3.66"),IF(T71&gt;75,("3.33"),IF(T71&gt;70,("3.00"),IF(T71&gt;65,("2.66"),IF(T71&gt;60,("2.33"),IF(T71&gt;55,("2"),IF(T71&gt;50,("1.66"),"1.33"))))))))</f>
        <v>3.33</v>
      </c>
      <c r="V71" s="1296" t="str">
        <f t="shared" ref="V71:V73" si="90">IF(T71&gt;85,("A"),IF(T71&gt;80,("A-"),IF(T71&gt;75,("B+"),IF(T71&gt;70,("B"),IF(T71&gt;65,("B-"),IF(T71&gt;60,("C+"),IF(T71&gt;55,("C"),IF(T71&gt;50,("C-"),"D+"))))))))</f>
        <v>B+</v>
      </c>
      <c r="W71" s="1296" t="str">
        <f t="shared" ref="W71:W73" si="91">IF(T71&gt;80,("SB"),IF(T71&gt;65,("B"),IF(T71&gt;50,("C"),IF(T71&gt;0,("K"),"0"))))</f>
        <v>B</v>
      </c>
      <c r="X71" s="1271"/>
      <c r="Y71" s="1271"/>
      <c r="Z71" s="1271"/>
      <c r="AA71" s="1271"/>
      <c r="AB71" s="1273"/>
      <c r="AC71" s="1273"/>
      <c r="AD71" s="1273"/>
      <c r="AE71" s="2132"/>
      <c r="AF71" s="2140"/>
      <c r="AG71" s="2141"/>
    </row>
    <row r="72" spans="1:33" ht="24.95" customHeight="1" x14ac:dyDescent="0.25">
      <c r="A72" s="1207"/>
      <c r="B72" s="1290"/>
      <c r="C72" s="1291"/>
      <c r="D72" s="1213" t="s">
        <v>9</v>
      </c>
      <c r="E72" s="1493"/>
      <c r="F72" s="1493"/>
      <c r="G72" s="1497"/>
      <c r="H72" s="2040">
        <v>78</v>
      </c>
      <c r="I72" s="2040">
        <v>82</v>
      </c>
      <c r="J72" s="2040">
        <v>80</v>
      </c>
      <c r="K72" s="1497"/>
      <c r="L72" s="1497"/>
      <c r="M72" s="1497"/>
      <c r="N72" s="2042"/>
      <c r="O72" s="2042"/>
      <c r="P72" s="2129"/>
      <c r="Q72" s="1077">
        <f t="shared" si="87"/>
        <v>78</v>
      </c>
      <c r="R72" s="2126">
        <f t="shared" si="85"/>
        <v>82</v>
      </c>
      <c r="S72" s="2127">
        <f t="shared" si="86"/>
        <v>80</v>
      </c>
      <c r="T72" s="853">
        <f t="shared" si="88"/>
        <v>80</v>
      </c>
      <c r="U72" s="1296" t="str">
        <f t="shared" si="89"/>
        <v>3.33</v>
      </c>
      <c r="V72" s="1296" t="str">
        <f t="shared" si="90"/>
        <v>B+</v>
      </c>
      <c r="W72" s="1296" t="str">
        <f t="shared" si="91"/>
        <v>B</v>
      </c>
      <c r="X72" s="1274"/>
      <c r="Y72" s="1274"/>
      <c r="Z72" s="1274"/>
      <c r="AA72" s="1274"/>
      <c r="AB72" s="1276"/>
      <c r="AC72" s="1276"/>
      <c r="AD72" s="1276"/>
      <c r="AE72" s="2133"/>
      <c r="AF72" s="2142"/>
      <c r="AG72" s="2143"/>
    </row>
    <row r="73" spans="1:33" ht="24.95" customHeight="1" x14ac:dyDescent="0.25">
      <c r="A73" s="1207"/>
      <c r="B73" s="1290"/>
      <c r="C73" s="1291"/>
      <c r="D73" s="1213" t="s">
        <v>11</v>
      </c>
      <c r="E73" s="1497">
        <v>76</v>
      </c>
      <c r="F73" s="1497">
        <v>75</v>
      </c>
      <c r="G73" s="1493">
        <v>80</v>
      </c>
      <c r="H73" s="2040">
        <v>89</v>
      </c>
      <c r="I73" s="2040">
        <v>75</v>
      </c>
      <c r="J73" s="2040">
        <v>81</v>
      </c>
      <c r="K73" s="1493">
        <v>65</v>
      </c>
      <c r="L73" s="1493">
        <v>79</v>
      </c>
      <c r="M73" s="1493">
        <v>80</v>
      </c>
      <c r="N73" s="2042"/>
      <c r="O73" s="2042"/>
      <c r="P73" s="2129"/>
      <c r="Q73" s="1077">
        <f>MAX(E73,H73,K73,N73)</f>
        <v>89</v>
      </c>
      <c r="R73" s="2126">
        <f t="shared" si="85"/>
        <v>79</v>
      </c>
      <c r="S73" s="2127">
        <f t="shared" si="86"/>
        <v>81</v>
      </c>
      <c r="T73" s="853">
        <f>IFERROR(AVERAGE(Q73:S73),"")</f>
        <v>83</v>
      </c>
      <c r="U73" s="1296" t="str">
        <f t="shared" si="89"/>
        <v>3.66</v>
      </c>
      <c r="V73" s="1296" t="str">
        <f t="shared" si="90"/>
        <v>A-</v>
      </c>
      <c r="W73" s="1296" t="str">
        <f t="shared" si="91"/>
        <v>SB</v>
      </c>
      <c r="X73" s="1274"/>
      <c r="Y73" s="1274"/>
      <c r="Z73" s="1274"/>
      <c r="AA73" s="1274"/>
      <c r="AB73" s="1276"/>
      <c r="AC73" s="1276"/>
      <c r="AD73" s="1276"/>
      <c r="AE73" s="2133"/>
      <c r="AF73" s="2144"/>
      <c r="AG73" s="2145"/>
    </row>
    <row r="74" spans="1:33" ht="24.95" customHeight="1" x14ac:dyDescent="0.25">
      <c r="A74" s="1236"/>
      <c r="B74" s="1280">
        <v>13</v>
      </c>
      <c r="C74" s="1292"/>
      <c r="D74" s="1279"/>
      <c r="E74" s="2729"/>
      <c r="F74" s="2730"/>
      <c r="G74" s="2730"/>
      <c r="H74" s="2730"/>
      <c r="I74" s="2077"/>
      <c r="J74" s="2077"/>
      <c r="K74" s="2077"/>
      <c r="L74" s="2077"/>
      <c r="M74" s="2077"/>
      <c r="N74" s="2077"/>
      <c r="O74" s="2077"/>
      <c r="P74" s="2077"/>
      <c r="Q74" s="2150"/>
      <c r="R74" s="2151"/>
      <c r="S74" s="2151"/>
      <c r="T74" s="1297">
        <f>IFERROR(AVERAGE(T70:T73),"  ")</f>
        <v>79.333333333333343</v>
      </c>
      <c r="U74" s="1298" t="str">
        <f>IF(T14&gt;85,("4"),IF(T14&gt;80,("3.66"),IF(T14&gt;75,("3.33"),IF(T14&gt;70,("3.00"),IF(T14&gt;65,("2.66"),IF(T14&gt;60,("2.33"),IF(T14&gt;55,("2"),IF(T14&gt;50,("1.66"),"1.33"))))))))</f>
        <v>3.33</v>
      </c>
      <c r="V74" s="1298" t="str">
        <f>IF(T14&gt;85,("A"),IF(T14&gt;80,("A-"),IF(T14&gt;75,("B+"),IF(T14&gt;70,("B"),IF(T14&gt;65,("B-"),IF(T14&gt;60,("C+"),IF(T14&gt;55,("C"),IF(T14&gt;50,("C-"),"D+"))))))))</f>
        <v>B+</v>
      </c>
      <c r="W74" s="1299"/>
      <c r="X74" s="1283"/>
      <c r="Y74" s="1283"/>
      <c r="Z74" s="1283"/>
      <c r="AA74" s="1283"/>
      <c r="AB74" s="1283"/>
      <c r="AC74" s="1283"/>
      <c r="AD74" s="1283"/>
      <c r="AE74" s="1283"/>
      <c r="AF74" s="2146"/>
      <c r="AG74" s="2147"/>
    </row>
    <row r="75" spans="1:33" ht="24.95" customHeight="1" x14ac:dyDescent="0.25">
      <c r="A75" s="1224">
        <v>14</v>
      </c>
      <c r="B75" s="1285"/>
      <c r="C75" s="1286" t="str">
        <f>VLOOKUP(A75,data_siswa,4,FALSE)</f>
        <v>Moch Zidane Hita L. U</v>
      </c>
      <c r="D75" s="1210" t="s">
        <v>154</v>
      </c>
      <c r="E75" s="1493"/>
      <c r="F75" s="1493"/>
      <c r="G75" s="1493"/>
      <c r="H75" s="2040">
        <v>0</v>
      </c>
      <c r="I75" s="2040">
        <v>0</v>
      </c>
      <c r="J75" s="2040">
        <v>0</v>
      </c>
      <c r="K75" s="1493">
        <v>0</v>
      </c>
      <c r="L75" s="1493">
        <v>0</v>
      </c>
      <c r="M75" s="1493">
        <v>0</v>
      </c>
      <c r="N75" s="2041"/>
      <c r="O75" s="2041"/>
      <c r="P75" s="2130"/>
      <c r="Q75" s="1077">
        <f>MAX(E75,H75,K75,N75)</f>
        <v>0</v>
      </c>
      <c r="R75" s="2126">
        <f t="shared" ref="R75:R78" si="92">MAX(F75,I75,L75,O75)</f>
        <v>0</v>
      </c>
      <c r="S75" s="2127">
        <f t="shared" ref="S75:S78" si="93">MAX(G75,J75,M75,P75)</f>
        <v>0</v>
      </c>
      <c r="T75" s="853">
        <f>IFERROR(AVERAGE(Q75:S75),"")</f>
        <v>0</v>
      </c>
      <c r="U75" s="1295" t="str">
        <f>IF(T75&gt;85,("4"),IF(T75&gt;80,("3.66"),IF(T75&gt;75,("3.33"),IF(T75&gt;70,("3.00"),IF(T75&gt;65,("2.66"),IF(T75&gt;60,("2.33"),IF(T75&gt;55,("2"),IF(T75&gt;50,("1.66"),"1.33"))))))))</f>
        <v>1.33</v>
      </c>
      <c r="V75" s="1295" t="str">
        <f>IF(T75&gt;85,("A"),IF(T75&gt;80,("A-"),IF(T75&gt;75,("B+"),IF(T75&gt;70,("B"),IF(T75&gt;65,("B-"),IF(T75&gt;60,("C+"),IF(T75&gt;55,("C"),IF(T75&gt;50,("C-"),"D+"))))))))</f>
        <v>D+</v>
      </c>
      <c r="W75" s="1295" t="str">
        <f>IF(T75&gt;80,("SB"),IF(T75&gt;65,("B"),IF(T75&gt;50,("C"),IF(T75&gt;0,("K"),"0"))))</f>
        <v>0</v>
      </c>
      <c r="X75" s="2138"/>
      <c r="Y75" s="1287"/>
      <c r="Z75" s="1287"/>
      <c r="AA75" s="1287"/>
      <c r="AB75" s="1293"/>
      <c r="AC75" s="1293"/>
      <c r="AD75" s="1293"/>
      <c r="AE75" s="2136"/>
      <c r="AF75" s="466">
        <f>MAX(T75:T78)</f>
        <v>0</v>
      </c>
      <c r="AG75" s="466" t="str">
        <f>IF(AF75&gt;85,("A"),IF(AF75&gt;80,("A-"),IF(AF75&gt;75,("B+"),IF(AF75&gt;70,("B"),IF(AF75&gt;65,("B-"),IF(AF75&gt;60,("C+"),IF(AF75&gt;55,("C"),IF(AF75&gt;50,("C-"),"D+"))))))))</f>
        <v>D+</v>
      </c>
    </row>
    <row r="76" spans="1:33" ht="24.95" customHeight="1" x14ac:dyDescent="0.25">
      <c r="A76" s="1207"/>
      <c r="B76" s="1290"/>
      <c r="C76" s="1291"/>
      <c r="D76" s="1213" t="s">
        <v>155</v>
      </c>
      <c r="E76" s="1493"/>
      <c r="F76" s="1497"/>
      <c r="G76" s="1493"/>
      <c r="H76" s="2040">
        <v>0</v>
      </c>
      <c r="I76" s="2040">
        <v>0</v>
      </c>
      <c r="J76" s="2040">
        <v>0</v>
      </c>
      <c r="K76" s="1497"/>
      <c r="L76" s="1497"/>
      <c r="M76" s="1497"/>
      <c r="N76" s="2041">
        <v>0</v>
      </c>
      <c r="O76" s="2041">
        <v>0</v>
      </c>
      <c r="P76" s="2130">
        <v>0</v>
      </c>
      <c r="Q76" s="1077">
        <f t="shared" ref="Q76:Q77" si="94">MAX(E76,H76,K76,N76)</f>
        <v>0</v>
      </c>
      <c r="R76" s="2126">
        <f t="shared" si="92"/>
        <v>0</v>
      </c>
      <c r="S76" s="2127">
        <f t="shared" si="93"/>
        <v>0</v>
      </c>
      <c r="T76" s="853">
        <f t="shared" ref="T76:T77" si="95">IFERROR(AVERAGE(Q76:S76),"")</f>
        <v>0</v>
      </c>
      <c r="U76" s="1296" t="str">
        <f t="shared" ref="U76:U78" si="96">IF(T76&gt;85,("4"),IF(T76&gt;80,("3.66"),IF(T76&gt;75,("3.33"),IF(T76&gt;70,("3.00"),IF(T76&gt;65,("2.66"),IF(T76&gt;60,("2.33"),IF(T76&gt;55,("2"),IF(T76&gt;50,("1.66"),"1.33"))))))))</f>
        <v>1.33</v>
      </c>
      <c r="V76" s="1296" t="str">
        <f t="shared" ref="V76:V78" si="97">IF(T76&gt;85,("A"),IF(T76&gt;80,("A-"),IF(T76&gt;75,("B+"),IF(T76&gt;70,("B"),IF(T76&gt;65,("B-"),IF(T76&gt;60,("C+"),IF(T76&gt;55,("C"),IF(T76&gt;50,("C-"),"D+"))))))))</f>
        <v>D+</v>
      </c>
      <c r="W76" s="1296" t="str">
        <f t="shared" ref="W76:W78" si="98">IF(T76&gt;80,("SB"),IF(T76&gt;65,("B"),IF(T76&gt;50,("C"),IF(T76&gt;0,("K"),"0"))))</f>
        <v>0</v>
      </c>
      <c r="X76" s="1271"/>
      <c r="Y76" s="1271"/>
      <c r="Z76" s="1271"/>
      <c r="AA76" s="1271"/>
      <c r="AB76" s="1273"/>
      <c r="AC76" s="1273"/>
      <c r="AD76" s="1273"/>
      <c r="AE76" s="2132"/>
      <c r="AF76" s="2140"/>
      <c r="AG76" s="2141"/>
    </row>
    <row r="77" spans="1:33" ht="24.95" customHeight="1" x14ac:dyDescent="0.25">
      <c r="A77" s="1207"/>
      <c r="B77" s="1290"/>
      <c r="C77" s="1291"/>
      <c r="D77" s="1213" t="s">
        <v>9</v>
      </c>
      <c r="E77" s="1493"/>
      <c r="F77" s="1493"/>
      <c r="G77" s="1497"/>
      <c r="H77" s="2040">
        <v>0</v>
      </c>
      <c r="I77" s="2040">
        <v>0</v>
      </c>
      <c r="J77" s="2040">
        <v>0</v>
      </c>
      <c r="K77" s="1497"/>
      <c r="L77" s="1497"/>
      <c r="M77" s="1497"/>
      <c r="N77" s="2042"/>
      <c r="O77" s="2042"/>
      <c r="P77" s="2129"/>
      <c r="Q77" s="1077">
        <f t="shared" si="94"/>
        <v>0</v>
      </c>
      <c r="R77" s="2126">
        <f t="shared" si="92"/>
        <v>0</v>
      </c>
      <c r="S77" s="2127">
        <f t="shared" si="93"/>
        <v>0</v>
      </c>
      <c r="T77" s="853">
        <f t="shared" si="95"/>
        <v>0</v>
      </c>
      <c r="U77" s="1296" t="str">
        <f t="shared" si="96"/>
        <v>1.33</v>
      </c>
      <c r="V77" s="1296" t="str">
        <f t="shared" si="97"/>
        <v>D+</v>
      </c>
      <c r="W77" s="1296" t="str">
        <f t="shared" si="98"/>
        <v>0</v>
      </c>
      <c r="X77" s="1274"/>
      <c r="Y77" s="1274"/>
      <c r="Z77" s="1274"/>
      <c r="AA77" s="1274"/>
      <c r="AB77" s="1276"/>
      <c r="AC77" s="1276"/>
      <c r="AD77" s="1276"/>
      <c r="AE77" s="2133"/>
      <c r="AF77" s="2142"/>
      <c r="AG77" s="2143"/>
    </row>
    <row r="78" spans="1:33" ht="24.95" customHeight="1" x14ac:dyDescent="0.25">
      <c r="A78" s="1207"/>
      <c r="B78" s="1290"/>
      <c r="C78" s="1291"/>
      <c r="D78" s="1213" t="s">
        <v>11</v>
      </c>
      <c r="E78" s="1497">
        <v>0</v>
      </c>
      <c r="F78" s="1497">
        <v>0</v>
      </c>
      <c r="G78" s="1493">
        <v>0</v>
      </c>
      <c r="H78" s="2040">
        <v>0</v>
      </c>
      <c r="I78" s="2040">
        <v>0</v>
      </c>
      <c r="J78" s="2040">
        <v>0</v>
      </c>
      <c r="K78" s="1493">
        <v>0</v>
      </c>
      <c r="L78" s="1493">
        <v>0</v>
      </c>
      <c r="M78" s="1493">
        <v>0</v>
      </c>
      <c r="N78" s="2042"/>
      <c r="O78" s="2042"/>
      <c r="P78" s="2129"/>
      <c r="Q78" s="1077">
        <f>MAX(E78,H78,K78,N78)</f>
        <v>0</v>
      </c>
      <c r="R78" s="2126">
        <f t="shared" si="92"/>
        <v>0</v>
      </c>
      <c r="S78" s="2127">
        <f t="shared" si="93"/>
        <v>0</v>
      </c>
      <c r="T78" s="853">
        <f>IFERROR(AVERAGE(Q78:S78),"")</f>
        <v>0</v>
      </c>
      <c r="U78" s="1296" t="str">
        <f t="shared" si="96"/>
        <v>1.33</v>
      </c>
      <c r="V78" s="1296" t="str">
        <f t="shared" si="97"/>
        <v>D+</v>
      </c>
      <c r="W78" s="1296" t="str">
        <f t="shared" si="98"/>
        <v>0</v>
      </c>
      <c r="X78" s="1274"/>
      <c r="Y78" s="1274"/>
      <c r="Z78" s="1274"/>
      <c r="AA78" s="1274"/>
      <c r="AB78" s="1276"/>
      <c r="AC78" s="1276"/>
      <c r="AD78" s="1276"/>
      <c r="AE78" s="2133"/>
      <c r="AF78" s="2144"/>
      <c r="AG78" s="2145"/>
    </row>
    <row r="79" spans="1:33" ht="24.95" customHeight="1" x14ac:dyDescent="0.25">
      <c r="A79" s="1236"/>
      <c r="B79" s="1280">
        <v>14</v>
      </c>
      <c r="C79" s="1292"/>
      <c r="D79" s="1279"/>
      <c r="E79" s="2729"/>
      <c r="F79" s="2730"/>
      <c r="G79" s="2730"/>
      <c r="H79" s="2730"/>
      <c r="I79" s="2017"/>
      <c r="J79" s="2017"/>
      <c r="K79" s="2017"/>
      <c r="L79" s="2017"/>
      <c r="M79" s="2017"/>
      <c r="N79" s="2017"/>
      <c r="O79" s="2017"/>
      <c r="P79" s="2017"/>
      <c r="Q79" s="2150"/>
      <c r="R79" s="2151"/>
      <c r="S79" s="2151"/>
      <c r="T79" s="1297">
        <f>IFERROR(AVERAGE(T75:T78),"  ")</f>
        <v>0</v>
      </c>
      <c r="U79" s="1298" t="str">
        <f>IF(T14&gt;85,("4"),IF(T14&gt;80,("3.66"),IF(T14&gt;75,("3.33"),IF(T14&gt;70,("3.00"),IF(T14&gt;65,("2.66"),IF(T14&gt;60,("2.33"),IF(T14&gt;55,("2"),IF(T14&gt;50,("1.66"),"1.33"))))))))</f>
        <v>3.33</v>
      </c>
      <c r="V79" s="1298" t="str">
        <f>IF(T14&gt;85,("A"),IF(T14&gt;80,("A-"),IF(T14&gt;75,("B+"),IF(T14&gt;70,("B"),IF(T14&gt;65,("B-"),IF(T14&gt;60,("C+"),IF(T14&gt;55,("C"),IF(T14&gt;50,("C-"),"D+"))))))))</f>
        <v>B+</v>
      </c>
      <c r="W79" s="1299"/>
      <c r="X79" s="1283"/>
      <c r="Y79" s="1283"/>
      <c r="Z79" s="1283"/>
      <c r="AA79" s="1283"/>
      <c r="AB79" s="1283"/>
      <c r="AC79" s="1283"/>
      <c r="AD79" s="1283"/>
      <c r="AE79" s="1283"/>
      <c r="AF79" s="2146"/>
      <c r="AG79" s="2147"/>
    </row>
    <row r="80" spans="1:33" ht="24.95" customHeight="1" x14ac:dyDescent="0.25">
      <c r="A80" s="1224">
        <v>15</v>
      </c>
      <c r="B80" s="1285"/>
      <c r="C80" s="1286" t="str">
        <f>VLOOKUP(A80,data_siswa,4,FALSE)</f>
        <v>Muhammad Ibra Maulana</v>
      </c>
      <c r="D80" s="1210" t="s">
        <v>154</v>
      </c>
      <c r="E80" s="1497"/>
      <c r="F80" s="1497"/>
      <c r="G80" s="1497"/>
      <c r="H80" s="2043">
        <v>75</v>
      </c>
      <c r="I80" s="2043">
        <v>81</v>
      </c>
      <c r="J80" s="2043">
        <v>75</v>
      </c>
      <c r="K80" s="1497">
        <v>65</v>
      </c>
      <c r="L80" s="1497">
        <v>69</v>
      </c>
      <c r="M80" s="1497">
        <v>80</v>
      </c>
      <c r="N80" s="2042"/>
      <c r="O80" s="2042"/>
      <c r="P80" s="2129"/>
      <c r="Q80" s="1077">
        <f>MAX(E80,H80,K80,N80)</f>
        <v>75</v>
      </c>
      <c r="R80" s="2126">
        <f t="shared" ref="R80:R83" si="99">MAX(F80,I80,L80,O80)</f>
        <v>81</v>
      </c>
      <c r="S80" s="2127">
        <f t="shared" ref="S80:S83" si="100">MAX(G80,J80,M80,P80)</f>
        <v>80</v>
      </c>
      <c r="T80" s="853">
        <f>IFERROR(AVERAGE(Q80:S80),"")</f>
        <v>78.666666666666671</v>
      </c>
      <c r="U80" s="1295" t="str">
        <f>IF(T80&gt;85,("4"),IF(T80&gt;80,("3.66"),IF(T80&gt;75,("3.33"),IF(T80&gt;70,("3.00"),IF(T80&gt;65,("2.66"),IF(T80&gt;60,("2.33"),IF(T80&gt;55,("2"),IF(T80&gt;50,("1.66"),"1.33"))))))))</f>
        <v>3.33</v>
      </c>
      <c r="V80" s="1295" t="str">
        <f>IF(T80&gt;85,("A"),IF(T80&gt;80,("A-"),IF(T80&gt;75,("B+"),IF(T80&gt;70,("B"),IF(T80&gt;65,("B-"),IF(T80&gt;60,("C+"),IF(T80&gt;55,("C"),IF(T80&gt;50,("C-"),"D+"))))))))</f>
        <v>B+</v>
      </c>
      <c r="W80" s="1295" t="str">
        <f>IF(T80&gt;80,("SB"),IF(T80&gt;65,("B"),IF(T80&gt;50,("C"),IF(T80&gt;0,("K"),"0"))))</f>
        <v>B</v>
      </c>
      <c r="X80" s="2138"/>
      <c r="Y80" s="1287"/>
      <c r="Z80" s="1287"/>
      <c r="AA80" s="1287"/>
      <c r="AB80" s="1293"/>
      <c r="AC80" s="1293"/>
      <c r="AD80" s="1293"/>
      <c r="AE80" s="2136"/>
      <c r="AF80" s="466">
        <f>MAX(T80:T83)</f>
        <v>83</v>
      </c>
      <c r="AG80" s="466" t="str">
        <f>IF(AF80&gt;85,("A"),IF(AF80&gt;80,("A-"),IF(AF80&gt;75,("B+"),IF(AF80&gt;70,("B"),IF(AF80&gt;65,("B-"),IF(AF80&gt;60,("C+"),IF(AF80&gt;55,("C"),IF(AF80&gt;50,("C-"),"D+"))))))))</f>
        <v>A-</v>
      </c>
    </row>
    <row r="81" spans="1:33" ht="24.95" customHeight="1" x14ac:dyDescent="0.25">
      <c r="A81" s="1207"/>
      <c r="B81" s="1290"/>
      <c r="C81" s="1291"/>
      <c r="D81" s="1213" t="s">
        <v>155</v>
      </c>
      <c r="E81" s="1493"/>
      <c r="F81" s="1497"/>
      <c r="G81" s="1493"/>
      <c r="H81" s="2040">
        <v>65</v>
      </c>
      <c r="I81" s="2040">
        <v>76</v>
      </c>
      <c r="J81" s="2040">
        <v>74</v>
      </c>
      <c r="K81" s="1497"/>
      <c r="L81" s="1497"/>
      <c r="M81" s="1497"/>
      <c r="N81" s="2041">
        <v>68</v>
      </c>
      <c r="O81" s="2041">
        <v>79</v>
      </c>
      <c r="P81" s="2130">
        <v>80</v>
      </c>
      <c r="Q81" s="1077">
        <f t="shared" ref="Q81:Q82" si="101">MAX(E81,H81,K81,N81)</f>
        <v>68</v>
      </c>
      <c r="R81" s="2126">
        <f t="shared" si="99"/>
        <v>79</v>
      </c>
      <c r="S81" s="2127">
        <f t="shared" si="100"/>
        <v>80</v>
      </c>
      <c r="T81" s="853">
        <f t="shared" ref="T81:T82" si="102">IFERROR(AVERAGE(Q81:S81),"")</f>
        <v>75.666666666666671</v>
      </c>
      <c r="U81" s="1296" t="str">
        <f t="shared" ref="U81:U83" si="103">IF(T81&gt;85,("4"),IF(T81&gt;80,("3.66"),IF(T81&gt;75,("3.33"),IF(T81&gt;70,("3.00"),IF(T81&gt;65,("2.66"),IF(T81&gt;60,("2.33"),IF(T81&gt;55,("2"),IF(T81&gt;50,("1.66"),"1.33"))))))))</f>
        <v>3.33</v>
      </c>
      <c r="V81" s="1296" t="str">
        <f t="shared" ref="V81:V83" si="104">IF(T81&gt;85,("A"),IF(T81&gt;80,("A-"),IF(T81&gt;75,("B+"),IF(T81&gt;70,("B"),IF(T81&gt;65,("B-"),IF(T81&gt;60,("C+"),IF(T81&gt;55,("C"),IF(T81&gt;50,("C-"),"D+"))))))))</f>
        <v>B+</v>
      </c>
      <c r="W81" s="1296" t="str">
        <f t="shared" ref="W81:W83" si="105">IF(T81&gt;80,("SB"),IF(T81&gt;65,("B"),IF(T81&gt;50,("C"),IF(T81&gt;0,("K"),"0"))))</f>
        <v>B</v>
      </c>
      <c r="X81" s="1271"/>
      <c r="Y81" s="1271"/>
      <c r="Z81" s="1271"/>
      <c r="AA81" s="1271"/>
      <c r="AB81" s="1273"/>
      <c r="AC81" s="1273"/>
      <c r="AD81" s="1273"/>
      <c r="AE81" s="2132"/>
      <c r="AF81" s="2140"/>
      <c r="AG81" s="2141"/>
    </row>
    <row r="82" spans="1:33" ht="24.95" customHeight="1" x14ac:dyDescent="0.25">
      <c r="A82" s="1207"/>
      <c r="B82" s="1290"/>
      <c r="C82" s="1291"/>
      <c r="D82" s="1213" t="s">
        <v>9</v>
      </c>
      <c r="E82" s="1493"/>
      <c r="F82" s="1493"/>
      <c r="G82" s="1497"/>
      <c r="H82" s="2040">
        <v>78</v>
      </c>
      <c r="I82" s="2040">
        <v>82</v>
      </c>
      <c r="J82" s="2040">
        <v>80</v>
      </c>
      <c r="K82" s="1497"/>
      <c r="L82" s="1497"/>
      <c r="M82" s="1497"/>
      <c r="N82" s="2042"/>
      <c r="O82" s="2042"/>
      <c r="P82" s="2129"/>
      <c r="Q82" s="1077">
        <f t="shared" si="101"/>
        <v>78</v>
      </c>
      <c r="R82" s="2126">
        <f t="shared" si="99"/>
        <v>82</v>
      </c>
      <c r="S82" s="2127">
        <f t="shared" si="100"/>
        <v>80</v>
      </c>
      <c r="T82" s="853">
        <f t="shared" si="102"/>
        <v>80</v>
      </c>
      <c r="U82" s="1296" t="str">
        <f t="shared" si="103"/>
        <v>3.33</v>
      </c>
      <c r="V82" s="1296" t="str">
        <f t="shared" si="104"/>
        <v>B+</v>
      </c>
      <c r="W82" s="1296" t="str">
        <f t="shared" si="105"/>
        <v>B</v>
      </c>
      <c r="X82" s="1274"/>
      <c r="Y82" s="1274"/>
      <c r="Z82" s="1274"/>
      <c r="AA82" s="1274"/>
      <c r="AB82" s="1276"/>
      <c r="AC82" s="1276"/>
      <c r="AD82" s="1276"/>
      <c r="AE82" s="2133"/>
      <c r="AF82" s="2142"/>
      <c r="AG82" s="2143"/>
    </row>
    <row r="83" spans="1:33" ht="24.95" customHeight="1" x14ac:dyDescent="0.25">
      <c r="A83" s="1207"/>
      <c r="B83" s="1290"/>
      <c r="C83" s="1291"/>
      <c r="D83" s="1213" t="s">
        <v>11</v>
      </c>
      <c r="E83" s="1497">
        <v>76</v>
      </c>
      <c r="F83" s="1497">
        <v>75</v>
      </c>
      <c r="G83" s="1493">
        <v>80</v>
      </c>
      <c r="H83" s="2040">
        <v>89</v>
      </c>
      <c r="I83" s="2040">
        <v>75</v>
      </c>
      <c r="J83" s="2040">
        <v>81</v>
      </c>
      <c r="K83" s="1493">
        <v>65</v>
      </c>
      <c r="L83" s="1493">
        <v>79</v>
      </c>
      <c r="M83" s="1493">
        <v>80</v>
      </c>
      <c r="N83" s="2042"/>
      <c r="O83" s="2042"/>
      <c r="P83" s="2129"/>
      <c r="Q83" s="1077">
        <f>MAX(E83,H83,K83,N83)</f>
        <v>89</v>
      </c>
      <c r="R83" s="2126">
        <f t="shared" si="99"/>
        <v>79</v>
      </c>
      <c r="S83" s="2127">
        <f t="shared" si="100"/>
        <v>81</v>
      </c>
      <c r="T83" s="853">
        <f>IFERROR(AVERAGE(Q83:S83),"")</f>
        <v>83</v>
      </c>
      <c r="U83" s="1296" t="str">
        <f t="shared" si="103"/>
        <v>3.66</v>
      </c>
      <c r="V83" s="1296" t="str">
        <f t="shared" si="104"/>
        <v>A-</v>
      </c>
      <c r="W83" s="1296" t="str">
        <f t="shared" si="105"/>
        <v>SB</v>
      </c>
      <c r="X83" s="1274"/>
      <c r="Y83" s="1274"/>
      <c r="Z83" s="1274"/>
      <c r="AA83" s="1274"/>
      <c r="AB83" s="1276"/>
      <c r="AC83" s="1276"/>
      <c r="AD83" s="1276"/>
      <c r="AE83" s="2133"/>
      <c r="AF83" s="2144"/>
      <c r="AG83" s="2145"/>
    </row>
    <row r="84" spans="1:33" ht="24.95" customHeight="1" x14ac:dyDescent="0.25">
      <c r="A84" s="1236"/>
      <c r="B84" s="1280">
        <v>15</v>
      </c>
      <c r="C84" s="1292"/>
      <c r="D84" s="1279"/>
      <c r="E84" s="2729"/>
      <c r="F84" s="2730"/>
      <c r="G84" s="2730"/>
      <c r="H84" s="2730"/>
      <c r="I84" s="2077"/>
      <c r="J84" s="2077"/>
      <c r="K84" s="2077"/>
      <c r="L84" s="2077"/>
      <c r="M84" s="2077"/>
      <c r="N84" s="2077"/>
      <c r="O84" s="2077"/>
      <c r="P84" s="2077"/>
      <c r="Q84" s="2150"/>
      <c r="R84" s="2151"/>
      <c r="S84" s="2151"/>
      <c r="T84" s="1297">
        <f>IFERROR(AVERAGE(T80:T83),"  ")</f>
        <v>79.333333333333343</v>
      </c>
      <c r="U84" s="1298" t="str">
        <f>IF(T14&gt;85,("4"),IF(T14&gt;80,("3.66"),IF(T14&gt;75,("3.33"),IF(T14&gt;70,("3.00"),IF(T14&gt;65,("2.66"),IF(T14&gt;60,("2.33"),IF(T14&gt;55,("2"),IF(T14&gt;50,("1.66"),"1.33"))))))))</f>
        <v>3.33</v>
      </c>
      <c r="V84" s="1298" t="str">
        <f>IF(T14&gt;85,("A"),IF(T14&gt;80,("A-"),IF(T14&gt;75,("B+"),IF(T14&gt;70,("B"),IF(T14&gt;65,("B-"),IF(T14&gt;60,("C+"),IF(T14&gt;55,("C"),IF(T14&gt;50,("C-"),"D+"))))))))</f>
        <v>B+</v>
      </c>
      <c r="W84" s="1299"/>
      <c r="X84" s="1283"/>
      <c r="Y84" s="1283"/>
      <c r="Z84" s="1283"/>
      <c r="AA84" s="1283"/>
      <c r="AB84" s="1283"/>
      <c r="AC84" s="1283"/>
      <c r="AD84" s="1283"/>
      <c r="AE84" s="1283"/>
      <c r="AF84" s="2146"/>
      <c r="AG84" s="2147"/>
    </row>
    <row r="85" spans="1:33" ht="24.95" customHeight="1" x14ac:dyDescent="0.25">
      <c r="A85" s="1224">
        <v>16</v>
      </c>
      <c r="B85" s="1285"/>
      <c r="C85" s="1286" t="str">
        <f>VLOOKUP(A85,data_siswa,4,FALSE)</f>
        <v>Nabilla Shiva Putri</v>
      </c>
      <c r="D85" s="1210" t="s">
        <v>154</v>
      </c>
      <c r="E85" s="1497"/>
      <c r="F85" s="1497"/>
      <c r="G85" s="1497"/>
      <c r="H85" s="2043">
        <v>75</v>
      </c>
      <c r="I85" s="2043">
        <v>81</v>
      </c>
      <c r="J85" s="2043">
        <v>75</v>
      </c>
      <c r="K85" s="1497">
        <v>65</v>
      </c>
      <c r="L85" s="1497">
        <v>69</v>
      </c>
      <c r="M85" s="1497">
        <v>80</v>
      </c>
      <c r="N85" s="2042"/>
      <c r="O85" s="2042"/>
      <c r="P85" s="2129"/>
      <c r="Q85" s="1077">
        <f>MAX(E85,H85,K85,N85)</f>
        <v>75</v>
      </c>
      <c r="R85" s="2126">
        <f t="shared" ref="R85:R88" si="106">MAX(F85,I85,L85,O85)</f>
        <v>81</v>
      </c>
      <c r="S85" s="2127">
        <f t="shared" ref="S85:S88" si="107">MAX(G85,J85,M85,P85)</f>
        <v>80</v>
      </c>
      <c r="T85" s="853">
        <f>IFERROR(AVERAGE(Q85:S85),"")</f>
        <v>78.666666666666671</v>
      </c>
      <c r="U85" s="1295" t="str">
        <f>IF(T85&gt;85,("4"),IF(T85&gt;80,("3.66"),IF(T85&gt;75,("3.33"),IF(T85&gt;70,("3.00"),IF(T85&gt;65,("2.66"),IF(T85&gt;60,("2.33"),IF(T85&gt;55,("2"),IF(T85&gt;50,("1.66"),"1.33"))))))))</f>
        <v>3.33</v>
      </c>
      <c r="V85" s="1295" t="str">
        <f>IF(T85&gt;85,("A"),IF(T85&gt;80,("A-"),IF(T85&gt;75,("B+"),IF(T85&gt;70,("B"),IF(T85&gt;65,("B-"),IF(T85&gt;60,("C+"),IF(T85&gt;55,("C"),IF(T85&gt;50,("C-"),"D+"))))))))</f>
        <v>B+</v>
      </c>
      <c r="W85" s="1295" t="str">
        <f>IF(T85&gt;80,("SB"),IF(T85&gt;65,("B"),IF(T85&gt;50,("C"),IF(T85&gt;0,("K"),"0"))))</f>
        <v>B</v>
      </c>
      <c r="X85" s="2138"/>
      <c r="Y85" s="1287"/>
      <c r="Z85" s="1287"/>
      <c r="AA85" s="1287"/>
      <c r="AB85" s="1293"/>
      <c r="AC85" s="1293"/>
      <c r="AD85" s="1293"/>
      <c r="AE85" s="2136"/>
      <c r="AF85" s="466">
        <f>MAX(T85:T88)</f>
        <v>83</v>
      </c>
      <c r="AG85" s="466" t="str">
        <f>IF(AF85&gt;85,("A"),IF(AF85&gt;80,("A-"),IF(AF85&gt;75,("B+"),IF(AF85&gt;70,("B"),IF(AF85&gt;65,("B-"),IF(AF85&gt;60,("C+"),IF(AF85&gt;55,("C"),IF(AF85&gt;50,("C-"),"D+"))))))))</f>
        <v>A-</v>
      </c>
    </row>
    <row r="86" spans="1:33" ht="24.95" customHeight="1" x14ac:dyDescent="0.25">
      <c r="A86" s="1207"/>
      <c r="B86" s="1290"/>
      <c r="C86" s="1291"/>
      <c r="D86" s="1213" t="s">
        <v>155</v>
      </c>
      <c r="E86" s="1493"/>
      <c r="F86" s="1497"/>
      <c r="G86" s="1493"/>
      <c r="H86" s="2040">
        <v>65</v>
      </c>
      <c r="I86" s="2040">
        <v>76</v>
      </c>
      <c r="J86" s="2040">
        <v>74</v>
      </c>
      <c r="K86" s="1497"/>
      <c r="L86" s="1497"/>
      <c r="M86" s="1497"/>
      <c r="N86" s="2041">
        <v>68</v>
      </c>
      <c r="O86" s="2041">
        <v>79</v>
      </c>
      <c r="P86" s="2130">
        <v>80</v>
      </c>
      <c r="Q86" s="1077">
        <f t="shared" ref="Q86:Q87" si="108">MAX(E86,H86,K86,N86)</f>
        <v>68</v>
      </c>
      <c r="R86" s="2126">
        <f t="shared" si="106"/>
        <v>79</v>
      </c>
      <c r="S86" s="2127">
        <f t="shared" si="107"/>
        <v>80</v>
      </c>
      <c r="T86" s="853">
        <f t="shared" ref="T86:T87" si="109">IFERROR(AVERAGE(Q86:S86),"")</f>
        <v>75.666666666666671</v>
      </c>
      <c r="U86" s="1296" t="str">
        <f t="shared" ref="U86:U88" si="110">IF(T86&gt;85,("4"),IF(T86&gt;80,("3.66"),IF(T86&gt;75,("3.33"),IF(T86&gt;70,("3.00"),IF(T86&gt;65,("2.66"),IF(T86&gt;60,("2.33"),IF(T86&gt;55,("2"),IF(T86&gt;50,("1.66"),"1.33"))))))))</f>
        <v>3.33</v>
      </c>
      <c r="V86" s="1296" t="str">
        <f t="shared" ref="V86:V88" si="111">IF(T86&gt;85,("A"),IF(T86&gt;80,("A-"),IF(T86&gt;75,("B+"),IF(T86&gt;70,("B"),IF(T86&gt;65,("B-"),IF(T86&gt;60,("C+"),IF(T86&gt;55,("C"),IF(T86&gt;50,("C-"),"D+"))))))))</f>
        <v>B+</v>
      </c>
      <c r="W86" s="1296" t="str">
        <f t="shared" ref="W86:W88" si="112">IF(T86&gt;80,("SB"),IF(T86&gt;65,("B"),IF(T86&gt;50,("C"),IF(T86&gt;0,("K"),"0"))))</f>
        <v>B</v>
      </c>
      <c r="X86" s="1271"/>
      <c r="Y86" s="1271"/>
      <c r="Z86" s="1271"/>
      <c r="AA86" s="1271"/>
      <c r="AB86" s="1273"/>
      <c r="AC86" s="1273"/>
      <c r="AD86" s="1273"/>
      <c r="AE86" s="2132"/>
      <c r="AF86" s="2140"/>
      <c r="AG86" s="2141"/>
    </row>
    <row r="87" spans="1:33" ht="24.95" customHeight="1" x14ac:dyDescent="0.25">
      <c r="A87" s="1207"/>
      <c r="B87" s="1290"/>
      <c r="C87" s="1291"/>
      <c r="D87" s="1213" t="s">
        <v>9</v>
      </c>
      <c r="E87" s="1493"/>
      <c r="F87" s="1493"/>
      <c r="G87" s="1497"/>
      <c r="H87" s="2040">
        <v>78</v>
      </c>
      <c r="I87" s="2040">
        <v>82</v>
      </c>
      <c r="J87" s="2040">
        <v>80</v>
      </c>
      <c r="K87" s="1497"/>
      <c r="L87" s="1497"/>
      <c r="M87" s="1497"/>
      <c r="N87" s="2042"/>
      <c r="O87" s="2042"/>
      <c r="P87" s="2129"/>
      <c r="Q87" s="1077">
        <f t="shared" si="108"/>
        <v>78</v>
      </c>
      <c r="R87" s="2126">
        <f t="shared" si="106"/>
        <v>82</v>
      </c>
      <c r="S87" s="2127">
        <f t="shared" si="107"/>
        <v>80</v>
      </c>
      <c r="T87" s="853">
        <f t="shared" si="109"/>
        <v>80</v>
      </c>
      <c r="U87" s="1296" t="str">
        <f t="shared" si="110"/>
        <v>3.33</v>
      </c>
      <c r="V87" s="1296" t="str">
        <f t="shared" si="111"/>
        <v>B+</v>
      </c>
      <c r="W87" s="1296" t="str">
        <f t="shared" si="112"/>
        <v>B</v>
      </c>
      <c r="X87" s="1274"/>
      <c r="Y87" s="1274"/>
      <c r="Z87" s="1274"/>
      <c r="AA87" s="1274"/>
      <c r="AB87" s="1276"/>
      <c r="AC87" s="1276"/>
      <c r="AD87" s="1276"/>
      <c r="AE87" s="2133"/>
      <c r="AF87" s="2142"/>
      <c r="AG87" s="2143"/>
    </row>
    <row r="88" spans="1:33" ht="24.95" customHeight="1" x14ac:dyDescent="0.25">
      <c r="A88" s="1207"/>
      <c r="B88" s="1290"/>
      <c r="C88" s="1291"/>
      <c r="D88" s="1213" t="s">
        <v>11</v>
      </c>
      <c r="E88" s="1497">
        <v>76</v>
      </c>
      <c r="F88" s="1497">
        <v>75</v>
      </c>
      <c r="G88" s="1493">
        <v>80</v>
      </c>
      <c r="H88" s="2040">
        <v>89</v>
      </c>
      <c r="I88" s="2040">
        <v>75</v>
      </c>
      <c r="J88" s="2040">
        <v>81</v>
      </c>
      <c r="K88" s="1493">
        <v>65</v>
      </c>
      <c r="L88" s="1493">
        <v>79</v>
      </c>
      <c r="M88" s="1493">
        <v>80</v>
      </c>
      <c r="N88" s="2042"/>
      <c r="O88" s="2042"/>
      <c r="P88" s="2129"/>
      <c r="Q88" s="1077">
        <f>MAX(E88,H88,K88,N88)</f>
        <v>89</v>
      </c>
      <c r="R88" s="2126">
        <f t="shared" si="106"/>
        <v>79</v>
      </c>
      <c r="S88" s="2127">
        <f t="shared" si="107"/>
        <v>81</v>
      </c>
      <c r="T88" s="853">
        <f>IFERROR(AVERAGE(Q88:S88),"")</f>
        <v>83</v>
      </c>
      <c r="U88" s="1296" t="str">
        <f t="shared" si="110"/>
        <v>3.66</v>
      </c>
      <c r="V88" s="1296" t="str">
        <f t="shared" si="111"/>
        <v>A-</v>
      </c>
      <c r="W88" s="1296" t="str">
        <f t="shared" si="112"/>
        <v>SB</v>
      </c>
      <c r="X88" s="1274"/>
      <c r="Y88" s="1274"/>
      <c r="Z88" s="1274"/>
      <c r="AA88" s="1274"/>
      <c r="AB88" s="1276"/>
      <c r="AC88" s="1276"/>
      <c r="AD88" s="1276"/>
      <c r="AE88" s="2133"/>
      <c r="AF88" s="2144"/>
      <c r="AG88" s="2145"/>
    </row>
    <row r="89" spans="1:33" ht="24.95" customHeight="1" x14ac:dyDescent="0.25">
      <c r="A89" s="1236"/>
      <c r="B89" s="1280">
        <v>16</v>
      </c>
      <c r="C89" s="1292"/>
      <c r="D89" s="1279"/>
      <c r="E89" s="2729"/>
      <c r="F89" s="2730"/>
      <c r="G89" s="2730"/>
      <c r="H89" s="2730"/>
      <c r="I89" s="2077"/>
      <c r="J89" s="2077"/>
      <c r="K89" s="2077"/>
      <c r="L89" s="2077"/>
      <c r="M89" s="2077"/>
      <c r="N89" s="2077"/>
      <c r="O89" s="2077"/>
      <c r="P89" s="2077"/>
      <c r="Q89" s="2150"/>
      <c r="R89" s="2151"/>
      <c r="S89" s="2151"/>
      <c r="T89" s="1297">
        <f>IFERROR(AVERAGE(T85:T88),"  ")</f>
        <v>79.333333333333343</v>
      </c>
      <c r="U89" s="1298" t="str">
        <f>IF(T14&gt;85,("4"),IF(T14&gt;80,("3.66"),IF(T14&gt;75,("3.33"),IF(T14&gt;70,("3.00"),IF(T14&gt;65,("2.66"),IF(T14&gt;60,("2.33"),IF(T14&gt;55,("2"),IF(T14&gt;50,("1.66"),"1.33"))))))))</f>
        <v>3.33</v>
      </c>
      <c r="V89" s="1298" t="str">
        <f>IF(T14&gt;85,("A"),IF(T14&gt;80,("A-"),IF(T14&gt;75,("B+"),IF(T14&gt;70,("B"),IF(T14&gt;65,("B-"),IF(T14&gt;60,("C+"),IF(T14&gt;55,("C"),IF(T14&gt;50,("C-"),"D+"))))))))</f>
        <v>B+</v>
      </c>
      <c r="W89" s="1299"/>
      <c r="X89" s="1283"/>
      <c r="Y89" s="1283"/>
      <c r="Z89" s="1283"/>
      <c r="AA89" s="1283"/>
      <c r="AB89" s="1283"/>
      <c r="AC89" s="1283"/>
      <c r="AD89" s="1283"/>
      <c r="AE89" s="1283"/>
      <c r="AF89" s="2146"/>
      <c r="AG89" s="2147"/>
    </row>
    <row r="90" spans="1:33" ht="24.95" customHeight="1" x14ac:dyDescent="0.25">
      <c r="A90" s="1224">
        <v>17</v>
      </c>
      <c r="B90" s="1285"/>
      <c r="C90" s="1286" t="str">
        <f>VLOOKUP(A90,data_siswa,4,FALSE)</f>
        <v>Naufal Falih F</v>
      </c>
      <c r="D90" s="1210" t="s">
        <v>154</v>
      </c>
      <c r="E90" s="1493"/>
      <c r="F90" s="1493"/>
      <c r="G90" s="1493"/>
      <c r="H90" s="2040">
        <v>0</v>
      </c>
      <c r="I90" s="2040">
        <v>0</v>
      </c>
      <c r="J90" s="2040">
        <v>0</v>
      </c>
      <c r="K90" s="1493">
        <v>0</v>
      </c>
      <c r="L90" s="1493">
        <v>0</v>
      </c>
      <c r="M90" s="1493">
        <v>0</v>
      </c>
      <c r="N90" s="2041"/>
      <c r="O90" s="2041"/>
      <c r="P90" s="2130"/>
      <c r="Q90" s="1077">
        <f>MAX(E90,H90,K90,N90)</f>
        <v>0</v>
      </c>
      <c r="R90" s="2126">
        <f t="shared" ref="R90:R93" si="113">MAX(F90,I90,L90,O90)</f>
        <v>0</v>
      </c>
      <c r="S90" s="2127">
        <f t="shared" ref="S90:S93" si="114">MAX(G90,J90,M90,P90)</f>
        <v>0</v>
      </c>
      <c r="T90" s="853">
        <f>IFERROR(AVERAGE(Q90:S90),"")</f>
        <v>0</v>
      </c>
      <c r="U90" s="1295" t="str">
        <f>IF(T90&gt;85,("4"),IF(T90&gt;80,("3.66"),IF(T90&gt;75,("3.33"),IF(T90&gt;70,("3.00"),IF(T90&gt;65,("2.66"),IF(T90&gt;60,("2.33"),IF(T90&gt;55,("2"),IF(T90&gt;50,("1.66"),"1.33"))))))))</f>
        <v>1.33</v>
      </c>
      <c r="V90" s="1295" t="str">
        <f>IF(T90&gt;85,("A"),IF(T90&gt;80,("A-"),IF(T90&gt;75,("B+"),IF(T90&gt;70,("B"),IF(T90&gt;65,("B-"),IF(T90&gt;60,("C+"),IF(T90&gt;55,("C"),IF(T90&gt;50,("C-"),"D+"))))))))</f>
        <v>D+</v>
      </c>
      <c r="W90" s="1295" t="str">
        <f>IF(T90&gt;80,("SB"),IF(T90&gt;65,("B"),IF(T90&gt;50,("C"),IF(T90&gt;0,("K"),"0"))))</f>
        <v>0</v>
      </c>
      <c r="X90" s="2138"/>
      <c r="Y90" s="1287"/>
      <c r="Z90" s="1287"/>
      <c r="AA90" s="1287"/>
      <c r="AB90" s="1293"/>
      <c r="AC90" s="1293"/>
      <c r="AD90" s="1293"/>
      <c r="AE90" s="2136"/>
      <c r="AF90" s="466">
        <f>MAX(T90:T93)</f>
        <v>0</v>
      </c>
      <c r="AG90" s="466" t="str">
        <f>IF(AF90&gt;85,("A"),IF(AF90&gt;80,("A-"),IF(AF90&gt;75,("B+"),IF(AF90&gt;70,("B"),IF(AF90&gt;65,("B-"),IF(AF90&gt;60,("C+"),IF(AF90&gt;55,("C"),IF(AF90&gt;50,("C-"),"D+"))))))))</f>
        <v>D+</v>
      </c>
    </row>
    <row r="91" spans="1:33" ht="24.95" customHeight="1" x14ac:dyDescent="0.25">
      <c r="A91" s="1207"/>
      <c r="B91" s="1290"/>
      <c r="C91" s="1291"/>
      <c r="D91" s="1213" t="s">
        <v>155</v>
      </c>
      <c r="E91" s="1493"/>
      <c r="F91" s="1497"/>
      <c r="G91" s="1493"/>
      <c r="H91" s="2040">
        <v>0</v>
      </c>
      <c r="I91" s="2040">
        <v>0</v>
      </c>
      <c r="J91" s="2040">
        <v>0</v>
      </c>
      <c r="K91" s="1497"/>
      <c r="L91" s="1497"/>
      <c r="M91" s="1497"/>
      <c r="N91" s="2041">
        <v>0</v>
      </c>
      <c r="O91" s="2041">
        <v>0</v>
      </c>
      <c r="P91" s="2130">
        <v>0</v>
      </c>
      <c r="Q91" s="1077">
        <f t="shared" ref="Q91:Q92" si="115">MAX(E91,H91,K91,N91)</f>
        <v>0</v>
      </c>
      <c r="R91" s="2126">
        <f t="shared" si="113"/>
        <v>0</v>
      </c>
      <c r="S91" s="2127">
        <f t="shared" si="114"/>
        <v>0</v>
      </c>
      <c r="T91" s="853">
        <f t="shared" ref="T91:T92" si="116">IFERROR(AVERAGE(Q91:S91),"")</f>
        <v>0</v>
      </c>
      <c r="U91" s="1296" t="str">
        <f t="shared" ref="U91:U93" si="117">IF(T91&gt;85,("4"),IF(T91&gt;80,("3.66"),IF(T91&gt;75,("3.33"),IF(T91&gt;70,("3.00"),IF(T91&gt;65,("2.66"),IF(T91&gt;60,("2.33"),IF(T91&gt;55,("2"),IF(T91&gt;50,("1.66"),"1.33"))))))))</f>
        <v>1.33</v>
      </c>
      <c r="V91" s="1296" t="str">
        <f t="shared" ref="V91:V93" si="118">IF(T91&gt;85,("A"),IF(T91&gt;80,("A-"),IF(T91&gt;75,("B+"),IF(T91&gt;70,("B"),IF(T91&gt;65,("B-"),IF(T91&gt;60,("C+"),IF(T91&gt;55,("C"),IF(T91&gt;50,("C-"),"D+"))))))))</f>
        <v>D+</v>
      </c>
      <c r="W91" s="1296" t="str">
        <f t="shared" ref="W91:W93" si="119">IF(T91&gt;80,("SB"),IF(T91&gt;65,("B"),IF(T91&gt;50,("C"),IF(T91&gt;0,("K"),"0"))))</f>
        <v>0</v>
      </c>
      <c r="X91" s="1271"/>
      <c r="Y91" s="1271"/>
      <c r="Z91" s="1271"/>
      <c r="AA91" s="1271"/>
      <c r="AB91" s="1273"/>
      <c r="AC91" s="1273"/>
      <c r="AD91" s="1273"/>
      <c r="AE91" s="2132"/>
      <c r="AF91" s="2140"/>
      <c r="AG91" s="2141"/>
    </row>
    <row r="92" spans="1:33" ht="24.95" customHeight="1" x14ac:dyDescent="0.25">
      <c r="A92" s="1207"/>
      <c r="B92" s="1290"/>
      <c r="C92" s="1291"/>
      <c r="D92" s="1213" t="s">
        <v>9</v>
      </c>
      <c r="E92" s="1493"/>
      <c r="F92" s="1493"/>
      <c r="G92" s="1497"/>
      <c r="H92" s="2040">
        <v>0</v>
      </c>
      <c r="I92" s="2040">
        <v>0</v>
      </c>
      <c r="J92" s="2040">
        <v>0</v>
      </c>
      <c r="K92" s="1497"/>
      <c r="L92" s="1497"/>
      <c r="M92" s="1497"/>
      <c r="N92" s="2042"/>
      <c r="O92" s="2042"/>
      <c r="P92" s="2129"/>
      <c r="Q92" s="1077">
        <f t="shared" si="115"/>
        <v>0</v>
      </c>
      <c r="R92" s="2126">
        <f t="shared" si="113"/>
        <v>0</v>
      </c>
      <c r="S92" s="2127">
        <f t="shared" si="114"/>
        <v>0</v>
      </c>
      <c r="T92" s="853">
        <f t="shared" si="116"/>
        <v>0</v>
      </c>
      <c r="U92" s="1296" t="str">
        <f t="shared" si="117"/>
        <v>1.33</v>
      </c>
      <c r="V92" s="1296" t="str">
        <f t="shared" si="118"/>
        <v>D+</v>
      </c>
      <c r="W92" s="1296" t="str">
        <f t="shared" si="119"/>
        <v>0</v>
      </c>
      <c r="X92" s="1274"/>
      <c r="Y92" s="1274"/>
      <c r="Z92" s="1274"/>
      <c r="AA92" s="1274"/>
      <c r="AB92" s="1276"/>
      <c r="AC92" s="1276"/>
      <c r="AD92" s="1276"/>
      <c r="AE92" s="2133"/>
      <c r="AF92" s="2142"/>
      <c r="AG92" s="2143"/>
    </row>
    <row r="93" spans="1:33" ht="24.95" customHeight="1" x14ac:dyDescent="0.25">
      <c r="A93" s="1207"/>
      <c r="B93" s="1290"/>
      <c r="C93" s="1291"/>
      <c r="D93" s="1213" t="s">
        <v>11</v>
      </c>
      <c r="E93" s="1497">
        <v>0</v>
      </c>
      <c r="F93" s="1497">
        <v>0</v>
      </c>
      <c r="G93" s="1493">
        <v>0</v>
      </c>
      <c r="H93" s="2040">
        <v>0</v>
      </c>
      <c r="I93" s="2040">
        <v>0</v>
      </c>
      <c r="J93" s="2040">
        <v>0</v>
      </c>
      <c r="K93" s="1493">
        <v>0</v>
      </c>
      <c r="L93" s="1493">
        <v>0</v>
      </c>
      <c r="M93" s="1493">
        <v>0</v>
      </c>
      <c r="N93" s="2042"/>
      <c r="O93" s="2042"/>
      <c r="P93" s="2129"/>
      <c r="Q93" s="1077">
        <f>MAX(E93,H93,K93,N93)</f>
        <v>0</v>
      </c>
      <c r="R93" s="2126">
        <f t="shared" si="113"/>
        <v>0</v>
      </c>
      <c r="S93" s="2127">
        <f t="shared" si="114"/>
        <v>0</v>
      </c>
      <c r="T93" s="853">
        <f>IFERROR(AVERAGE(Q93:S93),"")</f>
        <v>0</v>
      </c>
      <c r="U93" s="1296" t="str">
        <f t="shared" si="117"/>
        <v>1.33</v>
      </c>
      <c r="V93" s="1296" t="str">
        <f t="shared" si="118"/>
        <v>D+</v>
      </c>
      <c r="W93" s="1296" t="str">
        <f t="shared" si="119"/>
        <v>0</v>
      </c>
      <c r="X93" s="1274"/>
      <c r="Y93" s="1274"/>
      <c r="Z93" s="1274"/>
      <c r="AA93" s="1274"/>
      <c r="AB93" s="1276"/>
      <c r="AC93" s="1276"/>
      <c r="AD93" s="1276"/>
      <c r="AE93" s="2133"/>
      <c r="AF93" s="2144"/>
      <c r="AG93" s="2145"/>
    </row>
    <row r="94" spans="1:33" ht="24.95" customHeight="1" x14ac:dyDescent="0.25">
      <c r="A94" s="1236"/>
      <c r="B94" s="1280">
        <v>17</v>
      </c>
      <c r="C94" s="1292"/>
      <c r="D94" s="1279"/>
      <c r="E94" s="2729"/>
      <c r="F94" s="2730"/>
      <c r="G94" s="2730"/>
      <c r="H94" s="2730"/>
      <c r="I94" s="2077"/>
      <c r="J94" s="2077"/>
      <c r="K94" s="2077"/>
      <c r="L94" s="2077"/>
      <c r="M94" s="2077"/>
      <c r="N94" s="2077"/>
      <c r="O94" s="2077"/>
      <c r="P94" s="2077"/>
      <c r="Q94" s="2150"/>
      <c r="R94" s="2151"/>
      <c r="S94" s="2151"/>
      <c r="T94" s="1297">
        <f>IFERROR(AVERAGE(T90:T93),"  ")</f>
        <v>0</v>
      </c>
      <c r="U94" s="1298" t="str">
        <f>IF(T14&gt;85,("4"),IF(T14&gt;80,("3.66"),IF(T14&gt;75,("3.33"),IF(T14&gt;70,("3.00"),IF(T14&gt;65,("2.66"),IF(T14&gt;60,("2.33"),IF(T14&gt;55,("2"),IF(T14&gt;50,("1.66"),"1.33"))))))))</f>
        <v>3.33</v>
      </c>
      <c r="V94" s="1298" t="str">
        <f>IF(T14&gt;85,("A"),IF(T14&gt;80,("A-"),IF(T14&gt;75,("B+"),IF(T14&gt;70,("B"),IF(T14&gt;65,("B-"),IF(T14&gt;60,("C+"),IF(T14&gt;55,("C"),IF(T14&gt;50,("C-"),"D+"))))))))</f>
        <v>B+</v>
      </c>
      <c r="W94" s="1299"/>
      <c r="X94" s="1283"/>
      <c r="Y94" s="1283"/>
      <c r="Z94" s="1283"/>
      <c r="AA94" s="1283"/>
      <c r="AB94" s="1283"/>
      <c r="AC94" s="1283"/>
      <c r="AD94" s="1283"/>
      <c r="AE94" s="1283"/>
      <c r="AF94" s="2146"/>
      <c r="AG94" s="2147"/>
    </row>
    <row r="95" spans="1:33" ht="24.95" customHeight="1" x14ac:dyDescent="0.25">
      <c r="A95" s="1224">
        <v>18</v>
      </c>
      <c r="B95" s="1285"/>
      <c r="C95" s="1286" t="str">
        <f>VLOOKUP(A95,data_siswa,4,FALSE)</f>
        <v>Nayla Annora Nobel W</v>
      </c>
      <c r="D95" s="1210" t="s">
        <v>154</v>
      </c>
      <c r="E95" s="1497"/>
      <c r="F95" s="1497"/>
      <c r="G95" s="1497"/>
      <c r="H95" s="2043">
        <v>75</v>
      </c>
      <c r="I95" s="2043">
        <v>81</v>
      </c>
      <c r="J95" s="2043">
        <v>75</v>
      </c>
      <c r="K95" s="1497">
        <v>65</v>
      </c>
      <c r="L95" s="1497">
        <v>69</v>
      </c>
      <c r="M95" s="1497">
        <v>80</v>
      </c>
      <c r="N95" s="2042"/>
      <c r="O95" s="2042"/>
      <c r="P95" s="2129"/>
      <c r="Q95" s="1077">
        <f>MAX(E95,H95,K95,N95)</f>
        <v>75</v>
      </c>
      <c r="R95" s="2126">
        <f t="shared" ref="R95:R98" si="120">MAX(F95,I95,L95,O95)</f>
        <v>81</v>
      </c>
      <c r="S95" s="2127">
        <f t="shared" ref="S95:S98" si="121">MAX(G95,J95,M95,P95)</f>
        <v>80</v>
      </c>
      <c r="T95" s="853">
        <f>IFERROR(AVERAGE(Q95:S95),"")</f>
        <v>78.666666666666671</v>
      </c>
      <c r="U95" s="1295" t="str">
        <f>IF(T95&gt;85,("4"),IF(T95&gt;80,("3.66"),IF(T95&gt;75,("3.33"),IF(T95&gt;70,("3.00"),IF(T95&gt;65,("2.66"),IF(T95&gt;60,("2.33"),IF(T95&gt;55,("2"),IF(T95&gt;50,("1.66"),"1.33"))))))))</f>
        <v>3.33</v>
      </c>
      <c r="V95" s="1295" t="str">
        <f>IF(T95&gt;85,("A"),IF(T95&gt;80,("A-"),IF(T95&gt;75,("B+"),IF(T95&gt;70,("B"),IF(T95&gt;65,("B-"),IF(T95&gt;60,("C+"),IF(T95&gt;55,("C"),IF(T95&gt;50,("C-"),"D+"))))))))</f>
        <v>B+</v>
      </c>
      <c r="W95" s="1295" t="str">
        <f>IF(T95&gt;80,("SB"),IF(T95&gt;65,("B"),IF(T95&gt;50,("C"),IF(T95&gt;0,("K"),"0"))))</f>
        <v>B</v>
      </c>
      <c r="X95" s="2138"/>
      <c r="Y95" s="1287"/>
      <c r="Z95" s="1287"/>
      <c r="AA95" s="1287"/>
      <c r="AB95" s="1293"/>
      <c r="AC95" s="1293"/>
      <c r="AD95" s="1293"/>
      <c r="AE95" s="2136"/>
      <c r="AF95" s="466">
        <f>MAX(T95:T98)</f>
        <v>83</v>
      </c>
      <c r="AG95" s="466" t="str">
        <f>IF(AF95&gt;85,("A"),IF(AF95&gt;80,("A-"),IF(AF95&gt;75,("B+"),IF(AF95&gt;70,("B"),IF(AF95&gt;65,("B-"),IF(AF95&gt;60,("C+"),IF(AF95&gt;55,("C"),IF(AF95&gt;50,("C-"),"D+"))))))))</f>
        <v>A-</v>
      </c>
    </row>
    <row r="96" spans="1:33" ht="24.95" customHeight="1" x14ac:dyDescent="0.25">
      <c r="A96" s="1207"/>
      <c r="B96" s="1290"/>
      <c r="C96" s="1291"/>
      <c r="D96" s="1213" t="s">
        <v>155</v>
      </c>
      <c r="E96" s="1493"/>
      <c r="F96" s="1497"/>
      <c r="G96" s="1493"/>
      <c r="H96" s="2040">
        <v>65</v>
      </c>
      <c r="I96" s="2040">
        <v>76</v>
      </c>
      <c r="J96" s="2040">
        <v>74</v>
      </c>
      <c r="K96" s="1497"/>
      <c r="L96" s="1497"/>
      <c r="M96" s="1497"/>
      <c r="N96" s="2041">
        <v>68</v>
      </c>
      <c r="O96" s="2041">
        <v>79</v>
      </c>
      <c r="P96" s="2130">
        <v>80</v>
      </c>
      <c r="Q96" s="1077">
        <f t="shared" ref="Q96:Q97" si="122">MAX(E96,H96,K96,N96)</f>
        <v>68</v>
      </c>
      <c r="R96" s="2126">
        <f t="shared" si="120"/>
        <v>79</v>
      </c>
      <c r="S96" s="2127">
        <f t="shared" si="121"/>
        <v>80</v>
      </c>
      <c r="T96" s="853">
        <f t="shared" ref="T96:T97" si="123">IFERROR(AVERAGE(Q96:S96),"")</f>
        <v>75.666666666666671</v>
      </c>
      <c r="U96" s="1296" t="str">
        <f t="shared" ref="U96:U98" si="124">IF(T96&gt;85,("4"),IF(T96&gt;80,("3.66"),IF(T96&gt;75,("3.33"),IF(T96&gt;70,("3.00"),IF(T96&gt;65,("2.66"),IF(T96&gt;60,("2.33"),IF(T96&gt;55,("2"),IF(T96&gt;50,("1.66"),"1.33"))))))))</f>
        <v>3.33</v>
      </c>
      <c r="V96" s="1296" t="str">
        <f t="shared" ref="V96:V98" si="125">IF(T96&gt;85,("A"),IF(T96&gt;80,("A-"),IF(T96&gt;75,("B+"),IF(T96&gt;70,("B"),IF(T96&gt;65,("B-"),IF(T96&gt;60,("C+"),IF(T96&gt;55,("C"),IF(T96&gt;50,("C-"),"D+"))))))))</f>
        <v>B+</v>
      </c>
      <c r="W96" s="1296" t="str">
        <f t="shared" ref="W96:W98" si="126">IF(T96&gt;80,("SB"),IF(T96&gt;65,("B"),IF(T96&gt;50,("C"),IF(T96&gt;0,("K"),"0"))))</f>
        <v>B</v>
      </c>
      <c r="X96" s="1271"/>
      <c r="Y96" s="1271"/>
      <c r="Z96" s="1271"/>
      <c r="AA96" s="1271"/>
      <c r="AB96" s="1273"/>
      <c r="AC96" s="1273"/>
      <c r="AD96" s="1273"/>
      <c r="AE96" s="2132"/>
      <c r="AF96" s="2140"/>
      <c r="AG96" s="2141"/>
    </row>
    <row r="97" spans="1:33" ht="24.95" customHeight="1" x14ac:dyDescent="0.25">
      <c r="A97" s="1207"/>
      <c r="B97" s="1290"/>
      <c r="C97" s="1291"/>
      <c r="D97" s="1213" t="s">
        <v>9</v>
      </c>
      <c r="E97" s="1493"/>
      <c r="F97" s="1493"/>
      <c r="G97" s="1497"/>
      <c r="H97" s="2040">
        <v>78</v>
      </c>
      <c r="I97" s="2040">
        <v>82</v>
      </c>
      <c r="J97" s="2040">
        <v>80</v>
      </c>
      <c r="K97" s="1497"/>
      <c r="L97" s="1497"/>
      <c r="M97" s="1497"/>
      <c r="N97" s="2042"/>
      <c r="O97" s="2042"/>
      <c r="P97" s="2129"/>
      <c r="Q97" s="1077">
        <f t="shared" si="122"/>
        <v>78</v>
      </c>
      <c r="R97" s="2126">
        <f t="shared" si="120"/>
        <v>82</v>
      </c>
      <c r="S97" s="2127">
        <f t="shared" si="121"/>
        <v>80</v>
      </c>
      <c r="T97" s="853">
        <f t="shared" si="123"/>
        <v>80</v>
      </c>
      <c r="U97" s="1296" t="str">
        <f t="shared" si="124"/>
        <v>3.33</v>
      </c>
      <c r="V97" s="1296" t="str">
        <f t="shared" si="125"/>
        <v>B+</v>
      </c>
      <c r="W97" s="1296" t="str">
        <f t="shared" si="126"/>
        <v>B</v>
      </c>
      <c r="X97" s="1274"/>
      <c r="Y97" s="1274"/>
      <c r="Z97" s="1274"/>
      <c r="AA97" s="1274"/>
      <c r="AB97" s="1276"/>
      <c r="AC97" s="1276"/>
      <c r="AD97" s="1276"/>
      <c r="AE97" s="2133"/>
      <c r="AF97" s="2142"/>
      <c r="AG97" s="2143"/>
    </row>
    <row r="98" spans="1:33" ht="24.95" customHeight="1" x14ac:dyDescent="0.25">
      <c r="A98" s="1207"/>
      <c r="B98" s="1290"/>
      <c r="C98" s="1291"/>
      <c r="D98" s="1213" t="s">
        <v>11</v>
      </c>
      <c r="E98" s="1497">
        <v>76</v>
      </c>
      <c r="F98" s="1497">
        <v>75</v>
      </c>
      <c r="G98" s="1493">
        <v>80</v>
      </c>
      <c r="H98" s="2040">
        <v>89</v>
      </c>
      <c r="I98" s="2040">
        <v>75</v>
      </c>
      <c r="J98" s="2040">
        <v>81</v>
      </c>
      <c r="K98" s="1493">
        <v>65</v>
      </c>
      <c r="L98" s="1493">
        <v>79</v>
      </c>
      <c r="M98" s="1493">
        <v>80</v>
      </c>
      <c r="N98" s="2042"/>
      <c r="O98" s="2042"/>
      <c r="P98" s="2129"/>
      <c r="Q98" s="1077">
        <f>MAX(E98,H98,K98,N98)</f>
        <v>89</v>
      </c>
      <c r="R98" s="2126">
        <f t="shared" si="120"/>
        <v>79</v>
      </c>
      <c r="S98" s="2127">
        <f t="shared" si="121"/>
        <v>81</v>
      </c>
      <c r="T98" s="853">
        <f>IFERROR(AVERAGE(Q98:S98),"")</f>
        <v>83</v>
      </c>
      <c r="U98" s="1296" t="str">
        <f t="shared" si="124"/>
        <v>3.66</v>
      </c>
      <c r="V98" s="1296" t="str">
        <f t="shared" si="125"/>
        <v>A-</v>
      </c>
      <c r="W98" s="1296" t="str">
        <f t="shared" si="126"/>
        <v>SB</v>
      </c>
      <c r="X98" s="1274"/>
      <c r="Y98" s="1274"/>
      <c r="Z98" s="1274"/>
      <c r="AA98" s="1274"/>
      <c r="AB98" s="1276"/>
      <c r="AC98" s="1276"/>
      <c r="AD98" s="1276"/>
      <c r="AE98" s="2133"/>
      <c r="AF98" s="2144"/>
      <c r="AG98" s="2145"/>
    </row>
    <row r="99" spans="1:33" ht="24.95" customHeight="1" x14ac:dyDescent="0.25">
      <c r="A99" s="1236"/>
      <c r="B99" s="1280">
        <v>18</v>
      </c>
      <c r="C99" s="1292"/>
      <c r="D99" s="1279"/>
      <c r="E99" s="2729"/>
      <c r="F99" s="2730"/>
      <c r="G99" s="2730"/>
      <c r="H99" s="2730"/>
      <c r="I99" s="2077"/>
      <c r="J99" s="2077"/>
      <c r="K99" s="2077"/>
      <c r="L99" s="2077"/>
      <c r="M99" s="2077"/>
      <c r="N99" s="2077"/>
      <c r="O99" s="2077"/>
      <c r="P99" s="2077"/>
      <c r="Q99" s="2150"/>
      <c r="R99" s="2151"/>
      <c r="S99" s="2151"/>
      <c r="T99" s="1297">
        <f>IFERROR(AVERAGE(T95:T98),"  ")</f>
        <v>79.333333333333343</v>
      </c>
      <c r="U99" s="1298" t="str">
        <f>IF(T14&gt;85,("4"),IF(T14&gt;80,("3.66"),IF(T14&gt;75,("3.33"),IF(T14&gt;70,("3.00"),IF(T14&gt;65,("2.66"),IF(T14&gt;60,("2.33"),IF(T14&gt;55,("2"),IF(T14&gt;50,("1.66"),"1.33"))))))))</f>
        <v>3.33</v>
      </c>
      <c r="V99" s="1298" t="str">
        <f>IF(T14&gt;85,("A"),IF(T14&gt;80,("A-"),IF(T14&gt;75,("B+"),IF(T14&gt;70,("B"),IF(T14&gt;65,("B-"),IF(T14&gt;60,("C+"),IF(T14&gt;55,("C"),IF(T14&gt;50,("C-"),"D+"))))))))</f>
        <v>B+</v>
      </c>
      <c r="W99" s="1299"/>
      <c r="X99" s="1283"/>
      <c r="Y99" s="1283"/>
      <c r="Z99" s="1283"/>
      <c r="AA99" s="1283"/>
      <c r="AB99" s="1283"/>
      <c r="AC99" s="1283"/>
      <c r="AD99" s="1283"/>
      <c r="AE99" s="1283"/>
      <c r="AF99" s="2146"/>
      <c r="AG99" s="2147"/>
    </row>
    <row r="100" spans="1:33" ht="24.95" customHeight="1" x14ac:dyDescent="0.25">
      <c r="A100" s="1224">
        <v>19</v>
      </c>
      <c r="B100" s="1285"/>
      <c r="C100" s="1286" t="str">
        <f>VLOOKUP(A100,data_siswa,4,FALSE)</f>
        <v>Raihan Danang P</v>
      </c>
      <c r="D100" s="1210" t="s">
        <v>154</v>
      </c>
      <c r="E100" s="1493"/>
      <c r="F100" s="1493"/>
      <c r="G100" s="1493"/>
      <c r="H100" s="2040">
        <v>0</v>
      </c>
      <c r="I100" s="2040">
        <v>0</v>
      </c>
      <c r="J100" s="2040">
        <v>0</v>
      </c>
      <c r="K100" s="1493">
        <v>0</v>
      </c>
      <c r="L100" s="1493">
        <v>0</v>
      </c>
      <c r="M100" s="1493">
        <v>0</v>
      </c>
      <c r="N100" s="2041"/>
      <c r="O100" s="2041"/>
      <c r="P100" s="2130"/>
      <c r="Q100" s="1077">
        <f>MAX(E100,H100,K100,N100)</f>
        <v>0</v>
      </c>
      <c r="R100" s="2126">
        <f t="shared" ref="R100:R103" si="127">MAX(F100,I100,L100,O100)</f>
        <v>0</v>
      </c>
      <c r="S100" s="2127">
        <f t="shared" ref="S100:S103" si="128">MAX(G100,J100,M100,P100)</f>
        <v>0</v>
      </c>
      <c r="T100" s="853">
        <f>IFERROR(AVERAGE(Q100:S100),"")</f>
        <v>0</v>
      </c>
      <c r="U100" s="1295" t="str">
        <f>IF(T100&gt;85,("4"),IF(T100&gt;80,("3.66"),IF(T100&gt;75,("3.33"),IF(T100&gt;70,("3.00"),IF(T100&gt;65,("2.66"),IF(T100&gt;60,("2.33"),IF(T100&gt;55,("2"),IF(T100&gt;50,("1.66"),"1.33"))))))))</f>
        <v>1.33</v>
      </c>
      <c r="V100" s="1295" t="str">
        <f>IF(T100&gt;85,("A"),IF(T100&gt;80,("A-"),IF(T100&gt;75,("B+"),IF(T100&gt;70,("B"),IF(T100&gt;65,("B-"),IF(T100&gt;60,("C+"),IF(T100&gt;55,("C"),IF(T100&gt;50,("C-"),"D+"))))))))</f>
        <v>D+</v>
      </c>
      <c r="W100" s="1295" t="str">
        <f>IF(T100&gt;80,("SB"),IF(T100&gt;65,("B"),IF(T100&gt;50,("C"),IF(T100&gt;0,("K"),"0"))))</f>
        <v>0</v>
      </c>
      <c r="X100" s="2138"/>
      <c r="Y100" s="1287"/>
      <c r="Z100" s="1287"/>
      <c r="AA100" s="1287"/>
      <c r="AB100" s="1293"/>
      <c r="AC100" s="1293"/>
      <c r="AD100" s="1293"/>
      <c r="AE100" s="2136"/>
      <c r="AF100" s="466">
        <f>MAX(T100:T103)</f>
        <v>0</v>
      </c>
      <c r="AG100" s="466" t="str">
        <f>IF(AF100&gt;85,("A"),IF(AF100&gt;80,("A-"),IF(AF100&gt;75,("B+"),IF(AF100&gt;70,("B"),IF(AF100&gt;65,("B-"),IF(AF100&gt;60,("C+"),IF(AF100&gt;55,("C"),IF(AF100&gt;50,("C-"),"D+"))))))))</f>
        <v>D+</v>
      </c>
    </row>
    <row r="101" spans="1:33" ht="24.95" customHeight="1" x14ac:dyDescent="0.25">
      <c r="A101" s="1207"/>
      <c r="B101" s="1290"/>
      <c r="C101" s="1291"/>
      <c r="D101" s="1213" t="s">
        <v>155</v>
      </c>
      <c r="E101" s="1493"/>
      <c r="F101" s="1497"/>
      <c r="G101" s="1493"/>
      <c r="H101" s="2040">
        <v>0</v>
      </c>
      <c r="I101" s="2040">
        <v>0</v>
      </c>
      <c r="J101" s="2040">
        <v>0</v>
      </c>
      <c r="K101" s="1497"/>
      <c r="L101" s="1497"/>
      <c r="M101" s="1497"/>
      <c r="N101" s="2041">
        <v>0</v>
      </c>
      <c r="O101" s="2041">
        <v>0</v>
      </c>
      <c r="P101" s="2130">
        <v>0</v>
      </c>
      <c r="Q101" s="1077">
        <f t="shared" ref="Q101:Q102" si="129">MAX(E101,H101,K101,N101)</f>
        <v>0</v>
      </c>
      <c r="R101" s="2126">
        <f t="shared" si="127"/>
        <v>0</v>
      </c>
      <c r="S101" s="2127">
        <f t="shared" si="128"/>
        <v>0</v>
      </c>
      <c r="T101" s="853">
        <f t="shared" ref="T101:T102" si="130">IFERROR(AVERAGE(Q101:S101),"")</f>
        <v>0</v>
      </c>
      <c r="U101" s="1296" t="str">
        <f t="shared" ref="U101:U103" si="131">IF(T101&gt;85,("4"),IF(T101&gt;80,("3.66"),IF(T101&gt;75,("3.33"),IF(T101&gt;70,("3.00"),IF(T101&gt;65,("2.66"),IF(T101&gt;60,("2.33"),IF(T101&gt;55,("2"),IF(T101&gt;50,("1.66"),"1.33"))))))))</f>
        <v>1.33</v>
      </c>
      <c r="V101" s="1296" t="str">
        <f t="shared" ref="V101:V103" si="132">IF(T101&gt;85,("A"),IF(T101&gt;80,("A-"),IF(T101&gt;75,("B+"),IF(T101&gt;70,("B"),IF(T101&gt;65,("B-"),IF(T101&gt;60,("C+"),IF(T101&gt;55,("C"),IF(T101&gt;50,("C-"),"D+"))))))))</f>
        <v>D+</v>
      </c>
      <c r="W101" s="1296" t="str">
        <f t="shared" ref="W101:W103" si="133">IF(T101&gt;80,("SB"),IF(T101&gt;65,("B"),IF(T101&gt;50,("C"),IF(T101&gt;0,("K"),"0"))))</f>
        <v>0</v>
      </c>
      <c r="X101" s="1271"/>
      <c r="Y101" s="1271"/>
      <c r="Z101" s="1271"/>
      <c r="AA101" s="1271"/>
      <c r="AB101" s="1273"/>
      <c r="AC101" s="1273"/>
      <c r="AD101" s="1273"/>
      <c r="AE101" s="2132"/>
      <c r="AF101" s="2140"/>
      <c r="AG101" s="2141"/>
    </row>
    <row r="102" spans="1:33" ht="24.95" customHeight="1" x14ac:dyDescent="0.25">
      <c r="A102" s="1207"/>
      <c r="B102" s="1290"/>
      <c r="C102" s="1291"/>
      <c r="D102" s="1213" t="s">
        <v>9</v>
      </c>
      <c r="E102" s="1493"/>
      <c r="F102" s="1493"/>
      <c r="G102" s="1497"/>
      <c r="H102" s="2040">
        <v>0</v>
      </c>
      <c r="I102" s="2040">
        <v>0</v>
      </c>
      <c r="J102" s="2040">
        <v>0</v>
      </c>
      <c r="K102" s="1497"/>
      <c r="L102" s="1497"/>
      <c r="M102" s="1497"/>
      <c r="N102" s="2042"/>
      <c r="O102" s="2042"/>
      <c r="P102" s="2129"/>
      <c r="Q102" s="1077">
        <f t="shared" si="129"/>
        <v>0</v>
      </c>
      <c r="R102" s="2126">
        <f t="shared" si="127"/>
        <v>0</v>
      </c>
      <c r="S102" s="2127">
        <f t="shared" si="128"/>
        <v>0</v>
      </c>
      <c r="T102" s="853">
        <f t="shared" si="130"/>
        <v>0</v>
      </c>
      <c r="U102" s="1296" t="str">
        <f t="shared" si="131"/>
        <v>1.33</v>
      </c>
      <c r="V102" s="1296" t="str">
        <f t="shared" si="132"/>
        <v>D+</v>
      </c>
      <c r="W102" s="1296" t="str">
        <f t="shared" si="133"/>
        <v>0</v>
      </c>
      <c r="X102" s="1274"/>
      <c r="Y102" s="1274"/>
      <c r="Z102" s="1274"/>
      <c r="AA102" s="1274"/>
      <c r="AB102" s="1276"/>
      <c r="AC102" s="1276"/>
      <c r="AD102" s="1276"/>
      <c r="AE102" s="2133"/>
      <c r="AF102" s="2142"/>
      <c r="AG102" s="2143"/>
    </row>
    <row r="103" spans="1:33" ht="24.95" customHeight="1" x14ac:dyDescent="0.25">
      <c r="A103" s="1207"/>
      <c r="B103" s="1290"/>
      <c r="C103" s="1291"/>
      <c r="D103" s="1213" t="s">
        <v>11</v>
      </c>
      <c r="E103" s="1497">
        <v>0</v>
      </c>
      <c r="F103" s="1497">
        <v>0</v>
      </c>
      <c r="G103" s="1493">
        <v>0</v>
      </c>
      <c r="H103" s="2040">
        <v>0</v>
      </c>
      <c r="I103" s="2040">
        <v>0</v>
      </c>
      <c r="J103" s="2040">
        <v>0</v>
      </c>
      <c r="K103" s="1493">
        <v>0</v>
      </c>
      <c r="L103" s="1493">
        <v>0</v>
      </c>
      <c r="M103" s="1493">
        <v>0</v>
      </c>
      <c r="N103" s="2042"/>
      <c r="O103" s="2042"/>
      <c r="P103" s="2129"/>
      <c r="Q103" s="1077">
        <f>MAX(E103,H103,K103,N103)</f>
        <v>0</v>
      </c>
      <c r="R103" s="2126">
        <f t="shared" si="127"/>
        <v>0</v>
      </c>
      <c r="S103" s="2127">
        <f t="shared" si="128"/>
        <v>0</v>
      </c>
      <c r="T103" s="853">
        <f>IFERROR(AVERAGE(Q103:S103),"")</f>
        <v>0</v>
      </c>
      <c r="U103" s="1296" t="str">
        <f t="shared" si="131"/>
        <v>1.33</v>
      </c>
      <c r="V103" s="1296" t="str">
        <f t="shared" si="132"/>
        <v>D+</v>
      </c>
      <c r="W103" s="1296" t="str">
        <f t="shared" si="133"/>
        <v>0</v>
      </c>
      <c r="X103" s="1274"/>
      <c r="Y103" s="1274"/>
      <c r="Z103" s="1274"/>
      <c r="AA103" s="1274"/>
      <c r="AB103" s="1276"/>
      <c r="AC103" s="1276"/>
      <c r="AD103" s="1276"/>
      <c r="AE103" s="2133"/>
      <c r="AF103" s="2144"/>
      <c r="AG103" s="2145"/>
    </row>
    <row r="104" spans="1:33" ht="24.95" customHeight="1" x14ac:dyDescent="0.25">
      <c r="A104" s="1236"/>
      <c r="B104" s="1280">
        <v>19</v>
      </c>
      <c r="C104" s="1292"/>
      <c r="D104" s="1279"/>
      <c r="E104" s="2729"/>
      <c r="F104" s="2730"/>
      <c r="G104" s="2730"/>
      <c r="H104" s="2730"/>
      <c r="I104" s="2077"/>
      <c r="J104" s="2077"/>
      <c r="K104" s="2077"/>
      <c r="L104" s="2077"/>
      <c r="M104" s="2077"/>
      <c r="N104" s="2077"/>
      <c r="O104" s="2077"/>
      <c r="P104" s="2077"/>
      <c r="Q104" s="2150"/>
      <c r="R104" s="2151"/>
      <c r="S104" s="2151"/>
      <c r="T104" s="1297">
        <f>IFERROR(AVERAGE(T100:T103),"  ")</f>
        <v>0</v>
      </c>
      <c r="U104" s="1298" t="str">
        <f>IF(T14&gt;85,("4"),IF(T14&gt;80,("3.66"),IF(T14&gt;75,("3.33"),IF(T14&gt;70,("3.00"),IF(T14&gt;65,("2.66"),IF(T14&gt;60,("2.33"),IF(T14&gt;55,("2"),IF(T14&gt;50,("1.66"),"1.33"))))))))</f>
        <v>3.33</v>
      </c>
      <c r="V104" s="1298" t="str">
        <f>IF(T14&gt;85,("A"),IF(T14&gt;80,("A-"),IF(T14&gt;75,("B+"),IF(T14&gt;70,("B"),IF(T14&gt;65,("B-"),IF(T14&gt;60,("C+"),IF(T14&gt;55,("C"),IF(T14&gt;50,("C-"),"D+"))))))))</f>
        <v>B+</v>
      </c>
      <c r="W104" s="1299"/>
      <c r="X104" s="1283"/>
      <c r="Y104" s="1283"/>
      <c r="Z104" s="1283"/>
      <c r="AA104" s="1283"/>
      <c r="AB104" s="1283"/>
      <c r="AC104" s="1283"/>
      <c r="AD104" s="1283"/>
      <c r="AE104" s="1283"/>
      <c r="AF104" s="2146"/>
      <c r="AG104" s="2147"/>
    </row>
    <row r="105" spans="1:33" ht="24.95" customHeight="1" x14ac:dyDescent="0.25">
      <c r="A105" s="1224">
        <v>20</v>
      </c>
      <c r="B105" s="1285"/>
      <c r="C105" s="1286" t="str">
        <f>VLOOKUP(A105,data_siswa,4,FALSE)</f>
        <v>Roby Ardiyansyah</v>
      </c>
      <c r="D105" s="1210" t="s">
        <v>154</v>
      </c>
      <c r="E105" s="1497"/>
      <c r="F105" s="1497"/>
      <c r="G105" s="1497"/>
      <c r="H105" s="2043">
        <v>75</v>
      </c>
      <c r="I105" s="2043">
        <v>81</v>
      </c>
      <c r="J105" s="2043">
        <v>75</v>
      </c>
      <c r="K105" s="1497">
        <v>65</v>
      </c>
      <c r="L105" s="1497">
        <v>69</v>
      </c>
      <c r="M105" s="1497">
        <v>80</v>
      </c>
      <c r="N105" s="2042"/>
      <c r="O105" s="2042"/>
      <c r="P105" s="2129"/>
      <c r="Q105" s="1077">
        <f>MAX(E105,H105,K105,N105)</f>
        <v>75</v>
      </c>
      <c r="R105" s="2126">
        <f t="shared" ref="R105:R108" si="134">MAX(F105,I105,L105,O105)</f>
        <v>81</v>
      </c>
      <c r="S105" s="2127">
        <f t="shared" ref="S105:S108" si="135">MAX(G105,J105,M105,P105)</f>
        <v>80</v>
      </c>
      <c r="T105" s="853">
        <f>IFERROR(AVERAGE(Q105:S105),"")</f>
        <v>78.666666666666671</v>
      </c>
      <c r="U105" s="1295" t="str">
        <f>IF(T105&gt;85,("4"),IF(T105&gt;80,("3.66"),IF(T105&gt;75,("3.33"),IF(T105&gt;70,("3.00"),IF(T105&gt;65,("2.66"),IF(T105&gt;60,("2.33"),IF(T105&gt;55,("2"),IF(T105&gt;50,("1.66"),"1.33"))))))))</f>
        <v>3.33</v>
      </c>
      <c r="V105" s="1295" t="str">
        <f>IF(T105&gt;85,("A"),IF(T105&gt;80,("A-"),IF(T105&gt;75,("B+"),IF(T105&gt;70,("B"),IF(T105&gt;65,("B-"),IF(T105&gt;60,("C+"),IF(T105&gt;55,("C"),IF(T105&gt;50,("C-"),"D+"))))))))</f>
        <v>B+</v>
      </c>
      <c r="W105" s="1295" t="str">
        <f>IF(T105&gt;80,("SB"),IF(T105&gt;65,("B"),IF(T105&gt;50,("C"),IF(T105&gt;0,("K"),"0"))))</f>
        <v>B</v>
      </c>
      <c r="X105" s="2138"/>
      <c r="Y105" s="1287"/>
      <c r="Z105" s="1287"/>
      <c r="AA105" s="1287"/>
      <c r="AB105" s="1293"/>
      <c r="AC105" s="1293"/>
      <c r="AD105" s="1293"/>
      <c r="AE105" s="2136"/>
      <c r="AF105" s="466">
        <f>MAX(T105:T108)</f>
        <v>83</v>
      </c>
      <c r="AG105" s="466" t="str">
        <f>IF(AF105&gt;85,("A"),IF(AF105&gt;80,("A-"),IF(AF105&gt;75,("B+"),IF(AF105&gt;70,("B"),IF(AF105&gt;65,("B-"),IF(AF105&gt;60,("C+"),IF(AF105&gt;55,("C"),IF(AF105&gt;50,("C-"),"D+"))))))))</f>
        <v>A-</v>
      </c>
    </row>
    <row r="106" spans="1:33" ht="24.95" customHeight="1" x14ac:dyDescent="0.25">
      <c r="A106" s="1207"/>
      <c r="B106" s="1290"/>
      <c r="C106" s="1286"/>
      <c r="D106" s="1213" t="s">
        <v>155</v>
      </c>
      <c r="E106" s="1493"/>
      <c r="F106" s="1497"/>
      <c r="G106" s="1493"/>
      <c r="H106" s="2040">
        <v>65</v>
      </c>
      <c r="I106" s="2040">
        <v>76</v>
      </c>
      <c r="J106" s="2040">
        <v>74</v>
      </c>
      <c r="K106" s="1497"/>
      <c r="L106" s="1497"/>
      <c r="M106" s="1497"/>
      <c r="N106" s="2041">
        <v>68</v>
      </c>
      <c r="O106" s="2041">
        <v>79</v>
      </c>
      <c r="P106" s="2130">
        <v>80</v>
      </c>
      <c r="Q106" s="1077">
        <f t="shared" ref="Q106:Q107" si="136">MAX(E106,H106,K106,N106)</f>
        <v>68</v>
      </c>
      <c r="R106" s="2126">
        <f t="shared" si="134"/>
        <v>79</v>
      </c>
      <c r="S106" s="2127">
        <f t="shared" si="135"/>
        <v>80</v>
      </c>
      <c r="T106" s="853">
        <f t="shared" ref="T106:T107" si="137">IFERROR(AVERAGE(Q106:S106),"")</f>
        <v>75.666666666666671</v>
      </c>
      <c r="U106" s="1296" t="str">
        <f t="shared" ref="U106:U108" si="138">IF(T106&gt;85,("4"),IF(T106&gt;80,("3.66"),IF(T106&gt;75,("3.33"),IF(T106&gt;70,("3.00"),IF(T106&gt;65,("2.66"),IF(T106&gt;60,("2.33"),IF(T106&gt;55,("2"),IF(T106&gt;50,("1.66"),"1.33"))))))))</f>
        <v>3.33</v>
      </c>
      <c r="V106" s="1296" t="str">
        <f t="shared" ref="V106:V108" si="139">IF(T106&gt;85,("A"),IF(T106&gt;80,("A-"),IF(T106&gt;75,("B+"),IF(T106&gt;70,("B"),IF(T106&gt;65,("B-"),IF(T106&gt;60,("C+"),IF(T106&gt;55,("C"),IF(T106&gt;50,("C-"),"D+"))))))))</f>
        <v>B+</v>
      </c>
      <c r="W106" s="1296" t="str">
        <f t="shared" ref="W106:W108" si="140">IF(T106&gt;80,("SB"),IF(T106&gt;65,("B"),IF(T106&gt;50,("C"),IF(T106&gt;0,("K"),"0"))))</f>
        <v>B</v>
      </c>
      <c r="X106" s="1271"/>
      <c r="Y106" s="1271"/>
      <c r="Z106" s="1271"/>
      <c r="AA106" s="1271"/>
      <c r="AB106" s="1273"/>
      <c r="AC106" s="1273"/>
      <c r="AD106" s="1273"/>
      <c r="AE106" s="2132"/>
      <c r="AF106" s="2140"/>
      <c r="AG106" s="2141"/>
    </row>
    <row r="107" spans="1:33" ht="24.95" customHeight="1" x14ac:dyDescent="0.25">
      <c r="A107" s="1207"/>
      <c r="B107" s="1290"/>
      <c r="C107" s="1291"/>
      <c r="D107" s="1213" t="s">
        <v>9</v>
      </c>
      <c r="E107" s="1493"/>
      <c r="F107" s="1493"/>
      <c r="G107" s="1497"/>
      <c r="H107" s="2040">
        <v>78</v>
      </c>
      <c r="I107" s="2040">
        <v>82</v>
      </c>
      <c r="J107" s="2040">
        <v>80</v>
      </c>
      <c r="K107" s="1497"/>
      <c r="L107" s="1497"/>
      <c r="M107" s="1497"/>
      <c r="N107" s="2042"/>
      <c r="O107" s="2042"/>
      <c r="P107" s="2129"/>
      <c r="Q107" s="1077">
        <f t="shared" si="136"/>
        <v>78</v>
      </c>
      <c r="R107" s="2126">
        <f t="shared" si="134"/>
        <v>82</v>
      </c>
      <c r="S107" s="2127">
        <f t="shared" si="135"/>
        <v>80</v>
      </c>
      <c r="T107" s="853">
        <f t="shared" si="137"/>
        <v>80</v>
      </c>
      <c r="U107" s="1296" t="str">
        <f t="shared" si="138"/>
        <v>3.33</v>
      </c>
      <c r="V107" s="1296" t="str">
        <f t="shared" si="139"/>
        <v>B+</v>
      </c>
      <c r="W107" s="1296" t="str">
        <f t="shared" si="140"/>
        <v>B</v>
      </c>
      <c r="X107" s="1274"/>
      <c r="Y107" s="1274"/>
      <c r="Z107" s="1274"/>
      <c r="AA107" s="1274"/>
      <c r="AB107" s="1276"/>
      <c r="AC107" s="1276"/>
      <c r="AD107" s="1276"/>
      <c r="AE107" s="2133"/>
      <c r="AF107" s="2142"/>
      <c r="AG107" s="2143"/>
    </row>
    <row r="108" spans="1:33" ht="24.95" customHeight="1" x14ac:dyDescent="0.25">
      <c r="A108" s="1207"/>
      <c r="B108" s="1290"/>
      <c r="C108" s="1291"/>
      <c r="D108" s="1213" t="s">
        <v>11</v>
      </c>
      <c r="E108" s="1497">
        <v>76</v>
      </c>
      <c r="F108" s="1497">
        <v>75</v>
      </c>
      <c r="G108" s="1493">
        <v>80</v>
      </c>
      <c r="H108" s="2040">
        <v>89</v>
      </c>
      <c r="I108" s="2040">
        <v>75</v>
      </c>
      <c r="J108" s="2040">
        <v>81</v>
      </c>
      <c r="K108" s="1493">
        <v>65</v>
      </c>
      <c r="L108" s="1493">
        <v>79</v>
      </c>
      <c r="M108" s="1493">
        <v>80</v>
      </c>
      <c r="N108" s="2042"/>
      <c r="O108" s="2042"/>
      <c r="P108" s="2129"/>
      <c r="Q108" s="1077">
        <f>MAX(E108,H108,K108,N108)</f>
        <v>89</v>
      </c>
      <c r="R108" s="2126">
        <f t="shared" si="134"/>
        <v>79</v>
      </c>
      <c r="S108" s="2127">
        <f t="shared" si="135"/>
        <v>81</v>
      </c>
      <c r="T108" s="853">
        <f>IFERROR(AVERAGE(Q108:S108),"")</f>
        <v>83</v>
      </c>
      <c r="U108" s="1296" t="str">
        <f t="shared" si="138"/>
        <v>3.66</v>
      </c>
      <c r="V108" s="1296" t="str">
        <f t="shared" si="139"/>
        <v>A-</v>
      </c>
      <c r="W108" s="1296" t="str">
        <f t="shared" si="140"/>
        <v>SB</v>
      </c>
      <c r="X108" s="1274"/>
      <c r="Y108" s="1274"/>
      <c r="Z108" s="1274"/>
      <c r="AA108" s="1274"/>
      <c r="AB108" s="1276"/>
      <c r="AC108" s="1276"/>
      <c r="AD108" s="1276"/>
      <c r="AE108" s="2133"/>
      <c r="AF108" s="2144"/>
      <c r="AG108" s="2145"/>
    </row>
    <row r="109" spans="1:33" ht="24.95" customHeight="1" x14ac:dyDescent="0.25">
      <c r="A109" s="1236"/>
      <c r="B109" s="1280">
        <v>20</v>
      </c>
      <c r="C109" s="1292"/>
      <c r="D109" s="1279"/>
      <c r="E109" s="2729"/>
      <c r="F109" s="2730"/>
      <c r="G109" s="2730"/>
      <c r="H109" s="2730"/>
      <c r="I109" s="2077"/>
      <c r="J109" s="2077"/>
      <c r="K109" s="2077"/>
      <c r="L109" s="2077"/>
      <c r="M109" s="2077"/>
      <c r="N109" s="2077"/>
      <c r="O109" s="2077"/>
      <c r="P109" s="2077"/>
      <c r="Q109" s="2150"/>
      <c r="R109" s="2151"/>
      <c r="S109" s="2151"/>
      <c r="T109" s="1520">
        <f>IFERROR(AVERAGE(T105:T108),"  ")</f>
        <v>79.333333333333343</v>
      </c>
      <c r="U109" s="1298" t="str">
        <f>IF(T14&gt;85,("4"),IF(T14&gt;80,("3.66"),IF(T14&gt;75,("3.33"),IF(T14&gt;70,("3.00"),IF(T14&gt;65,("2.66"),IF(T14&gt;60,("2.33"),IF(T14&gt;55,("2"),IF(T14&gt;50,("1.66"),"1.33"))))))))</f>
        <v>3.33</v>
      </c>
      <c r="V109" s="1298" t="str">
        <f>IF(T14&gt;85,("A"),IF(T14&gt;80,("A-"),IF(T14&gt;75,("B+"),IF(T14&gt;70,("B"),IF(T14&gt;65,("B-"),IF(T14&gt;60,("C+"),IF(T14&gt;55,("C"),IF(T14&gt;50,("C-"),"D+"))))))))</f>
        <v>B+</v>
      </c>
      <c r="W109" s="1299"/>
      <c r="X109" s="1283"/>
      <c r="Y109" s="1283"/>
      <c r="Z109" s="1283"/>
      <c r="AA109" s="1283"/>
      <c r="AB109" s="1283"/>
      <c r="AC109" s="1283"/>
      <c r="AD109" s="1283"/>
      <c r="AE109" s="1283"/>
      <c r="AF109" s="2146"/>
      <c r="AG109" s="2147"/>
    </row>
    <row r="110" spans="1:33" ht="24.95" customHeight="1" x14ac:dyDescent="0.25">
      <c r="A110" s="1224">
        <v>21</v>
      </c>
      <c r="B110" s="1285"/>
      <c r="C110" s="1286" t="str">
        <f>VLOOKUP(A110,data_siswa,4,FALSE)</f>
        <v>Rojalingga Prana A</v>
      </c>
      <c r="D110" s="1210" t="s">
        <v>154</v>
      </c>
      <c r="E110" s="1493"/>
      <c r="F110" s="1493"/>
      <c r="G110" s="1493"/>
      <c r="H110" s="2040">
        <v>0</v>
      </c>
      <c r="I110" s="2040">
        <v>0</v>
      </c>
      <c r="J110" s="2040">
        <v>0</v>
      </c>
      <c r="K110" s="1493">
        <v>0</v>
      </c>
      <c r="L110" s="1493">
        <v>0</v>
      </c>
      <c r="M110" s="1493">
        <v>0</v>
      </c>
      <c r="N110" s="2041"/>
      <c r="O110" s="2041"/>
      <c r="P110" s="2130"/>
      <c r="Q110" s="1077">
        <f>MAX(E110,H110,K110,N110)</f>
        <v>0</v>
      </c>
      <c r="R110" s="2126">
        <f t="shared" ref="R110:R113" si="141">MAX(F110,I110,L110,O110)</f>
        <v>0</v>
      </c>
      <c r="S110" s="2127">
        <f t="shared" ref="S110:S113" si="142">MAX(G110,J110,M110,P110)</f>
        <v>0</v>
      </c>
      <c r="T110" s="853">
        <f>IFERROR(AVERAGE(Q110:S110),"")</f>
        <v>0</v>
      </c>
      <c r="U110" s="1295" t="str">
        <f>IF(T110&gt;85,("4"),IF(T110&gt;80,("3.66"),IF(T110&gt;75,("3.33"),IF(T110&gt;70,("3.00"),IF(T110&gt;65,("2.66"),IF(T110&gt;60,("2.33"),IF(T110&gt;55,("2"),IF(T110&gt;50,("1.66"),"1.33"))))))))</f>
        <v>1.33</v>
      </c>
      <c r="V110" s="1295" t="str">
        <f>IF(T110&gt;85,("A"),IF(T110&gt;80,("A-"),IF(T110&gt;75,("B+"),IF(T110&gt;70,("B"),IF(T110&gt;65,("B-"),IF(T110&gt;60,("C+"),IF(T110&gt;55,("C"),IF(T110&gt;50,("C-"),"D+"))))))))</f>
        <v>D+</v>
      </c>
      <c r="W110" s="1295" t="str">
        <f>IF(T110&gt;80,("SB"),IF(T110&gt;65,("B"),IF(T110&gt;50,("C"),IF(T110&gt;0,("K"),"0"))))</f>
        <v>0</v>
      </c>
      <c r="X110" s="2138"/>
      <c r="Y110" s="1287"/>
      <c r="Z110" s="1287"/>
      <c r="AA110" s="1287"/>
      <c r="AB110" s="1293"/>
      <c r="AC110" s="1293"/>
      <c r="AD110" s="1293"/>
      <c r="AE110" s="2136"/>
      <c r="AF110" s="466">
        <f>MAX(T110:T113)</f>
        <v>0</v>
      </c>
      <c r="AG110" s="466" t="str">
        <f>IF(AF110&gt;85,("A"),IF(AF110&gt;80,("A-"),IF(AF110&gt;75,("B+"),IF(AF110&gt;70,("B"),IF(AF110&gt;65,("B-"),IF(AF110&gt;60,("C+"),IF(AF110&gt;55,("C"),IF(AF110&gt;50,("C-"),"D+"))))))))</f>
        <v>D+</v>
      </c>
    </row>
    <row r="111" spans="1:33" ht="24.95" customHeight="1" x14ac:dyDescent="0.25">
      <c r="A111" s="1207"/>
      <c r="B111" s="1290"/>
      <c r="C111" s="1291"/>
      <c r="D111" s="1213" t="s">
        <v>155</v>
      </c>
      <c r="E111" s="1493"/>
      <c r="F111" s="1497"/>
      <c r="G111" s="1493"/>
      <c r="H111" s="2040">
        <v>0</v>
      </c>
      <c r="I111" s="2040">
        <v>0</v>
      </c>
      <c r="J111" s="2040">
        <v>0</v>
      </c>
      <c r="K111" s="1497"/>
      <c r="L111" s="1497"/>
      <c r="M111" s="1497"/>
      <c r="N111" s="2041">
        <v>0</v>
      </c>
      <c r="O111" s="2041">
        <v>0</v>
      </c>
      <c r="P111" s="2130">
        <v>0</v>
      </c>
      <c r="Q111" s="1077">
        <f t="shared" ref="Q111:Q112" si="143">MAX(E111,H111,K111,N111)</f>
        <v>0</v>
      </c>
      <c r="R111" s="2126">
        <f t="shared" si="141"/>
        <v>0</v>
      </c>
      <c r="S111" s="2127">
        <f t="shared" si="142"/>
        <v>0</v>
      </c>
      <c r="T111" s="853">
        <f t="shared" ref="T111:T112" si="144">IFERROR(AVERAGE(Q111:S111),"")</f>
        <v>0</v>
      </c>
      <c r="U111" s="1296" t="str">
        <f t="shared" ref="U111:U113" si="145">IF(T111&gt;85,("4"),IF(T111&gt;80,("3.66"),IF(T111&gt;75,("3.33"),IF(T111&gt;70,("3.00"),IF(T111&gt;65,("2.66"),IF(T111&gt;60,("2.33"),IF(T111&gt;55,("2"),IF(T111&gt;50,("1.66"),"1.33"))))))))</f>
        <v>1.33</v>
      </c>
      <c r="V111" s="1296" t="str">
        <f t="shared" ref="V111:V113" si="146">IF(T111&gt;85,("A"),IF(T111&gt;80,("A-"),IF(T111&gt;75,("B+"),IF(T111&gt;70,("B"),IF(T111&gt;65,("B-"),IF(T111&gt;60,("C+"),IF(T111&gt;55,("C"),IF(T111&gt;50,("C-"),"D+"))))))))</f>
        <v>D+</v>
      </c>
      <c r="W111" s="1296" t="str">
        <f t="shared" ref="W111:W113" si="147">IF(T111&gt;80,("SB"),IF(T111&gt;65,("B"),IF(T111&gt;50,("C"),IF(T111&gt;0,("K"),"0"))))</f>
        <v>0</v>
      </c>
      <c r="X111" s="1271"/>
      <c r="Y111" s="1271"/>
      <c r="Z111" s="1271"/>
      <c r="AA111" s="1271"/>
      <c r="AB111" s="1273"/>
      <c r="AC111" s="1273"/>
      <c r="AD111" s="1273"/>
      <c r="AE111" s="2132"/>
      <c r="AF111" s="2140"/>
      <c r="AG111" s="2141"/>
    </row>
    <row r="112" spans="1:33" ht="24.95" customHeight="1" x14ac:dyDescent="0.25">
      <c r="A112" s="1207"/>
      <c r="B112" s="1290"/>
      <c r="C112" s="1291"/>
      <c r="D112" s="1213" t="s">
        <v>9</v>
      </c>
      <c r="E112" s="1493"/>
      <c r="F112" s="1493"/>
      <c r="G112" s="1497"/>
      <c r="H112" s="2040">
        <v>0</v>
      </c>
      <c r="I112" s="2040">
        <v>0</v>
      </c>
      <c r="J112" s="2040">
        <v>0</v>
      </c>
      <c r="K112" s="1497"/>
      <c r="L112" s="1497"/>
      <c r="M112" s="1497"/>
      <c r="N112" s="2042"/>
      <c r="O112" s="2042"/>
      <c r="P112" s="2129"/>
      <c r="Q112" s="1077">
        <f t="shared" si="143"/>
        <v>0</v>
      </c>
      <c r="R112" s="2126">
        <f t="shared" si="141"/>
        <v>0</v>
      </c>
      <c r="S112" s="2127">
        <f t="shared" si="142"/>
        <v>0</v>
      </c>
      <c r="T112" s="853">
        <f t="shared" si="144"/>
        <v>0</v>
      </c>
      <c r="U112" s="1296" t="str">
        <f t="shared" si="145"/>
        <v>1.33</v>
      </c>
      <c r="V112" s="1296" t="str">
        <f t="shared" si="146"/>
        <v>D+</v>
      </c>
      <c r="W112" s="1296" t="str">
        <f t="shared" si="147"/>
        <v>0</v>
      </c>
      <c r="X112" s="1274"/>
      <c r="Y112" s="1274"/>
      <c r="Z112" s="1274"/>
      <c r="AA112" s="1274"/>
      <c r="AB112" s="1276"/>
      <c r="AC112" s="1276"/>
      <c r="AD112" s="1276"/>
      <c r="AE112" s="2133"/>
      <c r="AF112" s="2142"/>
      <c r="AG112" s="2143"/>
    </row>
    <row r="113" spans="1:33" ht="24.95" customHeight="1" x14ac:dyDescent="0.25">
      <c r="A113" s="1207"/>
      <c r="B113" s="1290"/>
      <c r="C113" s="1291"/>
      <c r="D113" s="1213" t="s">
        <v>11</v>
      </c>
      <c r="E113" s="1497">
        <v>0</v>
      </c>
      <c r="F113" s="1497">
        <v>0</v>
      </c>
      <c r="G113" s="1493">
        <v>0</v>
      </c>
      <c r="H113" s="2040">
        <v>0</v>
      </c>
      <c r="I113" s="2040">
        <v>0</v>
      </c>
      <c r="J113" s="2040">
        <v>0</v>
      </c>
      <c r="K113" s="1493">
        <v>0</v>
      </c>
      <c r="L113" s="1493">
        <v>0</v>
      </c>
      <c r="M113" s="1493">
        <v>0</v>
      </c>
      <c r="N113" s="2042"/>
      <c r="O113" s="2042"/>
      <c r="P113" s="2129"/>
      <c r="Q113" s="1077">
        <f>MAX(E113,H113,K113,N113)</f>
        <v>0</v>
      </c>
      <c r="R113" s="2126">
        <f t="shared" si="141"/>
        <v>0</v>
      </c>
      <c r="S113" s="2127">
        <f t="shared" si="142"/>
        <v>0</v>
      </c>
      <c r="T113" s="853">
        <f>IFERROR(AVERAGE(Q113:S113),"")</f>
        <v>0</v>
      </c>
      <c r="U113" s="1296" t="str">
        <f t="shared" si="145"/>
        <v>1.33</v>
      </c>
      <c r="V113" s="1296" t="str">
        <f t="shared" si="146"/>
        <v>D+</v>
      </c>
      <c r="W113" s="1296" t="str">
        <f t="shared" si="147"/>
        <v>0</v>
      </c>
      <c r="X113" s="1274"/>
      <c r="Y113" s="1274"/>
      <c r="Z113" s="1274"/>
      <c r="AA113" s="1274"/>
      <c r="AB113" s="1276"/>
      <c r="AC113" s="1276"/>
      <c r="AD113" s="1276"/>
      <c r="AE113" s="2133"/>
      <c r="AF113" s="2144"/>
      <c r="AG113" s="2145"/>
    </row>
    <row r="114" spans="1:33" ht="24.95" customHeight="1" x14ac:dyDescent="0.25">
      <c r="A114" s="1236"/>
      <c r="B114" s="1280">
        <v>21</v>
      </c>
      <c r="C114" s="1292"/>
      <c r="D114" s="1279"/>
      <c r="E114" s="2729"/>
      <c r="F114" s="2730"/>
      <c r="G114" s="2730"/>
      <c r="H114" s="2730"/>
      <c r="I114" s="2077"/>
      <c r="J114" s="2077"/>
      <c r="K114" s="2077"/>
      <c r="L114" s="2077"/>
      <c r="M114" s="2077"/>
      <c r="N114" s="2077"/>
      <c r="O114" s="2077"/>
      <c r="P114" s="2077"/>
      <c r="Q114" s="2150"/>
      <c r="R114" s="2151"/>
      <c r="S114" s="2151"/>
      <c r="T114" s="1297">
        <f>IFERROR(AVERAGE(T110:T113),"  ")</f>
        <v>0</v>
      </c>
      <c r="U114" s="1298" t="str">
        <f>IF(T14&gt;85,("4"),IF(T14&gt;80,("3.66"),IF(T14&gt;75,("3.33"),IF(T14&gt;70,("3.00"),IF(T14&gt;65,("2.66"),IF(T14&gt;60,("2.33"),IF(T14&gt;55,("2"),IF(T14&gt;50,("1.66"),"1.33"))))))))</f>
        <v>3.33</v>
      </c>
      <c r="V114" s="1298" t="str">
        <f>IF(T14&gt;85,("A"),IF(T14&gt;80,("A-"),IF(T14&gt;75,("B+"),IF(T14&gt;70,("B"),IF(T14&gt;65,("B-"),IF(T14&gt;60,("C+"),IF(T14&gt;55,("C"),IF(T14&gt;50,("C-"),"D+"))))))))</f>
        <v>B+</v>
      </c>
      <c r="W114" s="1299"/>
      <c r="X114" s="1283"/>
      <c r="Y114" s="1283"/>
      <c r="Z114" s="1283"/>
      <c r="AA114" s="1283"/>
      <c r="AB114" s="1283"/>
      <c r="AC114" s="1283"/>
      <c r="AD114" s="1283"/>
      <c r="AE114" s="1283"/>
      <c r="AF114" s="2146"/>
      <c r="AG114" s="2147"/>
    </row>
    <row r="115" spans="1:33" ht="24.95" customHeight="1" x14ac:dyDescent="0.25">
      <c r="A115" s="1207">
        <v>22</v>
      </c>
      <c r="B115" s="1269"/>
      <c r="C115" s="1286" t="str">
        <f>VLOOKUP(A115,data_siswa,4,FALSE)</f>
        <v>Sally Savista A</v>
      </c>
      <c r="D115" s="1210" t="s">
        <v>154</v>
      </c>
      <c r="E115" s="1497"/>
      <c r="F115" s="1497"/>
      <c r="G115" s="1497"/>
      <c r="H115" s="2043">
        <v>75</v>
      </c>
      <c r="I115" s="2043">
        <v>81</v>
      </c>
      <c r="J115" s="2043">
        <v>75</v>
      </c>
      <c r="K115" s="1497">
        <v>65</v>
      </c>
      <c r="L115" s="1497">
        <v>69</v>
      </c>
      <c r="M115" s="1497">
        <v>80</v>
      </c>
      <c r="N115" s="2042"/>
      <c r="O115" s="2042"/>
      <c r="P115" s="2129"/>
      <c r="Q115" s="1077">
        <f>MAX(E115,H115,K115,N115)</f>
        <v>75</v>
      </c>
      <c r="R115" s="2126">
        <f t="shared" ref="R115:R118" si="148">MAX(F115,I115,L115,O115)</f>
        <v>81</v>
      </c>
      <c r="S115" s="2127">
        <f t="shared" ref="S115:S118" si="149">MAX(G115,J115,M115,P115)</f>
        <v>80</v>
      </c>
      <c r="T115" s="853">
        <f>IFERROR(AVERAGE(Q115:S115),"")</f>
        <v>78.666666666666671</v>
      </c>
      <c r="U115" s="1295" t="str">
        <f>IF(T115&gt;85,("4"),IF(T115&gt;80,("3.66"),IF(T115&gt;75,("3.33"),IF(T115&gt;70,("3.00"),IF(T115&gt;65,("2.66"),IF(T115&gt;60,("2.33"),IF(T115&gt;55,("2"),IF(T115&gt;50,("1.66"),"1.33"))))))))</f>
        <v>3.33</v>
      </c>
      <c r="V115" s="1295" t="str">
        <f>IF(T115&gt;85,("A"),IF(T115&gt;80,("A-"),IF(T115&gt;75,("B+"),IF(T115&gt;70,("B"),IF(T115&gt;65,("B-"),IF(T115&gt;60,("C+"),IF(T115&gt;55,("C"),IF(T115&gt;50,("C-"),"D+"))))))))</f>
        <v>B+</v>
      </c>
      <c r="W115" s="1295" t="str">
        <f>IF(T115&gt;80,("SB"),IF(T115&gt;65,("B"),IF(T115&gt;50,("C"),IF(T115&gt;0,("K"),"0"))))</f>
        <v>B</v>
      </c>
      <c r="X115" s="2138"/>
      <c r="Y115" s="1287"/>
      <c r="Z115" s="1287"/>
      <c r="AA115" s="1287"/>
      <c r="AB115" s="1293"/>
      <c r="AC115" s="1293"/>
      <c r="AD115" s="1293"/>
      <c r="AE115" s="2136"/>
      <c r="AF115" s="466">
        <f>MAX(T115:T118)</f>
        <v>83</v>
      </c>
      <c r="AG115" s="466" t="str">
        <f>IF(AF115&gt;85,("A"),IF(AF115&gt;80,("A-"),IF(AF115&gt;75,("B+"),IF(AF115&gt;70,("B"),IF(AF115&gt;65,("B-"),IF(AF115&gt;60,("C+"),IF(AF115&gt;55,("C"),IF(AF115&gt;50,("C-"),"D+"))))))))</f>
        <v>A-</v>
      </c>
    </row>
    <row r="116" spans="1:33" ht="24.95" customHeight="1" x14ac:dyDescent="0.25">
      <c r="A116" s="1207"/>
      <c r="B116" s="1269"/>
      <c r="C116" s="1270"/>
      <c r="D116" s="1213" t="s">
        <v>155</v>
      </c>
      <c r="E116" s="1493"/>
      <c r="F116" s="1497"/>
      <c r="G116" s="1493"/>
      <c r="H116" s="2040">
        <v>65</v>
      </c>
      <c r="I116" s="2040">
        <v>76</v>
      </c>
      <c r="J116" s="2040">
        <v>74</v>
      </c>
      <c r="K116" s="1497"/>
      <c r="L116" s="1497"/>
      <c r="M116" s="1497"/>
      <c r="N116" s="2041">
        <v>68</v>
      </c>
      <c r="O116" s="2041">
        <v>79</v>
      </c>
      <c r="P116" s="2130">
        <v>80</v>
      </c>
      <c r="Q116" s="1077">
        <f t="shared" ref="Q116:Q117" si="150">MAX(E116,H116,K116,N116)</f>
        <v>68</v>
      </c>
      <c r="R116" s="2126">
        <f t="shared" si="148"/>
        <v>79</v>
      </c>
      <c r="S116" s="2127">
        <f t="shared" si="149"/>
        <v>80</v>
      </c>
      <c r="T116" s="853">
        <f t="shared" ref="T116:T117" si="151">IFERROR(AVERAGE(Q116:S116),"")</f>
        <v>75.666666666666671</v>
      </c>
      <c r="U116" s="1296" t="str">
        <f t="shared" ref="U116:U118" si="152">IF(T116&gt;85,("4"),IF(T116&gt;80,("3.66"),IF(T116&gt;75,("3.33"),IF(T116&gt;70,("3.00"),IF(T116&gt;65,("2.66"),IF(T116&gt;60,("2.33"),IF(T116&gt;55,("2"),IF(T116&gt;50,("1.66"),"1.33"))))))))</f>
        <v>3.33</v>
      </c>
      <c r="V116" s="1296" t="str">
        <f t="shared" ref="V116:V118" si="153">IF(T116&gt;85,("A"),IF(T116&gt;80,("A-"),IF(T116&gt;75,("B+"),IF(T116&gt;70,("B"),IF(T116&gt;65,("B-"),IF(T116&gt;60,("C+"),IF(T116&gt;55,("C"),IF(T116&gt;50,("C-"),"D+"))))))))</f>
        <v>B+</v>
      </c>
      <c r="W116" s="1296" t="str">
        <f t="shared" ref="W116:W118" si="154">IF(T116&gt;80,("SB"),IF(T116&gt;65,("B"),IF(T116&gt;50,("C"),IF(T116&gt;0,("K"),"0"))))</f>
        <v>B</v>
      </c>
      <c r="X116" s="1271"/>
      <c r="Y116" s="1271"/>
      <c r="Z116" s="1271"/>
      <c r="AA116" s="1271"/>
      <c r="AB116" s="1273"/>
      <c r="AC116" s="1273"/>
      <c r="AD116" s="1273"/>
      <c r="AE116" s="2132"/>
      <c r="AF116" s="2140"/>
      <c r="AG116" s="2141"/>
    </row>
    <row r="117" spans="1:33" ht="24.95" customHeight="1" x14ac:dyDescent="0.25">
      <c r="A117" s="1207"/>
      <c r="B117" s="1269"/>
      <c r="C117" s="1270"/>
      <c r="D117" s="1213" t="s">
        <v>9</v>
      </c>
      <c r="E117" s="1493"/>
      <c r="F117" s="1493"/>
      <c r="G117" s="1497"/>
      <c r="H117" s="2040">
        <v>78</v>
      </c>
      <c r="I117" s="2040">
        <v>82</v>
      </c>
      <c r="J117" s="2040">
        <v>80</v>
      </c>
      <c r="K117" s="1497"/>
      <c r="L117" s="1497"/>
      <c r="M117" s="1497"/>
      <c r="N117" s="2042"/>
      <c r="O117" s="2042"/>
      <c r="P117" s="2129"/>
      <c r="Q117" s="1077">
        <f t="shared" si="150"/>
        <v>78</v>
      </c>
      <c r="R117" s="2126">
        <f t="shared" si="148"/>
        <v>82</v>
      </c>
      <c r="S117" s="2127">
        <f t="shared" si="149"/>
        <v>80</v>
      </c>
      <c r="T117" s="853">
        <f t="shared" si="151"/>
        <v>80</v>
      </c>
      <c r="U117" s="1296" t="str">
        <f t="shared" si="152"/>
        <v>3.33</v>
      </c>
      <c r="V117" s="1296" t="str">
        <f t="shared" si="153"/>
        <v>B+</v>
      </c>
      <c r="W117" s="1296" t="str">
        <f t="shared" si="154"/>
        <v>B</v>
      </c>
      <c r="X117" s="1274"/>
      <c r="Y117" s="1274"/>
      <c r="Z117" s="1274"/>
      <c r="AA117" s="1274"/>
      <c r="AB117" s="1276"/>
      <c r="AC117" s="1276"/>
      <c r="AD117" s="1276"/>
      <c r="AE117" s="2133"/>
      <c r="AF117" s="2142"/>
      <c r="AG117" s="2143"/>
    </row>
    <row r="118" spans="1:33" ht="24.95" customHeight="1" x14ac:dyDescent="0.25">
      <c r="A118" s="1207"/>
      <c r="B118" s="1269"/>
      <c r="C118" s="1270"/>
      <c r="D118" s="1213" t="s">
        <v>11</v>
      </c>
      <c r="E118" s="1497">
        <v>76</v>
      </c>
      <c r="F118" s="1497">
        <v>75</v>
      </c>
      <c r="G118" s="1493">
        <v>80</v>
      </c>
      <c r="H118" s="2040">
        <v>89</v>
      </c>
      <c r="I118" s="2040">
        <v>75</v>
      </c>
      <c r="J118" s="2040">
        <v>81</v>
      </c>
      <c r="K118" s="1493">
        <v>65</v>
      </c>
      <c r="L118" s="1493">
        <v>79</v>
      </c>
      <c r="M118" s="1493">
        <v>80</v>
      </c>
      <c r="N118" s="2042"/>
      <c r="O118" s="2042"/>
      <c r="P118" s="2129"/>
      <c r="Q118" s="1077">
        <f>MAX(E118,H118,K118,N118)</f>
        <v>89</v>
      </c>
      <c r="R118" s="2126">
        <f t="shared" si="148"/>
        <v>79</v>
      </c>
      <c r="S118" s="2127">
        <f t="shared" si="149"/>
        <v>81</v>
      </c>
      <c r="T118" s="853">
        <f>IFERROR(AVERAGE(Q118:S118),"")</f>
        <v>83</v>
      </c>
      <c r="U118" s="1296" t="str">
        <f t="shared" si="152"/>
        <v>3.66</v>
      </c>
      <c r="V118" s="1296" t="str">
        <f t="shared" si="153"/>
        <v>A-</v>
      </c>
      <c r="W118" s="1296" t="str">
        <f t="shared" si="154"/>
        <v>SB</v>
      </c>
      <c r="X118" s="1274"/>
      <c r="Y118" s="1274"/>
      <c r="Z118" s="1274"/>
      <c r="AA118" s="1274"/>
      <c r="AB118" s="1276"/>
      <c r="AC118" s="1276"/>
      <c r="AD118" s="1276"/>
      <c r="AE118" s="2133"/>
      <c r="AF118" s="2144"/>
      <c r="AG118" s="2145"/>
    </row>
    <row r="119" spans="1:33" ht="24.95" customHeight="1" x14ac:dyDescent="0.25">
      <c r="A119" s="1279"/>
      <c r="B119" s="1280">
        <v>22</v>
      </c>
      <c r="C119" s="1281" t="s">
        <v>167</v>
      </c>
      <c r="D119" s="1279"/>
      <c r="E119" s="2729"/>
      <c r="F119" s="2730"/>
      <c r="G119" s="2730"/>
      <c r="H119" s="2730"/>
      <c r="I119" s="2077"/>
      <c r="J119" s="2077"/>
      <c r="K119" s="2077"/>
      <c r="L119" s="2077"/>
      <c r="M119" s="2077"/>
      <c r="N119" s="2077"/>
      <c r="O119" s="2077"/>
      <c r="P119" s="2077"/>
      <c r="Q119" s="2150"/>
      <c r="R119" s="2151"/>
      <c r="S119" s="2151"/>
      <c r="T119" s="1297">
        <f>IFERROR(AVERAGE(T115:T118),"  ")</f>
        <v>79.333333333333343</v>
      </c>
      <c r="U119" s="1298" t="str">
        <f>IF(T14&gt;85,("4"),IF(T14&gt;80,("3.66"),IF(T14&gt;75,("3.33"),IF(T14&gt;70,("3.00"),IF(T14&gt;65,("2.66"),IF(T14&gt;60,("2.33"),IF(T14&gt;55,("2"),IF(T14&gt;50,("1.66"),"1.33"))))))))</f>
        <v>3.33</v>
      </c>
      <c r="V119" s="1298" t="str">
        <f>IF(T14&gt;85,("A"),IF(T14&gt;80,("A-"),IF(T14&gt;75,("B+"),IF(T14&gt;70,("B"),IF(T14&gt;65,("B-"),IF(T14&gt;60,("C+"),IF(T14&gt;55,("C"),IF(T14&gt;50,("C-"),"D+"))))))))</f>
        <v>B+</v>
      </c>
      <c r="W119" s="1299"/>
      <c r="X119" s="1283"/>
      <c r="Y119" s="1283"/>
      <c r="Z119" s="1283"/>
      <c r="AA119" s="1283"/>
      <c r="AB119" s="1283"/>
      <c r="AC119" s="1283"/>
      <c r="AD119" s="1283"/>
      <c r="AE119" s="1283"/>
      <c r="AF119" s="2146"/>
      <c r="AG119" s="2147"/>
    </row>
    <row r="120" spans="1:33" ht="24.95" customHeight="1" x14ac:dyDescent="0.25">
      <c r="A120" s="1224">
        <v>23</v>
      </c>
      <c r="B120" s="1285"/>
      <c r="C120" s="1286" t="str">
        <f>VLOOKUP(A120,data_siswa,4,FALSE)</f>
        <v xml:space="preserve">Tania Kaori Angelita </v>
      </c>
      <c r="D120" s="1210" t="s">
        <v>154</v>
      </c>
      <c r="E120" s="1493"/>
      <c r="F120" s="1493"/>
      <c r="G120" s="1493"/>
      <c r="H120" s="2040">
        <v>0</v>
      </c>
      <c r="I120" s="2040">
        <v>0</v>
      </c>
      <c r="J120" s="2040">
        <v>0</v>
      </c>
      <c r="K120" s="1493">
        <v>0</v>
      </c>
      <c r="L120" s="1493">
        <v>0</v>
      </c>
      <c r="M120" s="1493">
        <v>0</v>
      </c>
      <c r="N120" s="2041"/>
      <c r="O120" s="2041"/>
      <c r="P120" s="2130"/>
      <c r="Q120" s="1077">
        <f>MAX(E120,H120,K120,N120)</f>
        <v>0</v>
      </c>
      <c r="R120" s="2126">
        <f t="shared" ref="R120:R123" si="155">MAX(F120,I120,L120,O120)</f>
        <v>0</v>
      </c>
      <c r="S120" s="2127">
        <f t="shared" ref="S120:S123" si="156">MAX(G120,J120,M120,P120)</f>
        <v>0</v>
      </c>
      <c r="T120" s="853">
        <f>IFERROR(AVERAGE(Q120:S120),"")</f>
        <v>0</v>
      </c>
      <c r="U120" s="1295" t="str">
        <f>IF(T120&gt;85,("4"),IF(T120&gt;80,("3.66"),IF(T120&gt;75,("3.33"),IF(T120&gt;70,("3.00"),IF(T120&gt;65,("2.66"),IF(T120&gt;60,("2.33"),IF(T120&gt;55,("2"),IF(T120&gt;50,("1.66"),"1.33"))))))))</f>
        <v>1.33</v>
      </c>
      <c r="V120" s="1295" t="str">
        <f>IF(T120&gt;85,("A"),IF(T120&gt;80,("A-"),IF(T120&gt;75,("B+"),IF(T120&gt;70,("B"),IF(T120&gt;65,("B-"),IF(T120&gt;60,("C+"),IF(T120&gt;55,("C"),IF(T120&gt;50,("C-"),"D+"))))))))</f>
        <v>D+</v>
      </c>
      <c r="W120" s="1295" t="str">
        <f>IF(T120&gt;80,("SB"),IF(T120&gt;65,("B"),IF(T120&gt;50,("C"),IF(T120&gt;0,("K"),"0"))))</f>
        <v>0</v>
      </c>
      <c r="X120" s="2138"/>
      <c r="Y120" s="1287"/>
      <c r="Z120" s="1287"/>
      <c r="AA120" s="1287"/>
      <c r="AB120" s="1293"/>
      <c r="AC120" s="1293"/>
      <c r="AD120" s="1293"/>
      <c r="AE120" s="2136"/>
      <c r="AF120" s="466">
        <f>MAX(T120:T123)</f>
        <v>0</v>
      </c>
      <c r="AG120" s="466" t="str">
        <f>IF(AF120&gt;85,("A"),IF(AF120&gt;80,("A-"),IF(AF120&gt;75,("B+"),IF(AF120&gt;70,("B"),IF(AF120&gt;65,("B-"),IF(AF120&gt;60,("C+"),IF(AF120&gt;55,("C"),IF(AF120&gt;50,("C-"),"D+"))))))))</f>
        <v>D+</v>
      </c>
    </row>
    <row r="121" spans="1:33" ht="24.95" customHeight="1" x14ac:dyDescent="0.25">
      <c r="A121" s="1207"/>
      <c r="B121" s="1290"/>
      <c r="C121" s="1291"/>
      <c r="D121" s="1213" t="s">
        <v>155</v>
      </c>
      <c r="E121" s="1493"/>
      <c r="F121" s="1497"/>
      <c r="G121" s="1493"/>
      <c r="H121" s="2040">
        <v>0</v>
      </c>
      <c r="I121" s="2040">
        <v>0</v>
      </c>
      <c r="J121" s="2040">
        <v>0</v>
      </c>
      <c r="K121" s="1497"/>
      <c r="L121" s="1497"/>
      <c r="M121" s="1497"/>
      <c r="N121" s="2041">
        <v>0</v>
      </c>
      <c r="O121" s="2041">
        <v>0</v>
      </c>
      <c r="P121" s="2130">
        <v>0</v>
      </c>
      <c r="Q121" s="1077">
        <f t="shared" ref="Q121:Q122" si="157">MAX(E121,H121,K121,N121)</f>
        <v>0</v>
      </c>
      <c r="R121" s="2126">
        <f t="shared" si="155"/>
        <v>0</v>
      </c>
      <c r="S121" s="2127">
        <f t="shared" si="156"/>
        <v>0</v>
      </c>
      <c r="T121" s="853">
        <f t="shared" ref="T121:T122" si="158">IFERROR(AVERAGE(Q121:S121),"")</f>
        <v>0</v>
      </c>
      <c r="U121" s="1296" t="str">
        <f t="shared" ref="U121:U123" si="159">IF(T121&gt;85,("4"),IF(T121&gt;80,("3.66"),IF(T121&gt;75,("3.33"),IF(T121&gt;70,("3.00"),IF(T121&gt;65,("2.66"),IF(T121&gt;60,("2.33"),IF(T121&gt;55,("2"),IF(T121&gt;50,("1.66"),"1.33"))))))))</f>
        <v>1.33</v>
      </c>
      <c r="V121" s="1296" t="str">
        <f t="shared" ref="V121:V123" si="160">IF(T121&gt;85,("A"),IF(T121&gt;80,("A-"),IF(T121&gt;75,("B+"),IF(T121&gt;70,("B"),IF(T121&gt;65,("B-"),IF(T121&gt;60,("C+"),IF(T121&gt;55,("C"),IF(T121&gt;50,("C-"),"D+"))))))))</f>
        <v>D+</v>
      </c>
      <c r="W121" s="1296" t="str">
        <f t="shared" ref="W121:W123" si="161">IF(T121&gt;80,("SB"),IF(T121&gt;65,("B"),IF(T121&gt;50,("C"),IF(T121&gt;0,("K"),"0"))))</f>
        <v>0</v>
      </c>
      <c r="X121" s="1271"/>
      <c r="Y121" s="1271"/>
      <c r="Z121" s="1271"/>
      <c r="AA121" s="1271"/>
      <c r="AB121" s="1273"/>
      <c r="AC121" s="1273"/>
      <c r="AD121" s="1273"/>
      <c r="AE121" s="2132"/>
      <c r="AF121" s="2140"/>
      <c r="AG121" s="2141"/>
    </row>
    <row r="122" spans="1:33" ht="24.95" customHeight="1" x14ac:dyDescent="0.25">
      <c r="A122" s="1207"/>
      <c r="B122" s="1290"/>
      <c r="C122" s="1291"/>
      <c r="D122" s="1213" t="s">
        <v>9</v>
      </c>
      <c r="E122" s="1493"/>
      <c r="F122" s="1493"/>
      <c r="G122" s="1497"/>
      <c r="H122" s="2040">
        <v>0</v>
      </c>
      <c r="I122" s="2040">
        <v>0</v>
      </c>
      <c r="J122" s="2040">
        <v>0</v>
      </c>
      <c r="K122" s="1497"/>
      <c r="L122" s="1497"/>
      <c r="M122" s="1497"/>
      <c r="N122" s="2042"/>
      <c r="O122" s="2042"/>
      <c r="P122" s="2129"/>
      <c r="Q122" s="1077">
        <f t="shared" si="157"/>
        <v>0</v>
      </c>
      <c r="R122" s="2126">
        <f t="shared" si="155"/>
        <v>0</v>
      </c>
      <c r="S122" s="2127">
        <f t="shared" si="156"/>
        <v>0</v>
      </c>
      <c r="T122" s="853">
        <f t="shared" si="158"/>
        <v>0</v>
      </c>
      <c r="U122" s="1296" t="str">
        <f t="shared" si="159"/>
        <v>1.33</v>
      </c>
      <c r="V122" s="1296" t="str">
        <f t="shared" si="160"/>
        <v>D+</v>
      </c>
      <c r="W122" s="1296" t="str">
        <f t="shared" si="161"/>
        <v>0</v>
      </c>
      <c r="X122" s="1274"/>
      <c r="Y122" s="1274"/>
      <c r="Z122" s="1274"/>
      <c r="AA122" s="1274"/>
      <c r="AB122" s="1276"/>
      <c r="AC122" s="1276"/>
      <c r="AD122" s="1276"/>
      <c r="AE122" s="2133"/>
      <c r="AF122" s="2142"/>
      <c r="AG122" s="2143"/>
    </row>
    <row r="123" spans="1:33" ht="24.95" customHeight="1" x14ac:dyDescent="0.25">
      <c r="A123" s="1207"/>
      <c r="B123" s="1290"/>
      <c r="C123" s="1291"/>
      <c r="D123" s="1213" t="s">
        <v>11</v>
      </c>
      <c r="E123" s="1497">
        <v>0</v>
      </c>
      <c r="F123" s="1497">
        <v>0</v>
      </c>
      <c r="G123" s="1493">
        <v>0</v>
      </c>
      <c r="H123" s="2040">
        <v>0</v>
      </c>
      <c r="I123" s="2040">
        <v>0</v>
      </c>
      <c r="J123" s="2040">
        <v>0</v>
      </c>
      <c r="K123" s="1493">
        <v>0</v>
      </c>
      <c r="L123" s="1493">
        <v>0</v>
      </c>
      <c r="M123" s="1493">
        <v>0</v>
      </c>
      <c r="N123" s="2042"/>
      <c r="O123" s="2042"/>
      <c r="P123" s="2129"/>
      <c r="Q123" s="1077">
        <f>MAX(E123,H123,K123,N123)</f>
        <v>0</v>
      </c>
      <c r="R123" s="2126">
        <f t="shared" si="155"/>
        <v>0</v>
      </c>
      <c r="S123" s="2127">
        <f t="shared" si="156"/>
        <v>0</v>
      </c>
      <c r="T123" s="853">
        <f>IFERROR(AVERAGE(Q123:S123),"")</f>
        <v>0</v>
      </c>
      <c r="U123" s="1296" t="str">
        <f t="shared" si="159"/>
        <v>1.33</v>
      </c>
      <c r="V123" s="1296" t="str">
        <f t="shared" si="160"/>
        <v>D+</v>
      </c>
      <c r="W123" s="1296" t="str">
        <f t="shared" si="161"/>
        <v>0</v>
      </c>
      <c r="X123" s="1274"/>
      <c r="Y123" s="1274"/>
      <c r="Z123" s="1274"/>
      <c r="AA123" s="1274"/>
      <c r="AB123" s="1276"/>
      <c r="AC123" s="1276"/>
      <c r="AD123" s="1276"/>
      <c r="AE123" s="2133"/>
      <c r="AF123" s="2144"/>
      <c r="AG123" s="2145"/>
    </row>
    <row r="124" spans="1:33" ht="24.95" customHeight="1" x14ac:dyDescent="0.25">
      <c r="A124" s="1236"/>
      <c r="B124" s="1280">
        <v>23</v>
      </c>
      <c r="C124" s="1292"/>
      <c r="D124" s="1279"/>
      <c r="E124" s="2729"/>
      <c r="F124" s="2730"/>
      <c r="G124" s="2730"/>
      <c r="H124" s="2730"/>
      <c r="I124" s="2077"/>
      <c r="J124" s="2077"/>
      <c r="K124" s="2077"/>
      <c r="L124" s="2077"/>
      <c r="M124" s="2077"/>
      <c r="N124" s="2077"/>
      <c r="O124" s="2077"/>
      <c r="P124" s="2077"/>
      <c r="Q124" s="2150"/>
      <c r="R124" s="2151"/>
      <c r="S124" s="2151"/>
      <c r="T124" s="1297">
        <f>IFERROR(AVERAGE(T120:T123),"  ")</f>
        <v>0</v>
      </c>
      <c r="U124" s="1298" t="str">
        <f>IF(T14&gt;85,("4"),IF(T14&gt;80,("3.66"),IF(T14&gt;75,("3.33"),IF(T14&gt;70,("3.00"),IF(T14&gt;65,("2.66"),IF(T14&gt;60,("2.33"),IF(T14&gt;55,("2"),IF(T14&gt;50,("1.66"),"1.33"))))))))</f>
        <v>3.33</v>
      </c>
      <c r="V124" s="1298" t="str">
        <f>IF(T14&gt;85,("A"),IF(T14&gt;80,("A-"),IF(T14&gt;75,("B+"),IF(T14&gt;70,("B"),IF(T14&gt;65,("B-"),IF(T14&gt;60,("C+"),IF(T14&gt;55,("C"),IF(T14&gt;50,("C-"),"D+"))))))))</f>
        <v>B+</v>
      </c>
      <c r="W124" s="1299"/>
      <c r="X124" s="1283"/>
      <c r="Y124" s="1283"/>
      <c r="Z124" s="1283"/>
      <c r="AA124" s="1283"/>
      <c r="AB124" s="1283"/>
      <c r="AC124" s="1283"/>
      <c r="AD124" s="1283"/>
      <c r="AE124" s="1283"/>
      <c r="AF124" s="2146"/>
      <c r="AG124" s="2147"/>
    </row>
    <row r="125" spans="1:33" ht="24.95" customHeight="1" x14ac:dyDescent="0.25">
      <c r="A125" s="1224">
        <v>24</v>
      </c>
      <c r="B125" s="1285"/>
      <c r="C125" s="1286" t="str">
        <f>VLOOKUP(A125,data_siswa,4,FALSE)</f>
        <v>Romzy Oka Ramadhani P</v>
      </c>
      <c r="D125" s="1210" t="s">
        <v>154</v>
      </c>
      <c r="E125" s="1497"/>
      <c r="F125" s="1497"/>
      <c r="G125" s="1497"/>
      <c r="H125" s="2043">
        <v>75</v>
      </c>
      <c r="I125" s="2043">
        <v>81</v>
      </c>
      <c r="J125" s="2043">
        <v>75</v>
      </c>
      <c r="K125" s="1497">
        <v>65</v>
      </c>
      <c r="L125" s="1497">
        <v>69</v>
      </c>
      <c r="M125" s="1497">
        <v>80</v>
      </c>
      <c r="N125" s="2042"/>
      <c r="O125" s="2042"/>
      <c r="P125" s="2129"/>
      <c r="Q125" s="1077">
        <f>MAX(E125,H125,K125,N125)</f>
        <v>75</v>
      </c>
      <c r="R125" s="2126">
        <f t="shared" ref="R125:R128" si="162">MAX(F125,I125,L125,O125)</f>
        <v>81</v>
      </c>
      <c r="S125" s="2127">
        <f t="shared" ref="S125:S128" si="163">MAX(G125,J125,M125,P125)</f>
        <v>80</v>
      </c>
      <c r="T125" s="853">
        <f>IFERROR(AVERAGE(Q125:S125),"")</f>
        <v>78.666666666666671</v>
      </c>
      <c r="U125" s="1295" t="str">
        <f>IF(T125&gt;85,("4"),IF(T125&gt;80,("3.66"),IF(T125&gt;75,("3.33"),IF(T125&gt;70,("3.00"),IF(T125&gt;65,("2.66"),IF(T125&gt;60,("2.33"),IF(T125&gt;55,("2"),IF(T125&gt;50,("1.66"),"1.33"))))))))</f>
        <v>3.33</v>
      </c>
      <c r="V125" s="1295" t="str">
        <f>IF(T125&gt;85,("A"),IF(T125&gt;80,("A-"),IF(T125&gt;75,("B+"),IF(T125&gt;70,("B"),IF(T125&gt;65,("B-"),IF(T125&gt;60,("C+"),IF(T125&gt;55,("C"),IF(T125&gt;50,("C-"),"D+"))))))))</f>
        <v>B+</v>
      </c>
      <c r="W125" s="1295" t="str">
        <f>IF(T125&gt;80,("SB"),IF(T125&gt;65,("B"),IF(T125&gt;50,("C"),IF(T125&gt;0,("K"),"0"))))</f>
        <v>B</v>
      </c>
      <c r="X125" s="2138"/>
      <c r="Y125" s="1287"/>
      <c r="Z125" s="1287"/>
      <c r="AA125" s="1287"/>
      <c r="AB125" s="1293"/>
      <c r="AC125" s="1293"/>
      <c r="AD125" s="1293"/>
      <c r="AE125" s="2136"/>
      <c r="AF125" s="466">
        <f>MAX(T125:T128)</f>
        <v>83</v>
      </c>
      <c r="AG125" s="466" t="str">
        <f>IF(AF125&gt;85,("A"),IF(AF125&gt;80,("A-"),IF(AF125&gt;75,("B+"),IF(AF125&gt;70,("B"),IF(AF125&gt;65,("B-"),IF(AF125&gt;60,("C+"),IF(AF125&gt;55,("C"),IF(AF125&gt;50,("C-"),"D+"))))))))</f>
        <v>A-</v>
      </c>
    </row>
    <row r="126" spans="1:33" ht="24.95" customHeight="1" x14ac:dyDescent="0.25">
      <c r="A126" s="1207"/>
      <c r="B126" s="1290"/>
      <c r="C126" s="1291"/>
      <c r="D126" s="1213" t="s">
        <v>155</v>
      </c>
      <c r="E126" s="1493"/>
      <c r="F126" s="1497"/>
      <c r="G126" s="1493"/>
      <c r="H126" s="2040">
        <v>65</v>
      </c>
      <c r="I126" s="2040">
        <v>76</v>
      </c>
      <c r="J126" s="2040">
        <v>74</v>
      </c>
      <c r="K126" s="1497"/>
      <c r="L126" s="1497"/>
      <c r="M126" s="1497"/>
      <c r="N126" s="2041">
        <v>68</v>
      </c>
      <c r="O126" s="2041">
        <v>79</v>
      </c>
      <c r="P126" s="2130">
        <v>80</v>
      </c>
      <c r="Q126" s="1077">
        <f t="shared" ref="Q126:Q127" si="164">MAX(E126,H126,K126,N126)</f>
        <v>68</v>
      </c>
      <c r="R126" s="2126">
        <f t="shared" si="162"/>
        <v>79</v>
      </c>
      <c r="S126" s="2127">
        <f t="shared" si="163"/>
        <v>80</v>
      </c>
      <c r="T126" s="853">
        <f t="shared" ref="T126:T127" si="165">IFERROR(AVERAGE(Q126:S126),"")</f>
        <v>75.666666666666671</v>
      </c>
      <c r="U126" s="1296" t="str">
        <f t="shared" ref="U126:U128" si="166">IF(T126&gt;85,("4"),IF(T126&gt;80,("3.66"),IF(T126&gt;75,("3.33"),IF(T126&gt;70,("3.00"),IF(T126&gt;65,("2.66"),IF(T126&gt;60,("2.33"),IF(T126&gt;55,("2"),IF(T126&gt;50,("1.66"),"1.33"))))))))</f>
        <v>3.33</v>
      </c>
      <c r="V126" s="1296" t="str">
        <f t="shared" ref="V126:V128" si="167">IF(T126&gt;85,("A"),IF(T126&gt;80,("A-"),IF(T126&gt;75,("B+"),IF(T126&gt;70,("B"),IF(T126&gt;65,("B-"),IF(T126&gt;60,("C+"),IF(T126&gt;55,("C"),IF(T126&gt;50,("C-"),"D+"))))))))</f>
        <v>B+</v>
      </c>
      <c r="W126" s="1296" t="str">
        <f t="shared" ref="W126:W128" si="168">IF(T126&gt;80,("SB"),IF(T126&gt;65,("B"),IF(T126&gt;50,("C"),IF(T126&gt;0,("K"),"0"))))</f>
        <v>B</v>
      </c>
      <c r="X126" s="1271"/>
      <c r="Y126" s="1271"/>
      <c r="Z126" s="1271"/>
      <c r="AA126" s="1271"/>
      <c r="AB126" s="1273"/>
      <c r="AC126" s="1273"/>
      <c r="AD126" s="1273"/>
      <c r="AE126" s="2132"/>
      <c r="AF126" s="2140"/>
      <c r="AG126" s="2141"/>
    </row>
    <row r="127" spans="1:33" ht="24.95" customHeight="1" x14ac:dyDescent="0.25">
      <c r="A127" s="1207"/>
      <c r="B127" s="1290"/>
      <c r="C127" s="1291"/>
      <c r="D127" s="1213" t="s">
        <v>9</v>
      </c>
      <c r="E127" s="1493"/>
      <c r="F127" s="1493"/>
      <c r="G127" s="1497"/>
      <c r="H127" s="2040">
        <v>78</v>
      </c>
      <c r="I127" s="2040">
        <v>82</v>
      </c>
      <c r="J127" s="2040">
        <v>80</v>
      </c>
      <c r="K127" s="1497"/>
      <c r="L127" s="1497"/>
      <c r="M127" s="1497"/>
      <c r="N127" s="2042"/>
      <c r="O127" s="2042"/>
      <c r="P127" s="2129"/>
      <c r="Q127" s="1077">
        <f t="shared" si="164"/>
        <v>78</v>
      </c>
      <c r="R127" s="2126">
        <f t="shared" si="162"/>
        <v>82</v>
      </c>
      <c r="S127" s="2127">
        <f t="shared" si="163"/>
        <v>80</v>
      </c>
      <c r="T127" s="853">
        <f t="shared" si="165"/>
        <v>80</v>
      </c>
      <c r="U127" s="1296" t="str">
        <f t="shared" si="166"/>
        <v>3.33</v>
      </c>
      <c r="V127" s="1296" t="str">
        <f t="shared" si="167"/>
        <v>B+</v>
      </c>
      <c r="W127" s="1296" t="str">
        <f t="shared" si="168"/>
        <v>B</v>
      </c>
      <c r="X127" s="1274"/>
      <c r="Y127" s="1274"/>
      <c r="Z127" s="1274"/>
      <c r="AA127" s="1274"/>
      <c r="AB127" s="1276"/>
      <c r="AC127" s="1276"/>
      <c r="AD127" s="1276"/>
      <c r="AE127" s="2133"/>
      <c r="AF127" s="2142"/>
      <c r="AG127" s="2143"/>
    </row>
    <row r="128" spans="1:33" ht="24.95" customHeight="1" x14ac:dyDescent="0.25">
      <c r="A128" s="1207"/>
      <c r="B128" s="1290"/>
      <c r="C128" s="1291"/>
      <c r="D128" s="1213" t="s">
        <v>11</v>
      </c>
      <c r="E128" s="1497">
        <v>76</v>
      </c>
      <c r="F128" s="1497">
        <v>75</v>
      </c>
      <c r="G128" s="1493">
        <v>80</v>
      </c>
      <c r="H128" s="2040">
        <v>89</v>
      </c>
      <c r="I128" s="2040">
        <v>75</v>
      </c>
      <c r="J128" s="2040">
        <v>81</v>
      </c>
      <c r="K128" s="1493">
        <v>65</v>
      </c>
      <c r="L128" s="1493">
        <v>79</v>
      </c>
      <c r="M128" s="1493">
        <v>80</v>
      </c>
      <c r="N128" s="2042"/>
      <c r="O128" s="2042"/>
      <c r="P128" s="2129"/>
      <c r="Q128" s="1077">
        <f>MAX(E128,H128,K128,N128)</f>
        <v>89</v>
      </c>
      <c r="R128" s="2126">
        <f t="shared" si="162"/>
        <v>79</v>
      </c>
      <c r="S128" s="2127">
        <f t="shared" si="163"/>
        <v>81</v>
      </c>
      <c r="T128" s="853">
        <f>IFERROR(AVERAGE(Q128:S128),"")</f>
        <v>83</v>
      </c>
      <c r="U128" s="1296" t="str">
        <f t="shared" si="166"/>
        <v>3.66</v>
      </c>
      <c r="V128" s="1296" t="str">
        <f t="shared" si="167"/>
        <v>A-</v>
      </c>
      <c r="W128" s="1296" t="str">
        <f t="shared" si="168"/>
        <v>SB</v>
      </c>
      <c r="X128" s="1274"/>
      <c r="Y128" s="1274"/>
      <c r="Z128" s="1274"/>
      <c r="AA128" s="1274"/>
      <c r="AB128" s="1276"/>
      <c r="AC128" s="1276"/>
      <c r="AD128" s="1276"/>
      <c r="AE128" s="2133"/>
      <c r="AF128" s="2144"/>
      <c r="AG128" s="2145"/>
    </row>
    <row r="129" spans="1:33" ht="24.95" customHeight="1" x14ac:dyDescent="0.25">
      <c r="A129" s="1236"/>
      <c r="B129" s="1280">
        <v>24</v>
      </c>
      <c r="C129" s="1292"/>
      <c r="D129" s="1279"/>
      <c r="E129" s="2729"/>
      <c r="F129" s="2730"/>
      <c r="G129" s="2730"/>
      <c r="H129" s="2730"/>
      <c r="I129" s="2077"/>
      <c r="J129" s="2077"/>
      <c r="K129" s="2077"/>
      <c r="L129" s="2077"/>
      <c r="M129" s="2077"/>
      <c r="N129" s="2077"/>
      <c r="O129" s="2077"/>
      <c r="P129" s="2077"/>
      <c r="Q129" s="2150"/>
      <c r="R129" s="2151"/>
      <c r="S129" s="2151"/>
      <c r="T129" s="1297">
        <f>IFERROR(AVERAGE(T125:T128),"  ")</f>
        <v>79.333333333333343</v>
      </c>
      <c r="U129" s="1298" t="str">
        <f>IF(T14&gt;85,("4"),IF(T14&gt;80,("3.66"),IF(T14&gt;75,("3.33"),IF(T14&gt;70,("3.00"),IF(T14&gt;65,("2.66"),IF(T14&gt;60,("2.33"),IF(T14&gt;55,("2"),IF(T14&gt;50,("1.66"),"1.33"))))))))</f>
        <v>3.33</v>
      </c>
      <c r="V129" s="1298" t="str">
        <f>IF(T14&gt;85,("A"),IF(T14&gt;80,("A-"),IF(T14&gt;75,("B+"),IF(T14&gt;70,("B"),IF(T14&gt;65,("B-"),IF(T14&gt;60,("C+"),IF(T14&gt;55,("C"),IF(T14&gt;50,("C-"),"D+"))))))))</f>
        <v>B+</v>
      </c>
      <c r="W129" s="1299"/>
      <c r="X129" s="1283"/>
      <c r="Y129" s="1283"/>
      <c r="Z129" s="1283"/>
      <c r="AA129" s="1283"/>
      <c r="AB129" s="1283"/>
      <c r="AC129" s="1283"/>
      <c r="AD129" s="1283"/>
      <c r="AE129" s="1283"/>
      <c r="AF129" s="2146"/>
      <c r="AG129" s="2147"/>
    </row>
    <row r="130" spans="1:33" ht="24.95" customHeight="1" x14ac:dyDescent="0.25">
      <c r="A130" s="1224">
        <v>25</v>
      </c>
      <c r="B130" s="1285"/>
      <c r="C130" s="1286" t="str">
        <f>VLOOKUP(A130,data_siswa,4,FALSE)</f>
        <v>Larasati Jagadhita P</v>
      </c>
      <c r="D130" s="1210" t="s">
        <v>154</v>
      </c>
      <c r="E130" s="1493"/>
      <c r="F130" s="1493"/>
      <c r="G130" s="1493"/>
      <c r="H130" s="2040">
        <v>0</v>
      </c>
      <c r="I130" s="2040">
        <v>0</v>
      </c>
      <c r="J130" s="2040">
        <v>0</v>
      </c>
      <c r="K130" s="1493">
        <v>0</v>
      </c>
      <c r="L130" s="1493">
        <v>0</v>
      </c>
      <c r="M130" s="1493">
        <v>0</v>
      </c>
      <c r="N130" s="2041"/>
      <c r="O130" s="2041"/>
      <c r="P130" s="2130"/>
      <c r="Q130" s="1077">
        <f>MAX(E130,H130,K130,N130)</f>
        <v>0</v>
      </c>
      <c r="R130" s="2126">
        <f t="shared" ref="R130:R133" si="169">MAX(F130,I130,L130,O130)</f>
        <v>0</v>
      </c>
      <c r="S130" s="2127">
        <f t="shared" ref="S130:S133" si="170">MAX(G130,J130,M130,P130)</f>
        <v>0</v>
      </c>
      <c r="T130" s="853">
        <f>IFERROR(AVERAGE(Q130:S130),"")</f>
        <v>0</v>
      </c>
      <c r="U130" s="1295" t="str">
        <f>IF(T130&gt;85,("4"),IF(T130&gt;80,("3.66"),IF(T130&gt;75,("3.33"),IF(T130&gt;70,("3.00"),IF(T130&gt;65,("2.66"),IF(T130&gt;60,("2.33"),IF(T130&gt;55,("2"),IF(T130&gt;50,("1.66"),"1.33"))))))))</f>
        <v>1.33</v>
      </c>
      <c r="V130" s="1295" t="str">
        <f>IF(T130&gt;85,("A"),IF(T130&gt;80,("A-"),IF(T130&gt;75,("B+"),IF(T130&gt;70,("B"),IF(T130&gt;65,("B-"),IF(T130&gt;60,("C+"),IF(T130&gt;55,("C"),IF(T130&gt;50,("C-"),"D+"))))))))</f>
        <v>D+</v>
      </c>
      <c r="W130" s="1295" t="str">
        <f>IF(T130&gt;80,("SB"),IF(T130&gt;65,("B"),IF(T130&gt;50,("C"),IF(T130&gt;0,("K"),"0"))))</f>
        <v>0</v>
      </c>
      <c r="X130" s="2138"/>
      <c r="Y130" s="1287"/>
      <c r="Z130" s="1287"/>
      <c r="AA130" s="1287"/>
      <c r="AB130" s="1293"/>
      <c r="AC130" s="1293"/>
      <c r="AD130" s="1293"/>
      <c r="AE130" s="2136"/>
      <c r="AF130" s="466">
        <f>MAX(T130:T133)</f>
        <v>0</v>
      </c>
      <c r="AG130" s="466" t="str">
        <f>IF(AF130&gt;85,("A"),IF(AF130&gt;80,("A-"),IF(AF130&gt;75,("B+"),IF(AF130&gt;70,("B"),IF(AF130&gt;65,("B-"),IF(AF130&gt;60,("C+"),IF(AF130&gt;55,("C"),IF(AF130&gt;50,("C-"),"D+"))))))))</f>
        <v>D+</v>
      </c>
    </row>
    <row r="131" spans="1:33" ht="24.95" customHeight="1" x14ac:dyDescent="0.25">
      <c r="A131" s="1207"/>
      <c r="B131" s="1290"/>
      <c r="C131" s="1291"/>
      <c r="D131" s="1213" t="s">
        <v>155</v>
      </c>
      <c r="E131" s="1493"/>
      <c r="F131" s="1497"/>
      <c r="G131" s="1493"/>
      <c r="H131" s="2040">
        <v>0</v>
      </c>
      <c r="I131" s="2040">
        <v>0</v>
      </c>
      <c r="J131" s="2040">
        <v>0</v>
      </c>
      <c r="K131" s="1497"/>
      <c r="L131" s="1497"/>
      <c r="M131" s="1497"/>
      <c r="N131" s="2041">
        <v>0</v>
      </c>
      <c r="O131" s="2041">
        <v>0</v>
      </c>
      <c r="P131" s="2130">
        <v>0</v>
      </c>
      <c r="Q131" s="1077">
        <f t="shared" ref="Q131:Q132" si="171">MAX(E131,H131,K131,N131)</f>
        <v>0</v>
      </c>
      <c r="R131" s="2126">
        <f t="shared" si="169"/>
        <v>0</v>
      </c>
      <c r="S131" s="2127">
        <f t="shared" si="170"/>
        <v>0</v>
      </c>
      <c r="T131" s="853">
        <f t="shared" ref="T131:T132" si="172">IFERROR(AVERAGE(Q131:S131),"")</f>
        <v>0</v>
      </c>
      <c r="U131" s="1296" t="str">
        <f t="shared" ref="U131:U133" si="173">IF(T131&gt;85,("4"),IF(T131&gt;80,("3.66"),IF(T131&gt;75,("3.33"),IF(T131&gt;70,("3.00"),IF(T131&gt;65,("2.66"),IF(T131&gt;60,("2.33"),IF(T131&gt;55,("2"),IF(T131&gt;50,("1.66"),"1.33"))))))))</f>
        <v>1.33</v>
      </c>
      <c r="V131" s="1296" t="str">
        <f t="shared" ref="V131:V133" si="174">IF(T131&gt;85,("A"),IF(T131&gt;80,("A-"),IF(T131&gt;75,("B+"),IF(T131&gt;70,("B"),IF(T131&gt;65,("B-"),IF(T131&gt;60,("C+"),IF(T131&gt;55,("C"),IF(T131&gt;50,("C-"),"D+"))))))))</f>
        <v>D+</v>
      </c>
      <c r="W131" s="1296" t="str">
        <f t="shared" ref="W131:W133" si="175">IF(T131&gt;80,("SB"),IF(T131&gt;65,("B"),IF(T131&gt;50,("C"),IF(T131&gt;0,("K"),"0"))))</f>
        <v>0</v>
      </c>
      <c r="X131" s="1271"/>
      <c r="Y131" s="1271"/>
      <c r="Z131" s="1271"/>
      <c r="AA131" s="1271"/>
      <c r="AB131" s="1273"/>
      <c r="AC131" s="1273"/>
      <c r="AD131" s="1273"/>
      <c r="AE131" s="2132"/>
      <c r="AF131" s="2140"/>
      <c r="AG131" s="2141"/>
    </row>
    <row r="132" spans="1:33" ht="24.95" customHeight="1" x14ac:dyDescent="0.25">
      <c r="A132" s="1207"/>
      <c r="B132" s="1290"/>
      <c r="C132" s="1291"/>
      <c r="D132" s="1213" t="s">
        <v>9</v>
      </c>
      <c r="E132" s="1493"/>
      <c r="F132" s="1493"/>
      <c r="G132" s="1497"/>
      <c r="H132" s="2040">
        <v>0</v>
      </c>
      <c r="I132" s="2040">
        <v>0</v>
      </c>
      <c r="J132" s="2040">
        <v>0</v>
      </c>
      <c r="K132" s="1497"/>
      <c r="L132" s="1497"/>
      <c r="M132" s="1497"/>
      <c r="N132" s="2042"/>
      <c r="O132" s="2042"/>
      <c r="P132" s="2129"/>
      <c r="Q132" s="1077">
        <f t="shared" si="171"/>
        <v>0</v>
      </c>
      <c r="R132" s="2126">
        <f t="shared" si="169"/>
        <v>0</v>
      </c>
      <c r="S132" s="2127">
        <f t="shared" si="170"/>
        <v>0</v>
      </c>
      <c r="T132" s="853">
        <f t="shared" si="172"/>
        <v>0</v>
      </c>
      <c r="U132" s="1296" t="str">
        <f t="shared" si="173"/>
        <v>1.33</v>
      </c>
      <c r="V132" s="1296" t="str">
        <f t="shared" si="174"/>
        <v>D+</v>
      </c>
      <c r="W132" s="1296" t="str">
        <f t="shared" si="175"/>
        <v>0</v>
      </c>
      <c r="X132" s="1274"/>
      <c r="Y132" s="1274"/>
      <c r="Z132" s="1274"/>
      <c r="AA132" s="1274"/>
      <c r="AB132" s="1276"/>
      <c r="AC132" s="1276"/>
      <c r="AD132" s="1276"/>
      <c r="AE132" s="2133"/>
      <c r="AF132" s="2142"/>
      <c r="AG132" s="2143"/>
    </row>
    <row r="133" spans="1:33" ht="24.95" customHeight="1" x14ac:dyDescent="0.25">
      <c r="A133" s="1207"/>
      <c r="B133" s="1290"/>
      <c r="C133" s="1291"/>
      <c r="D133" s="1213" t="s">
        <v>11</v>
      </c>
      <c r="E133" s="1497">
        <v>0</v>
      </c>
      <c r="F133" s="1497">
        <v>0</v>
      </c>
      <c r="G133" s="1493">
        <v>0</v>
      </c>
      <c r="H133" s="2040">
        <v>0</v>
      </c>
      <c r="I133" s="2040">
        <v>0</v>
      </c>
      <c r="J133" s="2040">
        <v>0</v>
      </c>
      <c r="K133" s="1493">
        <v>0</v>
      </c>
      <c r="L133" s="1493">
        <v>0</v>
      </c>
      <c r="M133" s="1493">
        <v>0</v>
      </c>
      <c r="N133" s="2042"/>
      <c r="O133" s="2042"/>
      <c r="P133" s="2129"/>
      <c r="Q133" s="1077">
        <f>MAX(E133,H133,K133,N133)</f>
        <v>0</v>
      </c>
      <c r="R133" s="2126">
        <f t="shared" si="169"/>
        <v>0</v>
      </c>
      <c r="S133" s="2127">
        <f t="shared" si="170"/>
        <v>0</v>
      </c>
      <c r="T133" s="853">
        <f>IFERROR(AVERAGE(Q133:S133),"")</f>
        <v>0</v>
      </c>
      <c r="U133" s="1296" t="str">
        <f t="shared" si="173"/>
        <v>1.33</v>
      </c>
      <c r="V133" s="1296" t="str">
        <f t="shared" si="174"/>
        <v>D+</v>
      </c>
      <c r="W133" s="1296" t="str">
        <f t="shared" si="175"/>
        <v>0</v>
      </c>
      <c r="X133" s="1274"/>
      <c r="Y133" s="1274"/>
      <c r="Z133" s="1274"/>
      <c r="AA133" s="1274"/>
      <c r="AB133" s="1276"/>
      <c r="AC133" s="1276"/>
      <c r="AD133" s="1276"/>
      <c r="AE133" s="2133"/>
      <c r="AF133" s="2144"/>
      <c r="AG133" s="2145"/>
    </row>
    <row r="134" spans="1:33" ht="24.95" customHeight="1" x14ac:dyDescent="0.25">
      <c r="A134" s="1236"/>
      <c r="B134" s="1280">
        <v>25</v>
      </c>
      <c r="C134" s="1292"/>
      <c r="D134" s="1279"/>
      <c r="E134" s="2729"/>
      <c r="F134" s="2730"/>
      <c r="G134" s="2730"/>
      <c r="H134" s="2730"/>
      <c r="I134" s="2077"/>
      <c r="J134" s="2077"/>
      <c r="K134" s="2077"/>
      <c r="L134" s="2077"/>
      <c r="M134" s="2077"/>
      <c r="N134" s="2077"/>
      <c r="O134" s="2077"/>
      <c r="P134" s="2077"/>
      <c r="Q134" s="2150"/>
      <c r="R134" s="2151"/>
      <c r="S134" s="2151"/>
      <c r="T134" s="1297">
        <f>IFERROR(AVERAGE(T130:T133),"  ")</f>
        <v>0</v>
      </c>
      <c r="U134" s="1298" t="str">
        <f>IF(T14&gt;85,("4"),IF(T14&gt;80,("3.66"),IF(T14&gt;75,("3.33"),IF(T14&gt;70,("3.00"),IF(T14&gt;65,("2.66"),IF(T14&gt;60,("2.33"),IF(T14&gt;55,("2"),IF(T14&gt;50,("1.66"),"1.33"))))))))</f>
        <v>3.33</v>
      </c>
      <c r="V134" s="1298" t="str">
        <f>IF(T14&gt;85,("A"),IF(T14&gt;80,("A-"),IF(T14&gt;75,("B+"),IF(T14&gt;70,("B"),IF(T14&gt;65,("B-"),IF(T14&gt;60,("C+"),IF(T14&gt;55,("C"),IF(T14&gt;50,("C-"),"D+"))))))))</f>
        <v>B+</v>
      </c>
      <c r="W134" s="1299"/>
      <c r="X134" s="1283"/>
      <c r="Y134" s="1283"/>
      <c r="Z134" s="1283"/>
      <c r="AA134" s="1283"/>
      <c r="AB134" s="1283"/>
      <c r="AC134" s="1283"/>
      <c r="AD134" s="1283"/>
      <c r="AE134" s="1283"/>
      <c r="AF134" s="2146"/>
      <c r="AG134" s="2147"/>
    </row>
    <row r="135" spans="1:33" ht="24.95" customHeight="1" x14ac:dyDescent="0.25">
      <c r="A135" s="1224">
        <v>26</v>
      </c>
      <c r="B135" s="1285"/>
      <c r="C135" s="1286" t="str">
        <f>VLOOKUP(A135,data_siswa,4,FALSE)</f>
        <v>Meliana Citra A</v>
      </c>
      <c r="D135" s="1210" t="s">
        <v>154</v>
      </c>
      <c r="E135" s="1497"/>
      <c r="F135" s="1497"/>
      <c r="G135" s="1497"/>
      <c r="H135" s="2043">
        <v>75</v>
      </c>
      <c r="I135" s="2043">
        <v>81</v>
      </c>
      <c r="J135" s="2043">
        <v>75</v>
      </c>
      <c r="K135" s="1497">
        <v>65</v>
      </c>
      <c r="L135" s="1497">
        <v>69</v>
      </c>
      <c r="M135" s="1497">
        <v>80</v>
      </c>
      <c r="N135" s="2042"/>
      <c r="O135" s="2042"/>
      <c r="P135" s="2129"/>
      <c r="Q135" s="1077">
        <f>MAX(E135,H135,K135,N135)</f>
        <v>75</v>
      </c>
      <c r="R135" s="2126">
        <f t="shared" ref="R135:R138" si="176">MAX(F135,I135,L135,O135)</f>
        <v>81</v>
      </c>
      <c r="S135" s="2127">
        <f t="shared" ref="S135:S138" si="177">MAX(G135,J135,M135,P135)</f>
        <v>80</v>
      </c>
      <c r="T135" s="853">
        <f>IFERROR(AVERAGE(Q135:S135),"")</f>
        <v>78.666666666666671</v>
      </c>
      <c r="U135" s="1295" t="str">
        <f>IF(T135&gt;85,("4"),IF(T135&gt;80,("3.66"),IF(T135&gt;75,("3.33"),IF(T135&gt;70,("3.00"),IF(T135&gt;65,("2.66"),IF(T135&gt;60,("2.33"),IF(T135&gt;55,("2"),IF(T135&gt;50,("1.66"),"1.33"))))))))</f>
        <v>3.33</v>
      </c>
      <c r="V135" s="1295" t="str">
        <f>IF(T135&gt;85,("A"),IF(T135&gt;80,("A-"),IF(T135&gt;75,("B+"),IF(T135&gt;70,("B"),IF(T135&gt;65,("B-"),IF(T135&gt;60,("C+"),IF(T135&gt;55,("C"),IF(T135&gt;50,("C-"),"D+"))))))))</f>
        <v>B+</v>
      </c>
      <c r="W135" s="1295" t="str">
        <f>IF(T135&gt;80,("SB"),IF(T135&gt;65,("B"),IF(T135&gt;50,("C"),IF(T135&gt;0,("K"),"0"))))</f>
        <v>B</v>
      </c>
      <c r="X135" s="2138"/>
      <c r="Y135" s="1287"/>
      <c r="Z135" s="1287"/>
      <c r="AA135" s="1287"/>
      <c r="AB135" s="1293"/>
      <c r="AC135" s="1293"/>
      <c r="AD135" s="1293"/>
      <c r="AE135" s="2136"/>
      <c r="AF135" s="466">
        <f>MAX(T135:T138)</f>
        <v>83</v>
      </c>
      <c r="AG135" s="466" t="str">
        <f>IF(AF135&gt;85,("A"),IF(AF135&gt;80,("A-"),IF(AF135&gt;75,("B+"),IF(AF135&gt;70,("B"),IF(AF135&gt;65,("B-"),IF(AF135&gt;60,("C+"),IF(AF135&gt;55,("C"),IF(AF135&gt;50,("C-"),"D+"))))))))</f>
        <v>A-</v>
      </c>
    </row>
    <row r="136" spans="1:33" ht="24.95" customHeight="1" x14ac:dyDescent="0.25">
      <c r="A136" s="1207"/>
      <c r="B136" s="1290"/>
      <c r="C136" s="1291"/>
      <c r="D136" s="1213" t="s">
        <v>155</v>
      </c>
      <c r="E136" s="1493"/>
      <c r="F136" s="1497"/>
      <c r="G136" s="1493"/>
      <c r="H136" s="2040">
        <v>65</v>
      </c>
      <c r="I136" s="2040">
        <v>76</v>
      </c>
      <c r="J136" s="2040">
        <v>74</v>
      </c>
      <c r="K136" s="1497"/>
      <c r="L136" s="1497"/>
      <c r="M136" s="1497"/>
      <c r="N136" s="2041">
        <v>68</v>
      </c>
      <c r="O136" s="2041">
        <v>79</v>
      </c>
      <c r="P136" s="2130">
        <v>80</v>
      </c>
      <c r="Q136" s="1077">
        <f t="shared" ref="Q136:Q137" si="178">MAX(E136,H136,K136,N136)</f>
        <v>68</v>
      </c>
      <c r="R136" s="2126">
        <f t="shared" si="176"/>
        <v>79</v>
      </c>
      <c r="S136" s="2127">
        <f t="shared" si="177"/>
        <v>80</v>
      </c>
      <c r="T136" s="853">
        <f t="shared" ref="T136:T137" si="179">IFERROR(AVERAGE(Q136:S136),"")</f>
        <v>75.666666666666671</v>
      </c>
      <c r="U136" s="1296" t="str">
        <f t="shared" ref="U136:U138" si="180">IF(T136&gt;85,("4"),IF(T136&gt;80,("3.66"),IF(T136&gt;75,("3.33"),IF(T136&gt;70,("3.00"),IF(T136&gt;65,("2.66"),IF(T136&gt;60,("2.33"),IF(T136&gt;55,("2"),IF(T136&gt;50,("1.66"),"1.33"))))))))</f>
        <v>3.33</v>
      </c>
      <c r="V136" s="1296" t="str">
        <f t="shared" ref="V136:V138" si="181">IF(T136&gt;85,("A"),IF(T136&gt;80,("A-"),IF(T136&gt;75,("B+"),IF(T136&gt;70,("B"),IF(T136&gt;65,("B-"),IF(T136&gt;60,("C+"),IF(T136&gt;55,("C"),IF(T136&gt;50,("C-"),"D+"))))))))</f>
        <v>B+</v>
      </c>
      <c r="W136" s="1296" t="str">
        <f t="shared" ref="W136:W138" si="182">IF(T136&gt;80,("SB"),IF(T136&gt;65,("B"),IF(T136&gt;50,("C"),IF(T136&gt;0,("K"),"0"))))</f>
        <v>B</v>
      </c>
      <c r="X136" s="1271"/>
      <c r="Y136" s="1271"/>
      <c r="Z136" s="1271"/>
      <c r="AA136" s="1271"/>
      <c r="AB136" s="1273"/>
      <c r="AC136" s="1273"/>
      <c r="AD136" s="1273"/>
      <c r="AE136" s="2132"/>
      <c r="AF136" s="2140"/>
      <c r="AG136" s="2141"/>
    </row>
    <row r="137" spans="1:33" ht="24.95" customHeight="1" x14ac:dyDescent="0.25">
      <c r="A137" s="1207"/>
      <c r="B137" s="1290"/>
      <c r="C137" s="1291"/>
      <c r="D137" s="1213" t="s">
        <v>9</v>
      </c>
      <c r="E137" s="1493"/>
      <c r="F137" s="1493"/>
      <c r="G137" s="1497"/>
      <c r="H137" s="2040">
        <v>78</v>
      </c>
      <c r="I137" s="2040">
        <v>82</v>
      </c>
      <c r="J137" s="2040">
        <v>80</v>
      </c>
      <c r="K137" s="1497"/>
      <c r="L137" s="1497"/>
      <c r="M137" s="1497"/>
      <c r="N137" s="2042"/>
      <c r="O137" s="2042"/>
      <c r="P137" s="2129"/>
      <c r="Q137" s="1077">
        <f t="shared" si="178"/>
        <v>78</v>
      </c>
      <c r="R137" s="2126">
        <f t="shared" si="176"/>
        <v>82</v>
      </c>
      <c r="S137" s="2127">
        <f t="shared" si="177"/>
        <v>80</v>
      </c>
      <c r="T137" s="853">
        <f t="shared" si="179"/>
        <v>80</v>
      </c>
      <c r="U137" s="1296" t="str">
        <f t="shared" si="180"/>
        <v>3.33</v>
      </c>
      <c r="V137" s="1296" t="str">
        <f t="shared" si="181"/>
        <v>B+</v>
      </c>
      <c r="W137" s="1296" t="str">
        <f t="shared" si="182"/>
        <v>B</v>
      </c>
      <c r="X137" s="1274"/>
      <c r="Y137" s="1274"/>
      <c r="Z137" s="1274"/>
      <c r="AA137" s="1274"/>
      <c r="AB137" s="1276"/>
      <c r="AC137" s="1276"/>
      <c r="AD137" s="1276"/>
      <c r="AE137" s="2133"/>
      <c r="AF137" s="2142"/>
      <c r="AG137" s="2143"/>
    </row>
    <row r="138" spans="1:33" ht="24.95" customHeight="1" x14ac:dyDescent="0.25">
      <c r="A138" s="1207"/>
      <c r="B138" s="1290"/>
      <c r="C138" s="1291"/>
      <c r="D138" s="1213" t="s">
        <v>11</v>
      </c>
      <c r="E138" s="1497">
        <v>76</v>
      </c>
      <c r="F138" s="1497">
        <v>75</v>
      </c>
      <c r="G138" s="1493">
        <v>80</v>
      </c>
      <c r="H138" s="2040">
        <v>89</v>
      </c>
      <c r="I138" s="2040">
        <v>75</v>
      </c>
      <c r="J138" s="2040">
        <v>81</v>
      </c>
      <c r="K138" s="1493">
        <v>65</v>
      </c>
      <c r="L138" s="1493">
        <v>79</v>
      </c>
      <c r="M138" s="1493">
        <v>80</v>
      </c>
      <c r="N138" s="2042"/>
      <c r="O138" s="2042"/>
      <c r="P138" s="2129"/>
      <c r="Q138" s="1077">
        <f>MAX(E138,H138,K138,N138)</f>
        <v>89</v>
      </c>
      <c r="R138" s="2126">
        <f t="shared" si="176"/>
        <v>79</v>
      </c>
      <c r="S138" s="2127">
        <f t="shared" si="177"/>
        <v>81</v>
      </c>
      <c r="T138" s="853">
        <f>IFERROR(AVERAGE(Q138:S138),"")</f>
        <v>83</v>
      </c>
      <c r="U138" s="1296" t="str">
        <f t="shared" si="180"/>
        <v>3.66</v>
      </c>
      <c r="V138" s="1296" t="str">
        <f t="shared" si="181"/>
        <v>A-</v>
      </c>
      <c r="W138" s="1296" t="str">
        <f t="shared" si="182"/>
        <v>SB</v>
      </c>
      <c r="X138" s="1274"/>
      <c r="Y138" s="1274"/>
      <c r="Z138" s="1274"/>
      <c r="AA138" s="1274"/>
      <c r="AB138" s="1276"/>
      <c r="AC138" s="1276"/>
      <c r="AD138" s="1276"/>
      <c r="AE138" s="2133"/>
      <c r="AF138" s="2144"/>
      <c r="AG138" s="2145"/>
    </row>
    <row r="139" spans="1:33" ht="24.95" customHeight="1" x14ac:dyDescent="0.25">
      <c r="A139" s="1236"/>
      <c r="B139" s="1280">
        <v>26</v>
      </c>
      <c r="C139" s="1292"/>
      <c r="D139" s="1279"/>
      <c r="E139" s="2729"/>
      <c r="F139" s="2730"/>
      <c r="G139" s="2730"/>
      <c r="H139" s="2730"/>
      <c r="I139" s="2077"/>
      <c r="J139" s="2077"/>
      <c r="K139" s="2077"/>
      <c r="L139" s="2077"/>
      <c r="M139" s="2077"/>
      <c r="N139" s="2077"/>
      <c r="O139" s="2077"/>
      <c r="P139" s="2077"/>
      <c r="Q139" s="2150"/>
      <c r="R139" s="2151"/>
      <c r="S139" s="2151"/>
      <c r="T139" s="1297">
        <f>IFERROR(AVERAGE(T135:T138),"  ")</f>
        <v>79.333333333333343</v>
      </c>
      <c r="U139" s="1298" t="str">
        <f>IF(T14&gt;85,("4"),IF(T14&gt;80,("3.66"),IF(T14&gt;75,("3.33"),IF(T14&gt;70,("3.00"),IF(T14&gt;65,("2.66"),IF(T14&gt;60,("2.33"),IF(T14&gt;55,("2"),IF(T14&gt;50,("1.66"),"1.33"))))))))</f>
        <v>3.33</v>
      </c>
      <c r="V139" s="1298" t="str">
        <f>IF(T14&gt;85,("A"),IF(T14&gt;80,("A-"),IF(T14&gt;75,("B+"),IF(T14&gt;70,("B"),IF(T14&gt;65,("B-"),IF(T14&gt;60,("C+"),IF(T14&gt;55,("C"),IF(T14&gt;50,("C-"),"D+"))))))))</f>
        <v>B+</v>
      </c>
      <c r="W139" s="1299"/>
      <c r="X139" s="1283"/>
      <c r="Y139" s="1283"/>
      <c r="Z139" s="1283"/>
      <c r="AA139" s="1283"/>
      <c r="AB139" s="1283"/>
      <c r="AC139" s="1283"/>
      <c r="AD139" s="1283"/>
      <c r="AE139" s="1283"/>
      <c r="AF139" s="2146"/>
      <c r="AG139" s="2147"/>
    </row>
    <row r="140" spans="1:33" ht="24.95" customHeight="1" x14ac:dyDescent="0.25">
      <c r="A140" s="1224">
        <v>27</v>
      </c>
      <c r="B140" s="1285"/>
      <c r="C140" s="1286" t="str">
        <f>VLOOKUP(A140,data_siswa,4,FALSE)</f>
        <v>Mohammad Rizky</v>
      </c>
      <c r="D140" s="1210" t="s">
        <v>154</v>
      </c>
      <c r="E140" s="1493"/>
      <c r="F140" s="1493"/>
      <c r="G140" s="1493"/>
      <c r="H140" s="2040">
        <v>0</v>
      </c>
      <c r="I140" s="2040">
        <v>0</v>
      </c>
      <c r="J140" s="2040">
        <v>0</v>
      </c>
      <c r="K140" s="1493">
        <v>0</v>
      </c>
      <c r="L140" s="1493">
        <v>0</v>
      </c>
      <c r="M140" s="1493">
        <v>0</v>
      </c>
      <c r="N140" s="2041"/>
      <c r="O140" s="2041"/>
      <c r="P140" s="2130"/>
      <c r="Q140" s="1077">
        <f>MAX(E140,H140,K140,N140)</f>
        <v>0</v>
      </c>
      <c r="R140" s="2126">
        <f t="shared" ref="R140:R143" si="183">MAX(F140,I140,L140,O140)</f>
        <v>0</v>
      </c>
      <c r="S140" s="2127">
        <f t="shared" ref="S140:S143" si="184">MAX(G140,J140,M140,P140)</f>
        <v>0</v>
      </c>
      <c r="T140" s="853">
        <f>IFERROR(AVERAGE(Q140:S140),"")</f>
        <v>0</v>
      </c>
      <c r="U140" s="1295" t="str">
        <f>IF(T140&gt;85,("4"),IF(T140&gt;80,("3.66"),IF(T140&gt;75,("3.33"),IF(T140&gt;70,("3.00"),IF(T140&gt;65,("2.66"),IF(T140&gt;60,("2.33"),IF(T140&gt;55,("2"),IF(T140&gt;50,("1.66"),"1.33"))))))))</f>
        <v>1.33</v>
      </c>
      <c r="V140" s="1295" t="str">
        <f>IF(T140&gt;85,("A"),IF(T140&gt;80,("A-"),IF(T140&gt;75,("B+"),IF(T140&gt;70,("B"),IF(T140&gt;65,("B-"),IF(T140&gt;60,("C+"),IF(T140&gt;55,("C"),IF(T140&gt;50,("C-"),"D+"))))))))</f>
        <v>D+</v>
      </c>
      <c r="W140" s="1295" t="str">
        <f>IF(T140&gt;80,("SB"),IF(T140&gt;65,("B"),IF(T140&gt;50,("C"),IF(T140&gt;0,("K"),"0"))))</f>
        <v>0</v>
      </c>
      <c r="X140" s="2138"/>
      <c r="Y140" s="1287"/>
      <c r="Z140" s="1287"/>
      <c r="AA140" s="1287"/>
      <c r="AB140" s="1293"/>
      <c r="AC140" s="1293"/>
      <c r="AD140" s="1293"/>
      <c r="AE140" s="2136"/>
      <c r="AF140" s="466">
        <f>MAX(T140:T143)</f>
        <v>0</v>
      </c>
      <c r="AG140" s="466" t="str">
        <f>IF(AF140&gt;85,("A"),IF(AF140&gt;80,("A-"),IF(AF140&gt;75,("B+"),IF(AF140&gt;70,("B"),IF(AF140&gt;65,("B-"),IF(AF140&gt;60,("C+"),IF(AF140&gt;55,("C"),IF(AF140&gt;50,("C-"),"D+"))))))))</f>
        <v>D+</v>
      </c>
    </row>
    <row r="141" spans="1:33" ht="24.95" customHeight="1" x14ac:dyDescent="0.25">
      <c r="A141" s="1207"/>
      <c r="B141" s="1290"/>
      <c r="C141" s="1291"/>
      <c r="D141" s="1213" t="s">
        <v>155</v>
      </c>
      <c r="E141" s="1493"/>
      <c r="F141" s="1497"/>
      <c r="G141" s="1493"/>
      <c r="H141" s="2040">
        <v>0</v>
      </c>
      <c r="I141" s="2040">
        <v>0</v>
      </c>
      <c r="J141" s="2040">
        <v>0</v>
      </c>
      <c r="K141" s="1497"/>
      <c r="L141" s="1497"/>
      <c r="M141" s="1497"/>
      <c r="N141" s="2041">
        <v>0</v>
      </c>
      <c r="O141" s="2041">
        <v>0</v>
      </c>
      <c r="P141" s="2130">
        <v>0</v>
      </c>
      <c r="Q141" s="1077">
        <f t="shared" ref="Q141:Q142" si="185">MAX(E141,H141,K141,N141)</f>
        <v>0</v>
      </c>
      <c r="R141" s="2126">
        <f t="shared" si="183"/>
        <v>0</v>
      </c>
      <c r="S141" s="2127">
        <f t="shared" si="184"/>
        <v>0</v>
      </c>
      <c r="T141" s="853">
        <f t="shared" ref="T141:T142" si="186">IFERROR(AVERAGE(Q141:S141),"")</f>
        <v>0</v>
      </c>
      <c r="U141" s="1296" t="str">
        <f t="shared" ref="U141:U143" si="187">IF(T141&gt;85,("4"),IF(T141&gt;80,("3.66"),IF(T141&gt;75,("3.33"),IF(T141&gt;70,("3.00"),IF(T141&gt;65,("2.66"),IF(T141&gt;60,("2.33"),IF(T141&gt;55,("2"),IF(T141&gt;50,("1.66"),"1.33"))))))))</f>
        <v>1.33</v>
      </c>
      <c r="V141" s="1296" t="str">
        <f t="shared" ref="V141:V143" si="188">IF(T141&gt;85,("A"),IF(T141&gt;80,("A-"),IF(T141&gt;75,("B+"),IF(T141&gt;70,("B"),IF(T141&gt;65,("B-"),IF(T141&gt;60,("C+"),IF(T141&gt;55,("C"),IF(T141&gt;50,("C-"),"D+"))))))))</f>
        <v>D+</v>
      </c>
      <c r="W141" s="1296" t="str">
        <f t="shared" ref="W141:W143" si="189">IF(T141&gt;80,("SB"),IF(T141&gt;65,("B"),IF(T141&gt;50,("C"),IF(T141&gt;0,("K"),"0"))))</f>
        <v>0</v>
      </c>
      <c r="X141" s="1271"/>
      <c r="Y141" s="1271"/>
      <c r="Z141" s="1271"/>
      <c r="AA141" s="1271"/>
      <c r="AB141" s="1273"/>
      <c r="AC141" s="1273"/>
      <c r="AD141" s="1273"/>
      <c r="AE141" s="2132"/>
      <c r="AF141" s="2140"/>
      <c r="AG141" s="2141"/>
    </row>
    <row r="142" spans="1:33" ht="24.95" customHeight="1" x14ac:dyDescent="0.25">
      <c r="A142" s="1207"/>
      <c r="B142" s="1290"/>
      <c r="C142" s="1291"/>
      <c r="D142" s="1213" t="s">
        <v>9</v>
      </c>
      <c r="E142" s="1493"/>
      <c r="F142" s="1493"/>
      <c r="G142" s="1497"/>
      <c r="H142" s="2040">
        <v>0</v>
      </c>
      <c r="I142" s="2040">
        <v>0</v>
      </c>
      <c r="J142" s="2040">
        <v>0</v>
      </c>
      <c r="K142" s="1497"/>
      <c r="L142" s="1497"/>
      <c r="M142" s="1497"/>
      <c r="N142" s="2042"/>
      <c r="O142" s="2042"/>
      <c r="P142" s="2129"/>
      <c r="Q142" s="1077">
        <f t="shared" si="185"/>
        <v>0</v>
      </c>
      <c r="R142" s="2126">
        <f t="shared" si="183"/>
        <v>0</v>
      </c>
      <c r="S142" s="2127">
        <f t="shared" si="184"/>
        <v>0</v>
      </c>
      <c r="T142" s="853">
        <f t="shared" si="186"/>
        <v>0</v>
      </c>
      <c r="U142" s="1296" t="str">
        <f t="shared" si="187"/>
        <v>1.33</v>
      </c>
      <c r="V142" s="1296" t="str">
        <f t="shared" si="188"/>
        <v>D+</v>
      </c>
      <c r="W142" s="1296" t="str">
        <f t="shared" si="189"/>
        <v>0</v>
      </c>
      <c r="X142" s="1274"/>
      <c r="Y142" s="1274"/>
      <c r="Z142" s="1274"/>
      <c r="AA142" s="1274"/>
      <c r="AB142" s="1276"/>
      <c r="AC142" s="1276"/>
      <c r="AD142" s="1276"/>
      <c r="AE142" s="2133"/>
      <c r="AF142" s="2142"/>
      <c r="AG142" s="2143"/>
    </row>
    <row r="143" spans="1:33" ht="24.95" customHeight="1" x14ac:dyDescent="0.25">
      <c r="A143" s="1207"/>
      <c r="B143" s="1290"/>
      <c r="C143" s="1291"/>
      <c r="D143" s="1213" t="s">
        <v>11</v>
      </c>
      <c r="E143" s="1497">
        <v>0</v>
      </c>
      <c r="F143" s="1497">
        <v>0</v>
      </c>
      <c r="G143" s="1493">
        <v>0</v>
      </c>
      <c r="H143" s="2040">
        <v>0</v>
      </c>
      <c r="I143" s="2040">
        <v>0</v>
      </c>
      <c r="J143" s="2040">
        <v>0</v>
      </c>
      <c r="K143" s="1493">
        <v>0</v>
      </c>
      <c r="L143" s="1493">
        <v>0</v>
      </c>
      <c r="M143" s="1493">
        <v>0</v>
      </c>
      <c r="N143" s="2042"/>
      <c r="O143" s="2042"/>
      <c r="P143" s="2129"/>
      <c r="Q143" s="1077">
        <f>MAX(E143,H143,K143,N143)</f>
        <v>0</v>
      </c>
      <c r="R143" s="2126">
        <f t="shared" si="183"/>
        <v>0</v>
      </c>
      <c r="S143" s="2127">
        <f t="shared" si="184"/>
        <v>0</v>
      </c>
      <c r="T143" s="853">
        <f>IFERROR(AVERAGE(Q143:S143),"")</f>
        <v>0</v>
      </c>
      <c r="U143" s="1296" t="str">
        <f t="shared" si="187"/>
        <v>1.33</v>
      </c>
      <c r="V143" s="1296" t="str">
        <f t="shared" si="188"/>
        <v>D+</v>
      </c>
      <c r="W143" s="1296" t="str">
        <f t="shared" si="189"/>
        <v>0</v>
      </c>
      <c r="X143" s="1274"/>
      <c r="Y143" s="1274"/>
      <c r="Z143" s="1274"/>
      <c r="AA143" s="1274"/>
      <c r="AB143" s="1276"/>
      <c r="AC143" s="1276"/>
      <c r="AD143" s="1276"/>
      <c r="AE143" s="2133"/>
      <c r="AF143" s="2144"/>
      <c r="AG143" s="2145"/>
    </row>
    <row r="144" spans="1:33" ht="24.95" customHeight="1" x14ac:dyDescent="0.25">
      <c r="A144" s="1236"/>
      <c r="B144" s="1280">
        <v>27</v>
      </c>
      <c r="C144" s="1292"/>
      <c r="D144" s="1279"/>
      <c r="E144" s="2729"/>
      <c r="F144" s="2730"/>
      <c r="G144" s="2730"/>
      <c r="H144" s="2730"/>
      <c r="I144" s="2077"/>
      <c r="J144" s="2077"/>
      <c r="K144" s="2077"/>
      <c r="L144" s="2077"/>
      <c r="M144" s="2077"/>
      <c r="N144" s="2077"/>
      <c r="O144" s="2077"/>
      <c r="P144" s="2077"/>
      <c r="Q144" s="2150"/>
      <c r="R144" s="2151"/>
      <c r="S144" s="2151"/>
      <c r="T144" s="1297">
        <f>IFERROR(AVERAGE(T140:T143),"  ")</f>
        <v>0</v>
      </c>
      <c r="U144" s="1298" t="str">
        <f>IF(T14&gt;85,("4"),IF(T14&gt;80,("3.66"),IF(T14&gt;75,("3.33"),IF(T14&gt;70,("3.00"),IF(T14&gt;65,("2.66"),IF(T14&gt;60,("2.33"),IF(T14&gt;55,("2"),IF(T14&gt;50,("1.66"),"1.33"))))))))</f>
        <v>3.33</v>
      </c>
      <c r="V144" s="1298" t="str">
        <f>IF(T14&gt;85,("A"),IF(T14&gt;80,("A-"),IF(T14&gt;75,("B+"),IF(T14&gt;70,("B"),IF(T14&gt;65,("B-"),IF(T14&gt;60,("C+"),IF(T14&gt;55,("C"),IF(T14&gt;50,("C-"),"D+"))))))))</f>
        <v>B+</v>
      </c>
      <c r="W144" s="1299"/>
      <c r="X144" s="1283"/>
      <c r="Y144" s="1283"/>
      <c r="Z144" s="1283"/>
      <c r="AA144" s="1283"/>
      <c r="AB144" s="1283"/>
      <c r="AC144" s="1283"/>
      <c r="AD144" s="1283"/>
      <c r="AE144" s="1283"/>
      <c r="AF144" s="2146"/>
      <c r="AG144" s="2147"/>
    </row>
    <row r="145" spans="1:33" ht="24.95" customHeight="1" x14ac:dyDescent="0.25">
      <c r="A145" s="1224">
        <v>28</v>
      </c>
      <c r="B145" s="1285"/>
      <c r="C145" s="1286" t="e">
        <f>VLOOKUP(A145,data_siswa,4,FALSE)</f>
        <v>#N/A</v>
      </c>
      <c r="D145" s="1210" t="s">
        <v>154</v>
      </c>
      <c r="E145" s="1497"/>
      <c r="F145" s="1497"/>
      <c r="G145" s="1497"/>
      <c r="H145" s="2043">
        <v>75</v>
      </c>
      <c r="I145" s="2043">
        <v>81</v>
      </c>
      <c r="J145" s="2043">
        <v>75</v>
      </c>
      <c r="K145" s="1497">
        <v>65</v>
      </c>
      <c r="L145" s="1497">
        <v>69</v>
      </c>
      <c r="M145" s="1497">
        <v>80</v>
      </c>
      <c r="N145" s="2042"/>
      <c r="O145" s="2042"/>
      <c r="P145" s="2129"/>
      <c r="Q145" s="1077">
        <f>MAX(E145,H145,K145,N145)</f>
        <v>75</v>
      </c>
      <c r="R145" s="2126">
        <f t="shared" ref="R145:R148" si="190">MAX(F145,I145,L145,O145)</f>
        <v>81</v>
      </c>
      <c r="S145" s="2127">
        <f t="shared" ref="S145:S148" si="191">MAX(G145,J145,M145,P145)</f>
        <v>80</v>
      </c>
      <c r="T145" s="853">
        <f>IFERROR(AVERAGE(Q145:S145),"")</f>
        <v>78.666666666666671</v>
      </c>
      <c r="U145" s="1295" t="str">
        <f>IF(T145&gt;85,("4"),IF(T145&gt;80,("3.66"),IF(T145&gt;75,("3.33"),IF(T145&gt;70,("3.00"),IF(T145&gt;65,("2.66"),IF(T145&gt;60,("2.33"),IF(T145&gt;55,("2"),IF(T145&gt;50,("1.66"),"1.33"))))))))</f>
        <v>3.33</v>
      </c>
      <c r="V145" s="1295" t="str">
        <f>IF(T145&gt;85,("A"),IF(T145&gt;80,("A-"),IF(T145&gt;75,("B+"),IF(T145&gt;70,("B"),IF(T145&gt;65,("B-"),IF(T145&gt;60,("C+"),IF(T145&gt;55,("C"),IF(T145&gt;50,("C-"),"D+"))))))))</f>
        <v>B+</v>
      </c>
      <c r="W145" s="1295" t="str">
        <f>IF(T145&gt;80,("SB"),IF(T145&gt;65,("B"),IF(T145&gt;50,("C"),IF(T145&gt;0,("K"),"0"))))</f>
        <v>B</v>
      </c>
      <c r="X145" s="2138"/>
      <c r="Y145" s="1287"/>
      <c r="Z145" s="1287"/>
      <c r="AA145" s="1287"/>
      <c r="AB145" s="1293"/>
      <c r="AC145" s="1293"/>
      <c r="AD145" s="1293"/>
      <c r="AE145" s="2136"/>
      <c r="AF145" s="466">
        <f>MAX(T145:T148)</f>
        <v>83</v>
      </c>
      <c r="AG145" s="466" t="str">
        <f>IF(AF145&gt;85,("A"),IF(AF145&gt;80,("A-"),IF(AF145&gt;75,("B+"),IF(AF145&gt;70,("B"),IF(AF145&gt;65,("B-"),IF(AF145&gt;60,("C+"),IF(AF145&gt;55,("C"),IF(AF145&gt;50,("C-"),"D+"))))))))</f>
        <v>A-</v>
      </c>
    </row>
    <row r="146" spans="1:33" ht="24.95" customHeight="1" x14ac:dyDescent="0.25">
      <c r="A146" s="1207"/>
      <c r="B146" s="1290"/>
      <c r="C146" s="1291"/>
      <c r="D146" s="1213" t="s">
        <v>155</v>
      </c>
      <c r="E146" s="1493"/>
      <c r="F146" s="1497"/>
      <c r="G146" s="1493"/>
      <c r="H146" s="2040">
        <v>65</v>
      </c>
      <c r="I146" s="2040">
        <v>76</v>
      </c>
      <c r="J146" s="2040">
        <v>74</v>
      </c>
      <c r="K146" s="1497"/>
      <c r="L146" s="1497"/>
      <c r="M146" s="1497"/>
      <c r="N146" s="2041">
        <v>68</v>
      </c>
      <c r="O146" s="2041">
        <v>79</v>
      </c>
      <c r="P146" s="2130">
        <v>80</v>
      </c>
      <c r="Q146" s="1077">
        <f t="shared" ref="Q146:Q147" si="192">MAX(E146,H146,K146,N146)</f>
        <v>68</v>
      </c>
      <c r="R146" s="2126">
        <f t="shared" si="190"/>
        <v>79</v>
      </c>
      <c r="S146" s="2127">
        <f t="shared" si="191"/>
        <v>80</v>
      </c>
      <c r="T146" s="853">
        <f t="shared" ref="T146:T147" si="193">IFERROR(AVERAGE(Q146:S146),"")</f>
        <v>75.666666666666671</v>
      </c>
      <c r="U146" s="1296" t="str">
        <f t="shared" ref="U146:U148" si="194">IF(T146&gt;85,("4"),IF(T146&gt;80,("3.66"),IF(T146&gt;75,("3.33"),IF(T146&gt;70,("3.00"),IF(T146&gt;65,("2.66"),IF(T146&gt;60,("2.33"),IF(T146&gt;55,("2"),IF(T146&gt;50,("1.66"),"1.33"))))))))</f>
        <v>3.33</v>
      </c>
      <c r="V146" s="1296" t="str">
        <f t="shared" ref="V146:V148" si="195">IF(T146&gt;85,("A"),IF(T146&gt;80,("A-"),IF(T146&gt;75,("B+"),IF(T146&gt;70,("B"),IF(T146&gt;65,("B-"),IF(T146&gt;60,("C+"),IF(T146&gt;55,("C"),IF(T146&gt;50,("C-"),"D+"))))))))</f>
        <v>B+</v>
      </c>
      <c r="W146" s="1296" t="str">
        <f t="shared" ref="W146:W148" si="196">IF(T146&gt;80,("SB"),IF(T146&gt;65,("B"),IF(T146&gt;50,("C"),IF(T146&gt;0,("K"),"0"))))</f>
        <v>B</v>
      </c>
      <c r="X146" s="1271"/>
      <c r="Y146" s="1271"/>
      <c r="Z146" s="1271"/>
      <c r="AA146" s="1271"/>
      <c r="AB146" s="1273"/>
      <c r="AC146" s="1273"/>
      <c r="AD146" s="1273"/>
      <c r="AE146" s="2132"/>
      <c r="AF146" s="2140"/>
      <c r="AG146" s="2141"/>
    </row>
    <row r="147" spans="1:33" ht="24.95" customHeight="1" x14ac:dyDescent="0.25">
      <c r="A147" s="1207"/>
      <c r="B147" s="1290"/>
      <c r="C147" s="1291"/>
      <c r="D147" s="1213" t="s">
        <v>9</v>
      </c>
      <c r="E147" s="1493"/>
      <c r="F147" s="1493"/>
      <c r="G147" s="1497"/>
      <c r="H147" s="2040">
        <v>78</v>
      </c>
      <c r="I147" s="2040">
        <v>82</v>
      </c>
      <c r="J147" s="2040">
        <v>80</v>
      </c>
      <c r="K147" s="1497"/>
      <c r="L147" s="1497"/>
      <c r="M147" s="1497"/>
      <c r="N147" s="2042"/>
      <c r="O147" s="2042"/>
      <c r="P147" s="2129"/>
      <c r="Q147" s="1077">
        <f t="shared" si="192"/>
        <v>78</v>
      </c>
      <c r="R147" s="2126">
        <f t="shared" si="190"/>
        <v>82</v>
      </c>
      <c r="S147" s="2127">
        <f t="shared" si="191"/>
        <v>80</v>
      </c>
      <c r="T147" s="853">
        <f t="shared" si="193"/>
        <v>80</v>
      </c>
      <c r="U147" s="1296" t="str">
        <f t="shared" si="194"/>
        <v>3.33</v>
      </c>
      <c r="V147" s="1296" t="str">
        <f t="shared" si="195"/>
        <v>B+</v>
      </c>
      <c r="W147" s="1296" t="str">
        <f t="shared" si="196"/>
        <v>B</v>
      </c>
      <c r="X147" s="1274"/>
      <c r="Y147" s="1274"/>
      <c r="Z147" s="1274"/>
      <c r="AA147" s="1274"/>
      <c r="AB147" s="1276"/>
      <c r="AC147" s="1276"/>
      <c r="AD147" s="1276"/>
      <c r="AE147" s="2133"/>
      <c r="AF147" s="2142"/>
      <c r="AG147" s="2143"/>
    </row>
    <row r="148" spans="1:33" ht="24.95" customHeight="1" x14ac:dyDescent="0.25">
      <c r="A148" s="1207"/>
      <c r="B148" s="1290"/>
      <c r="C148" s="1291"/>
      <c r="D148" s="1213" t="s">
        <v>11</v>
      </c>
      <c r="E148" s="1497">
        <v>76</v>
      </c>
      <c r="F148" s="1497">
        <v>75</v>
      </c>
      <c r="G148" s="1493">
        <v>80</v>
      </c>
      <c r="H148" s="2040">
        <v>89</v>
      </c>
      <c r="I148" s="2040">
        <v>75</v>
      </c>
      <c r="J148" s="2040">
        <v>81</v>
      </c>
      <c r="K148" s="1493">
        <v>65</v>
      </c>
      <c r="L148" s="1493">
        <v>79</v>
      </c>
      <c r="M148" s="1493">
        <v>80</v>
      </c>
      <c r="N148" s="2042"/>
      <c r="O148" s="2042"/>
      <c r="P148" s="2129"/>
      <c r="Q148" s="1077">
        <f>MAX(E148,H148,K148,N148)</f>
        <v>89</v>
      </c>
      <c r="R148" s="2126">
        <f t="shared" si="190"/>
        <v>79</v>
      </c>
      <c r="S148" s="2127">
        <f t="shared" si="191"/>
        <v>81</v>
      </c>
      <c r="T148" s="853">
        <f>IFERROR(AVERAGE(Q148:S148),"")</f>
        <v>83</v>
      </c>
      <c r="U148" s="1296" t="str">
        <f t="shared" si="194"/>
        <v>3.66</v>
      </c>
      <c r="V148" s="1296" t="str">
        <f t="shared" si="195"/>
        <v>A-</v>
      </c>
      <c r="W148" s="1296" t="str">
        <f t="shared" si="196"/>
        <v>SB</v>
      </c>
      <c r="X148" s="1274"/>
      <c r="Y148" s="1274"/>
      <c r="Z148" s="1274"/>
      <c r="AA148" s="1274"/>
      <c r="AB148" s="1276"/>
      <c r="AC148" s="1276"/>
      <c r="AD148" s="1276"/>
      <c r="AE148" s="2133"/>
      <c r="AF148" s="2144"/>
      <c r="AG148" s="2145"/>
    </row>
    <row r="149" spans="1:33" ht="24.95" customHeight="1" x14ac:dyDescent="0.25">
      <c r="A149" s="1236"/>
      <c r="B149" s="1280">
        <v>28</v>
      </c>
      <c r="C149" s="1292"/>
      <c r="D149" s="1279"/>
      <c r="E149" s="2729"/>
      <c r="F149" s="2730"/>
      <c r="G149" s="2730"/>
      <c r="H149" s="2730"/>
      <c r="I149" s="2077"/>
      <c r="J149" s="2077"/>
      <c r="K149" s="2077"/>
      <c r="L149" s="2077"/>
      <c r="M149" s="2077"/>
      <c r="N149" s="2077"/>
      <c r="O149" s="2077"/>
      <c r="P149" s="2077"/>
      <c r="Q149" s="2150"/>
      <c r="R149" s="2151"/>
      <c r="S149" s="2151"/>
      <c r="T149" s="1297">
        <f>IFERROR(AVERAGE(T145:T148),"  ")</f>
        <v>79.333333333333343</v>
      </c>
      <c r="U149" s="1298" t="str">
        <f>IF(T14&gt;85,("4"),IF(T14&gt;80,("3.66"),IF(T14&gt;75,("3.33"),IF(T14&gt;70,("3.00"),IF(T14&gt;65,("2.66"),IF(T14&gt;60,("2.33"),IF(T14&gt;55,("2"),IF(T14&gt;50,("1.66"),"1.33"))))))))</f>
        <v>3.33</v>
      </c>
      <c r="V149" s="1298" t="str">
        <f>IF(T14&gt;85,("A"),IF(T14&gt;80,("A-"),IF(T14&gt;75,("B+"),IF(T14&gt;70,("B"),IF(T14&gt;65,("B-"),IF(T14&gt;60,("C+"),IF(T14&gt;55,("C"),IF(T14&gt;50,("C-"),"D+"))))))))</f>
        <v>B+</v>
      </c>
      <c r="W149" s="1299"/>
      <c r="X149" s="1283"/>
      <c r="Y149" s="1283"/>
      <c r="Z149" s="1283"/>
      <c r="AA149" s="1283"/>
      <c r="AB149" s="1283"/>
      <c r="AC149" s="1283"/>
      <c r="AD149" s="1283"/>
      <c r="AE149" s="1283"/>
      <c r="AF149" s="2146"/>
      <c r="AG149" s="2147"/>
    </row>
    <row r="150" spans="1:33" ht="24.95" customHeight="1" x14ac:dyDescent="0.25">
      <c r="A150" s="1224">
        <v>29</v>
      </c>
      <c r="B150" s="1285"/>
      <c r="C150" s="1286" t="e">
        <f>VLOOKUP(A150,data_siswa,4,FALSE)</f>
        <v>#N/A</v>
      </c>
      <c r="D150" s="1210" t="s">
        <v>154</v>
      </c>
      <c r="E150" s="1493"/>
      <c r="F150" s="1493"/>
      <c r="G150" s="1493"/>
      <c r="H150" s="2040">
        <v>0</v>
      </c>
      <c r="I150" s="2040">
        <v>0</v>
      </c>
      <c r="J150" s="2040">
        <v>0</v>
      </c>
      <c r="K150" s="1493">
        <v>0</v>
      </c>
      <c r="L150" s="1493">
        <v>0</v>
      </c>
      <c r="M150" s="1493">
        <v>0</v>
      </c>
      <c r="N150" s="2041"/>
      <c r="O150" s="2041"/>
      <c r="P150" s="2130"/>
      <c r="Q150" s="1077">
        <f>MAX(E150,H150,K150,N150)</f>
        <v>0</v>
      </c>
      <c r="R150" s="2126">
        <f t="shared" ref="R150:R153" si="197">MAX(F150,I150,L150,O150)</f>
        <v>0</v>
      </c>
      <c r="S150" s="2127">
        <f t="shared" ref="S150:S153" si="198">MAX(G150,J150,M150,P150)</f>
        <v>0</v>
      </c>
      <c r="T150" s="853">
        <f>IFERROR(AVERAGE(Q150:S150),"")</f>
        <v>0</v>
      </c>
      <c r="U150" s="1295" t="str">
        <f>IF(T150&gt;85,("4"),IF(T150&gt;80,("3.66"),IF(T150&gt;75,("3.33"),IF(T150&gt;70,("3.00"),IF(T150&gt;65,("2.66"),IF(T150&gt;60,("2.33"),IF(T150&gt;55,("2"),IF(T150&gt;50,("1.66"),"1.33"))))))))</f>
        <v>1.33</v>
      </c>
      <c r="V150" s="1295" t="str">
        <f>IF(T150&gt;85,("A"),IF(T150&gt;80,("A-"),IF(T150&gt;75,("B+"),IF(T150&gt;70,("B"),IF(T150&gt;65,("B-"),IF(T150&gt;60,("C+"),IF(T150&gt;55,("C"),IF(T150&gt;50,("C-"),"D+"))))))))</f>
        <v>D+</v>
      </c>
      <c r="W150" s="1295" t="str">
        <f>IF(T150&gt;80,("SB"),IF(T150&gt;65,("B"),IF(T150&gt;50,("C"),IF(T150&gt;0,("K"),"0"))))</f>
        <v>0</v>
      </c>
      <c r="X150" s="2138"/>
      <c r="Y150" s="1287"/>
      <c r="Z150" s="1287"/>
      <c r="AA150" s="1287"/>
      <c r="AB150" s="1293"/>
      <c r="AC150" s="1293"/>
      <c r="AD150" s="1293"/>
      <c r="AE150" s="2136"/>
      <c r="AF150" s="466">
        <f>MAX(T150:T153)</f>
        <v>0</v>
      </c>
      <c r="AG150" s="466" t="str">
        <f>IF(AF150&gt;85,("A"),IF(AF150&gt;80,("A-"),IF(AF150&gt;75,("B+"),IF(AF150&gt;70,("B"),IF(AF150&gt;65,("B-"),IF(AF150&gt;60,("C+"),IF(AF150&gt;55,("C"),IF(AF150&gt;50,("C-"),"D+"))))))))</f>
        <v>D+</v>
      </c>
    </row>
    <row r="151" spans="1:33" ht="24.95" customHeight="1" x14ac:dyDescent="0.25">
      <c r="A151" s="1207"/>
      <c r="B151" s="1290"/>
      <c r="C151" s="1291"/>
      <c r="D151" s="1213" t="s">
        <v>155</v>
      </c>
      <c r="E151" s="1493"/>
      <c r="F151" s="1497"/>
      <c r="G151" s="1493"/>
      <c r="H151" s="2040">
        <v>0</v>
      </c>
      <c r="I151" s="2040">
        <v>0</v>
      </c>
      <c r="J151" s="2040">
        <v>0</v>
      </c>
      <c r="K151" s="1497"/>
      <c r="L151" s="1497"/>
      <c r="M151" s="1497"/>
      <c r="N151" s="2041">
        <v>0</v>
      </c>
      <c r="O151" s="2041">
        <v>0</v>
      </c>
      <c r="P151" s="2130">
        <v>0</v>
      </c>
      <c r="Q151" s="1077">
        <f t="shared" ref="Q151:Q152" si="199">MAX(E151,H151,K151,N151)</f>
        <v>0</v>
      </c>
      <c r="R151" s="2126">
        <f t="shared" si="197"/>
        <v>0</v>
      </c>
      <c r="S151" s="2127">
        <f t="shared" si="198"/>
        <v>0</v>
      </c>
      <c r="T151" s="853">
        <f t="shared" ref="T151:T152" si="200">IFERROR(AVERAGE(Q151:S151),"")</f>
        <v>0</v>
      </c>
      <c r="U151" s="1296" t="str">
        <f t="shared" ref="U151:U153" si="201">IF(T151&gt;85,("4"),IF(T151&gt;80,("3.66"),IF(T151&gt;75,("3.33"),IF(T151&gt;70,("3.00"),IF(T151&gt;65,("2.66"),IF(T151&gt;60,("2.33"),IF(T151&gt;55,("2"),IF(T151&gt;50,("1.66"),"1.33"))))))))</f>
        <v>1.33</v>
      </c>
      <c r="V151" s="1296" t="str">
        <f t="shared" ref="V151:V153" si="202">IF(T151&gt;85,("A"),IF(T151&gt;80,("A-"),IF(T151&gt;75,("B+"),IF(T151&gt;70,("B"),IF(T151&gt;65,("B-"),IF(T151&gt;60,("C+"),IF(T151&gt;55,("C"),IF(T151&gt;50,("C-"),"D+"))))))))</f>
        <v>D+</v>
      </c>
      <c r="W151" s="1296" t="str">
        <f t="shared" ref="W151:W153" si="203">IF(T151&gt;80,("SB"),IF(T151&gt;65,("B"),IF(T151&gt;50,("C"),IF(T151&gt;0,("K"),"0"))))</f>
        <v>0</v>
      </c>
      <c r="X151" s="1271"/>
      <c r="Y151" s="1271"/>
      <c r="Z151" s="1271"/>
      <c r="AA151" s="1271"/>
      <c r="AB151" s="1273"/>
      <c r="AC151" s="1273"/>
      <c r="AD151" s="1273"/>
      <c r="AE151" s="2132"/>
      <c r="AF151" s="2140"/>
      <c r="AG151" s="2141"/>
    </row>
    <row r="152" spans="1:33" ht="24.95" customHeight="1" x14ac:dyDescent="0.25">
      <c r="A152" s="1207"/>
      <c r="B152" s="1290"/>
      <c r="C152" s="1291"/>
      <c r="D152" s="1213" t="s">
        <v>9</v>
      </c>
      <c r="E152" s="1493"/>
      <c r="F152" s="1493"/>
      <c r="G152" s="1497"/>
      <c r="H152" s="2040">
        <v>0</v>
      </c>
      <c r="I152" s="2040">
        <v>0</v>
      </c>
      <c r="J152" s="2040">
        <v>0</v>
      </c>
      <c r="K152" s="1497"/>
      <c r="L152" s="1497"/>
      <c r="M152" s="1497"/>
      <c r="N152" s="2042"/>
      <c r="O152" s="2042"/>
      <c r="P152" s="2129"/>
      <c r="Q152" s="1077">
        <f t="shared" si="199"/>
        <v>0</v>
      </c>
      <c r="R152" s="2126">
        <f t="shared" si="197"/>
        <v>0</v>
      </c>
      <c r="S152" s="2127">
        <f t="shared" si="198"/>
        <v>0</v>
      </c>
      <c r="T152" s="853">
        <f t="shared" si="200"/>
        <v>0</v>
      </c>
      <c r="U152" s="1296" t="str">
        <f t="shared" si="201"/>
        <v>1.33</v>
      </c>
      <c r="V152" s="1296" t="str">
        <f t="shared" si="202"/>
        <v>D+</v>
      </c>
      <c r="W152" s="1296" t="str">
        <f t="shared" si="203"/>
        <v>0</v>
      </c>
      <c r="X152" s="1274"/>
      <c r="Y152" s="1274"/>
      <c r="Z152" s="1274"/>
      <c r="AA152" s="1274"/>
      <c r="AB152" s="1276"/>
      <c r="AC152" s="1276"/>
      <c r="AD152" s="1276"/>
      <c r="AE152" s="2133"/>
      <c r="AF152" s="2142"/>
      <c r="AG152" s="2143"/>
    </row>
    <row r="153" spans="1:33" ht="24.95" customHeight="1" x14ac:dyDescent="0.25">
      <c r="A153" s="1207"/>
      <c r="B153" s="1290"/>
      <c r="C153" s="1291"/>
      <c r="D153" s="1213" t="s">
        <v>11</v>
      </c>
      <c r="E153" s="1497">
        <v>0</v>
      </c>
      <c r="F153" s="1497">
        <v>0</v>
      </c>
      <c r="G153" s="1493">
        <v>0</v>
      </c>
      <c r="H153" s="2040">
        <v>0</v>
      </c>
      <c r="I153" s="2040">
        <v>0</v>
      </c>
      <c r="J153" s="2040">
        <v>0</v>
      </c>
      <c r="K153" s="1493">
        <v>0</v>
      </c>
      <c r="L153" s="1493">
        <v>0</v>
      </c>
      <c r="M153" s="1493">
        <v>0</v>
      </c>
      <c r="N153" s="2042"/>
      <c r="O153" s="2042"/>
      <c r="P153" s="2129"/>
      <c r="Q153" s="1077">
        <f>MAX(E153,H153,K153,N153)</f>
        <v>0</v>
      </c>
      <c r="R153" s="2126">
        <f t="shared" si="197"/>
        <v>0</v>
      </c>
      <c r="S153" s="2127">
        <f t="shared" si="198"/>
        <v>0</v>
      </c>
      <c r="T153" s="853">
        <f>IFERROR(AVERAGE(Q153:S153),"")</f>
        <v>0</v>
      </c>
      <c r="U153" s="1296" t="str">
        <f t="shared" si="201"/>
        <v>1.33</v>
      </c>
      <c r="V153" s="1296" t="str">
        <f t="shared" si="202"/>
        <v>D+</v>
      </c>
      <c r="W153" s="1296" t="str">
        <f t="shared" si="203"/>
        <v>0</v>
      </c>
      <c r="X153" s="1274"/>
      <c r="Y153" s="1274"/>
      <c r="Z153" s="1274"/>
      <c r="AA153" s="1274"/>
      <c r="AB153" s="1276"/>
      <c r="AC153" s="1276"/>
      <c r="AD153" s="1276"/>
      <c r="AE153" s="2133"/>
      <c r="AF153" s="2144"/>
      <c r="AG153" s="2145"/>
    </row>
    <row r="154" spans="1:33" ht="24.95" customHeight="1" x14ac:dyDescent="0.25">
      <c r="A154" s="1236"/>
      <c r="B154" s="1280">
        <v>29</v>
      </c>
      <c r="C154" s="1292"/>
      <c r="D154" s="1279"/>
      <c r="E154" s="2729"/>
      <c r="F154" s="2730"/>
      <c r="G154" s="2730"/>
      <c r="H154" s="2730"/>
      <c r="I154" s="2077"/>
      <c r="J154" s="2077"/>
      <c r="K154" s="2077"/>
      <c r="L154" s="2077"/>
      <c r="M154" s="2077"/>
      <c r="N154" s="2077"/>
      <c r="O154" s="2077"/>
      <c r="P154" s="2077"/>
      <c r="Q154" s="2150"/>
      <c r="R154" s="2151"/>
      <c r="S154" s="2151"/>
      <c r="T154" s="1520">
        <f>IFERROR(AVERAGE(T150:T153),"  ")</f>
        <v>0</v>
      </c>
      <c r="U154" s="1298" t="str">
        <f>IF(T14&gt;85,("4"),IF(T14&gt;80,("3.66"),IF(T14&gt;75,("3.33"),IF(T14&gt;70,("3.00"),IF(T14&gt;65,("2.66"),IF(T14&gt;60,("2.33"),IF(T14&gt;55,("2"),IF(T14&gt;50,("1.66"),"1.33"))))))))</f>
        <v>3.33</v>
      </c>
      <c r="V154" s="1298" t="str">
        <f>IF(T14&gt;85,("A"),IF(T14&gt;80,("A-"),IF(T14&gt;75,("B+"),IF(T14&gt;70,("B"),IF(T14&gt;65,("B-"),IF(T14&gt;60,("C+"),IF(T14&gt;55,("C"),IF(T14&gt;50,("C-"),"D+"))))))))</f>
        <v>B+</v>
      </c>
      <c r="W154" s="1299"/>
      <c r="X154" s="1283"/>
      <c r="Y154" s="1283"/>
      <c r="Z154" s="1283"/>
      <c r="AA154" s="1283"/>
      <c r="AB154" s="1283"/>
      <c r="AC154" s="1283"/>
      <c r="AD154" s="1283"/>
      <c r="AE154" s="1283"/>
      <c r="AF154" s="2146"/>
      <c r="AG154" s="2147"/>
    </row>
    <row r="155" spans="1:33" ht="24.95" customHeight="1" x14ac:dyDescent="0.25">
      <c r="A155" s="1224">
        <v>30</v>
      </c>
      <c r="B155" s="1285"/>
      <c r="C155" s="1286" t="e">
        <f>VLOOKUP(A155,data_siswa,4,FALSE)</f>
        <v>#N/A</v>
      </c>
      <c r="D155" s="1210" t="s">
        <v>154</v>
      </c>
      <c r="E155" s="1497"/>
      <c r="F155" s="1497"/>
      <c r="G155" s="1497"/>
      <c r="H155" s="2043">
        <v>75</v>
      </c>
      <c r="I155" s="2043">
        <v>81</v>
      </c>
      <c r="J155" s="2043">
        <v>75</v>
      </c>
      <c r="K155" s="1497">
        <v>65</v>
      </c>
      <c r="L155" s="1497">
        <v>69</v>
      </c>
      <c r="M155" s="1497">
        <v>80</v>
      </c>
      <c r="N155" s="2042"/>
      <c r="O155" s="2042"/>
      <c r="P155" s="2129"/>
      <c r="Q155" s="1077">
        <f>MAX(E155,H155,K155,N155)</f>
        <v>75</v>
      </c>
      <c r="R155" s="2126">
        <f t="shared" ref="R155:R158" si="204">MAX(F155,I155,L155,O155)</f>
        <v>81</v>
      </c>
      <c r="S155" s="2127">
        <f t="shared" ref="S155:S158" si="205">MAX(G155,J155,M155,P155)</f>
        <v>80</v>
      </c>
      <c r="T155" s="853">
        <f>IFERROR(AVERAGE(Q155:S155),"")</f>
        <v>78.666666666666671</v>
      </c>
      <c r="U155" s="1295" t="str">
        <f>IF(T155&gt;85,("4"),IF(T155&gt;80,("3.66"),IF(T155&gt;75,("3.33"),IF(T155&gt;70,("3.00"),IF(T155&gt;65,("2.66"),IF(T155&gt;60,("2.33"),IF(T155&gt;55,("2"),IF(T155&gt;50,("1.66"),"1.33"))))))))</f>
        <v>3.33</v>
      </c>
      <c r="V155" s="1295" t="str">
        <f>IF(T155&gt;85,("A"),IF(T155&gt;80,("A-"),IF(T155&gt;75,("B+"),IF(T155&gt;70,("B"),IF(T155&gt;65,("B-"),IF(T155&gt;60,("C+"),IF(T155&gt;55,("C"),IF(T155&gt;50,("C-"),"D+"))))))))</f>
        <v>B+</v>
      </c>
      <c r="W155" s="1295" t="str">
        <f>IF(T155&gt;80,("SB"),IF(T155&gt;65,("B"),IF(T155&gt;50,("C"),IF(T155&gt;0,("K"),"0"))))</f>
        <v>B</v>
      </c>
      <c r="X155" s="2138"/>
      <c r="Y155" s="1287"/>
      <c r="Z155" s="1287"/>
      <c r="AA155" s="1287"/>
      <c r="AB155" s="1293"/>
      <c r="AC155" s="1293"/>
      <c r="AD155" s="1293"/>
      <c r="AE155" s="2136"/>
      <c r="AF155" s="466">
        <f>MAX(T155:T158)</f>
        <v>83</v>
      </c>
      <c r="AG155" s="466" t="str">
        <f>IF(AF155&gt;85,("A"),IF(AF155&gt;80,("A-"),IF(AF155&gt;75,("B+"),IF(AF155&gt;70,("B"),IF(AF155&gt;65,("B-"),IF(AF155&gt;60,("C+"),IF(AF155&gt;55,("C"),IF(AF155&gt;50,("C-"),"D+"))))))))</f>
        <v>A-</v>
      </c>
    </row>
    <row r="156" spans="1:33" ht="24.95" customHeight="1" x14ac:dyDescent="0.25">
      <c r="A156" s="1207"/>
      <c r="B156" s="1290"/>
      <c r="C156" s="1291"/>
      <c r="D156" s="1213" t="s">
        <v>155</v>
      </c>
      <c r="E156" s="1493"/>
      <c r="F156" s="1497"/>
      <c r="G156" s="1493"/>
      <c r="H156" s="2040">
        <v>65</v>
      </c>
      <c r="I156" s="2040">
        <v>76</v>
      </c>
      <c r="J156" s="2040">
        <v>74</v>
      </c>
      <c r="K156" s="1497"/>
      <c r="L156" s="1497"/>
      <c r="M156" s="1497"/>
      <c r="N156" s="2041">
        <v>68</v>
      </c>
      <c r="O156" s="2041">
        <v>79</v>
      </c>
      <c r="P156" s="2130">
        <v>80</v>
      </c>
      <c r="Q156" s="1077">
        <f t="shared" ref="Q156:Q157" si="206">MAX(E156,H156,K156,N156)</f>
        <v>68</v>
      </c>
      <c r="R156" s="2126">
        <f t="shared" si="204"/>
        <v>79</v>
      </c>
      <c r="S156" s="2127">
        <f t="shared" si="205"/>
        <v>80</v>
      </c>
      <c r="T156" s="853">
        <f t="shared" ref="T156:T157" si="207">IFERROR(AVERAGE(Q156:S156),"")</f>
        <v>75.666666666666671</v>
      </c>
      <c r="U156" s="1296" t="str">
        <f t="shared" ref="U156:U158" si="208">IF(T156&gt;85,("4"),IF(T156&gt;80,("3.66"),IF(T156&gt;75,("3.33"),IF(T156&gt;70,("3.00"),IF(T156&gt;65,("2.66"),IF(T156&gt;60,("2.33"),IF(T156&gt;55,("2"),IF(T156&gt;50,("1.66"),"1.33"))))))))</f>
        <v>3.33</v>
      </c>
      <c r="V156" s="1296" t="str">
        <f t="shared" ref="V156:V158" si="209">IF(T156&gt;85,("A"),IF(T156&gt;80,("A-"),IF(T156&gt;75,("B+"),IF(T156&gt;70,("B"),IF(T156&gt;65,("B-"),IF(T156&gt;60,("C+"),IF(T156&gt;55,("C"),IF(T156&gt;50,("C-"),"D+"))))))))</f>
        <v>B+</v>
      </c>
      <c r="W156" s="1296" t="str">
        <f t="shared" ref="W156:W158" si="210">IF(T156&gt;80,("SB"),IF(T156&gt;65,("B"),IF(T156&gt;50,("C"),IF(T156&gt;0,("K"),"0"))))</f>
        <v>B</v>
      </c>
      <c r="X156" s="1271"/>
      <c r="Y156" s="1271"/>
      <c r="Z156" s="1271"/>
      <c r="AA156" s="1271"/>
      <c r="AB156" s="1273"/>
      <c r="AC156" s="1273"/>
      <c r="AD156" s="1273"/>
      <c r="AE156" s="2132"/>
      <c r="AF156" s="2140"/>
      <c r="AG156" s="2141"/>
    </row>
    <row r="157" spans="1:33" ht="24.95" customHeight="1" x14ac:dyDescent="0.25">
      <c r="A157" s="1207"/>
      <c r="B157" s="1290"/>
      <c r="C157" s="1291"/>
      <c r="D157" s="1213" t="s">
        <v>9</v>
      </c>
      <c r="E157" s="1493"/>
      <c r="F157" s="1493"/>
      <c r="G157" s="1497"/>
      <c r="H157" s="2040">
        <v>78</v>
      </c>
      <c r="I157" s="2040">
        <v>82</v>
      </c>
      <c r="J157" s="2040">
        <v>80</v>
      </c>
      <c r="K157" s="1497"/>
      <c r="L157" s="1497"/>
      <c r="M157" s="1497"/>
      <c r="N157" s="2042"/>
      <c r="O157" s="2042"/>
      <c r="P157" s="2129"/>
      <c r="Q157" s="1077">
        <f t="shared" si="206"/>
        <v>78</v>
      </c>
      <c r="R157" s="2126">
        <f t="shared" si="204"/>
        <v>82</v>
      </c>
      <c r="S157" s="2127">
        <f t="shared" si="205"/>
        <v>80</v>
      </c>
      <c r="T157" s="853">
        <f t="shared" si="207"/>
        <v>80</v>
      </c>
      <c r="U157" s="1296" t="str">
        <f t="shared" si="208"/>
        <v>3.33</v>
      </c>
      <c r="V157" s="1296" t="str">
        <f t="shared" si="209"/>
        <v>B+</v>
      </c>
      <c r="W157" s="1296" t="str">
        <f t="shared" si="210"/>
        <v>B</v>
      </c>
      <c r="X157" s="1274"/>
      <c r="Y157" s="1274"/>
      <c r="Z157" s="1274"/>
      <c r="AA157" s="1274"/>
      <c r="AB157" s="1276"/>
      <c r="AC157" s="1276"/>
      <c r="AD157" s="1276"/>
      <c r="AE157" s="2133"/>
      <c r="AF157" s="2142"/>
      <c r="AG157" s="2143"/>
    </row>
    <row r="158" spans="1:33" ht="24.95" customHeight="1" x14ac:dyDescent="0.25">
      <c r="A158" s="1207"/>
      <c r="B158" s="1290"/>
      <c r="C158" s="1291"/>
      <c r="D158" s="1213" t="s">
        <v>11</v>
      </c>
      <c r="E158" s="1497">
        <v>76</v>
      </c>
      <c r="F158" s="1497">
        <v>75</v>
      </c>
      <c r="G158" s="1493">
        <v>80</v>
      </c>
      <c r="H158" s="2040">
        <v>89</v>
      </c>
      <c r="I158" s="2040">
        <v>75</v>
      </c>
      <c r="J158" s="2040">
        <v>81</v>
      </c>
      <c r="K158" s="1493">
        <v>65</v>
      </c>
      <c r="L158" s="1493">
        <v>79</v>
      </c>
      <c r="M158" s="1493">
        <v>80</v>
      </c>
      <c r="N158" s="2042"/>
      <c r="O158" s="2042"/>
      <c r="P158" s="2129"/>
      <c r="Q158" s="1077">
        <f>MAX(E158,H158,K158,N158)</f>
        <v>89</v>
      </c>
      <c r="R158" s="2126">
        <f t="shared" si="204"/>
        <v>79</v>
      </c>
      <c r="S158" s="2127">
        <f t="shared" si="205"/>
        <v>81</v>
      </c>
      <c r="T158" s="853">
        <f>IFERROR(AVERAGE(Q158:S158),"")</f>
        <v>83</v>
      </c>
      <c r="U158" s="1296" t="str">
        <f t="shared" si="208"/>
        <v>3.66</v>
      </c>
      <c r="V158" s="1296" t="str">
        <f t="shared" si="209"/>
        <v>A-</v>
      </c>
      <c r="W158" s="1296" t="str">
        <f t="shared" si="210"/>
        <v>SB</v>
      </c>
      <c r="X158" s="1274"/>
      <c r="Y158" s="1274"/>
      <c r="Z158" s="1274"/>
      <c r="AA158" s="1274"/>
      <c r="AB158" s="1276"/>
      <c r="AC158" s="1276"/>
      <c r="AD158" s="1276"/>
      <c r="AE158" s="2133"/>
      <c r="AF158" s="2144"/>
      <c r="AG158" s="2145"/>
    </row>
    <row r="159" spans="1:33" ht="24.95" customHeight="1" x14ac:dyDescent="0.25">
      <c r="A159" s="1236"/>
      <c r="B159" s="1280">
        <v>30</v>
      </c>
      <c r="C159" s="1292"/>
      <c r="D159" s="1279"/>
      <c r="E159" s="2729"/>
      <c r="F159" s="2730"/>
      <c r="G159" s="2730"/>
      <c r="H159" s="2730"/>
      <c r="I159" s="2077"/>
      <c r="J159" s="2077"/>
      <c r="K159" s="2077"/>
      <c r="L159" s="2077"/>
      <c r="M159" s="2077"/>
      <c r="N159" s="2077"/>
      <c r="O159" s="2077"/>
      <c r="P159" s="2077"/>
      <c r="Q159" s="2150"/>
      <c r="R159" s="2151"/>
      <c r="S159" s="2151"/>
      <c r="T159" s="1297">
        <f>IFERROR(AVERAGE(T155:T158),"  ")</f>
        <v>79.333333333333343</v>
      </c>
      <c r="U159" s="1298" t="str">
        <f>IF(T14&gt;85,("4"),IF(T14&gt;80,("3.66"),IF(T14&gt;75,("3.33"),IF(T14&gt;70,("3.00"),IF(T14&gt;65,("2.66"),IF(T14&gt;60,("2.33"),IF(T14&gt;55,("2"),IF(T14&gt;50,("1.66"),"1.33"))))))))</f>
        <v>3.33</v>
      </c>
      <c r="V159" s="1298" t="str">
        <f>IF(T14&gt;85,("A"),IF(T14&gt;80,("A-"),IF(T14&gt;75,("B+"),IF(T14&gt;70,("B"),IF(T14&gt;65,("B-"),IF(T14&gt;60,("C+"),IF(T14&gt;55,("C"),IF(T14&gt;50,("C-"),"D+"))))))))</f>
        <v>B+</v>
      </c>
      <c r="W159" s="1299"/>
      <c r="X159" s="1283"/>
      <c r="Y159" s="1283"/>
      <c r="Z159" s="1283"/>
      <c r="AA159" s="1283"/>
      <c r="AB159" s="1283"/>
      <c r="AC159" s="1283"/>
      <c r="AD159" s="1283"/>
      <c r="AE159" s="1283"/>
      <c r="AF159" s="2146"/>
      <c r="AG159" s="2147"/>
    </row>
    <row r="160" spans="1:33" ht="24.95" customHeight="1" x14ac:dyDescent="0.25">
      <c r="A160" s="1224">
        <v>31</v>
      </c>
      <c r="B160" s="1285"/>
      <c r="C160" s="1286" t="e">
        <f>VLOOKUP(A160,data_siswa,4,FALSE)</f>
        <v>#N/A</v>
      </c>
      <c r="D160" s="1210" t="s">
        <v>154</v>
      </c>
      <c r="E160" s="1497"/>
      <c r="F160" s="1497"/>
      <c r="G160" s="1497"/>
      <c r="H160" s="2043">
        <v>75</v>
      </c>
      <c r="I160" s="2043">
        <v>81</v>
      </c>
      <c r="J160" s="2043">
        <v>75</v>
      </c>
      <c r="K160" s="1497">
        <v>65</v>
      </c>
      <c r="L160" s="1497">
        <v>69</v>
      </c>
      <c r="M160" s="1497">
        <v>80</v>
      </c>
      <c r="N160" s="2042"/>
      <c r="O160" s="2042"/>
      <c r="P160" s="2129"/>
      <c r="Q160" s="1077">
        <f>MAX(E160,H160,K160,N160)</f>
        <v>75</v>
      </c>
      <c r="R160" s="2126">
        <f t="shared" ref="R160:R163" si="211">MAX(F160,I160,L160,O160)</f>
        <v>81</v>
      </c>
      <c r="S160" s="2127">
        <f t="shared" ref="S160:S163" si="212">MAX(G160,J160,M160,P160)</f>
        <v>80</v>
      </c>
      <c r="T160" s="853">
        <f>IFERROR(AVERAGE(Q160:S160),"")</f>
        <v>78.666666666666671</v>
      </c>
      <c r="U160" s="1295" t="str">
        <f>IF(T160&gt;85,("4"),IF(T160&gt;80,("3.66"),IF(T160&gt;75,("3.33"),IF(T160&gt;70,("3.00"),IF(T160&gt;65,("2.66"),IF(T160&gt;60,("2.33"),IF(T160&gt;55,("2"),IF(T160&gt;50,("1.66"),"1.33"))))))))</f>
        <v>3.33</v>
      </c>
      <c r="V160" s="1295" t="str">
        <f>IF(T160&gt;85,("A"),IF(T160&gt;80,("A-"),IF(T160&gt;75,("B+"),IF(T160&gt;70,("B"),IF(T160&gt;65,("B-"),IF(T160&gt;60,("C+"),IF(T160&gt;55,("C"),IF(T160&gt;50,("C-"),"D+"))))))))</f>
        <v>B+</v>
      </c>
      <c r="W160" s="1295" t="str">
        <f>IF(T160&gt;80,("SB"),IF(T160&gt;65,("B"),IF(T160&gt;50,("C"),IF(T160&gt;0,("K"),"0"))))</f>
        <v>B</v>
      </c>
      <c r="X160" s="2138"/>
      <c r="Y160" s="1287"/>
      <c r="Z160" s="1287"/>
      <c r="AA160" s="1287"/>
      <c r="AB160" s="1293"/>
      <c r="AC160" s="1293"/>
      <c r="AD160" s="1293"/>
      <c r="AE160" s="2136"/>
      <c r="AF160" s="466">
        <f>MAX(T160:T163)</f>
        <v>83</v>
      </c>
      <c r="AG160" s="466" t="str">
        <f>IF(AF160&gt;85,("A"),IF(AF160&gt;80,("A-"),IF(AF160&gt;75,("B+"),IF(AF160&gt;70,("B"),IF(AF160&gt;65,("B-"),IF(AF160&gt;60,("C+"),IF(AF160&gt;55,("C"),IF(AF160&gt;50,("C-"),"D+"))))))))</f>
        <v>A-</v>
      </c>
    </row>
    <row r="161" spans="1:33" ht="24.95" customHeight="1" x14ac:dyDescent="0.25">
      <c r="A161" s="1207"/>
      <c r="B161" s="1290"/>
      <c r="C161" s="1291"/>
      <c r="D161" s="1213" t="s">
        <v>155</v>
      </c>
      <c r="E161" s="1493"/>
      <c r="F161" s="1497"/>
      <c r="G161" s="1493"/>
      <c r="H161" s="2040">
        <v>65</v>
      </c>
      <c r="I161" s="2040">
        <v>76</v>
      </c>
      <c r="J161" s="2040">
        <v>74</v>
      </c>
      <c r="K161" s="1497"/>
      <c r="L161" s="1497"/>
      <c r="M161" s="1497"/>
      <c r="N161" s="2041">
        <v>68</v>
      </c>
      <c r="O161" s="2041">
        <v>79</v>
      </c>
      <c r="P161" s="2130">
        <v>80</v>
      </c>
      <c r="Q161" s="1077">
        <f t="shared" ref="Q161:Q162" si="213">MAX(E161,H161,K161,N161)</f>
        <v>68</v>
      </c>
      <c r="R161" s="2126">
        <f t="shared" si="211"/>
        <v>79</v>
      </c>
      <c r="S161" s="2127">
        <f t="shared" si="212"/>
        <v>80</v>
      </c>
      <c r="T161" s="853">
        <f t="shared" ref="T161:T162" si="214">IFERROR(AVERAGE(Q161:S161),"")</f>
        <v>75.666666666666671</v>
      </c>
      <c r="U161" s="1296" t="str">
        <f t="shared" ref="U161:U163" si="215">IF(T161&gt;85,("4"),IF(T161&gt;80,("3.66"),IF(T161&gt;75,("3.33"),IF(T161&gt;70,("3.00"),IF(T161&gt;65,("2.66"),IF(T161&gt;60,("2.33"),IF(T161&gt;55,("2"),IF(T161&gt;50,("1.66"),"1.33"))))))))</f>
        <v>3.33</v>
      </c>
      <c r="V161" s="1296" t="str">
        <f t="shared" ref="V161:V163" si="216">IF(T161&gt;85,("A"),IF(T161&gt;80,("A-"),IF(T161&gt;75,("B+"),IF(T161&gt;70,("B"),IF(T161&gt;65,("B-"),IF(T161&gt;60,("C+"),IF(T161&gt;55,("C"),IF(T161&gt;50,("C-"),"D+"))))))))</f>
        <v>B+</v>
      </c>
      <c r="W161" s="1296" t="str">
        <f t="shared" ref="W161:W163" si="217">IF(T161&gt;80,("SB"),IF(T161&gt;65,("B"),IF(T161&gt;50,("C"),IF(T161&gt;0,("K"),"0"))))</f>
        <v>B</v>
      </c>
      <c r="X161" s="1271"/>
      <c r="Y161" s="1271"/>
      <c r="Z161" s="1271"/>
      <c r="AA161" s="1271"/>
      <c r="AB161" s="1273"/>
      <c r="AC161" s="1273"/>
      <c r="AD161" s="1273"/>
      <c r="AE161" s="2132"/>
      <c r="AF161" s="2140"/>
      <c r="AG161" s="2141"/>
    </row>
    <row r="162" spans="1:33" ht="24.95" customHeight="1" x14ac:dyDescent="0.25">
      <c r="A162" s="1207"/>
      <c r="B162" s="1290"/>
      <c r="C162" s="1291"/>
      <c r="D162" s="1213" t="s">
        <v>9</v>
      </c>
      <c r="E162" s="1493"/>
      <c r="F162" s="1493"/>
      <c r="G162" s="1497"/>
      <c r="H162" s="2040">
        <v>78</v>
      </c>
      <c r="I162" s="2040">
        <v>82</v>
      </c>
      <c r="J162" s="2040">
        <v>80</v>
      </c>
      <c r="K162" s="1497"/>
      <c r="L162" s="1497"/>
      <c r="M162" s="1497"/>
      <c r="N162" s="2042"/>
      <c r="O162" s="2042"/>
      <c r="P162" s="2129"/>
      <c r="Q162" s="1077">
        <f t="shared" si="213"/>
        <v>78</v>
      </c>
      <c r="R162" s="2126">
        <f t="shared" si="211"/>
        <v>82</v>
      </c>
      <c r="S162" s="2127">
        <f t="shared" si="212"/>
        <v>80</v>
      </c>
      <c r="T162" s="853">
        <f t="shared" si="214"/>
        <v>80</v>
      </c>
      <c r="U162" s="1296" t="str">
        <f t="shared" si="215"/>
        <v>3.33</v>
      </c>
      <c r="V162" s="1296" t="str">
        <f t="shared" si="216"/>
        <v>B+</v>
      </c>
      <c r="W162" s="1296" t="str">
        <f t="shared" si="217"/>
        <v>B</v>
      </c>
      <c r="X162" s="1274"/>
      <c r="Y162" s="1274"/>
      <c r="Z162" s="1274"/>
      <c r="AA162" s="1274"/>
      <c r="AB162" s="1276"/>
      <c r="AC162" s="1276"/>
      <c r="AD162" s="1276"/>
      <c r="AE162" s="2133"/>
      <c r="AF162" s="2142"/>
      <c r="AG162" s="2143"/>
    </row>
    <row r="163" spans="1:33" ht="24.95" customHeight="1" x14ac:dyDescent="0.25">
      <c r="A163" s="1207"/>
      <c r="B163" s="1290"/>
      <c r="C163" s="1291"/>
      <c r="D163" s="1213" t="s">
        <v>11</v>
      </c>
      <c r="E163" s="1497">
        <v>76</v>
      </c>
      <c r="F163" s="1497">
        <v>75</v>
      </c>
      <c r="G163" s="1493">
        <v>80</v>
      </c>
      <c r="H163" s="2040">
        <v>89</v>
      </c>
      <c r="I163" s="2040">
        <v>75</v>
      </c>
      <c r="J163" s="2040">
        <v>81</v>
      </c>
      <c r="K163" s="1493">
        <v>65</v>
      </c>
      <c r="L163" s="1493">
        <v>79</v>
      </c>
      <c r="M163" s="1493">
        <v>80</v>
      </c>
      <c r="N163" s="2042"/>
      <c r="O163" s="2042"/>
      <c r="P163" s="2129"/>
      <c r="Q163" s="1077">
        <f>MAX(E163,H163,K163,N163)</f>
        <v>89</v>
      </c>
      <c r="R163" s="2126">
        <f t="shared" si="211"/>
        <v>79</v>
      </c>
      <c r="S163" s="2127">
        <f t="shared" si="212"/>
        <v>81</v>
      </c>
      <c r="T163" s="853">
        <f>IFERROR(AVERAGE(Q163:S163),"")</f>
        <v>83</v>
      </c>
      <c r="U163" s="1296" t="str">
        <f t="shared" si="215"/>
        <v>3.66</v>
      </c>
      <c r="V163" s="1296" t="str">
        <f t="shared" si="216"/>
        <v>A-</v>
      </c>
      <c r="W163" s="1296" t="str">
        <f t="shared" si="217"/>
        <v>SB</v>
      </c>
      <c r="X163" s="1274"/>
      <c r="Y163" s="1274"/>
      <c r="Z163" s="1274"/>
      <c r="AA163" s="1274"/>
      <c r="AB163" s="1276"/>
      <c r="AC163" s="1276"/>
      <c r="AD163" s="1276"/>
      <c r="AE163" s="2133"/>
      <c r="AF163" s="2144"/>
      <c r="AG163" s="2145"/>
    </row>
    <row r="164" spans="1:33" ht="24.95" customHeight="1" x14ac:dyDescent="0.25">
      <c r="A164" s="1236"/>
      <c r="B164" s="1280">
        <v>31</v>
      </c>
      <c r="C164" s="1292"/>
      <c r="D164" s="1279"/>
      <c r="E164" s="2729"/>
      <c r="F164" s="2730"/>
      <c r="G164" s="2730"/>
      <c r="H164" s="2730"/>
      <c r="I164" s="2077"/>
      <c r="J164" s="2077"/>
      <c r="K164" s="2077"/>
      <c r="L164" s="2077"/>
      <c r="M164" s="2077"/>
      <c r="N164" s="2077"/>
      <c r="O164" s="2077"/>
      <c r="P164" s="2077"/>
      <c r="Q164" s="2150"/>
      <c r="R164" s="2151"/>
      <c r="S164" s="2151"/>
      <c r="T164" s="1297">
        <f>IFERROR(AVERAGE(T160:T163),"  ")</f>
        <v>79.333333333333343</v>
      </c>
      <c r="U164" s="1298" t="str">
        <f>IF(T14&gt;85,("4"),IF(T14&gt;80,("3.66"),IF(T14&gt;75,("3.33"),IF(T14&gt;70,("3.00"),IF(T14&gt;65,("2.66"),IF(T14&gt;60,("2.33"),IF(T14&gt;55,("2"),IF(T14&gt;50,("1.66"),"1.33"))))))))</f>
        <v>3.33</v>
      </c>
      <c r="V164" s="1298" t="str">
        <f>IF(T14&gt;85,("A"),IF(T14&gt;80,("A-"),IF(T14&gt;75,("B+"),IF(T14&gt;70,("B"),IF(T14&gt;65,("B-"),IF(T14&gt;60,("C+"),IF(T14&gt;55,("C"),IF(T14&gt;50,("C-"),"D+"))))))))</f>
        <v>B+</v>
      </c>
      <c r="W164" s="1299"/>
      <c r="X164" s="1283"/>
      <c r="Y164" s="1283"/>
      <c r="Z164" s="1283"/>
      <c r="AA164" s="1283"/>
      <c r="AB164" s="1283"/>
      <c r="AC164" s="1283"/>
      <c r="AD164" s="1283"/>
      <c r="AE164" s="1283"/>
      <c r="AF164" s="2146"/>
      <c r="AG164" s="2147"/>
    </row>
    <row r="165" spans="1:33" ht="24.95" customHeight="1" x14ac:dyDescent="0.25">
      <c r="A165" s="1224">
        <v>32</v>
      </c>
      <c r="B165" s="1285"/>
      <c r="C165" s="1286" t="e">
        <f>VLOOKUP(A165,data_siswa,4,FALSE)</f>
        <v>#N/A</v>
      </c>
      <c r="D165" s="1210" t="s">
        <v>154</v>
      </c>
      <c r="E165" s="1493"/>
      <c r="F165" s="1493"/>
      <c r="G165" s="1493"/>
      <c r="H165" s="2040">
        <v>0</v>
      </c>
      <c r="I165" s="2040">
        <v>0</v>
      </c>
      <c r="J165" s="2040">
        <v>0</v>
      </c>
      <c r="K165" s="1493">
        <v>0</v>
      </c>
      <c r="L165" s="1493">
        <v>0</v>
      </c>
      <c r="M165" s="1493">
        <v>0</v>
      </c>
      <c r="N165" s="2041"/>
      <c r="O165" s="2041"/>
      <c r="P165" s="2130"/>
      <c r="Q165" s="1077">
        <f>MAX(E165,H165,K165,N165)</f>
        <v>0</v>
      </c>
      <c r="R165" s="2126">
        <f t="shared" ref="R165:R168" si="218">MAX(F165,I165,L165,O165)</f>
        <v>0</v>
      </c>
      <c r="S165" s="2127">
        <f t="shared" ref="S165:S168" si="219">MAX(G165,J165,M165,P165)</f>
        <v>0</v>
      </c>
      <c r="T165" s="853">
        <f>IFERROR(AVERAGE(Q165:S165),"")</f>
        <v>0</v>
      </c>
      <c r="U165" s="1295" t="str">
        <f>IF(T165&gt;85,("4"),IF(T165&gt;80,("3.66"),IF(T165&gt;75,("3.33"),IF(T165&gt;70,("3.00"),IF(T165&gt;65,("2.66"),IF(T165&gt;60,("2.33"),IF(T165&gt;55,("2"),IF(T165&gt;50,("1.66"),"1.33"))))))))</f>
        <v>1.33</v>
      </c>
      <c r="V165" s="1295" t="str">
        <f>IF(T165&gt;85,("A"),IF(T165&gt;80,("A-"),IF(T165&gt;75,("B+"),IF(T165&gt;70,("B"),IF(T165&gt;65,("B-"),IF(T165&gt;60,("C+"),IF(T165&gt;55,("C"),IF(T165&gt;50,("C-"),"D+"))))))))</f>
        <v>D+</v>
      </c>
      <c r="W165" s="1295" t="str">
        <f>IF(T165&gt;80,("SB"),IF(T165&gt;65,("B"),IF(T165&gt;50,("C"),IF(T165&gt;0,("K"),"0"))))</f>
        <v>0</v>
      </c>
      <c r="X165" s="2138"/>
      <c r="Y165" s="1287"/>
      <c r="Z165" s="1287"/>
      <c r="AA165" s="1287"/>
      <c r="AB165" s="1293"/>
      <c r="AC165" s="1293"/>
      <c r="AD165" s="1293"/>
      <c r="AE165" s="2136"/>
      <c r="AF165" s="466">
        <f>MAX(T165:T168)</f>
        <v>0</v>
      </c>
      <c r="AG165" s="466" t="str">
        <f>IF(AF165&gt;85,("A"),IF(AF165&gt;80,("A-"),IF(AF165&gt;75,("B+"),IF(AF165&gt;70,("B"),IF(AF165&gt;65,("B-"),IF(AF165&gt;60,("C+"),IF(AF165&gt;55,("C"),IF(AF165&gt;50,("C-"),"D+"))))))))</f>
        <v>D+</v>
      </c>
    </row>
    <row r="166" spans="1:33" ht="24.95" customHeight="1" x14ac:dyDescent="0.25">
      <c r="A166" s="1207"/>
      <c r="B166" s="1290"/>
      <c r="C166" s="1291"/>
      <c r="D166" s="1213" t="s">
        <v>155</v>
      </c>
      <c r="E166" s="1493"/>
      <c r="F166" s="1497"/>
      <c r="G166" s="1493"/>
      <c r="H166" s="2040">
        <v>0</v>
      </c>
      <c r="I166" s="2040">
        <v>0</v>
      </c>
      <c r="J166" s="2040">
        <v>0</v>
      </c>
      <c r="K166" s="1497"/>
      <c r="L166" s="1497"/>
      <c r="M166" s="1497"/>
      <c r="N166" s="2041">
        <v>0</v>
      </c>
      <c r="O166" s="2041">
        <v>0</v>
      </c>
      <c r="P166" s="2130">
        <v>0</v>
      </c>
      <c r="Q166" s="1077">
        <f t="shared" ref="Q166:Q167" si="220">MAX(E166,H166,K166,N166)</f>
        <v>0</v>
      </c>
      <c r="R166" s="2126">
        <f t="shared" si="218"/>
        <v>0</v>
      </c>
      <c r="S166" s="2127">
        <f t="shared" si="219"/>
        <v>0</v>
      </c>
      <c r="T166" s="853">
        <f t="shared" ref="T166:T167" si="221">IFERROR(AVERAGE(Q166:S166),"")</f>
        <v>0</v>
      </c>
      <c r="U166" s="1296" t="str">
        <f t="shared" ref="U166:U168" si="222">IF(T166&gt;85,("4"),IF(T166&gt;80,("3.66"),IF(T166&gt;75,("3.33"),IF(T166&gt;70,("3.00"),IF(T166&gt;65,("2.66"),IF(T166&gt;60,("2.33"),IF(T166&gt;55,("2"),IF(T166&gt;50,("1.66"),"1.33"))))))))</f>
        <v>1.33</v>
      </c>
      <c r="V166" s="1296" t="str">
        <f t="shared" ref="V166:V168" si="223">IF(T166&gt;85,("A"),IF(T166&gt;80,("A-"),IF(T166&gt;75,("B+"),IF(T166&gt;70,("B"),IF(T166&gt;65,("B-"),IF(T166&gt;60,("C+"),IF(T166&gt;55,("C"),IF(T166&gt;50,("C-"),"D+"))))))))</f>
        <v>D+</v>
      </c>
      <c r="W166" s="1296" t="str">
        <f t="shared" ref="W166:W168" si="224">IF(T166&gt;80,("SB"),IF(T166&gt;65,("B"),IF(T166&gt;50,("C"),IF(T166&gt;0,("K"),"0"))))</f>
        <v>0</v>
      </c>
      <c r="X166" s="1271"/>
      <c r="Y166" s="1271"/>
      <c r="Z166" s="1271"/>
      <c r="AA166" s="1271"/>
      <c r="AB166" s="1273"/>
      <c r="AC166" s="1273"/>
      <c r="AD166" s="1273"/>
      <c r="AE166" s="2132"/>
      <c r="AF166" s="2140"/>
      <c r="AG166" s="2141"/>
    </row>
    <row r="167" spans="1:33" ht="24.95" customHeight="1" x14ac:dyDescent="0.25">
      <c r="A167" s="1207"/>
      <c r="B167" s="1290"/>
      <c r="C167" s="1291"/>
      <c r="D167" s="1213" t="s">
        <v>9</v>
      </c>
      <c r="E167" s="1493"/>
      <c r="F167" s="1493"/>
      <c r="G167" s="1497"/>
      <c r="H167" s="2040">
        <v>0</v>
      </c>
      <c r="I167" s="2040">
        <v>0</v>
      </c>
      <c r="J167" s="2040">
        <v>0</v>
      </c>
      <c r="K167" s="1497"/>
      <c r="L167" s="1497"/>
      <c r="M167" s="1497"/>
      <c r="N167" s="2042"/>
      <c r="O167" s="2042"/>
      <c r="P167" s="2129"/>
      <c r="Q167" s="1077">
        <f t="shared" si="220"/>
        <v>0</v>
      </c>
      <c r="R167" s="2126">
        <f t="shared" si="218"/>
        <v>0</v>
      </c>
      <c r="S167" s="2127">
        <f t="shared" si="219"/>
        <v>0</v>
      </c>
      <c r="T167" s="853">
        <f t="shared" si="221"/>
        <v>0</v>
      </c>
      <c r="U167" s="1296" t="str">
        <f t="shared" si="222"/>
        <v>1.33</v>
      </c>
      <c r="V167" s="1296" t="str">
        <f t="shared" si="223"/>
        <v>D+</v>
      </c>
      <c r="W167" s="1296" t="str">
        <f t="shared" si="224"/>
        <v>0</v>
      </c>
      <c r="X167" s="1274"/>
      <c r="Y167" s="1274"/>
      <c r="Z167" s="1274"/>
      <c r="AA167" s="1274"/>
      <c r="AB167" s="1276"/>
      <c r="AC167" s="1276"/>
      <c r="AD167" s="1276"/>
      <c r="AE167" s="2133"/>
      <c r="AF167" s="2142"/>
      <c r="AG167" s="2143"/>
    </row>
    <row r="168" spans="1:33" ht="24.95" customHeight="1" x14ac:dyDescent="0.25">
      <c r="A168" s="1207"/>
      <c r="B168" s="1290"/>
      <c r="C168" s="1291"/>
      <c r="D168" s="1213" t="s">
        <v>11</v>
      </c>
      <c r="E168" s="1497">
        <v>0</v>
      </c>
      <c r="F168" s="1497">
        <v>0</v>
      </c>
      <c r="G168" s="1493">
        <v>0</v>
      </c>
      <c r="H168" s="2040">
        <v>0</v>
      </c>
      <c r="I168" s="2040">
        <v>0</v>
      </c>
      <c r="J168" s="2040">
        <v>0</v>
      </c>
      <c r="K168" s="1493">
        <v>0</v>
      </c>
      <c r="L168" s="1493">
        <v>0</v>
      </c>
      <c r="M168" s="1493">
        <v>0</v>
      </c>
      <c r="N168" s="2042"/>
      <c r="O168" s="2042"/>
      <c r="P168" s="2129"/>
      <c r="Q168" s="1077">
        <f>MAX(E168,H168,K168,N168)</f>
        <v>0</v>
      </c>
      <c r="R168" s="2126">
        <f t="shared" si="218"/>
        <v>0</v>
      </c>
      <c r="S168" s="2127">
        <f t="shared" si="219"/>
        <v>0</v>
      </c>
      <c r="T168" s="853">
        <f>IFERROR(AVERAGE(Q168:S168),"")</f>
        <v>0</v>
      </c>
      <c r="U168" s="1296" t="str">
        <f t="shared" si="222"/>
        <v>1.33</v>
      </c>
      <c r="V168" s="1296" t="str">
        <f t="shared" si="223"/>
        <v>D+</v>
      </c>
      <c r="W168" s="1296" t="str">
        <f t="shared" si="224"/>
        <v>0</v>
      </c>
      <c r="X168" s="1274"/>
      <c r="Y168" s="1274"/>
      <c r="Z168" s="1274"/>
      <c r="AA168" s="1274"/>
      <c r="AB168" s="1276"/>
      <c r="AC168" s="1276"/>
      <c r="AD168" s="1276"/>
      <c r="AE168" s="2133"/>
      <c r="AF168" s="2144"/>
      <c r="AG168" s="2145"/>
    </row>
    <row r="169" spans="1:33" ht="24.95" customHeight="1" x14ac:dyDescent="0.25">
      <c r="A169" s="1236"/>
      <c r="B169" s="1280">
        <v>32</v>
      </c>
      <c r="C169" s="1292"/>
      <c r="D169" s="1279"/>
      <c r="E169" s="2729"/>
      <c r="F169" s="2730"/>
      <c r="G169" s="2730"/>
      <c r="H169" s="2730"/>
      <c r="I169" s="2077"/>
      <c r="J169" s="2077"/>
      <c r="K169" s="2077"/>
      <c r="L169" s="2077"/>
      <c r="M169" s="2077"/>
      <c r="N169" s="2077"/>
      <c r="O169" s="2077"/>
      <c r="P169" s="2077"/>
      <c r="Q169" s="2150"/>
      <c r="R169" s="2151"/>
      <c r="S169" s="2151"/>
      <c r="T169" s="1297">
        <f>IFERROR(AVERAGE(T165:T168),"  ")</f>
        <v>0</v>
      </c>
      <c r="U169" s="1298" t="str">
        <f>IF(T14&gt;85,("4"),IF(T14&gt;80,("3.66"),IF(T14&gt;75,("3.33"),IF(T14&gt;70,("3.00"),IF(T14&gt;65,("2.66"),IF(T14&gt;60,("2.33"),IF(T14&gt;55,("2"),IF(T14&gt;50,("1.66"),"1.33"))))))))</f>
        <v>3.33</v>
      </c>
      <c r="V169" s="1298" t="str">
        <f>IF(T14&gt;85,("A"),IF(T14&gt;80,("A-"),IF(T14&gt;75,("B+"),IF(T14&gt;70,("B"),IF(T14&gt;65,("B-"),IF(T14&gt;60,("C+"),IF(T14&gt;55,("C"),IF(T14&gt;50,("C-"),"D+"))))))))</f>
        <v>B+</v>
      </c>
      <c r="W169" s="1299"/>
      <c r="X169" s="1283"/>
      <c r="Y169" s="1283"/>
      <c r="Z169" s="1283"/>
      <c r="AA169" s="1283"/>
      <c r="AB169" s="1283"/>
      <c r="AC169" s="1283"/>
      <c r="AD169" s="1283"/>
      <c r="AE169" s="1283"/>
      <c r="AF169" s="2146"/>
      <c r="AG169" s="2147"/>
    </row>
    <row r="170" spans="1:33" ht="24.95" customHeight="1" x14ac:dyDescent="0.25">
      <c r="A170" s="1224">
        <v>33</v>
      </c>
      <c r="B170" s="1285"/>
      <c r="C170" s="1286" t="e">
        <f>VLOOKUP(A170,data_siswa,4,FALSE)</f>
        <v>#N/A</v>
      </c>
      <c r="D170" s="1210" t="s">
        <v>154</v>
      </c>
      <c r="E170" s="1497"/>
      <c r="F170" s="1497"/>
      <c r="G170" s="1497"/>
      <c r="H170" s="2043">
        <v>75</v>
      </c>
      <c r="I170" s="2043">
        <v>81</v>
      </c>
      <c r="J170" s="2043">
        <v>75</v>
      </c>
      <c r="K170" s="1497">
        <v>65</v>
      </c>
      <c r="L170" s="1497">
        <v>69</v>
      </c>
      <c r="M170" s="1497">
        <v>80</v>
      </c>
      <c r="N170" s="2042"/>
      <c r="O170" s="2042"/>
      <c r="P170" s="2129"/>
      <c r="Q170" s="1077">
        <f>MAX(E170,H170,K170,N170)</f>
        <v>75</v>
      </c>
      <c r="R170" s="2126">
        <f t="shared" ref="R170:R173" si="225">MAX(F170,I170,L170,O170)</f>
        <v>81</v>
      </c>
      <c r="S170" s="2127">
        <f t="shared" ref="S170:S173" si="226">MAX(G170,J170,M170,P170)</f>
        <v>80</v>
      </c>
      <c r="T170" s="853">
        <f>IFERROR(AVERAGE(Q170:S170),"")</f>
        <v>78.666666666666671</v>
      </c>
      <c r="U170" s="1295" t="str">
        <f>IF(T170&gt;85,("4"),IF(T170&gt;80,("3.66"),IF(T170&gt;75,("3.33"),IF(T170&gt;70,("3.00"),IF(T170&gt;65,("2.66"),IF(T170&gt;60,("2.33"),IF(T170&gt;55,("2"),IF(T170&gt;50,("1.66"),"1.33"))))))))</f>
        <v>3.33</v>
      </c>
      <c r="V170" s="1295" t="str">
        <f>IF(T170&gt;85,("A"),IF(T170&gt;80,("A-"),IF(T170&gt;75,("B+"),IF(T170&gt;70,("B"),IF(T170&gt;65,("B-"),IF(T170&gt;60,("C+"),IF(T170&gt;55,("C"),IF(T170&gt;50,("C-"),"D+"))))))))</f>
        <v>B+</v>
      </c>
      <c r="W170" s="1295" t="str">
        <f>IF(T170&gt;80,("SB"),IF(T170&gt;65,("B"),IF(T170&gt;50,("C"),IF(T170&gt;0,("K"),"0"))))</f>
        <v>B</v>
      </c>
      <c r="X170" s="2138"/>
      <c r="Y170" s="1287"/>
      <c r="Z170" s="1287"/>
      <c r="AA170" s="1287"/>
      <c r="AB170" s="1293"/>
      <c r="AC170" s="1293"/>
      <c r="AD170" s="1293"/>
      <c r="AE170" s="2136"/>
      <c r="AF170" s="466">
        <f>MAX(T170:T173)</f>
        <v>83</v>
      </c>
      <c r="AG170" s="466" t="str">
        <f>IF(AF170&gt;85,("A"),IF(AF170&gt;80,("A-"),IF(AF170&gt;75,("B+"),IF(AF170&gt;70,("B"),IF(AF170&gt;65,("B-"),IF(AF170&gt;60,("C+"),IF(AF170&gt;55,("C"),IF(AF170&gt;50,("C-"),"D+"))))))))</f>
        <v>A-</v>
      </c>
    </row>
    <row r="171" spans="1:33" ht="24.95" customHeight="1" x14ac:dyDescent="0.25">
      <c r="A171" s="1207"/>
      <c r="B171" s="1290"/>
      <c r="C171" s="1291"/>
      <c r="D171" s="1213" t="s">
        <v>155</v>
      </c>
      <c r="E171" s="1493"/>
      <c r="F171" s="1497"/>
      <c r="G171" s="1493"/>
      <c r="H171" s="2040">
        <v>65</v>
      </c>
      <c r="I171" s="2040">
        <v>76</v>
      </c>
      <c r="J171" s="2040">
        <v>74</v>
      </c>
      <c r="K171" s="1497"/>
      <c r="L171" s="1497"/>
      <c r="M171" s="1497"/>
      <c r="N171" s="2041">
        <v>68</v>
      </c>
      <c r="O171" s="2041">
        <v>79</v>
      </c>
      <c r="P171" s="2130">
        <v>80</v>
      </c>
      <c r="Q171" s="1077">
        <f t="shared" ref="Q171:Q172" si="227">MAX(E171,H171,K171,N171)</f>
        <v>68</v>
      </c>
      <c r="R171" s="2126">
        <f t="shared" si="225"/>
        <v>79</v>
      </c>
      <c r="S171" s="2127">
        <f t="shared" si="226"/>
        <v>80</v>
      </c>
      <c r="T171" s="853">
        <f t="shared" ref="T171:T172" si="228">IFERROR(AVERAGE(Q171:S171),"")</f>
        <v>75.666666666666671</v>
      </c>
      <c r="U171" s="1296" t="str">
        <f t="shared" ref="U171:U173" si="229">IF(T171&gt;85,("4"),IF(T171&gt;80,("3.66"),IF(T171&gt;75,("3.33"),IF(T171&gt;70,("3.00"),IF(T171&gt;65,("2.66"),IF(T171&gt;60,("2.33"),IF(T171&gt;55,("2"),IF(T171&gt;50,("1.66"),"1.33"))))))))</f>
        <v>3.33</v>
      </c>
      <c r="V171" s="1296" t="str">
        <f t="shared" ref="V171:V173" si="230">IF(T171&gt;85,("A"),IF(T171&gt;80,("A-"),IF(T171&gt;75,("B+"),IF(T171&gt;70,("B"),IF(T171&gt;65,("B-"),IF(T171&gt;60,("C+"),IF(T171&gt;55,("C"),IF(T171&gt;50,("C-"),"D+"))))))))</f>
        <v>B+</v>
      </c>
      <c r="W171" s="1296" t="str">
        <f t="shared" ref="W171:W173" si="231">IF(T171&gt;80,("SB"),IF(T171&gt;65,("B"),IF(T171&gt;50,("C"),IF(T171&gt;0,("K"),"0"))))</f>
        <v>B</v>
      </c>
      <c r="X171" s="1271"/>
      <c r="Y171" s="1271"/>
      <c r="Z171" s="1271"/>
      <c r="AA171" s="1271"/>
      <c r="AB171" s="1273"/>
      <c r="AC171" s="1273"/>
      <c r="AD171" s="1273"/>
      <c r="AE171" s="2132"/>
      <c r="AF171" s="2140"/>
      <c r="AG171" s="2141"/>
    </row>
    <row r="172" spans="1:33" ht="24.95" customHeight="1" x14ac:dyDescent="0.25">
      <c r="A172" s="1207"/>
      <c r="B172" s="1290"/>
      <c r="C172" s="1291"/>
      <c r="D172" s="1213" t="s">
        <v>9</v>
      </c>
      <c r="E172" s="1493"/>
      <c r="F172" s="1493"/>
      <c r="G172" s="1497"/>
      <c r="H172" s="2040">
        <v>78</v>
      </c>
      <c r="I172" s="2040">
        <v>82</v>
      </c>
      <c r="J172" s="2040">
        <v>80</v>
      </c>
      <c r="K172" s="1497"/>
      <c r="L172" s="1497"/>
      <c r="M172" s="1497"/>
      <c r="N172" s="2042"/>
      <c r="O172" s="2042"/>
      <c r="P172" s="2129"/>
      <c r="Q172" s="1077">
        <f t="shared" si="227"/>
        <v>78</v>
      </c>
      <c r="R172" s="2126">
        <f t="shared" si="225"/>
        <v>82</v>
      </c>
      <c r="S172" s="2127">
        <f t="shared" si="226"/>
        <v>80</v>
      </c>
      <c r="T172" s="853">
        <f t="shared" si="228"/>
        <v>80</v>
      </c>
      <c r="U172" s="1296" t="str">
        <f t="shared" si="229"/>
        <v>3.33</v>
      </c>
      <c r="V172" s="1296" t="str">
        <f t="shared" si="230"/>
        <v>B+</v>
      </c>
      <c r="W172" s="1296" t="str">
        <f t="shared" si="231"/>
        <v>B</v>
      </c>
      <c r="X172" s="1274"/>
      <c r="Y172" s="1274"/>
      <c r="Z172" s="1274"/>
      <c r="AA172" s="1274"/>
      <c r="AB172" s="1276"/>
      <c r="AC172" s="1276"/>
      <c r="AD172" s="1276"/>
      <c r="AE172" s="2133"/>
      <c r="AF172" s="2142"/>
      <c r="AG172" s="2143"/>
    </row>
    <row r="173" spans="1:33" ht="24.95" customHeight="1" x14ac:dyDescent="0.25">
      <c r="A173" s="1207"/>
      <c r="B173" s="1290"/>
      <c r="C173" s="1291"/>
      <c r="D173" s="1213" t="s">
        <v>11</v>
      </c>
      <c r="E173" s="1497">
        <v>76</v>
      </c>
      <c r="F173" s="1497">
        <v>75</v>
      </c>
      <c r="G173" s="1493">
        <v>80</v>
      </c>
      <c r="H173" s="2040">
        <v>89</v>
      </c>
      <c r="I173" s="2040">
        <v>75</v>
      </c>
      <c r="J173" s="2040">
        <v>81</v>
      </c>
      <c r="K173" s="1493">
        <v>65</v>
      </c>
      <c r="L173" s="1493">
        <v>79</v>
      </c>
      <c r="M173" s="1493">
        <v>80</v>
      </c>
      <c r="N173" s="2042"/>
      <c r="O173" s="2042"/>
      <c r="P173" s="2129"/>
      <c r="Q173" s="1077">
        <f>MAX(E173,H173,K173,N173)</f>
        <v>89</v>
      </c>
      <c r="R173" s="2126">
        <f t="shared" si="225"/>
        <v>79</v>
      </c>
      <c r="S173" s="2127">
        <f t="shared" si="226"/>
        <v>81</v>
      </c>
      <c r="T173" s="853">
        <f>IFERROR(AVERAGE(Q173:S173),"")</f>
        <v>83</v>
      </c>
      <c r="U173" s="1296" t="str">
        <f t="shared" si="229"/>
        <v>3.66</v>
      </c>
      <c r="V173" s="1296" t="str">
        <f t="shared" si="230"/>
        <v>A-</v>
      </c>
      <c r="W173" s="1296" t="str">
        <f t="shared" si="231"/>
        <v>SB</v>
      </c>
      <c r="X173" s="1274"/>
      <c r="Y173" s="1274"/>
      <c r="Z173" s="1274"/>
      <c r="AA173" s="1274"/>
      <c r="AB173" s="1276"/>
      <c r="AC173" s="1276"/>
      <c r="AD173" s="1276"/>
      <c r="AE173" s="2133"/>
      <c r="AF173" s="2144"/>
      <c r="AG173" s="2145"/>
    </row>
    <row r="174" spans="1:33" ht="24.95" customHeight="1" x14ac:dyDescent="0.25">
      <c r="A174" s="1236"/>
      <c r="B174" s="1280">
        <v>33</v>
      </c>
      <c r="C174" s="1292"/>
      <c r="D174" s="1279"/>
      <c r="E174" s="2729"/>
      <c r="F174" s="2730"/>
      <c r="G174" s="2730"/>
      <c r="H174" s="2730"/>
      <c r="I174" s="2077"/>
      <c r="J174" s="2077"/>
      <c r="K174" s="2077"/>
      <c r="L174" s="2077"/>
      <c r="M174" s="2077"/>
      <c r="N174" s="2077"/>
      <c r="O174" s="2077"/>
      <c r="P174" s="2077"/>
      <c r="Q174" s="2150"/>
      <c r="R174" s="2151"/>
      <c r="S174" s="2151"/>
      <c r="T174" s="1297">
        <f>IFERROR(AVERAGE(T170:T173),"  ")</f>
        <v>79.333333333333343</v>
      </c>
      <c r="U174" s="1298" t="str">
        <f>IF(T14&gt;85,("4"),IF(T14&gt;80,("3.66"),IF(T14&gt;75,("3.33"),IF(T14&gt;70,("3.00"),IF(T14&gt;65,("2.66"),IF(T14&gt;60,("2.33"),IF(T14&gt;55,("2"),IF(T14&gt;50,("1.66"),"1.33"))))))))</f>
        <v>3.33</v>
      </c>
      <c r="V174" s="1298" t="str">
        <f>IF(T14&gt;85,("A"),IF(T14&gt;80,("A-"),IF(T14&gt;75,("B+"),IF(T14&gt;70,("B"),IF(T14&gt;65,("B-"),IF(T14&gt;60,("C+"),IF(T14&gt;55,("C"),IF(T14&gt;50,("C-"),"D+"))))))))</f>
        <v>B+</v>
      </c>
      <c r="W174" s="1299"/>
      <c r="X174" s="1283"/>
      <c r="Y174" s="1283"/>
      <c r="Z174" s="1283"/>
      <c r="AA174" s="1283"/>
      <c r="AB174" s="1283"/>
      <c r="AC174" s="1283"/>
      <c r="AD174" s="1283"/>
      <c r="AE174" s="1283"/>
      <c r="AF174" s="2146"/>
      <c r="AG174" s="2147"/>
    </row>
    <row r="175" spans="1:33" ht="24.95" customHeight="1" x14ac:dyDescent="0.25">
      <c r="A175" s="1224">
        <v>34</v>
      </c>
      <c r="B175" s="1285"/>
      <c r="C175" s="1286" t="e">
        <f>VLOOKUP(A175,data_siswa,4,FALSE)</f>
        <v>#N/A</v>
      </c>
      <c r="D175" s="1210" t="s">
        <v>154</v>
      </c>
      <c r="E175" s="1493"/>
      <c r="F175" s="1493"/>
      <c r="G175" s="1493"/>
      <c r="H175" s="2040">
        <v>0</v>
      </c>
      <c r="I175" s="2040">
        <v>0</v>
      </c>
      <c r="J175" s="2040">
        <v>0</v>
      </c>
      <c r="K175" s="1493">
        <v>0</v>
      </c>
      <c r="L175" s="1493">
        <v>0</v>
      </c>
      <c r="M175" s="1493">
        <v>0</v>
      </c>
      <c r="N175" s="2041"/>
      <c r="O175" s="2041"/>
      <c r="P175" s="2130"/>
      <c r="Q175" s="1077">
        <f>MAX(E175,H175,K175,N175)</f>
        <v>0</v>
      </c>
      <c r="R175" s="2126">
        <f t="shared" ref="R175:R178" si="232">MAX(F175,I175,L175,O175)</f>
        <v>0</v>
      </c>
      <c r="S175" s="2127">
        <f t="shared" ref="S175:S178" si="233">MAX(G175,J175,M175,P175)</f>
        <v>0</v>
      </c>
      <c r="T175" s="853">
        <f>IFERROR(AVERAGE(Q175:S175),"")</f>
        <v>0</v>
      </c>
      <c r="U175" s="1295" t="str">
        <f>IF(T175&gt;85,("4"),IF(T175&gt;80,("3.66"),IF(T175&gt;75,("3.33"),IF(T175&gt;70,("3.00"),IF(T175&gt;65,("2.66"),IF(T175&gt;60,("2.33"),IF(T175&gt;55,("2"),IF(T175&gt;50,("1.66"),"1.33"))))))))</f>
        <v>1.33</v>
      </c>
      <c r="V175" s="1295" t="str">
        <f>IF(T175&gt;85,("A"),IF(T175&gt;80,("A-"),IF(T175&gt;75,("B+"),IF(T175&gt;70,("B"),IF(T175&gt;65,("B-"),IF(T175&gt;60,("C+"),IF(T175&gt;55,("C"),IF(T175&gt;50,("C-"),"D+"))))))))</f>
        <v>D+</v>
      </c>
      <c r="W175" s="1295" t="str">
        <f>IF(T175&gt;80,("SB"),IF(T175&gt;65,("B"),IF(T175&gt;50,("C"),IF(T175&gt;0,("K"),"0"))))</f>
        <v>0</v>
      </c>
      <c r="X175" s="2138"/>
      <c r="Y175" s="1287"/>
      <c r="Z175" s="1287"/>
      <c r="AA175" s="1287"/>
      <c r="AB175" s="1293"/>
      <c r="AC175" s="1293"/>
      <c r="AD175" s="1293"/>
      <c r="AE175" s="2136"/>
      <c r="AF175" s="466">
        <f>MAX(T175:T178)</f>
        <v>0</v>
      </c>
      <c r="AG175" s="466" t="str">
        <f>IF(AF175&gt;85,("A"),IF(AF175&gt;80,("A-"),IF(AF175&gt;75,("B+"),IF(AF175&gt;70,("B"),IF(AF175&gt;65,("B-"),IF(AF175&gt;60,("C+"),IF(AF175&gt;55,("C"),IF(AF175&gt;50,("C-"),"D+"))))))))</f>
        <v>D+</v>
      </c>
    </row>
    <row r="176" spans="1:33" ht="24.95" customHeight="1" x14ac:dyDescent="0.25">
      <c r="A176" s="1207"/>
      <c r="B176" s="1290"/>
      <c r="C176" s="1291"/>
      <c r="D176" s="1213" t="s">
        <v>155</v>
      </c>
      <c r="E176" s="1493"/>
      <c r="F176" s="1497"/>
      <c r="G176" s="1493"/>
      <c r="H176" s="2040">
        <v>0</v>
      </c>
      <c r="I176" s="2040">
        <v>0</v>
      </c>
      <c r="J176" s="2040">
        <v>0</v>
      </c>
      <c r="K176" s="1497"/>
      <c r="L176" s="1497"/>
      <c r="M176" s="1497"/>
      <c r="N176" s="2041">
        <v>0</v>
      </c>
      <c r="O176" s="2041">
        <v>0</v>
      </c>
      <c r="P176" s="2130">
        <v>0</v>
      </c>
      <c r="Q176" s="1077">
        <f t="shared" ref="Q176:Q177" si="234">MAX(E176,H176,K176,N176)</f>
        <v>0</v>
      </c>
      <c r="R176" s="2126">
        <f t="shared" si="232"/>
        <v>0</v>
      </c>
      <c r="S176" s="2127">
        <f t="shared" si="233"/>
        <v>0</v>
      </c>
      <c r="T176" s="853">
        <f t="shared" ref="T176:T177" si="235">IFERROR(AVERAGE(Q176:S176),"")</f>
        <v>0</v>
      </c>
      <c r="U176" s="1296" t="str">
        <f t="shared" ref="U176:U178" si="236">IF(T176&gt;85,("4"),IF(T176&gt;80,("3.66"),IF(T176&gt;75,("3.33"),IF(T176&gt;70,("3.00"),IF(T176&gt;65,("2.66"),IF(T176&gt;60,("2.33"),IF(T176&gt;55,("2"),IF(T176&gt;50,("1.66"),"1.33"))))))))</f>
        <v>1.33</v>
      </c>
      <c r="V176" s="1296" t="str">
        <f t="shared" ref="V176:V178" si="237">IF(T176&gt;85,("A"),IF(T176&gt;80,("A-"),IF(T176&gt;75,("B+"),IF(T176&gt;70,("B"),IF(T176&gt;65,("B-"),IF(T176&gt;60,("C+"),IF(T176&gt;55,("C"),IF(T176&gt;50,("C-"),"D+"))))))))</f>
        <v>D+</v>
      </c>
      <c r="W176" s="1296" t="str">
        <f t="shared" ref="W176:W178" si="238">IF(T176&gt;80,("SB"),IF(T176&gt;65,("B"),IF(T176&gt;50,("C"),IF(T176&gt;0,("K"),"0"))))</f>
        <v>0</v>
      </c>
      <c r="X176" s="1271"/>
      <c r="Y176" s="1271"/>
      <c r="Z176" s="1271"/>
      <c r="AA176" s="1271"/>
      <c r="AB176" s="1273"/>
      <c r="AC176" s="1273"/>
      <c r="AD176" s="1273"/>
      <c r="AE176" s="2132"/>
      <c r="AF176" s="2140"/>
      <c r="AG176" s="2141"/>
    </row>
    <row r="177" spans="1:33" ht="24.95" customHeight="1" x14ac:dyDescent="0.25">
      <c r="A177" s="1207"/>
      <c r="B177" s="1290"/>
      <c r="C177" s="1291"/>
      <c r="D177" s="1213" t="s">
        <v>9</v>
      </c>
      <c r="E177" s="1493"/>
      <c r="F177" s="1493"/>
      <c r="G177" s="1497"/>
      <c r="H177" s="2040">
        <v>0</v>
      </c>
      <c r="I177" s="2040">
        <v>0</v>
      </c>
      <c r="J177" s="2040">
        <v>0</v>
      </c>
      <c r="K177" s="1497"/>
      <c r="L177" s="1497"/>
      <c r="M177" s="1497"/>
      <c r="N177" s="2042"/>
      <c r="O177" s="2042"/>
      <c r="P177" s="2129"/>
      <c r="Q177" s="1077">
        <f t="shared" si="234"/>
        <v>0</v>
      </c>
      <c r="R177" s="2126">
        <f t="shared" si="232"/>
        <v>0</v>
      </c>
      <c r="S177" s="2127">
        <f t="shared" si="233"/>
        <v>0</v>
      </c>
      <c r="T177" s="853">
        <f t="shared" si="235"/>
        <v>0</v>
      </c>
      <c r="U177" s="1296" t="str">
        <f t="shared" si="236"/>
        <v>1.33</v>
      </c>
      <c r="V177" s="1296" t="str">
        <f t="shared" si="237"/>
        <v>D+</v>
      </c>
      <c r="W177" s="1296" t="str">
        <f t="shared" si="238"/>
        <v>0</v>
      </c>
      <c r="X177" s="1274"/>
      <c r="Y177" s="1274"/>
      <c r="Z177" s="1274"/>
      <c r="AA177" s="1274"/>
      <c r="AB177" s="1276"/>
      <c r="AC177" s="1276"/>
      <c r="AD177" s="1276"/>
      <c r="AE177" s="2133"/>
      <c r="AF177" s="2142"/>
      <c r="AG177" s="2143"/>
    </row>
    <row r="178" spans="1:33" ht="24.95" customHeight="1" x14ac:dyDescent="0.25">
      <c r="A178" s="1207"/>
      <c r="B178" s="1290"/>
      <c r="C178" s="1291"/>
      <c r="D178" s="1213" t="s">
        <v>11</v>
      </c>
      <c r="E178" s="1497">
        <v>0</v>
      </c>
      <c r="F178" s="1497">
        <v>0</v>
      </c>
      <c r="G178" s="1493">
        <v>0</v>
      </c>
      <c r="H178" s="2040">
        <v>0</v>
      </c>
      <c r="I178" s="2040">
        <v>0</v>
      </c>
      <c r="J178" s="2040">
        <v>0</v>
      </c>
      <c r="K178" s="1493">
        <v>0</v>
      </c>
      <c r="L178" s="1493">
        <v>0</v>
      </c>
      <c r="M178" s="1493">
        <v>0</v>
      </c>
      <c r="N178" s="2042"/>
      <c r="O178" s="2042"/>
      <c r="P178" s="2129"/>
      <c r="Q178" s="1077">
        <f>MAX(E178,H178,K178,N178)</f>
        <v>0</v>
      </c>
      <c r="R178" s="2126">
        <f t="shared" si="232"/>
        <v>0</v>
      </c>
      <c r="S178" s="2127">
        <f t="shared" si="233"/>
        <v>0</v>
      </c>
      <c r="T178" s="853">
        <f>IFERROR(AVERAGE(Q178:S178),"")</f>
        <v>0</v>
      </c>
      <c r="U178" s="1296" t="str">
        <f t="shared" si="236"/>
        <v>1.33</v>
      </c>
      <c r="V178" s="1296" t="str">
        <f t="shared" si="237"/>
        <v>D+</v>
      </c>
      <c r="W178" s="1296" t="str">
        <f t="shared" si="238"/>
        <v>0</v>
      </c>
      <c r="X178" s="1274"/>
      <c r="Y178" s="1274"/>
      <c r="Z178" s="1274"/>
      <c r="AA178" s="1274"/>
      <c r="AB178" s="1276"/>
      <c r="AC178" s="1276"/>
      <c r="AD178" s="1276"/>
      <c r="AE178" s="2133"/>
      <c r="AF178" s="2144"/>
      <c r="AG178" s="2145"/>
    </row>
    <row r="179" spans="1:33" ht="24.95" customHeight="1" x14ac:dyDescent="0.25">
      <c r="A179" s="1236"/>
      <c r="B179" s="1280">
        <v>34</v>
      </c>
      <c r="C179" s="1292"/>
      <c r="D179" s="1279"/>
      <c r="E179" s="2729"/>
      <c r="F179" s="2730"/>
      <c r="G179" s="2730"/>
      <c r="H179" s="2730"/>
      <c r="I179" s="2077"/>
      <c r="J179" s="2077"/>
      <c r="K179" s="2077"/>
      <c r="L179" s="2077"/>
      <c r="M179" s="2077"/>
      <c r="N179" s="2077"/>
      <c r="O179" s="2077"/>
      <c r="P179" s="2077"/>
      <c r="Q179" s="2150"/>
      <c r="R179" s="2151"/>
      <c r="S179" s="2151"/>
      <c r="T179" s="1297">
        <f>IFERROR(AVERAGE(T175:T178),"  ")</f>
        <v>0</v>
      </c>
      <c r="U179" s="1298" t="str">
        <f>IF(T14&gt;85,("4"),IF(T14&gt;80,("3.66"),IF(T14&gt;75,("3.33"),IF(T14&gt;70,("3.00"),IF(T14&gt;65,("2.66"),IF(T14&gt;60,("2.33"),IF(T14&gt;55,("2"),IF(T14&gt;50,("1.66"),"1.33"))))))))</f>
        <v>3.33</v>
      </c>
      <c r="V179" s="1298" t="str">
        <f>IF(T14&gt;85,("A"),IF(T14&gt;80,("A-"),IF(T14&gt;75,("B+"),IF(T14&gt;70,("B"),IF(T14&gt;65,("B-"),IF(T14&gt;60,("C+"),IF(T14&gt;55,("C"),IF(T14&gt;50,("C-"),"D+"))))))))</f>
        <v>B+</v>
      </c>
      <c r="W179" s="1299"/>
      <c r="X179" s="1283"/>
      <c r="Y179" s="1283"/>
      <c r="Z179" s="1283"/>
      <c r="AA179" s="1283"/>
      <c r="AB179" s="1283"/>
      <c r="AC179" s="1283"/>
      <c r="AD179" s="1283"/>
      <c r="AE179" s="1283"/>
      <c r="AF179" s="2146"/>
      <c r="AG179" s="2147"/>
    </row>
    <row r="180" spans="1:33" ht="24.95" customHeight="1" x14ac:dyDescent="0.25">
      <c r="A180" s="1224">
        <v>35</v>
      </c>
      <c r="B180" s="1285"/>
      <c r="C180" s="1286" t="e">
        <f>VLOOKUP(A180,data_siswa,4,FALSE)</f>
        <v>#N/A</v>
      </c>
      <c r="D180" s="1210" t="s">
        <v>154</v>
      </c>
      <c r="E180" s="1497"/>
      <c r="F180" s="1497"/>
      <c r="G180" s="1497"/>
      <c r="H180" s="2043">
        <v>75</v>
      </c>
      <c r="I180" s="2043">
        <v>81</v>
      </c>
      <c r="J180" s="2043">
        <v>75</v>
      </c>
      <c r="K180" s="1497">
        <v>65</v>
      </c>
      <c r="L180" s="1497">
        <v>69</v>
      </c>
      <c r="M180" s="1497">
        <v>80</v>
      </c>
      <c r="N180" s="2042"/>
      <c r="O180" s="2042"/>
      <c r="P180" s="2129"/>
      <c r="Q180" s="1077">
        <f>MAX(E180,H180,K180,N180)</f>
        <v>75</v>
      </c>
      <c r="R180" s="2126">
        <f t="shared" ref="R180:R183" si="239">MAX(F180,I180,L180,O180)</f>
        <v>81</v>
      </c>
      <c r="S180" s="2127">
        <f t="shared" ref="S180:S183" si="240">MAX(G180,J180,M180,P180)</f>
        <v>80</v>
      </c>
      <c r="T180" s="853">
        <f>IFERROR(AVERAGE(Q180:S180),"")</f>
        <v>78.666666666666671</v>
      </c>
      <c r="U180" s="1295" t="str">
        <f>IF(T180&gt;85,("4"),IF(T180&gt;80,("3.66"),IF(T180&gt;75,("3.33"),IF(T180&gt;70,("3.00"),IF(T180&gt;65,("2.66"),IF(T180&gt;60,("2.33"),IF(T180&gt;55,("2"),IF(T180&gt;50,("1.66"),"1.33"))))))))</f>
        <v>3.33</v>
      </c>
      <c r="V180" s="1295" t="str">
        <f>IF(T180&gt;85,("A"),IF(T180&gt;80,("A-"),IF(T180&gt;75,("B+"),IF(T180&gt;70,("B"),IF(T180&gt;65,("B-"),IF(T180&gt;60,("C+"),IF(T180&gt;55,("C"),IF(T180&gt;50,("C-"),"D+"))))))))</f>
        <v>B+</v>
      </c>
      <c r="W180" s="1295" t="str">
        <f>IF(T180&gt;80,("SB"),IF(T180&gt;65,("B"),IF(T180&gt;50,("C"),IF(T180&gt;0,("K"),"0"))))</f>
        <v>B</v>
      </c>
      <c r="X180" s="2138"/>
      <c r="Y180" s="1287"/>
      <c r="Z180" s="1287"/>
      <c r="AA180" s="1287"/>
      <c r="AB180" s="1293"/>
      <c r="AC180" s="1293"/>
      <c r="AD180" s="1293"/>
      <c r="AE180" s="2136"/>
      <c r="AF180" s="466">
        <f>MAX(T180:T183)</f>
        <v>83</v>
      </c>
      <c r="AG180" s="466" t="str">
        <f>IF(AF180&gt;85,("A"),IF(AF180&gt;80,("A-"),IF(AF180&gt;75,("B+"),IF(AF180&gt;70,("B"),IF(AF180&gt;65,("B-"),IF(AF180&gt;60,("C+"),IF(AF180&gt;55,("C"),IF(AF180&gt;50,("C-"),"D+"))))))))</f>
        <v>A-</v>
      </c>
    </row>
    <row r="181" spans="1:33" ht="24.95" customHeight="1" x14ac:dyDescent="0.25">
      <c r="A181" s="1207"/>
      <c r="B181" s="1290"/>
      <c r="C181" s="1291"/>
      <c r="D181" s="1213" t="s">
        <v>155</v>
      </c>
      <c r="E181" s="1493"/>
      <c r="F181" s="1497"/>
      <c r="G181" s="1493"/>
      <c r="H181" s="2040">
        <v>65</v>
      </c>
      <c r="I181" s="2040">
        <v>76</v>
      </c>
      <c r="J181" s="2040">
        <v>74</v>
      </c>
      <c r="K181" s="1497"/>
      <c r="L181" s="1497"/>
      <c r="M181" s="1497"/>
      <c r="N181" s="2041">
        <v>68</v>
      </c>
      <c r="O181" s="2041">
        <v>79</v>
      </c>
      <c r="P181" s="2130">
        <v>80</v>
      </c>
      <c r="Q181" s="1077">
        <f t="shared" ref="Q181:Q182" si="241">MAX(E181,H181,K181,N181)</f>
        <v>68</v>
      </c>
      <c r="R181" s="2126">
        <f t="shared" si="239"/>
        <v>79</v>
      </c>
      <c r="S181" s="2127">
        <f t="shared" si="240"/>
        <v>80</v>
      </c>
      <c r="T181" s="853">
        <f t="shared" ref="T181:T182" si="242">IFERROR(AVERAGE(Q181:S181),"")</f>
        <v>75.666666666666671</v>
      </c>
      <c r="U181" s="1296" t="str">
        <f t="shared" ref="U181:U183" si="243">IF(T181&gt;85,("4"),IF(T181&gt;80,("3.66"),IF(T181&gt;75,("3.33"),IF(T181&gt;70,("3.00"),IF(T181&gt;65,("2.66"),IF(T181&gt;60,("2.33"),IF(T181&gt;55,("2"),IF(T181&gt;50,("1.66"),"1.33"))))))))</f>
        <v>3.33</v>
      </c>
      <c r="V181" s="1296" t="str">
        <f t="shared" ref="V181:V183" si="244">IF(T181&gt;85,("A"),IF(T181&gt;80,("A-"),IF(T181&gt;75,("B+"),IF(T181&gt;70,("B"),IF(T181&gt;65,("B-"),IF(T181&gt;60,("C+"),IF(T181&gt;55,("C"),IF(T181&gt;50,("C-"),"D+"))))))))</f>
        <v>B+</v>
      </c>
      <c r="W181" s="1296" t="str">
        <f t="shared" ref="W181:W183" si="245">IF(T181&gt;80,("SB"),IF(T181&gt;65,("B"),IF(T181&gt;50,("C"),IF(T181&gt;0,("K"),"0"))))</f>
        <v>B</v>
      </c>
      <c r="X181" s="1271"/>
      <c r="Y181" s="1271"/>
      <c r="Z181" s="1271"/>
      <c r="AA181" s="1271"/>
      <c r="AB181" s="1273"/>
      <c r="AC181" s="1273"/>
      <c r="AD181" s="1273"/>
      <c r="AE181" s="2132"/>
      <c r="AF181" s="2140"/>
      <c r="AG181" s="2141"/>
    </row>
    <row r="182" spans="1:33" ht="24.95" customHeight="1" x14ac:dyDescent="0.25">
      <c r="A182" s="1207"/>
      <c r="B182" s="1290"/>
      <c r="C182" s="1291"/>
      <c r="D182" s="1213" t="s">
        <v>9</v>
      </c>
      <c r="E182" s="1493"/>
      <c r="F182" s="1493"/>
      <c r="G182" s="1497"/>
      <c r="H182" s="2040">
        <v>78</v>
      </c>
      <c r="I182" s="2040">
        <v>82</v>
      </c>
      <c r="J182" s="2040">
        <v>80</v>
      </c>
      <c r="K182" s="1497"/>
      <c r="L182" s="1497"/>
      <c r="M182" s="1497"/>
      <c r="N182" s="2042"/>
      <c r="O182" s="2042"/>
      <c r="P182" s="2129"/>
      <c r="Q182" s="1077">
        <f t="shared" si="241"/>
        <v>78</v>
      </c>
      <c r="R182" s="2126">
        <f t="shared" si="239"/>
        <v>82</v>
      </c>
      <c r="S182" s="2127">
        <f t="shared" si="240"/>
        <v>80</v>
      </c>
      <c r="T182" s="853">
        <f t="shared" si="242"/>
        <v>80</v>
      </c>
      <c r="U182" s="1296" t="str">
        <f t="shared" si="243"/>
        <v>3.33</v>
      </c>
      <c r="V182" s="1296" t="str">
        <f t="shared" si="244"/>
        <v>B+</v>
      </c>
      <c r="W182" s="1296" t="str">
        <f t="shared" si="245"/>
        <v>B</v>
      </c>
      <c r="X182" s="1274"/>
      <c r="Y182" s="1274"/>
      <c r="Z182" s="1274"/>
      <c r="AA182" s="1274"/>
      <c r="AB182" s="1276"/>
      <c r="AC182" s="1276"/>
      <c r="AD182" s="1276"/>
      <c r="AE182" s="2133"/>
      <c r="AF182" s="2142"/>
      <c r="AG182" s="2143"/>
    </row>
    <row r="183" spans="1:33" ht="24.95" customHeight="1" x14ac:dyDescent="0.25">
      <c r="A183" s="1207"/>
      <c r="B183" s="1290"/>
      <c r="C183" s="1291"/>
      <c r="D183" s="1213" t="s">
        <v>11</v>
      </c>
      <c r="E183" s="1497">
        <v>76</v>
      </c>
      <c r="F183" s="1497">
        <v>75</v>
      </c>
      <c r="G183" s="1493">
        <v>80</v>
      </c>
      <c r="H183" s="2040">
        <v>89</v>
      </c>
      <c r="I183" s="2040">
        <v>75</v>
      </c>
      <c r="J183" s="2040">
        <v>81</v>
      </c>
      <c r="K183" s="1493">
        <v>65</v>
      </c>
      <c r="L183" s="1493">
        <v>79</v>
      </c>
      <c r="M183" s="1493">
        <v>80</v>
      </c>
      <c r="N183" s="2042"/>
      <c r="O183" s="2042"/>
      <c r="P183" s="2129"/>
      <c r="Q183" s="1077">
        <f>MAX(E183,H183,K183,N183)</f>
        <v>89</v>
      </c>
      <c r="R183" s="2126">
        <f t="shared" si="239"/>
        <v>79</v>
      </c>
      <c r="S183" s="2127">
        <f t="shared" si="240"/>
        <v>81</v>
      </c>
      <c r="T183" s="853">
        <f>IFERROR(AVERAGE(Q183:S183),"")</f>
        <v>83</v>
      </c>
      <c r="U183" s="1296" t="str">
        <f t="shared" si="243"/>
        <v>3.66</v>
      </c>
      <c r="V183" s="1296" t="str">
        <f t="shared" si="244"/>
        <v>A-</v>
      </c>
      <c r="W183" s="1296" t="str">
        <f t="shared" si="245"/>
        <v>SB</v>
      </c>
      <c r="X183" s="1274"/>
      <c r="Y183" s="1274"/>
      <c r="Z183" s="1274"/>
      <c r="AA183" s="1274"/>
      <c r="AB183" s="1276"/>
      <c r="AC183" s="1276"/>
      <c r="AD183" s="1276"/>
      <c r="AE183" s="2133"/>
      <c r="AF183" s="2144"/>
      <c r="AG183" s="2145"/>
    </row>
    <row r="184" spans="1:33" ht="24.95" customHeight="1" x14ac:dyDescent="0.25">
      <c r="A184" s="1236"/>
      <c r="B184" s="1280">
        <v>35</v>
      </c>
      <c r="C184" s="1292"/>
      <c r="D184" s="1279"/>
      <c r="E184" s="2729"/>
      <c r="F184" s="2730"/>
      <c r="G184" s="2730"/>
      <c r="H184" s="2730"/>
      <c r="I184" s="2077"/>
      <c r="J184" s="2077"/>
      <c r="K184" s="2077"/>
      <c r="L184" s="2077"/>
      <c r="M184" s="2077"/>
      <c r="N184" s="2077"/>
      <c r="O184" s="2077"/>
      <c r="P184" s="2077"/>
      <c r="Q184" s="2150"/>
      <c r="R184" s="2151"/>
      <c r="S184" s="2151"/>
      <c r="T184" s="1297">
        <f>IFERROR(AVERAGE(T180:T183),"  ")</f>
        <v>79.333333333333343</v>
      </c>
      <c r="U184" s="1298" t="str">
        <f>IF(T14&gt;85,("4"),IF(T14&gt;80,("3.66"),IF(T14&gt;75,("3.33"),IF(T14&gt;70,("3.00"),IF(T14&gt;65,("2.66"),IF(T14&gt;60,("2.33"),IF(T14&gt;55,("2"),IF(T14&gt;50,("1.66"),"1.33"))))))))</f>
        <v>3.33</v>
      </c>
      <c r="V184" s="1298" t="str">
        <f>IF(T14&gt;85,("A"),IF(T14&gt;80,("A-"),IF(T14&gt;75,("B+"),IF(T14&gt;70,("B"),IF(T14&gt;65,("B-"),IF(T14&gt;60,("C+"),IF(T14&gt;55,("C"),IF(T14&gt;50,("C-"),"D+"))))))))</f>
        <v>B+</v>
      </c>
      <c r="W184" s="1299"/>
      <c r="X184" s="1283"/>
      <c r="Y184" s="1283"/>
      <c r="Z184" s="1283"/>
      <c r="AA184" s="1283"/>
      <c r="AB184" s="1283"/>
      <c r="AC184" s="1283"/>
      <c r="AD184" s="1283"/>
      <c r="AE184" s="1283"/>
      <c r="AF184" s="2146"/>
      <c r="AG184" s="2147"/>
    </row>
    <row r="185" spans="1:33" ht="24.95" customHeight="1" x14ac:dyDescent="0.25">
      <c r="A185" s="1224">
        <v>36</v>
      </c>
      <c r="B185" s="1285"/>
      <c r="C185" s="1286" t="e">
        <f>VLOOKUP(A185,data_siswa,4,FALSE)</f>
        <v>#N/A</v>
      </c>
      <c r="D185" s="1210" t="s">
        <v>154</v>
      </c>
      <c r="E185" s="1493"/>
      <c r="F185" s="1493"/>
      <c r="G185" s="1493"/>
      <c r="H185" s="2040">
        <v>0</v>
      </c>
      <c r="I185" s="2040">
        <v>0</v>
      </c>
      <c r="J185" s="2040">
        <v>0</v>
      </c>
      <c r="K185" s="1493">
        <v>0</v>
      </c>
      <c r="L185" s="1493">
        <v>0</v>
      </c>
      <c r="M185" s="1493">
        <v>0</v>
      </c>
      <c r="N185" s="2041"/>
      <c r="O185" s="2041"/>
      <c r="P185" s="2130"/>
      <c r="Q185" s="1077">
        <f>MAX(E185,H185,K185,N185)</f>
        <v>0</v>
      </c>
      <c r="R185" s="2126">
        <f t="shared" ref="R185:R188" si="246">MAX(F185,I185,L185,O185)</f>
        <v>0</v>
      </c>
      <c r="S185" s="2127">
        <f t="shared" ref="S185:S188" si="247">MAX(G185,J185,M185,P185)</f>
        <v>0</v>
      </c>
      <c r="T185" s="853">
        <f>IFERROR(AVERAGE(Q185:S185),"")</f>
        <v>0</v>
      </c>
      <c r="U185" s="1295" t="str">
        <f>IF(T185&gt;85,("4"),IF(T185&gt;80,("3.66"),IF(T185&gt;75,("3.33"),IF(T185&gt;70,("3.00"),IF(T185&gt;65,("2.66"),IF(T185&gt;60,("2.33"),IF(T185&gt;55,("2"),IF(T185&gt;50,("1.66"),"1.33"))))))))</f>
        <v>1.33</v>
      </c>
      <c r="V185" s="1295" t="str">
        <f>IF(T185&gt;85,("A"),IF(T185&gt;80,("A-"),IF(T185&gt;75,("B+"),IF(T185&gt;70,("B"),IF(T185&gt;65,("B-"),IF(T185&gt;60,("C+"),IF(T185&gt;55,("C"),IF(T185&gt;50,("C-"),"D+"))))))))</f>
        <v>D+</v>
      </c>
      <c r="W185" s="1295" t="str">
        <f>IF(T185&gt;80,("SB"),IF(T185&gt;65,("B"),IF(T185&gt;50,("C"),IF(T185&gt;0,("K"),"0"))))</f>
        <v>0</v>
      </c>
      <c r="X185" s="2138"/>
      <c r="Y185" s="1287"/>
      <c r="Z185" s="1287"/>
      <c r="AA185" s="1287"/>
      <c r="AB185" s="1293"/>
      <c r="AC185" s="1293"/>
      <c r="AD185" s="1293"/>
      <c r="AE185" s="2136"/>
      <c r="AF185" s="466">
        <f>MAX(T185:T188)</f>
        <v>0</v>
      </c>
      <c r="AG185" s="466" t="str">
        <f>IF(AF185&gt;85,("A"),IF(AF185&gt;80,("A-"),IF(AF185&gt;75,("B+"),IF(AF185&gt;70,("B"),IF(AF185&gt;65,("B-"),IF(AF185&gt;60,("C+"),IF(AF185&gt;55,("C"),IF(AF185&gt;50,("C-"),"D+"))))))))</f>
        <v>D+</v>
      </c>
    </row>
    <row r="186" spans="1:33" ht="24.95" customHeight="1" x14ac:dyDescent="0.25">
      <c r="A186" s="1207"/>
      <c r="B186" s="1290"/>
      <c r="C186" s="1291"/>
      <c r="D186" s="1213" t="s">
        <v>155</v>
      </c>
      <c r="E186" s="1493"/>
      <c r="F186" s="1497"/>
      <c r="G186" s="1493"/>
      <c r="H186" s="2040">
        <v>0</v>
      </c>
      <c r="I186" s="2040">
        <v>0</v>
      </c>
      <c r="J186" s="2040">
        <v>0</v>
      </c>
      <c r="K186" s="1497"/>
      <c r="L186" s="1497"/>
      <c r="M186" s="1497"/>
      <c r="N186" s="2041">
        <v>0</v>
      </c>
      <c r="O186" s="2041">
        <v>0</v>
      </c>
      <c r="P186" s="2130">
        <v>0</v>
      </c>
      <c r="Q186" s="1077">
        <f t="shared" ref="Q186:Q187" si="248">MAX(E186,H186,K186,N186)</f>
        <v>0</v>
      </c>
      <c r="R186" s="2126">
        <f t="shared" si="246"/>
        <v>0</v>
      </c>
      <c r="S186" s="2127">
        <f t="shared" si="247"/>
        <v>0</v>
      </c>
      <c r="T186" s="853">
        <f t="shared" ref="T186:T187" si="249">IFERROR(AVERAGE(Q186:S186),"")</f>
        <v>0</v>
      </c>
      <c r="U186" s="1296" t="str">
        <f t="shared" ref="U186:U188" si="250">IF(T186&gt;85,("4"),IF(T186&gt;80,("3.66"),IF(T186&gt;75,("3.33"),IF(T186&gt;70,("3.00"),IF(T186&gt;65,("2.66"),IF(T186&gt;60,("2.33"),IF(T186&gt;55,("2"),IF(T186&gt;50,("1.66"),"1.33"))))))))</f>
        <v>1.33</v>
      </c>
      <c r="V186" s="1296" t="str">
        <f t="shared" ref="V186:V188" si="251">IF(T186&gt;85,("A"),IF(T186&gt;80,("A-"),IF(T186&gt;75,("B+"),IF(T186&gt;70,("B"),IF(T186&gt;65,("B-"),IF(T186&gt;60,("C+"),IF(T186&gt;55,("C"),IF(T186&gt;50,("C-"),"D+"))))))))</f>
        <v>D+</v>
      </c>
      <c r="W186" s="1296" t="str">
        <f t="shared" ref="W186:W188" si="252">IF(T186&gt;80,("SB"),IF(T186&gt;65,("B"),IF(T186&gt;50,("C"),IF(T186&gt;0,("K"),"0"))))</f>
        <v>0</v>
      </c>
      <c r="X186" s="1271"/>
      <c r="Y186" s="1271"/>
      <c r="Z186" s="1271"/>
      <c r="AA186" s="1271"/>
      <c r="AB186" s="1273"/>
      <c r="AC186" s="1273"/>
      <c r="AD186" s="1273"/>
      <c r="AE186" s="2132"/>
      <c r="AF186" s="2140"/>
      <c r="AG186" s="2141"/>
    </row>
    <row r="187" spans="1:33" ht="24.95" customHeight="1" x14ac:dyDescent="0.25">
      <c r="A187" s="1207"/>
      <c r="B187" s="1290"/>
      <c r="C187" s="1291"/>
      <c r="D187" s="1213" t="s">
        <v>9</v>
      </c>
      <c r="E187" s="1493"/>
      <c r="F187" s="1493"/>
      <c r="G187" s="1497"/>
      <c r="H187" s="2040">
        <v>0</v>
      </c>
      <c r="I187" s="2040">
        <v>0</v>
      </c>
      <c r="J187" s="2040">
        <v>0</v>
      </c>
      <c r="K187" s="1497"/>
      <c r="L187" s="1497"/>
      <c r="M187" s="1497"/>
      <c r="N187" s="2042"/>
      <c r="O187" s="2042"/>
      <c r="P187" s="2129"/>
      <c r="Q187" s="1077">
        <f t="shared" si="248"/>
        <v>0</v>
      </c>
      <c r="R187" s="2126">
        <f t="shared" si="246"/>
        <v>0</v>
      </c>
      <c r="S187" s="2127">
        <f t="shared" si="247"/>
        <v>0</v>
      </c>
      <c r="T187" s="853">
        <f t="shared" si="249"/>
        <v>0</v>
      </c>
      <c r="U187" s="1296" t="str">
        <f t="shared" si="250"/>
        <v>1.33</v>
      </c>
      <c r="V187" s="1296" t="str">
        <f t="shared" si="251"/>
        <v>D+</v>
      </c>
      <c r="W187" s="1296" t="str">
        <f t="shared" si="252"/>
        <v>0</v>
      </c>
      <c r="X187" s="1274"/>
      <c r="Y187" s="1274"/>
      <c r="Z187" s="1274"/>
      <c r="AA187" s="1274"/>
      <c r="AB187" s="1276"/>
      <c r="AC187" s="1276"/>
      <c r="AD187" s="1276"/>
      <c r="AE187" s="2133"/>
      <c r="AF187" s="2142"/>
      <c r="AG187" s="2143"/>
    </row>
    <row r="188" spans="1:33" ht="24.95" customHeight="1" x14ac:dyDescent="0.25">
      <c r="A188" s="1207"/>
      <c r="B188" s="1290"/>
      <c r="C188" s="1291"/>
      <c r="D188" s="1213" t="s">
        <v>11</v>
      </c>
      <c r="E188" s="1497">
        <v>0</v>
      </c>
      <c r="F188" s="1497">
        <v>0</v>
      </c>
      <c r="G188" s="1493">
        <v>0</v>
      </c>
      <c r="H188" s="2040">
        <v>0</v>
      </c>
      <c r="I188" s="2040">
        <v>0</v>
      </c>
      <c r="J188" s="2040">
        <v>0</v>
      </c>
      <c r="K188" s="1493">
        <v>0</v>
      </c>
      <c r="L188" s="1493">
        <v>0</v>
      </c>
      <c r="M188" s="1493">
        <v>0</v>
      </c>
      <c r="N188" s="2042"/>
      <c r="O188" s="2042"/>
      <c r="P188" s="2129"/>
      <c r="Q188" s="1077">
        <f>MAX(E188,H188,K188,N188)</f>
        <v>0</v>
      </c>
      <c r="R188" s="2126">
        <f t="shared" si="246"/>
        <v>0</v>
      </c>
      <c r="S188" s="2127">
        <f t="shared" si="247"/>
        <v>0</v>
      </c>
      <c r="T188" s="853">
        <f>IFERROR(AVERAGE(Q188:S188),"")</f>
        <v>0</v>
      </c>
      <c r="U188" s="1296" t="str">
        <f t="shared" si="250"/>
        <v>1.33</v>
      </c>
      <c r="V188" s="1296" t="str">
        <f t="shared" si="251"/>
        <v>D+</v>
      </c>
      <c r="W188" s="1296" t="str">
        <f t="shared" si="252"/>
        <v>0</v>
      </c>
      <c r="X188" s="1274"/>
      <c r="Y188" s="1274"/>
      <c r="Z188" s="1274"/>
      <c r="AA188" s="1274"/>
      <c r="AB188" s="1276"/>
      <c r="AC188" s="1276"/>
      <c r="AD188" s="1276"/>
      <c r="AE188" s="2133"/>
      <c r="AF188" s="2144"/>
      <c r="AG188" s="2145"/>
    </row>
    <row r="189" spans="1:33" ht="24.95" customHeight="1" x14ac:dyDescent="0.25">
      <c r="A189" s="1236"/>
      <c r="B189" s="1280">
        <v>36</v>
      </c>
      <c r="C189" s="1292"/>
      <c r="D189" s="1279"/>
      <c r="E189" s="2729"/>
      <c r="F189" s="2730"/>
      <c r="G189" s="2730"/>
      <c r="H189" s="2730"/>
      <c r="I189" s="2077"/>
      <c r="J189" s="2077"/>
      <c r="K189" s="2077"/>
      <c r="L189" s="2077"/>
      <c r="M189" s="2077"/>
      <c r="N189" s="2077"/>
      <c r="O189" s="2077"/>
      <c r="P189" s="2077"/>
      <c r="Q189" s="2150"/>
      <c r="R189" s="2151"/>
      <c r="S189" s="2151"/>
      <c r="T189" s="1297">
        <f>IFERROR(AVERAGE(T185:T188),"  ")</f>
        <v>0</v>
      </c>
      <c r="U189" s="1298" t="str">
        <f>IF(T14&gt;85,("4"),IF(T14&gt;80,("3.66"),IF(T14&gt;75,("3.33"),IF(T14&gt;70,("3.00"),IF(T14&gt;65,("2.66"),IF(T14&gt;60,("2.33"),IF(T14&gt;55,("2"),IF(T14&gt;50,("1.66"),"1.33"))))))))</f>
        <v>3.33</v>
      </c>
      <c r="V189" s="1298" t="str">
        <f>IF(T14&gt;85,("A"),IF(T14&gt;80,("A-"),IF(T14&gt;75,("B+"),IF(T14&gt;70,("B"),IF(T14&gt;65,("B-"),IF(T14&gt;60,("C+"),IF(T14&gt;55,("C"),IF(T14&gt;50,("C-"),"D+"))))))))</f>
        <v>B+</v>
      </c>
      <c r="W189" s="1299"/>
      <c r="X189" s="1283"/>
      <c r="Y189" s="1283"/>
      <c r="Z189" s="1283"/>
      <c r="AA189" s="1283"/>
      <c r="AB189" s="1283"/>
      <c r="AC189" s="1283"/>
      <c r="AD189" s="1283"/>
      <c r="AE189" s="1283"/>
      <c r="AF189" s="2146"/>
      <c r="AG189" s="2147"/>
    </row>
    <row r="190" spans="1:33" ht="24.95" customHeight="1" x14ac:dyDescent="0.25">
      <c r="A190" s="1224">
        <v>37</v>
      </c>
      <c r="B190" s="1285"/>
      <c r="C190" s="1286" t="e">
        <f>VLOOKUP(A190,data_siswa,4,FALSE)</f>
        <v>#N/A</v>
      </c>
      <c r="D190" s="1210" t="s">
        <v>154</v>
      </c>
      <c r="E190" s="1497"/>
      <c r="F190" s="1497"/>
      <c r="G190" s="1497"/>
      <c r="H190" s="2043">
        <v>75</v>
      </c>
      <c r="I190" s="2043">
        <v>81</v>
      </c>
      <c r="J190" s="2043">
        <v>75</v>
      </c>
      <c r="K190" s="1497">
        <v>65</v>
      </c>
      <c r="L190" s="1497">
        <v>69</v>
      </c>
      <c r="M190" s="1497">
        <v>80</v>
      </c>
      <c r="N190" s="2042"/>
      <c r="O190" s="2042"/>
      <c r="P190" s="2129"/>
      <c r="Q190" s="1077">
        <f>MAX(E190,H190,K190,N190)</f>
        <v>75</v>
      </c>
      <c r="R190" s="2126">
        <f t="shared" ref="R190:R193" si="253">MAX(F190,I190,L190,O190)</f>
        <v>81</v>
      </c>
      <c r="S190" s="2127">
        <f t="shared" ref="S190:S193" si="254">MAX(G190,J190,M190,P190)</f>
        <v>80</v>
      </c>
      <c r="T190" s="853">
        <f>IFERROR(AVERAGE(Q190:S190),"")</f>
        <v>78.666666666666671</v>
      </c>
      <c r="U190" s="1295" t="str">
        <f>IF(T190&gt;85,("4"),IF(T190&gt;80,("3.66"),IF(T190&gt;75,("3.33"),IF(T190&gt;70,("3.00"),IF(T190&gt;65,("2.66"),IF(T190&gt;60,("2.33"),IF(T190&gt;55,("2"),IF(T190&gt;50,("1.66"),"1.33"))))))))</f>
        <v>3.33</v>
      </c>
      <c r="V190" s="1295" t="str">
        <f>IF(T190&gt;85,("A"),IF(T190&gt;80,("A-"),IF(T190&gt;75,("B+"),IF(T190&gt;70,("B"),IF(T190&gt;65,("B-"),IF(T190&gt;60,("C+"),IF(T190&gt;55,("C"),IF(T190&gt;50,("C-"),"D+"))))))))</f>
        <v>B+</v>
      </c>
      <c r="W190" s="1295" t="str">
        <f>IF(T190&gt;80,("SB"),IF(T190&gt;65,("B"),IF(T190&gt;50,("C"),IF(T190&gt;0,("K"),"0"))))</f>
        <v>B</v>
      </c>
      <c r="X190" s="2138"/>
      <c r="Y190" s="1287"/>
      <c r="Z190" s="1287"/>
      <c r="AA190" s="1287"/>
      <c r="AB190" s="1293"/>
      <c r="AC190" s="1293"/>
      <c r="AD190" s="1293"/>
      <c r="AE190" s="2136"/>
      <c r="AF190" s="466">
        <f>MAX(T190:T193)</f>
        <v>83</v>
      </c>
      <c r="AG190" s="466" t="str">
        <f>IF(AF190&gt;85,("A"),IF(AF190&gt;80,("A-"),IF(AF190&gt;75,("B+"),IF(AF190&gt;70,("B"),IF(AF190&gt;65,("B-"),IF(AF190&gt;60,("C+"),IF(AF190&gt;55,("C"),IF(AF190&gt;50,("C-"),"D+"))))))))</f>
        <v>A-</v>
      </c>
    </row>
    <row r="191" spans="1:33" ht="24.95" customHeight="1" x14ac:dyDescent="0.25">
      <c r="A191" s="1207"/>
      <c r="B191" s="1290"/>
      <c r="C191" s="1291"/>
      <c r="D191" s="1213" t="s">
        <v>155</v>
      </c>
      <c r="E191" s="1493"/>
      <c r="F191" s="1497"/>
      <c r="G191" s="1493"/>
      <c r="H191" s="2040">
        <v>65</v>
      </c>
      <c r="I191" s="2040">
        <v>76</v>
      </c>
      <c r="J191" s="2040">
        <v>74</v>
      </c>
      <c r="K191" s="1497"/>
      <c r="L191" s="1497"/>
      <c r="M191" s="1497"/>
      <c r="N191" s="2041">
        <v>68</v>
      </c>
      <c r="O191" s="2041">
        <v>79</v>
      </c>
      <c r="P191" s="2130">
        <v>80</v>
      </c>
      <c r="Q191" s="1077">
        <f t="shared" ref="Q191:Q192" si="255">MAX(E191,H191,K191,N191)</f>
        <v>68</v>
      </c>
      <c r="R191" s="2126">
        <f t="shared" si="253"/>
        <v>79</v>
      </c>
      <c r="S191" s="2127">
        <f t="shared" si="254"/>
        <v>80</v>
      </c>
      <c r="T191" s="853">
        <f t="shared" ref="T191:T192" si="256">IFERROR(AVERAGE(Q191:S191),"")</f>
        <v>75.666666666666671</v>
      </c>
      <c r="U191" s="1296" t="str">
        <f t="shared" ref="U191:U193" si="257">IF(T191&gt;85,("4"),IF(T191&gt;80,("3.66"),IF(T191&gt;75,("3.33"),IF(T191&gt;70,("3.00"),IF(T191&gt;65,("2.66"),IF(T191&gt;60,("2.33"),IF(T191&gt;55,("2"),IF(T191&gt;50,("1.66"),"1.33"))))))))</f>
        <v>3.33</v>
      </c>
      <c r="V191" s="1296" t="str">
        <f t="shared" ref="V191:V193" si="258">IF(T191&gt;85,("A"),IF(T191&gt;80,("A-"),IF(T191&gt;75,("B+"),IF(T191&gt;70,("B"),IF(T191&gt;65,("B-"),IF(T191&gt;60,("C+"),IF(T191&gt;55,("C"),IF(T191&gt;50,("C-"),"D+"))))))))</f>
        <v>B+</v>
      </c>
      <c r="W191" s="1296" t="str">
        <f t="shared" ref="W191:W193" si="259">IF(T191&gt;80,("SB"),IF(T191&gt;65,("B"),IF(T191&gt;50,("C"),IF(T191&gt;0,("K"),"0"))))</f>
        <v>B</v>
      </c>
      <c r="X191" s="1271"/>
      <c r="Y191" s="1271"/>
      <c r="Z191" s="1271"/>
      <c r="AA191" s="1271"/>
      <c r="AB191" s="1273"/>
      <c r="AC191" s="1273"/>
      <c r="AD191" s="1273"/>
      <c r="AE191" s="2132"/>
      <c r="AF191" s="2140"/>
      <c r="AG191" s="2141"/>
    </row>
    <row r="192" spans="1:33" ht="24.95" customHeight="1" x14ac:dyDescent="0.25">
      <c r="A192" s="1207"/>
      <c r="B192" s="1290"/>
      <c r="C192" s="1291"/>
      <c r="D192" s="1213" t="s">
        <v>9</v>
      </c>
      <c r="E192" s="1493"/>
      <c r="F192" s="1493"/>
      <c r="G192" s="1497"/>
      <c r="H192" s="2040">
        <v>78</v>
      </c>
      <c r="I192" s="2040">
        <v>82</v>
      </c>
      <c r="J192" s="2040">
        <v>80</v>
      </c>
      <c r="K192" s="1497"/>
      <c r="L192" s="1497"/>
      <c r="M192" s="1497"/>
      <c r="N192" s="2042"/>
      <c r="O192" s="2042"/>
      <c r="P192" s="2129"/>
      <c r="Q192" s="1077">
        <f t="shared" si="255"/>
        <v>78</v>
      </c>
      <c r="R192" s="2126">
        <f t="shared" si="253"/>
        <v>82</v>
      </c>
      <c r="S192" s="2127">
        <f t="shared" si="254"/>
        <v>80</v>
      </c>
      <c r="T192" s="853">
        <f t="shared" si="256"/>
        <v>80</v>
      </c>
      <c r="U192" s="1296" t="str">
        <f t="shared" si="257"/>
        <v>3.33</v>
      </c>
      <c r="V192" s="1296" t="str">
        <f t="shared" si="258"/>
        <v>B+</v>
      </c>
      <c r="W192" s="1296" t="str">
        <f t="shared" si="259"/>
        <v>B</v>
      </c>
      <c r="X192" s="1274"/>
      <c r="Y192" s="1274"/>
      <c r="Z192" s="1274"/>
      <c r="AA192" s="1274"/>
      <c r="AB192" s="1276"/>
      <c r="AC192" s="1276"/>
      <c r="AD192" s="1276"/>
      <c r="AE192" s="2133"/>
      <c r="AF192" s="2142"/>
      <c r="AG192" s="2143"/>
    </row>
    <row r="193" spans="1:33" ht="24.95" customHeight="1" x14ac:dyDescent="0.25">
      <c r="A193" s="1207"/>
      <c r="B193" s="1290"/>
      <c r="C193" s="1291"/>
      <c r="D193" s="1213" t="s">
        <v>11</v>
      </c>
      <c r="E193" s="1497">
        <v>76</v>
      </c>
      <c r="F193" s="1497">
        <v>75</v>
      </c>
      <c r="G193" s="1493">
        <v>80</v>
      </c>
      <c r="H193" s="2040">
        <v>89</v>
      </c>
      <c r="I193" s="2040">
        <v>75</v>
      </c>
      <c r="J193" s="2040">
        <v>81</v>
      </c>
      <c r="K193" s="1493">
        <v>65</v>
      </c>
      <c r="L193" s="1493">
        <v>79</v>
      </c>
      <c r="M193" s="1493">
        <v>80</v>
      </c>
      <c r="N193" s="2042"/>
      <c r="O193" s="2042"/>
      <c r="P193" s="2129"/>
      <c r="Q193" s="1077">
        <f>MAX(E193,H193,K193,N193)</f>
        <v>89</v>
      </c>
      <c r="R193" s="2126">
        <f t="shared" si="253"/>
        <v>79</v>
      </c>
      <c r="S193" s="2127">
        <f t="shared" si="254"/>
        <v>81</v>
      </c>
      <c r="T193" s="853">
        <f>IFERROR(AVERAGE(Q193:S193),"")</f>
        <v>83</v>
      </c>
      <c r="U193" s="1296" t="str">
        <f t="shared" si="257"/>
        <v>3.66</v>
      </c>
      <c r="V193" s="1296" t="str">
        <f t="shared" si="258"/>
        <v>A-</v>
      </c>
      <c r="W193" s="1296" t="str">
        <f t="shared" si="259"/>
        <v>SB</v>
      </c>
      <c r="X193" s="1274"/>
      <c r="Y193" s="1274"/>
      <c r="Z193" s="1274"/>
      <c r="AA193" s="1274"/>
      <c r="AB193" s="1276"/>
      <c r="AC193" s="1276"/>
      <c r="AD193" s="1276"/>
      <c r="AE193" s="2133"/>
      <c r="AF193" s="2144"/>
      <c r="AG193" s="2145"/>
    </row>
    <row r="194" spans="1:33" ht="24.95" customHeight="1" x14ac:dyDescent="0.25">
      <c r="A194" s="1236"/>
      <c r="B194" s="1280">
        <v>37</v>
      </c>
      <c r="C194" s="1292"/>
      <c r="D194" s="1279"/>
      <c r="E194" s="2729"/>
      <c r="F194" s="2730"/>
      <c r="G194" s="2730"/>
      <c r="H194" s="2730"/>
      <c r="I194" s="2077"/>
      <c r="J194" s="2077"/>
      <c r="K194" s="2077"/>
      <c r="L194" s="2077"/>
      <c r="M194" s="2077"/>
      <c r="N194" s="2077"/>
      <c r="O194" s="2077"/>
      <c r="P194" s="2077"/>
      <c r="Q194" s="2150"/>
      <c r="R194" s="2151"/>
      <c r="S194" s="2151"/>
      <c r="T194" s="1297">
        <f>IFERROR(AVERAGE(T190:T193),"  ")</f>
        <v>79.333333333333343</v>
      </c>
      <c r="U194" s="1298" t="str">
        <f>IF(T14&gt;85,("4"),IF(T14&gt;80,("3.66"),IF(T14&gt;75,("3.33"),IF(T14&gt;70,("3.00"),IF(T14&gt;65,("2.66"),IF(T14&gt;60,("2.33"),IF(T14&gt;55,("2"),IF(T14&gt;50,("1.66"),"1.33"))))))))</f>
        <v>3.33</v>
      </c>
      <c r="V194" s="1298" t="str">
        <f>IF(T14&gt;85,("A"),IF(T14&gt;80,("A-"),IF(T14&gt;75,("B+"),IF(T14&gt;70,("B"),IF(T14&gt;65,("B-"),IF(T14&gt;60,("C+"),IF(T14&gt;55,("C"),IF(T14&gt;50,("C-"),"D+"))))))))</f>
        <v>B+</v>
      </c>
      <c r="W194" s="1299"/>
      <c r="X194" s="1283"/>
      <c r="Y194" s="1283"/>
      <c r="Z194" s="1283"/>
      <c r="AA194" s="1283"/>
      <c r="AB194" s="1283"/>
      <c r="AC194" s="1283"/>
      <c r="AD194" s="1283"/>
      <c r="AE194" s="1283"/>
      <c r="AF194" s="2146"/>
      <c r="AG194" s="2147"/>
    </row>
    <row r="195" spans="1:33" ht="24.95" customHeight="1" x14ac:dyDescent="0.25">
      <c r="A195" s="1224">
        <v>38</v>
      </c>
      <c r="B195" s="1285"/>
      <c r="C195" s="1286" t="e">
        <f>VLOOKUP(A195,data_siswa,4,FALSE)</f>
        <v>#N/A</v>
      </c>
      <c r="D195" s="1210" t="s">
        <v>154</v>
      </c>
      <c r="E195" s="1493"/>
      <c r="F195" s="1493"/>
      <c r="G195" s="1493"/>
      <c r="H195" s="2040">
        <v>0</v>
      </c>
      <c r="I195" s="2040">
        <v>0</v>
      </c>
      <c r="J195" s="2040">
        <v>0</v>
      </c>
      <c r="K195" s="1493">
        <v>0</v>
      </c>
      <c r="L195" s="1493">
        <v>0</v>
      </c>
      <c r="M195" s="1493">
        <v>0</v>
      </c>
      <c r="N195" s="2041"/>
      <c r="O195" s="2041"/>
      <c r="P195" s="2130"/>
      <c r="Q195" s="1077">
        <f>MAX(E195,H195,K195,N195)</f>
        <v>0</v>
      </c>
      <c r="R195" s="2126">
        <f t="shared" ref="R195:R198" si="260">MAX(F195,I195,L195,O195)</f>
        <v>0</v>
      </c>
      <c r="S195" s="2127">
        <f t="shared" ref="S195:S198" si="261">MAX(G195,J195,M195,P195)</f>
        <v>0</v>
      </c>
      <c r="T195" s="853">
        <f>IFERROR(AVERAGE(Q195:S195),"")</f>
        <v>0</v>
      </c>
      <c r="U195" s="1295" t="str">
        <f>IF(T195&gt;85,("4"),IF(T195&gt;80,("3.66"),IF(T195&gt;75,("3.33"),IF(T195&gt;70,("3.00"),IF(T195&gt;65,("2.66"),IF(T195&gt;60,("2.33"),IF(T195&gt;55,("2"),IF(T195&gt;50,("1.66"),"1.33"))))))))</f>
        <v>1.33</v>
      </c>
      <c r="V195" s="1295" t="str">
        <f>IF(T195&gt;85,("A"),IF(T195&gt;80,("A-"),IF(T195&gt;75,("B+"),IF(T195&gt;70,("B"),IF(T195&gt;65,("B-"),IF(T195&gt;60,("C+"),IF(T195&gt;55,("C"),IF(T195&gt;50,("C-"),"D+"))))))))</f>
        <v>D+</v>
      </c>
      <c r="W195" s="1295" t="str">
        <f>IF(T195&gt;80,("SB"),IF(T195&gt;65,("B"),IF(T195&gt;50,("C"),IF(T195&gt;0,("K"),"0"))))</f>
        <v>0</v>
      </c>
      <c r="X195" s="2138"/>
      <c r="Y195" s="1287"/>
      <c r="Z195" s="1287"/>
      <c r="AA195" s="1287"/>
      <c r="AB195" s="1293"/>
      <c r="AC195" s="1293"/>
      <c r="AD195" s="1293"/>
      <c r="AE195" s="2136"/>
      <c r="AF195" s="466">
        <f>MAX(T195:T198)</f>
        <v>0</v>
      </c>
      <c r="AG195" s="466" t="str">
        <f>IF(AF195&gt;85,("A"),IF(AF195&gt;80,("A-"),IF(AF195&gt;75,("B+"),IF(AF195&gt;70,("B"),IF(AF195&gt;65,("B-"),IF(AF195&gt;60,("C+"),IF(AF195&gt;55,("C"),IF(AF195&gt;50,("C-"),"D+"))))))))</f>
        <v>D+</v>
      </c>
    </row>
    <row r="196" spans="1:33" ht="24.95" customHeight="1" x14ac:dyDescent="0.25">
      <c r="A196" s="1207"/>
      <c r="B196" s="1290"/>
      <c r="C196" s="1291"/>
      <c r="D196" s="1213" t="s">
        <v>155</v>
      </c>
      <c r="E196" s="1493"/>
      <c r="F196" s="1497"/>
      <c r="G196" s="1493"/>
      <c r="H196" s="2040">
        <v>0</v>
      </c>
      <c r="I196" s="2040">
        <v>0</v>
      </c>
      <c r="J196" s="2040">
        <v>0</v>
      </c>
      <c r="K196" s="1497"/>
      <c r="L196" s="1497"/>
      <c r="M196" s="1497"/>
      <c r="N196" s="2041">
        <v>0</v>
      </c>
      <c r="O196" s="2041">
        <v>0</v>
      </c>
      <c r="P196" s="2130">
        <v>0</v>
      </c>
      <c r="Q196" s="1077">
        <f t="shared" ref="Q196:Q197" si="262">MAX(E196,H196,K196,N196)</f>
        <v>0</v>
      </c>
      <c r="R196" s="2126">
        <f t="shared" si="260"/>
        <v>0</v>
      </c>
      <c r="S196" s="2127">
        <f t="shared" si="261"/>
        <v>0</v>
      </c>
      <c r="T196" s="853">
        <f t="shared" ref="T196:T197" si="263">IFERROR(AVERAGE(Q196:S196),"")</f>
        <v>0</v>
      </c>
      <c r="U196" s="1296" t="str">
        <f t="shared" ref="U196:U198" si="264">IF(T196&gt;85,("4"),IF(T196&gt;80,("3.66"),IF(T196&gt;75,("3.33"),IF(T196&gt;70,("3.00"),IF(T196&gt;65,("2.66"),IF(T196&gt;60,("2.33"),IF(T196&gt;55,("2"),IF(T196&gt;50,("1.66"),"1.33"))))))))</f>
        <v>1.33</v>
      </c>
      <c r="V196" s="1296" t="str">
        <f t="shared" ref="V196:V198" si="265">IF(T196&gt;85,("A"),IF(T196&gt;80,("A-"),IF(T196&gt;75,("B+"),IF(T196&gt;70,("B"),IF(T196&gt;65,("B-"),IF(T196&gt;60,("C+"),IF(T196&gt;55,("C"),IF(T196&gt;50,("C-"),"D+"))))))))</f>
        <v>D+</v>
      </c>
      <c r="W196" s="1296" t="str">
        <f t="shared" ref="W196:W198" si="266">IF(T196&gt;80,("SB"),IF(T196&gt;65,("B"),IF(T196&gt;50,("C"),IF(T196&gt;0,("K"),"0"))))</f>
        <v>0</v>
      </c>
      <c r="X196" s="1271"/>
      <c r="Y196" s="1271"/>
      <c r="Z196" s="1271"/>
      <c r="AA196" s="1271"/>
      <c r="AB196" s="1273"/>
      <c r="AC196" s="1273"/>
      <c r="AD196" s="1273"/>
      <c r="AE196" s="2132"/>
      <c r="AF196" s="2140"/>
      <c r="AG196" s="2141"/>
    </row>
    <row r="197" spans="1:33" ht="24.95" customHeight="1" x14ac:dyDescent="0.25">
      <c r="A197" s="1207"/>
      <c r="B197" s="1290"/>
      <c r="C197" s="1291"/>
      <c r="D197" s="1213" t="s">
        <v>9</v>
      </c>
      <c r="E197" s="1493"/>
      <c r="F197" s="1493"/>
      <c r="G197" s="1497"/>
      <c r="H197" s="2040">
        <v>0</v>
      </c>
      <c r="I197" s="2040">
        <v>0</v>
      </c>
      <c r="J197" s="2040">
        <v>0</v>
      </c>
      <c r="K197" s="1497"/>
      <c r="L197" s="1497"/>
      <c r="M197" s="1497"/>
      <c r="N197" s="2042"/>
      <c r="O197" s="2042"/>
      <c r="P197" s="2129"/>
      <c r="Q197" s="1077">
        <f t="shared" si="262"/>
        <v>0</v>
      </c>
      <c r="R197" s="2126">
        <f t="shared" si="260"/>
        <v>0</v>
      </c>
      <c r="S197" s="2127">
        <f t="shared" si="261"/>
        <v>0</v>
      </c>
      <c r="T197" s="853">
        <f t="shared" si="263"/>
        <v>0</v>
      </c>
      <c r="U197" s="1296" t="str">
        <f t="shared" si="264"/>
        <v>1.33</v>
      </c>
      <c r="V197" s="1296" t="str">
        <f t="shared" si="265"/>
        <v>D+</v>
      </c>
      <c r="W197" s="1296" t="str">
        <f t="shared" si="266"/>
        <v>0</v>
      </c>
      <c r="X197" s="1274"/>
      <c r="Y197" s="1274"/>
      <c r="Z197" s="1274"/>
      <c r="AA197" s="1274"/>
      <c r="AB197" s="1276"/>
      <c r="AC197" s="1276"/>
      <c r="AD197" s="1276"/>
      <c r="AE197" s="2133"/>
      <c r="AF197" s="2142"/>
      <c r="AG197" s="2143"/>
    </row>
    <row r="198" spans="1:33" ht="24.95" customHeight="1" x14ac:dyDescent="0.25">
      <c r="A198" s="1207"/>
      <c r="B198" s="1290"/>
      <c r="C198" s="1291"/>
      <c r="D198" s="1213" t="s">
        <v>11</v>
      </c>
      <c r="E198" s="1497">
        <v>0</v>
      </c>
      <c r="F198" s="1497">
        <v>0</v>
      </c>
      <c r="G198" s="1493">
        <v>0</v>
      </c>
      <c r="H198" s="2040">
        <v>0</v>
      </c>
      <c r="I198" s="2040">
        <v>0</v>
      </c>
      <c r="J198" s="2040">
        <v>0</v>
      </c>
      <c r="K198" s="1493">
        <v>0</v>
      </c>
      <c r="L198" s="1493">
        <v>0</v>
      </c>
      <c r="M198" s="1493">
        <v>0</v>
      </c>
      <c r="N198" s="2042"/>
      <c r="O198" s="2042"/>
      <c r="P198" s="2129"/>
      <c r="Q198" s="1077">
        <f>MAX(E198,H198,K198,N198)</f>
        <v>0</v>
      </c>
      <c r="R198" s="2126">
        <f t="shared" si="260"/>
        <v>0</v>
      </c>
      <c r="S198" s="2127">
        <f t="shared" si="261"/>
        <v>0</v>
      </c>
      <c r="T198" s="853">
        <f>IFERROR(AVERAGE(Q198:S198),"")</f>
        <v>0</v>
      </c>
      <c r="U198" s="1296" t="str">
        <f t="shared" si="264"/>
        <v>1.33</v>
      </c>
      <c r="V198" s="1296" t="str">
        <f t="shared" si="265"/>
        <v>D+</v>
      </c>
      <c r="W198" s="1296" t="str">
        <f t="shared" si="266"/>
        <v>0</v>
      </c>
      <c r="X198" s="1274"/>
      <c r="Y198" s="1274"/>
      <c r="Z198" s="1274"/>
      <c r="AA198" s="1274"/>
      <c r="AB198" s="1276"/>
      <c r="AC198" s="1276"/>
      <c r="AD198" s="1276"/>
      <c r="AE198" s="2133"/>
      <c r="AF198" s="2144"/>
      <c r="AG198" s="2145"/>
    </row>
    <row r="199" spans="1:33" ht="24.95" customHeight="1" x14ac:dyDescent="0.25">
      <c r="A199" s="1236"/>
      <c r="B199" s="1280">
        <v>38</v>
      </c>
      <c r="C199" s="1292"/>
      <c r="D199" s="1279"/>
      <c r="E199" s="2729"/>
      <c r="F199" s="2730"/>
      <c r="G199" s="2730"/>
      <c r="H199" s="2730"/>
      <c r="I199" s="2077"/>
      <c r="J199" s="2077"/>
      <c r="K199" s="2077"/>
      <c r="L199" s="2077"/>
      <c r="M199" s="2077"/>
      <c r="N199" s="2077"/>
      <c r="O199" s="2077"/>
      <c r="P199" s="2077"/>
      <c r="Q199" s="2150"/>
      <c r="R199" s="2151"/>
      <c r="S199" s="2151"/>
      <c r="T199" s="1520">
        <f>IFERROR(AVERAGE(T195:T198),"  ")</f>
        <v>0</v>
      </c>
      <c r="U199" s="1298" t="str">
        <f>IF(T14&gt;85,("4"),IF(T14&gt;80,("3.66"),IF(T14&gt;75,("3.33"),IF(T14&gt;70,("3.00"),IF(T14&gt;65,("2.66"),IF(T14&gt;60,("2.33"),IF(T14&gt;55,("2"),IF(T14&gt;50,("1.66"),"1.33"))))))))</f>
        <v>3.33</v>
      </c>
      <c r="V199" s="1298" t="str">
        <f>IF(T14&gt;85,("A"),IF(T14&gt;80,("A-"),IF(T14&gt;75,("B+"),IF(T14&gt;70,("B"),IF(T14&gt;65,("B-"),IF(T14&gt;60,("C+"),IF(T14&gt;55,("C"),IF(T14&gt;50,("C-"),"D+"))))))))</f>
        <v>B+</v>
      </c>
      <c r="W199" s="1299"/>
      <c r="X199" s="1283"/>
      <c r="Y199" s="1283"/>
      <c r="Z199" s="1283"/>
      <c r="AA199" s="1283"/>
      <c r="AB199" s="1283"/>
      <c r="AC199" s="1283"/>
      <c r="AD199" s="1283"/>
      <c r="AE199" s="1283"/>
      <c r="AF199" s="2146"/>
      <c r="AG199" s="2147"/>
    </row>
    <row r="200" spans="1:33" ht="24.95" customHeight="1" x14ac:dyDescent="0.25">
      <c r="A200" s="1224">
        <v>39</v>
      </c>
      <c r="B200" s="1285"/>
      <c r="C200" s="1286" t="e">
        <f>VLOOKUP(A200,data_siswa,4,FALSE)</f>
        <v>#N/A</v>
      </c>
      <c r="D200" s="1210" t="s">
        <v>154</v>
      </c>
      <c r="E200" s="1497"/>
      <c r="F200" s="1497"/>
      <c r="G200" s="1497"/>
      <c r="H200" s="2043">
        <v>75</v>
      </c>
      <c r="I200" s="2043">
        <v>81</v>
      </c>
      <c r="J200" s="2043">
        <v>75</v>
      </c>
      <c r="K200" s="1497">
        <v>65</v>
      </c>
      <c r="L200" s="1497">
        <v>69</v>
      </c>
      <c r="M200" s="1497">
        <v>80</v>
      </c>
      <c r="N200" s="2042"/>
      <c r="O200" s="2042"/>
      <c r="P200" s="2129"/>
      <c r="Q200" s="1077">
        <f>MAX(E200,H200,K200,N200)</f>
        <v>75</v>
      </c>
      <c r="R200" s="2126">
        <f t="shared" ref="R200:R203" si="267">MAX(F200,I200,L200,O200)</f>
        <v>81</v>
      </c>
      <c r="S200" s="2127">
        <f t="shared" ref="S200:S203" si="268">MAX(G200,J200,M200,P200)</f>
        <v>80</v>
      </c>
      <c r="T200" s="853">
        <f>IFERROR(AVERAGE(Q200:S200),"")</f>
        <v>78.666666666666671</v>
      </c>
      <c r="U200" s="1295" t="str">
        <f>IF(T200&gt;85,("4"),IF(T200&gt;80,("3.66"),IF(T200&gt;75,("3.33"),IF(T200&gt;70,("3.00"),IF(T200&gt;65,("2.66"),IF(T200&gt;60,("2.33"),IF(T200&gt;55,("2"),IF(T200&gt;50,("1.66"),"1.33"))))))))</f>
        <v>3.33</v>
      </c>
      <c r="V200" s="1295" t="str">
        <f>IF(T200&gt;85,("A"),IF(T200&gt;80,("A-"),IF(T200&gt;75,("B+"),IF(T200&gt;70,("B"),IF(T200&gt;65,("B-"),IF(T200&gt;60,("C+"),IF(T200&gt;55,("C"),IF(T200&gt;50,("C-"),"D+"))))))))</f>
        <v>B+</v>
      </c>
      <c r="W200" s="1295" t="str">
        <f>IF(T200&gt;80,("SB"),IF(T200&gt;65,("B"),IF(T200&gt;50,("C"),IF(T200&gt;0,("K"),"0"))))</f>
        <v>B</v>
      </c>
      <c r="X200" s="2138"/>
      <c r="Y200" s="1287"/>
      <c r="Z200" s="1287"/>
      <c r="AA200" s="1287"/>
      <c r="AB200" s="1293"/>
      <c r="AC200" s="1293"/>
      <c r="AD200" s="1293"/>
      <c r="AE200" s="2136"/>
      <c r="AF200" s="466">
        <f>MAX(T200:T203)</f>
        <v>83</v>
      </c>
      <c r="AG200" s="466" t="str">
        <f>IF(AF200&gt;85,("A"),IF(AF200&gt;80,("A-"),IF(AF200&gt;75,("B+"),IF(AF200&gt;70,("B"),IF(AF200&gt;65,("B-"),IF(AF200&gt;60,("C+"),IF(AF200&gt;55,("C"),IF(AF200&gt;50,("C-"),"D+"))))))))</f>
        <v>A-</v>
      </c>
    </row>
    <row r="201" spans="1:33" ht="24.95" customHeight="1" x14ac:dyDescent="0.25">
      <c r="A201" s="1207"/>
      <c r="B201" s="1290"/>
      <c r="C201" s="1291"/>
      <c r="D201" s="1213" t="s">
        <v>155</v>
      </c>
      <c r="E201" s="1493"/>
      <c r="F201" s="1497"/>
      <c r="G201" s="1493"/>
      <c r="H201" s="2040">
        <v>65</v>
      </c>
      <c r="I201" s="2040">
        <v>76</v>
      </c>
      <c r="J201" s="2040">
        <v>74</v>
      </c>
      <c r="K201" s="1497"/>
      <c r="L201" s="1497"/>
      <c r="M201" s="1497"/>
      <c r="N201" s="2041">
        <v>68</v>
      </c>
      <c r="O201" s="2041">
        <v>79</v>
      </c>
      <c r="P201" s="2130">
        <v>80</v>
      </c>
      <c r="Q201" s="1077">
        <f t="shared" ref="Q201:Q202" si="269">MAX(E201,H201,K201,N201)</f>
        <v>68</v>
      </c>
      <c r="R201" s="2126">
        <f t="shared" si="267"/>
        <v>79</v>
      </c>
      <c r="S201" s="2127">
        <f t="shared" si="268"/>
        <v>80</v>
      </c>
      <c r="T201" s="853">
        <f t="shared" ref="T201:T202" si="270">IFERROR(AVERAGE(Q201:S201),"")</f>
        <v>75.666666666666671</v>
      </c>
      <c r="U201" s="1296" t="str">
        <f t="shared" ref="U201:U203" si="271">IF(T201&gt;85,("4"),IF(T201&gt;80,("3.66"),IF(T201&gt;75,("3.33"),IF(T201&gt;70,("3.00"),IF(T201&gt;65,("2.66"),IF(T201&gt;60,("2.33"),IF(T201&gt;55,("2"),IF(T201&gt;50,("1.66"),"1.33"))))))))</f>
        <v>3.33</v>
      </c>
      <c r="V201" s="1296" t="str">
        <f t="shared" ref="V201:V203" si="272">IF(T201&gt;85,("A"),IF(T201&gt;80,("A-"),IF(T201&gt;75,("B+"),IF(T201&gt;70,("B"),IF(T201&gt;65,("B-"),IF(T201&gt;60,("C+"),IF(T201&gt;55,("C"),IF(T201&gt;50,("C-"),"D+"))))))))</f>
        <v>B+</v>
      </c>
      <c r="W201" s="1296" t="str">
        <f t="shared" ref="W201:W203" si="273">IF(T201&gt;80,("SB"),IF(T201&gt;65,("B"),IF(T201&gt;50,("C"),IF(T201&gt;0,("K"),"0"))))</f>
        <v>B</v>
      </c>
      <c r="X201" s="1271"/>
      <c r="Y201" s="1271"/>
      <c r="Z201" s="1271"/>
      <c r="AA201" s="1271"/>
      <c r="AB201" s="1273"/>
      <c r="AC201" s="1273"/>
      <c r="AD201" s="1273"/>
      <c r="AE201" s="2132"/>
      <c r="AF201" s="2140"/>
      <c r="AG201" s="2141"/>
    </row>
    <row r="202" spans="1:33" ht="24.95" customHeight="1" x14ac:dyDescent="0.25">
      <c r="A202" s="1207"/>
      <c r="B202" s="1290"/>
      <c r="C202" s="1291"/>
      <c r="D202" s="1213" t="s">
        <v>9</v>
      </c>
      <c r="E202" s="1493"/>
      <c r="F202" s="1493"/>
      <c r="G202" s="1497"/>
      <c r="H202" s="2040">
        <v>78</v>
      </c>
      <c r="I202" s="2040">
        <v>82</v>
      </c>
      <c r="J202" s="2040">
        <v>80</v>
      </c>
      <c r="K202" s="1497"/>
      <c r="L202" s="1497"/>
      <c r="M202" s="1497"/>
      <c r="N202" s="2042"/>
      <c r="O202" s="2042"/>
      <c r="P202" s="2129"/>
      <c r="Q202" s="1077">
        <f t="shared" si="269"/>
        <v>78</v>
      </c>
      <c r="R202" s="2126">
        <f t="shared" si="267"/>
        <v>82</v>
      </c>
      <c r="S202" s="2127">
        <f t="shared" si="268"/>
        <v>80</v>
      </c>
      <c r="T202" s="853">
        <f t="shared" si="270"/>
        <v>80</v>
      </c>
      <c r="U202" s="1296" t="str">
        <f t="shared" si="271"/>
        <v>3.33</v>
      </c>
      <c r="V202" s="1296" t="str">
        <f t="shared" si="272"/>
        <v>B+</v>
      </c>
      <c r="W202" s="1296" t="str">
        <f t="shared" si="273"/>
        <v>B</v>
      </c>
      <c r="X202" s="1274"/>
      <c r="Y202" s="1274"/>
      <c r="Z202" s="1274"/>
      <c r="AA202" s="1274"/>
      <c r="AB202" s="1276"/>
      <c r="AC202" s="1276"/>
      <c r="AD202" s="1276"/>
      <c r="AE202" s="2133"/>
      <c r="AF202" s="2142"/>
      <c r="AG202" s="2143"/>
    </row>
    <row r="203" spans="1:33" ht="24.95" customHeight="1" x14ac:dyDescent="0.25">
      <c r="A203" s="1207"/>
      <c r="B203" s="1290"/>
      <c r="C203" s="1291"/>
      <c r="D203" s="1213" t="s">
        <v>11</v>
      </c>
      <c r="E203" s="1497">
        <v>76</v>
      </c>
      <c r="F203" s="1497">
        <v>75</v>
      </c>
      <c r="G203" s="1493">
        <v>80</v>
      </c>
      <c r="H203" s="2040">
        <v>89</v>
      </c>
      <c r="I203" s="2040">
        <v>75</v>
      </c>
      <c r="J203" s="2040">
        <v>81</v>
      </c>
      <c r="K203" s="1493">
        <v>65</v>
      </c>
      <c r="L203" s="1493">
        <v>79</v>
      </c>
      <c r="M203" s="1493">
        <v>80</v>
      </c>
      <c r="N203" s="2042"/>
      <c r="O203" s="2042"/>
      <c r="P203" s="2129"/>
      <c r="Q203" s="1077">
        <f>MAX(E203,H203,K203,N203)</f>
        <v>89</v>
      </c>
      <c r="R203" s="2126">
        <f t="shared" si="267"/>
        <v>79</v>
      </c>
      <c r="S203" s="2127">
        <f t="shared" si="268"/>
        <v>81</v>
      </c>
      <c r="T203" s="853">
        <f>IFERROR(AVERAGE(Q203:S203),"")</f>
        <v>83</v>
      </c>
      <c r="U203" s="1296" t="str">
        <f t="shared" si="271"/>
        <v>3.66</v>
      </c>
      <c r="V203" s="1296" t="str">
        <f t="shared" si="272"/>
        <v>A-</v>
      </c>
      <c r="W203" s="1296" t="str">
        <f t="shared" si="273"/>
        <v>SB</v>
      </c>
      <c r="X203" s="1274"/>
      <c r="Y203" s="1274"/>
      <c r="Z203" s="1274"/>
      <c r="AA203" s="1274"/>
      <c r="AB203" s="1276"/>
      <c r="AC203" s="1276"/>
      <c r="AD203" s="1276"/>
      <c r="AE203" s="2133"/>
      <c r="AF203" s="2144"/>
      <c r="AG203" s="2145"/>
    </row>
    <row r="204" spans="1:33" ht="24.95" customHeight="1" x14ac:dyDescent="0.25">
      <c r="A204" s="1236"/>
      <c r="B204" s="1280">
        <v>39</v>
      </c>
      <c r="C204" s="1292"/>
      <c r="D204" s="1279"/>
      <c r="E204" s="2729"/>
      <c r="F204" s="2730"/>
      <c r="G204" s="2730"/>
      <c r="H204" s="2730"/>
      <c r="I204" s="2077"/>
      <c r="J204" s="2077"/>
      <c r="K204" s="2077"/>
      <c r="L204" s="2077"/>
      <c r="M204" s="2077"/>
      <c r="N204" s="2077"/>
      <c r="O204" s="2077"/>
      <c r="P204" s="2077"/>
      <c r="Q204" s="2150"/>
      <c r="R204" s="2151"/>
      <c r="S204" s="2151"/>
      <c r="T204" s="1297">
        <f>IFERROR(AVERAGE(T200:T203),"  ")</f>
        <v>79.333333333333343</v>
      </c>
      <c r="U204" s="1298" t="str">
        <f>IF(T14&gt;85,("4"),IF(T14&gt;80,("3.66"),IF(T14&gt;75,("3.33"),IF(T14&gt;70,("3.00"),IF(T14&gt;65,("2.66"),IF(T14&gt;60,("2.33"),IF(T14&gt;55,("2"),IF(T14&gt;50,("1.66"),"1.33"))))))))</f>
        <v>3.33</v>
      </c>
      <c r="V204" s="1298" t="str">
        <f>IF(T14&gt;85,("A"),IF(T14&gt;80,("A-"),IF(T14&gt;75,("B+"),IF(T14&gt;70,("B"),IF(T14&gt;65,("B-"),IF(T14&gt;60,("C+"),IF(T14&gt;55,("C"),IF(T14&gt;50,("C-"),"D+"))))))))</f>
        <v>B+</v>
      </c>
      <c r="W204" s="1299"/>
      <c r="X204" s="1283"/>
      <c r="Y204" s="1283"/>
      <c r="Z204" s="1283"/>
      <c r="AA204" s="1283"/>
      <c r="AB204" s="1283"/>
      <c r="AC204" s="1283"/>
      <c r="AD204" s="1283"/>
      <c r="AE204" s="1283"/>
      <c r="AF204" s="2146"/>
      <c r="AG204" s="2147"/>
    </row>
    <row r="205" spans="1:33" ht="24.95" customHeight="1" x14ac:dyDescent="0.25">
      <c r="A205" s="1224">
        <v>40</v>
      </c>
      <c r="B205" s="1285"/>
      <c r="C205" s="1286" t="e">
        <f>VLOOKUP(A205,data_siswa,4,FALSE)</f>
        <v>#N/A</v>
      </c>
      <c r="D205" s="1210" t="s">
        <v>154</v>
      </c>
      <c r="E205" s="1493"/>
      <c r="F205" s="1493"/>
      <c r="G205" s="1493"/>
      <c r="H205" s="2040">
        <v>0</v>
      </c>
      <c r="I205" s="2040">
        <v>0</v>
      </c>
      <c r="J205" s="2040">
        <v>0</v>
      </c>
      <c r="K205" s="1493">
        <v>0</v>
      </c>
      <c r="L205" s="1493">
        <v>0</v>
      </c>
      <c r="M205" s="1493">
        <v>0</v>
      </c>
      <c r="N205" s="2041"/>
      <c r="O205" s="2041"/>
      <c r="P205" s="2130"/>
      <c r="Q205" s="1077">
        <f>MAX(E205,H205,K205,N205)</f>
        <v>0</v>
      </c>
      <c r="R205" s="2126">
        <f t="shared" ref="R205:R208" si="274">MAX(F205,I205,L205,O205)</f>
        <v>0</v>
      </c>
      <c r="S205" s="2127">
        <f t="shared" ref="S205:S208" si="275">MAX(G205,J205,M205,P205)</f>
        <v>0</v>
      </c>
      <c r="T205" s="853">
        <f>IFERROR(AVERAGE(Q205:S205),"")</f>
        <v>0</v>
      </c>
      <c r="U205" s="1295" t="str">
        <f>IF(T205&gt;85,("4"),IF(T205&gt;80,("3.66"),IF(T205&gt;75,("3.33"),IF(T205&gt;70,("3.00"),IF(T205&gt;65,("2.66"),IF(T205&gt;60,("2.33"),IF(T205&gt;55,("2"),IF(T205&gt;50,("1.66"),"1.33"))))))))</f>
        <v>1.33</v>
      </c>
      <c r="V205" s="1295" t="str">
        <f>IF(T205&gt;85,("A"),IF(T205&gt;80,("A-"),IF(T205&gt;75,("B+"),IF(T205&gt;70,("B"),IF(T205&gt;65,("B-"),IF(T205&gt;60,("C+"),IF(T205&gt;55,("C"),IF(T205&gt;50,("C-"),"D+"))))))))</f>
        <v>D+</v>
      </c>
      <c r="W205" s="1295" t="str">
        <f>IF(T205&gt;80,("SB"),IF(T205&gt;65,("B"),IF(T205&gt;50,("C"),IF(T205&gt;0,("K"),"0"))))</f>
        <v>0</v>
      </c>
      <c r="X205" s="2138"/>
      <c r="Y205" s="1287"/>
      <c r="Z205" s="1287"/>
      <c r="AA205" s="1287"/>
      <c r="AB205" s="1293"/>
      <c r="AC205" s="1293"/>
      <c r="AD205" s="1293"/>
      <c r="AE205" s="2136"/>
      <c r="AF205" s="466">
        <f>MAX(T205:T208)</f>
        <v>0</v>
      </c>
      <c r="AG205" s="466" t="str">
        <f>IF(AF205&gt;85,("A"),IF(AF205&gt;80,("A-"),IF(AF205&gt;75,("B+"),IF(AF205&gt;70,("B"),IF(AF205&gt;65,("B-"),IF(AF205&gt;60,("C+"),IF(AF205&gt;55,("C"),IF(AF205&gt;50,("C-"),"D+"))))))))</f>
        <v>D+</v>
      </c>
    </row>
    <row r="206" spans="1:33" ht="24.95" customHeight="1" x14ac:dyDescent="0.25">
      <c r="A206" s="1207"/>
      <c r="B206" s="1290"/>
      <c r="C206" s="1291"/>
      <c r="D206" s="1213" t="s">
        <v>155</v>
      </c>
      <c r="E206" s="1493"/>
      <c r="F206" s="1497"/>
      <c r="G206" s="1493"/>
      <c r="H206" s="2040">
        <v>0</v>
      </c>
      <c r="I206" s="2040">
        <v>0</v>
      </c>
      <c r="J206" s="2040">
        <v>0</v>
      </c>
      <c r="K206" s="1497"/>
      <c r="L206" s="1497"/>
      <c r="M206" s="1497"/>
      <c r="N206" s="2041">
        <v>0</v>
      </c>
      <c r="O206" s="2041">
        <v>0</v>
      </c>
      <c r="P206" s="2130">
        <v>0</v>
      </c>
      <c r="Q206" s="1077">
        <f t="shared" ref="Q206:Q207" si="276">MAX(E206,H206,K206,N206)</f>
        <v>0</v>
      </c>
      <c r="R206" s="2126">
        <f t="shared" si="274"/>
        <v>0</v>
      </c>
      <c r="S206" s="2127">
        <f t="shared" si="275"/>
        <v>0</v>
      </c>
      <c r="T206" s="853">
        <f t="shared" ref="T206:T207" si="277">IFERROR(AVERAGE(Q206:S206),"")</f>
        <v>0</v>
      </c>
      <c r="U206" s="1296" t="str">
        <f t="shared" ref="U206:U208" si="278">IF(T206&gt;85,("4"),IF(T206&gt;80,("3.66"),IF(T206&gt;75,("3.33"),IF(T206&gt;70,("3.00"),IF(T206&gt;65,("2.66"),IF(T206&gt;60,("2.33"),IF(T206&gt;55,("2"),IF(T206&gt;50,("1.66"),"1.33"))))))))</f>
        <v>1.33</v>
      </c>
      <c r="V206" s="1296" t="str">
        <f t="shared" ref="V206:V208" si="279">IF(T206&gt;85,("A"),IF(T206&gt;80,("A-"),IF(T206&gt;75,("B+"),IF(T206&gt;70,("B"),IF(T206&gt;65,("B-"),IF(T206&gt;60,("C+"),IF(T206&gt;55,("C"),IF(T206&gt;50,("C-"),"D+"))))))))</f>
        <v>D+</v>
      </c>
      <c r="W206" s="1296" t="str">
        <f t="shared" ref="W206:W208" si="280">IF(T206&gt;80,("SB"),IF(T206&gt;65,("B"),IF(T206&gt;50,("C"),IF(T206&gt;0,("K"),"0"))))</f>
        <v>0</v>
      </c>
      <c r="X206" s="1271"/>
      <c r="Y206" s="1271"/>
      <c r="Z206" s="1271"/>
      <c r="AA206" s="1271"/>
      <c r="AB206" s="1273"/>
      <c r="AC206" s="1273"/>
      <c r="AD206" s="1273"/>
      <c r="AE206" s="2132"/>
      <c r="AF206" s="2140"/>
      <c r="AG206" s="2141"/>
    </row>
    <row r="207" spans="1:33" ht="24.95" customHeight="1" x14ac:dyDescent="0.25">
      <c r="A207" s="1207"/>
      <c r="B207" s="1290"/>
      <c r="C207" s="1291"/>
      <c r="D207" s="1213" t="s">
        <v>9</v>
      </c>
      <c r="E207" s="1493"/>
      <c r="F207" s="1493"/>
      <c r="G207" s="1497"/>
      <c r="H207" s="2040">
        <v>0</v>
      </c>
      <c r="I207" s="2040">
        <v>0</v>
      </c>
      <c r="J207" s="2040">
        <v>0</v>
      </c>
      <c r="K207" s="1497"/>
      <c r="L207" s="1497"/>
      <c r="M207" s="1497"/>
      <c r="N207" s="2042"/>
      <c r="O207" s="2042"/>
      <c r="P207" s="2129"/>
      <c r="Q207" s="1077">
        <f t="shared" si="276"/>
        <v>0</v>
      </c>
      <c r="R207" s="2126">
        <f t="shared" si="274"/>
        <v>0</v>
      </c>
      <c r="S207" s="2127">
        <f t="shared" si="275"/>
        <v>0</v>
      </c>
      <c r="T207" s="853">
        <f t="shared" si="277"/>
        <v>0</v>
      </c>
      <c r="U207" s="1296" t="str">
        <f t="shared" si="278"/>
        <v>1.33</v>
      </c>
      <c r="V207" s="1296" t="str">
        <f t="shared" si="279"/>
        <v>D+</v>
      </c>
      <c r="W207" s="1296" t="str">
        <f t="shared" si="280"/>
        <v>0</v>
      </c>
      <c r="X207" s="1274"/>
      <c r="Y207" s="1274"/>
      <c r="Z207" s="1274"/>
      <c r="AA207" s="1274"/>
      <c r="AB207" s="1276"/>
      <c r="AC207" s="1276"/>
      <c r="AD207" s="1276"/>
      <c r="AE207" s="2133"/>
      <c r="AF207" s="2142"/>
      <c r="AG207" s="2143"/>
    </row>
    <row r="208" spans="1:33" ht="24.95" customHeight="1" x14ac:dyDescent="0.25">
      <c r="A208" s="1207"/>
      <c r="B208" s="1290"/>
      <c r="C208" s="1291"/>
      <c r="D208" s="1213" t="s">
        <v>11</v>
      </c>
      <c r="E208" s="1497">
        <v>0</v>
      </c>
      <c r="F208" s="1497">
        <v>0</v>
      </c>
      <c r="G208" s="1493">
        <v>0</v>
      </c>
      <c r="H208" s="2040">
        <v>0</v>
      </c>
      <c r="I208" s="2040">
        <v>0</v>
      </c>
      <c r="J208" s="2040">
        <v>0</v>
      </c>
      <c r="K208" s="1493">
        <v>0</v>
      </c>
      <c r="L208" s="1493">
        <v>0</v>
      </c>
      <c r="M208" s="1493">
        <v>0</v>
      </c>
      <c r="N208" s="2042"/>
      <c r="O208" s="2042"/>
      <c r="P208" s="2129"/>
      <c r="Q208" s="1077">
        <f>MAX(E208,H208,K208,N208)</f>
        <v>0</v>
      </c>
      <c r="R208" s="2126">
        <f t="shared" si="274"/>
        <v>0</v>
      </c>
      <c r="S208" s="2127">
        <f t="shared" si="275"/>
        <v>0</v>
      </c>
      <c r="T208" s="853">
        <f>IFERROR(AVERAGE(Q208:S208),"")</f>
        <v>0</v>
      </c>
      <c r="U208" s="1296" t="str">
        <f t="shared" si="278"/>
        <v>1.33</v>
      </c>
      <c r="V208" s="1296" t="str">
        <f t="shared" si="279"/>
        <v>D+</v>
      </c>
      <c r="W208" s="1296" t="str">
        <f t="shared" si="280"/>
        <v>0</v>
      </c>
      <c r="X208" s="1274"/>
      <c r="Y208" s="1274"/>
      <c r="Z208" s="1274"/>
      <c r="AA208" s="1274"/>
      <c r="AB208" s="1276"/>
      <c r="AC208" s="1276"/>
      <c r="AD208" s="1276"/>
      <c r="AE208" s="2133"/>
      <c r="AF208" s="2144"/>
      <c r="AG208" s="2145"/>
    </row>
    <row r="209" spans="1:33" ht="24.95" customHeight="1" x14ac:dyDescent="0.25">
      <c r="A209" s="1294"/>
      <c r="B209" s="1280">
        <v>40</v>
      </c>
      <c r="C209" s="1292"/>
      <c r="D209" s="1279"/>
      <c r="E209" s="2729"/>
      <c r="F209" s="2730"/>
      <c r="G209" s="2730"/>
      <c r="H209" s="2730"/>
      <c r="I209" s="2077"/>
      <c r="J209" s="2077"/>
      <c r="K209" s="2077"/>
      <c r="L209" s="2077"/>
      <c r="M209" s="2077"/>
      <c r="N209" s="2077"/>
      <c r="O209" s="2077"/>
      <c r="P209" s="2077"/>
      <c r="Q209" s="2150"/>
      <c r="R209" s="2151"/>
      <c r="S209" s="2151"/>
      <c r="T209" s="1297">
        <f>IFERROR(AVERAGE(T205:T208),"  ")</f>
        <v>0</v>
      </c>
      <c r="U209" s="1298" t="str">
        <f>IF(T14&gt;85,("4"),IF(T14&gt;80,("3.66"),IF(T14&gt;75,("3.33"),IF(T14&gt;70,("3.00"),IF(T14&gt;65,("2.66"),IF(T14&gt;60,("2.33"),IF(T14&gt;55,("2"),IF(T14&gt;50,("1.66"),"1.33"))))))))</f>
        <v>3.33</v>
      </c>
      <c r="V209" s="1298" t="str">
        <f>IF(T14&gt;85,("A"),IF(T14&gt;80,("A-"),IF(T14&gt;75,("B+"),IF(T14&gt;70,("B"),IF(T14&gt;65,("B-"),IF(T14&gt;60,("C+"),IF(T14&gt;55,("C"),IF(T14&gt;50,("C-"),"D+"))))))))</f>
        <v>B+</v>
      </c>
      <c r="W209" s="1299"/>
      <c r="X209" s="1283"/>
      <c r="Y209" s="1283"/>
      <c r="Z209" s="1283"/>
      <c r="AA209" s="1283"/>
      <c r="AB209" s="1283"/>
      <c r="AC209" s="1283"/>
      <c r="AD209" s="1283"/>
      <c r="AE209" s="1283"/>
      <c r="AF209" s="2146"/>
      <c r="AG209" s="2147"/>
    </row>
  </sheetData>
  <sheetProtection password="C6F9" sheet="1" objects="1" scenarios="1"/>
  <mergeCells count="66">
    <mergeCell ref="Z8:Z9"/>
    <mergeCell ref="Y8:Y9"/>
    <mergeCell ref="X8:X9"/>
    <mergeCell ref="B7:B9"/>
    <mergeCell ref="A7:A9"/>
    <mergeCell ref="D7:D9"/>
    <mergeCell ref="W7:W9"/>
    <mergeCell ref="V7:V9"/>
    <mergeCell ref="U7:U9"/>
    <mergeCell ref="T7:T9"/>
    <mergeCell ref="C7:C9"/>
    <mergeCell ref="E124:H124"/>
    <mergeCell ref="E129:H129"/>
    <mergeCell ref="E134:H134"/>
    <mergeCell ref="E204:H204"/>
    <mergeCell ref="E209:H209"/>
    <mergeCell ref="E169:H169"/>
    <mergeCell ref="E174:H174"/>
    <mergeCell ref="E179:H179"/>
    <mergeCell ref="E184:H184"/>
    <mergeCell ref="E189:H189"/>
    <mergeCell ref="E194:H194"/>
    <mergeCell ref="E199:H199"/>
    <mergeCell ref="E164:H164"/>
    <mergeCell ref="E139:H139"/>
    <mergeCell ref="E144:H144"/>
    <mergeCell ref="E149:H149"/>
    <mergeCell ref="E14:H14"/>
    <mergeCell ref="E114:H114"/>
    <mergeCell ref="X7:AA7"/>
    <mergeCell ref="E99:H99"/>
    <mergeCell ref="E104:H104"/>
    <mergeCell ref="E74:H74"/>
    <mergeCell ref="E44:H44"/>
    <mergeCell ref="E64:H64"/>
    <mergeCell ref="E69:H69"/>
    <mergeCell ref="E8:G8"/>
    <mergeCell ref="H8:J8"/>
    <mergeCell ref="K8:M8"/>
    <mergeCell ref="N8:P8"/>
    <mergeCell ref="E7:P7"/>
    <mergeCell ref="Q7:S8"/>
    <mergeCell ref="AA8:AA9"/>
    <mergeCell ref="E154:H154"/>
    <mergeCell ref="E159:H159"/>
    <mergeCell ref="E109:H109"/>
    <mergeCell ref="E119:H119"/>
    <mergeCell ref="E19:H19"/>
    <mergeCell ref="E24:H24"/>
    <mergeCell ref="E29:H29"/>
    <mergeCell ref="E34:H34"/>
    <mergeCell ref="E39:H39"/>
    <mergeCell ref="E79:H79"/>
    <mergeCell ref="E84:H84"/>
    <mergeCell ref="E89:H89"/>
    <mergeCell ref="E94:H94"/>
    <mergeCell ref="E49:H49"/>
    <mergeCell ref="E54:H54"/>
    <mergeCell ref="E59:H59"/>
    <mergeCell ref="AB7:AE7"/>
    <mergeCell ref="AG7:AG9"/>
    <mergeCell ref="AF7:AF9"/>
    <mergeCell ref="AE8:AE9"/>
    <mergeCell ref="AD8:AD9"/>
    <mergeCell ref="AC8:AC9"/>
    <mergeCell ref="AB8:AB9"/>
  </mergeCells>
  <conditionalFormatting sqref="T40:T43">
    <cfRule type="top10" dxfId="1285" priority="79" bottom="1" rank="1"/>
    <cfRule type="top10" dxfId="1284" priority="80" rank="1"/>
  </conditionalFormatting>
  <conditionalFormatting sqref="T10:T13">
    <cfRule type="top10" dxfId="1283" priority="91" bottom="1" rank="1"/>
    <cfRule type="top10" dxfId="1282" priority="92" rank="1"/>
  </conditionalFormatting>
  <conditionalFormatting sqref="T15:T18">
    <cfRule type="top10" dxfId="1281" priority="89" bottom="1" rank="1"/>
    <cfRule type="top10" dxfId="1280" priority="90" rank="1"/>
  </conditionalFormatting>
  <conditionalFormatting sqref="T20:T23">
    <cfRule type="top10" dxfId="1279" priority="87" bottom="1" rank="1"/>
    <cfRule type="top10" dxfId="1278" priority="88" rank="1"/>
  </conditionalFormatting>
  <conditionalFormatting sqref="T25:T28">
    <cfRule type="top10" dxfId="1277" priority="85" bottom="1" rank="1"/>
    <cfRule type="top10" dxfId="1276" priority="86" rank="1"/>
  </conditionalFormatting>
  <conditionalFormatting sqref="T30:T33">
    <cfRule type="top10" dxfId="1275" priority="83" bottom="1" rank="1"/>
    <cfRule type="top10" dxfId="1274" priority="84" rank="1"/>
  </conditionalFormatting>
  <conditionalFormatting sqref="T35:T38">
    <cfRule type="top10" dxfId="1273" priority="81" bottom="1" rank="1"/>
    <cfRule type="top10" dxfId="1272" priority="82" rank="1"/>
  </conditionalFormatting>
  <conditionalFormatting sqref="T45:T48">
    <cfRule type="top10" dxfId="1271" priority="77" bottom="1" rank="1"/>
    <cfRule type="top10" dxfId="1270" priority="78" rank="1"/>
  </conditionalFormatting>
  <conditionalFormatting sqref="T50:T53">
    <cfRule type="top10" dxfId="1269" priority="75" bottom="1" rank="1"/>
    <cfRule type="top10" dxfId="1268" priority="76" rank="1"/>
  </conditionalFormatting>
  <conditionalFormatting sqref="T55:T58">
    <cfRule type="top10" dxfId="1267" priority="73" bottom="1" rank="1"/>
    <cfRule type="top10" dxfId="1266" priority="74" rank="1"/>
  </conditionalFormatting>
  <conditionalFormatting sqref="T60:T63">
    <cfRule type="top10" dxfId="1265" priority="71" bottom="1" rank="1"/>
    <cfRule type="top10" dxfId="1264" priority="72" rank="1"/>
  </conditionalFormatting>
  <conditionalFormatting sqref="T65:T68">
    <cfRule type="top10" dxfId="1263" priority="69" bottom="1" rank="1"/>
    <cfRule type="top10" dxfId="1262" priority="70" rank="1"/>
  </conditionalFormatting>
  <conditionalFormatting sqref="T70:T73">
    <cfRule type="top10" dxfId="1261" priority="67" bottom="1" rank="1"/>
    <cfRule type="top10" dxfId="1260" priority="68" rank="1"/>
  </conditionalFormatting>
  <conditionalFormatting sqref="T75:T78">
    <cfRule type="top10" dxfId="1259" priority="65" bottom="1" rank="1"/>
    <cfRule type="top10" dxfId="1258" priority="66" rank="1"/>
  </conditionalFormatting>
  <conditionalFormatting sqref="T80:T83">
    <cfRule type="top10" dxfId="1257" priority="63" bottom="1" rank="1"/>
    <cfRule type="top10" dxfId="1256" priority="64" rank="1"/>
  </conditionalFormatting>
  <conditionalFormatting sqref="T85:T88">
    <cfRule type="top10" dxfId="1255" priority="61" bottom="1" rank="1"/>
    <cfRule type="top10" dxfId="1254" priority="62" rank="1"/>
  </conditionalFormatting>
  <conditionalFormatting sqref="T90:T93">
    <cfRule type="top10" dxfId="1253" priority="59" bottom="1" rank="1"/>
    <cfRule type="top10" dxfId="1252" priority="60" rank="1"/>
  </conditionalFormatting>
  <conditionalFormatting sqref="T95:T98">
    <cfRule type="top10" dxfId="1251" priority="57" bottom="1" rank="1"/>
    <cfRule type="top10" dxfId="1250" priority="58" rank="1"/>
  </conditionalFormatting>
  <conditionalFormatting sqref="T100:T103">
    <cfRule type="top10" dxfId="1249" priority="55" bottom="1" rank="1"/>
    <cfRule type="top10" dxfId="1248" priority="56" rank="1"/>
  </conditionalFormatting>
  <conditionalFormatting sqref="T105:T108">
    <cfRule type="top10" dxfId="1247" priority="53" bottom="1" rank="1"/>
    <cfRule type="top10" dxfId="1246" priority="54" rank="1"/>
  </conditionalFormatting>
  <conditionalFormatting sqref="T110:T113">
    <cfRule type="top10" dxfId="1245" priority="51" bottom="1" rank="1"/>
    <cfRule type="top10" dxfId="1244" priority="52" rank="1"/>
  </conditionalFormatting>
  <conditionalFormatting sqref="T115:T118">
    <cfRule type="top10" dxfId="1243" priority="49" bottom="1" rank="1"/>
    <cfRule type="top10" dxfId="1242" priority="50" rank="1"/>
  </conditionalFormatting>
  <conditionalFormatting sqref="T120:T123">
    <cfRule type="top10" dxfId="1241" priority="47" bottom="1" rank="1"/>
    <cfRule type="top10" dxfId="1240" priority="48" rank="1"/>
  </conditionalFormatting>
  <conditionalFormatting sqref="T125:T128">
    <cfRule type="top10" dxfId="1239" priority="45" bottom="1" rank="1"/>
    <cfRule type="top10" dxfId="1238" priority="46" rank="1"/>
  </conditionalFormatting>
  <conditionalFormatting sqref="T130:T133">
    <cfRule type="top10" dxfId="1237" priority="43" bottom="1" rank="1"/>
    <cfRule type="top10" dxfId="1236" priority="44" rank="1"/>
  </conditionalFormatting>
  <conditionalFormatting sqref="T135:T138">
    <cfRule type="top10" dxfId="1235" priority="41" bottom="1" rank="1"/>
    <cfRule type="top10" dxfId="1234" priority="42" rank="1"/>
  </conditionalFormatting>
  <conditionalFormatting sqref="T140:T143">
    <cfRule type="top10" dxfId="1233" priority="39" bottom="1" rank="1"/>
    <cfRule type="top10" dxfId="1232" priority="40" rank="1"/>
  </conditionalFormatting>
  <conditionalFormatting sqref="T145:T148">
    <cfRule type="top10" dxfId="1231" priority="37" bottom="1" rank="1"/>
    <cfRule type="top10" dxfId="1230" priority="38" rank="1"/>
  </conditionalFormatting>
  <conditionalFormatting sqref="T150:T153">
    <cfRule type="top10" dxfId="1229" priority="35" bottom="1" rank="1"/>
    <cfRule type="top10" dxfId="1228" priority="36" rank="1"/>
  </conditionalFormatting>
  <conditionalFormatting sqref="T155:T158">
    <cfRule type="top10" dxfId="1227" priority="33" bottom="1" rank="1"/>
    <cfRule type="top10" dxfId="1226" priority="34" rank="1"/>
  </conditionalFormatting>
  <conditionalFormatting sqref="T160:T163">
    <cfRule type="top10" dxfId="1225" priority="31" bottom="1" rank="1"/>
    <cfRule type="top10" dxfId="1224" priority="32" rank="1"/>
  </conditionalFormatting>
  <conditionalFormatting sqref="T165:T168">
    <cfRule type="top10" dxfId="1223" priority="29" bottom="1" rank="1"/>
    <cfRule type="top10" dxfId="1222" priority="30" rank="1"/>
  </conditionalFormatting>
  <conditionalFormatting sqref="T170:T173">
    <cfRule type="top10" dxfId="1221" priority="27" bottom="1" rank="1"/>
    <cfRule type="top10" dxfId="1220" priority="28" rank="1"/>
  </conditionalFormatting>
  <conditionalFormatting sqref="T175:T178">
    <cfRule type="top10" dxfId="1219" priority="25" bottom="1" rank="1"/>
    <cfRule type="top10" dxfId="1218" priority="26" rank="1"/>
  </conditionalFormatting>
  <conditionalFormatting sqref="T180:T183">
    <cfRule type="top10" dxfId="1217" priority="23" bottom="1" rank="1"/>
    <cfRule type="top10" dxfId="1216" priority="24" rank="1"/>
  </conditionalFormatting>
  <conditionalFormatting sqref="T185:T188">
    <cfRule type="top10" dxfId="1215" priority="21" bottom="1" rank="1"/>
    <cfRule type="top10" dxfId="1214" priority="22" rank="1"/>
  </conditionalFormatting>
  <conditionalFormatting sqref="T190:T193">
    <cfRule type="top10" dxfId="1213" priority="19" bottom="1" rank="1"/>
    <cfRule type="top10" dxfId="1212" priority="20" rank="1"/>
  </conditionalFormatting>
  <conditionalFormatting sqref="T195:T198">
    <cfRule type="top10" dxfId="1211" priority="17" bottom="1" rank="1"/>
    <cfRule type="top10" dxfId="1210" priority="18" rank="1"/>
  </conditionalFormatting>
  <conditionalFormatting sqref="T200:T203">
    <cfRule type="top10" dxfId="1209" priority="15" bottom="1" rank="1"/>
    <cfRule type="top10" dxfId="1208" priority="16" rank="1"/>
  </conditionalFormatting>
  <conditionalFormatting sqref="T205:T208">
    <cfRule type="top10" dxfId="1207" priority="13" bottom="1" rank="1"/>
    <cfRule type="top10" dxfId="1206" priority="14" rank="1"/>
  </conditionalFormatting>
  <pageMargins left="0.7" right="0.7" top="0.75" bottom="0.75" header="0.3" footer="0.3"/>
  <pageSetup paperSize="9"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C000"/>
  </sheetPr>
  <dimension ref="A1:AV486"/>
  <sheetViews>
    <sheetView showGridLines="0" workbookViewId="0">
      <pane xSplit="4" ySplit="6" topLeftCell="S7" activePane="bottomRight" state="frozen"/>
      <selection pane="topRight" activeCell="E1" sqref="E1"/>
      <selection pane="bottomLeft" activeCell="A7" sqref="A7"/>
      <selection pane="bottomRight" activeCell="Z14" sqref="Z14"/>
    </sheetView>
  </sheetViews>
  <sheetFormatPr defaultRowHeight="15" x14ac:dyDescent="0.25"/>
  <cols>
    <col min="1" max="1" width="7.140625" style="352" customWidth="1"/>
    <col min="2" max="2" width="5.28515625" style="1379" customWidth="1"/>
    <col min="3" max="3" width="23.7109375" style="1380" customWidth="1"/>
    <col min="4" max="4" width="7" style="352" customWidth="1"/>
    <col min="5" max="19" width="6.7109375" style="352" customWidth="1"/>
    <col min="20" max="20" width="8" style="1926" customWidth="1"/>
    <col min="21" max="21" width="11.5703125" style="352" customWidth="1"/>
    <col min="22" max="23" width="6" style="352" customWidth="1"/>
    <col min="24" max="24" width="7.42578125" style="352" hidden="1" customWidth="1"/>
    <col min="25" max="46" width="4.28515625" style="352" customWidth="1"/>
    <col min="47" max="47" width="6.5703125" style="352" customWidth="1"/>
    <col min="48" max="48" width="5.85546875" style="352" customWidth="1"/>
    <col min="49" max="16384" width="9.140625" style="352"/>
  </cols>
  <sheetData>
    <row r="1" spans="1:48" ht="21" x14ac:dyDescent="0.35">
      <c r="A1" s="351" t="s">
        <v>780</v>
      </c>
      <c r="D1" s="69"/>
      <c r="E1" s="69"/>
      <c r="F1" s="74"/>
      <c r="G1" s="74"/>
      <c r="H1" s="1109"/>
      <c r="I1" s="1109"/>
      <c r="J1" s="1109"/>
      <c r="K1" s="1109"/>
      <c r="L1" s="1109"/>
      <c r="M1" s="1109"/>
      <c r="N1" s="1109"/>
      <c r="O1" s="1109"/>
      <c r="P1" s="1109"/>
      <c r="Q1" s="1109"/>
      <c r="R1" s="1109"/>
      <c r="S1" s="1109"/>
      <c r="T1" s="1925"/>
      <c r="U1" s="1108"/>
      <c r="V1" s="1109"/>
      <c r="W1" s="1109"/>
      <c r="X1" s="1109"/>
      <c r="Y1" s="1109"/>
      <c r="Z1" s="1109"/>
      <c r="AA1" s="1108"/>
      <c r="AB1" s="1109"/>
      <c r="AC1" s="1109"/>
      <c r="AD1" s="1108"/>
      <c r="AE1" s="1109"/>
      <c r="AF1" s="1109"/>
      <c r="AG1" s="1109"/>
      <c r="AH1" s="1109"/>
      <c r="AI1" s="648"/>
      <c r="AJ1" s="394"/>
    </row>
    <row r="2" spans="1:48" ht="23.25" x14ac:dyDescent="0.35">
      <c r="A2" s="1381" t="s">
        <v>562</v>
      </c>
      <c r="H2" s="981"/>
      <c r="I2" s="981"/>
      <c r="J2" s="981"/>
      <c r="K2" s="981"/>
      <c r="L2" s="981"/>
      <c r="M2" s="981"/>
      <c r="N2" s="981"/>
      <c r="O2" s="981"/>
      <c r="P2" s="981"/>
      <c r="Q2" s="981"/>
      <c r="R2" s="981"/>
      <c r="S2" s="981"/>
      <c r="T2" s="1885"/>
      <c r="U2" s="981"/>
      <c r="V2" s="981"/>
      <c r="W2" s="981"/>
      <c r="X2" s="981"/>
      <c r="Y2" s="981"/>
      <c r="Z2" s="981"/>
      <c r="AA2" s="981"/>
      <c r="AB2" s="981"/>
      <c r="AC2" s="981"/>
      <c r="AD2" s="981"/>
      <c r="AE2" s="979"/>
      <c r="AF2" s="979"/>
      <c r="AG2" s="979"/>
      <c r="AH2" s="979"/>
    </row>
    <row r="3" spans="1:48" s="1382" customFormat="1" ht="18.75" customHeight="1" thickBot="1" x14ac:dyDescent="0.3">
      <c r="A3" s="678">
        <v>1</v>
      </c>
      <c r="B3" s="678">
        <v>2</v>
      </c>
      <c r="C3" s="678">
        <v>3</v>
      </c>
      <c r="D3" s="678">
        <v>4</v>
      </c>
      <c r="E3" s="678">
        <v>5</v>
      </c>
      <c r="F3" s="678">
        <v>6</v>
      </c>
      <c r="G3" s="678">
        <v>7</v>
      </c>
      <c r="H3" s="678">
        <v>8</v>
      </c>
      <c r="I3" s="678">
        <v>9</v>
      </c>
      <c r="J3" s="678">
        <v>10</v>
      </c>
      <c r="K3" s="678">
        <v>11</v>
      </c>
      <c r="L3" s="678">
        <v>12</v>
      </c>
      <c r="M3" s="678">
        <v>13</v>
      </c>
      <c r="N3" s="678">
        <v>14</v>
      </c>
      <c r="O3" s="678">
        <v>15</v>
      </c>
      <c r="P3" s="678">
        <v>16</v>
      </c>
      <c r="Q3" s="678">
        <v>17</v>
      </c>
      <c r="R3" s="678">
        <v>18</v>
      </c>
      <c r="S3" s="678">
        <v>19</v>
      </c>
      <c r="T3" s="678">
        <v>20</v>
      </c>
      <c r="U3" s="678">
        <v>21</v>
      </c>
      <c r="V3" s="678">
        <v>22</v>
      </c>
      <c r="W3" s="678">
        <v>23</v>
      </c>
      <c r="X3" s="678">
        <v>24</v>
      </c>
      <c r="Y3" s="678">
        <v>25</v>
      </c>
      <c r="Z3" s="678">
        <v>26</v>
      </c>
      <c r="AA3" s="678">
        <v>27</v>
      </c>
      <c r="AB3" s="678">
        <v>28</v>
      </c>
      <c r="AC3" s="678">
        <v>29</v>
      </c>
      <c r="AD3" s="678">
        <v>30</v>
      </c>
      <c r="AE3" s="678">
        <v>31</v>
      </c>
      <c r="AF3" s="678">
        <v>32</v>
      </c>
      <c r="AG3" s="678">
        <v>33</v>
      </c>
      <c r="AH3" s="678">
        <v>34</v>
      </c>
      <c r="AI3" s="678">
        <v>35</v>
      </c>
      <c r="AJ3" s="678">
        <v>36</v>
      </c>
      <c r="AK3" s="678">
        <v>37</v>
      </c>
      <c r="AL3" s="678">
        <v>38</v>
      </c>
      <c r="AM3" s="678">
        <v>39</v>
      </c>
      <c r="AN3" s="678">
        <v>40</v>
      </c>
      <c r="AO3" s="678">
        <v>41</v>
      </c>
      <c r="AP3" s="678">
        <v>42</v>
      </c>
      <c r="AQ3" s="678">
        <v>43</v>
      </c>
      <c r="AR3" s="678">
        <v>44</v>
      </c>
      <c r="AS3" s="678">
        <v>45</v>
      </c>
      <c r="AT3" s="678">
        <v>46</v>
      </c>
      <c r="AU3" s="678">
        <v>47</v>
      </c>
      <c r="AV3" s="678">
        <v>48</v>
      </c>
    </row>
    <row r="4" spans="1:48" ht="21.75" customHeight="1" x14ac:dyDescent="0.25">
      <c r="A4" s="2754" t="s">
        <v>0</v>
      </c>
      <c r="B4" s="2757" t="s">
        <v>55</v>
      </c>
      <c r="C4" s="2760" t="s">
        <v>1</v>
      </c>
      <c r="D4" s="2520" t="s">
        <v>56</v>
      </c>
      <c r="E4" s="2797" t="s">
        <v>32</v>
      </c>
      <c r="F4" s="2798"/>
      <c r="G4" s="2798"/>
      <c r="H4" s="2798"/>
      <c r="I4" s="2798"/>
      <c r="J4" s="2798"/>
      <c r="K4" s="2798"/>
      <c r="L4" s="2798"/>
      <c r="M4" s="2798"/>
      <c r="N4" s="2798"/>
      <c r="O4" s="2798"/>
      <c r="P4" s="2799"/>
      <c r="Q4" s="2735" t="s">
        <v>1004</v>
      </c>
      <c r="R4" s="2736"/>
      <c r="S4" s="2737"/>
      <c r="T4" s="2764" t="s">
        <v>64</v>
      </c>
      <c r="U4" s="2548" t="s">
        <v>61</v>
      </c>
      <c r="V4" s="2782" t="s">
        <v>5</v>
      </c>
      <c r="W4" s="2785" t="s">
        <v>1005</v>
      </c>
      <c r="X4" s="2788" t="s">
        <v>65</v>
      </c>
      <c r="Y4" s="2774" t="s">
        <v>738</v>
      </c>
      <c r="Z4" s="2775"/>
      <c r="AA4" s="2775"/>
      <c r="AB4" s="2775"/>
      <c r="AC4" s="2775"/>
      <c r="AD4" s="2775"/>
      <c r="AE4" s="2775"/>
      <c r="AF4" s="2775"/>
      <c r="AG4" s="2775"/>
      <c r="AH4" s="2775"/>
      <c r="AI4" s="2776"/>
      <c r="AJ4" s="2774" t="s">
        <v>730</v>
      </c>
      <c r="AK4" s="2775"/>
      <c r="AL4" s="2775"/>
      <c r="AM4" s="2775"/>
      <c r="AN4" s="2775"/>
      <c r="AO4" s="2775"/>
      <c r="AP4" s="2775"/>
      <c r="AQ4" s="2775"/>
      <c r="AR4" s="2775"/>
      <c r="AS4" s="2775"/>
      <c r="AT4" s="2776"/>
      <c r="AU4" s="2541" t="s">
        <v>60</v>
      </c>
      <c r="AV4" s="2629" t="s">
        <v>5</v>
      </c>
    </row>
    <row r="5" spans="1:48" ht="20.25" customHeight="1" x14ac:dyDescent="0.25">
      <c r="A5" s="2755"/>
      <c r="B5" s="2758"/>
      <c r="C5" s="2761"/>
      <c r="D5" s="2763"/>
      <c r="E5" s="2791" t="s">
        <v>443</v>
      </c>
      <c r="F5" s="2792"/>
      <c r="G5" s="2793"/>
      <c r="H5" s="2794" t="s">
        <v>442</v>
      </c>
      <c r="I5" s="2795"/>
      <c r="J5" s="2796"/>
      <c r="K5" s="2768" t="s">
        <v>441</v>
      </c>
      <c r="L5" s="2769"/>
      <c r="M5" s="2770"/>
      <c r="N5" s="2771" t="s">
        <v>685</v>
      </c>
      <c r="O5" s="2772"/>
      <c r="P5" s="2773"/>
      <c r="Q5" s="2738"/>
      <c r="R5" s="2739"/>
      <c r="S5" s="2740"/>
      <c r="T5" s="2765"/>
      <c r="U5" s="2616"/>
      <c r="V5" s="2783"/>
      <c r="W5" s="2786"/>
      <c r="X5" s="2789"/>
      <c r="Y5" s="2777"/>
      <c r="Z5" s="2778"/>
      <c r="AA5" s="2778"/>
      <c r="AB5" s="2778"/>
      <c r="AC5" s="2778"/>
      <c r="AD5" s="2778"/>
      <c r="AE5" s="2778"/>
      <c r="AF5" s="2778"/>
      <c r="AG5" s="2778"/>
      <c r="AH5" s="2778"/>
      <c r="AI5" s="2779"/>
      <c r="AJ5" s="2777"/>
      <c r="AK5" s="2778"/>
      <c r="AL5" s="2778"/>
      <c r="AM5" s="2778"/>
      <c r="AN5" s="2778"/>
      <c r="AO5" s="2778"/>
      <c r="AP5" s="2778"/>
      <c r="AQ5" s="2778"/>
      <c r="AR5" s="2778"/>
      <c r="AS5" s="2778"/>
      <c r="AT5" s="2779"/>
      <c r="AU5" s="2767"/>
      <c r="AV5" s="2753"/>
    </row>
    <row r="6" spans="1:48" ht="21.75" customHeight="1" thickBot="1" x14ac:dyDescent="0.3">
      <c r="A6" s="2756"/>
      <c r="B6" s="2759"/>
      <c r="C6" s="2762"/>
      <c r="D6" s="2521"/>
      <c r="E6" s="2034" t="s">
        <v>1001</v>
      </c>
      <c r="F6" s="2034" t="s">
        <v>1002</v>
      </c>
      <c r="G6" s="2034" t="s">
        <v>1003</v>
      </c>
      <c r="H6" s="2035" t="s">
        <v>1001</v>
      </c>
      <c r="I6" s="2035" t="s">
        <v>1002</v>
      </c>
      <c r="J6" s="2035" t="s">
        <v>1003</v>
      </c>
      <c r="K6" s="2036" t="s">
        <v>1001</v>
      </c>
      <c r="L6" s="2036" t="s">
        <v>1002</v>
      </c>
      <c r="M6" s="2036" t="s">
        <v>1003</v>
      </c>
      <c r="N6" s="2037" t="s">
        <v>1001</v>
      </c>
      <c r="O6" s="2037" t="s">
        <v>1002</v>
      </c>
      <c r="P6" s="2037" t="s">
        <v>1003</v>
      </c>
      <c r="Q6" s="2047" t="s">
        <v>1001</v>
      </c>
      <c r="R6" s="2047" t="s">
        <v>1002</v>
      </c>
      <c r="S6" s="2047" t="s">
        <v>1003</v>
      </c>
      <c r="T6" s="2766"/>
      <c r="U6" s="2549"/>
      <c r="V6" s="2784"/>
      <c r="W6" s="2787"/>
      <c r="X6" s="2790"/>
      <c r="Y6" s="1172" t="s">
        <v>154</v>
      </c>
      <c r="Z6" s="1172" t="s">
        <v>155</v>
      </c>
      <c r="AA6" s="1172" t="s">
        <v>16</v>
      </c>
      <c r="AB6" s="1172" t="s">
        <v>189</v>
      </c>
      <c r="AC6" s="1172" t="s">
        <v>186</v>
      </c>
      <c r="AD6" s="1172" t="s">
        <v>187</v>
      </c>
      <c r="AE6" s="1172" t="s">
        <v>17</v>
      </c>
      <c r="AF6" s="1172" t="s">
        <v>188</v>
      </c>
      <c r="AG6" s="1172" t="s">
        <v>569</v>
      </c>
      <c r="AH6" s="1172" t="s">
        <v>209</v>
      </c>
      <c r="AI6" s="1172" t="s">
        <v>210</v>
      </c>
      <c r="AJ6" s="1171" t="s">
        <v>154</v>
      </c>
      <c r="AK6" s="1171" t="s">
        <v>155</v>
      </c>
      <c r="AL6" s="1171" t="s">
        <v>16</v>
      </c>
      <c r="AM6" s="1171" t="s">
        <v>189</v>
      </c>
      <c r="AN6" s="1171" t="s">
        <v>186</v>
      </c>
      <c r="AO6" s="1171" t="s">
        <v>187</v>
      </c>
      <c r="AP6" s="1171" t="s">
        <v>17</v>
      </c>
      <c r="AQ6" s="1171" t="s">
        <v>188</v>
      </c>
      <c r="AR6" s="1171" t="s">
        <v>569</v>
      </c>
      <c r="AS6" s="1171" t="s">
        <v>209</v>
      </c>
      <c r="AT6" s="1171" t="s">
        <v>210</v>
      </c>
      <c r="AU6" s="2542"/>
      <c r="AV6" s="2630"/>
    </row>
    <row r="7" spans="1:48" ht="20.100000000000001" customHeight="1" x14ac:dyDescent="0.25">
      <c r="A7" s="360">
        <v>1</v>
      </c>
      <c r="B7" s="1387"/>
      <c r="C7" s="1384" t="str">
        <f>VLOOKUP(A7,data_siswa,4,FALSE)</f>
        <v>Achmad Zacky</v>
      </c>
      <c r="D7" s="2059" t="s">
        <v>154</v>
      </c>
      <c r="E7" s="2053">
        <v>76</v>
      </c>
      <c r="F7" s="2053">
        <v>65</v>
      </c>
      <c r="G7" s="2053">
        <v>85</v>
      </c>
      <c r="H7" s="2054"/>
      <c r="I7" s="2054"/>
      <c r="J7" s="2054"/>
      <c r="K7" s="2053"/>
      <c r="L7" s="2053"/>
      <c r="M7" s="2053"/>
      <c r="N7" s="2055"/>
      <c r="O7" s="2055"/>
      <c r="P7" s="2055"/>
      <c r="Q7" s="2028">
        <f>MAX(E7,H7,K7,N7)</f>
        <v>76</v>
      </c>
      <c r="R7" s="2026">
        <f t="shared" ref="R7" si="0">MAX(F7,I7,L7,O7)</f>
        <v>65</v>
      </c>
      <c r="S7" s="2029">
        <f t="shared" ref="S7" si="1">MAX(G7,J7,M7,P7)</f>
        <v>85</v>
      </c>
      <c r="T7" s="853">
        <f>IFERROR(AVERAGE(Q7:S7),"")</f>
        <v>75.333333333333329</v>
      </c>
      <c r="U7" s="2056" t="str">
        <f>IF(T7&gt;85,("4"),IF(T7&gt;80,("3.66"),IF(T7&gt;75,("3.33"),IF(T7&gt;70,("3.00"),IF(T7&gt;65,("2.66"),IF(T7&gt;60,("2.33"),IF(T7&gt;55,("2"),IF(T7&gt;50,("1.66"),"1.33"))))))))</f>
        <v>3.33</v>
      </c>
      <c r="V7" s="2056" t="str">
        <f>IF(T7&gt;85,("A"),IF(T7&gt;80,("A-"),IF(T7&gt;75,("B+"),IF(T7&gt;70,("B"),IF(T7&gt;65,("B-"),IF(T7&gt;60,("C+"),IF(T7&gt;55,("C"),IF(T7&gt;50,("C-"),"D+"))))))))</f>
        <v>B+</v>
      </c>
      <c r="W7" s="2056" t="str">
        <f>IF(T7&gt;80,("SB"),IF(T7&gt;65,("B"),IF(T7&gt;50,("C"),IF(T7&gt;0,("K"),"0"))))</f>
        <v>B</v>
      </c>
      <c r="X7" s="2056"/>
      <c r="Y7" s="2057"/>
      <c r="Z7" s="2057"/>
      <c r="AA7" s="2057"/>
      <c r="AB7" s="2057">
        <v>4</v>
      </c>
      <c r="AC7" s="2057"/>
      <c r="AD7" s="2057"/>
      <c r="AE7" s="2057"/>
      <c r="AF7" s="2057"/>
      <c r="AG7" s="2057"/>
      <c r="AH7" s="2057"/>
      <c r="AI7" s="2057"/>
      <c r="AJ7" s="2058"/>
      <c r="AK7" s="2058"/>
      <c r="AL7" s="2058"/>
      <c r="AM7" s="2058"/>
      <c r="AN7" s="2058"/>
      <c r="AO7" s="2058"/>
      <c r="AP7" s="2058"/>
      <c r="AQ7" s="2058"/>
      <c r="AR7" s="2058"/>
      <c r="AS7" s="2058"/>
      <c r="AT7" s="2058">
        <v>2</v>
      </c>
      <c r="AU7" s="627">
        <f>T18</f>
        <v>74.666666666666657</v>
      </c>
      <c r="AV7" s="2018" t="str">
        <f>IF(AU7&gt;85,("A"),IF(AU7&gt;80,("A-"),IF(AU7&gt;75,("B+"),IF(AU7&gt;70,("B"),IF(AU7&gt;65,("B-"),IF(AU7&gt;60,("C+"),IF(AU7&gt;55,("C"),IF(AU7&gt;50,("C-"),"D+"))))))))</f>
        <v>B</v>
      </c>
    </row>
    <row r="8" spans="1:48" ht="20.100000000000001" customHeight="1" x14ac:dyDescent="0.25">
      <c r="A8" s="360"/>
      <c r="B8" s="1387"/>
      <c r="C8" s="1388"/>
      <c r="D8" s="2060" t="s">
        <v>155</v>
      </c>
      <c r="E8" s="1493"/>
      <c r="F8" s="1493"/>
      <c r="G8" s="1493"/>
      <c r="H8" s="2040"/>
      <c r="I8" s="2040"/>
      <c r="J8" s="2040"/>
      <c r="K8" s="1493"/>
      <c r="L8" s="1493"/>
      <c r="M8" s="1493"/>
      <c r="N8" s="2039">
        <v>76</v>
      </c>
      <c r="O8" s="2039">
        <v>70</v>
      </c>
      <c r="P8" s="2039">
        <v>68</v>
      </c>
      <c r="Q8" s="2028">
        <f t="shared" ref="Q8:Q17" si="2">MAX(E8,H8,K8,N8)</f>
        <v>76</v>
      </c>
      <c r="R8" s="2026">
        <f t="shared" ref="R8:R17" si="3">MAX(F8,I8,L8,O8)</f>
        <v>70</v>
      </c>
      <c r="S8" s="2029">
        <f t="shared" ref="S8:S17" si="4">MAX(G8,J8,M8,P8)</f>
        <v>68</v>
      </c>
      <c r="T8" s="853">
        <f t="shared" ref="T8:T17" si="5">IFERROR(AVERAGE(Q8:S8),"")</f>
        <v>71.333333333333329</v>
      </c>
      <c r="U8" s="1408" t="str">
        <f t="shared" ref="U8:U15" si="6">IF(T8&gt;85,("4"),IF(T8&gt;80,("3.66"),IF(T8&gt;75,("3.33"),IF(T8&gt;70,("3.00"),IF(T8&gt;65,("2.66"),IF(T8&gt;60,("2.33"),IF(T8&gt;55,("2"),IF(T8&gt;50,("1.66"),"1.33"))))))))</f>
        <v>3.00</v>
      </c>
      <c r="V8" s="1408" t="str">
        <f t="shared" ref="V8:V15" si="7">IF(T8&gt;85,("A"),IF(T8&gt;80,("A-"),IF(T8&gt;75,("B+"),IF(T8&gt;70,("B"),IF(T8&gt;65,("B-"),IF(T8&gt;60,("C+"),IF(T8&gt;55,("C"),IF(T8&gt;50,("C-"),"D+"))))))))</f>
        <v>B</v>
      </c>
      <c r="W8" s="1408" t="str">
        <f t="shared" ref="W8:W15" si="8">IF(T8&gt;80,("SB"),IF(T8&gt;65,("B"),IF(T8&gt;50,("C"),IF(T8&gt;0,("K"),"0"))))</f>
        <v>B</v>
      </c>
      <c r="X8" s="1409"/>
      <c r="Y8" s="1389"/>
      <c r="Z8" s="1390"/>
      <c r="AA8" s="1390"/>
      <c r="AB8" s="1390"/>
      <c r="AC8" s="1390"/>
      <c r="AD8" s="1390"/>
      <c r="AE8" s="1390"/>
      <c r="AF8" s="1390"/>
      <c r="AG8" s="1390"/>
      <c r="AH8" s="1390"/>
      <c r="AI8" s="1390"/>
      <c r="AJ8" s="1391"/>
      <c r="AK8" s="1391"/>
      <c r="AL8" s="1391"/>
      <c r="AM8" s="1391"/>
      <c r="AN8" s="1391"/>
      <c r="AO8" s="1391"/>
      <c r="AP8" s="1391"/>
      <c r="AQ8" s="1391"/>
      <c r="AR8" s="1391"/>
      <c r="AS8" s="1391"/>
      <c r="AT8" s="1392"/>
      <c r="AU8" s="1411"/>
      <c r="AV8" s="1412"/>
    </row>
    <row r="9" spans="1:48" ht="20.100000000000001" customHeight="1" x14ac:dyDescent="0.25">
      <c r="A9" s="360"/>
      <c r="B9" s="1387"/>
      <c r="C9" s="1388"/>
      <c r="D9" s="2060" t="s">
        <v>16</v>
      </c>
      <c r="E9" s="1493"/>
      <c r="F9" s="1493"/>
      <c r="G9" s="1493"/>
      <c r="H9" s="2040">
        <v>54</v>
      </c>
      <c r="I9" s="2040">
        <v>67</v>
      </c>
      <c r="J9" s="2040">
        <v>75</v>
      </c>
      <c r="K9" s="1493"/>
      <c r="L9" s="1493"/>
      <c r="M9" s="1493"/>
      <c r="N9" s="2052"/>
      <c r="O9" s="2052"/>
      <c r="P9" s="2052"/>
      <c r="Q9" s="2028">
        <f t="shared" si="2"/>
        <v>54</v>
      </c>
      <c r="R9" s="2026">
        <f t="shared" si="3"/>
        <v>67</v>
      </c>
      <c r="S9" s="2029">
        <f t="shared" si="4"/>
        <v>75</v>
      </c>
      <c r="T9" s="853">
        <f t="shared" si="5"/>
        <v>65.333333333333329</v>
      </c>
      <c r="U9" s="1408" t="str">
        <f t="shared" si="6"/>
        <v>2.66</v>
      </c>
      <c r="V9" s="1408" t="str">
        <f t="shared" si="7"/>
        <v>B-</v>
      </c>
      <c r="W9" s="1408" t="str">
        <f t="shared" si="8"/>
        <v>B</v>
      </c>
      <c r="X9" s="1409"/>
      <c r="Y9" s="1393"/>
      <c r="Z9" s="1394"/>
      <c r="AA9" s="1394"/>
      <c r="AB9" s="1394"/>
      <c r="AC9" s="1394"/>
      <c r="AD9" s="1394"/>
      <c r="AE9" s="1394"/>
      <c r="AF9" s="1394"/>
      <c r="AG9" s="1394"/>
      <c r="AH9" s="1394"/>
      <c r="AI9" s="1394"/>
      <c r="AJ9" s="1395"/>
      <c r="AK9" s="1395"/>
      <c r="AL9" s="1395"/>
      <c r="AM9" s="1395"/>
      <c r="AN9" s="1395"/>
      <c r="AO9" s="1395"/>
      <c r="AP9" s="1395"/>
      <c r="AQ9" s="1395"/>
      <c r="AR9" s="1395"/>
      <c r="AS9" s="1395"/>
      <c r="AT9" s="1396"/>
      <c r="AU9" s="1413"/>
      <c r="AV9" s="1414"/>
    </row>
    <row r="10" spans="1:48" ht="20.100000000000001" customHeight="1" x14ac:dyDescent="0.25">
      <c r="A10" s="360"/>
      <c r="B10" s="1387"/>
      <c r="C10" s="1388"/>
      <c r="D10" s="2060" t="s">
        <v>189</v>
      </c>
      <c r="E10" s="1493"/>
      <c r="F10" s="1493"/>
      <c r="G10" s="1493"/>
      <c r="H10" s="2040">
        <v>78</v>
      </c>
      <c r="I10" s="2040">
        <v>70</v>
      </c>
      <c r="J10" s="2040">
        <v>72</v>
      </c>
      <c r="K10" s="1493"/>
      <c r="L10" s="1493"/>
      <c r="M10" s="1493"/>
      <c r="N10" s="2039"/>
      <c r="O10" s="2039"/>
      <c r="P10" s="2039"/>
      <c r="Q10" s="2028">
        <f t="shared" si="2"/>
        <v>78</v>
      </c>
      <c r="R10" s="2026">
        <f t="shared" si="3"/>
        <v>70</v>
      </c>
      <c r="S10" s="2029">
        <f t="shared" si="4"/>
        <v>72</v>
      </c>
      <c r="T10" s="853">
        <f t="shared" si="5"/>
        <v>73.333333333333329</v>
      </c>
      <c r="U10" s="1408" t="str">
        <f t="shared" si="6"/>
        <v>3.00</v>
      </c>
      <c r="V10" s="1408" t="str">
        <f t="shared" si="7"/>
        <v>B</v>
      </c>
      <c r="W10" s="1408" t="str">
        <f t="shared" si="8"/>
        <v>B</v>
      </c>
      <c r="X10" s="1409"/>
      <c r="Y10" s="1393"/>
      <c r="Z10" s="1394"/>
      <c r="AA10" s="1394"/>
      <c r="AB10" s="1394"/>
      <c r="AC10" s="1394"/>
      <c r="AD10" s="1394"/>
      <c r="AE10" s="1394"/>
      <c r="AF10" s="1394"/>
      <c r="AG10" s="1394"/>
      <c r="AH10" s="1394"/>
      <c r="AI10" s="1394"/>
      <c r="AJ10" s="1395"/>
      <c r="AK10" s="1395"/>
      <c r="AL10" s="1395"/>
      <c r="AM10" s="1395"/>
      <c r="AN10" s="1395"/>
      <c r="AO10" s="1395"/>
      <c r="AP10" s="1395"/>
      <c r="AQ10" s="1395"/>
      <c r="AR10" s="1395"/>
      <c r="AS10" s="1395"/>
      <c r="AT10" s="1396"/>
      <c r="AU10" s="1413"/>
      <c r="AV10" s="1414"/>
    </row>
    <row r="11" spans="1:48" ht="20.100000000000001" customHeight="1" x14ac:dyDescent="0.25">
      <c r="A11" s="360"/>
      <c r="B11" s="1387"/>
      <c r="C11" s="1388"/>
      <c r="D11" s="2060" t="s">
        <v>186</v>
      </c>
      <c r="E11" s="1493"/>
      <c r="F11" s="1493"/>
      <c r="G11" s="1493"/>
      <c r="H11" s="2040">
        <v>73</v>
      </c>
      <c r="I11" s="2040">
        <v>68</v>
      </c>
      <c r="J11" s="2040">
        <v>80</v>
      </c>
      <c r="K11" s="1493"/>
      <c r="L11" s="1493"/>
      <c r="M11" s="1493"/>
      <c r="N11" s="2039"/>
      <c r="O11" s="2039"/>
      <c r="P11" s="2039"/>
      <c r="Q11" s="2028">
        <f t="shared" si="2"/>
        <v>73</v>
      </c>
      <c r="R11" s="2026">
        <f t="shared" si="3"/>
        <v>68</v>
      </c>
      <c r="S11" s="2029">
        <f t="shared" si="4"/>
        <v>80</v>
      </c>
      <c r="T11" s="853">
        <f t="shared" si="5"/>
        <v>73.666666666666671</v>
      </c>
      <c r="U11" s="1408" t="str">
        <f t="shared" ref="U11" si="9">IF(T11&gt;85,("4"),IF(T11&gt;80,("3.66"),IF(T11&gt;75,("3.33"),IF(T11&gt;70,("3.00"),IF(T11&gt;65,("2.66"),IF(T11&gt;60,("2.33"),IF(T11&gt;55,("2"),IF(T11&gt;50,("1.66"),"1.33"))))))))</f>
        <v>3.00</v>
      </c>
      <c r="V11" s="1408" t="str">
        <f t="shared" ref="V11" si="10">IF(T11&gt;85,("A"),IF(T11&gt;80,("A-"),IF(T11&gt;75,("B+"),IF(T11&gt;70,("B"),IF(T11&gt;65,("B-"),IF(T11&gt;60,("C+"),IF(T11&gt;55,("C"),IF(T11&gt;50,("C-"),"D+"))))))))</f>
        <v>B</v>
      </c>
      <c r="W11" s="1408" t="str">
        <f t="shared" ref="W11" si="11">IF(T11&gt;80,("SB"),IF(T11&gt;65,("B"),IF(T11&gt;50,("C"),IF(T11&gt;0,("K"),"0"))))</f>
        <v>B</v>
      </c>
      <c r="X11" s="1409"/>
      <c r="Y11" s="1393"/>
      <c r="Z11" s="1394"/>
      <c r="AA11" s="1394"/>
      <c r="AB11" s="1394"/>
      <c r="AC11" s="1394"/>
      <c r="AD11" s="1394"/>
      <c r="AE11" s="1394"/>
      <c r="AF11" s="1394"/>
      <c r="AG11" s="1394"/>
      <c r="AH11" s="1394"/>
      <c r="AI11" s="1394"/>
      <c r="AJ11" s="1395"/>
      <c r="AK11" s="1395"/>
      <c r="AL11" s="1395"/>
      <c r="AM11" s="1395"/>
      <c r="AN11" s="1395"/>
      <c r="AO11" s="1395"/>
      <c r="AP11" s="1395"/>
      <c r="AQ11" s="1395"/>
      <c r="AR11" s="1395"/>
      <c r="AS11" s="1395"/>
      <c r="AT11" s="1396"/>
      <c r="AU11" s="1413"/>
      <c r="AV11" s="1414"/>
    </row>
    <row r="12" spans="1:48" ht="20.100000000000001" customHeight="1" x14ac:dyDescent="0.25">
      <c r="A12" s="360"/>
      <c r="B12" s="1387"/>
      <c r="C12" s="1388"/>
      <c r="D12" s="2060" t="s">
        <v>187</v>
      </c>
      <c r="E12" s="1385"/>
      <c r="F12" s="1385"/>
      <c r="G12" s="1385"/>
      <c r="H12" s="2048"/>
      <c r="I12" s="2048"/>
      <c r="J12" s="2048"/>
      <c r="K12" s="1385">
        <v>83</v>
      </c>
      <c r="L12" s="1385">
        <v>80</v>
      </c>
      <c r="M12" s="1385">
        <v>78</v>
      </c>
      <c r="N12" s="2049"/>
      <c r="O12" s="2049"/>
      <c r="P12" s="2049"/>
      <c r="Q12" s="2028">
        <f t="shared" si="2"/>
        <v>83</v>
      </c>
      <c r="R12" s="2026">
        <f t="shared" si="3"/>
        <v>80</v>
      </c>
      <c r="S12" s="2029">
        <f t="shared" si="4"/>
        <v>78</v>
      </c>
      <c r="T12" s="853">
        <f t="shared" si="5"/>
        <v>80.333333333333329</v>
      </c>
      <c r="U12" s="1408" t="str">
        <f t="shared" si="6"/>
        <v>3.66</v>
      </c>
      <c r="V12" s="1408" t="str">
        <f t="shared" si="7"/>
        <v>A-</v>
      </c>
      <c r="W12" s="1408" t="str">
        <f t="shared" si="8"/>
        <v>SB</v>
      </c>
      <c r="X12" s="1409"/>
      <c r="Y12" s="1393"/>
      <c r="Z12" s="1394"/>
      <c r="AA12" s="1394"/>
      <c r="AB12" s="1394"/>
      <c r="AC12" s="1394"/>
      <c r="AD12" s="1394"/>
      <c r="AE12" s="1394"/>
      <c r="AF12" s="1394"/>
      <c r="AG12" s="1394"/>
      <c r="AH12" s="1394"/>
      <c r="AI12" s="1394"/>
      <c r="AJ12" s="1395"/>
      <c r="AK12" s="1395"/>
      <c r="AL12" s="1395"/>
      <c r="AM12" s="1395"/>
      <c r="AN12" s="1395"/>
      <c r="AO12" s="1395"/>
      <c r="AP12" s="1395"/>
      <c r="AQ12" s="1395"/>
      <c r="AR12" s="1395"/>
      <c r="AS12" s="1395"/>
      <c r="AT12" s="1396"/>
      <c r="AU12" s="1413"/>
      <c r="AV12" s="1414"/>
    </row>
    <row r="13" spans="1:48" ht="20.100000000000001" customHeight="1" x14ac:dyDescent="0.25">
      <c r="A13" s="360"/>
      <c r="B13" s="1387"/>
      <c r="C13" s="1388"/>
      <c r="D13" s="2060" t="s">
        <v>17</v>
      </c>
      <c r="E13" s="1385">
        <v>65</v>
      </c>
      <c r="F13" s="1385">
        <v>72</v>
      </c>
      <c r="G13" s="1385">
        <v>70</v>
      </c>
      <c r="H13" s="2048">
        <v>72</v>
      </c>
      <c r="I13" s="2048">
        <v>82</v>
      </c>
      <c r="J13" s="2048">
        <v>80</v>
      </c>
      <c r="K13" s="1385"/>
      <c r="L13" s="1385"/>
      <c r="M13" s="1385"/>
      <c r="N13" s="2049"/>
      <c r="O13" s="2049"/>
      <c r="P13" s="2049"/>
      <c r="Q13" s="2028">
        <f t="shared" si="2"/>
        <v>72</v>
      </c>
      <c r="R13" s="2026">
        <f t="shared" si="3"/>
        <v>82</v>
      </c>
      <c r="S13" s="2029">
        <f t="shared" si="4"/>
        <v>80</v>
      </c>
      <c r="T13" s="853">
        <f t="shared" si="5"/>
        <v>78</v>
      </c>
      <c r="U13" s="1408" t="str">
        <f t="shared" si="6"/>
        <v>3.33</v>
      </c>
      <c r="V13" s="1408" t="str">
        <f t="shared" si="7"/>
        <v>B+</v>
      </c>
      <c r="W13" s="1408" t="str">
        <f t="shared" si="8"/>
        <v>B</v>
      </c>
      <c r="X13" s="1409"/>
      <c r="Y13" s="1393"/>
      <c r="Z13" s="1394"/>
      <c r="AA13" s="1394"/>
      <c r="AB13" s="1394"/>
      <c r="AC13" s="1394"/>
      <c r="AD13" s="1394"/>
      <c r="AE13" s="1394"/>
      <c r="AF13" s="1394"/>
      <c r="AG13" s="1394"/>
      <c r="AH13" s="1394"/>
      <c r="AI13" s="1394"/>
      <c r="AJ13" s="1395"/>
      <c r="AK13" s="1395"/>
      <c r="AL13" s="1395"/>
      <c r="AM13" s="1395"/>
      <c r="AN13" s="1395"/>
      <c r="AO13" s="1395"/>
      <c r="AP13" s="1395"/>
      <c r="AQ13" s="1395"/>
      <c r="AR13" s="1395"/>
      <c r="AS13" s="1395"/>
      <c r="AT13" s="1396"/>
      <c r="AU13" s="1413"/>
      <c r="AV13" s="1414"/>
    </row>
    <row r="14" spans="1:48" ht="20.100000000000001" customHeight="1" x14ac:dyDescent="0.25">
      <c r="A14" s="360"/>
      <c r="B14" s="1387"/>
      <c r="C14" s="1388"/>
      <c r="D14" s="2060" t="s">
        <v>188</v>
      </c>
      <c r="E14" s="1385"/>
      <c r="F14" s="1385"/>
      <c r="G14" s="1385"/>
      <c r="H14" s="2048">
        <v>86</v>
      </c>
      <c r="I14" s="2048">
        <v>74</v>
      </c>
      <c r="J14" s="2048">
        <v>73</v>
      </c>
      <c r="K14" s="1385"/>
      <c r="L14" s="1385"/>
      <c r="M14" s="1385"/>
      <c r="N14" s="2049"/>
      <c r="O14" s="2049"/>
      <c r="P14" s="2049"/>
      <c r="Q14" s="2028">
        <f t="shared" si="2"/>
        <v>86</v>
      </c>
      <c r="R14" s="2026">
        <f t="shared" si="3"/>
        <v>74</v>
      </c>
      <c r="S14" s="2029">
        <f t="shared" si="4"/>
        <v>73</v>
      </c>
      <c r="T14" s="853">
        <f t="shared" si="5"/>
        <v>77.666666666666671</v>
      </c>
      <c r="U14" s="1408" t="str">
        <f t="shared" si="6"/>
        <v>3.33</v>
      </c>
      <c r="V14" s="1408" t="str">
        <f t="shared" si="7"/>
        <v>B+</v>
      </c>
      <c r="W14" s="1408" t="str">
        <f t="shared" si="8"/>
        <v>B</v>
      </c>
      <c r="X14" s="1409"/>
      <c r="Y14" s="1393"/>
      <c r="Z14" s="1394"/>
      <c r="AA14" s="1394"/>
      <c r="AB14" s="1394"/>
      <c r="AC14" s="1394"/>
      <c r="AD14" s="1394"/>
      <c r="AE14" s="1394"/>
      <c r="AF14" s="1394"/>
      <c r="AG14" s="1394"/>
      <c r="AH14" s="1394"/>
      <c r="AI14" s="1394"/>
      <c r="AJ14" s="1395"/>
      <c r="AK14" s="1395"/>
      <c r="AL14" s="1395"/>
      <c r="AM14" s="1395"/>
      <c r="AN14" s="1395"/>
      <c r="AO14" s="1395"/>
      <c r="AP14" s="1395"/>
      <c r="AQ14" s="1395"/>
      <c r="AR14" s="1395"/>
      <c r="AS14" s="1395"/>
      <c r="AT14" s="1396"/>
      <c r="AU14" s="1413"/>
      <c r="AV14" s="1414"/>
    </row>
    <row r="15" spans="1:48" ht="20.100000000000001" customHeight="1" x14ac:dyDescent="0.25">
      <c r="A15" s="360"/>
      <c r="B15" s="1387"/>
      <c r="C15" s="1388"/>
      <c r="D15" s="2060" t="s">
        <v>569</v>
      </c>
      <c r="E15" s="1385"/>
      <c r="F15" s="1385"/>
      <c r="G15" s="1385"/>
      <c r="H15" s="2048"/>
      <c r="I15" s="2048"/>
      <c r="J15" s="2048"/>
      <c r="K15" s="1385">
        <v>81</v>
      </c>
      <c r="L15" s="1385">
        <v>81</v>
      </c>
      <c r="M15" s="1385">
        <v>69</v>
      </c>
      <c r="N15" s="2049"/>
      <c r="O15" s="2049"/>
      <c r="P15" s="2049"/>
      <c r="Q15" s="2028">
        <f t="shared" si="2"/>
        <v>81</v>
      </c>
      <c r="R15" s="2026">
        <f t="shared" si="3"/>
        <v>81</v>
      </c>
      <c r="S15" s="2029">
        <f t="shared" si="4"/>
        <v>69</v>
      </c>
      <c r="T15" s="853">
        <f t="shared" si="5"/>
        <v>77</v>
      </c>
      <c r="U15" s="1408" t="str">
        <f t="shared" si="6"/>
        <v>3.33</v>
      </c>
      <c r="V15" s="1408" t="str">
        <f t="shared" si="7"/>
        <v>B+</v>
      </c>
      <c r="W15" s="1408" t="str">
        <f t="shared" si="8"/>
        <v>B</v>
      </c>
      <c r="X15" s="1409"/>
      <c r="Y15" s="1393"/>
      <c r="Z15" s="1394"/>
      <c r="AA15" s="1394"/>
      <c r="AB15" s="1394"/>
      <c r="AC15" s="1394"/>
      <c r="AD15" s="1394"/>
      <c r="AE15" s="1394"/>
      <c r="AF15" s="1394"/>
      <c r="AG15" s="1394"/>
      <c r="AH15" s="1394"/>
      <c r="AI15" s="1394"/>
      <c r="AJ15" s="1395"/>
      <c r="AK15" s="1395"/>
      <c r="AL15" s="1395"/>
      <c r="AM15" s="1395"/>
      <c r="AN15" s="1395"/>
      <c r="AO15" s="1395"/>
      <c r="AP15" s="1395"/>
      <c r="AQ15" s="1395"/>
      <c r="AR15" s="1395"/>
      <c r="AS15" s="1395"/>
      <c r="AT15" s="1396"/>
      <c r="AU15" s="1413"/>
      <c r="AV15" s="1414"/>
    </row>
    <row r="16" spans="1:48" ht="20.100000000000001" customHeight="1" x14ac:dyDescent="0.25">
      <c r="A16" s="360"/>
      <c r="B16" s="1387"/>
      <c r="C16" s="1388"/>
      <c r="D16" s="2060" t="s">
        <v>209</v>
      </c>
      <c r="E16" s="1385"/>
      <c r="F16" s="1385"/>
      <c r="G16" s="1385"/>
      <c r="H16" s="2048"/>
      <c r="I16" s="2048"/>
      <c r="J16" s="2048"/>
      <c r="K16" s="1385"/>
      <c r="L16" s="1385"/>
      <c r="M16" s="1385"/>
      <c r="N16" s="2049">
        <v>80</v>
      </c>
      <c r="O16" s="2049">
        <v>68</v>
      </c>
      <c r="P16" s="2049">
        <v>81</v>
      </c>
      <c r="Q16" s="2028">
        <f t="shared" si="2"/>
        <v>80</v>
      </c>
      <c r="R16" s="2026">
        <f t="shared" si="3"/>
        <v>68</v>
      </c>
      <c r="S16" s="2029">
        <f t="shared" si="4"/>
        <v>81</v>
      </c>
      <c r="T16" s="853">
        <f t="shared" si="5"/>
        <v>76.333333333333329</v>
      </c>
      <c r="U16" s="1408" t="str">
        <f t="shared" ref="U16:U17" si="12">IF(T16&gt;85,("4"),IF(T16&gt;80,("3.66"),IF(T16&gt;75,("3.33"),IF(T16&gt;70,("3.00"),IF(T16&gt;65,("2.66"),IF(T16&gt;60,("2.33"),IF(T16&gt;55,("2"),IF(T16&gt;50,("1.66"),"1.33"))))))))</f>
        <v>3.33</v>
      </c>
      <c r="V16" s="1408" t="str">
        <f t="shared" ref="V16:V17" si="13">IF(T16&gt;85,("A"),IF(T16&gt;80,("A-"),IF(T16&gt;75,("B+"),IF(T16&gt;70,("B"),IF(T16&gt;65,("B-"),IF(T16&gt;60,("C+"),IF(T16&gt;55,("C"),IF(T16&gt;50,("C-"),"D+"))))))))</f>
        <v>B+</v>
      </c>
      <c r="W16" s="1408" t="str">
        <f t="shared" ref="W16:W17" si="14">IF(T16&gt;80,("SB"),IF(T16&gt;65,("B"),IF(T16&gt;50,("C"),IF(T16&gt;0,("K"),"0"))))</f>
        <v>B</v>
      </c>
      <c r="X16" s="1409"/>
      <c r="Y16" s="1393"/>
      <c r="Z16" s="1394"/>
      <c r="AA16" s="1394"/>
      <c r="AB16" s="1394"/>
      <c r="AC16" s="1394"/>
      <c r="AD16" s="1394"/>
      <c r="AE16" s="1394"/>
      <c r="AF16" s="1394"/>
      <c r="AG16" s="1394"/>
      <c r="AH16" s="1394"/>
      <c r="AI16" s="1394"/>
      <c r="AJ16" s="1395"/>
      <c r="AK16" s="1395"/>
      <c r="AL16" s="1395"/>
      <c r="AM16" s="1395"/>
      <c r="AN16" s="1395"/>
      <c r="AO16" s="1395"/>
      <c r="AP16" s="1395"/>
      <c r="AQ16" s="1395"/>
      <c r="AR16" s="1395"/>
      <c r="AS16" s="1395"/>
      <c r="AT16" s="1396"/>
      <c r="AU16" s="1413"/>
      <c r="AV16" s="1414"/>
    </row>
    <row r="17" spans="1:48" ht="20.100000000000001" customHeight="1" x14ac:dyDescent="0.25">
      <c r="A17" s="360"/>
      <c r="B17" s="1387"/>
      <c r="C17" s="1388"/>
      <c r="D17" s="2060" t="s">
        <v>210</v>
      </c>
      <c r="E17" s="1385"/>
      <c r="F17" s="1385"/>
      <c r="G17" s="1385"/>
      <c r="H17" s="2048"/>
      <c r="I17" s="2048"/>
      <c r="J17" s="2048"/>
      <c r="K17" s="1385"/>
      <c r="L17" s="1385"/>
      <c r="M17" s="1385"/>
      <c r="N17" s="2049">
        <v>78</v>
      </c>
      <c r="O17" s="2049">
        <v>68</v>
      </c>
      <c r="P17" s="2049">
        <v>72</v>
      </c>
      <c r="Q17" s="2028">
        <f t="shared" si="2"/>
        <v>78</v>
      </c>
      <c r="R17" s="2026">
        <f t="shared" si="3"/>
        <v>68</v>
      </c>
      <c r="S17" s="2029">
        <f t="shared" si="4"/>
        <v>72</v>
      </c>
      <c r="T17" s="853">
        <f t="shared" si="5"/>
        <v>72.666666666666671</v>
      </c>
      <c r="U17" s="1408" t="str">
        <f t="shared" si="12"/>
        <v>3.00</v>
      </c>
      <c r="V17" s="1408" t="str">
        <f t="shared" si="13"/>
        <v>B</v>
      </c>
      <c r="W17" s="1408" t="str">
        <f t="shared" si="14"/>
        <v>B</v>
      </c>
      <c r="X17" s="1409"/>
      <c r="Y17" s="1397"/>
      <c r="Z17" s="1398"/>
      <c r="AA17" s="1398"/>
      <c r="AB17" s="1398"/>
      <c r="AC17" s="1398"/>
      <c r="AD17" s="1398"/>
      <c r="AE17" s="1398"/>
      <c r="AF17" s="1398"/>
      <c r="AG17" s="1398"/>
      <c r="AH17" s="1398"/>
      <c r="AI17" s="1398"/>
      <c r="AJ17" s="1399"/>
      <c r="AK17" s="1399"/>
      <c r="AL17" s="1399"/>
      <c r="AM17" s="1399"/>
      <c r="AN17" s="1399"/>
      <c r="AO17" s="1399"/>
      <c r="AP17" s="1399"/>
      <c r="AQ17" s="1399"/>
      <c r="AR17" s="1399"/>
      <c r="AS17" s="1399"/>
      <c r="AT17" s="1400"/>
      <c r="AU17" s="1415"/>
      <c r="AV17" s="1416"/>
    </row>
    <row r="18" spans="1:48" ht="20.100000000000001" customHeight="1" x14ac:dyDescent="0.25">
      <c r="A18" s="727"/>
      <c r="B18" s="1401">
        <v>1</v>
      </c>
      <c r="C18" s="1402" t="s">
        <v>167</v>
      </c>
      <c r="D18" s="1004"/>
      <c r="E18" s="2780"/>
      <c r="F18" s="2781"/>
      <c r="G18" s="2781"/>
      <c r="H18" s="2781"/>
      <c r="I18" s="2046"/>
      <c r="J18" s="2046"/>
      <c r="K18" s="2046"/>
      <c r="L18" s="2046"/>
      <c r="M18" s="2046"/>
      <c r="N18" s="2046"/>
      <c r="O18" s="2046"/>
      <c r="P18" s="2046"/>
      <c r="Q18" s="2046"/>
      <c r="R18" s="2046"/>
      <c r="S18" s="2046"/>
      <c r="T18" s="2044">
        <f>IFERROR(AVERAGE(T7:T15),"  ")</f>
        <v>74.666666666666657</v>
      </c>
      <c r="U18" s="2045" t="str">
        <f>IF(X18&gt;85,("4"),IF(X18&gt;80,("3.66"),IF(X18&gt;75,("3.33"),IF(X18&gt;70,("3.00"),IF(X18&gt;65,("2.66"),IF(X18&gt;60,("2.33"),IF(X18&gt;55,("2"),IF(X18&gt;50,("1.66"),"1.33"))))))))</f>
        <v>3.66</v>
      </c>
      <c r="V18" s="2045" t="str">
        <f>IF(X18&gt;85,("A"),IF(X18&gt;80,("A-"),IF(X18&gt;75,("B+"),IF(X18&gt;70,("B"),IF(X18&gt;65,("B-"),IF(X18&gt;60,("C+"),IF(X18&gt;55,("C"),IF(X18&gt;50,("C-"),"D+"))))))))</f>
        <v>A-</v>
      </c>
      <c r="W18" s="2045"/>
      <c r="X18" s="888">
        <f>MAX(T7:T15)</f>
        <v>80.333333333333329</v>
      </c>
      <c r="Y18" s="1403"/>
      <c r="Z18" s="1404"/>
      <c r="AA18" s="1404"/>
      <c r="AB18" s="1404"/>
      <c r="AC18" s="1404"/>
      <c r="AD18" s="1404"/>
      <c r="AE18" s="1404"/>
      <c r="AF18" s="1404"/>
      <c r="AG18" s="1404"/>
      <c r="AH18" s="1404"/>
      <c r="AI18" s="1404"/>
      <c r="AJ18" s="1404"/>
      <c r="AK18" s="1404"/>
      <c r="AL18" s="1404"/>
      <c r="AM18" s="1404"/>
      <c r="AN18" s="1404"/>
      <c r="AO18" s="1404"/>
      <c r="AP18" s="1404"/>
      <c r="AQ18" s="1404"/>
      <c r="AR18" s="1404"/>
      <c r="AS18" s="1404"/>
      <c r="AT18" s="1405"/>
      <c r="AU18" s="1257"/>
      <c r="AV18" s="1258"/>
    </row>
    <row r="19" spans="1:48" ht="20.100000000000001" customHeight="1" x14ac:dyDescent="0.25">
      <c r="A19" s="724">
        <v>2</v>
      </c>
      <c r="B19" s="1383"/>
      <c r="C19" s="1384" t="str">
        <f>VLOOKUP(A19,data_siswa,4,FALSE)</f>
        <v>Angelia Vabel R</v>
      </c>
      <c r="D19" s="1166" t="s">
        <v>154</v>
      </c>
      <c r="E19" s="2050">
        <v>0</v>
      </c>
      <c r="F19" s="2050">
        <v>0</v>
      </c>
      <c r="G19" s="2050">
        <v>0</v>
      </c>
      <c r="H19" s="2051"/>
      <c r="I19" s="2051"/>
      <c r="J19" s="2051"/>
      <c r="K19" s="2050"/>
      <c r="L19" s="2050"/>
      <c r="M19" s="2050"/>
      <c r="N19" s="2052"/>
      <c r="O19" s="2052"/>
      <c r="P19" s="2052"/>
      <c r="Q19" s="2028">
        <f>MAX(E19,H19,K19,N19)</f>
        <v>0</v>
      </c>
      <c r="R19" s="2026">
        <f t="shared" ref="R19:R29" si="15">MAX(F19,I19,L19,O19)</f>
        <v>0</v>
      </c>
      <c r="S19" s="2029">
        <f t="shared" ref="S19:S29" si="16">MAX(G19,J19,M19,P19)</f>
        <v>0</v>
      </c>
      <c r="T19" s="853">
        <f>IFERROR(AVERAGE(Q19:S19),"")</f>
        <v>0</v>
      </c>
      <c r="U19" s="1408" t="str">
        <f>IF(T19&gt;85,("4"),IF(T19&gt;80,("3.66"),IF(T19&gt;75,("3.33"),IF(T19&gt;70,("3.00"),IF(T19&gt;65,("2.66"),IF(T19&gt;60,("2.33"),IF(T19&gt;55,("2"),IF(T19&gt;50,("1.66"),"1.33"))))))))</f>
        <v>1.33</v>
      </c>
      <c r="V19" s="1408" t="str">
        <f>IF(T19&gt;85,("A"),IF(T19&gt;80,("A-"),IF(T19&gt;75,("B+"),IF(T19&gt;70,("B"),IF(T19&gt;65,("B-"),IF(T19&gt;60,("C+"),IF(T19&gt;55,("C"),IF(T19&gt;50,("C-"),"D+"))))))))</f>
        <v>D+</v>
      </c>
      <c r="W19" s="1408" t="str">
        <f>IF(T19&gt;80,("SB"),IF(T19&gt;65,("B"),IF(T19&gt;50,("C"),IF(T19&gt;0,("K"),"0"))))</f>
        <v>0</v>
      </c>
      <c r="X19" s="1408"/>
      <c r="Y19" s="749"/>
      <c r="Z19" s="749"/>
      <c r="AA19" s="749"/>
      <c r="AB19" s="749"/>
      <c r="AC19" s="749"/>
      <c r="AD19" s="749"/>
      <c r="AE19" s="749"/>
      <c r="AF19" s="749"/>
      <c r="AG19" s="749"/>
      <c r="AH19" s="749"/>
      <c r="AI19" s="749"/>
      <c r="AJ19" s="1386"/>
      <c r="AK19" s="1386"/>
      <c r="AL19" s="1386"/>
      <c r="AM19" s="1386"/>
      <c r="AN19" s="1386"/>
      <c r="AO19" s="1386"/>
      <c r="AP19" s="1386"/>
      <c r="AQ19" s="1386"/>
      <c r="AR19" s="1386"/>
      <c r="AS19" s="1386"/>
      <c r="AT19" s="1386"/>
      <c r="AU19" s="1057">
        <f>T30</f>
        <v>0</v>
      </c>
      <c r="AV19" s="1194" t="str">
        <f>IF(AU19&gt;85,("A"),IF(AU19&gt;80,("A-"),IF(AU19&gt;75,("B+"),IF(AU19&gt;70,("B"),IF(AU19&gt;65,("B-"),IF(AU19&gt;60,("C+"),IF(AU19&gt;55,("C"),IF(AU19&gt;50,("C-"),"D+"))))))))</f>
        <v>D+</v>
      </c>
    </row>
    <row r="20" spans="1:48" ht="20.100000000000001" customHeight="1" x14ac:dyDescent="0.25">
      <c r="A20" s="360"/>
      <c r="B20" s="1387"/>
      <c r="C20" s="1388"/>
      <c r="D20" s="1166" t="s">
        <v>155</v>
      </c>
      <c r="E20" s="1493"/>
      <c r="F20" s="1493"/>
      <c r="G20" s="1493"/>
      <c r="H20" s="2040"/>
      <c r="I20" s="2040"/>
      <c r="J20" s="2040"/>
      <c r="K20" s="1493"/>
      <c r="L20" s="1493"/>
      <c r="M20" s="1493"/>
      <c r="N20" s="2039">
        <v>0</v>
      </c>
      <c r="O20" s="2039">
        <v>0</v>
      </c>
      <c r="P20" s="2039">
        <v>0</v>
      </c>
      <c r="Q20" s="2028">
        <f t="shared" ref="Q20:Q29" si="17">MAX(E20,H20,K20,N20)</f>
        <v>0</v>
      </c>
      <c r="R20" s="2026">
        <f t="shared" si="15"/>
        <v>0</v>
      </c>
      <c r="S20" s="2029">
        <f t="shared" si="16"/>
        <v>0</v>
      </c>
      <c r="T20" s="853">
        <f t="shared" ref="T20:T29" si="18">IFERROR(AVERAGE(Q20:S20),"")</f>
        <v>0</v>
      </c>
      <c r="U20" s="1408" t="str">
        <f t="shared" ref="U20:U29" si="19">IF(T20&gt;85,("4"),IF(T20&gt;80,("3.66"),IF(T20&gt;75,("3.33"),IF(T20&gt;70,("3.00"),IF(T20&gt;65,("2.66"),IF(T20&gt;60,("2.33"),IF(T20&gt;55,("2"),IF(T20&gt;50,("1.66"),"1.33"))))))))</f>
        <v>1.33</v>
      </c>
      <c r="V20" s="1408" t="str">
        <f t="shared" ref="V20:V29" si="20">IF(T20&gt;85,("A"),IF(T20&gt;80,("A-"),IF(T20&gt;75,("B+"),IF(T20&gt;70,("B"),IF(T20&gt;65,("B-"),IF(T20&gt;60,("C+"),IF(T20&gt;55,("C"),IF(T20&gt;50,("C-"),"D+"))))))))</f>
        <v>D+</v>
      </c>
      <c r="W20" s="1408" t="str">
        <f t="shared" ref="W20:W29" si="21">IF(T20&gt;80,("SB"),IF(T20&gt;65,("B"),IF(T20&gt;50,("C"),IF(T20&gt;0,("K"),"0"))))</f>
        <v>0</v>
      </c>
      <c r="X20" s="1409"/>
      <c r="Y20" s="1389"/>
      <c r="Z20" s="1390"/>
      <c r="AA20" s="1390"/>
      <c r="AB20" s="1390"/>
      <c r="AC20" s="1390"/>
      <c r="AD20" s="1390"/>
      <c r="AE20" s="1390"/>
      <c r="AF20" s="1390"/>
      <c r="AG20" s="1390"/>
      <c r="AH20" s="1390"/>
      <c r="AI20" s="1390"/>
      <c r="AJ20" s="1391"/>
      <c r="AK20" s="1391"/>
      <c r="AL20" s="1391"/>
      <c r="AM20" s="1391"/>
      <c r="AN20" s="1391"/>
      <c r="AO20" s="1391"/>
      <c r="AP20" s="1391"/>
      <c r="AQ20" s="1391"/>
      <c r="AR20" s="1391"/>
      <c r="AS20" s="1391"/>
      <c r="AT20" s="1392"/>
      <c r="AU20" s="1411"/>
      <c r="AV20" s="1412"/>
    </row>
    <row r="21" spans="1:48" ht="20.100000000000001" customHeight="1" x14ac:dyDescent="0.25">
      <c r="A21" s="360"/>
      <c r="B21" s="1387"/>
      <c r="C21" s="1388"/>
      <c r="D21" s="1166" t="s">
        <v>16</v>
      </c>
      <c r="E21" s="1493"/>
      <c r="F21" s="1493"/>
      <c r="G21" s="1493"/>
      <c r="H21" s="2040">
        <v>0</v>
      </c>
      <c r="I21" s="2040">
        <v>0</v>
      </c>
      <c r="J21" s="2040">
        <v>0</v>
      </c>
      <c r="K21" s="1493"/>
      <c r="L21" s="1493"/>
      <c r="M21" s="1493"/>
      <c r="N21" s="2052"/>
      <c r="O21" s="2052"/>
      <c r="P21" s="2052"/>
      <c r="Q21" s="2028">
        <f t="shared" si="17"/>
        <v>0</v>
      </c>
      <c r="R21" s="2026">
        <f t="shared" si="15"/>
        <v>0</v>
      </c>
      <c r="S21" s="2029">
        <f t="shared" si="16"/>
        <v>0</v>
      </c>
      <c r="T21" s="853">
        <f t="shared" si="18"/>
        <v>0</v>
      </c>
      <c r="U21" s="1408" t="str">
        <f t="shared" si="19"/>
        <v>1.33</v>
      </c>
      <c r="V21" s="1408" t="str">
        <f t="shared" si="20"/>
        <v>D+</v>
      </c>
      <c r="W21" s="1408" t="str">
        <f t="shared" si="21"/>
        <v>0</v>
      </c>
      <c r="X21" s="1409"/>
      <c r="Y21" s="1393"/>
      <c r="Z21" s="1394"/>
      <c r="AA21" s="1394"/>
      <c r="AB21" s="1394"/>
      <c r="AC21" s="1394"/>
      <c r="AD21" s="1394"/>
      <c r="AE21" s="1394"/>
      <c r="AF21" s="1394"/>
      <c r="AG21" s="1394"/>
      <c r="AH21" s="1394"/>
      <c r="AI21" s="1394"/>
      <c r="AJ21" s="1395"/>
      <c r="AK21" s="1395"/>
      <c r="AL21" s="1395"/>
      <c r="AM21" s="1395"/>
      <c r="AN21" s="1395"/>
      <c r="AO21" s="1395"/>
      <c r="AP21" s="1395"/>
      <c r="AQ21" s="1395"/>
      <c r="AR21" s="1395"/>
      <c r="AS21" s="1395"/>
      <c r="AT21" s="1396"/>
      <c r="AU21" s="1413"/>
      <c r="AV21" s="1414"/>
    </row>
    <row r="22" spans="1:48" ht="20.100000000000001" customHeight="1" x14ac:dyDescent="0.25">
      <c r="A22" s="360"/>
      <c r="B22" s="1387"/>
      <c r="C22" s="1388"/>
      <c r="D22" s="1166" t="s">
        <v>189</v>
      </c>
      <c r="E22" s="1493"/>
      <c r="F22" s="1493"/>
      <c r="G22" s="1493"/>
      <c r="H22" s="2040">
        <v>0</v>
      </c>
      <c r="I22" s="2040">
        <v>0</v>
      </c>
      <c r="J22" s="2040">
        <v>0</v>
      </c>
      <c r="K22" s="1493"/>
      <c r="L22" s="1493"/>
      <c r="M22" s="1493"/>
      <c r="N22" s="2039"/>
      <c r="O22" s="2039"/>
      <c r="P22" s="2039"/>
      <c r="Q22" s="2028">
        <f t="shared" si="17"/>
        <v>0</v>
      </c>
      <c r="R22" s="2026">
        <f t="shared" si="15"/>
        <v>0</v>
      </c>
      <c r="S22" s="2029">
        <f t="shared" si="16"/>
        <v>0</v>
      </c>
      <c r="T22" s="853">
        <f t="shared" si="18"/>
        <v>0</v>
      </c>
      <c r="U22" s="1408" t="str">
        <f t="shared" si="19"/>
        <v>1.33</v>
      </c>
      <c r="V22" s="1408" t="str">
        <f t="shared" si="20"/>
        <v>D+</v>
      </c>
      <c r="W22" s="1408" t="str">
        <f t="shared" si="21"/>
        <v>0</v>
      </c>
      <c r="X22" s="1409"/>
      <c r="Y22" s="1393"/>
      <c r="Z22" s="1394"/>
      <c r="AA22" s="1394"/>
      <c r="AB22" s="1394"/>
      <c r="AC22" s="1394"/>
      <c r="AD22" s="1394"/>
      <c r="AE22" s="1394"/>
      <c r="AF22" s="1394"/>
      <c r="AG22" s="1394"/>
      <c r="AH22" s="1394"/>
      <c r="AI22" s="1394"/>
      <c r="AJ22" s="1395"/>
      <c r="AK22" s="1395"/>
      <c r="AL22" s="1395"/>
      <c r="AM22" s="1395"/>
      <c r="AN22" s="1395"/>
      <c r="AO22" s="1395"/>
      <c r="AP22" s="1395"/>
      <c r="AQ22" s="1395"/>
      <c r="AR22" s="1395"/>
      <c r="AS22" s="1395"/>
      <c r="AT22" s="1396"/>
      <c r="AU22" s="1413"/>
      <c r="AV22" s="1414"/>
    </row>
    <row r="23" spans="1:48" ht="20.100000000000001" customHeight="1" x14ac:dyDescent="0.25">
      <c r="A23" s="360"/>
      <c r="B23" s="1387"/>
      <c r="C23" s="1388"/>
      <c r="D23" s="1166" t="s">
        <v>186</v>
      </c>
      <c r="E23" s="1493"/>
      <c r="F23" s="1493"/>
      <c r="G23" s="1493"/>
      <c r="H23" s="2040">
        <v>0</v>
      </c>
      <c r="I23" s="2040">
        <v>0</v>
      </c>
      <c r="J23" s="2040">
        <v>0</v>
      </c>
      <c r="K23" s="1493"/>
      <c r="L23" s="1493"/>
      <c r="M23" s="1493"/>
      <c r="N23" s="2039"/>
      <c r="O23" s="2039"/>
      <c r="P23" s="2039"/>
      <c r="Q23" s="2028">
        <f t="shared" si="17"/>
        <v>0</v>
      </c>
      <c r="R23" s="2026">
        <f t="shared" si="15"/>
        <v>0</v>
      </c>
      <c r="S23" s="2029">
        <f t="shared" si="16"/>
        <v>0</v>
      </c>
      <c r="T23" s="853">
        <f t="shared" si="18"/>
        <v>0</v>
      </c>
      <c r="U23" s="1408" t="str">
        <f t="shared" si="19"/>
        <v>1.33</v>
      </c>
      <c r="V23" s="1408" t="str">
        <f t="shared" si="20"/>
        <v>D+</v>
      </c>
      <c r="W23" s="1408" t="str">
        <f t="shared" si="21"/>
        <v>0</v>
      </c>
      <c r="X23" s="1409"/>
      <c r="Y23" s="1393"/>
      <c r="Z23" s="1394"/>
      <c r="AA23" s="1394"/>
      <c r="AB23" s="1394"/>
      <c r="AC23" s="1394"/>
      <c r="AD23" s="1394"/>
      <c r="AE23" s="1394"/>
      <c r="AF23" s="1394"/>
      <c r="AG23" s="1394"/>
      <c r="AH23" s="1394"/>
      <c r="AI23" s="1394"/>
      <c r="AJ23" s="1395"/>
      <c r="AK23" s="1395"/>
      <c r="AL23" s="1395"/>
      <c r="AM23" s="1395"/>
      <c r="AN23" s="1395"/>
      <c r="AO23" s="1395"/>
      <c r="AP23" s="1395"/>
      <c r="AQ23" s="1395"/>
      <c r="AR23" s="1395"/>
      <c r="AS23" s="1395"/>
      <c r="AT23" s="1396"/>
      <c r="AU23" s="1413"/>
      <c r="AV23" s="1414"/>
    </row>
    <row r="24" spans="1:48" ht="20.100000000000001" customHeight="1" x14ac:dyDescent="0.25">
      <c r="A24" s="360"/>
      <c r="B24" s="1387"/>
      <c r="C24" s="1388"/>
      <c r="D24" s="1166" t="s">
        <v>187</v>
      </c>
      <c r="E24" s="1385"/>
      <c r="F24" s="1385"/>
      <c r="G24" s="1385"/>
      <c r="H24" s="2048"/>
      <c r="I24" s="2048"/>
      <c r="J24" s="2048"/>
      <c r="K24" s="1385">
        <v>0</v>
      </c>
      <c r="L24" s="1385">
        <v>0</v>
      </c>
      <c r="M24" s="1385">
        <v>0</v>
      </c>
      <c r="N24" s="2049"/>
      <c r="O24" s="2049"/>
      <c r="P24" s="2049"/>
      <c r="Q24" s="2028">
        <f t="shared" si="17"/>
        <v>0</v>
      </c>
      <c r="R24" s="2026">
        <f t="shared" si="15"/>
        <v>0</v>
      </c>
      <c r="S24" s="2029">
        <f t="shared" si="16"/>
        <v>0</v>
      </c>
      <c r="T24" s="853">
        <f t="shared" si="18"/>
        <v>0</v>
      </c>
      <c r="U24" s="1408" t="str">
        <f t="shared" si="19"/>
        <v>1.33</v>
      </c>
      <c r="V24" s="1408" t="str">
        <f t="shared" si="20"/>
        <v>D+</v>
      </c>
      <c r="W24" s="1408" t="str">
        <f t="shared" si="21"/>
        <v>0</v>
      </c>
      <c r="X24" s="1409"/>
      <c r="Y24" s="1393"/>
      <c r="Z24" s="1394"/>
      <c r="AA24" s="1394"/>
      <c r="AB24" s="1394"/>
      <c r="AC24" s="1394"/>
      <c r="AD24" s="1394"/>
      <c r="AE24" s="1394"/>
      <c r="AF24" s="1394"/>
      <c r="AG24" s="1394"/>
      <c r="AH24" s="1394"/>
      <c r="AI24" s="1394"/>
      <c r="AJ24" s="1395"/>
      <c r="AK24" s="1395"/>
      <c r="AL24" s="1395"/>
      <c r="AM24" s="1395"/>
      <c r="AN24" s="1395"/>
      <c r="AO24" s="1395"/>
      <c r="AP24" s="1395"/>
      <c r="AQ24" s="1395"/>
      <c r="AR24" s="1395"/>
      <c r="AS24" s="1395"/>
      <c r="AT24" s="1396"/>
      <c r="AU24" s="1413"/>
      <c r="AV24" s="1414"/>
    </row>
    <row r="25" spans="1:48" ht="20.100000000000001" customHeight="1" x14ac:dyDescent="0.25">
      <c r="A25" s="360"/>
      <c r="B25" s="1387"/>
      <c r="C25" s="1388"/>
      <c r="D25" s="1166" t="s">
        <v>17</v>
      </c>
      <c r="E25" s="1385">
        <v>0</v>
      </c>
      <c r="F25" s="1385">
        <v>0</v>
      </c>
      <c r="G25" s="1385">
        <v>0</v>
      </c>
      <c r="H25" s="2048">
        <v>0</v>
      </c>
      <c r="I25" s="2048">
        <v>0</v>
      </c>
      <c r="J25" s="2048">
        <v>0</v>
      </c>
      <c r="K25" s="1385"/>
      <c r="L25" s="1385"/>
      <c r="M25" s="1385"/>
      <c r="N25" s="2049"/>
      <c r="O25" s="2049"/>
      <c r="P25" s="2049"/>
      <c r="Q25" s="2028">
        <f t="shared" si="17"/>
        <v>0</v>
      </c>
      <c r="R25" s="2026">
        <f t="shared" si="15"/>
        <v>0</v>
      </c>
      <c r="S25" s="2029">
        <f t="shared" si="16"/>
        <v>0</v>
      </c>
      <c r="T25" s="853">
        <f t="shared" si="18"/>
        <v>0</v>
      </c>
      <c r="U25" s="1408" t="str">
        <f t="shared" si="19"/>
        <v>1.33</v>
      </c>
      <c r="V25" s="1408" t="str">
        <f t="shared" si="20"/>
        <v>D+</v>
      </c>
      <c r="W25" s="1408" t="str">
        <f t="shared" si="21"/>
        <v>0</v>
      </c>
      <c r="X25" s="1409"/>
      <c r="Y25" s="1393"/>
      <c r="Z25" s="1394"/>
      <c r="AA25" s="1394"/>
      <c r="AB25" s="1394"/>
      <c r="AC25" s="1394"/>
      <c r="AD25" s="1394"/>
      <c r="AE25" s="1394"/>
      <c r="AF25" s="1394"/>
      <c r="AG25" s="1394"/>
      <c r="AH25" s="1394"/>
      <c r="AI25" s="1394"/>
      <c r="AJ25" s="1395"/>
      <c r="AK25" s="1395"/>
      <c r="AL25" s="1395"/>
      <c r="AM25" s="1395"/>
      <c r="AN25" s="1395"/>
      <c r="AO25" s="1395"/>
      <c r="AP25" s="1395"/>
      <c r="AQ25" s="1395"/>
      <c r="AR25" s="1395"/>
      <c r="AS25" s="1395"/>
      <c r="AT25" s="1396"/>
      <c r="AU25" s="1413"/>
      <c r="AV25" s="1414"/>
    </row>
    <row r="26" spans="1:48" ht="20.100000000000001" customHeight="1" x14ac:dyDescent="0.25">
      <c r="A26" s="360"/>
      <c r="B26" s="1387"/>
      <c r="C26" s="1388"/>
      <c r="D26" s="1166" t="s">
        <v>188</v>
      </c>
      <c r="E26" s="1385"/>
      <c r="F26" s="1385"/>
      <c r="G26" s="1385"/>
      <c r="H26" s="2048">
        <v>0</v>
      </c>
      <c r="I26" s="2048">
        <v>0</v>
      </c>
      <c r="J26" s="2048">
        <v>0</v>
      </c>
      <c r="K26" s="1385"/>
      <c r="L26" s="1385"/>
      <c r="M26" s="1385"/>
      <c r="N26" s="2049"/>
      <c r="O26" s="2049"/>
      <c r="P26" s="2049"/>
      <c r="Q26" s="2028">
        <f t="shared" si="17"/>
        <v>0</v>
      </c>
      <c r="R26" s="2026">
        <f t="shared" si="15"/>
        <v>0</v>
      </c>
      <c r="S26" s="2029">
        <f t="shared" si="16"/>
        <v>0</v>
      </c>
      <c r="T26" s="853">
        <f t="shared" si="18"/>
        <v>0</v>
      </c>
      <c r="U26" s="1408" t="str">
        <f t="shared" si="19"/>
        <v>1.33</v>
      </c>
      <c r="V26" s="1408" t="str">
        <f t="shared" si="20"/>
        <v>D+</v>
      </c>
      <c r="W26" s="1408" t="str">
        <f t="shared" si="21"/>
        <v>0</v>
      </c>
      <c r="X26" s="1409"/>
      <c r="Y26" s="1393"/>
      <c r="Z26" s="1394"/>
      <c r="AA26" s="1394"/>
      <c r="AB26" s="1394"/>
      <c r="AC26" s="1394"/>
      <c r="AD26" s="1394"/>
      <c r="AE26" s="1394"/>
      <c r="AF26" s="1394"/>
      <c r="AG26" s="1394"/>
      <c r="AH26" s="1394"/>
      <c r="AI26" s="1394"/>
      <c r="AJ26" s="1395"/>
      <c r="AK26" s="1395"/>
      <c r="AL26" s="1395"/>
      <c r="AM26" s="1395"/>
      <c r="AN26" s="1395"/>
      <c r="AO26" s="1395"/>
      <c r="AP26" s="1395"/>
      <c r="AQ26" s="1395"/>
      <c r="AR26" s="1395"/>
      <c r="AS26" s="1395"/>
      <c r="AT26" s="1396"/>
      <c r="AU26" s="1413"/>
      <c r="AV26" s="1414"/>
    </row>
    <row r="27" spans="1:48" ht="20.100000000000001" customHeight="1" x14ac:dyDescent="0.25">
      <c r="A27" s="360"/>
      <c r="B27" s="1387"/>
      <c r="C27" s="1388"/>
      <c r="D27" s="1166" t="s">
        <v>569</v>
      </c>
      <c r="E27" s="1385"/>
      <c r="F27" s="1385"/>
      <c r="G27" s="1385"/>
      <c r="H27" s="2048"/>
      <c r="I27" s="2048"/>
      <c r="J27" s="2048"/>
      <c r="K27" s="1385">
        <v>0</v>
      </c>
      <c r="L27" s="1385">
        <v>0</v>
      </c>
      <c r="M27" s="1385">
        <v>0</v>
      </c>
      <c r="N27" s="2049"/>
      <c r="O27" s="2049"/>
      <c r="P27" s="2049"/>
      <c r="Q27" s="2028">
        <f t="shared" si="17"/>
        <v>0</v>
      </c>
      <c r="R27" s="2026">
        <f t="shared" si="15"/>
        <v>0</v>
      </c>
      <c r="S27" s="2029">
        <f t="shared" si="16"/>
        <v>0</v>
      </c>
      <c r="T27" s="853">
        <f t="shared" si="18"/>
        <v>0</v>
      </c>
      <c r="U27" s="1408" t="str">
        <f t="shared" si="19"/>
        <v>1.33</v>
      </c>
      <c r="V27" s="1408" t="str">
        <f t="shared" si="20"/>
        <v>D+</v>
      </c>
      <c r="W27" s="1408" t="str">
        <f t="shared" si="21"/>
        <v>0</v>
      </c>
      <c r="X27" s="1409"/>
      <c r="Y27" s="1393"/>
      <c r="Z27" s="1394"/>
      <c r="AA27" s="1394"/>
      <c r="AB27" s="1394"/>
      <c r="AC27" s="1394"/>
      <c r="AD27" s="1394"/>
      <c r="AE27" s="1394"/>
      <c r="AF27" s="1394"/>
      <c r="AG27" s="1394"/>
      <c r="AH27" s="1394"/>
      <c r="AI27" s="1394"/>
      <c r="AJ27" s="1395"/>
      <c r="AK27" s="1395"/>
      <c r="AL27" s="1395"/>
      <c r="AM27" s="1395"/>
      <c r="AN27" s="1395"/>
      <c r="AO27" s="1395"/>
      <c r="AP27" s="1395"/>
      <c r="AQ27" s="1395"/>
      <c r="AR27" s="1395"/>
      <c r="AS27" s="1395"/>
      <c r="AT27" s="1396"/>
      <c r="AU27" s="1413"/>
      <c r="AV27" s="1414"/>
    </row>
    <row r="28" spans="1:48" ht="20.100000000000001" customHeight="1" x14ac:dyDescent="0.25">
      <c r="A28" s="360"/>
      <c r="B28" s="1387"/>
      <c r="C28" s="1388"/>
      <c r="D28" s="1166" t="s">
        <v>209</v>
      </c>
      <c r="E28" s="1385"/>
      <c r="F28" s="1385"/>
      <c r="G28" s="1385"/>
      <c r="H28" s="2048"/>
      <c r="I28" s="2048"/>
      <c r="J28" s="2048"/>
      <c r="K28" s="1385"/>
      <c r="L28" s="1385"/>
      <c r="M28" s="1385"/>
      <c r="N28" s="2049">
        <v>0</v>
      </c>
      <c r="O28" s="2049">
        <v>0</v>
      </c>
      <c r="P28" s="2049">
        <v>0</v>
      </c>
      <c r="Q28" s="2028">
        <f t="shared" si="17"/>
        <v>0</v>
      </c>
      <c r="R28" s="2026">
        <f t="shared" si="15"/>
        <v>0</v>
      </c>
      <c r="S28" s="2029">
        <f t="shared" si="16"/>
        <v>0</v>
      </c>
      <c r="T28" s="853">
        <f t="shared" si="18"/>
        <v>0</v>
      </c>
      <c r="U28" s="1408" t="str">
        <f t="shared" si="19"/>
        <v>1.33</v>
      </c>
      <c r="V28" s="1408" t="str">
        <f t="shared" si="20"/>
        <v>D+</v>
      </c>
      <c r="W28" s="1408" t="str">
        <f t="shared" si="21"/>
        <v>0</v>
      </c>
      <c r="X28" s="1409"/>
      <c r="Y28" s="1393"/>
      <c r="Z28" s="1394"/>
      <c r="AA28" s="1394"/>
      <c r="AB28" s="1394"/>
      <c r="AC28" s="1394"/>
      <c r="AD28" s="1394"/>
      <c r="AE28" s="1394"/>
      <c r="AF28" s="1394"/>
      <c r="AG28" s="1394"/>
      <c r="AH28" s="1394"/>
      <c r="AI28" s="1394"/>
      <c r="AJ28" s="1395"/>
      <c r="AK28" s="1395"/>
      <c r="AL28" s="1395"/>
      <c r="AM28" s="1395"/>
      <c r="AN28" s="1395"/>
      <c r="AO28" s="1395"/>
      <c r="AP28" s="1395"/>
      <c r="AQ28" s="1395"/>
      <c r="AR28" s="1395"/>
      <c r="AS28" s="1395"/>
      <c r="AT28" s="1396"/>
      <c r="AU28" s="1413"/>
      <c r="AV28" s="1414"/>
    </row>
    <row r="29" spans="1:48" ht="20.100000000000001" customHeight="1" x14ac:dyDescent="0.25">
      <c r="A29" s="360"/>
      <c r="B29" s="1387"/>
      <c r="C29" s="1388"/>
      <c r="D29" s="1166" t="s">
        <v>210</v>
      </c>
      <c r="E29" s="1385"/>
      <c r="F29" s="1385"/>
      <c r="G29" s="1385"/>
      <c r="H29" s="2048"/>
      <c r="I29" s="2048"/>
      <c r="J29" s="2048"/>
      <c r="K29" s="1385"/>
      <c r="L29" s="1385"/>
      <c r="M29" s="1385"/>
      <c r="N29" s="2049">
        <v>0</v>
      </c>
      <c r="O29" s="2049">
        <v>0</v>
      </c>
      <c r="P29" s="2049">
        <v>0</v>
      </c>
      <c r="Q29" s="2028">
        <f t="shared" si="17"/>
        <v>0</v>
      </c>
      <c r="R29" s="2026">
        <f t="shared" si="15"/>
        <v>0</v>
      </c>
      <c r="S29" s="2029">
        <f t="shared" si="16"/>
        <v>0</v>
      </c>
      <c r="T29" s="853">
        <f t="shared" si="18"/>
        <v>0</v>
      </c>
      <c r="U29" s="1408" t="str">
        <f t="shared" si="19"/>
        <v>1.33</v>
      </c>
      <c r="V29" s="1408" t="str">
        <f t="shared" si="20"/>
        <v>D+</v>
      </c>
      <c r="W29" s="1408" t="str">
        <f t="shared" si="21"/>
        <v>0</v>
      </c>
      <c r="X29" s="1409"/>
      <c r="Y29" s="1397"/>
      <c r="Z29" s="1398"/>
      <c r="AA29" s="1398"/>
      <c r="AB29" s="1398"/>
      <c r="AC29" s="1398"/>
      <c r="AD29" s="1398"/>
      <c r="AE29" s="1398"/>
      <c r="AF29" s="1398"/>
      <c r="AG29" s="1398"/>
      <c r="AH29" s="1398"/>
      <c r="AI29" s="1398"/>
      <c r="AJ29" s="1399"/>
      <c r="AK29" s="1399"/>
      <c r="AL29" s="1399"/>
      <c r="AM29" s="1399"/>
      <c r="AN29" s="1399"/>
      <c r="AO29" s="1399"/>
      <c r="AP29" s="1399"/>
      <c r="AQ29" s="1399"/>
      <c r="AR29" s="1399"/>
      <c r="AS29" s="1399"/>
      <c r="AT29" s="1400"/>
      <c r="AU29" s="1415"/>
      <c r="AV29" s="1416"/>
    </row>
    <row r="30" spans="1:48" ht="20.100000000000001" customHeight="1" x14ac:dyDescent="0.25">
      <c r="A30" s="727"/>
      <c r="B30" s="1406">
        <v>2</v>
      </c>
      <c r="C30" s="1407"/>
      <c r="D30" s="1004"/>
      <c r="E30" s="2780"/>
      <c r="F30" s="2781"/>
      <c r="G30" s="2781"/>
      <c r="H30" s="2781"/>
      <c r="I30" s="2046"/>
      <c r="J30" s="2046"/>
      <c r="K30" s="2046"/>
      <c r="L30" s="2046"/>
      <c r="M30" s="2046"/>
      <c r="N30" s="2046"/>
      <c r="O30" s="2046"/>
      <c r="P30" s="2046"/>
      <c r="Q30" s="2046"/>
      <c r="R30" s="2046"/>
      <c r="S30" s="2046"/>
      <c r="T30" s="2044">
        <f>IFERROR(AVERAGE(T19:T29),"  ")</f>
        <v>0</v>
      </c>
      <c r="U30" s="2045" t="str">
        <f>IF(X30&gt;85,("4"),IF(X30&gt;80,("3.66"),IF(X30&gt;75,("3.33"),IF(X30&gt;70,("3.00"),IF(X30&gt;65,("2.66"),IF(X30&gt;60,("2.33"),IF(X30&gt;55,("2"),IF(X30&gt;50,("1.66"),"1.33"))))))))</f>
        <v>1.33</v>
      </c>
      <c r="V30" s="2045" t="str">
        <f>IF(X30&gt;85,("A"),IF(X30&gt;80,("A-"),IF(X30&gt;75,("B+"),IF(X30&gt;70,("B"),IF(X30&gt;65,("B-"),IF(X30&gt;60,("C+"),IF(X30&gt;55,("C"),IF(X30&gt;50,("C-"),"D+"))))))))</f>
        <v>D+</v>
      </c>
      <c r="W30" s="2045"/>
      <c r="X30" s="888">
        <f>MAX(T19:T29)</f>
        <v>0</v>
      </c>
      <c r="Y30" s="1403"/>
      <c r="Z30" s="1404"/>
      <c r="AA30" s="1404"/>
      <c r="AB30" s="1404"/>
      <c r="AC30" s="1404"/>
      <c r="AD30" s="1404"/>
      <c r="AE30" s="1404"/>
      <c r="AF30" s="1404"/>
      <c r="AG30" s="1404"/>
      <c r="AH30" s="1404"/>
      <c r="AI30" s="1404"/>
      <c r="AJ30" s="1404"/>
      <c r="AK30" s="1404"/>
      <c r="AL30" s="1404"/>
      <c r="AM30" s="1404"/>
      <c r="AN30" s="1404"/>
      <c r="AO30" s="1404"/>
      <c r="AP30" s="1404"/>
      <c r="AQ30" s="1404"/>
      <c r="AR30" s="1404"/>
      <c r="AS30" s="1404"/>
      <c r="AT30" s="1405"/>
      <c r="AU30" s="1257"/>
      <c r="AV30" s="1258"/>
    </row>
    <row r="31" spans="1:48" ht="20.100000000000001" customHeight="1" x14ac:dyDescent="0.25">
      <c r="A31" s="724">
        <v>3</v>
      </c>
      <c r="B31" s="1383"/>
      <c r="C31" s="1384" t="str">
        <f>VLOOKUP(A31,data_siswa,4,FALSE)</f>
        <v>Anggun Dwi P.I</v>
      </c>
      <c r="D31" s="1166" t="s">
        <v>154</v>
      </c>
      <c r="E31" s="2050">
        <v>0</v>
      </c>
      <c r="F31" s="2050">
        <v>0</v>
      </c>
      <c r="G31" s="2050">
        <v>0</v>
      </c>
      <c r="H31" s="2051"/>
      <c r="I31" s="2051"/>
      <c r="J31" s="2051"/>
      <c r="K31" s="2050"/>
      <c r="L31" s="2050"/>
      <c r="M31" s="2050"/>
      <c r="N31" s="2052"/>
      <c r="O31" s="2052"/>
      <c r="P31" s="2052"/>
      <c r="Q31" s="2028">
        <f>MAX(E31,H31,K31,N31)</f>
        <v>0</v>
      </c>
      <c r="R31" s="2026">
        <f t="shared" ref="R31:R41" si="22">MAX(F31,I31,L31,O31)</f>
        <v>0</v>
      </c>
      <c r="S31" s="2029">
        <f t="shared" ref="S31:S41" si="23">MAX(G31,J31,M31,P31)</f>
        <v>0</v>
      </c>
      <c r="T31" s="853">
        <f>IFERROR(AVERAGE(Q31:S31),"")</f>
        <v>0</v>
      </c>
      <c r="U31" s="1408" t="str">
        <f>IF(T31&gt;85,("4"),IF(T31&gt;80,("3.66"),IF(T31&gt;75,("3.33"),IF(T31&gt;70,("3.00"),IF(T31&gt;65,("2.66"),IF(T31&gt;60,("2.33"),IF(T31&gt;55,("2"),IF(T31&gt;50,("1.66"),"1.33"))))))))</f>
        <v>1.33</v>
      </c>
      <c r="V31" s="1408" t="str">
        <f>IF(T31&gt;85,("A"),IF(T31&gt;80,("A-"),IF(T31&gt;75,("B+"),IF(T31&gt;70,("B"),IF(T31&gt;65,("B-"),IF(T31&gt;60,("C+"),IF(T31&gt;55,("C"),IF(T31&gt;50,("C-"),"D+"))))))))</f>
        <v>D+</v>
      </c>
      <c r="W31" s="1408" t="str">
        <f>IF(T31&gt;80,("SB"),IF(T31&gt;65,("B"),IF(T31&gt;50,("C"),IF(T31&gt;0,("K"),"0"))))</f>
        <v>0</v>
      </c>
      <c r="X31" s="1408"/>
      <c r="Y31" s="749"/>
      <c r="Z31" s="749"/>
      <c r="AA31" s="749"/>
      <c r="AB31" s="749"/>
      <c r="AC31" s="749"/>
      <c r="AD31" s="749"/>
      <c r="AE31" s="749"/>
      <c r="AF31" s="749"/>
      <c r="AG31" s="749"/>
      <c r="AH31" s="749"/>
      <c r="AI31" s="749"/>
      <c r="AJ31" s="1386"/>
      <c r="AK31" s="1386"/>
      <c r="AL31" s="1386"/>
      <c r="AM31" s="1386"/>
      <c r="AN31" s="1386"/>
      <c r="AO31" s="1386"/>
      <c r="AP31" s="1386"/>
      <c r="AQ31" s="1386"/>
      <c r="AR31" s="1386"/>
      <c r="AS31" s="1386"/>
      <c r="AT31" s="1386"/>
      <c r="AU31" s="1057">
        <f>T42</f>
        <v>0</v>
      </c>
      <c r="AV31" s="1194" t="str">
        <f>IF(AU31&gt;85,("A"),IF(AU31&gt;80,("A-"),IF(AU31&gt;75,("B+"),IF(AU31&gt;70,("B"),IF(AU31&gt;65,("B-"),IF(AU31&gt;60,("C+"),IF(AU31&gt;55,("C"),IF(AU31&gt;50,("C-"),"D+"))))))))</f>
        <v>D+</v>
      </c>
    </row>
    <row r="32" spans="1:48" ht="20.100000000000001" customHeight="1" x14ac:dyDescent="0.25">
      <c r="A32" s="360"/>
      <c r="B32" s="1387"/>
      <c r="C32" s="1388"/>
      <c r="D32" s="1166" t="s">
        <v>155</v>
      </c>
      <c r="E32" s="1493"/>
      <c r="F32" s="1493"/>
      <c r="G32" s="1493"/>
      <c r="H32" s="2040"/>
      <c r="I32" s="2040"/>
      <c r="J32" s="2040"/>
      <c r="K32" s="1493"/>
      <c r="L32" s="1493"/>
      <c r="M32" s="1493"/>
      <c r="N32" s="2039">
        <v>0</v>
      </c>
      <c r="O32" s="2039">
        <v>0</v>
      </c>
      <c r="P32" s="2039">
        <v>0</v>
      </c>
      <c r="Q32" s="2028">
        <f t="shared" ref="Q32:Q41" si="24">MAX(E32,H32,K32,N32)</f>
        <v>0</v>
      </c>
      <c r="R32" s="2026">
        <f t="shared" si="22"/>
        <v>0</v>
      </c>
      <c r="S32" s="2029">
        <f t="shared" si="23"/>
        <v>0</v>
      </c>
      <c r="T32" s="853">
        <f t="shared" ref="T32:T41" si="25">IFERROR(AVERAGE(Q32:S32),"")</f>
        <v>0</v>
      </c>
      <c r="U32" s="1408" t="str">
        <f t="shared" ref="U32:U41" si="26">IF(T32&gt;85,("4"),IF(T32&gt;80,("3.66"),IF(T32&gt;75,("3.33"),IF(T32&gt;70,("3.00"),IF(T32&gt;65,("2.66"),IF(T32&gt;60,("2.33"),IF(T32&gt;55,("2"),IF(T32&gt;50,("1.66"),"1.33"))))))))</f>
        <v>1.33</v>
      </c>
      <c r="V32" s="1408" t="str">
        <f t="shared" ref="V32:V41" si="27">IF(T32&gt;85,("A"),IF(T32&gt;80,("A-"),IF(T32&gt;75,("B+"),IF(T32&gt;70,("B"),IF(T32&gt;65,("B-"),IF(T32&gt;60,("C+"),IF(T32&gt;55,("C"),IF(T32&gt;50,("C-"),"D+"))))))))</f>
        <v>D+</v>
      </c>
      <c r="W32" s="1408" t="str">
        <f t="shared" ref="W32:W41" si="28">IF(T32&gt;80,("SB"),IF(T32&gt;65,("B"),IF(T32&gt;50,("C"),IF(T32&gt;0,("K"),"0"))))</f>
        <v>0</v>
      </c>
      <c r="X32" s="1409"/>
      <c r="Y32" s="1389"/>
      <c r="Z32" s="1390"/>
      <c r="AA32" s="1390"/>
      <c r="AB32" s="1390"/>
      <c r="AC32" s="1390"/>
      <c r="AD32" s="1390"/>
      <c r="AE32" s="1390"/>
      <c r="AF32" s="1390"/>
      <c r="AG32" s="1390"/>
      <c r="AH32" s="1390"/>
      <c r="AI32" s="1390"/>
      <c r="AJ32" s="1391"/>
      <c r="AK32" s="1391"/>
      <c r="AL32" s="1391"/>
      <c r="AM32" s="1391"/>
      <c r="AN32" s="1391"/>
      <c r="AO32" s="1391"/>
      <c r="AP32" s="1391"/>
      <c r="AQ32" s="1391"/>
      <c r="AR32" s="1391"/>
      <c r="AS32" s="1391"/>
      <c r="AT32" s="1392"/>
      <c r="AU32" s="1411"/>
      <c r="AV32" s="1412"/>
    </row>
    <row r="33" spans="1:48" ht="20.100000000000001" customHeight="1" x14ac:dyDescent="0.25">
      <c r="A33" s="360"/>
      <c r="B33" s="1387"/>
      <c r="C33" s="1388"/>
      <c r="D33" s="1166" t="s">
        <v>16</v>
      </c>
      <c r="E33" s="1493"/>
      <c r="F33" s="1493"/>
      <c r="G33" s="1493"/>
      <c r="H33" s="2040">
        <v>0</v>
      </c>
      <c r="I33" s="2040">
        <v>0</v>
      </c>
      <c r="J33" s="2040">
        <v>0</v>
      </c>
      <c r="K33" s="1493"/>
      <c r="L33" s="1493"/>
      <c r="M33" s="1493"/>
      <c r="N33" s="2052"/>
      <c r="O33" s="2052"/>
      <c r="P33" s="2052"/>
      <c r="Q33" s="2028">
        <f t="shared" si="24"/>
        <v>0</v>
      </c>
      <c r="R33" s="2026">
        <f t="shared" si="22"/>
        <v>0</v>
      </c>
      <c r="S33" s="2029">
        <f t="shared" si="23"/>
        <v>0</v>
      </c>
      <c r="T33" s="853">
        <f t="shared" si="25"/>
        <v>0</v>
      </c>
      <c r="U33" s="1408" t="str">
        <f t="shared" si="26"/>
        <v>1.33</v>
      </c>
      <c r="V33" s="1408" t="str">
        <f t="shared" si="27"/>
        <v>D+</v>
      </c>
      <c r="W33" s="1408" t="str">
        <f t="shared" si="28"/>
        <v>0</v>
      </c>
      <c r="X33" s="1409"/>
      <c r="Y33" s="1393"/>
      <c r="Z33" s="1394"/>
      <c r="AA33" s="1394"/>
      <c r="AB33" s="1394"/>
      <c r="AC33" s="1394"/>
      <c r="AD33" s="1394"/>
      <c r="AE33" s="1394"/>
      <c r="AF33" s="1394"/>
      <c r="AG33" s="1394"/>
      <c r="AH33" s="1394"/>
      <c r="AI33" s="1394"/>
      <c r="AJ33" s="1395"/>
      <c r="AK33" s="1395"/>
      <c r="AL33" s="1395"/>
      <c r="AM33" s="1395"/>
      <c r="AN33" s="1395"/>
      <c r="AO33" s="1395"/>
      <c r="AP33" s="1395"/>
      <c r="AQ33" s="1395"/>
      <c r="AR33" s="1395"/>
      <c r="AS33" s="1395"/>
      <c r="AT33" s="1396"/>
      <c r="AU33" s="1413"/>
      <c r="AV33" s="1414"/>
    </row>
    <row r="34" spans="1:48" ht="20.100000000000001" customHeight="1" x14ac:dyDescent="0.25">
      <c r="A34" s="360"/>
      <c r="B34" s="1387"/>
      <c r="C34" s="1388"/>
      <c r="D34" s="1166" t="s">
        <v>189</v>
      </c>
      <c r="E34" s="1493"/>
      <c r="F34" s="1493"/>
      <c r="G34" s="1493"/>
      <c r="H34" s="2040">
        <v>0</v>
      </c>
      <c r="I34" s="2040">
        <v>0</v>
      </c>
      <c r="J34" s="2040">
        <v>0</v>
      </c>
      <c r="K34" s="1493"/>
      <c r="L34" s="1493"/>
      <c r="M34" s="1493"/>
      <c r="N34" s="2039"/>
      <c r="O34" s="2039"/>
      <c r="P34" s="2039"/>
      <c r="Q34" s="2028">
        <f t="shared" si="24"/>
        <v>0</v>
      </c>
      <c r="R34" s="2026">
        <f t="shared" si="22"/>
        <v>0</v>
      </c>
      <c r="S34" s="2029">
        <f t="shared" si="23"/>
        <v>0</v>
      </c>
      <c r="T34" s="853">
        <f t="shared" si="25"/>
        <v>0</v>
      </c>
      <c r="U34" s="1408" t="str">
        <f t="shared" si="26"/>
        <v>1.33</v>
      </c>
      <c r="V34" s="1408" t="str">
        <f t="shared" si="27"/>
        <v>D+</v>
      </c>
      <c r="W34" s="1408" t="str">
        <f t="shared" si="28"/>
        <v>0</v>
      </c>
      <c r="X34" s="1409"/>
      <c r="Y34" s="1393"/>
      <c r="Z34" s="1394"/>
      <c r="AA34" s="1394"/>
      <c r="AB34" s="1394"/>
      <c r="AC34" s="1394"/>
      <c r="AD34" s="1394"/>
      <c r="AE34" s="1394"/>
      <c r="AF34" s="1394"/>
      <c r="AG34" s="1394"/>
      <c r="AH34" s="1394"/>
      <c r="AI34" s="1394"/>
      <c r="AJ34" s="1395"/>
      <c r="AK34" s="1395"/>
      <c r="AL34" s="1395"/>
      <c r="AM34" s="1395"/>
      <c r="AN34" s="1395"/>
      <c r="AO34" s="1395"/>
      <c r="AP34" s="1395"/>
      <c r="AQ34" s="1395"/>
      <c r="AR34" s="1395"/>
      <c r="AS34" s="1395"/>
      <c r="AT34" s="1396"/>
      <c r="AU34" s="1413"/>
      <c r="AV34" s="1414"/>
    </row>
    <row r="35" spans="1:48" ht="20.100000000000001" customHeight="1" x14ac:dyDescent="0.25">
      <c r="A35" s="360"/>
      <c r="B35" s="1387"/>
      <c r="C35" s="1388"/>
      <c r="D35" s="1166" t="s">
        <v>186</v>
      </c>
      <c r="E35" s="1493"/>
      <c r="F35" s="1493"/>
      <c r="G35" s="1493"/>
      <c r="H35" s="2040">
        <v>0</v>
      </c>
      <c r="I35" s="2040">
        <v>0</v>
      </c>
      <c r="J35" s="2040">
        <v>0</v>
      </c>
      <c r="K35" s="1493"/>
      <c r="L35" s="1493"/>
      <c r="M35" s="1493"/>
      <c r="N35" s="2039"/>
      <c r="O35" s="2039"/>
      <c r="P35" s="2039"/>
      <c r="Q35" s="2028">
        <f t="shared" si="24"/>
        <v>0</v>
      </c>
      <c r="R35" s="2026">
        <f t="shared" si="22"/>
        <v>0</v>
      </c>
      <c r="S35" s="2029">
        <f t="shared" si="23"/>
        <v>0</v>
      </c>
      <c r="T35" s="853">
        <f t="shared" si="25"/>
        <v>0</v>
      </c>
      <c r="U35" s="1408" t="str">
        <f t="shared" si="26"/>
        <v>1.33</v>
      </c>
      <c r="V35" s="1408" t="str">
        <f t="shared" si="27"/>
        <v>D+</v>
      </c>
      <c r="W35" s="1408" t="str">
        <f t="shared" si="28"/>
        <v>0</v>
      </c>
      <c r="X35" s="1409"/>
      <c r="Y35" s="1393"/>
      <c r="Z35" s="1394"/>
      <c r="AA35" s="1394"/>
      <c r="AB35" s="1394"/>
      <c r="AC35" s="1394"/>
      <c r="AD35" s="1394"/>
      <c r="AE35" s="1394"/>
      <c r="AF35" s="1394"/>
      <c r="AG35" s="1394"/>
      <c r="AH35" s="1394"/>
      <c r="AI35" s="1394"/>
      <c r="AJ35" s="1395"/>
      <c r="AK35" s="1395"/>
      <c r="AL35" s="1395"/>
      <c r="AM35" s="1395"/>
      <c r="AN35" s="1395"/>
      <c r="AO35" s="1395"/>
      <c r="AP35" s="1395"/>
      <c r="AQ35" s="1395"/>
      <c r="AR35" s="1395"/>
      <c r="AS35" s="1395"/>
      <c r="AT35" s="1396"/>
      <c r="AU35" s="1413"/>
      <c r="AV35" s="1414"/>
    </row>
    <row r="36" spans="1:48" ht="20.100000000000001" customHeight="1" x14ac:dyDescent="0.25">
      <c r="A36" s="360"/>
      <c r="B36" s="1387"/>
      <c r="C36" s="1388"/>
      <c r="D36" s="1166" t="s">
        <v>187</v>
      </c>
      <c r="E36" s="1385"/>
      <c r="F36" s="1385"/>
      <c r="G36" s="1385"/>
      <c r="H36" s="2048"/>
      <c r="I36" s="2048"/>
      <c r="J36" s="2048"/>
      <c r="K36" s="1385">
        <v>0</v>
      </c>
      <c r="L36" s="1385">
        <v>0</v>
      </c>
      <c r="M36" s="1385">
        <v>0</v>
      </c>
      <c r="N36" s="2049"/>
      <c r="O36" s="2049"/>
      <c r="P36" s="2049"/>
      <c r="Q36" s="2028">
        <f t="shared" si="24"/>
        <v>0</v>
      </c>
      <c r="R36" s="2026">
        <f t="shared" si="22"/>
        <v>0</v>
      </c>
      <c r="S36" s="2029">
        <f t="shared" si="23"/>
        <v>0</v>
      </c>
      <c r="T36" s="853">
        <f t="shared" si="25"/>
        <v>0</v>
      </c>
      <c r="U36" s="1408" t="str">
        <f t="shared" si="26"/>
        <v>1.33</v>
      </c>
      <c r="V36" s="1408" t="str">
        <f t="shared" si="27"/>
        <v>D+</v>
      </c>
      <c r="W36" s="1408" t="str">
        <f t="shared" si="28"/>
        <v>0</v>
      </c>
      <c r="X36" s="1409"/>
      <c r="Y36" s="1393"/>
      <c r="Z36" s="1394"/>
      <c r="AA36" s="1394"/>
      <c r="AB36" s="1394"/>
      <c r="AC36" s="1394"/>
      <c r="AD36" s="1394"/>
      <c r="AE36" s="1394"/>
      <c r="AF36" s="1394"/>
      <c r="AG36" s="1394"/>
      <c r="AH36" s="1394"/>
      <c r="AI36" s="1394"/>
      <c r="AJ36" s="1395"/>
      <c r="AK36" s="1395"/>
      <c r="AL36" s="1395"/>
      <c r="AM36" s="1395"/>
      <c r="AN36" s="1395"/>
      <c r="AO36" s="1395"/>
      <c r="AP36" s="1395"/>
      <c r="AQ36" s="1395"/>
      <c r="AR36" s="1395"/>
      <c r="AS36" s="1395"/>
      <c r="AT36" s="1396"/>
      <c r="AU36" s="1413"/>
      <c r="AV36" s="1414"/>
    </row>
    <row r="37" spans="1:48" ht="20.100000000000001" customHeight="1" x14ac:dyDescent="0.25">
      <c r="A37" s="360"/>
      <c r="B37" s="1387"/>
      <c r="C37" s="1388"/>
      <c r="D37" s="1166" t="s">
        <v>17</v>
      </c>
      <c r="E37" s="1385">
        <v>0</v>
      </c>
      <c r="F37" s="1385">
        <v>0</v>
      </c>
      <c r="G37" s="1385">
        <v>0</v>
      </c>
      <c r="H37" s="2048">
        <v>0</v>
      </c>
      <c r="I37" s="2048">
        <v>0</v>
      </c>
      <c r="J37" s="2048">
        <v>0</v>
      </c>
      <c r="K37" s="1385"/>
      <c r="L37" s="1385"/>
      <c r="M37" s="1385"/>
      <c r="N37" s="2049"/>
      <c r="O37" s="2049"/>
      <c r="P37" s="2049"/>
      <c r="Q37" s="2028">
        <f t="shared" si="24"/>
        <v>0</v>
      </c>
      <c r="R37" s="2026">
        <f t="shared" si="22"/>
        <v>0</v>
      </c>
      <c r="S37" s="2029">
        <f t="shared" si="23"/>
        <v>0</v>
      </c>
      <c r="T37" s="853">
        <f t="shared" si="25"/>
        <v>0</v>
      </c>
      <c r="U37" s="1408" t="str">
        <f t="shared" si="26"/>
        <v>1.33</v>
      </c>
      <c r="V37" s="1408" t="str">
        <f t="shared" si="27"/>
        <v>D+</v>
      </c>
      <c r="W37" s="1408" t="str">
        <f t="shared" si="28"/>
        <v>0</v>
      </c>
      <c r="X37" s="1409"/>
      <c r="Y37" s="1393"/>
      <c r="Z37" s="1394"/>
      <c r="AA37" s="1394"/>
      <c r="AB37" s="1394"/>
      <c r="AC37" s="1394"/>
      <c r="AD37" s="1394"/>
      <c r="AE37" s="1394"/>
      <c r="AF37" s="1394"/>
      <c r="AG37" s="1394"/>
      <c r="AH37" s="1394"/>
      <c r="AI37" s="1394"/>
      <c r="AJ37" s="1395"/>
      <c r="AK37" s="1395"/>
      <c r="AL37" s="1395"/>
      <c r="AM37" s="1395"/>
      <c r="AN37" s="1395"/>
      <c r="AO37" s="1395"/>
      <c r="AP37" s="1395"/>
      <c r="AQ37" s="1395"/>
      <c r="AR37" s="1395"/>
      <c r="AS37" s="1395"/>
      <c r="AT37" s="1396"/>
      <c r="AU37" s="1413"/>
      <c r="AV37" s="1414"/>
    </row>
    <row r="38" spans="1:48" ht="20.100000000000001" customHeight="1" x14ac:dyDescent="0.25">
      <c r="A38" s="360"/>
      <c r="B38" s="1387"/>
      <c r="C38" s="1388"/>
      <c r="D38" s="1166" t="s">
        <v>188</v>
      </c>
      <c r="E38" s="1385"/>
      <c r="F38" s="1385"/>
      <c r="G38" s="1385"/>
      <c r="H38" s="2048">
        <v>0</v>
      </c>
      <c r="I38" s="2048">
        <v>0</v>
      </c>
      <c r="J38" s="2048">
        <v>0</v>
      </c>
      <c r="K38" s="1385"/>
      <c r="L38" s="1385"/>
      <c r="M38" s="1385"/>
      <c r="N38" s="2049"/>
      <c r="O38" s="2049"/>
      <c r="P38" s="2049"/>
      <c r="Q38" s="2028">
        <f t="shared" si="24"/>
        <v>0</v>
      </c>
      <c r="R38" s="2026">
        <f t="shared" si="22"/>
        <v>0</v>
      </c>
      <c r="S38" s="2029">
        <f t="shared" si="23"/>
        <v>0</v>
      </c>
      <c r="T38" s="853">
        <f t="shared" si="25"/>
        <v>0</v>
      </c>
      <c r="U38" s="1408" t="str">
        <f t="shared" si="26"/>
        <v>1.33</v>
      </c>
      <c r="V38" s="1408" t="str">
        <f t="shared" si="27"/>
        <v>D+</v>
      </c>
      <c r="W38" s="1408" t="str">
        <f t="shared" si="28"/>
        <v>0</v>
      </c>
      <c r="X38" s="1409"/>
      <c r="Y38" s="1393"/>
      <c r="Z38" s="1394"/>
      <c r="AA38" s="1394"/>
      <c r="AB38" s="1394"/>
      <c r="AC38" s="1394"/>
      <c r="AD38" s="1394"/>
      <c r="AE38" s="1394"/>
      <c r="AF38" s="1394"/>
      <c r="AG38" s="1394"/>
      <c r="AH38" s="1394"/>
      <c r="AI38" s="1394"/>
      <c r="AJ38" s="1395"/>
      <c r="AK38" s="1395"/>
      <c r="AL38" s="1395"/>
      <c r="AM38" s="1395"/>
      <c r="AN38" s="1395"/>
      <c r="AO38" s="1395"/>
      <c r="AP38" s="1395"/>
      <c r="AQ38" s="1395"/>
      <c r="AR38" s="1395"/>
      <c r="AS38" s="1395"/>
      <c r="AT38" s="1396"/>
      <c r="AU38" s="1413"/>
      <c r="AV38" s="1414"/>
    </row>
    <row r="39" spans="1:48" ht="20.100000000000001" customHeight="1" x14ac:dyDescent="0.25">
      <c r="A39" s="360"/>
      <c r="B39" s="1387"/>
      <c r="C39" s="1388"/>
      <c r="D39" s="1166" t="s">
        <v>569</v>
      </c>
      <c r="E39" s="1385"/>
      <c r="F39" s="1385"/>
      <c r="G39" s="1385"/>
      <c r="H39" s="2048"/>
      <c r="I39" s="2048"/>
      <c r="J39" s="2048"/>
      <c r="K39" s="1385">
        <v>0</v>
      </c>
      <c r="L39" s="1385">
        <v>0</v>
      </c>
      <c r="M39" s="1385">
        <v>0</v>
      </c>
      <c r="N39" s="2049"/>
      <c r="O39" s="2049"/>
      <c r="P39" s="2049"/>
      <c r="Q39" s="2028">
        <f t="shared" si="24"/>
        <v>0</v>
      </c>
      <c r="R39" s="2026">
        <f t="shared" si="22"/>
        <v>0</v>
      </c>
      <c r="S39" s="2029">
        <f t="shared" si="23"/>
        <v>0</v>
      </c>
      <c r="T39" s="853">
        <f t="shared" si="25"/>
        <v>0</v>
      </c>
      <c r="U39" s="1408" t="str">
        <f t="shared" si="26"/>
        <v>1.33</v>
      </c>
      <c r="V39" s="1408" t="str">
        <f t="shared" si="27"/>
        <v>D+</v>
      </c>
      <c r="W39" s="1408" t="str">
        <f t="shared" si="28"/>
        <v>0</v>
      </c>
      <c r="X39" s="1409"/>
      <c r="Y39" s="1393"/>
      <c r="Z39" s="1394"/>
      <c r="AA39" s="1394"/>
      <c r="AB39" s="1394"/>
      <c r="AC39" s="1394"/>
      <c r="AD39" s="1394"/>
      <c r="AE39" s="1394"/>
      <c r="AF39" s="1394"/>
      <c r="AG39" s="1394"/>
      <c r="AH39" s="1394"/>
      <c r="AI39" s="1394"/>
      <c r="AJ39" s="1395"/>
      <c r="AK39" s="1395"/>
      <c r="AL39" s="1395"/>
      <c r="AM39" s="1395"/>
      <c r="AN39" s="1395"/>
      <c r="AO39" s="1395"/>
      <c r="AP39" s="1395"/>
      <c r="AQ39" s="1395"/>
      <c r="AR39" s="1395"/>
      <c r="AS39" s="1395"/>
      <c r="AT39" s="1396"/>
      <c r="AU39" s="1413"/>
      <c r="AV39" s="1414"/>
    </row>
    <row r="40" spans="1:48" ht="20.100000000000001" customHeight="1" x14ac:dyDescent="0.25">
      <c r="A40" s="360"/>
      <c r="B40" s="1387"/>
      <c r="C40" s="1388"/>
      <c r="D40" s="1166" t="s">
        <v>209</v>
      </c>
      <c r="E40" s="1385"/>
      <c r="F40" s="1385"/>
      <c r="G40" s="1385"/>
      <c r="H40" s="2048"/>
      <c r="I40" s="2048"/>
      <c r="J40" s="2048"/>
      <c r="K40" s="1385"/>
      <c r="L40" s="1385"/>
      <c r="M40" s="1385"/>
      <c r="N40" s="2049">
        <v>0</v>
      </c>
      <c r="O40" s="2049">
        <v>0</v>
      </c>
      <c r="P40" s="2049">
        <v>0</v>
      </c>
      <c r="Q40" s="2028">
        <f t="shared" si="24"/>
        <v>0</v>
      </c>
      <c r="R40" s="2026">
        <f t="shared" si="22"/>
        <v>0</v>
      </c>
      <c r="S40" s="2029">
        <f t="shared" si="23"/>
        <v>0</v>
      </c>
      <c r="T40" s="853">
        <f t="shared" si="25"/>
        <v>0</v>
      </c>
      <c r="U40" s="1408" t="str">
        <f t="shared" si="26"/>
        <v>1.33</v>
      </c>
      <c r="V40" s="1408" t="str">
        <f t="shared" si="27"/>
        <v>D+</v>
      </c>
      <c r="W40" s="1408" t="str">
        <f t="shared" si="28"/>
        <v>0</v>
      </c>
      <c r="X40" s="1409"/>
      <c r="Y40" s="1393"/>
      <c r="Z40" s="1394"/>
      <c r="AA40" s="1394"/>
      <c r="AB40" s="1394"/>
      <c r="AC40" s="1394"/>
      <c r="AD40" s="1394"/>
      <c r="AE40" s="1394"/>
      <c r="AF40" s="1394"/>
      <c r="AG40" s="1394"/>
      <c r="AH40" s="1394"/>
      <c r="AI40" s="1394"/>
      <c r="AJ40" s="1395"/>
      <c r="AK40" s="1395"/>
      <c r="AL40" s="1395"/>
      <c r="AM40" s="1395"/>
      <c r="AN40" s="1395"/>
      <c r="AO40" s="1395"/>
      <c r="AP40" s="1395"/>
      <c r="AQ40" s="1395"/>
      <c r="AR40" s="1395"/>
      <c r="AS40" s="1395"/>
      <c r="AT40" s="1396"/>
      <c r="AU40" s="1413"/>
      <c r="AV40" s="1414"/>
    </row>
    <row r="41" spans="1:48" ht="20.100000000000001" customHeight="1" x14ac:dyDescent="0.25">
      <c r="A41" s="360"/>
      <c r="B41" s="1387"/>
      <c r="C41" s="1388"/>
      <c r="D41" s="1166" t="s">
        <v>210</v>
      </c>
      <c r="E41" s="1385"/>
      <c r="F41" s="1385"/>
      <c r="G41" s="1385"/>
      <c r="H41" s="2048"/>
      <c r="I41" s="2048"/>
      <c r="J41" s="2048"/>
      <c r="K41" s="1385"/>
      <c r="L41" s="1385"/>
      <c r="M41" s="1385"/>
      <c r="N41" s="2049">
        <v>0</v>
      </c>
      <c r="O41" s="2049">
        <v>0</v>
      </c>
      <c r="P41" s="2049">
        <v>0</v>
      </c>
      <c r="Q41" s="2028">
        <f t="shared" si="24"/>
        <v>0</v>
      </c>
      <c r="R41" s="2026">
        <f t="shared" si="22"/>
        <v>0</v>
      </c>
      <c r="S41" s="2029">
        <f t="shared" si="23"/>
        <v>0</v>
      </c>
      <c r="T41" s="853">
        <f t="shared" si="25"/>
        <v>0</v>
      </c>
      <c r="U41" s="1408" t="str">
        <f t="shared" si="26"/>
        <v>1.33</v>
      </c>
      <c r="V41" s="1408" t="str">
        <f t="shared" si="27"/>
        <v>D+</v>
      </c>
      <c r="W41" s="1408" t="str">
        <f t="shared" si="28"/>
        <v>0</v>
      </c>
      <c r="X41" s="1409"/>
      <c r="Y41" s="1397"/>
      <c r="Z41" s="1398"/>
      <c r="AA41" s="1398"/>
      <c r="AB41" s="1398"/>
      <c r="AC41" s="1398"/>
      <c r="AD41" s="1398"/>
      <c r="AE41" s="1398"/>
      <c r="AF41" s="1398"/>
      <c r="AG41" s="1398"/>
      <c r="AH41" s="1398"/>
      <c r="AI41" s="1398"/>
      <c r="AJ41" s="1399"/>
      <c r="AK41" s="1399"/>
      <c r="AL41" s="1399"/>
      <c r="AM41" s="1399"/>
      <c r="AN41" s="1399"/>
      <c r="AO41" s="1399"/>
      <c r="AP41" s="1399"/>
      <c r="AQ41" s="1399"/>
      <c r="AR41" s="1399"/>
      <c r="AS41" s="1399"/>
      <c r="AT41" s="1400"/>
      <c r="AU41" s="1415"/>
      <c r="AV41" s="1416"/>
    </row>
    <row r="42" spans="1:48" ht="20.100000000000001" customHeight="1" x14ac:dyDescent="0.25">
      <c r="A42" s="727"/>
      <c r="B42" s="1406">
        <v>3</v>
      </c>
      <c r="C42" s="1407"/>
      <c r="D42" s="1004"/>
      <c r="E42" s="2780"/>
      <c r="F42" s="2781"/>
      <c r="G42" s="2781"/>
      <c r="H42" s="2781"/>
      <c r="I42" s="2046"/>
      <c r="J42" s="2046"/>
      <c r="K42" s="2046"/>
      <c r="L42" s="2046"/>
      <c r="M42" s="2046"/>
      <c r="N42" s="2046"/>
      <c r="O42" s="2046"/>
      <c r="P42" s="2046"/>
      <c r="Q42" s="2046"/>
      <c r="R42" s="2046"/>
      <c r="S42" s="2046"/>
      <c r="T42" s="2044">
        <f>IFERROR(AVERAGE(T31:T41),"  ")</f>
        <v>0</v>
      </c>
      <c r="U42" s="2045" t="str">
        <f>IF(X42&gt;85,("4"),IF(X42&gt;80,("3.66"),IF(X42&gt;75,("3.33"),IF(X42&gt;70,("3.00"),IF(X42&gt;65,("2.66"),IF(X42&gt;60,("2.33"),IF(X42&gt;55,("2"),IF(X42&gt;50,("1.66"),"1.33"))))))))</f>
        <v>1.33</v>
      </c>
      <c r="V42" s="2045" t="str">
        <f>IF(X42&gt;85,("A"),IF(X42&gt;80,("A-"),IF(X42&gt;75,("B+"),IF(X42&gt;70,("B"),IF(X42&gt;65,("B-"),IF(X42&gt;60,("C+"),IF(X42&gt;55,("C"),IF(X42&gt;50,("C-"),"D+"))))))))</f>
        <v>D+</v>
      </c>
      <c r="W42" s="2045"/>
      <c r="X42" s="888">
        <f>MAX(T31:T41)</f>
        <v>0</v>
      </c>
      <c r="Y42" s="1403"/>
      <c r="Z42" s="1404"/>
      <c r="AA42" s="1404"/>
      <c r="AB42" s="1404"/>
      <c r="AC42" s="1404"/>
      <c r="AD42" s="1404"/>
      <c r="AE42" s="1404"/>
      <c r="AF42" s="1404"/>
      <c r="AG42" s="1404"/>
      <c r="AH42" s="1404"/>
      <c r="AI42" s="1404"/>
      <c r="AJ42" s="1404"/>
      <c r="AK42" s="1404"/>
      <c r="AL42" s="1404"/>
      <c r="AM42" s="1404"/>
      <c r="AN42" s="1404"/>
      <c r="AO42" s="1404"/>
      <c r="AP42" s="1404"/>
      <c r="AQ42" s="1404"/>
      <c r="AR42" s="1404"/>
      <c r="AS42" s="1404"/>
      <c r="AT42" s="1405"/>
      <c r="AU42" s="1257"/>
      <c r="AV42" s="1258"/>
    </row>
    <row r="43" spans="1:48" ht="20.100000000000001" customHeight="1" x14ac:dyDescent="0.25">
      <c r="A43" s="724">
        <v>4</v>
      </c>
      <c r="B43" s="1383"/>
      <c r="C43" s="1384" t="str">
        <f>VLOOKUP(A43,data_siswa,4,FALSE)</f>
        <v>Antonio Permata A</v>
      </c>
      <c r="D43" s="1166" t="s">
        <v>154</v>
      </c>
      <c r="E43" s="2050">
        <v>0</v>
      </c>
      <c r="F43" s="2050">
        <v>0</v>
      </c>
      <c r="G43" s="2050">
        <v>0</v>
      </c>
      <c r="H43" s="2051"/>
      <c r="I43" s="2051"/>
      <c r="J43" s="2051"/>
      <c r="K43" s="2050"/>
      <c r="L43" s="2050"/>
      <c r="M43" s="2050"/>
      <c r="N43" s="2052"/>
      <c r="O43" s="2052"/>
      <c r="P43" s="2052"/>
      <c r="Q43" s="2028">
        <f>MAX(E43,H43,K43,N43)</f>
        <v>0</v>
      </c>
      <c r="R43" s="2026">
        <f t="shared" ref="R43:R53" si="29">MAX(F43,I43,L43,O43)</f>
        <v>0</v>
      </c>
      <c r="S43" s="2029">
        <f t="shared" ref="S43:S53" si="30">MAX(G43,J43,M43,P43)</f>
        <v>0</v>
      </c>
      <c r="T43" s="853">
        <f>IFERROR(AVERAGE(Q43:S43),"")</f>
        <v>0</v>
      </c>
      <c r="U43" s="1408" t="str">
        <f>IF(T43&gt;85,("4"),IF(T43&gt;80,("3.66"),IF(T43&gt;75,("3.33"),IF(T43&gt;70,("3.00"),IF(T43&gt;65,("2.66"),IF(T43&gt;60,("2.33"),IF(T43&gt;55,("2"),IF(T43&gt;50,("1.66"),"1.33"))))))))</f>
        <v>1.33</v>
      </c>
      <c r="V43" s="1408" t="str">
        <f>IF(T43&gt;85,("A"),IF(T43&gt;80,("A-"),IF(T43&gt;75,("B+"),IF(T43&gt;70,("B"),IF(T43&gt;65,("B-"),IF(T43&gt;60,("C+"),IF(T43&gt;55,("C"),IF(T43&gt;50,("C-"),"D+"))))))))</f>
        <v>D+</v>
      </c>
      <c r="W43" s="1408" t="str">
        <f>IF(T43&gt;80,("SB"),IF(T43&gt;65,("B"),IF(T43&gt;50,("C"),IF(T43&gt;0,("K"),"0"))))</f>
        <v>0</v>
      </c>
      <c r="X43" s="1408"/>
      <c r="Y43" s="749"/>
      <c r="Z43" s="749"/>
      <c r="AA43" s="749"/>
      <c r="AB43" s="749"/>
      <c r="AC43" s="749"/>
      <c r="AD43" s="749"/>
      <c r="AE43" s="749"/>
      <c r="AF43" s="749"/>
      <c r="AG43" s="749"/>
      <c r="AH43" s="749"/>
      <c r="AI43" s="749"/>
      <c r="AJ43" s="1386"/>
      <c r="AK43" s="1386"/>
      <c r="AL43" s="1386"/>
      <c r="AM43" s="1386"/>
      <c r="AN43" s="1386"/>
      <c r="AO43" s="1386"/>
      <c r="AP43" s="1386"/>
      <c r="AQ43" s="1386"/>
      <c r="AR43" s="1386"/>
      <c r="AS43" s="1386"/>
      <c r="AT43" s="1386"/>
      <c r="AU43" s="1057">
        <f>T54</f>
        <v>0</v>
      </c>
      <c r="AV43" s="1194" t="str">
        <f>IF(AU43&gt;85,("A"),IF(AU43&gt;80,("A-"),IF(AU43&gt;75,("B+"),IF(AU43&gt;70,("B"),IF(AU43&gt;65,("B-"),IF(AU43&gt;60,("C+"),IF(AU43&gt;55,("C"),IF(AU43&gt;50,("C-"),"D+"))))))))</f>
        <v>D+</v>
      </c>
    </row>
    <row r="44" spans="1:48" ht="20.100000000000001" customHeight="1" x14ac:dyDescent="0.25">
      <c r="A44" s="360"/>
      <c r="B44" s="1387"/>
      <c r="C44" s="1388"/>
      <c r="D44" s="1166" t="s">
        <v>155</v>
      </c>
      <c r="E44" s="1493"/>
      <c r="F44" s="1493"/>
      <c r="G44" s="1493"/>
      <c r="H44" s="2040"/>
      <c r="I44" s="2040"/>
      <c r="J44" s="2040"/>
      <c r="K44" s="1493"/>
      <c r="L44" s="1493"/>
      <c r="M44" s="1493"/>
      <c r="N44" s="2039">
        <v>0</v>
      </c>
      <c r="O44" s="2039">
        <v>0</v>
      </c>
      <c r="P44" s="2039">
        <v>0</v>
      </c>
      <c r="Q44" s="2028">
        <f t="shared" ref="Q44:Q53" si="31">MAX(E44,H44,K44,N44)</f>
        <v>0</v>
      </c>
      <c r="R44" s="2026">
        <f t="shared" si="29"/>
        <v>0</v>
      </c>
      <c r="S44" s="2029">
        <f t="shared" si="30"/>
        <v>0</v>
      </c>
      <c r="T44" s="853">
        <f t="shared" ref="T44:T53" si="32">IFERROR(AVERAGE(Q44:S44),"")</f>
        <v>0</v>
      </c>
      <c r="U44" s="1408" t="str">
        <f t="shared" ref="U44:U53" si="33">IF(T44&gt;85,("4"),IF(T44&gt;80,("3.66"),IF(T44&gt;75,("3.33"),IF(T44&gt;70,("3.00"),IF(T44&gt;65,("2.66"),IF(T44&gt;60,("2.33"),IF(T44&gt;55,("2"),IF(T44&gt;50,("1.66"),"1.33"))))))))</f>
        <v>1.33</v>
      </c>
      <c r="V44" s="1408" t="str">
        <f t="shared" ref="V44:V53" si="34">IF(T44&gt;85,("A"),IF(T44&gt;80,("A-"),IF(T44&gt;75,("B+"),IF(T44&gt;70,("B"),IF(T44&gt;65,("B-"),IF(T44&gt;60,("C+"),IF(T44&gt;55,("C"),IF(T44&gt;50,("C-"),"D+"))))))))</f>
        <v>D+</v>
      </c>
      <c r="W44" s="1408" t="str">
        <f t="shared" ref="W44:W53" si="35">IF(T44&gt;80,("SB"),IF(T44&gt;65,("B"),IF(T44&gt;50,("C"),IF(T44&gt;0,("K"),"0"))))</f>
        <v>0</v>
      </c>
      <c r="X44" s="1409"/>
      <c r="Y44" s="1389"/>
      <c r="Z44" s="1390"/>
      <c r="AA44" s="1390"/>
      <c r="AB44" s="1390"/>
      <c r="AC44" s="1390"/>
      <c r="AD44" s="1390"/>
      <c r="AE44" s="1390"/>
      <c r="AF44" s="1390"/>
      <c r="AG44" s="1390"/>
      <c r="AH44" s="1390"/>
      <c r="AI44" s="1390"/>
      <c r="AJ44" s="1391"/>
      <c r="AK44" s="1391"/>
      <c r="AL44" s="1391"/>
      <c r="AM44" s="1391"/>
      <c r="AN44" s="1391"/>
      <c r="AO44" s="1391"/>
      <c r="AP44" s="1391"/>
      <c r="AQ44" s="1391"/>
      <c r="AR44" s="1391"/>
      <c r="AS44" s="1391"/>
      <c r="AT44" s="1392"/>
      <c r="AU44" s="1411"/>
      <c r="AV44" s="1412"/>
    </row>
    <row r="45" spans="1:48" ht="20.100000000000001" customHeight="1" x14ac:dyDescent="0.25">
      <c r="A45" s="360"/>
      <c r="B45" s="1387"/>
      <c r="C45" s="1388"/>
      <c r="D45" s="1166" t="s">
        <v>16</v>
      </c>
      <c r="E45" s="1493"/>
      <c r="F45" s="1493"/>
      <c r="G45" s="1493"/>
      <c r="H45" s="2040">
        <v>0</v>
      </c>
      <c r="I45" s="2040">
        <v>0</v>
      </c>
      <c r="J45" s="2040">
        <v>0</v>
      </c>
      <c r="K45" s="1493"/>
      <c r="L45" s="1493"/>
      <c r="M45" s="1493"/>
      <c r="N45" s="2052"/>
      <c r="O45" s="2052"/>
      <c r="P45" s="2052"/>
      <c r="Q45" s="2028">
        <f t="shared" si="31"/>
        <v>0</v>
      </c>
      <c r="R45" s="2026">
        <f t="shared" si="29"/>
        <v>0</v>
      </c>
      <c r="S45" s="2029">
        <f t="shared" si="30"/>
        <v>0</v>
      </c>
      <c r="T45" s="853">
        <f t="shared" si="32"/>
        <v>0</v>
      </c>
      <c r="U45" s="1408" t="str">
        <f t="shared" si="33"/>
        <v>1.33</v>
      </c>
      <c r="V45" s="1408" t="str">
        <f t="shared" si="34"/>
        <v>D+</v>
      </c>
      <c r="W45" s="1408" t="str">
        <f t="shared" si="35"/>
        <v>0</v>
      </c>
      <c r="X45" s="1409"/>
      <c r="Y45" s="1393"/>
      <c r="Z45" s="1394"/>
      <c r="AA45" s="1394"/>
      <c r="AB45" s="1394"/>
      <c r="AC45" s="1394"/>
      <c r="AD45" s="1394"/>
      <c r="AE45" s="1394"/>
      <c r="AF45" s="1394"/>
      <c r="AG45" s="1394"/>
      <c r="AH45" s="1394"/>
      <c r="AI45" s="1394"/>
      <c r="AJ45" s="1395"/>
      <c r="AK45" s="1395"/>
      <c r="AL45" s="1395"/>
      <c r="AM45" s="1395"/>
      <c r="AN45" s="1395"/>
      <c r="AO45" s="1395"/>
      <c r="AP45" s="1395"/>
      <c r="AQ45" s="1395"/>
      <c r="AR45" s="1395"/>
      <c r="AS45" s="1395"/>
      <c r="AT45" s="1396"/>
      <c r="AU45" s="1413"/>
      <c r="AV45" s="1414"/>
    </row>
    <row r="46" spans="1:48" ht="20.100000000000001" customHeight="1" x14ac:dyDescent="0.25">
      <c r="A46" s="360"/>
      <c r="B46" s="1387"/>
      <c r="C46" s="1388"/>
      <c r="D46" s="1166" t="s">
        <v>189</v>
      </c>
      <c r="E46" s="1493"/>
      <c r="F46" s="1493"/>
      <c r="G46" s="1493"/>
      <c r="H46" s="2040">
        <v>0</v>
      </c>
      <c r="I46" s="2040">
        <v>0</v>
      </c>
      <c r="J46" s="2040">
        <v>0</v>
      </c>
      <c r="K46" s="1493"/>
      <c r="L46" s="1493"/>
      <c r="M46" s="1493"/>
      <c r="N46" s="2039"/>
      <c r="O46" s="2039"/>
      <c r="P46" s="2039"/>
      <c r="Q46" s="2028">
        <f t="shared" si="31"/>
        <v>0</v>
      </c>
      <c r="R46" s="2026">
        <f t="shared" si="29"/>
        <v>0</v>
      </c>
      <c r="S46" s="2029">
        <f t="shared" si="30"/>
        <v>0</v>
      </c>
      <c r="T46" s="853">
        <f t="shared" si="32"/>
        <v>0</v>
      </c>
      <c r="U46" s="1408" t="str">
        <f t="shared" si="33"/>
        <v>1.33</v>
      </c>
      <c r="V46" s="1408" t="str">
        <f t="shared" si="34"/>
        <v>D+</v>
      </c>
      <c r="W46" s="1408" t="str">
        <f t="shared" si="35"/>
        <v>0</v>
      </c>
      <c r="X46" s="1409"/>
      <c r="Y46" s="1393"/>
      <c r="Z46" s="1394"/>
      <c r="AA46" s="1394"/>
      <c r="AB46" s="1394"/>
      <c r="AC46" s="1394"/>
      <c r="AD46" s="1394"/>
      <c r="AE46" s="1394"/>
      <c r="AF46" s="1394"/>
      <c r="AG46" s="1394"/>
      <c r="AH46" s="1394"/>
      <c r="AI46" s="1394"/>
      <c r="AJ46" s="1395"/>
      <c r="AK46" s="1395"/>
      <c r="AL46" s="1395"/>
      <c r="AM46" s="1395"/>
      <c r="AN46" s="1395"/>
      <c r="AO46" s="1395"/>
      <c r="AP46" s="1395"/>
      <c r="AQ46" s="1395"/>
      <c r="AR46" s="1395"/>
      <c r="AS46" s="1395"/>
      <c r="AT46" s="1396"/>
      <c r="AU46" s="1413"/>
      <c r="AV46" s="1414"/>
    </row>
    <row r="47" spans="1:48" ht="20.100000000000001" customHeight="1" x14ac:dyDescent="0.25">
      <c r="A47" s="360"/>
      <c r="B47" s="1387"/>
      <c r="C47" s="1388"/>
      <c r="D47" s="1166" t="s">
        <v>186</v>
      </c>
      <c r="E47" s="1493"/>
      <c r="F47" s="1493"/>
      <c r="G47" s="1493"/>
      <c r="H47" s="2040">
        <v>0</v>
      </c>
      <c r="I47" s="2040">
        <v>0</v>
      </c>
      <c r="J47" s="2040">
        <v>0</v>
      </c>
      <c r="K47" s="1493"/>
      <c r="L47" s="1493"/>
      <c r="M47" s="1493"/>
      <c r="N47" s="2039"/>
      <c r="O47" s="2039"/>
      <c r="P47" s="2039"/>
      <c r="Q47" s="2028">
        <f t="shared" si="31"/>
        <v>0</v>
      </c>
      <c r="R47" s="2026">
        <f t="shared" si="29"/>
        <v>0</v>
      </c>
      <c r="S47" s="2029">
        <f t="shared" si="30"/>
        <v>0</v>
      </c>
      <c r="T47" s="853">
        <f t="shared" si="32"/>
        <v>0</v>
      </c>
      <c r="U47" s="1408" t="str">
        <f t="shared" si="33"/>
        <v>1.33</v>
      </c>
      <c r="V47" s="1408" t="str">
        <f t="shared" si="34"/>
        <v>D+</v>
      </c>
      <c r="W47" s="1408" t="str">
        <f t="shared" si="35"/>
        <v>0</v>
      </c>
      <c r="X47" s="1409"/>
      <c r="Y47" s="1393"/>
      <c r="Z47" s="1394"/>
      <c r="AA47" s="1394"/>
      <c r="AB47" s="1394"/>
      <c r="AC47" s="1394"/>
      <c r="AD47" s="1394"/>
      <c r="AE47" s="1394"/>
      <c r="AF47" s="1394"/>
      <c r="AG47" s="1394"/>
      <c r="AH47" s="1394"/>
      <c r="AI47" s="1394"/>
      <c r="AJ47" s="1395"/>
      <c r="AK47" s="1395"/>
      <c r="AL47" s="1395"/>
      <c r="AM47" s="1395"/>
      <c r="AN47" s="1395"/>
      <c r="AO47" s="1395"/>
      <c r="AP47" s="1395"/>
      <c r="AQ47" s="1395"/>
      <c r="AR47" s="1395"/>
      <c r="AS47" s="1395"/>
      <c r="AT47" s="1396"/>
      <c r="AU47" s="1413"/>
      <c r="AV47" s="1414"/>
    </row>
    <row r="48" spans="1:48" ht="20.100000000000001" customHeight="1" x14ac:dyDescent="0.25">
      <c r="A48" s="360"/>
      <c r="B48" s="1387"/>
      <c r="C48" s="1388"/>
      <c r="D48" s="1166" t="s">
        <v>187</v>
      </c>
      <c r="E48" s="1385"/>
      <c r="F48" s="1385"/>
      <c r="G48" s="1385"/>
      <c r="H48" s="2048"/>
      <c r="I48" s="2048"/>
      <c r="J48" s="2048"/>
      <c r="K48" s="1385">
        <v>0</v>
      </c>
      <c r="L48" s="1385">
        <v>0</v>
      </c>
      <c r="M48" s="1385">
        <v>0</v>
      </c>
      <c r="N48" s="2049"/>
      <c r="O48" s="2049"/>
      <c r="P48" s="2049"/>
      <c r="Q48" s="2028">
        <f t="shared" si="31"/>
        <v>0</v>
      </c>
      <c r="R48" s="2026">
        <f t="shared" si="29"/>
        <v>0</v>
      </c>
      <c r="S48" s="2029">
        <f t="shared" si="30"/>
        <v>0</v>
      </c>
      <c r="T48" s="853">
        <f t="shared" si="32"/>
        <v>0</v>
      </c>
      <c r="U48" s="1408" t="str">
        <f t="shared" si="33"/>
        <v>1.33</v>
      </c>
      <c r="V48" s="1408" t="str">
        <f t="shared" si="34"/>
        <v>D+</v>
      </c>
      <c r="W48" s="1408" t="str">
        <f t="shared" si="35"/>
        <v>0</v>
      </c>
      <c r="X48" s="1409"/>
      <c r="Y48" s="1393"/>
      <c r="Z48" s="1394"/>
      <c r="AA48" s="1394"/>
      <c r="AB48" s="1394"/>
      <c r="AC48" s="1394"/>
      <c r="AD48" s="1394"/>
      <c r="AE48" s="1394"/>
      <c r="AF48" s="1394"/>
      <c r="AG48" s="1394"/>
      <c r="AH48" s="1394"/>
      <c r="AI48" s="1394"/>
      <c r="AJ48" s="1395"/>
      <c r="AK48" s="1395"/>
      <c r="AL48" s="1395"/>
      <c r="AM48" s="1395"/>
      <c r="AN48" s="1395"/>
      <c r="AO48" s="1395"/>
      <c r="AP48" s="1395"/>
      <c r="AQ48" s="1395"/>
      <c r="AR48" s="1395"/>
      <c r="AS48" s="1395"/>
      <c r="AT48" s="1396"/>
      <c r="AU48" s="1413"/>
      <c r="AV48" s="1414"/>
    </row>
    <row r="49" spans="1:48" ht="20.100000000000001" customHeight="1" x14ac:dyDescent="0.25">
      <c r="A49" s="360"/>
      <c r="B49" s="1387"/>
      <c r="C49" s="1388"/>
      <c r="D49" s="1166" t="s">
        <v>17</v>
      </c>
      <c r="E49" s="1385">
        <v>0</v>
      </c>
      <c r="F49" s="1385">
        <v>0</v>
      </c>
      <c r="G49" s="1385">
        <v>0</v>
      </c>
      <c r="H49" s="2048">
        <v>0</v>
      </c>
      <c r="I49" s="2048">
        <v>0</v>
      </c>
      <c r="J49" s="2048">
        <v>0</v>
      </c>
      <c r="K49" s="1385"/>
      <c r="L49" s="1385"/>
      <c r="M49" s="1385"/>
      <c r="N49" s="2049"/>
      <c r="O49" s="2049"/>
      <c r="P49" s="2049"/>
      <c r="Q49" s="2028">
        <f t="shared" si="31"/>
        <v>0</v>
      </c>
      <c r="R49" s="2026">
        <f t="shared" si="29"/>
        <v>0</v>
      </c>
      <c r="S49" s="2029">
        <f t="shared" si="30"/>
        <v>0</v>
      </c>
      <c r="T49" s="853">
        <f t="shared" si="32"/>
        <v>0</v>
      </c>
      <c r="U49" s="1408" t="str">
        <f t="shared" si="33"/>
        <v>1.33</v>
      </c>
      <c r="V49" s="1408" t="str">
        <f t="shared" si="34"/>
        <v>D+</v>
      </c>
      <c r="W49" s="1408" t="str">
        <f t="shared" si="35"/>
        <v>0</v>
      </c>
      <c r="X49" s="1409"/>
      <c r="Y49" s="1393"/>
      <c r="Z49" s="1394"/>
      <c r="AA49" s="1394"/>
      <c r="AB49" s="1394"/>
      <c r="AC49" s="1394"/>
      <c r="AD49" s="1394"/>
      <c r="AE49" s="1394"/>
      <c r="AF49" s="1394"/>
      <c r="AG49" s="1394"/>
      <c r="AH49" s="1394"/>
      <c r="AI49" s="1394"/>
      <c r="AJ49" s="1395"/>
      <c r="AK49" s="1395"/>
      <c r="AL49" s="1395"/>
      <c r="AM49" s="1395"/>
      <c r="AN49" s="1395"/>
      <c r="AO49" s="1395"/>
      <c r="AP49" s="1395"/>
      <c r="AQ49" s="1395"/>
      <c r="AR49" s="1395"/>
      <c r="AS49" s="1395"/>
      <c r="AT49" s="1396"/>
      <c r="AU49" s="1413"/>
      <c r="AV49" s="1414"/>
    </row>
    <row r="50" spans="1:48" ht="20.100000000000001" customHeight="1" x14ac:dyDescent="0.25">
      <c r="A50" s="360"/>
      <c r="B50" s="1387"/>
      <c r="C50" s="1388"/>
      <c r="D50" s="1166" t="s">
        <v>188</v>
      </c>
      <c r="E50" s="1385"/>
      <c r="F50" s="1385"/>
      <c r="G50" s="1385"/>
      <c r="H50" s="2048">
        <v>0</v>
      </c>
      <c r="I50" s="2048">
        <v>0</v>
      </c>
      <c r="J50" s="2048">
        <v>0</v>
      </c>
      <c r="K50" s="1385"/>
      <c r="L50" s="1385"/>
      <c r="M50" s="1385"/>
      <c r="N50" s="2049"/>
      <c r="O50" s="2049"/>
      <c r="P50" s="2049"/>
      <c r="Q50" s="2028">
        <f t="shared" si="31"/>
        <v>0</v>
      </c>
      <c r="R50" s="2026">
        <f t="shared" si="29"/>
        <v>0</v>
      </c>
      <c r="S50" s="2029">
        <f t="shared" si="30"/>
        <v>0</v>
      </c>
      <c r="T50" s="853">
        <f t="shared" si="32"/>
        <v>0</v>
      </c>
      <c r="U50" s="1408" t="str">
        <f t="shared" si="33"/>
        <v>1.33</v>
      </c>
      <c r="V50" s="1408" t="str">
        <f t="shared" si="34"/>
        <v>D+</v>
      </c>
      <c r="W50" s="1408" t="str">
        <f t="shared" si="35"/>
        <v>0</v>
      </c>
      <c r="X50" s="1409"/>
      <c r="Y50" s="1393"/>
      <c r="Z50" s="1394"/>
      <c r="AA50" s="1394"/>
      <c r="AB50" s="1394"/>
      <c r="AC50" s="1394"/>
      <c r="AD50" s="1394"/>
      <c r="AE50" s="1394"/>
      <c r="AF50" s="1394"/>
      <c r="AG50" s="1394"/>
      <c r="AH50" s="1394"/>
      <c r="AI50" s="1394"/>
      <c r="AJ50" s="1395"/>
      <c r="AK50" s="1395"/>
      <c r="AL50" s="1395"/>
      <c r="AM50" s="1395"/>
      <c r="AN50" s="1395"/>
      <c r="AO50" s="1395"/>
      <c r="AP50" s="1395"/>
      <c r="AQ50" s="1395"/>
      <c r="AR50" s="1395"/>
      <c r="AS50" s="1395"/>
      <c r="AT50" s="1396"/>
      <c r="AU50" s="1413"/>
      <c r="AV50" s="1414"/>
    </row>
    <row r="51" spans="1:48" ht="20.100000000000001" customHeight="1" x14ac:dyDescent="0.25">
      <c r="A51" s="360"/>
      <c r="B51" s="1387"/>
      <c r="C51" s="1388"/>
      <c r="D51" s="1166" t="s">
        <v>569</v>
      </c>
      <c r="E51" s="1385"/>
      <c r="F51" s="1385"/>
      <c r="G51" s="1385"/>
      <c r="H51" s="2048"/>
      <c r="I51" s="2048"/>
      <c r="J51" s="2048"/>
      <c r="K51" s="1385">
        <v>0</v>
      </c>
      <c r="L51" s="1385">
        <v>0</v>
      </c>
      <c r="M51" s="1385">
        <v>0</v>
      </c>
      <c r="N51" s="2049"/>
      <c r="O51" s="2049"/>
      <c r="P51" s="2049"/>
      <c r="Q51" s="2028">
        <f t="shared" si="31"/>
        <v>0</v>
      </c>
      <c r="R51" s="2026">
        <f t="shared" si="29"/>
        <v>0</v>
      </c>
      <c r="S51" s="2029">
        <f t="shared" si="30"/>
        <v>0</v>
      </c>
      <c r="T51" s="853">
        <f t="shared" si="32"/>
        <v>0</v>
      </c>
      <c r="U51" s="1408" t="str">
        <f t="shared" si="33"/>
        <v>1.33</v>
      </c>
      <c r="V51" s="1408" t="str">
        <f t="shared" si="34"/>
        <v>D+</v>
      </c>
      <c r="W51" s="1408" t="str">
        <f t="shared" si="35"/>
        <v>0</v>
      </c>
      <c r="X51" s="1409"/>
      <c r="Y51" s="1393"/>
      <c r="Z51" s="1394"/>
      <c r="AA51" s="1394"/>
      <c r="AB51" s="1394"/>
      <c r="AC51" s="1394"/>
      <c r="AD51" s="1394"/>
      <c r="AE51" s="1394"/>
      <c r="AF51" s="1394"/>
      <c r="AG51" s="1394"/>
      <c r="AH51" s="1394"/>
      <c r="AI51" s="1394"/>
      <c r="AJ51" s="1395"/>
      <c r="AK51" s="1395"/>
      <c r="AL51" s="1395"/>
      <c r="AM51" s="1395"/>
      <c r="AN51" s="1395"/>
      <c r="AO51" s="1395"/>
      <c r="AP51" s="1395"/>
      <c r="AQ51" s="1395"/>
      <c r="AR51" s="1395"/>
      <c r="AS51" s="1395"/>
      <c r="AT51" s="1396"/>
      <c r="AU51" s="1413"/>
      <c r="AV51" s="1414"/>
    </row>
    <row r="52" spans="1:48" ht="20.100000000000001" customHeight="1" x14ac:dyDescent="0.25">
      <c r="A52" s="360"/>
      <c r="B52" s="1387"/>
      <c r="C52" s="1388"/>
      <c r="D52" s="1166" t="s">
        <v>209</v>
      </c>
      <c r="E52" s="1385"/>
      <c r="F52" s="1385"/>
      <c r="G52" s="1385"/>
      <c r="H52" s="2048"/>
      <c r="I52" s="2048"/>
      <c r="J52" s="2048"/>
      <c r="K52" s="1385"/>
      <c r="L52" s="1385"/>
      <c r="M52" s="1385"/>
      <c r="N52" s="2049">
        <v>0</v>
      </c>
      <c r="O52" s="2049">
        <v>0</v>
      </c>
      <c r="P52" s="2049">
        <v>0</v>
      </c>
      <c r="Q52" s="2028">
        <f t="shared" si="31"/>
        <v>0</v>
      </c>
      <c r="R52" s="2026">
        <f t="shared" si="29"/>
        <v>0</v>
      </c>
      <c r="S52" s="2029">
        <f t="shared" si="30"/>
        <v>0</v>
      </c>
      <c r="T52" s="853">
        <f t="shared" si="32"/>
        <v>0</v>
      </c>
      <c r="U52" s="1408" t="str">
        <f t="shared" si="33"/>
        <v>1.33</v>
      </c>
      <c r="V52" s="1408" t="str">
        <f t="shared" si="34"/>
        <v>D+</v>
      </c>
      <c r="W52" s="1408" t="str">
        <f t="shared" si="35"/>
        <v>0</v>
      </c>
      <c r="X52" s="1409"/>
      <c r="Y52" s="1393"/>
      <c r="Z52" s="1394"/>
      <c r="AA52" s="1394"/>
      <c r="AB52" s="1394"/>
      <c r="AC52" s="1394"/>
      <c r="AD52" s="1394"/>
      <c r="AE52" s="1394"/>
      <c r="AF52" s="1394"/>
      <c r="AG52" s="1394"/>
      <c r="AH52" s="1394"/>
      <c r="AI52" s="1394"/>
      <c r="AJ52" s="1395"/>
      <c r="AK52" s="1395"/>
      <c r="AL52" s="1395"/>
      <c r="AM52" s="1395"/>
      <c r="AN52" s="1395"/>
      <c r="AO52" s="1395"/>
      <c r="AP52" s="1395"/>
      <c r="AQ52" s="1395"/>
      <c r="AR52" s="1395"/>
      <c r="AS52" s="1395"/>
      <c r="AT52" s="1396"/>
      <c r="AU52" s="1413"/>
      <c r="AV52" s="1414"/>
    </row>
    <row r="53" spans="1:48" ht="20.100000000000001" customHeight="1" x14ac:dyDescent="0.25">
      <c r="A53" s="360"/>
      <c r="B53" s="1387"/>
      <c r="C53" s="1388"/>
      <c r="D53" s="1166" t="s">
        <v>210</v>
      </c>
      <c r="E53" s="1385"/>
      <c r="F53" s="1385"/>
      <c r="G53" s="1385"/>
      <c r="H53" s="2048"/>
      <c r="I53" s="2048"/>
      <c r="J53" s="2048"/>
      <c r="K53" s="1385"/>
      <c r="L53" s="1385"/>
      <c r="M53" s="1385"/>
      <c r="N53" s="2049">
        <v>0</v>
      </c>
      <c r="O53" s="2049">
        <v>0</v>
      </c>
      <c r="P53" s="2049">
        <v>0</v>
      </c>
      <c r="Q53" s="2028">
        <f t="shared" si="31"/>
        <v>0</v>
      </c>
      <c r="R53" s="2026">
        <f t="shared" si="29"/>
        <v>0</v>
      </c>
      <c r="S53" s="2029">
        <f t="shared" si="30"/>
        <v>0</v>
      </c>
      <c r="T53" s="853">
        <f t="shared" si="32"/>
        <v>0</v>
      </c>
      <c r="U53" s="1408" t="str">
        <f t="shared" si="33"/>
        <v>1.33</v>
      </c>
      <c r="V53" s="1408" t="str">
        <f t="shared" si="34"/>
        <v>D+</v>
      </c>
      <c r="W53" s="1408" t="str">
        <f t="shared" si="35"/>
        <v>0</v>
      </c>
      <c r="X53" s="1409"/>
      <c r="Y53" s="1397"/>
      <c r="Z53" s="1398"/>
      <c r="AA53" s="1398"/>
      <c r="AB53" s="1398"/>
      <c r="AC53" s="1398"/>
      <c r="AD53" s="1398"/>
      <c r="AE53" s="1398"/>
      <c r="AF53" s="1398"/>
      <c r="AG53" s="1398"/>
      <c r="AH53" s="1398"/>
      <c r="AI53" s="1398"/>
      <c r="AJ53" s="1399"/>
      <c r="AK53" s="1399"/>
      <c r="AL53" s="1399"/>
      <c r="AM53" s="1399"/>
      <c r="AN53" s="1399"/>
      <c r="AO53" s="1399"/>
      <c r="AP53" s="1399"/>
      <c r="AQ53" s="1399"/>
      <c r="AR53" s="1399"/>
      <c r="AS53" s="1399"/>
      <c r="AT53" s="1400"/>
      <c r="AU53" s="1415"/>
      <c r="AV53" s="1416"/>
    </row>
    <row r="54" spans="1:48" ht="20.100000000000001" customHeight="1" x14ac:dyDescent="0.25">
      <c r="A54" s="727"/>
      <c r="B54" s="1406">
        <v>4</v>
      </c>
      <c r="C54" s="1407"/>
      <c r="D54" s="1004"/>
      <c r="E54" s="2780"/>
      <c r="F54" s="2781"/>
      <c r="G54" s="2781"/>
      <c r="H54" s="2781"/>
      <c r="I54" s="2046"/>
      <c r="J54" s="2046"/>
      <c r="K54" s="2046"/>
      <c r="L54" s="2046"/>
      <c r="M54" s="2046"/>
      <c r="N54" s="2046"/>
      <c r="O54" s="2046"/>
      <c r="P54" s="2046"/>
      <c r="Q54" s="2046"/>
      <c r="R54" s="2046"/>
      <c r="S54" s="2046"/>
      <c r="T54" s="2044">
        <f>IFERROR(AVERAGE(T43:T53),"  ")</f>
        <v>0</v>
      </c>
      <c r="U54" s="2045" t="str">
        <f>IF(X54&gt;85,("4"),IF(X54&gt;80,("3.66"),IF(X54&gt;75,("3.33"),IF(X54&gt;70,("3.00"),IF(X54&gt;65,("2.66"),IF(X54&gt;60,("2.33"),IF(X54&gt;55,("2"),IF(X54&gt;50,("1.66"),"1.33"))))))))</f>
        <v>1.33</v>
      </c>
      <c r="V54" s="2045" t="str">
        <f>IF(X54&gt;85,("A"),IF(X54&gt;80,("A-"),IF(X54&gt;75,("B+"),IF(X54&gt;70,("B"),IF(X54&gt;65,("B-"),IF(X54&gt;60,("C+"),IF(X54&gt;55,("C"),IF(X54&gt;50,("C-"),"D+"))))))))</f>
        <v>D+</v>
      </c>
      <c r="W54" s="2045"/>
      <c r="X54" s="888">
        <f>MAX(T43:T53)</f>
        <v>0</v>
      </c>
      <c r="Y54" s="1403"/>
      <c r="Z54" s="1404"/>
      <c r="AA54" s="1404"/>
      <c r="AB54" s="1404"/>
      <c r="AC54" s="1404"/>
      <c r="AD54" s="1404"/>
      <c r="AE54" s="1404"/>
      <c r="AF54" s="1404"/>
      <c r="AG54" s="1404"/>
      <c r="AH54" s="1404"/>
      <c r="AI54" s="1404"/>
      <c r="AJ54" s="1404"/>
      <c r="AK54" s="1404"/>
      <c r="AL54" s="1404"/>
      <c r="AM54" s="1404"/>
      <c r="AN54" s="1404"/>
      <c r="AO54" s="1404"/>
      <c r="AP54" s="1404"/>
      <c r="AQ54" s="1404"/>
      <c r="AR54" s="1404"/>
      <c r="AS54" s="1404"/>
      <c r="AT54" s="1405"/>
      <c r="AU54" s="1257"/>
      <c r="AV54" s="1258"/>
    </row>
    <row r="55" spans="1:48" ht="20.100000000000001" customHeight="1" x14ac:dyDescent="0.25">
      <c r="A55" s="724">
        <v>5</v>
      </c>
      <c r="B55" s="1383"/>
      <c r="C55" s="1384" t="str">
        <f>VLOOKUP(A55,data_siswa,4,FALSE)</f>
        <v>Arya Pratama G</v>
      </c>
      <c r="D55" s="1166" t="s">
        <v>154</v>
      </c>
      <c r="E55" s="2050">
        <v>0</v>
      </c>
      <c r="F55" s="2050">
        <v>0</v>
      </c>
      <c r="G55" s="2050">
        <v>0</v>
      </c>
      <c r="H55" s="2051"/>
      <c r="I55" s="2051"/>
      <c r="J55" s="2051"/>
      <c r="K55" s="2050"/>
      <c r="L55" s="2050"/>
      <c r="M55" s="2050"/>
      <c r="N55" s="2052"/>
      <c r="O55" s="2052"/>
      <c r="P55" s="2052"/>
      <c r="Q55" s="2028">
        <f>MAX(E55,H55,K55,N55)</f>
        <v>0</v>
      </c>
      <c r="R55" s="2026">
        <f t="shared" ref="R55:R65" si="36">MAX(F55,I55,L55,O55)</f>
        <v>0</v>
      </c>
      <c r="S55" s="2029">
        <f t="shared" ref="S55:S65" si="37">MAX(G55,J55,M55,P55)</f>
        <v>0</v>
      </c>
      <c r="T55" s="853">
        <f>IFERROR(AVERAGE(Q55:S55),"")</f>
        <v>0</v>
      </c>
      <c r="U55" s="1408" t="str">
        <f>IF(T55&gt;85,("4"),IF(T55&gt;80,("3.66"),IF(T55&gt;75,("3.33"),IF(T55&gt;70,("3.00"),IF(T55&gt;65,("2.66"),IF(T55&gt;60,("2.33"),IF(T55&gt;55,("2"),IF(T55&gt;50,("1.66"),"1.33"))))))))</f>
        <v>1.33</v>
      </c>
      <c r="V55" s="1408" t="str">
        <f>IF(T55&gt;85,("A"),IF(T55&gt;80,("A-"),IF(T55&gt;75,("B+"),IF(T55&gt;70,("B"),IF(T55&gt;65,("B-"),IF(T55&gt;60,("C+"),IF(T55&gt;55,("C"),IF(T55&gt;50,("C-"),"D+"))))))))</f>
        <v>D+</v>
      </c>
      <c r="W55" s="1408" t="str">
        <f>IF(T55&gt;80,("SB"),IF(T55&gt;65,("B"),IF(T55&gt;50,("C"),IF(T55&gt;0,("K"),"0"))))</f>
        <v>0</v>
      </c>
      <c r="X55" s="1408"/>
      <c r="Y55" s="749"/>
      <c r="Z55" s="749"/>
      <c r="AA55" s="749"/>
      <c r="AB55" s="749"/>
      <c r="AC55" s="749"/>
      <c r="AD55" s="749"/>
      <c r="AE55" s="749"/>
      <c r="AF55" s="749"/>
      <c r="AG55" s="749"/>
      <c r="AH55" s="749"/>
      <c r="AI55" s="749"/>
      <c r="AJ55" s="1386"/>
      <c r="AK55" s="1386"/>
      <c r="AL55" s="1386"/>
      <c r="AM55" s="1386"/>
      <c r="AN55" s="1386"/>
      <c r="AO55" s="1386"/>
      <c r="AP55" s="1386"/>
      <c r="AQ55" s="1386"/>
      <c r="AR55" s="1386"/>
      <c r="AS55" s="1386"/>
      <c r="AT55" s="1386"/>
      <c r="AU55" s="1057">
        <f>T66</f>
        <v>0</v>
      </c>
      <c r="AV55" s="1194" t="str">
        <f>IF(AU55&gt;85,("A"),IF(AU55&gt;80,("A-"),IF(AU55&gt;75,("B+"),IF(AU55&gt;70,("B"),IF(AU55&gt;65,("B-"),IF(AU55&gt;60,("C+"),IF(AU55&gt;55,("C"),IF(AU55&gt;50,("C-"),"D+"))))))))</f>
        <v>D+</v>
      </c>
    </row>
    <row r="56" spans="1:48" ht="20.100000000000001" customHeight="1" x14ac:dyDescent="0.25">
      <c r="A56" s="360"/>
      <c r="B56" s="1387"/>
      <c r="C56" s="1388"/>
      <c r="D56" s="1166" t="s">
        <v>155</v>
      </c>
      <c r="E56" s="1493"/>
      <c r="F56" s="1493"/>
      <c r="G56" s="1493"/>
      <c r="H56" s="2040"/>
      <c r="I56" s="2040"/>
      <c r="J56" s="2040"/>
      <c r="K56" s="1493"/>
      <c r="L56" s="1493"/>
      <c r="M56" s="1493"/>
      <c r="N56" s="2039">
        <v>0</v>
      </c>
      <c r="O56" s="2039">
        <v>0</v>
      </c>
      <c r="P56" s="2039">
        <v>0</v>
      </c>
      <c r="Q56" s="2028">
        <f t="shared" ref="Q56:Q65" si="38">MAX(E56,H56,K56,N56)</f>
        <v>0</v>
      </c>
      <c r="R56" s="2026">
        <f t="shared" si="36"/>
        <v>0</v>
      </c>
      <c r="S56" s="2029">
        <f t="shared" si="37"/>
        <v>0</v>
      </c>
      <c r="T56" s="853">
        <f t="shared" ref="T56:T65" si="39">IFERROR(AVERAGE(Q56:S56),"")</f>
        <v>0</v>
      </c>
      <c r="U56" s="1408" t="str">
        <f t="shared" ref="U56:U65" si="40">IF(T56&gt;85,("4"),IF(T56&gt;80,("3.66"),IF(T56&gt;75,("3.33"),IF(T56&gt;70,("3.00"),IF(T56&gt;65,("2.66"),IF(T56&gt;60,("2.33"),IF(T56&gt;55,("2"),IF(T56&gt;50,("1.66"),"1.33"))))))))</f>
        <v>1.33</v>
      </c>
      <c r="V56" s="1408" t="str">
        <f t="shared" ref="V56:V65" si="41">IF(T56&gt;85,("A"),IF(T56&gt;80,("A-"),IF(T56&gt;75,("B+"),IF(T56&gt;70,("B"),IF(T56&gt;65,("B-"),IF(T56&gt;60,("C+"),IF(T56&gt;55,("C"),IF(T56&gt;50,("C-"),"D+"))))))))</f>
        <v>D+</v>
      </c>
      <c r="W56" s="1408" t="str">
        <f t="shared" ref="W56:W65" si="42">IF(T56&gt;80,("SB"),IF(T56&gt;65,("B"),IF(T56&gt;50,("C"),IF(T56&gt;0,("K"),"0"))))</f>
        <v>0</v>
      </c>
      <c r="X56" s="1409"/>
      <c r="Y56" s="1389"/>
      <c r="Z56" s="1390"/>
      <c r="AA56" s="1390"/>
      <c r="AB56" s="1390"/>
      <c r="AC56" s="1390"/>
      <c r="AD56" s="1390"/>
      <c r="AE56" s="1390"/>
      <c r="AF56" s="1390"/>
      <c r="AG56" s="1390"/>
      <c r="AH56" s="1390"/>
      <c r="AI56" s="1390"/>
      <c r="AJ56" s="1391"/>
      <c r="AK56" s="1391"/>
      <c r="AL56" s="1391"/>
      <c r="AM56" s="1391"/>
      <c r="AN56" s="1391"/>
      <c r="AO56" s="1391"/>
      <c r="AP56" s="1391"/>
      <c r="AQ56" s="1391"/>
      <c r="AR56" s="1391"/>
      <c r="AS56" s="1391"/>
      <c r="AT56" s="1392"/>
      <c r="AU56" s="1411"/>
      <c r="AV56" s="1412"/>
    </row>
    <row r="57" spans="1:48" ht="20.100000000000001" customHeight="1" x14ac:dyDescent="0.25">
      <c r="A57" s="360"/>
      <c r="B57" s="1387"/>
      <c r="C57" s="1388"/>
      <c r="D57" s="1166" t="s">
        <v>16</v>
      </c>
      <c r="E57" s="1493"/>
      <c r="F57" s="1493"/>
      <c r="G57" s="1493"/>
      <c r="H57" s="2040">
        <v>0</v>
      </c>
      <c r="I57" s="2040">
        <v>0</v>
      </c>
      <c r="J57" s="2040">
        <v>0</v>
      </c>
      <c r="K57" s="1493"/>
      <c r="L57" s="1493"/>
      <c r="M57" s="1493"/>
      <c r="N57" s="2052"/>
      <c r="O57" s="2052"/>
      <c r="P57" s="2052"/>
      <c r="Q57" s="2028">
        <f t="shared" si="38"/>
        <v>0</v>
      </c>
      <c r="R57" s="2026">
        <f t="shared" si="36"/>
        <v>0</v>
      </c>
      <c r="S57" s="2029">
        <f t="shared" si="37"/>
        <v>0</v>
      </c>
      <c r="T57" s="853">
        <f t="shared" si="39"/>
        <v>0</v>
      </c>
      <c r="U57" s="1408" t="str">
        <f t="shared" si="40"/>
        <v>1.33</v>
      </c>
      <c r="V57" s="1408" t="str">
        <f t="shared" si="41"/>
        <v>D+</v>
      </c>
      <c r="W57" s="1408" t="str">
        <f t="shared" si="42"/>
        <v>0</v>
      </c>
      <c r="X57" s="1409"/>
      <c r="Y57" s="1393"/>
      <c r="Z57" s="1394"/>
      <c r="AA57" s="1394"/>
      <c r="AB57" s="1394"/>
      <c r="AC57" s="1394"/>
      <c r="AD57" s="1394"/>
      <c r="AE57" s="1394"/>
      <c r="AF57" s="1394"/>
      <c r="AG57" s="1394"/>
      <c r="AH57" s="1394"/>
      <c r="AI57" s="1394"/>
      <c r="AJ57" s="1395"/>
      <c r="AK57" s="1395"/>
      <c r="AL57" s="1395"/>
      <c r="AM57" s="1395"/>
      <c r="AN57" s="1395"/>
      <c r="AO57" s="1395"/>
      <c r="AP57" s="1395"/>
      <c r="AQ57" s="1395"/>
      <c r="AR57" s="1395"/>
      <c r="AS57" s="1395"/>
      <c r="AT57" s="1396"/>
      <c r="AU57" s="1413"/>
      <c r="AV57" s="1414"/>
    </row>
    <row r="58" spans="1:48" ht="20.100000000000001" customHeight="1" x14ac:dyDescent="0.25">
      <c r="A58" s="360"/>
      <c r="B58" s="1387"/>
      <c r="C58" s="1388"/>
      <c r="D58" s="1166" t="s">
        <v>189</v>
      </c>
      <c r="E58" s="1493"/>
      <c r="F58" s="1493"/>
      <c r="G58" s="1493"/>
      <c r="H58" s="2040">
        <v>0</v>
      </c>
      <c r="I58" s="2040">
        <v>0</v>
      </c>
      <c r="J58" s="2040">
        <v>0</v>
      </c>
      <c r="K58" s="1493"/>
      <c r="L58" s="1493"/>
      <c r="M58" s="1493"/>
      <c r="N58" s="2039"/>
      <c r="O58" s="2039"/>
      <c r="P58" s="2039"/>
      <c r="Q58" s="2028">
        <f t="shared" si="38"/>
        <v>0</v>
      </c>
      <c r="R58" s="2026">
        <f t="shared" si="36"/>
        <v>0</v>
      </c>
      <c r="S58" s="2029">
        <f t="shared" si="37"/>
        <v>0</v>
      </c>
      <c r="T58" s="853">
        <f t="shared" si="39"/>
        <v>0</v>
      </c>
      <c r="U58" s="1408" t="str">
        <f t="shared" si="40"/>
        <v>1.33</v>
      </c>
      <c r="V58" s="1408" t="str">
        <f t="shared" si="41"/>
        <v>D+</v>
      </c>
      <c r="W58" s="1408" t="str">
        <f t="shared" si="42"/>
        <v>0</v>
      </c>
      <c r="X58" s="1409"/>
      <c r="Y58" s="1393"/>
      <c r="Z58" s="1394"/>
      <c r="AA58" s="1394"/>
      <c r="AB58" s="1394"/>
      <c r="AC58" s="1394"/>
      <c r="AD58" s="1394"/>
      <c r="AE58" s="1394"/>
      <c r="AF58" s="1394"/>
      <c r="AG58" s="1394"/>
      <c r="AH58" s="1394"/>
      <c r="AI58" s="1394"/>
      <c r="AJ58" s="1395"/>
      <c r="AK58" s="1395"/>
      <c r="AL58" s="1395"/>
      <c r="AM58" s="1395"/>
      <c r="AN58" s="1395"/>
      <c r="AO58" s="1395"/>
      <c r="AP58" s="1395"/>
      <c r="AQ58" s="1395"/>
      <c r="AR58" s="1395"/>
      <c r="AS58" s="1395"/>
      <c r="AT58" s="1396"/>
      <c r="AU58" s="1413"/>
      <c r="AV58" s="1414"/>
    </row>
    <row r="59" spans="1:48" ht="20.100000000000001" customHeight="1" x14ac:dyDescent="0.25">
      <c r="A59" s="360"/>
      <c r="B59" s="1387"/>
      <c r="C59" s="1388"/>
      <c r="D59" s="1166" t="s">
        <v>186</v>
      </c>
      <c r="E59" s="1493"/>
      <c r="F59" s="1493"/>
      <c r="G59" s="1493"/>
      <c r="H59" s="2040">
        <v>0</v>
      </c>
      <c r="I59" s="2040">
        <v>0</v>
      </c>
      <c r="J59" s="2040">
        <v>0</v>
      </c>
      <c r="K59" s="1493"/>
      <c r="L59" s="1493"/>
      <c r="M59" s="1493"/>
      <c r="N59" s="2039"/>
      <c r="O59" s="2039"/>
      <c r="P59" s="2039"/>
      <c r="Q59" s="2028">
        <f t="shared" si="38"/>
        <v>0</v>
      </c>
      <c r="R59" s="2026">
        <f t="shared" si="36"/>
        <v>0</v>
      </c>
      <c r="S59" s="2029">
        <f t="shared" si="37"/>
        <v>0</v>
      </c>
      <c r="T59" s="853">
        <f t="shared" si="39"/>
        <v>0</v>
      </c>
      <c r="U59" s="1408" t="str">
        <f t="shared" si="40"/>
        <v>1.33</v>
      </c>
      <c r="V59" s="1408" t="str">
        <f t="shared" si="41"/>
        <v>D+</v>
      </c>
      <c r="W59" s="1408" t="str">
        <f t="shared" si="42"/>
        <v>0</v>
      </c>
      <c r="X59" s="1409"/>
      <c r="Y59" s="1393"/>
      <c r="Z59" s="1394"/>
      <c r="AA59" s="1394"/>
      <c r="AB59" s="1394"/>
      <c r="AC59" s="1394"/>
      <c r="AD59" s="1394"/>
      <c r="AE59" s="1394"/>
      <c r="AF59" s="1394"/>
      <c r="AG59" s="1394"/>
      <c r="AH59" s="1394"/>
      <c r="AI59" s="1394"/>
      <c r="AJ59" s="1395"/>
      <c r="AK59" s="1395"/>
      <c r="AL59" s="1395"/>
      <c r="AM59" s="1395"/>
      <c r="AN59" s="1395"/>
      <c r="AO59" s="1395"/>
      <c r="AP59" s="1395"/>
      <c r="AQ59" s="1395"/>
      <c r="AR59" s="1395"/>
      <c r="AS59" s="1395"/>
      <c r="AT59" s="1396"/>
      <c r="AU59" s="1413"/>
      <c r="AV59" s="1414"/>
    </row>
    <row r="60" spans="1:48" ht="20.100000000000001" customHeight="1" x14ac:dyDescent="0.25">
      <c r="A60" s="360"/>
      <c r="B60" s="1387"/>
      <c r="C60" s="1388"/>
      <c r="D60" s="1166" t="s">
        <v>187</v>
      </c>
      <c r="E60" s="1385"/>
      <c r="F60" s="1385"/>
      <c r="G60" s="1385"/>
      <c r="H60" s="2048"/>
      <c r="I60" s="2048"/>
      <c r="J60" s="2048"/>
      <c r="K60" s="1385">
        <v>0</v>
      </c>
      <c r="L60" s="1385">
        <v>0</v>
      </c>
      <c r="M60" s="1385">
        <v>0</v>
      </c>
      <c r="N60" s="2049"/>
      <c r="O60" s="2049"/>
      <c r="P60" s="2049"/>
      <c r="Q60" s="2028">
        <f t="shared" si="38"/>
        <v>0</v>
      </c>
      <c r="R60" s="2026">
        <f t="shared" si="36"/>
        <v>0</v>
      </c>
      <c r="S60" s="2029">
        <f t="shared" si="37"/>
        <v>0</v>
      </c>
      <c r="T60" s="853">
        <f t="shared" si="39"/>
        <v>0</v>
      </c>
      <c r="U60" s="1408" t="str">
        <f t="shared" si="40"/>
        <v>1.33</v>
      </c>
      <c r="V60" s="1408" t="str">
        <f t="shared" si="41"/>
        <v>D+</v>
      </c>
      <c r="W60" s="1408" t="str">
        <f t="shared" si="42"/>
        <v>0</v>
      </c>
      <c r="X60" s="1409"/>
      <c r="Y60" s="1393"/>
      <c r="Z60" s="1394"/>
      <c r="AA60" s="1394"/>
      <c r="AB60" s="1394"/>
      <c r="AC60" s="1394"/>
      <c r="AD60" s="1394"/>
      <c r="AE60" s="1394"/>
      <c r="AF60" s="1394"/>
      <c r="AG60" s="1394"/>
      <c r="AH60" s="1394"/>
      <c r="AI60" s="1394"/>
      <c r="AJ60" s="1395"/>
      <c r="AK60" s="1395"/>
      <c r="AL60" s="1395"/>
      <c r="AM60" s="1395"/>
      <c r="AN60" s="1395"/>
      <c r="AO60" s="1395"/>
      <c r="AP60" s="1395"/>
      <c r="AQ60" s="1395"/>
      <c r="AR60" s="1395"/>
      <c r="AS60" s="1395"/>
      <c r="AT60" s="1396"/>
      <c r="AU60" s="1413"/>
      <c r="AV60" s="1414"/>
    </row>
    <row r="61" spans="1:48" ht="20.100000000000001" customHeight="1" x14ac:dyDescent="0.25">
      <c r="A61" s="360"/>
      <c r="B61" s="1387"/>
      <c r="C61" s="1388"/>
      <c r="D61" s="1166" t="s">
        <v>17</v>
      </c>
      <c r="E61" s="1385">
        <v>0</v>
      </c>
      <c r="F61" s="1385">
        <v>0</v>
      </c>
      <c r="G61" s="1385">
        <v>0</v>
      </c>
      <c r="H61" s="2048">
        <v>0</v>
      </c>
      <c r="I61" s="2048">
        <v>0</v>
      </c>
      <c r="J61" s="2048">
        <v>0</v>
      </c>
      <c r="K61" s="1385"/>
      <c r="L61" s="1385"/>
      <c r="M61" s="1385"/>
      <c r="N61" s="2049"/>
      <c r="O61" s="2049"/>
      <c r="P61" s="2049"/>
      <c r="Q61" s="2028">
        <f t="shared" si="38"/>
        <v>0</v>
      </c>
      <c r="R61" s="2026">
        <f t="shared" si="36"/>
        <v>0</v>
      </c>
      <c r="S61" s="2029">
        <f t="shared" si="37"/>
        <v>0</v>
      </c>
      <c r="T61" s="853">
        <f t="shared" si="39"/>
        <v>0</v>
      </c>
      <c r="U61" s="1408" t="str">
        <f t="shared" si="40"/>
        <v>1.33</v>
      </c>
      <c r="V61" s="1408" t="str">
        <f t="shared" si="41"/>
        <v>D+</v>
      </c>
      <c r="W61" s="1408" t="str">
        <f t="shared" si="42"/>
        <v>0</v>
      </c>
      <c r="X61" s="1409"/>
      <c r="Y61" s="1393"/>
      <c r="Z61" s="1394"/>
      <c r="AA61" s="1394"/>
      <c r="AB61" s="1394"/>
      <c r="AC61" s="1394"/>
      <c r="AD61" s="1394"/>
      <c r="AE61" s="1394"/>
      <c r="AF61" s="1394"/>
      <c r="AG61" s="1394"/>
      <c r="AH61" s="1394"/>
      <c r="AI61" s="1394"/>
      <c r="AJ61" s="1395"/>
      <c r="AK61" s="1395"/>
      <c r="AL61" s="1395"/>
      <c r="AM61" s="1395"/>
      <c r="AN61" s="1395"/>
      <c r="AO61" s="1395"/>
      <c r="AP61" s="1395"/>
      <c r="AQ61" s="1395"/>
      <c r="AR61" s="1395"/>
      <c r="AS61" s="1395"/>
      <c r="AT61" s="1396"/>
      <c r="AU61" s="1413"/>
      <c r="AV61" s="1414"/>
    </row>
    <row r="62" spans="1:48" ht="20.100000000000001" customHeight="1" x14ac:dyDescent="0.25">
      <c r="A62" s="360"/>
      <c r="B62" s="1387"/>
      <c r="C62" s="1388"/>
      <c r="D62" s="1166" t="s">
        <v>188</v>
      </c>
      <c r="E62" s="1385"/>
      <c r="F62" s="1385"/>
      <c r="G62" s="1385"/>
      <c r="H62" s="2048">
        <v>0</v>
      </c>
      <c r="I62" s="2048">
        <v>0</v>
      </c>
      <c r="J62" s="2048">
        <v>0</v>
      </c>
      <c r="K62" s="1385"/>
      <c r="L62" s="1385"/>
      <c r="M62" s="1385"/>
      <c r="N62" s="2049"/>
      <c r="O62" s="2049"/>
      <c r="P62" s="2049"/>
      <c r="Q62" s="2028">
        <f t="shared" si="38"/>
        <v>0</v>
      </c>
      <c r="R62" s="2026">
        <f t="shared" si="36"/>
        <v>0</v>
      </c>
      <c r="S62" s="2029">
        <f t="shared" si="37"/>
        <v>0</v>
      </c>
      <c r="T62" s="853">
        <f t="shared" si="39"/>
        <v>0</v>
      </c>
      <c r="U62" s="1408" t="str">
        <f t="shared" si="40"/>
        <v>1.33</v>
      </c>
      <c r="V62" s="1408" t="str">
        <f t="shared" si="41"/>
        <v>D+</v>
      </c>
      <c r="W62" s="1408" t="str">
        <f t="shared" si="42"/>
        <v>0</v>
      </c>
      <c r="X62" s="1409"/>
      <c r="Y62" s="1393"/>
      <c r="Z62" s="1394"/>
      <c r="AA62" s="1394"/>
      <c r="AB62" s="1394"/>
      <c r="AC62" s="1394"/>
      <c r="AD62" s="1394"/>
      <c r="AE62" s="1394"/>
      <c r="AF62" s="1394"/>
      <c r="AG62" s="1394"/>
      <c r="AH62" s="1394"/>
      <c r="AI62" s="1394"/>
      <c r="AJ62" s="1395"/>
      <c r="AK62" s="1395"/>
      <c r="AL62" s="1395"/>
      <c r="AM62" s="1395"/>
      <c r="AN62" s="1395"/>
      <c r="AO62" s="1395"/>
      <c r="AP62" s="1395"/>
      <c r="AQ62" s="1395"/>
      <c r="AR62" s="1395"/>
      <c r="AS62" s="1395"/>
      <c r="AT62" s="1396"/>
      <c r="AU62" s="1413"/>
      <c r="AV62" s="1414"/>
    </row>
    <row r="63" spans="1:48" ht="20.100000000000001" customHeight="1" x14ac:dyDescent="0.25">
      <c r="A63" s="360"/>
      <c r="B63" s="1387"/>
      <c r="C63" s="1388"/>
      <c r="D63" s="1166" t="s">
        <v>569</v>
      </c>
      <c r="E63" s="1385"/>
      <c r="F63" s="1385"/>
      <c r="G63" s="1385"/>
      <c r="H63" s="2048"/>
      <c r="I63" s="2048"/>
      <c r="J63" s="2048"/>
      <c r="K63" s="1385">
        <v>0</v>
      </c>
      <c r="L63" s="1385">
        <v>0</v>
      </c>
      <c r="M63" s="1385">
        <v>0</v>
      </c>
      <c r="N63" s="2049"/>
      <c r="O63" s="2049"/>
      <c r="P63" s="2049"/>
      <c r="Q63" s="2028">
        <f t="shared" si="38"/>
        <v>0</v>
      </c>
      <c r="R63" s="2026">
        <f t="shared" si="36"/>
        <v>0</v>
      </c>
      <c r="S63" s="2029">
        <f t="shared" si="37"/>
        <v>0</v>
      </c>
      <c r="T63" s="853">
        <f t="shared" si="39"/>
        <v>0</v>
      </c>
      <c r="U63" s="1408" t="str">
        <f t="shared" si="40"/>
        <v>1.33</v>
      </c>
      <c r="V63" s="1408" t="str">
        <f t="shared" si="41"/>
        <v>D+</v>
      </c>
      <c r="W63" s="1408" t="str">
        <f t="shared" si="42"/>
        <v>0</v>
      </c>
      <c r="X63" s="1409"/>
      <c r="Y63" s="1393"/>
      <c r="Z63" s="1394"/>
      <c r="AA63" s="1394"/>
      <c r="AB63" s="1394"/>
      <c r="AC63" s="1394"/>
      <c r="AD63" s="1394"/>
      <c r="AE63" s="1394"/>
      <c r="AF63" s="1394"/>
      <c r="AG63" s="1394"/>
      <c r="AH63" s="1394"/>
      <c r="AI63" s="1394"/>
      <c r="AJ63" s="1395"/>
      <c r="AK63" s="1395"/>
      <c r="AL63" s="1395"/>
      <c r="AM63" s="1395"/>
      <c r="AN63" s="1395"/>
      <c r="AO63" s="1395"/>
      <c r="AP63" s="1395"/>
      <c r="AQ63" s="1395"/>
      <c r="AR63" s="1395"/>
      <c r="AS63" s="1395"/>
      <c r="AT63" s="1396"/>
      <c r="AU63" s="1413"/>
      <c r="AV63" s="1414"/>
    </row>
    <row r="64" spans="1:48" ht="20.100000000000001" customHeight="1" x14ac:dyDescent="0.25">
      <c r="A64" s="360"/>
      <c r="B64" s="1387"/>
      <c r="C64" s="1388"/>
      <c r="D64" s="1166" t="s">
        <v>209</v>
      </c>
      <c r="E64" s="1385"/>
      <c r="F64" s="1385"/>
      <c r="G64" s="1385"/>
      <c r="H64" s="2048"/>
      <c r="I64" s="2048"/>
      <c r="J64" s="2048"/>
      <c r="K64" s="1385"/>
      <c r="L64" s="1385"/>
      <c r="M64" s="1385"/>
      <c r="N64" s="2049">
        <v>0</v>
      </c>
      <c r="O64" s="2049">
        <v>0</v>
      </c>
      <c r="P64" s="2049">
        <v>0</v>
      </c>
      <c r="Q64" s="2028">
        <f t="shared" si="38"/>
        <v>0</v>
      </c>
      <c r="R64" s="2026">
        <f t="shared" si="36"/>
        <v>0</v>
      </c>
      <c r="S64" s="2029">
        <f t="shared" si="37"/>
        <v>0</v>
      </c>
      <c r="T64" s="853">
        <f t="shared" si="39"/>
        <v>0</v>
      </c>
      <c r="U64" s="1408" t="str">
        <f t="shared" si="40"/>
        <v>1.33</v>
      </c>
      <c r="V64" s="1408" t="str">
        <f t="shared" si="41"/>
        <v>D+</v>
      </c>
      <c r="W64" s="1408" t="str">
        <f t="shared" si="42"/>
        <v>0</v>
      </c>
      <c r="X64" s="1409"/>
      <c r="Y64" s="1393"/>
      <c r="Z64" s="1394"/>
      <c r="AA64" s="1394"/>
      <c r="AB64" s="1394"/>
      <c r="AC64" s="1394"/>
      <c r="AD64" s="1394"/>
      <c r="AE64" s="1394"/>
      <c r="AF64" s="1394"/>
      <c r="AG64" s="1394"/>
      <c r="AH64" s="1394"/>
      <c r="AI64" s="1394"/>
      <c r="AJ64" s="1395"/>
      <c r="AK64" s="1395"/>
      <c r="AL64" s="1395"/>
      <c r="AM64" s="1395"/>
      <c r="AN64" s="1395"/>
      <c r="AO64" s="1395"/>
      <c r="AP64" s="1395"/>
      <c r="AQ64" s="1395"/>
      <c r="AR64" s="1395"/>
      <c r="AS64" s="1395"/>
      <c r="AT64" s="1396"/>
      <c r="AU64" s="1413"/>
      <c r="AV64" s="1414"/>
    </row>
    <row r="65" spans="1:48" ht="20.100000000000001" customHeight="1" x14ac:dyDescent="0.25">
      <c r="A65" s="360"/>
      <c r="B65" s="1387"/>
      <c r="C65" s="1388"/>
      <c r="D65" s="1166" t="s">
        <v>210</v>
      </c>
      <c r="E65" s="1385"/>
      <c r="F65" s="1385"/>
      <c r="G65" s="1385"/>
      <c r="H65" s="2048"/>
      <c r="I65" s="2048"/>
      <c r="J65" s="2048"/>
      <c r="K65" s="1385"/>
      <c r="L65" s="1385"/>
      <c r="M65" s="1385"/>
      <c r="N65" s="2049">
        <v>0</v>
      </c>
      <c r="O65" s="2049">
        <v>0</v>
      </c>
      <c r="P65" s="2049">
        <v>0</v>
      </c>
      <c r="Q65" s="2028">
        <f t="shared" si="38"/>
        <v>0</v>
      </c>
      <c r="R65" s="2026">
        <f t="shared" si="36"/>
        <v>0</v>
      </c>
      <c r="S65" s="2029">
        <f t="shared" si="37"/>
        <v>0</v>
      </c>
      <c r="T65" s="853">
        <f t="shared" si="39"/>
        <v>0</v>
      </c>
      <c r="U65" s="1408" t="str">
        <f t="shared" si="40"/>
        <v>1.33</v>
      </c>
      <c r="V65" s="1408" t="str">
        <f t="shared" si="41"/>
        <v>D+</v>
      </c>
      <c r="W65" s="1408" t="str">
        <f t="shared" si="42"/>
        <v>0</v>
      </c>
      <c r="X65" s="1409"/>
      <c r="Y65" s="1397"/>
      <c r="Z65" s="1398"/>
      <c r="AA65" s="1398"/>
      <c r="AB65" s="1398"/>
      <c r="AC65" s="1398"/>
      <c r="AD65" s="1398"/>
      <c r="AE65" s="1398"/>
      <c r="AF65" s="1398"/>
      <c r="AG65" s="1398"/>
      <c r="AH65" s="1398"/>
      <c r="AI65" s="1398"/>
      <c r="AJ65" s="1399"/>
      <c r="AK65" s="1399"/>
      <c r="AL65" s="1399"/>
      <c r="AM65" s="1399"/>
      <c r="AN65" s="1399"/>
      <c r="AO65" s="1399"/>
      <c r="AP65" s="1399"/>
      <c r="AQ65" s="1399"/>
      <c r="AR65" s="1399"/>
      <c r="AS65" s="1399"/>
      <c r="AT65" s="1400"/>
      <c r="AU65" s="1415"/>
      <c r="AV65" s="1416"/>
    </row>
    <row r="66" spans="1:48" ht="20.100000000000001" customHeight="1" x14ac:dyDescent="0.25">
      <c r="A66" s="727"/>
      <c r="B66" s="1406">
        <v>5</v>
      </c>
      <c r="C66" s="1407"/>
      <c r="D66" s="1004"/>
      <c r="E66" s="2780"/>
      <c r="F66" s="2781"/>
      <c r="G66" s="2781"/>
      <c r="H66" s="2781"/>
      <c r="I66" s="2046"/>
      <c r="J66" s="2046"/>
      <c r="K66" s="2046"/>
      <c r="L66" s="2046"/>
      <c r="M66" s="2046"/>
      <c r="N66" s="2046"/>
      <c r="O66" s="2046"/>
      <c r="P66" s="2046"/>
      <c r="Q66" s="2046"/>
      <c r="R66" s="2046"/>
      <c r="S66" s="2046"/>
      <c r="T66" s="2044">
        <f>IFERROR(AVERAGE(T55:T65),"  ")</f>
        <v>0</v>
      </c>
      <c r="U66" s="2045" t="str">
        <f>IF(X66&gt;85,("4"),IF(X66&gt;80,("3.66"),IF(X66&gt;75,("3.33"),IF(X66&gt;70,("3.00"),IF(X66&gt;65,("2.66"),IF(X66&gt;60,("2.33"),IF(X66&gt;55,("2"),IF(X66&gt;50,("1.66"),"1.33"))))))))</f>
        <v>1.33</v>
      </c>
      <c r="V66" s="2045" t="str">
        <f>IF(X66&gt;85,("A"),IF(X66&gt;80,("A-"),IF(X66&gt;75,("B+"),IF(X66&gt;70,("B"),IF(X66&gt;65,("B-"),IF(X66&gt;60,("C+"),IF(X66&gt;55,("C"),IF(X66&gt;50,("C-"),"D+"))))))))</f>
        <v>D+</v>
      </c>
      <c r="W66" s="2045"/>
      <c r="X66" s="888">
        <f>MAX(T55:T65)</f>
        <v>0</v>
      </c>
      <c r="Y66" s="1403"/>
      <c r="Z66" s="1404"/>
      <c r="AA66" s="1404"/>
      <c r="AB66" s="1404"/>
      <c r="AC66" s="1404"/>
      <c r="AD66" s="1404"/>
      <c r="AE66" s="1404"/>
      <c r="AF66" s="1404"/>
      <c r="AG66" s="1404"/>
      <c r="AH66" s="1404"/>
      <c r="AI66" s="1404"/>
      <c r="AJ66" s="1404"/>
      <c r="AK66" s="1404"/>
      <c r="AL66" s="1404"/>
      <c r="AM66" s="1404"/>
      <c r="AN66" s="1404"/>
      <c r="AO66" s="1404"/>
      <c r="AP66" s="1404"/>
      <c r="AQ66" s="1404"/>
      <c r="AR66" s="1404"/>
      <c r="AS66" s="1404"/>
      <c r="AT66" s="1405"/>
      <c r="AU66" s="1257"/>
      <c r="AV66" s="1258"/>
    </row>
    <row r="67" spans="1:48" ht="20.100000000000001" customHeight="1" x14ac:dyDescent="0.25">
      <c r="A67" s="724">
        <v>6</v>
      </c>
      <c r="B67" s="1383"/>
      <c r="C67" s="1384" t="str">
        <f>VLOOKUP(A67,data_siswa,4,FALSE)</f>
        <v>Asyam Hanif Ihsan H</v>
      </c>
      <c r="D67" s="1166" t="s">
        <v>154</v>
      </c>
      <c r="E67" s="2050">
        <v>0</v>
      </c>
      <c r="F67" s="2050">
        <v>0</v>
      </c>
      <c r="G67" s="2050">
        <v>0</v>
      </c>
      <c r="H67" s="2051"/>
      <c r="I67" s="2051"/>
      <c r="J67" s="2051"/>
      <c r="K67" s="2050"/>
      <c r="L67" s="2050"/>
      <c r="M67" s="2050"/>
      <c r="N67" s="2052"/>
      <c r="O67" s="2052"/>
      <c r="P67" s="2052"/>
      <c r="Q67" s="2028">
        <f>MAX(E67,H67,K67,N67)</f>
        <v>0</v>
      </c>
      <c r="R67" s="2026">
        <f t="shared" ref="R67:R77" si="43">MAX(F67,I67,L67,O67)</f>
        <v>0</v>
      </c>
      <c r="S67" s="2029">
        <f t="shared" ref="S67:S77" si="44">MAX(G67,J67,M67,P67)</f>
        <v>0</v>
      </c>
      <c r="T67" s="853">
        <f>IFERROR(AVERAGE(Q67:S67),"")</f>
        <v>0</v>
      </c>
      <c r="U67" s="1408" t="str">
        <f>IF(T67&gt;85,("4"),IF(T67&gt;80,("3.66"),IF(T67&gt;75,("3.33"),IF(T67&gt;70,("3.00"),IF(T67&gt;65,("2.66"),IF(T67&gt;60,("2.33"),IF(T67&gt;55,("2"),IF(T67&gt;50,("1.66"),"1.33"))))))))</f>
        <v>1.33</v>
      </c>
      <c r="V67" s="1408" t="str">
        <f>IF(T67&gt;85,("A"),IF(T67&gt;80,("A-"),IF(T67&gt;75,("B+"),IF(T67&gt;70,("B"),IF(T67&gt;65,("B-"),IF(T67&gt;60,("C+"),IF(T67&gt;55,("C"),IF(T67&gt;50,("C-"),"D+"))))))))</f>
        <v>D+</v>
      </c>
      <c r="W67" s="1408" t="str">
        <f>IF(T67&gt;80,("SB"),IF(T67&gt;65,("B"),IF(T67&gt;50,("C"),IF(T67&gt;0,("K"),"0"))))</f>
        <v>0</v>
      </c>
      <c r="X67" s="1408"/>
      <c r="Y67" s="749"/>
      <c r="Z67" s="749"/>
      <c r="AA67" s="749"/>
      <c r="AB67" s="749"/>
      <c r="AC67" s="749"/>
      <c r="AD67" s="749"/>
      <c r="AE67" s="749"/>
      <c r="AF67" s="749"/>
      <c r="AG67" s="749"/>
      <c r="AH67" s="749"/>
      <c r="AI67" s="749"/>
      <c r="AJ67" s="1386"/>
      <c r="AK67" s="1386"/>
      <c r="AL67" s="1386"/>
      <c r="AM67" s="1386"/>
      <c r="AN67" s="1386"/>
      <c r="AO67" s="1386"/>
      <c r="AP67" s="1386"/>
      <c r="AQ67" s="1386"/>
      <c r="AR67" s="1386"/>
      <c r="AS67" s="1386"/>
      <c r="AT67" s="1386"/>
      <c r="AU67" s="1057">
        <f>T78</f>
        <v>0</v>
      </c>
      <c r="AV67" s="1194" t="str">
        <f>IF(AU67&gt;85,("A"),IF(AU67&gt;80,("A-"),IF(AU67&gt;75,("B+"),IF(AU67&gt;70,("B"),IF(AU67&gt;65,("B-"),IF(AU67&gt;60,("C+"),IF(AU67&gt;55,("C"),IF(AU67&gt;50,("C-"),"D+"))))))))</f>
        <v>D+</v>
      </c>
    </row>
    <row r="68" spans="1:48" ht="20.100000000000001" customHeight="1" x14ac:dyDescent="0.25">
      <c r="A68" s="360"/>
      <c r="B68" s="1387"/>
      <c r="C68" s="1388"/>
      <c r="D68" s="1166" t="s">
        <v>155</v>
      </c>
      <c r="E68" s="1493"/>
      <c r="F68" s="1493"/>
      <c r="G68" s="1493"/>
      <c r="H68" s="2040"/>
      <c r="I68" s="2040"/>
      <c r="J68" s="2040"/>
      <c r="K68" s="1493"/>
      <c r="L68" s="1493"/>
      <c r="M68" s="1493"/>
      <c r="N68" s="2039">
        <v>0</v>
      </c>
      <c r="O68" s="2039">
        <v>0</v>
      </c>
      <c r="P68" s="2039">
        <v>0</v>
      </c>
      <c r="Q68" s="2028">
        <f t="shared" ref="Q68:Q77" si="45">MAX(E68,H68,K68,N68)</f>
        <v>0</v>
      </c>
      <c r="R68" s="2026">
        <f t="shared" si="43"/>
        <v>0</v>
      </c>
      <c r="S68" s="2029">
        <f t="shared" si="44"/>
        <v>0</v>
      </c>
      <c r="T68" s="853">
        <f t="shared" ref="T68:T77" si="46">IFERROR(AVERAGE(Q68:S68),"")</f>
        <v>0</v>
      </c>
      <c r="U68" s="1408" t="str">
        <f t="shared" ref="U68:U77" si="47">IF(T68&gt;85,("4"),IF(T68&gt;80,("3.66"),IF(T68&gt;75,("3.33"),IF(T68&gt;70,("3.00"),IF(T68&gt;65,("2.66"),IF(T68&gt;60,("2.33"),IF(T68&gt;55,("2"),IF(T68&gt;50,("1.66"),"1.33"))))))))</f>
        <v>1.33</v>
      </c>
      <c r="V68" s="1408" t="str">
        <f t="shared" ref="V68:V77" si="48">IF(T68&gt;85,("A"),IF(T68&gt;80,("A-"),IF(T68&gt;75,("B+"),IF(T68&gt;70,("B"),IF(T68&gt;65,("B-"),IF(T68&gt;60,("C+"),IF(T68&gt;55,("C"),IF(T68&gt;50,("C-"),"D+"))))))))</f>
        <v>D+</v>
      </c>
      <c r="W68" s="1408" t="str">
        <f t="shared" ref="W68:W77" si="49">IF(T68&gt;80,("SB"),IF(T68&gt;65,("B"),IF(T68&gt;50,("C"),IF(T68&gt;0,("K"),"0"))))</f>
        <v>0</v>
      </c>
      <c r="X68" s="1409"/>
      <c r="Y68" s="1389"/>
      <c r="Z68" s="1390"/>
      <c r="AA68" s="1390"/>
      <c r="AB68" s="1390"/>
      <c r="AC68" s="1390"/>
      <c r="AD68" s="1390"/>
      <c r="AE68" s="1390"/>
      <c r="AF68" s="1390"/>
      <c r="AG68" s="1390"/>
      <c r="AH68" s="1390"/>
      <c r="AI68" s="1390"/>
      <c r="AJ68" s="1391"/>
      <c r="AK68" s="1391"/>
      <c r="AL68" s="1391"/>
      <c r="AM68" s="1391"/>
      <c r="AN68" s="1391"/>
      <c r="AO68" s="1391"/>
      <c r="AP68" s="1391"/>
      <c r="AQ68" s="1391"/>
      <c r="AR68" s="1391"/>
      <c r="AS68" s="1391"/>
      <c r="AT68" s="1392"/>
      <c r="AU68" s="1411"/>
      <c r="AV68" s="1412"/>
    </row>
    <row r="69" spans="1:48" ht="20.100000000000001" customHeight="1" x14ac:dyDescent="0.25">
      <c r="A69" s="360"/>
      <c r="B69" s="1387"/>
      <c r="C69" s="1388"/>
      <c r="D69" s="1166" t="s">
        <v>16</v>
      </c>
      <c r="E69" s="1493"/>
      <c r="F69" s="1493"/>
      <c r="G69" s="1493"/>
      <c r="H69" s="2040">
        <v>0</v>
      </c>
      <c r="I69" s="2040">
        <v>0</v>
      </c>
      <c r="J69" s="2040">
        <v>0</v>
      </c>
      <c r="K69" s="1493"/>
      <c r="L69" s="1493"/>
      <c r="M69" s="1493"/>
      <c r="N69" s="2052"/>
      <c r="O69" s="2052"/>
      <c r="P69" s="2052"/>
      <c r="Q69" s="2028">
        <f t="shared" si="45"/>
        <v>0</v>
      </c>
      <c r="R69" s="2026">
        <f t="shared" si="43"/>
        <v>0</v>
      </c>
      <c r="S69" s="2029">
        <f t="shared" si="44"/>
        <v>0</v>
      </c>
      <c r="T69" s="853">
        <f t="shared" si="46"/>
        <v>0</v>
      </c>
      <c r="U69" s="1408" t="str">
        <f t="shared" si="47"/>
        <v>1.33</v>
      </c>
      <c r="V69" s="1408" t="str">
        <f t="shared" si="48"/>
        <v>D+</v>
      </c>
      <c r="W69" s="1408" t="str">
        <f t="shared" si="49"/>
        <v>0</v>
      </c>
      <c r="X69" s="1409"/>
      <c r="Y69" s="1393"/>
      <c r="Z69" s="1394"/>
      <c r="AA69" s="1394"/>
      <c r="AB69" s="1394"/>
      <c r="AC69" s="1394"/>
      <c r="AD69" s="1394"/>
      <c r="AE69" s="1394"/>
      <c r="AF69" s="1394"/>
      <c r="AG69" s="1394"/>
      <c r="AH69" s="1394"/>
      <c r="AI69" s="1394"/>
      <c r="AJ69" s="1395"/>
      <c r="AK69" s="1395"/>
      <c r="AL69" s="1395"/>
      <c r="AM69" s="1395"/>
      <c r="AN69" s="1395"/>
      <c r="AO69" s="1395"/>
      <c r="AP69" s="1395"/>
      <c r="AQ69" s="1395"/>
      <c r="AR69" s="1395"/>
      <c r="AS69" s="1395"/>
      <c r="AT69" s="1396"/>
      <c r="AU69" s="1413"/>
      <c r="AV69" s="1414"/>
    </row>
    <row r="70" spans="1:48" ht="20.100000000000001" customHeight="1" x14ac:dyDescent="0.25">
      <c r="A70" s="360"/>
      <c r="B70" s="1387"/>
      <c r="C70" s="1388"/>
      <c r="D70" s="1166" t="s">
        <v>189</v>
      </c>
      <c r="E70" s="1493"/>
      <c r="F70" s="1493"/>
      <c r="G70" s="1493"/>
      <c r="H70" s="2040">
        <v>0</v>
      </c>
      <c r="I70" s="2040">
        <v>0</v>
      </c>
      <c r="J70" s="2040">
        <v>0</v>
      </c>
      <c r="K70" s="1493"/>
      <c r="L70" s="1493"/>
      <c r="M70" s="1493"/>
      <c r="N70" s="2039"/>
      <c r="O70" s="2039"/>
      <c r="P70" s="2039"/>
      <c r="Q70" s="2028">
        <f t="shared" si="45"/>
        <v>0</v>
      </c>
      <c r="R70" s="2026">
        <f t="shared" si="43"/>
        <v>0</v>
      </c>
      <c r="S70" s="2029">
        <f t="shared" si="44"/>
        <v>0</v>
      </c>
      <c r="T70" s="853">
        <f t="shared" si="46"/>
        <v>0</v>
      </c>
      <c r="U70" s="1408" t="str">
        <f t="shared" si="47"/>
        <v>1.33</v>
      </c>
      <c r="V70" s="1408" t="str">
        <f t="shared" si="48"/>
        <v>D+</v>
      </c>
      <c r="W70" s="1408" t="str">
        <f t="shared" si="49"/>
        <v>0</v>
      </c>
      <c r="X70" s="1409"/>
      <c r="Y70" s="1393"/>
      <c r="Z70" s="1394"/>
      <c r="AA70" s="1394"/>
      <c r="AB70" s="1394"/>
      <c r="AC70" s="1394"/>
      <c r="AD70" s="1394"/>
      <c r="AE70" s="1394"/>
      <c r="AF70" s="1394"/>
      <c r="AG70" s="1394"/>
      <c r="AH70" s="1394"/>
      <c r="AI70" s="1394"/>
      <c r="AJ70" s="1395"/>
      <c r="AK70" s="1395"/>
      <c r="AL70" s="1395"/>
      <c r="AM70" s="1395"/>
      <c r="AN70" s="1395"/>
      <c r="AO70" s="1395"/>
      <c r="AP70" s="1395"/>
      <c r="AQ70" s="1395"/>
      <c r="AR70" s="1395"/>
      <c r="AS70" s="1395"/>
      <c r="AT70" s="1396"/>
      <c r="AU70" s="1413"/>
      <c r="AV70" s="1414"/>
    </row>
    <row r="71" spans="1:48" ht="20.100000000000001" customHeight="1" x14ac:dyDescent="0.25">
      <c r="A71" s="360"/>
      <c r="B71" s="1387"/>
      <c r="C71" s="1388"/>
      <c r="D71" s="1166" t="s">
        <v>186</v>
      </c>
      <c r="E71" s="1493"/>
      <c r="F71" s="1493"/>
      <c r="G71" s="1493"/>
      <c r="H71" s="2040">
        <v>0</v>
      </c>
      <c r="I71" s="2040">
        <v>0</v>
      </c>
      <c r="J71" s="2040">
        <v>0</v>
      </c>
      <c r="K71" s="1493"/>
      <c r="L71" s="1493"/>
      <c r="M71" s="1493"/>
      <c r="N71" s="2039"/>
      <c r="O71" s="2039"/>
      <c r="P71" s="2039"/>
      <c r="Q71" s="2028">
        <f t="shared" si="45"/>
        <v>0</v>
      </c>
      <c r="R71" s="2026">
        <f t="shared" si="43"/>
        <v>0</v>
      </c>
      <c r="S71" s="2029">
        <f t="shared" si="44"/>
        <v>0</v>
      </c>
      <c r="T71" s="853">
        <f t="shared" si="46"/>
        <v>0</v>
      </c>
      <c r="U71" s="1408" t="str">
        <f t="shared" si="47"/>
        <v>1.33</v>
      </c>
      <c r="V71" s="1408" t="str">
        <f t="shared" si="48"/>
        <v>D+</v>
      </c>
      <c r="W71" s="1408" t="str">
        <f t="shared" si="49"/>
        <v>0</v>
      </c>
      <c r="X71" s="1409"/>
      <c r="Y71" s="1393"/>
      <c r="Z71" s="1394"/>
      <c r="AA71" s="1394"/>
      <c r="AB71" s="1394"/>
      <c r="AC71" s="1394"/>
      <c r="AD71" s="1394"/>
      <c r="AE71" s="1394"/>
      <c r="AF71" s="1394"/>
      <c r="AG71" s="1394"/>
      <c r="AH71" s="1394"/>
      <c r="AI71" s="1394"/>
      <c r="AJ71" s="1395"/>
      <c r="AK71" s="1395"/>
      <c r="AL71" s="1395"/>
      <c r="AM71" s="1395"/>
      <c r="AN71" s="1395"/>
      <c r="AO71" s="1395"/>
      <c r="AP71" s="1395"/>
      <c r="AQ71" s="1395"/>
      <c r="AR71" s="1395"/>
      <c r="AS71" s="1395"/>
      <c r="AT71" s="1396"/>
      <c r="AU71" s="1413"/>
      <c r="AV71" s="1414"/>
    </row>
    <row r="72" spans="1:48" ht="20.100000000000001" customHeight="1" x14ac:dyDescent="0.25">
      <c r="A72" s="360"/>
      <c r="B72" s="1387"/>
      <c r="C72" s="1388"/>
      <c r="D72" s="1166" t="s">
        <v>187</v>
      </c>
      <c r="E72" s="1385"/>
      <c r="F72" s="1385"/>
      <c r="G72" s="1385"/>
      <c r="H72" s="2048"/>
      <c r="I72" s="2048"/>
      <c r="J72" s="2048"/>
      <c r="K72" s="1385">
        <v>0</v>
      </c>
      <c r="L72" s="1385">
        <v>0</v>
      </c>
      <c r="M72" s="1385">
        <v>0</v>
      </c>
      <c r="N72" s="2049"/>
      <c r="O72" s="2049"/>
      <c r="P72" s="2049"/>
      <c r="Q72" s="2028">
        <f t="shared" si="45"/>
        <v>0</v>
      </c>
      <c r="R72" s="2026">
        <f t="shared" si="43"/>
        <v>0</v>
      </c>
      <c r="S72" s="2029">
        <f t="shared" si="44"/>
        <v>0</v>
      </c>
      <c r="T72" s="853">
        <f t="shared" si="46"/>
        <v>0</v>
      </c>
      <c r="U72" s="1408" t="str">
        <f t="shared" si="47"/>
        <v>1.33</v>
      </c>
      <c r="V72" s="1408" t="str">
        <f t="shared" si="48"/>
        <v>D+</v>
      </c>
      <c r="W72" s="1408" t="str">
        <f t="shared" si="49"/>
        <v>0</v>
      </c>
      <c r="X72" s="1409"/>
      <c r="Y72" s="1393"/>
      <c r="Z72" s="1394"/>
      <c r="AA72" s="1394"/>
      <c r="AB72" s="1394"/>
      <c r="AC72" s="1394"/>
      <c r="AD72" s="1394"/>
      <c r="AE72" s="1394"/>
      <c r="AF72" s="1394"/>
      <c r="AG72" s="1394"/>
      <c r="AH72" s="1394"/>
      <c r="AI72" s="1394"/>
      <c r="AJ72" s="1395"/>
      <c r="AK72" s="1395"/>
      <c r="AL72" s="1395"/>
      <c r="AM72" s="1395"/>
      <c r="AN72" s="1395"/>
      <c r="AO72" s="1395"/>
      <c r="AP72" s="1395"/>
      <c r="AQ72" s="1395"/>
      <c r="AR72" s="1395"/>
      <c r="AS72" s="1395"/>
      <c r="AT72" s="1396"/>
      <c r="AU72" s="1413"/>
      <c r="AV72" s="1414"/>
    </row>
    <row r="73" spans="1:48" ht="20.100000000000001" customHeight="1" x14ac:dyDescent="0.25">
      <c r="A73" s="360"/>
      <c r="B73" s="1387"/>
      <c r="C73" s="1388"/>
      <c r="D73" s="1166" t="s">
        <v>17</v>
      </c>
      <c r="E73" s="1385">
        <v>0</v>
      </c>
      <c r="F73" s="1385">
        <v>0</v>
      </c>
      <c r="G73" s="1385">
        <v>0</v>
      </c>
      <c r="H73" s="2048">
        <v>0</v>
      </c>
      <c r="I73" s="2048">
        <v>0</v>
      </c>
      <c r="J73" s="2048">
        <v>0</v>
      </c>
      <c r="K73" s="1385"/>
      <c r="L73" s="1385"/>
      <c r="M73" s="1385"/>
      <c r="N73" s="2049"/>
      <c r="O73" s="2049"/>
      <c r="P73" s="2049"/>
      <c r="Q73" s="2028">
        <f t="shared" si="45"/>
        <v>0</v>
      </c>
      <c r="R73" s="2026">
        <f t="shared" si="43"/>
        <v>0</v>
      </c>
      <c r="S73" s="2029">
        <f t="shared" si="44"/>
        <v>0</v>
      </c>
      <c r="T73" s="853">
        <f t="shared" si="46"/>
        <v>0</v>
      </c>
      <c r="U73" s="1408" t="str">
        <f t="shared" si="47"/>
        <v>1.33</v>
      </c>
      <c r="V73" s="1408" t="str">
        <f t="shared" si="48"/>
        <v>D+</v>
      </c>
      <c r="W73" s="1408" t="str">
        <f t="shared" si="49"/>
        <v>0</v>
      </c>
      <c r="X73" s="1409"/>
      <c r="Y73" s="1393"/>
      <c r="Z73" s="1394"/>
      <c r="AA73" s="1394"/>
      <c r="AB73" s="1394"/>
      <c r="AC73" s="1394"/>
      <c r="AD73" s="1394"/>
      <c r="AE73" s="1394"/>
      <c r="AF73" s="1394"/>
      <c r="AG73" s="1394"/>
      <c r="AH73" s="1394"/>
      <c r="AI73" s="1394"/>
      <c r="AJ73" s="1395"/>
      <c r="AK73" s="1395"/>
      <c r="AL73" s="1395"/>
      <c r="AM73" s="1395"/>
      <c r="AN73" s="1395"/>
      <c r="AO73" s="1395"/>
      <c r="AP73" s="1395"/>
      <c r="AQ73" s="1395"/>
      <c r="AR73" s="1395"/>
      <c r="AS73" s="1395"/>
      <c r="AT73" s="1396"/>
      <c r="AU73" s="1413"/>
      <c r="AV73" s="1414"/>
    </row>
    <row r="74" spans="1:48" ht="20.100000000000001" customHeight="1" x14ac:dyDescent="0.25">
      <c r="A74" s="360"/>
      <c r="B74" s="1387"/>
      <c r="C74" s="1388"/>
      <c r="D74" s="1166" t="s">
        <v>188</v>
      </c>
      <c r="E74" s="1385"/>
      <c r="F74" s="1385"/>
      <c r="G74" s="1385"/>
      <c r="H74" s="2048">
        <v>0</v>
      </c>
      <c r="I74" s="2048">
        <v>0</v>
      </c>
      <c r="J74" s="2048">
        <v>0</v>
      </c>
      <c r="K74" s="1385"/>
      <c r="L74" s="1385"/>
      <c r="M74" s="1385"/>
      <c r="N74" s="2049"/>
      <c r="O74" s="2049"/>
      <c r="P74" s="2049"/>
      <c r="Q74" s="2028">
        <f t="shared" si="45"/>
        <v>0</v>
      </c>
      <c r="R74" s="2026">
        <f t="shared" si="43"/>
        <v>0</v>
      </c>
      <c r="S74" s="2029">
        <f t="shared" si="44"/>
        <v>0</v>
      </c>
      <c r="T74" s="853">
        <f t="shared" si="46"/>
        <v>0</v>
      </c>
      <c r="U74" s="1408" t="str">
        <f t="shared" si="47"/>
        <v>1.33</v>
      </c>
      <c r="V74" s="1408" t="str">
        <f t="shared" si="48"/>
        <v>D+</v>
      </c>
      <c r="W74" s="1408" t="str">
        <f t="shared" si="49"/>
        <v>0</v>
      </c>
      <c r="X74" s="1409"/>
      <c r="Y74" s="1393"/>
      <c r="Z74" s="1394"/>
      <c r="AA74" s="1394"/>
      <c r="AB74" s="1394"/>
      <c r="AC74" s="1394"/>
      <c r="AD74" s="1394"/>
      <c r="AE74" s="1394"/>
      <c r="AF74" s="1394"/>
      <c r="AG74" s="1394"/>
      <c r="AH74" s="1394"/>
      <c r="AI74" s="1394"/>
      <c r="AJ74" s="1395"/>
      <c r="AK74" s="1395"/>
      <c r="AL74" s="1395"/>
      <c r="AM74" s="1395"/>
      <c r="AN74" s="1395"/>
      <c r="AO74" s="1395"/>
      <c r="AP74" s="1395"/>
      <c r="AQ74" s="1395"/>
      <c r="AR74" s="1395"/>
      <c r="AS74" s="1395"/>
      <c r="AT74" s="1396"/>
      <c r="AU74" s="1413"/>
      <c r="AV74" s="1414"/>
    </row>
    <row r="75" spans="1:48" ht="20.100000000000001" customHeight="1" x14ac:dyDescent="0.25">
      <c r="A75" s="360"/>
      <c r="B75" s="1387"/>
      <c r="C75" s="1388"/>
      <c r="D75" s="1166" t="s">
        <v>569</v>
      </c>
      <c r="E75" s="1385"/>
      <c r="F75" s="1385"/>
      <c r="G75" s="1385"/>
      <c r="H75" s="2048"/>
      <c r="I75" s="2048"/>
      <c r="J75" s="2048"/>
      <c r="K75" s="1385">
        <v>0</v>
      </c>
      <c r="L75" s="1385">
        <v>0</v>
      </c>
      <c r="M75" s="1385">
        <v>0</v>
      </c>
      <c r="N75" s="2049"/>
      <c r="O75" s="2049"/>
      <c r="P75" s="2049"/>
      <c r="Q75" s="2028">
        <f t="shared" si="45"/>
        <v>0</v>
      </c>
      <c r="R75" s="2026">
        <f t="shared" si="43"/>
        <v>0</v>
      </c>
      <c r="S75" s="2029">
        <f t="shared" si="44"/>
        <v>0</v>
      </c>
      <c r="T75" s="853">
        <f t="shared" si="46"/>
        <v>0</v>
      </c>
      <c r="U75" s="1408" t="str">
        <f t="shared" si="47"/>
        <v>1.33</v>
      </c>
      <c r="V75" s="1408" t="str">
        <f t="shared" si="48"/>
        <v>D+</v>
      </c>
      <c r="W75" s="1408" t="str">
        <f t="shared" si="49"/>
        <v>0</v>
      </c>
      <c r="X75" s="1409"/>
      <c r="Y75" s="1393"/>
      <c r="Z75" s="1394"/>
      <c r="AA75" s="1394"/>
      <c r="AB75" s="1394"/>
      <c r="AC75" s="1394"/>
      <c r="AD75" s="1394"/>
      <c r="AE75" s="1394"/>
      <c r="AF75" s="1394"/>
      <c r="AG75" s="1394"/>
      <c r="AH75" s="1394"/>
      <c r="AI75" s="1394"/>
      <c r="AJ75" s="1395"/>
      <c r="AK75" s="1395"/>
      <c r="AL75" s="1395"/>
      <c r="AM75" s="1395"/>
      <c r="AN75" s="1395"/>
      <c r="AO75" s="1395"/>
      <c r="AP75" s="1395"/>
      <c r="AQ75" s="1395"/>
      <c r="AR75" s="1395"/>
      <c r="AS75" s="1395"/>
      <c r="AT75" s="1396"/>
      <c r="AU75" s="1413"/>
      <c r="AV75" s="1414"/>
    </row>
    <row r="76" spans="1:48" ht="20.100000000000001" customHeight="1" x14ac:dyDescent="0.25">
      <c r="A76" s="360"/>
      <c r="B76" s="1387"/>
      <c r="C76" s="1388"/>
      <c r="D76" s="1166" t="s">
        <v>209</v>
      </c>
      <c r="E76" s="1385"/>
      <c r="F76" s="1385"/>
      <c r="G76" s="1385"/>
      <c r="H76" s="2048"/>
      <c r="I76" s="2048"/>
      <c r="J76" s="2048"/>
      <c r="K76" s="1385"/>
      <c r="L76" s="1385"/>
      <c r="M76" s="1385"/>
      <c r="N76" s="2049">
        <v>0</v>
      </c>
      <c r="O76" s="2049">
        <v>0</v>
      </c>
      <c r="P76" s="2049">
        <v>0</v>
      </c>
      <c r="Q76" s="2028">
        <f t="shared" si="45"/>
        <v>0</v>
      </c>
      <c r="R76" s="2026">
        <f t="shared" si="43"/>
        <v>0</v>
      </c>
      <c r="S76" s="2029">
        <f t="shared" si="44"/>
        <v>0</v>
      </c>
      <c r="T76" s="853">
        <f t="shared" si="46"/>
        <v>0</v>
      </c>
      <c r="U76" s="1408" t="str">
        <f t="shared" si="47"/>
        <v>1.33</v>
      </c>
      <c r="V76" s="1408" t="str">
        <f t="shared" si="48"/>
        <v>D+</v>
      </c>
      <c r="W76" s="1408" t="str">
        <f t="shared" si="49"/>
        <v>0</v>
      </c>
      <c r="X76" s="1409"/>
      <c r="Y76" s="1393"/>
      <c r="Z76" s="1394"/>
      <c r="AA76" s="1394"/>
      <c r="AB76" s="1394"/>
      <c r="AC76" s="1394"/>
      <c r="AD76" s="1394"/>
      <c r="AE76" s="1394"/>
      <c r="AF76" s="1394"/>
      <c r="AG76" s="1394"/>
      <c r="AH76" s="1394"/>
      <c r="AI76" s="1394"/>
      <c r="AJ76" s="1395"/>
      <c r="AK76" s="1395"/>
      <c r="AL76" s="1395"/>
      <c r="AM76" s="1395"/>
      <c r="AN76" s="1395"/>
      <c r="AO76" s="1395"/>
      <c r="AP76" s="1395"/>
      <c r="AQ76" s="1395"/>
      <c r="AR76" s="1395"/>
      <c r="AS76" s="1395"/>
      <c r="AT76" s="1396"/>
      <c r="AU76" s="1413"/>
      <c r="AV76" s="1414"/>
    </row>
    <row r="77" spans="1:48" ht="20.100000000000001" customHeight="1" x14ac:dyDescent="0.25">
      <c r="A77" s="360"/>
      <c r="B77" s="1387"/>
      <c r="C77" s="1388"/>
      <c r="D77" s="1166" t="s">
        <v>210</v>
      </c>
      <c r="E77" s="1385"/>
      <c r="F77" s="1385"/>
      <c r="G77" s="1385"/>
      <c r="H77" s="2048"/>
      <c r="I77" s="2048"/>
      <c r="J77" s="2048"/>
      <c r="K77" s="1385"/>
      <c r="L77" s="1385"/>
      <c r="M77" s="1385"/>
      <c r="N77" s="2049">
        <v>0</v>
      </c>
      <c r="O77" s="2049">
        <v>0</v>
      </c>
      <c r="P77" s="2049">
        <v>0</v>
      </c>
      <c r="Q77" s="2028">
        <f t="shared" si="45"/>
        <v>0</v>
      </c>
      <c r="R77" s="2026">
        <f t="shared" si="43"/>
        <v>0</v>
      </c>
      <c r="S77" s="2029">
        <f t="shared" si="44"/>
        <v>0</v>
      </c>
      <c r="T77" s="853">
        <f t="shared" si="46"/>
        <v>0</v>
      </c>
      <c r="U77" s="1408" t="str">
        <f t="shared" si="47"/>
        <v>1.33</v>
      </c>
      <c r="V77" s="1408" t="str">
        <f t="shared" si="48"/>
        <v>D+</v>
      </c>
      <c r="W77" s="1408" t="str">
        <f t="shared" si="49"/>
        <v>0</v>
      </c>
      <c r="X77" s="1409"/>
      <c r="Y77" s="1397"/>
      <c r="Z77" s="1398"/>
      <c r="AA77" s="1398"/>
      <c r="AB77" s="1398"/>
      <c r="AC77" s="1398"/>
      <c r="AD77" s="1398"/>
      <c r="AE77" s="1398"/>
      <c r="AF77" s="1398"/>
      <c r="AG77" s="1398"/>
      <c r="AH77" s="1398"/>
      <c r="AI77" s="1398"/>
      <c r="AJ77" s="1399"/>
      <c r="AK77" s="1399"/>
      <c r="AL77" s="1399"/>
      <c r="AM77" s="1399"/>
      <c r="AN77" s="1399"/>
      <c r="AO77" s="1399"/>
      <c r="AP77" s="1399"/>
      <c r="AQ77" s="1399"/>
      <c r="AR77" s="1399"/>
      <c r="AS77" s="1399"/>
      <c r="AT77" s="1400"/>
      <c r="AU77" s="1415"/>
      <c r="AV77" s="1416"/>
    </row>
    <row r="78" spans="1:48" ht="20.100000000000001" customHeight="1" x14ac:dyDescent="0.25">
      <c r="A78" s="727"/>
      <c r="B78" s="1406">
        <v>6</v>
      </c>
      <c r="C78" s="1407"/>
      <c r="D78" s="1004"/>
      <c r="E78" s="2780"/>
      <c r="F78" s="2781"/>
      <c r="G78" s="2781"/>
      <c r="H78" s="2781"/>
      <c r="I78" s="2046"/>
      <c r="J78" s="2046"/>
      <c r="K78" s="2046"/>
      <c r="L78" s="2046"/>
      <c r="M78" s="2046"/>
      <c r="N78" s="2046"/>
      <c r="O78" s="2046"/>
      <c r="P78" s="2046"/>
      <c r="Q78" s="2046"/>
      <c r="R78" s="2046"/>
      <c r="S78" s="2046"/>
      <c r="T78" s="2044">
        <f>IFERROR(AVERAGE(T67:T77),"  ")</f>
        <v>0</v>
      </c>
      <c r="U78" s="2045" t="str">
        <f>IF(X78&gt;85,("4"),IF(X78&gt;80,("3.66"),IF(X78&gt;75,("3.33"),IF(X78&gt;70,("3.00"),IF(X78&gt;65,("2.66"),IF(X78&gt;60,("2.33"),IF(X78&gt;55,("2"),IF(X78&gt;50,("1.66"),"1.33"))))))))</f>
        <v>1.33</v>
      </c>
      <c r="V78" s="2045" t="str">
        <f>IF(X78&gt;85,("A"),IF(X78&gt;80,("A-"),IF(X78&gt;75,("B+"),IF(X78&gt;70,("B"),IF(X78&gt;65,("B-"),IF(X78&gt;60,("C+"),IF(X78&gt;55,("C"),IF(X78&gt;50,("C-"),"D+"))))))))</f>
        <v>D+</v>
      </c>
      <c r="W78" s="2045"/>
      <c r="X78" s="888">
        <f>MAX(T67:T77)</f>
        <v>0</v>
      </c>
      <c r="Y78" s="1403"/>
      <c r="Z78" s="1404"/>
      <c r="AA78" s="1404"/>
      <c r="AB78" s="1404"/>
      <c r="AC78" s="1404"/>
      <c r="AD78" s="1404"/>
      <c r="AE78" s="1404"/>
      <c r="AF78" s="1404"/>
      <c r="AG78" s="1404"/>
      <c r="AH78" s="1404"/>
      <c r="AI78" s="1404"/>
      <c r="AJ78" s="1404"/>
      <c r="AK78" s="1404"/>
      <c r="AL78" s="1404"/>
      <c r="AM78" s="1404"/>
      <c r="AN78" s="1404"/>
      <c r="AO78" s="1404"/>
      <c r="AP78" s="1404"/>
      <c r="AQ78" s="1404"/>
      <c r="AR78" s="1404"/>
      <c r="AS78" s="1404"/>
      <c r="AT78" s="1405"/>
      <c r="AU78" s="1257"/>
      <c r="AV78" s="1258"/>
    </row>
    <row r="79" spans="1:48" ht="20.100000000000001" customHeight="1" x14ac:dyDescent="0.25">
      <c r="A79" s="724">
        <v>7</v>
      </c>
      <c r="B79" s="1383"/>
      <c r="C79" s="1384" t="str">
        <f>VLOOKUP(A79,data_siswa,4,FALSE)</f>
        <v>Athaya Salsabilla Z</v>
      </c>
      <c r="D79" s="1166" t="s">
        <v>154</v>
      </c>
      <c r="E79" s="2050">
        <v>0</v>
      </c>
      <c r="F79" s="2050">
        <v>0</v>
      </c>
      <c r="G79" s="2050">
        <v>0</v>
      </c>
      <c r="H79" s="2051"/>
      <c r="I79" s="2051"/>
      <c r="J79" s="2051"/>
      <c r="K79" s="2050"/>
      <c r="L79" s="2050"/>
      <c r="M79" s="2050"/>
      <c r="N79" s="2052"/>
      <c r="O79" s="2052"/>
      <c r="P79" s="2052"/>
      <c r="Q79" s="2028">
        <f>MAX(E79,H79,K79,N79)</f>
        <v>0</v>
      </c>
      <c r="R79" s="2026">
        <f t="shared" ref="R79:R89" si="50">MAX(F79,I79,L79,O79)</f>
        <v>0</v>
      </c>
      <c r="S79" s="2029">
        <f t="shared" ref="S79:S89" si="51">MAX(G79,J79,M79,P79)</f>
        <v>0</v>
      </c>
      <c r="T79" s="853">
        <f>IFERROR(AVERAGE(Q79:S79),"")</f>
        <v>0</v>
      </c>
      <c r="U79" s="1408" t="str">
        <f>IF(T79&gt;85,("4"),IF(T79&gt;80,("3.66"),IF(T79&gt;75,("3.33"),IF(T79&gt;70,("3.00"),IF(T79&gt;65,("2.66"),IF(T79&gt;60,("2.33"),IF(T79&gt;55,("2"),IF(T79&gt;50,("1.66"),"1.33"))))))))</f>
        <v>1.33</v>
      </c>
      <c r="V79" s="1408" t="str">
        <f>IF(T79&gt;85,("A"),IF(T79&gt;80,("A-"),IF(T79&gt;75,("B+"),IF(T79&gt;70,("B"),IF(T79&gt;65,("B-"),IF(T79&gt;60,("C+"),IF(T79&gt;55,("C"),IF(T79&gt;50,("C-"),"D+"))))))))</f>
        <v>D+</v>
      </c>
      <c r="W79" s="1408" t="str">
        <f>IF(T79&gt;80,("SB"),IF(T79&gt;65,("B"),IF(T79&gt;50,("C"),IF(T79&gt;0,("K"),"0"))))</f>
        <v>0</v>
      </c>
      <c r="X79" s="1408"/>
      <c r="Y79" s="749"/>
      <c r="Z79" s="749"/>
      <c r="AA79" s="749"/>
      <c r="AB79" s="749"/>
      <c r="AC79" s="749"/>
      <c r="AD79" s="749"/>
      <c r="AE79" s="749"/>
      <c r="AF79" s="749"/>
      <c r="AG79" s="749"/>
      <c r="AH79" s="749"/>
      <c r="AI79" s="749"/>
      <c r="AJ79" s="1386"/>
      <c r="AK79" s="1386"/>
      <c r="AL79" s="1386"/>
      <c r="AM79" s="1386"/>
      <c r="AN79" s="1386"/>
      <c r="AO79" s="1386"/>
      <c r="AP79" s="1386"/>
      <c r="AQ79" s="1386"/>
      <c r="AR79" s="1386"/>
      <c r="AS79" s="1386"/>
      <c r="AT79" s="1386"/>
      <c r="AU79" s="1057">
        <f>T90</f>
        <v>0</v>
      </c>
      <c r="AV79" s="1194" t="str">
        <f>IF(AU79&gt;85,("A"),IF(AU79&gt;80,("A-"),IF(AU79&gt;75,("B+"),IF(AU79&gt;70,("B"),IF(AU79&gt;65,("B-"),IF(AU79&gt;60,("C+"),IF(AU79&gt;55,("C"),IF(AU79&gt;50,("C-"),"D+"))))))))</f>
        <v>D+</v>
      </c>
    </row>
    <row r="80" spans="1:48" ht="20.100000000000001" customHeight="1" x14ac:dyDescent="0.25">
      <c r="A80" s="360"/>
      <c r="B80" s="1387"/>
      <c r="C80" s="1388"/>
      <c r="D80" s="1166" t="s">
        <v>155</v>
      </c>
      <c r="E80" s="1493"/>
      <c r="F80" s="1493"/>
      <c r="G80" s="1493"/>
      <c r="H80" s="2040"/>
      <c r="I80" s="2040"/>
      <c r="J80" s="2040"/>
      <c r="K80" s="1493"/>
      <c r="L80" s="1493"/>
      <c r="M80" s="1493"/>
      <c r="N80" s="2039">
        <v>0</v>
      </c>
      <c r="O80" s="2039">
        <v>0</v>
      </c>
      <c r="P80" s="2039">
        <v>0</v>
      </c>
      <c r="Q80" s="2028">
        <f t="shared" ref="Q80:Q89" si="52">MAX(E80,H80,K80,N80)</f>
        <v>0</v>
      </c>
      <c r="R80" s="2026">
        <f t="shared" si="50"/>
        <v>0</v>
      </c>
      <c r="S80" s="2029">
        <f t="shared" si="51"/>
        <v>0</v>
      </c>
      <c r="T80" s="853">
        <f t="shared" ref="T80:T89" si="53">IFERROR(AVERAGE(Q80:S80),"")</f>
        <v>0</v>
      </c>
      <c r="U80" s="1408" t="str">
        <f t="shared" ref="U80:U89" si="54">IF(T80&gt;85,("4"),IF(T80&gt;80,("3.66"),IF(T80&gt;75,("3.33"),IF(T80&gt;70,("3.00"),IF(T80&gt;65,("2.66"),IF(T80&gt;60,("2.33"),IF(T80&gt;55,("2"),IF(T80&gt;50,("1.66"),"1.33"))))))))</f>
        <v>1.33</v>
      </c>
      <c r="V80" s="1408" t="str">
        <f t="shared" ref="V80:V89" si="55">IF(T80&gt;85,("A"),IF(T80&gt;80,("A-"),IF(T80&gt;75,("B+"),IF(T80&gt;70,("B"),IF(T80&gt;65,("B-"),IF(T80&gt;60,("C+"),IF(T80&gt;55,("C"),IF(T80&gt;50,("C-"),"D+"))))))))</f>
        <v>D+</v>
      </c>
      <c r="W80" s="1408" t="str">
        <f t="shared" ref="W80:W89" si="56">IF(T80&gt;80,("SB"),IF(T80&gt;65,("B"),IF(T80&gt;50,("C"),IF(T80&gt;0,("K"),"0"))))</f>
        <v>0</v>
      </c>
      <c r="X80" s="1409"/>
      <c r="Y80" s="1389"/>
      <c r="Z80" s="1390"/>
      <c r="AA80" s="1390"/>
      <c r="AB80" s="1390"/>
      <c r="AC80" s="1390"/>
      <c r="AD80" s="1390"/>
      <c r="AE80" s="1390"/>
      <c r="AF80" s="1390"/>
      <c r="AG80" s="1390"/>
      <c r="AH80" s="1390"/>
      <c r="AI80" s="1390"/>
      <c r="AJ80" s="1391"/>
      <c r="AK80" s="1391"/>
      <c r="AL80" s="1391"/>
      <c r="AM80" s="1391"/>
      <c r="AN80" s="1391"/>
      <c r="AO80" s="1391"/>
      <c r="AP80" s="1391"/>
      <c r="AQ80" s="1391"/>
      <c r="AR80" s="1391"/>
      <c r="AS80" s="1391"/>
      <c r="AT80" s="1392"/>
      <c r="AU80" s="1411"/>
      <c r="AV80" s="1412"/>
    </row>
    <row r="81" spans="1:48" ht="20.100000000000001" customHeight="1" x14ac:dyDescent="0.25">
      <c r="A81" s="360"/>
      <c r="B81" s="1387"/>
      <c r="C81" s="1388"/>
      <c r="D81" s="1166" t="s">
        <v>16</v>
      </c>
      <c r="E81" s="1493"/>
      <c r="F81" s="1493"/>
      <c r="G81" s="1493"/>
      <c r="H81" s="2040">
        <v>0</v>
      </c>
      <c r="I81" s="2040">
        <v>0</v>
      </c>
      <c r="J81" s="2040">
        <v>0</v>
      </c>
      <c r="K81" s="1493"/>
      <c r="L81" s="1493"/>
      <c r="M81" s="1493"/>
      <c r="N81" s="2052"/>
      <c r="O81" s="2052"/>
      <c r="P81" s="2052"/>
      <c r="Q81" s="2028">
        <f t="shared" si="52"/>
        <v>0</v>
      </c>
      <c r="R81" s="2026">
        <f t="shared" si="50"/>
        <v>0</v>
      </c>
      <c r="S81" s="2029">
        <f t="shared" si="51"/>
        <v>0</v>
      </c>
      <c r="T81" s="853">
        <f t="shared" si="53"/>
        <v>0</v>
      </c>
      <c r="U81" s="1408" t="str">
        <f t="shared" si="54"/>
        <v>1.33</v>
      </c>
      <c r="V81" s="1408" t="str">
        <f t="shared" si="55"/>
        <v>D+</v>
      </c>
      <c r="W81" s="1408" t="str">
        <f t="shared" si="56"/>
        <v>0</v>
      </c>
      <c r="X81" s="1409"/>
      <c r="Y81" s="1393"/>
      <c r="Z81" s="1394"/>
      <c r="AA81" s="1394"/>
      <c r="AB81" s="1394"/>
      <c r="AC81" s="1394"/>
      <c r="AD81" s="1394"/>
      <c r="AE81" s="1394"/>
      <c r="AF81" s="1394"/>
      <c r="AG81" s="1394"/>
      <c r="AH81" s="1394"/>
      <c r="AI81" s="1394"/>
      <c r="AJ81" s="1395"/>
      <c r="AK81" s="1395"/>
      <c r="AL81" s="1395"/>
      <c r="AM81" s="1395"/>
      <c r="AN81" s="1395"/>
      <c r="AO81" s="1395"/>
      <c r="AP81" s="1395"/>
      <c r="AQ81" s="1395"/>
      <c r="AR81" s="1395"/>
      <c r="AS81" s="1395"/>
      <c r="AT81" s="1396"/>
      <c r="AU81" s="1413"/>
      <c r="AV81" s="1414"/>
    </row>
    <row r="82" spans="1:48" ht="20.100000000000001" customHeight="1" x14ac:dyDescent="0.25">
      <c r="A82" s="360"/>
      <c r="B82" s="1387"/>
      <c r="C82" s="1388"/>
      <c r="D82" s="1166" t="s">
        <v>189</v>
      </c>
      <c r="E82" s="1493"/>
      <c r="F82" s="1493"/>
      <c r="G82" s="1493"/>
      <c r="H82" s="2040">
        <v>0</v>
      </c>
      <c r="I82" s="2040">
        <v>0</v>
      </c>
      <c r="J82" s="2040">
        <v>0</v>
      </c>
      <c r="K82" s="1493"/>
      <c r="L82" s="1493"/>
      <c r="M82" s="1493"/>
      <c r="N82" s="2039"/>
      <c r="O82" s="2039"/>
      <c r="P82" s="2039"/>
      <c r="Q82" s="2028">
        <f t="shared" si="52"/>
        <v>0</v>
      </c>
      <c r="R82" s="2026">
        <f t="shared" si="50"/>
        <v>0</v>
      </c>
      <c r="S82" s="2029">
        <f t="shared" si="51"/>
        <v>0</v>
      </c>
      <c r="T82" s="853">
        <f t="shared" si="53"/>
        <v>0</v>
      </c>
      <c r="U82" s="1408" t="str">
        <f t="shared" si="54"/>
        <v>1.33</v>
      </c>
      <c r="V82" s="1408" t="str">
        <f t="shared" si="55"/>
        <v>D+</v>
      </c>
      <c r="W82" s="1408" t="str">
        <f t="shared" si="56"/>
        <v>0</v>
      </c>
      <c r="X82" s="1409"/>
      <c r="Y82" s="1393"/>
      <c r="Z82" s="1394"/>
      <c r="AA82" s="1394"/>
      <c r="AB82" s="1394"/>
      <c r="AC82" s="1394"/>
      <c r="AD82" s="1394"/>
      <c r="AE82" s="1394"/>
      <c r="AF82" s="1394"/>
      <c r="AG82" s="1394"/>
      <c r="AH82" s="1394"/>
      <c r="AI82" s="1394"/>
      <c r="AJ82" s="1395"/>
      <c r="AK82" s="1395"/>
      <c r="AL82" s="1395"/>
      <c r="AM82" s="1395"/>
      <c r="AN82" s="1395"/>
      <c r="AO82" s="1395"/>
      <c r="AP82" s="1395"/>
      <c r="AQ82" s="1395"/>
      <c r="AR82" s="1395"/>
      <c r="AS82" s="1395"/>
      <c r="AT82" s="1396"/>
      <c r="AU82" s="1413"/>
      <c r="AV82" s="1414"/>
    </row>
    <row r="83" spans="1:48" ht="20.100000000000001" customHeight="1" x14ac:dyDescent="0.25">
      <c r="A83" s="360"/>
      <c r="B83" s="1387"/>
      <c r="C83" s="1388"/>
      <c r="D83" s="1166" t="s">
        <v>186</v>
      </c>
      <c r="E83" s="1493"/>
      <c r="F83" s="1493"/>
      <c r="G83" s="1493"/>
      <c r="H83" s="2040">
        <v>0</v>
      </c>
      <c r="I83" s="2040">
        <v>0</v>
      </c>
      <c r="J83" s="2040">
        <v>0</v>
      </c>
      <c r="K83" s="1493"/>
      <c r="L83" s="1493"/>
      <c r="M83" s="1493"/>
      <c r="N83" s="2039"/>
      <c r="O83" s="2039"/>
      <c r="P83" s="2039"/>
      <c r="Q83" s="2028">
        <f t="shared" si="52"/>
        <v>0</v>
      </c>
      <c r="R83" s="2026">
        <f t="shared" si="50"/>
        <v>0</v>
      </c>
      <c r="S83" s="2029">
        <f t="shared" si="51"/>
        <v>0</v>
      </c>
      <c r="T83" s="853">
        <f t="shared" si="53"/>
        <v>0</v>
      </c>
      <c r="U83" s="1408" t="str">
        <f t="shared" si="54"/>
        <v>1.33</v>
      </c>
      <c r="V83" s="1408" t="str">
        <f t="shared" si="55"/>
        <v>D+</v>
      </c>
      <c r="W83" s="1408" t="str">
        <f t="shared" si="56"/>
        <v>0</v>
      </c>
      <c r="X83" s="1409"/>
      <c r="Y83" s="1393"/>
      <c r="Z83" s="1394"/>
      <c r="AA83" s="1394"/>
      <c r="AB83" s="1394"/>
      <c r="AC83" s="1394"/>
      <c r="AD83" s="1394"/>
      <c r="AE83" s="1394"/>
      <c r="AF83" s="1394"/>
      <c r="AG83" s="1394"/>
      <c r="AH83" s="1394"/>
      <c r="AI83" s="1394"/>
      <c r="AJ83" s="1395"/>
      <c r="AK83" s="1395"/>
      <c r="AL83" s="1395"/>
      <c r="AM83" s="1395"/>
      <c r="AN83" s="1395"/>
      <c r="AO83" s="1395"/>
      <c r="AP83" s="1395"/>
      <c r="AQ83" s="1395"/>
      <c r="AR83" s="1395"/>
      <c r="AS83" s="1395"/>
      <c r="AT83" s="1396"/>
      <c r="AU83" s="1413"/>
      <c r="AV83" s="1414"/>
    </row>
    <row r="84" spans="1:48" ht="20.100000000000001" customHeight="1" x14ac:dyDescent="0.25">
      <c r="A84" s="360"/>
      <c r="B84" s="1387"/>
      <c r="C84" s="1388"/>
      <c r="D84" s="1166" t="s">
        <v>187</v>
      </c>
      <c r="E84" s="1385"/>
      <c r="F84" s="1385"/>
      <c r="G84" s="1385"/>
      <c r="H84" s="2048"/>
      <c r="I84" s="2048"/>
      <c r="J84" s="2048"/>
      <c r="K84" s="1385">
        <v>0</v>
      </c>
      <c r="L84" s="1385">
        <v>0</v>
      </c>
      <c r="M84" s="1385">
        <v>0</v>
      </c>
      <c r="N84" s="2049"/>
      <c r="O84" s="2049"/>
      <c r="P84" s="2049"/>
      <c r="Q84" s="2028">
        <f t="shared" si="52"/>
        <v>0</v>
      </c>
      <c r="R84" s="2026">
        <f t="shared" si="50"/>
        <v>0</v>
      </c>
      <c r="S84" s="2029">
        <f t="shared" si="51"/>
        <v>0</v>
      </c>
      <c r="T84" s="853">
        <f t="shared" si="53"/>
        <v>0</v>
      </c>
      <c r="U84" s="1408" t="str">
        <f t="shared" si="54"/>
        <v>1.33</v>
      </c>
      <c r="V84" s="1408" t="str">
        <f t="shared" si="55"/>
        <v>D+</v>
      </c>
      <c r="W84" s="1408" t="str">
        <f t="shared" si="56"/>
        <v>0</v>
      </c>
      <c r="X84" s="1409"/>
      <c r="Y84" s="1393"/>
      <c r="Z84" s="1394"/>
      <c r="AA84" s="1394"/>
      <c r="AB84" s="1394"/>
      <c r="AC84" s="1394"/>
      <c r="AD84" s="1394"/>
      <c r="AE84" s="1394"/>
      <c r="AF84" s="1394"/>
      <c r="AG84" s="1394"/>
      <c r="AH84" s="1394"/>
      <c r="AI84" s="1394"/>
      <c r="AJ84" s="1395"/>
      <c r="AK84" s="1395"/>
      <c r="AL84" s="1395"/>
      <c r="AM84" s="1395"/>
      <c r="AN84" s="1395"/>
      <c r="AO84" s="1395"/>
      <c r="AP84" s="1395"/>
      <c r="AQ84" s="1395"/>
      <c r="AR84" s="1395"/>
      <c r="AS84" s="1395"/>
      <c r="AT84" s="1396"/>
      <c r="AU84" s="1413"/>
      <c r="AV84" s="1414"/>
    </row>
    <row r="85" spans="1:48" ht="20.100000000000001" customHeight="1" x14ac:dyDescent="0.25">
      <c r="A85" s="360"/>
      <c r="B85" s="1387"/>
      <c r="C85" s="1388"/>
      <c r="D85" s="1166" t="s">
        <v>17</v>
      </c>
      <c r="E85" s="1385">
        <v>0</v>
      </c>
      <c r="F85" s="1385">
        <v>0</v>
      </c>
      <c r="G85" s="1385">
        <v>0</v>
      </c>
      <c r="H85" s="2048">
        <v>0</v>
      </c>
      <c r="I85" s="2048">
        <v>0</v>
      </c>
      <c r="J85" s="2048">
        <v>0</v>
      </c>
      <c r="K85" s="1385"/>
      <c r="L85" s="1385"/>
      <c r="M85" s="1385"/>
      <c r="N85" s="2049"/>
      <c r="O85" s="2049"/>
      <c r="P85" s="2049"/>
      <c r="Q85" s="2028">
        <f t="shared" si="52"/>
        <v>0</v>
      </c>
      <c r="R85" s="2026">
        <f t="shared" si="50"/>
        <v>0</v>
      </c>
      <c r="S85" s="2029">
        <f t="shared" si="51"/>
        <v>0</v>
      </c>
      <c r="T85" s="853">
        <f t="shared" si="53"/>
        <v>0</v>
      </c>
      <c r="U85" s="1408" t="str">
        <f t="shared" si="54"/>
        <v>1.33</v>
      </c>
      <c r="V85" s="1408" t="str">
        <f t="shared" si="55"/>
        <v>D+</v>
      </c>
      <c r="W85" s="1408" t="str">
        <f t="shared" si="56"/>
        <v>0</v>
      </c>
      <c r="X85" s="1409"/>
      <c r="Y85" s="1393"/>
      <c r="Z85" s="1394"/>
      <c r="AA85" s="1394"/>
      <c r="AB85" s="1394"/>
      <c r="AC85" s="1394"/>
      <c r="AD85" s="1394"/>
      <c r="AE85" s="1394"/>
      <c r="AF85" s="1394"/>
      <c r="AG85" s="1394"/>
      <c r="AH85" s="1394"/>
      <c r="AI85" s="1394"/>
      <c r="AJ85" s="1395"/>
      <c r="AK85" s="1395"/>
      <c r="AL85" s="1395"/>
      <c r="AM85" s="1395"/>
      <c r="AN85" s="1395"/>
      <c r="AO85" s="1395"/>
      <c r="AP85" s="1395"/>
      <c r="AQ85" s="1395"/>
      <c r="AR85" s="1395"/>
      <c r="AS85" s="1395"/>
      <c r="AT85" s="1396"/>
      <c r="AU85" s="1413"/>
      <c r="AV85" s="1414"/>
    </row>
    <row r="86" spans="1:48" ht="20.100000000000001" customHeight="1" x14ac:dyDescent="0.25">
      <c r="A86" s="360"/>
      <c r="B86" s="1387"/>
      <c r="C86" s="1388"/>
      <c r="D86" s="1166" t="s">
        <v>188</v>
      </c>
      <c r="E86" s="1385"/>
      <c r="F86" s="1385"/>
      <c r="G86" s="1385"/>
      <c r="H86" s="2048">
        <v>0</v>
      </c>
      <c r="I86" s="2048">
        <v>0</v>
      </c>
      <c r="J86" s="2048">
        <v>0</v>
      </c>
      <c r="K86" s="1385"/>
      <c r="L86" s="1385"/>
      <c r="M86" s="1385"/>
      <c r="N86" s="2049"/>
      <c r="O86" s="2049"/>
      <c r="P86" s="2049"/>
      <c r="Q86" s="2028">
        <f t="shared" si="52"/>
        <v>0</v>
      </c>
      <c r="R86" s="2026">
        <f t="shared" si="50"/>
        <v>0</v>
      </c>
      <c r="S86" s="2029">
        <f t="shared" si="51"/>
        <v>0</v>
      </c>
      <c r="T86" s="853">
        <f t="shared" si="53"/>
        <v>0</v>
      </c>
      <c r="U86" s="1408" t="str">
        <f t="shared" si="54"/>
        <v>1.33</v>
      </c>
      <c r="V86" s="1408" t="str">
        <f t="shared" si="55"/>
        <v>D+</v>
      </c>
      <c r="W86" s="1408" t="str">
        <f t="shared" si="56"/>
        <v>0</v>
      </c>
      <c r="X86" s="1409"/>
      <c r="Y86" s="1393"/>
      <c r="Z86" s="1394"/>
      <c r="AA86" s="1394"/>
      <c r="AB86" s="1394"/>
      <c r="AC86" s="1394"/>
      <c r="AD86" s="1394"/>
      <c r="AE86" s="1394"/>
      <c r="AF86" s="1394"/>
      <c r="AG86" s="1394"/>
      <c r="AH86" s="1394"/>
      <c r="AI86" s="1394"/>
      <c r="AJ86" s="1395"/>
      <c r="AK86" s="1395"/>
      <c r="AL86" s="1395"/>
      <c r="AM86" s="1395"/>
      <c r="AN86" s="1395"/>
      <c r="AO86" s="1395"/>
      <c r="AP86" s="1395"/>
      <c r="AQ86" s="1395"/>
      <c r="AR86" s="1395"/>
      <c r="AS86" s="1395"/>
      <c r="AT86" s="1396"/>
      <c r="AU86" s="1413"/>
      <c r="AV86" s="1414"/>
    </row>
    <row r="87" spans="1:48" ht="20.100000000000001" customHeight="1" x14ac:dyDescent="0.25">
      <c r="A87" s="360"/>
      <c r="B87" s="1387"/>
      <c r="C87" s="1388"/>
      <c r="D87" s="1166" t="s">
        <v>569</v>
      </c>
      <c r="E87" s="1385"/>
      <c r="F87" s="1385"/>
      <c r="G87" s="1385"/>
      <c r="H87" s="2048"/>
      <c r="I87" s="2048"/>
      <c r="J87" s="2048"/>
      <c r="K87" s="1385">
        <v>0</v>
      </c>
      <c r="L87" s="1385">
        <v>0</v>
      </c>
      <c r="M87" s="1385">
        <v>0</v>
      </c>
      <c r="N87" s="2049"/>
      <c r="O87" s="2049"/>
      <c r="P87" s="2049"/>
      <c r="Q87" s="2028">
        <f t="shared" si="52"/>
        <v>0</v>
      </c>
      <c r="R87" s="2026">
        <f t="shared" si="50"/>
        <v>0</v>
      </c>
      <c r="S87" s="2029">
        <f t="shared" si="51"/>
        <v>0</v>
      </c>
      <c r="T87" s="853">
        <f t="shared" si="53"/>
        <v>0</v>
      </c>
      <c r="U87" s="1408" t="str">
        <f t="shared" si="54"/>
        <v>1.33</v>
      </c>
      <c r="V87" s="1408" t="str">
        <f t="shared" si="55"/>
        <v>D+</v>
      </c>
      <c r="W87" s="1408" t="str">
        <f t="shared" si="56"/>
        <v>0</v>
      </c>
      <c r="X87" s="1409"/>
      <c r="Y87" s="1393"/>
      <c r="Z87" s="1394"/>
      <c r="AA87" s="1394"/>
      <c r="AB87" s="1394"/>
      <c r="AC87" s="1394"/>
      <c r="AD87" s="1394"/>
      <c r="AE87" s="1394"/>
      <c r="AF87" s="1394"/>
      <c r="AG87" s="1394"/>
      <c r="AH87" s="1394"/>
      <c r="AI87" s="1394"/>
      <c r="AJ87" s="1395"/>
      <c r="AK87" s="1395"/>
      <c r="AL87" s="1395"/>
      <c r="AM87" s="1395"/>
      <c r="AN87" s="1395"/>
      <c r="AO87" s="1395"/>
      <c r="AP87" s="1395"/>
      <c r="AQ87" s="1395"/>
      <c r="AR87" s="1395"/>
      <c r="AS87" s="1395"/>
      <c r="AT87" s="1396"/>
      <c r="AU87" s="1413"/>
      <c r="AV87" s="1414"/>
    </row>
    <row r="88" spans="1:48" ht="20.100000000000001" customHeight="1" x14ac:dyDescent="0.25">
      <c r="A88" s="360"/>
      <c r="B88" s="1387"/>
      <c r="C88" s="1388"/>
      <c r="D88" s="1166" t="s">
        <v>209</v>
      </c>
      <c r="E88" s="1385"/>
      <c r="F88" s="1385"/>
      <c r="G88" s="1385"/>
      <c r="H88" s="2048"/>
      <c r="I88" s="2048"/>
      <c r="J88" s="2048"/>
      <c r="K88" s="1385"/>
      <c r="L88" s="1385"/>
      <c r="M88" s="1385"/>
      <c r="N88" s="2049">
        <v>0</v>
      </c>
      <c r="O88" s="2049">
        <v>0</v>
      </c>
      <c r="P88" s="2049">
        <v>0</v>
      </c>
      <c r="Q88" s="2028">
        <f t="shared" si="52"/>
        <v>0</v>
      </c>
      <c r="R88" s="2026">
        <f t="shared" si="50"/>
        <v>0</v>
      </c>
      <c r="S88" s="2029">
        <f t="shared" si="51"/>
        <v>0</v>
      </c>
      <c r="T88" s="853">
        <f t="shared" si="53"/>
        <v>0</v>
      </c>
      <c r="U88" s="1408" t="str">
        <f t="shared" si="54"/>
        <v>1.33</v>
      </c>
      <c r="V88" s="1408" t="str">
        <f t="shared" si="55"/>
        <v>D+</v>
      </c>
      <c r="W88" s="1408" t="str">
        <f t="shared" si="56"/>
        <v>0</v>
      </c>
      <c r="X88" s="1409"/>
      <c r="Y88" s="1393"/>
      <c r="Z88" s="1394"/>
      <c r="AA88" s="1394"/>
      <c r="AB88" s="1394"/>
      <c r="AC88" s="1394"/>
      <c r="AD88" s="1394"/>
      <c r="AE88" s="1394"/>
      <c r="AF88" s="1394"/>
      <c r="AG88" s="1394"/>
      <c r="AH88" s="1394"/>
      <c r="AI88" s="1394"/>
      <c r="AJ88" s="1395"/>
      <c r="AK88" s="1395"/>
      <c r="AL88" s="1395"/>
      <c r="AM88" s="1395"/>
      <c r="AN88" s="1395"/>
      <c r="AO88" s="1395"/>
      <c r="AP88" s="1395"/>
      <c r="AQ88" s="1395"/>
      <c r="AR88" s="1395"/>
      <c r="AS88" s="1395"/>
      <c r="AT88" s="1396"/>
      <c r="AU88" s="1413"/>
      <c r="AV88" s="1414"/>
    </row>
    <row r="89" spans="1:48" ht="20.100000000000001" customHeight="1" x14ac:dyDescent="0.25">
      <c r="A89" s="360"/>
      <c r="B89" s="1387"/>
      <c r="C89" s="1388"/>
      <c r="D89" s="1166" t="s">
        <v>210</v>
      </c>
      <c r="E89" s="1385"/>
      <c r="F89" s="1385"/>
      <c r="G89" s="1385"/>
      <c r="H89" s="2048"/>
      <c r="I89" s="2048"/>
      <c r="J89" s="2048"/>
      <c r="K89" s="1385"/>
      <c r="L89" s="1385"/>
      <c r="M89" s="1385"/>
      <c r="N89" s="2049">
        <v>0</v>
      </c>
      <c r="O89" s="2049">
        <v>0</v>
      </c>
      <c r="P89" s="2049">
        <v>0</v>
      </c>
      <c r="Q89" s="2028">
        <f t="shared" si="52"/>
        <v>0</v>
      </c>
      <c r="R89" s="2026">
        <f t="shared" si="50"/>
        <v>0</v>
      </c>
      <c r="S89" s="2029">
        <f t="shared" si="51"/>
        <v>0</v>
      </c>
      <c r="T89" s="853">
        <f t="shared" si="53"/>
        <v>0</v>
      </c>
      <c r="U89" s="1408" t="str">
        <f t="shared" si="54"/>
        <v>1.33</v>
      </c>
      <c r="V89" s="1408" t="str">
        <f t="shared" si="55"/>
        <v>D+</v>
      </c>
      <c r="W89" s="1408" t="str">
        <f t="shared" si="56"/>
        <v>0</v>
      </c>
      <c r="X89" s="1409"/>
      <c r="Y89" s="1397"/>
      <c r="Z89" s="1398"/>
      <c r="AA89" s="1398"/>
      <c r="AB89" s="1398"/>
      <c r="AC89" s="1398"/>
      <c r="AD89" s="1398"/>
      <c r="AE89" s="1398"/>
      <c r="AF89" s="1398"/>
      <c r="AG89" s="1398"/>
      <c r="AH89" s="1398"/>
      <c r="AI89" s="1398"/>
      <c r="AJ89" s="1399"/>
      <c r="AK89" s="1399"/>
      <c r="AL89" s="1399"/>
      <c r="AM89" s="1399"/>
      <c r="AN89" s="1399"/>
      <c r="AO89" s="1399"/>
      <c r="AP89" s="1399"/>
      <c r="AQ89" s="1399"/>
      <c r="AR89" s="1399"/>
      <c r="AS89" s="1399"/>
      <c r="AT89" s="1400"/>
      <c r="AU89" s="1415"/>
      <c r="AV89" s="1416"/>
    </row>
    <row r="90" spans="1:48" ht="20.100000000000001" customHeight="1" x14ac:dyDescent="0.25">
      <c r="A90" s="727"/>
      <c r="B90" s="1406">
        <v>7</v>
      </c>
      <c r="C90" s="1407"/>
      <c r="D90" s="1004"/>
      <c r="E90" s="2780"/>
      <c r="F90" s="2781"/>
      <c r="G90" s="2781"/>
      <c r="H90" s="2781"/>
      <c r="I90" s="2046"/>
      <c r="J90" s="2046"/>
      <c r="K90" s="2046"/>
      <c r="L90" s="2046"/>
      <c r="M90" s="2046"/>
      <c r="N90" s="2046"/>
      <c r="O90" s="2046"/>
      <c r="P90" s="2046"/>
      <c r="Q90" s="2046"/>
      <c r="R90" s="2046"/>
      <c r="S90" s="2046"/>
      <c r="T90" s="2044">
        <f>IFERROR(AVERAGE(T79:T89),"  ")</f>
        <v>0</v>
      </c>
      <c r="U90" s="2045" t="str">
        <f>IF(X90&gt;85,("4"),IF(X90&gt;80,("3.66"),IF(X90&gt;75,("3.33"),IF(X90&gt;70,("3.00"),IF(X90&gt;65,("2.66"),IF(X90&gt;60,("2.33"),IF(X90&gt;55,("2"),IF(X90&gt;50,("1.66"),"1.33"))))))))</f>
        <v>1.33</v>
      </c>
      <c r="V90" s="2045" t="str">
        <f>IF(X90&gt;85,("A"),IF(X90&gt;80,("A-"),IF(X90&gt;75,("B+"),IF(X90&gt;70,("B"),IF(X90&gt;65,("B-"),IF(X90&gt;60,("C+"),IF(X90&gt;55,("C"),IF(X90&gt;50,("C-"),"D+"))))))))</f>
        <v>D+</v>
      </c>
      <c r="W90" s="2045"/>
      <c r="X90" s="888">
        <f>MAX(T79:T89)</f>
        <v>0</v>
      </c>
      <c r="Y90" s="1403"/>
      <c r="Z90" s="1404"/>
      <c r="AA90" s="1404"/>
      <c r="AB90" s="1404"/>
      <c r="AC90" s="1404"/>
      <c r="AD90" s="1404"/>
      <c r="AE90" s="1404"/>
      <c r="AF90" s="1404"/>
      <c r="AG90" s="1404"/>
      <c r="AH90" s="1404"/>
      <c r="AI90" s="1404"/>
      <c r="AJ90" s="1404"/>
      <c r="AK90" s="1404"/>
      <c r="AL90" s="1404"/>
      <c r="AM90" s="1404"/>
      <c r="AN90" s="1404"/>
      <c r="AO90" s="1404"/>
      <c r="AP90" s="1404"/>
      <c r="AQ90" s="1404"/>
      <c r="AR90" s="1404"/>
      <c r="AS90" s="1404"/>
      <c r="AT90" s="1405"/>
      <c r="AU90" s="1257"/>
      <c r="AV90" s="1258"/>
    </row>
    <row r="91" spans="1:48" ht="20.100000000000001" customHeight="1" x14ac:dyDescent="0.25">
      <c r="A91" s="724">
        <v>8</v>
      </c>
      <c r="B91" s="1383"/>
      <c r="C91" s="1384" t="str">
        <f>VLOOKUP(A91,data_siswa,4,FALSE)</f>
        <v>Aulia Dea Rosalinda</v>
      </c>
      <c r="D91" s="1166" t="s">
        <v>154</v>
      </c>
      <c r="E91" s="2050">
        <v>0</v>
      </c>
      <c r="F91" s="2050">
        <v>0</v>
      </c>
      <c r="G91" s="2050">
        <v>0</v>
      </c>
      <c r="H91" s="2051"/>
      <c r="I91" s="2051"/>
      <c r="J91" s="2051"/>
      <c r="K91" s="2050"/>
      <c r="L91" s="2050"/>
      <c r="M91" s="2050"/>
      <c r="N91" s="2052"/>
      <c r="O91" s="2052"/>
      <c r="P91" s="2052"/>
      <c r="Q91" s="2028">
        <f>MAX(E91,H91,K91,N91)</f>
        <v>0</v>
      </c>
      <c r="R91" s="2026">
        <f t="shared" ref="R91:R101" si="57">MAX(F91,I91,L91,O91)</f>
        <v>0</v>
      </c>
      <c r="S91" s="2029">
        <f t="shared" ref="S91:S101" si="58">MAX(G91,J91,M91,P91)</f>
        <v>0</v>
      </c>
      <c r="T91" s="853">
        <f>IFERROR(AVERAGE(Q91:S91),"")</f>
        <v>0</v>
      </c>
      <c r="U91" s="1408" t="str">
        <f>IF(T91&gt;85,("4"),IF(T91&gt;80,("3.66"),IF(T91&gt;75,("3.33"),IF(T91&gt;70,("3.00"),IF(T91&gt;65,("2.66"),IF(T91&gt;60,("2.33"),IF(T91&gt;55,("2"),IF(T91&gt;50,("1.66"),"1.33"))))))))</f>
        <v>1.33</v>
      </c>
      <c r="V91" s="1408" t="str">
        <f>IF(T91&gt;85,("A"),IF(T91&gt;80,("A-"),IF(T91&gt;75,("B+"),IF(T91&gt;70,("B"),IF(T91&gt;65,("B-"),IF(T91&gt;60,("C+"),IF(T91&gt;55,("C"),IF(T91&gt;50,("C-"),"D+"))))))))</f>
        <v>D+</v>
      </c>
      <c r="W91" s="1408" t="str">
        <f>IF(T91&gt;80,("SB"),IF(T91&gt;65,("B"),IF(T91&gt;50,("C"),IF(T91&gt;0,("K"),"0"))))</f>
        <v>0</v>
      </c>
      <c r="X91" s="1408"/>
      <c r="Y91" s="749"/>
      <c r="Z91" s="749"/>
      <c r="AA91" s="749"/>
      <c r="AB91" s="749"/>
      <c r="AC91" s="749"/>
      <c r="AD91" s="749"/>
      <c r="AE91" s="749"/>
      <c r="AF91" s="749"/>
      <c r="AG91" s="749"/>
      <c r="AH91" s="749"/>
      <c r="AI91" s="749"/>
      <c r="AJ91" s="1386"/>
      <c r="AK91" s="1386"/>
      <c r="AL91" s="1386"/>
      <c r="AM91" s="1386"/>
      <c r="AN91" s="1386"/>
      <c r="AO91" s="1386"/>
      <c r="AP91" s="1386"/>
      <c r="AQ91" s="1386"/>
      <c r="AR91" s="1386"/>
      <c r="AS91" s="1386"/>
      <c r="AT91" s="1386"/>
      <c r="AU91" s="1057">
        <f>T102</f>
        <v>0</v>
      </c>
      <c r="AV91" s="1194" t="str">
        <f>IF(AU91&gt;85,("A"),IF(AU91&gt;80,("A-"),IF(AU91&gt;75,("B+"),IF(AU91&gt;70,("B"),IF(AU91&gt;65,("B-"),IF(AU91&gt;60,("C+"),IF(AU91&gt;55,("C"),IF(AU91&gt;50,("C-"),"D+"))))))))</f>
        <v>D+</v>
      </c>
    </row>
    <row r="92" spans="1:48" ht="20.100000000000001" customHeight="1" x14ac:dyDescent="0.25">
      <c r="A92" s="360"/>
      <c r="B92" s="1387"/>
      <c r="C92" s="1388"/>
      <c r="D92" s="1166" t="s">
        <v>155</v>
      </c>
      <c r="E92" s="1493"/>
      <c r="F92" s="1493"/>
      <c r="G92" s="1493"/>
      <c r="H92" s="2040"/>
      <c r="I92" s="2040"/>
      <c r="J92" s="2040"/>
      <c r="K92" s="1493"/>
      <c r="L92" s="1493"/>
      <c r="M92" s="1493"/>
      <c r="N92" s="2039">
        <v>0</v>
      </c>
      <c r="O92" s="2039">
        <v>0</v>
      </c>
      <c r="P92" s="2039">
        <v>0</v>
      </c>
      <c r="Q92" s="2028">
        <f t="shared" ref="Q92:Q101" si="59">MAX(E92,H92,K92,N92)</f>
        <v>0</v>
      </c>
      <c r="R92" s="2026">
        <f t="shared" si="57"/>
        <v>0</v>
      </c>
      <c r="S92" s="2029">
        <f t="shared" si="58"/>
        <v>0</v>
      </c>
      <c r="T92" s="853">
        <f t="shared" ref="T92:T101" si="60">IFERROR(AVERAGE(Q92:S92),"")</f>
        <v>0</v>
      </c>
      <c r="U92" s="1408" t="str">
        <f t="shared" ref="U92:U101" si="61">IF(T92&gt;85,("4"),IF(T92&gt;80,("3.66"),IF(T92&gt;75,("3.33"),IF(T92&gt;70,("3.00"),IF(T92&gt;65,("2.66"),IF(T92&gt;60,("2.33"),IF(T92&gt;55,("2"),IF(T92&gt;50,("1.66"),"1.33"))))))))</f>
        <v>1.33</v>
      </c>
      <c r="V92" s="1408" t="str">
        <f t="shared" ref="V92:V101" si="62">IF(T92&gt;85,("A"),IF(T92&gt;80,("A-"),IF(T92&gt;75,("B+"),IF(T92&gt;70,("B"),IF(T92&gt;65,("B-"),IF(T92&gt;60,("C+"),IF(T92&gt;55,("C"),IF(T92&gt;50,("C-"),"D+"))))))))</f>
        <v>D+</v>
      </c>
      <c r="W92" s="1408" t="str">
        <f t="shared" ref="W92:W101" si="63">IF(T92&gt;80,("SB"),IF(T92&gt;65,("B"),IF(T92&gt;50,("C"),IF(T92&gt;0,("K"),"0"))))</f>
        <v>0</v>
      </c>
      <c r="X92" s="1409"/>
      <c r="Y92" s="1389"/>
      <c r="Z92" s="1390"/>
      <c r="AA92" s="1390"/>
      <c r="AB92" s="1390"/>
      <c r="AC92" s="1390"/>
      <c r="AD92" s="1390"/>
      <c r="AE92" s="1390"/>
      <c r="AF92" s="1390"/>
      <c r="AG92" s="1390"/>
      <c r="AH92" s="1390"/>
      <c r="AI92" s="1390"/>
      <c r="AJ92" s="1391"/>
      <c r="AK92" s="1391"/>
      <c r="AL92" s="1391"/>
      <c r="AM92" s="1391"/>
      <c r="AN92" s="1391"/>
      <c r="AO92" s="1391"/>
      <c r="AP92" s="1391"/>
      <c r="AQ92" s="1391"/>
      <c r="AR92" s="1391"/>
      <c r="AS92" s="1391"/>
      <c r="AT92" s="1392"/>
      <c r="AU92" s="1411"/>
      <c r="AV92" s="1412"/>
    </row>
    <row r="93" spans="1:48" ht="20.100000000000001" customHeight="1" x14ac:dyDescent="0.25">
      <c r="A93" s="360"/>
      <c r="B93" s="1387"/>
      <c r="C93" s="1388"/>
      <c r="D93" s="1166" t="s">
        <v>16</v>
      </c>
      <c r="E93" s="1493"/>
      <c r="F93" s="1493"/>
      <c r="G93" s="1493"/>
      <c r="H93" s="2040">
        <v>0</v>
      </c>
      <c r="I93" s="2040">
        <v>0</v>
      </c>
      <c r="J93" s="2040">
        <v>0</v>
      </c>
      <c r="K93" s="1493"/>
      <c r="L93" s="1493"/>
      <c r="M93" s="1493"/>
      <c r="N93" s="2052"/>
      <c r="O93" s="2052"/>
      <c r="P93" s="2052"/>
      <c r="Q93" s="2028">
        <f t="shared" si="59"/>
        <v>0</v>
      </c>
      <c r="R93" s="2026">
        <f t="shared" si="57"/>
        <v>0</v>
      </c>
      <c r="S93" s="2029">
        <f t="shared" si="58"/>
        <v>0</v>
      </c>
      <c r="T93" s="853">
        <f t="shared" si="60"/>
        <v>0</v>
      </c>
      <c r="U93" s="1408" t="str">
        <f t="shared" si="61"/>
        <v>1.33</v>
      </c>
      <c r="V93" s="1408" t="str">
        <f t="shared" si="62"/>
        <v>D+</v>
      </c>
      <c r="W93" s="1408" t="str">
        <f t="shared" si="63"/>
        <v>0</v>
      </c>
      <c r="X93" s="1409"/>
      <c r="Y93" s="1393"/>
      <c r="Z93" s="1394"/>
      <c r="AA93" s="1394"/>
      <c r="AB93" s="1394"/>
      <c r="AC93" s="1394"/>
      <c r="AD93" s="1394"/>
      <c r="AE93" s="1394"/>
      <c r="AF93" s="1394"/>
      <c r="AG93" s="1394"/>
      <c r="AH93" s="1394"/>
      <c r="AI93" s="1394"/>
      <c r="AJ93" s="1395"/>
      <c r="AK93" s="1395"/>
      <c r="AL93" s="1395"/>
      <c r="AM93" s="1395"/>
      <c r="AN93" s="1395"/>
      <c r="AO93" s="1395"/>
      <c r="AP93" s="1395"/>
      <c r="AQ93" s="1395"/>
      <c r="AR93" s="1395"/>
      <c r="AS93" s="1395"/>
      <c r="AT93" s="1396"/>
      <c r="AU93" s="1413"/>
      <c r="AV93" s="1414"/>
    </row>
    <row r="94" spans="1:48" ht="20.100000000000001" customHeight="1" x14ac:dyDescent="0.25">
      <c r="A94" s="360"/>
      <c r="B94" s="1387"/>
      <c r="C94" s="1388"/>
      <c r="D94" s="1166" t="s">
        <v>189</v>
      </c>
      <c r="E94" s="1493"/>
      <c r="F94" s="1493"/>
      <c r="G94" s="1493"/>
      <c r="H94" s="2040">
        <v>0</v>
      </c>
      <c r="I94" s="2040">
        <v>0</v>
      </c>
      <c r="J94" s="2040">
        <v>0</v>
      </c>
      <c r="K94" s="1493"/>
      <c r="L94" s="1493"/>
      <c r="M94" s="1493"/>
      <c r="N94" s="2039"/>
      <c r="O94" s="2039"/>
      <c r="P94" s="2039"/>
      <c r="Q94" s="2028">
        <f t="shared" si="59"/>
        <v>0</v>
      </c>
      <c r="R94" s="2026">
        <f t="shared" si="57"/>
        <v>0</v>
      </c>
      <c r="S94" s="2029">
        <f t="shared" si="58"/>
        <v>0</v>
      </c>
      <c r="T94" s="853">
        <f t="shared" si="60"/>
        <v>0</v>
      </c>
      <c r="U94" s="1408" t="str">
        <f t="shared" si="61"/>
        <v>1.33</v>
      </c>
      <c r="V94" s="1408" t="str">
        <f t="shared" si="62"/>
        <v>D+</v>
      </c>
      <c r="W94" s="1408" t="str">
        <f t="shared" si="63"/>
        <v>0</v>
      </c>
      <c r="X94" s="1409"/>
      <c r="Y94" s="1393"/>
      <c r="Z94" s="1394"/>
      <c r="AA94" s="1394"/>
      <c r="AB94" s="1394"/>
      <c r="AC94" s="1394"/>
      <c r="AD94" s="1394"/>
      <c r="AE94" s="1394"/>
      <c r="AF94" s="1394"/>
      <c r="AG94" s="1394"/>
      <c r="AH94" s="1394"/>
      <c r="AI94" s="1394"/>
      <c r="AJ94" s="1395"/>
      <c r="AK94" s="1395"/>
      <c r="AL94" s="1395"/>
      <c r="AM94" s="1395"/>
      <c r="AN94" s="1395"/>
      <c r="AO94" s="1395"/>
      <c r="AP94" s="1395"/>
      <c r="AQ94" s="1395"/>
      <c r="AR94" s="1395"/>
      <c r="AS94" s="1395"/>
      <c r="AT94" s="1396"/>
      <c r="AU94" s="1413"/>
      <c r="AV94" s="1414"/>
    </row>
    <row r="95" spans="1:48" ht="20.100000000000001" customHeight="1" x14ac:dyDescent="0.25">
      <c r="A95" s="360"/>
      <c r="B95" s="1387"/>
      <c r="C95" s="1388"/>
      <c r="D95" s="1166" t="s">
        <v>186</v>
      </c>
      <c r="E95" s="1493"/>
      <c r="F95" s="1493"/>
      <c r="G95" s="1493"/>
      <c r="H95" s="2040">
        <v>0</v>
      </c>
      <c r="I95" s="2040">
        <v>0</v>
      </c>
      <c r="J95" s="2040">
        <v>0</v>
      </c>
      <c r="K95" s="1493"/>
      <c r="L95" s="1493"/>
      <c r="M95" s="1493"/>
      <c r="N95" s="2039"/>
      <c r="O95" s="2039"/>
      <c r="P95" s="2039"/>
      <c r="Q95" s="2028">
        <f t="shared" si="59"/>
        <v>0</v>
      </c>
      <c r="R95" s="2026">
        <f t="shared" si="57"/>
        <v>0</v>
      </c>
      <c r="S95" s="2029">
        <f t="shared" si="58"/>
        <v>0</v>
      </c>
      <c r="T95" s="853">
        <f t="shared" si="60"/>
        <v>0</v>
      </c>
      <c r="U95" s="1408" t="str">
        <f t="shared" si="61"/>
        <v>1.33</v>
      </c>
      <c r="V95" s="1408" t="str">
        <f t="shared" si="62"/>
        <v>D+</v>
      </c>
      <c r="W95" s="1408" t="str">
        <f t="shared" si="63"/>
        <v>0</v>
      </c>
      <c r="X95" s="1409"/>
      <c r="Y95" s="1393"/>
      <c r="Z95" s="1394"/>
      <c r="AA95" s="1394"/>
      <c r="AB95" s="1394"/>
      <c r="AC95" s="1394"/>
      <c r="AD95" s="1394"/>
      <c r="AE95" s="1394"/>
      <c r="AF95" s="1394"/>
      <c r="AG95" s="1394"/>
      <c r="AH95" s="1394"/>
      <c r="AI95" s="1394"/>
      <c r="AJ95" s="1395"/>
      <c r="AK95" s="1395"/>
      <c r="AL95" s="1395"/>
      <c r="AM95" s="1395"/>
      <c r="AN95" s="1395"/>
      <c r="AO95" s="1395"/>
      <c r="AP95" s="1395"/>
      <c r="AQ95" s="1395"/>
      <c r="AR95" s="1395"/>
      <c r="AS95" s="1395"/>
      <c r="AT95" s="1396"/>
      <c r="AU95" s="1413"/>
      <c r="AV95" s="1414"/>
    </row>
    <row r="96" spans="1:48" ht="20.100000000000001" customHeight="1" x14ac:dyDescent="0.25">
      <c r="A96" s="360"/>
      <c r="B96" s="1387"/>
      <c r="C96" s="1388"/>
      <c r="D96" s="1166" t="s">
        <v>187</v>
      </c>
      <c r="E96" s="1385"/>
      <c r="F96" s="1385"/>
      <c r="G96" s="1385"/>
      <c r="H96" s="2048"/>
      <c r="I96" s="2048"/>
      <c r="J96" s="2048"/>
      <c r="K96" s="1385">
        <v>0</v>
      </c>
      <c r="L96" s="1385">
        <v>0</v>
      </c>
      <c r="M96" s="1385">
        <v>0</v>
      </c>
      <c r="N96" s="2049"/>
      <c r="O96" s="2049"/>
      <c r="P96" s="2049"/>
      <c r="Q96" s="2028">
        <f t="shared" si="59"/>
        <v>0</v>
      </c>
      <c r="R96" s="2026">
        <f t="shared" si="57"/>
        <v>0</v>
      </c>
      <c r="S96" s="2029">
        <f t="shared" si="58"/>
        <v>0</v>
      </c>
      <c r="T96" s="853">
        <f t="shared" si="60"/>
        <v>0</v>
      </c>
      <c r="U96" s="1408" t="str">
        <f t="shared" si="61"/>
        <v>1.33</v>
      </c>
      <c r="V96" s="1408" t="str">
        <f t="shared" si="62"/>
        <v>D+</v>
      </c>
      <c r="W96" s="1408" t="str">
        <f t="shared" si="63"/>
        <v>0</v>
      </c>
      <c r="X96" s="1409"/>
      <c r="Y96" s="1393"/>
      <c r="Z96" s="1394"/>
      <c r="AA96" s="1394"/>
      <c r="AB96" s="1394"/>
      <c r="AC96" s="1394"/>
      <c r="AD96" s="1394"/>
      <c r="AE96" s="1394"/>
      <c r="AF96" s="1394"/>
      <c r="AG96" s="1394"/>
      <c r="AH96" s="1394"/>
      <c r="AI96" s="1394"/>
      <c r="AJ96" s="1395"/>
      <c r="AK96" s="1395"/>
      <c r="AL96" s="1395"/>
      <c r="AM96" s="1395"/>
      <c r="AN96" s="1395"/>
      <c r="AO96" s="1395"/>
      <c r="AP96" s="1395"/>
      <c r="AQ96" s="1395"/>
      <c r="AR96" s="1395"/>
      <c r="AS96" s="1395"/>
      <c r="AT96" s="1396"/>
      <c r="AU96" s="1413"/>
      <c r="AV96" s="1414"/>
    </row>
    <row r="97" spans="1:48" ht="20.100000000000001" customHeight="1" x14ac:dyDescent="0.25">
      <c r="A97" s="360"/>
      <c r="B97" s="1387"/>
      <c r="C97" s="1388"/>
      <c r="D97" s="1166" t="s">
        <v>17</v>
      </c>
      <c r="E97" s="1385">
        <v>0</v>
      </c>
      <c r="F97" s="1385">
        <v>0</v>
      </c>
      <c r="G97" s="1385">
        <v>0</v>
      </c>
      <c r="H97" s="2048">
        <v>0</v>
      </c>
      <c r="I97" s="2048">
        <v>0</v>
      </c>
      <c r="J97" s="2048">
        <v>0</v>
      </c>
      <c r="K97" s="1385"/>
      <c r="L97" s="1385"/>
      <c r="M97" s="1385"/>
      <c r="N97" s="2049"/>
      <c r="O97" s="2049"/>
      <c r="P97" s="2049"/>
      <c r="Q97" s="2028">
        <f t="shared" si="59"/>
        <v>0</v>
      </c>
      <c r="R97" s="2026">
        <f t="shared" si="57"/>
        <v>0</v>
      </c>
      <c r="S97" s="2029">
        <f t="shared" si="58"/>
        <v>0</v>
      </c>
      <c r="T97" s="853">
        <f t="shared" si="60"/>
        <v>0</v>
      </c>
      <c r="U97" s="1408" t="str">
        <f t="shared" si="61"/>
        <v>1.33</v>
      </c>
      <c r="V97" s="1408" t="str">
        <f t="shared" si="62"/>
        <v>D+</v>
      </c>
      <c r="W97" s="1408" t="str">
        <f t="shared" si="63"/>
        <v>0</v>
      </c>
      <c r="X97" s="1409"/>
      <c r="Y97" s="1393"/>
      <c r="Z97" s="1394"/>
      <c r="AA97" s="1394"/>
      <c r="AB97" s="1394"/>
      <c r="AC97" s="1394"/>
      <c r="AD97" s="1394"/>
      <c r="AE97" s="1394"/>
      <c r="AF97" s="1394"/>
      <c r="AG97" s="1394"/>
      <c r="AH97" s="1394"/>
      <c r="AI97" s="1394"/>
      <c r="AJ97" s="1395"/>
      <c r="AK97" s="1395"/>
      <c r="AL97" s="1395"/>
      <c r="AM97" s="1395"/>
      <c r="AN97" s="1395"/>
      <c r="AO97" s="1395"/>
      <c r="AP97" s="1395"/>
      <c r="AQ97" s="1395"/>
      <c r="AR97" s="1395"/>
      <c r="AS97" s="1395"/>
      <c r="AT97" s="1396"/>
      <c r="AU97" s="1413"/>
      <c r="AV97" s="1414"/>
    </row>
    <row r="98" spans="1:48" ht="20.100000000000001" customHeight="1" x14ac:dyDescent="0.25">
      <c r="A98" s="360"/>
      <c r="B98" s="1387"/>
      <c r="C98" s="1388"/>
      <c r="D98" s="1166" t="s">
        <v>188</v>
      </c>
      <c r="E98" s="1385"/>
      <c r="F98" s="1385"/>
      <c r="G98" s="1385"/>
      <c r="H98" s="2048">
        <v>0</v>
      </c>
      <c r="I98" s="2048">
        <v>0</v>
      </c>
      <c r="J98" s="2048">
        <v>0</v>
      </c>
      <c r="K98" s="1385"/>
      <c r="L98" s="1385"/>
      <c r="M98" s="1385"/>
      <c r="N98" s="2049"/>
      <c r="O98" s="2049"/>
      <c r="P98" s="2049"/>
      <c r="Q98" s="2028">
        <f t="shared" si="59"/>
        <v>0</v>
      </c>
      <c r="R98" s="2026">
        <f t="shared" si="57"/>
        <v>0</v>
      </c>
      <c r="S98" s="2029">
        <f t="shared" si="58"/>
        <v>0</v>
      </c>
      <c r="T98" s="853">
        <f t="shared" si="60"/>
        <v>0</v>
      </c>
      <c r="U98" s="1408" t="str">
        <f t="shared" si="61"/>
        <v>1.33</v>
      </c>
      <c r="V98" s="1408" t="str">
        <f t="shared" si="62"/>
        <v>D+</v>
      </c>
      <c r="W98" s="1408" t="str">
        <f t="shared" si="63"/>
        <v>0</v>
      </c>
      <c r="X98" s="1409"/>
      <c r="Y98" s="1393"/>
      <c r="Z98" s="1394"/>
      <c r="AA98" s="1394"/>
      <c r="AB98" s="1394"/>
      <c r="AC98" s="1394"/>
      <c r="AD98" s="1394"/>
      <c r="AE98" s="1394"/>
      <c r="AF98" s="1394"/>
      <c r="AG98" s="1394"/>
      <c r="AH98" s="1394"/>
      <c r="AI98" s="1394"/>
      <c r="AJ98" s="1395"/>
      <c r="AK98" s="1395"/>
      <c r="AL98" s="1395"/>
      <c r="AM98" s="1395"/>
      <c r="AN98" s="1395"/>
      <c r="AO98" s="1395"/>
      <c r="AP98" s="1395"/>
      <c r="AQ98" s="1395"/>
      <c r="AR98" s="1395"/>
      <c r="AS98" s="1395"/>
      <c r="AT98" s="1396"/>
      <c r="AU98" s="1413"/>
      <c r="AV98" s="1414"/>
    </row>
    <row r="99" spans="1:48" ht="20.100000000000001" customHeight="1" x14ac:dyDescent="0.25">
      <c r="A99" s="360"/>
      <c r="B99" s="1387"/>
      <c r="C99" s="1388"/>
      <c r="D99" s="1166" t="s">
        <v>569</v>
      </c>
      <c r="E99" s="1385"/>
      <c r="F99" s="1385"/>
      <c r="G99" s="1385"/>
      <c r="H99" s="2048"/>
      <c r="I99" s="2048"/>
      <c r="J99" s="2048"/>
      <c r="K99" s="1385">
        <v>0</v>
      </c>
      <c r="L99" s="1385">
        <v>0</v>
      </c>
      <c r="M99" s="1385">
        <v>0</v>
      </c>
      <c r="N99" s="2049"/>
      <c r="O99" s="2049"/>
      <c r="P99" s="2049"/>
      <c r="Q99" s="2028">
        <f t="shared" si="59"/>
        <v>0</v>
      </c>
      <c r="R99" s="2026">
        <f t="shared" si="57"/>
        <v>0</v>
      </c>
      <c r="S99" s="2029">
        <f t="shared" si="58"/>
        <v>0</v>
      </c>
      <c r="T99" s="853">
        <f t="shared" si="60"/>
        <v>0</v>
      </c>
      <c r="U99" s="1408" t="str">
        <f t="shared" si="61"/>
        <v>1.33</v>
      </c>
      <c r="V99" s="1408" t="str">
        <f t="shared" si="62"/>
        <v>D+</v>
      </c>
      <c r="W99" s="1408" t="str">
        <f t="shared" si="63"/>
        <v>0</v>
      </c>
      <c r="X99" s="1409"/>
      <c r="Y99" s="1393"/>
      <c r="Z99" s="1394"/>
      <c r="AA99" s="1394"/>
      <c r="AB99" s="1394"/>
      <c r="AC99" s="1394"/>
      <c r="AD99" s="1394"/>
      <c r="AE99" s="1394"/>
      <c r="AF99" s="1394"/>
      <c r="AG99" s="1394"/>
      <c r="AH99" s="1394"/>
      <c r="AI99" s="1394"/>
      <c r="AJ99" s="1395"/>
      <c r="AK99" s="1395"/>
      <c r="AL99" s="1395"/>
      <c r="AM99" s="1395"/>
      <c r="AN99" s="1395"/>
      <c r="AO99" s="1395"/>
      <c r="AP99" s="1395"/>
      <c r="AQ99" s="1395"/>
      <c r="AR99" s="1395"/>
      <c r="AS99" s="1395"/>
      <c r="AT99" s="1396"/>
      <c r="AU99" s="1413"/>
      <c r="AV99" s="1414"/>
    </row>
    <row r="100" spans="1:48" ht="20.100000000000001" customHeight="1" x14ac:dyDescent="0.25">
      <c r="A100" s="360"/>
      <c r="B100" s="1387"/>
      <c r="C100" s="1388"/>
      <c r="D100" s="1166" t="s">
        <v>209</v>
      </c>
      <c r="E100" s="1385"/>
      <c r="F100" s="1385"/>
      <c r="G100" s="1385"/>
      <c r="H100" s="2048"/>
      <c r="I100" s="2048"/>
      <c r="J100" s="2048"/>
      <c r="K100" s="1385"/>
      <c r="L100" s="1385"/>
      <c r="M100" s="1385"/>
      <c r="N100" s="2049">
        <v>0</v>
      </c>
      <c r="O100" s="2049">
        <v>0</v>
      </c>
      <c r="P100" s="2049">
        <v>0</v>
      </c>
      <c r="Q100" s="2028">
        <f t="shared" si="59"/>
        <v>0</v>
      </c>
      <c r="R100" s="2026">
        <f t="shared" si="57"/>
        <v>0</v>
      </c>
      <c r="S100" s="2029">
        <f t="shared" si="58"/>
        <v>0</v>
      </c>
      <c r="T100" s="853">
        <f t="shared" si="60"/>
        <v>0</v>
      </c>
      <c r="U100" s="1408" t="str">
        <f t="shared" si="61"/>
        <v>1.33</v>
      </c>
      <c r="V100" s="1408" t="str">
        <f t="shared" si="62"/>
        <v>D+</v>
      </c>
      <c r="W100" s="1408" t="str">
        <f t="shared" si="63"/>
        <v>0</v>
      </c>
      <c r="X100" s="1409"/>
      <c r="Y100" s="1393"/>
      <c r="Z100" s="1394"/>
      <c r="AA100" s="1394"/>
      <c r="AB100" s="1394"/>
      <c r="AC100" s="1394"/>
      <c r="AD100" s="1394"/>
      <c r="AE100" s="1394"/>
      <c r="AF100" s="1394"/>
      <c r="AG100" s="1394"/>
      <c r="AH100" s="1394"/>
      <c r="AI100" s="1394"/>
      <c r="AJ100" s="1395"/>
      <c r="AK100" s="1395"/>
      <c r="AL100" s="1395"/>
      <c r="AM100" s="1395"/>
      <c r="AN100" s="1395"/>
      <c r="AO100" s="1395"/>
      <c r="AP100" s="1395"/>
      <c r="AQ100" s="1395"/>
      <c r="AR100" s="1395"/>
      <c r="AS100" s="1395"/>
      <c r="AT100" s="1396"/>
      <c r="AU100" s="1413"/>
      <c r="AV100" s="1414"/>
    </row>
    <row r="101" spans="1:48" ht="20.100000000000001" customHeight="1" x14ac:dyDescent="0.25">
      <c r="A101" s="360"/>
      <c r="B101" s="1387"/>
      <c r="C101" s="1388"/>
      <c r="D101" s="1166" t="s">
        <v>210</v>
      </c>
      <c r="E101" s="1385"/>
      <c r="F101" s="1385"/>
      <c r="G101" s="1385"/>
      <c r="H101" s="2048"/>
      <c r="I101" s="2048"/>
      <c r="J101" s="2048"/>
      <c r="K101" s="1385"/>
      <c r="L101" s="1385"/>
      <c r="M101" s="1385"/>
      <c r="N101" s="2049">
        <v>0</v>
      </c>
      <c r="O101" s="2049">
        <v>0</v>
      </c>
      <c r="P101" s="2049">
        <v>0</v>
      </c>
      <c r="Q101" s="2028">
        <f t="shared" si="59"/>
        <v>0</v>
      </c>
      <c r="R101" s="2026">
        <f t="shared" si="57"/>
        <v>0</v>
      </c>
      <c r="S101" s="2029">
        <f t="shared" si="58"/>
        <v>0</v>
      </c>
      <c r="T101" s="853">
        <f t="shared" si="60"/>
        <v>0</v>
      </c>
      <c r="U101" s="1408" t="str">
        <f t="shared" si="61"/>
        <v>1.33</v>
      </c>
      <c r="V101" s="1408" t="str">
        <f t="shared" si="62"/>
        <v>D+</v>
      </c>
      <c r="W101" s="1408" t="str">
        <f t="shared" si="63"/>
        <v>0</v>
      </c>
      <c r="X101" s="1409"/>
      <c r="Y101" s="1397"/>
      <c r="Z101" s="1398"/>
      <c r="AA101" s="1398"/>
      <c r="AB101" s="1398"/>
      <c r="AC101" s="1398"/>
      <c r="AD101" s="1398"/>
      <c r="AE101" s="1398"/>
      <c r="AF101" s="1398"/>
      <c r="AG101" s="1398"/>
      <c r="AH101" s="1398"/>
      <c r="AI101" s="1398"/>
      <c r="AJ101" s="1399"/>
      <c r="AK101" s="1399"/>
      <c r="AL101" s="1399"/>
      <c r="AM101" s="1399"/>
      <c r="AN101" s="1399"/>
      <c r="AO101" s="1399"/>
      <c r="AP101" s="1399"/>
      <c r="AQ101" s="1399"/>
      <c r="AR101" s="1399"/>
      <c r="AS101" s="1399"/>
      <c r="AT101" s="1400"/>
      <c r="AU101" s="1415"/>
      <c r="AV101" s="1416"/>
    </row>
    <row r="102" spans="1:48" ht="20.100000000000001" customHeight="1" x14ac:dyDescent="0.25">
      <c r="A102" s="727"/>
      <c r="B102" s="1406">
        <v>8</v>
      </c>
      <c r="C102" s="1407"/>
      <c r="D102" s="1004"/>
      <c r="E102" s="2780"/>
      <c r="F102" s="2781"/>
      <c r="G102" s="2781"/>
      <c r="H102" s="2781"/>
      <c r="I102" s="2046"/>
      <c r="J102" s="2046"/>
      <c r="K102" s="2046"/>
      <c r="L102" s="2046"/>
      <c r="M102" s="2046"/>
      <c r="N102" s="2046"/>
      <c r="O102" s="2046"/>
      <c r="P102" s="2046"/>
      <c r="Q102" s="2046"/>
      <c r="R102" s="2046"/>
      <c r="S102" s="2046"/>
      <c r="T102" s="2044">
        <f>IFERROR(AVERAGE(T91:T101),"  ")</f>
        <v>0</v>
      </c>
      <c r="U102" s="2045" t="str">
        <f>IF(X102&gt;85,("4"),IF(X102&gt;80,("3.66"),IF(X102&gt;75,("3.33"),IF(X102&gt;70,("3.00"),IF(X102&gt;65,("2.66"),IF(X102&gt;60,("2.33"),IF(X102&gt;55,("2"),IF(X102&gt;50,("1.66"),"1.33"))))))))</f>
        <v>1.33</v>
      </c>
      <c r="V102" s="2045" t="str">
        <f>IF(X102&gt;85,("A"),IF(X102&gt;80,("A-"),IF(X102&gt;75,("B+"),IF(X102&gt;70,("B"),IF(X102&gt;65,("B-"),IF(X102&gt;60,("C+"),IF(X102&gt;55,("C"),IF(X102&gt;50,("C-"),"D+"))))))))</f>
        <v>D+</v>
      </c>
      <c r="W102" s="2045"/>
      <c r="X102" s="888">
        <f>MAX(T91:T101)</f>
        <v>0</v>
      </c>
      <c r="Y102" s="1403"/>
      <c r="Z102" s="1404"/>
      <c r="AA102" s="1404"/>
      <c r="AB102" s="1404"/>
      <c r="AC102" s="1404"/>
      <c r="AD102" s="1404"/>
      <c r="AE102" s="1404"/>
      <c r="AF102" s="1404"/>
      <c r="AG102" s="1404"/>
      <c r="AH102" s="1404"/>
      <c r="AI102" s="1404"/>
      <c r="AJ102" s="1404"/>
      <c r="AK102" s="1404"/>
      <c r="AL102" s="1404"/>
      <c r="AM102" s="1404"/>
      <c r="AN102" s="1404"/>
      <c r="AO102" s="1404"/>
      <c r="AP102" s="1404"/>
      <c r="AQ102" s="1404"/>
      <c r="AR102" s="1404"/>
      <c r="AS102" s="1404"/>
      <c r="AT102" s="1405"/>
      <c r="AU102" s="1257"/>
      <c r="AV102" s="1258"/>
    </row>
    <row r="103" spans="1:48" ht="20.100000000000001" customHeight="1" x14ac:dyDescent="0.25">
      <c r="A103" s="724">
        <v>9</v>
      </c>
      <c r="B103" s="1383"/>
      <c r="C103" s="1384" t="str">
        <f>VLOOKUP(A103,data_siswa,4,FALSE)</f>
        <v>Claudia Gabriella L</v>
      </c>
      <c r="D103" s="1166" t="s">
        <v>154</v>
      </c>
      <c r="E103" s="2050">
        <v>0</v>
      </c>
      <c r="F103" s="2050">
        <v>0</v>
      </c>
      <c r="G103" s="2050">
        <v>0</v>
      </c>
      <c r="H103" s="2051"/>
      <c r="I103" s="2051"/>
      <c r="J103" s="2051"/>
      <c r="K103" s="2050"/>
      <c r="L103" s="2050"/>
      <c r="M103" s="2050"/>
      <c r="N103" s="2052"/>
      <c r="O103" s="2052"/>
      <c r="P103" s="2052"/>
      <c r="Q103" s="2028">
        <f>MAX(E103,H103,K103,N103)</f>
        <v>0</v>
      </c>
      <c r="R103" s="2026">
        <f t="shared" ref="R103:R113" si="64">MAX(F103,I103,L103,O103)</f>
        <v>0</v>
      </c>
      <c r="S103" s="2029">
        <f t="shared" ref="S103:S113" si="65">MAX(G103,J103,M103,P103)</f>
        <v>0</v>
      </c>
      <c r="T103" s="853">
        <f>IFERROR(AVERAGE(Q103:S103),"")</f>
        <v>0</v>
      </c>
      <c r="U103" s="1408" t="str">
        <f>IF(T103&gt;85,("4"),IF(T103&gt;80,("3.66"),IF(T103&gt;75,("3.33"),IF(T103&gt;70,("3.00"),IF(T103&gt;65,("2.66"),IF(T103&gt;60,("2.33"),IF(T103&gt;55,("2"),IF(T103&gt;50,("1.66"),"1.33"))))))))</f>
        <v>1.33</v>
      </c>
      <c r="V103" s="1408" t="str">
        <f>IF(T103&gt;85,("A"),IF(T103&gt;80,("A-"),IF(T103&gt;75,("B+"),IF(T103&gt;70,("B"),IF(T103&gt;65,("B-"),IF(T103&gt;60,("C+"),IF(T103&gt;55,("C"),IF(T103&gt;50,("C-"),"D+"))))))))</f>
        <v>D+</v>
      </c>
      <c r="W103" s="1408" t="str">
        <f>IF(T103&gt;80,("SB"),IF(T103&gt;65,("B"),IF(T103&gt;50,("C"),IF(T103&gt;0,("K"),"0"))))</f>
        <v>0</v>
      </c>
      <c r="X103" s="1408"/>
      <c r="Y103" s="749"/>
      <c r="Z103" s="749"/>
      <c r="AA103" s="749"/>
      <c r="AB103" s="749"/>
      <c r="AC103" s="749"/>
      <c r="AD103" s="749"/>
      <c r="AE103" s="749"/>
      <c r="AF103" s="749"/>
      <c r="AG103" s="749"/>
      <c r="AH103" s="749"/>
      <c r="AI103" s="749"/>
      <c r="AJ103" s="1386"/>
      <c r="AK103" s="1386"/>
      <c r="AL103" s="1386"/>
      <c r="AM103" s="1386"/>
      <c r="AN103" s="1386"/>
      <c r="AO103" s="1386"/>
      <c r="AP103" s="1386"/>
      <c r="AQ103" s="1386"/>
      <c r="AR103" s="1386"/>
      <c r="AS103" s="1386"/>
      <c r="AT103" s="1386"/>
      <c r="AU103" s="1057">
        <f>T114</f>
        <v>0</v>
      </c>
      <c r="AV103" s="1194" t="str">
        <f>IF(AU103&gt;85,("A"),IF(AU103&gt;80,("A-"),IF(AU103&gt;75,("B+"),IF(AU103&gt;70,("B"),IF(AU103&gt;65,("B-"),IF(AU103&gt;60,("C+"),IF(AU103&gt;55,("C"),IF(AU103&gt;50,("C-"),"D+"))))))))</f>
        <v>D+</v>
      </c>
    </row>
    <row r="104" spans="1:48" ht="20.100000000000001" customHeight="1" x14ac:dyDescent="0.25">
      <c r="A104" s="360"/>
      <c r="B104" s="1387"/>
      <c r="C104" s="1388"/>
      <c r="D104" s="1166" t="s">
        <v>155</v>
      </c>
      <c r="E104" s="1493"/>
      <c r="F104" s="1493"/>
      <c r="G104" s="1493"/>
      <c r="H104" s="2040"/>
      <c r="I104" s="2040"/>
      <c r="J104" s="2040"/>
      <c r="K104" s="1493"/>
      <c r="L104" s="1493"/>
      <c r="M104" s="1493"/>
      <c r="N104" s="2039">
        <v>0</v>
      </c>
      <c r="O104" s="2039">
        <v>0</v>
      </c>
      <c r="P104" s="2039">
        <v>0</v>
      </c>
      <c r="Q104" s="2028">
        <f t="shared" ref="Q104:Q113" si="66">MAX(E104,H104,K104,N104)</f>
        <v>0</v>
      </c>
      <c r="R104" s="2026">
        <f t="shared" si="64"/>
        <v>0</v>
      </c>
      <c r="S104" s="2029">
        <f t="shared" si="65"/>
        <v>0</v>
      </c>
      <c r="T104" s="853">
        <f t="shared" ref="T104:T113" si="67">IFERROR(AVERAGE(Q104:S104),"")</f>
        <v>0</v>
      </c>
      <c r="U104" s="1408" t="str">
        <f t="shared" ref="U104:U113" si="68">IF(T104&gt;85,("4"),IF(T104&gt;80,("3.66"),IF(T104&gt;75,("3.33"),IF(T104&gt;70,("3.00"),IF(T104&gt;65,("2.66"),IF(T104&gt;60,("2.33"),IF(T104&gt;55,("2"),IF(T104&gt;50,("1.66"),"1.33"))))))))</f>
        <v>1.33</v>
      </c>
      <c r="V104" s="1408" t="str">
        <f t="shared" ref="V104:V113" si="69">IF(T104&gt;85,("A"),IF(T104&gt;80,("A-"),IF(T104&gt;75,("B+"),IF(T104&gt;70,("B"),IF(T104&gt;65,("B-"),IF(T104&gt;60,("C+"),IF(T104&gt;55,("C"),IF(T104&gt;50,("C-"),"D+"))))))))</f>
        <v>D+</v>
      </c>
      <c r="W104" s="1408" t="str">
        <f t="shared" ref="W104:W113" si="70">IF(T104&gt;80,("SB"),IF(T104&gt;65,("B"),IF(T104&gt;50,("C"),IF(T104&gt;0,("K"),"0"))))</f>
        <v>0</v>
      </c>
      <c r="X104" s="1409"/>
      <c r="Y104" s="1389"/>
      <c r="Z104" s="1390"/>
      <c r="AA104" s="1390"/>
      <c r="AB104" s="1390"/>
      <c r="AC104" s="1390"/>
      <c r="AD104" s="1390"/>
      <c r="AE104" s="1390"/>
      <c r="AF104" s="1390"/>
      <c r="AG104" s="1390"/>
      <c r="AH104" s="1390"/>
      <c r="AI104" s="1390"/>
      <c r="AJ104" s="1391"/>
      <c r="AK104" s="1391"/>
      <c r="AL104" s="1391"/>
      <c r="AM104" s="1391"/>
      <c r="AN104" s="1391"/>
      <c r="AO104" s="1391"/>
      <c r="AP104" s="1391"/>
      <c r="AQ104" s="1391"/>
      <c r="AR104" s="1391"/>
      <c r="AS104" s="1391"/>
      <c r="AT104" s="1392"/>
      <c r="AU104" s="1411"/>
      <c r="AV104" s="1412"/>
    </row>
    <row r="105" spans="1:48" ht="20.100000000000001" customHeight="1" x14ac:dyDescent="0.25">
      <c r="A105" s="360"/>
      <c r="B105" s="1387"/>
      <c r="C105" s="1388"/>
      <c r="D105" s="1166" t="s">
        <v>16</v>
      </c>
      <c r="E105" s="1493"/>
      <c r="F105" s="1493"/>
      <c r="G105" s="1493"/>
      <c r="H105" s="2040">
        <v>0</v>
      </c>
      <c r="I105" s="2040">
        <v>0</v>
      </c>
      <c r="J105" s="2040">
        <v>0</v>
      </c>
      <c r="K105" s="1493"/>
      <c r="L105" s="1493"/>
      <c r="M105" s="1493"/>
      <c r="N105" s="2052"/>
      <c r="O105" s="2052"/>
      <c r="P105" s="2052"/>
      <c r="Q105" s="2028">
        <f t="shared" si="66"/>
        <v>0</v>
      </c>
      <c r="R105" s="2026">
        <f t="shared" si="64"/>
        <v>0</v>
      </c>
      <c r="S105" s="2029">
        <f t="shared" si="65"/>
        <v>0</v>
      </c>
      <c r="T105" s="853">
        <f t="shared" si="67"/>
        <v>0</v>
      </c>
      <c r="U105" s="1408" t="str">
        <f t="shared" si="68"/>
        <v>1.33</v>
      </c>
      <c r="V105" s="1408" t="str">
        <f t="shared" si="69"/>
        <v>D+</v>
      </c>
      <c r="W105" s="1408" t="str">
        <f t="shared" si="70"/>
        <v>0</v>
      </c>
      <c r="X105" s="1409"/>
      <c r="Y105" s="1393"/>
      <c r="Z105" s="1394"/>
      <c r="AA105" s="1394"/>
      <c r="AB105" s="1394"/>
      <c r="AC105" s="1394"/>
      <c r="AD105" s="1394"/>
      <c r="AE105" s="1394"/>
      <c r="AF105" s="1394"/>
      <c r="AG105" s="1394"/>
      <c r="AH105" s="1394"/>
      <c r="AI105" s="1394"/>
      <c r="AJ105" s="1395"/>
      <c r="AK105" s="1395"/>
      <c r="AL105" s="1395"/>
      <c r="AM105" s="1395"/>
      <c r="AN105" s="1395"/>
      <c r="AO105" s="1395"/>
      <c r="AP105" s="1395"/>
      <c r="AQ105" s="1395"/>
      <c r="AR105" s="1395"/>
      <c r="AS105" s="1395"/>
      <c r="AT105" s="1396"/>
      <c r="AU105" s="1413"/>
      <c r="AV105" s="1414"/>
    </row>
    <row r="106" spans="1:48" ht="20.100000000000001" customHeight="1" x14ac:dyDescent="0.25">
      <c r="A106" s="360"/>
      <c r="B106" s="1387"/>
      <c r="C106" s="1388"/>
      <c r="D106" s="1166" t="s">
        <v>189</v>
      </c>
      <c r="E106" s="1493"/>
      <c r="F106" s="1493"/>
      <c r="G106" s="1493"/>
      <c r="H106" s="2040">
        <v>0</v>
      </c>
      <c r="I106" s="2040">
        <v>0</v>
      </c>
      <c r="J106" s="2040">
        <v>0</v>
      </c>
      <c r="K106" s="1493"/>
      <c r="L106" s="1493"/>
      <c r="M106" s="1493"/>
      <c r="N106" s="2039"/>
      <c r="O106" s="2039"/>
      <c r="P106" s="2039"/>
      <c r="Q106" s="2028">
        <f t="shared" si="66"/>
        <v>0</v>
      </c>
      <c r="R106" s="2026">
        <f t="shared" si="64"/>
        <v>0</v>
      </c>
      <c r="S106" s="2029">
        <f t="shared" si="65"/>
        <v>0</v>
      </c>
      <c r="T106" s="853">
        <f t="shared" si="67"/>
        <v>0</v>
      </c>
      <c r="U106" s="1408" t="str">
        <f t="shared" si="68"/>
        <v>1.33</v>
      </c>
      <c r="V106" s="1408" t="str">
        <f t="shared" si="69"/>
        <v>D+</v>
      </c>
      <c r="W106" s="1408" t="str">
        <f t="shared" si="70"/>
        <v>0</v>
      </c>
      <c r="X106" s="1409"/>
      <c r="Y106" s="1393"/>
      <c r="Z106" s="1394"/>
      <c r="AA106" s="1394"/>
      <c r="AB106" s="1394"/>
      <c r="AC106" s="1394"/>
      <c r="AD106" s="1394"/>
      <c r="AE106" s="1394"/>
      <c r="AF106" s="1394"/>
      <c r="AG106" s="1394"/>
      <c r="AH106" s="1394"/>
      <c r="AI106" s="1394"/>
      <c r="AJ106" s="1395"/>
      <c r="AK106" s="1395"/>
      <c r="AL106" s="1395"/>
      <c r="AM106" s="1395"/>
      <c r="AN106" s="1395"/>
      <c r="AO106" s="1395"/>
      <c r="AP106" s="1395"/>
      <c r="AQ106" s="1395"/>
      <c r="AR106" s="1395"/>
      <c r="AS106" s="1395"/>
      <c r="AT106" s="1396"/>
      <c r="AU106" s="1413"/>
      <c r="AV106" s="1414"/>
    </row>
    <row r="107" spans="1:48" ht="20.100000000000001" customHeight="1" x14ac:dyDescent="0.25">
      <c r="A107" s="360"/>
      <c r="B107" s="1387"/>
      <c r="C107" s="1388"/>
      <c r="D107" s="1166" t="s">
        <v>186</v>
      </c>
      <c r="E107" s="1493"/>
      <c r="F107" s="1493"/>
      <c r="G107" s="1493"/>
      <c r="H107" s="2040">
        <v>0</v>
      </c>
      <c r="I107" s="2040">
        <v>0</v>
      </c>
      <c r="J107" s="2040">
        <v>0</v>
      </c>
      <c r="K107" s="1493"/>
      <c r="L107" s="1493"/>
      <c r="M107" s="1493"/>
      <c r="N107" s="2039"/>
      <c r="O107" s="2039"/>
      <c r="P107" s="2039"/>
      <c r="Q107" s="2028">
        <f t="shared" si="66"/>
        <v>0</v>
      </c>
      <c r="R107" s="2026">
        <f t="shared" si="64"/>
        <v>0</v>
      </c>
      <c r="S107" s="2029">
        <f t="shared" si="65"/>
        <v>0</v>
      </c>
      <c r="T107" s="853">
        <f t="shared" si="67"/>
        <v>0</v>
      </c>
      <c r="U107" s="1408" t="str">
        <f t="shared" si="68"/>
        <v>1.33</v>
      </c>
      <c r="V107" s="1408" t="str">
        <f t="shared" si="69"/>
        <v>D+</v>
      </c>
      <c r="W107" s="1408" t="str">
        <f t="shared" si="70"/>
        <v>0</v>
      </c>
      <c r="X107" s="1409"/>
      <c r="Y107" s="1393"/>
      <c r="Z107" s="1394"/>
      <c r="AA107" s="1394"/>
      <c r="AB107" s="1394"/>
      <c r="AC107" s="1394"/>
      <c r="AD107" s="1394"/>
      <c r="AE107" s="1394"/>
      <c r="AF107" s="1394"/>
      <c r="AG107" s="1394"/>
      <c r="AH107" s="1394"/>
      <c r="AI107" s="1394"/>
      <c r="AJ107" s="1395"/>
      <c r="AK107" s="1395"/>
      <c r="AL107" s="1395"/>
      <c r="AM107" s="1395"/>
      <c r="AN107" s="1395"/>
      <c r="AO107" s="1395"/>
      <c r="AP107" s="1395"/>
      <c r="AQ107" s="1395"/>
      <c r="AR107" s="1395"/>
      <c r="AS107" s="1395"/>
      <c r="AT107" s="1396"/>
      <c r="AU107" s="1413"/>
      <c r="AV107" s="1414"/>
    </row>
    <row r="108" spans="1:48" ht="20.100000000000001" customHeight="1" x14ac:dyDescent="0.25">
      <c r="A108" s="360"/>
      <c r="B108" s="1387"/>
      <c r="C108" s="1388"/>
      <c r="D108" s="1166" t="s">
        <v>187</v>
      </c>
      <c r="E108" s="1385"/>
      <c r="F108" s="1385"/>
      <c r="G108" s="1385"/>
      <c r="H108" s="2048"/>
      <c r="I108" s="2048"/>
      <c r="J108" s="2048"/>
      <c r="K108" s="1385">
        <v>0</v>
      </c>
      <c r="L108" s="1385">
        <v>0</v>
      </c>
      <c r="M108" s="1385">
        <v>0</v>
      </c>
      <c r="N108" s="2049"/>
      <c r="O108" s="2049"/>
      <c r="P108" s="2049"/>
      <c r="Q108" s="2028">
        <f t="shared" si="66"/>
        <v>0</v>
      </c>
      <c r="R108" s="2026">
        <f t="shared" si="64"/>
        <v>0</v>
      </c>
      <c r="S108" s="2029">
        <f t="shared" si="65"/>
        <v>0</v>
      </c>
      <c r="T108" s="853">
        <f t="shared" si="67"/>
        <v>0</v>
      </c>
      <c r="U108" s="1408" t="str">
        <f t="shared" si="68"/>
        <v>1.33</v>
      </c>
      <c r="V108" s="1408" t="str">
        <f t="shared" si="69"/>
        <v>D+</v>
      </c>
      <c r="W108" s="1408" t="str">
        <f t="shared" si="70"/>
        <v>0</v>
      </c>
      <c r="X108" s="1409"/>
      <c r="Y108" s="1393"/>
      <c r="Z108" s="1394"/>
      <c r="AA108" s="1394"/>
      <c r="AB108" s="1394"/>
      <c r="AC108" s="1394"/>
      <c r="AD108" s="1394"/>
      <c r="AE108" s="1394"/>
      <c r="AF108" s="1394"/>
      <c r="AG108" s="1394"/>
      <c r="AH108" s="1394"/>
      <c r="AI108" s="1394"/>
      <c r="AJ108" s="1395"/>
      <c r="AK108" s="1395"/>
      <c r="AL108" s="1395"/>
      <c r="AM108" s="1395"/>
      <c r="AN108" s="1395"/>
      <c r="AO108" s="1395"/>
      <c r="AP108" s="1395"/>
      <c r="AQ108" s="1395"/>
      <c r="AR108" s="1395"/>
      <c r="AS108" s="1395"/>
      <c r="AT108" s="1396"/>
      <c r="AU108" s="1413"/>
      <c r="AV108" s="1414"/>
    </row>
    <row r="109" spans="1:48" ht="20.100000000000001" customHeight="1" x14ac:dyDescent="0.25">
      <c r="A109" s="360"/>
      <c r="B109" s="1387"/>
      <c r="C109" s="1388"/>
      <c r="D109" s="1166" t="s">
        <v>17</v>
      </c>
      <c r="E109" s="1385">
        <v>0</v>
      </c>
      <c r="F109" s="1385">
        <v>0</v>
      </c>
      <c r="G109" s="1385">
        <v>0</v>
      </c>
      <c r="H109" s="2048">
        <v>0</v>
      </c>
      <c r="I109" s="2048">
        <v>0</v>
      </c>
      <c r="J109" s="2048">
        <v>0</v>
      </c>
      <c r="K109" s="1385"/>
      <c r="L109" s="1385"/>
      <c r="M109" s="1385"/>
      <c r="N109" s="2049"/>
      <c r="O109" s="2049"/>
      <c r="P109" s="2049"/>
      <c r="Q109" s="2028">
        <f t="shared" si="66"/>
        <v>0</v>
      </c>
      <c r="R109" s="2026">
        <f t="shared" si="64"/>
        <v>0</v>
      </c>
      <c r="S109" s="2029">
        <f t="shared" si="65"/>
        <v>0</v>
      </c>
      <c r="T109" s="853">
        <f t="shared" si="67"/>
        <v>0</v>
      </c>
      <c r="U109" s="1408" t="str">
        <f t="shared" si="68"/>
        <v>1.33</v>
      </c>
      <c r="V109" s="1408" t="str">
        <f t="shared" si="69"/>
        <v>D+</v>
      </c>
      <c r="W109" s="1408" t="str">
        <f t="shared" si="70"/>
        <v>0</v>
      </c>
      <c r="X109" s="1409"/>
      <c r="Y109" s="1393"/>
      <c r="Z109" s="1394"/>
      <c r="AA109" s="1394"/>
      <c r="AB109" s="1394"/>
      <c r="AC109" s="1394"/>
      <c r="AD109" s="1394"/>
      <c r="AE109" s="1394"/>
      <c r="AF109" s="1394"/>
      <c r="AG109" s="1394"/>
      <c r="AH109" s="1394"/>
      <c r="AI109" s="1394"/>
      <c r="AJ109" s="1395"/>
      <c r="AK109" s="1395"/>
      <c r="AL109" s="1395"/>
      <c r="AM109" s="1395"/>
      <c r="AN109" s="1395"/>
      <c r="AO109" s="1395"/>
      <c r="AP109" s="1395"/>
      <c r="AQ109" s="1395"/>
      <c r="AR109" s="1395"/>
      <c r="AS109" s="1395"/>
      <c r="AT109" s="1396"/>
      <c r="AU109" s="1413"/>
      <c r="AV109" s="1414"/>
    </row>
    <row r="110" spans="1:48" ht="20.100000000000001" customHeight="1" x14ac:dyDescent="0.25">
      <c r="A110" s="360"/>
      <c r="B110" s="1387"/>
      <c r="C110" s="1388"/>
      <c r="D110" s="1166" t="s">
        <v>188</v>
      </c>
      <c r="E110" s="1385"/>
      <c r="F110" s="1385"/>
      <c r="G110" s="1385"/>
      <c r="H110" s="2048">
        <v>0</v>
      </c>
      <c r="I110" s="2048">
        <v>0</v>
      </c>
      <c r="J110" s="2048">
        <v>0</v>
      </c>
      <c r="K110" s="1385"/>
      <c r="L110" s="1385"/>
      <c r="M110" s="1385"/>
      <c r="N110" s="2049"/>
      <c r="O110" s="2049"/>
      <c r="P110" s="2049"/>
      <c r="Q110" s="2028">
        <f t="shared" si="66"/>
        <v>0</v>
      </c>
      <c r="R110" s="2026">
        <f t="shared" si="64"/>
        <v>0</v>
      </c>
      <c r="S110" s="2029">
        <f t="shared" si="65"/>
        <v>0</v>
      </c>
      <c r="T110" s="853">
        <f t="shared" si="67"/>
        <v>0</v>
      </c>
      <c r="U110" s="1408" t="str">
        <f t="shared" si="68"/>
        <v>1.33</v>
      </c>
      <c r="V110" s="1408" t="str">
        <f t="shared" si="69"/>
        <v>D+</v>
      </c>
      <c r="W110" s="1408" t="str">
        <f t="shared" si="70"/>
        <v>0</v>
      </c>
      <c r="X110" s="1409"/>
      <c r="Y110" s="1393"/>
      <c r="Z110" s="1394"/>
      <c r="AA110" s="1394"/>
      <c r="AB110" s="1394"/>
      <c r="AC110" s="1394"/>
      <c r="AD110" s="1394"/>
      <c r="AE110" s="1394"/>
      <c r="AF110" s="1394"/>
      <c r="AG110" s="1394"/>
      <c r="AH110" s="1394"/>
      <c r="AI110" s="1394"/>
      <c r="AJ110" s="1395"/>
      <c r="AK110" s="1395"/>
      <c r="AL110" s="1395"/>
      <c r="AM110" s="1395"/>
      <c r="AN110" s="1395"/>
      <c r="AO110" s="1395"/>
      <c r="AP110" s="1395"/>
      <c r="AQ110" s="1395"/>
      <c r="AR110" s="1395"/>
      <c r="AS110" s="1395"/>
      <c r="AT110" s="1396"/>
      <c r="AU110" s="1413"/>
      <c r="AV110" s="1414"/>
    </row>
    <row r="111" spans="1:48" ht="20.100000000000001" customHeight="1" x14ac:dyDescent="0.25">
      <c r="A111" s="360"/>
      <c r="B111" s="1387"/>
      <c r="C111" s="1388"/>
      <c r="D111" s="1166" t="s">
        <v>569</v>
      </c>
      <c r="E111" s="1385"/>
      <c r="F111" s="1385"/>
      <c r="G111" s="1385"/>
      <c r="H111" s="2048"/>
      <c r="I111" s="2048"/>
      <c r="J111" s="2048"/>
      <c r="K111" s="1385">
        <v>0</v>
      </c>
      <c r="L111" s="1385">
        <v>0</v>
      </c>
      <c r="M111" s="1385">
        <v>0</v>
      </c>
      <c r="N111" s="2049"/>
      <c r="O111" s="2049"/>
      <c r="P111" s="2049"/>
      <c r="Q111" s="2028">
        <f t="shared" si="66"/>
        <v>0</v>
      </c>
      <c r="R111" s="2026">
        <f t="shared" si="64"/>
        <v>0</v>
      </c>
      <c r="S111" s="2029">
        <f t="shared" si="65"/>
        <v>0</v>
      </c>
      <c r="T111" s="853">
        <f t="shared" si="67"/>
        <v>0</v>
      </c>
      <c r="U111" s="1408" t="str">
        <f t="shared" si="68"/>
        <v>1.33</v>
      </c>
      <c r="V111" s="1408" t="str">
        <f t="shared" si="69"/>
        <v>D+</v>
      </c>
      <c r="W111" s="1408" t="str">
        <f t="shared" si="70"/>
        <v>0</v>
      </c>
      <c r="X111" s="1409"/>
      <c r="Y111" s="1393"/>
      <c r="Z111" s="1394"/>
      <c r="AA111" s="1394"/>
      <c r="AB111" s="1394"/>
      <c r="AC111" s="1394"/>
      <c r="AD111" s="1394"/>
      <c r="AE111" s="1394"/>
      <c r="AF111" s="1394"/>
      <c r="AG111" s="1394"/>
      <c r="AH111" s="1394"/>
      <c r="AI111" s="1394"/>
      <c r="AJ111" s="1395"/>
      <c r="AK111" s="1395"/>
      <c r="AL111" s="1395"/>
      <c r="AM111" s="1395"/>
      <c r="AN111" s="1395"/>
      <c r="AO111" s="1395"/>
      <c r="AP111" s="1395"/>
      <c r="AQ111" s="1395"/>
      <c r="AR111" s="1395"/>
      <c r="AS111" s="1395"/>
      <c r="AT111" s="1396"/>
      <c r="AU111" s="1413"/>
      <c r="AV111" s="1414"/>
    </row>
    <row r="112" spans="1:48" ht="20.100000000000001" customHeight="1" x14ac:dyDescent="0.25">
      <c r="A112" s="360"/>
      <c r="B112" s="1387"/>
      <c r="C112" s="1388"/>
      <c r="D112" s="1166" t="s">
        <v>209</v>
      </c>
      <c r="E112" s="1385"/>
      <c r="F112" s="1385"/>
      <c r="G112" s="1385"/>
      <c r="H112" s="2048"/>
      <c r="I112" s="2048"/>
      <c r="J112" s="2048"/>
      <c r="K112" s="1385"/>
      <c r="L112" s="1385"/>
      <c r="M112" s="1385"/>
      <c r="N112" s="2049">
        <v>0</v>
      </c>
      <c r="O112" s="2049">
        <v>0</v>
      </c>
      <c r="P112" s="2049">
        <v>0</v>
      </c>
      <c r="Q112" s="2028">
        <f t="shared" si="66"/>
        <v>0</v>
      </c>
      <c r="R112" s="2026">
        <f t="shared" si="64"/>
        <v>0</v>
      </c>
      <c r="S112" s="2029">
        <f t="shared" si="65"/>
        <v>0</v>
      </c>
      <c r="T112" s="853">
        <f t="shared" si="67"/>
        <v>0</v>
      </c>
      <c r="U112" s="1408" t="str">
        <f t="shared" si="68"/>
        <v>1.33</v>
      </c>
      <c r="V112" s="1408" t="str">
        <f t="shared" si="69"/>
        <v>D+</v>
      </c>
      <c r="W112" s="1408" t="str">
        <f t="shared" si="70"/>
        <v>0</v>
      </c>
      <c r="X112" s="1409"/>
      <c r="Y112" s="1393"/>
      <c r="Z112" s="1394"/>
      <c r="AA112" s="1394"/>
      <c r="AB112" s="1394"/>
      <c r="AC112" s="1394"/>
      <c r="AD112" s="1394"/>
      <c r="AE112" s="1394"/>
      <c r="AF112" s="1394"/>
      <c r="AG112" s="1394"/>
      <c r="AH112" s="1394"/>
      <c r="AI112" s="1394"/>
      <c r="AJ112" s="1395"/>
      <c r="AK112" s="1395"/>
      <c r="AL112" s="1395"/>
      <c r="AM112" s="1395"/>
      <c r="AN112" s="1395"/>
      <c r="AO112" s="1395"/>
      <c r="AP112" s="1395"/>
      <c r="AQ112" s="1395"/>
      <c r="AR112" s="1395"/>
      <c r="AS112" s="1395"/>
      <c r="AT112" s="1396"/>
      <c r="AU112" s="1413"/>
      <c r="AV112" s="1414"/>
    </row>
    <row r="113" spans="1:48" ht="20.100000000000001" customHeight="1" x14ac:dyDescent="0.25">
      <c r="A113" s="360"/>
      <c r="B113" s="1387"/>
      <c r="C113" s="1388"/>
      <c r="D113" s="1166" t="s">
        <v>210</v>
      </c>
      <c r="E113" s="1385"/>
      <c r="F113" s="1385"/>
      <c r="G113" s="1385"/>
      <c r="H113" s="2048"/>
      <c r="I113" s="2048"/>
      <c r="J113" s="2048"/>
      <c r="K113" s="1385"/>
      <c r="L113" s="1385"/>
      <c r="M113" s="1385"/>
      <c r="N113" s="2049">
        <v>0</v>
      </c>
      <c r="O113" s="2049">
        <v>0</v>
      </c>
      <c r="P113" s="2049">
        <v>0</v>
      </c>
      <c r="Q113" s="2028">
        <f t="shared" si="66"/>
        <v>0</v>
      </c>
      <c r="R113" s="2026">
        <f t="shared" si="64"/>
        <v>0</v>
      </c>
      <c r="S113" s="2029">
        <f t="shared" si="65"/>
        <v>0</v>
      </c>
      <c r="T113" s="853">
        <f t="shared" si="67"/>
        <v>0</v>
      </c>
      <c r="U113" s="1408" t="str">
        <f t="shared" si="68"/>
        <v>1.33</v>
      </c>
      <c r="V113" s="1408" t="str">
        <f t="shared" si="69"/>
        <v>D+</v>
      </c>
      <c r="W113" s="1408" t="str">
        <f t="shared" si="70"/>
        <v>0</v>
      </c>
      <c r="X113" s="1409"/>
      <c r="Y113" s="1397"/>
      <c r="Z113" s="1398"/>
      <c r="AA113" s="1398"/>
      <c r="AB113" s="1398"/>
      <c r="AC113" s="1398"/>
      <c r="AD113" s="1398"/>
      <c r="AE113" s="1398"/>
      <c r="AF113" s="1398"/>
      <c r="AG113" s="1398"/>
      <c r="AH113" s="1398"/>
      <c r="AI113" s="1398"/>
      <c r="AJ113" s="1399"/>
      <c r="AK113" s="1399"/>
      <c r="AL113" s="1399"/>
      <c r="AM113" s="1399"/>
      <c r="AN113" s="1399"/>
      <c r="AO113" s="1399"/>
      <c r="AP113" s="1399"/>
      <c r="AQ113" s="1399"/>
      <c r="AR113" s="1399"/>
      <c r="AS113" s="1399"/>
      <c r="AT113" s="1400"/>
      <c r="AU113" s="1415"/>
      <c r="AV113" s="1416"/>
    </row>
    <row r="114" spans="1:48" ht="20.100000000000001" customHeight="1" x14ac:dyDescent="0.25">
      <c r="A114" s="727"/>
      <c r="B114" s="1406">
        <v>9</v>
      </c>
      <c r="C114" s="1407"/>
      <c r="D114" s="1004"/>
      <c r="E114" s="2780"/>
      <c r="F114" s="2781"/>
      <c r="G114" s="2781"/>
      <c r="H114" s="2781"/>
      <c r="I114" s="2046"/>
      <c r="J114" s="2046"/>
      <c r="K114" s="2046"/>
      <c r="L114" s="2046"/>
      <c r="M114" s="2046"/>
      <c r="N114" s="2046"/>
      <c r="O114" s="2046"/>
      <c r="P114" s="2046"/>
      <c r="Q114" s="2046"/>
      <c r="R114" s="2046"/>
      <c r="S114" s="2046"/>
      <c r="T114" s="2044">
        <f>IFERROR(AVERAGE(T103:T113),"  ")</f>
        <v>0</v>
      </c>
      <c r="U114" s="2045" t="str">
        <f>IF(X114&gt;85,("4"),IF(X114&gt;80,("3.66"),IF(X114&gt;75,("3.33"),IF(X114&gt;70,("3.00"),IF(X114&gt;65,("2.66"),IF(X114&gt;60,("2.33"),IF(X114&gt;55,("2"),IF(X114&gt;50,("1.66"),"1.33"))))))))</f>
        <v>1.33</v>
      </c>
      <c r="V114" s="2045" t="str">
        <f>IF(X114&gt;85,("A"),IF(X114&gt;80,("A-"),IF(X114&gt;75,("B+"),IF(X114&gt;70,("B"),IF(X114&gt;65,("B-"),IF(X114&gt;60,("C+"),IF(X114&gt;55,("C"),IF(X114&gt;50,("C-"),"D+"))))))))</f>
        <v>D+</v>
      </c>
      <c r="W114" s="2045"/>
      <c r="X114" s="888">
        <f>MAX(T103:T113)</f>
        <v>0</v>
      </c>
      <c r="Y114" s="1403"/>
      <c r="Z114" s="1404"/>
      <c r="AA114" s="1404"/>
      <c r="AB114" s="1404"/>
      <c r="AC114" s="1404"/>
      <c r="AD114" s="1404"/>
      <c r="AE114" s="1404"/>
      <c r="AF114" s="1404"/>
      <c r="AG114" s="1404"/>
      <c r="AH114" s="1404"/>
      <c r="AI114" s="1404"/>
      <c r="AJ114" s="1404"/>
      <c r="AK114" s="1404"/>
      <c r="AL114" s="1404"/>
      <c r="AM114" s="1404"/>
      <c r="AN114" s="1404"/>
      <c r="AO114" s="1404"/>
      <c r="AP114" s="1404"/>
      <c r="AQ114" s="1404"/>
      <c r="AR114" s="1404"/>
      <c r="AS114" s="1404"/>
      <c r="AT114" s="1405"/>
      <c r="AU114" s="1257"/>
      <c r="AV114" s="1258"/>
    </row>
    <row r="115" spans="1:48" ht="20.100000000000001" customHeight="1" x14ac:dyDescent="0.25">
      <c r="A115" s="1799">
        <v>10</v>
      </c>
      <c r="B115" s="2063"/>
      <c r="C115" s="2064" t="str">
        <f>VLOOKUP(A115,data_siswa,4,FALSE)</f>
        <v xml:space="preserve">Deco Badarus Zaman </v>
      </c>
      <c r="D115" s="1799" t="s">
        <v>154</v>
      </c>
      <c r="E115" s="2050">
        <v>0</v>
      </c>
      <c r="F115" s="2050">
        <v>0</v>
      </c>
      <c r="G115" s="2050">
        <v>0</v>
      </c>
      <c r="H115" s="2051"/>
      <c r="I115" s="2051"/>
      <c r="J115" s="2051"/>
      <c r="K115" s="2050"/>
      <c r="L115" s="2050"/>
      <c r="M115" s="2050"/>
      <c r="N115" s="2052"/>
      <c r="O115" s="2052"/>
      <c r="P115" s="2052"/>
      <c r="Q115" s="2065">
        <f>MAX(E115,H115,K115,N115)</f>
        <v>0</v>
      </c>
      <c r="R115" s="2049">
        <f t="shared" ref="R115:R125" si="71">MAX(F115,I115,L115,O115)</f>
        <v>0</v>
      </c>
      <c r="S115" s="2066">
        <f t="shared" ref="S115:S125" si="72">MAX(G115,J115,M115,P115)</f>
        <v>0</v>
      </c>
      <c r="T115" s="2038">
        <f>IFERROR(AVERAGE(Q115:S115),"")</f>
        <v>0</v>
      </c>
      <c r="U115" s="1408" t="str">
        <f>IF(T115&gt;85,("4"),IF(T115&gt;80,("3.66"),IF(T115&gt;75,("3.33"),IF(T115&gt;70,("3.00"),IF(T115&gt;65,("2.66"),IF(T115&gt;60,("2.33"),IF(T115&gt;55,("2"),IF(T115&gt;50,("1.66"),"1.33"))))))))</f>
        <v>1.33</v>
      </c>
      <c r="V115" s="1408" t="str">
        <f>IF(T115&gt;85,("A"),IF(T115&gt;80,("A-"),IF(T115&gt;75,("B+"),IF(T115&gt;70,("B"),IF(T115&gt;65,("B-"),IF(T115&gt;60,("C+"),IF(T115&gt;55,("C"),IF(T115&gt;50,("C-"),"D+"))))))))</f>
        <v>D+</v>
      </c>
      <c r="W115" s="1408" t="str">
        <f>IF(T115&gt;80,("SB"),IF(T115&gt;65,("B"),IF(T115&gt;50,("C"),IF(T115&gt;0,("K"),"0"))))</f>
        <v>0</v>
      </c>
      <c r="X115" s="1408"/>
      <c r="Y115" s="1163"/>
      <c r="Z115" s="1163"/>
      <c r="AA115" s="1163"/>
      <c r="AB115" s="1163"/>
      <c r="AC115" s="1163"/>
      <c r="AD115" s="1163"/>
      <c r="AE115" s="1163"/>
      <c r="AF115" s="1163"/>
      <c r="AG115" s="1163"/>
      <c r="AH115" s="1163"/>
      <c r="AI115" s="1163"/>
      <c r="AJ115" s="2067"/>
      <c r="AK115" s="2067"/>
      <c r="AL115" s="2067"/>
      <c r="AM115" s="2067"/>
      <c r="AN115" s="2067"/>
      <c r="AO115" s="2067"/>
      <c r="AP115" s="2067"/>
      <c r="AQ115" s="2067"/>
      <c r="AR115" s="2067"/>
      <c r="AS115" s="2067"/>
      <c r="AT115" s="2067"/>
      <c r="AU115" s="1057">
        <f>T126</f>
        <v>0</v>
      </c>
      <c r="AV115" s="1194" t="str">
        <f>IF(AU115&gt;85,("A"),IF(AU115&gt;80,("A-"),IF(AU115&gt;75,("B+"),IF(AU115&gt;70,("B"),IF(AU115&gt;65,("B-"),IF(AU115&gt;60,("C+"),IF(AU115&gt;55,("C"),IF(AU115&gt;50,("C-"),"D+"))))))))</f>
        <v>D+</v>
      </c>
    </row>
    <row r="116" spans="1:48" ht="20.100000000000001" customHeight="1" x14ac:dyDescent="0.25">
      <c r="A116" s="360"/>
      <c r="B116" s="1387"/>
      <c r="C116" s="1388"/>
      <c r="D116" s="2018" t="s">
        <v>155</v>
      </c>
      <c r="E116" s="1497"/>
      <c r="F116" s="1497"/>
      <c r="G116" s="1497"/>
      <c r="H116" s="2043"/>
      <c r="I116" s="2043"/>
      <c r="J116" s="2043"/>
      <c r="K116" s="1497"/>
      <c r="L116" s="1497"/>
      <c r="M116" s="1497"/>
      <c r="N116" s="2061">
        <v>0</v>
      </c>
      <c r="O116" s="2061">
        <v>0</v>
      </c>
      <c r="P116" s="2061">
        <v>0</v>
      </c>
      <c r="Q116" s="2028">
        <f t="shared" ref="Q116:Q125" si="73">MAX(E116,H116,K116,N116)</f>
        <v>0</v>
      </c>
      <c r="R116" s="2026">
        <f t="shared" si="71"/>
        <v>0</v>
      </c>
      <c r="S116" s="2029">
        <f t="shared" si="72"/>
        <v>0</v>
      </c>
      <c r="T116" s="853">
        <f t="shared" ref="T116:T125" si="74">IFERROR(AVERAGE(Q116:S116),"")</f>
        <v>0</v>
      </c>
      <c r="U116" s="2056" t="str">
        <f t="shared" ref="U116:U125" si="75">IF(T116&gt;85,("4"),IF(T116&gt;80,("3.66"),IF(T116&gt;75,("3.33"),IF(T116&gt;70,("3.00"),IF(T116&gt;65,("2.66"),IF(T116&gt;60,("2.33"),IF(T116&gt;55,("2"),IF(T116&gt;50,("1.66"),"1.33"))))))))</f>
        <v>1.33</v>
      </c>
      <c r="V116" s="2056" t="str">
        <f t="shared" ref="V116:V125" si="76">IF(T116&gt;85,("A"),IF(T116&gt;80,("A-"),IF(T116&gt;75,("B+"),IF(T116&gt;70,("B"),IF(T116&gt;65,("B-"),IF(T116&gt;60,("C+"),IF(T116&gt;55,("C"),IF(T116&gt;50,("C-"),"D+"))))))))</f>
        <v>D+</v>
      </c>
      <c r="W116" s="2056" t="str">
        <f t="shared" ref="W116:W125" si="77">IF(T116&gt;80,("SB"),IF(T116&gt;65,("B"),IF(T116&gt;50,("C"),IF(T116&gt;0,("K"),"0"))))</f>
        <v>0</v>
      </c>
      <c r="X116" s="2062"/>
      <c r="Y116" s="1393"/>
      <c r="Z116" s="1394"/>
      <c r="AA116" s="1394"/>
      <c r="AB116" s="1394"/>
      <c r="AC116" s="1394"/>
      <c r="AD116" s="1394"/>
      <c r="AE116" s="1394"/>
      <c r="AF116" s="1394"/>
      <c r="AG116" s="1394"/>
      <c r="AH116" s="1394"/>
      <c r="AI116" s="1394"/>
      <c r="AJ116" s="1395"/>
      <c r="AK116" s="1395"/>
      <c r="AL116" s="1395"/>
      <c r="AM116" s="1395"/>
      <c r="AN116" s="1395"/>
      <c r="AO116" s="1395"/>
      <c r="AP116" s="1395"/>
      <c r="AQ116" s="1395"/>
      <c r="AR116" s="1395"/>
      <c r="AS116" s="1395"/>
      <c r="AT116" s="1396"/>
      <c r="AU116" s="1413"/>
      <c r="AV116" s="1414"/>
    </row>
    <row r="117" spans="1:48" ht="20.100000000000001" customHeight="1" x14ac:dyDescent="0.25">
      <c r="A117" s="360"/>
      <c r="B117" s="1387"/>
      <c r="C117" s="1388"/>
      <c r="D117" s="1166" t="s">
        <v>16</v>
      </c>
      <c r="E117" s="1493"/>
      <c r="F117" s="1493"/>
      <c r="G117" s="1493"/>
      <c r="H117" s="2040">
        <v>0</v>
      </c>
      <c r="I117" s="2040">
        <v>0</v>
      </c>
      <c r="J117" s="2040">
        <v>0</v>
      </c>
      <c r="K117" s="1493"/>
      <c r="L117" s="1493"/>
      <c r="M117" s="1493"/>
      <c r="N117" s="2052"/>
      <c r="O117" s="2052"/>
      <c r="P117" s="2052"/>
      <c r="Q117" s="2028">
        <f t="shared" si="73"/>
        <v>0</v>
      </c>
      <c r="R117" s="2026">
        <f t="shared" si="71"/>
        <v>0</v>
      </c>
      <c r="S117" s="2029">
        <f t="shared" si="72"/>
        <v>0</v>
      </c>
      <c r="T117" s="853">
        <f t="shared" si="74"/>
        <v>0</v>
      </c>
      <c r="U117" s="1408" t="str">
        <f t="shared" si="75"/>
        <v>1.33</v>
      </c>
      <c r="V117" s="1408" t="str">
        <f t="shared" si="76"/>
        <v>D+</v>
      </c>
      <c r="W117" s="1408" t="str">
        <f t="shared" si="77"/>
        <v>0</v>
      </c>
      <c r="X117" s="1409"/>
      <c r="Y117" s="1393"/>
      <c r="Z117" s="1394"/>
      <c r="AA117" s="1394"/>
      <c r="AB117" s="1394"/>
      <c r="AC117" s="1394"/>
      <c r="AD117" s="1394"/>
      <c r="AE117" s="1394"/>
      <c r="AF117" s="1394"/>
      <c r="AG117" s="1394"/>
      <c r="AH117" s="1394"/>
      <c r="AI117" s="1394"/>
      <c r="AJ117" s="1395"/>
      <c r="AK117" s="1395"/>
      <c r="AL117" s="1395"/>
      <c r="AM117" s="1395"/>
      <c r="AN117" s="1395"/>
      <c r="AO117" s="1395"/>
      <c r="AP117" s="1395"/>
      <c r="AQ117" s="1395"/>
      <c r="AR117" s="1395"/>
      <c r="AS117" s="1395"/>
      <c r="AT117" s="1396"/>
      <c r="AU117" s="1413"/>
      <c r="AV117" s="1414"/>
    </row>
    <row r="118" spans="1:48" ht="20.100000000000001" customHeight="1" x14ac:dyDescent="0.25">
      <c r="A118" s="360"/>
      <c r="B118" s="1387"/>
      <c r="C118" s="1388"/>
      <c r="D118" s="1166" t="s">
        <v>189</v>
      </c>
      <c r="E118" s="1493"/>
      <c r="F118" s="1493"/>
      <c r="G118" s="1493"/>
      <c r="H118" s="2040">
        <v>0</v>
      </c>
      <c r="I118" s="2040">
        <v>0</v>
      </c>
      <c r="J118" s="2040">
        <v>0</v>
      </c>
      <c r="K118" s="1493"/>
      <c r="L118" s="1493"/>
      <c r="M118" s="1493"/>
      <c r="N118" s="2039"/>
      <c r="O118" s="2039"/>
      <c r="P118" s="2039"/>
      <c r="Q118" s="2028">
        <f t="shared" si="73"/>
        <v>0</v>
      </c>
      <c r="R118" s="2026">
        <f t="shared" si="71"/>
        <v>0</v>
      </c>
      <c r="S118" s="2029">
        <f t="shared" si="72"/>
        <v>0</v>
      </c>
      <c r="T118" s="853">
        <f t="shared" si="74"/>
        <v>0</v>
      </c>
      <c r="U118" s="1408" t="str">
        <f t="shared" si="75"/>
        <v>1.33</v>
      </c>
      <c r="V118" s="1408" t="str">
        <f t="shared" si="76"/>
        <v>D+</v>
      </c>
      <c r="W118" s="1408" t="str">
        <f t="shared" si="77"/>
        <v>0</v>
      </c>
      <c r="X118" s="1409"/>
      <c r="Y118" s="1393"/>
      <c r="Z118" s="1394"/>
      <c r="AA118" s="1394"/>
      <c r="AB118" s="1394"/>
      <c r="AC118" s="1394"/>
      <c r="AD118" s="1394"/>
      <c r="AE118" s="1394"/>
      <c r="AF118" s="1394"/>
      <c r="AG118" s="1394"/>
      <c r="AH118" s="1394"/>
      <c r="AI118" s="1394"/>
      <c r="AJ118" s="1395"/>
      <c r="AK118" s="1395"/>
      <c r="AL118" s="1395"/>
      <c r="AM118" s="1395"/>
      <c r="AN118" s="1395"/>
      <c r="AO118" s="1395"/>
      <c r="AP118" s="1395"/>
      <c r="AQ118" s="1395"/>
      <c r="AR118" s="1395"/>
      <c r="AS118" s="1395"/>
      <c r="AT118" s="1396"/>
      <c r="AU118" s="1413"/>
      <c r="AV118" s="1414"/>
    </row>
    <row r="119" spans="1:48" ht="20.100000000000001" customHeight="1" x14ac:dyDescent="0.25">
      <c r="A119" s="360"/>
      <c r="B119" s="1387"/>
      <c r="C119" s="1388"/>
      <c r="D119" s="1166" t="s">
        <v>186</v>
      </c>
      <c r="E119" s="1493"/>
      <c r="F119" s="1493"/>
      <c r="G119" s="1493"/>
      <c r="H119" s="2040">
        <v>0</v>
      </c>
      <c r="I119" s="2040">
        <v>0</v>
      </c>
      <c r="J119" s="2040">
        <v>0</v>
      </c>
      <c r="K119" s="1493"/>
      <c r="L119" s="1493"/>
      <c r="M119" s="1493"/>
      <c r="N119" s="2039"/>
      <c r="O119" s="2039"/>
      <c r="P119" s="2039"/>
      <c r="Q119" s="2028">
        <f t="shared" si="73"/>
        <v>0</v>
      </c>
      <c r="R119" s="2026">
        <f t="shared" si="71"/>
        <v>0</v>
      </c>
      <c r="S119" s="2029">
        <f t="shared" si="72"/>
        <v>0</v>
      </c>
      <c r="T119" s="853">
        <f t="shared" si="74"/>
        <v>0</v>
      </c>
      <c r="U119" s="1408" t="str">
        <f t="shared" si="75"/>
        <v>1.33</v>
      </c>
      <c r="V119" s="1408" t="str">
        <f t="shared" si="76"/>
        <v>D+</v>
      </c>
      <c r="W119" s="1408" t="str">
        <f t="shared" si="77"/>
        <v>0</v>
      </c>
      <c r="X119" s="1409"/>
      <c r="Y119" s="1393"/>
      <c r="Z119" s="1394"/>
      <c r="AA119" s="1394"/>
      <c r="AB119" s="1394"/>
      <c r="AC119" s="1394"/>
      <c r="AD119" s="1394"/>
      <c r="AE119" s="1394"/>
      <c r="AF119" s="1394"/>
      <c r="AG119" s="1394"/>
      <c r="AH119" s="1394"/>
      <c r="AI119" s="1394"/>
      <c r="AJ119" s="1395"/>
      <c r="AK119" s="1395"/>
      <c r="AL119" s="1395"/>
      <c r="AM119" s="1395"/>
      <c r="AN119" s="1395"/>
      <c r="AO119" s="1395"/>
      <c r="AP119" s="1395"/>
      <c r="AQ119" s="1395"/>
      <c r="AR119" s="1395"/>
      <c r="AS119" s="1395"/>
      <c r="AT119" s="1396"/>
      <c r="AU119" s="1413"/>
      <c r="AV119" s="1414"/>
    </row>
    <row r="120" spans="1:48" ht="20.100000000000001" customHeight="1" x14ac:dyDescent="0.25">
      <c r="A120" s="360"/>
      <c r="B120" s="1387"/>
      <c r="C120" s="1388"/>
      <c r="D120" s="1166" t="s">
        <v>187</v>
      </c>
      <c r="E120" s="1385"/>
      <c r="F120" s="1385"/>
      <c r="G120" s="1385"/>
      <c r="H120" s="2048"/>
      <c r="I120" s="2048"/>
      <c r="J120" s="2048"/>
      <c r="K120" s="1385">
        <v>0</v>
      </c>
      <c r="L120" s="1385">
        <v>0</v>
      </c>
      <c r="M120" s="1385">
        <v>0</v>
      </c>
      <c r="N120" s="2049"/>
      <c r="O120" s="2049"/>
      <c r="P120" s="2049"/>
      <c r="Q120" s="2028">
        <f t="shared" si="73"/>
        <v>0</v>
      </c>
      <c r="R120" s="2026">
        <f t="shared" si="71"/>
        <v>0</v>
      </c>
      <c r="S120" s="2029">
        <f t="shared" si="72"/>
        <v>0</v>
      </c>
      <c r="T120" s="853">
        <f t="shared" si="74"/>
        <v>0</v>
      </c>
      <c r="U120" s="1408" t="str">
        <f t="shared" si="75"/>
        <v>1.33</v>
      </c>
      <c r="V120" s="1408" t="str">
        <f t="shared" si="76"/>
        <v>D+</v>
      </c>
      <c r="W120" s="1408" t="str">
        <f t="shared" si="77"/>
        <v>0</v>
      </c>
      <c r="X120" s="1409"/>
      <c r="Y120" s="1393"/>
      <c r="Z120" s="1394"/>
      <c r="AA120" s="1394"/>
      <c r="AB120" s="1394"/>
      <c r="AC120" s="1394"/>
      <c r="AD120" s="1394"/>
      <c r="AE120" s="1394"/>
      <c r="AF120" s="1394"/>
      <c r="AG120" s="1394"/>
      <c r="AH120" s="1394"/>
      <c r="AI120" s="1394"/>
      <c r="AJ120" s="1395"/>
      <c r="AK120" s="1395"/>
      <c r="AL120" s="1395"/>
      <c r="AM120" s="1395"/>
      <c r="AN120" s="1395"/>
      <c r="AO120" s="1395"/>
      <c r="AP120" s="1395"/>
      <c r="AQ120" s="1395"/>
      <c r="AR120" s="1395"/>
      <c r="AS120" s="1395"/>
      <c r="AT120" s="1396"/>
      <c r="AU120" s="1413"/>
      <c r="AV120" s="1414"/>
    </row>
    <row r="121" spans="1:48" ht="20.100000000000001" customHeight="1" x14ac:dyDescent="0.25">
      <c r="A121" s="360"/>
      <c r="B121" s="1387"/>
      <c r="C121" s="1388"/>
      <c r="D121" s="1166" t="s">
        <v>17</v>
      </c>
      <c r="E121" s="1385">
        <v>0</v>
      </c>
      <c r="F121" s="1385">
        <v>0</v>
      </c>
      <c r="G121" s="1385">
        <v>0</v>
      </c>
      <c r="H121" s="2048">
        <v>0</v>
      </c>
      <c r="I121" s="2048">
        <v>0</v>
      </c>
      <c r="J121" s="2048">
        <v>0</v>
      </c>
      <c r="K121" s="1385"/>
      <c r="L121" s="1385"/>
      <c r="M121" s="1385"/>
      <c r="N121" s="2049"/>
      <c r="O121" s="2049"/>
      <c r="P121" s="2049"/>
      <c r="Q121" s="2028">
        <f t="shared" si="73"/>
        <v>0</v>
      </c>
      <c r="R121" s="2026">
        <f t="shared" si="71"/>
        <v>0</v>
      </c>
      <c r="S121" s="2029">
        <f t="shared" si="72"/>
        <v>0</v>
      </c>
      <c r="T121" s="853">
        <f t="shared" si="74"/>
        <v>0</v>
      </c>
      <c r="U121" s="1408" t="str">
        <f t="shared" si="75"/>
        <v>1.33</v>
      </c>
      <c r="V121" s="1408" t="str">
        <f t="shared" si="76"/>
        <v>D+</v>
      </c>
      <c r="W121" s="1408" t="str">
        <f t="shared" si="77"/>
        <v>0</v>
      </c>
      <c r="X121" s="1409"/>
      <c r="Y121" s="1393"/>
      <c r="Z121" s="1394"/>
      <c r="AA121" s="1394"/>
      <c r="AB121" s="1394"/>
      <c r="AC121" s="1394"/>
      <c r="AD121" s="1394"/>
      <c r="AE121" s="1394"/>
      <c r="AF121" s="1394"/>
      <c r="AG121" s="1394"/>
      <c r="AH121" s="1394"/>
      <c r="AI121" s="1394"/>
      <c r="AJ121" s="1395"/>
      <c r="AK121" s="1395"/>
      <c r="AL121" s="1395"/>
      <c r="AM121" s="1395"/>
      <c r="AN121" s="1395"/>
      <c r="AO121" s="1395"/>
      <c r="AP121" s="1395"/>
      <c r="AQ121" s="1395"/>
      <c r="AR121" s="1395"/>
      <c r="AS121" s="1395"/>
      <c r="AT121" s="1396"/>
      <c r="AU121" s="1413"/>
      <c r="AV121" s="1414"/>
    </row>
    <row r="122" spans="1:48" ht="20.100000000000001" customHeight="1" x14ac:dyDescent="0.25">
      <c r="A122" s="360"/>
      <c r="B122" s="1387"/>
      <c r="C122" s="1388"/>
      <c r="D122" s="1166" t="s">
        <v>188</v>
      </c>
      <c r="E122" s="1385"/>
      <c r="F122" s="1385"/>
      <c r="G122" s="1385"/>
      <c r="H122" s="2048">
        <v>0</v>
      </c>
      <c r="I122" s="2048">
        <v>0</v>
      </c>
      <c r="J122" s="2048">
        <v>0</v>
      </c>
      <c r="K122" s="1385"/>
      <c r="L122" s="1385"/>
      <c r="M122" s="1385"/>
      <c r="N122" s="2049"/>
      <c r="O122" s="2049"/>
      <c r="P122" s="2049"/>
      <c r="Q122" s="2028">
        <f t="shared" si="73"/>
        <v>0</v>
      </c>
      <c r="R122" s="2026">
        <f t="shared" si="71"/>
        <v>0</v>
      </c>
      <c r="S122" s="2029">
        <f t="shared" si="72"/>
        <v>0</v>
      </c>
      <c r="T122" s="853">
        <f t="shared" si="74"/>
        <v>0</v>
      </c>
      <c r="U122" s="1408" t="str">
        <f t="shared" si="75"/>
        <v>1.33</v>
      </c>
      <c r="V122" s="1408" t="str">
        <f t="shared" si="76"/>
        <v>D+</v>
      </c>
      <c r="W122" s="1408" t="str">
        <f t="shared" si="77"/>
        <v>0</v>
      </c>
      <c r="X122" s="1409"/>
      <c r="Y122" s="1393"/>
      <c r="Z122" s="1394"/>
      <c r="AA122" s="1394"/>
      <c r="AB122" s="1394"/>
      <c r="AC122" s="1394"/>
      <c r="AD122" s="1394"/>
      <c r="AE122" s="1394"/>
      <c r="AF122" s="1394"/>
      <c r="AG122" s="1394"/>
      <c r="AH122" s="1394"/>
      <c r="AI122" s="1394"/>
      <c r="AJ122" s="1395"/>
      <c r="AK122" s="1395"/>
      <c r="AL122" s="1395"/>
      <c r="AM122" s="1395"/>
      <c r="AN122" s="1395"/>
      <c r="AO122" s="1395"/>
      <c r="AP122" s="1395"/>
      <c r="AQ122" s="1395"/>
      <c r="AR122" s="1395"/>
      <c r="AS122" s="1395"/>
      <c r="AT122" s="1396"/>
      <c r="AU122" s="1413"/>
      <c r="AV122" s="1414"/>
    </row>
    <row r="123" spans="1:48" ht="20.100000000000001" customHeight="1" x14ac:dyDescent="0.25">
      <c r="A123" s="360"/>
      <c r="B123" s="1387"/>
      <c r="C123" s="1388"/>
      <c r="D123" s="1166" t="s">
        <v>569</v>
      </c>
      <c r="E123" s="1385"/>
      <c r="F123" s="1385"/>
      <c r="G123" s="1385"/>
      <c r="H123" s="2048"/>
      <c r="I123" s="2048"/>
      <c r="J123" s="2048"/>
      <c r="K123" s="1385">
        <v>0</v>
      </c>
      <c r="L123" s="1385">
        <v>0</v>
      </c>
      <c r="M123" s="1385">
        <v>0</v>
      </c>
      <c r="N123" s="2049"/>
      <c r="O123" s="2049"/>
      <c r="P123" s="2049"/>
      <c r="Q123" s="2028">
        <f t="shared" si="73"/>
        <v>0</v>
      </c>
      <c r="R123" s="2026">
        <f t="shared" si="71"/>
        <v>0</v>
      </c>
      <c r="S123" s="2029">
        <f t="shared" si="72"/>
        <v>0</v>
      </c>
      <c r="T123" s="853">
        <f t="shared" si="74"/>
        <v>0</v>
      </c>
      <c r="U123" s="1408" t="str">
        <f t="shared" si="75"/>
        <v>1.33</v>
      </c>
      <c r="V123" s="1408" t="str">
        <f t="shared" si="76"/>
        <v>D+</v>
      </c>
      <c r="W123" s="1408" t="str">
        <f t="shared" si="77"/>
        <v>0</v>
      </c>
      <c r="X123" s="1409"/>
      <c r="Y123" s="1393"/>
      <c r="Z123" s="1394"/>
      <c r="AA123" s="1394"/>
      <c r="AB123" s="1394"/>
      <c r="AC123" s="1394"/>
      <c r="AD123" s="1394"/>
      <c r="AE123" s="1394"/>
      <c r="AF123" s="1394"/>
      <c r="AG123" s="1394"/>
      <c r="AH123" s="1394"/>
      <c r="AI123" s="1394"/>
      <c r="AJ123" s="1395"/>
      <c r="AK123" s="1395"/>
      <c r="AL123" s="1395"/>
      <c r="AM123" s="1395"/>
      <c r="AN123" s="1395"/>
      <c r="AO123" s="1395"/>
      <c r="AP123" s="1395"/>
      <c r="AQ123" s="1395"/>
      <c r="AR123" s="1395"/>
      <c r="AS123" s="1395"/>
      <c r="AT123" s="1396"/>
      <c r="AU123" s="1413"/>
      <c r="AV123" s="1414"/>
    </row>
    <row r="124" spans="1:48" ht="20.100000000000001" customHeight="1" x14ac:dyDescent="0.25">
      <c r="A124" s="360"/>
      <c r="B124" s="1387"/>
      <c r="C124" s="1388"/>
      <c r="D124" s="1166" t="s">
        <v>209</v>
      </c>
      <c r="E124" s="1385"/>
      <c r="F124" s="1385"/>
      <c r="G124" s="1385"/>
      <c r="H124" s="2048"/>
      <c r="I124" s="2048"/>
      <c r="J124" s="2048"/>
      <c r="K124" s="1385"/>
      <c r="L124" s="1385"/>
      <c r="M124" s="1385"/>
      <c r="N124" s="2049">
        <v>0</v>
      </c>
      <c r="O124" s="2049">
        <v>0</v>
      </c>
      <c r="P124" s="2049">
        <v>0</v>
      </c>
      <c r="Q124" s="2028">
        <f t="shared" si="73"/>
        <v>0</v>
      </c>
      <c r="R124" s="2026">
        <f t="shared" si="71"/>
        <v>0</v>
      </c>
      <c r="S124" s="2029">
        <f t="shared" si="72"/>
        <v>0</v>
      </c>
      <c r="T124" s="853">
        <f t="shared" si="74"/>
        <v>0</v>
      </c>
      <c r="U124" s="1408" t="str">
        <f t="shared" si="75"/>
        <v>1.33</v>
      </c>
      <c r="V124" s="1408" t="str">
        <f t="shared" si="76"/>
        <v>D+</v>
      </c>
      <c r="W124" s="1408" t="str">
        <f t="shared" si="77"/>
        <v>0</v>
      </c>
      <c r="X124" s="1409"/>
      <c r="Y124" s="1393"/>
      <c r="Z124" s="1394"/>
      <c r="AA124" s="1394"/>
      <c r="AB124" s="1394"/>
      <c r="AC124" s="1394"/>
      <c r="AD124" s="1394"/>
      <c r="AE124" s="1394"/>
      <c r="AF124" s="1394"/>
      <c r="AG124" s="1394"/>
      <c r="AH124" s="1394"/>
      <c r="AI124" s="1394"/>
      <c r="AJ124" s="1395"/>
      <c r="AK124" s="1395"/>
      <c r="AL124" s="1395"/>
      <c r="AM124" s="1395"/>
      <c r="AN124" s="1395"/>
      <c r="AO124" s="1395"/>
      <c r="AP124" s="1395"/>
      <c r="AQ124" s="1395"/>
      <c r="AR124" s="1395"/>
      <c r="AS124" s="1395"/>
      <c r="AT124" s="1396"/>
      <c r="AU124" s="1413"/>
      <c r="AV124" s="1414"/>
    </row>
    <row r="125" spans="1:48" ht="20.100000000000001" customHeight="1" x14ac:dyDescent="0.25">
      <c r="A125" s="360"/>
      <c r="B125" s="1387"/>
      <c r="C125" s="1388"/>
      <c r="D125" s="1166" t="s">
        <v>210</v>
      </c>
      <c r="E125" s="1385"/>
      <c r="F125" s="1385"/>
      <c r="G125" s="1385"/>
      <c r="H125" s="2048"/>
      <c r="I125" s="2048"/>
      <c r="J125" s="2048"/>
      <c r="K125" s="1385"/>
      <c r="L125" s="1385"/>
      <c r="M125" s="1385"/>
      <c r="N125" s="2049">
        <v>0</v>
      </c>
      <c r="O125" s="2049">
        <v>0</v>
      </c>
      <c r="P125" s="2049">
        <v>0</v>
      </c>
      <c r="Q125" s="2028">
        <f t="shared" si="73"/>
        <v>0</v>
      </c>
      <c r="R125" s="2026">
        <f t="shared" si="71"/>
        <v>0</v>
      </c>
      <c r="S125" s="2029">
        <f t="shared" si="72"/>
        <v>0</v>
      </c>
      <c r="T125" s="853">
        <f t="shared" si="74"/>
        <v>0</v>
      </c>
      <c r="U125" s="1408" t="str">
        <f t="shared" si="75"/>
        <v>1.33</v>
      </c>
      <c r="V125" s="1408" t="str">
        <f t="shared" si="76"/>
        <v>D+</v>
      </c>
      <c r="W125" s="1408" t="str">
        <f t="shared" si="77"/>
        <v>0</v>
      </c>
      <c r="X125" s="1409"/>
      <c r="Y125" s="1397"/>
      <c r="Z125" s="1398"/>
      <c r="AA125" s="1398"/>
      <c r="AB125" s="1398"/>
      <c r="AC125" s="1398"/>
      <c r="AD125" s="1398"/>
      <c r="AE125" s="1398"/>
      <c r="AF125" s="1398"/>
      <c r="AG125" s="1398"/>
      <c r="AH125" s="1398"/>
      <c r="AI125" s="1398"/>
      <c r="AJ125" s="1399"/>
      <c r="AK125" s="1399"/>
      <c r="AL125" s="1399"/>
      <c r="AM125" s="1399"/>
      <c r="AN125" s="1399"/>
      <c r="AO125" s="1399"/>
      <c r="AP125" s="1399"/>
      <c r="AQ125" s="1399"/>
      <c r="AR125" s="1399"/>
      <c r="AS125" s="1399"/>
      <c r="AT125" s="1400"/>
      <c r="AU125" s="1415"/>
      <c r="AV125" s="1416"/>
    </row>
    <row r="126" spans="1:48" ht="20.100000000000001" customHeight="1" x14ac:dyDescent="0.25">
      <c r="A126" s="727"/>
      <c r="B126" s="1406">
        <v>10</v>
      </c>
      <c r="C126" s="1407"/>
      <c r="D126" s="1004"/>
      <c r="E126" s="2780"/>
      <c r="F126" s="2781"/>
      <c r="G126" s="2781"/>
      <c r="H126" s="2781"/>
      <c r="I126" s="2046"/>
      <c r="J126" s="2046"/>
      <c r="K126" s="2046"/>
      <c r="L126" s="2046"/>
      <c r="M126" s="2046"/>
      <c r="N126" s="2046"/>
      <c r="O126" s="2046"/>
      <c r="P126" s="2046"/>
      <c r="Q126" s="2046"/>
      <c r="R126" s="2046"/>
      <c r="S126" s="2046"/>
      <c r="T126" s="2044">
        <f>IFERROR(AVERAGE(T115:T125),"  ")</f>
        <v>0</v>
      </c>
      <c r="U126" s="2045" t="str">
        <f>IF(X126&gt;85,("4"),IF(X126&gt;80,("3.66"),IF(X126&gt;75,("3.33"),IF(X126&gt;70,("3.00"),IF(X126&gt;65,("2.66"),IF(X126&gt;60,("2.33"),IF(X126&gt;55,("2"),IF(X126&gt;50,("1.66"),"1.33"))))))))</f>
        <v>1.33</v>
      </c>
      <c r="V126" s="2045" t="str">
        <f>IF(X126&gt;85,("A"),IF(X126&gt;80,("A-"),IF(X126&gt;75,("B+"),IF(X126&gt;70,("B"),IF(X126&gt;65,("B-"),IF(X126&gt;60,("C+"),IF(X126&gt;55,("C"),IF(X126&gt;50,("C-"),"D+"))))))))</f>
        <v>D+</v>
      </c>
      <c r="W126" s="2045"/>
      <c r="X126" s="888">
        <f>MAX(T115:T125)</f>
        <v>0</v>
      </c>
      <c r="Y126" s="1403"/>
      <c r="Z126" s="1404"/>
      <c r="AA126" s="1404"/>
      <c r="AB126" s="1404"/>
      <c r="AC126" s="1404"/>
      <c r="AD126" s="1404"/>
      <c r="AE126" s="1404"/>
      <c r="AF126" s="1404"/>
      <c r="AG126" s="1404"/>
      <c r="AH126" s="1404"/>
      <c r="AI126" s="1404"/>
      <c r="AJ126" s="1404"/>
      <c r="AK126" s="1404"/>
      <c r="AL126" s="1404"/>
      <c r="AM126" s="1404"/>
      <c r="AN126" s="1404"/>
      <c r="AO126" s="1404"/>
      <c r="AP126" s="1404"/>
      <c r="AQ126" s="1404"/>
      <c r="AR126" s="1404"/>
      <c r="AS126" s="1404"/>
      <c r="AT126" s="1405"/>
      <c r="AU126" s="1257"/>
      <c r="AV126" s="1258"/>
    </row>
    <row r="127" spans="1:48" ht="20.100000000000001" customHeight="1" x14ac:dyDescent="0.25">
      <c r="A127" s="724">
        <v>11</v>
      </c>
      <c r="B127" s="1383"/>
      <c r="C127" s="1384" t="str">
        <f>VLOOKUP(A127,data_siswa,4,FALSE)</f>
        <v>Fania Mutiara Felichia</v>
      </c>
      <c r="D127" s="1166" t="s">
        <v>154</v>
      </c>
      <c r="E127" s="2050">
        <v>0</v>
      </c>
      <c r="F127" s="2050">
        <v>0</v>
      </c>
      <c r="G127" s="2050">
        <v>0</v>
      </c>
      <c r="H127" s="2051"/>
      <c r="I127" s="2051"/>
      <c r="J127" s="2051"/>
      <c r="K127" s="2050"/>
      <c r="L127" s="2050"/>
      <c r="M127" s="2050"/>
      <c r="N127" s="2052"/>
      <c r="O127" s="2052"/>
      <c r="P127" s="2052"/>
      <c r="Q127" s="2028">
        <f>MAX(E127,H127,K127,N127)</f>
        <v>0</v>
      </c>
      <c r="R127" s="2026">
        <f t="shared" ref="R127:R137" si="78">MAX(F127,I127,L127,O127)</f>
        <v>0</v>
      </c>
      <c r="S127" s="2029">
        <f t="shared" ref="S127:S137" si="79">MAX(G127,J127,M127,P127)</f>
        <v>0</v>
      </c>
      <c r="T127" s="853">
        <f>IFERROR(AVERAGE(Q127:S127),"")</f>
        <v>0</v>
      </c>
      <c r="U127" s="1408" t="str">
        <f>IF(T127&gt;85,("4"),IF(T127&gt;80,("3.66"),IF(T127&gt;75,("3.33"),IF(T127&gt;70,("3.00"),IF(T127&gt;65,("2.66"),IF(T127&gt;60,("2.33"),IF(T127&gt;55,("2"),IF(T127&gt;50,("1.66"),"1.33"))))))))</f>
        <v>1.33</v>
      </c>
      <c r="V127" s="1408" t="str">
        <f>IF(T127&gt;85,("A"),IF(T127&gt;80,("A-"),IF(T127&gt;75,("B+"),IF(T127&gt;70,("B"),IF(T127&gt;65,("B-"),IF(T127&gt;60,("C+"),IF(T127&gt;55,("C"),IF(T127&gt;50,("C-"),"D+"))))))))</f>
        <v>D+</v>
      </c>
      <c r="W127" s="1408" t="str">
        <f>IF(T127&gt;80,("SB"),IF(T127&gt;65,("B"),IF(T127&gt;50,("C"),IF(T127&gt;0,("K"),"0"))))</f>
        <v>0</v>
      </c>
      <c r="X127" s="1408"/>
      <c r="Y127" s="749"/>
      <c r="Z127" s="749"/>
      <c r="AA127" s="749"/>
      <c r="AB127" s="749"/>
      <c r="AC127" s="749"/>
      <c r="AD127" s="749"/>
      <c r="AE127" s="749"/>
      <c r="AF127" s="749"/>
      <c r="AG127" s="749"/>
      <c r="AH127" s="749"/>
      <c r="AI127" s="749"/>
      <c r="AJ127" s="1386"/>
      <c r="AK127" s="1386"/>
      <c r="AL127" s="1386"/>
      <c r="AM127" s="1386"/>
      <c r="AN127" s="1386"/>
      <c r="AO127" s="1386"/>
      <c r="AP127" s="1386"/>
      <c r="AQ127" s="1386"/>
      <c r="AR127" s="1386"/>
      <c r="AS127" s="1386"/>
      <c r="AT127" s="1386"/>
      <c r="AU127" s="1057">
        <f>T138</f>
        <v>0</v>
      </c>
      <c r="AV127" s="1194" t="str">
        <f>IF(AU127&gt;85,("A"),IF(AU127&gt;80,("A-"),IF(AU127&gt;75,("B+"),IF(AU127&gt;70,("B"),IF(AU127&gt;65,("B-"),IF(AU127&gt;60,("C+"),IF(AU127&gt;55,("C"),IF(AU127&gt;50,("C-"),"D+"))))))))</f>
        <v>D+</v>
      </c>
    </row>
    <row r="128" spans="1:48" ht="20.100000000000001" customHeight="1" x14ac:dyDescent="0.25">
      <c r="A128" s="360"/>
      <c r="B128" s="1387"/>
      <c r="C128" s="1388"/>
      <c r="D128" s="1166" t="s">
        <v>155</v>
      </c>
      <c r="E128" s="1493"/>
      <c r="F128" s="1493"/>
      <c r="G128" s="1493"/>
      <c r="H128" s="2040"/>
      <c r="I128" s="2040"/>
      <c r="J128" s="2040"/>
      <c r="K128" s="1493"/>
      <c r="L128" s="1493"/>
      <c r="M128" s="1493"/>
      <c r="N128" s="2039">
        <v>0</v>
      </c>
      <c r="O128" s="2039">
        <v>0</v>
      </c>
      <c r="P128" s="2039">
        <v>0</v>
      </c>
      <c r="Q128" s="2028">
        <f t="shared" ref="Q128:Q137" si="80">MAX(E128,H128,K128,N128)</f>
        <v>0</v>
      </c>
      <c r="R128" s="2026">
        <f t="shared" si="78"/>
        <v>0</v>
      </c>
      <c r="S128" s="2029">
        <f t="shared" si="79"/>
        <v>0</v>
      </c>
      <c r="T128" s="853">
        <f t="shared" ref="T128:T137" si="81">IFERROR(AVERAGE(Q128:S128),"")</f>
        <v>0</v>
      </c>
      <c r="U128" s="1408" t="str">
        <f t="shared" ref="U128:U137" si="82">IF(T128&gt;85,("4"),IF(T128&gt;80,("3.66"),IF(T128&gt;75,("3.33"),IF(T128&gt;70,("3.00"),IF(T128&gt;65,("2.66"),IF(T128&gt;60,("2.33"),IF(T128&gt;55,("2"),IF(T128&gt;50,("1.66"),"1.33"))))))))</f>
        <v>1.33</v>
      </c>
      <c r="V128" s="1408" t="str">
        <f t="shared" ref="V128:V137" si="83">IF(T128&gt;85,("A"),IF(T128&gt;80,("A-"),IF(T128&gt;75,("B+"),IF(T128&gt;70,("B"),IF(T128&gt;65,("B-"),IF(T128&gt;60,("C+"),IF(T128&gt;55,("C"),IF(T128&gt;50,("C-"),"D+"))))))))</f>
        <v>D+</v>
      </c>
      <c r="W128" s="1408" t="str">
        <f t="shared" ref="W128:W137" si="84">IF(T128&gt;80,("SB"),IF(T128&gt;65,("B"),IF(T128&gt;50,("C"),IF(T128&gt;0,("K"),"0"))))</f>
        <v>0</v>
      </c>
      <c r="X128" s="1409"/>
      <c r="Y128" s="1389"/>
      <c r="Z128" s="1390"/>
      <c r="AA128" s="1390"/>
      <c r="AB128" s="1390"/>
      <c r="AC128" s="1390"/>
      <c r="AD128" s="1390"/>
      <c r="AE128" s="1390"/>
      <c r="AF128" s="1390"/>
      <c r="AG128" s="1390"/>
      <c r="AH128" s="1390"/>
      <c r="AI128" s="1390"/>
      <c r="AJ128" s="1391"/>
      <c r="AK128" s="1391"/>
      <c r="AL128" s="1391"/>
      <c r="AM128" s="1391"/>
      <c r="AN128" s="1391"/>
      <c r="AO128" s="1391"/>
      <c r="AP128" s="1391"/>
      <c r="AQ128" s="1391"/>
      <c r="AR128" s="1391"/>
      <c r="AS128" s="1391"/>
      <c r="AT128" s="1392"/>
      <c r="AU128" s="1411"/>
      <c r="AV128" s="1412"/>
    </row>
    <row r="129" spans="1:48" ht="20.100000000000001" customHeight="1" x14ac:dyDescent="0.25">
      <c r="A129" s="360"/>
      <c r="B129" s="1387"/>
      <c r="C129" s="1388"/>
      <c r="D129" s="1166" t="s">
        <v>16</v>
      </c>
      <c r="E129" s="1493"/>
      <c r="F129" s="1493"/>
      <c r="G129" s="1493"/>
      <c r="H129" s="2040">
        <v>0</v>
      </c>
      <c r="I129" s="2040">
        <v>0</v>
      </c>
      <c r="J129" s="2040">
        <v>0</v>
      </c>
      <c r="K129" s="1493"/>
      <c r="L129" s="1493"/>
      <c r="M129" s="1493"/>
      <c r="N129" s="2052"/>
      <c r="O129" s="2052"/>
      <c r="P129" s="2052"/>
      <c r="Q129" s="2028">
        <f t="shared" si="80"/>
        <v>0</v>
      </c>
      <c r="R129" s="2026">
        <f t="shared" si="78"/>
        <v>0</v>
      </c>
      <c r="S129" s="2029">
        <f t="shared" si="79"/>
        <v>0</v>
      </c>
      <c r="T129" s="853">
        <f t="shared" si="81"/>
        <v>0</v>
      </c>
      <c r="U129" s="1408" t="str">
        <f t="shared" si="82"/>
        <v>1.33</v>
      </c>
      <c r="V129" s="1408" t="str">
        <f t="shared" si="83"/>
        <v>D+</v>
      </c>
      <c r="W129" s="1408" t="str">
        <f t="shared" si="84"/>
        <v>0</v>
      </c>
      <c r="X129" s="1409"/>
      <c r="Y129" s="1393"/>
      <c r="Z129" s="1394"/>
      <c r="AA129" s="1394"/>
      <c r="AB129" s="1394"/>
      <c r="AC129" s="1394"/>
      <c r="AD129" s="1394"/>
      <c r="AE129" s="1394"/>
      <c r="AF129" s="1394"/>
      <c r="AG129" s="1394"/>
      <c r="AH129" s="1394"/>
      <c r="AI129" s="1394"/>
      <c r="AJ129" s="1395"/>
      <c r="AK129" s="1395"/>
      <c r="AL129" s="1395"/>
      <c r="AM129" s="1395"/>
      <c r="AN129" s="1395"/>
      <c r="AO129" s="1395"/>
      <c r="AP129" s="1395"/>
      <c r="AQ129" s="1395"/>
      <c r="AR129" s="1395"/>
      <c r="AS129" s="1395"/>
      <c r="AT129" s="1396"/>
      <c r="AU129" s="1413"/>
      <c r="AV129" s="1414"/>
    </row>
    <row r="130" spans="1:48" ht="20.100000000000001" customHeight="1" x14ac:dyDescent="0.25">
      <c r="A130" s="360"/>
      <c r="B130" s="1387"/>
      <c r="C130" s="1388"/>
      <c r="D130" s="1166" t="s">
        <v>189</v>
      </c>
      <c r="E130" s="1493"/>
      <c r="F130" s="1493"/>
      <c r="G130" s="1493"/>
      <c r="H130" s="2040">
        <v>0</v>
      </c>
      <c r="I130" s="2040">
        <v>0</v>
      </c>
      <c r="J130" s="2040">
        <v>0</v>
      </c>
      <c r="K130" s="1493"/>
      <c r="L130" s="1493"/>
      <c r="M130" s="1493"/>
      <c r="N130" s="2039"/>
      <c r="O130" s="2039"/>
      <c r="P130" s="2039"/>
      <c r="Q130" s="2028">
        <f t="shared" si="80"/>
        <v>0</v>
      </c>
      <c r="R130" s="2026">
        <f t="shared" si="78"/>
        <v>0</v>
      </c>
      <c r="S130" s="2029">
        <f t="shared" si="79"/>
        <v>0</v>
      </c>
      <c r="T130" s="853">
        <f t="shared" si="81"/>
        <v>0</v>
      </c>
      <c r="U130" s="1408" t="str">
        <f t="shared" si="82"/>
        <v>1.33</v>
      </c>
      <c r="V130" s="1408" t="str">
        <f t="shared" si="83"/>
        <v>D+</v>
      </c>
      <c r="W130" s="1408" t="str">
        <f t="shared" si="84"/>
        <v>0</v>
      </c>
      <c r="X130" s="1409"/>
      <c r="Y130" s="1393"/>
      <c r="Z130" s="1394"/>
      <c r="AA130" s="1394"/>
      <c r="AB130" s="1394"/>
      <c r="AC130" s="1394"/>
      <c r="AD130" s="1394"/>
      <c r="AE130" s="1394"/>
      <c r="AF130" s="1394"/>
      <c r="AG130" s="1394"/>
      <c r="AH130" s="1394"/>
      <c r="AI130" s="1394"/>
      <c r="AJ130" s="1395"/>
      <c r="AK130" s="1395"/>
      <c r="AL130" s="1395"/>
      <c r="AM130" s="1395"/>
      <c r="AN130" s="1395"/>
      <c r="AO130" s="1395"/>
      <c r="AP130" s="1395"/>
      <c r="AQ130" s="1395"/>
      <c r="AR130" s="1395"/>
      <c r="AS130" s="1395"/>
      <c r="AT130" s="1396"/>
      <c r="AU130" s="1413"/>
      <c r="AV130" s="1414"/>
    </row>
    <row r="131" spans="1:48" ht="20.100000000000001" customHeight="1" x14ac:dyDescent="0.25">
      <c r="A131" s="360"/>
      <c r="B131" s="1387"/>
      <c r="C131" s="1388"/>
      <c r="D131" s="1166" t="s">
        <v>186</v>
      </c>
      <c r="E131" s="1493"/>
      <c r="F131" s="1493"/>
      <c r="G131" s="1493"/>
      <c r="H131" s="2040">
        <v>0</v>
      </c>
      <c r="I131" s="2040">
        <v>0</v>
      </c>
      <c r="J131" s="2040">
        <v>0</v>
      </c>
      <c r="K131" s="1493"/>
      <c r="L131" s="1493"/>
      <c r="M131" s="1493"/>
      <c r="N131" s="2039"/>
      <c r="O131" s="2039"/>
      <c r="P131" s="2039"/>
      <c r="Q131" s="2028">
        <f t="shared" si="80"/>
        <v>0</v>
      </c>
      <c r="R131" s="2026">
        <f t="shared" si="78"/>
        <v>0</v>
      </c>
      <c r="S131" s="2029">
        <f t="shared" si="79"/>
        <v>0</v>
      </c>
      <c r="T131" s="853">
        <f t="shared" si="81"/>
        <v>0</v>
      </c>
      <c r="U131" s="1408" t="str">
        <f t="shared" si="82"/>
        <v>1.33</v>
      </c>
      <c r="V131" s="1408" t="str">
        <f t="shared" si="83"/>
        <v>D+</v>
      </c>
      <c r="W131" s="1408" t="str">
        <f t="shared" si="84"/>
        <v>0</v>
      </c>
      <c r="X131" s="1409"/>
      <c r="Y131" s="1393"/>
      <c r="Z131" s="1394"/>
      <c r="AA131" s="1394"/>
      <c r="AB131" s="1394"/>
      <c r="AC131" s="1394"/>
      <c r="AD131" s="1394"/>
      <c r="AE131" s="1394"/>
      <c r="AF131" s="1394"/>
      <c r="AG131" s="1394"/>
      <c r="AH131" s="1394"/>
      <c r="AI131" s="1394"/>
      <c r="AJ131" s="1395"/>
      <c r="AK131" s="1395"/>
      <c r="AL131" s="1395"/>
      <c r="AM131" s="1395"/>
      <c r="AN131" s="1395"/>
      <c r="AO131" s="1395"/>
      <c r="AP131" s="1395"/>
      <c r="AQ131" s="1395"/>
      <c r="AR131" s="1395"/>
      <c r="AS131" s="1395"/>
      <c r="AT131" s="1396"/>
      <c r="AU131" s="1413"/>
      <c r="AV131" s="1414"/>
    </row>
    <row r="132" spans="1:48" ht="20.100000000000001" customHeight="1" x14ac:dyDescent="0.25">
      <c r="A132" s="360"/>
      <c r="B132" s="1387"/>
      <c r="C132" s="1388"/>
      <c r="D132" s="1166" t="s">
        <v>187</v>
      </c>
      <c r="E132" s="1385"/>
      <c r="F132" s="1385"/>
      <c r="G132" s="1385"/>
      <c r="H132" s="2048"/>
      <c r="I132" s="2048"/>
      <c r="J132" s="2048"/>
      <c r="K132" s="1385">
        <v>0</v>
      </c>
      <c r="L132" s="1385">
        <v>0</v>
      </c>
      <c r="M132" s="1385">
        <v>0</v>
      </c>
      <c r="N132" s="2049"/>
      <c r="O132" s="2049"/>
      <c r="P132" s="2049"/>
      <c r="Q132" s="2028">
        <f t="shared" si="80"/>
        <v>0</v>
      </c>
      <c r="R132" s="2026">
        <f t="shared" si="78"/>
        <v>0</v>
      </c>
      <c r="S132" s="2029">
        <f t="shared" si="79"/>
        <v>0</v>
      </c>
      <c r="T132" s="853">
        <f t="shared" si="81"/>
        <v>0</v>
      </c>
      <c r="U132" s="1408" t="str">
        <f t="shared" si="82"/>
        <v>1.33</v>
      </c>
      <c r="V132" s="1408" t="str">
        <f t="shared" si="83"/>
        <v>D+</v>
      </c>
      <c r="W132" s="1408" t="str">
        <f t="shared" si="84"/>
        <v>0</v>
      </c>
      <c r="X132" s="1409"/>
      <c r="Y132" s="1393"/>
      <c r="Z132" s="1394"/>
      <c r="AA132" s="1394"/>
      <c r="AB132" s="1394"/>
      <c r="AC132" s="1394"/>
      <c r="AD132" s="1394"/>
      <c r="AE132" s="1394"/>
      <c r="AF132" s="1394"/>
      <c r="AG132" s="1394"/>
      <c r="AH132" s="1394"/>
      <c r="AI132" s="1394"/>
      <c r="AJ132" s="1395"/>
      <c r="AK132" s="1395"/>
      <c r="AL132" s="1395"/>
      <c r="AM132" s="1395"/>
      <c r="AN132" s="1395"/>
      <c r="AO132" s="1395"/>
      <c r="AP132" s="1395"/>
      <c r="AQ132" s="1395"/>
      <c r="AR132" s="1395"/>
      <c r="AS132" s="1395"/>
      <c r="AT132" s="1396"/>
      <c r="AU132" s="1413"/>
      <c r="AV132" s="1414"/>
    </row>
    <row r="133" spans="1:48" ht="20.100000000000001" customHeight="1" x14ac:dyDescent="0.25">
      <c r="A133" s="360"/>
      <c r="B133" s="1387"/>
      <c r="C133" s="1388"/>
      <c r="D133" s="1166" t="s">
        <v>17</v>
      </c>
      <c r="E133" s="1385">
        <v>0</v>
      </c>
      <c r="F133" s="1385">
        <v>0</v>
      </c>
      <c r="G133" s="1385">
        <v>0</v>
      </c>
      <c r="H133" s="2048">
        <v>0</v>
      </c>
      <c r="I133" s="2048">
        <v>0</v>
      </c>
      <c r="J133" s="2048">
        <v>0</v>
      </c>
      <c r="K133" s="1385"/>
      <c r="L133" s="1385"/>
      <c r="M133" s="1385"/>
      <c r="N133" s="2049"/>
      <c r="O133" s="2049"/>
      <c r="P133" s="2049"/>
      <c r="Q133" s="2028">
        <f t="shared" si="80"/>
        <v>0</v>
      </c>
      <c r="R133" s="2026">
        <f t="shared" si="78"/>
        <v>0</v>
      </c>
      <c r="S133" s="2029">
        <f t="shared" si="79"/>
        <v>0</v>
      </c>
      <c r="T133" s="853">
        <f t="shared" si="81"/>
        <v>0</v>
      </c>
      <c r="U133" s="1408" t="str">
        <f t="shared" si="82"/>
        <v>1.33</v>
      </c>
      <c r="V133" s="1408" t="str">
        <f t="shared" si="83"/>
        <v>D+</v>
      </c>
      <c r="W133" s="1408" t="str">
        <f t="shared" si="84"/>
        <v>0</v>
      </c>
      <c r="X133" s="1409"/>
      <c r="Y133" s="1393"/>
      <c r="Z133" s="1394"/>
      <c r="AA133" s="1394"/>
      <c r="AB133" s="1394"/>
      <c r="AC133" s="1394"/>
      <c r="AD133" s="1394"/>
      <c r="AE133" s="1394"/>
      <c r="AF133" s="1394"/>
      <c r="AG133" s="1394"/>
      <c r="AH133" s="1394"/>
      <c r="AI133" s="1394"/>
      <c r="AJ133" s="1395"/>
      <c r="AK133" s="1395"/>
      <c r="AL133" s="1395"/>
      <c r="AM133" s="1395"/>
      <c r="AN133" s="1395"/>
      <c r="AO133" s="1395"/>
      <c r="AP133" s="1395"/>
      <c r="AQ133" s="1395"/>
      <c r="AR133" s="1395"/>
      <c r="AS133" s="1395"/>
      <c r="AT133" s="1396"/>
      <c r="AU133" s="1413"/>
      <c r="AV133" s="1414"/>
    </row>
    <row r="134" spans="1:48" ht="20.100000000000001" customHeight="1" x14ac:dyDescent="0.25">
      <c r="A134" s="360"/>
      <c r="B134" s="1387"/>
      <c r="C134" s="1388"/>
      <c r="D134" s="1166" t="s">
        <v>188</v>
      </c>
      <c r="E134" s="1385"/>
      <c r="F134" s="1385"/>
      <c r="G134" s="1385"/>
      <c r="H134" s="2048">
        <v>0</v>
      </c>
      <c r="I134" s="2048">
        <v>0</v>
      </c>
      <c r="J134" s="2048">
        <v>0</v>
      </c>
      <c r="K134" s="1385"/>
      <c r="L134" s="1385"/>
      <c r="M134" s="1385"/>
      <c r="N134" s="2049"/>
      <c r="O134" s="2049"/>
      <c r="P134" s="2049"/>
      <c r="Q134" s="2028">
        <f t="shared" si="80"/>
        <v>0</v>
      </c>
      <c r="R134" s="2026">
        <f t="shared" si="78"/>
        <v>0</v>
      </c>
      <c r="S134" s="2029">
        <f t="shared" si="79"/>
        <v>0</v>
      </c>
      <c r="T134" s="853">
        <f t="shared" si="81"/>
        <v>0</v>
      </c>
      <c r="U134" s="1408" t="str">
        <f t="shared" si="82"/>
        <v>1.33</v>
      </c>
      <c r="V134" s="1408" t="str">
        <f t="shared" si="83"/>
        <v>D+</v>
      </c>
      <c r="W134" s="1408" t="str">
        <f t="shared" si="84"/>
        <v>0</v>
      </c>
      <c r="X134" s="1409"/>
      <c r="Y134" s="1393"/>
      <c r="Z134" s="1394"/>
      <c r="AA134" s="1394"/>
      <c r="AB134" s="1394"/>
      <c r="AC134" s="1394"/>
      <c r="AD134" s="1394"/>
      <c r="AE134" s="1394"/>
      <c r="AF134" s="1394"/>
      <c r="AG134" s="1394"/>
      <c r="AH134" s="1394"/>
      <c r="AI134" s="1394"/>
      <c r="AJ134" s="1395"/>
      <c r="AK134" s="1395"/>
      <c r="AL134" s="1395"/>
      <c r="AM134" s="1395"/>
      <c r="AN134" s="1395"/>
      <c r="AO134" s="1395"/>
      <c r="AP134" s="1395"/>
      <c r="AQ134" s="1395"/>
      <c r="AR134" s="1395"/>
      <c r="AS134" s="1395"/>
      <c r="AT134" s="1396"/>
      <c r="AU134" s="1413"/>
      <c r="AV134" s="1414"/>
    </row>
    <row r="135" spans="1:48" ht="20.100000000000001" customHeight="1" x14ac:dyDescent="0.25">
      <c r="A135" s="360"/>
      <c r="B135" s="1387"/>
      <c r="C135" s="1388"/>
      <c r="D135" s="1166" t="s">
        <v>569</v>
      </c>
      <c r="E135" s="1385"/>
      <c r="F135" s="1385"/>
      <c r="G135" s="1385"/>
      <c r="H135" s="2048"/>
      <c r="I135" s="2048"/>
      <c r="J135" s="2048"/>
      <c r="K135" s="1385">
        <v>0</v>
      </c>
      <c r="L135" s="1385">
        <v>0</v>
      </c>
      <c r="M135" s="1385">
        <v>0</v>
      </c>
      <c r="N135" s="2049"/>
      <c r="O135" s="2049"/>
      <c r="P135" s="2049"/>
      <c r="Q135" s="2028">
        <f t="shared" si="80"/>
        <v>0</v>
      </c>
      <c r="R135" s="2026">
        <f t="shared" si="78"/>
        <v>0</v>
      </c>
      <c r="S135" s="2029">
        <f t="shared" si="79"/>
        <v>0</v>
      </c>
      <c r="T135" s="853">
        <f t="shared" si="81"/>
        <v>0</v>
      </c>
      <c r="U135" s="1408" t="str">
        <f t="shared" si="82"/>
        <v>1.33</v>
      </c>
      <c r="V135" s="1408" t="str">
        <f t="shared" si="83"/>
        <v>D+</v>
      </c>
      <c r="W135" s="1408" t="str">
        <f t="shared" si="84"/>
        <v>0</v>
      </c>
      <c r="X135" s="1409"/>
      <c r="Y135" s="1393"/>
      <c r="Z135" s="1394"/>
      <c r="AA135" s="1394"/>
      <c r="AB135" s="1394"/>
      <c r="AC135" s="1394"/>
      <c r="AD135" s="1394"/>
      <c r="AE135" s="1394"/>
      <c r="AF135" s="1394"/>
      <c r="AG135" s="1394"/>
      <c r="AH135" s="1394"/>
      <c r="AI135" s="1394"/>
      <c r="AJ135" s="1395"/>
      <c r="AK135" s="1395"/>
      <c r="AL135" s="1395"/>
      <c r="AM135" s="1395"/>
      <c r="AN135" s="1395"/>
      <c r="AO135" s="1395"/>
      <c r="AP135" s="1395"/>
      <c r="AQ135" s="1395"/>
      <c r="AR135" s="1395"/>
      <c r="AS135" s="1395"/>
      <c r="AT135" s="1396"/>
      <c r="AU135" s="1413"/>
      <c r="AV135" s="1414"/>
    </row>
    <row r="136" spans="1:48" ht="20.100000000000001" customHeight="1" x14ac:dyDescent="0.25">
      <c r="A136" s="360"/>
      <c r="B136" s="1387"/>
      <c r="C136" s="1388"/>
      <c r="D136" s="1166" t="s">
        <v>209</v>
      </c>
      <c r="E136" s="1385"/>
      <c r="F136" s="1385"/>
      <c r="G136" s="1385"/>
      <c r="H136" s="2048"/>
      <c r="I136" s="2048"/>
      <c r="J136" s="2048"/>
      <c r="K136" s="1385"/>
      <c r="L136" s="1385"/>
      <c r="M136" s="1385"/>
      <c r="N136" s="2049">
        <v>0</v>
      </c>
      <c r="O136" s="2049">
        <v>0</v>
      </c>
      <c r="P136" s="2049">
        <v>0</v>
      </c>
      <c r="Q136" s="2028">
        <f t="shared" si="80"/>
        <v>0</v>
      </c>
      <c r="R136" s="2026">
        <f t="shared" si="78"/>
        <v>0</v>
      </c>
      <c r="S136" s="2029">
        <f t="shared" si="79"/>
        <v>0</v>
      </c>
      <c r="T136" s="853">
        <f t="shared" si="81"/>
        <v>0</v>
      </c>
      <c r="U136" s="1408" t="str">
        <f t="shared" si="82"/>
        <v>1.33</v>
      </c>
      <c r="V136" s="1408" t="str">
        <f t="shared" si="83"/>
        <v>D+</v>
      </c>
      <c r="W136" s="1408" t="str">
        <f t="shared" si="84"/>
        <v>0</v>
      </c>
      <c r="X136" s="1409"/>
      <c r="Y136" s="1393"/>
      <c r="Z136" s="1394"/>
      <c r="AA136" s="1394"/>
      <c r="AB136" s="1394"/>
      <c r="AC136" s="1394"/>
      <c r="AD136" s="1394"/>
      <c r="AE136" s="1394"/>
      <c r="AF136" s="1394"/>
      <c r="AG136" s="1394"/>
      <c r="AH136" s="1394"/>
      <c r="AI136" s="1394"/>
      <c r="AJ136" s="1395"/>
      <c r="AK136" s="1395"/>
      <c r="AL136" s="1395"/>
      <c r="AM136" s="1395"/>
      <c r="AN136" s="1395"/>
      <c r="AO136" s="1395"/>
      <c r="AP136" s="1395"/>
      <c r="AQ136" s="1395"/>
      <c r="AR136" s="1395"/>
      <c r="AS136" s="1395"/>
      <c r="AT136" s="1396"/>
      <c r="AU136" s="1413"/>
      <c r="AV136" s="1414"/>
    </row>
    <row r="137" spans="1:48" ht="20.100000000000001" customHeight="1" x14ac:dyDescent="0.25">
      <c r="A137" s="360"/>
      <c r="B137" s="1387"/>
      <c r="C137" s="1388"/>
      <c r="D137" s="1166" t="s">
        <v>210</v>
      </c>
      <c r="E137" s="1385"/>
      <c r="F137" s="1385"/>
      <c r="G137" s="1385"/>
      <c r="H137" s="2048"/>
      <c r="I137" s="2048"/>
      <c r="J137" s="2048"/>
      <c r="K137" s="1385"/>
      <c r="L137" s="1385"/>
      <c r="M137" s="1385"/>
      <c r="N137" s="2049">
        <v>0</v>
      </c>
      <c r="O137" s="2049">
        <v>0</v>
      </c>
      <c r="P137" s="2049">
        <v>0</v>
      </c>
      <c r="Q137" s="2028">
        <f t="shared" si="80"/>
        <v>0</v>
      </c>
      <c r="R137" s="2026">
        <f t="shared" si="78"/>
        <v>0</v>
      </c>
      <c r="S137" s="2029">
        <f t="shared" si="79"/>
        <v>0</v>
      </c>
      <c r="T137" s="853">
        <f t="shared" si="81"/>
        <v>0</v>
      </c>
      <c r="U137" s="1408" t="str">
        <f t="shared" si="82"/>
        <v>1.33</v>
      </c>
      <c r="V137" s="1408" t="str">
        <f t="shared" si="83"/>
        <v>D+</v>
      </c>
      <c r="W137" s="1408" t="str">
        <f t="shared" si="84"/>
        <v>0</v>
      </c>
      <c r="X137" s="1409"/>
      <c r="Y137" s="1397"/>
      <c r="Z137" s="1398"/>
      <c r="AA137" s="1398"/>
      <c r="AB137" s="1398"/>
      <c r="AC137" s="1398"/>
      <c r="AD137" s="1398"/>
      <c r="AE137" s="1398"/>
      <c r="AF137" s="1398"/>
      <c r="AG137" s="1398"/>
      <c r="AH137" s="1398"/>
      <c r="AI137" s="1398"/>
      <c r="AJ137" s="1399"/>
      <c r="AK137" s="1399"/>
      <c r="AL137" s="1399"/>
      <c r="AM137" s="1399"/>
      <c r="AN137" s="1399"/>
      <c r="AO137" s="1399"/>
      <c r="AP137" s="1399"/>
      <c r="AQ137" s="1399"/>
      <c r="AR137" s="1399"/>
      <c r="AS137" s="1399"/>
      <c r="AT137" s="1400"/>
      <c r="AU137" s="1415"/>
      <c r="AV137" s="1416"/>
    </row>
    <row r="138" spans="1:48" ht="20.100000000000001" customHeight="1" x14ac:dyDescent="0.25">
      <c r="A138" s="727"/>
      <c r="B138" s="1406">
        <v>11</v>
      </c>
      <c r="C138" s="1407"/>
      <c r="D138" s="1004"/>
      <c r="E138" s="2780"/>
      <c r="F138" s="2781"/>
      <c r="G138" s="2781"/>
      <c r="H138" s="2781"/>
      <c r="I138" s="2046"/>
      <c r="J138" s="2046"/>
      <c r="K138" s="2046"/>
      <c r="L138" s="2046"/>
      <c r="M138" s="2046"/>
      <c r="N138" s="2046"/>
      <c r="O138" s="2046"/>
      <c r="P138" s="2046"/>
      <c r="Q138" s="2046"/>
      <c r="R138" s="2046"/>
      <c r="S138" s="2046"/>
      <c r="T138" s="2044">
        <f>IFERROR(AVERAGE(T127:T137),"  ")</f>
        <v>0</v>
      </c>
      <c r="U138" s="2045" t="str">
        <f>IF(X138&gt;85,("4"),IF(X138&gt;80,("3.66"),IF(X138&gt;75,("3.33"),IF(X138&gt;70,("3.00"),IF(X138&gt;65,("2.66"),IF(X138&gt;60,("2.33"),IF(X138&gt;55,("2"),IF(X138&gt;50,("1.66"),"1.33"))))))))</f>
        <v>1.33</v>
      </c>
      <c r="V138" s="2045" t="str">
        <f>IF(X138&gt;85,("A"),IF(X138&gt;80,("A-"),IF(X138&gt;75,("B+"),IF(X138&gt;70,("B"),IF(X138&gt;65,("B-"),IF(X138&gt;60,("C+"),IF(X138&gt;55,("C"),IF(X138&gt;50,("C-"),"D+"))))))))</f>
        <v>D+</v>
      </c>
      <c r="W138" s="2045"/>
      <c r="X138" s="888">
        <f>MAX(T127:T137)</f>
        <v>0</v>
      </c>
      <c r="Y138" s="1403"/>
      <c r="Z138" s="1404"/>
      <c r="AA138" s="1404"/>
      <c r="AB138" s="1404"/>
      <c r="AC138" s="1404"/>
      <c r="AD138" s="1404"/>
      <c r="AE138" s="1404"/>
      <c r="AF138" s="1404"/>
      <c r="AG138" s="1404"/>
      <c r="AH138" s="1404"/>
      <c r="AI138" s="1404"/>
      <c r="AJ138" s="1404"/>
      <c r="AK138" s="1404"/>
      <c r="AL138" s="1404"/>
      <c r="AM138" s="1404"/>
      <c r="AN138" s="1404"/>
      <c r="AO138" s="1404"/>
      <c r="AP138" s="1404"/>
      <c r="AQ138" s="1404"/>
      <c r="AR138" s="1404"/>
      <c r="AS138" s="1404"/>
      <c r="AT138" s="1405"/>
      <c r="AU138" s="1257"/>
      <c r="AV138" s="1258"/>
    </row>
    <row r="139" spans="1:48" ht="20.100000000000001" customHeight="1" x14ac:dyDescent="0.25">
      <c r="A139" s="724">
        <v>12</v>
      </c>
      <c r="B139" s="1383"/>
      <c r="C139" s="1384" t="str">
        <f>VLOOKUP(A139,data_siswa,4,FALSE)</f>
        <v>Intan Dyah Nowari</v>
      </c>
      <c r="D139" s="1166" t="s">
        <v>154</v>
      </c>
      <c r="E139" s="2050">
        <v>0</v>
      </c>
      <c r="F139" s="2050">
        <v>0</v>
      </c>
      <c r="G139" s="2050">
        <v>0</v>
      </c>
      <c r="H139" s="2051"/>
      <c r="I139" s="2051"/>
      <c r="J139" s="2051"/>
      <c r="K139" s="2050"/>
      <c r="L139" s="2050"/>
      <c r="M139" s="2050"/>
      <c r="N139" s="2052"/>
      <c r="O139" s="2052"/>
      <c r="P139" s="2052"/>
      <c r="Q139" s="2028">
        <f>MAX(E139,H139,K139,N139)</f>
        <v>0</v>
      </c>
      <c r="R139" s="2026">
        <f t="shared" ref="R139:R149" si="85">MAX(F139,I139,L139,O139)</f>
        <v>0</v>
      </c>
      <c r="S139" s="2029">
        <f t="shared" ref="S139:S149" si="86">MAX(G139,J139,M139,P139)</f>
        <v>0</v>
      </c>
      <c r="T139" s="853">
        <f>IFERROR(AVERAGE(Q139:S139),"")</f>
        <v>0</v>
      </c>
      <c r="U139" s="1408" t="str">
        <f>IF(T139&gt;85,("4"),IF(T139&gt;80,("3.66"),IF(T139&gt;75,("3.33"),IF(T139&gt;70,("3.00"),IF(T139&gt;65,("2.66"),IF(T139&gt;60,("2.33"),IF(T139&gt;55,("2"),IF(T139&gt;50,("1.66"),"1.33"))))))))</f>
        <v>1.33</v>
      </c>
      <c r="V139" s="1408" t="str">
        <f>IF(T139&gt;85,("A"),IF(T139&gt;80,("A-"),IF(T139&gt;75,("B+"),IF(T139&gt;70,("B"),IF(T139&gt;65,("B-"),IF(T139&gt;60,("C+"),IF(T139&gt;55,("C"),IF(T139&gt;50,("C-"),"D+"))))))))</f>
        <v>D+</v>
      </c>
      <c r="W139" s="1408" t="str">
        <f>IF(T139&gt;80,("SB"),IF(T139&gt;65,("B"),IF(T139&gt;50,("C"),IF(T139&gt;0,("K"),"0"))))</f>
        <v>0</v>
      </c>
      <c r="X139" s="1408"/>
      <c r="Y139" s="749"/>
      <c r="Z139" s="749"/>
      <c r="AA139" s="749"/>
      <c r="AB139" s="749"/>
      <c r="AC139" s="749"/>
      <c r="AD139" s="749"/>
      <c r="AE139" s="749"/>
      <c r="AF139" s="749"/>
      <c r="AG139" s="749"/>
      <c r="AH139" s="749"/>
      <c r="AI139" s="749"/>
      <c r="AJ139" s="1386"/>
      <c r="AK139" s="1386"/>
      <c r="AL139" s="1386"/>
      <c r="AM139" s="1386"/>
      <c r="AN139" s="1386"/>
      <c r="AO139" s="1386"/>
      <c r="AP139" s="1386"/>
      <c r="AQ139" s="1386"/>
      <c r="AR139" s="1386"/>
      <c r="AS139" s="1386"/>
      <c r="AT139" s="1386"/>
      <c r="AU139" s="1057">
        <f>T150</f>
        <v>0</v>
      </c>
      <c r="AV139" s="1194" t="str">
        <f>IF(AU139&gt;85,("A"),IF(AU139&gt;80,("A-"),IF(AU139&gt;75,("B+"),IF(AU139&gt;70,("B"),IF(AU139&gt;65,("B-"),IF(AU139&gt;60,("C+"),IF(AU139&gt;55,("C"),IF(AU139&gt;50,("C-"),"D+"))))))))</f>
        <v>D+</v>
      </c>
    </row>
    <row r="140" spans="1:48" ht="20.100000000000001" customHeight="1" x14ac:dyDescent="0.25">
      <c r="A140" s="360"/>
      <c r="B140" s="1387"/>
      <c r="C140" s="1388"/>
      <c r="D140" s="1166" t="s">
        <v>155</v>
      </c>
      <c r="E140" s="1493"/>
      <c r="F140" s="1493"/>
      <c r="G140" s="1493"/>
      <c r="H140" s="2040"/>
      <c r="I140" s="2040"/>
      <c r="J140" s="2040"/>
      <c r="K140" s="1493"/>
      <c r="L140" s="1493"/>
      <c r="M140" s="1493"/>
      <c r="N140" s="2039">
        <v>0</v>
      </c>
      <c r="O140" s="2039">
        <v>0</v>
      </c>
      <c r="P140" s="2039">
        <v>0</v>
      </c>
      <c r="Q140" s="2028">
        <f t="shared" ref="Q140:Q149" si="87">MAX(E140,H140,K140,N140)</f>
        <v>0</v>
      </c>
      <c r="R140" s="2026">
        <f t="shared" si="85"/>
        <v>0</v>
      </c>
      <c r="S140" s="2029">
        <f t="shared" si="86"/>
        <v>0</v>
      </c>
      <c r="T140" s="853">
        <f t="shared" ref="T140:T149" si="88">IFERROR(AVERAGE(Q140:S140),"")</f>
        <v>0</v>
      </c>
      <c r="U140" s="1408" t="str">
        <f t="shared" ref="U140:U149" si="89">IF(T140&gt;85,("4"),IF(T140&gt;80,("3.66"),IF(T140&gt;75,("3.33"),IF(T140&gt;70,("3.00"),IF(T140&gt;65,("2.66"),IF(T140&gt;60,("2.33"),IF(T140&gt;55,("2"),IF(T140&gt;50,("1.66"),"1.33"))))))))</f>
        <v>1.33</v>
      </c>
      <c r="V140" s="1408" t="str">
        <f t="shared" ref="V140:V149" si="90">IF(T140&gt;85,("A"),IF(T140&gt;80,("A-"),IF(T140&gt;75,("B+"),IF(T140&gt;70,("B"),IF(T140&gt;65,("B-"),IF(T140&gt;60,("C+"),IF(T140&gt;55,("C"),IF(T140&gt;50,("C-"),"D+"))))))))</f>
        <v>D+</v>
      </c>
      <c r="W140" s="1408" t="str">
        <f t="shared" ref="W140:W149" si="91">IF(T140&gt;80,("SB"),IF(T140&gt;65,("B"),IF(T140&gt;50,("C"),IF(T140&gt;0,("K"),"0"))))</f>
        <v>0</v>
      </c>
      <c r="X140" s="1409"/>
      <c r="Y140" s="1389"/>
      <c r="Z140" s="1390"/>
      <c r="AA140" s="1390"/>
      <c r="AB140" s="1390"/>
      <c r="AC140" s="1390"/>
      <c r="AD140" s="1390"/>
      <c r="AE140" s="1390"/>
      <c r="AF140" s="1390"/>
      <c r="AG140" s="1390"/>
      <c r="AH140" s="1390"/>
      <c r="AI140" s="1390"/>
      <c r="AJ140" s="1391"/>
      <c r="AK140" s="1391"/>
      <c r="AL140" s="1391"/>
      <c r="AM140" s="1391"/>
      <c r="AN140" s="1391"/>
      <c r="AO140" s="1391"/>
      <c r="AP140" s="1391"/>
      <c r="AQ140" s="1391"/>
      <c r="AR140" s="1391"/>
      <c r="AS140" s="1391"/>
      <c r="AT140" s="1392"/>
      <c r="AU140" s="1411"/>
      <c r="AV140" s="1412"/>
    </row>
    <row r="141" spans="1:48" ht="20.100000000000001" customHeight="1" x14ac:dyDescent="0.25">
      <c r="A141" s="360"/>
      <c r="B141" s="1387"/>
      <c r="C141" s="1388"/>
      <c r="D141" s="1166" t="s">
        <v>16</v>
      </c>
      <c r="E141" s="1493"/>
      <c r="F141" s="1493"/>
      <c r="G141" s="1493"/>
      <c r="H141" s="2040">
        <v>0</v>
      </c>
      <c r="I141" s="2040">
        <v>0</v>
      </c>
      <c r="J141" s="2040">
        <v>0</v>
      </c>
      <c r="K141" s="1493"/>
      <c r="L141" s="1493"/>
      <c r="M141" s="1493"/>
      <c r="N141" s="2052"/>
      <c r="O141" s="2052"/>
      <c r="P141" s="2052"/>
      <c r="Q141" s="2028">
        <f t="shared" si="87"/>
        <v>0</v>
      </c>
      <c r="R141" s="2026">
        <f t="shared" si="85"/>
        <v>0</v>
      </c>
      <c r="S141" s="2029">
        <f t="shared" si="86"/>
        <v>0</v>
      </c>
      <c r="T141" s="853">
        <f t="shared" si="88"/>
        <v>0</v>
      </c>
      <c r="U141" s="1408" t="str">
        <f t="shared" si="89"/>
        <v>1.33</v>
      </c>
      <c r="V141" s="1408" t="str">
        <f t="shared" si="90"/>
        <v>D+</v>
      </c>
      <c r="W141" s="1408" t="str">
        <f t="shared" si="91"/>
        <v>0</v>
      </c>
      <c r="X141" s="1409"/>
      <c r="Y141" s="1393"/>
      <c r="Z141" s="1394"/>
      <c r="AA141" s="1394"/>
      <c r="AB141" s="1394"/>
      <c r="AC141" s="1394"/>
      <c r="AD141" s="1394"/>
      <c r="AE141" s="1394"/>
      <c r="AF141" s="1394"/>
      <c r="AG141" s="1394"/>
      <c r="AH141" s="1394"/>
      <c r="AI141" s="1394"/>
      <c r="AJ141" s="1395"/>
      <c r="AK141" s="1395"/>
      <c r="AL141" s="1395"/>
      <c r="AM141" s="1395"/>
      <c r="AN141" s="1395"/>
      <c r="AO141" s="1395"/>
      <c r="AP141" s="1395"/>
      <c r="AQ141" s="1395"/>
      <c r="AR141" s="1395"/>
      <c r="AS141" s="1395"/>
      <c r="AT141" s="1396"/>
      <c r="AU141" s="1413"/>
      <c r="AV141" s="1414"/>
    </row>
    <row r="142" spans="1:48" ht="20.100000000000001" customHeight="1" x14ac:dyDescent="0.25">
      <c r="A142" s="360"/>
      <c r="B142" s="1387"/>
      <c r="C142" s="1388"/>
      <c r="D142" s="1166" t="s">
        <v>189</v>
      </c>
      <c r="E142" s="1493"/>
      <c r="F142" s="1493"/>
      <c r="G142" s="1493"/>
      <c r="H142" s="2040">
        <v>0</v>
      </c>
      <c r="I142" s="2040">
        <v>0</v>
      </c>
      <c r="J142" s="2040">
        <v>0</v>
      </c>
      <c r="K142" s="1493"/>
      <c r="L142" s="1493"/>
      <c r="M142" s="1493"/>
      <c r="N142" s="2039"/>
      <c r="O142" s="2039"/>
      <c r="P142" s="2039"/>
      <c r="Q142" s="2028">
        <f t="shared" si="87"/>
        <v>0</v>
      </c>
      <c r="R142" s="2026">
        <f t="shared" si="85"/>
        <v>0</v>
      </c>
      <c r="S142" s="2029">
        <f t="shared" si="86"/>
        <v>0</v>
      </c>
      <c r="T142" s="853">
        <f t="shared" si="88"/>
        <v>0</v>
      </c>
      <c r="U142" s="1408" t="str">
        <f t="shared" si="89"/>
        <v>1.33</v>
      </c>
      <c r="V142" s="1408" t="str">
        <f t="shared" si="90"/>
        <v>D+</v>
      </c>
      <c r="W142" s="1408" t="str">
        <f t="shared" si="91"/>
        <v>0</v>
      </c>
      <c r="X142" s="1409"/>
      <c r="Y142" s="1393"/>
      <c r="Z142" s="1394"/>
      <c r="AA142" s="1394"/>
      <c r="AB142" s="1394"/>
      <c r="AC142" s="1394"/>
      <c r="AD142" s="1394"/>
      <c r="AE142" s="1394"/>
      <c r="AF142" s="1394"/>
      <c r="AG142" s="1394"/>
      <c r="AH142" s="1394"/>
      <c r="AI142" s="1394"/>
      <c r="AJ142" s="1395"/>
      <c r="AK142" s="1395"/>
      <c r="AL142" s="1395"/>
      <c r="AM142" s="1395"/>
      <c r="AN142" s="1395"/>
      <c r="AO142" s="1395"/>
      <c r="AP142" s="1395"/>
      <c r="AQ142" s="1395"/>
      <c r="AR142" s="1395"/>
      <c r="AS142" s="1395"/>
      <c r="AT142" s="1396"/>
      <c r="AU142" s="1413"/>
      <c r="AV142" s="1414"/>
    </row>
    <row r="143" spans="1:48" ht="20.100000000000001" customHeight="1" x14ac:dyDescent="0.25">
      <c r="A143" s="360"/>
      <c r="B143" s="1387"/>
      <c r="C143" s="1388"/>
      <c r="D143" s="1166" t="s">
        <v>186</v>
      </c>
      <c r="E143" s="1493"/>
      <c r="F143" s="1493"/>
      <c r="G143" s="1493"/>
      <c r="H143" s="2040">
        <v>0</v>
      </c>
      <c r="I143" s="2040">
        <v>0</v>
      </c>
      <c r="J143" s="2040">
        <v>0</v>
      </c>
      <c r="K143" s="1493"/>
      <c r="L143" s="1493"/>
      <c r="M143" s="1493"/>
      <c r="N143" s="2039"/>
      <c r="O143" s="2039"/>
      <c r="P143" s="2039"/>
      <c r="Q143" s="2028">
        <f t="shared" si="87"/>
        <v>0</v>
      </c>
      <c r="R143" s="2026">
        <f t="shared" si="85"/>
        <v>0</v>
      </c>
      <c r="S143" s="2029">
        <f t="shared" si="86"/>
        <v>0</v>
      </c>
      <c r="T143" s="853">
        <f t="shared" si="88"/>
        <v>0</v>
      </c>
      <c r="U143" s="1408" t="str">
        <f t="shared" si="89"/>
        <v>1.33</v>
      </c>
      <c r="V143" s="1408" t="str">
        <f t="shared" si="90"/>
        <v>D+</v>
      </c>
      <c r="W143" s="1408" t="str">
        <f t="shared" si="91"/>
        <v>0</v>
      </c>
      <c r="X143" s="1409"/>
      <c r="Y143" s="1393"/>
      <c r="Z143" s="1394"/>
      <c r="AA143" s="1394"/>
      <c r="AB143" s="1394"/>
      <c r="AC143" s="1394"/>
      <c r="AD143" s="1394"/>
      <c r="AE143" s="1394"/>
      <c r="AF143" s="1394"/>
      <c r="AG143" s="1394"/>
      <c r="AH143" s="1394"/>
      <c r="AI143" s="1394"/>
      <c r="AJ143" s="1395"/>
      <c r="AK143" s="1395"/>
      <c r="AL143" s="1395"/>
      <c r="AM143" s="1395"/>
      <c r="AN143" s="1395"/>
      <c r="AO143" s="1395"/>
      <c r="AP143" s="1395"/>
      <c r="AQ143" s="1395"/>
      <c r="AR143" s="1395"/>
      <c r="AS143" s="1395"/>
      <c r="AT143" s="1396"/>
      <c r="AU143" s="1413"/>
      <c r="AV143" s="1414"/>
    </row>
    <row r="144" spans="1:48" ht="20.100000000000001" customHeight="1" x14ac:dyDescent="0.25">
      <c r="A144" s="360"/>
      <c r="B144" s="1387"/>
      <c r="C144" s="1388"/>
      <c r="D144" s="1166" t="s">
        <v>187</v>
      </c>
      <c r="E144" s="1385"/>
      <c r="F144" s="1385"/>
      <c r="G144" s="1385"/>
      <c r="H144" s="2048"/>
      <c r="I144" s="2048"/>
      <c r="J144" s="2048"/>
      <c r="K144" s="1385">
        <v>0</v>
      </c>
      <c r="L144" s="1385">
        <v>0</v>
      </c>
      <c r="M144" s="1385">
        <v>0</v>
      </c>
      <c r="N144" s="2049"/>
      <c r="O144" s="2049"/>
      <c r="P144" s="2049"/>
      <c r="Q144" s="2028">
        <f t="shared" si="87"/>
        <v>0</v>
      </c>
      <c r="R144" s="2026">
        <f t="shared" si="85"/>
        <v>0</v>
      </c>
      <c r="S144" s="2029">
        <f t="shared" si="86"/>
        <v>0</v>
      </c>
      <c r="T144" s="853">
        <f t="shared" si="88"/>
        <v>0</v>
      </c>
      <c r="U144" s="1408" t="str">
        <f t="shared" si="89"/>
        <v>1.33</v>
      </c>
      <c r="V144" s="1408" t="str">
        <f t="shared" si="90"/>
        <v>D+</v>
      </c>
      <c r="W144" s="1408" t="str">
        <f t="shared" si="91"/>
        <v>0</v>
      </c>
      <c r="X144" s="1409"/>
      <c r="Y144" s="1393"/>
      <c r="Z144" s="1394"/>
      <c r="AA144" s="1394"/>
      <c r="AB144" s="1394"/>
      <c r="AC144" s="1394"/>
      <c r="AD144" s="1394"/>
      <c r="AE144" s="1394"/>
      <c r="AF144" s="1394"/>
      <c r="AG144" s="1394"/>
      <c r="AH144" s="1394"/>
      <c r="AI144" s="1394"/>
      <c r="AJ144" s="1395"/>
      <c r="AK144" s="1395"/>
      <c r="AL144" s="1395"/>
      <c r="AM144" s="1395"/>
      <c r="AN144" s="1395"/>
      <c r="AO144" s="1395"/>
      <c r="AP144" s="1395"/>
      <c r="AQ144" s="1395"/>
      <c r="AR144" s="1395"/>
      <c r="AS144" s="1395"/>
      <c r="AT144" s="1396"/>
      <c r="AU144" s="1413"/>
      <c r="AV144" s="1414"/>
    </row>
    <row r="145" spans="1:48" ht="20.100000000000001" customHeight="1" x14ac:dyDescent="0.25">
      <c r="A145" s="360"/>
      <c r="B145" s="1387"/>
      <c r="C145" s="1388"/>
      <c r="D145" s="1166" t="s">
        <v>17</v>
      </c>
      <c r="E145" s="1385">
        <v>0</v>
      </c>
      <c r="F145" s="1385">
        <v>0</v>
      </c>
      <c r="G145" s="1385">
        <v>0</v>
      </c>
      <c r="H145" s="2048">
        <v>0</v>
      </c>
      <c r="I145" s="2048">
        <v>0</v>
      </c>
      <c r="J145" s="2048">
        <v>0</v>
      </c>
      <c r="K145" s="1385"/>
      <c r="L145" s="1385"/>
      <c r="M145" s="1385"/>
      <c r="N145" s="2049"/>
      <c r="O145" s="2049"/>
      <c r="P145" s="2049"/>
      <c r="Q145" s="2028">
        <f t="shared" si="87"/>
        <v>0</v>
      </c>
      <c r="R145" s="2026">
        <f t="shared" si="85"/>
        <v>0</v>
      </c>
      <c r="S145" s="2029">
        <f t="shared" si="86"/>
        <v>0</v>
      </c>
      <c r="T145" s="853">
        <f t="shared" si="88"/>
        <v>0</v>
      </c>
      <c r="U145" s="1408" t="str">
        <f t="shared" si="89"/>
        <v>1.33</v>
      </c>
      <c r="V145" s="1408" t="str">
        <f t="shared" si="90"/>
        <v>D+</v>
      </c>
      <c r="W145" s="1408" t="str">
        <f t="shared" si="91"/>
        <v>0</v>
      </c>
      <c r="X145" s="1409"/>
      <c r="Y145" s="1393"/>
      <c r="Z145" s="1394"/>
      <c r="AA145" s="1394"/>
      <c r="AB145" s="1394"/>
      <c r="AC145" s="1394"/>
      <c r="AD145" s="1394"/>
      <c r="AE145" s="1394"/>
      <c r="AF145" s="1394"/>
      <c r="AG145" s="1394"/>
      <c r="AH145" s="1394"/>
      <c r="AI145" s="1394"/>
      <c r="AJ145" s="1395"/>
      <c r="AK145" s="1395"/>
      <c r="AL145" s="1395"/>
      <c r="AM145" s="1395"/>
      <c r="AN145" s="1395"/>
      <c r="AO145" s="1395"/>
      <c r="AP145" s="1395"/>
      <c r="AQ145" s="1395"/>
      <c r="AR145" s="1395"/>
      <c r="AS145" s="1395"/>
      <c r="AT145" s="1396"/>
      <c r="AU145" s="1413"/>
      <c r="AV145" s="1414"/>
    </row>
    <row r="146" spans="1:48" ht="20.100000000000001" customHeight="1" x14ac:dyDescent="0.25">
      <c r="A146" s="360"/>
      <c r="B146" s="1387"/>
      <c r="C146" s="1388"/>
      <c r="D146" s="1166" t="s">
        <v>188</v>
      </c>
      <c r="E146" s="1385"/>
      <c r="F146" s="1385"/>
      <c r="G146" s="1385"/>
      <c r="H146" s="2048">
        <v>0</v>
      </c>
      <c r="I146" s="2048">
        <v>0</v>
      </c>
      <c r="J146" s="2048">
        <v>0</v>
      </c>
      <c r="K146" s="1385"/>
      <c r="L146" s="1385"/>
      <c r="M146" s="1385"/>
      <c r="N146" s="2049"/>
      <c r="O146" s="2049"/>
      <c r="P146" s="2049"/>
      <c r="Q146" s="2028">
        <f t="shared" si="87"/>
        <v>0</v>
      </c>
      <c r="R146" s="2026">
        <f t="shared" si="85"/>
        <v>0</v>
      </c>
      <c r="S146" s="2029">
        <f t="shared" si="86"/>
        <v>0</v>
      </c>
      <c r="T146" s="853">
        <f t="shared" si="88"/>
        <v>0</v>
      </c>
      <c r="U146" s="1408" t="str">
        <f t="shared" si="89"/>
        <v>1.33</v>
      </c>
      <c r="V146" s="1408" t="str">
        <f t="shared" si="90"/>
        <v>D+</v>
      </c>
      <c r="W146" s="1408" t="str">
        <f t="shared" si="91"/>
        <v>0</v>
      </c>
      <c r="X146" s="1409"/>
      <c r="Y146" s="1393"/>
      <c r="Z146" s="1394"/>
      <c r="AA146" s="1394"/>
      <c r="AB146" s="1394"/>
      <c r="AC146" s="1394"/>
      <c r="AD146" s="1394"/>
      <c r="AE146" s="1394"/>
      <c r="AF146" s="1394"/>
      <c r="AG146" s="1394"/>
      <c r="AH146" s="1394"/>
      <c r="AI146" s="1394"/>
      <c r="AJ146" s="1395"/>
      <c r="AK146" s="1395"/>
      <c r="AL146" s="1395"/>
      <c r="AM146" s="1395"/>
      <c r="AN146" s="1395"/>
      <c r="AO146" s="1395"/>
      <c r="AP146" s="1395"/>
      <c r="AQ146" s="1395"/>
      <c r="AR146" s="1395"/>
      <c r="AS146" s="1395"/>
      <c r="AT146" s="1396"/>
      <c r="AU146" s="1413"/>
      <c r="AV146" s="1414"/>
    </row>
    <row r="147" spans="1:48" ht="20.100000000000001" customHeight="1" x14ac:dyDescent="0.25">
      <c r="A147" s="360"/>
      <c r="B147" s="1387"/>
      <c r="C147" s="1388"/>
      <c r="D147" s="1166" t="s">
        <v>569</v>
      </c>
      <c r="E147" s="1385"/>
      <c r="F147" s="1385"/>
      <c r="G147" s="1385"/>
      <c r="H147" s="2048"/>
      <c r="I147" s="2048"/>
      <c r="J147" s="2048"/>
      <c r="K147" s="1385">
        <v>0</v>
      </c>
      <c r="L147" s="1385">
        <v>0</v>
      </c>
      <c r="M147" s="1385">
        <v>0</v>
      </c>
      <c r="N147" s="2049"/>
      <c r="O147" s="2049"/>
      <c r="P147" s="2049"/>
      <c r="Q147" s="2028">
        <f t="shared" si="87"/>
        <v>0</v>
      </c>
      <c r="R147" s="2026">
        <f t="shared" si="85"/>
        <v>0</v>
      </c>
      <c r="S147" s="2029">
        <f t="shared" si="86"/>
        <v>0</v>
      </c>
      <c r="T147" s="853">
        <f t="shared" si="88"/>
        <v>0</v>
      </c>
      <c r="U147" s="1408" t="str">
        <f t="shared" si="89"/>
        <v>1.33</v>
      </c>
      <c r="V147" s="1408" t="str">
        <f t="shared" si="90"/>
        <v>D+</v>
      </c>
      <c r="W147" s="1408" t="str">
        <f t="shared" si="91"/>
        <v>0</v>
      </c>
      <c r="X147" s="1409"/>
      <c r="Y147" s="1393"/>
      <c r="Z147" s="1394"/>
      <c r="AA147" s="1394"/>
      <c r="AB147" s="1394"/>
      <c r="AC147" s="1394"/>
      <c r="AD147" s="1394"/>
      <c r="AE147" s="1394"/>
      <c r="AF147" s="1394"/>
      <c r="AG147" s="1394"/>
      <c r="AH147" s="1394"/>
      <c r="AI147" s="1394"/>
      <c r="AJ147" s="1395"/>
      <c r="AK147" s="1395"/>
      <c r="AL147" s="1395"/>
      <c r="AM147" s="1395"/>
      <c r="AN147" s="1395"/>
      <c r="AO147" s="1395"/>
      <c r="AP147" s="1395"/>
      <c r="AQ147" s="1395"/>
      <c r="AR147" s="1395"/>
      <c r="AS147" s="1395"/>
      <c r="AT147" s="1396"/>
      <c r="AU147" s="1413"/>
      <c r="AV147" s="1414"/>
    </row>
    <row r="148" spans="1:48" ht="20.100000000000001" customHeight="1" x14ac:dyDescent="0.25">
      <c r="A148" s="360"/>
      <c r="B148" s="1387"/>
      <c r="C148" s="1388"/>
      <c r="D148" s="1166" t="s">
        <v>209</v>
      </c>
      <c r="E148" s="1385"/>
      <c r="F148" s="1385"/>
      <c r="G148" s="1385"/>
      <c r="H148" s="2048"/>
      <c r="I148" s="2048"/>
      <c r="J148" s="2048"/>
      <c r="K148" s="1385"/>
      <c r="L148" s="1385"/>
      <c r="M148" s="1385"/>
      <c r="N148" s="2049">
        <v>0</v>
      </c>
      <c r="O148" s="2049">
        <v>0</v>
      </c>
      <c r="P148" s="2049">
        <v>0</v>
      </c>
      <c r="Q148" s="2028">
        <f t="shared" si="87"/>
        <v>0</v>
      </c>
      <c r="R148" s="2026">
        <f t="shared" si="85"/>
        <v>0</v>
      </c>
      <c r="S148" s="2029">
        <f t="shared" si="86"/>
        <v>0</v>
      </c>
      <c r="T148" s="853">
        <f t="shared" si="88"/>
        <v>0</v>
      </c>
      <c r="U148" s="1408" t="str">
        <f t="shared" si="89"/>
        <v>1.33</v>
      </c>
      <c r="V148" s="1408" t="str">
        <f t="shared" si="90"/>
        <v>D+</v>
      </c>
      <c r="W148" s="1408" t="str">
        <f t="shared" si="91"/>
        <v>0</v>
      </c>
      <c r="X148" s="1409"/>
      <c r="Y148" s="1393"/>
      <c r="Z148" s="1394"/>
      <c r="AA148" s="1394"/>
      <c r="AB148" s="1394"/>
      <c r="AC148" s="1394"/>
      <c r="AD148" s="1394"/>
      <c r="AE148" s="1394"/>
      <c r="AF148" s="1394"/>
      <c r="AG148" s="1394"/>
      <c r="AH148" s="1394"/>
      <c r="AI148" s="1394"/>
      <c r="AJ148" s="1395"/>
      <c r="AK148" s="1395"/>
      <c r="AL148" s="1395"/>
      <c r="AM148" s="1395"/>
      <c r="AN148" s="1395"/>
      <c r="AO148" s="1395"/>
      <c r="AP148" s="1395"/>
      <c r="AQ148" s="1395"/>
      <c r="AR148" s="1395"/>
      <c r="AS148" s="1395"/>
      <c r="AT148" s="1396"/>
      <c r="AU148" s="1413"/>
      <c r="AV148" s="1414"/>
    </row>
    <row r="149" spans="1:48" ht="20.100000000000001" customHeight="1" x14ac:dyDescent="0.25">
      <c r="A149" s="360"/>
      <c r="B149" s="1387"/>
      <c r="C149" s="1388"/>
      <c r="D149" s="1166" t="s">
        <v>210</v>
      </c>
      <c r="E149" s="1385"/>
      <c r="F149" s="1385"/>
      <c r="G149" s="1385"/>
      <c r="H149" s="2048"/>
      <c r="I149" s="2048"/>
      <c r="J149" s="2048"/>
      <c r="K149" s="1385"/>
      <c r="L149" s="1385"/>
      <c r="M149" s="1385"/>
      <c r="N149" s="2049">
        <v>0</v>
      </c>
      <c r="O149" s="2049">
        <v>0</v>
      </c>
      <c r="P149" s="2049">
        <v>0</v>
      </c>
      <c r="Q149" s="2028">
        <f t="shared" si="87"/>
        <v>0</v>
      </c>
      <c r="R149" s="2026">
        <f t="shared" si="85"/>
        <v>0</v>
      </c>
      <c r="S149" s="2029">
        <f t="shared" si="86"/>
        <v>0</v>
      </c>
      <c r="T149" s="853">
        <f t="shared" si="88"/>
        <v>0</v>
      </c>
      <c r="U149" s="1408" t="str">
        <f t="shared" si="89"/>
        <v>1.33</v>
      </c>
      <c r="V149" s="1408" t="str">
        <f t="shared" si="90"/>
        <v>D+</v>
      </c>
      <c r="W149" s="1408" t="str">
        <f t="shared" si="91"/>
        <v>0</v>
      </c>
      <c r="X149" s="1409"/>
      <c r="Y149" s="1397"/>
      <c r="Z149" s="1398"/>
      <c r="AA149" s="1398"/>
      <c r="AB149" s="1398"/>
      <c r="AC149" s="1398"/>
      <c r="AD149" s="1398"/>
      <c r="AE149" s="1398"/>
      <c r="AF149" s="1398"/>
      <c r="AG149" s="1398"/>
      <c r="AH149" s="1398"/>
      <c r="AI149" s="1398"/>
      <c r="AJ149" s="1399"/>
      <c r="AK149" s="1399"/>
      <c r="AL149" s="1399"/>
      <c r="AM149" s="1399"/>
      <c r="AN149" s="1399"/>
      <c r="AO149" s="1399"/>
      <c r="AP149" s="1399"/>
      <c r="AQ149" s="1399"/>
      <c r="AR149" s="1399"/>
      <c r="AS149" s="1399"/>
      <c r="AT149" s="1400"/>
      <c r="AU149" s="1415"/>
      <c r="AV149" s="1416"/>
    </row>
    <row r="150" spans="1:48" ht="20.100000000000001" customHeight="1" x14ac:dyDescent="0.25">
      <c r="A150" s="727"/>
      <c r="B150" s="1406">
        <v>12</v>
      </c>
      <c r="C150" s="1407"/>
      <c r="D150" s="1004"/>
      <c r="E150" s="2780"/>
      <c r="F150" s="2781"/>
      <c r="G150" s="2781"/>
      <c r="H150" s="2781"/>
      <c r="I150" s="2046"/>
      <c r="J150" s="2046"/>
      <c r="K150" s="2046"/>
      <c r="L150" s="2046"/>
      <c r="M150" s="2046"/>
      <c r="N150" s="2046"/>
      <c r="O150" s="2046"/>
      <c r="P150" s="2046"/>
      <c r="Q150" s="2046"/>
      <c r="R150" s="2046"/>
      <c r="S150" s="2046"/>
      <c r="T150" s="2044">
        <f>IFERROR(AVERAGE(T139:T149),"  ")</f>
        <v>0</v>
      </c>
      <c r="U150" s="2045" t="str">
        <f>IF(X150&gt;85,("4"),IF(X150&gt;80,("3.66"),IF(X150&gt;75,("3.33"),IF(X150&gt;70,("3.00"),IF(X150&gt;65,("2.66"),IF(X150&gt;60,("2.33"),IF(X150&gt;55,("2"),IF(X150&gt;50,("1.66"),"1.33"))))))))</f>
        <v>1.33</v>
      </c>
      <c r="V150" s="2045" t="str">
        <f>IF(X150&gt;85,("A"),IF(X150&gt;80,("A-"),IF(X150&gt;75,("B+"),IF(X150&gt;70,("B"),IF(X150&gt;65,("B-"),IF(X150&gt;60,("C+"),IF(X150&gt;55,("C"),IF(X150&gt;50,("C-"),"D+"))))))))</f>
        <v>D+</v>
      </c>
      <c r="W150" s="2045"/>
      <c r="X150" s="888">
        <f>MAX(T139:T149)</f>
        <v>0</v>
      </c>
      <c r="Y150" s="1403"/>
      <c r="Z150" s="1404"/>
      <c r="AA150" s="1404"/>
      <c r="AB150" s="1404"/>
      <c r="AC150" s="1404"/>
      <c r="AD150" s="1404"/>
      <c r="AE150" s="1404"/>
      <c r="AF150" s="1404"/>
      <c r="AG150" s="1404"/>
      <c r="AH150" s="1404"/>
      <c r="AI150" s="1404"/>
      <c r="AJ150" s="1404"/>
      <c r="AK150" s="1404"/>
      <c r="AL150" s="1404"/>
      <c r="AM150" s="1404"/>
      <c r="AN150" s="1404"/>
      <c r="AO150" s="1404"/>
      <c r="AP150" s="1404"/>
      <c r="AQ150" s="1404"/>
      <c r="AR150" s="1404"/>
      <c r="AS150" s="1404"/>
      <c r="AT150" s="1405"/>
      <c r="AU150" s="1257"/>
      <c r="AV150" s="1258"/>
    </row>
    <row r="151" spans="1:48" ht="20.100000000000001" customHeight="1" x14ac:dyDescent="0.25">
      <c r="A151" s="724">
        <v>13</v>
      </c>
      <c r="B151" s="1383"/>
      <c r="C151" s="1384" t="str">
        <f>VLOOKUP(A151,data_siswa,4,FALSE)</f>
        <v>Misyanita Nurfitri S</v>
      </c>
      <c r="D151" s="1166" t="s">
        <v>154</v>
      </c>
      <c r="E151" s="2050">
        <v>0</v>
      </c>
      <c r="F151" s="2050">
        <v>0</v>
      </c>
      <c r="G151" s="2050">
        <v>0</v>
      </c>
      <c r="H151" s="2051"/>
      <c r="I151" s="2051"/>
      <c r="J151" s="2051"/>
      <c r="K151" s="2050"/>
      <c r="L151" s="2050"/>
      <c r="M151" s="2050"/>
      <c r="N151" s="2052"/>
      <c r="O151" s="2052"/>
      <c r="P151" s="2052"/>
      <c r="Q151" s="2028">
        <f>MAX(E151,H151,K151,N151)</f>
        <v>0</v>
      </c>
      <c r="R151" s="2026">
        <f t="shared" ref="R151:R161" si="92">MAX(F151,I151,L151,O151)</f>
        <v>0</v>
      </c>
      <c r="S151" s="2029">
        <f t="shared" ref="S151:S161" si="93">MAX(G151,J151,M151,P151)</f>
        <v>0</v>
      </c>
      <c r="T151" s="853">
        <f>IFERROR(AVERAGE(Q151:S151),"")</f>
        <v>0</v>
      </c>
      <c r="U151" s="1408" t="str">
        <f>IF(T151&gt;85,("4"),IF(T151&gt;80,("3.66"),IF(T151&gt;75,("3.33"),IF(T151&gt;70,("3.00"),IF(T151&gt;65,("2.66"),IF(T151&gt;60,("2.33"),IF(T151&gt;55,("2"),IF(T151&gt;50,("1.66"),"1.33"))))))))</f>
        <v>1.33</v>
      </c>
      <c r="V151" s="1408" t="str">
        <f>IF(T151&gt;85,("A"),IF(T151&gt;80,("A-"),IF(T151&gt;75,("B+"),IF(T151&gt;70,("B"),IF(T151&gt;65,("B-"),IF(T151&gt;60,("C+"),IF(T151&gt;55,("C"),IF(T151&gt;50,("C-"),"D+"))))))))</f>
        <v>D+</v>
      </c>
      <c r="W151" s="1408" t="str">
        <f>IF(T151&gt;80,("SB"),IF(T151&gt;65,("B"),IF(T151&gt;50,("C"),IF(T151&gt;0,("K"),"0"))))</f>
        <v>0</v>
      </c>
      <c r="X151" s="1408"/>
      <c r="Y151" s="749"/>
      <c r="Z151" s="749"/>
      <c r="AA151" s="749"/>
      <c r="AB151" s="749"/>
      <c r="AC151" s="749"/>
      <c r="AD151" s="749"/>
      <c r="AE151" s="749"/>
      <c r="AF151" s="749"/>
      <c r="AG151" s="749"/>
      <c r="AH151" s="749"/>
      <c r="AI151" s="749"/>
      <c r="AJ151" s="1386"/>
      <c r="AK151" s="1386"/>
      <c r="AL151" s="1386"/>
      <c r="AM151" s="1386"/>
      <c r="AN151" s="1386"/>
      <c r="AO151" s="1386"/>
      <c r="AP151" s="1386"/>
      <c r="AQ151" s="1386"/>
      <c r="AR151" s="1386"/>
      <c r="AS151" s="1386"/>
      <c r="AT151" s="1386"/>
      <c r="AU151" s="1057">
        <f>T162</f>
        <v>0</v>
      </c>
      <c r="AV151" s="1194" t="str">
        <f>IF(AU151&gt;85,("A"),IF(AU151&gt;80,("A-"),IF(AU151&gt;75,("B+"),IF(AU151&gt;70,("B"),IF(AU151&gt;65,("B-"),IF(AU151&gt;60,("C+"),IF(AU151&gt;55,("C"),IF(AU151&gt;50,("C-"),"D+"))))))))</f>
        <v>D+</v>
      </c>
    </row>
    <row r="152" spans="1:48" ht="20.100000000000001" customHeight="1" x14ac:dyDescent="0.25">
      <c r="A152" s="360"/>
      <c r="B152" s="1387"/>
      <c r="C152" s="1388"/>
      <c r="D152" s="1166" t="s">
        <v>155</v>
      </c>
      <c r="E152" s="1493"/>
      <c r="F152" s="1493"/>
      <c r="G152" s="1493"/>
      <c r="H152" s="2040"/>
      <c r="I152" s="2040"/>
      <c r="J152" s="2040"/>
      <c r="K152" s="1493"/>
      <c r="L152" s="1493"/>
      <c r="M152" s="1493"/>
      <c r="N152" s="2039">
        <v>0</v>
      </c>
      <c r="O152" s="2039">
        <v>0</v>
      </c>
      <c r="P152" s="2039">
        <v>0</v>
      </c>
      <c r="Q152" s="2028">
        <f t="shared" ref="Q152:Q161" si="94">MAX(E152,H152,K152,N152)</f>
        <v>0</v>
      </c>
      <c r="R152" s="2026">
        <f t="shared" si="92"/>
        <v>0</v>
      </c>
      <c r="S152" s="2029">
        <f t="shared" si="93"/>
        <v>0</v>
      </c>
      <c r="T152" s="853">
        <f t="shared" ref="T152:T161" si="95">IFERROR(AVERAGE(Q152:S152),"")</f>
        <v>0</v>
      </c>
      <c r="U152" s="1408" t="str">
        <f t="shared" ref="U152:U161" si="96">IF(T152&gt;85,("4"),IF(T152&gt;80,("3.66"),IF(T152&gt;75,("3.33"),IF(T152&gt;70,("3.00"),IF(T152&gt;65,("2.66"),IF(T152&gt;60,("2.33"),IF(T152&gt;55,("2"),IF(T152&gt;50,("1.66"),"1.33"))))))))</f>
        <v>1.33</v>
      </c>
      <c r="V152" s="1408" t="str">
        <f t="shared" ref="V152:V161" si="97">IF(T152&gt;85,("A"),IF(T152&gt;80,("A-"),IF(T152&gt;75,("B+"),IF(T152&gt;70,("B"),IF(T152&gt;65,("B-"),IF(T152&gt;60,("C+"),IF(T152&gt;55,("C"),IF(T152&gt;50,("C-"),"D+"))))))))</f>
        <v>D+</v>
      </c>
      <c r="W152" s="1408" t="str">
        <f t="shared" ref="W152:W161" si="98">IF(T152&gt;80,("SB"),IF(T152&gt;65,("B"),IF(T152&gt;50,("C"),IF(T152&gt;0,("K"),"0"))))</f>
        <v>0</v>
      </c>
      <c r="X152" s="1409"/>
      <c r="Y152" s="1389"/>
      <c r="Z152" s="1390"/>
      <c r="AA152" s="1390"/>
      <c r="AB152" s="1390"/>
      <c r="AC152" s="1390"/>
      <c r="AD152" s="1390"/>
      <c r="AE152" s="1390"/>
      <c r="AF152" s="1390"/>
      <c r="AG152" s="1390"/>
      <c r="AH152" s="1390"/>
      <c r="AI152" s="1390"/>
      <c r="AJ152" s="1391"/>
      <c r="AK152" s="1391"/>
      <c r="AL152" s="1391"/>
      <c r="AM152" s="1391"/>
      <c r="AN152" s="1391"/>
      <c r="AO152" s="1391"/>
      <c r="AP152" s="1391"/>
      <c r="AQ152" s="1391"/>
      <c r="AR152" s="1391"/>
      <c r="AS152" s="1391"/>
      <c r="AT152" s="1392"/>
      <c r="AU152" s="1411"/>
      <c r="AV152" s="1412"/>
    </row>
    <row r="153" spans="1:48" ht="20.100000000000001" customHeight="1" x14ac:dyDescent="0.25">
      <c r="A153" s="360"/>
      <c r="B153" s="1387"/>
      <c r="C153" s="1388"/>
      <c r="D153" s="1166" t="s">
        <v>16</v>
      </c>
      <c r="E153" s="1493"/>
      <c r="F153" s="1493"/>
      <c r="G153" s="1493"/>
      <c r="H153" s="2040">
        <v>0</v>
      </c>
      <c r="I153" s="2040">
        <v>0</v>
      </c>
      <c r="J153" s="2040">
        <v>0</v>
      </c>
      <c r="K153" s="1493"/>
      <c r="L153" s="1493"/>
      <c r="M153" s="1493"/>
      <c r="N153" s="2052"/>
      <c r="O153" s="2052"/>
      <c r="P153" s="2052"/>
      <c r="Q153" s="2028">
        <f t="shared" si="94"/>
        <v>0</v>
      </c>
      <c r="R153" s="2026">
        <f t="shared" si="92"/>
        <v>0</v>
      </c>
      <c r="S153" s="2029">
        <f t="shared" si="93"/>
        <v>0</v>
      </c>
      <c r="T153" s="853">
        <f t="shared" si="95"/>
        <v>0</v>
      </c>
      <c r="U153" s="1408" t="str">
        <f t="shared" si="96"/>
        <v>1.33</v>
      </c>
      <c r="V153" s="1408" t="str">
        <f t="shared" si="97"/>
        <v>D+</v>
      </c>
      <c r="W153" s="1408" t="str">
        <f t="shared" si="98"/>
        <v>0</v>
      </c>
      <c r="X153" s="1409"/>
      <c r="Y153" s="1393"/>
      <c r="Z153" s="1394"/>
      <c r="AA153" s="1394"/>
      <c r="AB153" s="1394"/>
      <c r="AC153" s="1394"/>
      <c r="AD153" s="1394"/>
      <c r="AE153" s="1394"/>
      <c r="AF153" s="1394"/>
      <c r="AG153" s="1394"/>
      <c r="AH153" s="1394"/>
      <c r="AI153" s="1394"/>
      <c r="AJ153" s="1395"/>
      <c r="AK153" s="1395"/>
      <c r="AL153" s="1395"/>
      <c r="AM153" s="1395"/>
      <c r="AN153" s="1395"/>
      <c r="AO153" s="1395"/>
      <c r="AP153" s="1395"/>
      <c r="AQ153" s="1395"/>
      <c r="AR153" s="1395"/>
      <c r="AS153" s="1395"/>
      <c r="AT153" s="1396"/>
      <c r="AU153" s="1413"/>
      <c r="AV153" s="1414"/>
    </row>
    <row r="154" spans="1:48" ht="20.100000000000001" customHeight="1" x14ac:dyDescent="0.25">
      <c r="A154" s="360"/>
      <c r="B154" s="1387"/>
      <c r="C154" s="1388"/>
      <c r="D154" s="1166" t="s">
        <v>189</v>
      </c>
      <c r="E154" s="1493"/>
      <c r="F154" s="1493"/>
      <c r="G154" s="1493"/>
      <c r="H154" s="2040">
        <v>0</v>
      </c>
      <c r="I154" s="2040">
        <v>0</v>
      </c>
      <c r="J154" s="2040">
        <v>0</v>
      </c>
      <c r="K154" s="1493"/>
      <c r="L154" s="1493"/>
      <c r="M154" s="1493"/>
      <c r="N154" s="2039"/>
      <c r="O154" s="2039"/>
      <c r="P154" s="2039"/>
      <c r="Q154" s="2028">
        <f t="shared" si="94"/>
        <v>0</v>
      </c>
      <c r="R154" s="2026">
        <f t="shared" si="92"/>
        <v>0</v>
      </c>
      <c r="S154" s="2029">
        <f t="shared" si="93"/>
        <v>0</v>
      </c>
      <c r="T154" s="853">
        <f t="shared" si="95"/>
        <v>0</v>
      </c>
      <c r="U154" s="1408" t="str">
        <f t="shared" si="96"/>
        <v>1.33</v>
      </c>
      <c r="V154" s="1408" t="str">
        <f t="shared" si="97"/>
        <v>D+</v>
      </c>
      <c r="W154" s="1408" t="str">
        <f t="shared" si="98"/>
        <v>0</v>
      </c>
      <c r="X154" s="1409"/>
      <c r="Y154" s="1393"/>
      <c r="Z154" s="1394"/>
      <c r="AA154" s="1394"/>
      <c r="AB154" s="1394"/>
      <c r="AC154" s="1394"/>
      <c r="AD154" s="1394"/>
      <c r="AE154" s="1394"/>
      <c r="AF154" s="1394"/>
      <c r="AG154" s="1394"/>
      <c r="AH154" s="1394"/>
      <c r="AI154" s="1394"/>
      <c r="AJ154" s="1395"/>
      <c r="AK154" s="1395"/>
      <c r="AL154" s="1395"/>
      <c r="AM154" s="1395"/>
      <c r="AN154" s="1395"/>
      <c r="AO154" s="1395"/>
      <c r="AP154" s="1395"/>
      <c r="AQ154" s="1395"/>
      <c r="AR154" s="1395"/>
      <c r="AS154" s="1395"/>
      <c r="AT154" s="1396"/>
      <c r="AU154" s="1413"/>
      <c r="AV154" s="1414"/>
    </row>
    <row r="155" spans="1:48" ht="20.100000000000001" customHeight="1" x14ac:dyDescent="0.25">
      <c r="A155" s="360"/>
      <c r="B155" s="1387"/>
      <c r="C155" s="1388"/>
      <c r="D155" s="1166" t="s">
        <v>186</v>
      </c>
      <c r="E155" s="1493"/>
      <c r="F155" s="1493"/>
      <c r="G155" s="1493"/>
      <c r="H155" s="2040">
        <v>0</v>
      </c>
      <c r="I155" s="2040">
        <v>0</v>
      </c>
      <c r="J155" s="2040">
        <v>0</v>
      </c>
      <c r="K155" s="1493"/>
      <c r="L155" s="1493"/>
      <c r="M155" s="1493"/>
      <c r="N155" s="2039"/>
      <c r="O155" s="2039"/>
      <c r="P155" s="2039"/>
      <c r="Q155" s="2028">
        <f t="shared" si="94"/>
        <v>0</v>
      </c>
      <c r="R155" s="2026">
        <f t="shared" si="92"/>
        <v>0</v>
      </c>
      <c r="S155" s="2029">
        <f t="shared" si="93"/>
        <v>0</v>
      </c>
      <c r="T155" s="853">
        <f t="shared" si="95"/>
        <v>0</v>
      </c>
      <c r="U155" s="1408" t="str">
        <f t="shared" si="96"/>
        <v>1.33</v>
      </c>
      <c r="V155" s="1408" t="str">
        <f t="shared" si="97"/>
        <v>D+</v>
      </c>
      <c r="W155" s="1408" t="str">
        <f t="shared" si="98"/>
        <v>0</v>
      </c>
      <c r="X155" s="1409"/>
      <c r="Y155" s="1393"/>
      <c r="Z155" s="1394"/>
      <c r="AA155" s="1394"/>
      <c r="AB155" s="1394"/>
      <c r="AC155" s="1394"/>
      <c r="AD155" s="1394"/>
      <c r="AE155" s="1394"/>
      <c r="AF155" s="1394"/>
      <c r="AG155" s="1394"/>
      <c r="AH155" s="1394"/>
      <c r="AI155" s="1394"/>
      <c r="AJ155" s="1395"/>
      <c r="AK155" s="1395"/>
      <c r="AL155" s="1395"/>
      <c r="AM155" s="1395"/>
      <c r="AN155" s="1395"/>
      <c r="AO155" s="1395"/>
      <c r="AP155" s="1395"/>
      <c r="AQ155" s="1395"/>
      <c r="AR155" s="1395"/>
      <c r="AS155" s="1395"/>
      <c r="AT155" s="1396"/>
      <c r="AU155" s="1413"/>
      <c r="AV155" s="1414"/>
    </row>
    <row r="156" spans="1:48" ht="20.100000000000001" customHeight="1" x14ac:dyDescent="0.25">
      <c r="A156" s="360"/>
      <c r="B156" s="1387"/>
      <c r="C156" s="1388"/>
      <c r="D156" s="1166" t="s">
        <v>187</v>
      </c>
      <c r="E156" s="1385"/>
      <c r="F156" s="1385"/>
      <c r="G156" s="1385"/>
      <c r="H156" s="2048"/>
      <c r="I156" s="2048"/>
      <c r="J156" s="2048"/>
      <c r="K156" s="1385">
        <v>0</v>
      </c>
      <c r="L156" s="1385">
        <v>0</v>
      </c>
      <c r="M156" s="1385">
        <v>0</v>
      </c>
      <c r="N156" s="2049"/>
      <c r="O156" s="2049"/>
      <c r="P156" s="2049"/>
      <c r="Q156" s="2028">
        <f t="shared" si="94"/>
        <v>0</v>
      </c>
      <c r="R156" s="2026">
        <f t="shared" si="92"/>
        <v>0</v>
      </c>
      <c r="S156" s="2029">
        <f t="shared" si="93"/>
        <v>0</v>
      </c>
      <c r="T156" s="853">
        <f t="shared" si="95"/>
        <v>0</v>
      </c>
      <c r="U156" s="1408" t="str">
        <f t="shared" si="96"/>
        <v>1.33</v>
      </c>
      <c r="V156" s="1408" t="str">
        <f t="shared" si="97"/>
        <v>D+</v>
      </c>
      <c r="W156" s="1408" t="str">
        <f t="shared" si="98"/>
        <v>0</v>
      </c>
      <c r="X156" s="1409"/>
      <c r="Y156" s="1393"/>
      <c r="Z156" s="1394"/>
      <c r="AA156" s="1394"/>
      <c r="AB156" s="1394"/>
      <c r="AC156" s="1394"/>
      <c r="AD156" s="1394"/>
      <c r="AE156" s="1394"/>
      <c r="AF156" s="1394"/>
      <c r="AG156" s="1394"/>
      <c r="AH156" s="1394"/>
      <c r="AI156" s="1394"/>
      <c r="AJ156" s="1395"/>
      <c r="AK156" s="1395"/>
      <c r="AL156" s="1395"/>
      <c r="AM156" s="1395"/>
      <c r="AN156" s="1395"/>
      <c r="AO156" s="1395"/>
      <c r="AP156" s="1395"/>
      <c r="AQ156" s="1395"/>
      <c r="AR156" s="1395"/>
      <c r="AS156" s="1395"/>
      <c r="AT156" s="1396"/>
      <c r="AU156" s="1413"/>
      <c r="AV156" s="1414"/>
    </row>
    <row r="157" spans="1:48" ht="20.100000000000001" customHeight="1" x14ac:dyDescent="0.25">
      <c r="A157" s="360"/>
      <c r="B157" s="1387"/>
      <c r="C157" s="1388"/>
      <c r="D157" s="1166" t="s">
        <v>17</v>
      </c>
      <c r="E157" s="1385">
        <v>0</v>
      </c>
      <c r="F157" s="1385">
        <v>0</v>
      </c>
      <c r="G157" s="1385">
        <v>0</v>
      </c>
      <c r="H157" s="2048">
        <v>0</v>
      </c>
      <c r="I157" s="2048">
        <v>0</v>
      </c>
      <c r="J157" s="2048">
        <v>0</v>
      </c>
      <c r="K157" s="1385"/>
      <c r="L157" s="1385"/>
      <c r="M157" s="1385"/>
      <c r="N157" s="2049"/>
      <c r="O157" s="2049"/>
      <c r="P157" s="2049"/>
      <c r="Q157" s="2028">
        <f t="shared" si="94"/>
        <v>0</v>
      </c>
      <c r="R157" s="2026">
        <f t="shared" si="92"/>
        <v>0</v>
      </c>
      <c r="S157" s="2029">
        <f t="shared" si="93"/>
        <v>0</v>
      </c>
      <c r="T157" s="853">
        <f t="shared" si="95"/>
        <v>0</v>
      </c>
      <c r="U157" s="1408" t="str">
        <f t="shared" si="96"/>
        <v>1.33</v>
      </c>
      <c r="V157" s="1408" t="str">
        <f t="shared" si="97"/>
        <v>D+</v>
      </c>
      <c r="W157" s="1408" t="str">
        <f t="shared" si="98"/>
        <v>0</v>
      </c>
      <c r="X157" s="1409"/>
      <c r="Y157" s="1393"/>
      <c r="Z157" s="1394"/>
      <c r="AA157" s="1394"/>
      <c r="AB157" s="1394"/>
      <c r="AC157" s="1394"/>
      <c r="AD157" s="1394"/>
      <c r="AE157" s="1394"/>
      <c r="AF157" s="1394"/>
      <c r="AG157" s="1394"/>
      <c r="AH157" s="1394"/>
      <c r="AI157" s="1394"/>
      <c r="AJ157" s="1395"/>
      <c r="AK157" s="1395"/>
      <c r="AL157" s="1395"/>
      <c r="AM157" s="1395"/>
      <c r="AN157" s="1395"/>
      <c r="AO157" s="1395"/>
      <c r="AP157" s="1395"/>
      <c r="AQ157" s="1395"/>
      <c r="AR157" s="1395"/>
      <c r="AS157" s="1395"/>
      <c r="AT157" s="1396"/>
      <c r="AU157" s="1413"/>
      <c r="AV157" s="1414"/>
    </row>
    <row r="158" spans="1:48" ht="20.100000000000001" customHeight="1" x14ac:dyDescent="0.25">
      <c r="A158" s="360"/>
      <c r="B158" s="1387"/>
      <c r="C158" s="1388"/>
      <c r="D158" s="1166" t="s">
        <v>188</v>
      </c>
      <c r="E158" s="1385"/>
      <c r="F158" s="1385"/>
      <c r="G158" s="1385"/>
      <c r="H158" s="2048">
        <v>0</v>
      </c>
      <c r="I158" s="2048">
        <v>0</v>
      </c>
      <c r="J158" s="2048">
        <v>0</v>
      </c>
      <c r="K158" s="1385"/>
      <c r="L158" s="1385"/>
      <c r="M158" s="1385"/>
      <c r="N158" s="2049"/>
      <c r="O158" s="2049"/>
      <c r="P158" s="2049"/>
      <c r="Q158" s="2028">
        <f t="shared" si="94"/>
        <v>0</v>
      </c>
      <c r="R158" s="2026">
        <f t="shared" si="92"/>
        <v>0</v>
      </c>
      <c r="S158" s="2029">
        <f t="shared" si="93"/>
        <v>0</v>
      </c>
      <c r="T158" s="853">
        <f t="shared" si="95"/>
        <v>0</v>
      </c>
      <c r="U158" s="1408" t="str">
        <f t="shared" si="96"/>
        <v>1.33</v>
      </c>
      <c r="V158" s="1408" t="str">
        <f t="shared" si="97"/>
        <v>D+</v>
      </c>
      <c r="W158" s="1408" t="str">
        <f t="shared" si="98"/>
        <v>0</v>
      </c>
      <c r="X158" s="1409"/>
      <c r="Y158" s="1393"/>
      <c r="Z158" s="1394"/>
      <c r="AA158" s="1394"/>
      <c r="AB158" s="1394"/>
      <c r="AC158" s="1394"/>
      <c r="AD158" s="1394"/>
      <c r="AE158" s="1394"/>
      <c r="AF158" s="1394"/>
      <c r="AG158" s="1394"/>
      <c r="AH158" s="1394"/>
      <c r="AI158" s="1394"/>
      <c r="AJ158" s="1395"/>
      <c r="AK158" s="1395"/>
      <c r="AL158" s="1395"/>
      <c r="AM158" s="1395"/>
      <c r="AN158" s="1395"/>
      <c r="AO158" s="1395"/>
      <c r="AP158" s="1395"/>
      <c r="AQ158" s="1395"/>
      <c r="AR158" s="1395"/>
      <c r="AS158" s="1395"/>
      <c r="AT158" s="1396"/>
      <c r="AU158" s="1413"/>
      <c r="AV158" s="1414"/>
    </row>
    <row r="159" spans="1:48" ht="20.100000000000001" customHeight="1" x14ac:dyDescent="0.25">
      <c r="A159" s="360"/>
      <c r="B159" s="1387"/>
      <c r="C159" s="1388"/>
      <c r="D159" s="1166" t="s">
        <v>569</v>
      </c>
      <c r="E159" s="1385"/>
      <c r="F159" s="1385"/>
      <c r="G159" s="1385"/>
      <c r="H159" s="2048"/>
      <c r="I159" s="2048"/>
      <c r="J159" s="2048"/>
      <c r="K159" s="1385">
        <v>0</v>
      </c>
      <c r="L159" s="1385">
        <v>0</v>
      </c>
      <c r="M159" s="1385">
        <v>0</v>
      </c>
      <c r="N159" s="2049"/>
      <c r="O159" s="2049"/>
      <c r="P159" s="2049"/>
      <c r="Q159" s="2028">
        <f t="shared" si="94"/>
        <v>0</v>
      </c>
      <c r="R159" s="2026">
        <f t="shared" si="92"/>
        <v>0</v>
      </c>
      <c r="S159" s="2029">
        <f t="shared" si="93"/>
        <v>0</v>
      </c>
      <c r="T159" s="853">
        <f t="shared" si="95"/>
        <v>0</v>
      </c>
      <c r="U159" s="1408" t="str">
        <f t="shared" si="96"/>
        <v>1.33</v>
      </c>
      <c r="V159" s="1408" t="str">
        <f t="shared" si="97"/>
        <v>D+</v>
      </c>
      <c r="W159" s="1408" t="str">
        <f t="shared" si="98"/>
        <v>0</v>
      </c>
      <c r="X159" s="1409"/>
      <c r="Y159" s="1393"/>
      <c r="Z159" s="1394"/>
      <c r="AA159" s="1394"/>
      <c r="AB159" s="1394"/>
      <c r="AC159" s="1394"/>
      <c r="AD159" s="1394"/>
      <c r="AE159" s="1394"/>
      <c r="AF159" s="1394"/>
      <c r="AG159" s="1394"/>
      <c r="AH159" s="1394"/>
      <c r="AI159" s="1394"/>
      <c r="AJ159" s="1395"/>
      <c r="AK159" s="1395"/>
      <c r="AL159" s="1395"/>
      <c r="AM159" s="1395"/>
      <c r="AN159" s="1395"/>
      <c r="AO159" s="1395"/>
      <c r="AP159" s="1395"/>
      <c r="AQ159" s="1395"/>
      <c r="AR159" s="1395"/>
      <c r="AS159" s="1395"/>
      <c r="AT159" s="1396"/>
      <c r="AU159" s="1413"/>
      <c r="AV159" s="1414"/>
    </row>
    <row r="160" spans="1:48" ht="20.100000000000001" customHeight="1" x14ac:dyDescent="0.25">
      <c r="A160" s="360"/>
      <c r="B160" s="1387"/>
      <c r="C160" s="1388"/>
      <c r="D160" s="1166" t="s">
        <v>209</v>
      </c>
      <c r="E160" s="1385"/>
      <c r="F160" s="1385"/>
      <c r="G160" s="1385"/>
      <c r="H160" s="2048"/>
      <c r="I160" s="2048"/>
      <c r="J160" s="2048"/>
      <c r="K160" s="1385"/>
      <c r="L160" s="1385"/>
      <c r="M160" s="1385"/>
      <c r="N160" s="2049">
        <v>0</v>
      </c>
      <c r="O160" s="2049">
        <v>0</v>
      </c>
      <c r="P160" s="2049">
        <v>0</v>
      </c>
      <c r="Q160" s="2028">
        <f t="shared" si="94"/>
        <v>0</v>
      </c>
      <c r="R160" s="2026">
        <f t="shared" si="92"/>
        <v>0</v>
      </c>
      <c r="S160" s="2029">
        <f t="shared" si="93"/>
        <v>0</v>
      </c>
      <c r="T160" s="853">
        <f t="shared" si="95"/>
        <v>0</v>
      </c>
      <c r="U160" s="1408" t="str">
        <f t="shared" si="96"/>
        <v>1.33</v>
      </c>
      <c r="V160" s="1408" t="str">
        <f t="shared" si="97"/>
        <v>D+</v>
      </c>
      <c r="W160" s="1408" t="str">
        <f t="shared" si="98"/>
        <v>0</v>
      </c>
      <c r="X160" s="1409"/>
      <c r="Y160" s="1393"/>
      <c r="Z160" s="1394"/>
      <c r="AA160" s="1394"/>
      <c r="AB160" s="1394"/>
      <c r="AC160" s="1394"/>
      <c r="AD160" s="1394"/>
      <c r="AE160" s="1394"/>
      <c r="AF160" s="1394"/>
      <c r="AG160" s="1394"/>
      <c r="AH160" s="1394"/>
      <c r="AI160" s="1394"/>
      <c r="AJ160" s="1395"/>
      <c r="AK160" s="1395"/>
      <c r="AL160" s="1395"/>
      <c r="AM160" s="1395"/>
      <c r="AN160" s="1395"/>
      <c r="AO160" s="1395"/>
      <c r="AP160" s="1395"/>
      <c r="AQ160" s="1395"/>
      <c r="AR160" s="1395"/>
      <c r="AS160" s="1395"/>
      <c r="AT160" s="1396"/>
      <c r="AU160" s="1413"/>
      <c r="AV160" s="1414"/>
    </row>
    <row r="161" spans="1:48" ht="20.100000000000001" customHeight="1" x14ac:dyDescent="0.25">
      <c r="A161" s="360"/>
      <c r="B161" s="1387"/>
      <c r="C161" s="1388"/>
      <c r="D161" s="1166" t="s">
        <v>210</v>
      </c>
      <c r="E161" s="1385"/>
      <c r="F161" s="1385"/>
      <c r="G161" s="1385"/>
      <c r="H161" s="2048"/>
      <c r="I161" s="2048"/>
      <c r="J161" s="2048"/>
      <c r="K161" s="1385"/>
      <c r="L161" s="1385"/>
      <c r="M161" s="1385"/>
      <c r="N161" s="2049">
        <v>0</v>
      </c>
      <c r="O161" s="2049">
        <v>0</v>
      </c>
      <c r="P161" s="2049">
        <v>0</v>
      </c>
      <c r="Q161" s="2028">
        <f t="shared" si="94"/>
        <v>0</v>
      </c>
      <c r="R161" s="2026">
        <f t="shared" si="92"/>
        <v>0</v>
      </c>
      <c r="S161" s="2029">
        <f t="shared" si="93"/>
        <v>0</v>
      </c>
      <c r="T161" s="853">
        <f t="shared" si="95"/>
        <v>0</v>
      </c>
      <c r="U161" s="1408" t="str">
        <f t="shared" si="96"/>
        <v>1.33</v>
      </c>
      <c r="V161" s="1408" t="str">
        <f t="shared" si="97"/>
        <v>D+</v>
      </c>
      <c r="W161" s="1408" t="str">
        <f t="shared" si="98"/>
        <v>0</v>
      </c>
      <c r="X161" s="1409"/>
      <c r="Y161" s="1397"/>
      <c r="Z161" s="1398"/>
      <c r="AA161" s="1398"/>
      <c r="AB161" s="1398"/>
      <c r="AC161" s="1398"/>
      <c r="AD161" s="1398"/>
      <c r="AE161" s="1398"/>
      <c r="AF161" s="1398"/>
      <c r="AG161" s="1398"/>
      <c r="AH161" s="1398"/>
      <c r="AI161" s="1398"/>
      <c r="AJ161" s="1399"/>
      <c r="AK161" s="1399"/>
      <c r="AL161" s="1399"/>
      <c r="AM161" s="1399"/>
      <c r="AN161" s="1399"/>
      <c r="AO161" s="1399"/>
      <c r="AP161" s="1399"/>
      <c r="AQ161" s="1399"/>
      <c r="AR161" s="1399"/>
      <c r="AS161" s="1399"/>
      <c r="AT161" s="1400"/>
      <c r="AU161" s="1415"/>
      <c r="AV161" s="1416"/>
    </row>
    <row r="162" spans="1:48" ht="20.100000000000001" customHeight="1" x14ac:dyDescent="0.25">
      <c r="A162" s="727"/>
      <c r="B162" s="1406">
        <v>13</v>
      </c>
      <c r="C162" s="1407"/>
      <c r="D162" s="1004"/>
      <c r="E162" s="2780"/>
      <c r="F162" s="2781"/>
      <c r="G162" s="2781"/>
      <c r="H162" s="2781"/>
      <c r="I162" s="2046"/>
      <c r="J162" s="2046"/>
      <c r="K162" s="2046"/>
      <c r="L162" s="2046"/>
      <c r="M162" s="2046"/>
      <c r="N162" s="2046"/>
      <c r="O162" s="2046"/>
      <c r="P162" s="2046"/>
      <c r="Q162" s="2046"/>
      <c r="R162" s="2046"/>
      <c r="S162" s="2046"/>
      <c r="T162" s="2044">
        <f>IFERROR(AVERAGE(T151:T161),"  ")</f>
        <v>0</v>
      </c>
      <c r="U162" s="2045" t="str">
        <f>IF(X162&gt;85,("4"),IF(X162&gt;80,("3.66"),IF(X162&gt;75,("3.33"),IF(X162&gt;70,("3.00"),IF(X162&gt;65,("2.66"),IF(X162&gt;60,("2.33"),IF(X162&gt;55,("2"),IF(X162&gt;50,("1.66"),"1.33"))))))))</f>
        <v>1.33</v>
      </c>
      <c r="V162" s="2045" t="str">
        <f>IF(X162&gt;85,("A"),IF(X162&gt;80,("A-"),IF(X162&gt;75,("B+"),IF(X162&gt;70,("B"),IF(X162&gt;65,("B-"),IF(X162&gt;60,("C+"),IF(X162&gt;55,("C"),IF(X162&gt;50,("C-"),"D+"))))))))</f>
        <v>D+</v>
      </c>
      <c r="W162" s="2045"/>
      <c r="X162" s="888">
        <f>MAX(T151:T161)</f>
        <v>0</v>
      </c>
      <c r="Y162" s="1403"/>
      <c r="Z162" s="1404"/>
      <c r="AA162" s="1404"/>
      <c r="AB162" s="1404"/>
      <c r="AC162" s="1404"/>
      <c r="AD162" s="1404"/>
      <c r="AE162" s="1404"/>
      <c r="AF162" s="1404"/>
      <c r="AG162" s="1404"/>
      <c r="AH162" s="1404"/>
      <c r="AI162" s="1404"/>
      <c r="AJ162" s="1404"/>
      <c r="AK162" s="1404"/>
      <c r="AL162" s="1404"/>
      <c r="AM162" s="1404"/>
      <c r="AN162" s="1404"/>
      <c r="AO162" s="1404"/>
      <c r="AP162" s="1404"/>
      <c r="AQ162" s="1404"/>
      <c r="AR162" s="1404"/>
      <c r="AS162" s="1404"/>
      <c r="AT162" s="1405"/>
      <c r="AU162" s="1257"/>
      <c r="AV162" s="1258"/>
    </row>
    <row r="163" spans="1:48" ht="20.100000000000001" customHeight="1" x14ac:dyDescent="0.25">
      <c r="A163" s="724">
        <v>14</v>
      </c>
      <c r="B163" s="1383"/>
      <c r="C163" s="1384" t="str">
        <f>VLOOKUP(A163,data_siswa,4,FALSE)</f>
        <v>Moch Zidane Hita L. U</v>
      </c>
      <c r="D163" s="1166" t="s">
        <v>154</v>
      </c>
      <c r="E163" s="2050">
        <v>0</v>
      </c>
      <c r="F163" s="2050">
        <v>0</v>
      </c>
      <c r="G163" s="2050">
        <v>0</v>
      </c>
      <c r="H163" s="2051"/>
      <c r="I163" s="2051"/>
      <c r="J163" s="2051"/>
      <c r="K163" s="2050"/>
      <c r="L163" s="2050"/>
      <c r="M163" s="2050"/>
      <c r="N163" s="2052"/>
      <c r="O163" s="2052"/>
      <c r="P163" s="2052"/>
      <c r="Q163" s="2028">
        <f>MAX(E163,H163,K163,N163)</f>
        <v>0</v>
      </c>
      <c r="R163" s="2026">
        <f t="shared" ref="R163:R173" si="99">MAX(F163,I163,L163,O163)</f>
        <v>0</v>
      </c>
      <c r="S163" s="2029">
        <f t="shared" ref="S163:S173" si="100">MAX(G163,J163,M163,P163)</f>
        <v>0</v>
      </c>
      <c r="T163" s="853">
        <f>IFERROR(AVERAGE(Q163:S163),"")</f>
        <v>0</v>
      </c>
      <c r="U163" s="1408" t="str">
        <f>IF(T163&gt;85,("4"),IF(T163&gt;80,("3.66"),IF(T163&gt;75,("3.33"),IF(T163&gt;70,("3.00"),IF(T163&gt;65,("2.66"),IF(T163&gt;60,("2.33"),IF(T163&gt;55,("2"),IF(T163&gt;50,("1.66"),"1.33"))))))))</f>
        <v>1.33</v>
      </c>
      <c r="V163" s="1408" t="str">
        <f>IF(T163&gt;85,("A"),IF(T163&gt;80,("A-"),IF(T163&gt;75,("B+"),IF(T163&gt;70,("B"),IF(T163&gt;65,("B-"),IF(T163&gt;60,("C+"),IF(T163&gt;55,("C"),IF(T163&gt;50,("C-"),"D+"))))))))</f>
        <v>D+</v>
      </c>
      <c r="W163" s="1408" t="str">
        <f>IF(T163&gt;80,("SB"),IF(T163&gt;65,("B"),IF(T163&gt;50,("C"),IF(T163&gt;0,("K"),"0"))))</f>
        <v>0</v>
      </c>
      <c r="X163" s="1408"/>
      <c r="Y163" s="749"/>
      <c r="Z163" s="749"/>
      <c r="AA163" s="749"/>
      <c r="AB163" s="749"/>
      <c r="AC163" s="749"/>
      <c r="AD163" s="749"/>
      <c r="AE163" s="749"/>
      <c r="AF163" s="749"/>
      <c r="AG163" s="749"/>
      <c r="AH163" s="749"/>
      <c r="AI163" s="749"/>
      <c r="AJ163" s="1386"/>
      <c r="AK163" s="1386"/>
      <c r="AL163" s="1386"/>
      <c r="AM163" s="1386"/>
      <c r="AN163" s="1386"/>
      <c r="AO163" s="1386"/>
      <c r="AP163" s="1386"/>
      <c r="AQ163" s="1386"/>
      <c r="AR163" s="1386"/>
      <c r="AS163" s="1386"/>
      <c r="AT163" s="1386"/>
      <c r="AU163" s="1057">
        <f>T174</f>
        <v>0</v>
      </c>
      <c r="AV163" s="1194" t="str">
        <f>IF(AU163&gt;85,("A"),IF(AU163&gt;80,("A-"),IF(AU163&gt;75,("B+"),IF(AU163&gt;70,("B"),IF(AU163&gt;65,("B-"),IF(AU163&gt;60,("C+"),IF(AU163&gt;55,("C"),IF(AU163&gt;50,("C-"),"D+"))))))))</f>
        <v>D+</v>
      </c>
    </row>
    <row r="164" spans="1:48" ht="20.100000000000001" customHeight="1" x14ac:dyDescent="0.25">
      <c r="A164" s="360"/>
      <c r="B164" s="1387"/>
      <c r="C164" s="1388"/>
      <c r="D164" s="1166" t="s">
        <v>155</v>
      </c>
      <c r="E164" s="1493"/>
      <c r="F164" s="1493"/>
      <c r="G164" s="1493"/>
      <c r="H164" s="2040"/>
      <c r="I164" s="2040"/>
      <c r="J164" s="2040"/>
      <c r="K164" s="1493"/>
      <c r="L164" s="1493"/>
      <c r="M164" s="1493"/>
      <c r="N164" s="2039">
        <v>0</v>
      </c>
      <c r="O164" s="2039">
        <v>0</v>
      </c>
      <c r="P164" s="2039">
        <v>0</v>
      </c>
      <c r="Q164" s="2028">
        <f t="shared" ref="Q164:Q173" si="101">MAX(E164,H164,K164,N164)</f>
        <v>0</v>
      </c>
      <c r="R164" s="2026">
        <f t="shared" si="99"/>
        <v>0</v>
      </c>
      <c r="S164" s="2029">
        <f t="shared" si="100"/>
        <v>0</v>
      </c>
      <c r="T164" s="853">
        <f t="shared" ref="T164:T173" si="102">IFERROR(AVERAGE(Q164:S164),"")</f>
        <v>0</v>
      </c>
      <c r="U164" s="1408" t="str">
        <f t="shared" ref="U164:U173" si="103">IF(T164&gt;85,("4"),IF(T164&gt;80,("3.66"),IF(T164&gt;75,("3.33"),IF(T164&gt;70,("3.00"),IF(T164&gt;65,("2.66"),IF(T164&gt;60,("2.33"),IF(T164&gt;55,("2"),IF(T164&gt;50,("1.66"),"1.33"))))))))</f>
        <v>1.33</v>
      </c>
      <c r="V164" s="1408" t="str">
        <f t="shared" ref="V164:V173" si="104">IF(T164&gt;85,("A"),IF(T164&gt;80,("A-"),IF(T164&gt;75,("B+"),IF(T164&gt;70,("B"),IF(T164&gt;65,("B-"),IF(T164&gt;60,("C+"),IF(T164&gt;55,("C"),IF(T164&gt;50,("C-"),"D+"))))))))</f>
        <v>D+</v>
      </c>
      <c r="W164" s="1408" t="str">
        <f t="shared" ref="W164:W173" si="105">IF(T164&gt;80,("SB"),IF(T164&gt;65,("B"),IF(T164&gt;50,("C"),IF(T164&gt;0,("K"),"0"))))</f>
        <v>0</v>
      </c>
      <c r="X164" s="1409"/>
      <c r="Y164" s="1389"/>
      <c r="Z164" s="1390"/>
      <c r="AA164" s="1390"/>
      <c r="AB164" s="1390"/>
      <c r="AC164" s="1390"/>
      <c r="AD164" s="1390"/>
      <c r="AE164" s="1390"/>
      <c r="AF164" s="1390"/>
      <c r="AG164" s="1390"/>
      <c r="AH164" s="1390"/>
      <c r="AI164" s="1390"/>
      <c r="AJ164" s="1391"/>
      <c r="AK164" s="1391"/>
      <c r="AL164" s="1391"/>
      <c r="AM164" s="1391"/>
      <c r="AN164" s="1391"/>
      <c r="AO164" s="1391"/>
      <c r="AP164" s="1391"/>
      <c r="AQ164" s="1391"/>
      <c r="AR164" s="1391"/>
      <c r="AS164" s="1391"/>
      <c r="AT164" s="1392"/>
      <c r="AU164" s="1411"/>
      <c r="AV164" s="1412"/>
    </row>
    <row r="165" spans="1:48" ht="20.100000000000001" customHeight="1" x14ac:dyDescent="0.25">
      <c r="A165" s="360"/>
      <c r="B165" s="1387"/>
      <c r="C165" s="1388"/>
      <c r="D165" s="1166" t="s">
        <v>16</v>
      </c>
      <c r="E165" s="1493"/>
      <c r="F165" s="1493"/>
      <c r="G165" s="1493"/>
      <c r="H165" s="2040">
        <v>0</v>
      </c>
      <c r="I165" s="2040">
        <v>0</v>
      </c>
      <c r="J165" s="2040">
        <v>0</v>
      </c>
      <c r="K165" s="1493"/>
      <c r="L165" s="1493"/>
      <c r="M165" s="1493"/>
      <c r="N165" s="2052"/>
      <c r="O165" s="2052"/>
      <c r="P165" s="2052"/>
      <c r="Q165" s="2028">
        <f t="shared" si="101"/>
        <v>0</v>
      </c>
      <c r="R165" s="2026">
        <f t="shared" si="99"/>
        <v>0</v>
      </c>
      <c r="S165" s="2029">
        <f t="shared" si="100"/>
        <v>0</v>
      </c>
      <c r="T165" s="853">
        <f t="shared" si="102"/>
        <v>0</v>
      </c>
      <c r="U165" s="1408" t="str">
        <f t="shared" si="103"/>
        <v>1.33</v>
      </c>
      <c r="V165" s="1408" t="str">
        <f t="shared" si="104"/>
        <v>D+</v>
      </c>
      <c r="W165" s="1408" t="str">
        <f t="shared" si="105"/>
        <v>0</v>
      </c>
      <c r="X165" s="1409"/>
      <c r="Y165" s="1393"/>
      <c r="Z165" s="1394"/>
      <c r="AA165" s="1394"/>
      <c r="AB165" s="1394"/>
      <c r="AC165" s="1394"/>
      <c r="AD165" s="1394"/>
      <c r="AE165" s="1394"/>
      <c r="AF165" s="1394"/>
      <c r="AG165" s="1394"/>
      <c r="AH165" s="1394"/>
      <c r="AI165" s="1394"/>
      <c r="AJ165" s="1395"/>
      <c r="AK165" s="1395"/>
      <c r="AL165" s="1395"/>
      <c r="AM165" s="1395"/>
      <c r="AN165" s="1395"/>
      <c r="AO165" s="1395"/>
      <c r="AP165" s="1395"/>
      <c r="AQ165" s="1395"/>
      <c r="AR165" s="1395"/>
      <c r="AS165" s="1395"/>
      <c r="AT165" s="1396"/>
      <c r="AU165" s="1413"/>
      <c r="AV165" s="1414"/>
    </row>
    <row r="166" spans="1:48" ht="20.100000000000001" customHeight="1" x14ac:dyDescent="0.25">
      <c r="A166" s="360"/>
      <c r="B166" s="1387"/>
      <c r="C166" s="1388"/>
      <c r="D166" s="1166" t="s">
        <v>189</v>
      </c>
      <c r="E166" s="1493"/>
      <c r="F166" s="1493"/>
      <c r="G166" s="1493"/>
      <c r="H166" s="2040">
        <v>0</v>
      </c>
      <c r="I166" s="2040">
        <v>0</v>
      </c>
      <c r="J166" s="2040">
        <v>0</v>
      </c>
      <c r="K166" s="1493"/>
      <c r="L166" s="1493"/>
      <c r="M166" s="1493"/>
      <c r="N166" s="2039"/>
      <c r="O166" s="2039"/>
      <c r="P166" s="2039"/>
      <c r="Q166" s="2028">
        <f t="shared" si="101"/>
        <v>0</v>
      </c>
      <c r="R166" s="2026">
        <f t="shared" si="99"/>
        <v>0</v>
      </c>
      <c r="S166" s="2029">
        <f t="shared" si="100"/>
        <v>0</v>
      </c>
      <c r="T166" s="853">
        <f t="shared" si="102"/>
        <v>0</v>
      </c>
      <c r="U166" s="1408" t="str">
        <f t="shared" si="103"/>
        <v>1.33</v>
      </c>
      <c r="V166" s="1408" t="str">
        <f t="shared" si="104"/>
        <v>D+</v>
      </c>
      <c r="W166" s="1408" t="str">
        <f t="shared" si="105"/>
        <v>0</v>
      </c>
      <c r="X166" s="1409"/>
      <c r="Y166" s="1393"/>
      <c r="Z166" s="1394"/>
      <c r="AA166" s="1394"/>
      <c r="AB166" s="1394"/>
      <c r="AC166" s="1394"/>
      <c r="AD166" s="1394"/>
      <c r="AE166" s="1394"/>
      <c r="AF166" s="1394"/>
      <c r="AG166" s="1394"/>
      <c r="AH166" s="1394"/>
      <c r="AI166" s="1394"/>
      <c r="AJ166" s="1395"/>
      <c r="AK166" s="1395"/>
      <c r="AL166" s="1395"/>
      <c r="AM166" s="1395"/>
      <c r="AN166" s="1395"/>
      <c r="AO166" s="1395"/>
      <c r="AP166" s="1395"/>
      <c r="AQ166" s="1395"/>
      <c r="AR166" s="1395"/>
      <c r="AS166" s="1395"/>
      <c r="AT166" s="1396"/>
      <c r="AU166" s="1413"/>
      <c r="AV166" s="1414"/>
    </row>
    <row r="167" spans="1:48" ht="20.100000000000001" customHeight="1" x14ac:dyDescent="0.25">
      <c r="A167" s="360"/>
      <c r="B167" s="1387"/>
      <c r="C167" s="1388"/>
      <c r="D167" s="1166" t="s">
        <v>186</v>
      </c>
      <c r="E167" s="1493"/>
      <c r="F167" s="1493"/>
      <c r="G167" s="1493"/>
      <c r="H167" s="2040">
        <v>0</v>
      </c>
      <c r="I167" s="2040">
        <v>0</v>
      </c>
      <c r="J167" s="2040">
        <v>0</v>
      </c>
      <c r="K167" s="1493"/>
      <c r="L167" s="1493"/>
      <c r="M167" s="1493"/>
      <c r="N167" s="2039"/>
      <c r="O167" s="2039"/>
      <c r="P167" s="2039"/>
      <c r="Q167" s="2028">
        <f t="shared" si="101"/>
        <v>0</v>
      </c>
      <c r="R167" s="2026">
        <f t="shared" si="99"/>
        <v>0</v>
      </c>
      <c r="S167" s="2029">
        <f t="shared" si="100"/>
        <v>0</v>
      </c>
      <c r="T167" s="853">
        <f t="shared" si="102"/>
        <v>0</v>
      </c>
      <c r="U167" s="1408" t="str">
        <f t="shared" si="103"/>
        <v>1.33</v>
      </c>
      <c r="V167" s="1408" t="str">
        <f t="shared" si="104"/>
        <v>D+</v>
      </c>
      <c r="W167" s="1408" t="str">
        <f t="shared" si="105"/>
        <v>0</v>
      </c>
      <c r="X167" s="1409"/>
      <c r="Y167" s="1393"/>
      <c r="Z167" s="1394"/>
      <c r="AA167" s="1394"/>
      <c r="AB167" s="1394"/>
      <c r="AC167" s="1394"/>
      <c r="AD167" s="1394"/>
      <c r="AE167" s="1394"/>
      <c r="AF167" s="1394"/>
      <c r="AG167" s="1394"/>
      <c r="AH167" s="1394"/>
      <c r="AI167" s="1394"/>
      <c r="AJ167" s="1395"/>
      <c r="AK167" s="1395"/>
      <c r="AL167" s="1395"/>
      <c r="AM167" s="1395"/>
      <c r="AN167" s="1395"/>
      <c r="AO167" s="1395"/>
      <c r="AP167" s="1395"/>
      <c r="AQ167" s="1395"/>
      <c r="AR167" s="1395"/>
      <c r="AS167" s="1395"/>
      <c r="AT167" s="1396"/>
      <c r="AU167" s="1413"/>
      <c r="AV167" s="1414"/>
    </row>
    <row r="168" spans="1:48" ht="20.100000000000001" customHeight="1" x14ac:dyDescent="0.25">
      <c r="A168" s="360"/>
      <c r="B168" s="1387"/>
      <c r="C168" s="1388"/>
      <c r="D168" s="1166" t="s">
        <v>187</v>
      </c>
      <c r="E168" s="1385"/>
      <c r="F168" s="1385"/>
      <c r="G168" s="1385"/>
      <c r="H168" s="2048"/>
      <c r="I168" s="2048"/>
      <c r="J168" s="2048"/>
      <c r="K168" s="1385">
        <v>0</v>
      </c>
      <c r="L168" s="1385">
        <v>0</v>
      </c>
      <c r="M168" s="1385">
        <v>0</v>
      </c>
      <c r="N168" s="2049"/>
      <c r="O168" s="2049"/>
      <c r="P168" s="2049"/>
      <c r="Q168" s="2028">
        <f t="shared" si="101"/>
        <v>0</v>
      </c>
      <c r="R168" s="2026">
        <f t="shared" si="99"/>
        <v>0</v>
      </c>
      <c r="S168" s="2029">
        <f t="shared" si="100"/>
        <v>0</v>
      </c>
      <c r="T168" s="853">
        <f t="shared" si="102"/>
        <v>0</v>
      </c>
      <c r="U168" s="1408" t="str">
        <f t="shared" si="103"/>
        <v>1.33</v>
      </c>
      <c r="V168" s="1408" t="str">
        <f t="shared" si="104"/>
        <v>D+</v>
      </c>
      <c r="W168" s="1408" t="str">
        <f t="shared" si="105"/>
        <v>0</v>
      </c>
      <c r="X168" s="1409"/>
      <c r="Y168" s="1393"/>
      <c r="Z168" s="1394"/>
      <c r="AA168" s="1394"/>
      <c r="AB168" s="1394"/>
      <c r="AC168" s="1394"/>
      <c r="AD168" s="1394"/>
      <c r="AE168" s="1394"/>
      <c r="AF168" s="1394"/>
      <c r="AG168" s="1394"/>
      <c r="AH168" s="1394"/>
      <c r="AI168" s="1394"/>
      <c r="AJ168" s="1395"/>
      <c r="AK168" s="1395"/>
      <c r="AL168" s="1395"/>
      <c r="AM168" s="1395"/>
      <c r="AN168" s="1395"/>
      <c r="AO168" s="1395"/>
      <c r="AP168" s="1395"/>
      <c r="AQ168" s="1395"/>
      <c r="AR168" s="1395"/>
      <c r="AS168" s="1395"/>
      <c r="AT168" s="1396"/>
      <c r="AU168" s="1413"/>
      <c r="AV168" s="1414"/>
    </row>
    <row r="169" spans="1:48" ht="20.100000000000001" customHeight="1" x14ac:dyDescent="0.25">
      <c r="A169" s="360"/>
      <c r="B169" s="1387"/>
      <c r="C169" s="1388"/>
      <c r="D169" s="1166" t="s">
        <v>17</v>
      </c>
      <c r="E169" s="1385">
        <v>0</v>
      </c>
      <c r="F169" s="1385">
        <v>0</v>
      </c>
      <c r="G169" s="1385">
        <v>0</v>
      </c>
      <c r="H169" s="2048">
        <v>0</v>
      </c>
      <c r="I169" s="2048">
        <v>0</v>
      </c>
      <c r="J169" s="2048">
        <v>0</v>
      </c>
      <c r="K169" s="1385"/>
      <c r="L169" s="1385"/>
      <c r="M169" s="1385"/>
      <c r="N169" s="2049"/>
      <c r="O169" s="2049"/>
      <c r="P169" s="2049"/>
      <c r="Q169" s="2028">
        <f t="shared" si="101"/>
        <v>0</v>
      </c>
      <c r="R169" s="2026">
        <f t="shared" si="99"/>
        <v>0</v>
      </c>
      <c r="S169" s="2029">
        <f t="shared" si="100"/>
        <v>0</v>
      </c>
      <c r="T169" s="853">
        <f t="shared" si="102"/>
        <v>0</v>
      </c>
      <c r="U169" s="1408" t="str">
        <f t="shared" si="103"/>
        <v>1.33</v>
      </c>
      <c r="V169" s="1408" t="str">
        <f t="shared" si="104"/>
        <v>D+</v>
      </c>
      <c r="W169" s="1408" t="str">
        <f t="shared" si="105"/>
        <v>0</v>
      </c>
      <c r="X169" s="1409"/>
      <c r="Y169" s="1393"/>
      <c r="Z169" s="1394"/>
      <c r="AA169" s="1394"/>
      <c r="AB169" s="1394"/>
      <c r="AC169" s="1394"/>
      <c r="AD169" s="1394"/>
      <c r="AE169" s="1394"/>
      <c r="AF169" s="1394"/>
      <c r="AG169" s="1394"/>
      <c r="AH169" s="1394"/>
      <c r="AI169" s="1394"/>
      <c r="AJ169" s="1395"/>
      <c r="AK169" s="1395"/>
      <c r="AL169" s="1395"/>
      <c r="AM169" s="1395"/>
      <c r="AN169" s="1395"/>
      <c r="AO169" s="1395"/>
      <c r="AP169" s="1395"/>
      <c r="AQ169" s="1395"/>
      <c r="AR169" s="1395"/>
      <c r="AS169" s="1395"/>
      <c r="AT169" s="1396"/>
      <c r="AU169" s="1413"/>
      <c r="AV169" s="1414"/>
    </row>
    <row r="170" spans="1:48" ht="20.100000000000001" customHeight="1" x14ac:dyDescent="0.25">
      <c r="A170" s="360"/>
      <c r="B170" s="1387"/>
      <c r="C170" s="1388"/>
      <c r="D170" s="1166" t="s">
        <v>188</v>
      </c>
      <c r="E170" s="1385"/>
      <c r="F170" s="1385"/>
      <c r="G170" s="1385"/>
      <c r="H170" s="2048">
        <v>0</v>
      </c>
      <c r="I170" s="2048">
        <v>0</v>
      </c>
      <c r="J170" s="2048">
        <v>0</v>
      </c>
      <c r="K170" s="1385"/>
      <c r="L170" s="1385"/>
      <c r="M170" s="1385"/>
      <c r="N170" s="2049"/>
      <c r="O170" s="2049"/>
      <c r="P170" s="2049"/>
      <c r="Q170" s="2028">
        <f t="shared" si="101"/>
        <v>0</v>
      </c>
      <c r="R170" s="2026">
        <f t="shared" si="99"/>
        <v>0</v>
      </c>
      <c r="S170" s="2029">
        <f t="shared" si="100"/>
        <v>0</v>
      </c>
      <c r="T170" s="853">
        <f t="shared" si="102"/>
        <v>0</v>
      </c>
      <c r="U170" s="1408" t="str">
        <f t="shared" si="103"/>
        <v>1.33</v>
      </c>
      <c r="V170" s="1408" t="str">
        <f t="shared" si="104"/>
        <v>D+</v>
      </c>
      <c r="W170" s="1408" t="str">
        <f t="shared" si="105"/>
        <v>0</v>
      </c>
      <c r="X170" s="1409"/>
      <c r="Y170" s="1393"/>
      <c r="Z170" s="1394"/>
      <c r="AA170" s="1394"/>
      <c r="AB170" s="1394"/>
      <c r="AC170" s="1394"/>
      <c r="AD170" s="1394"/>
      <c r="AE170" s="1394"/>
      <c r="AF170" s="1394"/>
      <c r="AG170" s="1394"/>
      <c r="AH170" s="1394"/>
      <c r="AI170" s="1394"/>
      <c r="AJ170" s="1395"/>
      <c r="AK170" s="1395"/>
      <c r="AL170" s="1395"/>
      <c r="AM170" s="1395"/>
      <c r="AN170" s="1395"/>
      <c r="AO170" s="1395"/>
      <c r="AP170" s="1395"/>
      <c r="AQ170" s="1395"/>
      <c r="AR170" s="1395"/>
      <c r="AS170" s="1395"/>
      <c r="AT170" s="1396"/>
      <c r="AU170" s="1413"/>
      <c r="AV170" s="1414"/>
    </row>
    <row r="171" spans="1:48" ht="20.100000000000001" customHeight="1" x14ac:dyDescent="0.25">
      <c r="A171" s="360"/>
      <c r="B171" s="1387"/>
      <c r="C171" s="1388"/>
      <c r="D171" s="1166" t="s">
        <v>569</v>
      </c>
      <c r="E171" s="1385"/>
      <c r="F171" s="1385"/>
      <c r="G171" s="1385"/>
      <c r="H171" s="2048"/>
      <c r="I171" s="2048"/>
      <c r="J171" s="2048"/>
      <c r="K171" s="1385">
        <v>0</v>
      </c>
      <c r="L171" s="1385">
        <v>0</v>
      </c>
      <c r="M171" s="1385">
        <v>0</v>
      </c>
      <c r="N171" s="2049"/>
      <c r="O171" s="2049"/>
      <c r="P171" s="2049"/>
      <c r="Q171" s="2028">
        <f t="shared" si="101"/>
        <v>0</v>
      </c>
      <c r="R171" s="2026">
        <f t="shared" si="99"/>
        <v>0</v>
      </c>
      <c r="S171" s="2029">
        <f t="shared" si="100"/>
        <v>0</v>
      </c>
      <c r="T171" s="853">
        <f t="shared" si="102"/>
        <v>0</v>
      </c>
      <c r="U171" s="1408" t="str">
        <f t="shared" si="103"/>
        <v>1.33</v>
      </c>
      <c r="V171" s="1408" t="str">
        <f t="shared" si="104"/>
        <v>D+</v>
      </c>
      <c r="W171" s="1408" t="str">
        <f t="shared" si="105"/>
        <v>0</v>
      </c>
      <c r="X171" s="1409"/>
      <c r="Y171" s="1393"/>
      <c r="Z171" s="1394"/>
      <c r="AA171" s="1394"/>
      <c r="AB171" s="1394"/>
      <c r="AC171" s="1394"/>
      <c r="AD171" s="1394"/>
      <c r="AE171" s="1394"/>
      <c r="AF171" s="1394"/>
      <c r="AG171" s="1394"/>
      <c r="AH171" s="1394"/>
      <c r="AI171" s="1394"/>
      <c r="AJ171" s="1395"/>
      <c r="AK171" s="1395"/>
      <c r="AL171" s="1395"/>
      <c r="AM171" s="1395"/>
      <c r="AN171" s="1395"/>
      <c r="AO171" s="1395"/>
      <c r="AP171" s="1395"/>
      <c r="AQ171" s="1395"/>
      <c r="AR171" s="1395"/>
      <c r="AS171" s="1395"/>
      <c r="AT171" s="1396"/>
      <c r="AU171" s="1413"/>
      <c r="AV171" s="1414"/>
    </row>
    <row r="172" spans="1:48" ht="20.100000000000001" customHeight="1" x14ac:dyDescent="0.25">
      <c r="A172" s="360"/>
      <c r="B172" s="1387"/>
      <c r="C172" s="1388"/>
      <c r="D172" s="1166" t="s">
        <v>209</v>
      </c>
      <c r="E172" s="1385"/>
      <c r="F172" s="1385"/>
      <c r="G172" s="1385"/>
      <c r="H172" s="2048"/>
      <c r="I172" s="2048"/>
      <c r="J172" s="2048"/>
      <c r="K172" s="1385"/>
      <c r="L172" s="1385"/>
      <c r="M172" s="1385"/>
      <c r="N172" s="2049">
        <v>0</v>
      </c>
      <c r="O172" s="2049">
        <v>0</v>
      </c>
      <c r="P172" s="2049">
        <v>0</v>
      </c>
      <c r="Q172" s="2028">
        <f t="shared" si="101"/>
        <v>0</v>
      </c>
      <c r="R172" s="2026">
        <f t="shared" si="99"/>
        <v>0</v>
      </c>
      <c r="S172" s="2029">
        <f t="shared" si="100"/>
        <v>0</v>
      </c>
      <c r="T172" s="853">
        <f t="shared" si="102"/>
        <v>0</v>
      </c>
      <c r="U172" s="1408" t="str">
        <f t="shared" si="103"/>
        <v>1.33</v>
      </c>
      <c r="V172" s="1408" t="str">
        <f t="shared" si="104"/>
        <v>D+</v>
      </c>
      <c r="W172" s="1408" t="str">
        <f t="shared" si="105"/>
        <v>0</v>
      </c>
      <c r="X172" s="1409"/>
      <c r="Y172" s="1393"/>
      <c r="Z172" s="1394"/>
      <c r="AA172" s="1394"/>
      <c r="AB172" s="1394"/>
      <c r="AC172" s="1394"/>
      <c r="AD172" s="1394"/>
      <c r="AE172" s="1394"/>
      <c r="AF172" s="1394"/>
      <c r="AG172" s="1394"/>
      <c r="AH172" s="1394"/>
      <c r="AI172" s="1394"/>
      <c r="AJ172" s="1395"/>
      <c r="AK172" s="1395"/>
      <c r="AL172" s="1395"/>
      <c r="AM172" s="1395"/>
      <c r="AN172" s="1395"/>
      <c r="AO172" s="1395"/>
      <c r="AP172" s="1395"/>
      <c r="AQ172" s="1395"/>
      <c r="AR172" s="1395"/>
      <c r="AS172" s="1395"/>
      <c r="AT172" s="1396"/>
      <c r="AU172" s="1413"/>
      <c r="AV172" s="1414"/>
    </row>
    <row r="173" spans="1:48" ht="20.100000000000001" customHeight="1" x14ac:dyDescent="0.25">
      <c r="A173" s="360"/>
      <c r="B173" s="1387"/>
      <c r="C173" s="1388"/>
      <c r="D173" s="1166" t="s">
        <v>210</v>
      </c>
      <c r="E173" s="1385"/>
      <c r="F173" s="1385"/>
      <c r="G173" s="1385"/>
      <c r="H173" s="2048"/>
      <c r="I173" s="2048"/>
      <c r="J173" s="2048"/>
      <c r="K173" s="1385"/>
      <c r="L173" s="1385"/>
      <c r="M173" s="1385"/>
      <c r="N173" s="2049">
        <v>0</v>
      </c>
      <c r="O173" s="2049">
        <v>0</v>
      </c>
      <c r="P173" s="2049">
        <v>0</v>
      </c>
      <c r="Q173" s="2028">
        <f t="shared" si="101"/>
        <v>0</v>
      </c>
      <c r="R173" s="2026">
        <f t="shared" si="99"/>
        <v>0</v>
      </c>
      <c r="S173" s="2029">
        <f t="shared" si="100"/>
        <v>0</v>
      </c>
      <c r="T173" s="853">
        <f t="shared" si="102"/>
        <v>0</v>
      </c>
      <c r="U173" s="1408" t="str">
        <f t="shared" si="103"/>
        <v>1.33</v>
      </c>
      <c r="V173" s="1408" t="str">
        <f t="shared" si="104"/>
        <v>D+</v>
      </c>
      <c r="W173" s="1408" t="str">
        <f t="shared" si="105"/>
        <v>0</v>
      </c>
      <c r="X173" s="1409"/>
      <c r="Y173" s="1397"/>
      <c r="Z173" s="1398"/>
      <c r="AA173" s="1398"/>
      <c r="AB173" s="1398"/>
      <c r="AC173" s="1398"/>
      <c r="AD173" s="1398"/>
      <c r="AE173" s="1398"/>
      <c r="AF173" s="1398"/>
      <c r="AG173" s="1398"/>
      <c r="AH173" s="1398"/>
      <c r="AI173" s="1398"/>
      <c r="AJ173" s="1399"/>
      <c r="AK173" s="1399"/>
      <c r="AL173" s="1399"/>
      <c r="AM173" s="1399"/>
      <c r="AN173" s="1399"/>
      <c r="AO173" s="1399"/>
      <c r="AP173" s="1399"/>
      <c r="AQ173" s="1399"/>
      <c r="AR173" s="1399"/>
      <c r="AS173" s="1399"/>
      <c r="AT173" s="1400"/>
      <c r="AU173" s="1415"/>
      <c r="AV173" s="1416"/>
    </row>
    <row r="174" spans="1:48" ht="20.100000000000001" customHeight="1" x14ac:dyDescent="0.25">
      <c r="A174" s="727"/>
      <c r="B174" s="1406">
        <v>14</v>
      </c>
      <c r="C174" s="1407"/>
      <c r="D174" s="1004"/>
      <c r="E174" s="2780"/>
      <c r="F174" s="2781"/>
      <c r="G174" s="2781"/>
      <c r="H174" s="2781"/>
      <c r="I174" s="2046"/>
      <c r="J174" s="2046"/>
      <c r="K174" s="2046"/>
      <c r="L174" s="2046"/>
      <c r="M174" s="2046"/>
      <c r="N174" s="2046"/>
      <c r="O174" s="2046"/>
      <c r="P174" s="2046"/>
      <c r="Q174" s="2046"/>
      <c r="R174" s="2046"/>
      <c r="S174" s="2046"/>
      <c r="T174" s="2044">
        <f>IFERROR(AVERAGE(T163:T173),"  ")</f>
        <v>0</v>
      </c>
      <c r="U174" s="2045" t="str">
        <f>IF(X174&gt;85,("4"),IF(X174&gt;80,("3.66"),IF(X174&gt;75,("3.33"),IF(X174&gt;70,("3.00"),IF(X174&gt;65,("2.66"),IF(X174&gt;60,("2.33"),IF(X174&gt;55,("2"),IF(X174&gt;50,("1.66"),"1.33"))))))))</f>
        <v>1.33</v>
      </c>
      <c r="V174" s="2045" t="str">
        <f>IF(X174&gt;85,("A"),IF(X174&gt;80,("A-"),IF(X174&gt;75,("B+"),IF(X174&gt;70,("B"),IF(X174&gt;65,("B-"),IF(X174&gt;60,("C+"),IF(X174&gt;55,("C"),IF(X174&gt;50,("C-"),"D+"))))))))</f>
        <v>D+</v>
      </c>
      <c r="W174" s="2045"/>
      <c r="X174" s="888">
        <f>MAX(T163:T173)</f>
        <v>0</v>
      </c>
      <c r="Y174" s="1403"/>
      <c r="Z174" s="1404"/>
      <c r="AA174" s="1404"/>
      <c r="AB174" s="1404"/>
      <c r="AC174" s="1404"/>
      <c r="AD174" s="1404"/>
      <c r="AE174" s="1404"/>
      <c r="AF174" s="1404"/>
      <c r="AG174" s="1404"/>
      <c r="AH174" s="1404"/>
      <c r="AI174" s="1404"/>
      <c r="AJ174" s="1404"/>
      <c r="AK174" s="1404"/>
      <c r="AL174" s="1404"/>
      <c r="AM174" s="1404"/>
      <c r="AN174" s="1404"/>
      <c r="AO174" s="1404"/>
      <c r="AP174" s="1404"/>
      <c r="AQ174" s="1404"/>
      <c r="AR174" s="1404"/>
      <c r="AS174" s="1404"/>
      <c r="AT174" s="1405"/>
      <c r="AU174" s="1257"/>
      <c r="AV174" s="1258"/>
    </row>
    <row r="175" spans="1:48" ht="20.100000000000001" customHeight="1" x14ac:dyDescent="0.25">
      <c r="A175" s="724">
        <v>15</v>
      </c>
      <c r="B175" s="1383"/>
      <c r="C175" s="1384" t="str">
        <f>VLOOKUP(A175,data_siswa,4,FALSE)</f>
        <v>Muhammad Ibra Maulana</v>
      </c>
      <c r="D175" s="1166" t="s">
        <v>154</v>
      </c>
      <c r="E175" s="2050">
        <v>0</v>
      </c>
      <c r="F175" s="2050">
        <v>0</v>
      </c>
      <c r="G175" s="2050">
        <v>0</v>
      </c>
      <c r="H175" s="2051"/>
      <c r="I175" s="2051"/>
      <c r="J175" s="2051"/>
      <c r="K175" s="2050"/>
      <c r="L175" s="2050"/>
      <c r="M175" s="2050"/>
      <c r="N175" s="2052"/>
      <c r="O175" s="2052"/>
      <c r="P175" s="2052"/>
      <c r="Q175" s="2028">
        <f>MAX(E175,H175,K175,N175)</f>
        <v>0</v>
      </c>
      <c r="R175" s="2026">
        <f t="shared" ref="R175:R185" si="106">MAX(F175,I175,L175,O175)</f>
        <v>0</v>
      </c>
      <c r="S175" s="2029">
        <f t="shared" ref="S175:S185" si="107">MAX(G175,J175,M175,P175)</f>
        <v>0</v>
      </c>
      <c r="T175" s="853">
        <f>IFERROR(AVERAGE(Q175:S175),"")</f>
        <v>0</v>
      </c>
      <c r="U175" s="1408" t="str">
        <f>IF(T175&gt;85,("4"),IF(T175&gt;80,("3.66"),IF(T175&gt;75,("3.33"),IF(T175&gt;70,("3.00"),IF(T175&gt;65,("2.66"),IF(T175&gt;60,("2.33"),IF(T175&gt;55,("2"),IF(T175&gt;50,("1.66"),"1.33"))))))))</f>
        <v>1.33</v>
      </c>
      <c r="V175" s="1408" t="str">
        <f>IF(T175&gt;85,("A"),IF(T175&gt;80,("A-"),IF(T175&gt;75,("B+"),IF(T175&gt;70,("B"),IF(T175&gt;65,("B-"),IF(T175&gt;60,("C+"),IF(T175&gt;55,("C"),IF(T175&gt;50,("C-"),"D+"))))))))</f>
        <v>D+</v>
      </c>
      <c r="W175" s="1408" t="str">
        <f>IF(T175&gt;80,("SB"),IF(T175&gt;65,("B"),IF(T175&gt;50,("C"),IF(T175&gt;0,("K"),"0"))))</f>
        <v>0</v>
      </c>
      <c r="X175" s="1408"/>
      <c r="Y175" s="749"/>
      <c r="Z175" s="749"/>
      <c r="AA175" s="749"/>
      <c r="AB175" s="749"/>
      <c r="AC175" s="749"/>
      <c r="AD175" s="749"/>
      <c r="AE175" s="749"/>
      <c r="AF175" s="749"/>
      <c r="AG175" s="749"/>
      <c r="AH175" s="749"/>
      <c r="AI175" s="749"/>
      <c r="AJ175" s="1386"/>
      <c r="AK175" s="1386"/>
      <c r="AL175" s="1386"/>
      <c r="AM175" s="1386"/>
      <c r="AN175" s="1386"/>
      <c r="AO175" s="1386"/>
      <c r="AP175" s="1386"/>
      <c r="AQ175" s="1386"/>
      <c r="AR175" s="1386"/>
      <c r="AS175" s="1386"/>
      <c r="AT175" s="1386"/>
      <c r="AU175" s="1057">
        <f>T186</f>
        <v>0</v>
      </c>
      <c r="AV175" s="1194" t="str">
        <f>IF(AU175&gt;85,("A"),IF(AU175&gt;80,("A-"),IF(AU175&gt;75,("B+"),IF(AU175&gt;70,("B"),IF(AU175&gt;65,("B-"),IF(AU175&gt;60,("C+"),IF(AU175&gt;55,("C"),IF(AU175&gt;50,("C-"),"D+"))))))))</f>
        <v>D+</v>
      </c>
    </row>
    <row r="176" spans="1:48" ht="20.100000000000001" customHeight="1" x14ac:dyDescent="0.25">
      <c r="A176" s="360"/>
      <c r="B176" s="1387"/>
      <c r="C176" s="1384"/>
      <c r="D176" s="1166" t="s">
        <v>155</v>
      </c>
      <c r="E176" s="1493"/>
      <c r="F176" s="1493"/>
      <c r="G176" s="1493"/>
      <c r="H176" s="2040"/>
      <c r="I176" s="2040"/>
      <c r="J176" s="2040"/>
      <c r="K176" s="1493"/>
      <c r="L176" s="1493"/>
      <c r="M176" s="1493"/>
      <c r="N176" s="2039">
        <v>0</v>
      </c>
      <c r="O176" s="2039">
        <v>0</v>
      </c>
      <c r="P176" s="2039">
        <v>0</v>
      </c>
      <c r="Q176" s="2028">
        <f t="shared" ref="Q176:Q185" si="108">MAX(E176,H176,K176,N176)</f>
        <v>0</v>
      </c>
      <c r="R176" s="2026">
        <f t="shared" si="106"/>
        <v>0</v>
      </c>
      <c r="S176" s="2029">
        <f t="shared" si="107"/>
        <v>0</v>
      </c>
      <c r="T176" s="853">
        <f t="shared" ref="T176:T185" si="109">IFERROR(AVERAGE(Q176:S176),"")</f>
        <v>0</v>
      </c>
      <c r="U176" s="1408" t="str">
        <f t="shared" ref="U176:U185" si="110">IF(T176&gt;85,("4"),IF(T176&gt;80,("3.66"),IF(T176&gt;75,("3.33"),IF(T176&gt;70,("3.00"),IF(T176&gt;65,("2.66"),IF(T176&gt;60,("2.33"),IF(T176&gt;55,("2"),IF(T176&gt;50,("1.66"),"1.33"))))))))</f>
        <v>1.33</v>
      </c>
      <c r="V176" s="1408" t="str">
        <f t="shared" ref="V176:V185" si="111">IF(T176&gt;85,("A"),IF(T176&gt;80,("A-"),IF(T176&gt;75,("B+"),IF(T176&gt;70,("B"),IF(T176&gt;65,("B-"),IF(T176&gt;60,("C+"),IF(T176&gt;55,("C"),IF(T176&gt;50,("C-"),"D+"))))))))</f>
        <v>D+</v>
      </c>
      <c r="W176" s="1408" t="str">
        <f t="shared" ref="W176:W185" si="112">IF(T176&gt;80,("SB"),IF(T176&gt;65,("B"),IF(T176&gt;50,("C"),IF(T176&gt;0,("K"),"0"))))</f>
        <v>0</v>
      </c>
      <c r="X176" s="1409"/>
      <c r="Y176" s="1389"/>
      <c r="Z176" s="1390"/>
      <c r="AA176" s="1390"/>
      <c r="AB176" s="1390"/>
      <c r="AC176" s="1390"/>
      <c r="AD176" s="1390"/>
      <c r="AE176" s="1390"/>
      <c r="AF176" s="1390"/>
      <c r="AG176" s="1390"/>
      <c r="AH176" s="1390"/>
      <c r="AI176" s="1390"/>
      <c r="AJ176" s="1391"/>
      <c r="AK176" s="1391"/>
      <c r="AL176" s="1391"/>
      <c r="AM176" s="1391"/>
      <c r="AN176" s="1391"/>
      <c r="AO176" s="1391"/>
      <c r="AP176" s="1391"/>
      <c r="AQ176" s="1391"/>
      <c r="AR176" s="1391"/>
      <c r="AS176" s="1391"/>
      <c r="AT176" s="1392"/>
      <c r="AU176" s="1411"/>
      <c r="AV176" s="1412"/>
    </row>
    <row r="177" spans="1:48" ht="20.100000000000001" customHeight="1" x14ac:dyDescent="0.25">
      <c r="A177" s="360"/>
      <c r="B177" s="1387"/>
      <c r="C177" s="1384"/>
      <c r="D177" s="1166" t="s">
        <v>16</v>
      </c>
      <c r="E177" s="1493"/>
      <c r="F177" s="1493"/>
      <c r="G177" s="1493"/>
      <c r="H177" s="2040">
        <v>0</v>
      </c>
      <c r="I177" s="2040">
        <v>0</v>
      </c>
      <c r="J177" s="2040">
        <v>0</v>
      </c>
      <c r="K177" s="1493"/>
      <c r="L177" s="1493"/>
      <c r="M177" s="1493"/>
      <c r="N177" s="2052"/>
      <c r="O177" s="2052"/>
      <c r="P177" s="2052"/>
      <c r="Q177" s="2028">
        <f t="shared" si="108"/>
        <v>0</v>
      </c>
      <c r="R177" s="2026">
        <f t="shared" si="106"/>
        <v>0</v>
      </c>
      <c r="S177" s="2029">
        <f t="shared" si="107"/>
        <v>0</v>
      </c>
      <c r="T177" s="853">
        <f t="shared" si="109"/>
        <v>0</v>
      </c>
      <c r="U177" s="1408" t="str">
        <f t="shared" si="110"/>
        <v>1.33</v>
      </c>
      <c r="V177" s="1408" t="str">
        <f t="shared" si="111"/>
        <v>D+</v>
      </c>
      <c r="W177" s="1408" t="str">
        <f t="shared" si="112"/>
        <v>0</v>
      </c>
      <c r="X177" s="1409"/>
      <c r="Y177" s="1393"/>
      <c r="Z177" s="1394"/>
      <c r="AA177" s="1394"/>
      <c r="AB177" s="1394"/>
      <c r="AC177" s="1394"/>
      <c r="AD177" s="1394"/>
      <c r="AE177" s="1394"/>
      <c r="AF177" s="1394"/>
      <c r="AG177" s="1394"/>
      <c r="AH177" s="1394"/>
      <c r="AI177" s="1394"/>
      <c r="AJ177" s="1395"/>
      <c r="AK177" s="1395"/>
      <c r="AL177" s="1395"/>
      <c r="AM177" s="1395"/>
      <c r="AN177" s="1395"/>
      <c r="AO177" s="1395"/>
      <c r="AP177" s="1395"/>
      <c r="AQ177" s="1395"/>
      <c r="AR177" s="1395"/>
      <c r="AS177" s="1395"/>
      <c r="AT177" s="1396"/>
      <c r="AU177" s="1413"/>
      <c r="AV177" s="1414"/>
    </row>
    <row r="178" spans="1:48" ht="20.100000000000001" customHeight="1" x14ac:dyDescent="0.25">
      <c r="A178" s="360"/>
      <c r="B178" s="1387"/>
      <c r="C178" s="1388"/>
      <c r="D178" s="1166" t="s">
        <v>189</v>
      </c>
      <c r="E178" s="1493"/>
      <c r="F178" s="1493"/>
      <c r="G178" s="1493"/>
      <c r="H178" s="2040">
        <v>0</v>
      </c>
      <c r="I178" s="2040">
        <v>0</v>
      </c>
      <c r="J178" s="2040">
        <v>0</v>
      </c>
      <c r="K178" s="1493"/>
      <c r="L178" s="1493"/>
      <c r="M178" s="1493"/>
      <c r="N178" s="2039"/>
      <c r="O178" s="2039"/>
      <c r="P178" s="2039"/>
      <c r="Q178" s="2028">
        <f t="shared" si="108"/>
        <v>0</v>
      </c>
      <c r="R178" s="2026">
        <f t="shared" si="106"/>
        <v>0</v>
      </c>
      <c r="S178" s="2029">
        <f t="shared" si="107"/>
        <v>0</v>
      </c>
      <c r="T178" s="853">
        <f t="shared" si="109"/>
        <v>0</v>
      </c>
      <c r="U178" s="1408" t="str">
        <f t="shared" si="110"/>
        <v>1.33</v>
      </c>
      <c r="V178" s="1408" t="str">
        <f t="shared" si="111"/>
        <v>D+</v>
      </c>
      <c r="W178" s="1408" t="str">
        <f t="shared" si="112"/>
        <v>0</v>
      </c>
      <c r="X178" s="1409"/>
      <c r="Y178" s="1393"/>
      <c r="Z178" s="1394"/>
      <c r="AA178" s="1394"/>
      <c r="AB178" s="1394"/>
      <c r="AC178" s="1394"/>
      <c r="AD178" s="1394"/>
      <c r="AE178" s="1394"/>
      <c r="AF178" s="1394"/>
      <c r="AG178" s="1394"/>
      <c r="AH178" s="1394"/>
      <c r="AI178" s="1394"/>
      <c r="AJ178" s="1395"/>
      <c r="AK178" s="1395"/>
      <c r="AL178" s="1395"/>
      <c r="AM178" s="1395"/>
      <c r="AN178" s="1395"/>
      <c r="AO178" s="1395"/>
      <c r="AP178" s="1395"/>
      <c r="AQ178" s="1395"/>
      <c r="AR178" s="1395"/>
      <c r="AS178" s="1395"/>
      <c r="AT178" s="1396"/>
      <c r="AU178" s="1413"/>
      <c r="AV178" s="1414"/>
    </row>
    <row r="179" spans="1:48" ht="20.100000000000001" customHeight="1" x14ac:dyDescent="0.25">
      <c r="A179" s="360"/>
      <c r="B179" s="1387"/>
      <c r="C179" s="1388"/>
      <c r="D179" s="1166" t="s">
        <v>186</v>
      </c>
      <c r="E179" s="1493"/>
      <c r="F179" s="1493"/>
      <c r="G179" s="1493"/>
      <c r="H179" s="2040">
        <v>0</v>
      </c>
      <c r="I179" s="2040">
        <v>0</v>
      </c>
      <c r="J179" s="2040">
        <v>0</v>
      </c>
      <c r="K179" s="1493"/>
      <c r="L179" s="1493"/>
      <c r="M179" s="1493"/>
      <c r="N179" s="2039"/>
      <c r="O179" s="2039"/>
      <c r="P179" s="2039"/>
      <c r="Q179" s="2028">
        <f t="shared" si="108"/>
        <v>0</v>
      </c>
      <c r="R179" s="2026">
        <f t="shared" si="106"/>
        <v>0</v>
      </c>
      <c r="S179" s="2029">
        <f t="shared" si="107"/>
        <v>0</v>
      </c>
      <c r="T179" s="853">
        <f t="shared" si="109"/>
        <v>0</v>
      </c>
      <c r="U179" s="1408" t="str">
        <f t="shared" si="110"/>
        <v>1.33</v>
      </c>
      <c r="V179" s="1408" t="str">
        <f t="shared" si="111"/>
        <v>D+</v>
      </c>
      <c r="W179" s="1408" t="str">
        <f t="shared" si="112"/>
        <v>0</v>
      </c>
      <c r="X179" s="1409"/>
      <c r="Y179" s="1393"/>
      <c r="Z179" s="1394"/>
      <c r="AA179" s="1394"/>
      <c r="AB179" s="1394"/>
      <c r="AC179" s="1394"/>
      <c r="AD179" s="1394"/>
      <c r="AE179" s="1394"/>
      <c r="AF179" s="1394"/>
      <c r="AG179" s="1394"/>
      <c r="AH179" s="1394"/>
      <c r="AI179" s="1394"/>
      <c r="AJ179" s="1395"/>
      <c r="AK179" s="1395"/>
      <c r="AL179" s="1395"/>
      <c r="AM179" s="1395"/>
      <c r="AN179" s="1395"/>
      <c r="AO179" s="1395"/>
      <c r="AP179" s="1395"/>
      <c r="AQ179" s="1395"/>
      <c r="AR179" s="1395"/>
      <c r="AS179" s="1395"/>
      <c r="AT179" s="1396"/>
      <c r="AU179" s="1413"/>
      <c r="AV179" s="1414"/>
    </row>
    <row r="180" spans="1:48" ht="20.100000000000001" customHeight="1" x14ac:dyDescent="0.25">
      <c r="A180" s="360"/>
      <c r="B180" s="1387"/>
      <c r="C180" s="1388"/>
      <c r="D180" s="1166" t="s">
        <v>187</v>
      </c>
      <c r="E180" s="1385"/>
      <c r="F180" s="1385"/>
      <c r="G180" s="1385"/>
      <c r="H180" s="2048"/>
      <c r="I180" s="2048"/>
      <c r="J180" s="2048"/>
      <c r="K180" s="1385">
        <v>0</v>
      </c>
      <c r="L180" s="1385">
        <v>0</v>
      </c>
      <c r="M180" s="1385">
        <v>0</v>
      </c>
      <c r="N180" s="2049"/>
      <c r="O180" s="2049"/>
      <c r="P180" s="2049"/>
      <c r="Q180" s="2028">
        <f t="shared" si="108"/>
        <v>0</v>
      </c>
      <c r="R180" s="2026">
        <f t="shared" si="106"/>
        <v>0</v>
      </c>
      <c r="S180" s="2029">
        <f t="shared" si="107"/>
        <v>0</v>
      </c>
      <c r="T180" s="853">
        <f t="shared" si="109"/>
        <v>0</v>
      </c>
      <c r="U180" s="1408" t="str">
        <f t="shared" si="110"/>
        <v>1.33</v>
      </c>
      <c r="V180" s="1408" t="str">
        <f t="shared" si="111"/>
        <v>D+</v>
      </c>
      <c r="W180" s="1408" t="str">
        <f t="shared" si="112"/>
        <v>0</v>
      </c>
      <c r="X180" s="1409"/>
      <c r="Y180" s="1393"/>
      <c r="Z180" s="1394"/>
      <c r="AA180" s="1394"/>
      <c r="AB180" s="1394"/>
      <c r="AC180" s="1394"/>
      <c r="AD180" s="1394"/>
      <c r="AE180" s="1394"/>
      <c r="AF180" s="1394"/>
      <c r="AG180" s="1394"/>
      <c r="AH180" s="1394"/>
      <c r="AI180" s="1394"/>
      <c r="AJ180" s="1395"/>
      <c r="AK180" s="1395"/>
      <c r="AL180" s="1395"/>
      <c r="AM180" s="1395"/>
      <c r="AN180" s="1395"/>
      <c r="AO180" s="1395"/>
      <c r="AP180" s="1395"/>
      <c r="AQ180" s="1395"/>
      <c r="AR180" s="1395"/>
      <c r="AS180" s="1395"/>
      <c r="AT180" s="1396"/>
      <c r="AU180" s="1413"/>
      <c r="AV180" s="1414"/>
    </row>
    <row r="181" spans="1:48" ht="20.100000000000001" customHeight="1" x14ac:dyDescent="0.25">
      <c r="A181" s="360"/>
      <c r="B181" s="1387"/>
      <c r="C181" s="1388"/>
      <c r="D181" s="1166" t="s">
        <v>17</v>
      </c>
      <c r="E181" s="1385">
        <v>0</v>
      </c>
      <c r="F181" s="1385">
        <v>0</v>
      </c>
      <c r="G181" s="1385">
        <v>0</v>
      </c>
      <c r="H181" s="2048">
        <v>0</v>
      </c>
      <c r="I181" s="2048">
        <v>0</v>
      </c>
      <c r="J181" s="2048">
        <v>0</v>
      </c>
      <c r="K181" s="1385"/>
      <c r="L181" s="1385"/>
      <c r="M181" s="1385"/>
      <c r="N181" s="2049"/>
      <c r="O181" s="2049"/>
      <c r="P181" s="2049"/>
      <c r="Q181" s="2028">
        <f t="shared" si="108"/>
        <v>0</v>
      </c>
      <c r="R181" s="2026">
        <f t="shared" si="106"/>
        <v>0</v>
      </c>
      <c r="S181" s="2029">
        <f t="shared" si="107"/>
        <v>0</v>
      </c>
      <c r="T181" s="853">
        <f t="shared" si="109"/>
        <v>0</v>
      </c>
      <c r="U181" s="1408" t="str">
        <f t="shared" si="110"/>
        <v>1.33</v>
      </c>
      <c r="V181" s="1408" t="str">
        <f t="shared" si="111"/>
        <v>D+</v>
      </c>
      <c r="W181" s="1408" t="str">
        <f t="shared" si="112"/>
        <v>0</v>
      </c>
      <c r="X181" s="1409"/>
      <c r="Y181" s="1393"/>
      <c r="Z181" s="1394"/>
      <c r="AA181" s="1394"/>
      <c r="AB181" s="1394"/>
      <c r="AC181" s="1394"/>
      <c r="AD181" s="1394"/>
      <c r="AE181" s="1394"/>
      <c r="AF181" s="1394"/>
      <c r="AG181" s="1394"/>
      <c r="AH181" s="1394"/>
      <c r="AI181" s="1394"/>
      <c r="AJ181" s="1395"/>
      <c r="AK181" s="1395"/>
      <c r="AL181" s="1395"/>
      <c r="AM181" s="1395"/>
      <c r="AN181" s="1395"/>
      <c r="AO181" s="1395"/>
      <c r="AP181" s="1395"/>
      <c r="AQ181" s="1395"/>
      <c r="AR181" s="1395"/>
      <c r="AS181" s="1395"/>
      <c r="AT181" s="1396"/>
      <c r="AU181" s="1413"/>
      <c r="AV181" s="1414"/>
    </row>
    <row r="182" spans="1:48" ht="20.100000000000001" customHeight="1" x14ac:dyDescent="0.25">
      <c r="A182" s="360"/>
      <c r="B182" s="1387"/>
      <c r="C182" s="1388"/>
      <c r="D182" s="1166" t="s">
        <v>188</v>
      </c>
      <c r="E182" s="1385"/>
      <c r="F182" s="1385"/>
      <c r="G182" s="1385"/>
      <c r="H182" s="2048">
        <v>0</v>
      </c>
      <c r="I182" s="2048">
        <v>0</v>
      </c>
      <c r="J182" s="2048">
        <v>0</v>
      </c>
      <c r="K182" s="1385"/>
      <c r="L182" s="1385"/>
      <c r="M182" s="1385"/>
      <c r="N182" s="2049"/>
      <c r="O182" s="2049"/>
      <c r="P182" s="2049"/>
      <c r="Q182" s="2028">
        <f t="shared" si="108"/>
        <v>0</v>
      </c>
      <c r="R182" s="2026">
        <f t="shared" si="106"/>
        <v>0</v>
      </c>
      <c r="S182" s="2029">
        <f t="shared" si="107"/>
        <v>0</v>
      </c>
      <c r="T182" s="853">
        <f t="shared" si="109"/>
        <v>0</v>
      </c>
      <c r="U182" s="1408" t="str">
        <f t="shared" si="110"/>
        <v>1.33</v>
      </c>
      <c r="V182" s="1408" t="str">
        <f t="shared" si="111"/>
        <v>D+</v>
      </c>
      <c r="W182" s="1408" t="str">
        <f t="shared" si="112"/>
        <v>0</v>
      </c>
      <c r="X182" s="1409"/>
      <c r="Y182" s="1393"/>
      <c r="Z182" s="1394"/>
      <c r="AA182" s="1394"/>
      <c r="AB182" s="1394"/>
      <c r="AC182" s="1394"/>
      <c r="AD182" s="1394"/>
      <c r="AE182" s="1394"/>
      <c r="AF182" s="1394"/>
      <c r="AG182" s="1394"/>
      <c r="AH182" s="1394"/>
      <c r="AI182" s="1394"/>
      <c r="AJ182" s="1395"/>
      <c r="AK182" s="1395"/>
      <c r="AL182" s="1395"/>
      <c r="AM182" s="1395"/>
      <c r="AN182" s="1395"/>
      <c r="AO182" s="1395"/>
      <c r="AP182" s="1395"/>
      <c r="AQ182" s="1395"/>
      <c r="AR182" s="1395"/>
      <c r="AS182" s="1395"/>
      <c r="AT182" s="1396"/>
      <c r="AU182" s="1413"/>
      <c r="AV182" s="1414"/>
    </row>
    <row r="183" spans="1:48" ht="20.100000000000001" customHeight="1" x14ac:dyDescent="0.25">
      <c r="A183" s="360"/>
      <c r="B183" s="1387"/>
      <c r="C183" s="1388"/>
      <c r="D183" s="1166" t="s">
        <v>569</v>
      </c>
      <c r="E183" s="1385"/>
      <c r="F183" s="1385"/>
      <c r="G183" s="1385"/>
      <c r="H183" s="2048"/>
      <c r="I183" s="2048"/>
      <c r="J183" s="2048"/>
      <c r="K183" s="1385">
        <v>0</v>
      </c>
      <c r="L183" s="1385">
        <v>0</v>
      </c>
      <c r="M183" s="1385">
        <v>0</v>
      </c>
      <c r="N183" s="2049"/>
      <c r="O183" s="2049"/>
      <c r="P183" s="2049"/>
      <c r="Q183" s="2028">
        <f t="shared" si="108"/>
        <v>0</v>
      </c>
      <c r="R183" s="2026">
        <f t="shared" si="106"/>
        <v>0</v>
      </c>
      <c r="S183" s="2029">
        <f t="shared" si="107"/>
        <v>0</v>
      </c>
      <c r="T183" s="853">
        <f t="shared" si="109"/>
        <v>0</v>
      </c>
      <c r="U183" s="1408" t="str">
        <f t="shared" si="110"/>
        <v>1.33</v>
      </c>
      <c r="V183" s="1408" t="str">
        <f t="shared" si="111"/>
        <v>D+</v>
      </c>
      <c r="W183" s="1408" t="str">
        <f t="shared" si="112"/>
        <v>0</v>
      </c>
      <c r="X183" s="1409"/>
      <c r="Y183" s="1393"/>
      <c r="Z183" s="1394"/>
      <c r="AA183" s="1394"/>
      <c r="AB183" s="1394"/>
      <c r="AC183" s="1394"/>
      <c r="AD183" s="1394"/>
      <c r="AE183" s="1394"/>
      <c r="AF183" s="1394"/>
      <c r="AG183" s="1394"/>
      <c r="AH183" s="1394"/>
      <c r="AI183" s="1394"/>
      <c r="AJ183" s="1395"/>
      <c r="AK183" s="1395"/>
      <c r="AL183" s="1395"/>
      <c r="AM183" s="1395"/>
      <c r="AN183" s="1395"/>
      <c r="AO183" s="1395"/>
      <c r="AP183" s="1395"/>
      <c r="AQ183" s="1395"/>
      <c r="AR183" s="1395"/>
      <c r="AS183" s="1395"/>
      <c r="AT183" s="1396"/>
      <c r="AU183" s="1413"/>
      <c r="AV183" s="1414"/>
    </row>
    <row r="184" spans="1:48" ht="20.100000000000001" customHeight="1" x14ac:dyDescent="0.25">
      <c r="A184" s="360"/>
      <c r="B184" s="1387"/>
      <c r="C184" s="1388"/>
      <c r="D184" s="1166" t="s">
        <v>209</v>
      </c>
      <c r="E184" s="1385"/>
      <c r="F184" s="1385"/>
      <c r="G184" s="1385"/>
      <c r="H184" s="2048"/>
      <c r="I184" s="2048"/>
      <c r="J184" s="2048"/>
      <c r="K184" s="1385"/>
      <c r="L184" s="1385"/>
      <c r="M184" s="1385"/>
      <c r="N184" s="2049">
        <v>0</v>
      </c>
      <c r="O184" s="2049">
        <v>0</v>
      </c>
      <c r="P184" s="2049">
        <v>0</v>
      </c>
      <c r="Q184" s="2028">
        <f t="shared" si="108"/>
        <v>0</v>
      </c>
      <c r="R184" s="2026">
        <f t="shared" si="106"/>
        <v>0</v>
      </c>
      <c r="S184" s="2029">
        <f t="shared" si="107"/>
        <v>0</v>
      </c>
      <c r="T184" s="853">
        <f t="shared" si="109"/>
        <v>0</v>
      </c>
      <c r="U184" s="1408" t="str">
        <f t="shared" si="110"/>
        <v>1.33</v>
      </c>
      <c r="V184" s="1408" t="str">
        <f t="shared" si="111"/>
        <v>D+</v>
      </c>
      <c r="W184" s="1408" t="str">
        <f t="shared" si="112"/>
        <v>0</v>
      </c>
      <c r="X184" s="1409"/>
      <c r="Y184" s="1393"/>
      <c r="Z184" s="1394"/>
      <c r="AA184" s="1394"/>
      <c r="AB184" s="1394"/>
      <c r="AC184" s="1394"/>
      <c r="AD184" s="1394"/>
      <c r="AE184" s="1394"/>
      <c r="AF184" s="1394"/>
      <c r="AG184" s="1394"/>
      <c r="AH184" s="1394"/>
      <c r="AI184" s="1394"/>
      <c r="AJ184" s="1395"/>
      <c r="AK184" s="1395"/>
      <c r="AL184" s="1395"/>
      <c r="AM184" s="1395"/>
      <c r="AN184" s="1395"/>
      <c r="AO184" s="1395"/>
      <c r="AP184" s="1395"/>
      <c r="AQ184" s="1395"/>
      <c r="AR184" s="1395"/>
      <c r="AS184" s="1395"/>
      <c r="AT184" s="1396"/>
      <c r="AU184" s="1413"/>
      <c r="AV184" s="1414"/>
    </row>
    <row r="185" spans="1:48" ht="20.100000000000001" customHeight="1" x14ac:dyDescent="0.25">
      <c r="A185" s="360"/>
      <c r="B185" s="1387"/>
      <c r="C185" s="1388"/>
      <c r="D185" s="1166" t="s">
        <v>210</v>
      </c>
      <c r="E185" s="1385"/>
      <c r="F185" s="1385"/>
      <c r="G185" s="1385"/>
      <c r="H185" s="2048"/>
      <c r="I185" s="2048"/>
      <c r="J185" s="2048"/>
      <c r="K185" s="1385"/>
      <c r="L185" s="1385"/>
      <c r="M185" s="1385"/>
      <c r="N185" s="2049">
        <v>0</v>
      </c>
      <c r="O185" s="2049">
        <v>0</v>
      </c>
      <c r="P185" s="2049">
        <v>0</v>
      </c>
      <c r="Q185" s="2028">
        <f t="shared" si="108"/>
        <v>0</v>
      </c>
      <c r="R185" s="2026">
        <f t="shared" si="106"/>
        <v>0</v>
      </c>
      <c r="S185" s="2029">
        <f t="shared" si="107"/>
        <v>0</v>
      </c>
      <c r="T185" s="853">
        <f t="shared" si="109"/>
        <v>0</v>
      </c>
      <c r="U185" s="1408" t="str">
        <f t="shared" si="110"/>
        <v>1.33</v>
      </c>
      <c r="V185" s="1408" t="str">
        <f t="shared" si="111"/>
        <v>D+</v>
      </c>
      <c r="W185" s="1408" t="str">
        <f t="shared" si="112"/>
        <v>0</v>
      </c>
      <c r="X185" s="1409"/>
      <c r="Y185" s="1397"/>
      <c r="Z185" s="1398"/>
      <c r="AA185" s="1398"/>
      <c r="AB185" s="1398"/>
      <c r="AC185" s="1398"/>
      <c r="AD185" s="1398"/>
      <c r="AE185" s="1398"/>
      <c r="AF185" s="1398"/>
      <c r="AG185" s="1398"/>
      <c r="AH185" s="1398"/>
      <c r="AI185" s="1398"/>
      <c r="AJ185" s="1399"/>
      <c r="AK185" s="1399"/>
      <c r="AL185" s="1399"/>
      <c r="AM185" s="1399"/>
      <c r="AN185" s="1399"/>
      <c r="AO185" s="1399"/>
      <c r="AP185" s="1399"/>
      <c r="AQ185" s="1399"/>
      <c r="AR185" s="1399"/>
      <c r="AS185" s="1399"/>
      <c r="AT185" s="1400"/>
      <c r="AU185" s="1415"/>
      <c r="AV185" s="1416"/>
    </row>
    <row r="186" spans="1:48" ht="20.100000000000001" customHeight="1" x14ac:dyDescent="0.25">
      <c r="A186" s="727"/>
      <c r="B186" s="1406">
        <v>15</v>
      </c>
      <c r="C186" s="1407"/>
      <c r="D186" s="1004"/>
      <c r="E186" s="2780"/>
      <c r="F186" s="2781"/>
      <c r="G186" s="2781"/>
      <c r="H186" s="2781"/>
      <c r="I186" s="2046"/>
      <c r="J186" s="2046"/>
      <c r="K186" s="2046"/>
      <c r="L186" s="2046"/>
      <c r="M186" s="2046"/>
      <c r="N186" s="2046"/>
      <c r="O186" s="2046"/>
      <c r="P186" s="2046"/>
      <c r="Q186" s="2046"/>
      <c r="R186" s="2046"/>
      <c r="S186" s="2046"/>
      <c r="T186" s="2044">
        <f>IFERROR(AVERAGE(T175:T185),"  ")</f>
        <v>0</v>
      </c>
      <c r="U186" s="2045" t="str">
        <f>IF(X186&gt;85,("4"),IF(X186&gt;80,("3.66"),IF(X186&gt;75,("3.33"),IF(X186&gt;70,("3.00"),IF(X186&gt;65,("2.66"),IF(X186&gt;60,("2.33"),IF(X186&gt;55,("2"),IF(X186&gt;50,("1.66"),"1.33"))))))))</f>
        <v>1.33</v>
      </c>
      <c r="V186" s="2045" t="str">
        <f>IF(X186&gt;85,("A"),IF(X186&gt;80,("A-"),IF(X186&gt;75,("B+"),IF(X186&gt;70,("B"),IF(X186&gt;65,("B-"),IF(X186&gt;60,("C+"),IF(X186&gt;55,("C"),IF(X186&gt;50,("C-"),"D+"))))))))</f>
        <v>D+</v>
      </c>
      <c r="W186" s="2045"/>
      <c r="X186" s="888">
        <f>MAX(T175:T185)</f>
        <v>0</v>
      </c>
      <c r="Y186" s="1403"/>
      <c r="Z186" s="1404"/>
      <c r="AA186" s="1404"/>
      <c r="AB186" s="1404"/>
      <c r="AC186" s="1404"/>
      <c r="AD186" s="1404"/>
      <c r="AE186" s="1404"/>
      <c r="AF186" s="1404"/>
      <c r="AG186" s="1404"/>
      <c r="AH186" s="1404"/>
      <c r="AI186" s="1404"/>
      <c r="AJ186" s="1404"/>
      <c r="AK186" s="1404"/>
      <c r="AL186" s="1404"/>
      <c r="AM186" s="1404"/>
      <c r="AN186" s="1404"/>
      <c r="AO186" s="1404"/>
      <c r="AP186" s="1404"/>
      <c r="AQ186" s="1404"/>
      <c r="AR186" s="1404"/>
      <c r="AS186" s="1404"/>
      <c r="AT186" s="1405"/>
      <c r="AU186" s="1257"/>
      <c r="AV186" s="1258"/>
    </row>
    <row r="187" spans="1:48" ht="20.100000000000001" customHeight="1" x14ac:dyDescent="0.25">
      <c r="A187" s="724">
        <v>16</v>
      </c>
      <c r="B187" s="1383"/>
      <c r="C187" s="1384" t="str">
        <f>VLOOKUP(A187,data_siswa,4,FALSE)</f>
        <v>Nabilla Shiva Putri</v>
      </c>
      <c r="D187" s="1166" t="s">
        <v>154</v>
      </c>
      <c r="E187" s="2050">
        <v>0</v>
      </c>
      <c r="F187" s="2050">
        <v>0</v>
      </c>
      <c r="G187" s="2050">
        <v>0</v>
      </c>
      <c r="H187" s="2051"/>
      <c r="I187" s="2051"/>
      <c r="J187" s="2051"/>
      <c r="K187" s="2050"/>
      <c r="L187" s="2050"/>
      <c r="M187" s="2050"/>
      <c r="N187" s="2052"/>
      <c r="O187" s="2052"/>
      <c r="P187" s="2052"/>
      <c r="Q187" s="2028">
        <f>MAX(E187,H187,K187,N187)</f>
        <v>0</v>
      </c>
      <c r="R187" s="2026">
        <f t="shared" ref="R187:R197" si="113">MAX(F187,I187,L187,O187)</f>
        <v>0</v>
      </c>
      <c r="S187" s="2029">
        <f t="shared" ref="S187:S197" si="114">MAX(G187,J187,M187,P187)</f>
        <v>0</v>
      </c>
      <c r="T187" s="853">
        <f>IFERROR(AVERAGE(Q187:S187),"")</f>
        <v>0</v>
      </c>
      <c r="U187" s="1408" t="str">
        <f>IF(T187&gt;85,("4"),IF(T187&gt;80,("3.66"),IF(T187&gt;75,("3.33"),IF(T187&gt;70,("3.00"),IF(T187&gt;65,("2.66"),IF(T187&gt;60,("2.33"),IF(T187&gt;55,("2"),IF(T187&gt;50,("1.66"),"1.33"))))))))</f>
        <v>1.33</v>
      </c>
      <c r="V187" s="1408" t="str">
        <f>IF(T187&gt;85,("A"),IF(T187&gt;80,("A-"),IF(T187&gt;75,("B+"),IF(T187&gt;70,("B"),IF(T187&gt;65,("B-"),IF(T187&gt;60,("C+"),IF(T187&gt;55,("C"),IF(T187&gt;50,("C-"),"D+"))))))))</f>
        <v>D+</v>
      </c>
      <c r="W187" s="1408" t="str">
        <f>IF(T187&gt;80,("SB"),IF(T187&gt;65,("B"),IF(T187&gt;50,("C"),IF(T187&gt;0,("K"),"0"))))</f>
        <v>0</v>
      </c>
      <c r="X187" s="1408"/>
      <c r="Y187" s="749"/>
      <c r="Z187" s="749"/>
      <c r="AA187" s="749"/>
      <c r="AB187" s="749"/>
      <c r="AC187" s="749"/>
      <c r="AD187" s="749"/>
      <c r="AE187" s="749"/>
      <c r="AF187" s="749"/>
      <c r="AG187" s="749"/>
      <c r="AH187" s="749"/>
      <c r="AI187" s="749"/>
      <c r="AJ187" s="1386"/>
      <c r="AK187" s="1386"/>
      <c r="AL187" s="1386"/>
      <c r="AM187" s="1386"/>
      <c r="AN187" s="1386"/>
      <c r="AO187" s="1386"/>
      <c r="AP187" s="1386"/>
      <c r="AQ187" s="1386"/>
      <c r="AR187" s="1386"/>
      <c r="AS187" s="1386"/>
      <c r="AT187" s="1386"/>
      <c r="AU187" s="1057">
        <f>T198</f>
        <v>0</v>
      </c>
      <c r="AV187" s="1194" t="str">
        <f>IF(AU187&gt;85,("A"),IF(AU187&gt;80,("A-"),IF(AU187&gt;75,("B+"),IF(AU187&gt;70,("B"),IF(AU187&gt;65,("B-"),IF(AU187&gt;60,("C+"),IF(AU187&gt;55,("C"),IF(AU187&gt;50,("C-"),"D+"))))))))</f>
        <v>D+</v>
      </c>
    </row>
    <row r="188" spans="1:48" ht="20.100000000000001" customHeight="1" x14ac:dyDescent="0.25">
      <c r="A188" s="360"/>
      <c r="B188" s="1387"/>
      <c r="C188" s="1388"/>
      <c r="D188" s="1166" t="s">
        <v>155</v>
      </c>
      <c r="E188" s="1493"/>
      <c r="F188" s="1493"/>
      <c r="G188" s="1493"/>
      <c r="H188" s="2040"/>
      <c r="I188" s="2040"/>
      <c r="J188" s="2040"/>
      <c r="K188" s="1493"/>
      <c r="L188" s="1493"/>
      <c r="M188" s="1493"/>
      <c r="N188" s="2039">
        <v>0</v>
      </c>
      <c r="O188" s="2039">
        <v>0</v>
      </c>
      <c r="P188" s="2039">
        <v>0</v>
      </c>
      <c r="Q188" s="2028">
        <f t="shared" ref="Q188:Q197" si="115">MAX(E188,H188,K188,N188)</f>
        <v>0</v>
      </c>
      <c r="R188" s="2026">
        <f t="shared" si="113"/>
        <v>0</v>
      </c>
      <c r="S188" s="2029">
        <f t="shared" si="114"/>
        <v>0</v>
      </c>
      <c r="T188" s="853">
        <f t="shared" ref="T188:T197" si="116">IFERROR(AVERAGE(Q188:S188),"")</f>
        <v>0</v>
      </c>
      <c r="U188" s="1408" t="str">
        <f t="shared" ref="U188:U197" si="117">IF(T188&gt;85,("4"),IF(T188&gt;80,("3.66"),IF(T188&gt;75,("3.33"),IF(T188&gt;70,("3.00"),IF(T188&gt;65,("2.66"),IF(T188&gt;60,("2.33"),IF(T188&gt;55,("2"),IF(T188&gt;50,("1.66"),"1.33"))))))))</f>
        <v>1.33</v>
      </c>
      <c r="V188" s="1408" t="str">
        <f t="shared" ref="V188:V197" si="118">IF(T188&gt;85,("A"),IF(T188&gt;80,("A-"),IF(T188&gt;75,("B+"),IF(T188&gt;70,("B"),IF(T188&gt;65,("B-"),IF(T188&gt;60,("C+"),IF(T188&gt;55,("C"),IF(T188&gt;50,("C-"),"D+"))))))))</f>
        <v>D+</v>
      </c>
      <c r="W188" s="1408" t="str">
        <f t="shared" ref="W188:W197" si="119">IF(T188&gt;80,("SB"),IF(T188&gt;65,("B"),IF(T188&gt;50,("C"),IF(T188&gt;0,("K"),"0"))))</f>
        <v>0</v>
      </c>
      <c r="X188" s="1409"/>
      <c r="Y188" s="1389"/>
      <c r="Z188" s="1390"/>
      <c r="AA188" s="1390"/>
      <c r="AB188" s="1390"/>
      <c r="AC188" s="1390"/>
      <c r="AD188" s="1390"/>
      <c r="AE188" s="1390"/>
      <c r="AF188" s="1390"/>
      <c r="AG188" s="1390"/>
      <c r="AH188" s="1390"/>
      <c r="AI188" s="1390"/>
      <c r="AJ188" s="1391"/>
      <c r="AK188" s="1391"/>
      <c r="AL188" s="1391"/>
      <c r="AM188" s="1391"/>
      <c r="AN188" s="1391"/>
      <c r="AO188" s="1391"/>
      <c r="AP188" s="1391"/>
      <c r="AQ188" s="1391"/>
      <c r="AR188" s="1391"/>
      <c r="AS188" s="1391"/>
      <c r="AT188" s="1392"/>
      <c r="AU188" s="1411"/>
      <c r="AV188" s="1412"/>
    </row>
    <row r="189" spans="1:48" ht="20.100000000000001" customHeight="1" x14ac:dyDescent="0.25">
      <c r="A189" s="360"/>
      <c r="B189" s="1387"/>
      <c r="C189" s="1388"/>
      <c r="D189" s="1166" t="s">
        <v>16</v>
      </c>
      <c r="E189" s="1493"/>
      <c r="F189" s="1493"/>
      <c r="G189" s="1493"/>
      <c r="H189" s="2040">
        <v>0</v>
      </c>
      <c r="I189" s="2040">
        <v>0</v>
      </c>
      <c r="J189" s="2040">
        <v>0</v>
      </c>
      <c r="K189" s="1493"/>
      <c r="L189" s="1493"/>
      <c r="M189" s="1493"/>
      <c r="N189" s="2052"/>
      <c r="O189" s="2052"/>
      <c r="P189" s="2052"/>
      <c r="Q189" s="2028">
        <f t="shared" si="115"/>
        <v>0</v>
      </c>
      <c r="R189" s="2026">
        <f t="shared" si="113"/>
        <v>0</v>
      </c>
      <c r="S189" s="2029">
        <f t="shared" si="114"/>
        <v>0</v>
      </c>
      <c r="T189" s="853">
        <f t="shared" si="116"/>
        <v>0</v>
      </c>
      <c r="U189" s="1408" t="str">
        <f t="shared" si="117"/>
        <v>1.33</v>
      </c>
      <c r="V189" s="1408" t="str">
        <f t="shared" si="118"/>
        <v>D+</v>
      </c>
      <c r="W189" s="1408" t="str">
        <f t="shared" si="119"/>
        <v>0</v>
      </c>
      <c r="X189" s="1409"/>
      <c r="Y189" s="1393"/>
      <c r="Z189" s="1394"/>
      <c r="AA189" s="1394"/>
      <c r="AB189" s="1394"/>
      <c r="AC189" s="1394"/>
      <c r="AD189" s="1394"/>
      <c r="AE189" s="1394"/>
      <c r="AF189" s="1394"/>
      <c r="AG189" s="1394"/>
      <c r="AH189" s="1394"/>
      <c r="AI189" s="1394"/>
      <c r="AJ189" s="1395"/>
      <c r="AK189" s="1395"/>
      <c r="AL189" s="1395"/>
      <c r="AM189" s="1395"/>
      <c r="AN189" s="1395"/>
      <c r="AO189" s="1395"/>
      <c r="AP189" s="1395"/>
      <c r="AQ189" s="1395"/>
      <c r="AR189" s="1395"/>
      <c r="AS189" s="1395"/>
      <c r="AT189" s="1396"/>
      <c r="AU189" s="1413"/>
      <c r="AV189" s="1414"/>
    </row>
    <row r="190" spans="1:48" ht="20.100000000000001" customHeight="1" x14ac:dyDescent="0.25">
      <c r="A190" s="360"/>
      <c r="B190" s="1387"/>
      <c r="C190" s="1388"/>
      <c r="D190" s="1166" t="s">
        <v>189</v>
      </c>
      <c r="E190" s="1493"/>
      <c r="F190" s="1493"/>
      <c r="G190" s="1493"/>
      <c r="H190" s="2040">
        <v>0</v>
      </c>
      <c r="I190" s="2040">
        <v>0</v>
      </c>
      <c r="J190" s="2040">
        <v>0</v>
      </c>
      <c r="K190" s="1493"/>
      <c r="L190" s="1493"/>
      <c r="M190" s="1493"/>
      <c r="N190" s="2039"/>
      <c r="O190" s="2039"/>
      <c r="P190" s="2039"/>
      <c r="Q190" s="2028">
        <f t="shared" si="115"/>
        <v>0</v>
      </c>
      <c r="R190" s="2026">
        <f t="shared" si="113"/>
        <v>0</v>
      </c>
      <c r="S190" s="2029">
        <f t="shared" si="114"/>
        <v>0</v>
      </c>
      <c r="T190" s="853">
        <f t="shared" si="116"/>
        <v>0</v>
      </c>
      <c r="U190" s="1408" t="str">
        <f t="shared" si="117"/>
        <v>1.33</v>
      </c>
      <c r="V190" s="1408" t="str">
        <f t="shared" si="118"/>
        <v>D+</v>
      </c>
      <c r="W190" s="1408" t="str">
        <f t="shared" si="119"/>
        <v>0</v>
      </c>
      <c r="X190" s="1409"/>
      <c r="Y190" s="1393"/>
      <c r="Z190" s="1394"/>
      <c r="AA190" s="1394"/>
      <c r="AB190" s="1394"/>
      <c r="AC190" s="1394"/>
      <c r="AD190" s="1394"/>
      <c r="AE190" s="1394"/>
      <c r="AF190" s="1394"/>
      <c r="AG190" s="1394"/>
      <c r="AH190" s="1394"/>
      <c r="AI190" s="1394"/>
      <c r="AJ190" s="1395"/>
      <c r="AK190" s="1395"/>
      <c r="AL190" s="1395"/>
      <c r="AM190" s="1395"/>
      <c r="AN190" s="1395"/>
      <c r="AO190" s="1395"/>
      <c r="AP190" s="1395"/>
      <c r="AQ190" s="1395"/>
      <c r="AR190" s="1395"/>
      <c r="AS190" s="1395"/>
      <c r="AT190" s="1396"/>
      <c r="AU190" s="1413"/>
      <c r="AV190" s="1414"/>
    </row>
    <row r="191" spans="1:48" ht="20.100000000000001" customHeight="1" x14ac:dyDescent="0.25">
      <c r="A191" s="360"/>
      <c r="B191" s="1387"/>
      <c r="C191" s="1388"/>
      <c r="D191" s="1166" t="s">
        <v>186</v>
      </c>
      <c r="E191" s="1493"/>
      <c r="F191" s="1493"/>
      <c r="G191" s="1493"/>
      <c r="H191" s="2040">
        <v>0</v>
      </c>
      <c r="I191" s="2040">
        <v>0</v>
      </c>
      <c r="J191" s="2040">
        <v>0</v>
      </c>
      <c r="K191" s="1493"/>
      <c r="L191" s="1493"/>
      <c r="M191" s="1493"/>
      <c r="N191" s="2039"/>
      <c r="O191" s="2039"/>
      <c r="P191" s="2039"/>
      <c r="Q191" s="2028">
        <f t="shared" si="115"/>
        <v>0</v>
      </c>
      <c r="R191" s="2026">
        <f t="shared" si="113"/>
        <v>0</v>
      </c>
      <c r="S191" s="2029">
        <f t="shared" si="114"/>
        <v>0</v>
      </c>
      <c r="T191" s="853">
        <f t="shared" si="116"/>
        <v>0</v>
      </c>
      <c r="U191" s="1408" t="str">
        <f t="shared" si="117"/>
        <v>1.33</v>
      </c>
      <c r="V191" s="1408" t="str">
        <f t="shared" si="118"/>
        <v>D+</v>
      </c>
      <c r="W191" s="1408" t="str">
        <f t="shared" si="119"/>
        <v>0</v>
      </c>
      <c r="X191" s="1409"/>
      <c r="Y191" s="1393"/>
      <c r="Z191" s="1394"/>
      <c r="AA191" s="1394"/>
      <c r="AB191" s="1394"/>
      <c r="AC191" s="1394"/>
      <c r="AD191" s="1394"/>
      <c r="AE191" s="1394"/>
      <c r="AF191" s="1394"/>
      <c r="AG191" s="1394"/>
      <c r="AH191" s="1394"/>
      <c r="AI191" s="1394"/>
      <c r="AJ191" s="1395"/>
      <c r="AK191" s="1395"/>
      <c r="AL191" s="1395"/>
      <c r="AM191" s="1395"/>
      <c r="AN191" s="1395"/>
      <c r="AO191" s="1395"/>
      <c r="AP191" s="1395"/>
      <c r="AQ191" s="1395"/>
      <c r="AR191" s="1395"/>
      <c r="AS191" s="1395"/>
      <c r="AT191" s="1396"/>
      <c r="AU191" s="1413"/>
      <c r="AV191" s="1414"/>
    </row>
    <row r="192" spans="1:48" ht="20.100000000000001" customHeight="1" x14ac:dyDescent="0.25">
      <c r="A192" s="360"/>
      <c r="B192" s="1387"/>
      <c r="C192" s="1388"/>
      <c r="D192" s="1166" t="s">
        <v>187</v>
      </c>
      <c r="E192" s="1385"/>
      <c r="F192" s="1385"/>
      <c r="G192" s="1385"/>
      <c r="H192" s="2048"/>
      <c r="I192" s="2048"/>
      <c r="J192" s="2048"/>
      <c r="K192" s="1385">
        <v>0</v>
      </c>
      <c r="L192" s="1385">
        <v>0</v>
      </c>
      <c r="M192" s="1385">
        <v>0</v>
      </c>
      <c r="N192" s="2049"/>
      <c r="O192" s="2049"/>
      <c r="P192" s="2049"/>
      <c r="Q192" s="2028">
        <f t="shared" si="115"/>
        <v>0</v>
      </c>
      <c r="R192" s="2026">
        <f t="shared" si="113"/>
        <v>0</v>
      </c>
      <c r="S192" s="2029">
        <f t="shared" si="114"/>
        <v>0</v>
      </c>
      <c r="T192" s="853">
        <f t="shared" si="116"/>
        <v>0</v>
      </c>
      <c r="U192" s="1408" t="str">
        <f t="shared" si="117"/>
        <v>1.33</v>
      </c>
      <c r="V192" s="1408" t="str">
        <f t="shared" si="118"/>
        <v>D+</v>
      </c>
      <c r="W192" s="1408" t="str">
        <f t="shared" si="119"/>
        <v>0</v>
      </c>
      <c r="X192" s="1409"/>
      <c r="Y192" s="1393"/>
      <c r="Z192" s="1394"/>
      <c r="AA192" s="1394"/>
      <c r="AB192" s="1394"/>
      <c r="AC192" s="1394"/>
      <c r="AD192" s="1394"/>
      <c r="AE192" s="1394"/>
      <c r="AF192" s="1394"/>
      <c r="AG192" s="1394"/>
      <c r="AH192" s="1394"/>
      <c r="AI192" s="1394"/>
      <c r="AJ192" s="1395"/>
      <c r="AK192" s="1395"/>
      <c r="AL192" s="1395"/>
      <c r="AM192" s="1395"/>
      <c r="AN192" s="1395"/>
      <c r="AO192" s="1395"/>
      <c r="AP192" s="1395"/>
      <c r="AQ192" s="1395"/>
      <c r="AR192" s="1395"/>
      <c r="AS192" s="1395"/>
      <c r="AT192" s="1396"/>
      <c r="AU192" s="1413"/>
      <c r="AV192" s="1414"/>
    </row>
    <row r="193" spans="1:48" ht="20.100000000000001" customHeight="1" x14ac:dyDescent="0.25">
      <c r="A193" s="360"/>
      <c r="B193" s="1387"/>
      <c r="C193" s="1388"/>
      <c r="D193" s="1166" t="s">
        <v>17</v>
      </c>
      <c r="E193" s="1385">
        <v>0</v>
      </c>
      <c r="F193" s="1385">
        <v>0</v>
      </c>
      <c r="G193" s="1385">
        <v>0</v>
      </c>
      <c r="H193" s="2048">
        <v>0</v>
      </c>
      <c r="I193" s="2048">
        <v>0</v>
      </c>
      <c r="J193" s="2048">
        <v>0</v>
      </c>
      <c r="K193" s="1385"/>
      <c r="L193" s="1385"/>
      <c r="M193" s="1385"/>
      <c r="N193" s="2049"/>
      <c r="O193" s="2049"/>
      <c r="P193" s="2049"/>
      <c r="Q193" s="2028">
        <f t="shared" si="115"/>
        <v>0</v>
      </c>
      <c r="R193" s="2026">
        <f t="shared" si="113"/>
        <v>0</v>
      </c>
      <c r="S193" s="2029">
        <f t="shared" si="114"/>
        <v>0</v>
      </c>
      <c r="T193" s="853">
        <f t="shared" si="116"/>
        <v>0</v>
      </c>
      <c r="U193" s="1408" t="str">
        <f t="shared" si="117"/>
        <v>1.33</v>
      </c>
      <c r="V193" s="1408" t="str">
        <f t="shared" si="118"/>
        <v>D+</v>
      </c>
      <c r="W193" s="1408" t="str">
        <f t="shared" si="119"/>
        <v>0</v>
      </c>
      <c r="X193" s="1409"/>
      <c r="Y193" s="1393"/>
      <c r="Z193" s="1394"/>
      <c r="AA193" s="1394"/>
      <c r="AB193" s="1394"/>
      <c r="AC193" s="1394"/>
      <c r="AD193" s="1394"/>
      <c r="AE193" s="1394"/>
      <c r="AF193" s="1394"/>
      <c r="AG193" s="1394"/>
      <c r="AH193" s="1394"/>
      <c r="AI193" s="1394"/>
      <c r="AJ193" s="1395"/>
      <c r="AK193" s="1395"/>
      <c r="AL193" s="1395"/>
      <c r="AM193" s="1395"/>
      <c r="AN193" s="1395"/>
      <c r="AO193" s="1395"/>
      <c r="AP193" s="1395"/>
      <c r="AQ193" s="1395"/>
      <c r="AR193" s="1395"/>
      <c r="AS193" s="1395"/>
      <c r="AT193" s="1396"/>
      <c r="AU193" s="1413"/>
      <c r="AV193" s="1414"/>
    </row>
    <row r="194" spans="1:48" ht="20.100000000000001" customHeight="1" x14ac:dyDescent="0.25">
      <c r="A194" s="360"/>
      <c r="B194" s="1387"/>
      <c r="C194" s="1388"/>
      <c r="D194" s="1166" t="s">
        <v>188</v>
      </c>
      <c r="E194" s="1385"/>
      <c r="F194" s="1385"/>
      <c r="G194" s="1385"/>
      <c r="H194" s="2048">
        <v>0</v>
      </c>
      <c r="I194" s="2048">
        <v>0</v>
      </c>
      <c r="J194" s="2048">
        <v>0</v>
      </c>
      <c r="K194" s="1385"/>
      <c r="L194" s="1385"/>
      <c r="M194" s="1385"/>
      <c r="N194" s="2049"/>
      <c r="O194" s="2049"/>
      <c r="P194" s="2049"/>
      <c r="Q194" s="2028">
        <f t="shared" si="115"/>
        <v>0</v>
      </c>
      <c r="R194" s="2026">
        <f t="shared" si="113"/>
        <v>0</v>
      </c>
      <c r="S194" s="2029">
        <f t="shared" si="114"/>
        <v>0</v>
      </c>
      <c r="T194" s="853">
        <f t="shared" si="116"/>
        <v>0</v>
      </c>
      <c r="U194" s="1408" t="str">
        <f t="shared" si="117"/>
        <v>1.33</v>
      </c>
      <c r="V194" s="1408" t="str">
        <f t="shared" si="118"/>
        <v>D+</v>
      </c>
      <c r="W194" s="1408" t="str">
        <f t="shared" si="119"/>
        <v>0</v>
      </c>
      <c r="X194" s="1409"/>
      <c r="Y194" s="1393"/>
      <c r="Z194" s="1394"/>
      <c r="AA194" s="1394"/>
      <c r="AB194" s="1394"/>
      <c r="AC194" s="1394"/>
      <c r="AD194" s="1394"/>
      <c r="AE194" s="1394"/>
      <c r="AF194" s="1394"/>
      <c r="AG194" s="1394"/>
      <c r="AH194" s="1394"/>
      <c r="AI194" s="1394"/>
      <c r="AJ194" s="1395"/>
      <c r="AK194" s="1395"/>
      <c r="AL194" s="1395"/>
      <c r="AM194" s="1395"/>
      <c r="AN194" s="1395"/>
      <c r="AO194" s="1395"/>
      <c r="AP194" s="1395"/>
      <c r="AQ194" s="1395"/>
      <c r="AR194" s="1395"/>
      <c r="AS194" s="1395"/>
      <c r="AT194" s="1396"/>
      <c r="AU194" s="1413"/>
      <c r="AV194" s="1414"/>
    </row>
    <row r="195" spans="1:48" ht="20.100000000000001" customHeight="1" x14ac:dyDescent="0.25">
      <c r="A195" s="360"/>
      <c r="B195" s="1387"/>
      <c r="C195" s="1388"/>
      <c r="D195" s="1166" t="s">
        <v>569</v>
      </c>
      <c r="E195" s="1385"/>
      <c r="F195" s="1385"/>
      <c r="G195" s="1385"/>
      <c r="H195" s="2048"/>
      <c r="I195" s="2048"/>
      <c r="J195" s="2048"/>
      <c r="K195" s="1385">
        <v>0</v>
      </c>
      <c r="L195" s="1385">
        <v>0</v>
      </c>
      <c r="M195" s="1385">
        <v>0</v>
      </c>
      <c r="N195" s="2049"/>
      <c r="O195" s="2049"/>
      <c r="P195" s="2049"/>
      <c r="Q195" s="2028">
        <f t="shared" si="115"/>
        <v>0</v>
      </c>
      <c r="R195" s="2026">
        <f t="shared" si="113"/>
        <v>0</v>
      </c>
      <c r="S195" s="2029">
        <f t="shared" si="114"/>
        <v>0</v>
      </c>
      <c r="T195" s="853">
        <f t="shared" si="116"/>
        <v>0</v>
      </c>
      <c r="U195" s="1408" t="str">
        <f t="shared" si="117"/>
        <v>1.33</v>
      </c>
      <c r="V195" s="1408" t="str">
        <f t="shared" si="118"/>
        <v>D+</v>
      </c>
      <c r="W195" s="1408" t="str">
        <f t="shared" si="119"/>
        <v>0</v>
      </c>
      <c r="X195" s="1409"/>
      <c r="Y195" s="1393"/>
      <c r="Z195" s="1394"/>
      <c r="AA195" s="1394"/>
      <c r="AB195" s="1394"/>
      <c r="AC195" s="1394"/>
      <c r="AD195" s="1394"/>
      <c r="AE195" s="1394"/>
      <c r="AF195" s="1394"/>
      <c r="AG195" s="1394"/>
      <c r="AH195" s="1394"/>
      <c r="AI195" s="1394"/>
      <c r="AJ195" s="1395"/>
      <c r="AK195" s="1395"/>
      <c r="AL195" s="1395"/>
      <c r="AM195" s="1395"/>
      <c r="AN195" s="1395"/>
      <c r="AO195" s="1395"/>
      <c r="AP195" s="1395"/>
      <c r="AQ195" s="1395"/>
      <c r="AR195" s="1395"/>
      <c r="AS195" s="1395"/>
      <c r="AT195" s="1396"/>
      <c r="AU195" s="1413"/>
      <c r="AV195" s="1414"/>
    </row>
    <row r="196" spans="1:48" ht="20.100000000000001" customHeight="1" x14ac:dyDescent="0.25">
      <c r="A196" s="360"/>
      <c r="B196" s="1387"/>
      <c r="C196" s="1388"/>
      <c r="D196" s="1166" t="s">
        <v>209</v>
      </c>
      <c r="E196" s="1385"/>
      <c r="F196" s="1385"/>
      <c r="G196" s="1385"/>
      <c r="H196" s="2048"/>
      <c r="I196" s="2048"/>
      <c r="J196" s="2048"/>
      <c r="K196" s="1385"/>
      <c r="L196" s="1385"/>
      <c r="M196" s="1385"/>
      <c r="N196" s="2049">
        <v>0</v>
      </c>
      <c r="O196" s="2049">
        <v>0</v>
      </c>
      <c r="P196" s="2049">
        <v>0</v>
      </c>
      <c r="Q196" s="2028">
        <f t="shared" si="115"/>
        <v>0</v>
      </c>
      <c r="R196" s="2026">
        <f t="shared" si="113"/>
        <v>0</v>
      </c>
      <c r="S196" s="2029">
        <f t="shared" si="114"/>
        <v>0</v>
      </c>
      <c r="T196" s="853">
        <f t="shared" si="116"/>
        <v>0</v>
      </c>
      <c r="U196" s="1408" t="str">
        <f t="shared" si="117"/>
        <v>1.33</v>
      </c>
      <c r="V196" s="1408" t="str">
        <f t="shared" si="118"/>
        <v>D+</v>
      </c>
      <c r="W196" s="1408" t="str">
        <f t="shared" si="119"/>
        <v>0</v>
      </c>
      <c r="X196" s="1409"/>
      <c r="Y196" s="1393"/>
      <c r="Z196" s="1394"/>
      <c r="AA196" s="1394"/>
      <c r="AB196" s="1394"/>
      <c r="AC196" s="1394"/>
      <c r="AD196" s="1394"/>
      <c r="AE196" s="1394"/>
      <c r="AF196" s="1394"/>
      <c r="AG196" s="1394"/>
      <c r="AH196" s="1394"/>
      <c r="AI196" s="1394"/>
      <c r="AJ196" s="1395"/>
      <c r="AK196" s="1395"/>
      <c r="AL196" s="1395"/>
      <c r="AM196" s="1395"/>
      <c r="AN196" s="1395"/>
      <c r="AO196" s="1395"/>
      <c r="AP196" s="1395"/>
      <c r="AQ196" s="1395"/>
      <c r="AR196" s="1395"/>
      <c r="AS196" s="1395"/>
      <c r="AT196" s="1396"/>
      <c r="AU196" s="1413"/>
      <c r="AV196" s="1414"/>
    </row>
    <row r="197" spans="1:48" ht="20.100000000000001" customHeight="1" x14ac:dyDescent="0.25">
      <c r="A197" s="360"/>
      <c r="B197" s="1387"/>
      <c r="C197" s="1388"/>
      <c r="D197" s="1166" t="s">
        <v>210</v>
      </c>
      <c r="E197" s="1385"/>
      <c r="F197" s="1385"/>
      <c r="G197" s="1385"/>
      <c r="H197" s="2048"/>
      <c r="I197" s="2048"/>
      <c r="J197" s="2048"/>
      <c r="K197" s="1385"/>
      <c r="L197" s="1385"/>
      <c r="M197" s="1385"/>
      <c r="N197" s="2049">
        <v>0</v>
      </c>
      <c r="O197" s="2049">
        <v>0</v>
      </c>
      <c r="P197" s="2049">
        <v>0</v>
      </c>
      <c r="Q197" s="2028">
        <f t="shared" si="115"/>
        <v>0</v>
      </c>
      <c r="R197" s="2026">
        <f t="shared" si="113"/>
        <v>0</v>
      </c>
      <c r="S197" s="2029">
        <f t="shared" si="114"/>
        <v>0</v>
      </c>
      <c r="T197" s="853">
        <f t="shared" si="116"/>
        <v>0</v>
      </c>
      <c r="U197" s="1408" t="str">
        <f t="shared" si="117"/>
        <v>1.33</v>
      </c>
      <c r="V197" s="1408" t="str">
        <f t="shared" si="118"/>
        <v>D+</v>
      </c>
      <c r="W197" s="1408" t="str">
        <f t="shared" si="119"/>
        <v>0</v>
      </c>
      <c r="X197" s="1409"/>
      <c r="Y197" s="1397"/>
      <c r="Z197" s="1398"/>
      <c r="AA197" s="1398"/>
      <c r="AB197" s="1398"/>
      <c r="AC197" s="1398"/>
      <c r="AD197" s="1398"/>
      <c r="AE197" s="1398"/>
      <c r="AF197" s="1398"/>
      <c r="AG197" s="1398"/>
      <c r="AH197" s="1398"/>
      <c r="AI197" s="1398"/>
      <c r="AJ197" s="1399"/>
      <c r="AK197" s="1399"/>
      <c r="AL197" s="1399"/>
      <c r="AM197" s="1399"/>
      <c r="AN197" s="1399"/>
      <c r="AO197" s="1399"/>
      <c r="AP197" s="1399"/>
      <c r="AQ197" s="1399"/>
      <c r="AR197" s="1399"/>
      <c r="AS197" s="1399"/>
      <c r="AT197" s="1400"/>
      <c r="AU197" s="1415"/>
      <c r="AV197" s="1416"/>
    </row>
    <row r="198" spans="1:48" ht="20.100000000000001" customHeight="1" x14ac:dyDescent="0.25">
      <c r="A198" s="727"/>
      <c r="B198" s="1406">
        <v>16</v>
      </c>
      <c r="C198" s="1407"/>
      <c r="D198" s="1004"/>
      <c r="E198" s="2780"/>
      <c r="F198" s="2781"/>
      <c r="G198" s="2781"/>
      <c r="H198" s="2781"/>
      <c r="I198" s="2046"/>
      <c r="J198" s="2046"/>
      <c r="K198" s="2046"/>
      <c r="L198" s="2046"/>
      <c r="M198" s="2046"/>
      <c r="N198" s="2046"/>
      <c r="O198" s="2046"/>
      <c r="P198" s="2046"/>
      <c r="Q198" s="2046"/>
      <c r="R198" s="2046"/>
      <c r="S198" s="2046"/>
      <c r="T198" s="2044">
        <f>IFERROR(AVERAGE(T187:T197),"  ")</f>
        <v>0</v>
      </c>
      <c r="U198" s="2045" t="str">
        <f>IF(X198&gt;85,("4"),IF(X198&gt;80,("3.66"),IF(X198&gt;75,("3.33"),IF(X198&gt;70,("3.00"),IF(X198&gt;65,("2.66"),IF(X198&gt;60,("2.33"),IF(X198&gt;55,("2"),IF(X198&gt;50,("1.66"),"1.33"))))))))</f>
        <v>1.33</v>
      </c>
      <c r="V198" s="2045" t="str">
        <f>IF(X198&gt;85,("A"),IF(X198&gt;80,("A-"),IF(X198&gt;75,("B+"),IF(X198&gt;70,("B"),IF(X198&gt;65,("B-"),IF(X198&gt;60,("C+"),IF(X198&gt;55,("C"),IF(X198&gt;50,("C-"),"D+"))))))))</f>
        <v>D+</v>
      </c>
      <c r="W198" s="2045"/>
      <c r="X198" s="888">
        <f>MAX(T187:T197)</f>
        <v>0</v>
      </c>
      <c r="Y198" s="1403"/>
      <c r="Z198" s="1404"/>
      <c r="AA198" s="1404"/>
      <c r="AB198" s="1404"/>
      <c r="AC198" s="1404"/>
      <c r="AD198" s="1404"/>
      <c r="AE198" s="1404"/>
      <c r="AF198" s="1404"/>
      <c r="AG198" s="1404"/>
      <c r="AH198" s="1404"/>
      <c r="AI198" s="1404"/>
      <c r="AJ198" s="1404"/>
      <c r="AK198" s="1404"/>
      <c r="AL198" s="1404"/>
      <c r="AM198" s="1404"/>
      <c r="AN198" s="1404"/>
      <c r="AO198" s="1404"/>
      <c r="AP198" s="1404"/>
      <c r="AQ198" s="1404"/>
      <c r="AR198" s="1404"/>
      <c r="AS198" s="1404"/>
      <c r="AT198" s="1405"/>
      <c r="AU198" s="1257"/>
      <c r="AV198" s="1258"/>
    </row>
    <row r="199" spans="1:48" ht="20.100000000000001" customHeight="1" x14ac:dyDescent="0.25">
      <c r="A199" s="724">
        <v>17</v>
      </c>
      <c r="B199" s="1383"/>
      <c r="C199" s="1384" t="str">
        <f>VLOOKUP(A199,data_siswa,4,FALSE)</f>
        <v>Naufal Falih F</v>
      </c>
      <c r="D199" s="1166" t="s">
        <v>154</v>
      </c>
      <c r="E199" s="2050">
        <v>0</v>
      </c>
      <c r="F199" s="2050">
        <v>0</v>
      </c>
      <c r="G199" s="2050">
        <v>0</v>
      </c>
      <c r="H199" s="2051"/>
      <c r="I199" s="2051"/>
      <c r="J199" s="2051"/>
      <c r="K199" s="2050"/>
      <c r="L199" s="2050"/>
      <c r="M199" s="2050"/>
      <c r="N199" s="2052"/>
      <c r="O199" s="2052"/>
      <c r="P199" s="2052"/>
      <c r="Q199" s="2028">
        <f>MAX(E199,H199,K199,N199)</f>
        <v>0</v>
      </c>
      <c r="R199" s="2026">
        <f t="shared" ref="R199:R209" si="120">MAX(F199,I199,L199,O199)</f>
        <v>0</v>
      </c>
      <c r="S199" s="2029">
        <f t="shared" ref="S199:S209" si="121">MAX(G199,J199,M199,P199)</f>
        <v>0</v>
      </c>
      <c r="T199" s="853">
        <f>IFERROR(AVERAGE(Q199:S199),"")</f>
        <v>0</v>
      </c>
      <c r="U199" s="1408" t="str">
        <f>IF(T199&gt;85,("4"),IF(T199&gt;80,("3.66"),IF(T199&gt;75,("3.33"),IF(T199&gt;70,("3.00"),IF(T199&gt;65,("2.66"),IF(T199&gt;60,("2.33"),IF(T199&gt;55,("2"),IF(T199&gt;50,("1.66"),"1.33"))))))))</f>
        <v>1.33</v>
      </c>
      <c r="V199" s="1408" t="str">
        <f>IF(T199&gt;85,("A"),IF(T199&gt;80,("A-"),IF(T199&gt;75,("B+"),IF(T199&gt;70,("B"),IF(T199&gt;65,("B-"),IF(T199&gt;60,("C+"),IF(T199&gt;55,("C"),IF(T199&gt;50,("C-"),"D+"))))))))</f>
        <v>D+</v>
      </c>
      <c r="W199" s="1408" t="str">
        <f>IF(T199&gt;80,("SB"),IF(T199&gt;65,("B"),IF(T199&gt;50,("C"),IF(T199&gt;0,("K"),"0"))))</f>
        <v>0</v>
      </c>
      <c r="X199" s="1408"/>
      <c r="Y199" s="749"/>
      <c r="Z199" s="749"/>
      <c r="AA199" s="749"/>
      <c r="AB199" s="749"/>
      <c r="AC199" s="749"/>
      <c r="AD199" s="749"/>
      <c r="AE199" s="749"/>
      <c r="AF199" s="749"/>
      <c r="AG199" s="749"/>
      <c r="AH199" s="749"/>
      <c r="AI199" s="749"/>
      <c r="AJ199" s="1386"/>
      <c r="AK199" s="1386"/>
      <c r="AL199" s="1386"/>
      <c r="AM199" s="1386"/>
      <c r="AN199" s="1386"/>
      <c r="AO199" s="1386"/>
      <c r="AP199" s="1386"/>
      <c r="AQ199" s="1386"/>
      <c r="AR199" s="1386"/>
      <c r="AS199" s="1386"/>
      <c r="AT199" s="1386"/>
      <c r="AU199" s="1057">
        <f>T210</f>
        <v>0</v>
      </c>
      <c r="AV199" s="1194" t="str">
        <f>IF(AU199&gt;85,("A"),IF(AU199&gt;80,("A-"),IF(AU199&gt;75,("B+"),IF(AU199&gt;70,("B"),IF(AU199&gt;65,("B-"),IF(AU199&gt;60,("C+"),IF(AU199&gt;55,("C"),IF(AU199&gt;50,("C-"),"D+"))))))))</f>
        <v>D+</v>
      </c>
    </row>
    <row r="200" spans="1:48" ht="20.100000000000001" customHeight="1" x14ac:dyDescent="0.25">
      <c r="A200" s="360"/>
      <c r="B200" s="1387"/>
      <c r="C200" s="1388"/>
      <c r="D200" s="1166" t="s">
        <v>155</v>
      </c>
      <c r="E200" s="1493"/>
      <c r="F200" s="1493"/>
      <c r="G200" s="1493"/>
      <c r="H200" s="2040"/>
      <c r="I200" s="2040"/>
      <c r="J200" s="2040"/>
      <c r="K200" s="1493"/>
      <c r="L200" s="1493"/>
      <c r="M200" s="1493"/>
      <c r="N200" s="2039">
        <v>0</v>
      </c>
      <c r="O200" s="2039">
        <v>0</v>
      </c>
      <c r="P200" s="2039">
        <v>0</v>
      </c>
      <c r="Q200" s="2028">
        <f t="shared" ref="Q200:Q209" si="122">MAX(E200,H200,K200,N200)</f>
        <v>0</v>
      </c>
      <c r="R200" s="2026">
        <f t="shared" si="120"/>
        <v>0</v>
      </c>
      <c r="S200" s="2029">
        <f t="shared" si="121"/>
        <v>0</v>
      </c>
      <c r="T200" s="853">
        <f t="shared" ref="T200:T209" si="123">IFERROR(AVERAGE(Q200:S200),"")</f>
        <v>0</v>
      </c>
      <c r="U200" s="1408" t="str">
        <f t="shared" ref="U200:U209" si="124">IF(T200&gt;85,("4"),IF(T200&gt;80,("3.66"),IF(T200&gt;75,("3.33"),IF(T200&gt;70,("3.00"),IF(T200&gt;65,("2.66"),IF(T200&gt;60,("2.33"),IF(T200&gt;55,("2"),IF(T200&gt;50,("1.66"),"1.33"))))))))</f>
        <v>1.33</v>
      </c>
      <c r="V200" s="1408" t="str">
        <f t="shared" ref="V200:V209" si="125">IF(T200&gt;85,("A"),IF(T200&gt;80,("A-"),IF(T200&gt;75,("B+"),IF(T200&gt;70,("B"),IF(T200&gt;65,("B-"),IF(T200&gt;60,("C+"),IF(T200&gt;55,("C"),IF(T200&gt;50,("C-"),"D+"))))))))</f>
        <v>D+</v>
      </c>
      <c r="W200" s="1408" t="str">
        <f t="shared" ref="W200:W209" si="126">IF(T200&gt;80,("SB"),IF(T200&gt;65,("B"),IF(T200&gt;50,("C"),IF(T200&gt;0,("K"),"0"))))</f>
        <v>0</v>
      </c>
      <c r="X200" s="1409"/>
      <c r="Y200" s="1389"/>
      <c r="Z200" s="1390"/>
      <c r="AA200" s="1390"/>
      <c r="AB200" s="1390"/>
      <c r="AC200" s="1390"/>
      <c r="AD200" s="1390"/>
      <c r="AE200" s="1390"/>
      <c r="AF200" s="1390"/>
      <c r="AG200" s="1390"/>
      <c r="AH200" s="1390"/>
      <c r="AI200" s="1390"/>
      <c r="AJ200" s="1391"/>
      <c r="AK200" s="1391"/>
      <c r="AL200" s="1391"/>
      <c r="AM200" s="1391"/>
      <c r="AN200" s="1391"/>
      <c r="AO200" s="1391"/>
      <c r="AP200" s="1391"/>
      <c r="AQ200" s="1391"/>
      <c r="AR200" s="1391"/>
      <c r="AS200" s="1391"/>
      <c r="AT200" s="1392"/>
      <c r="AU200" s="1411"/>
      <c r="AV200" s="1412"/>
    </row>
    <row r="201" spans="1:48" ht="20.100000000000001" customHeight="1" x14ac:dyDescent="0.25">
      <c r="A201" s="360"/>
      <c r="B201" s="1387"/>
      <c r="C201" s="1388"/>
      <c r="D201" s="1166" t="s">
        <v>16</v>
      </c>
      <c r="E201" s="1493"/>
      <c r="F201" s="1493"/>
      <c r="G201" s="1493"/>
      <c r="H201" s="2040">
        <v>0</v>
      </c>
      <c r="I201" s="2040">
        <v>0</v>
      </c>
      <c r="J201" s="2040">
        <v>0</v>
      </c>
      <c r="K201" s="1493"/>
      <c r="L201" s="1493"/>
      <c r="M201" s="1493"/>
      <c r="N201" s="2052"/>
      <c r="O201" s="2052"/>
      <c r="P201" s="2052"/>
      <c r="Q201" s="2028">
        <f t="shared" si="122"/>
        <v>0</v>
      </c>
      <c r="R201" s="2026">
        <f t="shared" si="120"/>
        <v>0</v>
      </c>
      <c r="S201" s="2029">
        <f t="shared" si="121"/>
        <v>0</v>
      </c>
      <c r="T201" s="853">
        <f t="shared" si="123"/>
        <v>0</v>
      </c>
      <c r="U201" s="1408" t="str">
        <f t="shared" si="124"/>
        <v>1.33</v>
      </c>
      <c r="V201" s="1408" t="str">
        <f t="shared" si="125"/>
        <v>D+</v>
      </c>
      <c r="W201" s="1408" t="str">
        <f t="shared" si="126"/>
        <v>0</v>
      </c>
      <c r="X201" s="1409"/>
      <c r="Y201" s="1393"/>
      <c r="Z201" s="1394"/>
      <c r="AA201" s="1394"/>
      <c r="AB201" s="1394"/>
      <c r="AC201" s="1394"/>
      <c r="AD201" s="1394"/>
      <c r="AE201" s="1394"/>
      <c r="AF201" s="1394"/>
      <c r="AG201" s="1394"/>
      <c r="AH201" s="1394"/>
      <c r="AI201" s="1394"/>
      <c r="AJ201" s="1395"/>
      <c r="AK201" s="1395"/>
      <c r="AL201" s="1395"/>
      <c r="AM201" s="1395"/>
      <c r="AN201" s="1395"/>
      <c r="AO201" s="1395"/>
      <c r="AP201" s="1395"/>
      <c r="AQ201" s="1395"/>
      <c r="AR201" s="1395"/>
      <c r="AS201" s="1395"/>
      <c r="AT201" s="1396"/>
      <c r="AU201" s="1413"/>
      <c r="AV201" s="1414"/>
    </row>
    <row r="202" spans="1:48" ht="20.100000000000001" customHeight="1" x14ac:dyDescent="0.25">
      <c r="A202" s="360"/>
      <c r="B202" s="1387"/>
      <c r="C202" s="1388"/>
      <c r="D202" s="1166" t="s">
        <v>189</v>
      </c>
      <c r="E202" s="1493"/>
      <c r="F202" s="1493"/>
      <c r="G202" s="1493"/>
      <c r="H202" s="2040">
        <v>0</v>
      </c>
      <c r="I202" s="2040">
        <v>0</v>
      </c>
      <c r="J202" s="2040">
        <v>0</v>
      </c>
      <c r="K202" s="1493"/>
      <c r="L202" s="1493"/>
      <c r="M202" s="1493"/>
      <c r="N202" s="2039"/>
      <c r="O202" s="2039"/>
      <c r="P202" s="2039"/>
      <c r="Q202" s="2028">
        <f t="shared" si="122"/>
        <v>0</v>
      </c>
      <c r="R202" s="2026">
        <f t="shared" si="120"/>
        <v>0</v>
      </c>
      <c r="S202" s="2029">
        <f t="shared" si="121"/>
        <v>0</v>
      </c>
      <c r="T202" s="853">
        <f t="shared" si="123"/>
        <v>0</v>
      </c>
      <c r="U202" s="1408" t="str">
        <f t="shared" si="124"/>
        <v>1.33</v>
      </c>
      <c r="V202" s="1408" t="str">
        <f t="shared" si="125"/>
        <v>D+</v>
      </c>
      <c r="W202" s="1408" t="str">
        <f t="shared" si="126"/>
        <v>0</v>
      </c>
      <c r="X202" s="1409"/>
      <c r="Y202" s="1393"/>
      <c r="Z202" s="1394"/>
      <c r="AA202" s="1394"/>
      <c r="AB202" s="1394"/>
      <c r="AC202" s="1394"/>
      <c r="AD202" s="1394"/>
      <c r="AE202" s="1394"/>
      <c r="AF202" s="1394"/>
      <c r="AG202" s="1394"/>
      <c r="AH202" s="1394"/>
      <c r="AI202" s="1394"/>
      <c r="AJ202" s="1395"/>
      <c r="AK202" s="1395"/>
      <c r="AL202" s="1395"/>
      <c r="AM202" s="1395"/>
      <c r="AN202" s="1395"/>
      <c r="AO202" s="1395"/>
      <c r="AP202" s="1395"/>
      <c r="AQ202" s="1395"/>
      <c r="AR202" s="1395"/>
      <c r="AS202" s="1395"/>
      <c r="AT202" s="1396"/>
      <c r="AU202" s="1413"/>
      <c r="AV202" s="1414"/>
    </row>
    <row r="203" spans="1:48" ht="20.100000000000001" customHeight="1" x14ac:dyDescent="0.25">
      <c r="A203" s="360"/>
      <c r="B203" s="1387"/>
      <c r="C203" s="1388"/>
      <c r="D203" s="1166" t="s">
        <v>186</v>
      </c>
      <c r="E203" s="1493"/>
      <c r="F203" s="1493"/>
      <c r="G203" s="1493"/>
      <c r="H203" s="2040">
        <v>0</v>
      </c>
      <c r="I203" s="2040">
        <v>0</v>
      </c>
      <c r="J203" s="2040">
        <v>0</v>
      </c>
      <c r="K203" s="1493"/>
      <c r="L203" s="1493"/>
      <c r="M203" s="1493"/>
      <c r="N203" s="2039"/>
      <c r="O203" s="2039"/>
      <c r="P203" s="2039"/>
      <c r="Q203" s="2028">
        <f t="shared" si="122"/>
        <v>0</v>
      </c>
      <c r="R203" s="2026">
        <f t="shared" si="120"/>
        <v>0</v>
      </c>
      <c r="S203" s="2029">
        <f t="shared" si="121"/>
        <v>0</v>
      </c>
      <c r="T203" s="853">
        <f t="shared" si="123"/>
        <v>0</v>
      </c>
      <c r="U203" s="1408" t="str">
        <f t="shared" si="124"/>
        <v>1.33</v>
      </c>
      <c r="V203" s="1408" t="str">
        <f t="shared" si="125"/>
        <v>D+</v>
      </c>
      <c r="W203" s="1408" t="str">
        <f t="shared" si="126"/>
        <v>0</v>
      </c>
      <c r="X203" s="1409"/>
      <c r="Y203" s="1393"/>
      <c r="Z203" s="1394"/>
      <c r="AA203" s="1394"/>
      <c r="AB203" s="1394"/>
      <c r="AC203" s="1394"/>
      <c r="AD203" s="1394"/>
      <c r="AE203" s="1394"/>
      <c r="AF203" s="1394"/>
      <c r="AG203" s="1394"/>
      <c r="AH203" s="1394"/>
      <c r="AI203" s="1394"/>
      <c r="AJ203" s="1395"/>
      <c r="AK203" s="1395"/>
      <c r="AL203" s="1395"/>
      <c r="AM203" s="1395"/>
      <c r="AN203" s="1395"/>
      <c r="AO203" s="1395"/>
      <c r="AP203" s="1395"/>
      <c r="AQ203" s="1395"/>
      <c r="AR203" s="1395"/>
      <c r="AS203" s="1395"/>
      <c r="AT203" s="1396"/>
      <c r="AU203" s="1413"/>
      <c r="AV203" s="1414"/>
    </row>
    <row r="204" spans="1:48" ht="20.100000000000001" customHeight="1" x14ac:dyDescent="0.25">
      <c r="A204" s="360"/>
      <c r="B204" s="1387"/>
      <c r="C204" s="1388"/>
      <c r="D204" s="1166" t="s">
        <v>187</v>
      </c>
      <c r="E204" s="1385"/>
      <c r="F204" s="1385"/>
      <c r="G204" s="1385"/>
      <c r="H204" s="2048"/>
      <c r="I204" s="2048"/>
      <c r="J204" s="2048"/>
      <c r="K204" s="1385">
        <v>0</v>
      </c>
      <c r="L204" s="1385">
        <v>0</v>
      </c>
      <c r="M204" s="1385">
        <v>0</v>
      </c>
      <c r="N204" s="2049"/>
      <c r="O204" s="2049"/>
      <c r="P204" s="2049"/>
      <c r="Q204" s="2028">
        <f t="shared" si="122"/>
        <v>0</v>
      </c>
      <c r="R204" s="2026">
        <f t="shared" si="120"/>
        <v>0</v>
      </c>
      <c r="S204" s="2029">
        <f t="shared" si="121"/>
        <v>0</v>
      </c>
      <c r="T204" s="853">
        <f t="shared" si="123"/>
        <v>0</v>
      </c>
      <c r="U204" s="1408" t="str">
        <f t="shared" si="124"/>
        <v>1.33</v>
      </c>
      <c r="V204" s="1408" t="str">
        <f t="shared" si="125"/>
        <v>D+</v>
      </c>
      <c r="W204" s="1408" t="str">
        <f t="shared" si="126"/>
        <v>0</v>
      </c>
      <c r="X204" s="1409"/>
      <c r="Y204" s="1393"/>
      <c r="Z204" s="1394"/>
      <c r="AA204" s="1394"/>
      <c r="AB204" s="1394"/>
      <c r="AC204" s="1394"/>
      <c r="AD204" s="1394"/>
      <c r="AE204" s="1394"/>
      <c r="AF204" s="1394"/>
      <c r="AG204" s="1394"/>
      <c r="AH204" s="1394"/>
      <c r="AI204" s="1394"/>
      <c r="AJ204" s="1395"/>
      <c r="AK204" s="1395"/>
      <c r="AL204" s="1395"/>
      <c r="AM204" s="1395"/>
      <c r="AN204" s="1395"/>
      <c r="AO204" s="1395"/>
      <c r="AP204" s="1395"/>
      <c r="AQ204" s="1395"/>
      <c r="AR204" s="1395"/>
      <c r="AS204" s="1395"/>
      <c r="AT204" s="1396"/>
      <c r="AU204" s="1413"/>
      <c r="AV204" s="1414"/>
    </row>
    <row r="205" spans="1:48" ht="20.100000000000001" customHeight="1" x14ac:dyDescent="0.25">
      <c r="A205" s="360"/>
      <c r="B205" s="1387"/>
      <c r="C205" s="1388"/>
      <c r="D205" s="1166" t="s">
        <v>17</v>
      </c>
      <c r="E205" s="1385">
        <v>0</v>
      </c>
      <c r="F205" s="1385">
        <v>0</v>
      </c>
      <c r="G205" s="1385">
        <v>0</v>
      </c>
      <c r="H205" s="2048">
        <v>0</v>
      </c>
      <c r="I205" s="2048">
        <v>0</v>
      </c>
      <c r="J205" s="2048">
        <v>0</v>
      </c>
      <c r="K205" s="1385"/>
      <c r="L205" s="1385"/>
      <c r="M205" s="1385"/>
      <c r="N205" s="2049"/>
      <c r="O205" s="2049"/>
      <c r="P205" s="2049"/>
      <c r="Q205" s="2028">
        <f t="shared" si="122"/>
        <v>0</v>
      </c>
      <c r="R205" s="2026">
        <f t="shared" si="120"/>
        <v>0</v>
      </c>
      <c r="S205" s="2029">
        <f t="shared" si="121"/>
        <v>0</v>
      </c>
      <c r="T205" s="853">
        <f t="shared" si="123"/>
        <v>0</v>
      </c>
      <c r="U205" s="1408" t="str">
        <f t="shared" si="124"/>
        <v>1.33</v>
      </c>
      <c r="V205" s="1408" t="str">
        <f t="shared" si="125"/>
        <v>D+</v>
      </c>
      <c r="W205" s="1408" t="str">
        <f t="shared" si="126"/>
        <v>0</v>
      </c>
      <c r="X205" s="1409"/>
      <c r="Y205" s="1393"/>
      <c r="Z205" s="1394"/>
      <c r="AA205" s="1394"/>
      <c r="AB205" s="1394"/>
      <c r="AC205" s="1394"/>
      <c r="AD205" s="1394"/>
      <c r="AE205" s="1394"/>
      <c r="AF205" s="1394"/>
      <c r="AG205" s="1394"/>
      <c r="AH205" s="1394"/>
      <c r="AI205" s="1394"/>
      <c r="AJ205" s="1395"/>
      <c r="AK205" s="1395"/>
      <c r="AL205" s="1395"/>
      <c r="AM205" s="1395"/>
      <c r="AN205" s="1395"/>
      <c r="AO205" s="1395"/>
      <c r="AP205" s="1395"/>
      <c r="AQ205" s="1395"/>
      <c r="AR205" s="1395"/>
      <c r="AS205" s="1395"/>
      <c r="AT205" s="1396"/>
      <c r="AU205" s="1413"/>
      <c r="AV205" s="1414"/>
    </row>
    <row r="206" spans="1:48" ht="20.100000000000001" customHeight="1" x14ac:dyDescent="0.25">
      <c r="A206" s="360"/>
      <c r="B206" s="1387"/>
      <c r="C206" s="1388"/>
      <c r="D206" s="1166" t="s">
        <v>188</v>
      </c>
      <c r="E206" s="1385"/>
      <c r="F206" s="1385"/>
      <c r="G206" s="1385"/>
      <c r="H206" s="2048">
        <v>0</v>
      </c>
      <c r="I206" s="2048">
        <v>0</v>
      </c>
      <c r="J206" s="2048">
        <v>0</v>
      </c>
      <c r="K206" s="1385"/>
      <c r="L206" s="1385"/>
      <c r="M206" s="1385"/>
      <c r="N206" s="2049"/>
      <c r="O206" s="2049"/>
      <c r="P206" s="2049"/>
      <c r="Q206" s="2028">
        <f t="shared" si="122"/>
        <v>0</v>
      </c>
      <c r="R206" s="2026">
        <f t="shared" si="120"/>
        <v>0</v>
      </c>
      <c r="S206" s="2029">
        <f t="shared" si="121"/>
        <v>0</v>
      </c>
      <c r="T206" s="853">
        <f t="shared" si="123"/>
        <v>0</v>
      </c>
      <c r="U206" s="1408" t="str">
        <f t="shared" si="124"/>
        <v>1.33</v>
      </c>
      <c r="V206" s="1408" t="str">
        <f t="shared" si="125"/>
        <v>D+</v>
      </c>
      <c r="W206" s="1408" t="str">
        <f t="shared" si="126"/>
        <v>0</v>
      </c>
      <c r="X206" s="1409"/>
      <c r="Y206" s="1393"/>
      <c r="Z206" s="1394"/>
      <c r="AA206" s="1394"/>
      <c r="AB206" s="1394"/>
      <c r="AC206" s="1394"/>
      <c r="AD206" s="1394"/>
      <c r="AE206" s="1394"/>
      <c r="AF206" s="1394"/>
      <c r="AG206" s="1394"/>
      <c r="AH206" s="1394"/>
      <c r="AI206" s="1394"/>
      <c r="AJ206" s="1395"/>
      <c r="AK206" s="1395"/>
      <c r="AL206" s="1395"/>
      <c r="AM206" s="1395"/>
      <c r="AN206" s="1395"/>
      <c r="AO206" s="1395"/>
      <c r="AP206" s="1395"/>
      <c r="AQ206" s="1395"/>
      <c r="AR206" s="1395"/>
      <c r="AS206" s="1395"/>
      <c r="AT206" s="1396"/>
      <c r="AU206" s="1413"/>
      <c r="AV206" s="1414"/>
    </row>
    <row r="207" spans="1:48" ht="20.100000000000001" customHeight="1" x14ac:dyDescent="0.25">
      <c r="A207" s="360"/>
      <c r="B207" s="1387"/>
      <c r="C207" s="1388"/>
      <c r="D207" s="1166" t="s">
        <v>569</v>
      </c>
      <c r="E207" s="1385"/>
      <c r="F207" s="1385"/>
      <c r="G207" s="1385"/>
      <c r="H207" s="2048"/>
      <c r="I207" s="2048"/>
      <c r="J207" s="2048"/>
      <c r="K207" s="1385">
        <v>0</v>
      </c>
      <c r="L207" s="1385">
        <v>0</v>
      </c>
      <c r="M207" s="1385">
        <v>0</v>
      </c>
      <c r="N207" s="2049"/>
      <c r="O207" s="2049"/>
      <c r="P207" s="2049"/>
      <c r="Q207" s="2028">
        <f t="shared" si="122"/>
        <v>0</v>
      </c>
      <c r="R207" s="2026">
        <f t="shared" si="120"/>
        <v>0</v>
      </c>
      <c r="S207" s="2029">
        <f t="shared" si="121"/>
        <v>0</v>
      </c>
      <c r="T207" s="853">
        <f t="shared" si="123"/>
        <v>0</v>
      </c>
      <c r="U207" s="1408" t="str">
        <f t="shared" si="124"/>
        <v>1.33</v>
      </c>
      <c r="V207" s="1408" t="str">
        <f t="shared" si="125"/>
        <v>D+</v>
      </c>
      <c r="W207" s="1408" t="str">
        <f t="shared" si="126"/>
        <v>0</v>
      </c>
      <c r="X207" s="1409"/>
      <c r="Y207" s="1393"/>
      <c r="Z207" s="1394"/>
      <c r="AA207" s="1394"/>
      <c r="AB207" s="1394"/>
      <c r="AC207" s="1394"/>
      <c r="AD207" s="1394"/>
      <c r="AE207" s="1394"/>
      <c r="AF207" s="1394"/>
      <c r="AG207" s="1394"/>
      <c r="AH207" s="1394"/>
      <c r="AI207" s="1394"/>
      <c r="AJ207" s="1395"/>
      <c r="AK207" s="1395"/>
      <c r="AL207" s="1395"/>
      <c r="AM207" s="1395"/>
      <c r="AN207" s="1395"/>
      <c r="AO207" s="1395"/>
      <c r="AP207" s="1395"/>
      <c r="AQ207" s="1395"/>
      <c r="AR207" s="1395"/>
      <c r="AS207" s="1395"/>
      <c r="AT207" s="1396"/>
      <c r="AU207" s="1413"/>
      <c r="AV207" s="1414"/>
    </row>
    <row r="208" spans="1:48" ht="20.100000000000001" customHeight="1" x14ac:dyDescent="0.25">
      <c r="A208" s="360"/>
      <c r="B208" s="1387"/>
      <c r="C208" s="1388"/>
      <c r="D208" s="1166" t="s">
        <v>209</v>
      </c>
      <c r="E208" s="1385"/>
      <c r="F208" s="1385"/>
      <c r="G208" s="1385"/>
      <c r="H208" s="2048"/>
      <c r="I208" s="2048"/>
      <c r="J208" s="2048"/>
      <c r="K208" s="1385"/>
      <c r="L208" s="1385"/>
      <c r="M208" s="1385"/>
      <c r="N208" s="2049">
        <v>0</v>
      </c>
      <c r="O208" s="2049">
        <v>0</v>
      </c>
      <c r="P208" s="2049">
        <v>0</v>
      </c>
      <c r="Q208" s="2028">
        <f t="shared" si="122"/>
        <v>0</v>
      </c>
      <c r="R208" s="2026">
        <f t="shared" si="120"/>
        <v>0</v>
      </c>
      <c r="S208" s="2029">
        <f t="shared" si="121"/>
        <v>0</v>
      </c>
      <c r="T208" s="853">
        <f t="shared" si="123"/>
        <v>0</v>
      </c>
      <c r="U208" s="1408" t="str">
        <f t="shared" si="124"/>
        <v>1.33</v>
      </c>
      <c r="V208" s="1408" t="str">
        <f t="shared" si="125"/>
        <v>D+</v>
      </c>
      <c r="W208" s="1408" t="str">
        <f t="shared" si="126"/>
        <v>0</v>
      </c>
      <c r="X208" s="1409"/>
      <c r="Y208" s="1393"/>
      <c r="Z208" s="1394"/>
      <c r="AA208" s="1394"/>
      <c r="AB208" s="1394"/>
      <c r="AC208" s="1394"/>
      <c r="AD208" s="1394"/>
      <c r="AE208" s="1394"/>
      <c r="AF208" s="1394"/>
      <c r="AG208" s="1394"/>
      <c r="AH208" s="1394"/>
      <c r="AI208" s="1394"/>
      <c r="AJ208" s="1395"/>
      <c r="AK208" s="1395"/>
      <c r="AL208" s="1395"/>
      <c r="AM208" s="1395"/>
      <c r="AN208" s="1395"/>
      <c r="AO208" s="1395"/>
      <c r="AP208" s="1395"/>
      <c r="AQ208" s="1395"/>
      <c r="AR208" s="1395"/>
      <c r="AS208" s="1395"/>
      <c r="AT208" s="1396"/>
      <c r="AU208" s="1413"/>
      <c r="AV208" s="1414"/>
    </row>
    <row r="209" spans="1:48" ht="20.100000000000001" customHeight="1" x14ac:dyDescent="0.25">
      <c r="A209" s="360"/>
      <c r="B209" s="1387"/>
      <c r="C209" s="1388"/>
      <c r="D209" s="1166" t="s">
        <v>210</v>
      </c>
      <c r="E209" s="1385"/>
      <c r="F209" s="1385"/>
      <c r="G209" s="1385"/>
      <c r="H209" s="2048"/>
      <c r="I209" s="2048"/>
      <c r="J209" s="2048"/>
      <c r="K209" s="1385"/>
      <c r="L209" s="1385"/>
      <c r="M209" s="1385"/>
      <c r="N209" s="2049">
        <v>0</v>
      </c>
      <c r="O209" s="2049">
        <v>0</v>
      </c>
      <c r="P209" s="2049">
        <v>0</v>
      </c>
      <c r="Q209" s="2028">
        <f t="shared" si="122"/>
        <v>0</v>
      </c>
      <c r="R209" s="2026">
        <f t="shared" si="120"/>
        <v>0</v>
      </c>
      <c r="S209" s="2029">
        <f t="shared" si="121"/>
        <v>0</v>
      </c>
      <c r="T209" s="853">
        <f t="shared" si="123"/>
        <v>0</v>
      </c>
      <c r="U209" s="1408" t="str">
        <f t="shared" si="124"/>
        <v>1.33</v>
      </c>
      <c r="V209" s="1408" t="str">
        <f t="shared" si="125"/>
        <v>D+</v>
      </c>
      <c r="W209" s="1408" t="str">
        <f t="shared" si="126"/>
        <v>0</v>
      </c>
      <c r="X209" s="1409"/>
      <c r="Y209" s="1397"/>
      <c r="Z209" s="1398"/>
      <c r="AA209" s="1398"/>
      <c r="AB209" s="1398"/>
      <c r="AC209" s="1398"/>
      <c r="AD209" s="1398"/>
      <c r="AE209" s="1398"/>
      <c r="AF209" s="1398"/>
      <c r="AG209" s="1398"/>
      <c r="AH209" s="1398"/>
      <c r="AI209" s="1398"/>
      <c r="AJ209" s="1399"/>
      <c r="AK209" s="1399"/>
      <c r="AL209" s="1399"/>
      <c r="AM209" s="1399"/>
      <c r="AN209" s="1399"/>
      <c r="AO209" s="1399"/>
      <c r="AP209" s="1399"/>
      <c r="AQ209" s="1399"/>
      <c r="AR209" s="1399"/>
      <c r="AS209" s="1399"/>
      <c r="AT209" s="1400"/>
      <c r="AU209" s="1415"/>
      <c r="AV209" s="1416"/>
    </row>
    <row r="210" spans="1:48" ht="20.100000000000001" customHeight="1" x14ac:dyDescent="0.25">
      <c r="A210" s="727"/>
      <c r="B210" s="1406">
        <v>17</v>
      </c>
      <c r="C210" s="1407"/>
      <c r="D210" s="1004"/>
      <c r="E210" s="2780"/>
      <c r="F210" s="2781"/>
      <c r="G210" s="2781"/>
      <c r="H210" s="2781"/>
      <c r="I210" s="2046"/>
      <c r="J210" s="2046"/>
      <c r="K210" s="2046"/>
      <c r="L210" s="2046"/>
      <c r="M210" s="2046"/>
      <c r="N210" s="2046"/>
      <c r="O210" s="2046"/>
      <c r="P210" s="2046"/>
      <c r="Q210" s="2046"/>
      <c r="R210" s="2046"/>
      <c r="S210" s="2046"/>
      <c r="T210" s="2044">
        <f>IFERROR(AVERAGE(T199:T209),"  ")</f>
        <v>0</v>
      </c>
      <c r="U210" s="2045" t="str">
        <f>IF(X210&gt;85,("4"),IF(X210&gt;80,("3.66"),IF(X210&gt;75,("3.33"),IF(X210&gt;70,("3.00"),IF(X210&gt;65,("2.66"),IF(X210&gt;60,("2.33"),IF(X210&gt;55,("2"),IF(X210&gt;50,("1.66"),"1.33"))))))))</f>
        <v>1.33</v>
      </c>
      <c r="V210" s="2045" t="str">
        <f>IF(X210&gt;85,("A"),IF(X210&gt;80,("A-"),IF(X210&gt;75,("B+"),IF(X210&gt;70,("B"),IF(X210&gt;65,("B-"),IF(X210&gt;60,("C+"),IF(X210&gt;55,("C"),IF(X210&gt;50,("C-"),"D+"))))))))</f>
        <v>D+</v>
      </c>
      <c r="W210" s="2045"/>
      <c r="X210" s="888">
        <f>MAX(T199:T209)</f>
        <v>0</v>
      </c>
      <c r="Y210" s="1403"/>
      <c r="Z210" s="1404"/>
      <c r="AA210" s="1404"/>
      <c r="AB210" s="1404"/>
      <c r="AC210" s="1404"/>
      <c r="AD210" s="1404"/>
      <c r="AE210" s="1404"/>
      <c r="AF210" s="1404"/>
      <c r="AG210" s="1404"/>
      <c r="AH210" s="1404"/>
      <c r="AI210" s="1404"/>
      <c r="AJ210" s="1404"/>
      <c r="AK210" s="1404"/>
      <c r="AL210" s="1404"/>
      <c r="AM210" s="1404"/>
      <c r="AN210" s="1404"/>
      <c r="AO210" s="1404"/>
      <c r="AP210" s="1404"/>
      <c r="AQ210" s="1404"/>
      <c r="AR210" s="1404"/>
      <c r="AS210" s="1404"/>
      <c r="AT210" s="1405"/>
      <c r="AU210" s="1257"/>
      <c r="AV210" s="1258"/>
    </row>
    <row r="211" spans="1:48" ht="20.100000000000001" customHeight="1" x14ac:dyDescent="0.25">
      <c r="A211" s="724">
        <v>18</v>
      </c>
      <c r="B211" s="1383"/>
      <c r="C211" s="1384" t="str">
        <f>VLOOKUP(A211,data_siswa,4,FALSE)</f>
        <v>Nayla Annora Nobel W</v>
      </c>
      <c r="D211" s="1166" t="s">
        <v>154</v>
      </c>
      <c r="E211" s="2050">
        <v>0</v>
      </c>
      <c r="F211" s="2050">
        <v>0</v>
      </c>
      <c r="G211" s="2050">
        <v>0</v>
      </c>
      <c r="H211" s="2051"/>
      <c r="I211" s="2051"/>
      <c r="J211" s="2051"/>
      <c r="K211" s="2050"/>
      <c r="L211" s="2050"/>
      <c r="M211" s="2050"/>
      <c r="N211" s="2052"/>
      <c r="O211" s="2052"/>
      <c r="P211" s="2052"/>
      <c r="Q211" s="2028">
        <f>MAX(E211,H211,K211,N211)</f>
        <v>0</v>
      </c>
      <c r="R211" s="2026">
        <f t="shared" ref="R211:R221" si="127">MAX(F211,I211,L211,O211)</f>
        <v>0</v>
      </c>
      <c r="S211" s="2029">
        <f t="shared" ref="S211:S221" si="128">MAX(G211,J211,M211,P211)</f>
        <v>0</v>
      </c>
      <c r="T211" s="853">
        <f>IFERROR(AVERAGE(Q211:S211),"")</f>
        <v>0</v>
      </c>
      <c r="U211" s="1408" t="str">
        <f>IF(T211&gt;85,("4"),IF(T211&gt;80,("3.66"),IF(T211&gt;75,("3.33"),IF(T211&gt;70,("3.00"),IF(T211&gt;65,("2.66"),IF(T211&gt;60,("2.33"),IF(T211&gt;55,("2"),IF(T211&gt;50,("1.66"),"1.33"))))))))</f>
        <v>1.33</v>
      </c>
      <c r="V211" s="1408" t="str">
        <f>IF(T211&gt;85,("A"),IF(T211&gt;80,("A-"),IF(T211&gt;75,("B+"),IF(T211&gt;70,("B"),IF(T211&gt;65,("B-"),IF(T211&gt;60,("C+"),IF(T211&gt;55,("C"),IF(T211&gt;50,("C-"),"D+"))))))))</f>
        <v>D+</v>
      </c>
      <c r="W211" s="1408" t="str">
        <f>IF(T211&gt;80,("SB"),IF(T211&gt;65,("B"),IF(T211&gt;50,("C"),IF(T211&gt;0,("K"),"0"))))</f>
        <v>0</v>
      </c>
      <c r="X211" s="1408"/>
      <c r="Y211" s="749"/>
      <c r="Z211" s="749"/>
      <c r="AA211" s="749"/>
      <c r="AB211" s="749"/>
      <c r="AC211" s="749"/>
      <c r="AD211" s="749"/>
      <c r="AE211" s="749"/>
      <c r="AF211" s="749"/>
      <c r="AG211" s="749"/>
      <c r="AH211" s="749"/>
      <c r="AI211" s="749"/>
      <c r="AJ211" s="1386"/>
      <c r="AK211" s="1386"/>
      <c r="AL211" s="1386"/>
      <c r="AM211" s="1386"/>
      <c r="AN211" s="1386"/>
      <c r="AO211" s="1386"/>
      <c r="AP211" s="1386"/>
      <c r="AQ211" s="1386"/>
      <c r="AR211" s="1386"/>
      <c r="AS211" s="1386"/>
      <c r="AT211" s="1386"/>
      <c r="AU211" s="1057">
        <f>T222</f>
        <v>0</v>
      </c>
      <c r="AV211" s="1194" t="str">
        <f>IF(AU211&gt;85,("A"),IF(AU211&gt;80,("A-"),IF(AU211&gt;75,("B+"),IF(AU211&gt;70,("B"),IF(AU211&gt;65,("B-"),IF(AU211&gt;60,("C+"),IF(AU211&gt;55,("C"),IF(AU211&gt;50,("C-"),"D+"))))))))</f>
        <v>D+</v>
      </c>
    </row>
    <row r="212" spans="1:48" ht="20.100000000000001" customHeight="1" x14ac:dyDescent="0.25">
      <c r="A212" s="360"/>
      <c r="B212" s="1387"/>
      <c r="C212" s="1388"/>
      <c r="D212" s="1166" t="s">
        <v>155</v>
      </c>
      <c r="E212" s="1493"/>
      <c r="F212" s="1493"/>
      <c r="G212" s="1493"/>
      <c r="H212" s="2040"/>
      <c r="I212" s="2040"/>
      <c r="J212" s="2040"/>
      <c r="K212" s="1493"/>
      <c r="L212" s="1493"/>
      <c r="M212" s="1493"/>
      <c r="N212" s="2039">
        <v>0</v>
      </c>
      <c r="O212" s="2039">
        <v>0</v>
      </c>
      <c r="P212" s="2039">
        <v>0</v>
      </c>
      <c r="Q212" s="2028">
        <f t="shared" ref="Q212:Q221" si="129">MAX(E212,H212,K212,N212)</f>
        <v>0</v>
      </c>
      <c r="R212" s="2026">
        <f t="shared" si="127"/>
        <v>0</v>
      </c>
      <c r="S212" s="2029">
        <f t="shared" si="128"/>
        <v>0</v>
      </c>
      <c r="T212" s="853">
        <f t="shared" ref="T212:T221" si="130">IFERROR(AVERAGE(Q212:S212),"")</f>
        <v>0</v>
      </c>
      <c r="U212" s="1408" t="str">
        <f t="shared" ref="U212:U221" si="131">IF(T212&gt;85,("4"),IF(T212&gt;80,("3.66"),IF(T212&gt;75,("3.33"),IF(T212&gt;70,("3.00"),IF(T212&gt;65,("2.66"),IF(T212&gt;60,("2.33"),IF(T212&gt;55,("2"),IF(T212&gt;50,("1.66"),"1.33"))))))))</f>
        <v>1.33</v>
      </c>
      <c r="V212" s="1408" t="str">
        <f t="shared" ref="V212:V221" si="132">IF(T212&gt;85,("A"),IF(T212&gt;80,("A-"),IF(T212&gt;75,("B+"),IF(T212&gt;70,("B"),IF(T212&gt;65,("B-"),IF(T212&gt;60,("C+"),IF(T212&gt;55,("C"),IF(T212&gt;50,("C-"),"D+"))))))))</f>
        <v>D+</v>
      </c>
      <c r="W212" s="1408" t="str">
        <f t="shared" ref="W212:W221" si="133">IF(T212&gt;80,("SB"),IF(T212&gt;65,("B"),IF(T212&gt;50,("C"),IF(T212&gt;0,("K"),"0"))))</f>
        <v>0</v>
      </c>
      <c r="X212" s="1409"/>
      <c r="Y212" s="1389"/>
      <c r="Z212" s="1390"/>
      <c r="AA212" s="1390"/>
      <c r="AB212" s="1390"/>
      <c r="AC212" s="1390"/>
      <c r="AD212" s="1390"/>
      <c r="AE212" s="1390"/>
      <c r="AF212" s="1390"/>
      <c r="AG212" s="1390"/>
      <c r="AH212" s="1390"/>
      <c r="AI212" s="1390"/>
      <c r="AJ212" s="1391"/>
      <c r="AK212" s="1391"/>
      <c r="AL212" s="1391"/>
      <c r="AM212" s="1391"/>
      <c r="AN212" s="1391"/>
      <c r="AO212" s="1391"/>
      <c r="AP212" s="1391"/>
      <c r="AQ212" s="1391"/>
      <c r="AR212" s="1391"/>
      <c r="AS212" s="1391"/>
      <c r="AT212" s="1392"/>
      <c r="AU212" s="1411"/>
      <c r="AV212" s="1412"/>
    </row>
    <row r="213" spans="1:48" ht="20.100000000000001" customHeight="1" x14ac:dyDescent="0.25">
      <c r="A213" s="360"/>
      <c r="B213" s="1387"/>
      <c r="C213" s="1388"/>
      <c r="D213" s="1166" t="s">
        <v>16</v>
      </c>
      <c r="E213" s="1493"/>
      <c r="F213" s="1493"/>
      <c r="G213" s="1493"/>
      <c r="H213" s="2040">
        <v>0</v>
      </c>
      <c r="I213" s="2040">
        <v>0</v>
      </c>
      <c r="J213" s="2040">
        <v>0</v>
      </c>
      <c r="K213" s="1493"/>
      <c r="L213" s="1493"/>
      <c r="M213" s="1493"/>
      <c r="N213" s="2052"/>
      <c r="O213" s="2052"/>
      <c r="P213" s="2052"/>
      <c r="Q213" s="2028">
        <f t="shared" si="129"/>
        <v>0</v>
      </c>
      <c r="R213" s="2026">
        <f t="shared" si="127"/>
        <v>0</v>
      </c>
      <c r="S213" s="2029">
        <f t="shared" si="128"/>
        <v>0</v>
      </c>
      <c r="T213" s="853">
        <f t="shared" si="130"/>
        <v>0</v>
      </c>
      <c r="U213" s="1408" t="str">
        <f t="shared" si="131"/>
        <v>1.33</v>
      </c>
      <c r="V213" s="1408" t="str">
        <f t="shared" si="132"/>
        <v>D+</v>
      </c>
      <c r="W213" s="1408" t="str">
        <f t="shared" si="133"/>
        <v>0</v>
      </c>
      <c r="X213" s="1409"/>
      <c r="Y213" s="1393"/>
      <c r="Z213" s="1394"/>
      <c r="AA213" s="1394"/>
      <c r="AB213" s="1394"/>
      <c r="AC213" s="1394"/>
      <c r="AD213" s="1394"/>
      <c r="AE213" s="1394"/>
      <c r="AF213" s="1394"/>
      <c r="AG213" s="1394"/>
      <c r="AH213" s="1394"/>
      <c r="AI213" s="1394"/>
      <c r="AJ213" s="1395"/>
      <c r="AK213" s="1395"/>
      <c r="AL213" s="1395"/>
      <c r="AM213" s="1395"/>
      <c r="AN213" s="1395"/>
      <c r="AO213" s="1395"/>
      <c r="AP213" s="1395"/>
      <c r="AQ213" s="1395"/>
      <c r="AR213" s="1395"/>
      <c r="AS213" s="1395"/>
      <c r="AT213" s="1396"/>
      <c r="AU213" s="1413"/>
      <c r="AV213" s="1414"/>
    </row>
    <row r="214" spans="1:48" ht="20.100000000000001" customHeight="1" x14ac:dyDescent="0.25">
      <c r="A214" s="360"/>
      <c r="B214" s="1387"/>
      <c r="C214" s="1388"/>
      <c r="D214" s="1166" t="s">
        <v>189</v>
      </c>
      <c r="E214" s="1493"/>
      <c r="F214" s="1493"/>
      <c r="G214" s="1493"/>
      <c r="H214" s="2040">
        <v>0</v>
      </c>
      <c r="I214" s="2040">
        <v>0</v>
      </c>
      <c r="J214" s="2040">
        <v>0</v>
      </c>
      <c r="K214" s="1493"/>
      <c r="L214" s="1493"/>
      <c r="M214" s="1493"/>
      <c r="N214" s="2039"/>
      <c r="O214" s="2039"/>
      <c r="P214" s="2039"/>
      <c r="Q214" s="2028">
        <f t="shared" si="129"/>
        <v>0</v>
      </c>
      <c r="R214" s="2026">
        <f t="shared" si="127"/>
        <v>0</v>
      </c>
      <c r="S214" s="2029">
        <f t="shared" si="128"/>
        <v>0</v>
      </c>
      <c r="T214" s="853">
        <f t="shared" si="130"/>
        <v>0</v>
      </c>
      <c r="U214" s="1408" t="str">
        <f t="shared" si="131"/>
        <v>1.33</v>
      </c>
      <c r="V214" s="1408" t="str">
        <f t="shared" si="132"/>
        <v>D+</v>
      </c>
      <c r="W214" s="1408" t="str">
        <f t="shared" si="133"/>
        <v>0</v>
      </c>
      <c r="X214" s="1409"/>
      <c r="Y214" s="1393"/>
      <c r="Z214" s="1394"/>
      <c r="AA214" s="1394"/>
      <c r="AB214" s="1394"/>
      <c r="AC214" s="1394"/>
      <c r="AD214" s="1394"/>
      <c r="AE214" s="1394"/>
      <c r="AF214" s="1394"/>
      <c r="AG214" s="1394"/>
      <c r="AH214" s="1394"/>
      <c r="AI214" s="1394"/>
      <c r="AJ214" s="1395"/>
      <c r="AK214" s="1395"/>
      <c r="AL214" s="1395"/>
      <c r="AM214" s="1395"/>
      <c r="AN214" s="1395"/>
      <c r="AO214" s="1395"/>
      <c r="AP214" s="1395"/>
      <c r="AQ214" s="1395"/>
      <c r="AR214" s="1395"/>
      <c r="AS214" s="1395"/>
      <c r="AT214" s="1396"/>
      <c r="AU214" s="1413"/>
      <c r="AV214" s="1414"/>
    </row>
    <row r="215" spans="1:48" ht="20.100000000000001" customHeight="1" x14ac:dyDescent="0.25">
      <c r="A215" s="360"/>
      <c r="B215" s="1387"/>
      <c r="C215" s="1388"/>
      <c r="D215" s="1166" t="s">
        <v>186</v>
      </c>
      <c r="E215" s="1493"/>
      <c r="F215" s="1493"/>
      <c r="G215" s="1493"/>
      <c r="H215" s="2040">
        <v>0</v>
      </c>
      <c r="I215" s="2040">
        <v>0</v>
      </c>
      <c r="J215" s="2040">
        <v>0</v>
      </c>
      <c r="K215" s="1493"/>
      <c r="L215" s="1493"/>
      <c r="M215" s="1493"/>
      <c r="N215" s="2039"/>
      <c r="O215" s="2039"/>
      <c r="P215" s="2039"/>
      <c r="Q215" s="2028">
        <f t="shared" si="129"/>
        <v>0</v>
      </c>
      <c r="R215" s="2026">
        <f t="shared" si="127"/>
        <v>0</v>
      </c>
      <c r="S215" s="2029">
        <f t="shared" si="128"/>
        <v>0</v>
      </c>
      <c r="T215" s="853">
        <f t="shared" si="130"/>
        <v>0</v>
      </c>
      <c r="U215" s="1408" t="str">
        <f t="shared" si="131"/>
        <v>1.33</v>
      </c>
      <c r="V215" s="1408" t="str">
        <f t="shared" si="132"/>
        <v>D+</v>
      </c>
      <c r="W215" s="1408" t="str">
        <f t="shared" si="133"/>
        <v>0</v>
      </c>
      <c r="X215" s="1409"/>
      <c r="Y215" s="1393"/>
      <c r="Z215" s="1394"/>
      <c r="AA215" s="1394"/>
      <c r="AB215" s="1394"/>
      <c r="AC215" s="1394"/>
      <c r="AD215" s="1394"/>
      <c r="AE215" s="1394"/>
      <c r="AF215" s="1394"/>
      <c r="AG215" s="1394"/>
      <c r="AH215" s="1394"/>
      <c r="AI215" s="1394"/>
      <c r="AJ215" s="1395"/>
      <c r="AK215" s="1395"/>
      <c r="AL215" s="1395"/>
      <c r="AM215" s="1395"/>
      <c r="AN215" s="1395"/>
      <c r="AO215" s="1395"/>
      <c r="AP215" s="1395"/>
      <c r="AQ215" s="1395"/>
      <c r="AR215" s="1395"/>
      <c r="AS215" s="1395"/>
      <c r="AT215" s="1396"/>
      <c r="AU215" s="1413"/>
      <c r="AV215" s="1414"/>
    </row>
    <row r="216" spans="1:48" ht="20.100000000000001" customHeight="1" x14ac:dyDescent="0.25">
      <c r="A216" s="360"/>
      <c r="B216" s="1387"/>
      <c r="C216" s="1388"/>
      <c r="D216" s="1166" t="s">
        <v>187</v>
      </c>
      <c r="E216" s="1385"/>
      <c r="F216" s="1385"/>
      <c r="G216" s="1385"/>
      <c r="H216" s="2048"/>
      <c r="I216" s="2048"/>
      <c r="J216" s="2048"/>
      <c r="K216" s="1385">
        <v>0</v>
      </c>
      <c r="L216" s="1385">
        <v>0</v>
      </c>
      <c r="M216" s="1385">
        <v>0</v>
      </c>
      <c r="N216" s="2049"/>
      <c r="O216" s="2049"/>
      <c r="P216" s="2049"/>
      <c r="Q216" s="2028">
        <f t="shared" si="129"/>
        <v>0</v>
      </c>
      <c r="R216" s="2026">
        <f t="shared" si="127"/>
        <v>0</v>
      </c>
      <c r="S216" s="2029">
        <f t="shared" si="128"/>
        <v>0</v>
      </c>
      <c r="T216" s="853">
        <f t="shared" si="130"/>
        <v>0</v>
      </c>
      <c r="U216" s="1408" t="str">
        <f t="shared" si="131"/>
        <v>1.33</v>
      </c>
      <c r="V216" s="1408" t="str">
        <f t="shared" si="132"/>
        <v>D+</v>
      </c>
      <c r="W216" s="1408" t="str">
        <f t="shared" si="133"/>
        <v>0</v>
      </c>
      <c r="X216" s="1409"/>
      <c r="Y216" s="1393"/>
      <c r="Z216" s="1394"/>
      <c r="AA216" s="1394"/>
      <c r="AB216" s="1394"/>
      <c r="AC216" s="1394"/>
      <c r="AD216" s="1394"/>
      <c r="AE216" s="1394"/>
      <c r="AF216" s="1394"/>
      <c r="AG216" s="1394"/>
      <c r="AH216" s="1394"/>
      <c r="AI216" s="1394"/>
      <c r="AJ216" s="1395"/>
      <c r="AK216" s="1395"/>
      <c r="AL216" s="1395"/>
      <c r="AM216" s="1395"/>
      <c r="AN216" s="1395"/>
      <c r="AO216" s="1395"/>
      <c r="AP216" s="1395"/>
      <c r="AQ216" s="1395"/>
      <c r="AR216" s="1395"/>
      <c r="AS216" s="1395"/>
      <c r="AT216" s="1396"/>
      <c r="AU216" s="1413"/>
      <c r="AV216" s="1414"/>
    </row>
    <row r="217" spans="1:48" ht="20.100000000000001" customHeight="1" x14ac:dyDescent="0.25">
      <c r="A217" s="360"/>
      <c r="B217" s="1387"/>
      <c r="C217" s="1388"/>
      <c r="D217" s="1166" t="s">
        <v>17</v>
      </c>
      <c r="E217" s="1385">
        <v>0</v>
      </c>
      <c r="F217" s="1385">
        <v>0</v>
      </c>
      <c r="G217" s="1385">
        <v>0</v>
      </c>
      <c r="H217" s="2048">
        <v>0</v>
      </c>
      <c r="I217" s="2048">
        <v>0</v>
      </c>
      <c r="J217" s="2048">
        <v>0</v>
      </c>
      <c r="K217" s="1385"/>
      <c r="L217" s="1385"/>
      <c r="M217" s="1385"/>
      <c r="N217" s="2049"/>
      <c r="O217" s="2049"/>
      <c r="P217" s="2049"/>
      <c r="Q217" s="2028">
        <f t="shared" si="129"/>
        <v>0</v>
      </c>
      <c r="R217" s="2026">
        <f t="shared" si="127"/>
        <v>0</v>
      </c>
      <c r="S217" s="2029">
        <f t="shared" si="128"/>
        <v>0</v>
      </c>
      <c r="T217" s="853">
        <f t="shared" si="130"/>
        <v>0</v>
      </c>
      <c r="U217" s="1408" t="str">
        <f t="shared" si="131"/>
        <v>1.33</v>
      </c>
      <c r="V217" s="1408" t="str">
        <f t="shared" si="132"/>
        <v>D+</v>
      </c>
      <c r="W217" s="1408" t="str">
        <f t="shared" si="133"/>
        <v>0</v>
      </c>
      <c r="X217" s="1409"/>
      <c r="Y217" s="1393"/>
      <c r="Z217" s="1394"/>
      <c r="AA217" s="1394"/>
      <c r="AB217" s="1394"/>
      <c r="AC217" s="1394"/>
      <c r="AD217" s="1394"/>
      <c r="AE217" s="1394"/>
      <c r="AF217" s="1394"/>
      <c r="AG217" s="1394"/>
      <c r="AH217" s="1394"/>
      <c r="AI217" s="1394"/>
      <c r="AJ217" s="1395"/>
      <c r="AK217" s="1395"/>
      <c r="AL217" s="1395"/>
      <c r="AM217" s="1395"/>
      <c r="AN217" s="1395"/>
      <c r="AO217" s="1395"/>
      <c r="AP217" s="1395"/>
      <c r="AQ217" s="1395"/>
      <c r="AR217" s="1395"/>
      <c r="AS217" s="1395"/>
      <c r="AT217" s="1396"/>
      <c r="AU217" s="1413"/>
      <c r="AV217" s="1414"/>
    </row>
    <row r="218" spans="1:48" ht="20.100000000000001" customHeight="1" x14ac:dyDescent="0.25">
      <c r="A218" s="360"/>
      <c r="B218" s="1387"/>
      <c r="C218" s="1388"/>
      <c r="D218" s="1166" t="s">
        <v>188</v>
      </c>
      <c r="E218" s="1385"/>
      <c r="F218" s="1385"/>
      <c r="G218" s="1385"/>
      <c r="H218" s="2048">
        <v>0</v>
      </c>
      <c r="I218" s="2048">
        <v>0</v>
      </c>
      <c r="J218" s="2048">
        <v>0</v>
      </c>
      <c r="K218" s="1385"/>
      <c r="L218" s="1385"/>
      <c r="M218" s="1385"/>
      <c r="N218" s="2049"/>
      <c r="O218" s="2049"/>
      <c r="P218" s="2049"/>
      <c r="Q218" s="2028">
        <f t="shared" si="129"/>
        <v>0</v>
      </c>
      <c r="R218" s="2026">
        <f t="shared" si="127"/>
        <v>0</v>
      </c>
      <c r="S218" s="2029">
        <f t="shared" si="128"/>
        <v>0</v>
      </c>
      <c r="T218" s="853">
        <f t="shared" si="130"/>
        <v>0</v>
      </c>
      <c r="U218" s="1408" t="str">
        <f t="shared" si="131"/>
        <v>1.33</v>
      </c>
      <c r="V218" s="1408" t="str">
        <f t="shared" si="132"/>
        <v>D+</v>
      </c>
      <c r="W218" s="1408" t="str">
        <f t="shared" si="133"/>
        <v>0</v>
      </c>
      <c r="X218" s="1409"/>
      <c r="Y218" s="1393"/>
      <c r="Z218" s="1394"/>
      <c r="AA218" s="1394"/>
      <c r="AB218" s="1394"/>
      <c r="AC218" s="1394"/>
      <c r="AD218" s="1394"/>
      <c r="AE218" s="1394"/>
      <c r="AF218" s="1394"/>
      <c r="AG218" s="1394"/>
      <c r="AH218" s="1394"/>
      <c r="AI218" s="1394"/>
      <c r="AJ218" s="1395"/>
      <c r="AK218" s="1395"/>
      <c r="AL218" s="1395"/>
      <c r="AM218" s="1395"/>
      <c r="AN218" s="1395"/>
      <c r="AO218" s="1395"/>
      <c r="AP218" s="1395"/>
      <c r="AQ218" s="1395"/>
      <c r="AR218" s="1395"/>
      <c r="AS218" s="1395"/>
      <c r="AT218" s="1396"/>
      <c r="AU218" s="1413"/>
      <c r="AV218" s="1414"/>
    </row>
    <row r="219" spans="1:48" ht="20.100000000000001" customHeight="1" x14ac:dyDescent="0.25">
      <c r="A219" s="360"/>
      <c r="B219" s="1387"/>
      <c r="C219" s="1388"/>
      <c r="D219" s="1166" t="s">
        <v>569</v>
      </c>
      <c r="E219" s="1385"/>
      <c r="F219" s="1385"/>
      <c r="G219" s="1385"/>
      <c r="H219" s="2048"/>
      <c r="I219" s="2048"/>
      <c r="J219" s="2048"/>
      <c r="K219" s="1385">
        <v>0</v>
      </c>
      <c r="L219" s="1385">
        <v>0</v>
      </c>
      <c r="M219" s="1385">
        <v>0</v>
      </c>
      <c r="N219" s="2049"/>
      <c r="O219" s="2049"/>
      <c r="P219" s="2049"/>
      <c r="Q219" s="2028">
        <f t="shared" si="129"/>
        <v>0</v>
      </c>
      <c r="R219" s="2026">
        <f t="shared" si="127"/>
        <v>0</v>
      </c>
      <c r="S219" s="2029">
        <f t="shared" si="128"/>
        <v>0</v>
      </c>
      <c r="T219" s="853">
        <f t="shared" si="130"/>
        <v>0</v>
      </c>
      <c r="U219" s="1408" t="str">
        <f t="shared" si="131"/>
        <v>1.33</v>
      </c>
      <c r="V219" s="1408" t="str">
        <f t="shared" si="132"/>
        <v>D+</v>
      </c>
      <c r="W219" s="1408" t="str">
        <f t="shared" si="133"/>
        <v>0</v>
      </c>
      <c r="X219" s="1409"/>
      <c r="Y219" s="1393"/>
      <c r="Z219" s="1394"/>
      <c r="AA219" s="1394"/>
      <c r="AB219" s="1394"/>
      <c r="AC219" s="1394"/>
      <c r="AD219" s="1394"/>
      <c r="AE219" s="1394"/>
      <c r="AF219" s="1394"/>
      <c r="AG219" s="1394"/>
      <c r="AH219" s="1394"/>
      <c r="AI219" s="1394"/>
      <c r="AJ219" s="1395"/>
      <c r="AK219" s="1395"/>
      <c r="AL219" s="1395"/>
      <c r="AM219" s="1395"/>
      <c r="AN219" s="1395"/>
      <c r="AO219" s="1395"/>
      <c r="AP219" s="1395"/>
      <c r="AQ219" s="1395"/>
      <c r="AR219" s="1395"/>
      <c r="AS219" s="1395"/>
      <c r="AT219" s="1396"/>
      <c r="AU219" s="1413"/>
      <c r="AV219" s="1414"/>
    </row>
    <row r="220" spans="1:48" ht="20.100000000000001" customHeight="1" x14ac:dyDescent="0.25">
      <c r="A220" s="360"/>
      <c r="B220" s="1387"/>
      <c r="C220" s="1388"/>
      <c r="D220" s="1166" t="s">
        <v>209</v>
      </c>
      <c r="E220" s="1385"/>
      <c r="F220" s="1385"/>
      <c r="G220" s="1385"/>
      <c r="H220" s="2048"/>
      <c r="I220" s="2048"/>
      <c r="J220" s="2048"/>
      <c r="K220" s="1385"/>
      <c r="L220" s="1385"/>
      <c r="M220" s="1385"/>
      <c r="N220" s="2049">
        <v>0</v>
      </c>
      <c r="O220" s="2049">
        <v>0</v>
      </c>
      <c r="P220" s="2049">
        <v>0</v>
      </c>
      <c r="Q220" s="2028">
        <f t="shared" si="129"/>
        <v>0</v>
      </c>
      <c r="R220" s="2026">
        <f t="shared" si="127"/>
        <v>0</v>
      </c>
      <c r="S220" s="2029">
        <f t="shared" si="128"/>
        <v>0</v>
      </c>
      <c r="T220" s="853">
        <f t="shared" si="130"/>
        <v>0</v>
      </c>
      <c r="U220" s="1408" t="str">
        <f t="shared" si="131"/>
        <v>1.33</v>
      </c>
      <c r="V220" s="1408" t="str">
        <f t="shared" si="132"/>
        <v>D+</v>
      </c>
      <c r="W220" s="1408" t="str">
        <f t="shared" si="133"/>
        <v>0</v>
      </c>
      <c r="X220" s="1409"/>
      <c r="Y220" s="1393"/>
      <c r="Z220" s="1394"/>
      <c r="AA220" s="1394"/>
      <c r="AB220" s="1394"/>
      <c r="AC220" s="1394"/>
      <c r="AD220" s="1394"/>
      <c r="AE220" s="1394"/>
      <c r="AF220" s="1394"/>
      <c r="AG220" s="1394"/>
      <c r="AH220" s="1394"/>
      <c r="AI220" s="1394"/>
      <c r="AJ220" s="1395"/>
      <c r="AK220" s="1395"/>
      <c r="AL220" s="1395"/>
      <c r="AM220" s="1395"/>
      <c r="AN220" s="1395"/>
      <c r="AO220" s="1395"/>
      <c r="AP220" s="1395"/>
      <c r="AQ220" s="1395"/>
      <c r="AR220" s="1395"/>
      <c r="AS220" s="1395"/>
      <c r="AT220" s="1396"/>
      <c r="AU220" s="1413"/>
      <c r="AV220" s="1414"/>
    </row>
    <row r="221" spans="1:48" ht="20.100000000000001" customHeight="1" x14ac:dyDescent="0.25">
      <c r="A221" s="360"/>
      <c r="B221" s="1387"/>
      <c r="C221" s="1388"/>
      <c r="D221" s="1166" t="s">
        <v>210</v>
      </c>
      <c r="E221" s="1385"/>
      <c r="F221" s="1385"/>
      <c r="G221" s="1385"/>
      <c r="H221" s="2048"/>
      <c r="I221" s="2048"/>
      <c r="J221" s="2048"/>
      <c r="K221" s="1385"/>
      <c r="L221" s="1385"/>
      <c r="M221" s="1385"/>
      <c r="N221" s="2049">
        <v>0</v>
      </c>
      <c r="O221" s="2049">
        <v>0</v>
      </c>
      <c r="P221" s="2049">
        <v>0</v>
      </c>
      <c r="Q221" s="2028">
        <f t="shared" si="129"/>
        <v>0</v>
      </c>
      <c r="R221" s="2026">
        <f t="shared" si="127"/>
        <v>0</v>
      </c>
      <c r="S221" s="2029">
        <f t="shared" si="128"/>
        <v>0</v>
      </c>
      <c r="T221" s="853">
        <f t="shared" si="130"/>
        <v>0</v>
      </c>
      <c r="U221" s="1408" t="str">
        <f t="shared" si="131"/>
        <v>1.33</v>
      </c>
      <c r="V221" s="1408" t="str">
        <f t="shared" si="132"/>
        <v>D+</v>
      </c>
      <c r="W221" s="1408" t="str">
        <f t="shared" si="133"/>
        <v>0</v>
      </c>
      <c r="X221" s="1409"/>
      <c r="Y221" s="1397"/>
      <c r="Z221" s="1398"/>
      <c r="AA221" s="1398"/>
      <c r="AB221" s="1398"/>
      <c r="AC221" s="1398"/>
      <c r="AD221" s="1398"/>
      <c r="AE221" s="1398"/>
      <c r="AF221" s="1398"/>
      <c r="AG221" s="1398"/>
      <c r="AH221" s="1398"/>
      <c r="AI221" s="1398"/>
      <c r="AJ221" s="1399"/>
      <c r="AK221" s="1399"/>
      <c r="AL221" s="1399"/>
      <c r="AM221" s="1399"/>
      <c r="AN221" s="1399"/>
      <c r="AO221" s="1399"/>
      <c r="AP221" s="1399"/>
      <c r="AQ221" s="1399"/>
      <c r="AR221" s="1399"/>
      <c r="AS221" s="1399"/>
      <c r="AT221" s="1400"/>
      <c r="AU221" s="1415"/>
      <c r="AV221" s="1416"/>
    </row>
    <row r="222" spans="1:48" ht="20.100000000000001" customHeight="1" x14ac:dyDescent="0.25">
      <c r="A222" s="727"/>
      <c r="B222" s="1406">
        <v>18</v>
      </c>
      <c r="C222" s="1407"/>
      <c r="D222" s="1004"/>
      <c r="E222" s="2780"/>
      <c r="F222" s="2781"/>
      <c r="G222" s="2781"/>
      <c r="H222" s="2781"/>
      <c r="I222" s="2046"/>
      <c r="J222" s="2046"/>
      <c r="K222" s="2046"/>
      <c r="L222" s="2046"/>
      <c r="M222" s="2046"/>
      <c r="N222" s="2046"/>
      <c r="O222" s="2046"/>
      <c r="P222" s="2046"/>
      <c r="Q222" s="2046"/>
      <c r="R222" s="2046"/>
      <c r="S222" s="2046"/>
      <c r="T222" s="2044">
        <f>IFERROR(AVERAGE(T211:T221),"  ")</f>
        <v>0</v>
      </c>
      <c r="U222" s="2045" t="str">
        <f>IF(X222&gt;85,("4"),IF(X222&gt;80,("3.66"),IF(X222&gt;75,("3.33"),IF(X222&gt;70,("3.00"),IF(X222&gt;65,("2.66"),IF(X222&gt;60,("2.33"),IF(X222&gt;55,("2"),IF(X222&gt;50,("1.66"),"1.33"))))))))</f>
        <v>1.33</v>
      </c>
      <c r="V222" s="2045" t="str">
        <f>IF(X222&gt;85,("A"),IF(X222&gt;80,("A-"),IF(X222&gt;75,("B+"),IF(X222&gt;70,("B"),IF(X222&gt;65,("B-"),IF(X222&gt;60,("C+"),IF(X222&gt;55,("C"),IF(X222&gt;50,("C-"),"D+"))))))))</f>
        <v>D+</v>
      </c>
      <c r="W222" s="2045"/>
      <c r="X222" s="888">
        <f>MAX(T211:T221)</f>
        <v>0</v>
      </c>
      <c r="Y222" s="1403"/>
      <c r="Z222" s="1404"/>
      <c r="AA222" s="1404"/>
      <c r="AB222" s="1404"/>
      <c r="AC222" s="1404"/>
      <c r="AD222" s="1404"/>
      <c r="AE222" s="1404"/>
      <c r="AF222" s="1404"/>
      <c r="AG222" s="1404"/>
      <c r="AH222" s="1404"/>
      <c r="AI222" s="1404"/>
      <c r="AJ222" s="1404"/>
      <c r="AK222" s="1404"/>
      <c r="AL222" s="1404"/>
      <c r="AM222" s="1404"/>
      <c r="AN222" s="1404"/>
      <c r="AO222" s="1404"/>
      <c r="AP222" s="1404"/>
      <c r="AQ222" s="1404"/>
      <c r="AR222" s="1404"/>
      <c r="AS222" s="1404"/>
      <c r="AT222" s="1405"/>
      <c r="AU222" s="1257"/>
      <c r="AV222" s="1258"/>
    </row>
    <row r="223" spans="1:48" ht="20.100000000000001" customHeight="1" x14ac:dyDescent="0.25">
      <c r="A223" s="724">
        <v>19</v>
      </c>
      <c r="B223" s="1383"/>
      <c r="C223" s="1384" t="str">
        <f>VLOOKUP(A223,data_siswa,4,FALSE)</f>
        <v>Raihan Danang P</v>
      </c>
      <c r="D223" s="1166" t="s">
        <v>154</v>
      </c>
      <c r="E223" s="2050">
        <v>0</v>
      </c>
      <c r="F223" s="2050">
        <v>0</v>
      </c>
      <c r="G223" s="2050">
        <v>0</v>
      </c>
      <c r="H223" s="2051"/>
      <c r="I223" s="2051"/>
      <c r="J223" s="2051"/>
      <c r="K223" s="2050"/>
      <c r="L223" s="2050"/>
      <c r="M223" s="2050"/>
      <c r="N223" s="2052"/>
      <c r="O223" s="2052"/>
      <c r="P223" s="2052"/>
      <c r="Q223" s="2028">
        <f>MAX(E223,H223,K223,N223)</f>
        <v>0</v>
      </c>
      <c r="R223" s="2026">
        <f t="shared" ref="R223:R233" si="134">MAX(F223,I223,L223,O223)</f>
        <v>0</v>
      </c>
      <c r="S223" s="2029">
        <f t="shared" ref="S223:S233" si="135">MAX(G223,J223,M223,P223)</f>
        <v>0</v>
      </c>
      <c r="T223" s="853">
        <f>IFERROR(AVERAGE(Q223:S223),"")</f>
        <v>0</v>
      </c>
      <c r="U223" s="1408" t="str">
        <f>IF(T223&gt;85,("4"),IF(T223&gt;80,("3.66"),IF(T223&gt;75,("3.33"),IF(T223&gt;70,("3.00"),IF(T223&gt;65,("2.66"),IF(T223&gt;60,("2.33"),IF(T223&gt;55,("2"),IF(T223&gt;50,("1.66"),"1.33"))))))))</f>
        <v>1.33</v>
      </c>
      <c r="V223" s="1408" t="str">
        <f>IF(T223&gt;85,("A"),IF(T223&gt;80,("A-"),IF(T223&gt;75,("B+"),IF(T223&gt;70,("B"),IF(T223&gt;65,("B-"),IF(T223&gt;60,("C+"),IF(T223&gt;55,("C"),IF(T223&gt;50,("C-"),"D+"))))))))</f>
        <v>D+</v>
      </c>
      <c r="W223" s="1408" t="str">
        <f>IF(T223&gt;80,("SB"),IF(T223&gt;65,("B"),IF(T223&gt;50,("C"),IF(T223&gt;0,("K"),"0"))))</f>
        <v>0</v>
      </c>
      <c r="X223" s="1408"/>
      <c r="Y223" s="749"/>
      <c r="Z223" s="749"/>
      <c r="AA223" s="749"/>
      <c r="AB223" s="749"/>
      <c r="AC223" s="749"/>
      <c r="AD223" s="749"/>
      <c r="AE223" s="749"/>
      <c r="AF223" s="749"/>
      <c r="AG223" s="749"/>
      <c r="AH223" s="749"/>
      <c r="AI223" s="749"/>
      <c r="AJ223" s="1386"/>
      <c r="AK223" s="1386"/>
      <c r="AL223" s="1386"/>
      <c r="AM223" s="1386"/>
      <c r="AN223" s="1386"/>
      <c r="AO223" s="1386"/>
      <c r="AP223" s="1386"/>
      <c r="AQ223" s="1386"/>
      <c r="AR223" s="1386"/>
      <c r="AS223" s="1386"/>
      <c r="AT223" s="1386"/>
      <c r="AU223" s="1057">
        <f>T234</f>
        <v>0</v>
      </c>
      <c r="AV223" s="1194" t="str">
        <f>IF(AU223&gt;85,("A"),IF(AU223&gt;80,("A-"),IF(AU223&gt;75,("B+"),IF(AU223&gt;70,("B"),IF(AU223&gt;65,("B-"),IF(AU223&gt;60,("C+"),IF(AU223&gt;55,("C"),IF(AU223&gt;50,("C-"),"D+"))))))))</f>
        <v>D+</v>
      </c>
    </row>
    <row r="224" spans="1:48" ht="20.100000000000001" customHeight="1" x14ac:dyDescent="0.25">
      <c r="A224" s="360"/>
      <c r="B224" s="1387"/>
      <c r="C224" s="1388"/>
      <c r="D224" s="1166" t="s">
        <v>155</v>
      </c>
      <c r="E224" s="1493"/>
      <c r="F224" s="1493"/>
      <c r="G224" s="1493"/>
      <c r="H224" s="2040"/>
      <c r="I224" s="2040"/>
      <c r="J224" s="2040"/>
      <c r="K224" s="1493"/>
      <c r="L224" s="1493"/>
      <c r="M224" s="1493"/>
      <c r="N224" s="2039">
        <v>0</v>
      </c>
      <c r="O224" s="2039">
        <v>0</v>
      </c>
      <c r="P224" s="2039">
        <v>0</v>
      </c>
      <c r="Q224" s="2028">
        <f t="shared" ref="Q224:Q233" si="136">MAX(E224,H224,K224,N224)</f>
        <v>0</v>
      </c>
      <c r="R224" s="2026">
        <f t="shared" si="134"/>
        <v>0</v>
      </c>
      <c r="S224" s="2029">
        <f t="shared" si="135"/>
        <v>0</v>
      </c>
      <c r="T224" s="853">
        <f t="shared" ref="T224:T233" si="137">IFERROR(AVERAGE(Q224:S224),"")</f>
        <v>0</v>
      </c>
      <c r="U224" s="1408" t="str">
        <f t="shared" ref="U224:U233" si="138">IF(T224&gt;85,("4"),IF(T224&gt;80,("3.66"),IF(T224&gt;75,("3.33"),IF(T224&gt;70,("3.00"),IF(T224&gt;65,("2.66"),IF(T224&gt;60,("2.33"),IF(T224&gt;55,("2"),IF(T224&gt;50,("1.66"),"1.33"))))))))</f>
        <v>1.33</v>
      </c>
      <c r="V224" s="1408" t="str">
        <f t="shared" ref="V224:V233" si="139">IF(T224&gt;85,("A"),IF(T224&gt;80,("A-"),IF(T224&gt;75,("B+"),IF(T224&gt;70,("B"),IF(T224&gt;65,("B-"),IF(T224&gt;60,("C+"),IF(T224&gt;55,("C"),IF(T224&gt;50,("C-"),"D+"))))))))</f>
        <v>D+</v>
      </c>
      <c r="W224" s="1408" t="str">
        <f t="shared" ref="W224:W233" si="140">IF(T224&gt;80,("SB"),IF(T224&gt;65,("B"),IF(T224&gt;50,("C"),IF(T224&gt;0,("K"),"0"))))</f>
        <v>0</v>
      </c>
      <c r="X224" s="1409"/>
      <c r="Y224" s="1389"/>
      <c r="Z224" s="1390"/>
      <c r="AA224" s="1390"/>
      <c r="AB224" s="1390"/>
      <c r="AC224" s="1390"/>
      <c r="AD224" s="1390"/>
      <c r="AE224" s="1390"/>
      <c r="AF224" s="1390"/>
      <c r="AG224" s="1390"/>
      <c r="AH224" s="1390"/>
      <c r="AI224" s="1390"/>
      <c r="AJ224" s="1391"/>
      <c r="AK224" s="1391"/>
      <c r="AL224" s="1391"/>
      <c r="AM224" s="1391"/>
      <c r="AN224" s="1391"/>
      <c r="AO224" s="1391"/>
      <c r="AP224" s="1391"/>
      <c r="AQ224" s="1391"/>
      <c r="AR224" s="1391"/>
      <c r="AS224" s="1391"/>
      <c r="AT224" s="1392"/>
      <c r="AU224" s="1411"/>
      <c r="AV224" s="1412"/>
    </row>
    <row r="225" spans="1:48" ht="20.100000000000001" customHeight="1" x14ac:dyDescent="0.25">
      <c r="A225" s="360"/>
      <c r="B225" s="1387"/>
      <c r="C225" s="1388"/>
      <c r="D225" s="1166" t="s">
        <v>16</v>
      </c>
      <c r="E225" s="1493"/>
      <c r="F225" s="1493"/>
      <c r="G225" s="1493"/>
      <c r="H225" s="2040">
        <v>0</v>
      </c>
      <c r="I225" s="2040">
        <v>0</v>
      </c>
      <c r="J225" s="2040">
        <v>0</v>
      </c>
      <c r="K225" s="1493"/>
      <c r="L225" s="1493"/>
      <c r="M225" s="1493"/>
      <c r="N225" s="2052"/>
      <c r="O225" s="2052"/>
      <c r="P225" s="2052"/>
      <c r="Q225" s="2028">
        <f t="shared" si="136"/>
        <v>0</v>
      </c>
      <c r="R225" s="2026">
        <f t="shared" si="134"/>
        <v>0</v>
      </c>
      <c r="S225" s="2029">
        <f t="shared" si="135"/>
        <v>0</v>
      </c>
      <c r="T225" s="853">
        <f t="shared" si="137"/>
        <v>0</v>
      </c>
      <c r="U225" s="1408" t="str">
        <f t="shared" si="138"/>
        <v>1.33</v>
      </c>
      <c r="V225" s="1408" t="str">
        <f t="shared" si="139"/>
        <v>D+</v>
      </c>
      <c r="W225" s="1408" t="str">
        <f t="shared" si="140"/>
        <v>0</v>
      </c>
      <c r="X225" s="1409"/>
      <c r="Y225" s="1393"/>
      <c r="Z225" s="1394"/>
      <c r="AA225" s="1394"/>
      <c r="AB225" s="1394"/>
      <c r="AC225" s="1394"/>
      <c r="AD225" s="1394"/>
      <c r="AE225" s="1394"/>
      <c r="AF225" s="1394"/>
      <c r="AG225" s="1394"/>
      <c r="AH225" s="1394"/>
      <c r="AI225" s="1394"/>
      <c r="AJ225" s="1395"/>
      <c r="AK225" s="1395"/>
      <c r="AL225" s="1395"/>
      <c r="AM225" s="1395"/>
      <c r="AN225" s="1395"/>
      <c r="AO225" s="1395"/>
      <c r="AP225" s="1395"/>
      <c r="AQ225" s="1395"/>
      <c r="AR225" s="1395"/>
      <c r="AS225" s="1395"/>
      <c r="AT225" s="1396"/>
      <c r="AU225" s="1413"/>
      <c r="AV225" s="1414"/>
    </row>
    <row r="226" spans="1:48" ht="20.100000000000001" customHeight="1" x14ac:dyDescent="0.25">
      <c r="A226" s="360"/>
      <c r="B226" s="1387"/>
      <c r="C226" s="1388"/>
      <c r="D226" s="1166" t="s">
        <v>189</v>
      </c>
      <c r="E226" s="1493"/>
      <c r="F226" s="1493"/>
      <c r="G226" s="1493"/>
      <c r="H226" s="2040">
        <v>0</v>
      </c>
      <c r="I226" s="2040">
        <v>0</v>
      </c>
      <c r="J226" s="2040">
        <v>0</v>
      </c>
      <c r="K226" s="1493"/>
      <c r="L226" s="1493"/>
      <c r="M226" s="1493"/>
      <c r="N226" s="2039"/>
      <c r="O226" s="2039"/>
      <c r="P226" s="2039"/>
      <c r="Q226" s="2028">
        <f t="shared" si="136"/>
        <v>0</v>
      </c>
      <c r="R226" s="2026">
        <f t="shared" si="134"/>
        <v>0</v>
      </c>
      <c r="S226" s="2029">
        <f t="shared" si="135"/>
        <v>0</v>
      </c>
      <c r="T226" s="853">
        <f t="shared" si="137"/>
        <v>0</v>
      </c>
      <c r="U226" s="1408" t="str">
        <f t="shared" si="138"/>
        <v>1.33</v>
      </c>
      <c r="V226" s="1408" t="str">
        <f t="shared" si="139"/>
        <v>D+</v>
      </c>
      <c r="W226" s="1408" t="str">
        <f t="shared" si="140"/>
        <v>0</v>
      </c>
      <c r="X226" s="1409"/>
      <c r="Y226" s="1393"/>
      <c r="Z226" s="1394"/>
      <c r="AA226" s="1394"/>
      <c r="AB226" s="1394"/>
      <c r="AC226" s="1394"/>
      <c r="AD226" s="1394"/>
      <c r="AE226" s="1394"/>
      <c r="AF226" s="1394"/>
      <c r="AG226" s="1394"/>
      <c r="AH226" s="1394"/>
      <c r="AI226" s="1394"/>
      <c r="AJ226" s="1395"/>
      <c r="AK226" s="1395"/>
      <c r="AL226" s="1395"/>
      <c r="AM226" s="1395"/>
      <c r="AN226" s="1395"/>
      <c r="AO226" s="1395"/>
      <c r="AP226" s="1395"/>
      <c r="AQ226" s="1395"/>
      <c r="AR226" s="1395"/>
      <c r="AS226" s="1395"/>
      <c r="AT226" s="1396"/>
      <c r="AU226" s="1413"/>
      <c r="AV226" s="1414"/>
    </row>
    <row r="227" spans="1:48" ht="20.100000000000001" customHeight="1" x14ac:dyDescent="0.25">
      <c r="A227" s="360"/>
      <c r="B227" s="1387"/>
      <c r="C227" s="1388"/>
      <c r="D227" s="1166" t="s">
        <v>186</v>
      </c>
      <c r="E227" s="1493"/>
      <c r="F227" s="1493"/>
      <c r="G227" s="1493"/>
      <c r="H227" s="2040">
        <v>0</v>
      </c>
      <c r="I227" s="2040">
        <v>0</v>
      </c>
      <c r="J227" s="2040">
        <v>0</v>
      </c>
      <c r="K227" s="1493"/>
      <c r="L227" s="1493"/>
      <c r="M227" s="1493"/>
      <c r="N227" s="2039"/>
      <c r="O227" s="2039"/>
      <c r="P227" s="2039"/>
      <c r="Q227" s="2028">
        <f t="shared" si="136"/>
        <v>0</v>
      </c>
      <c r="R227" s="2026">
        <f t="shared" si="134"/>
        <v>0</v>
      </c>
      <c r="S227" s="2029">
        <f t="shared" si="135"/>
        <v>0</v>
      </c>
      <c r="T227" s="853">
        <f t="shared" si="137"/>
        <v>0</v>
      </c>
      <c r="U227" s="1408" t="str">
        <f t="shared" si="138"/>
        <v>1.33</v>
      </c>
      <c r="V227" s="1408" t="str">
        <f t="shared" si="139"/>
        <v>D+</v>
      </c>
      <c r="W227" s="1408" t="str">
        <f t="shared" si="140"/>
        <v>0</v>
      </c>
      <c r="X227" s="1409"/>
      <c r="Y227" s="1393"/>
      <c r="Z227" s="1394"/>
      <c r="AA227" s="1394"/>
      <c r="AB227" s="1394"/>
      <c r="AC227" s="1394"/>
      <c r="AD227" s="1394"/>
      <c r="AE227" s="1394"/>
      <c r="AF227" s="1394"/>
      <c r="AG227" s="1394"/>
      <c r="AH227" s="1394"/>
      <c r="AI227" s="1394"/>
      <c r="AJ227" s="1395"/>
      <c r="AK227" s="1395"/>
      <c r="AL227" s="1395"/>
      <c r="AM227" s="1395"/>
      <c r="AN227" s="1395"/>
      <c r="AO227" s="1395"/>
      <c r="AP227" s="1395"/>
      <c r="AQ227" s="1395"/>
      <c r="AR227" s="1395"/>
      <c r="AS227" s="1395"/>
      <c r="AT227" s="1396"/>
      <c r="AU227" s="1413"/>
      <c r="AV227" s="1414"/>
    </row>
    <row r="228" spans="1:48" ht="20.100000000000001" customHeight="1" x14ac:dyDescent="0.25">
      <c r="A228" s="360"/>
      <c r="B228" s="1387"/>
      <c r="C228" s="1388"/>
      <c r="D228" s="1166" t="s">
        <v>187</v>
      </c>
      <c r="E228" s="1385"/>
      <c r="F228" s="1385"/>
      <c r="G228" s="1385"/>
      <c r="H228" s="2048"/>
      <c r="I228" s="2048"/>
      <c r="J228" s="2048"/>
      <c r="K228" s="1385">
        <v>0</v>
      </c>
      <c r="L228" s="1385">
        <v>0</v>
      </c>
      <c r="M228" s="1385">
        <v>0</v>
      </c>
      <c r="N228" s="2049"/>
      <c r="O228" s="2049"/>
      <c r="P228" s="2049"/>
      <c r="Q228" s="2028">
        <f t="shared" si="136"/>
        <v>0</v>
      </c>
      <c r="R228" s="2026">
        <f t="shared" si="134"/>
        <v>0</v>
      </c>
      <c r="S228" s="2029">
        <f t="shared" si="135"/>
        <v>0</v>
      </c>
      <c r="T228" s="853">
        <f t="shared" si="137"/>
        <v>0</v>
      </c>
      <c r="U228" s="1408" t="str">
        <f t="shared" si="138"/>
        <v>1.33</v>
      </c>
      <c r="V228" s="1408" t="str">
        <f t="shared" si="139"/>
        <v>D+</v>
      </c>
      <c r="W228" s="1408" t="str">
        <f t="shared" si="140"/>
        <v>0</v>
      </c>
      <c r="X228" s="1409"/>
      <c r="Y228" s="1393"/>
      <c r="Z228" s="1394"/>
      <c r="AA228" s="1394"/>
      <c r="AB228" s="1394"/>
      <c r="AC228" s="1394"/>
      <c r="AD228" s="1394"/>
      <c r="AE228" s="1394"/>
      <c r="AF228" s="1394"/>
      <c r="AG228" s="1394"/>
      <c r="AH228" s="1394"/>
      <c r="AI228" s="1394"/>
      <c r="AJ228" s="1395"/>
      <c r="AK228" s="1395"/>
      <c r="AL228" s="1395"/>
      <c r="AM228" s="1395"/>
      <c r="AN228" s="1395"/>
      <c r="AO228" s="1395"/>
      <c r="AP228" s="1395"/>
      <c r="AQ228" s="1395"/>
      <c r="AR228" s="1395"/>
      <c r="AS228" s="1395"/>
      <c r="AT228" s="1396"/>
      <c r="AU228" s="1413"/>
      <c r="AV228" s="1414"/>
    </row>
    <row r="229" spans="1:48" ht="20.100000000000001" customHeight="1" x14ac:dyDescent="0.25">
      <c r="A229" s="360"/>
      <c r="B229" s="1387"/>
      <c r="C229" s="1388"/>
      <c r="D229" s="1166" t="s">
        <v>17</v>
      </c>
      <c r="E229" s="1385">
        <v>0</v>
      </c>
      <c r="F229" s="1385">
        <v>0</v>
      </c>
      <c r="G229" s="1385">
        <v>0</v>
      </c>
      <c r="H229" s="2048">
        <v>0</v>
      </c>
      <c r="I229" s="2048">
        <v>0</v>
      </c>
      <c r="J229" s="2048">
        <v>0</v>
      </c>
      <c r="K229" s="1385"/>
      <c r="L229" s="1385"/>
      <c r="M229" s="1385"/>
      <c r="N229" s="2049"/>
      <c r="O229" s="2049"/>
      <c r="P229" s="2049"/>
      <c r="Q229" s="2028">
        <f t="shared" si="136"/>
        <v>0</v>
      </c>
      <c r="R229" s="2026">
        <f t="shared" si="134"/>
        <v>0</v>
      </c>
      <c r="S229" s="2029">
        <f t="shared" si="135"/>
        <v>0</v>
      </c>
      <c r="T229" s="853">
        <f t="shared" si="137"/>
        <v>0</v>
      </c>
      <c r="U229" s="1408" t="str">
        <f t="shared" si="138"/>
        <v>1.33</v>
      </c>
      <c r="V229" s="1408" t="str">
        <f t="shared" si="139"/>
        <v>D+</v>
      </c>
      <c r="W229" s="1408" t="str">
        <f t="shared" si="140"/>
        <v>0</v>
      </c>
      <c r="X229" s="1409"/>
      <c r="Y229" s="1393"/>
      <c r="Z229" s="1394"/>
      <c r="AA229" s="1394"/>
      <c r="AB229" s="1394"/>
      <c r="AC229" s="1394"/>
      <c r="AD229" s="1394"/>
      <c r="AE229" s="1394"/>
      <c r="AF229" s="1394"/>
      <c r="AG229" s="1394"/>
      <c r="AH229" s="1394"/>
      <c r="AI229" s="1394"/>
      <c r="AJ229" s="1395"/>
      <c r="AK229" s="1395"/>
      <c r="AL229" s="1395"/>
      <c r="AM229" s="1395"/>
      <c r="AN229" s="1395"/>
      <c r="AO229" s="1395"/>
      <c r="AP229" s="1395"/>
      <c r="AQ229" s="1395"/>
      <c r="AR229" s="1395"/>
      <c r="AS229" s="1395"/>
      <c r="AT229" s="1396"/>
      <c r="AU229" s="1413"/>
      <c r="AV229" s="1414"/>
    </row>
    <row r="230" spans="1:48" ht="20.100000000000001" customHeight="1" x14ac:dyDescent="0.25">
      <c r="A230" s="360"/>
      <c r="B230" s="1387"/>
      <c r="C230" s="1388"/>
      <c r="D230" s="1166" t="s">
        <v>188</v>
      </c>
      <c r="E230" s="1385"/>
      <c r="F230" s="1385"/>
      <c r="G230" s="1385"/>
      <c r="H230" s="2048">
        <v>0</v>
      </c>
      <c r="I230" s="2048">
        <v>0</v>
      </c>
      <c r="J230" s="2048">
        <v>0</v>
      </c>
      <c r="K230" s="1385"/>
      <c r="L230" s="1385"/>
      <c r="M230" s="1385"/>
      <c r="N230" s="2049"/>
      <c r="O230" s="2049"/>
      <c r="P230" s="2049"/>
      <c r="Q230" s="2028">
        <f t="shared" si="136"/>
        <v>0</v>
      </c>
      <c r="R230" s="2026">
        <f t="shared" si="134"/>
        <v>0</v>
      </c>
      <c r="S230" s="2029">
        <f t="shared" si="135"/>
        <v>0</v>
      </c>
      <c r="T230" s="853">
        <f t="shared" si="137"/>
        <v>0</v>
      </c>
      <c r="U230" s="1408" t="str">
        <f t="shared" si="138"/>
        <v>1.33</v>
      </c>
      <c r="V230" s="1408" t="str">
        <f t="shared" si="139"/>
        <v>D+</v>
      </c>
      <c r="W230" s="1408" t="str">
        <f t="shared" si="140"/>
        <v>0</v>
      </c>
      <c r="X230" s="1409"/>
      <c r="Y230" s="1393"/>
      <c r="Z230" s="1394"/>
      <c r="AA230" s="1394"/>
      <c r="AB230" s="1394"/>
      <c r="AC230" s="1394"/>
      <c r="AD230" s="1394"/>
      <c r="AE230" s="1394"/>
      <c r="AF230" s="1394"/>
      <c r="AG230" s="1394"/>
      <c r="AH230" s="1394"/>
      <c r="AI230" s="1394"/>
      <c r="AJ230" s="1395"/>
      <c r="AK230" s="1395"/>
      <c r="AL230" s="1395"/>
      <c r="AM230" s="1395"/>
      <c r="AN230" s="1395"/>
      <c r="AO230" s="1395"/>
      <c r="AP230" s="1395"/>
      <c r="AQ230" s="1395"/>
      <c r="AR230" s="1395"/>
      <c r="AS230" s="1395"/>
      <c r="AT230" s="1396"/>
      <c r="AU230" s="1413"/>
      <c r="AV230" s="1414"/>
    </row>
    <row r="231" spans="1:48" ht="20.100000000000001" customHeight="1" x14ac:dyDescent="0.25">
      <c r="A231" s="360"/>
      <c r="B231" s="1387"/>
      <c r="C231" s="1388"/>
      <c r="D231" s="1166" t="s">
        <v>569</v>
      </c>
      <c r="E231" s="1385"/>
      <c r="F231" s="1385"/>
      <c r="G231" s="1385"/>
      <c r="H231" s="2048"/>
      <c r="I231" s="2048"/>
      <c r="J231" s="2048"/>
      <c r="K231" s="1385">
        <v>0</v>
      </c>
      <c r="L231" s="1385">
        <v>0</v>
      </c>
      <c r="M231" s="1385">
        <v>0</v>
      </c>
      <c r="N231" s="2049"/>
      <c r="O231" s="2049"/>
      <c r="P231" s="2049"/>
      <c r="Q231" s="2028">
        <f t="shared" si="136"/>
        <v>0</v>
      </c>
      <c r="R231" s="2026">
        <f t="shared" si="134"/>
        <v>0</v>
      </c>
      <c r="S231" s="2029">
        <f t="shared" si="135"/>
        <v>0</v>
      </c>
      <c r="T231" s="853">
        <f t="shared" si="137"/>
        <v>0</v>
      </c>
      <c r="U231" s="1408" t="str">
        <f t="shared" si="138"/>
        <v>1.33</v>
      </c>
      <c r="V231" s="1408" t="str">
        <f t="shared" si="139"/>
        <v>D+</v>
      </c>
      <c r="W231" s="1408" t="str">
        <f t="shared" si="140"/>
        <v>0</v>
      </c>
      <c r="X231" s="1409"/>
      <c r="Y231" s="1393"/>
      <c r="Z231" s="1394"/>
      <c r="AA231" s="1394"/>
      <c r="AB231" s="1394"/>
      <c r="AC231" s="1394"/>
      <c r="AD231" s="1394"/>
      <c r="AE231" s="1394"/>
      <c r="AF231" s="1394"/>
      <c r="AG231" s="1394"/>
      <c r="AH231" s="1394"/>
      <c r="AI231" s="1394"/>
      <c r="AJ231" s="1395"/>
      <c r="AK231" s="1395"/>
      <c r="AL231" s="1395"/>
      <c r="AM231" s="1395"/>
      <c r="AN231" s="1395"/>
      <c r="AO231" s="1395"/>
      <c r="AP231" s="1395"/>
      <c r="AQ231" s="1395"/>
      <c r="AR231" s="1395"/>
      <c r="AS231" s="1395"/>
      <c r="AT231" s="1396"/>
      <c r="AU231" s="1413"/>
      <c r="AV231" s="1414"/>
    </row>
    <row r="232" spans="1:48" ht="20.100000000000001" customHeight="1" x14ac:dyDescent="0.25">
      <c r="A232" s="360"/>
      <c r="B232" s="1387"/>
      <c r="C232" s="1388"/>
      <c r="D232" s="1166" t="s">
        <v>209</v>
      </c>
      <c r="E232" s="1385"/>
      <c r="F232" s="1385"/>
      <c r="G232" s="1385"/>
      <c r="H232" s="2048"/>
      <c r="I232" s="2048"/>
      <c r="J232" s="2048"/>
      <c r="K232" s="1385"/>
      <c r="L232" s="1385"/>
      <c r="M232" s="1385"/>
      <c r="N232" s="2049">
        <v>0</v>
      </c>
      <c r="O232" s="2049">
        <v>0</v>
      </c>
      <c r="P232" s="2049">
        <v>0</v>
      </c>
      <c r="Q232" s="2028">
        <f t="shared" si="136"/>
        <v>0</v>
      </c>
      <c r="R232" s="2026">
        <f t="shared" si="134"/>
        <v>0</v>
      </c>
      <c r="S232" s="2029">
        <f t="shared" si="135"/>
        <v>0</v>
      </c>
      <c r="T232" s="853">
        <f t="shared" si="137"/>
        <v>0</v>
      </c>
      <c r="U232" s="1408" t="str">
        <f t="shared" si="138"/>
        <v>1.33</v>
      </c>
      <c r="V232" s="1408" t="str">
        <f t="shared" si="139"/>
        <v>D+</v>
      </c>
      <c r="W232" s="1408" t="str">
        <f t="shared" si="140"/>
        <v>0</v>
      </c>
      <c r="X232" s="1409"/>
      <c r="Y232" s="1393"/>
      <c r="Z232" s="1394"/>
      <c r="AA232" s="1394"/>
      <c r="AB232" s="1394"/>
      <c r="AC232" s="1394"/>
      <c r="AD232" s="1394"/>
      <c r="AE232" s="1394"/>
      <c r="AF232" s="1394"/>
      <c r="AG232" s="1394"/>
      <c r="AH232" s="1394"/>
      <c r="AI232" s="1394"/>
      <c r="AJ232" s="1395"/>
      <c r="AK232" s="1395"/>
      <c r="AL232" s="1395"/>
      <c r="AM232" s="1395"/>
      <c r="AN232" s="1395"/>
      <c r="AO232" s="1395"/>
      <c r="AP232" s="1395"/>
      <c r="AQ232" s="1395"/>
      <c r="AR232" s="1395"/>
      <c r="AS232" s="1395"/>
      <c r="AT232" s="1396"/>
      <c r="AU232" s="1413"/>
      <c r="AV232" s="1414"/>
    </row>
    <row r="233" spans="1:48" ht="20.100000000000001" customHeight="1" x14ac:dyDescent="0.25">
      <c r="A233" s="360"/>
      <c r="B233" s="1387"/>
      <c r="C233" s="1388"/>
      <c r="D233" s="1166" t="s">
        <v>210</v>
      </c>
      <c r="E233" s="1385"/>
      <c r="F233" s="1385"/>
      <c r="G233" s="1385"/>
      <c r="H233" s="2048"/>
      <c r="I233" s="2048"/>
      <c r="J233" s="2048"/>
      <c r="K233" s="1385"/>
      <c r="L233" s="1385"/>
      <c r="M233" s="1385"/>
      <c r="N233" s="2049">
        <v>0</v>
      </c>
      <c r="O233" s="2049">
        <v>0</v>
      </c>
      <c r="P233" s="2049">
        <v>0</v>
      </c>
      <c r="Q233" s="2028">
        <f t="shared" si="136"/>
        <v>0</v>
      </c>
      <c r="R233" s="2026">
        <f t="shared" si="134"/>
        <v>0</v>
      </c>
      <c r="S233" s="2029">
        <f t="shared" si="135"/>
        <v>0</v>
      </c>
      <c r="T233" s="853">
        <f t="shared" si="137"/>
        <v>0</v>
      </c>
      <c r="U233" s="1408" t="str">
        <f t="shared" si="138"/>
        <v>1.33</v>
      </c>
      <c r="V233" s="1408" t="str">
        <f t="shared" si="139"/>
        <v>D+</v>
      </c>
      <c r="W233" s="1408" t="str">
        <f t="shared" si="140"/>
        <v>0</v>
      </c>
      <c r="X233" s="1409"/>
      <c r="Y233" s="1397"/>
      <c r="Z233" s="1398"/>
      <c r="AA233" s="1398"/>
      <c r="AB233" s="1398"/>
      <c r="AC233" s="1398"/>
      <c r="AD233" s="1398"/>
      <c r="AE233" s="1398"/>
      <c r="AF233" s="1398"/>
      <c r="AG233" s="1398"/>
      <c r="AH233" s="1398"/>
      <c r="AI233" s="1398"/>
      <c r="AJ233" s="1399"/>
      <c r="AK233" s="1399"/>
      <c r="AL233" s="1399"/>
      <c r="AM233" s="1399"/>
      <c r="AN233" s="1399"/>
      <c r="AO233" s="1399"/>
      <c r="AP233" s="1399"/>
      <c r="AQ233" s="1399"/>
      <c r="AR233" s="1399"/>
      <c r="AS233" s="1399"/>
      <c r="AT233" s="1400"/>
      <c r="AU233" s="1415"/>
      <c r="AV233" s="1416"/>
    </row>
    <row r="234" spans="1:48" ht="20.100000000000001" customHeight="1" x14ac:dyDescent="0.25">
      <c r="A234" s="727"/>
      <c r="B234" s="1406">
        <v>19</v>
      </c>
      <c r="C234" s="1407"/>
      <c r="D234" s="1004"/>
      <c r="E234" s="2780"/>
      <c r="F234" s="2781"/>
      <c r="G234" s="2781"/>
      <c r="H234" s="2781"/>
      <c r="I234" s="2046"/>
      <c r="J234" s="2046"/>
      <c r="K234" s="2046"/>
      <c r="L234" s="2046"/>
      <c r="M234" s="2046"/>
      <c r="N234" s="2046"/>
      <c r="O234" s="2046"/>
      <c r="P234" s="2046"/>
      <c r="Q234" s="2046"/>
      <c r="R234" s="2046"/>
      <c r="S234" s="2046"/>
      <c r="T234" s="2044">
        <f>IFERROR(AVERAGE(T223:T233),"  ")</f>
        <v>0</v>
      </c>
      <c r="U234" s="2045" t="str">
        <f>IF(X234&gt;85,("4"),IF(X234&gt;80,("3.66"),IF(X234&gt;75,("3.33"),IF(X234&gt;70,("3.00"),IF(X234&gt;65,("2.66"),IF(X234&gt;60,("2.33"),IF(X234&gt;55,("2"),IF(X234&gt;50,("1.66"),"1.33"))))))))</f>
        <v>1.33</v>
      </c>
      <c r="V234" s="2045" t="str">
        <f>IF(X234&gt;85,("A"),IF(X234&gt;80,("A-"),IF(X234&gt;75,("B+"),IF(X234&gt;70,("B"),IF(X234&gt;65,("B-"),IF(X234&gt;60,("C+"),IF(X234&gt;55,("C"),IF(X234&gt;50,("C-"),"D+"))))))))</f>
        <v>D+</v>
      </c>
      <c r="W234" s="2045"/>
      <c r="X234" s="888">
        <f>MAX(T223:T233)</f>
        <v>0</v>
      </c>
      <c r="Y234" s="1403"/>
      <c r="Z234" s="1404"/>
      <c r="AA234" s="1404"/>
      <c r="AB234" s="1404"/>
      <c r="AC234" s="1404"/>
      <c r="AD234" s="1404"/>
      <c r="AE234" s="1404"/>
      <c r="AF234" s="1404"/>
      <c r="AG234" s="1404"/>
      <c r="AH234" s="1404"/>
      <c r="AI234" s="1404"/>
      <c r="AJ234" s="1404"/>
      <c r="AK234" s="1404"/>
      <c r="AL234" s="1404"/>
      <c r="AM234" s="1404"/>
      <c r="AN234" s="1404"/>
      <c r="AO234" s="1404"/>
      <c r="AP234" s="1404"/>
      <c r="AQ234" s="1404"/>
      <c r="AR234" s="1404"/>
      <c r="AS234" s="1404"/>
      <c r="AT234" s="1405"/>
      <c r="AU234" s="1257"/>
      <c r="AV234" s="1258"/>
    </row>
    <row r="235" spans="1:48" ht="20.100000000000001" customHeight="1" x14ac:dyDescent="0.25">
      <c r="A235" s="724">
        <v>20</v>
      </c>
      <c r="B235" s="1383"/>
      <c r="C235" s="1384" t="str">
        <f>VLOOKUP(A235,data_siswa,4,FALSE)</f>
        <v>Roby Ardiyansyah</v>
      </c>
      <c r="D235" s="1166" t="s">
        <v>154</v>
      </c>
      <c r="E235" s="2050">
        <v>0</v>
      </c>
      <c r="F235" s="2050">
        <v>0</v>
      </c>
      <c r="G235" s="2050">
        <v>0</v>
      </c>
      <c r="H235" s="2051"/>
      <c r="I235" s="2051"/>
      <c r="J235" s="2051"/>
      <c r="K235" s="2050"/>
      <c r="L235" s="2050"/>
      <c r="M235" s="2050"/>
      <c r="N235" s="2052"/>
      <c r="O235" s="2052"/>
      <c r="P235" s="2052"/>
      <c r="Q235" s="2028">
        <f>MAX(E235,H235,K235,N235)</f>
        <v>0</v>
      </c>
      <c r="R235" s="2026">
        <f t="shared" ref="R235:R245" si="141">MAX(F235,I235,L235,O235)</f>
        <v>0</v>
      </c>
      <c r="S235" s="2029">
        <f t="shared" ref="S235:S245" si="142">MAX(G235,J235,M235,P235)</f>
        <v>0</v>
      </c>
      <c r="T235" s="853">
        <f>IFERROR(AVERAGE(Q235:S235),"")</f>
        <v>0</v>
      </c>
      <c r="U235" s="1408" t="str">
        <f>IF(T235&gt;85,("4"),IF(T235&gt;80,("3.66"),IF(T235&gt;75,("3.33"),IF(T235&gt;70,("3.00"),IF(T235&gt;65,("2.66"),IF(T235&gt;60,("2.33"),IF(T235&gt;55,("2"),IF(T235&gt;50,("1.66"),"1.33"))))))))</f>
        <v>1.33</v>
      </c>
      <c r="V235" s="1408" t="str">
        <f>IF(T235&gt;85,("A"),IF(T235&gt;80,("A-"),IF(T235&gt;75,("B+"),IF(T235&gt;70,("B"),IF(T235&gt;65,("B-"),IF(T235&gt;60,("C+"),IF(T235&gt;55,("C"),IF(T235&gt;50,("C-"),"D+"))))))))</f>
        <v>D+</v>
      </c>
      <c r="W235" s="1408" t="str">
        <f>IF(T235&gt;80,("SB"),IF(T235&gt;65,("B"),IF(T235&gt;50,("C"),IF(T235&gt;0,("K"),"0"))))</f>
        <v>0</v>
      </c>
      <c r="X235" s="1408"/>
      <c r="Y235" s="749"/>
      <c r="Z235" s="749"/>
      <c r="AA235" s="749"/>
      <c r="AB235" s="749"/>
      <c r="AC235" s="749"/>
      <c r="AD235" s="749"/>
      <c r="AE235" s="749"/>
      <c r="AF235" s="749"/>
      <c r="AG235" s="749"/>
      <c r="AH235" s="749"/>
      <c r="AI235" s="749"/>
      <c r="AJ235" s="1386"/>
      <c r="AK235" s="1386"/>
      <c r="AL235" s="1386"/>
      <c r="AM235" s="1386"/>
      <c r="AN235" s="1386"/>
      <c r="AO235" s="1386"/>
      <c r="AP235" s="1386"/>
      <c r="AQ235" s="1386"/>
      <c r="AR235" s="1386"/>
      <c r="AS235" s="1386"/>
      <c r="AT235" s="1386"/>
      <c r="AU235" s="1057">
        <f>T246</f>
        <v>0</v>
      </c>
      <c r="AV235" s="1194" t="str">
        <f>IF(AU235&gt;85,("A"),IF(AU235&gt;80,("A-"),IF(AU235&gt;75,("B+"),IF(AU235&gt;70,("B"),IF(AU235&gt;65,("B-"),IF(AU235&gt;60,("C+"),IF(AU235&gt;55,("C"),IF(AU235&gt;50,("C-"),"D+"))))))))</f>
        <v>D+</v>
      </c>
    </row>
    <row r="236" spans="1:48" ht="20.100000000000001" customHeight="1" x14ac:dyDescent="0.25">
      <c r="A236" s="360"/>
      <c r="B236" s="1387"/>
      <c r="C236" s="1388"/>
      <c r="D236" s="1166" t="s">
        <v>155</v>
      </c>
      <c r="E236" s="1493"/>
      <c r="F236" s="1493"/>
      <c r="G236" s="1493"/>
      <c r="H236" s="2040"/>
      <c r="I236" s="2040"/>
      <c r="J236" s="2040"/>
      <c r="K236" s="1493"/>
      <c r="L236" s="1493"/>
      <c r="M236" s="1493"/>
      <c r="N236" s="2039">
        <v>0</v>
      </c>
      <c r="O236" s="2039">
        <v>0</v>
      </c>
      <c r="P236" s="2039">
        <v>0</v>
      </c>
      <c r="Q236" s="2028">
        <f t="shared" ref="Q236:Q245" si="143">MAX(E236,H236,K236,N236)</f>
        <v>0</v>
      </c>
      <c r="R236" s="2026">
        <f t="shared" si="141"/>
        <v>0</v>
      </c>
      <c r="S236" s="2029">
        <f t="shared" si="142"/>
        <v>0</v>
      </c>
      <c r="T236" s="853">
        <f t="shared" ref="T236:T245" si="144">IFERROR(AVERAGE(Q236:S236),"")</f>
        <v>0</v>
      </c>
      <c r="U236" s="1408" t="str">
        <f t="shared" ref="U236:U245" si="145">IF(T236&gt;85,("4"),IF(T236&gt;80,("3.66"),IF(T236&gt;75,("3.33"),IF(T236&gt;70,("3.00"),IF(T236&gt;65,("2.66"),IF(T236&gt;60,("2.33"),IF(T236&gt;55,("2"),IF(T236&gt;50,("1.66"),"1.33"))))))))</f>
        <v>1.33</v>
      </c>
      <c r="V236" s="1408" t="str">
        <f t="shared" ref="V236:V245" si="146">IF(T236&gt;85,("A"),IF(T236&gt;80,("A-"),IF(T236&gt;75,("B+"),IF(T236&gt;70,("B"),IF(T236&gt;65,("B-"),IF(T236&gt;60,("C+"),IF(T236&gt;55,("C"),IF(T236&gt;50,("C-"),"D+"))))))))</f>
        <v>D+</v>
      </c>
      <c r="W236" s="1408" t="str">
        <f t="shared" ref="W236:W245" si="147">IF(T236&gt;80,("SB"),IF(T236&gt;65,("B"),IF(T236&gt;50,("C"),IF(T236&gt;0,("K"),"0"))))</f>
        <v>0</v>
      </c>
      <c r="X236" s="1409"/>
      <c r="Y236" s="1389"/>
      <c r="Z236" s="1390"/>
      <c r="AA236" s="1390"/>
      <c r="AB236" s="1390"/>
      <c r="AC236" s="1390"/>
      <c r="AD236" s="1390"/>
      <c r="AE236" s="1390"/>
      <c r="AF236" s="1390"/>
      <c r="AG236" s="1390"/>
      <c r="AH236" s="1390"/>
      <c r="AI236" s="1390"/>
      <c r="AJ236" s="1391"/>
      <c r="AK236" s="1391"/>
      <c r="AL236" s="1391"/>
      <c r="AM236" s="1391"/>
      <c r="AN236" s="1391"/>
      <c r="AO236" s="1391"/>
      <c r="AP236" s="1391"/>
      <c r="AQ236" s="1391"/>
      <c r="AR236" s="1391"/>
      <c r="AS236" s="1391"/>
      <c r="AT236" s="1392"/>
      <c r="AU236" s="1411"/>
      <c r="AV236" s="1412"/>
    </row>
    <row r="237" spans="1:48" ht="20.100000000000001" customHeight="1" x14ac:dyDescent="0.25">
      <c r="A237" s="360"/>
      <c r="B237" s="1387"/>
      <c r="C237" s="1388"/>
      <c r="D237" s="1166" t="s">
        <v>16</v>
      </c>
      <c r="E237" s="1493"/>
      <c r="F237" s="1493"/>
      <c r="G237" s="1493"/>
      <c r="H237" s="2040">
        <v>0</v>
      </c>
      <c r="I237" s="2040">
        <v>0</v>
      </c>
      <c r="J237" s="2040">
        <v>0</v>
      </c>
      <c r="K237" s="1493"/>
      <c r="L237" s="1493"/>
      <c r="M237" s="1493"/>
      <c r="N237" s="2052"/>
      <c r="O237" s="2052"/>
      <c r="P237" s="2052"/>
      <c r="Q237" s="2028">
        <f t="shared" si="143"/>
        <v>0</v>
      </c>
      <c r="R237" s="2026">
        <f t="shared" si="141"/>
        <v>0</v>
      </c>
      <c r="S237" s="2029">
        <f t="shared" si="142"/>
        <v>0</v>
      </c>
      <c r="T237" s="853">
        <f t="shared" si="144"/>
        <v>0</v>
      </c>
      <c r="U237" s="1408" t="str">
        <f t="shared" si="145"/>
        <v>1.33</v>
      </c>
      <c r="V237" s="1408" t="str">
        <f t="shared" si="146"/>
        <v>D+</v>
      </c>
      <c r="W237" s="1408" t="str">
        <f t="shared" si="147"/>
        <v>0</v>
      </c>
      <c r="X237" s="1409"/>
      <c r="Y237" s="1393"/>
      <c r="Z237" s="1394"/>
      <c r="AA237" s="1394"/>
      <c r="AB237" s="1394"/>
      <c r="AC237" s="1394"/>
      <c r="AD237" s="1394"/>
      <c r="AE237" s="1394"/>
      <c r="AF237" s="1394"/>
      <c r="AG237" s="1394"/>
      <c r="AH237" s="1394"/>
      <c r="AI237" s="1394"/>
      <c r="AJ237" s="1395"/>
      <c r="AK237" s="1395"/>
      <c r="AL237" s="1395"/>
      <c r="AM237" s="1395"/>
      <c r="AN237" s="1395"/>
      <c r="AO237" s="1395"/>
      <c r="AP237" s="1395"/>
      <c r="AQ237" s="1395"/>
      <c r="AR237" s="1395"/>
      <c r="AS237" s="1395"/>
      <c r="AT237" s="1396"/>
      <c r="AU237" s="1413"/>
      <c r="AV237" s="1414"/>
    </row>
    <row r="238" spans="1:48" ht="20.100000000000001" customHeight="1" x14ac:dyDescent="0.25">
      <c r="A238" s="360"/>
      <c r="B238" s="1387"/>
      <c r="C238" s="1388"/>
      <c r="D238" s="1166" t="s">
        <v>189</v>
      </c>
      <c r="E238" s="1493"/>
      <c r="F238" s="1493"/>
      <c r="G238" s="1493"/>
      <c r="H238" s="2040">
        <v>0</v>
      </c>
      <c r="I238" s="2040">
        <v>0</v>
      </c>
      <c r="J238" s="2040">
        <v>0</v>
      </c>
      <c r="K238" s="1493"/>
      <c r="L238" s="1493"/>
      <c r="M238" s="1493"/>
      <c r="N238" s="2039"/>
      <c r="O238" s="2039"/>
      <c r="P238" s="2039"/>
      <c r="Q238" s="2028">
        <f t="shared" si="143"/>
        <v>0</v>
      </c>
      <c r="R238" s="2026">
        <f t="shared" si="141"/>
        <v>0</v>
      </c>
      <c r="S238" s="2029">
        <f t="shared" si="142"/>
        <v>0</v>
      </c>
      <c r="T238" s="853">
        <f t="shared" si="144"/>
        <v>0</v>
      </c>
      <c r="U238" s="1408" t="str">
        <f t="shared" si="145"/>
        <v>1.33</v>
      </c>
      <c r="V238" s="1408" t="str">
        <f t="shared" si="146"/>
        <v>D+</v>
      </c>
      <c r="W238" s="1408" t="str">
        <f t="shared" si="147"/>
        <v>0</v>
      </c>
      <c r="X238" s="1409"/>
      <c r="Y238" s="1393"/>
      <c r="Z238" s="1394"/>
      <c r="AA238" s="1394"/>
      <c r="AB238" s="1394"/>
      <c r="AC238" s="1394"/>
      <c r="AD238" s="1394"/>
      <c r="AE238" s="1394"/>
      <c r="AF238" s="1394"/>
      <c r="AG238" s="1394"/>
      <c r="AH238" s="1394"/>
      <c r="AI238" s="1394"/>
      <c r="AJ238" s="1395"/>
      <c r="AK238" s="1395"/>
      <c r="AL238" s="1395"/>
      <c r="AM238" s="1395"/>
      <c r="AN238" s="1395"/>
      <c r="AO238" s="1395"/>
      <c r="AP238" s="1395"/>
      <c r="AQ238" s="1395"/>
      <c r="AR238" s="1395"/>
      <c r="AS238" s="1395"/>
      <c r="AT238" s="1396"/>
      <c r="AU238" s="1413"/>
      <c r="AV238" s="1414"/>
    </row>
    <row r="239" spans="1:48" ht="20.100000000000001" customHeight="1" x14ac:dyDescent="0.25">
      <c r="A239" s="360"/>
      <c r="B239" s="1387"/>
      <c r="C239" s="1388"/>
      <c r="D239" s="1166" t="s">
        <v>186</v>
      </c>
      <c r="E239" s="1493"/>
      <c r="F239" s="1493"/>
      <c r="G239" s="1493"/>
      <c r="H239" s="2040">
        <v>0</v>
      </c>
      <c r="I239" s="2040">
        <v>0</v>
      </c>
      <c r="J239" s="2040">
        <v>0</v>
      </c>
      <c r="K239" s="1493"/>
      <c r="L239" s="1493"/>
      <c r="M239" s="1493"/>
      <c r="N239" s="2039"/>
      <c r="O239" s="2039"/>
      <c r="P239" s="2039"/>
      <c r="Q239" s="2028">
        <f t="shared" si="143"/>
        <v>0</v>
      </c>
      <c r="R239" s="2026">
        <f t="shared" si="141"/>
        <v>0</v>
      </c>
      <c r="S239" s="2029">
        <f t="shared" si="142"/>
        <v>0</v>
      </c>
      <c r="T239" s="853">
        <f t="shared" si="144"/>
        <v>0</v>
      </c>
      <c r="U239" s="1408" t="str">
        <f t="shared" si="145"/>
        <v>1.33</v>
      </c>
      <c r="V239" s="1408" t="str">
        <f t="shared" si="146"/>
        <v>D+</v>
      </c>
      <c r="W239" s="1408" t="str">
        <f t="shared" si="147"/>
        <v>0</v>
      </c>
      <c r="X239" s="1409"/>
      <c r="Y239" s="1393"/>
      <c r="Z239" s="1394"/>
      <c r="AA239" s="1394"/>
      <c r="AB239" s="1394"/>
      <c r="AC239" s="1394"/>
      <c r="AD239" s="1394"/>
      <c r="AE239" s="1394"/>
      <c r="AF239" s="1394"/>
      <c r="AG239" s="1394"/>
      <c r="AH239" s="1394"/>
      <c r="AI239" s="1394"/>
      <c r="AJ239" s="1395"/>
      <c r="AK239" s="1395"/>
      <c r="AL239" s="1395"/>
      <c r="AM239" s="1395"/>
      <c r="AN239" s="1395"/>
      <c r="AO239" s="1395"/>
      <c r="AP239" s="1395"/>
      <c r="AQ239" s="1395"/>
      <c r="AR239" s="1395"/>
      <c r="AS239" s="1395"/>
      <c r="AT239" s="1396"/>
      <c r="AU239" s="1413"/>
      <c r="AV239" s="1414"/>
    </row>
    <row r="240" spans="1:48" ht="20.100000000000001" customHeight="1" x14ac:dyDescent="0.25">
      <c r="A240" s="360"/>
      <c r="B240" s="1387"/>
      <c r="C240" s="1388"/>
      <c r="D240" s="1166" t="s">
        <v>187</v>
      </c>
      <c r="E240" s="1385"/>
      <c r="F240" s="1385"/>
      <c r="G240" s="1385"/>
      <c r="H240" s="2048"/>
      <c r="I240" s="2048"/>
      <c r="J240" s="2048"/>
      <c r="K240" s="1385">
        <v>0</v>
      </c>
      <c r="L240" s="1385">
        <v>0</v>
      </c>
      <c r="M240" s="1385">
        <v>0</v>
      </c>
      <c r="N240" s="2049"/>
      <c r="O240" s="2049"/>
      <c r="P240" s="2049"/>
      <c r="Q240" s="2028">
        <f t="shared" si="143"/>
        <v>0</v>
      </c>
      <c r="R240" s="2026">
        <f t="shared" si="141"/>
        <v>0</v>
      </c>
      <c r="S240" s="2029">
        <f t="shared" si="142"/>
        <v>0</v>
      </c>
      <c r="T240" s="853">
        <f t="shared" si="144"/>
        <v>0</v>
      </c>
      <c r="U240" s="1408" t="str">
        <f t="shared" si="145"/>
        <v>1.33</v>
      </c>
      <c r="V240" s="1408" t="str">
        <f t="shared" si="146"/>
        <v>D+</v>
      </c>
      <c r="W240" s="1408" t="str">
        <f t="shared" si="147"/>
        <v>0</v>
      </c>
      <c r="X240" s="1409"/>
      <c r="Y240" s="1393"/>
      <c r="Z240" s="1394"/>
      <c r="AA240" s="1394"/>
      <c r="AB240" s="1394"/>
      <c r="AC240" s="1394"/>
      <c r="AD240" s="1394"/>
      <c r="AE240" s="1394"/>
      <c r="AF240" s="1394"/>
      <c r="AG240" s="1394"/>
      <c r="AH240" s="1394"/>
      <c r="AI240" s="1394"/>
      <c r="AJ240" s="1395"/>
      <c r="AK240" s="1395"/>
      <c r="AL240" s="1395"/>
      <c r="AM240" s="1395"/>
      <c r="AN240" s="1395"/>
      <c r="AO240" s="1395"/>
      <c r="AP240" s="1395"/>
      <c r="AQ240" s="1395"/>
      <c r="AR240" s="1395"/>
      <c r="AS240" s="1395"/>
      <c r="AT240" s="1396"/>
      <c r="AU240" s="1413"/>
      <c r="AV240" s="1414"/>
    </row>
    <row r="241" spans="1:48" ht="20.100000000000001" customHeight="1" x14ac:dyDescent="0.25">
      <c r="A241" s="360"/>
      <c r="B241" s="1387"/>
      <c r="C241" s="1388"/>
      <c r="D241" s="1166" t="s">
        <v>17</v>
      </c>
      <c r="E241" s="1385">
        <v>0</v>
      </c>
      <c r="F241" s="1385">
        <v>0</v>
      </c>
      <c r="G241" s="1385">
        <v>0</v>
      </c>
      <c r="H241" s="2048">
        <v>0</v>
      </c>
      <c r="I241" s="2048">
        <v>0</v>
      </c>
      <c r="J241" s="2048">
        <v>0</v>
      </c>
      <c r="K241" s="1385"/>
      <c r="L241" s="1385"/>
      <c r="M241" s="1385"/>
      <c r="N241" s="2049"/>
      <c r="O241" s="2049"/>
      <c r="P241" s="2049"/>
      <c r="Q241" s="2028">
        <f t="shared" si="143"/>
        <v>0</v>
      </c>
      <c r="R241" s="2026">
        <f t="shared" si="141"/>
        <v>0</v>
      </c>
      <c r="S241" s="2029">
        <f t="shared" si="142"/>
        <v>0</v>
      </c>
      <c r="T241" s="853">
        <f t="shared" si="144"/>
        <v>0</v>
      </c>
      <c r="U241" s="1408" t="str">
        <f t="shared" si="145"/>
        <v>1.33</v>
      </c>
      <c r="V241" s="1408" t="str">
        <f t="shared" si="146"/>
        <v>D+</v>
      </c>
      <c r="W241" s="1408" t="str">
        <f t="shared" si="147"/>
        <v>0</v>
      </c>
      <c r="X241" s="1409"/>
      <c r="Y241" s="1393"/>
      <c r="Z241" s="1394"/>
      <c r="AA241" s="1394"/>
      <c r="AB241" s="1394"/>
      <c r="AC241" s="1394"/>
      <c r="AD241" s="1394"/>
      <c r="AE241" s="1394"/>
      <c r="AF241" s="1394"/>
      <c r="AG241" s="1394"/>
      <c r="AH241" s="1394"/>
      <c r="AI241" s="1394"/>
      <c r="AJ241" s="1395"/>
      <c r="AK241" s="1395"/>
      <c r="AL241" s="1395"/>
      <c r="AM241" s="1395"/>
      <c r="AN241" s="1395"/>
      <c r="AO241" s="1395"/>
      <c r="AP241" s="1395"/>
      <c r="AQ241" s="1395"/>
      <c r="AR241" s="1395"/>
      <c r="AS241" s="1395"/>
      <c r="AT241" s="1396"/>
      <c r="AU241" s="1413"/>
      <c r="AV241" s="1414"/>
    </row>
    <row r="242" spans="1:48" ht="20.100000000000001" customHeight="1" x14ac:dyDescent="0.25">
      <c r="A242" s="360"/>
      <c r="B242" s="1387"/>
      <c r="C242" s="1388"/>
      <c r="D242" s="1166" t="s">
        <v>188</v>
      </c>
      <c r="E242" s="1385"/>
      <c r="F242" s="1385"/>
      <c r="G242" s="1385"/>
      <c r="H242" s="2048">
        <v>0</v>
      </c>
      <c r="I242" s="2048">
        <v>0</v>
      </c>
      <c r="J242" s="2048">
        <v>0</v>
      </c>
      <c r="K242" s="1385"/>
      <c r="L242" s="1385"/>
      <c r="M242" s="1385"/>
      <c r="N242" s="2049"/>
      <c r="O242" s="2049"/>
      <c r="P242" s="2049"/>
      <c r="Q242" s="2028">
        <f t="shared" si="143"/>
        <v>0</v>
      </c>
      <c r="R242" s="2026">
        <f t="shared" si="141"/>
        <v>0</v>
      </c>
      <c r="S242" s="2029">
        <f t="shared" si="142"/>
        <v>0</v>
      </c>
      <c r="T242" s="853">
        <f t="shared" si="144"/>
        <v>0</v>
      </c>
      <c r="U242" s="1408" t="str">
        <f t="shared" si="145"/>
        <v>1.33</v>
      </c>
      <c r="V242" s="1408" t="str">
        <f t="shared" si="146"/>
        <v>D+</v>
      </c>
      <c r="W242" s="1408" t="str">
        <f t="shared" si="147"/>
        <v>0</v>
      </c>
      <c r="X242" s="1409"/>
      <c r="Y242" s="1393"/>
      <c r="Z242" s="1394"/>
      <c r="AA242" s="1394"/>
      <c r="AB242" s="1394"/>
      <c r="AC242" s="1394"/>
      <c r="AD242" s="1394"/>
      <c r="AE242" s="1394"/>
      <c r="AF242" s="1394"/>
      <c r="AG242" s="1394"/>
      <c r="AH242" s="1394"/>
      <c r="AI242" s="1394"/>
      <c r="AJ242" s="1395"/>
      <c r="AK242" s="1395"/>
      <c r="AL242" s="1395"/>
      <c r="AM242" s="1395"/>
      <c r="AN242" s="1395"/>
      <c r="AO242" s="1395"/>
      <c r="AP242" s="1395"/>
      <c r="AQ242" s="1395"/>
      <c r="AR242" s="1395"/>
      <c r="AS242" s="1395"/>
      <c r="AT242" s="1396"/>
      <c r="AU242" s="1413"/>
      <c r="AV242" s="1414"/>
    </row>
    <row r="243" spans="1:48" ht="20.100000000000001" customHeight="1" x14ac:dyDescent="0.25">
      <c r="A243" s="360"/>
      <c r="B243" s="1387"/>
      <c r="C243" s="1388"/>
      <c r="D243" s="1166" t="s">
        <v>569</v>
      </c>
      <c r="E243" s="1385"/>
      <c r="F243" s="1385"/>
      <c r="G243" s="1385"/>
      <c r="H243" s="2048"/>
      <c r="I243" s="2048"/>
      <c r="J243" s="2048"/>
      <c r="K243" s="1385">
        <v>0</v>
      </c>
      <c r="L243" s="1385">
        <v>0</v>
      </c>
      <c r="M243" s="1385">
        <v>0</v>
      </c>
      <c r="N243" s="2049"/>
      <c r="O243" s="2049"/>
      <c r="P243" s="2049"/>
      <c r="Q243" s="2028">
        <f t="shared" si="143"/>
        <v>0</v>
      </c>
      <c r="R243" s="2026">
        <f t="shared" si="141"/>
        <v>0</v>
      </c>
      <c r="S243" s="2029">
        <f t="shared" si="142"/>
        <v>0</v>
      </c>
      <c r="T243" s="853">
        <f t="shared" si="144"/>
        <v>0</v>
      </c>
      <c r="U243" s="1408" t="str">
        <f t="shared" si="145"/>
        <v>1.33</v>
      </c>
      <c r="V243" s="1408" t="str">
        <f t="shared" si="146"/>
        <v>D+</v>
      </c>
      <c r="W243" s="1408" t="str">
        <f t="shared" si="147"/>
        <v>0</v>
      </c>
      <c r="X243" s="1409"/>
      <c r="Y243" s="1393"/>
      <c r="Z243" s="1394"/>
      <c r="AA243" s="1394"/>
      <c r="AB243" s="1394"/>
      <c r="AC243" s="1394"/>
      <c r="AD243" s="1394"/>
      <c r="AE243" s="1394"/>
      <c r="AF243" s="1394"/>
      <c r="AG243" s="1394"/>
      <c r="AH243" s="1394"/>
      <c r="AI243" s="1394"/>
      <c r="AJ243" s="1395"/>
      <c r="AK243" s="1395"/>
      <c r="AL243" s="1395"/>
      <c r="AM243" s="1395"/>
      <c r="AN243" s="1395"/>
      <c r="AO243" s="1395"/>
      <c r="AP243" s="1395"/>
      <c r="AQ243" s="1395"/>
      <c r="AR243" s="1395"/>
      <c r="AS243" s="1395"/>
      <c r="AT243" s="1396"/>
      <c r="AU243" s="1413"/>
      <c r="AV243" s="1414"/>
    </row>
    <row r="244" spans="1:48" ht="20.100000000000001" customHeight="1" x14ac:dyDescent="0.25">
      <c r="A244" s="360"/>
      <c r="B244" s="1387"/>
      <c r="C244" s="1388"/>
      <c r="D244" s="1166" t="s">
        <v>209</v>
      </c>
      <c r="E244" s="1385"/>
      <c r="F244" s="1385"/>
      <c r="G244" s="1385"/>
      <c r="H244" s="2048"/>
      <c r="I244" s="2048"/>
      <c r="J244" s="2048"/>
      <c r="K244" s="1385"/>
      <c r="L244" s="1385"/>
      <c r="M244" s="1385"/>
      <c r="N244" s="2049">
        <v>0</v>
      </c>
      <c r="O244" s="2049">
        <v>0</v>
      </c>
      <c r="P244" s="2049">
        <v>0</v>
      </c>
      <c r="Q244" s="2028">
        <f t="shared" si="143"/>
        <v>0</v>
      </c>
      <c r="R244" s="2026">
        <f t="shared" si="141"/>
        <v>0</v>
      </c>
      <c r="S244" s="2029">
        <f t="shared" si="142"/>
        <v>0</v>
      </c>
      <c r="T244" s="853">
        <f t="shared" si="144"/>
        <v>0</v>
      </c>
      <c r="U244" s="1408" t="str">
        <f t="shared" si="145"/>
        <v>1.33</v>
      </c>
      <c r="V244" s="1408" t="str">
        <f t="shared" si="146"/>
        <v>D+</v>
      </c>
      <c r="W244" s="1408" t="str">
        <f t="shared" si="147"/>
        <v>0</v>
      </c>
      <c r="X244" s="1409"/>
      <c r="Y244" s="1393"/>
      <c r="Z244" s="1394"/>
      <c r="AA244" s="1394"/>
      <c r="AB244" s="1394"/>
      <c r="AC244" s="1394"/>
      <c r="AD244" s="1394"/>
      <c r="AE244" s="1394"/>
      <c r="AF244" s="1394"/>
      <c r="AG244" s="1394"/>
      <c r="AH244" s="1394"/>
      <c r="AI244" s="1394"/>
      <c r="AJ244" s="1395"/>
      <c r="AK244" s="1395"/>
      <c r="AL244" s="1395"/>
      <c r="AM244" s="1395"/>
      <c r="AN244" s="1395"/>
      <c r="AO244" s="1395"/>
      <c r="AP244" s="1395"/>
      <c r="AQ244" s="1395"/>
      <c r="AR244" s="1395"/>
      <c r="AS244" s="1395"/>
      <c r="AT244" s="1396"/>
      <c r="AU244" s="1413"/>
      <c r="AV244" s="1414"/>
    </row>
    <row r="245" spans="1:48" ht="20.100000000000001" customHeight="1" x14ac:dyDescent="0.25">
      <c r="A245" s="360"/>
      <c r="B245" s="1387"/>
      <c r="C245" s="1388"/>
      <c r="D245" s="1166" t="s">
        <v>210</v>
      </c>
      <c r="E245" s="1385"/>
      <c r="F245" s="1385"/>
      <c r="G245" s="1385"/>
      <c r="H245" s="2048"/>
      <c r="I245" s="2048"/>
      <c r="J245" s="2048"/>
      <c r="K245" s="1385"/>
      <c r="L245" s="1385"/>
      <c r="M245" s="1385"/>
      <c r="N245" s="2049">
        <v>0</v>
      </c>
      <c r="O245" s="2049">
        <v>0</v>
      </c>
      <c r="P245" s="2049">
        <v>0</v>
      </c>
      <c r="Q245" s="2028">
        <f t="shared" si="143"/>
        <v>0</v>
      </c>
      <c r="R245" s="2026">
        <f t="shared" si="141"/>
        <v>0</v>
      </c>
      <c r="S245" s="2029">
        <f t="shared" si="142"/>
        <v>0</v>
      </c>
      <c r="T245" s="853">
        <f t="shared" si="144"/>
        <v>0</v>
      </c>
      <c r="U245" s="1408" t="str">
        <f t="shared" si="145"/>
        <v>1.33</v>
      </c>
      <c r="V245" s="1408" t="str">
        <f t="shared" si="146"/>
        <v>D+</v>
      </c>
      <c r="W245" s="1408" t="str">
        <f t="shared" si="147"/>
        <v>0</v>
      </c>
      <c r="X245" s="1409"/>
      <c r="Y245" s="1397"/>
      <c r="Z245" s="1398"/>
      <c r="AA245" s="1398"/>
      <c r="AB245" s="1398"/>
      <c r="AC245" s="1398"/>
      <c r="AD245" s="1398"/>
      <c r="AE245" s="1398"/>
      <c r="AF245" s="1398"/>
      <c r="AG245" s="1398"/>
      <c r="AH245" s="1398"/>
      <c r="AI245" s="1398"/>
      <c r="AJ245" s="1399"/>
      <c r="AK245" s="1399"/>
      <c r="AL245" s="1399"/>
      <c r="AM245" s="1399"/>
      <c r="AN245" s="1399"/>
      <c r="AO245" s="1399"/>
      <c r="AP245" s="1399"/>
      <c r="AQ245" s="1399"/>
      <c r="AR245" s="1399"/>
      <c r="AS245" s="1399"/>
      <c r="AT245" s="1400"/>
      <c r="AU245" s="1415"/>
      <c r="AV245" s="1416"/>
    </row>
    <row r="246" spans="1:48" ht="20.100000000000001" customHeight="1" x14ac:dyDescent="0.25">
      <c r="A246" s="727"/>
      <c r="B246" s="1406">
        <v>20</v>
      </c>
      <c r="C246" s="1407"/>
      <c r="D246" s="1004"/>
      <c r="E246" s="2780"/>
      <c r="F246" s="2781"/>
      <c r="G246" s="2781"/>
      <c r="H246" s="2781"/>
      <c r="I246" s="2046"/>
      <c r="J246" s="2046"/>
      <c r="K246" s="2046"/>
      <c r="L246" s="2046"/>
      <c r="M246" s="2046"/>
      <c r="N246" s="2046"/>
      <c r="O246" s="2046"/>
      <c r="P246" s="2046"/>
      <c r="Q246" s="2046"/>
      <c r="R246" s="2046"/>
      <c r="S246" s="2046"/>
      <c r="T246" s="2044">
        <f>IFERROR(AVERAGE(T235:T245),"  ")</f>
        <v>0</v>
      </c>
      <c r="U246" s="2045" t="str">
        <f>IF(X246&gt;85,("4"),IF(X246&gt;80,("3.66"),IF(X246&gt;75,("3.33"),IF(X246&gt;70,("3.00"),IF(X246&gt;65,("2.66"),IF(X246&gt;60,("2.33"),IF(X246&gt;55,("2"),IF(X246&gt;50,("1.66"),"1.33"))))))))</f>
        <v>1.33</v>
      </c>
      <c r="V246" s="2045" t="str">
        <f>IF(X246&gt;85,("A"),IF(X246&gt;80,("A-"),IF(X246&gt;75,("B+"),IF(X246&gt;70,("B"),IF(X246&gt;65,("B-"),IF(X246&gt;60,("C+"),IF(X246&gt;55,("C"),IF(X246&gt;50,("C-"),"D+"))))))))</f>
        <v>D+</v>
      </c>
      <c r="W246" s="2045"/>
      <c r="X246" s="888">
        <f>MAX(T235:T245)</f>
        <v>0</v>
      </c>
      <c r="Y246" s="1403"/>
      <c r="Z246" s="1404"/>
      <c r="AA246" s="1404"/>
      <c r="AB246" s="1404"/>
      <c r="AC246" s="1404"/>
      <c r="AD246" s="1404"/>
      <c r="AE246" s="1404"/>
      <c r="AF246" s="1404"/>
      <c r="AG246" s="1404"/>
      <c r="AH246" s="1404"/>
      <c r="AI246" s="1404"/>
      <c r="AJ246" s="1404"/>
      <c r="AK246" s="1404"/>
      <c r="AL246" s="1404"/>
      <c r="AM246" s="1404"/>
      <c r="AN246" s="1404"/>
      <c r="AO246" s="1404"/>
      <c r="AP246" s="1404"/>
      <c r="AQ246" s="1404"/>
      <c r="AR246" s="1404"/>
      <c r="AS246" s="1404"/>
      <c r="AT246" s="1405"/>
      <c r="AU246" s="1257"/>
      <c r="AV246" s="1258"/>
    </row>
    <row r="247" spans="1:48" ht="20.100000000000001" customHeight="1" x14ac:dyDescent="0.25">
      <c r="A247" s="724">
        <v>21</v>
      </c>
      <c r="B247" s="1383"/>
      <c r="C247" s="1384" t="str">
        <f>VLOOKUP(A247,data_siswa,4,FALSE)</f>
        <v>Rojalingga Prana A</v>
      </c>
      <c r="D247" s="1166" t="s">
        <v>154</v>
      </c>
      <c r="E247" s="2050">
        <v>0</v>
      </c>
      <c r="F247" s="2050">
        <v>0</v>
      </c>
      <c r="G247" s="2050">
        <v>0</v>
      </c>
      <c r="H247" s="2051"/>
      <c r="I247" s="2051"/>
      <c r="J247" s="2051"/>
      <c r="K247" s="2050"/>
      <c r="L247" s="2050"/>
      <c r="M247" s="2050"/>
      <c r="N247" s="2052"/>
      <c r="O247" s="2052"/>
      <c r="P247" s="2052"/>
      <c r="Q247" s="2028">
        <f>MAX(E247,H247,K247,N247)</f>
        <v>0</v>
      </c>
      <c r="R247" s="2026">
        <f t="shared" ref="R247:R257" si="148">MAX(F247,I247,L247,O247)</f>
        <v>0</v>
      </c>
      <c r="S247" s="2029">
        <f t="shared" ref="S247:S257" si="149">MAX(G247,J247,M247,P247)</f>
        <v>0</v>
      </c>
      <c r="T247" s="853">
        <f>IFERROR(AVERAGE(Q247:S247),"")</f>
        <v>0</v>
      </c>
      <c r="U247" s="1408" t="str">
        <f>IF(T247&gt;85,("4"),IF(T247&gt;80,("3.66"),IF(T247&gt;75,("3.33"),IF(T247&gt;70,("3.00"),IF(T247&gt;65,("2.66"),IF(T247&gt;60,("2.33"),IF(T247&gt;55,("2"),IF(T247&gt;50,("1.66"),"1.33"))))))))</f>
        <v>1.33</v>
      </c>
      <c r="V247" s="1408" t="str">
        <f>IF(T247&gt;85,("A"),IF(T247&gt;80,("A-"),IF(T247&gt;75,("B+"),IF(T247&gt;70,("B"),IF(T247&gt;65,("B-"),IF(T247&gt;60,("C+"),IF(T247&gt;55,("C"),IF(T247&gt;50,("C-"),"D+"))))))))</f>
        <v>D+</v>
      </c>
      <c r="W247" s="1408" t="str">
        <f>IF(T247&gt;80,("SB"),IF(T247&gt;65,("B"),IF(T247&gt;50,("C"),IF(T247&gt;0,("K"),"0"))))</f>
        <v>0</v>
      </c>
      <c r="X247" s="1408"/>
      <c r="Y247" s="749"/>
      <c r="Z247" s="749"/>
      <c r="AA247" s="749"/>
      <c r="AB247" s="749"/>
      <c r="AC247" s="749"/>
      <c r="AD247" s="749"/>
      <c r="AE247" s="749"/>
      <c r="AF247" s="749"/>
      <c r="AG247" s="749"/>
      <c r="AH247" s="749"/>
      <c r="AI247" s="749"/>
      <c r="AJ247" s="1386"/>
      <c r="AK247" s="1386"/>
      <c r="AL247" s="1386"/>
      <c r="AM247" s="1386"/>
      <c r="AN247" s="1386"/>
      <c r="AO247" s="1386"/>
      <c r="AP247" s="1386"/>
      <c r="AQ247" s="1386"/>
      <c r="AR247" s="1386"/>
      <c r="AS247" s="1386"/>
      <c r="AT247" s="1386"/>
      <c r="AU247" s="1057">
        <f>T258</f>
        <v>0</v>
      </c>
      <c r="AV247" s="1194" t="str">
        <f>IF(AU247&gt;85,("A"),IF(AU247&gt;80,("A-"),IF(AU247&gt;75,("B+"),IF(AU247&gt;70,("B"),IF(AU247&gt;65,("B-"),IF(AU247&gt;60,("C+"),IF(AU247&gt;55,("C"),IF(AU247&gt;50,("C-"),"D+"))))))))</f>
        <v>D+</v>
      </c>
    </row>
    <row r="248" spans="1:48" ht="20.100000000000001" customHeight="1" x14ac:dyDescent="0.25">
      <c r="A248" s="360"/>
      <c r="B248" s="1387"/>
      <c r="C248" s="1388"/>
      <c r="D248" s="1166" t="s">
        <v>155</v>
      </c>
      <c r="E248" s="1493"/>
      <c r="F248" s="1493"/>
      <c r="G248" s="1493"/>
      <c r="H248" s="2040"/>
      <c r="I248" s="2040"/>
      <c r="J248" s="2040"/>
      <c r="K248" s="1493"/>
      <c r="L248" s="1493"/>
      <c r="M248" s="1493"/>
      <c r="N248" s="2039">
        <v>0</v>
      </c>
      <c r="O248" s="2039">
        <v>0</v>
      </c>
      <c r="P248" s="2039">
        <v>0</v>
      </c>
      <c r="Q248" s="2028">
        <f t="shared" ref="Q248:Q257" si="150">MAX(E248,H248,K248,N248)</f>
        <v>0</v>
      </c>
      <c r="R248" s="2026">
        <f t="shared" si="148"/>
        <v>0</v>
      </c>
      <c r="S248" s="2029">
        <f t="shared" si="149"/>
        <v>0</v>
      </c>
      <c r="T248" s="853">
        <f t="shared" ref="T248:T257" si="151">IFERROR(AVERAGE(Q248:S248),"")</f>
        <v>0</v>
      </c>
      <c r="U248" s="1408" t="str">
        <f t="shared" ref="U248:U257" si="152">IF(T248&gt;85,("4"),IF(T248&gt;80,("3.66"),IF(T248&gt;75,("3.33"),IF(T248&gt;70,("3.00"),IF(T248&gt;65,("2.66"),IF(T248&gt;60,("2.33"),IF(T248&gt;55,("2"),IF(T248&gt;50,("1.66"),"1.33"))))))))</f>
        <v>1.33</v>
      </c>
      <c r="V248" s="1408" t="str">
        <f t="shared" ref="V248:V257" si="153">IF(T248&gt;85,("A"),IF(T248&gt;80,("A-"),IF(T248&gt;75,("B+"),IF(T248&gt;70,("B"),IF(T248&gt;65,("B-"),IF(T248&gt;60,("C+"),IF(T248&gt;55,("C"),IF(T248&gt;50,("C-"),"D+"))))))))</f>
        <v>D+</v>
      </c>
      <c r="W248" s="1408" t="str">
        <f t="shared" ref="W248:W257" si="154">IF(T248&gt;80,("SB"),IF(T248&gt;65,("B"),IF(T248&gt;50,("C"),IF(T248&gt;0,("K"),"0"))))</f>
        <v>0</v>
      </c>
      <c r="X248" s="1409"/>
      <c r="Y248" s="1389"/>
      <c r="Z248" s="1390"/>
      <c r="AA248" s="1390"/>
      <c r="AB248" s="1390"/>
      <c r="AC248" s="1390"/>
      <c r="AD248" s="1390"/>
      <c r="AE248" s="1390"/>
      <c r="AF248" s="1390"/>
      <c r="AG248" s="1390"/>
      <c r="AH248" s="1390"/>
      <c r="AI248" s="1390"/>
      <c r="AJ248" s="1391"/>
      <c r="AK248" s="1391"/>
      <c r="AL248" s="1391"/>
      <c r="AM248" s="1391"/>
      <c r="AN248" s="1391"/>
      <c r="AO248" s="1391"/>
      <c r="AP248" s="1391"/>
      <c r="AQ248" s="1391"/>
      <c r="AR248" s="1391"/>
      <c r="AS248" s="1391"/>
      <c r="AT248" s="1392"/>
      <c r="AU248" s="1411"/>
      <c r="AV248" s="1412"/>
    </row>
    <row r="249" spans="1:48" ht="20.100000000000001" customHeight="1" x14ac:dyDescent="0.25">
      <c r="A249" s="360"/>
      <c r="B249" s="1387"/>
      <c r="C249" s="1388"/>
      <c r="D249" s="1166" t="s">
        <v>16</v>
      </c>
      <c r="E249" s="1493"/>
      <c r="F249" s="1493"/>
      <c r="G249" s="1493"/>
      <c r="H249" s="2040">
        <v>0</v>
      </c>
      <c r="I249" s="2040">
        <v>0</v>
      </c>
      <c r="J249" s="2040">
        <v>0</v>
      </c>
      <c r="K249" s="1493"/>
      <c r="L249" s="1493"/>
      <c r="M249" s="1493"/>
      <c r="N249" s="2052"/>
      <c r="O249" s="2052"/>
      <c r="P249" s="2052"/>
      <c r="Q249" s="2028">
        <f t="shared" si="150"/>
        <v>0</v>
      </c>
      <c r="R249" s="2026">
        <f t="shared" si="148"/>
        <v>0</v>
      </c>
      <c r="S249" s="2029">
        <f t="shared" si="149"/>
        <v>0</v>
      </c>
      <c r="T249" s="853">
        <f t="shared" si="151"/>
        <v>0</v>
      </c>
      <c r="U249" s="1408" t="str">
        <f t="shared" si="152"/>
        <v>1.33</v>
      </c>
      <c r="V249" s="1408" t="str">
        <f t="shared" si="153"/>
        <v>D+</v>
      </c>
      <c r="W249" s="1408" t="str">
        <f t="shared" si="154"/>
        <v>0</v>
      </c>
      <c r="X249" s="1409"/>
      <c r="Y249" s="1393"/>
      <c r="Z249" s="1394"/>
      <c r="AA249" s="1394"/>
      <c r="AB249" s="1394"/>
      <c r="AC249" s="1394"/>
      <c r="AD249" s="1394"/>
      <c r="AE249" s="1394"/>
      <c r="AF249" s="1394"/>
      <c r="AG249" s="1394"/>
      <c r="AH249" s="1394"/>
      <c r="AI249" s="1394"/>
      <c r="AJ249" s="1395"/>
      <c r="AK249" s="1395"/>
      <c r="AL249" s="1395"/>
      <c r="AM249" s="1395"/>
      <c r="AN249" s="1395"/>
      <c r="AO249" s="1395"/>
      <c r="AP249" s="1395"/>
      <c r="AQ249" s="1395"/>
      <c r="AR249" s="1395"/>
      <c r="AS249" s="1395"/>
      <c r="AT249" s="1396"/>
      <c r="AU249" s="1413"/>
      <c r="AV249" s="1414"/>
    </row>
    <row r="250" spans="1:48" ht="20.100000000000001" customHeight="1" x14ac:dyDescent="0.25">
      <c r="A250" s="360"/>
      <c r="B250" s="1387"/>
      <c r="C250" s="1388"/>
      <c r="D250" s="1166" t="s">
        <v>189</v>
      </c>
      <c r="E250" s="1493"/>
      <c r="F250" s="1493"/>
      <c r="G250" s="1493"/>
      <c r="H250" s="2040">
        <v>0</v>
      </c>
      <c r="I250" s="2040">
        <v>0</v>
      </c>
      <c r="J250" s="2040">
        <v>0</v>
      </c>
      <c r="K250" s="1493"/>
      <c r="L250" s="1493"/>
      <c r="M250" s="1493"/>
      <c r="N250" s="2039"/>
      <c r="O250" s="2039"/>
      <c r="P250" s="2039"/>
      <c r="Q250" s="2028">
        <f t="shared" si="150"/>
        <v>0</v>
      </c>
      <c r="R250" s="2026">
        <f t="shared" si="148"/>
        <v>0</v>
      </c>
      <c r="S250" s="2029">
        <f t="shared" si="149"/>
        <v>0</v>
      </c>
      <c r="T250" s="853">
        <f t="shared" si="151"/>
        <v>0</v>
      </c>
      <c r="U250" s="1408" t="str">
        <f t="shared" si="152"/>
        <v>1.33</v>
      </c>
      <c r="V250" s="1408" t="str">
        <f t="shared" si="153"/>
        <v>D+</v>
      </c>
      <c r="W250" s="1408" t="str">
        <f t="shared" si="154"/>
        <v>0</v>
      </c>
      <c r="X250" s="1409"/>
      <c r="Y250" s="1393"/>
      <c r="Z250" s="1394"/>
      <c r="AA250" s="1394"/>
      <c r="AB250" s="1394"/>
      <c r="AC250" s="1394"/>
      <c r="AD250" s="1394"/>
      <c r="AE250" s="1394"/>
      <c r="AF250" s="1394"/>
      <c r="AG250" s="1394"/>
      <c r="AH250" s="1394"/>
      <c r="AI250" s="1394"/>
      <c r="AJ250" s="1395"/>
      <c r="AK250" s="1395"/>
      <c r="AL250" s="1395"/>
      <c r="AM250" s="1395"/>
      <c r="AN250" s="1395"/>
      <c r="AO250" s="1395"/>
      <c r="AP250" s="1395"/>
      <c r="AQ250" s="1395"/>
      <c r="AR250" s="1395"/>
      <c r="AS250" s="1395"/>
      <c r="AT250" s="1396"/>
      <c r="AU250" s="1413"/>
      <c r="AV250" s="1414"/>
    </row>
    <row r="251" spans="1:48" ht="20.100000000000001" customHeight="1" x14ac:dyDescent="0.25">
      <c r="A251" s="360"/>
      <c r="B251" s="1387"/>
      <c r="C251" s="1388"/>
      <c r="D251" s="1166" t="s">
        <v>186</v>
      </c>
      <c r="E251" s="1493"/>
      <c r="F251" s="1493"/>
      <c r="G251" s="1493"/>
      <c r="H251" s="2040">
        <v>0</v>
      </c>
      <c r="I251" s="2040">
        <v>0</v>
      </c>
      <c r="J251" s="2040">
        <v>0</v>
      </c>
      <c r="K251" s="1493"/>
      <c r="L251" s="1493"/>
      <c r="M251" s="1493"/>
      <c r="N251" s="2039"/>
      <c r="O251" s="2039"/>
      <c r="P251" s="2039"/>
      <c r="Q251" s="2028">
        <f t="shared" si="150"/>
        <v>0</v>
      </c>
      <c r="R251" s="2026">
        <f t="shared" si="148"/>
        <v>0</v>
      </c>
      <c r="S251" s="2029">
        <f t="shared" si="149"/>
        <v>0</v>
      </c>
      <c r="T251" s="853">
        <f t="shared" si="151"/>
        <v>0</v>
      </c>
      <c r="U251" s="1408" t="str">
        <f t="shared" si="152"/>
        <v>1.33</v>
      </c>
      <c r="V251" s="1408" t="str">
        <f t="shared" si="153"/>
        <v>D+</v>
      </c>
      <c r="W251" s="1408" t="str">
        <f t="shared" si="154"/>
        <v>0</v>
      </c>
      <c r="X251" s="1409"/>
      <c r="Y251" s="1393"/>
      <c r="Z251" s="1394"/>
      <c r="AA251" s="1394"/>
      <c r="AB251" s="1394"/>
      <c r="AC251" s="1394"/>
      <c r="AD251" s="1394"/>
      <c r="AE251" s="1394"/>
      <c r="AF251" s="1394"/>
      <c r="AG251" s="1394"/>
      <c r="AH251" s="1394"/>
      <c r="AI251" s="1394"/>
      <c r="AJ251" s="1395"/>
      <c r="AK251" s="1395"/>
      <c r="AL251" s="1395"/>
      <c r="AM251" s="1395"/>
      <c r="AN251" s="1395"/>
      <c r="AO251" s="1395"/>
      <c r="AP251" s="1395"/>
      <c r="AQ251" s="1395"/>
      <c r="AR251" s="1395"/>
      <c r="AS251" s="1395"/>
      <c r="AT251" s="1396"/>
      <c r="AU251" s="1413"/>
      <c r="AV251" s="1414"/>
    </row>
    <row r="252" spans="1:48" ht="20.100000000000001" customHeight="1" x14ac:dyDescent="0.25">
      <c r="A252" s="360"/>
      <c r="B252" s="1387"/>
      <c r="C252" s="1388"/>
      <c r="D252" s="1166" t="s">
        <v>187</v>
      </c>
      <c r="E252" s="1385"/>
      <c r="F252" s="1385"/>
      <c r="G252" s="1385"/>
      <c r="H252" s="2048"/>
      <c r="I252" s="2048"/>
      <c r="J252" s="2048"/>
      <c r="K252" s="1385">
        <v>0</v>
      </c>
      <c r="L252" s="1385">
        <v>0</v>
      </c>
      <c r="M252" s="1385">
        <v>0</v>
      </c>
      <c r="N252" s="2049"/>
      <c r="O252" s="2049"/>
      <c r="P252" s="2049"/>
      <c r="Q252" s="2028">
        <f t="shared" si="150"/>
        <v>0</v>
      </c>
      <c r="R252" s="2026">
        <f t="shared" si="148"/>
        <v>0</v>
      </c>
      <c r="S252" s="2029">
        <f t="shared" si="149"/>
        <v>0</v>
      </c>
      <c r="T252" s="853">
        <f t="shared" si="151"/>
        <v>0</v>
      </c>
      <c r="U252" s="1408" t="str">
        <f t="shared" si="152"/>
        <v>1.33</v>
      </c>
      <c r="V252" s="1408" t="str">
        <f t="shared" si="153"/>
        <v>D+</v>
      </c>
      <c r="W252" s="1408" t="str">
        <f t="shared" si="154"/>
        <v>0</v>
      </c>
      <c r="X252" s="1409"/>
      <c r="Y252" s="1393"/>
      <c r="Z252" s="1394"/>
      <c r="AA252" s="1394"/>
      <c r="AB252" s="1394"/>
      <c r="AC252" s="1394"/>
      <c r="AD252" s="1394"/>
      <c r="AE252" s="1394"/>
      <c r="AF252" s="1394"/>
      <c r="AG252" s="1394"/>
      <c r="AH252" s="1394"/>
      <c r="AI252" s="1394"/>
      <c r="AJ252" s="1395"/>
      <c r="AK252" s="1395"/>
      <c r="AL252" s="1395"/>
      <c r="AM252" s="1395"/>
      <c r="AN252" s="1395"/>
      <c r="AO252" s="1395"/>
      <c r="AP252" s="1395"/>
      <c r="AQ252" s="1395"/>
      <c r="AR252" s="1395"/>
      <c r="AS252" s="1395"/>
      <c r="AT252" s="1396"/>
      <c r="AU252" s="1413"/>
      <c r="AV252" s="1414"/>
    </row>
    <row r="253" spans="1:48" ht="20.100000000000001" customHeight="1" x14ac:dyDescent="0.25">
      <c r="A253" s="360"/>
      <c r="B253" s="1387"/>
      <c r="C253" s="1388"/>
      <c r="D253" s="1166" t="s">
        <v>17</v>
      </c>
      <c r="E253" s="1385">
        <v>0</v>
      </c>
      <c r="F253" s="1385">
        <v>0</v>
      </c>
      <c r="G253" s="1385">
        <v>0</v>
      </c>
      <c r="H253" s="2048">
        <v>0</v>
      </c>
      <c r="I253" s="2048">
        <v>0</v>
      </c>
      <c r="J253" s="2048">
        <v>0</v>
      </c>
      <c r="K253" s="1385"/>
      <c r="L253" s="1385"/>
      <c r="M253" s="1385"/>
      <c r="N253" s="2049"/>
      <c r="O253" s="2049"/>
      <c r="P253" s="2049"/>
      <c r="Q253" s="2028">
        <f t="shared" si="150"/>
        <v>0</v>
      </c>
      <c r="R253" s="2026">
        <f t="shared" si="148"/>
        <v>0</v>
      </c>
      <c r="S253" s="2029">
        <f t="shared" si="149"/>
        <v>0</v>
      </c>
      <c r="T253" s="853">
        <f t="shared" si="151"/>
        <v>0</v>
      </c>
      <c r="U253" s="1408" t="str">
        <f t="shared" si="152"/>
        <v>1.33</v>
      </c>
      <c r="V253" s="1408" t="str">
        <f t="shared" si="153"/>
        <v>D+</v>
      </c>
      <c r="W253" s="1408" t="str">
        <f t="shared" si="154"/>
        <v>0</v>
      </c>
      <c r="X253" s="1409"/>
      <c r="Y253" s="1393"/>
      <c r="Z253" s="1394"/>
      <c r="AA253" s="1394"/>
      <c r="AB253" s="1394"/>
      <c r="AC253" s="1394"/>
      <c r="AD253" s="1394"/>
      <c r="AE253" s="1394"/>
      <c r="AF253" s="1394"/>
      <c r="AG253" s="1394"/>
      <c r="AH253" s="1394"/>
      <c r="AI253" s="1394"/>
      <c r="AJ253" s="1395"/>
      <c r="AK253" s="1395"/>
      <c r="AL253" s="1395"/>
      <c r="AM253" s="1395"/>
      <c r="AN253" s="1395"/>
      <c r="AO253" s="1395"/>
      <c r="AP253" s="1395"/>
      <c r="AQ253" s="1395"/>
      <c r="AR253" s="1395"/>
      <c r="AS253" s="1395"/>
      <c r="AT253" s="1396"/>
      <c r="AU253" s="1413"/>
      <c r="AV253" s="1414"/>
    </row>
    <row r="254" spans="1:48" ht="20.100000000000001" customHeight="1" x14ac:dyDescent="0.25">
      <c r="A254" s="360"/>
      <c r="B254" s="1387"/>
      <c r="C254" s="1388"/>
      <c r="D254" s="1166" t="s">
        <v>188</v>
      </c>
      <c r="E254" s="1385"/>
      <c r="F254" s="1385"/>
      <c r="G254" s="1385"/>
      <c r="H254" s="2048">
        <v>0</v>
      </c>
      <c r="I254" s="2048">
        <v>0</v>
      </c>
      <c r="J254" s="2048">
        <v>0</v>
      </c>
      <c r="K254" s="1385"/>
      <c r="L254" s="1385"/>
      <c r="M254" s="1385"/>
      <c r="N254" s="2049"/>
      <c r="O254" s="2049"/>
      <c r="P254" s="2049"/>
      <c r="Q254" s="2028">
        <f t="shared" si="150"/>
        <v>0</v>
      </c>
      <c r="R254" s="2026">
        <f t="shared" si="148"/>
        <v>0</v>
      </c>
      <c r="S254" s="2029">
        <f t="shared" si="149"/>
        <v>0</v>
      </c>
      <c r="T254" s="853">
        <f t="shared" si="151"/>
        <v>0</v>
      </c>
      <c r="U254" s="1408" t="str">
        <f t="shared" si="152"/>
        <v>1.33</v>
      </c>
      <c r="V254" s="1408" t="str">
        <f t="shared" si="153"/>
        <v>D+</v>
      </c>
      <c r="W254" s="1408" t="str">
        <f t="shared" si="154"/>
        <v>0</v>
      </c>
      <c r="X254" s="1409"/>
      <c r="Y254" s="1393"/>
      <c r="Z254" s="1394"/>
      <c r="AA254" s="1394"/>
      <c r="AB254" s="1394"/>
      <c r="AC254" s="1394"/>
      <c r="AD254" s="1394"/>
      <c r="AE254" s="1394"/>
      <c r="AF254" s="1394"/>
      <c r="AG254" s="1394"/>
      <c r="AH254" s="1394"/>
      <c r="AI254" s="1394"/>
      <c r="AJ254" s="1395"/>
      <c r="AK254" s="1395"/>
      <c r="AL254" s="1395"/>
      <c r="AM254" s="1395"/>
      <c r="AN254" s="1395"/>
      <c r="AO254" s="1395"/>
      <c r="AP254" s="1395"/>
      <c r="AQ254" s="1395"/>
      <c r="AR254" s="1395"/>
      <c r="AS254" s="1395"/>
      <c r="AT254" s="1396"/>
      <c r="AU254" s="1413"/>
      <c r="AV254" s="1414"/>
    </row>
    <row r="255" spans="1:48" ht="20.100000000000001" customHeight="1" x14ac:dyDescent="0.25">
      <c r="A255" s="360"/>
      <c r="B255" s="1387"/>
      <c r="C255" s="1388"/>
      <c r="D255" s="1166" t="s">
        <v>569</v>
      </c>
      <c r="E255" s="1385"/>
      <c r="F255" s="1385"/>
      <c r="G255" s="1385"/>
      <c r="H255" s="2048"/>
      <c r="I255" s="2048"/>
      <c r="J255" s="2048"/>
      <c r="K255" s="1385">
        <v>0</v>
      </c>
      <c r="L255" s="1385">
        <v>0</v>
      </c>
      <c r="M255" s="1385">
        <v>0</v>
      </c>
      <c r="N255" s="2049"/>
      <c r="O255" s="2049"/>
      <c r="P255" s="2049"/>
      <c r="Q255" s="2028">
        <f t="shared" si="150"/>
        <v>0</v>
      </c>
      <c r="R255" s="2026">
        <f t="shared" si="148"/>
        <v>0</v>
      </c>
      <c r="S255" s="2029">
        <f t="shared" si="149"/>
        <v>0</v>
      </c>
      <c r="T255" s="853">
        <f t="shared" si="151"/>
        <v>0</v>
      </c>
      <c r="U255" s="1408" t="str">
        <f t="shared" si="152"/>
        <v>1.33</v>
      </c>
      <c r="V255" s="1408" t="str">
        <f t="shared" si="153"/>
        <v>D+</v>
      </c>
      <c r="W255" s="1408" t="str">
        <f t="shared" si="154"/>
        <v>0</v>
      </c>
      <c r="X255" s="1409"/>
      <c r="Y255" s="1393"/>
      <c r="Z255" s="1394"/>
      <c r="AA255" s="1394"/>
      <c r="AB255" s="1394"/>
      <c r="AC255" s="1394"/>
      <c r="AD255" s="1394"/>
      <c r="AE255" s="1394"/>
      <c r="AF255" s="1394"/>
      <c r="AG255" s="1394"/>
      <c r="AH255" s="1394"/>
      <c r="AI255" s="1394"/>
      <c r="AJ255" s="1395"/>
      <c r="AK255" s="1395"/>
      <c r="AL255" s="1395"/>
      <c r="AM255" s="1395"/>
      <c r="AN255" s="1395"/>
      <c r="AO255" s="1395"/>
      <c r="AP255" s="1395"/>
      <c r="AQ255" s="1395"/>
      <c r="AR255" s="1395"/>
      <c r="AS255" s="1395"/>
      <c r="AT255" s="1396"/>
      <c r="AU255" s="1413"/>
      <c r="AV255" s="1414"/>
    </row>
    <row r="256" spans="1:48" ht="20.100000000000001" customHeight="1" x14ac:dyDescent="0.25">
      <c r="A256" s="360"/>
      <c r="B256" s="1387"/>
      <c r="C256" s="1388"/>
      <c r="D256" s="1166" t="s">
        <v>209</v>
      </c>
      <c r="E256" s="1385"/>
      <c r="F256" s="1385"/>
      <c r="G256" s="1385"/>
      <c r="H256" s="2048"/>
      <c r="I256" s="2048"/>
      <c r="J256" s="2048"/>
      <c r="K256" s="1385"/>
      <c r="L256" s="1385"/>
      <c r="M256" s="1385"/>
      <c r="N256" s="2049">
        <v>0</v>
      </c>
      <c r="O256" s="2049">
        <v>0</v>
      </c>
      <c r="P256" s="2049">
        <v>0</v>
      </c>
      <c r="Q256" s="2028">
        <f t="shared" si="150"/>
        <v>0</v>
      </c>
      <c r="R256" s="2026">
        <f t="shared" si="148"/>
        <v>0</v>
      </c>
      <c r="S256" s="2029">
        <f t="shared" si="149"/>
        <v>0</v>
      </c>
      <c r="T256" s="853">
        <f t="shared" si="151"/>
        <v>0</v>
      </c>
      <c r="U256" s="1408" t="str">
        <f t="shared" si="152"/>
        <v>1.33</v>
      </c>
      <c r="V256" s="1408" t="str">
        <f t="shared" si="153"/>
        <v>D+</v>
      </c>
      <c r="W256" s="1408" t="str">
        <f t="shared" si="154"/>
        <v>0</v>
      </c>
      <c r="X256" s="1409"/>
      <c r="Y256" s="1393"/>
      <c r="Z256" s="1394"/>
      <c r="AA256" s="1394"/>
      <c r="AB256" s="1394"/>
      <c r="AC256" s="1394"/>
      <c r="AD256" s="1394"/>
      <c r="AE256" s="1394"/>
      <c r="AF256" s="1394"/>
      <c r="AG256" s="1394"/>
      <c r="AH256" s="1394"/>
      <c r="AI256" s="1394"/>
      <c r="AJ256" s="1395"/>
      <c r="AK256" s="1395"/>
      <c r="AL256" s="1395"/>
      <c r="AM256" s="1395"/>
      <c r="AN256" s="1395"/>
      <c r="AO256" s="1395"/>
      <c r="AP256" s="1395"/>
      <c r="AQ256" s="1395"/>
      <c r="AR256" s="1395"/>
      <c r="AS256" s="1395"/>
      <c r="AT256" s="1396"/>
      <c r="AU256" s="1413"/>
      <c r="AV256" s="1414"/>
    </row>
    <row r="257" spans="1:48" ht="20.100000000000001" customHeight="1" x14ac:dyDescent="0.25">
      <c r="A257" s="360"/>
      <c r="B257" s="1387"/>
      <c r="C257" s="1388"/>
      <c r="D257" s="1166" t="s">
        <v>210</v>
      </c>
      <c r="E257" s="1385"/>
      <c r="F257" s="1385"/>
      <c r="G257" s="1385"/>
      <c r="H257" s="2048"/>
      <c r="I257" s="2048"/>
      <c r="J257" s="2048"/>
      <c r="K257" s="1385"/>
      <c r="L257" s="1385"/>
      <c r="M257" s="1385"/>
      <c r="N257" s="2049">
        <v>0</v>
      </c>
      <c r="O257" s="2049">
        <v>0</v>
      </c>
      <c r="P257" s="2049">
        <v>0</v>
      </c>
      <c r="Q257" s="2028">
        <f t="shared" si="150"/>
        <v>0</v>
      </c>
      <c r="R257" s="2026">
        <f t="shared" si="148"/>
        <v>0</v>
      </c>
      <c r="S257" s="2029">
        <f t="shared" si="149"/>
        <v>0</v>
      </c>
      <c r="T257" s="853">
        <f t="shared" si="151"/>
        <v>0</v>
      </c>
      <c r="U257" s="1408" t="str">
        <f t="shared" si="152"/>
        <v>1.33</v>
      </c>
      <c r="V257" s="1408" t="str">
        <f t="shared" si="153"/>
        <v>D+</v>
      </c>
      <c r="W257" s="1408" t="str">
        <f t="shared" si="154"/>
        <v>0</v>
      </c>
      <c r="X257" s="1409"/>
      <c r="Y257" s="1397"/>
      <c r="Z257" s="1398"/>
      <c r="AA257" s="1398"/>
      <c r="AB257" s="1398"/>
      <c r="AC257" s="1398"/>
      <c r="AD257" s="1398"/>
      <c r="AE257" s="1398"/>
      <c r="AF257" s="1398"/>
      <c r="AG257" s="1398"/>
      <c r="AH257" s="1398"/>
      <c r="AI257" s="1398"/>
      <c r="AJ257" s="1399"/>
      <c r="AK257" s="1399"/>
      <c r="AL257" s="1399"/>
      <c r="AM257" s="1399"/>
      <c r="AN257" s="1399"/>
      <c r="AO257" s="1399"/>
      <c r="AP257" s="1399"/>
      <c r="AQ257" s="1399"/>
      <c r="AR257" s="1399"/>
      <c r="AS257" s="1399"/>
      <c r="AT257" s="1400"/>
      <c r="AU257" s="1415"/>
      <c r="AV257" s="1416"/>
    </row>
    <row r="258" spans="1:48" ht="20.100000000000001" customHeight="1" x14ac:dyDescent="0.25">
      <c r="A258" s="727"/>
      <c r="B258" s="1406">
        <v>21</v>
      </c>
      <c r="C258" s="1407"/>
      <c r="D258" s="1004"/>
      <c r="E258" s="2780"/>
      <c r="F258" s="2781"/>
      <c r="G258" s="2781"/>
      <c r="H258" s="2781"/>
      <c r="I258" s="2046"/>
      <c r="J258" s="2046"/>
      <c r="K258" s="2046"/>
      <c r="L258" s="2046"/>
      <c r="M258" s="2046"/>
      <c r="N258" s="2046"/>
      <c r="O258" s="2046"/>
      <c r="P258" s="2046"/>
      <c r="Q258" s="2046"/>
      <c r="R258" s="2046"/>
      <c r="S258" s="2046"/>
      <c r="T258" s="2044">
        <f>IFERROR(AVERAGE(T247:T257),"  ")</f>
        <v>0</v>
      </c>
      <c r="U258" s="2045" t="str">
        <f>IF(X258&gt;85,("4"),IF(X258&gt;80,("3.66"),IF(X258&gt;75,("3.33"),IF(X258&gt;70,("3.00"),IF(X258&gt;65,("2.66"),IF(X258&gt;60,("2.33"),IF(X258&gt;55,("2"),IF(X258&gt;50,("1.66"),"1.33"))))))))</f>
        <v>1.33</v>
      </c>
      <c r="V258" s="2045" t="str">
        <f>IF(X258&gt;85,("A"),IF(X258&gt;80,("A-"),IF(X258&gt;75,("B+"),IF(X258&gt;70,("B"),IF(X258&gt;65,("B-"),IF(X258&gt;60,("C+"),IF(X258&gt;55,("C"),IF(X258&gt;50,("C-"),"D+"))))))))</f>
        <v>D+</v>
      </c>
      <c r="W258" s="2045"/>
      <c r="X258" s="888">
        <f>MAX(T247:T257)</f>
        <v>0</v>
      </c>
      <c r="Y258" s="1403"/>
      <c r="Z258" s="1404"/>
      <c r="AA258" s="1404"/>
      <c r="AB258" s="1404"/>
      <c r="AC258" s="1404"/>
      <c r="AD258" s="1404"/>
      <c r="AE258" s="1404"/>
      <c r="AF258" s="1404"/>
      <c r="AG258" s="1404"/>
      <c r="AH258" s="1404"/>
      <c r="AI258" s="1404"/>
      <c r="AJ258" s="1404"/>
      <c r="AK258" s="1404"/>
      <c r="AL258" s="1404"/>
      <c r="AM258" s="1404"/>
      <c r="AN258" s="1404"/>
      <c r="AO258" s="1404"/>
      <c r="AP258" s="1404"/>
      <c r="AQ258" s="1404"/>
      <c r="AR258" s="1404"/>
      <c r="AS258" s="1404"/>
      <c r="AT258" s="1405"/>
      <c r="AU258" s="1257"/>
      <c r="AV258" s="1258"/>
    </row>
    <row r="259" spans="1:48" ht="20.100000000000001" customHeight="1" x14ac:dyDescent="0.25">
      <c r="A259" s="724">
        <v>22</v>
      </c>
      <c r="B259" s="1383"/>
      <c r="C259" s="1384" t="str">
        <f>VLOOKUP(A259,data_siswa,4,FALSE)</f>
        <v>Sally Savista A</v>
      </c>
      <c r="D259" s="1166" t="s">
        <v>154</v>
      </c>
      <c r="E259" s="2050">
        <v>0</v>
      </c>
      <c r="F259" s="2050">
        <v>0</v>
      </c>
      <c r="G259" s="2050">
        <v>0</v>
      </c>
      <c r="H259" s="2051"/>
      <c r="I259" s="2051"/>
      <c r="J259" s="2051"/>
      <c r="K259" s="2050"/>
      <c r="L259" s="2050"/>
      <c r="M259" s="2050"/>
      <c r="N259" s="2052"/>
      <c r="O259" s="2052"/>
      <c r="P259" s="2052"/>
      <c r="Q259" s="2028">
        <f>MAX(E259,H259,K259,N259)</f>
        <v>0</v>
      </c>
      <c r="R259" s="2026">
        <f t="shared" ref="R259:R269" si="155">MAX(F259,I259,L259,O259)</f>
        <v>0</v>
      </c>
      <c r="S259" s="2029">
        <f t="shared" ref="S259:S269" si="156">MAX(G259,J259,M259,P259)</f>
        <v>0</v>
      </c>
      <c r="T259" s="853">
        <f>IFERROR(AVERAGE(Q259:S259),"")</f>
        <v>0</v>
      </c>
      <c r="U259" s="1408" t="str">
        <f>IF(T259&gt;85,("4"),IF(T259&gt;80,("3.66"),IF(T259&gt;75,("3.33"),IF(T259&gt;70,("3.00"),IF(T259&gt;65,("2.66"),IF(T259&gt;60,("2.33"),IF(T259&gt;55,("2"),IF(T259&gt;50,("1.66"),"1.33"))))))))</f>
        <v>1.33</v>
      </c>
      <c r="V259" s="1408" t="str">
        <f>IF(T259&gt;85,("A"),IF(T259&gt;80,("A-"),IF(T259&gt;75,("B+"),IF(T259&gt;70,("B"),IF(T259&gt;65,("B-"),IF(T259&gt;60,("C+"),IF(T259&gt;55,("C"),IF(T259&gt;50,("C-"),"D+"))))))))</f>
        <v>D+</v>
      </c>
      <c r="W259" s="1408" t="str">
        <f>IF(T259&gt;80,("SB"),IF(T259&gt;65,("B"),IF(T259&gt;50,("C"),IF(T259&gt;0,("K"),"0"))))</f>
        <v>0</v>
      </c>
      <c r="X259" s="1408"/>
      <c r="Y259" s="749"/>
      <c r="Z259" s="749"/>
      <c r="AA259" s="749"/>
      <c r="AB259" s="749"/>
      <c r="AC259" s="749"/>
      <c r="AD259" s="749"/>
      <c r="AE259" s="749"/>
      <c r="AF259" s="749"/>
      <c r="AG259" s="749"/>
      <c r="AH259" s="749"/>
      <c r="AI259" s="749"/>
      <c r="AJ259" s="1386"/>
      <c r="AK259" s="1386"/>
      <c r="AL259" s="1386"/>
      <c r="AM259" s="1386"/>
      <c r="AN259" s="1386"/>
      <c r="AO259" s="1386"/>
      <c r="AP259" s="1386"/>
      <c r="AQ259" s="1386"/>
      <c r="AR259" s="1386"/>
      <c r="AS259" s="1386"/>
      <c r="AT259" s="1386"/>
      <c r="AU259" s="1057">
        <f>T270</f>
        <v>0</v>
      </c>
      <c r="AV259" s="1194" t="str">
        <f>IF(AU259&gt;85,("A"),IF(AU259&gt;80,("A-"),IF(AU259&gt;75,("B+"),IF(AU259&gt;70,("B"),IF(AU259&gt;65,("B-"),IF(AU259&gt;60,("C+"),IF(AU259&gt;55,("C"),IF(AU259&gt;50,("C-"),"D+"))))))))</f>
        <v>D+</v>
      </c>
    </row>
    <row r="260" spans="1:48" ht="20.100000000000001" customHeight="1" x14ac:dyDescent="0.25">
      <c r="A260" s="360"/>
      <c r="B260" s="1387"/>
      <c r="C260" s="1388"/>
      <c r="D260" s="1166" t="s">
        <v>155</v>
      </c>
      <c r="E260" s="1493"/>
      <c r="F260" s="1493"/>
      <c r="G260" s="1493"/>
      <c r="H260" s="2040"/>
      <c r="I260" s="2040"/>
      <c r="J260" s="2040"/>
      <c r="K260" s="1493"/>
      <c r="L260" s="1493"/>
      <c r="M260" s="1493"/>
      <c r="N260" s="2039">
        <v>0</v>
      </c>
      <c r="O260" s="2039">
        <v>0</v>
      </c>
      <c r="P260" s="2039">
        <v>0</v>
      </c>
      <c r="Q260" s="2028">
        <f t="shared" ref="Q260:Q269" si="157">MAX(E260,H260,K260,N260)</f>
        <v>0</v>
      </c>
      <c r="R260" s="2026">
        <f t="shared" si="155"/>
        <v>0</v>
      </c>
      <c r="S260" s="2029">
        <f t="shared" si="156"/>
        <v>0</v>
      </c>
      <c r="T260" s="853">
        <f t="shared" ref="T260:T269" si="158">IFERROR(AVERAGE(Q260:S260),"")</f>
        <v>0</v>
      </c>
      <c r="U260" s="1408" t="str">
        <f t="shared" ref="U260:U269" si="159">IF(T260&gt;85,("4"),IF(T260&gt;80,("3.66"),IF(T260&gt;75,("3.33"),IF(T260&gt;70,("3.00"),IF(T260&gt;65,("2.66"),IF(T260&gt;60,("2.33"),IF(T260&gt;55,("2"),IF(T260&gt;50,("1.66"),"1.33"))))))))</f>
        <v>1.33</v>
      </c>
      <c r="V260" s="1408" t="str">
        <f t="shared" ref="V260:V269" si="160">IF(T260&gt;85,("A"),IF(T260&gt;80,("A-"),IF(T260&gt;75,("B+"),IF(T260&gt;70,("B"),IF(T260&gt;65,("B-"),IF(T260&gt;60,("C+"),IF(T260&gt;55,("C"),IF(T260&gt;50,("C-"),"D+"))))))))</f>
        <v>D+</v>
      </c>
      <c r="W260" s="1408" t="str">
        <f t="shared" ref="W260:W269" si="161">IF(T260&gt;80,("SB"),IF(T260&gt;65,("B"),IF(T260&gt;50,("C"),IF(T260&gt;0,("K"),"0"))))</f>
        <v>0</v>
      </c>
      <c r="X260" s="1409"/>
      <c r="Y260" s="1389"/>
      <c r="Z260" s="1390"/>
      <c r="AA260" s="1390"/>
      <c r="AB260" s="1390"/>
      <c r="AC260" s="1390"/>
      <c r="AD260" s="1390"/>
      <c r="AE260" s="1390"/>
      <c r="AF260" s="1390"/>
      <c r="AG260" s="1390"/>
      <c r="AH260" s="1390"/>
      <c r="AI260" s="1390"/>
      <c r="AJ260" s="1391"/>
      <c r="AK260" s="1391"/>
      <c r="AL260" s="1391"/>
      <c r="AM260" s="1391"/>
      <c r="AN260" s="1391"/>
      <c r="AO260" s="1391"/>
      <c r="AP260" s="1391"/>
      <c r="AQ260" s="1391"/>
      <c r="AR260" s="1391"/>
      <c r="AS260" s="1391"/>
      <c r="AT260" s="1392"/>
      <c r="AU260" s="1411"/>
      <c r="AV260" s="1412"/>
    </row>
    <row r="261" spans="1:48" ht="20.100000000000001" customHeight="1" x14ac:dyDescent="0.25">
      <c r="A261" s="360"/>
      <c r="B261" s="1387"/>
      <c r="C261" s="1388"/>
      <c r="D261" s="1166" t="s">
        <v>16</v>
      </c>
      <c r="E261" s="1493"/>
      <c r="F261" s="1493"/>
      <c r="G261" s="1493"/>
      <c r="H261" s="2040">
        <v>0</v>
      </c>
      <c r="I261" s="2040">
        <v>0</v>
      </c>
      <c r="J261" s="2040">
        <v>0</v>
      </c>
      <c r="K261" s="1493"/>
      <c r="L261" s="1493"/>
      <c r="M261" s="1493"/>
      <c r="N261" s="2052"/>
      <c r="O261" s="2052"/>
      <c r="P261" s="2052"/>
      <c r="Q261" s="2028">
        <f t="shared" si="157"/>
        <v>0</v>
      </c>
      <c r="R261" s="2026">
        <f t="shared" si="155"/>
        <v>0</v>
      </c>
      <c r="S261" s="2029">
        <f t="shared" si="156"/>
        <v>0</v>
      </c>
      <c r="T261" s="853">
        <f t="shared" si="158"/>
        <v>0</v>
      </c>
      <c r="U261" s="1408" t="str">
        <f t="shared" si="159"/>
        <v>1.33</v>
      </c>
      <c r="V261" s="1408" t="str">
        <f t="shared" si="160"/>
        <v>D+</v>
      </c>
      <c r="W261" s="1408" t="str">
        <f t="shared" si="161"/>
        <v>0</v>
      </c>
      <c r="X261" s="1409"/>
      <c r="Y261" s="1393"/>
      <c r="Z261" s="1394"/>
      <c r="AA261" s="1394"/>
      <c r="AB261" s="1394"/>
      <c r="AC261" s="1394"/>
      <c r="AD261" s="1394"/>
      <c r="AE261" s="1394"/>
      <c r="AF261" s="1394"/>
      <c r="AG261" s="1394"/>
      <c r="AH261" s="1394"/>
      <c r="AI261" s="1394"/>
      <c r="AJ261" s="1395"/>
      <c r="AK261" s="1395"/>
      <c r="AL261" s="1395"/>
      <c r="AM261" s="1395"/>
      <c r="AN261" s="1395"/>
      <c r="AO261" s="1395"/>
      <c r="AP261" s="1395"/>
      <c r="AQ261" s="1395"/>
      <c r="AR261" s="1395"/>
      <c r="AS261" s="1395"/>
      <c r="AT261" s="1396"/>
      <c r="AU261" s="1413"/>
      <c r="AV261" s="1414"/>
    </row>
    <row r="262" spans="1:48" ht="20.100000000000001" customHeight="1" x14ac:dyDescent="0.25">
      <c r="A262" s="360"/>
      <c r="B262" s="1387"/>
      <c r="C262" s="1388"/>
      <c r="D262" s="1166" t="s">
        <v>189</v>
      </c>
      <c r="E262" s="1493"/>
      <c r="F262" s="1493"/>
      <c r="G262" s="1493"/>
      <c r="H262" s="2040">
        <v>0</v>
      </c>
      <c r="I262" s="2040">
        <v>0</v>
      </c>
      <c r="J262" s="2040">
        <v>0</v>
      </c>
      <c r="K262" s="1493"/>
      <c r="L262" s="1493"/>
      <c r="M262" s="1493"/>
      <c r="N262" s="2039"/>
      <c r="O262" s="2039"/>
      <c r="P262" s="2039"/>
      <c r="Q262" s="2028">
        <f t="shared" si="157"/>
        <v>0</v>
      </c>
      <c r="R262" s="2026">
        <f t="shared" si="155"/>
        <v>0</v>
      </c>
      <c r="S262" s="2029">
        <f t="shared" si="156"/>
        <v>0</v>
      </c>
      <c r="T262" s="853">
        <f t="shared" si="158"/>
        <v>0</v>
      </c>
      <c r="U262" s="1408" t="str">
        <f t="shared" si="159"/>
        <v>1.33</v>
      </c>
      <c r="V262" s="1408" t="str">
        <f t="shared" si="160"/>
        <v>D+</v>
      </c>
      <c r="W262" s="1408" t="str">
        <f t="shared" si="161"/>
        <v>0</v>
      </c>
      <c r="X262" s="1409"/>
      <c r="Y262" s="1393"/>
      <c r="Z262" s="1394"/>
      <c r="AA262" s="1394"/>
      <c r="AB262" s="1394"/>
      <c r="AC262" s="1394"/>
      <c r="AD262" s="1394"/>
      <c r="AE262" s="1394"/>
      <c r="AF262" s="1394"/>
      <c r="AG262" s="1394"/>
      <c r="AH262" s="1394"/>
      <c r="AI262" s="1394"/>
      <c r="AJ262" s="1395"/>
      <c r="AK262" s="1395"/>
      <c r="AL262" s="1395"/>
      <c r="AM262" s="1395"/>
      <c r="AN262" s="1395"/>
      <c r="AO262" s="1395"/>
      <c r="AP262" s="1395"/>
      <c r="AQ262" s="1395"/>
      <c r="AR262" s="1395"/>
      <c r="AS262" s="1395"/>
      <c r="AT262" s="1396"/>
      <c r="AU262" s="1413"/>
      <c r="AV262" s="1414"/>
    </row>
    <row r="263" spans="1:48" ht="20.100000000000001" customHeight="1" x14ac:dyDescent="0.25">
      <c r="A263" s="360"/>
      <c r="B263" s="1387"/>
      <c r="C263" s="1388"/>
      <c r="D263" s="1166" t="s">
        <v>186</v>
      </c>
      <c r="E263" s="1493"/>
      <c r="F263" s="1493"/>
      <c r="G263" s="1493"/>
      <c r="H263" s="2040">
        <v>0</v>
      </c>
      <c r="I263" s="2040">
        <v>0</v>
      </c>
      <c r="J263" s="2040">
        <v>0</v>
      </c>
      <c r="K263" s="1493"/>
      <c r="L263" s="1493"/>
      <c r="M263" s="1493"/>
      <c r="N263" s="2039"/>
      <c r="O263" s="2039"/>
      <c r="P263" s="2039"/>
      <c r="Q263" s="2028">
        <f t="shared" si="157"/>
        <v>0</v>
      </c>
      <c r="R263" s="2026">
        <f t="shared" si="155"/>
        <v>0</v>
      </c>
      <c r="S263" s="2029">
        <f t="shared" si="156"/>
        <v>0</v>
      </c>
      <c r="T263" s="853">
        <f t="shared" si="158"/>
        <v>0</v>
      </c>
      <c r="U263" s="1408" t="str">
        <f t="shared" si="159"/>
        <v>1.33</v>
      </c>
      <c r="V263" s="1408" t="str">
        <f t="shared" si="160"/>
        <v>D+</v>
      </c>
      <c r="W263" s="1408" t="str">
        <f t="shared" si="161"/>
        <v>0</v>
      </c>
      <c r="X263" s="1409"/>
      <c r="Y263" s="1393"/>
      <c r="Z263" s="1394"/>
      <c r="AA263" s="1394"/>
      <c r="AB263" s="1394"/>
      <c r="AC263" s="1394"/>
      <c r="AD263" s="1394"/>
      <c r="AE263" s="1394"/>
      <c r="AF263" s="1394"/>
      <c r="AG263" s="1394"/>
      <c r="AH263" s="1394"/>
      <c r="AI263" s="1394"/>
      <c r="AJ263" s="1395"/>
      <c r="AK263" s="1395"/>
      <c r="AL263" s="1395"/>
      <c r="AM263" s="1395"/>
      <c r="AN263" s="1395"/>
      <c r="AO263" s="1395"/>
      <c r="AP263" s="1395"/>
      <c r="AQ263" s="1395"/>
      <c r="AR263" s="1395"/>
      <c r="AS263" s="1395"/>
      <c r="AT263" s="1396"/>
      <c r="AU263" s="1413"/>
      <c r="AV263" s="1414"/>
    </row>
    <row r="264" spans="1:48" ht="20.100000000000001" customHeight="1" x14ac:dyDescent="0.25">
      <c r="A264" s="360"/>
      <c r="B264" s="1387"/>
      <c r="C264" s="1388"/>
      <c r="D264" s="1166" t="s">
        <v>187</v>
      </c>
      <c r="E264" s="1385"/>
      <c r="F264" s="1385"/>
      <c r="G264" s="1385"/>
      <c r="H264" s="2048"/>
      <c r="I264" s="2048"/>
      <c r="J264" s="2048"/>
      <c r="K264" s="1385">
        <v>0</v>
      </c>
      <c r="L264" s="1385">
        <v>0</v>
      </c>
      <c r="M264" s="1385">
        <v>0</v>
      </c>
      <c r="N264" s="2049"/>
      <c r="O264" s="2049"/>
      <c r="P264" s="2049"/>
      <c r="Q264" s="2028">
        <f t="shared" si="157"/>
        <v>0</v>
      </c>
      <c r="R264" s="2026">
        <f t="shared" si="155"/>
        <v>0</v>
      </c>
      <c r="S264" s="2029">
        <f t="shared" si="156"/>
        <v>0</v>
      </c>
      <c r="T264" s="853">
        <f t="shared" si="158"/>
        <v>0</v>
      </c>
      <c r="U264" s="1408" t="str">
        <f t="shared" si="159"/>
        <v>1.33</v>
      </c>
      <c r="V264" s="1408" t="str">
        <f t="shared" si="160"/>
        <v>D+</v>
      </c>
      <c r="W264" s="1408" t="str">
        <f t="shared" si="161"/>
        <v>0</v>
      </c>
      <c r="X264" s="1409"/>
      <c r="Y264" s="1393"/>
      <c r="Z264" s="1394"/>
      <c r="AA264" s="1394"/>
      <c r="AB264" s="1394"/>
      <c r="AC264" s="1394"/>
      <c r="AD264" s="1394"/>
      <c r="AE264" s="1394"/>
      <c r="AF264" s="1394"/>
      <c r="AG264" s="1394"/>
      <c r="AH264" s="1394"/>
      <c r="AI264" s="1394"/>
      <c r="AJ264" s="1395"/>
      <c r="AK264" s="1395"/>
      <c r="AL264" s="1395"/>
      <c r="AM264" s="1395"/>
      <c r="AN264" s="1395"/>
      <c r="AO264" s="1395"/>
      <c r="AP264" s="1395"/>
      <c r="AQ264" s="1395"/>
      <c r="AR264" s="1395"/>
      <c r="AS264" s="1395"/>
      <c r="AT264" s="1396"/>
      <c r="AU264" s="1413"/>
      <c r="AV264" s="1414"/>
    </row>
    <row r="265" spans="1:48" ht="20.100000000000001" customHeight="1" x14ac:dyDescent="0.25">
      <c r="A265" s="360"/>
      <c r="B265" s="1387"/>
      <c r="C265" s="1388"/>
      <c r="D265" s="1166" t="s">
        <v>17</v>
      </c>
      <c r="E265" s="1385">
        <v>0</v>
      </c>
      <c r="F265" s="1385">
        <v>0</v>
      </c>
      <c r="G265" s="1385">
        <v>0</v>
      </c>
      <c r="H265" s="2048">
        <v>0</v>
      </c>
      <c r="I265" s="2048">
        <v>0</v>
      </c>
      <c r="J265" s="2048">
        <v>0</v>
      </c>
      <c r="K265" s="1385"/>
      <c r="L265" s="1385"/>
      <c r="M265" s="1385"/>
      <c r="N265" s="2049"/>
      <c r="O265" s="2049"/>
      <c r="P265" s="2049"/>
      <c r="Q265" s="2028">
        <f t="shared" si="157"/>
        <v>0</v>
      </c>
      <c r="R265" s="2026">
        <f t="shared" si="155"/>
        <v>0</v>
      </c>
      <c r="S265" s="2029">
        <f t="shared" si="156"/>
        <v>0</v>
      </c>
      <c r="T265" s="853">
        <f t="shared" si="158"/>
        <v>0</v>
      </c>
      <c r="U265" s="1408" t="str">
        <f t="shared" si="159"/>
        <v>1.33</v>
      </c>
      <c r="V265" s="1408" t="str">
        <f t="shared" si="160"/>
        <v>D+</v>
      </c>
      <c r="W265" s="1408" t="str">
        <f t="shared" si="161"/>
        <v>0</v>
      </c>
      <c r="X265" s="1409"/>
      <c r="Y265" s="1393"/>
      <c r="Z265" s="1394"/>
      <c r="AA265" s="1394"/>
      <c r="AB265" s="1394"/>
      <c r="AC265" s="1394"/>
      <c r="AD265" s="1394"/>
      <c r="AE265" s="1394"/>
      <c r="AF265" s="1394"/>
      <c r="AG265" s="1394"/>
      <c r="AH265" s="1394"/>
      <c r="AI265" s="1394"/>
      <c r="AJ265" s="1395"/>
      <c r="AK265" s="1395"/>
      <c r="AL265" s="1395"/>
      <c r="AM265" s="1395"/>
      <c r="AN265" s="1395"/>
      <c r="AO265" s="1395"/>
      <c r="AP265" s="1395"/>
      <c r="AQ265" s="1395"/>
      <c r="AR265" s="1395"/>
      <c r="AS265" s="1395"/>
      <c r="AT265" s="1396"/>
      <c r="AU265" s="1413"/>
      <c r="AV265" s="1414"/>
    </row>
    <row r="266" spans="1:48" ht="20.100000000000001" customHeight="1" x14ac:dyDescent="0.25">
      <c r="A266" s="360"/>
      <c r="B266" s="1387"/>
      <c r="C266" s="1388"/>
      <c r="D266" s="1166" t="s">
        <v>188</v>
      </c>
      <c r="E266" s="1385"/>
      <c r="F266" s="1385"/>
      <c r="G266" s="1385"/>
      <c r="H266" s="2048">
        <v>0</v>
      </c>
      <c r="I266" s="2048">
        <v>0</v>
      </c>
      <c r="J266" s="2048">
        <v>0</v>
      </c>
      <c r="K266" s="1385"/>
      <c r="L266" s="1385"/>
      <c r="M266" s="1385"/>
      <c r="N266" s="2049"/>
      <c r="O266" s="2049"/>
      <c r="P266" s="2049"/>
      <c r="Q266" s="2028">
        <f t="shared" si="157"/>
        <v>0</v>
      </c>
      <c r="R266" s="2026">
        <f t="shared" si="155"/>
        <v>0</v>
      </c>
      <c r="S266" s="2029">
        <f t="shared" si="156"/>
        <v>0</v>
      </c>
      <c r="T266" s="853">
        <f t="shared" si="158"/>
        <v>0</v>
      </c>
      <c r="U266" s="1408" t="str">
        <f t="shared" si="159"/>
        <v>1.33</v>
      </c>
      <c r="V266" s="1408" t="str">
        <f t="shared" si="160"/>
        <v>D+</v>
      </c>
      <c r="W266" s="1408" t="str">
        <f t="shared" si="161"/>
        <v>0</v>
      </c>
      <c r="X266" s="1409"/>
      <c r="Y266" s="1393"/>
      <c r="Z266" s="1394"/>
      <c r="AA266" s="1394"/>
      <c r="AB266" s="1394"/>
      <c r="AC266" s="1394"/>
      <c r="AD266" s="1394"/>
      <c r="AE266" s="1394"/>
      <c r="AF266" s="1394"/>
      <c r="AG266" s="1394"/>
      <c r="AH266" s="1394"/>
      <c r="AI266" s="1394"/>
      <c r="AJ266" s="1395"/>
      <c r="AK266" s="1395"/>
      <c r="AL266" s="1395"/>
      <c r="AM266" s="1395"/>
      <c r="AN266" s="1395"/>
      <c r="AO266" s="1395"/>
      <c r="AP266" s="1395"/>
      <c r="AQ266" s="1395"/>
      <c r="AR266" s="1395"/>
      <c r="AS266" s="1395"/>
      <c r="AT266" s="1396"/>
      <c r="AU266" s="1413"/>
      <c r="AV266" s="1414"/>
    </row>
    <row r="267" spans="1:48" ht="20.100000000000001" customHeight="1" x14ac:dyDescent="0.25">
      <c r="A267" s="360"/>
      <c r="B267" s="1387"/>
      <c r="C267" s="1388"/>
      <c r="D267" s="1166" t="s">
        <v>569</v>
      </c>
      <c r="E267" s="1385"/>
      <c r="F267" s="1385"/>
      <c r="G267" s="1385"/>
      <c r="H267" s="2048"/>
      <c r="I267" s="2048"/>
      <c r="J267" s="2048"/>
      <c r="K267" s="1385">
        <v>0</v>
      </c>
      <c r="L267" s="1385">
        <v>0</v>
      </c>
      <c r="M267" s="1385">
        <v>0</v>
      </c>
      <c r="N267" s="2049"/>
      <c r="O267" s="2049"/>
      <c r="P267" s="2049"/>
      <c r="Q267" s="2028">
        <f t="shared" si="157"/>
        <v>0</v>
      </c>
      <c r="R267" s="2026">
        <f t="shared" si="155"/>
        <v>0</v>
      </c>
      <c r="S267" s="2029">
        <f t="shared" si="156"/>
        <v>0</v>
      </c>
      <c r="T267" s="853">
        <f t="shared" si="158"/>
        <v>0</v>
      </c>
      <c r="U267" s="1408" t="str">
        <f t="shared" si="159"/>
        <v>1.33</v>
      </c>
      <c r="V267" s="1408" t="str">
        <f t="shared" si="160"/>
        <v>D+</v>
      </c>
      <c r="W267" s="1408" t="str">
        <f t="shared" si="161"/>
        <v>0</v>
      </c>
      <c r="X267" s="1409"/>
      <c r="Y267" s="1393"/>
      <c r="Z267" s="1394"/>
      <c r="AA267" s="1394"/>
      <c r="AB267" s="1394"/>
      <c r="AC267" s="1394"/>
      <c r="AD267" s="1394"/>
      <c r="AE267" s="1394"/>
      <c r="AF267" s="1394"/>
      <c r="AG267" s="1394"/>
      <c r="AH267" s="1394"/>
      <c r="AI267" s="1394"/>
      <c r="AJ267" s="1395"/>
      <c r="AK267" s="1395"/>
      <c r="AL267" s="1395"/>
      <c r="AM267" s="1395"/>
      <c r="AN267" s="1395"/>
      <c r="AO267" s="1395"/>
      <c r="AP267" s="1395"/>
      <c r="AQ267" s="1395"/>
      <c r="AR267" s="1395"/>
      <c r="AS267" s="1395"/>
      <c r="AT267" s="1396"/>
      <c r="AU267" s="1413"/>
      <c r="AV267" s="1414"/>
    </row>
    <row r="268" spans="1:48" ht="20.100000000000001" customHeight="1" x14ac:dyDescent="0.25">
      <c r="A268" s="360"/>
      <c r="B268" s="1387"/>
      <c r="C268" s="1388"/>
      <c r="D268" s="1166" t="s">
        <v>209</v>
      </c>
      <c r="E268" s="1385"/>
      <c r="F268" s="1385"/>
      <c r="G268" s="1385"/>
      <c r="H268" s="2048"/>
      <c r="I268" s="2048"/>
      <c r="J268" s="2048"/>
      <c r="K268" s="1385"/>
      <c r="L268" s="1385"/>
      <c r="M268" s="1385"/>
      <c r="N268" s="2049">
        <v>0</v>
      </c>
      <c r="O268" s="2049">
        <v>0</v>
      </c>
      <c r="P268" s="2049">
        <v>0</v>
      </c>
      <c r="Q268" s="2028">
        <f t="shared" si="157"/>
        <v>0</v>
      </c>
      <c r="R268" s="2026">
        <f t="shared" si="155"/>
        <v>0</v>
      </c>
      <c r="S268" s="2029">
        <f t="shared" si="156"/>
        <v>0</v>
      </c>
      <c r="T268" s="853">
        <f t="shared" si="158"/>
        <v>0</v>
      </c>
      <c r="U268" s="1408" t="str">
        <f t="shared" si="159"/>
        <v>1.33</v>
      </c>
      <c r="V268" s="1408" t="str">
        <f t="shared" si="160"/>
        <v>D+</v>
      </c>
      <c r="W268" s="1408" t="str">
        <f t="shared" si="161"/>
        <v>0</v>
      </c>
      <c r="X268" s="1409"/>
      <c r="Y268" s="1393"/>
      <c r="Z268" s="1394"/>
      <c r="AA268" s="1394"/>
      <c r="AB268" s="1394"/>
      <c r="AC268" s="1394"/>
      <c r="AD268" s="1394"/>
      <c r="AE268" s="1394"/>
      <c r="AF268" s="1394"/>
      <c r="AG268" s="1394"/>
      <c r="AH268" s="1394"/>
      <c r="AI268" s="1394"/>
      <c r="AJ268" s="1395"/>
      <c r="AK268" s="1395"/>
      <c r="AL268" s="1395"/>
      <c r="AM268" s="1395"/>
      <c r="AN268" s="1395"/>
      <c r="AO268" s="1395"/>
      <c r="AP268" s="1395"/>
      <c r="AQ268" s="1395"/>
      <c r="AR268" s="1395"/>
      <c r="AS268" s="1395"/>
      <c r="AT268" s="1396"/>
      <c r="AU268" s="1413"/>
      <c r="AV268" s="1414"/>
    </row>
    <row r="269" spans="1:48" ht="20.100000000000001" customHeight="1" x14ac:dyDescent="0.25">
      <c r="A269" s="360"/>
      <c r="B269" s="1387"/>
      <c r="C269" s="1388"/>
      <c r="D269" s="1166" t="s">
        <v>210</v>
      </c>
      <c r="E269" s="1385"/>
      <c r="F269" s="1385"/>
      <c r="G269" s="1385"/>
      <c r="H269" s="2048"/>
      <c r="I269" s="2048"/>
      <c r="J269" s="2048"/>
      <c r="K269" s="1385"/>
      <c r="L269" s="1385"/>
      <c r="M269" s="1385"/>
      <c r="N269" s="2049">
        <v>0</v>
      </c>
      <c r="O269" s="2049">
        <v>0</v>
      </c>
      <c r="P269" s="2049">
        <v>0</v>
      </c>
      <c r="Q269" s="2028">
        <f t="shared" si="157"/>
        <v>0</v>
      </c>
      <c r="R269" s="2026">
        <f t="shared" si="155"/>
        <v>0</v>
      </c>
      <c r="S269" s="2029">
        <f t="shared" si="156"/>
        <v>0</v>
      </c>
      <c r="T269" s="853">
        <f t="shared" si="158"/>
        <v>0</v>
      </c>
      <c r="U269" s="1408" t="str">
        <f t="shared" si="159"/>
        <v>1.33</v>
      </c>
      <c r="V269" s="1408" t="str">
        <f t="shared" si="160"/>
        <v>D+</v>
      </c>
      <c r="W269" s="1408" t="str">
        <f t="shared" si="161"/>
        <v>0</v>
      </c>
      <c r="X269" s="1409"/>
      <c r="Y269" s="1397"/>
      <c r="Z269" s="1398"/>
      <c r="AA269" s="1398"/>
      <c r="AB269" s="1398"/>
      <c r="AC269" s="1398"/>
      <c r="AD269" s="1398"/>
      <c r="AE269" s="1398"/>
      <c r="AF269" s="1398"/>
      <c r="AG269" s="1398"/>
      <c r="AH269" s="1398"/>
      <c r="AI269" s="1398"/>
      <c r="AJ269" s="1399"/>
      <c r="AK269" s="1399"/>
      <c r="AL269" s="1399"/>
      <c r="AM269" s="1399"/>
      <c r="AN269" s="1399"/>
      <c r="AO269" s="1399"/>
      <c r="AP269" s="1399"/>
      <c r="AQ269" s="1399"/>
      <c r="AR269" s="1399"/>
      <c r="AS269" s="1399"/>
      <c r="AT269" s="1400"/>
      <c r="AU269" s="1415"/>
      <c r="AV269" s="1416"/>
    </row>
    <row r="270" spans="1:48" ht="20.100000000000001" customHeight="1" x14ac:dyDescent="0.25">
      <c r="A270" s="727"/>
      <c r="B270" s="1406">
        <v>22</v>
      </c>
      <c r="C270" s="1407"/>
      <c r="D270" s="1004"/>
      <c r="E270" s="2780"/>
      <c r="F270" s="2781"/>
      <c r="G270" s="2781"/>
      <c r="H270" s="2781"/>
      <c r="I270" s="2046"/>
      <c r="J270" s="2046"/>
      <c r="K270" s="2046"/>
      <c r="L270" s="2046"/>
      <c r="M270" s="2046"/>
      <c r="N270" s="2046"/>
      <c r="O270" s="2046"/>
      <c r="P270" s="2046"/>
      <c r="Q270" s="2046"/>
      <c r="R270" s="2046"/>
      <c r="S270" s="2046"/>
      <c r="T270" s="2044">
        <f>IFERROR(AVERAGE(T259:T269),"  ")</f>
        <v>0</v>
      </c>
      <c r="U270" s="2045" t="str">
        <f>IF(X270&gt;85,("4"),IF(X270&gt;80,("3.66"),IF(X270&gt;75,("3.33"),IF(X270&gt;70,("3.00"),IF(X270&gt;65,("2.66"),IF(X270&gt;60,("2.33"),IF(X270&gt;55,("2"),IF(X270&gt;50,("1.66"),"1.33"))))))))</f>
        <v>1.33</v>
      </c>
      <c r="V270" s="2045" t="str">
        <f>IF(X270&gt;85,("A"),IF(X270&gt;80,("A-"),IF(X270&gt;75,("B+"),IF(X270&gt;70,("B"),IF(X270&gt;65,("B-"),IF(X270&gt;60,("C+"),IF(X270&gt;55,("C"),IF(X270&gt;50,("C-"),"D+"))))))))</f>
        <v>D+</v>
      </c>
      <c r="W270" s="2045"/>
      <c r="X270" s="888">
        <f>MAX(T259:T269)</f>
        <v>0</v>
      </c>
      <c r="Y270" s="1403"/>
      <c r="Z270" s="1404"/>
      <c r="AA270" s="1404"/>
      <c r="AB270" s="1404"/>
      <c r="AC270" s="1404"/>
      <c r="AD270" s="1404"/>
      <c r="AE270" s="1404"/>
      <c r="AF270" s="1404"/>
      <c r="AG270" s="1404"/>
      <c r="AH270" s="1404"/>
      <c r="AI270" s="1404"/>
      <c r="AJ270" s="1404"/>
      <c r="AK270" s="1404"/>
      <c r="AL270" s="1404"/>
      <c r="AM270" s="1404"/>
      <c r="AN270" s="1404"/>
      <c r="AO270" s="1404"/>
      <c r="AP270" s="1404"/>
      <c r="AQ270" s="1404"/>
      <c r="AR270" s="1404"/>
      <c r="AS270" s="1404"/>
      <c r="AT270" s="1405"/>
      <c r="AU270" s="1257"/>
      <c r="AV270" s="1258"/>
    </row>
    <row r="271" spans="1:48" ht="20.100000000000001" customHeight="1" x14ac:dyDescent="0.25">
      <c r="A271" s="724">
        <v>23</v>
      </c>
      <c r="B271" s="1383"/>
      <c r="C271" s="1384" t="str">
        <f>VLOOKUP(A271,data_siswa,4,FALSE)</f>
        <v xml:space="preserve">Tania Kaori Angelita </v>
      </c>
      <c r="D271" s="1166" t="s">
        <v>154</v>
      </c>
      <c r="E271" s="2050">
        <v>0</v>
      </c>
      <c r="F271" s="2050">
        <v>0</v>
      </c>
      <c r="G271" s="2050">
        <v>0</v>
      </c>
      <c r="H271" s="2051"/>
      <c r="I271" s="2051"/>
      <c r="J271" s="2051"/>
      <c r="K271" s="2050"/>
      <c r="L271" s="2050"/>
      <c r="M271" s="2050"/>
      <c r="N271" s="2052"/>
      <c r="O271" s="2052"/>
      <c r="P271" s="2052"/>
      <c r="Q271" s="2028">
        <f>MAX(E271,H271,K271,N271)</f>
        <v>0</v>
      </c>
      <c r="R271" s="2026">
        <f t="shared" ref="R271:R281" si="162">MAX(F271,I271,L271,O271)</f>
        <v>0</v>
      </c>
      <c r="S271" s="2029">
        <f t="shared" ref="S271:S281" si="163">MAX(G271,J271,M271,P271)</f>
        <v>0</v>
      </c>
      <c r="T271" s="853">
        <f>IFERROR(AVERAGE(Q271:S271),"")</f>
        <v>0</v>
      </c>
      <c r="U271" s="1408" t="str">
        <f>IF(T271&gt;85,("4"),IF(T271&gt;80,("3.66"),IF(T271&gt;75,("3.33"),IF(T271&gt;70,("3.00"),IF(T271&gt;65,("2.66"),IF(T271&gt;60,("2.33"),IF(T271&gt;55,("2"),IF(T271&gt;50,("1.66"),"1.33"))))))))</f>
        <v>1.33</v>
      </c>
      <c r="V271" s="1408" t="str">
        <f>IF(T271&gt;85,("A"),IF(T271&gt;80,("A-"),IF(T271&gt;75,("B+"),IF(T271&gt;70,("B"),IF(T271&gt;65,("B-"),IF(T271&gt;60,("C+"),IF(T271&gt;55,("C"),IF(T271&gt;50,("C-"),"D+"))))))))</f>
        <v>D+</v>
      </c>
      <c r="W271" s="1408" t="str">
        <f>IF(T271&gt;80,("SB"),IF(T271&gt;65,("B"),IF(T271&gt;50,("C"),IF(T271&gt;0,("K"),"0"))))</f>
        <v>0</v>
      </c>
      <c r="X271" s="1408"/>
      <c r="Y271" s="749"/>
      <c r="Z271" s="749"/>
      <c r="AA271" s="749"/>
      <c r="AB271" s="749"/>
      <c r="AC271" s="749"/>
      <c r="AD271" s="749"/>
      <c r="AE271" s="749"/>
      <c r="AF271" s="749"/>
      <c r="AG271" s="749"/>
      <c r="AH271" s="749"/>
      <c r="AI271" s="749"/>
      <c r="AJ271" s="1386"/>
      <c r="AK271" s="1386"/>
      <c r="AL271" s="1386"/>
      <c r="AM271" s="1386"/>
      <c r="AN271" s="1386"/>
      <c r="AO271" s="1386"/>
      <c r="AP271" s="1386"/>
      <c r="AQ271" s="1386"/>
      <c r="AR271" s="1386"/>
      <c r="AS271" s="1386"/>
      <c r="AT271" s="1386"/>
      <c r="AU271" s="1057">
        <f>T282</f>
        <v>0</v>
      </c>
      <c r="AV271" s="1194" t="str">
        <f>IF(AU271&gt;85,("A"),IF(AU271&gt;80,("A-"),IF(AU271&gt;75,("B+"),IF(AU271&gt;70,("B"),IF(AU271&gt;65,("B-"),IF(AU271&gt;60,("C+"),IF(AU271&gt;55,("C"),IF(AU271&gt;50,("C-"),"D+"))))))))</f>
        <v>D+</v>
      </c>
    </row>
    <row r="272" spans="1:48" ht="20.100000000000001" customHeight="1" x14ac:dyDescent="0.25">
      <c r="A272" s="360"/>
      <c r="B272" s="1387"/>
      <c r="C272" s="1388"/>
      <c r="D272" s="1166" t="s">
        <v>155</v>
      </c>
      <c r="E272" s="1493"/>
      <c r="F272" s="1493"/>
      <c r="G272" s="1493"/>
      <c r="H272" s="2040"/>
      <c r="I272" s="2040"/>
      <c r="J272" s="2040"/>
      <c r="K272" s="1493"/>
      <c r="L272" s="1493"/>
      <c r="M272" s="1493"/>
      <c r="N272" s="2039">
        <v>0</v>
      </c>
      <c r="O272" s="2039">
        <v>0</v>
      </c>
      <c r="P272" s="2039">
        <v>0</v>
      </c>
      <c r="Q272" s="2028">
        <f t="shared" ref="Q272:Q281" si="164">MAX(E272,H272,K272,N272)</f>
        <v>0</v>
      </c>
      <c r="R272" s="2026">
        <f t="shared" si="162"/>
        <v>0</v>
      </c>
      <c r="S272" s="2029">
        <f t="shared" si="163"/>
        <v>0</v>
      </c>
      <c r="T272" s="853">
        <f t="shared" ref="T272:T281" si="165">IFERROR(AVERAGE(Q272:S272),"")</f>
        <v>0</v>
      </c>
      <c r="U272" s="1408" t="str">
        <f t="shared" ref="U272:U281" si="166">IF(T272&gt;85,("4"),IF(T272&gt;80,("3.66"),IF(T272&gt;75,("3.33"),IF(T272&gt;70,("3.00"),IF(T272&gt;65,("2.66"),IF(T272&gt;60,("2.33"),IF(T272&gt;55,("2"),IF(T272&gt;50,("1.66"),"1.33"))))))))</f>
        <v>1.33</v>
      </c>
      <c r="V272" s="1408" t="str">
        <f t="shared" ref="V272:V281" si="167">IF(T272&gt;85,("A"),IF(T272&gt;80,("A-"),IF(T272&gt;75,("B+"),IF(T272&gt;70,("B"),IF(T272&gt;65,("B-"),IF(T272&gt;60,("C+"),IF(T272&gt;55,("C"),IF(T272&gt;50,("C-"),"D+"))))))))</f>
        <v>D+</v>
      </c>
      <c r="W272" s="1408" t="str">
        <f t="shared" ref="W272:W281" si="168">IF(T272&gt;80,("SB"),IF(T272&gt;65,("B"),IF(T272&gt;50,("C"),IF(T272&gt;0,("K"),"0"))))</f>
        <v>0</v>
      </c>
      <c r="X272" s="1409"/>
      <c r="Y272" s="1389"/>
      <c r="Z272" s="1390"/>
      <c r="AA272" s="1390"/>
      <c r="AB272" s="1390"/>
      <c r="AC272" s="1390"/>
      <c r="AD272" s="1390"/>
      <c r="AE272" s="1390"/>
      <c r="AF272" s="1390"/>
      <c r="AG272" s="1390"/>
      <c r="AH272" s="1390"/>
      <c r="AI272" s="1390"/>
      <c r="AJ272" s="1391"/>
      <c r="AK272" s="1391"/>
      <c r="AL272" s="1391"/>
      <c r="AM272" s="1391"/>
      <c r="AN272" s="1391"/>
      <c r="AO272" s="1391"/>
      <c r="AP272" s="1391"/>
      <c r="AQ272" s="1391"/>
      <c r="AR272" s="1391"/>
      <c r="AS272" s="1391"/>
      <c r="AT272" s="1392"/>
      <c r="AU272" s="1411"/>
      <c r="AV272" s="1412"/>
    </row>
    <row r="273" spans="1:48" ht="20.100000000000001" customHeight="1" x14ac:dyDescent="0.25">
      <c r="A273" s="360"/>
      <c r="B273" s="1387"/>
      <c r="C273" s="1388"/>
      <c r="D273" s="1166" t="s">
        <v>16</v>
      </c>
      <c r="E273" s="1493"/>
      <c r="F273" s="1493"/>
      <c r="G273" s="1493"/>
      <c r="H273" s="2040">
        <v>0</v>
      </c>
      <c r="I273" s="2040">
        <v>0</v>
      </c>
      <c r="J273" s="2040">
        <v>0</v>
      </c>
      <c r="K273" s="1493"/>
      <c r="L273" s="1493"/>
      <c r="M273" s="1493"/>
      <c r="N273" s="2052"/>
      <c r="O273" s="2052"/>
      <c r="P273" s="2052"/>
      <c r="Q273" s="2028">
        <f t="shared" si="164"/>
        <v>0</v>
      </c>
      <c r="R273" s="2026">
        <f t="shared" si="162"/>
        <v>0</v>
      </c>
      <c r="S273" s="2029">
        <f t="shared" si="163"/>
        <v>0</v>
      </c>
      <c r="T273" s="853">
        <f t="shared" si="165"/>
        <v>0</v>
      </c>
      <c r="U273" s="1408" t="str">
        <f t="shared" si="166"/>
        <v>1.33</v>
      </c>
      <c r="V273" s="1408" t="str">
        <f t="shared" si="167"/>
        <v>D+</v>
      </c>
      <c r="W273" s="1408" t="str">
        <f t="shared" si="168"/>
        <v>0</v>
      </c>
      <c r="X273" s="1409"/>
      <c r="Y273" s="1393"/>
      <c r="Z273" s="1394"/>
      <c r="AA273" s="1394"/>
      <c r="AB273" s="1394"/>
      <c r="AC273" s="1394"/>
      <c r="AD273" s="1394"/>
      <c r="AE273" s="1394"/>
      <c r="AF273" s="1394"/>
      <c r="AG273" s="1394"/>
      <c r="AH273" s="1394"/>
      <c r="AI273" s="1394"/>
      <c r="AJ273" s="1395"/>
      <c r="AK273" s="1395"/>
      <c r="AL273" s="1395"/>
      <c r="AM273" s="1395"/>
      <c r="AN273" s="1395"/>
      <c r="AO273" s="1395"/>
      <c r="AP273" s="1395"/>
      <c r="AQ273" s="1395"/>
      <c r="AR273" s="1395"/>
      <c r="AS273" s="1395"/>
      <c r="AT273" s="1396"/>
      <c r="AU273" s="1413"/>
      <c r="AV273" s="1414"/>
    </row>
    <row r="274" spans="1:48" ht="20.100000000000001" customHeight="1" x14ac:dyDescent="0.25">
      <c r="A274" s="360"/>
      <c r="B274" s="1387"/>
      <c r="C274" s="1388"/>
      <c r="D274" s="1166" t="s">
        <v>189</v>
      </c>
      <c r="E274" s="1493"/>
      <c r="F274" s="1493"/>
      <c r="G274" s="1493"/>
      <c r="H274" s="2040">
        <v>0</v>
      </c>
      <c r="I274" s="2040">
        <v>0</v>
      </c>
      <c r="J274" s="2040">
        <v>0</v>
      </c>
      <c r="K274" s="1493"/>
      <c r="L274" s="1493"/>
      <c r="M274" s="1493"/>
      <c r="N274" s="2039"/>
      <c r="O274" s="2039"/>
      <c r="P274" s="2039"/>
      <c r="Q274" s="2028">
        <f t="shared" si="164"/>
        <v>0</v>
      </c>
      <c r="R274" s="2026">
        <f t="shared" si="162"/>
        <v>0</v>
      </c>
      <c r="S274" s="2029">
        <f t="shared" si="163"/>
        <v>0</v>
      </c>
      <c r="T274" s="853">
        <f t="shared" si="165"/>
        <v>0</v>
      </c>
      <c r="U274" s="1408" t="str">
        <f t="shared" si="166"/>
        <v>1.33</v>
      </c>
      <c r="V274" s="1408" t="str">
        <f t="shared" si="167"/>
        <v>D+</v>
      </c>
      <c r="W274" s="1408" t="str">
        <f t="shared" si="168"/>
        <v>0</v>
      </c>
      <c r="X274" s="1409"/>
      <c r="Y274" s="1393"/>
      <c r="Z274" s="1394"/>
      <c r="AA274" s="1394"/>
      <c r="AB274" s="1394"/>
      <c r="AC274" s="1394"/>
      <c r="AD274" s="1394"/>
      <c r="AE274" s="1394"/>
      <c r="AF274" s="1394"/>
      <c r="AG274" s="1394"/>
      <c r="AH274" s="1394"/>
      <c r="AI274" s="1394"/>
      <c r="AJ274" s="1395"/>
      <c r="AK274" s="1395"/>
      <c r="AL274" s="1395"/>
      <c r="AM274" s="1395"/>
      <c r="AN274" s="1395"/>
      <c r="AO274" s="1395"/>
      <c r="AP274" s="1395"/>
      <c r="AQ274" s="1395"/>
      <c r="AR274" s="1395"/>
      <c r="AS274" s="1395"/>
      <c r="AT274" s="1396"/>
      <c r="AU274" s="1413"/>
      <c r="AV274" s="1414"/>
    </row>
    <row r="275" spans="1:48" ht="20.100000000000001" customHeight="1" x14ac:dyDescent="0.25">
      <c r="A275" s="360"/>
      <c r="B275" s="1387"/>
      <c r="C275" s="1388"/>
      <c r="D275" s="1166" t="s">
        <v>186</v>
      </c>
      <c r="E275" s="1493"/>
      <c r="F275" s="1493"/>
      <c r="G275" s="1493"/>
      <c r="H275" s="2040">
        <v>0</v>
      </c>
      <c r="I275" s="2040">
        <v>0</v>
      </c>
      <c r="J275" s="2040">
        <v>0</v>
      </c>
      <c r="K275" s="1493"/>
      <c r="L275" s="1493"/>
      <c r="M275" s="1493"/>
      <c r="N275" s="2039"/>
      <c r="O275" s="2039"/>
      <c r="P275" s="2039"/>
      <c r="Q275" s="2028">
        <f t="shared" si="164"/>
        <v>0</v>
      </c>
      <c r="R275" s="2026">
        <f t="shared" si="162"/>
        <v>0</v>
      </c>
      <c r="S275" s="2029">
        <f t="shared" si="163"/>
        <v>0</v>
      </c>
      <c r="T275" s="853">
        <f t="shared" si="165"/>
        <v>0</v>
      </c>
      <c r="U275" s="1408" t="str">
        <f t="shared" si="166"/>
        <v>1.33</v>
      </c>
      <c r="V275" s="1408" t="str">
        <f t="shared" si="167"/>
        <v>D+</v>
      </c>
      <c r="W275" s="1408" t="str">
        <f t="shared" si="168"/>
        <v>0</v>
      </c>
      <c r="X275" s="1409"/>
      <c r="Y275" s="1393"/>
      <c r="Z275" s="1394"/>
      <c r="AA275" s="1394"/>
      <c r="AB275" s="1394"/>
      <c r="AC275" s="1394"/>
      <c r="AD275" s="1394"/>
      <c r="AE275" s="1394"/>
      <c r="AF275" s="1394"/>
      <c r="AG275" s="1394"/>
      <c r="AH275" s="1394"/>
      <c r="AI275" s="1394"/>
      <c r="AJ275" s="1395"/>
      <c r="AK275" s="1395"/>
      <c r="AL275" s="1395"/>
      <c r="AM275" s="1395"/>
      <c r="AN275" s="1395"/>
      <c r="AO275" s="1395"/>
      <c r="AP275" s="1395"/>
      <c r="AQ275" s="1395"/>
      <c r="AR275" s="1395"/>
      <c r="AS275" s="1395"/>
      <c r="AT275" s="1396"/>
      <c r="AU275" s="1413"/>
      <c r="AV275" s="1414"/>
    </row>
    <row r="276" spans="1:48" ht="20.100000000000001" customHeight="1" x14ac:dyDescent="0.25">
      <c r="A276" s="360"/>
      <c r="B276" s="1387"/>
      <c r="C276" s="1388"/>
      <c r="D276" s="1166" t="s">
        <v>187</v>
      </c>
      <c r="E276" s="1385"/>
      <c r="F276" s="1385"/>
      <c r="G276" s="1385"/>
      <c r="H276" s="2048"/>
      <c r="I276" s="2048"/>
      <c r="J276" s="2048"/>
      <c r="K276" s="1385">
        <v>0</v>
      </c>
      <c r="L276" s="1385">
        <v>0</v>
      </c>
      <c r="M276" s="1385">
        <v>0</v>
      </c>
      <c r="N276" s="2049"/>
      <c r="O276" s="2049"/>
      <c r="P276" s="2049"/>
      <c r="Q276" s="2028">
        <f t="shared" si="164"/>
        <v>0</v>
      </c>
      <c r="R276" s="2026">
        <f t="shared" si="162"/>
        <v>0</v>
      </c>
      <c r="S276" s="2029">
        <f t="shared" si="163"/>
        <v>0</v>
      </c>
      <c r="T276" s="853">
        <f t="shared" si="165"/>
        <v>0</v>
      </c>
      <c r="U276" s="1408" t="str">
        <f t="shared" si="166"/>
        <v>1.33</v>
      </c>
      <c r="V276" s="1408" t="str">
        <f t="shared" si="167"/>
        <v>D+</v>
      </c>
      <c r="W276" s="1408" t="str">
        <f t="shared" si="168"/>
        <v>0</v>
      </c>
      <c r="X276" s="1409"/>
      <c r="Y276" s="1393"/>
      <c r="Z276" s="1394"/>
      <c r="AA276" s="1394"/>
      <c r="AB276" s="1394"/>
      <c r="AC276" s="1394"/>
      <c r="AD276" s="1394"/>
      <c r="AE276" s="1394"/>
      <c r="AF276" s="1394"/>
      <c r="AG276" s="1394"/>
      <c r="AH276" s="1394"/>
      <c r="AI276" s="1394"/>
      <c r="AJ276" s="1395"/>
      <c r="AK276" s="1395"/>
      <c r="AL276" s="1395"/>
      <c r="AM276" s="1395"/>
      <c r="AN276" s="1395"/>
      <c r="AO276" s="1395"/>
      <c r="AP276" s="1395"/>
      <c r="AQ276" s="1395"/>
      <c r="AR276" s="1395"/>
      <c r="AS276" s="1395"/>
      <c r="AT276" s="1396"/>
      <c r="AU276" s="1413"/>
      <c r="AV276" s="1414"/>
    </row>
    <row r="277" spans="1:48" ht="20.100000000000001" customHeight="1" x14ac:dyDescent="0.25">
      <c r="A277" s="360"/>
      <c r="B277" s="1387"/>
      <c r="C277" s="1388"/>
      <c r="D277" s="1166" t="s">
        <v>17</v>
      </c>
      <c r="E277" s="1385">
        <v>0</v>
      </c>
      <c r="F277" s="1385">
        <v>0</v>
      </c>
      <c r="G277" s="1385">
        <v>0</v>
      </c>
      <c r="H277" s="2048">
        <v>0</v>
      </c>
      <c r="I277" s="2048">
        <v>0</v>
      </c>
      <c r="J277" s="2048">
        <v>0</v>
      </c>
      <c r="K277" s="1385"/>
      <c r="L277" s="1385"/>
      <c r="M277" s="1385"/>
      <c r="N277" s="2049"/>
      <c r="O277" s="2049"/>
      <c r="P277" s="2049"/>
      <c r="Q277" s="2028">
        <f t="shared" si="164"/>
        <v>0</v>
      </c>
      <c r="R277" s="2026">
        <f t="shared" si="162"/>
        <v>0</v>
      </c>
      <c r="S277" s="2029">
        <f t="shared" si="163"/>
        <v>0</v>
      </c>
      <c r="T277" s="853">
        <f t="shared" si="165"/>
        <v>0</v>
      </c>
      <c r="U277" s="1408" t="str">
        <f t="shared" si="166"/>
        <v>1.33</v>
      </c>
      <c r="V277" s="1408" t="str">
        <f t="shared" si="167"/>
        <v>D+</v>
      </c>
      <c r="W277" s="1408" t="str">
        <f t="shared" si="168"/>
        <v>0</v>
      </c>
      <c r="X277" s="1409"/>
      <c r="Y277" s="1393"/>
      <c r="Z277" s="1394"/>
      <c r="AA277" s="1394"/>
      <c r="AB277" s="1394"/>
      <c r="AC277" s="1394"/>
      <c r="AD277" s="1394"/>
      <c r="AE277" s="1394"/>
      <c r="AF277" s="1394"/>
      <c r="AG277" s="1394"/>
      <c r="AH277" s="1394"/>
      <c r="AI277" s="1394"/>
      <c r="AJ277" s="1395"/>
      <c r="AK277" s="1395"/>
      <c r="AL277" s="1395"/>
      <c r="AM277" s="1395"/>
      <c r="AN277" s="1395"/>
      <c r="AO277" s="1395"/>
      <c r="AP277" s="1395"/>
      <c r="AQ277" s="1395"/>
      <c r="AR277" s="1395"/>
      <c r="AS277" s="1395"/>
      <c r="AT277" s="1396"/>
      <c r="AU277" s="1413"/>
      <c r="AV277" s="1414"/>
    </row>
    <row r="278" spans="1:48" ht="20.100000000000001" customHeight="1" x14ac:dyDescent="0.25">
      <c r="A278" s="360"/>
      <c r="B278" s="1387"/>
      <c r="C278" s="1388"/>
      <c r="D278" s="1166" t="s">
        <v>188</v>
      </c>
      <c r="E278" s="1385"/>
      <c r="F278" s="1385"/>
      <c r="G278" s="1385"/>
      <c r="H278" s="2048">
        <v>0</v>
      </c>
      <c r="I278" s="2048">
        <v>0</v>
      </c>
      <c r="J278" s="2048">
        <v>0</v>
      </c>
      <c r="K278" s="1385"/>
      <c r="L278" s="1385"/>
      <c r="M278" s="1385"/>
      <c r="N278" s="2049"/>
      <c r="O278" s="2049"/>
      <c r="P278" s="2049"/>
      <c r="Q278" s="2028">
        <f t="shared" si="164"/>
        <v>0</v>
      </c>
      <c r="R278" s="2026">
        <f t="shared" si="162"/>
        <v>0</v>
      </c>
      <c r="S278" s="2029">
        <f t="shared" si="163"/>
        <v>0</v>
      </c>
      <c r="T278" s="853">
        <f t="shared" si="165"/>
        <v>0</v>
      </c>
      <c r="U278" s="1408" t="str">
        <f t="shared" si="166"/>
        <v>1.33</v>
      </c>
      <c r="V278" s="1408" t="str">
        <f t="shared" si="167"/>
        <v>D+</v>
      </c>
      <c r="W278" s="1408" t="str">
        <f t="shared" si="168"/>
        <v>0</v>
      </c>
      <c r="X278" s="1409"/>
      <c r="Y278" s="1393"/>
      <c r="Z278" s="1394"/>
      <c r="AA278" s="1394"/>
      <c r="AB278" s="1394"/>
      <c r="AC278" s="1394"/>
      <c r="AD278" s="1394"/>
      <c r="AE278" s="1394"/>
      <c r="AF278" s="1394"/>
      <c r="AG278" s="1394"/>
      <c r="AH278" s="1394"/>
      <c r="AI278" s="1394"/>
      <c r="AJ278" s="1395"/>
      <c r="AK278" s="1395"/>
      <c r="AL278" s="1395"/>
      <c r="AM278" s="1395"/>
      <c r="AN278" s="1395"/>
      <c r="AO278" s="1395"/>
      <c r="AP278" s="1395"/>
      <c r="AQ278" s="1395"/>
      <c r="AR278" s="1395"/>
      <c r="AS278" s="1395"/>
      <c r="AT278" s="1396"/>
      <c r="AU278" s="1413"/>
      <c r="AV278" s="1414"/>
    </row>
    <row r="279" spans="1:48" ht="20.100000000000001" customHeight="1" x14ac:dyDescent="0.25">
      <c r="A279" s="360"/>
      <c r="B279" s="1387"/>
      <c r="C279" s="1388"/>
      <c r="D279" s="1166" t="s">
        <v>569</v>
      </c>
      <c r="E279" s="1385"/>
      <c r="F279" s="1385"/>
      <c r="G279" s="1385"/>
      <c r="H279" s="2048"/>
      <c r="I279" s="2048"/>
      <c r="J279" s="2048"/>
      <c r="K279" s="1385">
        <v>0</v>
      </c>
      <c r="L279" s="1385">
        <v>0</v>
      </c>
      <c r="M279" s="1385">
        <v>0</v>
      </c>
      <c r="N279" s="2049"/>
      <c r="O279" s="2049"/>
      <c r="P279" s="2049"/>
      <c r="Q279" s="2028">
        <f t="shared" si="164"/>
        <v>0</v>
      </c>
      <c r="R279" s="2026">
        <f t="shared" si="162"/>
        <v>0</v>
      </c>
      <c r="S279" s="2029">
        <f t="shared" si="163"/>
        <v>0</v>
      </c>
      <c r="T279" s="853">
        <f t="shared" si="165"/>
        <v>0</v>
      </c>
      <c r="U279" s="1408" t="str">
        <f t="shared" si="166"/>
        <v>1.33</v>
      </c>
      <c r="V279" s="1408" t="str">
        <f t="shared" si="167"/>
        <v>D+</v>
      </c>
      <c r="W279" s="1408" t="str">
        <f t="shared" si="168"/>
        <v>0</v>
      </c>
      <c r="X279" s="1409"/>
      <c r="Y279" s="1393"/>
      <c r="Z279" s="1394"/>
      <c r="AA279" s="1394"/>
      <c r="AB279" s="1394"/>
      <c r="AC279" s="1394"/>
      <c r="AD279" s="1394"/>
      <c r="AE279" s="1394"/>
      <c r="AF279" s="1394"/>
      <c r="AG279" s="1394"/>
      <c r="AH279" s="1394"/>
      <c r="AI279" s="1394"/>
      <c r="AJ279" s="1395"/>
      <c r="AK279" s="1395"/>
      <c r="AL279" s="1395"/>
      <c r="AM279" s="1395"/>
      <c r="AN279" s="1395"/>
      <c r="AO279" s="1395"/>
      <c r="AP279" s="1395"/>
      <c r="AQ279" s="1395"/>
      <c r="AR279" s="1395"/>
      <c r="AS279" s="1395"/>
      <c r="AT279" s="1396"/>
      <c r="AU279" s="1413"/>
      <c r="AV279" s="1414"/>
    </row>
    <row r="280" spans="1:48" ht="20.100000000000001" customHeight="1" x14ac:dyDescent="0.25">
      <c r="A280" s="360"/>
      <c r="B280" s="1387"/>
      <c r="C280" s="1388"/>
      <c r="D280" s="1166" t="s">
        <v>209</v>
      </c>
      <c r="E280" s="1385"/>
      <c r="F280" s="1385"/>
      <c r="G280" s="1385"/>
      <c r="H280" s="2048"/>
      <c r="I280" s="2048"/>
      <c r="J280" s="2048"/>
      <c r="K280" s="1385"/>
      <c r="L280" s="1385"/>
      <c r="M280" s="1385"/>
      <c r="N280" s="2049">
        <v>0</v>
      </c>
      <c r="O280" s="2049">
        <v>0</v>
      </c>
      <c r="P280" s="2049">
        <v>0</v>
      </c>
      <c r="Q280" s="2028">
        <f t="shared" si="164"/>
        <v>0</v>
      </c>
      <c r="R280" s="2026">
        <f t="shared" si="162"/>
        <v>0</v>
      </c>
      <c r="S280" s="2029">
        <f t="shared" si="163"/>
        <v>0</v>
      </c>
      <c r="T280" s="853">
        <f t="shared" si="165"/>
        <v>0</v>
      </c>
      <c r="U280" s="1408" t="str">
        <f t="shared" si="166"/>
        <v>1.33</v>
      </c>
      <c r="V280" s="1408" t="str">
        <f t="shared" si="167"/>
        <v>D+</v>
      </c>
      <c r="W280" s="1408" t="str">
        <f t="shared" si="168"/>
        <v>0</v>
      </c>
      <c r="X280" s="1409"/>
      <c r="Y280" s="1393"/>
      <c r="Z280" s="1394"/>
      <c r="AA280" s="1394"/>
      <c r="AB280" s="1394"/>
      <c r="AC280" s="1394"/>
      <c r="AD280" s="1394"/>
      <c r="AE280" s="1394"/>
      <c r="AF280" s="1394"/>
      <c r="AG280" s="1394"/>
      <c r="AH280" s="1394"/>
      <c r="AI280" s="1394"/>
      <c r="AJ280" s="1395"/>
      <c r="AK280" s="1395"/>
      <c r="AL280" s="1395"/>
      <c r="AM280" s="1395"/>
      <c r="AN280" s="1395"/>
      <c r="AO280" s="1395"/>
      <c r="AP280" s="1395"/>
      <c r="AQ280" s="1395"/>
      <c r="AR280" s="1395"/>
      <c r="AS280" s="1395"/>
      <c r="AT280" s="1396"/>
      <c r="AU280" s="1413"/>
      <c r="AV280" s="1414"/>
    </row>
    <row r="281" spans="1:48" ht="20.100000000000001" customHeight="1" x14ac:dyDescent="0.25">
      <c r="A281" s="360"/>
      <c r="B281" s="1387"/>
      <c r="C281" s="1388"/>
      <c r="D281" s="1166" t="s">
        <v>210</v>
      </c>
      <c r="E281" s="1385"/>
      <c r="F281" s="1385"/>
      <c r="G281" s="1385"/>
      <c r="H281" s="2048"/>
      <c r="I281" s="2048"/>
      <c r="J281" s="2048"/>
      <c r="K281" s="1385"/>
      <c r="L281" s="1385"/>
      <c r="M281" s="1385"/>
      <c r="N281" s="2049">
        <v>0</v>
      </c>
      <c r="O281" s="2049">
        <v>0</v>
      </c>
      <c r="P281" s="2049">
        <v>0</v>
      </c>
      <c r="Q281" s="2028">
        <f t="shared" si="164"/>
        <v>0</v>
      </c>
      <c r="R281" s="2026">
        <f t="shared" si="162"/>
        <v>0</v>
      </c>
      <c r="S281" s="2029">
        <f t="shared" si="163"/>
        <v>0</v>
      </c>
      <c r="T281" s="853">
        <f t="shared" si="165"/>
        <v>0</v>
      </c>
      <c r="U281" s="1408" t="str">
        <f t="shared" si="166"/>
        <v>1.33</v>
      </c>
      <c r="V281" s="1408" t="str">
        <f t="shared" si="167"/>
        <v>D+</v>
      </c>
      <c r="W281" s="1408" t="str">
        <f t="shared" si="168"/>
        <v>0</v>
      </c>
      <c r="X281" s="1409"/>
      <c r="Y281" s="1397"/>
      <c r="Z281" s="1398"/>
      <c r="AA281" s="1398"/>
      <c r="AB281" s="1398"/>
      <c r="AC281" s="1398"/>
      <c r="AD281" s="1398"/>
      <c r="AE281" s="1398"/>
      <c r="AF281" s="1398"/>
      <c r="AG281" s="1398"/>
      <c r="AH281" s="1398"/>
      <c r="AI281" s="1398"/>
      <c r="AJ281" s="1399"/>
      <c r="AK281" s="1399"/>
      <c r="AL281" s="1399"/>
      <c r="AM281" s="1399"/>
      <c r="AN281" s="1399"/>
      <c r="AO281" s="1399"/>
      <c r="AP281" s="1399"/>
      <c r="AQ281" s="1399"/>
      <c r="AR281" s="1399"/>
      <c r="AS281" s="1399"/>
      <c r="AT281" s="1400"/>
      <c r="AU281" s="1415"/>
      <c r="AV281" s="1416"/>
    </row>
    <row r="282" spans="1:48" ht="20.100000000000001" customHeight="1" x14ac:dyDescent="0.25">
      <c r="A282" s="727"/>
      <c r="B282" s="1406">
        <v>23</v>
      </c>
      <c r="C282" s="1407"/>
      <c r="D282" s="1004"/>
      <c r="E282" s="2780"/>
      <c r="F282" s="2781"/>
      <c r="G282" s="2781"/>
      <c r="H282" s="2781"/>
      <c r="I282" s="2046"/>
      <c r="J282" s="2046"/>
      <c r="K282" s="2046"/>
      <c r="L282" s="2046"/>
      <c r="M282" s="2046"/>
      <c r="N282" s="2046"/>
      <c r="O282" s="2046"/>
      <c r="P282" s="2046"/>
      <c r="Q282" s="2046"/>
      <c r="R282" s="2046"/>
      <c r="S282" s="2046"/>
      <c r="T282" s="2044">
        <f>IFERROR(AVERAGE(T271:T281),"  ")</f>
        <v>0</v>
      </c>
      <c r="U282" s="2045" t="str">
        <f>IF(X282&gt;85,("4"),IF(X282&gt;80,("3.66"),IF(X282&gt;75,("3.33"),IF(X282&gt;70,("3.00"),IF(X282&gt;65,("2.66"),IF(X282&gt;60,("2.33"),IF(X282&gt;55,("2"),IF(X282&gt;50,("1.66"),"1.33"))))))))</f>
        <v>1.33</v>
      </c>
      <c r="V282" s="2045" t="str">
        <f>IF(X282&gt;85,("A"),IF(X282&gt;80,("A-"),IF(X282&gt;75,("B+"),IF(X282&gt;70,("B"),IF(X282&gt;65,("B-"),IF(X282&gt;60,("C+"),IF(X282&gt;55,("C"),IF(X282&gt;50,("C-"),"D+"))))))))</f>
        <v>D+</v>
      </c>
      <c r="W282" s="2045"/>
      <c r="X282" s="888">
        <f>MAX(T271:T281)</f>
        <v>0</v>
      </c>
      <c r="Y282" s="1403"/>
      <c r="Z282" s="1404"/>
      <c r="AA282" s="1404"/>
      <c r="AB282" s="1404"/>
      <c r="AC282" s="1404"/>
      <c r="AD282" s="1404"/>
      <c r="AE282" s="1404"/>
      <c r="AF282" s="1404"/>
      <c r="AG282" s="1404"/>
      <c r="AH282" s="1404"/>
      <c r="AI282" s="1404"/>
      <c r="AJ282" s="1404"/>
      <c r="AK282" s="1404"/>
      <c r="AL282" s="1404"/>
      <c r="AM282" s="1404"/>
      <c r="AN282" s="1404"/>
      <c r="AO282" s="1404"/>
      <c r="AP282" s="1404"/>
      <c r="AQ282" s="1404"/>
      <c r="AR282" s="1404"/>
      <c r="AS282" s="1404"/>
      <c r="AT282" s="1405"/>
      <c r="AU282" s="1257"/>
      <c r="AV282" s="1258"/>
    </row>
    <row r="283" spans="1:48" ht="20.100000000000001" customHeight="1" x14ac:dyDescent="0.25">
      <c r="A283" s="724">
        <v>24</v>
      </c>
      <c r="B283" s="1383"/>
      <c r="C283" s="1384" t="str">
        <f>VLOOKUP(A283,data_siswa,4,FALSE)</f>
        <v>Romzy Oka Ramadhani P</v>
      </c>
      <c r="D283" s="1166" t="s">
        <v>154</v>
      </c>
      <c r="E283" s="2050">
        <v>0</v>
      </c>
      <c r="F283" s="2050">
        <v>0</v>
      </c>
      <c r="G283" s="2050">
        <v>0</v>
      </c>
      <c r="H283" s="2051"/>
      <c r="I283" s="2051"/>
      <c r="J283" s="2051"/>
      <c r="K283" s="2050"/>
      <c r="L283" s="2050"/>
      <c r="M283" s="2050"/>
      <c r="N283" s="2052"/>
      <c r="O283" s="2052"/>
      <c r="P283" s="2052"/>
      <c r="Q283" s="2028">
        <f>MAX(E283,H283,K283,N283)</f>
        <v>0</v>
      </c>
      <c r="R283" s="2026">
        <f t="shared" ref="R283:R293" si="169">MAX(F283,I283,L283,O283)</f>
        <v>0</v>
      </c>
      <c r="S283" s="2029">
        <f t="shared" ref="S283:S293" si="170">MAX(G283,J283,M283,P283)</f>
        <v>0</v>
      </c>
      <c r="T283" s="853">
        <f>IFERROR(AVERAGE(Q283:S283),"")</f>
        <v>0</v>
      </c>
      <c r="U283" s="1408" t="str">
        <f>IF(T283&gt;85,("4"),IF(T283&gt;80,("3.66"),IF(T283&gt;75,("3.33"),IF(T283&gt;70,("3.00"),IF(T283&gt;65,("2.66"),IF(T283&gt;60,("2.33"),IF(T283&gt;55,("2"),IF(T283&gt;50,("1.66"),"1.33"))))))))</f>
        <v>1.33</v>
      </c>
      <c r="V283" s="1408" t="str">
        <f>IF(T283&gt;85,("A"),IF(T283&gt;80,("A-"),IF(T283&gt;75,("B+"),IF(T283&gt;70,("B"),IF(T283&gt;65,("B-"),IF(T283&gt;60,("C+"),IF(T283&gt;55,("C"),IF(T283&gt;50,("C-"),"D+"))))))))</f>
        <v>D+</v>
      </c>
      <c r="W283" s="1408" t="str">
        <f>IF(T283&gt;80,("SB"),IF(T283&gt;65,("B"),IF(T283&gt;50,("C"),IF(T283&gt;0,("K"),"0"))))</f>
        <v>0</v>
      </c>
      <c r="X283" s="1408"/>
      <c r="Y283" s="749"/>
      <c r="Z283" s="749"/>
      <c r="AA283" s="749"/>
      <c r="AB283" s="749"/>
      <c r="AC283" s="749"/>
      <c r="AD283" s="749"/>
      <c r="AE283" s="749"/>
      <c r="AF283" s="749"/>
      <c r="AG283" s="749"/>
      <c r="AH283" s="749"/>
      <c r="AI283" s="749"/>
      <c r="AJ283" s="1386"/>
      <c r="AK283" s="1386"/>
      <c r="AL283" s="1386"/>
      <c r="AM283" s="1386"/>
      <c r="AN283" s="1386"/>
      <c r="AO283" s="1386"/>
      <c r="AP283" s="1386"/>
      <c r="AQ283" s="1386"/>
      <c r="AR283" s="1386"/>
      <c r="AS283" s="1386"/>
      <c r="AT283" s="1386"/>
      <c r="AU283" s="1057">
        <f>T294</f>
        <v>0</v>
      </c>
      <c r="AV283" s="1194" t="str">
        <f>IF(AU283&gt;85,("A"),IF(AU283&gt;80,("A-"),IF(AU283&gt;75,("B+"),IF(AU283&gt;70,("B"),IF(AU283&gt;65,("B-"),IF(AU283&gt;60,("C+"),IF(AU283&gt;55,("C"),IF(AU283&gt;50,("C-"),"D+"))))))))</f>
        <v>D+</v>
      </c>
    </row>
    <row r="284" spans="1:48" ht="20.100000000000001" customHeight="1" x14ac:dyDescent="0.25">
      <c r="A284" s="360"/>
      <c r="B284" s="1387"/>
      <c r="C284" s="1388"/>
      <c r="D284" s="1166" t="s">
        <v>155</v>
      </c>
      <c r="E284" s="1493"/>
      <c r="F284" s="1493"/>
      <c r="G284" s="1493"/>
      <c r="H284" s="2040"/>
      <c r="I284" s="2040"/>
      <c r="J284" s="2040"/>
      <c r="K284" s="1493"/>
      <c r="L284" s="1493"/>
      <c r="M284" s="1493"/>
      <c r="N284" s="2039">
        <v>0</v>
      </c>
      <c r="O284" s="2039">
        <v>0</v>
      </c>
      <c r="P284" s="2039">
        <v>0</v>
      </c>
      <c r="Q284" s="2028">
        <f t="shared" ref="Q284:Q293" si="171">MAX(E284,H284,K284,N284)</f>
        <v>0</v>
      </c>
      <c r="R284" s="2026">
        <f t="shared" si="169"/>
        <v>0</v>
      </c>
      <c r="S284" s="2029">
        <f t="shared" si="170"/>
        <v>0</v>
      </c>
      <c r="T284" s="853">
        <f t="shared" ref="T284:T293" si="172">IFERROR(AVERAGE(Q284:S284),"")</f>
        <v>0</v>
      </c>
      <c r="U284" s="1408" t="str">
        <f t="shared" ref="U284:U293" si="173">IF(T284&gt;85,("4"),IF(T284&gt;80,("3.66"),IF(T284&gt;75,("3.33"),IF(T284&gt;70,("3.00"),IF(T284&gt;65,("2.66"),IF(T284&gt;60,("2.33"),IF(T284&gt;55,("2"),IF(T284&gt;50,("1.66"),"1.33"))))))))</f>
        <v>1.33</v>
      </c>
      <c r="V284" s="1408" t="str">
        <f t="shared" ref="V284:V293" si="174">IF(T284&gt;85,("A"),IF(T284&gt;80,("A-"),IF(T284&gt;75,("B+"),IF(T284&gt;70,("B"),IF(T284&gt;65,("B-"),IF(T284&gt;60,("C+"),IF(T284&gt;55,("C"),IF(T284&gt;50,("C-"),"D+"))))))))</f>
        <v>D+</v>
      </c>
      <c r="W284" s="1408" t="str">
        <f t="shared" ref="W284:W293" si="175">IF(T284&gt;80,("SB"),IF(T284&gt;65,("B"),IF(T284&gt;50,("C"),IF(T284&gt;0,("K"),"0"))))</f>
        <v>0</v>
      </c>
      <c r="X284" s="1409"/>
      <c r="Y284" s="1389"/>
      <c r="Z284" s="1390"/>
      <c r="AA284" s="1390"/>
      <c r="AB284" s="1390"/>
      <c r="AC284" s="1390"/>
      <c r="AD284" s="1390"/>
      <c r="AE284" s="1390"/>
      <c r="AF284" s="1390"/>
      <c r="AG284" s="1390"/>
      <c r="AH284" s="1390"/>
      <c r="AI284" s="1390"/>
      <c r="AJ284" s="1391"/>
      <c r="AK284" s="1391"/>
      <c r="AL284" s="1391"/>
      <c r="AM284" s="1391"/>
      <c r="AN284" s="1391"/>
      <c r="AO284" s="1391"/>
      <c r="AP284" s="1391"/>
      <c r="AQ284" s="1391"/>
      <c r="AR284" s="1391"/>
      <c r="AS284" s="1391"/>
      <c r="AT284" s="1392"/>
      <c r="AU284" s="1411"/>
      <c r="AV284" s="1412"/>
    </row>
    <row r="285" spans="1:48" ht="20.100000000000001" customHeight="1" x14ac:dyDescent="0.25">
      <c r="A285" s="360"/>
      <c r="B285" s="1387"/>
      <c r="C285" s="1388"/>
      <c r="D285" s="1166" t="s">
        <v>16</v>
      </c>
      <c r="E285" s="1493"/>
      <c r="F285" s="1493"/>
      <c r="G285" s="1493"/>
      <c r="H285" s="2040">
        <v>0</v>
      </c>
      <c r="I285" s="2040">
        <v>0</v>
      </c>
      <c r="J285" s="2040">
        <v>0</v>
      </c>
      <c r="K285" s="1493"/>
      <c r="L285" s="1493"/>
      <c r="M285" s="1493"/>
      <c r="N285" s="2052"/>
      <c r="O285" s="2052"/>
      <c r="P285" s="2052"/>
      <c r="Q285" s="2028">
        <f t="shared" si="171"/>
        <v>0</v>
      </c>
      <c r="R285" s="2026">
        <f t="shared" si="169"/>
        <v>0</v>
      </c>
      <c r="S285" s="2029">
        <f t="shared" si="170"/>
        <v>0</v>
      </c>
      <c r="T285" s="853">
        <f t="shared" si="172"/>
        <v>0</v>
      </c>
      <c r="U285" s="1408" t="str">
        <f t="shared" si="173"/>
        <v>1.33</v>
      </c>
      <c r="V285" s="1408" t="str">
        <f t="shared" si="174"/>
        <v>D+</v>
      </c>
      <c r="W285" s="1408" t="str">
        <f t="shared" si="175"/>
        <v>0</v>
      </c>
      <c r="X285" s="1409"/>
      <c r="Y285" s="1393"/>
      <c r="Z285" s="1394"/>
      <c r="AA285" s="1394"/>
      <c r="AB285" s="1394"/>
      <c r="AC285" s="1394"/>
      <c r="AD285" s="1394"/>
      <c r="AE285" s="1394"/>
      <c r="AF285" s="1394"/>
      <c r="AG285" s="1394"/>
      <c r="AH285" s="1394"/>
      <c r="AI285" s="1394"/>
      <c r="AJ285" s="1395"/>
      <c r="AK285" s="1395"/>
      <c r="AL285" s="1395"/>
      <c r="AM285" s="1395"/>
      <c r="AN285" s="1395"/>
      <c r="AO285" s="1395"/>
      <c r="AP285" s="1395"/>
      <c r="AQ285" s="1395"/>
      <c r="AR285" s="1395"/>
      <c r="AS285" s="1395"/>
      <c r="AT285" s="1396"/>
      <c r="AU285" s="1413"/>
      <c r="AV285" s="1414"/>
    </row>
    <row r="286" spans="1:48" ht="20.100000000000001" customHeight="1" x14ac:dyDescent="0.25">
      <c r="A286" s="360"/>
      <c r="B286" s="1387"/>
      <c r="C286" s="1388"/>
      <c r="D286" s="1166" t="s">
        <v>189</v>
      </c>
      <c r="E286" s="1493"/>
      <c r="F286" s="1493"/>
      <c r="G286" s="1493"/>
      <c r="H286" s="2040">
        <v>0</v>
      </c>
      <c r="I286" s="2040">
        <v>0</v>
      </c>
      <c r="J286" s="2040">
        <v>0</v>
      </c>
      <c r="K286" s="1493"/>
      <c r="L286" s="1493"/>
      <c r="M286" s="1493"/>
      <c r="N286" s="2039"/>
      <c r="O286" s="2039"/>
      <c r="P286" s="2039"/>
      <c r="Q286" s="2028">
        <f t="shared" si="171"/>
        <v>0</v>
      </c>
      <c r="R286" s="2026">
        <f t="shared" si="169"/>
        <v>0</v>
      </c>
      <c r="S286" s="2029">
        <f t="shared" si="170"/>
        <v>0</v>
      </c>
      <c r="T286" s="853">
        <f t="shared" si="172"/>
        <v>0</v>
      </c>
      <c r="U286" s="1408" t="str">
        <f t="shared" si="173"/>
        <v>1.33</v>
      </c>
      <c r="V286" s="1408" t="str">
        <f t="shared" si="174"/>
        <v>D+</v>
      </c>
      <c r="W286" s="1408" t="str">
        <f t="shared" si="175"/>
        <v>0</v>
      </c>
      <c r="X286" s="1409"/>
      <c r="Y286" s="1393"/>
      <c r="Z286" s="1394"/>
      <c r="AA286" s="1394"/>
      <c r="AB286" s="1394"/>
      <c r="AC286" s="1394"/>
      <c r="AD286" s="1394"/>
      <c r="AE286" s="1394"/>
      <c r="AF286" s="1394"/>
      <c r="AG286" s="1394"/>
      <c r="AH286" s="1394"/>
      <c r="AI286" s="1394"/>
      <c r="AJ286" s="1395"/>
      <c r="AK286" s="1395"/>
      <c r="AL286" s="1395"/>
      <c r="AM286" s="1395"/>
      <c r="AN286" s="1395"/>
      <c r="AO286" s="1395"/>
      <c r="AP286" s="1395"/>
      <c r="AQ286" s="1395"/>
      <c r="AR286" s="1395"/>
      <c r="AS286" s="1395"/>
      <c r="AT286" s="1396"/>
      <c r="AU286" s="1413"/>
      <c r="AV286" s="1414"/>
    </row>
    <row r="287" spans="1:48" ht="20.100000000000001" customHeight="1" x14ac:dyDescent="0.25">
      <c r="A287" s="360"/>
      <c r="B287" s="1387"/>
      <c r="C287" s="1388"/>
      <c r="D287" s="1166" t="s">
        <v>186</v>
      </c>
      <c r="E287" s="1493"/>
      <c r="F287" s="1493"/>
      <c r="G287" s="1493"/>
      <c r="H287" s="2040">
        <v>0</v>
      </c>
      <c r="I287" s="2040">
        <v>0</v>
      </c>
      <c r="J287" s="2040">
        <v>0</v>
      </c>
      <c r="K287" s="1493"/>
      <c r="L287" s="1493"/>
      <c r="M287" s="1493"/>
      <c r="N287" s="2039"/>
      <c r="O287" s="2039"/>
      <c r="P287" s="2039"/>
      <c r="Q287" s="2028">
        <f t="shared" si="171"/>
        <v>0</v>
      </c>
      <c r="R287" s="2026">
        <f t="shared" si="169"/>
        <v>0</v>
      </c>
      <c r="S287" s="2029">
        <f t="shared" si="170"/>
        <v>0</v>
      </c>
      <c r="T287" s="853">
        <f t="shared" si="172"/>
        <v>0</v>
      </c>
      <c r="U287" s="1408" t="str">
        <f t="shared" si="173"/>
        <v>1.33</v>
      </c>
      <c r="V287" s="1408" t="str">
        <f t="shared" si="174"/>
        <v>D+</v>
      </c>
      <c r="W287" s="1408" t="str">
        <f t="shared" si="175"/>
        <v>0</v>
      </c>
      <c r="X287" s="1409"/>
      <c r="Y287" s="1393"/>
      <c r="Z287" s="1394"/>
      <c r="AA287" s="1394"/>
      <c r="AB287" s="1394"/>
      <c r="AC287" s="1394"/>
      <c r="AD287" s="1394"/>
      <c r="AE287" s="1394"/>
      <c r="AF287" s="1394"/>
      <c r="AG287" s="1394"/>
      <c r="AH287" s="1394"/>
      <c r="AI287" s="1394"/>
      <c r="AJ287" s="1395"/>
      <c r="AK287" s="1395"/>
      <c r="AL287" s="1395"/>
      <c r="AM287" s="1395"/>
      <c r="AN287" s="1395"/>
      <c r="AO287" s="1395"/>
      <c r="AP287" s="1395"/>
      <c r="AQ287" s="1395"/>
      <c r="AR287" s="1395"/>
      <c r="AS287" s="1395"/>
      <c r="AT287" s="1396"/>
      <c r="AU287" s="1413"/>
      <c r="AV287" s="1414"/>
    </row>
    <row r="288" spans="1:48" ht="20.100000000000001" customHeight="1" x14ac:dyDescent="0.25">
      <c r="A288" s="360"/>
      <c r="B288" s="1387"/>
      <c r="C288" s="1388"/>
      <c r="D288" s="1166" t="s">
        <v>187</v>
      </c>
      <c r="E288" s="1385"/>
      <c r="F288" s="1385"/>
      <c r="G288" s="1385"/>
      <c r="H288" s="2048"/>
      <c r="I288" s="2048"/>
      <c r="J288" s="2048"/>
      <c r="K288" s="1385">
        <v>0</v>
      </c>
      <c r="L288" s="1385">
        <v>0</v>
      </c>
      <c r="M288" s="1385">
        <v>0</v>
      </c>
      <c r="N288" s="2049"/>
      <c r="O288" s="2049"/>
      <c r="P288" s="2049"/>
      <c r="Q288" s="2028">
        <f t="shared" si="171"/>
        <v>0</v>
      </c>
      <c r="R288" s="2026">
        <f t="shared" si="169"/>
        <v>0</v>
      </c>
      <c r="S288" s="2029">
        <f t="shared" si="170"/>
        <v>0</v>
      </c>
      <c r="T288" s="853">
        <f t="shared" si="172"/>
        <v>0</v>
      </c>
      <c r="U288" s="1408" t="str">
        <f t="shared" si="173"/>
        <v>1.33</v>
      </c>
      <c r="V288" s="1408" t="str">
        <f t="shared" si="174"/>
        <v>D+</v>
      </c>
      <c r="W288" s="1408" t="str">
        <f t="shared" si="175"/>
        <v>0</v>
      </c>
      <c r="X288" s="1409"/>
      <c r="Y288" s="1393"/>
      <c r="Z288" s="1394"/>
      <c r="AA288" s="1394"/>
      <c r="AB288" s="1394"/>
      <c r="AC288" s="1394"/>
      <c r="AD288" s="1394"/>
      <c r="AE288" s="1394"/>
      <c r="AF288" s="1394"/>
      <c r="AG288" s="1394"/>
      <c r="AH288" s="1394"/>
      <c r="AI288" s="1394"/>
      <c r="AJ288" s="1395"/>
      <c r="AK288" s="1395"/>
      <c r="AL288" s="1395"/>
      <c r="AM288" s="1395"/>
      <c r="AN288" s="1395"/>
      <c r="AO288" s="1395"/>
      <c r="AP288" s="1395"/>
      <c r="AQ288" s="1395"/>
      <c r="AR288" s="1395"/>
      <c r="AS288" s="1395"/>
      <c r="AT288" s="1396"/>
      <c r="AU288" s="1413"/>
      <c r="AV288" s="1414"/>
    </row>
    <row r="289" spans="1:48" ht="20.100000000000001" customHeight="1" x14ac:dyDescent="0.25">
      <c r="A289" s="360"/>
      <c r="B289" s="1387"/>
      <c r="C289" s="1388"/>
      <c r="D289" s="1166" t="s">
        <v>17</v>
      </c>
      <c r="E289" s="1385">
        <v>0</v>
      </c>
      <c r="F289" s="1385">
        <v>0</v>
      </c>
      <c r="G289" s="1385">
        <v>0</v>
      </c>
      <c r="H289" s="2048">
        <v>0</v>
      </c>
      <c r="I289" s="2048">
        <v>0</v>
      </c>
      <c r="J289" s="2048">
        <v>0</v>
      </c>
      <c r="K289" s="1385"/>
      <c r="L289" s="1385"/>
      <c r="M289" s="1385"/>
      <c r="N289" s="2049"/>
      <c r="O289" s="2049"/>
      <c r="P289" s="2049"/>
      <c r="Q289" s="2028">
        <f t="shared" si="171"/>
        <v>0</v>
      </c>
      <c r="R289" s="2026">
        <f t="shared" si="169"/>
        <v>0</v>
      </c>
      <c r="S289" s="2029">
        <f t="shared" si="170"/>
        <v>0</v>
      </c>
      <c r="T289" s="853">
        <f t="shared" si="172"/>
        <v>0</v>
      </c>
      <c r="U289" s="1408" t="str">
        <f t="shared" si="173"/>
        <v>1.33</v>
      </c>
      <c r="V289" s="1408" t="str">
        <f t="shared" si="174"/>
        <v>D+</v>
      </c>
      <c r="W289" s="1408" t="str">
        <f t="shared" si="175"/>
        <v>0</v>
      </c>
      <c r="X289" s="1409"/>
      <c r="Y289" s="1393"/>
      <c r="Z289" s="1394"/>
      <c r="AA289" s="1394"/>
      <c r="AB289" s="1394"/>
      <c r="AC289" s="1394"/>
      <c r="AD289" s="1394"/>
      <c r="AE289" s="1394"/>
      <c r="AF289" s="1394"/>
      <c r="AG289" s="1394"/>
      <c r="AH289" s="1394"/>
      <c r="AI289" s="1394"/>
      <c r="AJ289" s="1395"/>
      <c r="AK289" s="1395"/>
      <c r="AL289" s="1395"/>
      <c r="AM289" s="1395"/>
      <c r="AN289" s="1395"/>
      <c r="AO289" s="1395"/>
      <c r="AP289" s="1395"/>
      <c r="AQ289" s="1395"/>
      <c r="AR289" s="1395"/>
      <c r="AS289" s="1395"/>
      <c r="AT289" s="1396"/>
      <c r="AU289" s="1413"/>
      <c r="AV289" s="1414"/>
    </row>
    <row r="290" spans="1:48" ht="20.100000000000001" customHeight="1" x14ac:dyDescent="0.25">
      <c r="A290" s="360"/>
      <c r="B290" s="1387"/>
      <c r="C290" s="1388"/>
      <c r="D290" s="1166" t="s">
        <v>188</v>
      </c>
      <c r="E290" s="1385"/>
      <c r="F290" s="1385"/>
      <c r="G290" s="1385"/>
      <c r="H290" s="2048">
        <v>0</v>
      </c>
      <c r="I290" s="2048">
        <v>0</v>
      </c>
      <c r="J290" s="2048">
        <v>0</v>
      </c>
      <c r="K290" s="1385"/>
      <c r="L290" s="1385"/>
      <c r="M290" s="1385"/>
      <c r="N290" s="2049"/>
      <c r="O290" s="2049"/>
      <c r="P290" s="2049"/>
      <c r="Q290" s="2028">
        <f t="shared" si="171"/>
        <v>0</v>
      </c>
      <c r="R290" s="2026">
        <f t="shared" si="169"/>
        <v>0</v>
      </c>
      <c r="S290" s="2029">
        <f t="shared" si="170"/>
        <v>0</v>
      </c>
      <c r="T290" s="853">
        <f t="shared" si="172"/>
        <v>0</v>
      </c>
      <c r="U290" s="1408" t="str">
        <f t="shared" si="173"/>
        <v>1.33</v>
      </c>
      <c r="V290" s="1408" t="str">
        <f t="shared" si="174"/>
        <v>D+</v>
      </c>
      <c r="W290" s="1408" t="str">
        <f t="shared" si="175"/>
        <v>0</v>
      </c>
      <c r="X290" s="1409"/>
      <c r="Y290" s="1393"/>
      <c r="Z290" s="1394"/>
      <c r="AA290" s="1394"/>
      <c r="AB290" s="1394"/>
      <c r="AC290" s="1394"/>
      <c r="AD290" s="1394"/>
      <c r="AE290" s="1394"/>
      <c r="AF290" s="1394"/>
      <c r="AG290" s="1394"/>
      <c r="AH290" s="1394"/>
      <c r="AI290" s="1394"/>
      <c r="AJ290" s="1395"/>
      <c r="AK290" s="1395"/>
      <c r="AL290" s="1395"/>
      <c r="AM290" s="1395"/>
      <c r="AN290" s="1395"/>
      <c r="AO290" s="1395"/>
      <c r="AP290" s="1395"/>
      <c r="AQ290" s="1395"/>
      <c r="AR290" s="1395"/>
      <c r="AS290" s="1395"/>
      <c r="AT290" s="1396"/>
      <c r="AU290" s="1413"/>
      <c r="AV290" s="1414"/>
    </row>
    <row r="291" spans="1:48" ht="20.100000000000001" customHeight="1" x14ac:dyDescent="0.25">
      <c r="A291" s="360"/>
      <c r="B291" s="1387"/>
      <c r="C291" s="1388"/>
      <c r="D291" s="1166" t="s">
        <v>569</v>
      </c>
      <c r="E291" s="1385"/>
      <c r="F291" s="1385"/>
      <c r="G291" s="1385"/>
      <c r="H291" s="2048"/>
      <c r="I291" s="2048"/>
      <c r="J291" s="2048"/>
      <c r="K291" s="1385">
        <v>0</v>
      </c>
      <c r="L291" s="1385">
        <v>0</v>
      </c>
      <c r="M291" s="1385">
        <v>0</v>
      </c>
      <c r="N291" s="2049"/>
      <c r="O291" s="2049"/>
      <c r="P291" s="2049"/>
      <c r="Q291" s="2028">
        <f t="shared" si="171"/>
        <v>0</v>
      </c>
      <c r="R291" s="2026">
        <f t="shared" si="169"/>
        <v>0</v>
      </c>
      <c r="S291" s="2029">
        <f t="shared" si="170"/>
        <v>0</v>
      </c>
      <c r="T291" s="853">
        <f t="shared" si="172"/>
        <v>0</v>
      </c>
      <c r="U291" s="1408" t="str">
        <f t="shared" si="173"/>
        <v>1.33</v>
      </c>
      <c r="V291" s="1408" t="str">
        <f t="shared" si="174"/>
        <v>D+</v>
      </c>
      <c r="W291" s="1408" t="str">
        <f t="shared" si="175"/>
        <v>0</v>
      </c>
      <c r="X291" s="1409"/>
      <c r="Y291" s="1393"/>
      <c r="Z291" s="1394"/>
      <c r="AA291" s="1394"/>
      <c r="AB291" s="1394"/>
      <c r="AC291" s="1394"/>
      <c r="AD291" s="1394"/>
      <c r="AE291" s="1394"/>
      <c r="AF291" s="1394"/>
      <c r="AG291" s="1394"/>
      <c r="AH291" s="1394"/>
      <c r="AI291" s="1394"/>
      <c r="AJ291" s="1395"/>
      <c r="AK291" s="1395"/>
      <c r="AL291" s="1395"/>
      <c r="AM291" s="1395"/>
      <c r="AN291" s="1395"/>
      <c r="AO291" s="1395"/>
      <c r="AP291" s="1395"/>
      <c r="AQ291" s="1395"/>
      <c r="AR291" s="1395"/>
      <c r="AS291" s="1395"/>
      <c r="AT291" s="1396"/>
      <c r="AU291" s="1413"/>
      <c r="AV291" s="1414"/>
    </row>
    <row r="292" spans="1:48" ht="20.100000000000001" customHeight="1" x14ac:dyDescent="0.25">
      <c r="A292" s="360"/>
      <c r="B292" s="1387"/>
      <c r="C292" s="1388"/>
      <c r="D292" s="1166" t="s">
        <v>209</v>
      </c>
      <c r="E292" s="1385"/>
      <c r="F292" s="1385"/>
      <c r="G292" s="1385"/>
      <c r="H292" s="2048"/>
      <c r="I292" s="2048"/>
      <c r="J292" s="2048"/>
      <c r="K292" s="1385"/>
      <c r="L292" s="1385"/>
      <c r="M292" s="1385"/>
      <c r="N292" s="2049">
        <v>0</v>
      </c>
      <c r="O292" s="2049">
        <v>0</v>
      </c>
      <c r="P292" s="2049">
        <v>0</v>
      </c>
      <c r="Q292" s="2028">
        <f t="shared" si="171"/>
        <v>0</v>
      </c>
      <c r="R292" s="2026">
        <f t="shared" si="169"/>
        <v>0</v>
      </c>
      <c r="S292" s="2029">
        <f t="shared" si="170"/>
        <v>0</v>
      </c>
      <c r="T292" s="853">
        <f t="shared" si="172"/>
        <v>0</v>
      </c>
      <c r="U292" s="1408" t="str">
        <f t="shared" si="173"/>
        <v>1.33</v>
      </c>
      <c r="V292" s="1408" t="str">
        <f t="shared" si="174"/>
        <v>D+</v>
      </c>
      <c r="W292" s="1408" t="str">
        <f t="shared" si="175"/>
        <v>0</v>
      </c>
      <c r="X292" s="1409"/>
      <c r="Y292" s="1393"/>
      <c r="Z292" s="1394"/>
      <c r="AA292" s="1394"/>
      <c r="AB292" s="1394"/>
      <c r="AC292" s="1394"/>
      <c r="AD292" s="1394"/>
      <c r="AE292" s="1394"/>
      <c r="AF292" s="1394"/>
      <c r="AG292" s="1394"/>
      <c r="AH292" s="1394"/>
      <c r="AI292" s="1394"/>
      <c r="AJ292" s="1395"/>
      <c r="AK292" s="1395"/>
      <c r="AL292" s="1395"/>
      <c r="AM292" s="1395"/>
      <c r="AN292" s="1395"/>
      <c r="AO292" s="1395"/>
      <c r="AP292" s="1395"/>
      <c r="AQ292" s="1395"/>
      <c r="AR292" s="1395"/>
      <c r="AS292" s="1395"/>
      <c r="AT292" s="1396"/>
      <c r="AU292" s="1413"/>
      <c r="AV292" s="1414"/>
    </row>
    <row r="293" spans="1:48" ht="20.100000000000001" customHeight="1" x14ac:dyDescent="0.25">
      <c r="A293" s="360"/>
      <c r="B293" s="1387"/>
      <c r="C293" s="1388"/>
      <c r="D293" s="1166" t="s">
        <v>210</v>
      </c>
      <c r="E293" s="1385"/>
      <c r="F293" s="1385"/>
      <c r="G293" s="1385"/>
      <c r="H293" s="2048"/>
      <c r="I293" s="2048"/>
      <c r="J293" s="2048"/>
      <c r="K293" s="1385"/>
      <c r="L293" s="1385"/>
      <c r="M293" s="1385"/>
      <c r="N293" s="2049">
        <v>0</v>
      </c>
      <c r="O293" s="2049">
        <v>0</v>
      </c>
      <c r="P293" s="2049">
        <v>0</v>
      </c>
      <c r="Q293" s="2028">
        <f t="shared" si="171"/>
        <v>0</v>
      </c>
      <c r="R293" s="2026">
        <f t="shared" si="169"/>
        <v>0</v>
      </c>
      <c r="S293" s="2029">
        <f t="shared" si="170"/>
        <v>0</v>
      </c>
      <c r="T293" s="853">
        <f t="shared" si="172"/>
        <v>0</v>
      </c>
      <c r="U293" s="1408" t="str">
        <f t="shared" si="173"/>
        <v>1.33</v>
      </c>
      <c r="V293" s="1408" t="str">
        <f t="shared" si="174"/>
        <v>D+</v>
      </c>
      <c r="W293" s="1408" t="str">
        <f t="shared" si="175"/>
        <v>0</v>
      </c>
      <c r="X293" s="1409"/>
      <c r="Y293" s="1397"/>
      <c r="Z293" s="1398"/>
      <c r="AA293" s="1398"/>
      <c r="AB293" s="1398"/>
      <c r="AC293" s="1398"/>
      <c r="AD293" s="1398"/>
      <c r="AE293" s="1398"/>
      <c r="AF293" s="1398"/>
      <c r="AG293" s="1398"/>
      <c r="AH293" s="1398"/>
      <c r="AI293" s="1398"/>
      <c r="AJ293" s="1399"/>
      <c r="AK293" s="1399"/>
      <c r="AL293" s="1399"/>
      <c r="AM293" s="1399"/>
      <c r="AN293" s="1399"/>
      <c r="AO293" s="1399"/>
      <c r="AP293" s="1399"/>
      <c r="AQ293" s="1399"/>
      <c r="AR293" s="1399"/>
      <c r="AS293" s="1399"/>
      <c r="AT293" s="1400"/>
      <c r="AU293" s="1415"/>
      <c r="AV293" s="1416"/>
    </row>
    <row r="294" spans="1:48" ht="20.100000000000001" customHeight="1" x14ac:dyDescent="0.25">
      <c r="A294" s="727"/>
      <c r="B294" s="1406">
        <v>24</v>
      </c>
      <c r="C294" s="1407"/>
      <c r="D294" s="1004"/>
      <c r="E294" s="2780"/>
      <c r="F294" s="2781"/>
      <c r="G294" s="2781"/>
      <c r="H294" s="2781"/>
      <c r="I294" s="2046"/>
      <c r="J294" s="2046"/>
      <c r="K294" s="2046"/>
      <c r="L294" s="2046"/>
      <c r="M294" s="2046"/>
      <c r="N294" s="2046"/>
      <c r="O294" s="2046"/>
      <c r="P294" s="2046"/>
      <c r="Q294" s="2046"/>
      <c r="R294" s="2046"/>
      <c r="S294" s="2046"/>
      <c r="T294" s="2044">
        <f>IFERROR(AVERAGE(T283:T293),"  ")</f>
        <v>0</v>
      </c>
      <c r="U294" s="2045" t="str">
        <f>IF(X294&gt;85,("4"),IF(X294&gt;80,("3.66"),IF(X294&gt;75,("3.33"),IF(X294&gt;70,("3.00"),IF(X294&gt;65,("2.66"),IF(X294&gt;60,("2.33"),IF(X294&gt;55,("2"),IF(X294&gt;50,("1.66"),"1.33"))))))))</f>
        <v>1.33</v>
      </c>
      <c r="V294" s="2045" t="str">
        <f>IF(X294&gt;85,("A"),IF(X294&gt;80,("A-"),IF(X294&gt;75,("B+"),IF(X294&gt;70,("B"),IF(X294&gt;65,("B-"),IF(X294&gt;60,("C+"),IF(X294&gt;55,("C"),IF(X294&gt;50,("C-"),"D+"))))))))</f>
        <v>D+</v>
      </c>
      <c r="W294" s="2045"/>
      <c r="X294" s="888">
        <f>MAX(T283:T293)</f>
        <v>0</v>
      </c>
      <c r="Y294" s="1403"/>
      <c r="Z294" s="1404"/>
      <c r="AA294" s="1404"/>
      <c r="AB294" s="1404"/>
      <c r="AC294" s="1404"/>
      <c r="AD294" s="1404"/>
      <c r="AE294" s="1404"/>
      <c r="AF294" s="1404"/>
      <c r="AG294" s="1404"/>
      <c r="AH294" s="1404"/>
      <c r="AI294" s="1404"/>
      <c r="AJ294" s="1404"/>
      <c r="AK294" s="1404"/>
      <c r="AL294" s="1404"/>
      <c r="AM294" s="1404"/>
      <c r="AN294" s="1404"/>
      <c r="AO294" s="1404"/>
      <c r="AP294" s="1404"/>
      <c r="AQ294" s="1404"/>
      <c r="AR294" s="1404"/>
      <c r="AS294" s="1404"/>
      <c r="AT294" s="1405"/>
      <c r="AU294" s="1257"/>
      <c r="AV294" s="1258"/>
    </row>
    <row r="295" spans="1:48" ht="20.100000000000001" customHeight="1" x14ac:dyDescent="0.25">
      <c r="A295" s="724">
        <v>25</v>
      </c>
      <c r="B295" s="1383"/>
      <c r="C295" s="1384" t="str">
        <f>VLOOKUP(A295,data_siswa,4,FALSE)</f>
        <v>Larasati Jagadhita P</v>
      </c>
      <c r="D295" s="1166" t="s">
        <v>154</v>
      </c>
      <c r="E295" s="2050">
        <v>0</v>
      </c>
      <c r="F295" s="2050">
        <v>0</v>
      </c>
      <c r="G295" s="2050">
        <v>0</v>
      </c>
      <c r="H295" s="2051"/>
      <c r="I295" s="2051"/>
      <c r="J295" s="2051"/>
      <c r="K295" s="2050"/>
      <c r="L295" s="2050"/>
      <c r="M295" s="2050"/>
      <c r="N295" s="2052"/>
      <c r="O295" s="2052"/>
      <c r="P295" s="2052"/>
      <c r="Q295" s="2028">
        <f>MAX(E295,H295,K295,N295)</f>
        <v>0</v>
      </c>
      <c r="R295" s="2026">
        <f t="shared" ref="R295:R305" si="176">MAX(F295,I295,L295,O295)</f>
        <v>0</v>
      </c>
      <c r="S295" s="2029">
        <f t="shared" ref="S295:S305" si="177">MAX(G295,J295,M295,P295)</f>
        <v>0</v>
      </c>
      <c r="T295" s="853">
        <f>IFERROR(AVERAGE(Q295:S295),"")</f>
        <v>0</v>
      </c>
      <c r="U295" s="1408" t="str">
        <f>IF(T295&gt;85,("4"),IF(T295&gt;80,("3.66"),IF(T295&gt;75,("3.33"),IF(T295&gt;70,("3.00"),IF(T295&gt;65,("2.66"),IF(T295&gt;60,("2.33"),IF(T295&gt;55,("2"),IF(T295&gt;50,("1.66"),"1.33"))))))))</f>
        <v>1.33</v>
      </c>
      <c r="V295" s="1408" t="str">
        <f>IF(T295&gt;85,("A"),IF(T295&gt;80,("A-"),IF(T295&gt;75,("B+"),IF(T295&gt;70,("B"),IF(T295&gt;65,("B-"),IF(T295&gt;60,("C+"),IF(T295&gt;55,("C"),IF(T295&gt;50,("C-"),"D+"))))))))</f>
        <v>D+</v>
      </c>
      <c r="W295" s="1408" t="str">
        <f>IF(T295&gt;80,("SB"),IF(T295&gt;65,("B"),IF(T295&gt;50,("C"),IF(T295&gt;0,("K"),"0"))))</f>
        <v>0</v>
      </c>
      <c r="X295" s="1408"/>
      <c r="Y295" s="749"/>
      <c r="Z295" s="749"/>
      <c r="AA295" s="749"/>
      <c r="AB295" s="749"/>
      <c r="AC295" s="749"/>
      <c r="AD295" s="749"/>
      <c r="AE295" s="749"/>
      <c r="AF295" s="749"/>
      <c r="AG295" s="749"/>
      <c r="AH295" s="749"/>
      <c r="AI295" s="749"/>
      <c r="AJ295" s="1386"/>
      <c r="AK295" s="1386"/>
      <c r="AL295" s="1386"/>
      <c r="AM295" s="1386"/>
      <c r="AN295" s="1386"/>
      <c r="AO295" s="1386"/>
      <c r="AP295" s="1386"/>
      <c r="AQ295" s="1386"/>
      <c r="AR295" s="1386"/>
      <c r="AS295" s="1386"/>
      <c r="AT295" s="1386"/>
      <c r="AU295" s="1057">
        <f>T306</f>
        <v>0</v>
      </c>
      <c r="AV295" s="1194" t="str">
        <f>IF(AU295&gt;85,("A"),IF(AU295&gt;80,("A-"),IF(AU295&gt;75,("B+"),IF(AU295&gt;70,("B"),IF(AU295&gt;65,("B-"),IF(AU295&gt;60,("C+"),IF(AU295&gt;55,("C"),IF(AU295&gt;50,("C-"),"D+"))))))))</f>
        <v>D+</v>
      </c>
    </row>
    <row r="296" spans="1:48" ht="20.100000000000001" customHeight="1" x14ac:dyDescent="0.25">
      <c r="A296" s="360"/>
      <c r="B296" s="1387"/>
      <c r="C296" s="1388"/>
      <c r="D296" s="1166" t="s">
        <v>155</v>
      </c>
      <c r="E296" s="1493"/>
      <c r="F296" s="1493"/>
      <c r="G296" s="1493"/>
      <c r="H296" s="2040"/>
      <c r="I296" s="2040"/>
      <c r="J296" s="2040"/>
      <c r="K296" s="1493"/>
      <c r="L296" s="1493"/>
      <c r="M296" s="1493"/>
      <c r="N296" s="2039">
        <v>0</v>
      </c>
      <c r="O296" s="2039">
        <v>0</v>
      </c>
      <c r="P296" s="2039">
        <v>0</v>
      </c>
      <c r="Q296" s="2028">
        <f t="shared" ref="Q296:Q305" si="178">MAX(E296,H296,K296,N296)</f>
        <v>0</v>
      </c>
      <c r="R296" s="2026">
        <f t="shared" si="176"/>
        <v>0</v>
      </c>
      <c r="S296" s="2029">
        <f t="shared" si="177"/>
        <v>0</v>
      </c>
      <c r="T296" s="853">
        <f t="shared" ref="T296:T305" si="179">IFERROR(AVERAGE(Q296:S296),"")</f>
        <v>0</v>
      </c>
      <c r="U296" s="1408" t="str">
        <f t="shared" ref="U296:U305" si="180">IF(T296&gt;85,("4"),IF(T296&gt;80,("3.66"),IF(T296&gt;75,("3.33"),IF(T296&gt;70,("3.00"),IF(T296&gt;65,("2.66"),IF(T296&gt;60,("2.33"),IF(T296&gt;55,("2"),IF(T296&gt;50,("1.66"),"1.33"))))))))</f>
        <v>1.33</v>
      </c>
      <c r="V296" s="1408" t="str">
        <f t="shared" ref="V296:V305" si="181">IF(T296&gt;85,("A"),IF(T296&gt;80,("A-"),IF(T296&gt;75,("B+"),IF(T296&gt;70,("B"),IF(T296&gt;65,("B-"),IF(T296&gt;60,("C+"),IF(T296&gt;55,("C"),IF(T296&gt;50,("C-"),"D+"))))))))</f>
        <v>D+</v>
      </c>
      <c r="W296" s="1408" t="str">
        <f t="shared" ref="W296:W305" si="182">IF(T296&gt;80,("SB"),IF(T296&gt;65,("B"),IF(T296&gt;50,("C"),IF(T296&gt;0,("K"),"0"))))</f>
        <v>0</v>
      </c>
      <c r="X296" s="1409"/>
      <c r="Y296" s="1389"/>
      <c r="Z296" s="1390"/>
      <c r="AA296" s="1390"/>
      <c r="AB296" s="1390"/>
      <c r="AC296" s="1390"/>
      <c r="AD296" s="1390"/>
      <c r="AE296" s="1390"/>
      <c r="AF296" s="1390"/>
      <c r="AG296" s="1390"/>
      <c r="AH296" s="1390"/>
      <c r="AI296" s="1390"/>
      <c r="AJ296" s="1391"/>
      <c r="AK296" s="1391"/>
      <c r="AL296" s="1391"/>
      <c r="AM296" s="1391"/>
      <c r="AN296" s="1391"/>
      <c r="AO296" s="1391"/>
      <c r="AP296" s="1391"/>
      <c r="AQ296" s="1391"/>
      <c r="AR296" s="1391"/>
      <c r="AS296" s="1391"/>
      <c r="AT296" s="1392"/>
      <c r="AU296" s="1411"/>
      <c r="AV296" s="1412"/>
    </row>
    <row r="297" spans="1:48" ht="20.100000000000001" customHeight="1" x14ac:dyDescent="0.25">
      <c r="A297" s="360"/>
      <c r="B297" s="1387"/>
      <c r="C297" s="1388"/>
      <c r="D297" s="1166" t="s">
        <v>16</v>
      </c>
      <c r="E297" s="1493"/>
      <c r="F297" s="1493"/>
      <c r="G297" s="1493"/>
      <c r="H297" s="2040">
        <v>0</v>
      </c>
      <c r="I297" s="2040">
        <v>0</v>
      </c>
      <c r="J297" s="2040">
        <v>0</v>
      </c>
      <c r="K297" s="1493"/>
      <c r="L297" s="1493"/>
      <c r="M297" s="1493"/>
      <c r="N297" s="2052"/>
      <c r="O297" s="2052"/>
      <c r="P297" s="2052"/>
      <c r="Q297" s="2028">
        <f t="shared" si="178"/>
        <v>0</v>
      </c>
      <c r="R297" s="2026">
        <f t="shared" si="176"/>
        <v>0</v>
      </c>
      <c r="S297" s="2029">
        <f t="shared" si="177"/>
        <v>0</v>
      </c>
      <c r="T297" s="853">
        <f t="shared" si="179"/>
        <v>0</v>
      </c>
      <c r="U297" s="1408" t="str">
        <f t="shared" si="180"/>
        <v>1.33</v>
      </c>
      <c r="V297" s="1408" t="str">
        <f t="shared" si="181"/>
        <v>D+</v>
      </c>
      <c r="W297" s="1408" t="str">
        <f t="shared" si="182"/>
        <v>0</v>
      </c>
      <c r="X297" s="1409"/>
      <c r="Y297" s="1393"/>
      <c r="Z297" s="1394"/>
      <c r="AA297" s="1394"/>
      <c r="AB297" s="1394"/>
      <c r="AC297" s="1394"/>
      <c r="AD297" s="1394"/>
      <c r="AE297" s="1394"/>
      <c r="AF297" s="1394"/>
      <c r="AG297" s="1394"/>
      <c r="AH297" s="1394"/>
      <c r="AI297" s="1394"/>
      <c r="AJ297" s="1395"/>
      <c r="AK297" s="1395"/>
      <c r="AL297" s="1395"/>
      <c r="AM297" s="1395"/>
      <c r="AN297" s="1395"/>
      <c r="AO297" s="1395"/>
      <c r="AP297" s="1395"/>
      <c r="AQ297" s="1395"/>
      <c r="AR297" s="1395"/>
      <c r="AS297" s="1395"/>
      <c r="AT297" s="1396"/>
      <c r="AU297" s="1413"/>
      <c r="AV297" s="1414"/>
    </row>
    <row r="298" spans="1:48" ht="20.100000000000001" customHeight="1" x14ac:dyDescent="0.25">
      <c r="A298" s="360"/>
      <c r="B298" s="1387"/>
      <c r="C298" s="1388"/>
      <c r="D298" s="1166" t="s">
        <v>189</v>
      </c>
      <c r="E298" s="1493"/>
      <c r="F298" s="1493"/>
      <c r="G298" s="1493"/>
      <c r="H298" s="2040">
        <v>0</v>
      </c>
      <c r="I298" s="2040">
        <v>0</v>
      </c>
      <c r="J298" s="2040">
        <v>0</v>
      </c>
      <c r="K298" s="1493"/>
      <c r="L298" s="1493"/>
      <c r="M298" s="1493"/>
      <c r="N298" s="2039"/>
      <c r="O298" s="2039"/>
      <c r="P298" s="2039"/>
      <c r="Q298" s="2028">
        <f t="shared" si="178"/>
        <v>0</v>
      </c>
      <c r="R298" s="2026">
        <f t="shared" si="176"/>
        <v>0</v>
      </c>
      <c r="S298" s="2029">
        <f t="shared" si="177"/>
        <v>0</v>
      </c>
      <c r="T298" s="853">
        <f t="shared" si="179"/>
        <v>0</v>
      </c>
      <c r="U298" s="1408" t="str">
        <f t="shared" si="180"/>
        <v>1.33</v>
      </c>
      <c r="V298" s="1408" t="str">
        <f t="shared" si="181"/>
        <v>D+</v>
      </c>
      <c r="W298" s="1408" t="str">
        <f t="shared" si="182"/>
        <v>0</v>
      </c>
      <c r="X298" s="1409"/>
      <c r="Y298" s="1393"/>
      <c r="Z298" s="1394"/>
      <c r="AA298" s="1394"/>
      <c r="AB298" s="1394"/>
      <c r="AC298" s="1394"/>
      <c r="AD298" s="1394"/>
      <c r="AE298" s="1394"/>
      <c r="AF298" s="1394"/>
      <c r="AG298" s="1394"/>
      <c r="AH298" s="1394"/>
      <c r="AI298" s="1394"/>
      <c r="AJ298" s="1395"/>
      <c r="AK298" s="1395"/>
      <c r="AL298" s="1395"/>
      <c r="AM298" s="1395"/>
      <c r="AN298" s="1395"/>
      <c r="AO298" s="1395"/>
      <c r="AP298" s="1395"/>
      <c r="AQ298" s="1395"/>
      <c r="AR298" s="1395"/>
      <c r="AS298" s="1395"/>
      <c r="AT298" s="1396"/>
      <c r="AU298" s="1413"/>
      <c r="AV298" s="1414"/>
    </row>
    <row r="299" spans="1:48" ht="20.100000000000001" customHeight="1" x14ac:dyDescent="0.25">
      <c r="A299" s="360"/>
      <c r="B299" s="1387"/>
      <c r="C299" s="1388"/>
      <c r="D299" s="1166" t="s">
        <v>186</v>
      </c>
      <c r="E299" s="1493"/>
      <c r="F299" s="1493"/>
      <c r="G299" s="1493"/>
      <c r="H299" s="2040">
        <v>0</v>
      </c>
      <c r="I299" s="2040">
        <v>0</v>
      </c>
      <c r="J299" s="2040">
        <v>0</v>
      </c>
      <c r="K299" s="1493"/>
      <c r="L299" s="1493"/>
      <c r="M299" s="1493"/>
      <c r="N299" s="2039"/>
      <c r="O299" s="2039"/>
      <c r="P299" s="2039"/>
      <c r="Q299" s="2028">
        <f t="shared" si="178"/>
        <v>0</v>
      </c>
      <c r="R299" s="2026">
        <f t="shared" si="176"/>
        <v>0</v>
      </c>
      <c r="S299" s="2029">
        <f t="shared" si="177"/>
        <v>0</v>
      </c>
      <c r="T299" s="853">
        <f t="shared" si="179"/>
        <v>0</v>
      </c>
      <c r="U299" s="1408" t="str">
        <f t="shared" si="180"/>
        <v>1.33</v>
      </c>
      <c r="V299" s="1408" t="str">
        <f t="shared" si="181"/>
        <v>D+</v>
      </c>
      <c r="W299" s="1408" t="str">
        <f t="shared" si="182"/>
        <v>0</v>
      </c>
      <c r="X299" s="1409"/>
      <c r="Y299" s="1393"/>
      <c r="Z299" s="1394"/>
      <c r="AA299" s="1394"/>
      <c r="AB299" s="1394"/>
      <c r="AC299" s="1394"/>
      <c r="AD299" s="1394"/>
      <c r="AE299" s="1394"/>
      <c r="AF299" s="1394"/>
      <c r="AG299" s="1394"/>
      <c r="AH299" s="1394"/>
      <c r="AI299" s="1394"/>
      <c r="AJ299" s="1395"/>
      <c r="AK299" s="1395"/>
      <c r="AL299" s="1395"/>
      <c r="AM299" s="1395"/>
      <c r="AN299" s="1395"/>
      <c r="AO299" s="1395"/>
      <c r="AP299" s="1395"/>
      <c r="AQ299" s="1395"/>
      <c r="AR299" s="1395"/>
      <c r="AS299" s="1395"/>
      <c r="AT299" s="1396"/>
      <c r="AU299" s="1413"/>
      <c r="AV299" s="1414"/>
    </row>
    <row r="300" spans="1:48" ht="20.100000000000001" customHeight="1" x14ac:dyDescent="0.25">
      <c r="A300" s="360"/>
      <c r="B300" s="1387"/>
      <c r="C300" s="1388"/>
      <c r="D300" s="1166" t="s">
        <v>187</v>
      </c>
      <c r="E300" s="1385"/>
      <c r="F300" s="1385"/>
      <c r="G300" s="1385"/>
      <c r="H300" s="2048"/>
      <c r="I300" s="2048"/>
      <c r="J300" s="2048"/>
      <c r="K300" s="1385">
        <v>0</v>
      </c>
      <c r="L300" s="1385">
        <v>0</v>
      </c>
      <c r="M300" s="1385">
        <v>0</v>
      </c>
      <c r="N300" s="2049"/>
      <c r="O300" s="2049"/>
      <c r="P300" s="2049"/>
      <c r="Q300" s="2028">
        <f t="shared" si="178"/>
        <v>0</v>
      </c>
      <c r="R300" s="2026">
        <f t="shared" si="176"/>
        <v>0</v>
      </c>
      <c r="S300" s="2029">
        <f t="shared" si="177"/>
        <v>0</v>
      </c>
      <c r="T300" s="853">
        <f t="shared" si="179"/>
        <v>0</v>
      </c>
      <c r="U300" s="1408" t="str">
        <f t="shared" si="180"/>
        <v>1.33</v>
      </c>
      <c r="V300" s="1408" t="str">
        <f t="shared" si="181"/>
        <v>D+</v>
      </c>
      <c r="W300" s="1408" t="str">
        <f t="shared" si="182"/>
        <v>0</v>
      </c>
      <c r="X300" s="1409"/>
      <c r="Y300" s="1393"/>
      <c r="Z300" s="1394"/>
      <c r="AA300" s="1394"/>
      <c r="AB300" s="1394"/>
      <c r="AC300" s="1394"/>
      <c r="AD300" s="1394"/>
      <c r="AE300" s="1394"/>
      <c r="AF300" s="1394"/>
      <c r="AG300" s="1394"/>
      <c r="AH300" s="1394"/>
      <c r="AI300" s="1394"/>
      <c r="AJ300" s="1395"/>
      <c r="AK300" s="1395"/>
      <c r="AL300" s="1395"/>
      <c r="AM300" s="1395"/>
      <c r="AN300" s="1395"/>
      <c r="AO300" s="1395"/>
      <c r="AP300" s="1395"/>
      <c r="AQ300" s="1395"/>
      <c r="AR300" s="1395"/>
      <c r="AS300" s="1395"/>
      <c r="AT300" s="1396"/>
      <c r="AU300" s="1413"/>
      <c r="AV300" s="1414"/>
    </row>
    <row r="301" spans="1:48" ht="20.100000000000001" customHeight="1" x14ac:dyDescent="0.25">
      <c r="A301" s="360"/>
      <c r="B301" s="1387"/>
      <c r="C301" s="1388"/>
      <c r="D301" s="1166" t="s">
        <v>17</v>
      </c>
      <c r="E301" s="1385">
        <v>0</v>
      </c>
      <c r="F301" s="1385">
        <v>0</v>
      </c>
      <c r="G301" s="1385">
        <v>0</v>
      </c>
      <c r="H301" s="2048">
        <v>0</v>
      </c>
      <c r="I301" s="2048">
        <v>0</v>
      </c>
      <c r="J301" s="2048">
        <v>0</v>
      </c>
      <c r="K301" s="1385"/>
      <c r="L301" s="1385"/>
      <c r="M301" s="1385"/>
      <c r="N301" s="2049"/>
      <c r="O301" s="2049"/>
      <c r="P301" s="2049"/>
      <c r="Q301" s="2028">
        <f t="shared" si="178"/>
        <v>0</v>
      </c>
      <c r="R301" s="2026">
        <f t="shared" si="176"/>
        <v>0</v>
      </c>
      <c r="S301" s="2029">
        <f t="shared" si="177"/>
        <v>0</v>
      </c>
      <c r="T301" s="853">
        <f t="shared" si="179"/>
        <v>0</v>
      </c>
      <c r="U301" s="1408" t="str">
        <f t="shared" si="180"/>
        <v>1.33</v>
      </c>
      <c r="V301" s="1408" t="str">
        <f t="shared" si="181"/>
        <v>D+</v>
      </c>
      <c r="W301" s="1408" t="str">
        <f t="shared" si="182"/>
        <v>0</v>
      </c>
      <c r="X301" s="1409"/>
      <c r="Y301" s="1393"/>
      <c r="Z301" s="1394"/>
      <c r="AA301" s="1394"/>
      <c r="AB301" s="1394"/>
      <c r="AC301" s="1394"/>
      <c r="AD301" s="1394"/>
      <c r="AE301" s="1394"/>
      <c r="AF301" s="1394"/>
      <c r="AG301" s="1394"/>
      <c r="AH301" s="1394"/>
      <c r="AI301" s="1394"/>
      <c r="AJ301" s="1395"/>
      <c r="AK301" s="1395"/>
      <c r="AL301" s="1395"/>
      <c r="AM301" s="1395"/>
      <c r="AN301" s="1395"/>
      <c r="AO301" s="1395"/>
      <c r="AP301" s="1395"/>
      <c r="AQ301" s="1395"/>
      <c r="AR301" s="1395"/>
      <c r="AS301" s="1395"/>
      <c r="AT301" s="1396"/>
      <c r="AU301" s="1413"/>
      <c r="AV301" s="1414"/>
    </row>
    <row r="302" spans="1:48" ht="20.100000000000001" customHeight="1" x14ac:dyDescent="0.25">
      <c r="A302" s="360"/>
      <c r="B302" s="1387"/>
      <c r="C302" s="1388"/>
      <c r="D302" s="1166" t="s">
        <v>188</v>
      </c>
      <c r="E302" s="1385"/>
      <c r="F302" s="1385"/>
      <c r="G302" s="1385"/>
      <c r="H302" s="2048">
        <v>0</v>
      </c>
      <c r="I302" s="2048">
        <v>0</v>
      </c>
      <c r="J302" s="2048">
        <v>0</v>
      </c>
      <c r="K302" s="1385"/>
      <c r="L302" s="1385"/>
      <c r="M302" s="1385"/>
      <c r="N302" s="2049"/>
      <c r="O302" s="2049"/>
      <c r="P302" s="2049"/>
      <c r="Q302" s="2028">
        <f t="shared" si="178"/>
        <v>0</v>
      </c>
      <c r="R302" s="2026">
        <f t="shared" si="176"/>
        <v>0</v>
      </c>
      <c r="S302" s="2029">
        <f t="shared" si="177"/>
        <v>0</v>
      </c>
      <c r="T302" s="853">
        <f t="shared" si="179"/>
        <v>0</v>
      </c>
      <c r="U302" s="1408" t="str">
        <f t="shared" si="180"/>
        <v>1.33</v>
      </c>
      <c r="V302" s="1408" t="str">
        <f t="shared" si="181"/>
        <v>D+</v>
      </c>
      <c r="W302" s="1408" t="str">
        <f t="shared" si="182"/>
        <v>0</v>
      </c>
      <c r="X302" s="1409"/>
      <c r="Y302" s="1393"/>
      <c r="Z302" s="1394"/>
      <c r="AA302" s="1394"/>
      <c r="AB302" s="1394"/>
      <c r="AC302" s="1394"/>
      <c r="AD302" s="1394"/>
      <c r="AE302" s="1394"/>
      <c r="AF302" s="1394"/>
      <c r="AG302" s="1394"/>
      <c r="AH302" s="1394"/>
      <c r="AI302" s="1394"/>
      <c r="AJ302" s="1395"/>
      <c r="AK302" s="1395"/>
      <c r="AL302" s="1395"/>
      <c r="AM302" s="1395"/>
      <c r="AN302" s="1395"/>
      <c r="AO302" s="1395"/>
      <c r="AP302" s="1395"/>
      <c r="AQ302" s="1395"/>
      <c r="AR302" s="1395"/>
      <c r="AS302" s="1395"/>
      <c r="AT302" s="1396"/>
      <c r="AU302" s="1413"/>
      <c r="AV302" s="1414"/>
    </row>
    <row r="303" spans="1:48" ht="20.100000000000001" customHeight="1" x14ac:dyDescent="0.25">
      <c r="A303" s="360"/>
      <c r="B303" s="1387"/>
      <c r="C303" s="1388"/>
      <c r="D303" s="1166" t="s">
        <v>569</v>
      </c>
      <c r="E303" s="1385"/>
      <c r="F303" s="1385"/>
      <c r="G303" s="1385"/>
      <c r="H303" s="2048"/>
      <c r="I303" s="2048"/>
      <c r="J303" s="2048"/>
      <c r="K303" s="1385">
        <v>0</v>
      </c>
      <c r="L303" s="1385">
        <v>0</v>
      </c>
      <c r="M303" s="1385">
        <v>0</v>
      </c>
      <c r="N303" s="2049"/>
      <c r="O303" s="2049"/>
      <c r="P303" s="2049"/>
      <c r="Q303" s="2028">
        <f t="shared" si="178"/>
        <v>0</v>
      </c>
      <c r="R303" s="2026">
        <f t="shared" si="176"/>
        <v>0</v>
      </c>
      <c r="S303" s="2029">
        <f t="shared" si="177"/>
        <v>0</v>
      </c>
      <c r="T303" s="853">
        <f t="shared" si="179"/>
        <v>0</v>
      </c>
      <c r="U303" s="1408" t="str">
        <f t="shared" si="180"/>
        <v>1.33</v>
      </c>
      <c r="V303" s="1408" t="str">
        <f t="shared" si="181"/>
        <v>D+</v>
      </c>
      <c r="W303" s="1408" t="str">
        <f t="shared" si="182"/>
        <v>0</v>
      </c>
      <c r="X303" s="1409"/>
      <c r="Y303" s="1393"/>
      <c r="Z303" s="1394"/>
      <c r="AA303" s="1394"/>
      <c r="AB303" s="1394"/>
      <c r="AC303" s="1394"/>
      <c r="AD303" s="1394"/>
      <c r="AE303" s="1394"/>
      <c r="AF303" s="1394"/>
      <c r="AG303" s="1394"/>
      <c r="AH303" s="1394"/>
      <c r="AI303" s="1394"/>
      <c r="AJ303" s="1395"/>
      <c r="AK303" s="1395"/>
      <c r="AL303" s="1395"/>
      <c r="AM303" s="1395"/>
      <c r="AN303" s="1395"/>
      <c r="AO303" s="1395"/>
      <c r="AP303" s="1395"/>
      <c r="AQ303" s="1395"/>
      <c r="AR303" s="1395"/>
      <c r="AS303" s="1395"/>
      <c r="AT303" s="1396"/>
      <c r="AU303" s="1413"/>
      <c r="AV303" s="1414"/>
    </row>
    <row r="304" spans="1:48" ht="20.100000000000001" customHeight="1" x14ac:dyDescent="0.25">
      <c r="A304" s="360"/>
      <c r="B304" s="1387"/>
      <c r="C304" s="1388"/>
      <c r="D304" s="1166" t="s">
        <v>209</v>
      </c>
      <c r="E304" s="1385"/>
      <c r="F304" s="1385"/>
      <c r="G304" s="1385"/>
      <c r="H304" s="2048"/>
      <c r="I304" s="2048"/>
      <c r="J304" s="2048"/>
      <c r="K304" s="1385"/>
      <c r="L304" s="1385"/>
      <c r="M304" s="1385"/>
      <c r="N304" s="2049">
        <v>0</v>
      </c>
      <c r="O304" s="2049">
        <v>0</v>
      </c>
      <c r="P304" s="2049">
        <v>0</v>
      </c>
      <c r="Q304" s="2028">
        <f t="shared" si="178"/>
        <v>0</v>
      </c>
      <c r="R304" s="2026">
        <f t="shared" si="176"/>
        <v>0</v>
      </c>
      <c r="S304" s="2029">
        <f t="shared" si="177"/>
        <v>0</v>
      </c>
      <c r="T304" s="853">
        <f t="shared" si="179"/>
        <v>0</v>
      </c>
      <c r="U304" s="1408" t="str">
        <f t="shared" si="180"/>
        <v>1.33</v>
      </c>
      <c r="V304" s="1408" t="str">
        <f t="shared" si="181"/>
        <v>D+</v>
      </c>
      <c r="W304" s="1408" t="str">
        <f t="shared" si="182"/>
        <v>0</v>
      </c>
      <c r="X304" s="1409"/>
      <c r="Y304" s="1393"/>
      <c r="Z304" s="1394"/>
      <c r="AA304" s="1394"/>
      <c r="AB304" s="1394"/>
      <c r="AC304" s="1394"/>
      <c r="AD304" s="1394"/>
      <c r="AE304" s="1394"/>
      <c r="AF304" s="1394"/>
      <c r="AG304" s="1394"/>
      <c r="AH304" s="1394"/>
      <c r="AI304" s="1394"/>
      <c r="AJ304" s="1395"/>
      <c r="AK304" s="1395"/>
      <c r="AL304" s="1395"/>
      <c r="AM304" s="1395"/>
      <c r="AN304" s="1395"/>
      <c r="AO304" s="1395"/>
      <c r="AP304" s="1395"/>
      <c r="AQ304" s="1395"/>
      <c r="AR304" s="1395"/>
      <c r="AS304" s="1395"/>
      <c r="AT304" s="1396"/>
      <c r="AU304" s="1413"/>
      <c r="AV304" s="1414"/>
    </row>
    <row r="305" spans="1:48" ht="20.100000000000001" customHeight="1" x14ac:dyDescent="0.25">
      <c r="A305" s="360"/>
      <c r="B305" s="1387"/>
      <c r="C305" s="1388"/>
      <c r="D305" s="1166" t="s">
        <v>210</v>
      </c>
      <c r="E305" s="1385"/>
      <c r="F305" s="1385"/>
      <c r="G305" s="1385"/>
      <c r="H305" s="2048"/>
      <c r="I305" s="2048"/>
      <c r="J305" s="2048"/>
      <c r="K305" s="1385"/>
      <c r="L305" s="1385"/>
      <c r="M305" s="1385"/>
      <c r="N305" s="2049">
        <v>0</v>
      </c>
      <c r="O305" s="2049">
        <v>0</v>
      </c>
      <c r="P305" s="2049">
        <v>0</v>
      </c>
      <c r="Q305" s="2028">
        <f t="shared" si="178"/>
        <v>0</v>
      </c>
      <c r="R305" s="2026">
        <f t="shared" si="176"/>
        <v>0</v>
      </c>
      <c r="S305" s="2029">
        <f t="shared" si="177"/>
        <v>0</v>
      </c>
      <c r="T305" s="853">
        <f t="shared" si="179"/>
        <v>0</v>
      </c>
      <c r="U305" s="1408" t="str">
        <f t="shared" si="180"/>
        <v>1.33</v>
      </c>
      <c r="V305" s="1408" t="str">
        <f t="shared" si="181"/>
        <v>D+</v>
      </c>
      <c r="W305" s="1408" t="str">
        <f t="shared" si="182"/>
        <v>0</v>
      </c>
      <c r="X305" s="1409"/>
      <c r="Y305" s="1397"/>
      <c r="Z305" s="1398"/>
      <c r="AA305" s="1398"/>
      <c r="AB305" s="1398"/>
      <c r="AC305" s="1398"/>
      <c r="AD305" s="1398"/>
      <c r="AE305" s="1398"/>
      <c r="AF305" s="1398"/>
      <c r="AG305" s="1398"/>
      <c r="AH305" s="1398"/>
      <c r="AI305" s="1398"/>
      <c r="AJ305" s="1399"/>
      <c r="AK305" s="1399"/>
      <c r="AL305" s="1399"/>
      <c r="AM305" s="1399"/>
      <c r="AN305" s="1399"/>
      <c r="AO305" s="1399"/>
      <c r="AP305" s="1399"/>
      <c r="AQ305" s="1399"/>
      <c r="AR305" s="1399"/>
      <c r="AS305" s="1399"/>
      <c r="AT305" s="1400"/>
      <c r="AU305" s="1415"/>
      <c r="AV305" s="1416"/>
    </row>
    <row r="306" spans="1:48" ht="20.100000000000001" customHeight="1" x14ac:dyDescent="0.25">
      <c r="A306" s="727"/>
      <c r="B306" s="1406">
        <v>25</v>
      </c>
      <c r="C306" s="1407"/>
      <c r="D306" s="1004"/>
      <c r="E306" s="2780"/>
      <c r="F306" s="2781"/>
      <c r="G306" s="2781"/>
      <c r="H306" s="2781"/>
      <c r="I306" s="2046"/>
      <c r="J306" s="2046"/>
      <c r="K306" s="2046"/>
      <c r="L306" s="2046"/>
      <c r="M306" s="2046"/>
      <c r="N306" s="2046"/>
      <c r="O306" s="2046"/>
      <c r="P306" s="2046"/>
      <c r="Q306" s="2046"/>
      <c r="R306" s="2046"/>
      <c r="S306" s="2046"/>
      <c r="T306" s="2044">
        <f>IFERROR(AVERAGE(T295:T305),"  ")</f>
        <v>0</v>
      </c>
      <c r="U306" s="2045" t="str">
        <f>IF(X306&gt;85,("4"),IF(X306&gt;80,("3.66"),IF(X306&gt;75,("3.33"),IF(X306&gt;70,("3.00"),IF(X306&gt;65,("2.66"),IF(X306&gt;60,("2.33"),IF(X306&gt;55,("2"),IF(X306&gt;50,("1.66"),"1.33"))))))))</f>
        <v>1.33</v>
      </c>
      <c r="V306" s="2045" t="str">
        <f>IF(X306&gt;85,("A"),IF(X306&gt;80,("A-"),IF(X306&gt;75,("B+"),IF(X306&gt;70,("B"),IF(X306&gt;65,("B-"),IF(X306&gt;60,("C+"),IF(X306&gt;55,("C"),IF(X306&gt;50,("C-"),"D+"))))))))</f>
        <v>D+</v>
      </c>
      <c r="W306" s="2045"/>
      <c r="X306" s="888">
        <f>MAX(T295:T305)</f>
        <v>0</v>
      </c>
      <c r="Y306" s="1403"/>
      <c r="Z306" s="1404"/>
      <c r="AA306" s="1404"/>
      <c r="AB306" s="1404"/>
      <c r="AC306" s="1404"/>
      <c r="AD306" s="1404"/>
      <c r="AE306" s="1404"/>
      <c r="AF306" s="1404"/>
      <c r="AG306" s="1404"/>
      <c r="AH306" s="1404"/>
      <c r="AI306" s="1404"/>
      <c r="AJ306" s="1404"/>
      <c r="AK306" s="1404"/>
      <c r="AL306" s="1404"/>
      <c r="AM306" s="1404"/>
      <c r="AN306" s="1404"/>
      <c r="AO306" s="1404"/>
      <c r="AP306" s="1404"/>
      <c r="AQ306" s="1404"/>
      <c r="AR306" s="1404"/>
      <c r="AS306" s="1404"/>
      <c r="AT306" s="1405"/>
      <c r="AU306" s="1257"/>
      <c r="AV306" s="1258"/>
    </row>
    <row r="307" spans="1:48" ht="20.100000000000001" customHeight="1" x14ac:dyDescent="0.25">
      <c r="A307" s="724">
        <v>26</v>
      </c>
      <c r="B307" s="1383"/>
      <c r="C307" s="1384" t="str">
        <f>VLOOKUP(A307,data_siswa,4,FALSE)</f>
        <v>Meliana Citra A</v>
      </c>
      <c r="D307" s="1166" t="s">
        <v>154</v>
      </c>
      <c r="E307" s="2050">
        <v>0</v>
      </c>
      <c r="F307" s="2050">
        <v>0</v>
      </c>
      <c r="G307" s="2050">
        <v>0</v>
      </c>
      <c r="H307" s="2051"/>
      <c r="I307" s="2051"/>
      <c r="J307" s="2051"/>
      <c r="K307" s="2050"/>
      <c r="L307" s="2050"/>
      <c r="M307" s="2050"/>
      <c r="N307" s="2052"/>
      <c r="O307" s="2052"/>
      <c r="P307" s="2052"/>
      <c r="Q307" s="2028">
        <f>MAX(E307,H307,K307,N307)</f>
        <v>0</v>
      </c>
      <c r="R307" s="2026">
        <f t="shared" ref="R307:R317" si="183">MAX(F307,I307,L307,O307)</f>
        <v>0</v>
      </c>
      <c r="S307" s="2029">
        <f t="shared" ref="S307:S317" si="184">MAX(G307,J307,M307,P307)</f>
        <v>0</v>
      </c>
      <c r="T307" s="853">
        <f>IFERROR(AVERAGE(Q307:S307),"")</f>
        <v>0</v>
      </c>
      <c r="U307" s="1408" t="str">
        <f>IF(T307&gt;85,("4"),IF(T307&gt;80,("3.66"),IF(T307&gt;75,("3.33"),IF(T307&gt;70,("3.00"),IF(T307&gt;65,("2.66"),IF(T307&gt;60,("2.33"),IF(T307&gt;55,("2"),IF(T307&gt;50,("1.66"),"1.33"))))))))</f>
        <v>1.33</v>
      </c>
      <c r="V307" s="1408" t="str">
        <f>IF(T307&gt;85,("A"),IF(T307&gt;80,("A-"),IF(T307&gt;75,("B+"),IF(T307&gt;70,("B"),IF(T307&gt;65,("B-"),IF(T307&gt;60,("C+"),IF(T307&gt;55,("C"),IF(T307&gt;50,("C-"),"D+"))))))))</f>
        <v>D+</v>
      </c>
      <c r="W307" s="1408" t="str">
        <f>IF(T307&gt;80,("SB"),IF(T307&gt;65,("B"),IF(T307&gt;50,("C"),IF(T307&gt;0,("K"),"0"))))</f>
        <v>0</v>
      </c>
      <c r="X307" s="1408"/>
      <c r="Y307" s="749"/>
      <c r="Z307" s="749"/>
      <c r="AA307" s="749"/>
      <c r="AB307" s="749"/>
      <c r="AC307" s="749"/>
      <c r="AD307" s="749"/>
      <c r="AE307" s="749"/>
      <c r="AF307" s="749"/>
      <c r="AG307" s="749"/>
      <c r="AH307" s="749"/>
      <c r="AI307" s="749"/>
      <c r="AJ307" s="1386"/>
      <c r="AK307" s="1386"/>
      <c r="AL307" s="1386"/>
      <c r="AM307" s="1386"/>
      <c r="AN307" s="1386"/>
      <c r="AO307" s="1386"/>
      <c r="AP307" s="1386"/>
      <c r="AQ307" s="1386"/>
      <c r="AR307" s="1386"/>
      <c r="AS307" s="1386"/>
      <c r="AT307" s="1386"/>
      <c r="AU307" s="1057">
        <f>T318</f>
        <v>0</v>
      </c>
      <c r="AV307" s="1194" t="str">
        <f>IF(AU307&gt;85,("A"),IF(AU307&gt;80,("A-"),IF(AU307&gt;75,("B+"),IF(AU307&gt;70,("B"),IF(AU307&gt;65,("B-"),IF(AU307&gt;60,("C+"),IF(AU307&gt;55,("C"),IF(AU307&gt;50,("C-"),"D+"))))))))</f>
        <v>D+</v>
      </c>
    </row>
    <row r="308" spans="1:48" ht="20.100000000000001" customHeight="1" x14ac:dyDescent="0.25">
      <c r="A308" s="360"/>
      <c r="B308" s="1387"/>
      <c r="C308" s="1388"/>
      <c r="D308" s="1166" t="s">
        <v>155</v>
      </c>
      <c r="E308" s="1493"/>
      <c r="F308" s="1493"/>
      <c r="G308" s="1493"/>
      <c r="H308" s="2040"/>
      <c r="I308" s="2040"/>
      <c r="J308" s="2040"/>
      <c r="K308" s="1493"/>
      <c r="L308" s="1493"/>
      <c r="M308" s="1493"/>
      <c r="N308" s="2039">
        <v>0</v>
      </c>
      <c r="O308" s="2039">
        <v>0</v>
      </c>
      <c r="P308" s="2039">
        <v>0</v>
      </c>
      <c r="Q308" s="2028">
        <f t="shared" ref="Q308:Q317" si="185">MAX(E308,H308,K308,N308)</f>
        <v>0</v>
      </c>
      <c r="R308" s="2026">
        <f t="shared" si="183"/>
        <v>0</v>
      </c>
      <c r="S308" s="2029">
        <f t="shared" si="184"/>
        <v>0</v>
      </c>
      <c r="T308" s="853">
        <f t="shared" ref="T308:T317" si="186">IFERROR(AVERAGE(Q308:S308),"")</f>
        <v>0</v>
      </c>
      <c r="U308" s="1408" t="str">
        <f t="shared" ref="U308:U317" si="187">IF(T308&gt;85,("4"),IF(T308&gt;80,("3.66"),IF(T308&gt;75,("3.33"),IF(T308&gt;70,("3.00"),IF(T308&gt;65,("2.66"),IF(T308&gt;60,("2.33"),IF(T308&gt;55,("2"),IF(T308&gt;50,("1.66"),"1.33"))))))))</f>
        <v>1.33</v>
      </c>
      <c r="V308" s="1408" t="str">
        <f t="shared" ref="V308:V317" si="188">IF(T308&gt;85,("A"),IF(T308&gt;80,("A-"),IF(T308&gt;75,("B+"),IF(T308&gt;70,("B"),IF(T308&gt;65,("B-"),IF(T308&gt;60,("C+"),IF(T308&gt;55,("C"),IF(T308&gt;50,("C-"),"D+"))))))))</f>
        <v>D+</v>
      </c>
      <c r="W308" s="1408" t="str">
        <f t="shared" ref="W308:W317" si="189">IF(T308&gt;80,("SB"),IF(T308&gt;65,("B"),IF(T308&gt;50,("C"),IF(T308&gt;0,("K"),"0"))))</f>
        <v>0</v>
      </c>
      <c r="X308" s="1409"/>
      <c r="Y308" s="1389"/>
      <c r="Z308" s="1390"/>
      <c r="AA308" s="1390"/>
      <c r="AB308" s="1390"/>
      <c r="AC308" s="1390"/>
      <c r="AD308" s="1390"/>
      <c r="AE308" s="1390"/>
      <c r="AF308" s="1390"/>
      <c r="AG308" s="1390"/>
      <c r="AH308" s="1390"/>
      <c r="AI308" s="1390"/>
      <c r="AJ308" s="1391"/>
      <c r="AK308" s="1391"/>
      <c r="AL308" s="1391"/>
      <c r="AM308" s="1391"/>
      <c r="AN308" s="1391"/>
      <c r="AO308" s="1391"/>
      <c r="AP308" s="1391"/>
      <c r="AQ308" s="1391"/>
      <c r="AR308" s="1391"/>
      <c r="AS308" s="1391"/>
      <c r="AT308" s="1392"/>
      <c r="AU308" s="1411"/>
      <c r="AV308" s="1412"/>
    </row>
    <row r="309" spans="1:48" ht="20.100000000000001" customHeight="1" x14ac:dyDescent="0.25">
      <c r="A309" s="360"/>
      <c r="B309" s="1387"/>
      <c r="C309" s="1388"/>
      <c r="D309" s="1166" t="s">
        <v>16</v>
      </c>
      <c r="E309" s="1493"/>
      <c r="F309" s="1493"/>
      <c r="G309" s="1493"/>
      <c r="H309" s="2040">
        <v>0</v>
      </c>
      <c r="I309" s="2040">
        <v>0</v>
      </c>
      <c r="J309" s="2040">
        <v>0</v>
      </c>
      <c r="K309" s="1493"/>
      <c r="L309" s="1493"/>
      <c r="M309" s="1493"/>
      <c r="N309" s="2052"/>
      <c r="O309" s="2052"/>
      <c r="P309" s="2052"/>
      <c r="Q309" s="2028">
        <f t="shared" si="185"/>
        <v>0</v>
      </c>
      <c r="R309" s="2026">
        <f t="shared" si="183"/>
        <v>0</v>
      </c>
      <c r="S309" s="2029">
        <f t="shared" si="184"/>
        <v>0</v>
      </c>
      <c r="T309" s="853">
        <f t="shared" si="186"/>
        <v>0</v>
      </c>
      <c r="U309" s="1408" t="str">
        <f t="shared" si="187"/>
        <v>1.33</v>
      </c>
      <c r="V309" s="1408" t="str">
        <f t="shared" si="188"/>
        <v>D+</v>
      </c>
      <c r="W309" s="1408" t="str">
        <f t="shared" si="189"/>
        <v>0</v>
      </c>
      <c r="X309" s="1409"/>
      <c r="Y309" s="1393"/>
      <c r="Z309" s="1394"/>
      <c r="AA309" s="1394"/>
      <c r="AB309" s="1394"/>
      <c r="AC309" s="1394"/>
      <c r="AD309" s="1394"/>
      <c r="AE309" s="1394"/>
      <c r="AF309" s="1394"/>
      <c r="AG309" s="1394"/>
      <c r="AH309" s="1394"/>
      <c r="AI309" s="1394"/>
      <c r="AJ309" s="1395"/>
      <c r="AK309" s="1395"/>
      <c r="AL309" s="1395"/>
      <c r="AM309" s="1395"/>
      <c r="AN309" s="1395"/>
      <c r="AO309" s="1395"/>
      <c r="AP309" s="1395"/>
      <c r="AQ309" s="1395"/>
      <c r="AR309" s="1395"/>
      <c r="AS309" s="1395"/>
      <c r="AT309" s="1396"/>
      <c r="AU309" s="1413"/>
      <c r="AV309" s="1414"/>
    </row>
    <row r="310" spans="1:48" ht="20.100000000000001" customHeight="1" x14ac:dyDescent="0.25">
      <c r="A310" s="360"/>
      <c r="B310" s="1387"/>
      <c r="C310" s="1388"/>
      <c r="D310" s="1166" t="s">
        <v>189</v>
      </c>
      <c r="E310" s="1493"/>
      <c r="F310" s="1493"/>
      <c r="G310" s="1493"/>
      <c r="H310" s="2040">
        <v>0</v>
      </c>
      <c r="I310" s="2040">
        <v>0</v>
      </c>
      <c r="J310" s="2040">
        <v>0</v>
      </c>
      <c r="K310" s="1493"/>
      <c r="L310" s="1493"/>
      <c r="M310" s="1493"/>
      <c r="N310" s="2039"/>
      <c r="O310" s="2039"/>
      <c r="P310" s="2039"/>
      <c r="Q310" s="2028">
        <f t="shared" si="185"/>
        <v>0</v>
      </c>
      <c r="R310" s="2026">
        <f t="shared" si="183"/>
        <v>0</v>
      </c>
      <c r="S310" s="2029">
        <f t="shared" si="184"/>
        <v>0</v>
      </c>
      <c r="T310" s="853">
        <f t="shared" si="186"/>
        <v>0</v>
      </c>
      <c r="U310" s="1408" t="str">
        <f t="shared" si="187"/>
        <v>1.33</v>
      </c>
      <c r="V310" s="1408" t="str">
        <f t="shared" si="188"/>
        <v>D+</v>
      </c>
      <c r="W310" s="1408" t="str">
        <f t="shared" si="189"/>
        <v>0</v>
      </c>
      <c r="X310" s="1409"/>
      <c r="Y310" s="1393"/>
      <c r="Z310" s="1394"/>
      <c r="AA310" s="1394"/>
      <c r="AB310" s="1394"/>
      <c r="AC310" s="1394"/>
      <c r="AD310" s="1394"/>
      <c r="AE310" s="1394"/>
      <c r="AF310" s="1394"/>
      <c r="AG310" s="1394"/>
      <c r="AH310" s="1394"/>
      <c r="AI310" s="1394"/>
      <c r="AJ310" s="1395"/>
      <c r="AK310" s="1395"/>
      <c r="AL310" s="1395"/>
      <c r="AM310" s="1395"/>
      <c r="AN310" s="1395"/>
      <c r="AO310" s="1395"/>
      <c r="AP310" s="1395"/>
      <c r="AQ310" s="1395"/>
      <c r="AR310" s="1395"/>
      <c r="AS310" s="1395"/>
      <c r="AT310" s="1396"/>
      <c r="AU310" s="1413"/>
      <c r="AV310" s="1414"/>
    </row>
    <row r="311" spans="1:48" ht="20.100000000000001" customHeight="1" x14ac:dyDescent="0.25">
      <c r="A311" s="360"/>
      <c r="B311" s="1387"/>
      <c r="C311" s="1388"/>
      <c r="D311" s="1166" t="s">
        <v>186</v>
      </c>
      <c r="E311" s="1493"/>
      <c r="F311" s="1493"/>
      <c r="G311" s="1493"/>
      <c r="H311" s="2040">
        <v>0</v>
      </c>
      <c r="I311" s="2040">
        <v>0</v>
      </c>
      <c r="J311" s="2040">
        <v>0</v>
      </c>
      <c r="K311" s="1493"/>
      <c r="L311" s="1493"/>
      <c r="M311" s="1493"/>
      <c r="N311" s="2039"/>
      <c r="O311" s="2039"/>
      <c r="P311" s="2039"/>
      <c r="Q311" s="2028">
        <f t="shared" si="185"/>
        <v>0</v>
      </c>
      <c r="R311" s="2026">
        <f t="shared" si="183"/>
        <v>0</v>
      </c>
      <c r="S311" s="2029">
        <f t="shared" si="184"/>
        <v>0</v>
      </c>
      <c r="T311" s="853">
        <f t="shared" si="186"/>
        <v>0</v>
      </c>
      <c r="U311" s="1408" t="str">
        <f t="shared" si="187"/>
        <v>1.33</v>
      </c>
      <c r="V311" s="1408" t="str">
        <f t="shared" si="188"/>
        <v>D+</v>
      </c>
      <c r="W311" s="1408" t="str">
        <f t="shared" si="189"/>
        <v>0</v>
      </c>
      <c r="X311" s="1409"/>
      <c r="Y311" s="1393"/>
      <c r="Z311" s="1394"/>
      <c r="AA311" s="1394"/>
      <c r="AB311" s="1394"/>
      <c r="AC311" s="1394"/>
      <c r="AD311" s="1394"/>
      <c r="AE311" s="1394"/>
      <c r="AF311" s="1394"/>
      <c r="AG311" s="1394"/>
      <c r="AH311" s="1394"/>
      <c r="AI311" s="1394"/>
      <c r="AJ311" s="1395"/>
      <c r="AK311" s="1395"/>
      <c r="AL311" s="1395"/>
      <c r="AM311" s="1395"/>
      <c r="AN311" s="1395"/>
      <c r="AO311" s="1395"/>
      <c r="AP311" s="1395"/>
      <c r="AQ311" s="1395"/>
      <c r="AR311" s="1395"/>
      <c r="AS311" s="1395"/>
      <c r="AT311" s="1396"/>
      <c r="AU311" s="1413"/>
      <c r="AV311" s="1414"/>
    </row>
    <row r="312" spans="1:48" ht="20.100000000000001" customHeight="1" x14ac:dyDescent="0.25">
      <c r="A312" s="360"/>
      <c r="B312" s="1387"/>
      <c r="C312" s="1388"/>
      <c r="D312" s="1166" t="s">
        <v>187</v>
      </c>
      <c r="E312" s="1385"/>
      <c r="F312" s="1385"/>
      <c r="G312" s="1385"/>
      <c r="H312" s="2048"/>
      <c r="I312" s="2048"/>
      <c r="J312" s="2048"/>
      <c r="K312" s="1385">
        <v>0</v>
      </c>
      <c r="L312" s="1385">
        <v>0</v>
      </c>
      <c r="M312" s="1385">
        <v>0</v>
      </c>
      <c r="N312" s="2049"/>
      <c r="O312" s="2049"/>
      <c r="P312" s="2049"/>
      <c r="Q312" s="2028">
        <f t="shared" si="185"/>
        <v>0</v>
      </c>
      <c r="R312" s="2026">
        <f t="shared" si="183"/>
        <v>0</v>
      </c>
      <c r="S312" s="2029">
        <f t="shared" si="184"/>
        <v>0</v>
      </c>
      <c r="T312" s="853">
        <f t="shared" si="186"/>
        <v>0</v>
      </c>
      <c r="U312" s="1408" t="str">
        <f t="shared" si="187"/>
        <v>1.33</v>
      </c>
      <c r="V312" s="1408" t="str">
        <f t="shared" si="188"/>
        <v>D+</v>
      </c>
      <c r="W312" s="1408" t="str">
        <f t="shared" si="189"/>
        <v>0</v>
      </c>
      <c r="X312" s="1409"/>
      <c r="Y312" s="1393"/>
      <c r="Z312" s="1394"/>
      <c r="AA312" s="1394"/>
      <c r="AB312" s="1394"/>
      <c r="AC312" s="1394"/>
      <c r="AD312" s="1394"/>
      <c r="AE312" s="1394"/>
      <c r="AF312" s="1394"/>
      <c r="AG312" s="1394"/>
      <c r="AH312" s="1394"/>
      <c r="AI312" s="1394"/>
      <c r="AJ312" s="1395"/>
      <c r="AK312" s="1395"/>
      <c r="AL312" s="1395"/>
      <c r="AM312" s="1395"/>
      <c r="AN312" s="1395"/>
      <c r="AO312" s="1395"/>
      <c r="AP312" s="1395"/>
      <c r="AQ312" s="1395"/>
      <c r="AR312" s="1395"/>
      <c r="AS312" s="1395"/>
      <c r="AT312" s="1396"/>
      <c r="AU312" s="1413"/>
      <c r="AV312" s="1414"/>
    </row>
    <row r="313" spans="1:48" ht="20.100000000000001" customHeight="1" x14ac:dyDescent="0.25">
      <c r="A313" s="360"/>
      <c r="B313" s="1387"/>
      <c r="C313" s="1388"/>
      <c r="D313" s="1166" t="s">
        <v>17</v>
      </c>
      <c r="E313" s="1385">
        <v>0</v>
      </c>
      <c r="F313" s="1385">
        <v>0</v>
      </c>
      <c r="G313" s="1385">
        <v>0</v>
      </c>
      <c r="H313" s="2048">
        <v>0</v>
      </c>
      <c r="I313" s="2048">
        <v>0</v>
      </c>
      <c r="J313" s="2048">
        <v>0</v>
      </c>
      <c r="K313" s="1385"/>
      <c r="L313" s="1385"/>
      <c r="M313" s="1385"/>
      <c r="N313" s="2049"/>
      <c r="O313" s="2049"/>
      <c r="P313" s="2049"/>
      <c r="Q313" s="2028">
        <f t="shared" si="185"/>
        <v>0</v>
      </c>
      <c r="R313" s="2026">
        <f t="shared" si="183"/>
        <v>0</v>
      </c>
      <c r="S313" s="2029">
        <f t="shared" si="184"/>
        <v>0</v>
      </c>
      <c r="T313" s="853">
        <f t="shared" si="186"/>
        <v>0</v>
      </c>
      <c r="U313" s="1408" t="str">
        <f t="shared" si="187"/>
        <v>1.33</v>
      </c>
      <c r="V313" s="1408" t="str">
        <f t="shared" si="188"/>
        <v>D+</v>
      </c>
      <c r="W313" s="1408" t="str">
        <f t="shared" si="189"/>
        <v>0</v>
      </c>
      <c r="X313" s="1409"/>
      <c r="Y313" s="1393"/>
      <c r="Z313" s="1394"/>
      <c r="AA313" s="1394"/>
      <c r="AB313" s="1394"/>
      <c r="AC313" s="1394"/>
      <c r="AD313" s="1394"/>
      <c r="AE313" s="1394"/>
      <c r="AF313" s="1394"/>
      <c r="AG313" s="1394"/>
      <c r="AH313" s="1394"/>
      <c r="AI313" s="1394"/>
      <c r="AJ313" s="1395"/>
      <c r="AK313" s="1395"/>
      <c r="AL313" s="1395"/>
      <c r="AM313" s="1395"/>
      <c r="AN313" s="1395"/>
      <c r="AO313" s="1395"/>
      <c r="AP313" s="1395"/>
      <c r="AQ313" s="1395"/>
      <c r="AR313" s="1395"/>
      <c r="AS313" s="1395"/>
      <c r="AT313" s="1396"/>
      <c r="AU313" s="1413"/>
      <c r="AV313" s="1414"/>
    </row>
    <row r="314" spans="1:48" ht="20.100000000000001" customHeight="1" x14ac:dyDescent="0.25">
      <c r="A314" s="360"/>
      <c r="B314" s="1387"/>
      <c r="C314" s="1388"/>
      <c r="D314" s="1166" t="s">
        <v>188</v>
      </c>
      <c r="E314" s="1385"/>
      <c r="F314" s="1385"/>
      <c r="G314" s="1385"/>
      <c r="H314" s="2048">
        <v>0</v>
      </c>
      <c r="I314" s="2048">
        <v>0</v>
      </c>
      <c r="J314" s="2048">
        <v>0</v>
      </c>
      <c r="K314" s="1385"/>
      <c r="L314" s="1385"/>
      <c r="M314" s="1385"/>
      <c r="N314" s="2049"/>
      <c r="O314" s="2049"/>
      <c r="P314" s="2049"/>
      <c r="Q314" s="2028">
        <f t="shared" si="185"/>
        <v>0</v>
      </c>
      <c r="R314" s="2026">
        <f t="shared" si="183"/>
        <v>0</v>
      </c>
      <c r="S314" s="2029">
        <f t="shared" si="184"/>
        <v>0</v>
      </c>
      <c r="T314" s="853">
        <f t="shared" si="186"/>
        <v>0</v>
      </c>
      <c r="U314" s="1408" t="str">
        <f t="shared" si="187"/>
        <v>1.33</v>
      </c>
      <c r="V314" s="1408" t="str">
        <f t="shared" si="188"/>
        <v>D+</v>
      </c>
      <c r="W314" s="1408" t="str">
        <f t="shared" si="189"/>
        <v>0</v>
      </c>
      <c r="X314" s="1409"/>
      <c r="Y314" s="1393"/>
      <c r="Z314" s="1394"/>
      <c r="AA314" s="1394"/>
      <c r="AB314" s="1394"/>
      <c r="AC314" s="1394"/>
      <c r="AD314" s="1394"/>
      <c r="AE314" s="1394"/>
      <c r="AF314" s="1394"/>
      <c r="AG314" s="1394"/>
      <c r="AH314" s="1394"/>
      <c r="AI314" s="1394"/>
      <c r="AJ314" s="1395"/>
      <c r="AK314" s="1395"/>
      <c r="AL314" s="1395"/>
      <c r="AM314" s="1395"/>
      <c r="AN314" s="1395"/>
      <c r="AO314" s="1395"/>
      <c r="AP314" s="1395"/>
      <c r="AQ314" s="1395"/>
      <c r="AR314" s="1395"/>
      <c r="AS314" s="1395"/>
      <c r="AT314" s="1396"/>
      <c r="AU314" s="1413"/>
      <c r="AV314" s="1414"/>
    </row>
    <row r="315" spans="1:48" ht="20.100000000000001" customHeight="1" x14ac:dyDescent="0.25">
      <c r="A315" s="360"/>
      <c r="B315" s="1387"/>
      <c r="C315" s="1388"/>
      <c r="D315" s="1166" t="s">
        <v>569</v>
      </c>
      <c r="E315" s="1385"/>
      <c r="F315" s="1385"/>
      <c r="G315" s="1385"/>
      <c r="H315" s="2048"/>
      <c r="I315" s="2048"/>
      <c r="J315" s="2048"/>
      <c r="K315" s="1385">
        <v>0</v>
      </c>
      <c r="L315" s="1385">
        <v>0</v>
      </c>
      <c r="M315" s="1385">
        <v>0</v>
      </c>
      <c r="N315" s="2049"/>
      <c r="O315" s="2049"/>
      <c r="P315" s="2049"/>
      <c r="Q315" s="2028">
        <f t="shared" si="185"/>
        <v>0</v>
      </c>
      <c r="R315" s="2026">
        <f t="shared" si="183"/>
        <v>0</v>
      </c>
      <c r="S315" s="2029">
        <f t="shared" si="184"/>
        <v>0</v>
      </c>
      <c r="T315" s="853">
        <f t="shared" si="186"/>
        <v>0</v>
      </c>
      <c r="U315" s="1408" t="str">
        <f t="shared" si="187"/>
        <v>1.33</v>
      </c>
      <c r="V315" s="1408" t="str">
        <f t="shared" si="188"/>
        <v>D+</v>
      </c>
      <c r="W315" s="1408" t="str">
        <f t="shared" si="189"/>
        <v>0</v>
      </c>
      <c r="X315" s="1409"/>
      <c r="Y315" s="1393"/>
      <c r="Z315" s="1394"/>
      <c r="AA315" s="1394"/>
      <c r="AB315" s="1394"/>
      <c r="AC315" s="1394"/>
      <c r="AD315" s="1394"/>
      <c r="AE315" s="1394"/>
      <c r="AF315" s="1394"/>
      <c r="AG315" s="1394"/>
      <c r="AH315" s="1394"/>
      <c r="AI315" s="1394"/>
      <c r="AJ315" s="1395"/>
      <c r="AK315" s="1395"/>
      <c r="AL315" s="1395"/>
      <c r="AM315" s="1395"/>
      <c r="AN315" s="1395"/>
      <c r="AO315" s="1395"/>
      <c r="AP315" s="1395"/>
      <c r="AQ315" s="1395"/>
      <c r="AR315" s="1395"/>
      <c r="AS315" s="1395"/>
      <c r="AT315" s="1396"/>
      <c r="AU315" s="1413"/>
      <c r="AV315" s="1414"/>
    </row>
    <row r="316" spans="1:48" ht="20.100000000000001" customHeight="1" x14ac:dyDescent="0.25">
      <c r="A316" s="360"/>
      <c r="B316" s="1387"/>
      <c r="C316" s="1388"/>
      <c r="D316" s="1166" t="s">
        <v>209</v>
      </c>
      <c r="E316" s="1385"/>
      <c r="F316" s="1385"/>
      <c r="G316" s="1385"/>
      <c r="H316" s="2048"/>
      <c r="I316" s="2048"/>
      <c r="J316" s="2048"/>
      <c r="K316" s="1385"/>
      <c r="L316" s="1385"/>
      <c r="M316" s="1385"/>
      <c r="N316" s="2049">
        <v>0</v>
      </c>
      <c r="O316" s="2049">
        <v>0</v>
      </c>
      <c r="P316" s="2049">
        <v>0</v>
      </c>
      <c r="Q316" s="2028">
        <f t="shared" si="185"/>
        <v>0</v>
      </c>
      <c r="R316" s="2026">
        <f t="shared" si="183"/>
        <v>0</v>
      </c>
      <c r="S316" s="2029">
        <f t="shared" si="184"/>
        <v>0</v>
      </c>
      <c r="T316" s="853">
        <f t="shared" si="186"/>
        <v>0</v>
      </c>
      <c r="U316" s="1408" t="str">
        <f t="shared" si="187"/>
        <v>1.33</v>
      </c>
      <c r="V316" s="1408" t="str">
        <f t="shared" si="188"/>
        <v>D+</v>
      </c>
      <c r="W316" s="1408" t="str">
        <f t="shared" si="189"/>
        <v>0</v>
      </c>
      <c r="X316" s="1409"/>
      <c r="Y316" s="1393"/>
      <c r="Z316" s="1394"/>
      <c r="AA316" s="1394"/>
      <c r="AB316" s="1394"/>
      <c r="AC316" s="1394"/>
      <c r="AD316" s="1394"/>
      <c r="AE316" s="1394"/>
      <c r="AF316" s="1394"/>
      <c r="AG316" s="1394"/>
      <c r="AH316" s="1394"/>
      <c r="AI316" s="1394"/>
      <c r="AJ316" s="1395"/>
      <c r="AK316" s="1395"/>
      <c r="AL316" s="1395"/>
      <c r="AM316" s="1395"/>
      <c r="AN316" s="1395"/>
      <c r="AO316" s="1395"/>
      <c r="AP316" s="1395"/>
      <c r="AQ316" s="1395"/>
      <c r="AR316" s="1395"/>
      <c r="AS316" s="1395"/>
      <c r="AT316" s="1396"/>
      <c r="AU316" s="1413"/>
      <c r="AV316" s="1414"/>
    </row>
    <row r="317" spans="1:48" ht="20.100000000000001" customHeight="1" x14ac:dyDescent="0.25">
      <c r="A317" s="360"/>
      <c r="B317" s="1387"/>
      <c r="C317" s="1388"/>
      <c r="D317" s="1166" t="s">
        <v>210</v>
      </c>
      <c r="E317" s="1385"/>
      <c r="F317" s="1385"/>
      <c r="G317" s="1385"/>
      <c r="H317" s="2048"/>
      <c r="I317" s="2048"/>
      <c r="J317" s="2048"/>
      <c r="K317" s="1385"/>
      <c r="L317" s="1385"/>
      <c r="M317" s="1385"/>
      <c r="N317" s="2049">
        <v>0</v>
      </c>
      <c r="O317" s="2049">
        <v>0</v>
      </c>
      <c r="P317" s="2049">
        <v>0</v>
      </c>
      <c r="Q317" s="2028">
        <f t="shared" si="185"/>
        <v>0</v>
      </c>
      <c r="R317" s="2026">
        <f t="shared" si="183"/>
        <v>0</v>
      </c>
      <c r="S317" s="2029">
        <f t="shared" si="184"/>
        <v>0</v>
      </c>
      <c r="T317" s="853">
        <f t="shared" si="186"/>
        <v>0</v>
      </c>
      <c r="U317" s="1408" t="str">
        <f t="shared" si="187"/>
        <v>1.33</v>
      </c>
      <c r="V317" s="1408" t="str">
        <f t="shared" si="188"/>
        <v>D+</v>
      </c>
      <c r="W317" s="1408" t="str">
        <f t="shared" si="189"/>
        <v>0</v>
      </c>
      <c r="X317" s="1409"/>
      <c r="Y317" s="1397"/>
      <c r="Z317" s="1398"/>
      <c r="AA317" s="1398"/>
      <c r="AB317" s="1398"/>
      <c r="AC317" s="1398"/>
      <c r="AD317" s="1398"/>
      <c r="AE317" s="1398"/>
      <c r="AF317" s="1398"/>
      <c r="AG317" s="1398"/>
      <c r="AH317" s="1398"/>
      <c r="AI317" s="1398"/>
      <c r="AJ317" s="1399"/>
      <c r="AK317" s="1399"/>
      <c r="AL317" s="1399"/>
      <c r="AM317" s="1399"/>
      <c r="AN317" s="1399"/>
      <c r="AO317" s="1399"/>
      <c r="AP317" s="1399"/>
      <c r="AQ317" s="1399"/>
      <c r="AR317" s="1399"/>
      <c r="AS317" s="1399"/>
      <c r="AT317" s="1400"/>
      <c r="AU317" s="1415"/>
      <c r="AV317" s="1416"/>
    </row>
    <row r="318" spans="1:48" ht="20.100000000000001" customHeight="1" x14ac:dyDescent="0.25">
      <c r="A318" s="727"/>
      <c r="B318" s="1406">
        <v>26</v>
      </c>
      <c r="C318" s="1407"/>
      <c r="D318" s="1004"/>
      <c r="E318" s="2780"/>
      <c r="F318" s="2781"/>
      <c r="G318" s="2781"/>
      <c r="H318" s="2781"/>
      <c r="I318" s="2046"/>
      <c r="J318" s="2046"/>
      <c r="K318" s="2046"/>
      <c r="L318" s="2046"/>
      <c r="M318" s="2046"/>
      <c r="N318" s="2046"/>
      <c r="O318" s="2046"/>
      <c r="P318" s="2046"/>
      <c r="Q318" s="2046"/>
      <c r="R318" s="2046"/>
      <c r="S318" s="2046"/>
      <c r="T318" s="2044">
        <f>IFERROR(AVERAGE(T307:T317),"  ")</f>
        <v>0</v>
      </c>
      <c r="U318" s="2045" t="str">
        <f>IF(X318&gt;85,("4"),IF(X318&gt;80,("3.66"),IF(X318&gt;75,("3.33"),IF(X318&gt;70,("3.00"),IF(X318&gt;65,("2.66"),IF(X318&gt;60,("2.33"),IF(X318&gt;55,("2"),IF(X318&gt;50,("1.66"),"1.33"))))))))</f>
        <v>1.33</v>
      </c>
      <c r="V318" s="2045" t="str">
        <f>IF(X318&gt;85,("A"),IF(X318&gt;80,("A-"),IF(X318&gt;75,("B+"),IF(X318&gt;70,("B"),IF(X318&gt;65,("B-"),IF(X318&gt;60,("C+"),IF(X318&gt;55,("C"),IF(X318&gt;50,("C-"),"D+"))))))))</f>
        <v>D+</v>
      </c>
      <c r="W318" s="2045"/>
      <c r="X318" s="888">
        <f>MAX(T307:T317)</f>
        <v>0</v>
      </c>
      <c r="Y318" s="1403"/>
      <c r="Z318" s="1404"/>
      <c r="AA318" s="1404"/>
      <c r="AB318" s="1404"/>
      <c r="AC318" s="1404"/>
      <c r="AD318" s="1404"/>
      <c r="AE318" s="1404"/>
      <c r="AF318" s="1404"/>
      <c r="AG318" s="1404"/>
      <c r="AH318" s="1404"/>
      <c r="AI318" s="1404"/>
      <c r="AJ318" s="1404"/>
      <c r="AK318" s="1404"/>
      <c r="AL318" s="1404"/>
      <c r="AM318" s="1404"/>
      <c r="AN318" s="1404"/>
      <c r="AO318" s="1404"/>
      <c r="AP318" s="1404"/>
      <c r="AQ318" s="1404"/>
      <c r="AR318" s="1404"/>
      <c r="AS318" s="1404"/>
      <c r="AT318" s="1405"/>
      <c r="AU318" s="1257"/>
      <c r="AV318" s="1258"/>
    </row>
    <row r="319" spans="1:48" ht="20.100000000000001" customHeight="1" x14ac:dyDescent="0.25">
      <c r="A319" s="724">
        <v>27</v>
      </c>
      <c r="B319" s="1383"/>
      <c r="C319" s="1384" t="str">
        <f>VLOOKUP(A319,data_siswa,4,FALSE)</f>
        <v>Mohammad Rizky</v>
      </c>
      <c r="D319" s="1166" t="s">
        <v>154</v>
      </c>
      <c r="E319" s="2050">
        <v>0</v>
      </c>
      <c r="F319" s="2050">
        <v>0</v>
      </c>
      <c r="G319" s="2050">
        <v>0</v>
      </c>
      <c r="H319" s="2051"/>
      <c r="I319" s="2051"/>
      <c r="J319" s="2051"/>
      <c r="K319" s="2050"/>
      <c r="L319" s="2050"/>
      <c r="M319" s="2050"/>
      <c r="N319" s="2052"/>
      <c r="O319" s="2052"/>
      <c r="P319" s="2052"/>
      <c r="Q319" s="2028">
        <f>MAX(E319,H319,K319,N319)</f>
        <v>0</v>
      </c>
      <c r="R319" s="2026">
        <f t="shared" ref="R319:R329" si="190">MAX(F319,I319,L319,O319)</f>
        <v>0</v>
      </c>
      <c r="S319" s="2029">
        <f t="shared" ref="S319:S329" si="191">MAX(G319,J319,M319,P319)</f>
        <v>0</v>
      </c>
      <c r="T319" s="853">
        <f>IFERROR(AVERAGE(Q319:S319),"")</f>
        <v>0</v>
      </c>
      <c r="U319" s="1408" t="str">
        <f>IF(T319&gt;85,("4"),IF(T319&gt;80,("3.66"),IF(T319&gt;75,("3.33"),IF(T319&gt;70,("3.00"),IF(T319&gt;65,("2.66"),IF(T319&gt;60,("2.33"),IF(T319&gt;55,("2"),IF(T319&gt;50,("1.66"),"1.33"))))))))</f>
        <v>1.33</v>
      </c>
      <c r="V319" s="1408" t="str">
        <f>IF(T319&gt;85,("A"),IF(T319&gt;80,("A-"),IF(T319&gt;75,("B+"),IF(T319&gt;70,("B"),IF(T319&gt;65,("B-"),IF(T319&gt;60,("C+"),IF(T319&gt;55,("C"),IF(T319&gt;50,("C-"),"D+"))))))))</f>
        <v>D+</v>
      </c>
      <c r="W319" s="1408" t="str">
        <f>IF(T319&gt;80,("SB"),IF(T319&gt;65,("B"),IF(T319&gt;50,("C"),IF(T319&gt;0,("K"),"0"))))</f>
        <v>0</v>
      </c>
      <c r="X319" s="1408"/>
      <c r="Y319" s="749"/>
      <c r="Z319" s="749"/>
      <c r="AA319" s="749"/>
      <c r="AB319" s="749"/>
      <c r="AC319" s="749"/>
      <c r="AD319" s="749"/>
      <c r="AE319" s="749"/>
      <c r="AF319" s="749"/>
      <c r="AG319" s="749"/>
      <c r="AH319" s="749"/>
      <c r="AI319" s="749"/>
      <c r="AJ319" s="1386"/>
      <c r="AK319" s="1386"/>
      <c r="AL319" s="1386"/>
      <c r="AM319" s="1386"/>
      <c r="AN319" s="1386"/>
      <c r="AO319" s="1386"/>
      <c r="AP319" s="1386"/>
      <c r="AQ319" s="1386"/>
      <c r="AR319" s="1386"/>
      <c r="AS319" s="1386"/>
      <c r="AT319" s="1386"/>
      <c r="AU319" s="1057">
        <f>T330</f>
        <v>0</v>
      </c>
      <c r="AV319" s="1194" t="str">
        <f>IF(AU319&gt;85,("A"),IF(AU319&gt;80,("A-"),IF(AU319&gt;75,("B+"),IF(AU319&gt;70,("B"),IF(AU319&gt;65,("B-"),IF(AU319&gt;60,("C+"),IF(AU319&gt;55,("C"),IF(AU319&gt;50,("C-"),"D+"))))))))</f>
        <v>D+</v>
      </c>
    </row>
    <row r="320" spans="1:48" ht="20.100000000000001" customHeight="1" x14ac:dyDescent="0.25">
      <c r="A320" s="360"/>
      <c r="B320" s="1387"/>
      <c r="C320" s="1388"/>
      <c r="D320" s="1166" t="s">
        <v>155</v>
      </c>
      <c r="E320" s="1493"/>
      <c r="F320" s="1493"/>
      <c r="G320" s="1493"/>
      <c r="H320" s="2040"/>
      <c r="I320" s="2040"/>
      <c r="J320" s="2040"/>
      <c r="K320" s="1493"/>
      <c r="L320" s="1493"/>
      <c r="M320" s="1493"/>
      <c r="N320" s="2039">
        <v>0</v>
      </c>
      <c r="O320" s="2039">
        <v>0</v>
      </c>
      <c r="P320" s="2039">
        <v>0</v>
      </c>
      <c r="Q320" s="2028">
        <f t="shared" ref="Q320:Q329" si="192">MAX(E320,H320,K320,N320)</f>
        <v>0</v>
      </c>
      <c r="R320" s="2026">
        <f t="shared" si="190"/>
        <v>0</v>
      </c>
      <c r="S320" s="2029">
        <f t="shared" si="191"/>
        <v>0</v>
      </c>
      <c r="T320" s="853">
        <f t="shared" ref="T320:T329" si="193">IFERROR(AVERAGE(Q320:S320),"")</f>
        <v>0</v>
      </c>
      <c r="U320" s="1408" t="str">
        <f t="shared" ref="U320:U329" si="194">IF(T320&gt;85,("4"),IF(T320&gt;80,("3.66"),IF(T320&gt;75,("3.33"),IF(T320&gt;70,("3.00"),IF(T320&gt;65,("2.66"),IF(T320&gt;60,("2.33"),IF(T320&gt;55,("2"),IF(T320&gt;50,("1.66"),"1.33"))))))))</f>
        <v>1.33</v>
      </c>
      <c r="V320" s="1408" t="str">
        <f t="shared" ref="V320:V329" si="195">IF(T320&gt;85,("A"),IF(T320&gt;80,("A-"),IF(T320&gt;75,("B+"),IF(T320&gt;70,("B"),IF(T320&gt;65,("B-"),IF(T320&gt;60,("C+"),IF(T320&gt;55,("C"),IF(T320&gt;50,("C-"),"D+"))))))))</f>
        <v>D+</v>
      </c>
      <c r="W320" s="1408" t="str">
        <f t="shared" ref="W320:W329" si="196">IF(T320&gt;80,("SB"),IF(T320&gt;65,("B"),IF(T320&gt;50,("C"),IF(T320&gt;0,("K"),"0"))))</f>
        <v>0</v>
      </c>
      <c r="X320" s="1409"/>
      <c r="Y320" s="1389"/>
      <c r="Z320" s="1390"/>
      <c r="AA320" s="1390"/>
      <c r="AB320" s="1390"/>
      <c r="AC320" s="1390"/>
      <c r="AD320" s="1390"/>
      <c r="AE320" s="1390"/>
      <c r="AF320" s="1390"/>
      <c r="AG320" s="1390"/>
      <c r="AH320" s="1390"/>
      <c r="AI320" s="1390"/>
      <c r="AJ320" s="1391"/>
      <c r="AK320" s="1391"/>
      <c r="AL320" s="1391"/>
      <c r="AM320" s="1391"/>
      <c r="AN320" s="1391"/>
      <c r="AO320" s="1391"/>
      <c r="AP320" s="1391"/>
      <c r="AQ320" s="1391"/>
      <c r="AR320" s="1391"/>
      <c r="AS320" s="1391"/>
      <c r="AT320" s="1392"/>
      <c r="AU320" s="1411"/>
      <c r="AV320" s="1412"/>
    </row>
    <row r="321" spans="1:48" ht="20.100000000000001" customHeight="1" x14ac:dyDescent="0.25">
      <c r="A321" s="360"/>
      <c r="B321" s="1387"/>
      <c r="C321" s="1388"/>
      <c r="D321" s="1166" t="s">
        <v>16</v>
      </c>
      <c r="E321" s="1493"/>
      <c r="F321" s="1493"/>
      <c r="G321" s="1493"/>
      <c r="H321" s="2040">
        <v>0</v>
      </c>
      <c r="I321" s="2040">
        <v>0</v>
      </c>
      <c r="J321" s="2040">
        <v>0</v>
      </c>
      <c r="K321" s="1493"/>
      <c r="L321" s="1493"/>
      <c r="M321" s="1493"/>
      <c r="N321" s="2052"/>
      <c r="O321" s="2052"/>
      <c r="P321" s="2052"/>
      <c r="Q321" s="2028">
        <f t="shared" si="192"/>
        <v>0</v>
      </c>
      <c r="R321" s="2026">
        <f t="shared" si="190"/>
        <v>0</v>
      </c>
      <c r="S321" s="2029">
        <f t="shared" si="191"/>
        <v>0</v>
      </c>
      <c r="T321" s="853">
        <f t="shared" si="193"/>
        <v>0</v>
      </c>
      <c r="U321" s="1408" t="str">
        <f t="shared" si="194"/>
        <v>1.33</v>
      </c>
      <c r="V321" s="1408" t="str">
        <f t="shared" si="195"/>
        <v>D+</v>
      </c>
      <c r="W321" s="1408" t="str">
        <f t="shared" si="196"/>
        <v>0</v>
      </c>
      <c r="X321" s="1409"/>
      <c r="Y321" s="1393"/>
      <c r="Z321" s="1394"/>
      <c r="AA321" s="1394"/>
      <c r="AB321" s="1394"/>
      <c r="AC321" s="1394"/>
      <c r="AD321" s="1394"/>
      <c r="AE321" s="1394"/>
      <c r="AF321" s="1394"/>
      <c r="AG321" s="1394"/>
      <c r="AH321" s="1394"/>
      <c r="AI321" s="1394"/>
      <c r="AJ321" s="1395"/>
      <c r="AK321" s="1395"/>
      <c r="AL321" s="1395"/>
      <c r="AM321" s="1395"/>
      <c r="AN321" s="1395"/>
      <c r="AO321" s="1395"/>
      <c r="AP321" s="1395"/>
      <c r="AQ321" s="1395"/>
      <c r="AR321" s="1395"/>
      <c r="AS321" s="1395"/>
      <c r="AT321" s="1396"/>
      <c r="AU321" s="1413"/>
      <c r="AV321" s="1414"/>
    </row>
    <row r="322" spans="1:48" ht="20.100000000000001" customHeight="1" x14ac:dyDescent="0.25">
      <c r="A322" s="360"/>
      <c r="B322" s="1387"/>
      <c r="C322" s="1388"/>
      <c r="D322" s="1166" t="s">
        <v>189</v>
      </c>
      <c r="E322" s="1493"/>
      <c r="F322" s="1493"/>
      <c r="G322" s="1493"/>
      <c r="H322" s="2040">
        <v>0</v>
      </c>
      <c r="I322" s="2040">
        <v>0</v>
      </c>
      <c r="J322" s="2040">
        <v>0</v>
      </c>
      <c r="K322" s="1493"/>
      <c r="L322" s="1493"/>
      <c r="M322" s="1493"/>
      <c r="N322" s="2039"/>
      <c r="O322" s="2039"/>
      <c r="P322" s="2039"/>
      <c r="Q322" s="2028">
        <f t="shared" si="192"/>
        <v>0</v>
      </c>
      <c r="R322" s="2026">
        <f t="shared" si="190"/>
        <v>0</v>
      </c>
      <c r="S322" s="2029">
        <f t="shared" si="191"/>
        <v>0</v>
      </c>
      <c r="T322" s="853">
        <f t="shared" si="193"/>
        <v>0</v>
      </c>
      <c r="U322" s="1408" t="str">
        <f t="shared" si="194"/>
        <v>1.33</v>
      </c>
      <c r="V322" s="1408" t="str">
        <f t="shared" si="195"/>
        <v>D+</v>
      </c>
      <c r="W322" s="1408" t="str">
        <f t="shared" si="196"/>
        <v>0</v>
      </c>
      <c r="X322" s="1409"/>
      <c r="Y322" s="1393"/>
      <c r="Z322" s="1394"/>
      <c r="AA322" s="1394"/>
      <c r="AB322" s="1394"/>
      <c r="AC322" s="1394"/>
      <c r="AD322" s="1394"/>
      <c r="AE322" s="1394"/>
      <c r="AF322" s="1394"/>
      <c r="AG322" s="1394"/>
      <c r="AH322" s="1394"/>
      <c r="AI322" s="1394"/>
      <c r="AJ322" s="1395"/>
      <c r="AK322" s="1395"/>
      <c r="AL322" s="1395"/>
      <c r="AM322" s="1395"/>
      <c r="AN322" s="1395"/>
      <c r="AO322" s="1395"/>
      <c r="AP322" s="1395"/>
      <c r="AQ322" s="1395"/>
      <c r="AR322" s="1395"/>
      <c r="AS322" s="1395"/>
      <c r="AT322" s="1396"/>
      <c r="AU322" s="1413"/>
      <c r="AV322" s="1414"/>
    </row>
    <row r="323" spans="1:48" ht="20.100000000000001" customHeight="1" x14ac:dyDescent="0.25">
      <c r="A323" s="360"/>
      <c r="B323" s="1387"/>
      <c r="C323" s="1388"/>
      <c r="D323" s="1166" t="s">
        <v>186</v>
      </c>
      <c r="E323" s="1493"/>
      <c r="F323" s="1493"/>
      <c r="G323" s="1493"/>
      <c r="H323" s="2040">
        <v>0</v>
      </c>
      <c r="I323" s="2040">
        <v>0</v>
      </c>
      <c r="J323" s="2040">
        <v>0</v>
      </c>
      <c r="K323" s="1493"/>
      <c r="L323" s="1493"/>
      <c r="M323" s="1493"/>
      <c r="N323" s="2039"/>
      <c r="O323" s="2039"/>
      <c r="P323" s="2039"/>
      <c r="Q323" s="2028">
        <f t="shared" si="192"/>
        <v>0</v>
      </c>
      <c r="R323" s="2026">
        <f t="shared" si="190"/>
        <v>0</v>
      </c>
      <c r="S323" s="2029">
        <f t="shared" si="191"/>
        <v>0</v>
      </c>
      <c r="T323" s="853">
        <f t="shared" si="193"/>
        <v>0</v>
      </c>
      <c r="U323" s="1408" t="str">
        <f t="shared" si="194"/>
        <v>1.33</v>
      </c>
      <c r="V323" s="1408" t="str">
        <f t="shared" si="195"/>
        <v>D+</v>
      </c>
      <c r="W323" s="1408" t="str">
        <f t="shared" si="196"/>
        <v>0</v>
      </c>
      <c r="X323" s="1409"/>
      <c r="Y323" s="1393"/>
      <c r="Z323" s="1394"/>
      <c r="AA323" s="1394"/>
      <c r="AB323" s="1394"/>
      <c r="AC323" s="1394"/>
      <c r="AD323" s="1394"/>
      <c r="AE323" s="1394"/>
      <c r="AF323" s="1394"/>
      <c r="AG323" s="1394"/>
      <c r="AH323" s="1394"/>
      <c r="AI323" s="1394"/>
      <c r="AJ323" s="1395"/>
      <c r="AK323" s="1395"/>
      <c r="AL323" s="1395"/>
      <c r="AM323" s="1395"/>
      <c r="AN323" s="1395"/>
      <c r="AO323" s="1395"/>
      <c r="AP323" s="1395"/>
      <c r="AQ323" s="1395"/>
      <c r="AR323" s="1395"/>
      <c r="AS323" s="1395"/>
      <c r="AT323" s="1396"/>
      <c r="AU323" s="1413"/>
      <c r="AV323" s="1414"/>
    </row>
    <row r="324" spans="1:48" ht="20.100000000000001" customHeight="1" x14ac:dyDescent="0.25">
      <c r="A324" s="360"/>
      <c r="B324" s="1387"/>
      <c r="C324" s="1388"/>
      <c r="D324" s="1166" t="s">
        <v>187</v>
      </c>
      <c r="E324" s="1385"/>
      <c r="F324" s="1385"/>
      <c r="G324" s="1385"/>
      <c r="H324" s="2048"/>
      <c r="I324" s="2048"/>
      <c r="J324" s="2048"/>
      <c r="K324" s="1385">
        <v>0</v>
      </c>
      <c r="L324" s="1385">
        <v>0</v>
      </c>
      <c r="M324" s="1385">
        <v>0</v>
      </c>
      <c r="N324" s="2049"/>
      <c r="O324" s="2049"/>
      <c r="P324" s="2049"/>
      <c r="Q324" s="2028">
        <f t="shared" si="192"/>
        <v>0</v>
      </c>
      <c r="R324" s="2026">
        <f t="shared" si="190"/>
        <v>0</v>
      </c>
      <c r="S324" s="2029">
        <f t="shared" si="191"/>
        <v>0</v>
      </c>
      <c r="T324" s="853">
        <f t="shared" si="193"/>
        <v>0</v>
      </c>
      <c r="U324" s="1408" t="str">
        <f t="shared" si="194"/>
        <v>1.33</v>
      </c>
      <c r="V324" s="1408" t="str">
        <f t="shared" si="195"/>
        <v>D+</v>
      </c>
      <c r="W324" s="1408" t="str">
        <f t="shared" si="196"/>
        <v>0</v>
      </c>
      <c r="X324" s="1409"/>
      <c r="Y324" s="1393"/>
      <c r="Z324" s="1394"/>
      <c r="AA324" s="1394"/>
      <c r="AB324" s="1394"/>
      <c r="AC324" s="1394"/>
      <c r="AD324" s="1394"/>
      <c r="AE324" s="1394"/>
      <c r="AF324" s="1394"/>
      <c r="AG324" s="1394"/>
      <c r="AH324" s="1394"/>
      <c r="AI324" s="1394"/>
      <c r="AJ324" s="1395"/>
      <c r="AK324" s="1395"/>
      <c r="AL324" s="1395"/>
      <c r="AM324" s="1395"/>
      <c r="AN324" s="1395"/>
      <c r="AO324" s="1395"/>
      <c r="AP324" s="1395"/>
      <c r="AQ324" s="1395"/>
      <c r="AR324" s="1395"/>
      <c r="AS324" s="1395"/>
      <c r="AT324" s="1396"/>
      <c r="AU324" s="1413"/>
      <c r="AV324" s="1414"/>
    </row>
    <row r="325" spans="1:48" ht="20.100000000000001" customHeight="1" x14ac:dyDescent="0.25">
      <c r="A325" s="360"/>
      <c r="B325" s="1387"/>
      <c r="C325" s="1388"/>
      <c r="D325" s="1166" t="s">
        <v>17</v>
      </c>
      <c r="E325" s="1385">
        <v>0</v>
      </c>
      <c r="F325" s="1385">
        <v>0</v>
      </c>
      <c r="G325" s="1385">
        <v>0</v>
      </c>
      <c r="H325" s="2048">
        <v>0</v>
      </c>
      <c r="I325" s="2048">
        <v>0</v>
      </c>
      <c r="J325" s="2048">
        <v>0</v>
      </c>
      <c r="K325" s="1385"/>
      <c r="L325" s="1385"/>
      <c r="M325" s="1385"/>
      <c r="N325" s="2049"/>
      <c r="O325" s="2049"/>
      <c r="P325" s="2049"/>
      <c r="Q325" s="2028">
        <f t="shared" si="192"/>
        <v>0</v>
      </c>
      <c r="R325" s="2026">
        <f t="shared" si="190"/>
        <v>0</v>
      </c>
      <c r="S325" s="2029">
        <f t="shared" si="191"/>
        <v>0</v>
      </c>
      <c r="T325" s="853">
        <f t="shared" si="193"/>
        <v>0</v>
      </c>
      <c r="U325" s="1408" t="str">
        <f t="shared" si="194"/>
        <v>1.33</v>
      </c>
      <c r="V325" s="1408" t="str">
        <f t="shared" si="195"/>
        <v>D+</v>
      </c>
      <c r="W325" s="1408" t="str">
        <f t="shared" si="196"/>
        <v>0</v>
      </c>
      <c r="X325" s="1409"/>
      <c r="Y325" s="1393"/>
      <c r="Z325" s="1394"/>
      <c r="AA325" s="1394"/>
      <c r="AB325" s="1394"/>
      <c r="AC325" s="1394"/>
      <c r="AD325" s="1394"/>
      <c r="AE325" s="1394"/>
      <c r="AF325" s="1394"/>
      <c r="AG325" s="1394"/>
      <c r="AH325" s="1394"/>
      <c r="AI325" s="1394"/>
      <c r="AJ325" s="1395"/>
      <c r="AK325" s="1395"/>
      <c r="AL325" s="1395"/>
      <c r="AM325" s="1395"/>
      <c r="AN325" s="1395"/>
      <c r="AO325" s="1395"/>
      <c r="AP325" s="1395"/>
      <c r="AQ325" s="1395"/>
      <c r="AR325" s="1395"/>
      <c r="AS325" s="1395"/>
      <c r="AT325" s="1396"/>
      <c r="AU325" s="1413"/>
      <c r="AV325" s="1414"/>
    </row>
    <row r="326" spans="1:48" ht="20.100000000000001" customHeight="1" x14ac:dyDescent="0.25">
      <c r="A326" s="360"/>
      <c r="B326" s="1387"/>
      <c r="C326" s="1388"/>
      <c r="D326" s="1166" t="s">
        <v>188</v>
      </c>
      <c r="E326" s="1385"/>
      <c r="F326" s="1385"/>
      <c r="G326" s="1385"/>
      <c r="H326" s="2048">
        <v>0</v>
      </c>
      <c r="I326" s="2048">
        <v>0</v>
      </c>
      <c r="J326" s="2048">
        <v>0</v>
      </c>
      <c r="K326" s="1385"/>
      <c r="L326" s="1385"/>
      <c r="M326" s="1385"/>
      <c r="N326" s="2049"/>
      <c r="O326" s="2049"/>
      <c r="P326" s="2049"/>
      <c r="Q326" s="2028">
        <f t="shared" si="192"/>
        <v>0</v>
      </c>
      <c r="R326" s="2026">
        <f t="shared" si="190"/>
        <v>0</v>
      </c>
      <c r="S326" s="2029">
        <f t="shared" si="191"/>
        <v>0</v>
      </c>
      <c r="T326" s="853">
        <f t="shared" si="193"/>
        <v>0</v>
      </c>
      <c r="U326" s="1408" t="str">
        <f t="shared" si="194"/>
        <v>1.33</v>
      </c>
      <c r="V326" s="1408" t="str">
        <f t="shared" si="195"/>
        <v>D+</v>
      </c>
      <c r="W326" s="1408" t="str">
        <f t="shared" si="196"/>
        <v>0</v>
      </c>
      <c r="X326" s="1409"/>
      <c r="Y326" s="1393"/>
      <c r="Z326" s="1394"/>
      <c r="AA326" s="1394"/>
      <c r="AB326" s="1394"/>
      <c r="AC326" s="1394"/>
      <c r="AD326" s="1394"/>
      <c r="AE326" s="1394"/>
      <c r="AF326" s="1394"/>
      <c r="AG326" s="1394"/>
      <c r="AH326" s="1394"/>
      <c r="AI326" s="1394"/>
      <c r="AJ326" s="1395"/>
      <c r="AK326" s="1395"/>
      <c r="AL326" s="1395"/>
      <c r="AM326" s="1395"/>
      <c r="AN326" s="1395"/>
      <c r="AO326" s="1395"/>
      <c r="AP326" s="1395"/>
      <c r="AQ326" s="1395"/>
      <c r="AR326" s="1395"/>
      <c r="AS326" s="1395"/>
      <c r="AT326" s="1396"/>
      <c r="AU326" s="1413"/>
      <c r="AV326" s="1414"/>
    </row>
    <row r="327" spans="1:48" ht="20.100000000000001" customHeight="1" x14ac:dyDescent="0.25">
      <c r="A327" s="360"/>
      <c r="B327" s="1387"/>
      <c r="C327" s="1388"/>
      <c r="D327" s="1166" t="s">
        <v>569</v>
      </c>
      <c r="E327" s="1385"/>
      <c r="F327" s="1385"/>
      <c r="G327" s="1385"/>
      <c r="H327" s="2048"/>
      <c r="I327" s="2048"/>
      <c r="J327" s="2048"/>
      <c r="K327" s="1385">
        <v>0</v>
      </c>
      <c r="L327" s="1385">
        <v>0</v>
      </c>
      <c r="M327" s="1385">
        <v>0</v>
      </c>
      <c r="N327" s="2049"/>
      <c r="O327" s="2049"/>
      <c r="P327" s="2049"/>
      <c r="Q327" s="2028">
        <f t="shared" si="192"/>
        <v>0</v>
      </c>
      <c r="R327" s="2026">
        <f t="shared" si="190"/>
        <v>0</v>
      </c>
      <c r="S327" s="2029">
        <f t="shared" si="191"/>
        <v>0</v>
      </c>
      <c r="T327" s="853">
        <f t="shared" si="193"/>
        <v>0</v>
      </c>
      <c r="U327" s="1408" t="str">
        <f t="shared" si="194"/>
        <v>1.33</v>
      </c>
      <c r="V327" s="1408" t="str">
        <f t="shared" si="195"/>
        <v>D+</v>
      </c>
      <c r="W327" s="1408" t="str">
        <f t="shared" si="196"/>
        <v>0</v>
      </c>
      <c r="X327" s="1409"/>
      <c r="Y327" s="1393"/>
      <c r="Z327" s="1394"/>
      <c r="AA327" s="1394"/>
      <c r="AB327" s="1394"/>
      <c r="AC327" s="1394"/>
      <c r="AD327" s="1394"/>
      <c r="AE327" s="1394"/>
      <c r="AF327" s="1394"/>
      <c r="AG327" s="1394"/>
      <c r="AH327" s="1394"/>
      <c r="AI327" s="1394"/>
      <c r="AJ327" s="1395"/>
      <c r="AK327" s="1395"/>
      <c r="AL327" s="1395"/>
      <c r="AM327" s="1395"/>
      <c r="AN327" s="1395"/>
      <c r="AO327" s="1395"/>
      <c r="AP327" s="1395"/>
      <c r="AQ327" s="1395"/>
      <c r="AR327" s="1395"/>
      <c r="AS327" s="1395"/>
      <c r="AT327" s="1396"/>
      <c r="AU327" s="1413"/>
      <c r="AV327" s="1414"/>
    </row>
    <row r="328" spans="1:48" ht="20.100000000000001" customHeight="1" x14ac:dyDescent="0.25">
      <c r="A328" s="360"/>
      <c r="B328" s="1387"/>
      <c r="C328" s="1388"/>
      <c r="D328" s="1166" t="s">
        <v>209</v>
      </c>
      <c r="E328" s="1385"/>
      <c r="F328" s="1385"/>
      <c r="G328" s="1385"/>
      <c r="H328" s="2048"/>
      <c r="I328" s="2048"/>
      <c r="J328" s="2048"/>
      <c r="K328" s="1385"/>
      <c r="L328" s="1385"/>
      <c r="M328" s="1385"/>
      <c r="N328" s="2049">
        <v>0</v>
      </c>
      <c r="O328" s="2049">
        <v>0</v>
      </c>
      <c r="P328" s="2049">
        <v>0</v>
      </c>
      <c r="Q328" s="2028">
        <f t="shared" si="192"/>
        <v>0</v>
      </c>
      <c r="R328" s="2026">
        <f t="shared" si="190"/>
        <v>0</v>
      </c>
      <c r="S328" s="2029">
        <f t="shared" si="191"/>
        <v>0</v>
      </c>
      <c r="T328" s="853">
        <f t="shared" si="193"/>
        <v>0</v>
      </c>
      <c r="U328" s="1408" t="str">
        <f t="shared" si="194"/>
        <v>1.33</v>
      </c>
      <c r="V328" s="1408" t="str">
        <f t="shared" si="195"/>
        <v>D+</v>
      </c>
      <c r="W328" s="1408" t="str">
        <f t="shared" si="196"/>
        <v>0</v>
      </c>
      <c r="X328" s="1409"/>
      <c r="Y328" s="1393"/>
      <c r="Z328" s="1394"/>
      <c r="AA328" s="1394"/>
      <c r="AB328" s="1394"/>
      <c r="AC328" s="1394"/>
      <c r="AD328" s="1394"/>
      <c r="AE328" s="1394"/>
      <c r="AF328" s="1394"/>
      <c r="AG328" s="1394"/>
      <c r="AH328" s="1394"/>
      <c r="AI328" s="1394"/>
      <c r="AJ328" s="1395"/>
      <c r="AK328" s="1395"/>
      <c r="AL328" s="1395"/>
      <c r="AM328" s="1395"/>
      <c r="AN328" s="1395"/>
      <c r="AO328" s="1395"/>
      <c r="AP328" s="1395"/>
      <c r="AQ328" s="1395"/>
      <c r="AR328" s="1395"/>
      <c r="AS328" s="1395"/>
      <c r="AT328" s="1396"/>
      <c r="AU328" s="1413"/>
      <c r="AV328" s="1414"/>
    </row>
    <row r="329" spans="1:48" ht="20.100000000000001" customHeight="1" x14ac:dyDescent="0.25">
      <c r="A329" s="360"/>
      <c r="B329" s="1387"/>
      <c r="C329" s="1388"/>
      <c r="D329" s="1166" t="s">
        <v>210</v>
      </c>
      <c r="E329" s="1385"/>
      <c r="F329" s="1385"/>
      <c r="G329" s="1385"/>
      <c r="H329" s="2048"/>
      <c r="I329" s="2048"/>
      <c r="J329" s="2048"/>
      <c r="K329" s="1385"/>
      <c r="L329" s="1385"/>
      <c r="M329" s="1385"/>
      <c r="N329" s="2049">
        <v>0</v>
      </c>
      <c r="O329" s="2049">
        <v>0</v>
      </c>
      <c r="P329" s="2049">
        <v>0</v>
      </c>
      <c r="Q329" s="2028">
        <f t="shared" si="192"/>
        <v>0</v>
      </c>
      <c r="R329" s="2026">
        <f t="shared" si="190"/>
        <v>0</v>
      </c>
      <c r="S329" s="2029">
        <f t="shared" si="191"/>
        <v>0</v>
      </c>
      <c r="T329" s="853">
        <f t="shared" si="193"/>
        <v>0</v>
      </c>
      <c r="U329" s="1408" t="str">
        <f t="shared" si="194"/>
        <v>1.33</v>
      </c>
      <c r="V329" s="1408" t="str">
        <f t="shared" si="195"/>
        <v>D+</v>
      </c>
      <c r="W329" s="1408" t="str">
        <f t="shared" si="196"/>
        <v>0</v>
      </c>
      <c r="X329" s="1409"/>
      <c r="Y329" s="1397"/>
      <c r="Z329" s="1398"/>
      <c r="AA329" s="1398"/>
      <c r="AB329" s="1398"/>
      <c r="AC329" s="1398"/>
      <c r="AD329" s="1398"/>
      <c r="AE329" s="1398"/>
      <c r="AF329" s="1398"/>
      <c r="AG329" s="1398"/>
      <c r="AH329" s="1398"/>
      <c r="AI329" s="1398"/>
      <c r="AJ329" s="1399"/>
      <c r="AK329" s="1399"/>
      <c r="AL329" s="1399"/>
      <c r="AM329" s="1399"/>
      <c r="AN329" s="1399"/>
      <c r="AO329" s="1399"/>
      <c r="AP329" s="1399"/>
      <c r="AQ329" s="1399"/>
      <c r="AR329" s="1399"/>
      <c r="AS329" s="1399"/>
      <c r="AT329" s="1400"/>
      <c r="AU329" s="1415"/>
      <c r="AV329" s="1416"/>
    </row>
    <row r="330" spans="1:48" ht="20.100000000000001" customHeight="1" x14ac:dyDescent="0.25">
      <c r="A330" s="727"/>
      <c r="B330" s="1406">
        <v>27</v>
      </c>
      <c r="C330" s="1407"/>
      <c r="D330" s="1004"/>
      <c r="E330" s="2780"/>
      <c r="F330" s="2781"/>
      <c r="G330" s="2781"/>
      <c r="H330" s="2781"/>
      <c r="I330" s="2046"/>
      <c r="J330" s="2046"/>
      <c r="K330" s="2046"/>
      <c r="L330" s="2046"/>
      <c r="M330" s="2046"/>
      <c r="N330" s="2046"/>
      <c r="O330" s="2046"/>
      <c r="P330" s="2046"/>
      <c r="Q330" s="2046"/>
      <c r="R330" s="2046"/>
      <c r="S330" s="2046"/>
      <c r="T330" s="2044">
        <f>IFERROR(AVERAGE(T319:T329),"  ")</f>
        <v>0</v>
      </c>
      <c r="U330" s="2045" t="str">
        <f>IF(X330&gt;85,("4"),IF(X330&gt;80,("3.66"),IF(X330&gt;75,("3.33"),IF(X330&gt;70,("3.00"),IF(X330&gt;65,("2.66"),IF(X330&gt;60,("2.33"),IF(X330&gt;55,("2"),IF(X330&gt;50,("1.66"),"1.33"))))))))</f>
        <v>1.33</v>
      </c>
      <c r="V330" s="2045" t="str">
        <f>IF(X330&gt;85,("A"),IF(X330&gt;80,("A-"),IF(X330&gt;75,("B+"),IF(X330&gt;70,("B"),IF(X330&gt;65,("B-"),IF(X330&gt;60,("C+"),IF(X330&gt;55,("C"),IF(X330&gt;50,("C-"),"D+"))))))))</f>
        <v>D+</v>
      </c>
      <c r="W330" s="2045"/>
      <c r="X330" s="888">
        <f>MAX(T319:T329)</f>
        <v>0</v>
      </c>
      <c r="Y330" s="1403"/>
      <c r="Z330" s="1404"/>
      <c r="AA330" s="1404"/>
      <c r="AB330" s="1404"/>
      <c r="AC330" s="1404"/>
      <c r="AD330" s="1404"/>
      <c r="AE330" s="1404"/>
      <c r="AF330" s="1404"/>
      <c r="AG330" s="1404"/>
      <c r="AH330" s="1404"/>
      <c r="AI330" s="1404"/>
      <c r="AJ330" s="1404"/>
      <c r="AK330" s="1404"/>
      <c r="AL330" s="1404"/>
      <c r="AM330" s="1404"/>
      <c r="AN330" s="1404"/>
      <c r="AO330" s="1404"/>
      <c r="AP330" s="1404"/>
      <c r="AQ330" s="1404"/>
      <c r="AR330" s="1404"/>
      <c r="AS330" s="1404"/>
      <c r="AT330" s="1405"/>
      <c r="AU330" s="1257"/>
      <c r="AV330" s="1258"/>
    </row>
    <row r="331" spans="1:48" ht="20.100000000000001" customHeight="1" x14ac:dyDescent="0.25">
      <c r="A331" s="724">
        <v>28</v>
      </c>
      <c r="B331" s="1383"/>
      <c r="C331" s="1384" t="e">
        <f>VLOOKUP(A331,data_siswa,4,FALSE)</f>
        <v>#N/A</v>
      </c>
      <c r="D331" s="1166" t="s">
        <v>154</v>
      </c>
      <c r="E331" s="2050">
        <v>0</v>
      </c>
      <c r="F331" s="2050">
        <v>0</v>
      </c>
      <c r="G331" s="2050">
        <v>0</v>
      </c>
      <c r="H331" s="2051"/>
      <c r="I331" s="2051"/>
      <c r="J331" s="2051"/>
      <c r="K331" s="2050"/>
      <c r="L331" s="2050"/>
      <c r="M331" s="2050"/>
      <c r="N331" s="2052"/>
      <c r="O331" s="2052"/>
      <c r="P331" s="2052"/>
      <c r="Q331" s="2028">
        <f>MAX(E331,H331,K331,N331)</f>
        <v>0</v>
      </c>
      <c r="R331" s="2026">
        <f t="shared" ref="R331:R341" si="197">MAX(F331,I331,L331,O331)</f>
        <v>0</v>
      </c>
      <c r="S331" s="2029">
        <f t="shared" ref="S331:S341" si="198">MAX(G331,J331,M331,P331)</f>
        <v>0</v>
      </c>
      <c r="T331" s="853">
        <f>IFERROR(AVERAGE(Q331:S331),"")</f>
        <v>0</v>
      </c>
      <c r="U331" s="1408" t="str">
        <f>IF(T331&gt;85,("4"),IF(T331&gt;80,("3.66"),IF(T331&gt;75,("3.33"),IF(T331&gt;70,("3.00"),IF(T331&gt;65,("2.66"),IF(T331&gt;60,("2.33"),IF(T331&gt;55,("2"),IF(T331&gt;50,("1.66"),"1.33"))))))))</f>
        <v>1.33</v>
      </c>
      <c r="V331" s="1408" t="str">
        <f>IF(T331&gt;85,("A"),IF(T331&gt;80,("A-"),IF(T331&gt;75,("B+"),IF(T331&gt;70,("B"),IF(T331&gt;65,("B-"),IF(T331&gt;60,("C+"),IF(T331&gt;55,("C"),IF(T331&gt;50,("C-"),"D+"))))))))</f>
        <v>D+</v>
      </c>
      <c r="W331" s="1408" t="str">
        <f>IF(T331&gt;80,("SB"),IF(T331&gt;65,("B"),IF(T331&gt;50,("C"),IF(T331&gt;0,("K"),"0"))))</f>
        <v>0</v>
      </c>
      <c r="X331" s="1408"/>
      <c r="Y331" s="749"/>
      <c r="Z331" s="749"/>
      <c r="AA331" s="749"/>
      <c r="AB331" s="749"/>
      <c r="AC331" s="749"/>
      <c r="AD331" s="749"/>
      <c r="AE331" s="749"/>
      <c r="AF331" s="749"/>
      <c r="AG331" s="749"/>
      <c r="AH331" s="749"/>
      <c r="AI331" s="749"/>
      <c r="AJ331" s="1386"/>
      <c r="AK331" s="1386"/>
      <c r="AL331" s="1386"/>
      <c r="AM331" s="1386"/>
      <c r="AN331" s="1386"/>
      <c r="AO331" s="1386"/>
      <c r="AP331" s="1386"/>
      <c r="AQ331" s="1386"/>
      <c r="AR331" s="1386"/>
      <c r="AS331" s="1386"/>
      <c r="AT331" s="1386"/>
      <c r="AU331" s="1057">
        <f>T342</f>
        <v>0</v>
      </c>
      <c r="AV331" s="1194" t="str">
        <f>IF(AU331&gt;85,("A"),IF(AU331&gt;80,("A-"),IF(AU331&gt;75,("B+"),IF(AU331&gt;70,("B"),IF(AU331&gt;65,("B-"),IF(AU331&gt;60,("C+"),IF(AU331&gt;55,("C"),IF(AU331&gt;50,("C-"),"D+"))))))))</f>
        <v>D+</v>
      </c>
    </row>
    <row r="332" spans="1:48" ht="20.100000000000001" customHeight="1" x14ac:dyDescent="0.25">
      <c r="A332" s="360"/>
      <c r="B332" s="1387"/>
      <c r="C332" s="1388"/>
      <c r="D332" s="1166" t="s">
        <v>155</v>
      </c>
      <c r="E332" s="1493"/>
      <c r="F332" s="1493"/>
      <c r="G332" s="1493"/>
      <c r="H332" s="2040"/>
      <c r="I332" s="2040"/>
      <c r="J332" s="2040"/>
      <c r="K332" s="1493"/>
      <c r="L332" s="1493"/>
      <c r="M332" s="1493"/>
      <c r="N332" s="2039">
        <v>0</v>
      </c>
      <c r="O332" s="2039">
        <v>0</v>
      </c>
      <c r="P332" s="2039">
        <v>0</v>
      </c>
      <c r="Q332" s="2028">
        <f t="shared" ref="Q332:Q341" si="199">MAX(E332,H332,K332,N332)</f>
        <v>0</v>
      </c>
      <c r="R332" s="2026">
        <f t="shared" si="197"/>
        <v>0</v>
      </c>
      <c r="S332" s="2029">
        <f t="shared" si="198"/>
        <v>0</v>
      </c>
      <c r="T332" s="853">
        <f t="shared" ref="T332:T341" si="200">IFERROR(AVERAGE(Q332:S332),"")</f>
        <v>0</v>
      </c>
      <c r="U332" s="1408" t="str">
        <f t="shared" ref="U332:U341" si="201">IF(T332&gt;85,("4"),IF(T332&gt;80,("3.66"),IF(T332&gt;75,("3.33"),IF(T332&gt;70,("3.00"),IF(T332&gt;65,("2.66"),IF(T332&gt;60,("2.33"),IF(T332&gt;55,("2"),IF(T332&gt;50,("1.66"),"1.33"))))))))</f>
        <v>1.33</v>
      </c>
      <c r="V332" s="1408" t="str">
        <f t="shared" ref="V332:V341" si="202">IF(T332&gt;85,("A"),IF(T332&gt;80,("A-"),IF(T332&gt;75,("B+"),IF(T332&gt;70,("B"),IF(T332&gt;65,("B-"),IF(T332&gt;60,("C+"),IF(T332&gt;55,("C"),IF(T332&gt;50,("C-"),"D+"))))))))</f>
        <v>D+</v>
      </c>
      <c r="W332" s="1408" t="str">
        <f t="shared" ref="W332:W341" si="203">IF(T332&gt;80,("SB"),IF(T332&gt;65,("B"),IF(T332&gt;50,("C"),IF(T332&gt;0,("K"),"0"))))</f>
        <v>0</v>
      </c>
      <c r="X332" s="1409"/>
      <c r="Y332" s="1389"/>
      <c r="Z332" s="1390"/>
      <c r="AA332" s="1390"/>
      <c r="AB332" s="1390"/>
      <c r="AC332" s="1390"/>
      <c r="AD332" s="1390"/>
      <c r="AE332" s="1390"/>
      <c r="AF332" s="1390"/>
      <c r="AG332" s="1390"/>
      <c r="AH332" s="1390"/>
      <c r="AI332" s="1390"/>
      <c r="AJ332" s="1391"/>
      <c r="AK332" s="1391"/>
      <c r="AL332" s="1391"/>
      <c r="AM332" s="1391"/>
      <c r="AN332" s="1391"/>
      <c r="AO332" s="1391"/>
      <c r="AP332" s="1391"/>
      <c r="AQ332" s="1391"/>
      <c r="AR332" s="1391"/>
      <c r="AS332" s="1391"/>
      <c r="AT332" s="1392"/>
      <c r="AU332" s="1411"/>
      <c r="AV332" s="1412"/>
    </row>
    <row r="333" spans="1:48" ht="20.100000000000001" customHeight="1" x14ac:dyDescent="0.25">
      <c r="A333" s="360"/>
      <c r="B333" s="1387"/>
      <c r="C333" s="1388"/>
      <c r="D333" s="1166" t="s">
        <v>16</v>
      </c>
      <c r="E333" s="1493"/>
      <c r="F333" s="1493"/>
      <c r="G333" s="1493"/>
      <c r="H333" s="2040">
        <v>0</v>
      </c>
      <c r="I333" s="2040">
        <v>0</v>
      </c>
      <c r="J333" s="2040">
        <v>0</v>
      </c>
      <c r="K333" s="1493"/>
      <c r="L333" s="1493"/>
      <c r="M333" s="1493"/>
      <c r="N333" s="2052"/>
      <c r="O333" s="2052"/>
      <c r="P333" s="2052"/>
      <c r="Q333" s="2028">
        <f t="shared" si="199"/>
        <v>0</v>
      </c>
      <c r="R333" s="2026">
        <f t="shared" si="197"/>
        <v>0</v>
      </c>
      <c r="S333" s="2029">
        <f t="shared" si="198"/>
        <v>0</v>
      </c>
      <c r="T333" s="853">
        <f t="shared" si="200"/>
        <v>0</v>
      </c>
      <c r="U333" s="1408" t="str">
        <f t="shared" si="201"/>
        <v>1.33</v>
      </c>
      <c r="V333" s="1408" t="str">
        <f t="shared" si="202"/>
        <v>D+</v>
      </c>
      <c r="W333" s="1408" t="str">
        <f t="shared" si="203"/>
        <v>0</v>
      </c>
      <c r="X333" s="1409"/>
      <c r="Y333" s="1393"/>
      <c r="Z333" s="1394"/>
      <c r="AA333" s="1394"/>
      <c r="AB333" s="1394"/>
      <c r="AC333" s="1394"/>
      <c r="AD333" s="1394"/>
      <c r="AE333" s="1394"/>
      <c r="AF333" s="1394"/>
      <c r="AG333" s="1394"/>
      <c r="AH333" s="1394"/>
      <c r="AI333" s="1394"/>
      <c r="AJ333" s="1395"/>
      <c r="AK333" s="1395"/>
      <c r="AL333" s="1395"/>
      <c r="AM333" s="1395"/>
      <c r="AN333" s="1395"/>
      <c r="AO333" s="1395"/>
      <c r="AP333" s="1395"/>
      <c r="AQ333" s="1395"/>
      <c r="AR333" s="1395"/>
      <c r="AS333" s="1395"/>
      <c r="AT333" s="1396"/>
      <c r="AU333" s="1413"/>
      <c r="AV333" s="1414"/>
    </row>
    <row r="334" spans="1:48" ht="20.100000000000001" customHeight="1" x14ac:dyDescent="0.25">
      <c r="A334" s="360"/>
      <c r="B334" s="1387"/>
      <c r="C334" s="1388"/>
      <c r="D334" s="1166" t="s">
        <v>189</v>
      </c>
      <c r="E334" s="1493"/>
      <c r="F334" s="1493"/>
      <c r="G334" s="1493"/>
      <c r="H334" s="2040">
        <v>0</v>
      </c>
      <c r="I334" s="2040">
        <v>0</v>
      </c>
      <c r="J334" s="2040">
        <v>0</v>
      </c>
      <c r="K334" s="1493"/>
      <c r="L334" s="1493"/>
      <c r="M334" s="1493"/>
      <c r="N334" s="2039"/>
      <c r="O334" s="2039"/>
      <c r="P334" s="2039"/>
      <c r="Q334" s="2028">
        <f t="shared" si="199"/>
        <v>0</v>
      </c>
      <c r="R334" s="2026">
        <f t="shared" si="197"/>
        <v>0</v>
      </c>
      <c r="S334" s="2029">
        <f t="shared" si="198"/>
        <v>0</v>
      </c>
      <c r="T334" s="853">
        <f t="shared" si="200"/>
        <v>0</v>
      </c>
      <c r="U334" s="1408" t="str">
        <f t="shared" si="201"/>
        <v>1.33</v>
      </c>
      <c r="V334" s="1408" t="str">
        <f t="shared" si="202"/>
        <v>D+</v>
      </c>
      <c r="W334" s="1408" t="str">
        <f t="shared" si="203"/>
        <v>0</v>
      </c>
      <c r="X334" s="1409"/>
      <c r="Y334" s="1393"/>
      <c r="Z334" s="1394"/>
      <c r="AA334" s="1394"/>
      <c r="AB334" s="1394"/>
      <c r="AC334" s="1394"/>
      <c r="AD334" s="1394"/>
      <c r="AE334" s="1394"/>
      <c r="AF334" s="1394"/>
      <c r="AG334" s="1394"/>
      <c r="AH334" s="1394"/>
      <c r="AI334" s="1394"/>
      <c r="AJ334" s="1395"/>
      <c r="AK334" s="1395"/>
      <c r="AL334" s="1395"/>
      <c r="AM334" s="1395"/>
      <c r="AN334" s="1395"/>
      <c r="AO334" s="1395"/>
      <c r="AP334" s="1395"/>
      <c r="AQ334" s="1395"/>
      <c r="AR334" s="1395"/>
      <c r="AS334" s="1395"/>
      <c r="AT334" s="1396"/>
      <c r="AU334" s="1413"/>
      <c r="AV334" s="1414"/>
    </row>
    <row r="335" spans="1:48" ht="20.100000000000001" customHeight="1" x14ac:dyDescent="0.25">
      <c r="A335" s="360"/>
      <c r="B335" s="1387"/>
      <c r="C335" s="1388"/>
      <c r="D335" s="1166" t="s">
        <v>186</v>
      </c>
      <c r="E335" s="1493"/>
      <c r="F335" s="1493"/>
      <c r="G335" s="1493"/>
      <c r="H335" s="2040">
        <v>0</v>
      </c>
      <c r="I335" s="2040">
        <v>0</v>
      </c>
      <c r="J335" s="2040">
        <v>0</v>
      </c>
      <c r="K335" s="1493"/>
      <c r="L335" s="1493"/>
      <c r="M335" s="1493"/>
      <c r="N335" s="2039"/>
      <c r="O335" s="2039"/>
      <c r="P335" s="2039"/>
      <c r="Q335" s="2028">
        <f t="shared" si="199"/>
        <v>0</v>
      </c>
      <c r="R335" s="2026">
        <f t="shared" si="197"/>
        <v>0</v>
      </c>
      <c r="S335" s="2029">
        <f t="shared" si="198"/>
        <v>0</v>
      </c>
      <c r="T335" s="853">
        <f t="shared" si="200"/>
        <v>0</v>
      </c>
      <c r="U335" s="1408" t="str">
        <f t="shared" si="201"/>
        <v>1.33</v>
      </c>
      <c r="V335" s="1408" t="str">
        <f t="shared" si="202"/>
        <v>D+</v>
      </c>
      <c r="W335" s="1408" t="str">
        <f t="shared" si="203"/>
        <v>0</v>
      </c>
      <c r="X335" s="1409"/>
      <c r="Y335" s="1393"/>
      <c r="Z335" s="1394"/>
      <c r="AA335" s="1394"/>
      <c r="AB335" s="1394"/>
      <c r="AC335" s="1394"/>
      <c r="AD335" s="1394"/>
      <c r="AE335" s="1394"/>
      <c r="AF335" s="1394"/>
      <c r="AG335" s="1394"/>
      <c r="AH335" s="1394"/>
      <c r="AI335" s="1394"/>
      <c r="AJ335" s="1395"/>
      <c r="AK335" s="1395"/>
      <c r="AL335" s="1395"/>
      <c r="AM335" s="1395"/>
      <c r="AN335" s="1395"/>
      <c r="AO335" s="1395"/>
      <c r="AP335" s="1395"/>
      <c r="AQ335" s="1395"/>
      <c r="AR335" s="1395"/>
      <c r="AS335" s="1395"/>
      <c r="AT335" s="1396"/>
      <c r="AU335" s="1413"/>
      <c r="AV335" s="1414"/>
    </row>
    <row r="336" spans="1:48" ht="20.100000000000001" customHeight="1" x14ac:dyDescent="0.25">
      <c r="A336" s="360"/>
      <c r="B336" s="1387"/>
      <c r="C336" s="1388"/>
      <c r="D336" s="1166" t="s">
        <v>187</v>
      </c>
      <c r="E336" s="1385"/>
      <c r="F336" s="1385"/>
      <c r="G336" s="1385"/>
      <c r="H336" s="2048"/>
      <c r="I336" s="2048"/>
      <c r="J336" s="2048"/>
      <c r="K336" s="1385">
        <v>0</v>
      </c>
      <c r="L336" s="1385">
        <v>0</v>
      </c>
      <c r="M336" s="1385">
        <v>0</v>
      </c>
      <c r="N336" s="2049"/>
      <c r="O336" s="2049"/>
      <c r="P336" s="2049"/>
      <c r="Q336" s="2028">
        <f t="shared" si="199"/>
        <v>0</v>
      </c>
      <c r="R336" s="2026">
        <f t="shared" si="197"/>
        <v>0</v>
      </c>
      <c r="S336" s="2029">
        <f t="shared" si="198"/>
        <v>0</v>
      </c>
      <c r="T336" s="853">
        <f t="shared" si="200"/>
        <v>0</v>
      </c>
      <c r="U336" s="1408" t="str">
        <f t="shared" si="201"/>
        <v>1.33</v>
      </c>
      <c r="V336" s="1408" t="str">
        <f t="shared" si="202"/>
        <v>D+</v>
      </c>
      <c r="W336" s="1408" t="str">
        <f t="shared" si="203"/>
        <v>0</v>
      </c>
      <c r="X336" s="1409"/>
      <c r="Y336" s="1393"/>
      <c r="Z336" s="1394"/>
      <c r="AA336" s="1394"/>
      <c r="AB336" s="1394"/>
      <c r="AC336" s="1394"/>
      <c r="AD336" s="1394"/>
      <c r="AE336" s="1394"/>
      <c r="AF336" s="1394"/>
      <c r="AG336" s="1394"/>
      <c r="AH336" s="1394"/>
      <c r="AI336" s="1394"/>
      <c r="AJ336" s="1395"/>
      <c r="AK336" s="1395"/>
      <c r="AL336" s="1395"/>
      <c r="AM336" s="1395"/>
      <c r="AN336" s="1395"/>
      <c r="AO336" s="1395"/>
      <c r="AP336" s="1395"/>
      <c r="AQ336" s="1395"/>
      <c r="AR336" s="1395"/>
      <c r="AS336" s="1395"/>
      <c r="AT336" s="1396"/>
      <c r="AU336" s="1413"/>
      <c r="AV336" s="1414"/>
    </row>
    <row r="337" spans="1:48" ht="20.100000000000001" customHeight="1" x14ac:dyDescent="0.25">
      <c r="A337" s="360"/>
      <c r="B337" s="1387"/>
      <c r="C337" s="1388"/>
      <c r="D337" s="1166" t="s">
        <v>17</v>
      </c>
      <c r="E337" s="1385">
        <v>0</v>
      </c>
      <c r="F337" s="1385">
        <v>0</v>
      </c>
      <c r="G337" s="1385">
        <v>0</v>
      </c>
      <c r="H337" s="2048">
        <v>0</v>
      </c>
      <c r="I337" s="2048">
        <v>0</v>
      </c>
      <c r="J337" s="2048">
        <v>0</v>
      </c>
      <c r="K337" s="1385"/>
      <c r="L337" s="1385"/>
      <c r="M337" s="1385"/>
      <c r="N337" s="2049"/>
      <c r="O337" s="2049"/>
      <c r="P337" s="2049"/>
      <c r="Q337" s="2028">
        <f t="shared" si="199"/>
        <v>0</v>
      </c>
      <c r="R337" s="2026">
        <f t="shared" si="197"/>
        <v>0</v>
      </c>
      <c r="S337" s="2029">
        <f t="shared" si="198"/>
        <v>0</v>
      </c>
      <c r="T337" s="853">
        <f t="shared" si="200"/>
        <v>0</v>
      </c>
      <c r="U337" s="1408" t="str">
        <f t="shared" si="201"/>
        <v>1.33</v>
      </c>
      <c r="V337" s="1408" t="str">
        <f t="shared" si="202"/>
        <v>D+</v>
      </c>
      <c r="W337" s="1408" t="str">
        <f t="shared" si="203"/>
        <v>0</v>
      </c>
      <c r="X337" s="1409"/>
      <c r="Y337" s="1393"/>
      <c r="Z337" s="1394"/>
      <c r="AA337" s="1394"/>
      <c r="AB337" s="1394"/>
      <c r="AC337" s="1394"/>
      <c r="AD337" s="1394"/>
      <c r="AE337" s="1394"/>
      <c r="AF337" s="1394"/>
      <c r="AG337" s="1394"/>
      <c r="AH337" s="1394"/>
      <c r="AI337" s="1394"/>
      <c r="AJ337" s="1395"/>
      <c r="AK337" s="1395"/>
      <c r="AL337" s="1395"/>
      <c r="AM337" s="1395"/>
      <c r="AN337" s="1395"/>
      <c r="AO337" s="1395"/>
      <c r="AP337" s="1395"/>
      <c r="AQ337" s="1395"/>
      <c r="AR337" s="1395"/>
      <c r="AS337" s="1395"/>
      <c r="AT337" s="1396"/>
      <c r="AU337" s="1413"/>
      <c r="AV337" s="1414"/>
    </row>
    <row r="338" spans="1:48" ht="20.100000000000001" customHeight="1" x14ac:dyDescent="0.25">
      <c r="A338" s="360"/>
      <c r="B338" s="1387"/>
      <c r="C338" s="1388"/>
      <c r="D338" s="1166" t="s">
        <v>188</v>
      </c>
      <c r="E338" s="1385"/>
      <c r="F338" s="1385"/>
      <c r="G338" s="1385"/>
      <c r="H338" s="2048">
        <v>0</v>
      </c>
      <c r="I338" s="2048">
        <v>0</v>
      </c>
      <c r="J338" s="2048">
        <v>0</v>
      </c>
      <c r="K338" s="1385"/>
      <c r="L338" s="1385"/>
      <c r="M338" s="1385"/>
      <c r="N338" s="2049"/>
      <c r="O338" s="2049"/>
      <c r="P338" s="2049"/>
      <c r="Q338" s="2028">
        <f t="shared" si="199"/>
        <v>0</v>
      </c>
      <c r="R338" s="2026">
        <f t="shared" si="197"/>
        <v>0</v>
      </c>
      <c r="S338" s="2029">
        <f t="shared" si="198"/>
        <v>0</v>
      </c>
      <c r="T338" s="853">
        <f t="shared" si="200"/>
        <v>0</v>
      </c>
      <c r="U338" s="1408" t="str">
        <f t="shared" si="201"/>
        <v>1.33</v>
      </c>
      <c r="V338" s="1408" t="str">
        <f t="shared" si="202"/>
        <v>D+</v>
      </c>
      <c r="W338" s="1408" t="str">
        <f t="shared" si="203"/>
        <v>0</v>
      </c>
      <c r="X338" s="1409"/>
      <c r="Y338" s="1393"/>
      <c r="Z338" s="1394"/>
      <c r="AA338" s="1394"/>
      <c r="AB338" s="1394"/>
      <c r="AC338" s="1394"/>
      <c r="AD338" s="1394"/>
      <c r="AE338" s="1394"/>
      <c r="AF338" s="1394"/>
      <c r="AG338" s="1394"/>
      <c r="AH338" s="1394"/>
      <c r="AI338" s="1394"/>
      <c r="AJ338" s="1395"/>
      <c r="AK338" s="1395"/>
      <c r="AL338" s="1395"/>
      <c r="AM338" s="1395"/>
      <c r="AN338" s="1395"/>
      <c r="AO338" s="1395"/>
      <c r="AP338" s="1395"/>
      <c r="AQ338" s="1395"/>
      <c r="AR338" s="1395"/>
      <c r="AS338" s="1395"/>
      <c r="AT338" s="1396"/>
      <c r="AU338" s="1413"/>
      <c r="AV338" s="1414"/>
    </row>
    <row r="339" spans="1:48" ht="20.100000000000001" customHeight="1" x14ac:dyDescent="0.25">
      <c r="A339" s="360"/>
      <c r="B339" s="1387"/>
      <c r="C339" s="1388"/>
      <c r="D339" s="1166" t="s">
        <v>569</v>
      </c>
      <c r="E339" s="1385"/>
      <c r="F339" s="1385"/>
      <c r="G339" s="1385"/>
      <c r="H339" s="2048"/>
      <c r="I339" s="2048"/>
      <c r="J339" s="2048"/>
      <c r="K339" s="1385">
        <v>0</v>
      </c>
      <c r="L339" s="1385">
        <v>0</v>
      </c>
      <c r="M339" s="1385">
        <v>0</v>
      </c>
      <c r="N339" s="2049"/>
      <c r="O339" s="2049"/>
      <c r="P339" s="2049"/>
      <c r="Q339" s="2028">
        <f t="shared" si="199"/>
        <v>0</v>
      </c>
      <c r="R339" s="2026">
        <f t="shared" si="197"/>
        <v>0</v>
      </c>
      <c r="S339" s="2029">
        <f t="shared" si="198"/>
        <v>0</v>
      </c>
      <c r="T339" s="853">
        <f t="shared" si="200"/>
        <v>0</v>
      </c>
      <c r="U339" s="1408" t="str">
        <f t="shared" si="201"/>
        <v>1.33</v>
      </c>
      <c r="V339" s="1408" t="str">
        <f t="shared" si="202"/>
        <v>D+</v>
      </c>
      <c r="W339" s="1408" t="str">
        <f t="shared" si="203"/>
        <v>0</v>
      </c>
      <c r="X339" s="1409"/>
      <c r="Y339" s="1393"/>
      <c r="Z339" s="1394"/>
      <c r="AA339" s="1394"/>
      <c r="AB339" s="1394"/>
      <c r="AC339" s="1394"/>
      <c r="AD339" s="1394"/>
      <c r="AE339" s="1394"/>
      <c r="AF339" s="1394"/>
      <c r="AG339" s="1394"/>
      <c r="AH339" s="1394"/>
      <c r="AI339" s="1394"/>
      <c r="AJ339" s="1395"/>
      <c r="AK339" s="1395"/>
      <c r="AL339" s="1395"/>
      <c r="AM339" s="1395"/>
      <c r="AN339" s="1395"/>
      <c r="AO339" s="1395"/>
      <c r="AP339" s="1395"/>
      <c r="AQ339" s="1395"/>
      <c r="AR339" s="1395"/>
      <c r="AS339" s="1395"/>
      <c r="AT339" s="1396"/>
      <c r="AU339" s="1413"/>
      <c r="AV339" s="1414"/>
    </row>
    <row r="340" spans="1:48" ht="20.100000000000001" customHeight="1" x14ac:dyDescent="0.25">
      <c r="A340" s="360"/>
      <c r="B340" s="1387"/>
      <c r="C340" s="1388"/>
      <c r="D340" s="1166" t="s">
        <v>209</v>
      </c>
      <c r="E340" s="1385"/>
      <c r="F340" s="1385"/>
      <c r="G340" s="1385"/>
      <c r="H340" s="2048"/>
      <c r="I340" s="2048"/>
      <c r="J340" s="2048"/>
      <c r="K340" s="1385"/>
      <c r="L340" s="1385"/>
      <c r="M340" s="1385"/>
      <c r="N340" s="2049">
        <v>0</v>
      </c>
      <c r="O340" s="2049">
        <v>0</v>
      </c>
      <c r="P340" s="2049">
        <v>0</v>
      </c>
      <c r="Q340" s="2028">
        <f t="shared" si="199"/>
        <v>0</v>
      </c>
      <c r="R340" s="2026">
        <f t="shared" si="197"/>
        <v>0</v>
      </c>
      <c r="S340" s="2029">
        <f t="shared" si="198"/>
        <v>0</v>
      </c>
      <c r="T340" s="853">
        <f t="shared" si="200"/>
        <v>0</v>
      </c>
      <c r="U340" s="1408" t="str">
        <f t="shared" si="201"/>
        <v>1.33</v>
      </c>
      <c r="V340" s="1408" t="str">
        <f t="shared" si="202"/>
        <v>D+</v>
      </c>
      <c r="W340" s="1408" t="str">
        <f t="shared" si="203"/>
        <v>0</v>
      </c>
      <c r="X340" s="1409"/>
      <c r="Y340" s="1393"/>
      <c r="Z340" s="1394"/>
      <c r="AA340" s="1394"/>
      <c r="AB340" s="1394"/>
      <c r="AC340" s="1394"/>
      <c r="AD340" s="1394"/>
      <c r="AE340" s="1394"/>
      <c r="AF340" s="1394"/>
      <c r="AG340" s="1394"/>
      <c r="AH340" s="1394"/>
      <c r="AI340" s="1394"/>
      <c r="AJ340" s="1395"/>
      <c r="AK340" s="1395"/>
      <c r="AL340" s="1395"/>
      <c r="AM340" s="1395"/>
      <c r="AN340" s="1395"/>
      <c r="AO340" s="1395"/>
      <c r="AP340" s="1395"/>
      <c r="AQ340" s="1395"/>
      <c r="AR340" s="1395"/>
      <c r="AS340" s="1395"/>
      <c r="AT340" s="1396"/>
      <c r="AU340" s="1413"/>
      <c r="AV340" s="1414"/>
    </row>
    <row r="341" spans="1:48" ht="20.100000000000001" customHeight="1" x14ac:dyDescent="0.25">
      <c r="A341" s="360"/>
      <c r="B341" s="1387"/>
      <c r="C341" s="1388"/>
      <c r="D341" s="1166" t="s">
        <v>210</v>
      </c>
      <c r="E341" s="1385"/>
      <c r="F341" s="1385"/>
      <c r="G341" s="1385"/>
      <c r="H341" s="2048"/>
      <c r="I341" s="2048"/>
      <c r="J341" s="2048"/>
      <c r="K341" s="1385"/>
      <c r="L341" s="1385"/>
      <c r="M341" s="1385"/>
      <c r="N341" s="2049">
        <v>0</v>
      </c>
      <c r="O341" s="2049">
        <v>0</v>
      </c>
      <c r="P341" s="2049">
        <v>0</v>
      </c>
      <c r="Q341" s="2028">
        <f t="shared" si="199"/>
        <v>0</v>
      </c>
      <c r="R341" s="2026">
        <f t="shared" si="197"/>
        <v>0</v>
      </c>
      <c r="S341" s="2029">
        <f t="shared" si="198"/>
        <v>0</v>
      </c>
      <c r="T341" s="853">
        <f t="shared" si="200"/>
        <v>0</v>
      </c>
      <c r="U341" s="1408" t="str">
        <f t="shared" si="201"/>
        <v>1.33</v>
      </c>
      <c r="V341" s="1408" t="str">
        <f t="shared" si="202"/>
        <v>D+</v>
      </c>
      <c r="W341" s="1408" t="str">
        <f t="shared" si="203"/>
        <v>0</v>
      </c>
      <c r="X341" s="1409"/>
      <c r="Y341" s="1397"/>
      <c r="Z341" s="1398"/>
      <c r="AA341" s="1398"/>
      <c r="AB341" s="1398"/>
      <c r="AC341" s="1398"/>
      <c r="AD341" s="1398"/>
      <c r="AE341" s="1398"/>
      <c r="AF341" s="1398"/>
      <c r="AG341" s="1398"/>
      <c r="AH341" s="1398"/>
      <c r="AI341" s="1398"/>
      <c r="AJ341" s="1399"/>
      <c r="AK341" s="1399"/>
      <c r="AL341" s="1399"/>
      <c r="AM341" s="1399"/>
      <c r="AN341" s="1399"/>
      <c r="AO341" s="1399"/>
      <c r="AP341" s="1399"/>
      <c r="AQ341" s="1399"/>
      <c r="AR341" s="1399"/>
      <c r="AS341" s="1399"/>
      <c r="AT341" s="1400"/>
      <c r="AU341" s="1415"/>
      <c r="AV341" s="1416"/>
    </row>
    <row r="342" spans="1:48" ht="20.100000000000001" customHeight="1" x14ac:dyDescent="0.25">
      <c r="A342" s="727"/>
      <c r="B342" s="1406">
        <v>28</v>
      </c>
      <c r="C342" s="1407"/>
      <c r="D342" s="1004"/>
      <c r="E342" s="2780"/>
      <c r="F342" s="2781"/>
      <c r="G342" s="2781"/>
      <c r="H342" s="2781"/>
      <c r="I342" s="2046"/>
      <c r="J342" s="2046"/>
      <c r="K342" s="2046"/>
      <c r="L342" s="2046"/>
      <c r="M342" s="2046"/>
      <c r="N342" s="2046"/>
      <c r="O342" s="2046"/>
      <c r="P342" s="2046"/>
      <c r="Q342" s="2046"/>
      <c r="R342" s="2046"/>
      <c r="S342" s="2046"/>
      <c r="T342" s="2044">
        <f>IFERROR(AVERAGE(T331:T341),"  ")</f>
        <v>0</v>
      </c>
      <c r="U342" s="2045" t="str">
        <f>IF(X342&gt;85,("4"),IF(X342&gt;80,("3.66"),IF(X342&gt;75,("3.33"),IF(X342&gt;70,("3.00"),IF(X342&gt;65,("2.66"),IF(X342&gt;60,("2.33"),IF(X342&gt;55,("2"),IF(X342&gt;50,("1.66"),"1.33"))))))))</f>
        <v>1.33</v>
      </c>
      <c r="V342" s="2045" t="str">
        <f>IF(X342&gt;85,("A"),IF(X342&gt;80,("A-"),IF(X342&gt;75,("B+"),IF(X342&gt;70,("B"),IF(X342&gt;65,("B-"),IF(X342&gt;60,("C+"),IF(X342&gt;55,("C"),IF(X342&gt;50,("C-"),"D+"))))))))</f>
        <v>D+</v>
      </c>
      <c r="W342" s="2045"/>
      <c r="X342" s="888">
        <f>MAX(T331:T341)</f>
        <v>0</v>
      </c>
      <c r="Y342" s="1403"/>
      <c r="Z342" s="1404"/>
      <c r="AA342" s="1404"/>
      <c r="AB342" s="1404"/>
      <c r="AC342" s="1404"/>
      <c r="AD342" s="1404"/>
      <c r="AE342" s="1404"/>
      <c r="AF342" s="1404"/>
      <c r="AG342" s="1404"/>
      <c r="AH342" s="1404"/>
      <c r="AI342" s="1404"/>
      <c r="AJ342" s="1404"/>
      <c r="AK342" s="1404"/>
      <c r="AL342" s="1404"/>
      <c r="AM342" s="1404"/>
      <c r="AN342" s="1404"/>
      <c r="AO342" s="1404"/>
      <c r="AP342" s="1404"/>
      <c r="AQ342" s="1404"/>
      <c r="AR342" s="1404"/>
      <c r="AS342" s="1404"/>
      <c r="AT342" s="1405"/>
      <c r="AU342" s="1257"/>
      <c r="AV342" s="1258"/>
    </row>
    <row r="343" spans="1:48" ht="20.100000000000001" customHeight="1" x14ac:dyDescent="0.25">
      <c r="A343" s="724">
        <v>29</v>
      </c>
      <c r="B343" s="1383"/>
      <c r="C343" s="1384" t="e">
        <f>VLOOKUP(A343,data_siswa,4,FALSE)</f>
        <v>#N/A</v>
      </c>
      <c r="D343" s="1166" t="s">
        <v>154</v>
      </c>
      <c r="E343" s="2050">
        <v>0</v>
      </c>
      <c r="F343" s="2050">
        <v>0</v>
      </c>
      <c r="G343" s="2050">
        <v>0</v>
      </c>
      <c r="H343" s="2051"/>
      <c r="I343" s="2051"/>
      <c r="J343" s="2051"/>
      <c r="K343" s="2050"/>
      <c r="L343" s="2050"/>
      <c r="M343" s="2050"/>
      <c r="N343" s="2052"/>
      <c r="O343" s="2052"/>
      <c r="P343" s="2052"/>
      <c r="Q343" s="2028">
        <f>MAX(E343,H343,K343,N343)</f>
        <v>0</v>
      </c>
      <c r="R343" s="2026">
        <f t="shared" ref="R343:R353" si="204">MAX(F343,I343,L343,O343)</f>
        <v>0</v>
      </c>
      <c r="S343" s="2029">
        <f t="shared" ref="S343:S353" si="205">MAX(G343,J343,M343,P343)</f>
        <v>0</v>
      </c>
      <c r="T343" s="853">
        <f>IFERROR(AVERAGE(Q343:S343),"")</f>
        <v>0</v>
      </c>
      <c r="U343" s="1408" t="str">
        <f>IF(T343&gt;85,("4"),IF(T343&gt;80,("3.66"),IF(T343&gt;75,("3.33"),IF(T343&gt;70,("3.00"),IF(T343&gt;65,("2.66"),IF(T343&gt;60,("2.33"),IF(T343&gt;55,("2"),IF(T343&gt;50,("1.66"),"1.33"))))))))</f>
        <v>1.33</v>
      </c>
      <c r="V343" s="1408" t="str">
        <f>IF(T343&gt;85,("A"),IF(T343&gt;80,("A-"),IF(T343&gt;75,("B+"),IF(T343&gt;70,("B"),IF(T343&gt;65,("B-"),IF(T343&gt;60,("C+"),IF(T343&gt;55,("C"),IF(T343&gt;50,("C-"),"D+"))))))))</f>
        <v>D+</v>
      </c>
      <c r="W343" s="1408" t="str">
        <f>IF(T343&gt;80,("SB"),IF(T343&gt;65,("B"),IF(T343&gt;50,("C"),IF(T343&gt;0,("K"),"0"))))</f>
        <v>0</v>
      </c>
      <c r="X343" s="1408"/>
      <c r="Y343" s="749"/>
      <c r="Z343" s="749"/>
      <c r="AA343" s="749"/>
      <c r="AB343" s="749"/>
      <c r="AC343" s="749"/>
      <c r="AD343" s="749"/>
      <c r="AE343" s="749"/>
      <c r="AF343" s="749"/>
      <c r="AG343" s="749"/>
      <c r="AH343" s="749"/>
      <c r="AI343" s="749"/>
      <c r="AJ343" s="1386"/>
      <c r="AK343" s="1386"/>
      <c r="AL343" s="1386"/>
      <c r="AM343" s="1386"/>
      <c r="AN343" s="1386"/>
      <c r="AO343" s="1386"/>
      <c r="AP343" s="1386"/>
      <c r="AQ343" s="1386"/>
      <c r="AR343" s="1386"/>
      <c r="AS343" s="1386"/>
      <c r="AT343" s="1386"/>
      <c r="AU343" s="1057">
        <f>T354</f>
        <v>0</v>
      </c>
      <c r="AV343" s="1194" t="str">
        <f>IF(AU343&gt;85,("A"),IF(AU343&gt;80,("A-"),IF(AU343&gt;75,("B+"),IF(AU343&gt;70,("B"),IF(AU343&gt;65,("B-"),IF(AU343&gt;60,("C+"),IF(AU343&gt;55,("C"),IF(AU343&gt;50,("C-"),"D+"))))))))</f>
        <v>D+</v>
      </c>
    </row>
    <row r="344" spans="1:48" ht="20.100000000000001" customHeight="1" x14ac:dyDescent="0.25">
      <c r="A344" s="360"/>
      <c r="B344" s="1387"/>
      <c r="C344" s="1388"/>
      <c r="D344" s="1166" t="s">
        <v>155</v>
      </c>
      <c r="E344" s="1493"/>
      <c r="F344" s="1493"/>
      <c r="G344" s="1493"/>
      <c r="H344" s="2040"/>
      <c r="I344" s="2040"/>
      <c r="J344" s="2040"/>
      <c r="K344" s="1493"/>
      <c r="L344" s="1493"/>
      <c r="M344" s="1493"/>
      <c r="N344" s="2039">
        <v>0</v>
      </c>
      <c r="O344" s="2039">
        <v>0</v>
      </c>
      <c r="P344" s="2039">
        <v>0</v>
      </c>
      <c r="Q344" s="2028">
        <f t="shared" ref="Q344:Q353" si="206">MAX(E344,H344,K344,N344)</f>
        <v>0</v>
      </c>
      <c r="R344" s="2026">
        <f t="shared" si="204"/>
        <v>0</v>
      </c>
      <c r="S344" s="2029">
        <f t="shared" si="205"/>
        <v>0</v>
      </c>
      <c r="T344" s="853">
        <f t="shared" ref="T344:T353" si="207">IFERROR(AVERAGE(Q344:S344),"")</f>
        <v>0</v>
      </c>
      <c r="U344" s="1408" t="str">
        <f t="shared" ref="U344:U353" si="208">IF(T344&gt;85,("4"),IF(T344&gt;80,("3.66"),IF(T344&gt;75,("3.33"),IF(T344&gt;70,("3.00"),IF(T344&gt;65,("2.66"),IF(T344&gt;60,("2.33"),IF(T344&gt;55,("2"),IF(T344&gt;50,("1.66"),"1.33"))))))))</f>
        <v>1.33</v>
      </c>
      <c r="V344" s="1408" t="str">
        <f t="shared" ref="V344:V353" si="209">IF(T344&gt;85,("A"),IF(T344&gt;80,("A-"),IF(T344&gt;75,("B+"),IF(T344&gt;70,("B"),IF(T344&gt;65,("B-"),IF(T344&gt;60,("C+"),IF(T344&gt;55,("C"),IF(T344&gt;50,("C-"),"D+"))))))))</f>
        <v>D+</v>
      </c>
      <c r="W344" s="1408" t="str">
        <f t="shared" ref="W344:W353" si="210">IF(T344&gt;80,("SB"),IF(T344&gt;65,("B"),IF(T344&gt;50,("C"),IF(T344&gt;0,("K"),"0"))))</f>
        <v>0</v>
      </c>
      <c r="X344" s="1409"/>
      <c r="Y344" s="1389"/>
      <c r="Z344" s="1390"/>
      <c r="AA344" s="1390"/>
      <c r="AB344" s="1390"/>
      <c r="AC344" s="1390"/>
      <c r="AD344" s="1390"/>
      <c r="AE344" s="1390"/>
      <c r="AF344" s="1390"/>
      <c r="AG344" s="1390"/>
      <c r="AH344" s="1390"/>
      <c r="AI344" s="1390"/>
      <c r="AJ344" s="1391"/>
      <c r="AK344" s="1391"/>
      <c r="AL344" s="1391"/>
      <c r="AM344" s="1391"/>
      <c r="AN344" s="1391"/>
      <c r="AO344" s="1391"/>
      <c r="AP344" s="1391"/>
      <c r="AQ344" s="1391"/>
      <c r="AR344" s="1391"/>
      <c r="AS344" s="1391"/>
      <c r="AT344" s="1392"/>
      <c r="AU344" s="1411"/>
      <c r="AV344" s="1412"/>
    </row>
    <row r="345" spans="1:48" ht="20.100000000000001" customHeight="1" x14ac:dyDescent="0.25">
      <c r="A345" s="360"/>
      <c r="B345" s="1387"/>
      <c r="C345" s="1388"/>
      <c r="D345" s="1166" t="s">
        <v>16</v>
      </c>
      <c r="E345" s="1493"/>
      <c r="F345" s="1493"/>
      <c r="G345" s="1493"/>
      <c r="H345" s="2040">
        <v>0</v>
      </c>
      <c r="I345" s="2040">
        <v>0</v>
      </c>
      <c r="J345" s="2040">
        <v>0</v>
      </c>
      <c r="K345" s="1493"/>
      <c r="L345" s="1493"/>
      <c r="M345" s="1493"/>
      <c r="N345" s="2052"/>
      <c r="O345" s="2052"/>
      <c r="P345" s="2052"/>
      <c r="Q345" s="2028">
        <f t="shared" si="206"/>
        <v>0</v>
      </c>
      <c r="R345" s="2026">
        <f t="shared" si="204"/>
        <v>0</v>
      </c>
      <c r="S345" s="2029">
        <f t="shared" si="205"/>
        <v>0</v>
      </c>
      <c r="T345" s="853">
        <f t="shared" si="207"/>
        <v>0</v>
      </c>
      <c r="U345" s="1408" t="str">
        <f t="shared" si="208"/>
        <v>1.33</v>
      </c>
      <c r="V345" s="1408" t="str">
        <f t="shared" si="209"/>
        <v>D+</v>
      </c>
      <c r="W345" s="1408" t="str">
        <f t="shared" si="210"/>
        <v>0</v>
      </c>
      <c r="X345" s="1409"/>
      <c r="Y345" s="1393"/>
      <c r="Z345" s="1394"/>
      <c r="AA345" s="1394"/>
      <c r="AB345" s="1394"/>
      <c r="AC345" s="1394"/>
      <c r="AD345" s="1394"/>
      <c r="AE345" s="1394"/>
      <c r="AF345" s="1394"/>
      <c r="AG345" s="1394"/>
      <c r="AH345" s="1394"/>
      <c r="AI345" s="1394"/>
      <c r="AJ345" s="1395"/>
      <c r="AK345" s="1395"/>
      <c r="AL345" s="1395"/>
      <c r="AM345" s="1395"/>
      <c r="AN345" s="1395"/>
      <c r="AO345" s="1395"/>
      <c r="AP345" s="1395"/>
      <c r="AQ345" s="1395"/>
      <c r="AR345" s="1395"/>
      <c r="AS345" s="1395"/>
      <c r="AT345" s="1396"/>
      <c r="AU345" s="1413"/>
      <c r="AV345" s="1414"/>
    </row>
    <row r="346" spans="1:48" ht="20.100000000000001" customHeight="1" x14ac:dyDescent="0.25">
      <c r="A346" s="360"/>
      <c r="B346" s="1387"/>
      <c r="C346" s="1388"/>
      <c r="D346" s="1166" t="s">
        <v>189</v>
      </c>
      <c r="E346" s="1493"/>
      <c r="F346" s="1493"/>
      <c r="G346" s="1493"/>
      <c r="H346" s="2040">
        <v>0</v>
      </c>
      <c r="I346" s="2040">
        <v>0</v>
      </c>
      <c r="J346" s="2040">
        <v>0</v>
      </c>
      <c r="K346" s="1493"/>
      <c r="L346" s="1493"/>
      <c r="M346" s="1493"/>
      <c r="N346" s="2039"/>
      <c r="O346" s="2039"/>
      <c r="P346" s="2039"/>
      <c r="Q346" s="2028">
        <f t="shared" si="206"/>
        <v>0</v>
      </c>
      <c r="R346" s="2026">
        <f t="shared" si="204"/>
        <v>0</v>
      </c>
      <c r="S346" s="2029">
        <f t="shared" si="205"/>
        <v>0</v>
      </c>
      <c r="T346" s="853">
        <f t="shared" si="207"/>
        <v>0</v>
      </c>
      <c r="U346" s="1408" t="str">
        <f t="shared" si="208"/>
        <v>1.33</v>
      </c>
      <c r="V346" s="1408" t="str">
        <f t="shared" si="209"/>
        <v>D+</v>
      </c>
      <c r="W346" s="1408" t="str">
        <f t="shared" si="210"/>
        <v>0</v>
      </c>
      <c r="X346" s="1409"/>
      <c r="Y346" s="1393"/>
      <c r="Z346" s="1394"/>
      <c r="AA346" s="1394"/>
      <c r="AB346" s="1394"/>
      <c r="AC346" s="1394"/>
      <c r="AD346" s="1394"/>
      <c r="AE346" s="1394"/>
      <c r="AF346" s="1394"/>
      <c r="AG346" s="1394"/>
      <c r="AH346" s="1394"/>
      <c r="AI346" s="1394"/>
      <c r="AJ346" s="1395"/>
      <c r="AK346" s="1395"/>
      <c r="AL346" s="1395"/>
      <c r="AM346" s="1395"/>
      <c r="AN346" s="1395"/>
      <c r="AO346" s="1395"/>
      <c r="AP346" s="1395"/>
      <c r="AQ346" s="1395"/>
      <c r="AR346" s="1395"/>
      <c r="AS346" s="1395"/>
      <c r="AT346" s="1396"/>
      <c r="AU346" s="1413"/>
      <c r="AV346" s="1414"/>
    </row>
    <row r="347" spans="1:48" ht="20.100000000000001" customHeight="1" x14ac:dyDescent="0.25">
      <c r="A347" s="360"/>
      <c r="B347" s="1387"/>
      <c r="C347" s="1388"/>
      <c r="D347" s="1166" t="s">
        <v>186</v>
      </c>
      <c r="E347" s="1493"/>
      <c r="F347" s="1493"/>
      <c r="G347" s="1493"/>
      <c r="H347" s="2040">
        <v>0</v>
      </c>
      <c r="I347" s="2040">
        <v>0</v>
      </c>
      <c r="J347" s="2040">
        <v>0</v>
      </c>
      <c r="K347" s="1493"/>
      <c r="L347" s="1493"/>
      <c r="M347" s="1493"/>
      <c r="N347" s="2039"/>
      <c r="O347" s="2039"/>
      <c r="P347" s="2039"/>
      <c r="Q347" s="2028">
        <f t="shared" si="206"/>
        <v>0</v>
      </c>
      <c r="R347" s="2026">
        <f t="shared" si="204"/>
        <v>0</v>
      </c>
      <c r="S347" s="2029">
        <f t="shared" si="205"/>
        <v>0</v>
      </c>
      <c r="T347" s="853">
        <f t="shared" si="207"/>
        <v>0</v>
      </c>
      <c r="U347" s="1408" t="str">
        <f t="shared" si="208"/>
        <v>1.33</v>
      </c>
      <c r="V347" s="1408" t="str">
        <f t="shared" si="209"/>
        <v>D+</v>
      </c>
      <c r="W347" s="1408" t="str">
        <f t="shared" si="210"/>
        <v>0</v>
      </c>
      <c r="X347" s="1409"/>
      <c r="Y347" s="1393"/>
      <c r="Z347" s="1394"/>
      <c r="AA347" s="1394"/>
      <c r="AB347" s="1394"/>
      <c r="AC347" s="1394"/>
      <c r="AD347" s="1394"/>
      <c r="AE347" s="1394"/>
      <c r="AF347" s="1394"/>
      <c r="AG347" s="1394"/>
      <c r="AH347" s="1394"/>
      <c r="AI347" s="1394"/>
      <c r="AJ347" s="1395"/>
      <c r="AK347" s="1395"/>
      <c r="AL347" s="1395"/>
      <c r="AM347" s="1395"/>
      <c r="AN347" s="1395"/>
      <c r="AO347" s="1395"/>
      <c r="AP347" s="1395"/>
      <c r="AQ347" s="1395"/>
      <c r="AR347" s="1395"/>
      <c r="AS347" s="1395"/>
      <c r="AT347" s="1396"/>
      <c r="AU347" s="1413"/>
      <c r="AV347" s="1414"/>
    </row>
    <row r="348" spans="1:48" ht="20.100000000000001" customHeight="1" x14ac:dyDescent="0.25">
      <c r="A348" s="360"/>
      <c r="B348" s="1387"/>
      <c r="C348" s="1388"/>
      <c r="D348" s="1166" t="s">
        <v>187</v>
      </c>
      <c r="E348" s="1385"/>
      <c r="F348" s="1385"/>
      <c r="G348" s="1385"/>
      <c r="H348" s="2048"/>
      <c r="I348" s="2048"/>
      <c r="J348" s="2048"/>
      <c r="K348" s="1385">
        <v>0</v>
      </c>
      <c r="L348" s="1385">
        <v>0</v>
      </c>
      <c r="M348" s="1385">
        <v>0</v>
      </c>
      <c r="N348" s="2049"/>
      <c r="O348" s="2049"/>
      <c r="P348" s="2049"/>
      <c r="Q348" s="2028">
        <f t="shared" si="206"/>
        <v>0</v>
      </c>
      <c r="R348" s="2026">
        <f t="shared" si="204"/>
        <v>0</v>
      </c>
      <c r="S348" s="2029">
        <f t="shared" si="205"/>
        <v>0</v>
      </c>
      <c r="T348" s="853">
        <f t="shared" si="207"/>
        <v>0</v>
      </c>
      <c r="U348" s="1408" t="str">
        <f t="shared" si="208"/>
        <v>1.33</v>
      </c>
      <c r="V348" s="1408" t="str">
        <f t="shared" si="209"/>
        <v>D+</v>
      </c>
      <c r="W348" s="1408" t="str">
        <f t="shared" si="210"/>
        <v>0</v>
      </c>
      <c r="X348" s="1409"/>
      <c r="Y348" s="1393"/>
      <c r="Z348" s="1394"/>
      <c r="AA348" s="1394"/>
      <c r="AB348" s="1394"/>
      <c r="AC348" s="1394"/>
      <c r="AD348" s="1394"/>
      <c r="AE348" s="1394"/>
      <c r="AF348" s="1394"/>
      <c r="AG348" s="1394"/>
      <c r="AH348" s="1394"/>
      <c r="AI348" s="1394"/>
      <c r="AJ348" s="1395"/>
      <c r="AK348" s="1395"/>
      <c r="AL348" s="1395"/>
      <c r="AM348" s="1395"/>
      <c r="AN348" s="1395"/>
      <c r="AO348" s="1395"/>
      <c r="AP348" s="1395"/>
      <c r="AQ348" s="1395"/>
      <c r="AR348" s="1395"/>
      <c r="AS348" s="1395"/>
      <c r="AT348" s="1396"/>
      <c r="AU348" s="1413"/>
      <c r="AV348" s="1414"/>
    </row>
    <row r="349" spans="1:48" ht="20.100000000000001" customHeight="1" x14ac:dyDescent="0.25">
      <c r="A349" s="360"/>
      <c r="B349" s="1387"/>
      <c r="C349" s="1388"/>
      <c r="D349" s="1166" t="s">
        <v>17</v>
      </c>
      <c r="E349" s="1385">
        <v>0</v>
      </c>
      <c r="F349" s="1385">
        <v>0</v>
      </c>
      <c r="G349" s="1385">
        <v>0</v>
      </c>
      <c r="H349" s="2048">
        <v>0</v>
      </c>
      <c r="I349" s="2048">
        <v>0</v>
      </c>
      <c r="J349" s="2048">
        <v>0</v>
      </c>
      <c r="K349" s="1385"/>
      <c r="L349" s="1385"/>
      <c r="M349" s="1385"/>
      <c r="N349" s="2049"/>
      <c r="O349" s="2049"/>
      <c r="P349" s="2049"/>
      <c r="Q349" s="2028">
        <f t="shared" si="206"/>
        <v>0</v>
      </c>
      <c r="R349" s="2026">
        <f t="shared" si="204"/>
        <v>0</v>
      </c>
      <c r="S349" s="2029">
        <f t="shared" si="205"/>
        <v>0</v>
      </c>
      <c r="T349" s="853">
        <f t="shared" si="207"/>
        <v>0</v>
      </c>
      <c r="U349" s="1408" t="str">
        <f t="shared" si="208"/>
        <v>1.33</v>
      </c>
      <c r="V349" s="1408" t="str">
        <f t="shared" si="209"/>
        <v>D+</v>
      </c>
      <c r="W349" s="1408" t="str">
        <f t="shared" si="210"/>
        <v>0</v>
      </c>
      <c r="X349" s="1409"/>
      <c r="Y349" s="1393"/>
      <c r="Z349" s="1394"/>
      <c r="AA349" s="1394"/>
      <c r="AB349" s="1394"/>
      <c r="AC349" s="1394"/>
      <c r="AD349" s="1394"/>
      <c r="AE349" s="1394"/>
      <c r="AF349" s="1394"/>
      <c r="AG349" s="1394"/>
      <c r="AH349" s="1394"/>
      <c r="AI349" s="1394"/>
      <c r="AJ349" s="1395"/>
      <c r="AK349" s="1395"/>
      <c r="AL349" s="1395"/>
      <c r="AM349" s="1395"/>
      <c r="AN349" s="1395"/>
      <c r="AO349" s="1395"/>
      <c r="AP349" s="1395"/>
      <c r="AQ349" s="1395"/>
      <c r="AR349" s="1395"/>
      <c r="AS349" s="1395"/>
      <c r="AT349" s="1396"/>
      <c r="AU349" s="1413"/>
      <c r="AV349" s="1414"/>
    </row>
    <row r="350" spans="1:48" ht="20.100000000000001" customHeight="1" x14ac:dyDescent="0.25">
      <c r="A350" s="360"/>
      <c r="B350" s="1387"/>
      <c r="C350" s="1388"/>
      <c r="D350" s="1166" t="s">
        <v>188</v>
      </c>
      <c r="E350" s="1385"/>
      <c r="F350" s="1385"/>
      <c r="G350" s="1385"/>
      <c r="H350" s="2048">
        <v>0</v>
      </c>
      <c r="I350" s="2048">
        <v>0</v>
      </c>
      <c r="J350" s="2048">
        <v>0</v>
      </c>
      <c r="K350" s="1385"/>
      <c r="L350" s="1385"/>
      <c r="M350" s="1385"/>
      <c r="N350" s="2049"/>
      <c r="O350" s="2049"/>
      <c r="P350" s="2049"/>
      <c r="Q350" s="2028">
        <f t="shared" si="206"/>
        <v>0</v>
      </c>
      <c r="R350" s="2026">
        <f t="shared" si="204"/>
        <v>0</v>
      </c>
      <c r="S350" s="2029">
        <f t="shared" si="205"/>
        <v>0</v>
      </c>
      <c r="T350" s="853">
        <f t="shared" si="207"/>
        <v>0</v>
      </c>
      <c r="U350" s="1408" t="str">
        <f t="shared" si="208"/>
        <v>1.33</v>
      </c>
      <c r="V350" s="1408" t="str">
        <f t="shared" si="209"/>
        <v>D+</v>
      </c>
      <c r="W350" s="1408" t="str">
        <f t="shared" si="210"/>
        <v>0</v>
      </c>
      <c r="X350" s="1409"/>
      <c r="Y350" s="1393"/>
      <c r="Z350" s="1394"/>
      <c r="AA350" s="1394"/>
      <c r="AB350" s="1394"/>
      <c r="AC350" s="1394"/>
      <c r="AD350" s="1394"/>
      <c r="AE350" s="1394"/>
      <c r="AF350" s="1394"/>
      <c r="AG350" s="1394"/>
      <c r="AH350" s="1394"/>
      <c r="AI350" s="1394"/>
      <c r="AJ350" s="1395"/>
      <c r="AK350" s="1395"/>
      <c r="AL350" s="1395"/>
      <c r="AM350" s="1395"/>
      <c r="AN350" s="1395"/>
      <c r="AO350" s="1395"/>
      <c r="AP350" s="1395"/>
      <c r="AQ350" s="1395"/>
      <c r="AR350" s="1395"/>
      <c r="AS350" s="1395"/>
      <c r="AT350" s="1396"/>
      <c r="AU350" s="1413"/>
      <c r="AV350" s="1414"/>
    </row>
    <row r="351" spans="1:48" ht="20.100000000000001" customHeight="1" x14ac:dyDescent="0.25">
      <c r="A351" s="360"/>
      <c r="B351" s="1387"/>
      <c r="C351" s="1388"/>
      <c r="D351" s="1166" t="s">
        <v>569</v>
      </c>
      <c r="E351" s="1385"/>
      <c r="F351" s="1385"/>
      <c r="G351" s="1385"/>
      <c r="H351" s="2048"/>
      <c r="I351" s="2048"/>
      <c r="J351" s="2048"/>
      <c r="K351" s="1385">
        <v>0</v>
      </c>
      <c r="L351" s="1385">
        <v>0</v>
      </c>
      <c r="M351" s="1385">
        <v>0</v>
      </c>
      <c r="N351" s="2049"/>
      <c r="O351" s="2049"/>
      <c r="P351" s="2049"/>
      <c r="Q351" s="2028">
        <f t="shared" si="206"/>
        <v>0</v>
      </c>
      <c r="R351" s="2026">
        <f t="shared" si="204"/>
        <v>0</v>
      </c>
      <c r="S351" s="2029">
        <f t="shared" si="205"/>
        <v>0</v>
      </c>
      <c r="T351" s="853">
        <f t="shared" si="207"/>
        <v>0</v>
      </c>
      <c r="U351" s="1408" t="str">
        <f t="shared" si="208"/>
        <v>1.33</v>
      </c>
      <c r="V351" s="1408" t="str">
        <f t="shared" si="209"/>
        <v>D+</v>
      </c>
      <c r="W351" s="1408" t="str">
        <f t="shared" si="210"/>
        <v>0</v>
      </c>
      <c r="X351" s="1409"/>
      <c r="Y351" s="1393"/>
      <c r="Z351" s="1394"/>
      <c r="AA351" s="1394"/>
      <c r="AB351" s="1394"/>
      <c r="AC351" s="1394"/>
      <c r="AD351" s="1394"/>
      <c r="AE351" s="1394"/>
      <c r="AF351" s="1394"/>
      <c r="AG351" s="1394"/>
      <c r="AH351" s="1394"/>
      <c r="AI351" s="1394"/>
      <c r="AJ351" s="1395"/>
      <c r="AK351" s="1395"/>
      <c r="AL351" s="1395"/>
      <c r="AM351" s="1395"/>
      <c r="AN351" s="1395"/>
      <c r="AO351" s="1395"/>
      <c r="AP351" s="1395"/>
      <c r="AQ351" s="1395"/>
      <c r="AR351" s="1395"/>
      <c r="AS351" s="1395"/>
      <c r="AT351" s="1396"/>
      <c r="AU351" s="1413"/>
      <c r="AV351" s="1414"/>
    </row>
    <row r="352" spans="1:48" ht="20.100000000000001" customHeight="1" x14ac:dyDescent="0.25">
      <c r="A352" s="360"/>
      <c r="B352" s="1387"/>
      <c r="C352" s="1388"/>
      <c r="D352" s="1166" t="s">
        <v>209</v>
      </c>
      <c r="E352" s="1385"/>
      <c r="F352" s="1385"/>
      <c r="G352" s="1385"/>
      <c r="H352" s="2048"/>
      <c r="I352" s="2048"/>
      <c r="J352" s="2048"/>
      <c r="K352" s="1385"/>
      <c r="L352" s="1385"/>
      <c r="M352" s="1385"/>
      <c r="N352" s="2049">
        <v>0</v>
      </c>
      <c r="O352" s="2049">
        <v>0</v>
      </c>
      <c r="P352" s="2049">
        <v>0</v>
      </c>
      <c r="Q352" s="2028">
        <f t="shared" si="206"/>
        <v>0</v>
      </c>
      <c r="R352" s="2026">
        <f t="shared" si="204"/>
        <v>0</v>
      </c>
      <c r="S352" s="2029">
        <f t="shared" si="205"/>
        <v>0</v>
      </c>
      <c r="T352" s="853">
        <f t="shared" si="207"/>
        <v>0</v>
      </c>
      <c r="U352" s="1408" t="str">
        <f t="shared" si="208"/>
        <v>1.33</v>
      </c>
      <c r="V352" s="1408" t="str">
        <f t="shared" si="209"/>
        <v>D+</v>
      </c>
      <c r="W352" s="1408" t="str">
        <f t="shared" si="210"/>
        <v>0</v>
      </c>
      <c r="X352" s="1409"/>
      <c r="Y352" s="1393"/>
      <c r="Z352" s="1394"/>
      <c r="AA352" s="1394"/>
      <c r="AB352" s="1394"/>
      <c r="AC352" s="1394"/>
      <c r="AD352" s="1394"/>
      <c r="AE352" s="1394"/>
      <c r="AF352" s="1394"/>
      <c r="AG352" s="1394"/>
      <c r="AH352" s="1394"/>
      <c r="AI352" s="1394"/>
      <c r="AJ352" s="1395"/>
      <c r="AK352" s="1395"/>
      <c r="AL352" s="1395"/>
      <c r="AM352" s="1395"/>
      <c r="AN352" s="1395"/>
      <c r="AO352" s="1395"/>
      <c r="AP352" s="1395"/>
      <c r="AQ352" s="1395"/>
      <c r="AR352" s="1395"/>
      <c r="AS352" s="1395"/>
      <c r="AT352" s="1396"/>
      <c r="AU352" s="1413"/>
      <c r="AV352" s="1414"/>
    </row>
    <row r="353" spans="1:48" ht="20.100000000000001" customHeight="1" x14ac:dyDescent="0.25">
      <c r="A353" s="360"/>
      <c r="B353" s="1387"/>
      <c r="C353" s="1388"/>
      <c r="D353" s="1166" t="s">
        <v>210</v>
      </c>
      <c r="E353" s="1385"/>
      <c r="F353" s="1385"/>
      <c r="G353" s="1385"/>
      <c r="H353" s="2048"/>
      <c r="I353" s="2048"/>
      <c r="J353" s="2048"/>
      <c r="K353" s="1385"/>
      <c r="L353" s="1385"/>
      <c r="M353" s="1385"/>
      <c r="N353" s="2049">
        <v>0</v>
      </c>
      <c r="O353" s="2049">
        <v>0</v>
      </c>
      <c r="P353" s="2049">
        <v>0</v>
      </c>
      <c r="Q353" s="2028">
        <f t="shared" si="206"/>
        <v>0</v>
      </c>
      <c r="R353" s="2026">
        <f t="shared" si="204"/>
        <v>0</v>
      </c>
      <c r="S353" s="2029">
        <f t="shared" si="205"/>
        <v>0</v>
      </c>
      <c r="T353" s="853">
        <f t="shared" si="207"/>
        <v>0</v>
      </c>
      <c r="U353" s="1408" t="str">
        <f t="shared" si="208"/>
        <v>1.33</v>
      </c>
      <c r="V353" s="1408" t="str">
        <f t="shared" si="209"/>
        <v>D+</v>
      </c>
      <c r="W353" s="1408" t="str">
        <f t="shared" si="210"/>
        <v>0</v>
      </c>
      <c r="X353" s="1409"/>
      <c r="Y353" s="1397"/>
      <c r="Z353" s="1398"/>
      <c r="AA353" s="1398"/>
      <c r="AB353" s="1398"/>
      <c r="AC353" s="1398"/>
      <c r="AD353" s="1398"/>
      <c r="AE353" s="1398"/>
      <c r="AF353" s="1398"/>
      <c r="AG353" s="1398"/>
      <c r="AH353" s="1398"/>
      <c r="AI353" s="1398"/>
      <c r="AJ353" s="1399"/>
      <c r="AK353" s="1399"/>
      <c r="AL353" s="1399"/>
      <c r="AM353" s="1399"/>
      <c r="AN353" s="1399"/>
      <c r="AO353" s="1399"/>
      <c r="AP353" s="1399"/>
      <c r="AQ353" s="1399"/>
      <c r="AR353" s="1399"/>
      <c r="AS353" s="1399"/>
      <c r="AT353" s="1400"/>
      <c r="AU353" s="1415"/>
      <c r="AV353" s="1416"/>
    </row>
    <row r="354" spans="1:48" ht="20.100000000000001" customHeight="1" x14ac:dyDescent="0.25">
      <c r="A354" s="727"/>
      <c r="B354" s="1406">
        <v>29</v>
      </c>
      <c r="C354" s="1407"/>
      <c r="D354" s="1004"/>
      <c r="E354" s="2780"/>
      <c r="F354" s="2781"/>
      <c r="G354" s="2781"/>
      <c r="H354" s="2781"/>
      <c r="I354" s="2046"/>
      <c r="J354" s="2046"/>
      <c r="K354" s="2046"/>
      <c r="L354" s="2046"/>
      <c r="M354" s="2046"/>
      <c r="N354" s="2046"/>
      <c r="O354" s="2046"/>
      <c r="P354" s="2046"/>
      <c r="Q354" s="2046"/>
      <c r="R354" s="2046"/>
      <c r="S354" s="2046"/>
      <c r="T354" s="2044">
        <f>IFERROR(AVERAGE(T343:T353),"  ")</f>
        <v>0</v>
      </c>
      <c r="U354" s="2045" t="str">
        <f>IF(X354&gt;85,("4"),IF(X354&gt;80,("3.66"),IF(X354&gt;75,("3.33"),IF(X354&gt;70,("3.00"),IF(X354&gt;65,("2.66"),IF(X354&gt;60,("2.33"),IF(X354&gt;55,("2"),IF(X354&gt;50,("1.66"),"1.33"))))))))</f>
        <v>1.33</v>
      </c>
      <c r="V354" s="2045" t="str">
        <f>IF(X354&gt;85,("A"),IF(X354&gt;80,("A-"),IF(X354&gt;75,("B+"),IF(X354&gt;70,("B"),IF(X354&gt;65,("B-"),IF(X354&gt;60,("C+"),IF(X354&gt;55,("C"),IF(X354&gt;50,("C-"),"D+"))))))))</f>
        <v>D+</v>
      </c>
      <c r="W354" s="2045"/>
      <c r="X354" s="888">
        <f>MAX(T343:T353)</f>
        <v>0</v>
      </c>
      <c r="Y354" s="1403"/>
      <c r="Z354" s="1404"/>
      <c r="AA354" s="1404"/>
      <c r="AB354" s="1404"/>
      <c r="AC354" s="1404"/>
      <c r="AD354" s="1404"/>
      <c r="AE354" s="1404"/>
      <c r="AF354" s="1404"/>
      <c r="AG354" s="1404"/>
      <c r="AH354" s="1404"/>
      <c r="AI354" s="1404"/>
      <c r="AJ354" s="1404"/>
      <c r="AK354" s="1404"/>
      <c r="AL354" s="1404"/>
      <c r="AM354" s="1404"/>
      <c r="AN354" s="1404"/>
      <c r="AO354" s="1404"/>
      <c r="AP354" s="1404"/>
      <c r="AQ354" s="1404"/>
      <c r="AR354" s="1404"/>
      <c r="AS354" s="1404"/>
      <c r="AT354" s="1405"/>
      <c r="AU354" s="1257"/>
      <c r="AV354" s="1258"/>
    </row>
    <row r="355" spans="1:48" ht="20.100000000000001" customHeight="1" x14ac:dyDescent="0.25">
      <c r="A355" s="724">
        <v>30</v>
      </c>
      <c r="B355" s="1383"/>
      <c r="C355" s="1384" t="e">
        <f>VLOOKUP(A355,data_siswa,4,FALSE)</f>
        <v>#N/A</v>
      </c>
      <c r="D355" s="1166" t="s">
        <v>154</v>
      </c>
      <c r="E355" s="2050">
        <v>0</v>
      </c>
      <c r="F355" s="2050">
        <v>0</v>
      </c>
      <c r="G355" s="2050">
        <v>0</v>
      </c>
      <c r="H355" s="2051"/>
      <c r="I355" s="2051"/>
      <c r="J355" s="2051"/>
      <c r="K355" s="2050"/>
      <c r="L355" s="2050"/>
      <c r="M355" s="2050"/>
      <c r="N355" s="2052"/>
      <c r="O355" s="2052"/>
      <c r="P355" s="2052"/>
      <c r="Q355" s="2028">
        <f>MAX(E355,H355,K355,N355)</f>
        <v>0</v>
      </c>
      <c r="R355" s="2026">
        <f t="shared" ref="R355:R365" si="211">MAX(F355,I355,L355,O355)</f>
        <v>0</v>
      </c>
      <c r="S355" s="2029">
        <f t="shared" ref="S355:S365" si="212">MAX(G355,J355,M355,P355)</f>
        <v>0</v>
      </c>
      <c r="T355" s="853">
        <f>IFERROR(AVERAGE(Q355:S355),"")</f>
        <v>0</v>
      </c>
      <c r="U355" s="1408" t="str">
        <f>IF(T355&gt;85,("4"),IF(T355&gt;80,("3.66"),IF(T355&gt;75,("3.33"),IF(T355&gt;70,("3.00"),IF(T355&gt;65,("2.66"),IF(T355&gt;60,("2.33"),IF(T355&gt;55,("2"),IF(T355&gt;50,("1.66"),"1.33"))))))))</f>
        <v>1.33</v>
      </c>
      <c r="V355" s="1408" t="str">
        <f>IF(T355&gt;85,("A"),IF(T355&gt;80,("A-"),IF(T355&gt;75,("B+"),IF(T355&gt;70,("B"),IF(T355&gt;65,("B-"),IF(T355&gt;60,("C+"),IF(T355&gt;55,("C"),IF(T355&gt;50,("C-"),"D+"))))))))</f>
        <v>D+</v>
      </c>
      <c r="W355" s="1408" t="str">
        <f>IF(T355&gt;80,("SB"),IF(T355&gt;65,("B"),IF(T355&gt;50,("C"),IF(T355&gt;0,("K"),"0"))))</f>
        <v>0</v>
      </c>
      <c r="X355" s="1408"/>
      <c r="Y355" s="749"/>
      <c r="Z355" s="749"/>
      <c r="AA355" s="749"/>
      <c r="AB355" s="749"/>
      <c r="AC355" s="749"/>
      <c r="AD355" s="749"/>
      <c r="AE355" s="749"/>
      <c r="AF355" s="749"/>
      <c r="AG355" s="749"/>
      <c r="AH355" s="749"/>
      <c r="AI355" s="749"/>
      <c r="AJ355" s="1386"/>
      <c r="AK355" s="1386"/>
      <c r="AL355" s="1386"/>
      <c r="AM355" s="1386"/>
      <c r="AN355" s="1386"/>
      <c r="AO355" s="1386"/>
      <c r="AP355" s="1386"/>
      <c r="AQ355" s="1386"/>
      <c r="AR355" s="1386"/>
      <c r="AS355" s="1386"/>
      <c r="AT355" s="1386"/>
      <c r="AU355" s="1057">
        <f>T366</f>
        <v>0</v>
      </c>
      <c r="AV355" s="1194" t="str">
        <f>IF(AU355&gt;85,("A"),IF(AU355&gt;80,("A-"),IF(AU355&gt;75,("B+"),IF(AU355&gt;70,("B"),IF(AU355&gt;65,("B-"),IF(AU355&gt;60,("C+"),IF(AU355&gt;55,("C"),IF(AU355&gt;50,("C-"),"D+"))))))))</f>
        <v>D+</v>
      </c>
    </row>
    <row r="356" spans="1:48" ht="20.100000000000001" customHeight="1" x14ac:dyDescent="0.25">
      <c r="A356" s="360"/>
      <c r="B356" s="1387"/>
      <c r="C356" s="1388"/>
      <c r="D356" s="1166" t="s">
        <v>155</v>
      </c>
      <c r="E356" s="1493"/>
      <c r="F356" s="1493"/>
      <c r="G356" s="1493"/>
      <c r="H356" s="2040"/>
      <c r="I356" s="2040"/>
      <c r="J356" s="2040"/>
      <c r="K356" s="1493"/>
      <c r="L356" s="1493"/>
      <c r="M356" s="1493"/>
      <c r="N356" s="2039">
        <v>0</v>
      </c>
      <c r="O356" s="2039">
        <v>0</v>
      </c>
      <c r="P356" s="2039">
        <v>0</v>
      </c>
      <c r="Q356" s="2028">
        <f t="shared" ref="Q356:Q365" si="213">MAX(E356,H356,K356,N356)</f>
        <v>0</v>
      </c>
      <c r="R356" s="2026">
        <f t="shared" si="211"/>
        <v>0</v>
      </c>
      <c r="S356" s="2029">
        <f t="shared" si="212"/>
        <v>0</v>
      </c>
      <c r="T356" s="853">
        <f t="shared" ref="T356:T365" si="214">IFERROR(AVERAGE(Q356:S356),"")</f>
        <v>0</v>
      </c>
      <c r="U356" s="1408" t="str">
        <f t="shared" ref="U356:U365" si="215">IF(T356&gt;85,("4"),IF(T356&gt;80,("3.66"),IF(T356&gt;75,("3.33"),IF(T356&gt;70,("3.00"),IF(T356&gt;65,("2.66"),IF(T356&gt;60,("2.33"),IF(T356&gt;55,("2"),IF(T356&gt;50,("1.66"),"1.33"))))))))</f>
        <v>1.33</v>
      </c>
      <c r="V356" s="1408" t="str">
        <f t="shared" ref="V356:V365" si="216">IF(T356&gt;85,("A"),IF(T356&gt;80,("A-"),IF(T356&gt;75,("B+"),IF(T356&gt;70,("B"),IF(T356&gt;65,("B-"),IF(T356&gt;60,("C+"),IF(T356&gt;55,("C"),IF(T356&gt;50,("C-"),"D+"))))))))</f>
        <v>D+</v>
      </c>
      <c r="W356" s="1408" t="str">
        <f t="shared" ref="W356:W365" si="217">IF(T356&gt;80,("SB"),IF(T356&gt;65,("B"),IF(T356&gt;50,("C"),IF(T356&gt;0,("K"),"0"))))</f>
        <v>0</v>
      </c>
      <c r="X356" s="1409"/>
      <c r="Y356" s="1389"/>
      <c r="Z356" s="1390"/>
      <c r="AA356" s="1390"/>
      <c r="AB356" s="1390"/>
      <c r="AC356" s="1390"/>
      <c r="AD356" s="1390"/>
      <c r="AE356" s="1390"/>
      <c r="AF356" s="1390"/>
      <c r="AG356" s="1390"/>
      <c r="AH356" s="1390"/>
      <c r="AI356" s="1390"/>
      <c r="AJ356" s="1391"/>
      <c r="AK356" s="1391"/>
      <c r="AL356" s="1391"/>
      <c r="AM356" s="1391"/>
      <c r="AN356" s="1391"/>
      <c r="AO356" s="1391"/>
      <c r="AP356" s="1391"/>
      <c r="AQ356" s="1391"/>
      <c r="AR356" s="1391"/>
      <c r="AS356" s="1391"/>
      <c r="AT356" s="1392"/>
      <c r="AU356" s="1411"/>
      <c r="AV356" s="1412"/>
    </row>
    <row r="357" spans="1:48" ht="20.100000000000001" customHeight="1" x14ac:dyDescent="0.25">
      <c r="A357" s="360"/>
      <c r="B357" s="1387"/>
      <c r="C357" s="1388"/>
      <c r="D357" s="1166" t="s">
        <v>16</v>
      </c>
      <c r="E357" s="1493"/>
      <c r="F357" s="1493"/>
      <c r="G357" s="1493"/>
      <c r="H357" s="2040">
        <v>0</v>
      </c>
      <c r="I357" s="2040">
        <v>0</v>
      </c>
      <c r="J357" s="2040">
        <v>0</v>
      </c>
      <c r="K357" s="1493"/>
      <c r="L357" s="1493"/>
      <c r="M357" s="1493"/>
      <c r="N357" s="2052"/>
      <c r="O357" s="2052"/>
      <c r="P357" s="2052"/>
      <c r="Q357" s="2028">
        <f t="shared" si="213"/>
        <v>0</v>
      </c>
      <c r="R357" s="2026">
        <f t="shared" si="211"/>
        <v>0</v>
      </c>
      <c r="S357" s="2029">
        <f t="shared" si="212"/>
        <v>0</v>
      </c>
      <c r="T357" s="853">
        <f t="shared" si="214"/>
        <v>0</v>
      </c>
      <c r="U357" s="1408" t="str">
        <f t="shared" si="215"/>
        <v>1.33</v>
      </c>
      <c r="V357" s="1408" t="str">
        <f t="shared" si="216"/>
        <v>D+</v>
      </c>
      <c r="W357" s="1408" t="str">
        <f t="shared" si="217"/>
        <v>0</v>
      </c>
      <c r="X357" s="1409"/>
      <c r="Y357" s="1393"/>
      <c r="Z357" s="1394"/>
      <c r="AA357" s="1394"/>
      <c r="AB357" s="1394"/>
      <c r="AC357" s="1394"/>
      <c r="AD357" s="1394"/>
      <c r="AE357" s="1394"/>
      <c r="AF357" s="1394"/>
      <c r="AG357" s="1394"/>
      <c r="AH357" s="1394"/>
      <c r="AI357" s="1394"/>
      <c r="AJ357" s="1395"/>
      <c r="AK357" s="1395"/>
      <c r="AL357" s="1395"/>
      <c r="AM357" s="1395"/>
      <c r="AN357" s="1395"/>
      <c r="AO357" s="1395"/>
      <c r="AP357" s="1395"/>
      <c r="AQ357" s="1395"/>
      <c r="AR357" s="1395"/>
      <c r="AS357" s="1395"/>
      <c r="AT357" s="1396"/>
      <c r="AU357" s="1413"/>
      <c r="AV357" s="1414"/>
    </row>
    <row r="358" spans="1:48" ht="20.100000000000001" customHeight="1" x14ac:dyDescent="0.25">
      <c r="A358" s="360"/>
      <c r="B358" s="1387"/>
      <c r="C358" s="1388"/>
      <c r="D358" s="1166" t="s">
        <v>189</v>
      </c>
      <c r="E358" s="1493"/>
      <c r="F358" s="1493"/>
      <c r="G358" s="1493"/>
      <c r="H358" s="2040">
        <v>0</v>
      </c>
      <c r="I358" s="2040">
        <v>0</v>
      </c>
      <c r="J358" s="2040">
        <v>0</v>
      </c>
      <c r="K358" s="1493"/>
      <c r="L358" s="1493"/>
      <c r="M358" s="1493"/>
      <c r="N358" s="2039"/>
      <c r="O358" s="2039"/>
      <c r="P358" s="2039"/>
      <c r="Q358" s="2028">
        <f t="shared" si="213"/>
        <v>0</v>
      </c>
      <c r="R358" s="2026">
        <f t="shared" si="211"/>
        <v>0</v>
      </c>
      <c r="S358" s="2029">
        <f t="shared" si="212"/>
        <v>0</v>
      </c>
      <c r="T358" s="853">
        <f t="shared" si="214"/>
        <v>0</v>
      </c>
      <c r="U358" s="1408" t="str">
        <f t="shared" si="215"/>
        <v>1.33</v>
      </c>
      <c r="V358" s="1408" t="str">
        <f t="shared" si="216"/>
        <v>D+</v>
      </c>
      <c r="W358" s="1408" t="str">
        <f t="shared" si="217"/>
        <v>0</v>
      </c>
      <c r="X358" s="1409"/>
      <c r="Y358" s="1393"/>
      <c r="Z358" s="1394"/>
      <c r="AA358" s="1394"/>
      <c r="AB358" s="1394"/>
      <c r="AC358" s="1394"/>
      <c r="AD358" s="1394"/>
      <c r="AE358" s="1394"/>
      <c r="AF358" s="1394"/>
      <c r="AG358" s="1394"/>
      <c r="AH358" s="1394"/>
      <c r="AI358" s="1394"/>
      <c r="AJ358" s="1395"/>
      <c r="AK358" s="1395"/>
      <c r="AL358" s="1395"/>
      <c r="AM358" s="1395"/>
      <c r="AN358" s="1395"/>
      <c r="AO358" s="1395"/>
      <c r="AP358" s="1395"/>
      <c r="AQ358" s="1395"/>
      <c r="AR358" s="1395"/>
      <c r="AS358" s="1395"/>
      <c r="AT358" s="1396"/>
      <c r="AU358" s="1413"/>
      <c r="AV358" s="1414"/>
    </row>
    <row r="359" spans="1:48" ht="20.100000000000001" customHeight="1" x14ac:dyDescent="0.25">
      <c r="A359" s="360"/>
      <c r="B359" s="1387"/>
      <c r="C359" s="1388"/>
      <c r="D359" s="1166" t="s">
        <v>186</v>
      </c>
      <c r="E359" s="1493"/>
      <c r="F359" s="1493"/>
      <c r="G359" s="1493"/>
      <c r="H359" s="2040">
        <v>0</v>
      </c>
      <c r="I359" s="2040">
        <v>0</v>
      </c>
      <c r="J359" s="2040">
        <v>0</v>
      </c>
      <c r="K359" s="1493"/>
      <c r="L359" s="1493"/>
      <c r="M359" s="1493"/>
      <c r="N359" s="2039"/>
      <c r="O359" s="2039"/>
      <c r="P359" s="2039"/>
      <c r="Q359" s="2028">
        <f t="shared" si="213"/>
        <v>0</v>
      </c>
      <c r="R359" s="2026">
        <f t="shared" si="211"/>
        <v>0</v>
      </c>
      <c r="S359" s="2029">
        <f t="shared" si="212"/>
        <v>0</v>
      </c>
      <c r="T359" s="853">
        <f t="shared" si="214"/>
        <v>0</v>
      </c>
      <c r="U359" s="1408" t="str">
        <f t="shared" si="215"/>
        <v>1.33</v>
      </c>
      <c r="V359" s="1408" t="str">
        <f t="shared" si="216"/>
        <v>D+</v>
      </c>
      <c r="W359" s="1408" t="str">
        <f t="shared" si="217"/>
        <v>0</v>
      </c>
      <c r="X359" s="1409"/>
      <c r="Y359" s="1393"/>
      <c r="Z359" s="1394"/>
      <c r="AA359" s="1394"/>
      <c r="AB359" s="1394"/>
      <c r="AC359" s="1394"/>
      <c r="AD359" s="1394"/>
      <c r="AE359" s="1394"/>
      <c r="AF359" s="1394"/>
      <c r="AG359" s="1394"/>
      <c r="AH359" s="1394"/>
      <c r="AI359" s="1394"/>
      <c r="AJ359" s="1395"/>
      <c r="AK359" s="1395"/>
      <c r="AL359" s="1395"/>
      <c r="AM359" s="1395"/>
      <c r="AN359" s="1395"/>
      <c r="AO359" s="1395"/>
      <c r="AP359" s="1395"/>
      <c r="AQ359" s="1395"/>
      <c r="AR359" s="1395"/>
      <c r="AS359" s="1395"/>
      <c r="AT359" s="1396"/>
      <c r="AU359" s="1413"/>
      <c r="AV359" s="1414"/>
    </row>
    <row r="360" spans="1:48" ht="20.100000000000001" customHeight="1" x14ac:dyDescent="0.25">
      <c r="A360" s="360"/>
      <c r="B360" s="1387"/>
      <c r="C360" s="1388"/>
      <c r="D360" s="1166" t="s">
        <v>187</v>
      </c>
      <c r="E360" s="1385"/>
      <c r="F360" s="1385"/>
      <c r="G360" s="1385"/>
      <c r="H360" s="2048"/>
      <c r="I360" s="2048"/>
      <c r="J360" s="2048"/>
      <c r="K360" s="1385">
        <v>0</v>
      </c>
      <c r="L360" s="1385">
        <v>0</v>
      </c>
      <c r="M360" s="1385">
        <v>0</v>
      </c>
      <c r="N360" s="2049"/>
      <c r="O360" s="2049"/>
      <c r="P360" s="2049"/>
      <c r="Q360" s="2028">
        <f t="shared" si="213"/>
        <v>0</v>
      </c>
      <c r="R360" s="2026">
        <f t="shared" si="211"/>
        <v>0</v>
      </c>
      <c r="S360" s="2029">
        <f t="shared" si="212"/>
        <v>0</v>
      </c>
      <c r="T360" s="853">
        <f t="shared" si="214"/>
        <v>0</v>
      </c>
      <c r="U360" s="1408" t="str">
        <f t="shared" si="215"/>
        <v>1.33</v>
      </c>
      <c r="V360" s="1408" t="str">
        <f t="shared" si="216"/>
        <v>D+</v>
      </c>
      <c r="W360" s="1408" t="str">
        <f t="shared" si="217"/>
        <v>0</v>
      </c>
      <c r="X360" s="1409"/>
      <c r="Y360" s="1393"/>
      <c r="Z360" s="1394"/>
      <c r="AA360" s="1394"/>
      <c r="AB360" s="1394"/>
      <c r="AC360" s="1394"/>
      <c r="AD360" s="1394"/>
      <c r="AE360" s="1394"/>
      <c r="AF360" s="1394"/>
      <c r="AG360" s="1394"/>
      <c r="AH360" s="1394"/>
      <c r="AI360" s="1394"/>
      <c r="AJ360" s="1395"/>
      <c r="AK360" s="1395"/>
      <c r="AL360" s="1395"/>
      <c r="AM360" s="1395"/>
      <c r="AN360" s="1395"/>
      <c r="AO360" s="1395"/>
      <c r="AP360" s="1395"/>
      <c r="AQ360" s="1395"/>
      <c r="AR360" s="1395"/>
      <c r="AS360" s="1395"/>
      <c r="AT360" s="1396"/>
      <c r="AU360" s="1413"/>
      <c r="AV360" s="1414"/>
    </row>
    <row r="361" spans="1:48" ht="20.100000000000001" customHeight="1" x14ac:dyDescent="0.25">
      <c r="A361" s="360"/>
      <c r="B361" s="1387"/>
      <c r="C361" s="1388"/>
      <c r="D361" s="1166" t="s">
        <v>17</v>
      </c>
      <c r="E361" s="1385">
        <v>0</v>
      </c>
      <c r="F361" s="1385">
        <v>0</v>
      </c>
      <c r="G361" s="1385">
        <v>0</v>
      </c>
      <c r="H361" s="2048">
        <v>0</v>
      </c>
      <c r="I361" s="2048">
        <v>0</v>
      </c>
      <c r="J361" s="2048">
        <v>0</v>
      </c>
      <c r="K361" s="1385"/>
      <c r="L361" s="1385"/>
      <c r="M361" s="1385"/>
      <c r="N361" s="2049"/>
      <c r="O361" s="2049"/>
      <c r="P361" s="2049"/>
      <c r="Q361" s="2028">
        <f t="shared" si="213"/>
        <v>0</v>
      </c>
      <c r="R361" s="2026">
        <f t="shared" si="211"/>
        <v>0</v>
      </c>
      <c r="S361" s="2029">
        <f t="shared" si="212"/>
        <v>0</v>
      </c>
      <c r="T361" s="853">
        <f t="shared" si="214"/>
        <v>0</v>
      </c>
      <c r="U361" s="1408" t="str">
        <f t="shared" si="215"/>
        <v>1.33</v>
      </c>
      <c r="V361" s="1408" t="str">
        <f t="shared" si="216"/>
        <v>D+</v>
      </c>
      <c r="W361" s="1408" t="str">
        <f t="shared" si="217"/>
        <v>0</v>
      </c>
      <c r="X361" s="1409"/>
      <c r="Y361" s="1393"/>
      <c r="Z361" s="1394"/>
      <c r="AA361" s="1394"/>
      <c r="AB361" s="1394"/>
      <c r="AC361" s="1394"/>
      <c r="AD361" s="1394"/>
      <c r="AE361" s="1394"/>
      <c r="AF361" s="1394"/>
      <c r="AG361" s="1394"/>
      <c r="AH361" s="1394"/>
      <c r="AI361" s="1394"/>
      <c r="AJ361" s="1395"/>
      <c r="AK361" s="1395"/>
      <c r="AL361" s="1395"/>
      <c r="AM361" s="1395"/>
      <c r="AN361" s="1395"/>
      <c r="AO361" s="1395"/>
      <c r="AP361" s="1395"/>
      <c r="AQ361" s="1395"/>
      <c r="AR361" s="1395"/>
      <c r="AS361" s="1395"/>
      <c r="AT361" s="1396"/>
      <c r="AU361" s="1413"/>
      <c r="AV361" s="1414"/>
    </row>
    <row r="362" spans="1:48" ht="20.100000000000001" customHeight="1" x14ac:dyDescent="0.25">
      <c r="A362" s="360"/>
      <c r="B362" s="1387"/>
      <c r="C362" s="1388"/>
      <c r="D362" s="1166" t="s">
        <v>188</v>
      </c>
      <c r="E362" s="1385"/>
      <c r="F362" s="1385"/>
      <c r="G362" s="1385"/>
      <c r="H362" s="2048">
        <v>0</v>
      </c>
      <c r="I362" s="2048">
        <v>0</v>
      </c>
      <c r="J362" s="2048">
        <v>0</v>
      </c>
      <c r="K362" s="1385"/>
      <c r="L362" s="1385"/>
      <c r="M362" s="1385"/>
      <c r="N362" s="2049"/>
      <c r="O362" s="2049"/>
      <c r="P362" s="2049"/>
      <c r="Q362" s="2028">
        <f t="shared" si="213"/>
        <v>0</v>
      </c>
      <c r="R362" s="2026">
        <f t="shared" si="211"/>
        <v>0</v>
      </c>
      <c r="S362" s="2029">
        <f t="shared" si="212"/>
        <v>0</v>
      </c>
      <c r="T362" s="853">
        <f t="shared" si="214"/>
        <v>0</v>
      </c>
      <c r="U362" s="1408" t="str">
        <f t="shared" si="215"/>
        <v>1.33</v>
      </c>
      <c r="V362" s="1408" t="str">
        <f t="shared" si="216"/>
        <v>D+</v>
      </c>
      <c r="W362" s="1408" t="str">
        <f t="shared" si="217"/>
        <v>0</v>
      </c>
      <c r="X362" s="1409"/>
      <c r="Y362" s="1393"/>
      <c r="Z362" s="1394"/>
      <c r="AA362" s="1394"/>
      <c r="AB362" s="1394"/>
      <c r="AC362" s="1394"/>
      <c r="AD362" s="1394"/>
      <c r="AE362" s="1394"/>
      <c r="AF362" s="1394"/>
      <c r="AG362" s="1394"/>
      <c r="AH362" s="1394"/>
      <c r="AI362" s="1394"/>
      <c r="AJ362" s="1395"/>
      <c r="AK362" s="1395"/>
      <c r="AL362" s="1395"/>
      <c r="AM362" s="1395"/>
      <c r="AN362" s="1395"/>
      <c r="AO362" s="1395"/>
      <c r="AP362" s="1395"/>
      <c r="AQ362" s="1395"/>
      <c r="AR362" s="1395"/>
      <c r="AS362" s="1395"/>
      <c r="AT362" s="1396"/>
      <c r="AU362" s="1413"/>
      <c r="AV362" s="1414"/>
    </row>
    <row r="363" spans="1:48" ht="20.100000000000001" customHeight="1" x14ac:dyDescent="0.25">
      <c r="A363" s="360"/>
      <c r="B363" s="1387"/>
      <c r="C363" s="1388"/>
      <c r="D363" s="1166" t="s">
        <v>569</v>
      </c>
      <c r="E363" s="1385"/>
      <c r="F363" s="1385"/>
      <c r="G363" s="1385"/>
      <c r="H363" s="2048"/>
      <c r="I363" s="2048"/>
      <c r="J363" s="2048"/>
      <c r="K363" s="1385">
        <v>0</v>
      </c>
      <c r="L363" s="1385">
        <v>0</v>
      </c>
      <c r="M363" s="1385">
        <v>0</v>
      </c>
      <c r="N363" s="2049"/>
      <c r="O363" s="2049"/>
      <c r="P363" s="2049"/>
      <c r="Q363" s="2028">
        <f t="shared" si="213"/>
        <v>0</v>
      </c>
      <c r="R363" s="2026">
        <f t="shared" si="211"/>
        <v>0</v>
      </c>
      <c r="S363" s="2029">
        <f t="shared" si="212"/>
        <v>0</v>
      </c>
      <c r="T363" s="853">
        <f t="shared" si="214"/>
        <v>0</v>
      </c>
      <c r="U363" s="1408" t="str">
        <f t="shared" si="215"/>
        <v>1.33</v>
      </c>
      <c r="V363" s="1408" t="str">
        <f t="shared" si="216"/>
        <v>D+</v>
      </c>
      <c r="W363" s="1408" t="str">
        <f t="shared" si="217"/>
        <v>0</v>
      </c>
      <c r="X363" s="1409"/>
      <c r="Y363" s="1393"/>
      <c r="Z363" s="1394"/>
      <c r="AA363" s="1394"/>
      <c r="AB363" s="1394"/>
      <c r="AC363" s="1394"/>
      <c r="AD363" s="1394"/>
      <c r="AE363" s="1394"/>
      <c r="AF363" s="1394"/>
      <c r="AG363" s="1394"/>
      <c r="AH363" s="1394"/>
      <c r="AI363" s="1394"/>
      <c r="AJ363" s="1395"/>
      <c r="AK363" s="1395"/>
      <c r="AL363" s="1395"/>
      <c r="AM363" s="1395"/>
      <c r="AN363" s="1395"/>
      <c r="AO363" s="1395"/>
      <c r="AP363" s="1395"/>
      <c r="AQ363" s="1395"/>
      <c r="AR363" s="1395"/>
      <c r="AS363" s="1395"/>
      <c r="AT363" s="1396"/>
      <c r="AU363" s="1413"/>
      <c r="AV363" s="1414"/>
    </row>
    <row r="364" spans="1:48" ht="20.100000000000001" customHeight="1" x14ac:dyDescent="0.25">
      <c r="A364" s="360"/>
      <c r="B364" s="1387"/>
      <c r="C364" s="1388"/>
      <c r="D364" s="1166" t="s">
        <v>209</v>
      </c>
      <c r="E364" s="1385"/>
      <c r="F364" s="1385"/>
      <c r="G364" s="1385"/>
      <c r="H364" s="2048"/>
      <c r="I364" s="2048"/>
      <c r="J364" s="2048"/>
      <c r="K364" s="1385"/>
      <c r="L364" s="1385"/>
      <c r="M364" s="1385"/>
      <c r="N364" s="2049">
        <v>0</v>
      </c>
      <c r="O364" s="2049">
        <v>0</v>
      </c>
      <c r="P364" s="2049">
        <v>0</v>
      </c>
      <c r="Q364" s="2028">
        <f t="shared" si="213"/>
        <v>0</v>
      </c>
      <c r="R364" s="2026">
        <f t="shared" si="211"/>
        <v>0</v>
      </c>
      <c r="S364" s="2029">
        <f t="shared" si="212"/>
        <v>0</v>
      </c>
      <c r="T364" s="853">
        <f t="shared" si="214"/>
        <v>0</v>
      </c>
      <c r="U364" s="1408" t="str">
        <f t="shared" si="215"/>
        <v>1.33</v>
      </c>
      <c r="V364" s="1408" t="str">
        <f t="shared" si="216"/>
        <v>D+</v>
      </c>
      <c r="W364" s="1408" t="str">
        <f t="shared" si="217"/>
        <v>0</v>
      </c>
      <c r="X364" s="1409"/>
      <c r="Y364" s="1393"/>
      <c r="Z364" s="1394"/>
      <c r="AA364" s="1394"/>
      <c r="AB364" s="1394"/>
      <c r="AC364" s="1394"/>
      <c r="AD364" s="1394"/>
      <c r="AE364" s="1394"/>
      <c r="AF364" s="1394"/>
      <c r="AG364" s="1394"/>
      <c r="AH364" s="1394"/>
      <c r="AI364" s="1394"/>
      <c r="AJ364" s="1395"/>
      <c r="AK364" s="1395"/>
      <c r="AL364" s="1395"/>
      <c r="AM364" s="1395"/>
      <c r="AN364" s="1395"/>
      <c r="AO364" s="1395"/>
      <c r="AP364" s="1395"/>
      <c r="AQ364" s="1395"/>
      <c r="AR364" s="1395"/>
      <c r="AS364" s="1395"/>
      <c r="AT364" s="1396"/>
      <c r="AU364" s="1413"/>
      <c r="AV364" s="1414"/>
    </row>
    <row r="365" spans="1:48" ht="20.100000000000001" customHeight="1" x14ac:dyDescent="0.25">
      <c r="A365" s="360"/>
      <c r="B365" s="1387"/>
      <c r="C365" s="1388"/>
      <c r="D365" s="1166" t="s">
        <v>210</v>
      </c>
      <c r="E365" s="1385"/>
      <c r="F365" s="1385"/>
      <c r="G365" s="1385"/>
      <c r="H365" s="2048"/>
      <c r="I365" s="2048"/>
      <c r="J365" s="2048"/>
      <c r="K365" s="1385"/>
      <c r="L365" s="1385"/>
      <c r="M365" s="1385"/>
      <c r="N365" s="2049">
        <v>0</v>
      </c>
      <c r="O365" s="2049">
        <v>0</v>
      </c>
      <c r="P365" s="2049">
        <v>0</v>
      </c>
      <c r="Q365" s="2028">
        <f t="shared" si="213"/>
        <v>0</v>
      </c>
      <c r="R365" s="2026">
        <f t="shared" si="211"/>
        <v>0</v>
      </c>
      <c r="S365" s="2029">
        <f t="shared" si="212"/>
        <v>0</v>
      </c>
      <c r="T365" s="853">
        <f t="shared" si="214"/>
        <v>0</v>
      </c>
      <c r="U365" s="1408" t="str">
        <f t="shared" si="215"/>
        <v>1.33</v>
      </c>
      <c r="V365" s="1408" t="str">
        <f t="shared" si="216"/>
        <v>D+</v>
      </c>
      <c r="W365" s="1408" t="str">
        <f t="shared" si="217"/>
        <v>0</v>
      </c>
      <c r="X365" s="1409"/>
      <c r="Y365" s="1397"/>
      <c r="Z365" s="1398"/>
      <c r="AA365" s="1398"/>
      <c r="AB365" s="1398"/>
      <c r="AC365" s="1398"/>
      <c r="AD365" s="1398"/>
      <c r="AE365" s="1398"/>
      <c r="AF365" s="1398"/>
      <c r="AG365" s="1398"/>
      <c r="AH365" s="1398"/>
      <c r="AI365" s="1398"/>
      <c r="AJ365" s="1399"/>
      <c r="AK365" s="1399"/>
      <c r="AL365" s="1399"/>
      <c r="AM365" s="1399"/>
      <c r="AN365" s="1399"/>
      <c r="AO365" s="1399"/>
      <c r="AP365" s="1399"/>
      <c r="AQ365" s="1399"/>
      <c r="AR365" s="1399"/>
      <c r="AS365" s="1399"/>
      <c r="AT365" s="1400"/>
      <c r="AU365" s="1415"/>
      <c r="AV365" s="1416"/>
    </row>
    <row r="366" spans="1:48" ht="20.100000000000001" customHeight="1" x14ac:dyDescent="0.25">
      <c r="A366" s="727"/>
      <c r="B366" s="1406">
        <v>30</v>
      </c>
      <c r="C366" s="1407"/>
      <c r="D366" s="1004"/>
      <c r="E366" s="2780"/>
      <c r="F366" s="2781"/>
      <c r="G366" s="2781"/>
      <c r="H366" s="2781"/>
      <c r="I366" s="2046"/>
      <c r="J366" s="2046"/>
      <c r="K366" s="2046"/>
      <c r="L366" s="2046"/>
      <c r="M366" s="2046"/>
      <c r="N366" s="2046"/>
      <c r="O366" s="2046"/>
      <c r="P366" s="2046"/>
      <c r="Q366" s="2046"/>
      <c r="R366" s="2046"/>
      <c r="S366" s="2046"/>
      <c r="T366" s="2044">
        <f>IFERROR(AVERAGE(T355:T365),"  ")</f>
        <v>0</v>
      </c>
      <c r="U366" s="2045" t="str">
        <f>IF(X366&gt;85,("4"),IF(X366&gt;80,("3.66"),IF(X366&gt;75,("3.33"),IF(X366&gt;70,("3.00"),IF(X366&gt;65,("2.66"),IF(X366&gt;60,("2.33"),IF(X366&gt;55,("2"),IF(X366&gt;50,("1.66"),"1.33"))))))))</f>
        <v>1.33</v>
      </c>
      <c r="V366" s="2045" t="str">
        <f>IF(X366&gt;85,("A"),IF(X366&gt;80,("A-"),IF(X366&gt;75,("B+"),IF(X366&gt;70,("B"),IF(X366&gt;65,("B-"),IF(X366&gt;60,("C+"),IF(X366&gt;55,("C"),IF(X366&gt;50,("C-"),"D+"))))))))</f>
        <v>D+</v>
      </c>
      <c r="W366" s="2045"/>
      <c r="X366" s="888">
        <f>MAX(T355:T365)</f>
        <v>0</v>
      </c>
      <c r="Y366" s="1403"/>
      <c r="Z366" s="1404"/>
      <c r="AA366" s="1404"/>
      <c r="AB366" s="1404"/>
      <c r="AC366" s="1404"/>
      <c r="AD366" s="1404"/>
      <c r="AE366" s="1404"/>
      <c r="AF366" s="1404"/>
      <c r="AG366" s="1404"/>
      <c r="AH366" s="1404"/>
      <c r="AI366" s="1404"/>
      <c r="AJ366" s="1404"/>
      <c r="AK366" s="1404"/>
      <c r="AL366" s="1404"/>
      <c r="AM366" s="1404"/>
      <c r="AN366" s="1404"/>
      <c r="AO366" s="1404"/>
      <c r="AP366" s="1404"/>
      <c r="AQ366" s="1404"/>
      <c r="AR366" s="1404"/>
      <c r="AS366" s="1404"/>
      <c r="AT366" s="1405"/>
      <c r="AU366" s="1257"/>
      <c r="AV366" s="1258"/>
    </row>
    <row r="367" spans="1:48" ht="20.100000000000001" customHeight="1" x14ac:dyDescent="0.25">
      <c r="A367" s="724">
        <v>31</v>
      </c>
      <c r="B367" s="1383"/>
      <c r="C367" s="1384" t="e">
        <f>VLOOKUP(A367,data_siswa,4,FALSE)</f>
        <v>#N/A</v>
      </c>
      <c r="D367" s="1166" t="s">
        <v>154</v>
      </c>
      <c r="E367" s="2050">
        <v>0</v>
      </c>
      <c r="F367" s="2050">
        <v>0</v>
      </c>
      <c r="G367" s="2050">
        <v>0</v>
      </c>
      <c r="H367" s="2051"/>
      <c r="I367" s="2051"/>
      <c r="J367" s="2051"/>
      <c r="K367" s="2050"/>
      <c r="L367" s="2050"/>
      <c r="M367" s="2050"/>
      <c r="N367" s="2052"/>
      <c r="O367" s="2052"/>
      <c r="P367" s="2052"/>
      <c r="Q367" s="2028">
        <f>MAX(E367,H367,K367,N367)</f>
        <v>0</v>
      </c>
      <c r="R367" s="2026">
        <f t="shared" ref="R367:R377" si="218">MAX(F367,I367,L367,O367)</f>
        <v>0</v>
      </c>
      <c r="S367" s="2029">
        <f t="shared" ref="S367:S377" si="219">MAX(G367,J367,M367,P367)</f>
        <v>0</v>
      </c>
      <c r="T367" s="853">
        <f>IFERROR(AVERAGE(Q367:S367),"")</f>
        <v>0</v>
      </c>
      <c r="U367" s="1408" t="str">
        <f>IF(T367&gt;85,("4"),IF(T367&gt;80,("3.66"),IF(T367&gt;75,("3.33"),IF(T367&gt;70,("3.00"),IF(T367&gt;65,("2.66"),IF(T367&gt;60,("2.33"),IF(T367&gt;55,("2"),IF(T367&gt;50,("1.66"),"1.33"))))))))</f>
        <v>1.33</v>
      </c>
      <c r="V367" s="1408" t="str">
        <f>IF(T367&gt;85,("A"),IF(T367&gt;80,("A-"),IF(T367&gt;75,("B+"),IF(T367&gt;70,("B"),IF(T367&gt;65,("B-"),IF(T367&gt;60,("C+"),IF(T367&gt;55,("C"),IF(T367&gt;50,("C-"),"D+"))))))))</f>
        <v>D+</v>
      </c>
      <c r="W367" s="1408" t="str">
        <f>IF(T367&gt;80,("SB"),IF(T367&gt;65,("B"),IF(T367&gt;50,("C"),IF(T367&gt;0,("K"),"0"))))</f>
        <v>0</v>
      </c>
      <c r="X367" s="1408"/>
      <c r="Y367" s="749"/>
      <c r="Z367" s="749"/>
      <c r="AA367" s="749"/>
      <c r="AB367" s="749"/>
      <c r="AC367" s="749"/>
      <c r="AD367" s="749"/>
      <c r="AE367" s="749"/>
      <c r="AF367" s="749"/>
      <c r="AG367" s="749"/>
      <c r="AH367" s="749"/>
      <c r="AI367" s="749"/>
      <c r="AJ367" s="1386"/>
      <c r="AK367" s="1386"/>
      <c r="AL367" s="1386"/>
      <c r="AM367" s="1386"/>
      <c r="AN367" s="1386"/>
      <c r="AO367" s="1386"/>
      <c r="AP367" s="1386"/>
      <c r="AQ367" s="1386"/>
      <c r="AR367" s="1386"/>
      <c r="AS367" s="1386"/>
      <c r="AT367" s="1386"/>
      <c r="AU367" s="1057">
        <f>T378</f>
        <v>0</v>
      </c>
      <c r="AV367" s="1194" t="str">
        <f>IF(AU367&gt;85,("A"),IF(AU367&gt;80,("A-"),IF(AU367&gt;75,("B+"),IF(AU367&gt;70,("B"),IF(AU367&gt;65,("B-"),IF(AU367&gt;60,("C+"),IF(AU367&gt;55,("C"),IF(AU367&gt;50,("C-"),"D+"))))))))</f>
        <v>D+</v>
      </c>
    </row>
    <row r="368" spans="1:48" ht="20.100000000000001" customHeight="1" x14ac:dyDescent="0.25">
      <c r="A368" s="360"/>
      <c r="B368" s="1387"/>
      <c r="C368" s="1388"/>
      <c r="D368" s="1166" t="s">
        <v>155</v>
      </c>
      <c r="E368" s="1493"/>
      <c r="F368" s="1493"/>
      <c r="G368" s="1493"/>
      <c r="H368" s="2040"/>
      <c r="I368" s="2040"/>
      <c r="J368" s="2040"/>
      <c r="K368" s="1493"/>
      <c r="L368" s="1493"/>
      <c r="M368" s="1493"/>
      <c r="N368" s="2039">
        <v>0</v>
      </c>
      <c r="O368" s="2039">
        <v>0</v>
      </c>
      <c r="P368" s="2039">
        <v>0</v>
      </c>
      <c r="Q368" s="2028">
        <f t="shared" ref="Q368:Q377" si="220">MAX(E368,H368,K368,N368)</f>
        <v>0</v>
      </c>
      <c r="R368" s="2026">
        <f t="shared" si="218"/>
        <v>0</v>
      </c>
      <c r="S368" s="2029">
        <f t="shared" si="219"/>
        <v>0</v>
      </c>
      <c r="T368" s="853">
        <f t="shared" ref="T368:T377" si="221">IFERROR(AVERAGE(Q368:S368),"")</f>
        <v>0</v>
      </c>
      <c r="U368" s="1408" t="str">
        <f t="shared" ref="U368:U377" si="222">IF(T368&gt;85,("4"),IF(T368&gt;80,("3.66"),IF(T368&gt;75,("3.33"),IF(T368&gt;70,("3.00"),IF(T368&gt;65,("2.66"),IF(T368&gt;60,("2.33"),IF(T368&gt;55,("2"),IF(T368&gt;50,("1.66"),"1.33"))))))))</f>
        <v>1.33</v>
      </c>
      <c r="V368" s="1408" t="str">
        <f t="shared" ref="V368:V377" si="223">IF(T368&gt;85,("A"),IF(T368&gt;80,("A-"),IF(T368&gt;75,("B+"),IF(T368&gt;70,("B"),IF(T368&gt;65,("B-"),IF(T368&gt;60,("C+"),IF(T368&gt;55,("C"),IF(T368&gt;50,("C-"),"D+"))))))))</f>
        <v>D+</v>
      </c>
      <c r="W368" s="1408" t="str">
        <f t="shared" ref="W368:W377" si="224">IF(T368&gt;80,("SB"),IF(T368&gt;65,("B"),IF(T368&gt;50,("C"),IF(T368&gt;0,("K"),"0"))))</f>
        <v>0</v>
      </c>
      <c r="X368" s="1409"/>
      <c r="Y368" s="1389"/>
      <c r="Z368" s="1390"/>
      <c r="AA368" s="1390"/>
      <c r="AB368" s="1390"/>
      <c r="AC368" s="1390"/>
      <c r="AD368" s="1390"/>
      <c r="AE368" s="1390"/>
      <c r="AF368" s="1390"/>
      <c r="AG368" s="1390"/>
      <c r="AH368" s="1390"/>
      <c r="AI368" s="1390"/>
      <c r="AJ368" s="1391"/>
      <c r="AK368" s="1391"/>
      <c r="AL368" s="1391"/>
      <c r="AM368" s="1391"/>
      <c r="AN368" s="1391"/>
      <c r="AO368" s="1391"/>
      <c r="AP368" s="1391"/>
      <c r="AQ368" s="1391"/>
      <c r="AR368" s="1391"/>
      <c r="AS368" s="1391"/>
      <c r="AT368" s="1392"/>
      <c r="AU368" s="1411"/>
      <c r="AV368" s="1412"/>
    </row>
    <row r="369" spans="1:48" ht="20.100000000000001" customHeight="1" x14ac:dyDescent="0.25">
      <c r="A369" s="360"/>
      <c r="B369" s="1387"/>
      <c r="C369" s="1388"/>
      <c r="D369" s="1166" t="s">
        <v>16</v>
      </c>
      <c r="E369" s="1493"/>
      <c r="F369" s="1493"/>
      <c r="G369" s="1493"/>
      <c r="H369" s="2040">
        <v>0</v>
      </c>
      <c r="I369" s="2040">
        <v>0</v>
      </c>
      <c r="J369" s="2040">
        <v>0</v>
      </c>
      <c r="K369" s="1493"/>
      <c r="L369" s="1493"/>
      <c r="M369" s="1493"/>
      <c r="N369" s="2052"/>
      <c r="O369" s="2052"/>
      <c r="P369" s="2052"/>
      <c r="Q369" s="2028">
        <f t="shared" si="220"/>
        <v>0</v>
      </c>
      <c r="R369" s="2026">
        <f t="shared" si="218"/>
        <v>0</v>
      </c>
      <c r="S369" s="2029">
        <f t="shared" si="219"/>
        <v>0</v>
      </c>
      <c r="T369" s="853">
        <f t="shared" si="221"/>
        <v>0</v>
      </c>
      <c r="U369" s="1408" t="str">
        <f t="shared" si="222"/>
        <v>1.33</v>
      </c>
      <c r="V369" s="1408" t="str">
        <f t="shared" si="223"/>
        <v>D+</v>
      </c>
      <c r="W369" s="1408" t="str">
        <f t="shared" si="224"/>
        <v>0</v>
      </c>
      <c r="X369" s="1409"/>
      <c r="Y369" s="1393"/>
      <c r="Z369" s="1394"/>
      <c r="AA369" s="1394"/>
      <c r="AB369" s="1394"/>
      <c r="AC369" s="1394"/>
      <c r="AD369" s="1394"/>
      <c r="AE369" s="1394"/>
      <c r="AF369" s="1394"/>
      <c r="AG369" s="1394"/>
      <c r="AH369" s="1394"/>
      <c r="AI369" s="1394"/>
      <c r="AJ369" s="1395"/>
      <c r="AK369" s="1395"/>
      <c r="AL369" s="1395"/>
      <c r="AM369" s="1395"/>
      <c r="AN369" s="1395"/>
      <c r="AO369" s="1395"/>
      <c r="AP369" s="1395"/>
      <c r="AQ369" s="1395"/>
      <c r="AR369" s="1395"/>
      <c r="AS369" s="1395"/>
      <c r="AT369" s="1396"/>
      <c r="AU369" s="1413"/>
      <c r="AV369" s="1414"/>
    </row>
    <row r="370" spans="1:48" ht="20.100000000000001" customHeight="1" x14ac:dyDescent="0.25">
      <c r="A370" s="360"/>
      <c r="B370" s="1387"/>
      <c r="C370" s="1388"/>
      <c r="D370" s="1166" t="s">
        <v>189</v>
      </c>
      <c r="E370" s="1493"/>
      <c r="F370" s="1493"/>
      <c r="G370" s="1493"/>
      <c r="H370" s="2040">
        <v>0</v>
      </c>
      <c r="I370" s="2040">
        <v>0</v>
      </c>
      <c r="J370" s="2040">
        <v>0</v>
      </c>
      <c r="K370" s="1493"/>
      <c r="L370" s="1493"/>
      <c r="M370" s="1493"/>
      <c r="N370" s="2039"/>
      <c r="O370" s="2039"/>
      <c r="P370" s="2039"/>
      <c r="Q370" s="2028">
        <f t="shared" si="220"/>
        <v>0</v>
      </c>
      <c r="R370" s="2026">
        <f t="shared" si="218"/>
        <v>0</v>
      </c>
      <c r="S370" s="2029">
        <f t="shared" si="219"/>
        <v>0</v>
      </c>
      <c r="T370" s="853">
        <f t="shared" si="221"/>
        <v>0</v>
      </c>
      <c r="U370" s="1408" t="str">
        <f t="shared" si="222"/>
        <v>1.33</v>
      </c>
      <c r="V370" s="1408" t="str">
        <f t="shared" si="223"/>
        <v>D+</v>
      </c>
      <c r="W370" s="1408" t="str">
        <f t="shared" si="224"/>
        <v>0</v>
      </c>
      <c r="X370" s="1409"/>
      <c r="Y370" s="1393"/>
      <c r="Z370" s="1394"/>
      <c r="AA370" s="1394"/>
      <c r="AB370" s="1394"/>
      <c r="AC370" s="1394"/>
      <c r="AD370" s="1394"/>
      <c r="AE370" s="1394"/>
      <c r="AF370" s="1394"/>
      <c r="AG370" s="1394"/>
      <c r="AH370" s="1394"/>
      <c r="AI370" s="1394"/>
      <c r="AJ370" s="1395"/>
      <c r="AK370" s="1395"/>
      <c r="AL370" s="1395"/>
      <c r="AM370" s="1395"/>
      <c r="AN370" s="1395"/>
      <c r="AO370" s="1395"/>
      <c r="AP370" s="1395"/>
      <c r="AQ370" s="1395"/>
      <c r="AR370" s="1395"/>
      <c r="AS370" s="1395"/>
      <c r="AT370" s="1396"/>
      <c r="AU370" s="1413"/>
      <c r="AV370" s="1414"/>
    </row>
    <row r="371" spans="1:48" ht="20.100000000000001" customHeight="1" x14ac:dyDescent="0.25">
      <c r="A371" s="360"/>
      <c r="B371" s="1387"/>
      <c r="C371" s="1388"/>
      <c r="D371" s="1166" t="s">
        <v>186</v>
      </c>
      <c r="E371" s="1493"/>
      <c r="F371" s="1493"/>
      <c r="G371" s="1493"/>
      <c r="H371" s="2040">
        <v>0</v>
      </c>
      <c r="I371" s="2040">
        <v>0</v>
      </c>
      <c r="J371" s="2040">
        <v>0</v>
      </c>
      <c r="K371" s="1493"/>
      <c r="L371" s="1493"/>
      <c r="M371" s="1493"/>
      <c r="N371" s="2039"/>
      <c r="O371" s="2039"/>
      <c r="P371" s="2039"/>
      <c r="Q371" s="2028">
        <f t="shared" si="220"/>
        <v>0</v>
      </c>
      <c r="R371" s="2026">
        <f t="shared" si="218"/>
        <v>0</v>
      </c>
      <c r="S371" s="2029">
        <f t="shared" si="219"/>
        <v>0</v>
      </c>
      <c r="T371" s="853">
        <f t="shared" si="221"/>
        <v>0</v>
      </c>
      <c r="U371" s="1408" t="str">
        <f t="shared" si="222"/>
        <v>1.33</v>
      </c>
      <c r="V371" s="1408" t="str">
        <f t="shared" si="223"/>
        <v>D+</v>
      </c>
      <c r="W371" s="1408" t="str">
        <f t="shared" si="224"/>
        <v>0</v>
      </c>
      <c r="X371" s="1409"/>
      <c r="Y371" s="1393"/>
      <c r="Z371" s="1394"/>
      <c r="AA371" s="1394"/>
      <c r="AB371" s="1394"/>
      <c r="AC371" s="1394"/>
      <c r="AD371" s="1394"/>
      <c r="AE371" s="1394"/>
      <c r="AF371" s="1394"/>
      <c r="AG371" s="1394"/>
      <c r="AH371" s="1394"/>
      <c r="AI371" s="1394"/>
      <c r="AJ371" s="1395"/>
      <c r="AK371" s="1395"/>
      <c r="AL371" s="1395"/>
      <c r="AM371" s="1395"/>
      <c r="AN371" s="1395"/>
      <c r="AO371" s="1395"/>
      <c r="AP371" s="1395"/>
      <c r="AQ371" s="1395"/>
      <c r="AR371" s="1395"/>
      <c r="AS371" s="1395"/>
      <c r="AT371" s="1396"/>
      <c r="AU371" s="1413"/>
      <c r="AV371" s="1414"/>
    </row>
    <row r="372" spans="1:48" ht="20.100000000000001" customHeight="1" x14ac:dyDescent="0.25">
      <c r="A372" s="360"/>
      <c r="B372" s="1387"/>
      <c r="C372" s="1388"/>
      <c r="D372" s="1166" t="s">
        <v>187</v>
      </c>
      <c r="E372" s="1385"/>
      <c r="F372" s="1385"/>
      <c r="G372" s="1385"/>
      <c r="H372" s="2048"/>
      <c r="I372" s="2048"/>
      <c r="J372" s="2048"/>
      <c r="K372" s="1385">
        <v>0</v>
      </c>
      <c r="L372" s="1385">
        <v>0</v>
      </c>
      <c r="M372" s="1385">
        <v>0</v>
      </c>
      <c r="N372" s="2049"/>
      <c r="O372" s="2049"/>
      <c r="P372" s="2049"/>
      <c r="Q372" s="2028">
        <f t="shared" si="220"/>
        <v>0</v>
      </c>
      <c r="R372" s="2026">
        <f t="shared" si="218"/>
        <v>0</v>
      </c>
      <c r="S372" s="2029">
        <f t="shared" si="219"/>
        <v>0</v>
      </c>
      <c r="T372" s="853">
        <f t="shared" si="221"/>
        <v>0</v>
      </c>
      <c r="U372" s="1408" t="str">
        <f t="shared" si="222"/>
        <v>1.33</v>
      </c>
      <c r="V372" s="1408" t="str">
        <f t="shared" si="223"/>
        <v>D+</v>
      </c>
      <c r="W372" s="1408" t="str">
        <f t="shared" si="224"/>
        <v>0</v>
      </c>
      <c r="X372" s="1409"/>
      <c r="Y372" s="1393"/>
      <c r="Z372" s="1394"/>
      <c r="AA372" s="1394"/>
      <c r="AB372" s="1394"/>
      <c r="AC372" s="1394"/>
      <c r="AD372" s="1394"/>
      <c r="AE372" s="1394"/>
      <c r="AF372" s="1394"/>
      <c r="AG372" s="1394"/>
      <c r="AH372" s="1394"/>
      <c r="AI372" s="1394"/>
      <c r="AJ372" s="1395"/>
      <c r="AK372" s="1395"/>
      <c r="AL372" s="1395"/>
      <c r="AM372" s="1395"/>
      <c r="AN372" s="1395"/>
      <c r="AO372" s="1395"/>
      <c r="AP372" s="1395"/>
      <c r="AQ372" s="1395"/>
      <c r="AR372" s="1395"/>
      <c r="AS372" s="1395"/>
      <c r="AT372" s="1396"/>
      <c r="AU372" s="1413"/>
      <c r="AV372" s="1414"/>
    </row>
    <row r="373" spans="1:48" ht="20.100000000000001" customHeight="1" x14ac:dyDescent="0.25">
      <c r="A373" s="360"/>
      <c r="B373" s="1387"/>
      <c r="C373" s="1388"/>
      <c r="D373" s="1166" t="s">
        <v>17</v>
      </c>
      <c r="E373" s="1385">
        <v>0</v>
      </c>
      <c r="F373" s="1385">
        <v>0</v>
      </c>
      <c r="G373" s="1385">
        <v>0</v>
      </c>
      <c r="H373" s="2048">
        <v>0</v>
      </c>
      <c r="I373" s="2048">
        <v>0</v>
      </c>
      <c r="J373" s="2048">
        <v>0</v>
      </c>
      <c r="K373" s="1385"/>
      <c r="L373" s="1385"/>
      <c r="M373" s="1385"/>
      <c r="N373" s="2049"/>
      <c r="O373" s="2049"/>
      <c r="P373" s="2049"/>
      <c r="Q373" s="2028">
        <f t="shared" si="220"/>
        <v>0</v>
      </c>
      <c r="R373" s="2026">
        <f t="shared" si="218"/>
        <v>0</v>
      </c>
      <c r="S373" s="2029">
        <f t="shared" si="219"/>
        <v>0</v>
      </c>
      <c r="T373" s="853">
        <f t="shared" si="221"/>
        <v>0</v>
      </c>
      <c r="U373" s="1408" t="str">
        <f t="shared" si="222"/>
        <v>1.33</v>
      </c>
      <c r="V373" s="1408" t="str">
        <f t="shared" si="223"/>
        <v>D+</v>
      </c>
      <c r="W373" s="1408" t="str">
        <f t="shared" si="224"/>
        <v>0</v>
      </c>
      <c r="X373" s="1409"/>
      <c r="Y373" s="1393"/>
      <c r="Z373" s="1394"/>
      <c r="AA373" s="1394"/>
      <c r="AB373" s="1394"/>
      <c r="AC373" s="1394"/>
      <c r="AD373" s="1394"/>
      <c r="AE373" s="1394"/>
      <c r="AF373" s="1394"/>
      <c r="AG373" s="1394"/>
      <c r="AH373" s="1394"/>
      <c r="AI373" s="1394"/>
      <c r="AJ373" s="1395"/>
      <c r="AK373" s="1395"/>
      <c r="AL373" s="1395"/>
      <c r="AM373" s="1395"/>
      <c r="AN373" s="1395"/>
      <c r="AO373" s="1395"/>
      <c r="AP373" s="1395"/>
      <c r="AQ373" s="1395"/>
      <c r="AR373" s="1395"/>
      <c r="AS373" s="1395"/>
      <c r="AT373" s="1396"/>
      <c r="AU373" s="1413"/>
      <c r="AV373" s="1414"/>
    </row>
    <row r="374" spans="1:48" ht="20.100000000000001" customHeight="1" x14ac:dyDescent="0.25">
      <c r="A374" s="360"/>
      <c r="B374" s="1387"/>
      <c r="C374" s="1388"/>
      <c r="D374" s="1166" t="s">
        <v>188</v>
      </c>
      <c r="E374" s="1385"/>
      <c r="F374" s="1385"/>
      <c r="G374" s="1385"/>
      <c r="H374" s="2048">
        <v>0</v>
      </c>
      <c r="I374" s="2048">
        <v>0</v>
      </c>
      <c r="J374" s="2048">
        <v>0</v>
      </c>
      <c r="K374" s="1385"/>
      <c r="L374" s="1385"/>
      <c r="M374" s="1385"/>
      <c r="N374" s="2049"/>
      <c r="O374" s="2049"/>
      <c r="P374" s="2049"/>
      <c r="Q374" s="2028">
        <f t="shared" si="220"/>
        <v>0</v>
      </c>
      <c r="R374" s="2026">
        <f t="shared" si="218"/>
        <v>0</v>
      </c>
      <c r="S374" s="2029">
        <f t="shared" si="219"/>
        <v>0</v>
      </c>
      <c r="T374" s="853">
        <f t="shared" si="221"/>
        <v>0</v>
      </c>
      <c r="U374" s="1408" t="str">
        <f t="shared" si="222"/>
        <v>1.33</v>
      </c>
      <c r="V374" s="1408" t="str">
        <f t="shared" si="223"/>
        <v>D+</v>
      </c>
      <c r="W374" s="1408" t="str">
        <f t="shared" si="224"/>
        <v>0</v>
      </c>
      <c r="X374" s="1409"/>
      <c r="Y374" s="1393"/>
      <c r="Z374" s="1394"/>
      <c r="AA374" s="1394"/>
      <c r="AB374" s="1394"/>
      <c r="AC374" s="1394"/>
      <c r="AD374" s="1394"/>
      <c r="AE374" s="1394"/>
      <c r="AF374" s="1394"/>
      <c r="AG374" s="1394"/>
      <c r="AH374" s="1394"/>
      <c r="AI374" s="1394"/>
      <c r="AJ374" s="1395"/>
      <c r="AK374" s="1395"/>
      <c r="AL374" s="1395"/>
      <c r="AM374" s="1395"/>
      <c r="AN374" s="1395"/>
      <c r="AO374" s="1395"/>
      <c r="AP374" s="1395"/>
      <c r="AQ374" s="1395"/>
      <c r="AR374" s="1395"/>
      <c r="AS374" s="1395"/>
      <c r="AT374" s="1396"/>
      <c r="AU374" s="1413"/>
      <c r="AV374" s="1414"/>
    </row>
    <row r="375" spans="1:48" ht="20.100000000000001" customHeight="1" x14ac:dyDescent="0.25">
      <c r="A375" s="360"/>
      <c r="B375" s="1387"/>
      <c r="C375" s="1388"/>
      <c r="D375" s="1166" t="s">
        <v>569</v>
      </c>
      <c r="E375" s="1385"/>
      <c r="F375" s="1385"/>
      <c r="G375" s="1385"/>
      <c r="H375" s="2048"/>
      <c r="I375" s="2048"/>
      <c r="J375" s="2048"/>
      <c r="K375" s="1385">
        <v>0</v>
      </c>
      <c r="L375" s="1385">
        <v>0</v>
      </c>
      <c r="M375" s="1385">
        <v>0</v>
      </c>
      <c r="N375" s="2049"/>
      <c r="O375" s="2049"/>
      <c r="P375" s="2049"/>
      <c r="Q375" s="2028">
        <f t="shared" si="220"/>
        <v>0</v>
      </c>
      <c r="R375" s="2026">
        <f t="shared" si="218"/>
        <v>0</v>
      </c>
      <c r="S375" s="2029">
        <f t="shared" si="219"/>
        <v>0</v>
      </c>
      <c r="T375" s="853">
        <f t="shared" si="221"/>
        <v>0</v>
      </c>
      <c r="U375" s="1408" t="str">
        <f t="shared" si="222"/>
        <v>1.33</v>
      </c>
      <c r="V375" s="1408" t="str">
        <f t="shared" si="223"/>
        <v>D+</v>
      </c>
      <c r="W375" s="1408" t="str">
        <f t="shared" si="224"/>
        <v>0</v>
      </c>
      <c r="X375" s="1409"/>
      <c r="Y375" s="1393"/>
      <c r="Z375" s="1394"/>
      <c r="AA375" s="1394"/>
      <c r="AB375" s="1394"/>
      <c r="AC375" s="1394"/>
      <c r="AD375" s="1394"/>
      <c r="AE375" s="1394"/>
      <c r="AF375" s="1394"/>
      <c r="AG375" s="1394"/>
      <c r="AH375" s="1394"/>
      <c r="AI375" s="1394"/>
      <c r="AJ375" s="1395"/>
      <c r="AK375" s="1395"/>
      <c r="AL375" s="1395"/>
      <c r="AM375" s="1395"/>
      <c r="AN375" s="1395"/>
      <c r="AO375" s="1395"/>
      <c r="AP375" s="1395"/>
      <c r="AQ375" s="1395"/>
      <c r="AR375" s="1395"/>
      <c r="AS375" s="1395"/>
      <c r="AT375" s="1396"/>
      <c r="AU375" s="1413"/>
      <c r="AV375" s="1414"/>
    </row>
    <row r="376" spans="1:48" ht="20.100000000000001" customHeight="1" x14ac:dyDescent="0.25">
      <c r="A376" s="360"/>
      <c r="B376" s="1387"/>
      <c r="C376" s="1388"/>
      <c r="D376" s="1166" t="s">
        <v>209</v>
      </c>
      <c r="E376" s="1385"/>
      <c r="F376" s="1385"/>
      <c r="G376" s="1385"/>
      <c r="H376" s="2048"/>
      <c r="I376" s="2048"/>
      <c r="J376" s="2048"/>
      <c r="K376" s="1385"/>
      <c r="L376" s="1385"/>
      <c r="M376" s="1385"/>
      <c r="N376" s="2049">
        <v>0</v>
      </c>
      <c r="O376" s="2049">
        <v>0</v>
      </c>
      <c r="P376" s="2049">
        <v>0</v>
      </c>
      <c r="Q376" s="2028">
        <f t="shared" si="220"/>
        <v>0</v>
      </c>
      <c r="R376" s="2026">
        <f t="shared" si="218"/>
        <v>0</v>
      </c>
      <c r="S376" s="2029">
        <f t="shared" si="219"/>
        <v>0</v>
      </c>
      <c r="T376" s="853">
        <f t="shared" si="221"/>
        <v>0</v>
      </c>
      <c r="U376" s="1408" t="str">
        <f t="shared" si="222"/>
        <v>1.33</v>
      </c>
      <c r="V376" s="1408" t="str">
        <f t="shared" si="223"/>
        <v>D+</v>
      </c>
      <c r="W376" s="1408" t="str">
        <f t="shared" si="224"/>
        <v>0</v>
      </c>
      <c r="X376" s="1409"/>
      <c r="Y376" s="1393"/>
      <c r="Z376" s="1394"/>
      <c r="AA376" s="1394"/>
      <c r="AB376" s="1394"/>
      <c r="AC376" s="1394"/>
      <c r="AD376" s="1394"/>
      <c r="AE376" s="1394"/>
      <c r="AF376" s="1394"/>
      <c r="AG376" s="1394"/>
      <c r="AH376" s="1394"/>
      <c r="AI376" s="1394"/>
      <c r="AJ376" s="1395"/>
      <c r="AK376" s="1395"/>
      <c r="AL376" s="1395"/>
      <c r="AM376" s="1395"/>
      <c r="AN376" s="1395"/>
      <c r="AO376" s="1395"/>
      <c r="AP376" s="1395"/>
      <c r="AQ376" s="1395"/>
      <c r="AR376" s="1395"/>
      <c r="AS376" s="1395"/>
      <c r="AT376" s="1396"/>
      <c r="AU376" s="1413"/>
      <c r="AV376" s="1414"/>
    </row>
    <row r="377" spans="1:48" ht="20.100000000000001" customHeight="1" x14ac:dyDescent="0.25">
      <c r="A377" s="360"/>
      <c r="B377" s="1387"/>
      <c r="C377" s="1388"/>
      <c r="D377" s="1166" t="s">
        <v>210</v>
      </c>
      <c r="E377" s="1385"/>
      <c r="F377" s="1385"/>
      <c r="G377" s="1385"/>
      <c r="H377" s="2048"/>
      <c r="I377" s="2048"/>
      <c r="J377" s="2048"/>
      <c r="K377" s="1385"/>
      <c r="L377" s="1385"/>
      <c r="M377" s="1385"/>
      <c r="N377" s="2049">
        <v>0</v>
      </c>
      <c r="O377" s="2049">
        <v>0</v>
      </c>
      <c r="P377" s="2049">
        <v>0</v>
      </c>
      <c r="Q377" s="2028">
        <f t="shared" si="220"/>
        <v>0</v>
      </c>
      <c r="R377" s="2026">
        <f t="shared" si="218"/>
        <v>0</v>
      </c>
      <c r="S377" s="2029">
        <f t="shared" si="219"/>
        <v>0</v>
      </c>
      <c r="T377" s="853">
        <f t="shared" si="221"/>
        <v>0</v>
      </c>
      <c r="U377" s="1408" t="str">
        <f t="shared" si="222"/>
        <v>1.33</v>
      </c>
      <c r="V377" s="1408" t="str">
        <f t="shared" si="223"/>
        <v>D+</v>
      </c>
      <c r="W377" s="1408" t="str">
        <f t="shared" si="224"/>
        <v>0</v>
      </c>
      <c r="X377" s="1409"/>
      <c r="Y377" s="1397"/>
      <c r="Z377" s="1398"/>
      <c r="AA377" s="1398"/>
      <c r="AB377" s="1398"/>
      <c r="AC377" s="1398"/>
      <c r="AD377" s="1398"/>
      <c r="AE377" s="1398"/>
      <c r="AF377" s="1398"/>
      <c r="AG377" s="1398"/>
      <c r="AH377" s="1398"/>
      <c r="AI377" s="1398"/>
      <c r="AJ377" s="1399"/>
      <c r="AK377" s="1399"/>
      <c r="AL377" s="1399"/>
      <c r="AM377" s="1399"/>
      <c r="AN377" s="1399"/>
      <c r="AO377" s="1399"/>
      <c r="AP377" s="1399"/>
      <c r="AQ377" s="1399"/>
      <c r="AR377" s="1399"/>
      <c r="AS377" s="1399"/>
      <c r="AT377" s="1400"/>
      <c r="AU377" s="1415"/>
      <c r="AV377" s="1416"/>
    </row>
    <row r="378" spans="1:48" ht="20.100000000000001" customHeight="1" x14ac:dyDescent="0.25">
      <c r="A378" s="727"/>
      <c r="B378" s="1406">
        <v>31</v>
      </c>
      <c r="C378" s="1407"/>
      <c r="D378" s="1004"/>
      <c r="E378" s="2780"/>
      <c r="F378" s="2781"/>
      <c r="G378" s="2781"/>
      <c r="H378" s="2781"/>
      <c r="I378" s="2046"/>
      <c r="J378" s="2046"/>
      <c r="K378" s="2046"/>
      <c r="L378" s="2046"/>
      <c r="M378" s="2046"/>
      <c r="N378" s="2046"/>
      <c r="O378" s="2046"/>
      <c r="P378" s="2046"/>
      <c r="Q378" s="2046"/>
      <c r="R378" s="2046"/>
      <c r="S378" s="2046"/>
      <c r="T378" s="2044">
        <f>IFERROR(AVERAGE(T367:T377),"  ")</f>
        <v>0</v>
      </c>
      <c r="U378" s="2045" t="str">
        <f>IF(X378&gt;85,("4"),IF(X378&gt;80,("3.66"),IF(X378&gt;75,("3.33"),IF(X378&gt;70,("3.00"),IF(X378&gt;65,("2.66"),IF(X378&gt;60,("2.33"),IF(X378&gt;55,("2"),IF(X378&gt;50,("1.66"),"1.33"))))))))</f>
        <v>1.33</v>
      </c>
      <c r="V378" s="2045" t="str">
        <f>IF(X378&gt;85,("A"),IF(X378&gt;80,("A-"),IF(X378&gt;75,("B+"),IF(X378&gt;70,("B"),IF(X378&gt;65,("B-"),IF(X378&gt;60,("C+"),IF(X378&gt;55,("C"),IF(X378&gt;50,("C-"),"D+"))))))))</f>
        <v>D+</v>
      </c>
      <c r="W378" s="2045"/>
      <c r="X378" s="888">
        <f>MAX(T367:T377)</f>
        <v>0</v>
      </c>
      <c r="Y378" s="1403"/>
      <c r="Z378" s="1404"/>
      <c r="AA378" s="1404"/>
      <c r="AB378" s="1404"/>
      <c r="AC378" s="1404"/>
      <c r="AD378" s="1404"/>
      <c r="AE378" s="1404"/>
      <c r="AF378" s="1404"/>
      <c r="AG378" s="1404"/>
      <c r="AH378" s="1404"/>
      <c r="AI378" s="1404"/>
      <c r="AJ378" s="1404"/>
      <c r="AK378" s="1404"/>
      <c r="AL378" s="1404"/>
      <c r="AM378" s="1404"/>
      <c r="AN378" s="1404"/>
      <c r="AO378" s="1404"/>
      <c r="AP378" s="1404"/>
      <c r="AQ378" s="1404"/>
      <c r="AR378" s="1404"/>
      <c r="AS378" s="1404"/>
      <c r="AT378" s="1405"/>
      <c r="AU378" s="1257"/>
      <c r="AV378" s="1258"/>
    </row>
    <row r="379" spans="1:48" ht="20.100000000000001" customHeight="1" x14ac:dyDescent="0.25">
      <c r="A379" s="724">
        <v>32</v>
      </c>
      <c r="B379" s="1383"/>
      <c r="C379" s="1384" t="e">
        <f>VLOOKUP(A379,data_siswa,4,FALSE)</f>
        <v>#N/A</v>
      </c>
      <c r="D379" s="1166" t="s">
        <v>154</v>
      </c>
      <c r="E379" s="2050">
        <v>0</v>
      </c>
      <c r="F379" s="2050">
        <v>0</v>
      </c>
      <c r="G379" s="2050">
        <v>0</v>
      </c>
      <c r="H379" s="2051"/>
      <c r="I379" s="2051"/>
      <c r="J379" s="2051"/>
      <c r="K379" s="2050"/>
      <c r="L379" s="2050"/>
      <c r="M379" s="2050"/>
      <c r="N379" s="2052"/>
      <c r="O379" s="2052"/>
      <c r="P379" s="2052"/>
      <c r="Q379" s="2028">
        <f>MAX(E379,H379,K379,N379)</f>
        <v>0</v>
      </c>
      <c r="R379" s="2026">
        <f t="shared" ref="R379:R389" si="225">MAX(F379,I379,L379,O379)</f>
        <v>0</v>
      </c>
      <c r="S379" s="2029">
        <f t="shared" ref="S379:S389" si="226">MAX(G379,J379,M379,P379)</f>
        <v>0</v>
      </c>
      <c r="T379" s="853">
        <f>IFERROR(AVERAGE(Q379:S379),"")</f>
        <v>0</v>
      </c>
      <c r="U379" s="1408" t="str">
        <f>IF(T379&gt;85,("4"),IF(T379&gt;80,("3.66"),IF(T379&gt;75,("3.33"),IF(T379&gt;70,("3.00"),IF(T379&gt;65,("2.66"),IF(T379&gt;60,("2.33"),IF(T379&gt;55,("2"),IF(T379&gt;50,("1.66"),"1.33"))))))))</f>
        <v>1.33</v>
      </c>
      <c r="V379" s="1408" t="str">
        <f>IF(T379&gt;85,("A"),IF(T379&gt;80,("A-"),IF(T379&gt;75,("B+"),IF(T379&gt;70,("B"),IF(T379&gt;65,("B-"),IF(T379&gt;60,("C+"),IF(T379&gt;55,("C"),IF(T379&gt;50,("C-"),"D+"))))))))</f>
        <v>D+</v>
      </c>
      <c r="W379" s="1408" t="str">
        <f>IF(T379&gt;80,("SB"),IF(T379&gt;65,("B"),IF(T379&gt;50,("C"),IF(T379&gt;0,("K"),"0"))))</f>
        <v>0</v>
      </c>
      <c r="X379" s="1408"/>
      <c r="Y379" s="749"/>
      <c r="Z379" s="749"/>
      <c r="AA379" s="749"/>
      <c r="AB379" s="749"/>
      <c r="AC379" s="749"/>
      <c r="AD379" s="749"/>
      <c r="AE379" s="749"/>
      <c r="AF379" s="749"/>
      <c r="AG379" s="749"/>
      <c r="AH379" s="749"/>
      <c r="AI379" s="749"/>
      <c r="AJ379" s="1386"/>
      <c r="AK379" s="1386"/>
      <c r="AL379" s="1386"/>
      <c r="AM379" s="1386"/>
      <c r="AN379" s="1386"/>
      <c r="AO379" s="1386"/>
      <c r="AP379" s="1386"/>
      <c r="AQ379" s="1386"/>
      <c r="AR379" s="1386"/>
      <c r="AS379" s="1386"/>
      <c r="AT379" s="1386"/>
      <c r="AU379" s="1057">
        <f>T390</f>
        <v>0</v>
      </c>
      <c r="AV379" s="1194" t="str">
        <f>IF(AU379&gt;85,("A"),IF(AU379&gt;80,("A-"),IF(AU379&gt;75,("B+"),IF(AU379&gt;70,("B"),IF(AU379&gt;65,("B-"),IF(AU379&gt;60,("C+"),IF(AU379&gt;55,("C"),IF(AU379&gt;50,("C-"),"D+"))))))))</f>
        <v>D+</v>
      </c>
    </row>
    <row r="380" spans="1:48" ht="20.100000000000001" customHeight="1" x14ac:dyDescent="0.25">
      <c r="A380" s="360"/>
      <c r="B380" s="1387"/>
      <c r="C380" s="1388"/>
      <c r="D380" s="1166" t="s">
        <v>155</v>
      </c>
      <c r="E380" s="1493"/>
      <c r="F380" s="1493"/>
      <c r="G380" s="1493"/>
      <c r="H380" s="2040"/>
      <c r="I380" s="2040"/>
      <c r="J380" s="2040"/>
      <c r="K380" s="1493"/>
      <c r="L380" s="1493"/>
      <c r="M380" s="1493"/>
      <c r="N380" s="2039">
        <v>0</v>
      </c>
      <c r="O380" s="2039">
        <v>0</v>
      </c>
      <c r="P380" s="2039">
        <v>0</v>
      </c>
      <c r="Q380" s="2028">
        <f t="shared" ref="Q380:Q389" si="227">MAX(E380,H380,K380,N380)</f>
        <v>0</v>
      </c>
      <c r="R380" s="2026">
        <f t="shared" si="225"/>
        <v>0</v>
      </c>
      <c r="S380" s="2029">
        <f t="shared" si="226"/>
        <v>0</v>
      </c>
      <c r="T380" s="853">
        <f t="shared" ref="T380:T389" si="228">IFERROR(AVERAGE(Q380:S380),"")</f>
        <v>0</v>
      </c>
      <c r="U380" s="1408" t="str">
        <f t="shared" ref="U380:U389" si="229">IF(T380&gt;85,("4"),IF(T380&gt;80,("3.66"),IF(T380&gt;75,("3.33"),IF(T380&gt;70,("3.00"),IF(T380&gt;65,("2.66"),IF(T380&gt;60,("2.33"),IF(T380&gt;55,("2"),IF(T380&gt;50,("1.66"),"1.33"))))))))</f>
        <v>1.33</v>
      </c>
      <c r="V380" s="1408" t="str">
        <f t="shared" ref="V380:V389" si="230">IF(T380&gt;85,("A"),IF(T380&gt;80,("A-"),IF(T380&gt;75,("B+"),IF(T380&gt;70,("B"),IF(T380&gt;65,("B-"),IF(T380&gt;60,("C+"),IF(T380&gt;55,("C"),IF(T380&gt;50,("C-"),"D+"))))))))</f>
        <v>D+</v>
      </c>
      <c r="W380" s="1408" t="str">
        <f t="shared" ref="W380:W389" si="231">IF(T380&gt;80,("SB"),IF(T380&gt;65,("B"),IF(T380&gt;50,("C"),IF(T380&gt;0,("K"),"0"))))</f>
        <v>0</v>
      </c>
      <c r="X380" s="1409"/>
      <c r="Y380" s="1389"/>
      <c r="Z380" s="1390"/>
      <c r="AA380" s="1390"/>
      <c r="AB380" s="1390"/>
      <c r="AC380" s="1390"/>
      <c r="AD380" s="1390"/>
      <c r="AE380" s="1390"/>
      <c r="AF380" s="1390"/>
      <c r="AG380" s="1390"/>
      <c r="AH380" s="1390"/>
      <c r="AI380" s="1390"/>
      <c r="AJ380" s="1391"/>
      <c r="AK380" s="1391"/>
      <c r="AL380" s="1391"/>
      <c r="AM380" s="1391"/>
      <c r="AN380" s="1391"/>
      <c r="AO380" s="1391"/>
      <c r="AP380" s="1391"/>
      <c r="AQ380" s="1391"/>
      <c r="AR380" s="1391"/>
      <c r="AS380" s="1391"/>
      <c r="AT380" s="1392"/>
      <c r="AU380" s="1411"/>
      <c r="AV380" s="1412"/>
    </row>
    <row r="381" spans="1:48" ht="20.100000000000001" customHeight="1" x14ac:dyDescent="0.25">
      <c r="A381" s="360"/>
      <c r="B381" s="1387"/>
      <c r="C381" s="1388"/>
      <c r="D381" s="1166" t="s">
        <v>16</v>
      </c>
      <c r="E381" s="1493"/>
      <c r="F381" s="1493"/>
      <c r="G381" s="1493"/>
      <c r="H381" s="2040">
        <v>0</v>
      </c>
      <c r="I381" s="2040">
        <v>0</v>
      </c>
      <c r="J381" s="2040">
        <v>0</v>
      </c>
      <c r="K381" s="1493"/>
      <c r="L381" s="1493"/>
      <c r="M381" s="1493"/>
      <c r="N381" s="2052"/>
      <c r="O381" s="2052"/>
      <c r="P381" s="2052"/>
      <c r="Q381" s="2028">
        <f t="shared" si="227"/>
        <v>0</v>
      </c>
      <c r="R381" s="2026">
        <f t="shared" si="225"/>
        <v>0</v>
      </c>
      <c r="S381" s="2029">
        <f t="shared" si="226"/>
        <v>0</v>
      </c>
      <c r="T381" s="853">
        <f t="shared" si="228"/>
        <v>0</v>
      </c>
      <c r="U381" s="1408" t="str">
        <f t="shared" si="229"/>
        <v>1.33</v>
      </c>
      <c r="V381" s="1408" t="str">
        <f t="shared" si="230"/>
        <v>D+</v>
      </c>
      <c r="W381" s="1408" t="str">
        <f t="shared" si="231"/>
        <v>0</v>
      </c>
      <c r="X381" s="1409"/>
      <c r="Y381" s="1393"/>
      <c r="Z381" s="1394"/>
      <c r="AA381" s="1394"/>
      <c r="AB381" s="1394"/>
      <c r="AC381" s="1394"/>
      <c r="AD381" s="1394"/>
      <c r="AE381" s="1394"/>
      <c r="AF381" s="1394"/>
      <c r="AG381" s="1394"/>
      <c r="AH381" s="1394"/>
      <c r="AI381" s="1394"/>
      <c r="AJ381" s="1395"/>
      <c r="AK381" s="1395"/>
      <c r="AL381" s="1395"/>
      <c r="AM381" s="1395"/>
      <c r="AN381" s="1395"/>
      <c r="AO381" s="1395"/>
      <c r="AP381" s="1395"/>
      <c r="AQ381" s="1395"/>
      <c r="AR381" s="1395"/>
      <c r="AS381" s="1395"/>
      <c r="AT381" s="1396"/>
      <c r="AU381" s="1413"/>
      <c r="AV381" s="1414"/>
    </row>
    <row r="382" spans="1:48" ht="20.100000000000001" customHeight="1" x14ac:dyDescent="0.25">
      <c r="A382" s="360"/>
      <c r="B382" s="1387"/>
      <c r="C382" s="1388"/>
      <c r="D382" s="1166" t="s">
        <v>189</v>
      </c>
      <c r="E382" s="1493"/>
      <c r="F382" s="1493"/>
      <c r="G382" s="1493"/>
      <c r="H382" s="2040">
        <v>0</v>
      </c>
      <c r="I382" s="2040">
        <v>0</v>
      </c>
      <c r="J382" s="2040">
        <v>0</v>
      </c>
      <c r="K382" s="1493"/>
      <c r="L382" s="1493"/>
      <c r="M382" s="1493"/>
      <c r="N382" s="2039"/>
      <c r="O382" s="2039"/>
      <c r="P382" s="2039"/>
      <c r="Q382" s="2028">
        <f t="shared" si="227"/>
        <v>0</v>
      </c>
      <c r="R382" s="2026">
        <f t="shared" si="225"/>
        <v>0</v>
      </c>
      <c r="S382" s="2029">
        <f t="shared" si="226"/>
        <v>0</v>
      </c>
      <c r="T382" s="853">
        <f t="shared" si="228"/>
        <v>0</v>
      </c>
      <c r="U382" s="1408" t="str">
        <f t="shared" si="229"/>
        <v>1.33</v>
      </c>
      <c r="V382" s="1408" t="str">
        <f t="shared" si="230"/>
        <v>D+</v>
      </c>
      <c r="W382" s="1408" t="str">
        <f t="shared" si="231"/>
        <v>0</v>
      </c>
      <c r="X382" s="1409"/>
      <c r="Y382" s="1393"/>
      <c r="Z382" s="1394"/>
      <c r="AA382" s="1394"/>
      <c r="AB382" s="1394"/>
      <c r="AC382" s="1394"/>
      <c r="AD382" s="1394"/>
      <c r="AE382" s="1394"/>
      <c r="AF382" s="1394"/>
      <c r="AG382" s="1394"/>
      <c r="AH382" s="1394"/>
      <c r="AI382" s="1394"/>
      <c r="AJ382" s="1395"/>
      <c r="AK382" s="1395"/>
      <c r="AL382" s="1395"/>
      <c r="AM382" s="1395"/>
      <c r="AN382" s="1395"/>
      <c r="AO382" s="1395"/>
      <c r="AP382" s="1395"/>
      <c r="AQ382" s="1395"/>
      <c r="AR382" s="1395"/>
      <c r="AS382" s="1395"/>
      <c r="AT382" s="1396"/>
      <c r="AU382" s="1413"/>
      <c r="AV382" s="1414"/>
    </row>
    <row r="383" spans="1:48" ht="20.100000000000001" customHeight="1" x14ac:dyDescent="0.25">
      <c r="A383" s="360"/>
      <c r="B383" s="1387"/>
      <c r="C383" s="1388"/>
      <c r="D383" s="1166" t="s">
        <v>186</v>
      </c>
      <c r="E383" s="1493"/>
      <c r="F383" s="1493"/>
      <c r="G383" s="1493"/>
      <c r="H383" s="2040">
        <v>0</v>
      </c>
      <c r="I383" s="2040">
        <v>0</v>
      </c>
      <c r="J383" s="2040">
        <v>0</v>
      </c>
      <c r="K383" s="1493"/>
      <c r="L383" s="1493"/>
      <c r="M383" s="1493"/>
      <c r="N383" s="2039"/>
      <c r="O383" s="2039"/>
      <c r="P383" s="2039"/>
      <c r="Q383" s="2028">
        <f t="shared" si="227"/>
        <v>0</v>
      </c>
      <c r="R383" s="2026">
        <f t="shared" si="225"/>
        <v>0</v>
      </c>
      <c r="S383" s="2029">
        <f t="shared" si="226"/>
        <v>0</v>
      </c>
      <c r="T383" s="853">
        <f t="shared" si="228"/>
        <v>0</v>
      </c>
      <c r="U383" s="1408" t="str">
        <f t="shared" si="229"/>
        <v>1.33</v>
      </c>
      <c r="V383" s="1408" t="str">
        <f t="shared" si="230"/>
        <v>D+</v>
      </c>
      <c r="W383" s="1408" t="str">
        <f t="shared" si="231"/>
        <v>0</v>
      </c>
      <c r="X383" s="1409"/>
      <c r="Y383" s="1393"/>
      <c r="Z383" s="1394"/>
      <c r="AA383" s="1394"/>
      <c r="AB383" s="1394"/>
      <c r="AC383" s="1394"/>
      <c r="AD383" s="1394"/>
      <c r="AE383" s="1394"/>
      <c r="AF383" s="1394"/>
      <c r="AG383" s="1394"/>
      <c r="AH383" s="1394"/>
      <c r="AI383" s="1394"/>
      <c r="AJ383" s="1395"/>
      <c r="AK383" s="1395"/>
      <c r="AL383" s="1395"/>
      <c r="AM383" s="1395"/>
      <c r="AN383" s="1395"/>
      <c r="AO383" s="1395"/>
      <c r="AP383" s="1395"/>
      <c r="AQ383" s="1395"/>
      <c r="AR383" s="1395"/>
      <c r="AS383" s="1395"/>
      <c r="AT383" s="1396"/>
      <c r="AU383" s="1413"/>
      <c r="AV383" s="1414"/>
    </row>
    <row r="384" spans="1:48" ht="20.100000000000001" customHeight="1" x14ac:dyDescent="0.25">
      <c r="A384" s="360"/>
      <c r="B384" s="1387"/>
      <c r="C384" s="1388"/>
      <c r="D384" s="1166" t="s">
        <v>187</v>
      </c>
      <c r="E384" s="1385"/>
      <c r="F384" s="1385"/>
      <c r="G384" s="1385"/>
      <c r="H384" s="2048"/>
      <c r="I384" s="2048"/>
      <c r="J384" s="2048"/>
      <c r="K384" s="1385">
        <v>0</v>
      </c>
      <c r="L384" s="1385">
        <v>0</v>
      </c>
      <c r="M384" s="1385">
        <v>0</v>
      </c>
      <c r="N384" s="2049"/>
      <c r="O384" s="2049"/>
      <c r="P384" s="2049"/>
      <c r="Q384" s="2028">
        <f t="shared" si="227"/>
        <v>0</v>
      </c>
      <c r="R384" s="2026">
        <f t="shared" si="225"/>
        <v>0</v>
      </c>
      <c r="S384" s="2029">
        <f t="shared" si="226"/>
        <v>0</v>
      </c>
      <c r="T384" s="853">
        <f t="shared" si="228"/>
        <v>0</v>
      </c>
      <c r="U384" s="1408" t="str">
        <f t="shared" si="229"/>
        <v>1.33</v>
      </c>
      <c r="V384" s="1408" t="str">
        <f t="shared" si="230"/>
        <v>D+</v>
      </c>
      <c r="W384" s="1408" t="str">
        <f t="shared" si="231"/>
        <v>0</v>
      </c>
      <c r="X384" s="1409"/>
      <c r="Y384" s="1393"/>
      <c r="Z384" s="1394"/>
      <c r="AA384" s="1394"/>
      <c r="AB384" s="1394"/>
      <c r="AC384" s="1394"/>
      <c r="AD384" s="1394"/>
      <c r="AE384" s="1394"/>
      <c r="AF384" s="1394"/>
      <c r="AG384" s="1394"/>
      <c r="AH384" s="1394"/>
      <c r="AI384" s="1394"/>
      <c r="AJ384" s="1395"/>
      <c r="AK384" s="1395"/>
      <c r="AL384" s="1395"/>
      <c r="AM384" s="1395"/>
      <c r="AN384" s="1395"/>
      <c r="AO384" s="1395"/>
      <c r="AP384" s="1395"/>
      <c r="AQ384" s="1395"/>
      <c r="AR384" s="1395"/>
      <c r="AS384" s="1395"/>
      <c r="AT384" s="1396"/>
      <c r="AU384" s="1413"/>
      <c r="AV384" s="1414"/>
    </row>
    <row r="385" spans="1:48" ht="20.100000000000001" customHeight="1" x14ac:dyDescent="0.25">
      <c r="A385" s="360"/>
      <c r="B385" s="1387"/>
      <c r="C385" s="1388"/>
      <c r="D385" s="1166" t="s">
        <v>17</v>
      </c>
      <c r="E385" s="1385">
        <v>0</v>
      </c>
      <c r="F385" s="1385">
        <v>0</v>
      </c>
      <c r="G385" s="1385">
        <v>0</v>
      </c>
      <c r="H385" s="2048">
        <v>0</v>
      </c>
      <c r="I385" s="2048">
        <v>0</v>
      </c>
      <c r="J385" s="2048">
        <v>0</v>
      </c>
      <c r="K385" s="1385"/>
      <c r="L385" s="1385"/>
      <c r="M385" s="1385"/>
      <c r="N385" s="2049"/>
      <c r="O385" s="2049"/>
      <c r="P385" s="2049"/>
      <c r="Q385" s="2028">
        <f t="shared" si="227"/>
        <v>0</v>
      </c>
      <c r="R385" s="2026">
        <f t="shared" si="225"/>
        <v>0</v>
      </c>
      <c r="S385" s="2029">
        <f t="shared" si="226"/>
        <v>0</v>
      </c>
      <c r="T385" s="853">
        <f t="shared" si="228"/>
        <v>0</v>
      </c>
      <c r="U385" s="1408" t="str">
        <f t="shared" si="229"/>
        <v>1.33</v>
      </c>
      <c r="V385" s="1408" t="str">
        <f t="shared" si="230"/>
        <v>D+</v>
      </c>
      <c r="W385" s="1408" t="str">
        <f t="shared" si="231"/>
        <v>0</v>
      </c>
      <c r="X385" s="1409"/>
      <c r="Y385" s="1393"/>
      <c r="Z385" s="1394"/>
      <c r="AA385" s="1394"/>
      <c r="AB385" s="1394"/>
      <c r="AC385" s="1394"/>
      <c r="AD385" s="1394"/>
      <c r="AE385" s="1394"/>
      <c r="AF385" s="1394"/>
      <c r="AG385" s="1394"/>
      <c r="AH385" s="1394"/>
      <c r="AI385" s="1394"/>
      <c r="AJ385" s="1395"/>
      <c r="AK385" s="1395"/>
      <c r="AL385" s="1395"/>
      <c r="AM385" s="1395"/>
      <c r="AN385" s="1395"/>
      <c r="AO385" s="1395"/>
      <c r="AP385" s="1395"/>
      <c r="AQ385" s="1395"/>
      <c r="AR385" s="1395"/>
      <c r="AS385" s="1395"/>
      <c r="AT385" s="1396"/>
      <c r="AU385" s="1413"/>
      <c r="AV385" s="1414"/>
    </row>
    <row r="386" spans="1:48" ht="20.100000000000001" customHeight="1" x14ac:dyDescent="0.25">
      <c r="A386" s="360"/>
      <c r="B386" s="1387"/>
      <c r="C386" s="1388"/>
      <c r="D386" s="1166" t="s">
        <v>188</v>
      </c>
      <c r="E386" s="1385"/>
      <c r="F386" s="1385"/>
      <c r="G386" s="1385"/>
      <c r="H386" s="2048">
        <v>0</v>
      </c>
      <c r="I386" s="2048">
        <v>0</v>
      </c>
      <c r="J386" s="2048">
        <v>0</v>
      </c>
      <c r="K386" s="1385"/>
      <c r="L386" s="1385"/>
      <c r="M386" s="1385"/>
      <c r="N386" s="2049"/>
      <c r="O386" s="2049"/>
      <c r="P386" s="2049"/>
      <c r="Q386" s="2028">
        <f t="shared" si="227"/>
        <v>0</v>
      </c>
      <c r="R386" s="2026">
        <f t="shared" si="225"/>
        <v>0</v>
      </c>
      <c r="S386" s="2029">
        <f t="shared" si="226"/>
        <v>0</v>
      </c>
      <c r="T386" s="853">
        <f t="shared" si="228"/>
        <v>0</v>
      </c>
      <c r="U386" s="1408" t="str">
        <f t="shared" si="229"/>
        <v>1.33</v>
      </c>
      <c r="V386" s="1408" t="str">
        <f t="shared" si="230"/>
        <v>D+</v>
      </c>
      <c r="W386" s="1408" t="str">
        <f t="shared" si="231"/>
        <v>0</v>
      </c>
      <c r="X386" s="1409"/>
      <c r="Y386" s="1393"/>
      <c r="Z386" s="1394"/>
      <c r="AA386" s="1394"/>
      <c r="AB386" s="1394"/>
      <c r="AC386" s="1394"/>
      <c r="AD386" s="1394"/>
      <c r="AE386" s="1394"/>
      <c r="AF386" s="1394"/>
      <c r="AG386" s="1394"/>
      <c r="AH386" s="1394"/>
      <c r="AI386" s="1394"/>
      <c r="AJ386" s="1395"/>
      <c r="AK386" s="1395"/>
      <c r="AL386" s="1395"/>
      <c r="AM386" s="1395"/>
      <c r="AN386" s="1395"/>
      <c r="AO386" s="1395"/>
      <c r="AP386" s="1395"/>
      <c r="AQ386" s="1395"/>
      <c r="AR386" s="1395"/>
      <c r="AS386" s="1395"/>
      <c r="AT386" s="1396"/>
      <c r="AU386" s="1413"/>
      <c r="AV386" s="1414"/>
    </row>
    <row r="387" spans="1:48" ht="20.100000000000001" customHeight="1" x14ac:dyDescent="0.25">
      <c r="A387" s="360"/>
      <c r="B387" s="1387"/>
      <c r="C387" s="1388"/>
      <c r="D387" s="1166" t="s">
        <v>569</v>
      </c>
      <c r="E387" s="1385"/>
      <c r="F387" s="1385"/>
      <c r="G387" s="1385"/>
      <c r="H387" s="2048"/>
      <c r="I387" s="2048"/>
      <c r="J387" s="2048"/>
      <c r="K387" s="1385">
        <v>0</v>
      </c>
      <c r="L387" s="1385">
        <v>0</v>
      </c>
      <c r="M387" s="1385">
        <v>0</v>
      </c>
      <c r="N387" s="2049"/>
      <c r="O387" s="2049"/>
      <c r="P387" s="2049"/>
      <c r="Q387" s="2028">
        <f t="shared" si="227"/>
        <v>0</v>
      </c>
      <c r="R387" s="2026">
        <f t="shared" si="225"/>
        <v>0</v>
      </c>
      <c r="S387" s="2029">
        <f t="shared" si="226"/>
        <v>0</v>
      </c>
      <c r="T387" s="853">
        <f t="shared" si="228"/>
        <v>0</v>
      </c>
      <c r="U387" s="1408" t="str">
        <f t="shared" si="229"/>
        <v>1.33</v>
      </c>
      <c r="V387" s="1408" t="str">
        <f t="shared" si="230"/>
        <v>D+</v>
      </c>
      <c r="W387" s="1408" t="str">
        <f t="shared" si="231"/>
        <v>0</v>
      </c>
      <c r="X387" s="1409"/>
      <c r="Y387" s="1393"/>
      <c r="Z387" s="1394"/>
      <c r="AA387" s="1394"/>
      <c r="AB387" s="1394"/>
      <c r="AC387" s="1394"/>
      <c r="AD387" s="1394"/>
      <c r="AE387" s="1394"/>
      <c r="AF387" s="1394"/>
      <c r="AG387" s="1394"/>
      <c r="AH387" s="1394"/>
      <c r="AI387" s="1394"/>
      <c r="AJ387" s="1395"/>
      <c r="AK387" s="1395"/>
      <c r="AL387" s="1395"/>
      <c r="AM387" s="1395"/>
      <c r="AN387" s="1395"/>
      <c r="AO387" s="1395"/>
      <c r="AP387" s="1395"/>
      <c r="AQ387" s="1395"/>
      <c r="AR387" s="1395"/>
      <c r="AS387" s="1395"/>
      <c r="AT387" s="1396"/>
      <c r="AU387" s="1413"/>
      <c r="AV387" s="1414"/>
    </row>
    <row r="388" spans="1:48" ht="20.100000000000001" customHeight="1" x14ac:dyDescent="0.25">
      <c r="A388" s="360"/>
      <c r="B388" s="1387"/>
      <c r="C388" s="1388"/>
      <c r="D388" s="1166" t="s">
        <v>209</v>
      </c>
      <c r="E388" s="1385"/>
      <c r="F388" s="1385"/>
      <c r="G388" s="1385"/>
      <c r="H388" s="2048"/>
      <c r="I388" s="2048"/>
      <c r="J388" s="2048"/>
      <c r="K388" s="1385"/>
      <c r="L388" s="1385"/>
      <c r="M388" s="1385"/>
      <c r="N388" s="2049">
        <v>0</v>
      </c>
      <c r="O388" s="2049">
        <v>0</v>
      </c>
      <c r="P388" s="2049">
        <v>0</v>
      </c>
      <c r="Q388" s="2028">
        <f t="shared" si="227"/>
        <v>0</v>
      </c>
      <c r="R388" s="2026">
        <f t="shared" si="225"/>
        <v>0</v>
      </c>
      <c r="S388" s="2029">
        <f t="shared" si="226"/>
        <v>0</v>
      </c>
      <c r="T388" s="853">
        <f t="shared" si="228"/>
        <v>0</v>
      </c>
      <c r="U388" s="1408" t="str">
        <f t="shared" si="229"/>
        <v>1.33</v>
      </c>
      <c r="V388" s="1408" t="str">
        <f t="shared" si="230"/>
        <v>D+</v>
      </c>
      <c r="W388" s="1408" t="str">
        <f t="shared" si="231"/>
        <v>0</v>
      </c>
      <c r="X388" s="1409"/>
      <c r="Y388" s="1393"/>
      <c r="Z388" s="1394"/>
      <c r="AA388" s="1394"/>
      <c r="AB388" s="1394"/>
      <c r="AC388" s="1394"/>
      <c r="AD388" s="1394"/>
      <c r="AE388" s="1394"/>
      <c r="AF388" s="1394"/>
      <c r="AG388" s="1394"/>
      <c r="AH388" s="1394"/>
      <c r="AI388" s="1394"/>
      <c r="AJ388" s="1395"/>
      <c r="AK388" s="1395"/>
      <c r="AL388" s="1395"/>
      <c r="AM388" s="1395"/>
      <c r="AN388" s="1395"/>
      <c r="AO388" s="1395"/>
      <c r="AP388" s="1395"/>
      <c r="AQ388" s="1395"/>
      <c r="AR388" s="1395"/>
      <c r="AS388" s="1395"/>
      <c r="AT388" s="1396"/>
      <c r="AU388" s="1413"/>
      <c r="AV388" s="1414"/>
    </row>
    <row r="389" spans="1:48" ht="20.100000000000001" customHeight="1" x14ac:dyDescent="0.25">
      <c r="A389" s="360"/>
      <c r="B389" s="1387"/>
      <c r="C389" s="1388"/>
      <c r="D389" s="1166" t="s">
        <v>210</v>
      </c>
      <c r="E389" s="1385"/>
      <c r="F389" s="1385"/>
      <c r="G389" s="1385"/>
      <c r="H389" s="2048"/>
      <c r="I389" s="2048"/>
      <c r="J389" s="2048"/>
      <c r="K389" s="1385"/>
      <c r="L389" s="1385"/>
      <c r="M389" s="1385"/>
      <c r="N389" s="2049">
        <v>0</v>
      </c>
      <c r="O389" s="2049">
        <v>0</v>
      </c>
      <c r="P389" s="2049">
        <v>0</v>
      </c>
      <c r="Q389" s="2028">
        <f t="shared" si="227"/>
        <v>0</v>
      </c>
      <c r="R389" s="2026">
        <f t="shared" si="225"/>
        <v>0</v>
      </c>
      <c r="S389" s="2029">
        <f t="shared" si="226"/>
        <v>0</v>
      </c>
      <c r="T389" s="853">
        <f t="shared" si="228"/>
        <v>0</v>
      </c>
      <c r="U389" s="1408" t="str">
        <f t="shared" si="229"/>
        <v>1.33</v>
      </c>
      <c r="V389" s="1408" t="str">
        <f t="shared" si="230"/>
        <v>D+</v>
      </c>
      <c r="W389" s="1408" t="str">
        <f t="shared" si="231"/>
        <v>0</v>
      </c>
      <c r="X389" s="1409"/>
      <c r="Y389" s="1397"/>
      <c r="Z389" s="1398"/>
      <c r="AA389" s="1398"/>
      <c r="AB389" s="1398"/>
      <c r="AC389" s="1398"/>
      <c r="AD389" s="1398"/>
      <c r="AE389" s="1398"/>
      <c r="AF389" s="1398"/>
      <c r="AG389" s="1398"/>
      <c r="AH389" s="1398"/>
      <c r="AI389" s="1398"/>
      <c r="AJ389" s="1399"/>
      <c r="AK389" s="1399"/>
      <c r="AL389" s="1399"/>
      <c r="AM389" s="1399"/>
      <c r="AN389" s="1399"/>
      <c r="AO389" s="1399"/>
      <c r="AP389" s="1399"/>
      <c r="AQ389" s="1399"/>
      <c r="AR389" s="1399"/>
      <c r="AS389" s="1399"/>
      <c r="AT389" s="1400"/>
      <c r="AU389" s="1415"/>
      <c r="AV389" s="1416"/>
    </row>
    <row r="390" spans="1:48" ht="20.100000000000001" customHeight="1" x14ac:dyDescent="0.25">
      <c r="A390" s="727"/>
      <c r="B390" s="1406">
        <v>32</v>
      </c>
      <c r="C390" s="1407"/>
      <c r="D390" s="1004"/>
      <c r="E390" s="2780"/>
      <c r="F390" s="2781"/>
      <c r="G390" s="2781"/>
      <c r="H390" s="2781"/>
      <c r="I390" s="2046"/>
      <c r="J390" s="2046"/>
      <c r="K390" s="2046"/>
      <c r="L390" s="2046"/>
      <c r="M390" s="2046"/>
      <c r="N390" s="2046"/>
      <c r="O390" s="2046"/>
      <c r="P390" s="2046"/>
      <c r="Q390" s="2046"/>
      <c r="R390" s="2046"/>
      <c r="S390" s="2046"/>
      <c r="T390" s="2044">
        <f>IFERROR(AVERAGE(T379:T389),"  ")</f>
        <v>0</v>
      </c>
      <c r="U390" s="2045" t="str">
        <f>IF(X390&gt;85,("4"),IF(X390&gt;80,("3.66"),IF(X390&gt;75,("3.33"),IF(X390&gt;70,("3.00"),IF(X390&gt;65,("2.66"),IF(X390&gt;60,("2.33"),IF(X390&gt;55,("2"),IF(X390&gt;50,("1.66"),"1.33"))))))))</f>
        <v>1.33</v>
      </c>
      <c r="V390" s="2045" t="str">
        <f>IF(X390&gt;85,("A"),IF(X390&gt;80,("A-"),IF(X390&gt;75,("B+"),IF(X390&gt;70,("B"),IF(X390&gt;65,("B-"),IF(X390&gt;60,("C+"),IF(X390&gt;55,("C"),IF(X390&gt;50,("C-"),"D+"))))))))</f>
        <v>D+</v>
      </c>
      <c r="W390" s="2045"/>
      <c r="X390" s="888">
        <f>MAX(T379:T389)</f>
        <v>0</v>
      </c>
      <c r="Y390" s="1403"/>
      <c r="Z390" s="1404"/>
      <c r="AA390" s="1404"/>
      <c r="AB390" s="1404"/>
      <c r="AC390" s="1404"/>
      <c r="AD390" s="1404"/>
      <c r="AE390" s="1404"/>
      <c r="AF390" s="1404"/>
      <c r="AG390" s="1404"/>
      <c r="AH390" s="1404"/>
      <c r="AI390" s="1404"/>
      <c r="AJ390" s="1404"/>
      <c r="AK390" s="1404"/>
      <c r="AL390" s="1404"/>
      <c r="AM390" s="1404"/>
      <c r="AN390" s="1404"/>
      <c r="AO390" s="1404"/>
      <c r="AP390" s="1404"/>
      <c r="AQ390" s="1404"/>
      <c r="AR390" s="1404"/>
      <c r="AS390" s="1404"/>
      <c r="AT390" s="1405"/>
      <c r="AU390" s="1257"/>
      <c r="AV390" s="1258"/>
    </row>
    <row r="391" spans="1:48" ht="20.100000000000001" customHeight="1" x14ac:dyDescent="0.25">
      <c r="A391" s="724">
        <v>33</v>
      </c>
      <c r="B391" s="1383"/>
      <c r="C391" s="1384" t="e">
        <f>VLOOKUP(A391,data_siswa,4,FALSE)</f>
        <v>#N/A</v>
      </c>
      <c r="D391" s="1166" t="s">
        <v>154</v>
      </c>
      <c r="E391" s="2050">
        <v>0</v>
      </c>
      <c r="F391" s="2050">
        <v>0</v>
      </c>
      <c r="G391" s="2050">
        <v>0</v>
      </c>
      <c r="H391" s="2051"/>
      <c r="I391" s="2051"/>
      <c r="J391" s="2051"/>
      <c r="K391" s="2050"/>
      <c r="L391" s="2050"/>
      <c r="M391" s="2050"/>
      <c r="N391" s="2052"/>
      <c r="O391" s="2052"/>
      <c r="P391" s="2052"/>
      <c r="Q391" s="2028">
        <f>MAX(E391,H391,K391,N391)</f>
        <v>0</v>
      </c>
      <c r="R391" s="2026">
        <f t="shared" ref="R391:R401" si="232">MAX(F391,I391,L391,O391)</f>
        <v>0</v>
      </c>
      <c r="S391" s="2029">
        <f t="shared" ref="S391:S401" si="233">MAX(G391,J391,M391,P391)</f>
        <v>0</v>
      </c>
      <c r="T391" s="853">
        <f>IFERROR(AVERAGE(Q391:S391),"")</f>
        <v>0</v>
      </c>
      <c r="U391" s="1408" t="str">
        <f>IF(T391&gt;85,("4"),IF(T391&gt;80,("3.66"),IF(T391&gt;75,("3.33"),IF(T391&gt;70,("3.00"),IF(T391&gt;65,("2.66"),IF(T391&gt;60,("2.33"),IF(T391&gt;55,("2"),IF(T391&gt;50,("1.66"),"1.33"))))))))</f>
        <v>1.33</v>
      </c>
      <c r="V391" s="1408" t="str">
        <f>IF(T391&gt;85,("A"),IF(T391&gt;80,("A-"),IF(T391&gt;75,("B+"),IF(T391&gt;70,("B"),IF(T391&gt;65,("B-"),IF(T391&gt;60,("C+"),IF(T391&gt;55,("C"),IF(T391&gt;50,("C-"),"D+"))))))))</f>
        <v>D+</v>
      </c>
      <c r="W391" s="1408" t="str">
        <f>IF(T391&gt;80,("SB"),IF(T391&gt;65,("B"),IF(T391&gt;50,("C"),IF(T391&gt;0,("K"),"0"))))</f>
        <v>0</v>
      </c>
      <c r="X391" s="1408"/>
      <c r="Y391" s="749"/>
      <c r="Z391" s="749"/>
      <c r="AA391" s="749"/>
      <c r="AB391" s="749"/>
      <c r="AC391" s="749"/>
      <c r="AD391" s="749"/>
      <c r="AE391" s="749"/>
      <c r="AF391" s="749"/>
      <c r="AG391" s="749"/>
      <c r="AH391" s="749"/>
      <c r="AI391" s="749"/>
      <c r="AJ391" s="1386"/>
      <c r="AK391" s="1386"/>
      <c r="AL391" s="1386"/>
      <c r="AM391" s="1386"/>
      <c r="AN391" s="1386"/>
      <c r="AO391" s="1386"/>
      <c r="AP391" s="1386"/>
      <c r="AQ391" s="1386"/>
      <c r="AR391" s="1386"/>
      <c r="AS391" s="1386"/>
      <c r="AT391" s="1386"/>
      <c r="AU391" s="1057">
        <f>T402</f>
        <v>0</v>
      </c>
      <c r="AV391" s="1194" t="str">
        <f>IF(AU391&gt;85,("A"),IF(AU391&gt;80,("A-"),IF(AU391&gt;75,("B+"),IF(AU391&gt;70,("B"),IF(AU391&gt;65,("B-"),IF(AU391&gt;60,("C+"),IF(AU391&gt;55,("C"),IF(AU391&gt;50,("C-"),"D+"))))))))</f>
        <v>D+</v>
      </c>
    </row>
    <row r="392" spans="1:48" ht="20.100000000000001" customHeight="1" x14ac:dyDescent="0.25">
      <c r="A392" s="360"/>
      <c r="B392" s="1387"/>
      <c r="C392" s="1388"/>
      <c r="D392" s="1166" t="s">
        <v>155</v>
      </c>
      <c r="E392" s="1493"/>
      <c r="F392" s="1493"/>
      <c r="G392" s="1493"/>
      <c r="H392" s="2040"/>
      <c r="I392" s="2040"/>
      <c r="J392" s="2040"/>
      <c r="K392" s="1493"/>
      <c r="L392" s="1493"/>
      <c r="M392" s="1493"/>
      <c r="N392" s="2039">
        <v>0</v>
      </c>
      <c r="O392" s="2039">
        <v>0</v>
      </c>
      <c r="P392" s="2039">
        <v>0</v>
      </c>
      <c r="Q392" s="2028">
        <f t="shared" ref="Q392:Q401" si="234">MAX(E392,H392,K392,N392)</f>
        <v>0</v>
      </c>
      <c r="R392" s="2026">
        <f t="shared" si="232"/>
        <v>0</v>
      </c>
      <c r="S392" s="2029">
        <f t="shared" si="233"/>
        <v>0</v>
      </c>
      <c r="T392" s="853">
        <f t="shared" ref="T392:T401" si="235">IFERROR(AVERAGE(Q392:S392),"")</f>
        <v>0</v>
      </c>
      <c r="U392" s="1408" t="str">
        <f t="shared" ref="U392:U401" si="236">IF(T392&gt;85,("4"),IF(T392&gt;80,("3.66"),IF(T392&gt;75,("3.33"),IF(T392&gt;70,("3.00"),IF(T392&gt;65,("2.66"),IF(T392&gt;60,("2.33"),IF(T392&gt;55,("2"),IF(T392&gt;50,("1.66"),"1.33"))))))))</f>
        <v>1.33</v>
      </c>
      <c r="V392" s="1408" t="str">
        <f t="shared" ref="V392:V401" si="237">IF(T392&gt;85,("A"),IF(T392&gt;80,("A-"),IF(T392&gt;75,("B+"),IF(T392&gt;70,("B"),IF(T392&gt;65,("B-"),IF(T392&gt;60,("C+"),IF(T392&gt;55,("C"),IF(T392&gt;50,("C-"),"D+"))))))))</f>
        <v>D+</v>
      </c>
      <c r="W392" s="1408" t="str">
        <f t="shared" ref="W392:W401" si="238">IF(T392&gt;80,("SB"),IF(T392&gt;65,("B"),IF(T392&gt;50,("C"),IF(T392&gt;0,("K"),"0"))))</f>
        <v>0</v>
      </c>
      <c r="X392" s="1409"/>
      <c r="Y392" s="1389"/>
      <c r="Z392" s="1390"/>
      <c r="AA392" s="1390"/>
      <c r="AB392" s="1390"/>
      <c r="AC392" s="1390"/>
      <c r="AD392" s="1390"/>
      <c r="AE392" s="1390"/>
      <c r="AF392" s="1390"/>
      <c r="AG392" s="1390"/>
      <c r="AH392" s="1390"/>
      <c r="AI392" s="1390"/>
      <c r="AJ392" s="1391"/>
      <c r="AK392" s="1391"/>
      <c r="AL392" s="1391"/>
      <c r="AM392" s="1391"/>
      <c r="AN392" s="1391"/>
      <c r="AO392" s="1391"/>
      <c r="AP392" s="1391"/>
      <c r="AQ392" s="1391"/>
      <c r="AR392" s="1391"/>
      <c r="AS392" s="1391"/>
      <c r="AT392" s="1392"/>
      <c r="AU392" s="1411"/>
      <c r="AV392" s="1412"/>
    </row>
    <row r="393" spans="1:48" ht="20.100000000000001" customHeight="1" x14ac:dyDescent="0.25">
      <c r="A393" s="360"/>
      <c r="B393" s="1387"/>
      <c r="C393" s="1388"/>
      <c r="D393" s="1166" t="s">
        <v>16</v>
      </c>
      <c r="E393" s="1493"/>
      <c r="F393" s="1493"/>
      <c r="G393" s="1493"/>
      <c r="H393" s="2040">
        <v>0</v>
      </c>
      <c r="I393" s="2040">
        <v>0</v>
      </c>
      <c r="J393" s="2040">
        <v>0</v>
      </c>
      <c r="K393" s="1493"/>
      <c r="L393" s="1493"/>
      <c r="M393" s="1493"/>
      <c r="N393" s="2052"/>
      <c r="O393" s="2052"/>
      <c r="P393" s="2052"/>
      <c r="Q393" s="2028">
        <f t="shared" si="234"/>
        <v>0</v>
      </c>
      <c r="R393" s="2026">
        <f t="shared" si="232"/>
        <v>0</v>
      </c>
      <c r="S393" s="2029">
        <f t="shared" si="233"/>
        <v>0</v>
      </c>
      <c r="T393" s="853">
        <f t="shared" si="235"/>
        <v>0</v>
      </c>
      <c r="U393" s="1408" t="str">
        <f t="shared" si="236"/>
        <v>1.33</v>
      </c>
      <c r="V393" s="1408" t="str">
        <f t="shared" si="237"/>
        <v>D+</v>
      </c>
      <c r="W393" s="1408" t="str">
        <f t="shared" si="238"/>
        <v>0</v>
      </c>
      <c r="X393" s="1409"/>
      <c r="Y393" s="1393"/>
      <c r="Z393" s="1394"/>
      <c r="AA393" s="1394"/>
      <c r="AB393" s="1394"/>
      <c r="AC393" s="1394"/>
      <c r="AD393" s="1394"/>
      <c r="AE393" s="1394"/>
      <c r="AF393" s="1394"/>
      <c r="AG393" s="1394"/>
      <c r="AH393" s="1394"/>
      <c r="AI393" s="1394"/>
      <c r="AJ393" s="1395"/>
      <c r="AK393" s="1395"/>
      <c r="AL393" s="1395"/>
      <c r="AM393" s="1395"/>
      <c r="AN393" s="1395"/>
      <c r="AO393" s="1395"/>
      <c r="AP393" s="1395"/>
      <c r="AQ393" s="1395"/>
      <c r="AR393" s="1395"/>
      <c r="AS393" s="1395"/>
      <c r="AT393" s="1396"/>
      <c r="AU393" s="1413"/>
      <c r="AV393" s="1414"/>
    </row>
    <row r="394" spans="1:48" ht="20.100000000000001" customHeight="1" x14ac:dyDescent="0.25">
      <c r="A394" s="360"/>
      <c r="B394" s="1387"/>
      <c r="C394" s="1388"/>
      <c r="D394" s="1166" t="s">
        <v>189</v>
      </c>
      <c r="E394" s="1493"/>
      <c r="F394" s="1493"/>
      <c r="G394" s="1493"/>
      <c r="H394" s="2040">
        <v>0</v>
      </c>
      <c r="I394" s="2040">
        <v>0</v>
      </c>
      <c r="J394" s="2040">
        <v>0</v>
      </c>
      <c r="K394" s="1493"/>
      <c r="L394" s="1493"/>
      <c r="M394" s="1493"/>
      <c r="N394" s="2039"/>
      <c r="O394" s="2039"/>
      <c r="P394" s="2039"/>
      <c r="Q394" s="2028">
        <f t="shared" si="234"/>
        <v>0</v>
      </c>
      <c r="R394" s="2026">
        <f t="shared" si="232"/>
        <v>0</v>
      </c>
      <c r="S394" s="2029">
        <f t="shared" si="233"/>
        <v>0</v>
      </c>
      <c r="T394" s="853">
        <f t="shared" si="235"/>
        <v>0</v>
      </c>
      <c r="U394" s="1408" t="str">
        <f t="shared" si="236"/>
        <v>1.33</v>
      </c>
      <c r="V394" s="1408" t="str">
        <f t="shared" si="237"/>
        <v>D+</v>
      </c>
      <c r="W394" s="1408" t="str">
        <f t="shared" si="238"/>
        <v>0</v>
      </c>
      <c r="X394" s="1409"/>
      <c r="Y394" s="1393"/>
      <c r="Z394" s="1394"/>
      <c r="AA394" s="1394"/>
      <c r="AB394" s="1394"/>
      <c r="AC394" s="1394"/>
      <c r="AD394" s="1394"/>
      <c r="AE394" s="1394"/>
      <c r="AF394" s="1394"/>
      <c r="AG394" s="1394"/>
      <c r="AH394" s="1394"/>
      <c r="AI394" s="1394"/>
      <c r="AJ394" s="1395"/>
      <c r="AK394" s="1395"/>
      <c r="AL394" s="1395"/>
      <c r="AM394" s="1395"/>
      <c r="AN394" s="1395"/>
      <c r="AO394" s="1395"/>
      <c r="AP394" s="1395"/>
      <c r="AQ394" s="1395"/>
      <c r="AR394" s="1395"/>
      <c r="AS394" s="1395"/>
      <c r="AT394" s="1396"/>
      <c r="AU394" s="1413"/>
      <c r="AV394" s="1414"/>
    </row>
    <row r="395" spans="1:48" ht="20.100000000000001" customHeight="1" x14ac:dyDescent="0.25">
      <c r="A395" s="360"/>
      <c r="B395" s="1387"/>
      <c r="C395" s="1388"/>
      <c r="D395" s="1166" t="s">
        <v>186</v>
      </c>
      <c r="E395" s="1493"/>
      <c r="F395" s="1493"/>
      <c r="G395" s="1493"/>
      <c r="H395" s="2040">
        <v>0</v>
      </c>
      <c r="I395" s="2040">
        <v>0</v>
      </c>
      <c r="J395" s="2040">
        <v>0</v>
      </c>
      <c r="K395" s="1493"/>
      <c r="L395" s="1493"/>
      <c r="M395" s="1493"/>
      <c r="N395" s="2039"/>
      <c r="O395" s="2039"/>
      <c r="P395" s="2039"/>
      <c r="Q395" s="2028">
        <f t="shared" si="234"/>
        <v>0</v>
      </c>
      <c r="R395" s="2026">
        <f t="shared" si="232"/>
        <v>0</v>
      </c>
      <c r="S395" s="2029">
        <f t="shared" si="233"/>
        <v>0</v>
      </c>
      <c r="T395" s="853">
        <f t="shared" si="235"/>
        <v>0</v>
      </c>
      <c r="U395" s="1408" t="str">
        <f t="shared" si="236"/>
        <v>1.33</v>
      </c>
      <c r="V395" s="1408" t="str">
        <f t="shared" si="237"/>
        <v>D+</v>
      </c>
      <c r="W395" s="1408" t="str">
        <f t="shared" si="238"/>
        <v>0</v>
      </c>
      <c r="X395" s="1409"/>
      <c r="Y395" s="1393"/>
      <c r="Z395" s="1394"/>
      <c r="AA395" s="1394"/>
      <c r="AB395" s="1394"/>
      <c r="AC395" s="1394"/>
      <c r="AD395" s="1394"/>
      <c r="AE395" s="1394"/>
      <c r="AF395" s="1394"/>
      <c r="AG395" s="1394"/>
      <c r="AH395" s="1394"/>
      <c r="AI395" s="1394"/>
      <c r="AJ395" s="1395"/>
      <c r="AK395" s="1395"/>
      <c r="AL395" s="1395"/>
      <c r="AM395" s="1395"/>
      <c r="AN395" s="1395"/>
      <c r="AO395" s="1395"/>
      <c r="AP395" s="1395"/>
      <c r="AQ395" s="1395"/>
      <c r="AR395" s="1395"/>
      <c r="AS395" s="1395"/>
      <c r="AT395" s="1396"/>
      <c r="AU395" s="1413"/>
      <c r="AV395" s="1414"/>
    </row>
    <row r="396" spans="1:48" ht="20.100000000000001" customHeight="1" x14ac:dyDescent="0.25">
      <c r="A396" s="360"/>
      <c r="B396" s="1387"/>
      <c r="C396" s="1388"/>
      <c r="D396" s="1166" t="s">
        <v>187</v>
      </c>
      <c r="E396" s="1385"/>
      <c r="F396" s="1385"/>
      <c r="G396" s="1385"/>
      <c r="H396" s="2048"/>
      <c r="I396" s="2048"/>
      <c r="J396" s="2048"/>
      <c r="K396" s="1385">
        <v>0</v>
      </c>
      <c r="L396" s="1385">
        <v>0</v>
      </c>
      <c r="M396" s="1385">
        <v>0</v>
      </c>
      <c r="N396" s="2049"/>
      <c r="O396" s="2049"/>
      <c r="P396" s="2049"/>
      <c r="Q396" s="2028">
        <f t="shared" si="234"/>
        <v>0</v>
      </c>
      <c r="R396" s="2026">
        <f t="shared" si="232"/>
        <v>0</v>
      </c>
      <c r="S396" s="2029">
        <f t="shared" si="233"/>
        <v>0</v>
      </c>
      <c r="T396" s="853">
        <f t="shared" si="235"/>
        <v>0</v>
      </c>
      <c r="U396" s="1408" t="str">
        <f t="shared" si="236"/>
        <v>1.33</v>
      </c>
      <c r="V396" s="1408" t="str">
        <f t="shared" si="237"/>
        <v>D+</v>
      </c>
      <c r="W396" s="1408" t="str">
        <f t="shared" si="238"/>
        <v>0</v>
      </c>
      <c r="X396" s="1409"/>
      <c r="Y396" s="1393"/>
      <c r="Z396" s="1394"/>
      <c r="AA396" s="1394"/>
      <c r="AB396" s="1394"/>
      <c r="AC396" s="1394"/>
      <c r="AD396" s="1394"/>
      <c r="AE396" s="1394"/>
      <c r="AF396" s="1394"/>
      <c r="AG396" s="1394"/>
      <c r="AH396" s="1394"/>
      <c r="AI396" s="1394"/>
      <c r="AJ396" s="1395"/>
      <c r="AK396" s="1395"/>
      <c r="AL396" s="1395"/>
      <c r="AM396" s="1395"/>
      <c r="AN396" s="1395"/>
      <c r="AO396" s="1395"/>
      <c r="AP396" s="1395"/>
      <c r="AQ396" s="1395"/>
      <c r="AR396" s="1395"/>
      <c r="AS396" s="1395"/>
      <c r="AT396" s="1396"/>
      <c r="AU396" s="1413"/>
      <c r="AV396" s="1414"/>
    </row>
    <row r="397" spans="1:48" ht="20.100000000000001" customHeight="1" x14ac:dyDescent="0.25">
      <c r="A397" s="360"/>
      <c r="B397" s="1387"/>
      <c r="C397" s="1388"/>
      <c r="D397" s="1166" t="s">
        <v>17</v>
      </c>
      <c r="E397" s="1385">
        <v>0</v>
      </c>
      <c r="F397" s="1385">
        <v>0</v>
      </c>
      <c r="G397" s="1385">
        <v>0</v>
      </c>
      <c r="H397" s="2048">
        <v>0</v>
      </c>
      <c r="I397" s="2048">
        <v>0</v>
      </c>
      <c r="J397" s="2048">
        <v>0</v>
      </c>
      <c r="K397" s="1385"/>
      <c r="L397" s="1385"/>
      <c r="M397" s="1385"/>
      <c r="N397" s="2049"/>
      <c r="O397" s="2049"/>
      <c r="P397" s="2049"/>
      <c r="Q397" s="2028">
        <f t="shared" si="234"/>
        <v>0</v>
      </c>
      <c r="R397" s="2026">
        <f t="shared" si="232"/>
        <v>0</v>
      </c>
      <c r="S397" s="2029">
        <f t="shared" si="233"/>
        <v>0</v>
      </c>
      <c r="T397" s="853">
        <f t="shared" si="235"/>
        <v>0</v>
      </c>
      <c r="U397" s="1408" t="str">
        <f t="shared" si="236"/>
        <v>1.33</v>
      </c>
      <c r="V397" s="1408" t="str">
        <f t="shared" si="237"/>
        <v>D+</v>
      </c>
      <c r="W397" s="1408" t="str">
        <f t="shared" si="238"/>
        <v>0</v>
      </c>
      <c r="X397" s="1409"/>
      <c r="Y397" s="1393"/>
      <c r="Z397" s="1394"/>
      <c r="AA397" s="1394"/>
      <c r="AB397" s="1394"/>
      <c r="AC397" s="1394"/>
      <c r="AD397" s="1394"/>
      <c r="AE397" s="1394"/>
      <c r="AF397" s="1394"/>
      <c r="AG397" s="1394"/>
      <c r="AH397" s="1394"/>
      <c r="AI397" s="1394"/>
      <c r="AJ397" s="1395"/>
      <c r="AK397" s="1395"/>
      <c r="AL397" s="1395"/>
      <c r="AM397" s="1395"/>
      <c r="AN397" s="1395"/>
      <c r="AO397" s="1395"/>
      <c r="AP397" s="1395"/>
      <c r="AQ397" s="1395"/>
      <c r="AR397" s="1395"/>
      <c r="AS397" s="1395"/>
      <c r="AT397" s="1396"/>
      <c r="AU397" s="1413"/>
      <c r="AV397" s="1414"/>
    </row>
    <row r="398" spans="1:48" ht="20.100000000000001" customHeight="1" x14ac:dyDescent="0.25">
      <c r="A398" s="360"/>
      <c r="B398" s="1387"/>
      <c r="C398" s="1388"/>
      <c r="D398" s="1166" t="s">
        <v>188</v>
      </c>
      <c r="E398" s="1385"/>
      <c r="F398" s="1385"/>
      <c r="G398" s="1385"/>
      <c r="H398" s="2048">
        <v>0</v>
      </c>
      <c r="I398" s="2048">
        <v>0</v>
      </c>
      <c r="J398" s="2048">
        <v>0</v>
      </c>
      <c r="K398" s="1385"/>
      <c r="L398" s="1385"/>
      <c r="M398" s="1385"/>
      <c r="N398" s="2049"/>
      <c r="O398" s="2049"/>
      <c r="P398" s="2049"/>
      <c r="Q398" s="2028">
        <f t="shared" si="234"/>
        <v>0</v>
      </c>
      <c r="R398" s="2026">
        <f t="shared" si="232"/>
        <v>0</v>
      </c>
      <c r="S398" s="2029">
        <f t="shared" si="233"/>
        <v>0</v>
      </c>
      <c r="T398" s="853">
        <f t="shared" si="235"/>
        <v>0</v>
      </c>
      <c r="U398" s="1408" t="str">
        <f t="shared" si="236"/>
        <v>1.33</v>
      </c>
      <c r="V398" s="1408" t="str">
        <f t="shared" si="237"/>
        <v>D+</v>
      </c>
      <c r="W398" s="1408" t="str">
        <f t="shared" si="238"/>
        <v>0</v>
      </c>
      <c r="X398" s="1409"/>
      <c r="Y398" s="1393"/>
      <c r="Z398" s="1394"/>
      <c r="AA398" s="1394"/>
      <c r="AB398" s="1394"/>
      <c r="AC398" s="1394"/>
      <c r="AD398" s="1394"/>
      <c r="AE398" s="1394"/>
      <c r="AF398" s="1394"/>
      <c r="AG398" s="1394"/>
      <c r="AH398" s="1394"/>
      <c r="AI398" s="1394"/>
      <c r="AJ398" s="1395"/>
      <c r="AK398" s="1395"/>
      <c r="AL398" s="1395"/>
      <c r="AM398" s="1395"/>
      <c r="AN398" s="1395"/>
      <c r="AO398" s="1395"/>
      <c r="AP398" s="1395"/>
      <c r="AQ398" s="1395"/>
      <c r="AR398" s="1395"/>
      <c r="AS398" s="1395"/>
      <c r="AT398" s="1396"/>
      <c r="AU398" s="1413"/>
      <c r="AV398" s="1414"/>
    </row>
    <row r="399" spans="1:48" ht="20.100000000000001" customHeight="1" x14ac:dyDescent="0.25">
      <c r="A399" s="360"/>
      <c r="B399" s="1387"/>
      <c r="C399" s="1388"/>
      <c r="D399" s="1166" t="s">
        <v>569</v>
      </c>
      <c r="E399" s="1385"/>
      <c r="F399" s="1385"/>
      <c r="G399" s="1385"/>
      <c r="H399" s="2048"/>
      <c r="I399" s="2048"/>
      <c r="J399" s="2048"/>
      <c r="K399" s="1385">
        <v>0</v>
      </c>
      <c r="L399" s="1385">
        <v>0</v>
      </c>
      <c r="M399" s="1385">
        <v>0</v>
      </c>
      <c r="N399" s="2049"/>
      <c r="O399" s="2049"/>
      <c r="P399" s="2049"/>
      <c r="Q399" s="2028">
        <f t="shared" si="234"/>
        <v>0</v>
      </c>
      <c r="R399" s="2026">
        <f t="shared" si="232"/>
        <v>0</v>
      </c>
      <c r="S399" s="2029">
        <f t="shared" si="233"/>
        <v>0</v>
      </c>
      <c r="T399" s="853">
        <f t="shared" si="235"/>
        <v>0</v>
      </c>
      <c r="U399" s="1408" t="str">
        <f t="shared" si="236"/>
        <v>1.33</v>
      </c>
      <c r="V399" s="1408" t="str">
        <f t="shared" si="237"/>
        <v>D+</v>
      </c>
      <c r="W399" s="1408" t="str">
        <f t="shared" si="238"/>
        <v>0</v>
      </c>
      <c r="X399" s="1409"/>
      <c r="Y399" s="1393"/>
      <c r="Z399" s="1394"/>
      <c r="AA399" s="1394"/>
      <c r="AB399" s="1394"/>
      <c r="AC399" s="1394"/>
      <c r="AD399" s="1394"/>
      <c r="AE399" s="1394"/>
      <c r="AF399" s="1394"/>
      <c r="AG399" s="1394"/>
      <c r="AH399" s="1394"/>
      <c r="AI399" s="1394"/>
      <c r="AJ399" s="1395"/>
      <c r="AK399" s="1395"/>
      <c r="AL399" s="1395"/>
      <c r="AM399" s="1395"/>
      <c r="AN399" s="1395"/>
      <c r="AO399" s="1395"/>
      <c r="AP399" s="1395"/>
      <c r="AQ399" s="1395"/>
      <c r="AR399" s="1395"/>
      <c r="AS399" s="1395"/>
      <c r="AT399" s="1396"/>
      <c r="AU399" s="1413"/>
      <c r="AV399" s="1414"/>
    </row>
    <row r="400" spans="1:48" ht="20.100000000000001" customHeight="1" x14ac:dyDescent="0.25">
      <c r="A400" s="360"/>
      <c r="B400" s="1387"/>
      <c r="C400" s="1388"/>
      <c r="D400" s="1166" t="s">
        <v>209</v>
      </c>
      <c r="E400" s="1385"/>
      <c r="F400" s="1385"/>
      <c r="G400" s="1385"/>
      <c r="H400" s="2048"/>
      <c r="I400" s="2048"/>
      <c r="J400" s="2048"/>
      <c r="K400" s="1385"/>
      <c r="L400" s="1385"/>
      <c r="M400" s="1385"/>
      <c r="N400" s="2049">
        <v>0</v>
      </c>
      <c r="O400" s="2049">
        <v>0</v>
      </c>
      <c r="P400" s="2049">
        <v>0</v>
      </c>
      <c r="Q400" s="2028">
        <f t="shared" si="234"/>
        <v>0</v>
      </c>
      <c r="R400" s="2026">
        <f t="shared" si="232"/>
        <v>0</v>
      </c>
      <c r="S400" s="2029">
        <f t="shared" si="233"/>
        <v>0</v>
      </c>
      <c r="T400" s="853">
        <f t="shared" si="235"/>
        <v>0</v>
      </c>
      <c r="U400" s="1408" t="str">
        <f t="shared" si="236"/>
        <v>1.33</v>
      </c>
      <c r="V400" s="1408" t="str">
        <f t="shared" si="237"/>
        <v>D+</v>
      </c>
      <c r="W400" s="1408" t="str">
        <f t="shared" si="238"/>
        <v>0</v>
      </c>
      <c r="X400" s="1409"/>
      <c r="Y400" s="1393"/>
      <c r="Z400" s="1394"/>
      <c r="AA400" s="1394"/>
      <c r="AB400" s="1394"/>
      <c r="AC400" s="1394"/>
      <c r="AD400" s="1394"/>
      <c r="AE400" s="1394"/>
      <c r="AF400" s="1394"/>
      <c r="AG400" s="1394"/>
      <c r="AH400" s="1394"/>
      <c r="AI400" s="1394"/>
      <c r="AJ400" s="1395"/>
      <c r="AK400" s="1395"/>
      <c r="AL400" s="1395"/>
      <c r="AM400" s="1395"/>
      <c r="AN400" s="1395"/>
      <c r="AO400" s="1395"/>
      <c r="AP400" s="1395"/>
      <c r="AQ400" s="1395"/>
      <c r="AR400" s="1395"/>
      <c r="AS400" s="1395"/>
      <c r="AT400" s="1396"/>
      <c r="AU400" s="1413"/>
      <c r="AV400" s="1414"/>
    </row>
    <row r="401" spans="1:48" ht="20.100000000000001" customHeight="1" x14ac:dyDescent="0.25">
      <c r="A401" s="360"/>
      <c r="B401" s="1387"/>
      <c r="C401" s="1388"/>
      <c r="D401" s="1166" t="s">
        <v>210</v>
      </c>
      <c r="E401" s="1385"/>
      <c r="F401" s="1385"/>
      <c r="G401" s="1385"/>
      <c r="H401" s="2048"/>
      <c r="I401" s="2048"/>
      <c r="J401" s="2048"/>
      <c r="K401" s="1385"/>
      <c r="L401" s="1385"/>
      <c r="M401" s="1385"/>
      <c r="N401" s="2049">
        <v>0</v>
      </c>
      <c r="O401" s="2049">
        <v>0</v>
      </c>
      <c r="P401" s="2049">
        <v>0</v>
      </c>
      <c r="Q401" s="2028">
        <f t="shared" si="234"/>
        <v>0</v>
      </c>
      <c r="R401" s="2026">
        <f t="shared" si="232"/>
        <v>0</v>
      </c>
      <c r="S401" s="2029">
        <f t="shared" si="233"/>
        <v>0</v>
      </c>
      <c r="T401" s="853">
        <f t="shared" si="235"/>
        <v>0</v>
      </c>
      <c r="U401" s="1408" t="str">
        <f t="shared" si="236"/>
        <v>1.33</v>
      </c>
      <c r="V401" s="1408" t="str">
        <f t="shared" si="237"/>
        <v>D+</v>
      </c>
      <c r="W401" s="1408" t="str">
        <f t="shared" si="238"/>
        <v>0</v>
      </c>
      <c r="X401" s="1409"/>
      <c r="Y401" s="1397"/>
      <c r="Z401" s="1398"/>
      <c r="AA401" s="1398"/>
      <c r="AB401" s="1398"/>
      <c r="AC401" s="1398"/>
      <c r="AD401" s="1398"/>
      <c r="AE401" s="1398"/>
      <c r="AF401" s="1398"/>
      <c r="AG401" s="1398"/>
      <c r="AH401" s="1398"/>
      <c r="AI401" s="1398"/>
      <c r="AJ401" s="1399"/>
      <c r="AK401" s="1399"/>
      <c r="AL401" s="1399"/>
      <c r="AM401" s="1399"/>
      <c r="AN401" s="1399"/>
      <c r="AO401" s="1399"/>
      <c r="AP401" s="1399"/>
      <c r="AQ401" s="1399"/>
      <c r="AR401" s="1399"/>
      <c r="AS401" s="1399"/>
      <c r="AT401" s="1400"/>
      <c r="AU401" s="1415"/>
      <c r="AV401" s="1416"/>
    </row>
    <row r="402" spans="1:48" ht="20.100000000000001" customHeight="1" x14ac:dyDescent="0.25">
      <c r="A402" s="727"/>
      <c r="B402" s="1406">
        <v>33</v>
      </c>
      <c r="C402" s="1407"/>
      <c r="D402" s="1004"/>
      <c r="E402" s="2780"/>
      <c r="F402" s="2781"/>
      <c r="G402" s="2781"/>
      <c r="H402" s="2781"/>
      <c r="I402" s="2046"/>
      <c r="J402" s="2046"/>
      <c r="K402" s="2046"/>
      <c r="L402" s="2046"/>
      <c r="M402" s="2046"/>
      <c r="N402" s="2046"/>
      <c r="O402" s="2046"/>
      <c r="P402" s="2046"/>
      <c r="Q402" s="2046"/>
      <c r="R402" s="2046"/>
      <c r="S402" s="2046"/>
      <c r="T402" s="2044">
        <f>IFERROR(AVERAGE(T391:T401),"  ")</f>
        <v>0</v>
      </c>
      <c r="U402" s="2045" t="str">
        <f>IF(X402&gt;85,("4"),IF(X402&gt;80,("3.66"),IF(X402&gt;75,("3.33"),IF(X402&gt;70,("3.00"),IF(X402&gt;65,("2.66"),IF(X402&gt;60,("2.33"),IF(X402&gt;55,("2"),IF(X402&gt;50,("1.66"),"1.33"))))))))</f>
        <v>1.33</v>
      </c>
      <c r="V402" s="2045" t="str">
        <f>IF(X402&gt;85,("A"),IF(X402&gt;80,("A-"),IF(X402&gt;75,("B+"),IF(X402&gt;70,("B"),IF(X402&gt;65,("B-"),IF(X402&gt;60,("C+"),IF(X402&gt;55,("C"),IF(X402&gt;50,("C-"),"D+"))))))))</f>
        <v>D+</v>
      </c>
      <c r="W402" s="2045"/>
      <c r="X402" s="888">
        <f>MAX(T391:T401)</f>
        <v>0</v>
      </c>
      <c r="Y402" s="1403"/>
      <c r="Z402" s="1404"/>
      <c r="AA402" s="1404"/>
      <c r="AB402" s="1404"/>
      <c r="AC402" s="1404"/>
      <c r="AD402" s="1404"/>
      <c r="AE402" s="1404"/>
      <c r="AF402" s="1404"/>
      <c r="AG402" s="1404"/>
      <c r="AH402" s="1404"/>
      <c r="AI402" s="1404"/>
      <c r="AJ402" s="1404"/>
      <c r="AK402" s="1404"/>
      <c r="AL402" s="1404"/>
      <c r="AM402" s="1404"/>
      <c r="AN402" s="1404"/>
      <c r="AO402" s="1404"/>
      <c r="AP402" s="1404"/>
      <c r="AQ402" s="1404"/>
      <c r="AR402" s="1404"/>
      <c r="AS402" s="1404"/>
      <c r="AT402" s="1405"/>
      <c r="AU402" s="1257"/>
      <c r="AV402" s="1258"/>
    </row>
    <row r="403" spans="1:48" ht="20.100000000000001" customHeight="1" x14ac:dyDescent="0.25">
      <c r="A403" s="724">
        <v>34</v>
      </c>
      <c r="B403" s="1383"/>
      <c r="C403" s="1384" t="e">
        <f>VLOOKUP(A403,data_siswa,4,FALSE)</f>
        <v>#N/A</v>
      </c>
      <c r="D403" s="1166" t="s">
        <v>154</v>
      </c>
      <c r="E403" s="2050">
        <v>0</v>
      </c>
      <c r="F403" s="2050">
        <v>0</v>
      </c>
      <c r="G403" s="2050">
        <v>0</v>
      </c>
      <c r="H403" s="2051"/>
      <c r="I403" s="2051"/>
      <c r="J403" s="2051"/>
      <c r="K403" s="2050"/>
      <c r="L403" s="2050"/>
      <c r="M403" s="2050"/>
      <c r="N403" s="2052"/>
      <c r="O403" s="2052"/>
      <c r="P403" s="2052"/>
      <c r="Q403" s="2028">
        <f>MAX(E403,H403,K403,N403)</f>
        <v>0</v>
      </c>
      <c r="R403" s="2026">
        <f t="shared" ref="R403:R413" si="239">MAX(F403,I403,L403,O403)</f>
        <v>0</v>
      </c>
      <c r="S403" s="2029">
        <f t="shared" ref="S403:S413" si="240">MAX(G403,J403,M403,P403)</f>
        <v>0</v>
      </c>
      <c r="T403" s="853">
        <f>IFERROR(AVERAGE(Q403:S403),"")</f>
        <v>0</v>
      </c>
      <c r="U403" s="1408" t="str">
        <f>IF(T403&gt;85,("4"),IF(T403&gt;80,("3.66"),IF(T403&gt;75,("3.33"),IF(T403&gt;70,("3.00"),IF(T403&gt;65,("2.66"),IF(T403&gt;60,("2.33"),IF(T403&gt;55,("2"),IF(T403&gt;50,("1.66"),"1.33"))))))))</f>
        <v>1.33</v>
      </c>
      <c r="V403" s="1408" t="str">
        <f>IF(T403&gt;85,("A"),IF(T403&gt;80,("A-"),IF(T403&gt;75,("B+"),IF(T403&gt;70,("B"),IF(T403&gt;65,("B-"),IF(T403&gt;60,("C+"),IF(T403&gt;55,("C"),IF(T403&gt;50,("C-"),"D+"))))))))</f>
        <v>D+</v>
      </c>
      <c r="W403" s="1408" t="str">
        <f>IF(T403&gt;80,("SB"),IF(T403&gt;65,("B"),IF(T403&gt;50,("C"),IF(T403&gt;0,("K"),"0"))))</f>
        <v>0</v>
      </c>
      <c r="X403" s="1408"/>
      <c r="Y403" s="749"/>
      <c r="Z403" s="749"/>
      <c r="AA403" s="749"/>
      <c r="AB403" s="749"/>
      <c r="AC403" s="749"/>
      <c r="AD403" s="749"/>
      <c r="AE403" s="749"/>
      <c r="AF403" s="749"/>
      <c r="AG403" s="749"/>
      <c r="AH403" s="749"/>
      <c r="AI403" s="749"/>
      <c r="AJ403" s="1386"/>
      <c r="AK403" s="1386"/>
      <c r="AL403" s="1386"/>
      <c r="AM403" s="1386"/>
      <c r="AN403" s="1386"/>
      <c r="AO403" s="1386"/>
      <c r="AP403" s="1386"/>
      <c r="AQ403" s="1386"/>
      <c r="AR403" s="1386"/>
      <c r="AS403" s="1386"/>
      <c r="AT403" s="1386"/>
      <c r="AU403" s="1057">
        <f>T414</f>
        <v>0</v>
      </c>
      <c r="AV403" s="1194" t="str">
        <f>IF(AU403&gt;85,("A"),IF(AU403&gt;80,("A-"),IF(AU403&gt;75,("B+"),IF(AU403&gt;70,("B"),IF(AU403&gt;65,("B-"),IF(AU403&gt;60,("C+"),IF(AU403&gt;55,("C"),IF(AU403&gt;50,("C-"),"D+"))))))))</f>
        <v>D+</v>
      </c>
    </row>
    <row r="404" spans="1:48" ht="20.100000000000001" customHeight="1" x14ac:dyDescent="0.25">
      <c r="A404" s="360"/>
      <c r="B404" s="1387"/>
      <c r="C404" s="1388"/>
      <c r="D404" s="1166" t="s">
        <v>155</v>
      </c>
      <c r="E404" s="1493"/>
      <c r="F404" s="1493"/>
      <c r="G404" s="1493"/>
      <c r="H404" s="2040"/>
      <c r="I404" s="2040"/>
      <c r="J404" s="2040"/>
      <c r="K404" s="1493"/>
      <c r="L404" s="1493"/>
      <c r="M404" s="1493"/>
      <c r="N404" s="2039">
        <v>0</v>
      </c>
      <c r="O404" s="2039">
        <v>0</v>
      </c>
      <c r="P404" s="2039">
        <v>0</v>
      </c>
      <c r="Q404" s="2028">
        <f t="shared" ref="Q404:Q413" si="241">MAX(E404,H404,K404,N404)</f>
        <v>0</v>
      </c>
      <c r="R404" s="2026">
        <f t="shared" si="239"/>
        <v>0</v>
      </c>
      <c r="S404" s="2029">
        <f t="shared" si="240"/>
        <v>0</v>
      </c>
      <c r="T404" s="853">
        <f t="shared" ref="T404:T413" si="242">IFERROR(AVERAGE(Q404:S404),"")</f>
        <v>0</v>
      </c>
      <c r="U404" s="1408" t="str">
        <f t="shared" ref="U404:U413" si="243">IF(T404&gt;85,("4"),IF(T404&gt;80,("3.66"),IF(T404&gt;75,("3.33"),IF(T404&gt;70,("3.00"),IF(T404&gt;65,("2.66"),IF(T404&gt;60,("2.33"),IF(T404&gt;55,("2"),IF(T404&gt;50,("1.66"),"1.33"))))))))</f>
        <v>1.33</v>
      </c>
      <c r="V404" s="1408" t="str">
        <f t="shared" ref="V404:V413" si="244">IF(T404&gt;85,("A"),IF(T404&gt;80,("A-"),IF(T404&gt;75,("B+"),IF(T404&gt;70,("B"),IF(T404&gt;65,("B-"),IF(T404&gt;60,("C+"),IF(T404&gt;55,("C"),IF(T404&gt;50,("C-"),"D+"))))))))</f>
        <v>D+</v>
      </c>
      <c r="W404" s="1408" t="str">
        <f t="shared" ref="W404:W413" si="245">IF(T404&gt;80,("SB"),IF(T404&gt;65,("B"),IF(T404&gt;50,("C"),IF(T404&gt;0,("K"),"0"))))</f>
        <v>0</v>
      </c>
      <c r="X404" s="1409"/>
      <c r="Y404" s="1389"/>
      <c r="Z404" s="1390"/>
      <c r="AA404" s="1390"/>
      <c r="AB404" s="1390"/>
      <c r="AC404" s="1390"/>
      <c r="AD404" s="1390"/>
      <c r="AE404" s="1390"/>
      <c r="AF404" s="1390"/>
      <c r="AG404" s="1390"/>
      <c r="AH404" s="1390"/>
      <c r="AI404" s="1390"/>
      <c r="AJ404" s="1391"/>
      <c r="AK404" s="1391"/>
      <c r="AL404" s="1391"/>
      <c r="AM404" s="1391"/>
      <c r="AN404" s="1391"/>
      <c r="AO404" s="1391"/>
      <c r="AP404" s="1391"/>
      <c r="AQ404" s="1391"/>
      <c r="AR404" s="1391"/>
      <c r="AS404" s="1391"/>
      <c r="AT404" s="1392"/>
      <c r="AU404" s="1411"/>
      <c r="AV404" s="1412"/>
    </row>
    <row r="405" spans="1:48" ht="20.100000000000001" customHeight="1" x14ac:dyDescent="0.25">
      <c r="A405" s="360"/>
      <c r="B405" s="1387"/>
      <c r="C405" s="1388"/>
      <c r="D405" s="1166" t="s">
        <v>16</v>
      </c>
      <c r="E405" s="1493"/>
      <c r="F405" s="1493"/>
      <c r="G405" s="1493"/>
      <c r="H405" s="2040">
        <v>0</v>
      </c>
      <c r="I405" s="2040">
        <v>0</v>
      </c>
      <c r="J405" s="2040">
        <v>0</v>
      </c>
      <c r="K405" s="1493"/>
      <c r="L405" s="1493"/>
      <c r="M405" s="1493"/>
      <c r="N405" s="2052"/>
      <c r="O405" s="2052"/>
      <c r="P405" s="2052"/>
      <c r="Q405" s="2028">
        <f t="shared" si="241"/>
        <v>0</v>
      </c>
      <c r="R405" s="2026">
        <f t="shared" si="239"/>
        <v>0</v>
      </c>
      <c r="S405" s="2029">
        <f t="shared" si="240"/>
        <v>0</v>
      </c>
      <c r="T405" s="853">
        <f t="shared" si="242"/>
        <v>0</v>
      </c>
      <c r="U405" s="1408" t="str">
        <f t="shared" si="243"/>
        <v>1.33</v>
      </c>
      <c r="V405" s="1408" t="str">
        <f t="shared" si="244"/>
        <v>D+</v>
      </c>
      <c r="W405" s="1408" t="str">
        <f t="shared" si="245"/>
        <v>0</v>
      </c>
      <c r="X405" s="1409"/>
      <c r="Y405" s="1393"/>
      <c r="Z405" s="1394"/>
      <c r="AA405" s="1394"/>
      <c r="AB405" s="1394"/>
      <c r="AC405" s="1394"/>
      <c r="AD405" s="1394"/>
      <c r="AE405" s="1394"/>
      <c r="AF405" s="1394"/>
      <c r="AG405" s="1394"/>
      <c r="AH405" s="1394"/>
      <c r="AI405" s="1394"/>
      <c r="AJ405" s="1395"/>
      <c r="AK405" s="1395"/>
      <c r="AL405" s="1395"/>
      <c r="AM405" s="1395"/>
      <c r="AN405" s="1395"/>
      <c r="AO405" s="1395"/>
      <c r="AP405" s="1395"/>
      <c r="AQ405" s="1395"/>
      <c r="AR405" s="1395"/>
      <c r="AS405" s="1395"/>
      <c r="AT405" s="1396"/>
      <c r="AU405" s="1413"/>
      <c r="AV405" s="1414"/>
    </row>
    <row r="406" spans="1:48" ht="20.100000000000001" customHeight="1" x14ac:dyDescent="0.25">
      <c r="A406" s="360"/>
      <c r="B406" s="1387"/>
      <c r="C406" s="1388"/>
      <c r="D406" s="1166" t="s">
        <v>189</v>
      </c>
      <c r="E406" s="1493"/>
      <c r="F406" s="1493"/>
      <c r="G406" s="1493"/>
      <c r="H406" s="2040">
        <v>0</v>
      </c>
      <c r="I406" s="2040">
        <v>0</v>
      </c>
      <c r="J406" s="2040">
        <v>0</v>
      </c>
      <c r="K406" s="1493"/>
      <c r="L406" s="1493"/>
      <c r="M406" s="1493"/>
      <c r="N406" s="2039"/>
      <c r="O406" s="2039"/>
      <c r="P406" s="2039"/>
      <c r="Q406" s="2028">
        <f t="shared" si="241"/>
        <v>0</v>
      </c>
      <c r="R406" s="2026">
        <f t="shared" si="239"/>
        <v>0</v>
      </c>
      <c r="S406" s="2029">
        <f t="shared" si="240"/>
        <v>0</v>
      </c>
      <c r="T406" s="853">
        <f t="shared" si="242"/>
        <v>0</v>
      </c>
      <c r="U406" s="1408" t="str">
        <f t="shared" si="243"/>
        <v>1.33</v>
      </c>
      <c r="V406" s="1408" t="str">
        <f t="shared" si="244"/>
        <v>D+</v>
      </c>
      <c r="W406" s="1408" t="str">
        <f t="shared" si="245"/>
        <v>0</v>
      </c>
      <c r="X406" s="1409"/>
      <c r="Y406" s="1393"/>
      <c r="Z406" s="1394"/>
      <c r="AA406" s="1394"/>
      <c r="AB406" s="1394"/>
      <c r="AC406" s="1394"/>
      <c r="AD406" s="1394"/>
      <c r="AE406" s="1394"/>
      <c r="AF406" s="1394"/>
      <c r="AG406" s="1394"/>
      <c r="AH406" s="1394"/>
      <c r="AI406" s="1394"/>
      <c r="AJ406" s="1395"/>
      <c r="AK406" s="1395"/>
      <c r="AL406" s="1395"/>
      <c r="AM406" s="1395"/>
      <c r="AN406" s="1395"/>
      <c r="AO406" s="1395"/>
      <c r="AP406" s="1395"/>
      <c r="AQ406" s="1395"/>
      <c r="AR406" s="1395"/>
      <c r="AS406" s="1395"/>
      <c r="AT406" s="1396"/>
      <c r="AU406" s="1413"/>
      <c r="AV406" s="1414"/>
    </row>
    <row r="407" spans="1:48" ht="20.100000000000001" customHeight="1" x14ac:dyDescent="0.25">
      <c r="A407" s="360"/>
      <c r="B407" s="1387"/>
      <c r="C407" s="1388"/>
      <c r="D407" s="1166" t="s">
        <v>186</v>
      </c>
      <c r="E407" s="1493"/>
      <c r="F407" s="1493"/>
      <c r="G407" s="1493"/>
      <c r="H407" s="2040">
        <v>0</v>
      </c>
      <c r="I407" s="2040">
        <v>0</v>
      </c>
      <c r="J407" s="2040">
        <v>0</v>
      </c>
      <c r="K407" s="1493"/>
      <c r="L407" s="1493"/>
      <c r="M407" s="1493"/>
      <c r="N407" s="2039"/>
      <c r="O407" s="2039"/>
      <c r="P407" s="2039"/>
      <c r="Q407" s="2028">
        <f t="shared" si="241"/>
        <v>0</v>
      </c>
      <c r="R407" s="2026">
        <f t="shared" si="239"/>
        <v>0</v>
      </c>
      <c r="S407" s="2029">
        <f t="shared" si="240"/>
        <v>0</v>
      </c>
      <c r="T407" s="853">
        <f t="shared" si="242"/>
        <v>0</v>
      </c>
      <c r="U407" s="1408" t="str">
        <f t="shared" si="243"/>
        <v>1.33</v>
      </c>
      <c r="V407" s="1408" t="str">
        <f t="shared" si="244"/>
        <v>D+</v>
      </c>
      <c r="W407" s="1408" t="str">
        <f t="shared" si="245"/>
        <v>0</v>
      </c>
      <c r="X407" s="1409"/>
      <c r="Y407" s="1393"/>
      <c r="Z407" s="1394"/>
      <c r="AA407" s="1394"/>
      <c r="AB407" s="1394"/>
      <c r="AC407" s="1394"/>
      <c r="AD407" s="1394"/>
      <c r="AE407" s="1394"/>
      <c r="AF407" s="1394"/>
      <c r="AG407" s="1394"/>
      <c r="AH407" s="1394"/>
      <c r="AI407" s="1394"/>
      <c r="AJ407" s="1395"/>
      <c r="AK407" s="1395"/>
      <c r="AL407" s="1395"/>
      <c r="AM407" s="1395"/>
      <c r="AN407" s="1395"/>
      <c r="AO407" s="1395"/>
      <c r="AP407" s="1395"/>
      <c r="AQ407" s="1395"/>
      <c r="AR407" s="1395"/>
      <c r="AS407" s="1395"/>
      <c r="AT407" s="1396"/>
      <c r="AU407" s="1413"/>
      <c r="AV407" s="1414"/>
    </row>
    <row r="408" spans="1:48" ht="20.100000000000001" customHeight="1" x14ac:dyDescent="0.25">
      <c r="A408" s="360"/>
      <c r="B408" s="1387"/>
      <c r="C408" s="1388"/>
      <c r="D408" s="1166" t="s">
        <v>187</v>
      </c>
      <c r="E408" s="1385"/>
      <c r="F408" s="1385"/>
      <c r="G408" s="1385"/>
      <c r="H408" s="2048"/>
      <c r="I408" s="2048"/>
      <c r="J408" s="2048"/>
      <c r="K408" s="1385">
        <v>0</v>
      </c>
      <c r="L408" s="1385">
        <v>0</v>
      </c>
      <c r="M408" s="1385">
        <v>0</v>
      </c>
      <c r="N408" s="2049"/>
      <c r="O408" s="2049"/>
      <c r="P408" s="2049"/>
      <c r="Q408" s="2028">
        <f t="shared" si="241"/>
        <v>0</v>
      </c>
      <c r="R408" s="2026">
        <f t="shared" si="239"/>
        <v>0</v>
      </c>
      <c r="S408" s="2029">
        <f t="shared" si="240"/>
        <v>0</v>
      </c>
      <c r="T408" s="853">
        <f t="shared" si="242"/>
        <v>0</v>
      </c>
      <c r="U408" s="1408" t="str">
        <f t="shared" si="243"/>
        <v>1.33</v>
      </c>
      <c r="V408" s="1408" t="str">
        <f t="shared" si="244"/>
        <v>D+</v>
      </c>
      <c r="W408" s="1408" t="str">
        <f t="shared" si="245"/>
        <v>0</v>
      </c>
      <c r="X408" s="1409"/>
      <c r="Y408" s="1393"/>
      <c r="Z408" s="1394"/>
      <c r="AA408" s="1394"/>
      <c r="AB408" s="1394"/>
      <c r="AC408" s="1394"/>
      <c r="AD408" s="1394"/>
      <c r="AE408" s="1394"/>
      <c r="AF408" s="1394"/>
      <c r="AG408" s="1394"/>
      <c r="AH408" s="1394"/>
      <c r="AI408" s="1394"/>
      <c r="AJ408" s="1395"/>
      <c r="AK408" s="1395"/>
      <c r="AL408" s="1395"/>
      <c r="AM408" s="1395"/>
      <c r="AN408" s="1395"/>
      <c r="AO408" s="1395"/>
      <c r="AP408" s="1395"/>
      <c r="AQ408" s="1395"/>
      <c r="AR408" s="1395"/>
      <c r="AS408" s="1395"/>
      <c r="AT408" s="1396"/>
      <c r="AU408" s="1413"/>
      <c r="AV408" s="1414"/>
    </row>
    <row r="409" spans="1:48" ht="20.100000000000001" customHeight="1" x14ac:dyDescent="0.25">
      <c r="A409" s="360"/>
      <c r="B409" s="1387"/>
      <c r="C409" s="1388"/>
      <c r="D409" s="1166" t="s">
        <v>17</v>
      </c>
      <c r="E409" s="1385">
        <v>0</v>
      </c>
      <c r="F409" s="1385">
        <v>0</v>
      </c>
      <c r="G409" s="1385">
        <v>0</v>
      </c>
      <c r="H409" s="2048">
        <v>0</v>
      </c>
      <c r="I409" s="2048">
        <v>0</v>
      </c>
      <c r="J409" s="2048">
        <v>0</v>
      </c>
      <c r="K409" s="1385"/>
      <c r="L409" s="1385"/>
      <c r="M409" s="1385"/>
      <c r="N409" s="2049"/>
      <c r="O409" s="2049"/>
      <c r="P409" s="2049"/>
      <c r="Q409" s="2028">
        <f t="shared" si="241"/>
        <v>0</v>
      </c>
      <c r="R409" s="2026">
        <f t="shared" si="239"/>
        <v>0</v>
      </c>
      <c r="S409" s="2029">
        <f t="shared" si="240"/>
        <v>0</v>
      </c>
      <c r="T409" s="853">
        <f t="shared" si="242"/>
        <v>0</v>
      </c>
      <c r="U409" s="1408" t="str">
        <f t="shared" si="243"/>
        <v>1.33</v>
      </c>
      <c r="V409" s="1408" t="str">
        <f t="shared" si="244"/>
        <v>D+</v>
      </c>
      <c r="W409" s="1408" t="str">
        <f t="shared" si="245"/>
        <v>0</v>
      </c>
      <c r="X409" s="1409"/>
      <c r="Y409" s="1393"/>
      <c r="Z409" s="1394"/>
      <c r="AA409" s="1394"/>
      <c r="AB409" s="1394"/>
      <c r="AC409" s="1394"/>
      <c r="AD409" s="1394"/>
      <c r="AE409" s="1394"/>
      <c r="AF409" s="1394"/>
      <c r="AG409" s="1394"/>
      <c r="AH409" s="1394"/>
      <c r="AI409" s="1394"/>
      <c r="AJ409" s="1395"/>
      <c r="AK409" s="1395"/>
      <c r="AL409" s="1395"/>
      <c r="AM409" s="1395"/>
      <c r="AN409" s="1395"/>
      <c r="AO409" s="1395"/>
      <c r="AP409" s="1395"/>
      <c r="AQ409" s="1395"/>
      <c r="AR409" s="1395"/>
      <c r="AS409" s="1395"/>
      <c r="AT409" s="1396"/>
      <c r="AU409" s="1413"/>
      <c r="AV409" s="1414"/>
    </row>
    <row r="410" spans="1:48" ht="20.100000000000001" customHeight="1" x14ac:dyDescent="0.25">
      <c r="A410" s="360"/>
      <c r="B410" s="1387"/>
      <c r="C410" s="1388"/>
      <c r="D410" s="1166" t="s">
        <v>188</v>
      </c>
      <c r="E410" s="1385"/>
      <c r="F410" s="1385"/>
      <c r="G410" s="1385"/>
      <c r="H410" s="2048">
        <v>0</v>
      </c>
      <c r="I410" s="2048">
        <v>0</v>
      </c>
      <c r="J410" s="2048">
        <v>0</v>
      </c>
      <c r="K410" s="1385"/>
      <c r="L410" s="1385"/>
      <c r="M410" s="1385"/>
      <c r="N410" s="2049"/>
      <c r="O410" s="2049"/>
      <c r="P410" s="2049"/>
      <c r="Q410" s="2028">
        <f t="shared" si="241"/>
        <v>0</v>
      </c>
      <c r="R410" s="2026">
        <f t="shared" si="239"/>
        <v>0</v>
      </c>
      <c r="S410" s="2029">
        <f t="shared" si="240"/>
        <v>0</v>
      </c>
      <c r="T410" s="853">
        <f t="shared" si="242"/>
        <v>0</v>
      </c>
      <c r="U410" s="1408" t="str">
        <f t="shared" si="243"/>
        <v>1.33</v>
      </c>
      <c r="V410" s="1408" t="str">
        <f t="shared" si="244"/>
        <v>D+</v>
      </c>
      <c r="W410" s="1408" t="str">
        <f t="shared" si="245"/>
        <v>0</v>
      </c>
      <c r="X410" s="1409"/>
      <c r="Y410" s="1393"/>
      <c r="Z410" s="1394"/>
      <c r="AA410" s="1394"/>
      <c r="AB410" s="1394"/>
      <c r="AC410" s="1394"/>
      <c r="AD410" s="1394"/>
      <c r="AE410" s="1394"/>
      <c r="AF410" s="1394"/>
      <c r="AG410" s="1394"/>
      <c r="AH410" s="1394"/>
      <c r="AI410" s="1394"/>
      <c r="AJ410" s="1395"/>
      <c r="AK410" s="1395"/>
      <c r="AL410" s="1395"/>
      <c r="AM410" s="1395"/>
      <c r="AN410" s="1395"/>
      <c r="AO410" s="1395"/>
      <c r="AP410" s="1395"/>
      <c r="AQ410" s="1395"/>
      <c r="AR410" s="1395"/>
      <c r="AS410" s="1395"/>
      <c r="AT410" s="1396"/>
      <c r="AU410" s="1413"/>
      <c r="AV410" s="1414"/>
    </row>
    <row r="411" spans="1:48" ht="20.100000000000001" customHeight="1" x14ac:dyDescent="0.25">
      <c r="A411" s="360"/>
      <c r="B411" s="1387"/>
      <c r="C411" s="1388"/>
      <c r="D411" s="1166" t="s">
        <v>569</v>
      </c>
      <c r="E411" s="1385"/>
      <c r="F411" s="1385"/>
      <c r="G411" s="1385"/>
      <c r="H411" s="2048"/>
      <c r="I411" s="2048"/>
      <c r="J411" s="2048"/>
      <c r="K411" s="1385">
        <v>0</v>
      </c>
      <c r="L411" s="1385">
        <v>0</v>
      </c>
      <c r="M411" s="1385">
        <v>0</v>
      </c>
      <c r="N411" s="2049"/>
      <c r="O411" s="2049"/>
      <c r="P411" s="2049"/>
      <c r="Q411" s="2028">
        <f t="shared" si="241"/>
        <v>0</v>
      </c>
      <c r="R411" s="2026">
        <f t="shared" si="239"/>
        <v>0</v>
      </c>
      <c r="S411" s="2029">
        <f t="shared" si="240"/>
        <v>0</v>
      </c>
      <c r="T411" s="853">
        <f t="shared" si="242"/>
        <v>0</v>
      </c>
      <c r="U411" s="1408" t="str">
        <f t="shared" si="243"/>
        <v>1.33</v>
      </c>
      <c r="V411" s="1408" t="str">
        <f t="shared" si="244"/>
        <v>D+</v>
      </c>
      <c r="W411" s="1408" t="str">
        <f t="shared" si="245"/>
        <v>0</v>
      </c>
      <c r="X411" s="1409"/>
      <c r="Y411" s="1393"/>
      <c r="Z411" s="1394"/>
      <c r="AA411" s="1394"/>
      <c r="AB411" s="1394"/>
      <c r="AC411" s="1394"/>
      <c r="AD411" s="1394"/>
      <c r="AE411" s="1394"/>
      <c r="AF411" s="1394"/>
      <c r="AG411" s="1394"/>
      <c r="AH411" s="1394"/>
      <c r="AI411" s="1394"/>
      <c r="AJ411" s="1395"/>
      <c r="AK411" s="1395"/>
      <c r="AL411" s="1395"/>
      <c r="AM411" s="1395"/>
      <c r="AN411" s="1395"/>
      <c r="AO411" s="1395"/>
      <c r="AP411" s="1395"/>
      <c r="AQ411" s="1395"/>
      <c r="AR411" s="1395"/>
      <c r="AS411" s="1395"/>
      <c r="AT411" s="1396"/>
      <c r="AU411" s="1413"/>
      <c r="AV411" s="1414"/>
    </row>
    <row r="412" spans="1:48" ht="20.100000000000001" customHeight="1" x14ac:dyDescent="0.25">
      <c r="A412" s="360"/>
      <c r="B412" s="1387"/>
      <c r="C412" s="1388"/>
      <c r="D412" s="1166" t="s">
        <v>209</v>
      </c>
      <c r="E412" s="1385"/>
      <c r="F412" s="1385"/>
      <c r="G412" s="1385"/>
      <c r="H412" s="2048"/>
      <c r="I412" s="2048"/>
      <c r="J412" s="2048"/>
      <c r="K412" s="1385"/>
      <c r="L412" s="1385"/>
      <c r="M412" s="1385"/>
      <c r="N412" s="2049">
        <v>0</v>
      </c>
      <c r="O412" s="2049">
        <v>0</v>
      </c>
      <c r="P412" s="2049">
        <v>0</v>
      </c>
      <c r="Q412" s="2028">
        <f t="shared" si="241"/>
        <v>0</v>
      </c>
      <c r="R412" s="2026">
        <f t="shared" si="239"/>
        <v>0</v>
      </c>
      <c r="S412" s="2029">
        <f t="shared" si="240"/>
        <v>0</v>
      </c>
      <c r="T412" s="853">
        <f t="shared" si="242"/>
        <v>0</v>
      </c>
      <c r="U412" s="1408" t="str">
        <f t="shared" si="243"/>
        <v>1.33</v>
      </c>
      <c r="V412" s="1408" t="str">
        <f t="shared" si="244"/>
        <v>D+</v>
      </c>
      <c r="W412" s="1408" t="str">
        <f t="shared" si="245"/>
        <v>0</v>
      </c>
      <c r="X412" s="1409"/>
      <c r="Y412" s="1393"/>
      <c r="Z412" s="1394"/>
      <c r="AA412" s="1394"/>
      <c r="AB412" s="1394"/>
      <c r="AC412" s="1394"/>
      <c r="AD412" s="1394"/>
      <c r="AE412" s="1394"/>
      <c r="AF412" s="1394"/>
      <c r="AG412" s="1394"/>
      <c r="AH412" s="1394"/>
      <c r="AI412" s="1394"/>
      <c r="AJ412" s="1395"/>
      <c r="AK412" s="1395"/>
      <c r="AL412" s="1395"/>
      <c r="AM412" s="1395"/>
      <c r="AN412" s="1395"/>
      <c r="AO412" s="1395"/>
      <c r="AP412" s="1395"/>
      <c r="AQ412" s="1395"/>
      <c r="AR412" s="1395"/>
      <c r="AS412" s="1395"/>
      <c r="AT412" s="1396"/>
      <c r="AU412" s="1413"/>
      <c r="AV412" s="1414"/>
    </row>
    <row r="413" spans="1:48" ht="20.100000000000001" customHeight="1" x14ac:dyDescent="0.25">
      <c r="A413" s="360"/>
      <c r="B413" s="1387"/>
      <c r="C413" s="1388"/>
      <c r="D413" s="1166" t="s">
        <v>210</v>
      </c>
      <c r="E413" s="1385"/>
      <c r="F413" s="1385"/>
      <c r="G413" s="1385"/>
      <c r="H413" s="2048"/>
      <c r="I413" s="2048"/>
      <c r="J413" s="2048"/>
      <c r="K413" s="1385"/>
      <c r="L413" s="1385"/>
      <c r="M413" s="1385"/>
      <c r="N413" s="2049">
        <v>0</v>
      </c>
      <c r="O413" s="2049">
        <v>0</v>
      </c>
      <c r="P413" s="2049">
        <v>0</v>
      </c>
      <c r="Q413" s="2028">
        <f t="shared" si="241"/>
        <v>0</v>
      </c>
      <c r="R413" s="2026">
        <f t="shared" si="239"/>
        <v>0</v>
      </c>
      <c r="S413" s="2029">
        <f t="shared" si="240"/>
        <v>0</v>
      </c>
      <c r="T413" s="853">
        <f t="shared" si="242"/>
        <v>0</v>
      </c>
      <c r="U413" s="1408" t="str">
        <f t="shared" si="243"/>
        <v>1.33</v>
      </c>
      <c r="V413" s="1408" t="str">
        <f t="shared" si="244"/>
        <v>D+</v>
      </c>
      <c r="W413" s="1408" t="str">
        <f t="shared" si="245"/>
        <v>0</v>
      </c>
      <c r="X413" s="1409"/>
      <c r="Y413" s="1397"/>
      <c r="Z413" s="1398"/>
      <c r="AA413" s="1398"/>
      <c r="AB413" s="1398"/>
      <c r="AC413" s="1398"/>
      <c r="AD413" s="1398"/>
      <c r="AE413" s="1398"/>
      <c r="AF413" s="1398"/>
      <c r="AG413" s="1398"/>
      <c r="AH413" s="1398"/>
      <c r="AI413" s="1398"/>
      <c r="AJ413" s="1399"/>
      <c r="AK413" s="1399"/>
      <c r="AL413" s="1399"/>
      <c r="AM413" s="1399"/>
      <c r="AN413" s="1399"/>
      <c r="AO413" s="1399"/>
      <c r="AP413" s="1399"/>
      <c r="AQ413" s="1399"/>
      <c r="AR413" s="1399"/>
      <c r="AS413" s="1399"/>
      <c r="AT413" s="1400"/>
      <c r="AU413" s="1415"/>
      <c r="AV413" s="1416"/>
    </row>
    <row r="414" spans="1:48" ht="20.100000000000001" customHeight="1" x14ac:dyDescent="0.25">
      <c r="A414" s="727"/>
      <c r="B414" s="1406">
        <v>34</v>
      </c>
      <c r="C414" s="1407"/>
      <c r="D414" s="1004"/>
      <c r="E414" s="2780"/>
      <c r="F414" s="2781"/>
      <c r="G414" s="2781"/>
      <c r="H414" s="2781"/>
      <c r="I414" s="2046"/>
      <c r="J414" s="2046"/>
      <c r="K414" s="2046"/>
      <c r="L414" s="2046"/>
      <c r="M414" s="2046"/>
      <c r="N414" s="2046"/>
      <c r="O414" s="2046"/>
      <c r="P414" s="2046"/>
      <c r="Q414" s="2046"/>
      <c r="R414" s="2046"/>
      <c r="S414" s="2046"/>
      <c r="T414" s="2044">
        <f>IFERROR(AVERAGE(T403:T413),"  ")</f>
        <v>0</v>
      </c>
      <c r="U414" s="2045" t="str">
        <f>IF(X414&gt;85,("4"),IF(X414&gt;80,("3.66"),IF(X414&gt;75,("3.33"),IF(X414&gt;70,("3.00"),IF(X414&gt;65,("2.66"),IF(X414&gt;60,("2.33"),IF(X414&gt;55,("2"),IF(X414&gt;50,("1.66"),"1.33"))))))))</f>
        <v>1.33</v>
      </c>
      <c r="V414" s="2045" t="str">
        <f>IF(X414&gt;85,("A"),IF(X414&gt;80,("A-"),IF(X414&gt;75,("B+"),IF(X414&gt;70,("B"),IF(X414&gt;65,("B-"),IF(X414&gt;60,("C+"),IF(X414&gt;55,("C"),IF(X414&gt;50,("C-"),"D+"))))))))</f>
        <v>D+</v>
      </c>
      <c r="W414" s="2045"/>
      <c r="X414" s="888">
        <f>MAX(T403:T413)</f>
        <v>0</v>
      </c>
      <c r="Y414" s="1403"/>
      <c r="Z414" s="1404"/>
      <c r="AA414" s="1404"/>
      <c r="AB414" s="1404"/>
      <c r="AC414" s="1404"/>
      <c r="AD414" s="1404"/>
      <c r="AE414" s="1404"/>
      <c r="AF414" s="1404"/>
      <c r="AG414" s="1404"/>
      <c r="AH414" s="1404"/>
      <c r="AI414" s="1404"/>
      <c r="AJ414" s="1404"/>
      <c r="AK414" s="1404"/>
      <c r="AL414" s="1404"/>
      <c r="AM414" s="1404"/>
      <c r="AN414" s="1404"/>
      <c r="AO414" s="1404"/>
      <c r="AP414" s="1404"/>
      <c r="AQ414" s="1404"/>
      <c r="AR414" s="1404"/>
      <c r="AS414" s="1404"/>
      <c r="AT414" s="1405"/>
      <c r="AU414" s="1257"/>
      <c r="AV414" s="1258"/>
    </row>
    <row r="415" spans="1:48" ht="20.100000000000001" customHeight="1" x14ac:dyDescent="0.25">
      <c r="A415" s="724">
        <v>35</v>
      </c>
      <c r="B415" s="1383"/>
      <c r="C415" s="1384" t="e">
        <f>VLOOKUP(A415,data_siswa,4,FALSE)</f>
        <v>#N/A</v>
      </c>
      <c r="D415" s="1166" t="s">
        <v>154</v>
      </c>
      <c r="E415" s="2050">
        <v>0</v>
      </c>
      <c r="F415" s="2050">
        <v>0</v>
      </c>
      <c r="G415" s="2050">
        <v>0</v>
      </c>
      <c r="H415" s="2051"/>
      <c r="I415" s="2051"/>
      <c r="J415" s="2051"/>
      <c r="K415" s="2050"/>
      <c r="L415" s="2050"/>
      <c r="M415" s="2050"/>
      <c r="N415" s="2052"/>
      <c r="O415" s="2052"/>
      <c r="P415" s="2052"/>
      <c r="Q415" s="2028">
        <f>MAX(E415,H415,K415,N415)</f>
        <v>0</v>
      </c>
      <c r="R415" s="2026">
        <f t="shared" ref="R415:R425" si="246">MAX(F415,I415,L415,O415)</f>
        <v>0</v>
      </c>
      <c r="S415" s="2029">
        <f t="shared" ref="S415:S425" si="247">MAX(G415,J415,M415,P415)</f>
        <v>0</v>
      </c>
      <c r="T415" s="853">
        <f>IFERROR(AVERAGE(Q415:S415),"")</f>
        <v>0</v>
      </c>
      <c r="U415" s="1408" t="str">
        <f>IF(T415&gt;85,("4"),IF(T415&gt;80,("3.66"),IF(T415&gt;75,("3.33"),IF(T415&gt;70,("3.00"),IF(T415&gt;65,("2.66"),IF(T415&gt;60,("2.33"),IF(T415&gt;55,("2"),IF(T415&gt;50,("1.66"),"1.33"))))))))</f>
        <v>1.33</v>
      </c>
      <c r="V415" s="1408" t="str">
        <f>IF(T415&gt;85,("A"),IF(T415&gt;80,("A-"),IF(T415&gt;75,("B+"),IF(T415&gt;70,("B"),IF(T415&gt;65,("B-"),IF(T415&gt;60,("C+"),IF(T415&gt;55,("C"),IF(T415&gt;50,("C-"),"D+"))))))))</f>
        <v>D+</v>
      </c>
      <c r="W415" s="1408" t="str">
        <f>IF(T415&gt;80,("SB"),IF(T415&gt;65,("B"),IF(T415&gt;50,("C"),IF(T415&gt;0,("K"),"0"))))</f>
        <v>0</v>
      </c>
      <c r="X415" s="1408"/>
      <c r="Y415" s="749"/>
      <c r="Z415" s="749"/>
      <c r="AA415" s="749"/>
      <c r="AB415" s="749"/>
      <c r="AC415" s="749"/>
      <c r="AD415" s="749"/>
      <c r="AE415" s="749"/>
      <c r="AF415" s="749"/>
      <c r="AG415" s="749"/>
      <c r="AH415" s="749"/>
      <c r="AI415" s="749"/>
      <c r="AJ415" s="1386"/>
      <c r="AK415" s="1386"/>
      <c r="AL415" s="1386"/>
      <c r="AM415" s="1386"/>
      <c r="AN415" s="1386"/>
      <c r="AO415" s="1386"/>
      <c r="AP415" s="1386"/>
      <c r="AQ415" s="1386"/>
      <c r="AR415" s="1386"/>
      <c r="AS415" s="1386"/>
      <c r="AT415" s="1386"/>
      <c r="AU415" s="1057">
        <f>T426</f>
        <v>0</v>
      </c>
      <c r="AV415" s="1194" t="str">
        <f>IF(AU415&gt;85,("A"),IF(AU415&gt;80,("A-"),IF(AU415&gt;75,("B+"),IF(AU415&gt;70,("B"),IF(AU415&gt;65,("B-"),IF(AU415&gt;60,("C+"),IF(AU415&gt;55,("C"),IF(AU415&gt;50,("C-"),"D+"))))))))</f>
        <v>D+</v>
      </c>
    </row>
    <row r="416" spans="1:48" ht="20.100000000000001" customHeight="1" x14ac:dyDescent="0.25">
      <c r="A416" s="360"/>
      <c r="B416" s="1387"/>
      <c r="C416" s="1388"/>
      <c r="D416" s="1166" t="s">
        <v>155</v>
      </c>
      <c r="E416" s="1493"/>
      <c r="F416" s="1493"/>
      <c r="G416" s="1493"/>
      <c r="H416" s="2040"/>
      <c r="I416" s="2040"/>
      <c r="J416" s="2040"/>
      <c r="K416" s="1493"/>
      <c r="L416" s="1493"/>
      <c r="M416" s="1493"/>
      <c r="N416" s="2039">
        <v>0</v>
      </c>
      <c r="O416" s="2039">
        <v>0</v>
      </c>
      <c r="P416" s="2039">
        <v>0</v>
      </c>
      <c r="Q416" s="2028">
        <f t="shared" ref="Q416:Q425" si="248">MAX(E416,H416,K416,N416)</f>
        <v>0</v>
      </c>
      <c r="R416" s="2026">
        <f t="shared" si="246"/>
        <v>0</v>
      </c>
      <c r="S416" s="2029">
        <f t="shared" si="247"/>
        <v>0</v>
      </c>
      <c r="T416" s="853">
        <f t="shared" ref="T416:T425" si="249">IFERROR(AVERAGE(Q416:S416),"")</f>
        <v>0</v>
      </c>
      <c r="U416" s="1408" t="str">
        <f t="shared" ref="U416:U425" si="250">IF(T416&gt;85,("4"),IF(T416&gt;80,("3.66"),IF(T416&gt;75,("3.33"),IF(T416&gt;70,("3.00"),IF(T416&gt;65,("2.66"),IF(T416&gt;60,("2.33"),IF(T416&gt;55,("2"),IF(T416&gt;50,("1.66"),"1.33"))))))))</f>
        <v>1.33</v>
      </c>
      <c r="V416" s="1408" t="str">
        <f t="shared" ref="V416:V425" si="251">IF(T416&gt;85,("A"),IF(T416&gt;80,("A-"),IF(T416&gt;75,("B+"),IF(T416&gt;70,("B"),IF(T416&gt;65,("B-"),IF(T416&gt;60,("C+"),IF(T416&gt;55,("C"),IF(T416&gt;50,("C-"),"D+"))))))))</f>
        <v>D+</v>
      </c>
      <c r="W416" s="1408" t="str">
        <f t="shared" ref="W416:W425" si="252">IF(T416&gt;80,("SB"),IF(T416&gt;65,("B"),IF(T416&gt;50,("C"),IF(T416&gt;0,("K"),"0"))))</f>
        <v>0</v>
      </c>
      <c r="X416" s="1409"/>
      <c r="Y416" s="1389"/>
      <c r="Z416" s="1390"/>
      <c r="AA416" s="1390"/>
      <c r="AB416" s="1390"/>
      <c r="AC416" s="1390"/>
      <c r="AD416" s="1390"/>
      <c r="AE416" s="1390"/>
      <c r="AF416" s="1390"/>
      <c r="AG416" s="1390"/>
      <c r="AH416" s="1390"/>
      <c r="AI416" s="1390"/>
      <c r="AJ416" s="1391"/>
      <c r="AK416" s="1391"/>
      <c r="AL416" s="1391"/>
      <c r="AM416" s="1391"/>
      <c r="AN416" s="1391"/>
      <c r="AO416" s="1391"/>
      <c r="AP416" s="1391"/>
      <c r="AQ416" s="1391"/>
      <c r="AR416" s="1391"/>
      <c r="AS416" s="1391"/>
      <c r="AT416" s="1392"/>
      <c r="AU416" s="1411"/>
      <c r="AV416" s="1412"/>
    </row>
    <row r="417" spans="1:48" ht="20.100000000000001" customHeight="1" x14ac:dyDescent="0.25">
      <c r="A417" s="360"/>
      <c r="B417" s="1387"/>
      <c r="C417" s="1388"/>
      <c r="D417" s="1166" t="s">
        <v>16</v>
      </c>
      <c r="E417" s="1493"/>
      <c r="F417" s="1493"/>
      <c r="G417" s="1493"/>
      <c r="H417" s="2040">
        <v>0</v>
      </c>
      <c r="I417" s="2040">
        <v>0</v>
      </c>
      <c r="J417" s="2040">
        <v>0</v>
      </c>
      <c r="K417" s="1493"/>
      <c r="L417" s="1493"/>
      <c r="M417" s="1493"/>
      <c r="N417" s="2052"/>
      <c r="O417" s="2052"/>
      <c r="P417" s="2052"/>
      <c r="Q417" s="2028">
        <f t="shared" si="248"/>
        <v>0</v>
      </c>
      <c r="R417" s="2026">
        <f t="shared" si="246"/>
        <v>0</v>
      </c>
      <c r="S417" s="2029">
        <f t="shared" si="247"/>
        <v>0</v>
      </c>
      <c r="T417" s="853">
        <f t="shared" si="249"/>
        <v>0</v>
      </c>
      <c r="U417" s="1408" t="str">
        <f t="shared" si="250"/>
        <v>1.33</v>
      </c>
      <c r="V417" s="1408" t="str">
        <f t="shared" si="251"/>
        <v>D+</v>
      </c>
      <c r="W417" s="1408" t="str">
        <f t="shared" si="252"/>
        <v>0</v>
      </c>
      <c r="X417" s="1409"/>
      <c r="Y417" s="1393"/>
      <c r="Z417" s="1394"/>
      <c r="AA417" s="1394"/>
      <c r="AB417" s="1394"/>
      <c r="AC417" s="1394"/>
      <c r="AD417" s="1394"/>
      <c r="AE417" s="1394"/>
      <c r="AF417" s="1394"/>
      <c r="AG417" s="1394"/>
      <c r="AH417" s="1394"/>
      <c r="AI417" s="1394"/>
      <c r="AJ417" s="1395"/>
      <c r="AK417" s="1395"/>
      <c r="AL417" s="1395"/>
      <c r="AM417" s="1395"/>
      <c r="AN417" s="1395"/>
      <c r="AO417" s="1395"/>
      <c r="AP417" s="1395"/>
      <c r="AQ417" s="1395"/>
      <c r="AR417" s="1395"/>
      <c r="AS417" s="1395"/>
      <c r="AT417" s="1396"/>
      <c r="AU417" s="1413"/>
      <c r="AV417" s="1414"/>
    </row>
    <row r="418" spans="1:48" ht="20.100000000000001" customHeight="1" x14ac:dyDescent="0.25">
      <c r="A418" s="360"/>
      <c r="B418" s="1387"/>
      <c r="C418" s="1388"/>
      <c r="D418" s="1166" t="s">
        <v>189</v>
      </c>
      <c r="E418" s="1493"/>
      <c r="F418" s="1493"/>
      <c r="G418" s="1493"/>
      <c r="H418" s="2040">
        <v>0</v>
      </c>
      <c r="I418" s="2040">
        <v>0</v>
      </c>
      <c r="J418" s="2040">
        <v>0</v>
      </c>
      <c r="K418" s="1493"/>
      <c r="L418" s="1493"/>
      <c r="M418" s="1493"/>
      <c r="N418" s="2039"/>
      <c r="O418" s="2039"/>
      <c r="P418" s="2039"/>
      <c r="Q418" s="2028">
        <f t="shared" si="248"/>
        <v>0</v>
      </c>
      <c r="R418" s="2026">
        <f t="shared" si="246"/>
        <v>0</v>
      </c>
      <c r="S418" s="2029">
        <f t="shared" si="247"/>
        <v>0</v>
      </c>
      <c r="T418" s="853">
        <f t="shared" si="249"/>
        <v>0</v>
      </c>
      <c r="U418" s="1408" t="str">
        <f t="shared" si="250"/>
        <v>1.33</v>
      </c>
      <c r="V418" s="1408" t="str">
        <f t="shared" si="251"/>
        <v>D+</v>
      </c>
      <c r="W418" s="1408" t="str">
        <f t="shared" si="252"/>
        <v>0</v>
      </c>
      <c r="X418" s="1409"/>
      <c r="Y418" s="1393"/>
      <c r="Z418" s="1394"/>
      <c r="AA418" s="1394"/>
      <c r="AB418" s="1394"/>
      <c r="AC418" s="1394"/>
      <c r="AD418" s="1394"/>
      <c r="AE418" s="1394"/>
      <c r="AF418" s="1394"/>
      <c r="AG418" s="1394"/>
      <c r="AH418" s="1394"/>
      <c r="AI418" s="1394"/>
      <c r="AJ418" s="1395"/>
      <c r="AK418" s="1395"/>
      <c r="AL418" s="1395"/>
      <c r="AM418" s="1395"/>
      <c r="AN418" s="1395"/>
      <c r="AO418" s="1395"/>
      <c r="AP418" s="1395"/>
      <c r="AQ418" s="1395"/>
      <c r="AR418" s="1395"/>
      <c r="AS418" s="1395"/>
      <c r="AT418" s="1396"/>
      <c r="AU418" s="1413"/>
      <c r="AV418" s="1414"/>
    </row>
    <row r="419" spans="1:48" ht="20.100000000000001" customHeight="1" x14ac:dyDescent="0.25">
      <c r="A419" s="360"/>
      <c r="B419" s="1387"/>
      <c r="C419" s="1388"/>
      <c r="D419" s="1166" t="s">
        <v>186</v>
      </c>
      <c r="E419" s="1493"/>
      <c r="F419" s="1493"/>
      <c r="G419" s="1493"/>
      <c r="H419" s="2040">
        <v>0</v>
      </c>
      <c r="I419" s="2040">
        <v>0</v>
      </c>
      <c r="J419" s="2040">
        <v>0</v>
      </c>
      <c r="K419" s="1493"/>
      <c r="L419" s="1493"/>
      <c r="M419" s="1493"/>
      <c r="N419" s="2039"/>
      <c r="O419" s="2039"/>
      <c r="P419" s="2039"/>
      <c r="Q419" s="2028">
        <f t="shared" si="248"/>
        <v>0</v>
      </c>
      <c r="R419" s="2026">
        <f t="shared" si="246"/>
        <v>0</v>
      </c>
      <c r="S419" s="2029">
        <f t="shared" si="247"/>
        <v>0</v>
      </c>
      <c r="T419" s="853">
        <f t="shared" si="249"/>
        <v>0</v>
      </c>
      <c r="U419" s="1408" t="str">
        <f t="shared" si="250"/>
        <v>1.33</v>
      </c>
      <c r="V419" s="1408" t="str">
        <f t="shared" si="251"/>
        <v>D+</v>
      </c>
      <c r="W419" s="1408" t="str">
        <f t="shared" si="252"/>
        <v>0</v>
      </c>
      <c r="X419" s="1409"/>
      <c r="Y419" s="1393"/>
      <c r="Z419" s="1394"/>
      <c r="AA419" s="1394"/>
      <c r="AB419" s="1394"/>
      <c r="AC419" s="1394"/>
      <c r="AD419" s="1394"/>
      <c r="AE419" s="1394"/>
      <c r="AF419" s="1394"/>
      <c r="AG419" s="1394"/>
      <c r="AH419" s="1394"/>
      <c r="AI419" s="1394"/>
      <c r="AJ419" s="1395"/>
      <c r="AK419" s="1395"/>
      <c r="AL419" s="1395"/>
      <c r="AM419" s="1395"/>
      <c r="AN419" s="1395"/>
      <c r="AO419" s="1395"/>
      <c r="AP419" s="1395"/>
      <c r="AQ419" s="1395"/>
      <c r="AR419" s="1395"/>
      <c r="AS419" s="1395"/>
      <c r="AT419" s="1396"/>
      <c r="AU419" s="1413"/>
      <c r="AV419" s="1414"/>
    </row>
    <row r="420" spans="1:48" ht="20.100000000000001" customHeight="1" x14ac:dyDescent="0.25">
      <c r="A420" s="360"/>
      <c r="B420" s="1387"/>
      <c r="C420" s="1388"/>
      <c r="D420" s="1166" t="s">
        <v>187</v>
      </c>
      <c r="E420" s="1385"/>
      <c r="F420" s="1385"/>
      <c r="G420" s="1385"/>
      <c r="H420" s="2048"/>
      <c r="I420" s="2048"/>
      <c r="J420" s="2048"/>
      <c r="K420" s="1385">
        <v>0</v>
      </c>
      <c r="L420" s="1385">
        <v>0</v>
      </c>
      <c r="M420" s="1385">
        <v>0</v>
      </c>
      <c r="N420" s="2049"/>
      <c r="O420" s="2049"/>
      <c r="P420" s="2049"/>
      <c r="Q420" s="2028">
        <f t="shared" si="248"/>
        <v>0</v>
      </c>
      <c r="R420" s="2026">
        <f t="shared" si="246"/>
        <v>0</v>
      </c>
      <c r="S420" s="2029">
        <f t="shared" si="247"/>
        <v>0</v>
      </c>
      <c r="T420" s="853">
        <f t="shared" si="249"/>
        <v>0</v>
      </c>
      <c r="U420" s="1408" t="str">
        <f t="shared" si="250"/>
        <v>1.33</v>
      </c>
      <c r="V420" s="1408" t="str">
        <f t="shared" si="251"/>
        <v>D+</v>
      </c>
      <c r="W420" s="1408" t="str">
        <f t="shared" si="252"/>
        <v>0</v>
      </c>
      <c r="X420" s="1409"/>
      <c r="Y420" s="1393"/>
      <c r="Z420" s="1394"/>
      <c r="AA420" s="1394"/>
      <c r="AB420" s="1394"/>
      <c r="AC420" s="1394"/>
      <c r="AD420" s="1394"/>
      <c r="AE420" s="1394"/>
      <c r="AF420" s="1394"/>
      <c r="AG420" s="1394"/>
      <c r="AH420" s="1394"/>
      <c r="AI420" s="1394"/>
      <c r="AJ420" s="1395"/>
      <c r="AK420" s="1395"/>
      <c r="AL420" s="1395"/>
      <c r="AM420" s="1395"/>
      <c r="AN420" s="1395"/>
      <c r="AO420" s="1395"/>
      <c r="AP420" s="1395"/>
      <c r="AQ420" s="1395"/>
      <c r="AR420" s="1395"/>
      <c r="AS420" s="1395"/>
      <c r="AT420" s="1396"/>
      <c r="AU420" s="1413"/>
      <c r="AV420" s="1414"/>
    </row>
    <row r="421" spans="1:48" ht="20.100000000000001" customHeight="1" x14ac:dyDescent="0.25">
      <c r="A421" s="360"/>
      <c r="B421" s="1387"/>
      <c r="C421" s="1388"/>
      <c r="D421" s="1166" t="s">
        <v>17</v>
      </c>
      <c r="E421" s="1385">
        <v>0</v>
      </c>
      <c r="F421" s="1385">
        <v>0</v>
      </c>
      <c r="G421" s="1385">
        <v>0</v>
      </c>
      <c r="H421" s="2048">
        <v>0</v>
      </c>
      <c r="I421" s="2048">
        <v>0</v>
      </c>
      <c r="J421" s="2048">
        <v>0</v>
      </c>
      <c r="K421" s="1385"/>
      <c r="L421" s="1385"/>
      <c r="M421" s="1385"/>
      <c r="N421" s="2049"/>
      <c r="O421" s="2049"/>
      <c r="P421" s="2049"/>
      <c r="Q421" s="2028">
        <f t="shared" si="248"/>
        <v>0</v>
      </c>
      <c r="R421" s="2026">
        <f t="shared" si="246"/>
        <v>0</v>
      </c>
      <c r="S421" s="2029">
        <f t="shared" si="247"/>
        <v>0</v>
      </c>
      <c r="T421" s="853">
        <f t="shared" si="249"/>
        <v>0</v>
      </c>
      <c r="U421" s="1408" t="str">
        <f t="shared" si="250"/>
        <v>1.33</v>
      </c>
      <c r="V421" s="1408" t="str">
        <f t="shared" si="251"/>
        <v>D+</v>
      </c>
      <c r="W421" s="1408" t="str">
        <f t="shared" si="252"/>
        <v>0</v>
      </c>
      <c r="X421" s="1409"/>
      <c r="Y421" s="1393"/>
      <c r="Z421" s="1394"/>
      <c r="AA421" s="1394"/>
      <c r="AB421" s="1394"/>
      <c r="AC421" s="1394"/>
      <c r="AD421" s="1394"/>
      <c r="AE421" s="1394"/>
      <c r="AF421" s="1394"/>
      <c r="AG421" s="1394"/>
      <c r="AH421" s="1394"/>
      <c r="AI421" s="1394"/>
      <c r="AJ421" s="1395"/>
      <c r="AK421" s="1395"/>
      <c r="AL421" s="1395"/>
      <c r="AM421" s="1395"/>
      <c r="AN421" s="1395"/>
      <c r="AO421" s="1395"/>
      <c r="AP421" s="1395"/>
      <c r="AQ421" s="1395"/>
      <c r="AR421" s="1395"/>
      <c r="AS421" s="1395"/>
      <c r="AT421" s="1396"/>
      <c r="AU421" s="1413"/>
      <c r="AV421" s="1414"/>
    </row>
    <row r="422" spans="1:48" ht="20.100000000000001" customHeight="1" x14ac:dyDescent="0.25">
      <c r="A422" s="360"/>
      <c r="B422" s="1387"/>
      <c r="C422" s="1388"/>
      <c r="D422" s="1166" t="s">
        <v>188</v>
      </c>
      <c r="E422" s="1385"/>
      <c r="F422" s="1385"/>
      <c r="G422" s="1385"/>
      <c r="H422" s="2048">
        <v>0</v>
      </c>
      <c r="I422" s="2048">
        <v>0</v>
      </c>
      <c r="J422" s="2048">
        <v>0</v>
      </c>
      <c r="K422" s="1385"/>
      <c r="L422" s="1385"/>
      <c r="M422" s="1385"/>
      <c r="N422" s="2049"/>
      <c r="O422" s="2049"/>
      <c r="P422" s="2049"/>
      <c r="Q422" s="2028">
        <f t="shared" si="248"/>
        <v>0</v>
      </c>
      <c r="R422" s="2026">
        <f t="shared" si="246"/>
        <v>0</v>
      </c>
      <c r="S422" s="2029">
        <f t="shared" si="247"/>
        <v>0</v>
      </c>
      <c r="T422" s="853">
        <f t="shared" si="249"/>
        <v>0</v>
      </c>
      <c r="U422" s="1408" t="str">
        <f t="shared" si="250"/>
        <v>1.33</v>
      </c>
      <c r="V422" s="1408" t="str">
        <f t="shared" si="251"/>
        <v>D+</v>
      </c>
      <c r="W422" s="1408" t="str">
        <f t="shared" si="252"/>
        <v>0</v>
      </c>
      <c r="X422" s="1409"/>
      <c r="Y422" s="1393"/>
      <c r="Z422" s="1394"/>
      <c r="AA422" s="1394"/>
      <c r="AB422" s="1394"/>
      <c r="AC422" s="1394"/>
      <c r="AD422" s="1394"/>
      <c r="AE422" s="1394"/>
      <c r="AF422" s="1394"/>
      <c r="AG422" s="1394"/>
      <c r="AH422" s="1394"/>
      <c r="AI422" s="1394"/>
      <c r="AJ422" s="1395"/>
      <c r="AK422" s="1395"/>
      <c r="AL422" s="1395"/>
      <c r="AM422" s="1395"/>
      <c r="AN422" s="1395"/>
      <c r="AO422" s="1395"/>
      <c r="AP422" s="1395"/>
      <c r="AQ422" s="1395"/>
      <c r="AR422" s="1395"/>
      <c r="AS422" s="1395"/>
      <c r="AT422" s="1396"/>
      <c r="AU422" s="1413"/>
      <c r="AV422" s="1414"/>
    </row>
    <row r="423" spans="1:48" ht="20.100000000000001" customHeight="1" x14ac:dyDescent="0.25">
      <c r="A423" s="360"/>
      <c r="B423" s="1387"/>
      <c r="C423" s="1388"/>
      <c r="D423" s="1166" t="s">
        <v>569</v>
      </c>
      <c r="E423" s="1385"/>
      <c r="F423" s="1385"/>
      <c r="G423" s="1385"/>
      <c r="H423" s="2048"/>
      <c r="I423" s="2048"/>
      <c r="J423" s="2048"/>
      <c r="K423" s="1385">
        <v>0</v>
      </c>
      <c r="L423" s="1385">
        <v>0</v>
      </c>
      <c r="M423" s="1385">
        <v>0</v>
      </c>
      <c r="N423" s="2049"/>
      <c r="O423" s="2049"/>
      <c r="P423" s="2049"/>
      <c r="Q423" s="2028">
        <f t="shared" si="248"/>
        <v>0</v>
      </c>
      <c r="R423" s="2026">
        <f t="shared" si="246"/>
        <v>0</v>
      </c>
      <c r="S423" s="2029">
        <f t="shared" si="247"/>
        <v>0</v>
      </c>
      <c r="T423" s="853">
        <f t="shared" si="249"/>
        <v>0</v>
      </c>
      <c r="U423" s="1408" t="str">
        <f t="shared" si="250"/>
        <v>1.33</v>
      </c>
      <c r="V423" s="1408" t="str">
        <f t="shared" si="251"/>
        <v>D+</v>
      </c>
      <c r="W423" s="1408" t="str">
        <f t="shared" si="252"/>
        <v>0</v>
      </c>
      <c r="X423" s="1409"/>
      <c r="Y423" s="1393"/>
      <c r="Z423" s="1394"/>
      <c r="AA423" s="1394"/>
      <c r="AB423" s="1394"/>
      <c r="AC423" s="1394"/>
      <c r="AD423" s="1394"/>
      <c r="AE423" s="1394"/>
      <c r="AF423" s="1394"/>
      <c r="AG423" s="1394"/>
      <c r="AH423" s="1394"/>
      <c r="AI423" s="1394"/>
      <c r="AJ423" s="1395"/>
      <c r="AK423" s="1395"/>
      <c r="AL423" s="1395"/>
      <c r="AM423" s="1395"/>
      <c r="AN423" s="1395"/>
      <c r="AO423" s="1395"/>
      <c r="AP423" s="1395"/>
      <c r="AQ423" s="1395"/>
      <c r="AR423" s="1395"/>
      <c r="AS423" s="1395"/>
      <c r="AT423" s="1396"/>
      <c r="AU423" s="1413"/>
      <c r="AV423" s="1414"/>
    </row>
    <row r="424" spans="1:48" ht="20.100000000000001" customHeight="1" x14ac:dyDescent="0.25">
      <c r="A424" s="360"/>
      <c r="B424" s="1387"/>
      <c r="C424" s="1388"/>
      <c r="D424" s="1166" t="s">
        <v>209</v>
      </c>
      <c r="E424" s="1385"/>
      <c r="F424" s="1385"/>
      <c r="G424" s="1385"/>
      <c r="H424" s="2048"/>
      <c r="I424" s="2048"/>
      <c r="J424" s="2048"/>
      <c r="K424" s="1385"/>
      <c r="L424" s="1385"/>
      <c r="M424" s="1385"/>
      <c r="N424" s="2049">
        <v>0</v>
      </c>
      <c r="O424" s="2049">
        <v>0</v>
      </c>
      <c r="P424" s="2049">
        <v>0</v>
      </c>
      <c r="Q424" s="2028">
        <f t="shared" si="248"/>
        <v>0</v>
      </c>
      <c r="R424" s="2026">
        <f t="shared" si="246"/>
        <v>0</v>
      </c>
      <c r="S424" s="2029">
        <f t="shared" si="247"/>
        <v>0</v>
      </c>
      <c r="T424" s="853">
        <f t="shared" si="249"/>
        <v>0</v>
      </c>
      <c r="U424" s="1408" t="str">
        <f t="shared" si="250"/>
        <v>1.33</v>
      </c>
      <c r="V424" s="1408" t="str">
        <f t="shared" si="251"/>
        <v>D+</v>
      </c>
      <c r="W424" s="1408" t="str">
        <f t="shared" si="252"/>
        <v>0</v>
      </c>
      <c r="X424" s="1409"/>
      <c r="Y424" s="1393"/>
      <c r="Z424" s="1394"/>
      <c r="AA424" s="1394"/>
      <c r="AB424" s="1394"/>
      <c r="AC424" s="1394"/>
      <c r="AD424" s="1394"/>
      <c r="AE424" s="1394"/>
      <c r="AF424" s="1394"/>
      <c r="AG424" s="1394"/>
      <c r="AH424" s="1394"/>
      <c r="AI424" s="1394"/>
      <c r="AJ424" s="1395"/>
      <c r="AK424" s="1395"/>
      <c r="AL424" s="1395"/>
      <c r="AM424" s="1395"/>
      <c r="AN424" s="1395"/>
      <c r="AO424" s="1395"/>
      <c r="AP424" s="1395"/>
      <c r="AQ424" s="1395"/>
      <c r="AR424" s="1395"/>
      <c r="AS424" s="1395"/>
      <c r="AT424" s="1396"/>
      <c r="AU424" s="1413"/>
      <c r="AV424" s="1414"/>
    </row>
    <row r="425" spans="1:48" ht="20.100000000000001" customHeight="1" x14ac:dyDescent="0.25">
      <c r="A425" s="360"/>
      <c r="B425" s="1387"/>
      <c r="C425" s="1388"/>
      <c r="D425" s="1166" t="s">
        <v>210</v>
      </c>
      <c r="E425" s="1385"/>
      <c r="F425" s="1385"/>
      <c r="G425" s="1385"/>
      <c r="H425" s="2048"/>
      <c r="I425" s="2048"/>
      <c r="J425" s="2048"/>
      <c r="K425" s="1385"/>
      <c r="L425" s="1385"/>
      <c r="M425" s="1385"/>
      <c r="N425" s="2049">
        <v>0</v>
      </c>
      <c r="O425" s="2049">
        <v>0</v>
      </c>
      <c r="P425" s="2049">
        <v>0</v>
      </c>
      <c r="Q425" s="2028">
        <f t="shared" si="248"/>
        <v>0</v>
      </c>
      <c r="R425" s="2026">
        <f t="shared" si="246"/>
        <v>0</v>
      </c>
      <c r="S425" s="2029">
        <f t="shared" si="247"/>
        <v>0</v>
      </c>
      <c r="T425" s="853">
        <f t="shared" si="249"/>
        <v>0</v>
      </c>
      <c r="U425" s="1408" t="str">
        <f t="shared" si="250"/>
        <v>1.33</v>
      </c>
      <c r="V425" s="1408" t="str">
        <f t="shared" si="251"/>
        <v>D+</v>
      </c>
      <c r="W425" s="1408" t="str">
        <f t="shared" si="252"/>
        <v>0</v>
      </c>
      <c r="X425" s="1409"/>
      <c r="Y425" s="1397"/>
      <c r="Z425" s="1398"/>
      <c r="AA425" s="1398"/>
      <c r="AB425" s="1398"/>
      <c r="AC425" s="1398"/>
      <c r="AD425" s="1398"/>
      <c r="AE425" s="1398"/>
      <c r="AF425" s="1398"/>
      <c r="AG425" s="1398"/>
      <c r="AH425" s="1398"/>
      <c r="AI425" s="1398"/>
      <c r="AJ425" s="1399"/>
      <c r="AK425" s="1399"/>
      <c r="AL425" s="1399"/>
      <c r="AM425" s="1399"/>
      <c r="AN425" s="1399"/>
      <c r="AO425" s="1399"/>
      <c r="AP425" s="1399"/>
      <c r="AQ425" s="1399"/>
      <c r="AR425" s="1399"/>
      <c r="AS425" s="1399"/>
      <c r="AT425" s="1400"/>
      <c r="AU425" s="1415"/>
      <c r="AV425" s="1416"/>
    </row>
    <row r="426" spans="1:48" ht="20.100000000000001" customHeight="1" x14ac:dyDescent="0.25">
      <c r="A426" s="727"/>
      <c r="B426" s="1406">
        <v>35</v>
      </c>
      <c r="C426" s="1407"/>
      <c r="D426" s="1004"/>
      <c r="E426" s="2780"/>
      <c r="F426" s="2781"/>
      <c r="G426" s="2781"/>
      <c r="H426" s="2781"/>
      <c r="I426" s="2046"/>
      <c r="J426" s="2046"/>
      <c r="K426" s="2046"/>
      <c r="L426" s="2046"/>
      <c r="M426" s="2046"/>
      <c r="N426" s="2046"/>
      <c r="O426" s="2046"/>
      <c r="P426" s="2046"/>
      <c r="Q426" s="2046"/>
      <c r="R426" s="2046"/>
      <c r="S426" s="2046"/>
      <c r="T426" s="2044">
        <f>IFERROR(AVERAGE(T415:T425),"  ")</f>
        <v>0</v>
      </c>
      <c r="U426" s="1410" t="str">
        <f t="shared" ref="U426" si="253">IF(T426&gt;85,("4"),IF(T426&gt;80,("3.66"),IF(T426&gt;75,("3.33"),IF(T426&gt;70,("3.00"),IF(T426&gt;65,("2.66"),IF(T426&gt;60,("2.33"),IF(T426&gt;55,("2"),IF(T426&gt;50,("1.66"),"1.33"))))))))</f>
        <v>1.33</v>
      </c>
      <c r="V426" s="1410" t="str">
        <f t="shared" ref="V426" si="254">IF(T426&gt;85,("A"),IF(T426&gt;80,("A-"),IF(T426&gt;75,("B+"),IF(T426&gt;70,("B"),IF(T426&gt;65,("B-"),IF(T426&gt;60,("C+"),IF(T426&gt;55,("C"),IF(T426&gt;50,("C-"),"D+"))))))))</f>
        <v>D+</v>
      </c>
      <c r="W426" s="1410"/>
      <c r="X426" s="888">
        <f>MAX(T415:T425)</f>
        <v>0</v>
      </c>
      <c r="Y426" s="1403"/>
      <c r="Z426" s="1404"/>
      <c r="AA426" s="1404"/>
      <c r="AB426" s="1404"/>
      <c r="AC426" s="1404"/>
      <c r="AD426" s="1404"/>
      <c r="AE426" s="1404"/>
      <c r="AF426" s="1404"/>
      <c r="AG426" s="1404"/>
      <c r="AH426" s="1404"/>
      <c r="AI426" s="1404"/>
      <c r="AJ426" s="1404"/>
      <c r="AK426" s="1404"/>
      <c r="AL426" s="1404"/>
      <c r="AM426" s="1404"/>
      <c r="AN426" s="1404"/>
      <c r="AO426" s="1404"/>
      <c r="AP426" s="1404"/>
      <c r="AQ426" s="1404"/>
      <c r="AR426" s="1404"/>
      <c r="AS426" s="1404"/>
      <c r="AT426" s="1405"/>
      <c r="AU426" s="1257"/>
      <c r="AV426" s="1258"/>
    </row>
    <row r="427" spans="1:48" ht="23.1" customHeight="1" x14ac:dyDescent="0.25">
      <c r="A427" s="724">
        <v>36</v>
      </c>
      <c r="B427" s="1383"/>
      <c r="C427" s="1384" t="e">
        <f>VLOOKUP(A427,data_siswa,4,FALSE)</f>
        <v>#N/A</v>
      </c>
      <c r="D427" s="1166" t="s">
        <v>154</v>
      </c>
      <c r="E427" s="2050">
        <v>0</v>
      </c>
      <c r="F427" s="2050">
        <v>0</v>
      </c>
      <c r="G427" s="2050">
        <v>0</v>
      </c>
      <c r="H427" s="2051"/>
      <c r="I427" s="2051"/>
      <c r="J427" s="2051"/>
      <c r="K427" s="2050"/>
      <c r="L427" s="2050"/>
      <c r="M427" s="2050"/>
      <c r="N427" s="2052"/>
      <c r="O427" s="2052"/>
      <c r="P427" s="2052"/>
      <c r="Q427" s="2028">
        <f>MAX(E427,H427,K427,N427)</f>
        <v>0</v>
      </c>
      <c r="R427" s="2026">
        <f t="shared" ref="R427:R437" si="255">MAX(F427,I427,L427,O427)</f>
        <v>0</v>
      </c>
      <c r="S427" s="2029">
        <f t="shared" ref="S427:S437" si="256">MAX(G427,J427,M427,P427)</f>
        <v>0</v>
      </c>
      <c r="T427" s="853">
        <f>IFERROR(AVERAGE(Q427:S427),"")</f>
        <v>0</v>
      </c>
      <c r="U427" s="1408" t="str">
        <f>IF(T427&gt;85,("4"),IF(T427&gt;80,("3.66"),IF(T427&gt;75,("3.33"),IF(T427&gt;70,("3.00"),IF(T427&gt;65,("2.66"),IF(T427&gt;60,("2.33"),IF(T427&gt;55,("2"),IF(T427&gt;50,("1.66"),"1.33"))))))))</f>
        <v>1.33</v>
      </c>
      <c r="V427" s="1408" t="str">
        <f>IF(T427&gt;85,("A"),IF(T427&gt;80,("A-"),IF(T427&gt;75,("B+"),IF(T427&gt;70,("B"),IF(T427&gt;65,("B-"),IF(T427&gt;60,("C+"),IF(T427&gt;55,("C"),IF(T427&gt;50,("C-"),"D+"))))))))</f>
        <v>D+</v>
      </c>
      <c r="W427" s="1408" t="str">
        <f>IF(T427&gt;80,("SB"),IF(T427&gt;65,("B"),IF(T427&gt;50,("C"),IF(T427&gt;0,("K"),"0"))))</f>
        <v>0</v>
      </c>
      <c r="X427" s="1408"/>
      <c r="Y427" s="749"/>
      <c r="Z427" s="749"/>
      <c r="AA427" s="749"/>
      <c r="AB427" s="749"/>
      <c r="AC427" s="749"/>
      <c r="AD427" s="749"/>
      <c r="AE427" s="749"/>
      <c r="AF427" s="749"/>
      <c r="AG427" s="749"/>
      <c r="AH427" s="749"/>
      <c r="AI427" s="749"/>
      <c r="AJ427" s="1386"/>
      <c r="AK427" s="1386"/>
      <c r="AL427" s="1386"/>
      <c r="AM427" s="1386"/>
      <c r="AN427" s="1386"/>
      <c r="AO427" s="1386"/>
      <c r="AP427" s="1386"/>
      <c r="AQ427" s="1386"/>
      <c r="AR427" s="1386"/>
      <c r="AS427" s="1386"/>
      <c r="AT427" s="1386"/>
      <c r="AU427" s="1057">
        <f>T438</f>
        <v>0</v>
      </c>
      <c r="AV427" s="1194" t="str">
        <f>IF(AU427&gt;85,("A"),IF(AU427&gt;80,("A-"),IF(AU427&gt;75,("B+"),IF(AU427&gt;70,("B"),IF(AU427&gt;65,("B-"),IF(AU427&gt;60,("C+"),IF(AU427&gt;55,("C"),IF(AU427&gt;50,("C-"),"D+"))))))))</f>
        <v>D+</v>
      </c>
    </row>
    <row r="428" spans="1:48" ht="23.1" customHeight="1" x14ac:dyDescent="0.25">
      <c r="A428" s="360"/>
      <c r="B428" s="1387"/>
      <c r="C428" s="1388"/>
      <c r="D428" s="1166" t="s">
        <v>155</v>
      </c>
      <c r="E428" s="1493"/>
      <c r="F428" s="1493"/>
      <c r="G428" s="1493"/>
      <c r="H428" s="2040"/>
      <c r="I428" s="2040"/>
      <c r="J428" s="2040"/>
      <c r="K428" s="1493"/>
      <c r="L428" s="1493"/>
      <c r="M428" s="1493"/>
      <c r="N428" s="2039">
        <v>0</v>
      </c>
      <c r="O428" s="2039">
        <v>0</v>
      </c>
      <c r="P428" s="2039">
        <v>0</v>
      </c>
      <c r="Q428" s="2028">
        <f t="shared" ref="Q428:Q437" si="257">MAX(E428,H428,K428,N428)</f>
        <v>0</v>
      </c>
      <c r="R428" s="2026">
        <f t="shared" si="255"/>
        <v>0</v>
      </c>
      <c r="S428" s="2029">
        <f t="shared" si="256"/>
        <v>0</v>
      </c>
      <c r="T428" s="853">
        <f t="shared" ref="T428:T437" si="258">IFERROR(AVERAGE(Q428:S428),"")</f>
        <v>0</v>
      </c>
      <c r="U428" s="1408" t="str">
        <f t="shared" ref="U428:U437" si="259">IF(T428&gt;85,("4"),IF(T428&gt;80,("3.66"),IF(T428&gt;75,("3.33"),IF(T428&gt;70,("3.00"),IF(T428&gt;65,("2.66"),IF(T428&gt;60,("2.33"),IF(T428&gt;55,("2"),IF(T428&gt;50,("1.66"),"1.33"))))))))</f>
        <v>1.33</v>
      </c>
      <c r="V428" s="1408" t="str">
        <f t="shared" ref="V428:V437" si="260">IF(T428&gt;85,("A"),IF(T428&gt;80,("A-"),IF(T428&gt;75,("B+"),IF(T428&gt;70,("B"),IF(T428&gt;65,("B-"),IF(T428&gt;60,("C+"),IF(T428&gt;55,("C"),IF(T428&gt;50,("C-"),"D+"))))))))</f>
        <v>D+</v>
      </c>
      <c r="W428" s="1408" t="str">
        <f t="shared" ref="W428:W437" si="261">IF(T428&gt;80,("SB"),IF(T428&gt;65,("B"),IF(T428&gt;50,("C"),IF(T428&gt;0,("K"),"0"))))</f>
        <v>0</v>
      </c>
      <c r="X428" s="1409"/>
      <c r="Y428" s="1389"/>
      <c r="Z428" s="1390"/>
      <c r="AA428" s="1390"/>
      <c r="AB428" s="1390"/>
      <c r="AC428" s="1390"/>
      <c r="AD428" s="1390"/>
      <c r="AE428" s="1390"/>
      <c r="AF428" s="1390"/>
      <c r="AG428" s="1390"/>
      <c r="AH428" s="1390"/>
      <c r="AI428" s="1390"/>
      <c r="AJ428" s="1391"/>
      <c r="AK428" s="1391"/>
      <c r="AL428" s="1391"/>
      <c r="AM428" s="1391"/>
      <c r="AN428" s="1391"/>
      <c r="AO428" s="1391"/>
      <c r="AP428" s="1391"/>
      <c r="AQ428" s="1391"/>
      <c r="AR428" s="1391"/>
      <c r="AS428" s="1391"/>
      <c r="AT428" s="1392"/>
      <c r="AU428" s="1411"/>
      <c r="AV428" s="1412"/>
    </row>
    <row r="429" spans="1:48" ht="23.1" customHeight="1" x14ac:dyDescent="0.25">
      <c r="A429" s="360"/>
      <c r="B429" s="1387"/>
      <c r="C429" s="1388"/>
      <c r="D429" s="1166" t="s">
        <v>16</v>
      </c>
      <c r="E429" s="1493"/>
      <c r="F429" s="1493"/>
      <c r="G429" s="1493"/>
      <c r="H429" s="2040">
        <v>0</v>
      </c>
      <c r="I429" s="2040">
        <v>0</v>
      </c>
      <c r="J429" s="2040">
        <v>0</v>
      </c>
      <c r="K429" s="1493"/>
      <c r="L429" s="1493"/>
      <c r="M429" s="1493"/>
      <c r="N429" s="2052"/>
      <c r="O429" s="2052"/>
      <c r="P429" s="2052"/>
      <c r="Q429" s="2028">
        <f t="shared" si="257"/>
        <v>0</v>
      </c>
      <c r="R429" s="2026">
        <f t="shared" si="255"/>
        <v>0</v>
      </c>
      <c r="S429" s="2029">
        <f t="shared" si="256"/>
        <v>0</v>
      </c>
      <c r="T429" s="853">
        <f t="shared" si="258"/>
        <v>0</v>
      </c>
      <c r="U429" s="1408" t="str">
        <f t="shared" si="259"/>
        <v>1.33</v>
      </c>
      <c r="V429" s="1408" t="str">
        <f t="shared" si="260"/>
        <v>D+</v>
      </c>
      <c r="W429" s="1408" t="str">
        <f t="shared" si="261"/>
        <v>0</v>
      </c>
      <c r="X429" s="1409"/>
      <c r="Y429" s="1393"/>
      <c r="Z429" s="1394"/>
      <c r="AA429" s="1394"/>
      <c r="AB429" s="1394"/>
      <c r="AC429" s="1394"/>
      <c r="AD429" s="1394"/>
      <c r="AE429" s="1394"/>
      <c r="AF429" s="1394"/>
      <c r="AG429" s="1394"/>
      <c r="AH429" s="1394"/>
      <c r="AI429" s="1394"/>
      <c r="AJ429" s="1395"/>
      <c r="AK429" s="1395"/>
      <c r="AL429" s="1395"/>
      <c r="AM429" s="1395"/>
      <c r="AN429" s="1395"/>
      <c r="AO429" s="1395"/>
      <c r="AP429" s="1395"/>
      <c r="AQ429" s="1395"/>
      <c r="AR429" s="1395"/>
      <c r="AS429" s="1395"/>
      <c r="AT429" s="1396"/>
      <c r="AU429" s="1413"/>
      <c r="AV429" s="1414"/>
    </row>
    <row r="430" spans="1:48" ht="23.1" customHeight="1" x14ac:dyDescent="0.25">
      <c r="A430" s="360"/>
      <c r="B430" s="1387"/>
      <c r="C430" s="1388"/>
      <c r="D430" s="1166" t="s">
        <v>189</v>
      </c>
      <c r="E430" s="1493"/>
      <c r="F430" s="1493"/>
      <c r="G430" s="1493"/>
      <c r="H430" s="2040">
        <v>0</v>
      </c>
      <c r="I430" s="2040">
        <v>0</v>
      </c>
      <c r="J430" s="2040">
        <v>0</v>
      </c>
      <c r="K430" s="1493"/>
      <c r="L430" s="1493"/>
      <c r="M430" s="1493"/>
      <c r="N430" s="2039"/>
      <c r="O430" s="2039"/>
      <c r="P430" s="2039"/>
      <c r="Q430" s="2028">
        <f t="shared" si="257"/>
        <v>0</v>
      </c>
      <c r="R430" s="2026">
        <f t="shared" si="255"/>
        <v>0</v>
      </c>
      <c r="S430" s="2029">
        <f t="shared" si="256"/>
        <v>0</v>
      </c>
      <c r="T430" s="853">
        <f t="shared" si="258"/>
        <v>0</v>
      </c>
      <c r="U430" s="1408" t="str">
        <f t="shared" si="259"/>
        <v>1.33</v>
      </c>
      <c r="V430" s="1408" t="str">
        <f t="shared" si="260"/>
        <v>D+</v>
      </c>
      <c r="W430" s="1408" t="str">
        <f t="shared" si="261"/>
        <v>0</v>
      </c>
      <c r="X430" s="1409"/>
      <c r="Y430" s="1393"/>
      <c r="Z430" s="1394"/>
      <c r="AA430" s="1394"/>
      <c r="AB430" s="1394"/>
      <c r="AC430" s="1394"/>
      <c r="AD430" s="1394"/>
      <c r="AE430" s="1394"/>
      <c r="AF430" s="1394"/>
      <c r="AG430" s="1394"/>
      <c r="AH430" s="1394"/>
      <c r="AI430" s="1394"/>
      <c r="AJ430" s="1395"/>
      <c r="AK430" s="1395"/>
      <c r="AL430" s="1395"/>
      <c r="AM430" s="1395"/>
      <c r="AN430" s="1395"/>
      <c r="AO430" s="1395"/>
      <c r="AP430" s="1395"/>
      <c r="AQ430" s="1395"/>
      <c r="AR430" s="1395"/>
      <c r="AS430" s="1395"/>
      <c r="AT430" s="1396"/>
      <c r="AU430" s="1413"/>
      <c r="AV430" s="1414"/>
    </row>
    <row r="431" spans="1:48" ht="23.1" customHeight="1" x14ac:dyDescent="0.25">
      <c r="A431" s="360"/>
      <c r="B431" s="1387"/>
      <c r="C431" s="1388"/>
      <c r="D431" s="1166" t="s">
        <v>186</v>
      </c>
      <c r="E431" s="1493"/>
      <c r="F431" s="1493"/>
      <c r="G431" s="1493"/>
      <c r="H431" s="2040">
        <v>0</v>
      </c>
      <c r="I431" s="2040">
        <v>0</v>
      </c>
      <c r="J431" s="2040">
        <v>0</v>
      </c>
      <c r="K431" s="1493"/>
      <c r="L431" s="1493"/>
      <c r="M431" s="1493"/>
      <c r="N431" s="2039"/>
      <c r="O431" s="2039"/>
      <c r="P431" s="2039"/>
      <c r="Q431" s="2028">
        <f t="shared" si="257"/>
        <v>0</v>
      </c>
      <c r="R431" s="2026">
        <f t="shared" si="255"/>
        <v>0</v>
      </c>
      <c r="S431" s="2029">
        <f t="shared" si="256"/>
        <v>0</v>
      </c>
      <c r="T431" s="853">
        <f t="shared" si="258"/>
        <v>0</v>
      </c>
      <c r="U431" s="1408" t="str">
        <f t="shared" si="259"/>
        <v>1.33</v>
      </c>
      <c r="V431" s="1408" t="str">
        <f t="shared" si="260"/>
        <v>D+</v>
      </c>
      <c r="W431" s="1408" t="str">
        <f t="shared" si="261"/>
        <v>0</v>
      </c>
      <c r="X431" s="1409"/>
      <c r="Y431" s="1393"/>
      <c r="Z431" s="1394"/>
      <c r="AA431" s="1394"/>
      <c r="AB431" s="1394"/>
      <c r="AC431" s="1394"/>
      <c r="AD431" s="1394"/>
      <c r="AE431" s="1394"/>
      <c r="AF431" s="1394"/>
      <c r="AG431" s="1394"/>
      <c r="AH431" s="1394"/>
      <c r="AI431" s="1394"/>
      <c r="AJ431" s="1395"/>
      <c r="AK431" s="1395"/>
      <c r="AL431" s="1395"/>
      <c r="AM431" s="1395"/>
      <c r="AN431" s="1395"/>
      <c r="AO431" s="1395"/>
      <c r="AP431" s="1395"/>
      <c r="AQ431" s="1395"/>
      <c r="AR431" s="1395"/>
      <c r="AS431" s="1395"/>
      <c r="AT431" s="1396"/>
      <c r="AU431" s="1413"/>
      <c r="AV431" s="1414"/>
    </row>
    <row r="432" spans="1:48" ht="23.1" customHeight="1" x14ac:dyDescent="0.25">
      <c r="A432" s="360"/>
      <c r="B432" s="1387"/>
      <c r="C432" s="1388"/>
      <c r="D432" s="1166" t="s">
        <v>187</v>
      </c>
      <c r="E432" s="1385"/>
      <c r="F432" s="1385"/>
      <c r="G432" s="1385"/>
      <c r="H432" s="2048"/>
      <c r="I432" s="2048"/>
      <c r="J432" s="2048"/>
      <c r="K432" s="1385">
        <v>0</v>
      </c>
      <c r="L432" s="1385">
        <v>0</v>
      </c>
      <c r="M432" s="1385">
        <v>0</v>
      </c>
      <c r="N432" s="2049"/>
      <c r="O432" s="2049"/>
      <c r="P432" s="2049"/>
      <c r="Q432" s="2028">
        <f t="shared" si="257"/>
        <v>0</v>
      </c>
      <c r="R432" s="2026">
        <f t="shared" si="255"/>
        <v>0</v>
      </c>
      <c r="S432" s="2029">
        <f t="shared" si="256"/>
        <v>0</v>
      </c>
      <c r="T432" s="853">
        <f t="shared" si="258"/>
        <v>0</v>
      </c>
      <c r="U432" s="1408" t="str">
        <f t="shared" si="259"/>
        <v>1.33</v>
      </c>
      <c r="V432" s="1408" t="str">
        <f t="shared" si="260"/>
        <v>D+</v>
      </c>
      <c r="W432" s="1408" t="str">
        <f t="shared" si="261"/>
        <v>0</v>
      </c>
      <c r="X432" s="1409"/>
      <c r="Y432" s="1393"/>
      <c r="Z432" s="1394"/>
      <c r="AA432" s="1394"/>
      <c r="AB432" s="1394"/>
      <c r="AC432" s="1394"/>
      <c r="AD432" s="1394"/>
      <c r="AE432" s="1394"/>
      <c r="AF432" s="1394"/>
      <c r="AG432" s="1394"/>
      <c r="AH432" s="1394"/>
      <c r="AI432" s="1394"/>
      <c r="AJ432" s="1395"/>
      <c r="AK432" s="1395"/>
      <c r="AL432" s="1395"/>
      <c r="AM432" s="1395"/>
      <c r="AN432" s="1395"/>
      <c r="AO432" s="1395"/>
      <c r="AP432" s="1395"/>
      <c r="AQ432" s="1395"/>
      <c r="AR432" s="1395"/>
      <c r="AS432" s="1395"/>
      <c r="AT432" s="1396"/>
      <c r="AU432" s="1413"/>
      <c r="AV432" s="1414"/>
    </row>
    <row r="433" spans="1:48" ht="23.1" customHeight="1" x14ac:dyDescent="0.25">
      <c r="A433" s="360"/>
      <c r="B433" s="1387"/>
      <c r="C433" s="1388"/>
      <c r="D433" s="1166" t="s">
        <v>17</v>
      </c>
      <c r="E433" s="1385">
        <v>0</v>
      </c>
      <c r="F433" s="1385">
        <v>0</v>
      </c>
      <c r="G433" s="1385">
        <v>0</v>
      </c>
      <c r="H433" s="2048">
        <v>0</v>
      </c>
      <c r="I433" s="2048">
        <v>0</v>
      </c>
      <c r="J433" s="2048">
        <v>0</v>
      </c>
      <c r="K433" s="1385"/>
      <c r="L433" s="1385"/>
      <c r="M433" s="1385"/>
      <c r="N433" s="2049"/>
      <c r="O433" s="2049"/>
      <c r="P433" s="2049"/>
      <c r="Q433" s="2028">
        <f t="shared" si="257"/>
        <v>0</v>
      </c>
      <c r="R433" s="2026">
        <f t="shared" si="255"/>
        <v>0</v>
      </c>
      <c r="S433" s="2029">
        <f t="shared" si="256"/>
        <v>0</v>
      </c>
      <c r="T433" s="853">
        <f t="shared" si="258"/>
        <v>0</v>
      </c>
      <c r="U433" s="1408" t="str">
        <f t="shared" si="259"/>
        <v>1.33</v>
      </c>
      <c r="V433" s="1408" t="str">
        <f t="shared" si="260"/>
        <v>D+</v>
      </c>
      <c r="W433" s="1408" t="str">
        <f t="shared" si="261"/>
        <v>0</v>
      </c>
      <c r="X433" s="1409"/>
      <c r="Y433" s="1393"/>
      <c r="Z433" s="1394"/>
      <c r="AA433" s="1394"/>
      <c r="AB433" s="1394"/>
      <c r="AC433" s="1394"/>
      <c r="AD433" s="1394"/>
      <c r="AE433" s="1394"/>
      <c r="AF433" s="1394"/>
      <c r="AG433" s="1394"/>
      <c r="AH433" s="1394"/>
      <c r="AI433" s="1394"/>
      <c r="AJ433" s="1395"/>
      <c r="AK433" s="1395"/>
      <c r="AL433" s="1395"/>
      <c r="AM433" s="1395"/>
      <c r="AN433" s="1395"/>
      <c r="AO433" s="1395"/>
      <c r="AP433" s="1395"/>
      <c r="AQ433" s="1395"/>
      <c r="AR433" s="1395"/>
      <c r="AS433" s="1395"/>
      <c r="AT433" s="1396"/>
      <c r="AU433" s="1413"/>
      <c r="AV433" s="1414"/>
    </row>
    <row r="434" spans="1:48" ht="23.1" customHeight="1" x14ac:dyDescent="0.25">
      <c r="A434" s="360"/>
      <c r="B434" s="1387"/>
      <c r="C434" s="1388"/>
      <c r="D434" s="1166" t="s">
        <v>188</v>
      </c>
      <c r="E434" s="1385"/>
      <c r="F434" s="1385"/>
      <c r="G434" s="1385"/>
      <c r="H434" s="2048">
        <v>0</v>
      </c>
      <c r="I434" s="2048">
        <v>0</v>
      </c>
      <c r="J434" s="2048">
        <v>0</v>
      </c>
      <c r="K434" s="1385"/>
      <c r="L434" s="1385"/>
      <c r="M434" s="1385"/>
      <c r="N434" s="2049"/>
      <c r="O434" s="2049"/>
      <c r="P434" s="2049"/>
      <c r="Q434" s="2028">
        <f t="shared" si="257"/>
        <v>0</v>
      </c>
      <c r="R434" s="2026">
        <f t="shared" si="255"/>
        <v>0</v>
      </c>
      <c r="S434" s="2029">
        <f t="shared" si="256"/>
        <v>0</v>
      </c>
      <c r="T434" s="853">
        <f t="shared" si="258"/>
        <v>0</v>
      </c>
      <c r="U434" s="1408" t="str">
        <f t="shared" si="259"/>
        <v>1.33</v>
      </c>
      <c r="V434" s="1408" t="str">
        <f t="shared" si="260"/>
        <v>D+</v>
      </c>
      <c r="W434" s="1408" t="str">
        <f t="shared" si="261"/>
        <v>0</v>
      </c>
      <c r="X434" s="1409"/>
      <c r="Y434" s="1393"/>
      <c r="Z434" s="1394"/>
      <c r="AA434" s="1394"/>
      <c r="AB434" s="1394"/>
      <c r="AC434" s="1394"/>
      <c r="AD434" s="1394"/>
      <c r="AE434" s="1394"/>
      <c r="AF434" s="1394"/>
      <c r="AG434" s="1394"/>
      <c r="AH434" s="1394"/>
      <c r="AI434" s="1394"/>
      <c r="AJ434" s="1395"/>
      <c r="AK434" s="1395"/>
      <c r="AL434" s="1395"/>
      <c r="AM434" s="1395"/>
      <c r="AN434" s="1395"/>
      <c r="AO434" s="1395"/>
      <c r="AP434" s="1395"/>
      <c r="AQ434" s="1395"/>
      <c r="AR434" s="1395"/>
      <c r="AS434" s="1395"/>
      <c r="AT434" s="1396"/>
      <c r="AU434" s="1413"/>
      <c r="AV434" s="1414"/>
    </row>
    <row r="435" spans="1:48" ht="23.1" customHeight="1" x14ac:dyDescent="0.25">
      <c r="A435" s="360"/>
      <c r="B435" s="1387"/>
      <c r="C435" s="1388"/>
      <c r="D435" s="1166" t="s">
        <v>569</v>
      </c>
      <c r="E435" s="1385"/>
      <c r="F435" s="1385"/>
      <c r="G435" s="1385"/>
      <c r="H435" s="2048"/>
      <c r="I435" s="2048"/>
      <c r="J435" s="2048"/>
      <c r="K435" s="1385">
        <v>0</v>
      </c>
      <c r="L435" s="1385">
        <v>0</v>
      </c>
      <c r="M435" s="1385">
        <v>0</v>
      </c>
      <c r="N435" s="2049"/>
      <c r="O435" s="2049"/>
      <c r="P435" s="2049"/>
      <c r="Q435" s="2028">
        <f t="shared" si="257"/>
        <v>0</v>
      </c>
      <c r="R435" s="2026">
        <f t="shared" si="255"/>
        <v>0</v>
      </c>
      <c r="S435" s="2029">
        <f t="shared" si="256"/>
        <v>0</v>
      </c>
      <c r="T435" s="853">
        <f t="shared" si="258"/>
        <v>0</v>
      </c>
      <c r="U435" s="1408" t="str">
        <f t="shared" si="259"/>
        <v>1.33</v>
      </c>
      <c r="V435" s="1408" t="str">
        <f t="shared" si="260"/>
        <v>D+</v>
      </c>
      <c r="W435" s="1408" t="str">
        <f t="shared" si="261"/>
        <v>0</v>
      </c>
      <c r="X435" s="1409"/>
      <c r="Y435" s="1393"/>
      <c r="Z435" s="1394"/>
      <c r="AA435" s="1394"/>
      <c r="AB435" s="1394"/>
      <c r="AC435" s="1394"/>
      <c r="AD435" s="1394"/>
      <c r="AE435" s="1394"/>
      <c r="AF435" s="1394"/>
      <c r="AG435" s="1394"/>
      <c r="AH435" s="1394"/>
      <c r="AI435" s="1394"/>
      <c r="AJ435" s="1395"/>
      <c r="AK435" s="1395"/>
      <c r="AL435" s="1395"/>
      <c r="AM435" s="1395"/>
      <c r="AN435" s="1395"/>
      <c r="AO435" s="1395"/>
      <c r="AP435" s="1395"/>
      <c r="AQ435" s="1395"/>
      <c r="AR435" s="1395"/>
      <c r="AS435" s="1395"/>
      <c r="AT435" s="1396"/>
      <c r="AU435" s="1413"/>
      <c r="AV435" s="1414"/>
    </row>
    <row r="436" spans="1:48" ht="23.1" customHeight="1" x14ac:dyDescent="0.25">
      <c r="A436" s="360"/>
      <c r="B436" s="1387"/>
      <c r="C436" s="1388"/>
      <c r="D436" s="1166" t="s">
        <v>209</v>
      </c>
      <c r="E436" s="1385"/>
      <c r="F436" s="1385"/>
      <c r="G436" s="1385"/>
      <c r="H436" s="2048"/>
      <c r="I436" s="2048"/>
      <c r="J436" s="2048"/>
      <c r="K436" s="1385"/>
      <c r="L436" s="1385"/>
      <c r="M436" s="1385"/>
      <c r="N436" s="2049">
        <v>0</v>
      </c>
      <c r="O436" s="2049">
        <v>0</v>
      </c>
      <c r="P436" s="2049">
        <v>0</v>
      </c>
      <c r="Q436" s="2028">
        <f t="shared" si="257"/>
        <v>0</v>
      </c>
      <c r="R436" s="2026">
        <f t="shared" si="255"/>
        <v>0</v>
      </c>
      <c r="S436" s="2029">
        <f t="shared" si="256"/>
        <v>0</v>
      </c>
      <c r="T436" s="853">
        <f t="shared" si="258"/>
        <v>0</v>
      </c>
      <c r="U436" s="1408" t="str">
        <f t="shared" si="259"/>
        <v>1.33</v>
      </c>
      <c r="V436" s="1408" t="str">
        <f t="shared" si="260"/>
        <v>D+</v>
      </c>
      <c r="W436" s="1408" t="str">
        <f t="shared" si="261"/>
        <v>0</v>
      </c>
      <c r="X436" s="1409"/>
      <c r="Y436" s="1393"/>
      <c r="Z436" s="1394"/>
      <c r="AA436" s="1394"/>
      <c r="AB436" s="1394"/>
      <c r="AC436" s="1394"/>
      <c r="AD436" s="1394"/>
      <c r="AE436" s="1394"/>
      <c r="AF436" s="1394"/>
      <c r="AG436" s="1394"/>
      <c r="AH436" s="1394"/>
      <c r="AI436" s="1394"/>
      <c r="AJ436" s="1395"/>
      <c r="AK436" s="1395"/>
      <c r="AL436" s="1395"/>
      <c r="AM436" s="1395"/>
      <c r="AN436" s="1395"/>
      <c r="AO436" s="1395"/>
      <c r="AP436" s="1395"/>
      <c r="AQ436" s="1395"/>
      <c r="AR436" s="1395"/>
      <c r="AS436" s="1395"/>
      <c r="AT436" s="1396"/>
      <c r="AU436" s="1413"/>
      <c r="AV436" s="1414"/>
    </row>
    <row r="437" spans="1:48" ht="23.1" customHeight="1" x14ac:dyDescent="0.25">
      <c r="A437" s="360"/>
      <c r="B437" s="1387"/>
      <c r="C437" s="1388"/>
      <c r="D437" s="1166" t="s">
        <v>210</v>
      </c>
      <c r="E437" s="1385"/>
      <c r="F437" s="1385"/>
      <c r="G437" s="1385"/>
      <c r="H437" s="2048"/>
      <c r="I437" s="2048"/>
      <c r="J437" s="2048"/>
      <c r="K437" s="1385"/>
      <c r="L437" s="1385"/>
      <c r="M437" s="1385"/>
      <c r="N437" s="2049">
        <v>0</v>
      </c>
      <c r="O437" s="2049">
        <v>0</v>
      </c>
      <c r="P437" s="2049">
        <v>0</v>
      </c>
      <c r="Q437" s="2028">
        <f t="shared" si="257"/>
        <v>0</v>
      </c>
      <c r="R437" s="2026">
        <f t="shared" si="255"/>
        <v>0</v>
      </c>
      <c r="S437" s="2029">
        <f t="shared" si="256"/>
        <v>0</v>
      </c>
      <c r="T437" s="853">
        <f t="shared" si="258"/>
        <v>0</v>
      </c>
      <c r="U437" s="1408" t="str">
        <f t="shared" si="259"/>
        <v>1.33</v>
      </c>
      <c r="V437" s="1408" t="str">
        <f t="shared" si="260"/>
        <v>D+</v>
      </c>
      <c r="W437" s="1408" t="str">
        <f t="shared" si="261"/>
        <v>0</v>
      </c>
      <c r="X437" s="1409"/>
      <c r="Y437" s="1397"/>
      <c r="Z437" s="1398"/>
      <c r="AA437" s="1398"/>
      <c r="AB437" s="1398"/>
      <c r="AC437" s="1398"/>
      <c r="AD437" s="1398"/>
      <c r="AE437" s="1398"/>
      <c r="AF437" s="1398"/>
      <c r="AG437" s="1398"/>
      <c r="AH437" s="1398"/>
      <c r="AI437" s="1398"/>
      <c r="AJ437" s="1399"/>
      <c r="AK437" s="1399"/>
      <c r="AL437" s="1399"/>
      <c r="AM437" s="1399"/>
      <c r="AN437" s="1399"/>
      <c r="AO437" s="1399"/>
      <c r="AP437" s="1399"/>
      <c r="AQ437" s="1399"/>
      <c r="AR437" s="1399"/>
      <c r="AS437" s="1399"/>
      <c r="AT437" s="1400"/>
      <c r="AU437" s="1415"/>
      <c r="AV437" s="1416"/>
    </row>
    <row r="438" spans="1:48" ht="23.1" customHeight="1" x14ac:dyDescent="0.25">
      <c r="A438" s="727"/>
      <c r="B438" s="1406">
        <v>36</v>
      </c>
      <c r="C438" s="1407"/>
      <c r="D438" s="1004"/>
      <c r="E438" s="2780"/>
      <c r="F438" s="2781"/>
      <c r="G438" s="2781"/>
      <c r="H438" s="2781"/>
      <c r="I438" s="2046"/>
      <c r="J438" s="2046"/>
      <c r="K438" s="2046"/>
      <c r="L438" s="2046"/>
      <c r="M438" s="2046"/>
      <c r="N438" s="2046"/>
      <c r="O438" s="2046"/>
      <c r="P438" s="2046"/>
      <c r="Q438" s="2046"/>
      <c r="R438" s="2046"/>
      <c r="S438" s="2046"/>
      <c r="T438" s="2044">
        <f>IFERROR(AVERAGE(T427:T437),"  ")</f>
        <v>0</v>
      </c>
      <c r="U438" s="2045" t="str">
        <f>IF(X438&gt;85,("4"),IF(X438&gt;80,("3.66"),IF(X438&gt;75,("3.33"),IF(X438&gt;70,("3.00"),IF(X438&gt;65,("2.66"),IF(X438&gt;60,("2.33"),IF(X438&gt;55,("2"),IF(X438&gt;50,("1.66"),"1.33"))))))))</f>
        <v>1.33</v>
      </c>
      <c r="V438" s="2045" t="str">
        <f>IF(X438&gt;85,("A"),IF(X438&gt;80,("A-"),IF(X438&gt;75,("B+"),IF(X438&gt;70,("B"),IF(X438&gt;65,("B-"),IF(X438&gt;60,("C+"),IF(X438&gt;55,("C"),IF(X438&gt;50,("C-"),"D+"))))))))</f>
        <v>D+</v>
      </c>
      <c r="W438" s="2045"/>
      <c r="X438" s="888">
        <f>MAX(T427:T437)</f>
        <v>0</v>
      </c>
      <c r="Y438" s="1403"/>
      <c r="Z438" s="1404"/>
      <c r="AA438" s="1404"/>
      <c r="AB438" s="1404"/>
      <c r="AC438" s="1404"/>
      <c r="AD438" s="1404"/>
      <c r="AE438" s="1404"/>
      <c r="AF438" s="1404"/>
      <c r="AG438" s="1404"/>
      <c r="AH438" s="1404"/>
      <c r="AI438" s="1404"/>
      <c r="AJ438" s="1404"/>
      <c r="AK438" s="1404"/>
      <c r="AL438" s="1404"/>
      <c r="AM438" s="1404"/>
      <c r="AN438" s="1404"/>
      <c r="AO438" s="1404"/>
      <c r="AP438" s="1404"/>
      <c r="AQ438" s="1404"/>
      <c r="AR438" s="1404"/>
      <c r="AS438" s="1404"/>
      <c r="AT438" s="1405"/>
      <c r="AU438" s="1257"/>
      <c r="AV438" s="1258"/>
    </row>
    <row r="439" spans="1:48" ht="23.1" customHeight="1" x14ac:dyDescent="0.25">
      <c r="A439" s="724">
        <v>37</v>
      </c>
      <c r="B439" s="1383"/>
      <c r="C439" s="1384" t="e">
        <f>VLOOKUP(A439,data_siswa,4,FALSE)</f>
        <v>#N/A</v>
      </c>
      <c r="D439" s="1166" t="s">
        <v>154</v>
      </c>
      <c r="E439" s="2050">
        <v>0</v>
      </c>
      <c r="F439" s="2050">
        <v>0</v>
      </c>
      <c r="G439" s="2050">
        <v>0</v>
      </c>
      <c r="H439" s="2051"/>
      <c r="I439" s="2051"/>
      <c r="J439" s="2051"/>
      <c r="K439" s="2050"/>
      <c r="L439" s="2050"/>
      <c r="M439" s="2050"/>
      <c r="N439" s="2052"/>
      <c r="O439" s="2052"/>
      <c r="P439" s="2052"/>
      <c r="Q439" s="2028">
        <f>MAX(E439,H439,K439,N439)</f>
        <v>0</v>
      </c>
      <c r="R439" s="2026">
        <f t="shared" ref="R439:R449" si="262">MAX(F439,I439,L439,O439)</f>
        <v>0</v>
      </c>
      <c r="S439" s="2029">
        <f t="shared" ref="S439:S449" si="263">MAX(G439,J439,M439,P439)</f>
        <v>0</v>
      </c>
      <c r="T439" s="853">
        <f>IFERROR(AVERAGE(Q439:S439),"")</f>
        <v>0</v>
      </c>
      <c r="U439" s="1408" t="str">
        <f>IF(T439&gt;85,("4"),IF(T439&gt;80,("3.66"),IF(T439&gt;75,("3.33"),IF(T439&gt;70,("3.00"),IF(T439&gt;65,("2.66"),IF(T439&gt;60,("2.33"),IF(T439&gt;55,("2"),IF(T439&gt;50,("1.66"),"1.33"))))))))</f>
        <v>1.33</v>
      </c>
      <c r="V439" s="1408" t="str">
        <f>IF(T439&gt;85,("A"),IF(T439&gt;80,("A-"),IF(T439&gt;75,("B+"),IF(T439&gt;70,("B"),IF(T439&gt;65,("B-"),IF(T439&gt;60,("C+"),IF(T439&gt;55,("C"),IF(T439&gt;50,("C-"),"D+"))))))))</f>
        <v>D+</v>
      </c>
      <c r="W439" s="1408" t="str">
        <f>IF(T439&gt;80,("SB"),IF(T439&gt;65,("B"),IF(T439&gt;50,("C"),IF(T439&gt;0,("K"),"0"))))</f>
        <v>0</v>
      </c>
      <c r="X439" s="1408"/>
      <c r="Y439" s="749"/>
      <c r="Z439" s="749"/>
      <c r="AA439" s="749"/>
      <c r="AB439" s="749"/>
      <c r="AC439" s="749"/>
      <c r="AD439" s="749"/>
      <c r="AE439" s="749"/>
      <c r="AF439" s="749"/>
      <c r="AG439" s="749"/>
      <c r="AH439" s="749"/>
      <c r="AI439" s="749"/>
      <c r="AJ439" s="1386"/>
      <c r="AK439" s="1386"/>
      <c r="AL439" s="1386"/>
      <c r="AM439" s="1386"/>
      <c r="AN439" s="1386"/>
      <c r="AO439" s="1386"/>
      <c r="AP439" s="1386"/>
      <c r="AQ439" s="1386"/>
      <c r="AR439" s="1386"/>
      <c r="AS439" s="1386"/>
      <c r="AT439" s="1386"/>
      <c r="AU439" s="1057">
        <f>T450</f>
        <v>0</v>
      </c>
      <c r="AV439" s="1194" t="str">
        <f>IF(AU439&gt;85,("A"),IF(AU439&gt;80,("A-"),IF(AU439&gt;75,("B+"),IF(AU439&gt;70,("B"),IF(AU439&gt;65,("B-"),IF(AU439&gt;60,("C+"),IF(AU439&gt;55,("C"),IF(AU439&gt;50,("C-"),"D+"))))))))</f>
        <v>D+</v>
      </c>
    </row>
    <row r="440" spans="1:48" ht="23.1" customHeight="1" x14ac:dyDescent="0.25">
      <c r="A440" s="360"/>
      <c r="B440" s="1387"/>
      <c r="C440" s="1388"/>
      <c r="D440" s="1166" t="s">
        <v>155</v>
      </c>
      <c r="E440" s="1493"/>
      <c r="F440" s="1493"/>
      <c r="G440" s="1493"/>
      <c r="H440" s="2040"/>
      <c r="I440" s="2040"/>
      <c r="J440" s="2040"/>
      <c r="K440" s="1493"/>
      <c r="L440" s="1493"/>
      <c r="M440" s="1493"/>
      <c r="N440" s="2039">
        <v>0</v>
      </c>
      <c r="O440" s="2039">
        <v>0</v>
      </c>
      <c r="P440" s="2039">
        <v>0</v>
      </c>
      <c r="Q440" s="2028">
        <f t="shared" ref="Q440:Q449" si="264">MAX(E440,H440,K440,N440)</f>
        <v>0</v>
      </c>
      <c r="R440" s="2026">
        <f t="shared" si="262"/>
        <v>0</v>
      </c>
      <c r="S440" s="2029">
        <f t="shared" si="263"/>
        <v>0</v>
      </c>
      <c r="T440" s="853">
        <f t="shared" ref="T440:T449" si="265">IFERROR(AVERAGE(Q440:S440),"")</f>
        <v>0</v>
      </c>
      <c r="U440" s="1408" t="str">
        <f t="shared" ref="U440:U449" si="266">IF(T440&gt;85,("4"),IF(T440&gt;80,("3.66"),IF(T440&gt;75,("3.33"),IF(T440&gt;70,("3.00"),IF(T440&gt;65,("2.66"),IF(T440&gt;60,("2.33"),IF(T440&gt;55,("2"),IF(T440&gt;50,("1.66"),"1.33"))))))))</f>
        <v>1.33</v>
      </c>
      <c r="V440" s="1408" t="str">
        <f t="shared" ref="V440:V449" si="267">IF(T440&gt;85,("A"),IF(T440&gt;80,("A-"),IF(T440&gt;75,("B+"),IF(T440&gt;70,("B"),IF(T440&gt;65,("B-"),IF(T440&gt;60,("C+"),IF(T440&gt;55,("C"),IF(T440&gt;50,("C-"),"D+"))))))))</f>
        <v>D+</v>
      </c>
      <c r="W440" s="1408" t="str">
        <f t="shared" ref="W440:W449" si="268">IF(T440&gt;80,("SB"),IF(T440&gt;65,("B"),IF(T440&gt;50,("C"),IF(T440&gt;0,("K"),"0"))))</f>
        <v>0</v>
      </c>
      <c r="X440" s="1409"/>
      <c r="Y440" s="1389"/>
      <c r="Z440" s="1390"/>
      <c r="AA440" s="1390"/>
      <c r="AB440" s="1390"/>
      <c r="AC440" s="1390"/>
      <c r="AD440" s="1390"/>
      <c r="AE440" s="1390"/>
      <c r="AF440" s="1390"/>
      <c r="AG440" s="1390"/>
      <c r="AH440" s="1390"/>
      <c r="AI440" s="1390"/>
      <c r="AJ440" s="1391"/>
      <c r="AK440" s="1391"/>
      <c r="AL440" s="1391"/>
      <c r="AM440" s="1391"/>
      <c r="AN440" s="1391"/>
      <c r="AO440" s="1391"/>
      <c r="AP440" s="1391"/>
      <c r="AQ440" s="1391"/>
      <c r="AR440" s="1391"/>
      <c r="AS440" s="1391"/>
      <c r="AT440" s="1392"/>
      <c r="AU440" s="1411"/>
      <c r="AV440" s="1412"/>
    </row>
    <row r="441" spans="1:48" ht="23.1" customHeight="1" x14ac:dyDescent="0.25">
      <c r="A441" s="360"/>
      <c r="B441" s="1387"/>
      <c r="C441" s="1388"/>
      <c r="D441" s="1166" t="s">
        <v>16</v>
      </c>
      <c r="E441" s="1493"/>
      <c r="F441" s="1493"/>
      <c r="G441" s="1493"/>
      <c r="H441" s="2040">
        <v>0</v>
      </c>
      <c r="I441" s="2040">
        <v>0</v>
      </c>
      <c r="J441" s="2040">
        <v>0</v>
      </c>
      <c r="K441" s="1493"/>
      <c r="L441" s="1493"/>
      <c r="M441" s="1493"/>
      <c r="N441" s="2052"/>
      <c r="O441" s="2052"/>
      <c r="P441" s="2052"/>
      <c r="Q441" s="2028">
        <f t="shared" si="264"/>
        <v>0</v>
      </c>
      <c r="R441" s="2026">
        <f t="shared" si="262"/>
        <v>0</v>
      </c>
      <c r="S441" s="2029">
        <f t="shared" si="263"/>
        <v>0</v>
      </c>
      <c r="T441" s="853">
        <f t="shared" si="265"/>
        <v>0</v>
      </c>
      <c r="U441" s="1408" t="str">
        <f t="shared" si="266"/>
        <v>1.33</v>
      </c>
      <c r="V441" s="1408" t="str">
        <f t="shared" si="267"/>
        <v>D+</v>
      </c>
      <c r="W441" s="1408" t="str">
        <f t="shared" si="268"/>
        <v>0</v>
      </c>
      <c r="X441" s="1409"/>
      <c r="Y441" s="1393"/>
      <c r="Z441" s="1394"/>
      <c r="AA441" s="1394"/>
      <c r="AB441" s="1394"/>
      <c r="AC441" s="1394"/>
      <c r="AD441" s="1394"/>
      <c r="AE441" s="1394"/>
      <c r="AF441" s="1394"/>
      <c r="AG441" s="1394"/>
      <c r="AH441" s="1394"/>
      <c r="AI441" s="1394"/>
      <c r="AJ441" s="1395"/>
      <c r="AK441" s="1395"/>
      <c r="AL441" s="1395"/>
      <c r="AM441" s="1395"/>
      <c r="AN441" s="1395"/>
      <c r="AO441" s="1395"/>
      <c r="AP441" s="1395"/>
      <c r="AQ441" s="1395"/>
      <c r="AR441" s="1395"/>
      <c r="AS441" s="1395"/>
      <c r="AT441" s="1396"/>
      <c r="AU441" s="1413"/>
      <c r="AV441" s="1414"/>
    </row>
    <row r="442" spans="1:48" ht="23.1" customHeight="1" x14ac:dyDescent="0.25">
      <c r="A442" s="360"/>
      <c r="B442" s="1387"/>
      <c r="C442" s="1388"/>
      <c r="D442" s="1166" t="s">
        <v>189</v>
      </c>
      <c r="E442" s="1493"/>
      <c r="F442" s="1493"/>
      <c r="G442" s="1493"/>
      <c r="H442" s="2040">
        <v>0</v>
      </c>
      <c r="I442" s="2040">
        <v>0</v>
      </c>
      <c r="J442" s="2040">
        <v>0</v>
      </c>
      <c r="K442" s="1493"/>
      <c r="L442" s="1493"/>
      <c r="M442" s="1493"/>
      <c r="N442" s="2039"/>
      <c r="O442" s="2039"/>
      <c r="P442" s="2039"/>
      <c r="Q442" s="2028">
        <f t="shared" si="264"/>
        <v>0</v>
      </c>
      <c r="R442" s="2026">
        <f t="shared" si="262"/>
        <v>0</v>
      </c>
      <c r="S442" s="2029">
        <f t="shared" si="263"/>
        <v>0</v>
      </c>
      <c r="T442" s="853">
        <f t="shared" si="265"/>
        <v>0</v>
      </c>
      <c r="U442" s="1408" t="str">
        <f t="shared" si="266"/>
        <v>1.33</v>
      </c>
      <c r="V442" s="1408" t="str">
        <f t="shared" si="267"/>
        <v>D+</v>
      </c>
      <c r="W442" s="1408" t="str">
        <f t="shared" si="268"/>
        <v>0</v>
      </c>
      <c r="X442" s="1409"/>
      <c r="Y442" s="1393"/>
      <c r="Z442" s="1394"/>
      <c r="AA442" s="1394"/>
      <c r="AB442" s="1394"/>
      <c r="AC442" s="1394"/>
      <c r="AD442" s="1394"/>
      <c r="AE442" s="1394"/>
      <c r="AF442" s="1394"/>
      <c r="AG442" s="1394"/>
      <c r="AH442" s="1394"/>
      <c r="AI442" s="1394"/>
      <c r="AJ442" s="1395"/>
      <c r="AK442" s="1395"/>
      <c r="AL442" s="1395"/>
      <c r="AM442" s="1395"/>
      <c r="AN442" s="1395"/>
      <c r="AO442" s="1395"/>
      <c r="AP442" s="1395"/>
      <c r="AQ442" s="1395"/>
      <c r="AR442" s="1395"/>
      <c r="AS442" s="1395"/>
      <c r="AT442" s="1396"/>
      <c r="AU442" s="1413"/>
      <c r="AV442" s="1414"/>
    </row>
    <row r="443" spans="1:48" ht="23.1" customHeight="1" x14ac:dyDescent="0.25">
      <c r="A443" s="360"/>
      <c r="B443" s="1387"/>
      <c r="C443" s="1388"/>
      <c r="D443" s="1166" t="s">
        <v>186</v>
      </c>
      <c r="E443" s="1493"/>
      <c r="F443" s="1493"/>
      <c r="G443" s="1493"/>
      <c r="H443" s="2040">
        <v>0</v>
      </c>
      <c r="I443" s="2040">
        <v>0</v>
      </c>
      <c r="J443" s="2040">
        <v>0</v>
      </c>
      <c r="K443" s="1493"/>
      <c r="L443" s="1493"/>
      <c r="M443" s="1493"/>
      <c r="N443" s="2039"/>
      <c r="O443" s="2039"/>
      <c r="P443" s="2039"/>
      <c r="Q443" s="2028">
        <f t="shared" si="264"/>
        <v>0</v>
      </c>
      <c r="R443" s="2026">
        <f t="shared" si="262"/>
        <v>0</v>
      </c>
      <c r="S443" s="2029">
        <f t="shared" si="263"/>
        <v>0</v>
      </c>
      <c r="T443" s="853">
        <f t="shared" si="265"/>
        <v>0</v>
      </c>
      <c r="U443" s="1408" t="str">
        <f t="shared" si="266"/>
        <v>1.33</v>
      </c>
      <c r="V443" s="1408" t="str">
        <f t="shared" si="267"/>
        <v>D+</v>
      </c>
      <c r="W443" s="1408" t="str">
        <f t="shared" si="268"/>
        <v>0</v>
      </c>
      <c r="X443" s="1409"/>
      <c r="Y443" s="1393"/>
      <c r="Z443" s="1394"/>
      <c r="AA443" s="1394"/>
      <c r="AB443" s="1394"/>
      <c r="AC443" s="1394"/>
      <c r="AD443" s="1394"/>
      <c r="AE443" s="1394"/>
      <c r="AF443" s="1394"/>
      <c r="AG443" s="1394"/>
      <c r="AH443" s="1394"/>
      <c r="AI443" s="1394"/>
      <c r="AJ443" s="1395"/>
      <c r="AK443" s="1395"/>
      <c r="AL443" s="1395"/>
      <c r="AM443" s="1395"/>
      <c r="AN443" s="1395"/>
      <c r="AO443" s="1395"/>
      <c r="AP443" s="1395"/>
      <c r="AQ443" s="1395"/>
      <c r="AR443" s="1395"/>
      <c r="AS443" s="1395"/>
      <c r="AT443" s="1396"/>
      <c r="AU443" s="1413"/>
      <c r="AV443" s="1414"/>
    </row>
    <row r="444" spans="1:48" ht="23.1" customHeight="1" x14ac:dyDescent="0.25">
      <c r="A444" s="360"/>
      <c r="B444" s="1387"/>
      <c r="C444" s="1388"/>
      <c r="D444" s="1166" t="s">
        <v>187</v>
      </c>
      <c r="E444" s="1385"/>
      <c r="F444" s="1385"/>
      <c r="G444" s="1385"/>
      <c r="H444" s="2048"/>
      <c r="I444" s="2048"/>
      <c r="J444" s="2048"/>
      <c r="K444" s="1385">
        <v>0</v>
      </c>
      <c r="L444" s="1385">
        <v>0</v>
      </c>
      <c r="M444" s="1385">
        <v>0</v>
      </c>
      <c r="N444" s="2049"/>
      <c r="O444" s="2049"/>
      <c r="P444" s="2049"/>
      <c r="Q444" s="2028">
        <f t="shared" si="264"/>
        <v>0</v>
      </c>
      <c r="R444" s="2026">
        <f t="shared" si="262"/>
        <v>0</v>
      </c>
      <c r="S444" s="2029">
        <f t="shared" si="263"/>
        <v>0</v>
      </c>
      <c r="T444" s="853">
        <f t="shared" si="265"/>
        <v>0</v>
      </c>
      <c r="U444" s="1408" t="str">
        <f t="shared" si="266"/>
        <v>1.33</v>
      </c>
      <c r="V444" s="1408" t="str">
        <f t="shared" si="267"/>
        <v>D+</v>
      </c>
      <c r="W444" s="1408" t="str">
        <f t="shared" si="268"/>
        <v>0</v>
      </c>
      <c r="X444" s="1409"/>
      <c r="Y444" s="1393"/>
      <c r="Z444" s="1394"/>
      <c r="AA444" s="1394"/>
      <c r="AB444" s="1394"/>
      <c r="AC444" s="1394"/>
      <c r="AD444" s="1394"/>
      <c r="AE444" s="1394"/>
      <c r="AF444" s="1394"/>
      <c r="AG444" s="1394"/>
      <c r="AH444" s="1394"/>
      <c r="AI444" s="1394"/>
      <c r="AJ444" s="1395"/>
      <c r="AK444" s="1395"/>
      <c r="AL444" s="1395"/>
      <c r="AM444" s="1395"/>
      <c r="AN444" s="1395"/>
      <c r="AO444" s="1395"/>
      <c r="AP444" s="1395"/>
      <c r="AQ444" s="1395"/>
      <c r="AR444" s="1395"/>
      <c r="AS444" s="1395"/>
      <c r="AT444" s="1396"/>
      <c r="AU444" s="1413"/>
      <c r="AV444" s="1414"/>
    </row>
    <row r="445" spans="1:48" ht="23.1" customHeight="1" x14ac:dyDescent="0.25">
      <c r="A445" s="360"/>
      <c r="B445" s="1387"/>
      <c r="C445" s="1388"/>
      <c r="D445" s="1166" t="s">
        <v>17</v>
      </c>
      <c r="E445" s="1385">
        <v>0</v>
      </c>
      <c r="F445" s="1385">
        <v>0</v>
      </c>
      <c r="G445" s="1385">
        <v>0</v>
      </c>
      <c r="H445" s="2048">
        <v>0</v>
      </c>
      <c r="I445" s="2048">
        <v>0</v>
      </c>
      <c r="J445" s="2048">
        <v>0</v>
      </c>
      <c r="K445" s="1385"/>
      <c r="L445" s="1385"/>
      <c r="M445" s="1385"/>
      <c r="N445" s="2049"/>
      <c r="O445" s="2049"/>
      <c r="P445" s="2049"/>
      <c r="Q445" s="2028">
        <f t="shared" si="264"/>
        <v>0</v>
      </c>
      <c r="R445" s="2026">
        <f t="shared" si="262"/>
        <v>0</v>
      </c>
      <c r="S445" s="2029">
        <f t="shared" si="263"/>
        <v>0</v>
      </c>
      <c r="T445" s="853">
        <f t="shared" si="265"/>
        <v>0</v>
      </c>
      <c r="U445" s="1408" t="str">
        <f t="shared" si="266"/>
        <v>1.33</v>
      </c>
      <c r="V445" s="1408" t="str">
        <f t="shared" si="267"/>
        <v>D+</v>
      </c>
      <c r="W445" s="1408" t="str">
        <f t="shared" si="268"/>
        <v>0</v>
      </c>
      <c r="X445" s="1409"/>
      <c r="Y445" s="1393"/>
      <c r="Z445" s="1394"/>
      <c r="AA445" s="1394"/>
      <c r="AB445" s="1394"/>
      <c r="AC445" s="1394"/>
      <c r="AD445" s="1394"/>
      <c r="AE445" s="1394"/>
      <c r="AF445" s="1394"/>
      <c r="AG445" s="1394"/>
      <c r="AH445" s="1394"/>
      <c r="AI445" s="1394"/>
      <c r="AJ445" s="1395"/>
      <c r="AK445" s="1395"/>
      <c r="AL445" s="1395"/>
      <c r="AM445" s="1395"/>
      <c r="AN445" s="1395"/>
      <c r="AO445" s="1395"/>
      <c r="AP445" s="1395"/>
      <c r="AQ445" s="1395"/>
      <c r="AR445" s="1395"/>
      <c r="AS445" s="1395"/>
      <c r="AT445" s="1396"/>
      <c r="AU445" s="1413"/>
      <c r="AV445" s="1414"/>
    </row>
    <row r="446" spans="1:48" ht="23.1" customHeight="1" x14ac:dyDescent="0.25">
      <c r="A446" s="360"/>
      <c r="B446" s="1387"/>
      <c r="C446" s="1388"/>
      <c r="D446" s="1166" t="s">
        <v>188</v>
      </c>
      <c r="E446" s="1385"/>
      <c r="F446" s="1385"/>
      <c r="G446" s="1385"/>
      <c r="H446" s="2048">
        <v>0</v>
      </c>
      <c r="I446" s="2048">
        <v>0</v>
      </c>
      <c r="J446" s="2048">
        <v>0</v>
      </c>
      <c r="K446" s="1385"/>
      <c r="L446" s="1385"/>
      <c r="M446" s="1385"/>
      <c r="N446" s="2049"/>
      <c r="O446" s="2049"/>
      <c r="P446" s="2049"/>
      <c r="Q446" s="2028">
        <f t="shared" si="264"/>
        <v>0</v>
      </c>
      <c r="R446" s="2026">
        <f t="shared" si="262"/>
        <v>0</v>
      </c>
      <c r="S446" s="2029">
        <f t="shared" si="263"/>
        <v>0</v>
      </c>
      <c r="T446" s="853">
        <f t="shared" si="265"/>
        <v>0</v>
      </c>
      <c r="U446" s="1408" t="str">
        <f t="shared" si="266"/>
        <v>1.33</v>
      </c>
      <c r="V446" s="1408" t="str">
        <f t="shared" si="267"/>
        <v>D+</v>
      </c>
      <c r="W446" s="1408" t="str">
        <f t="shared" si="268"/>
        <v>0</v>
      </c>
      <c r="X446" s="1409"/>
      <c r="Y446" s="1393"/>
      <c r="Z446" s="1394"/>
      <c r="AA446" s="1394"/>
      <c r="AB446" s="1394"/>
      <c r="AC446" s="1394"/>
      <c r="AD446" s="1394"/>
      <c r="AE446" s="1394"/>
      <c r="AF446" s="1394"/>
      <c r="AG446" s="1394"/>
      <c r="AH446" s="1394"/>
      <c r="AI446" s="1394"/>
      <c r="AJ446" s="1395"/>
      <c r="AK446" s="1395"/>
      <c r="AL446" s="1395"/>
      <c r="AM446" s="1395"/>
      <c r="AN446" s="1395"/>
      <c r="AO446" s="1395"/>
      <c r="AP446" s="1395"/>
      <c r="AQ446" s="1395"/>
      <c r="AR446" s="1395"/>
      <c r="AS446" s="1395"/>
      <c r="AT446" s="1396"/>
      <c r="AU446" s="1413"/>
      <c r="AV446" s="1414"/>
    </row>
    <row r="447" spans="1:48" ht="23.1" customHeight="1" x14ac:dyDescent="0.25">
      <c r="A447" s="360"/>
      <c r="B447" s="1387"/>
      <c r="C447" s="1388"/>
      <c r="D447" s="1166" t="s">
        <v>569</v>
      </c>
      <c r="E447" s="1385"/>
      <c r="F447" s="1385"/>
      <c r="G447" s="1385"/>
      <c r="H447" s="2048"/>
      <c r="I447" s="2048"/>
      <c r="J447" s="2048"/>
      <c r="K447" s="1385">
        <v>0</v>
      </c>
      <c r="L447" s="1385">
        <v>0</v>
      </c>
      <c r="M447" s="1385">
        <v>0</v>
      </c>
      <c r="N447" s="2049"/>
      <c r="O447" s="2049"/>
      <c r="P447" s="2049"/>
      <c r="Q447" s="2028">
        <f t="shared" si="264"/>
        <v>0</v>
      </c>
      <c r="R447" s="2026">
        <f t="shared" si="262"/>
        <v>0</v>
      </c>
      <c r="S447" s="2029">
        <f t="shared" si="263"/>
        <v>0</v>
      </c>
      <c r="T447" s="853">
        <f t="shared" si="265"/>
        <v>0</v>
      </c>
      <c r="U447" s="1408" t="str">
        <f t="shared" si="266"/>
        <v>1.33</v>
      </c>
      <c r="V447" s="1408" t="str">
        <f t="shared" si="267"/>
        <v>D+</v>
      </c>
      <c r="W447" s="1408" t="str">
        <f t="shared" si="268"/>
        <v>0</v>
      </c>
      <c r="X447" s="1409"/>
      <c r="Y447" s="1393"/>
      <c r="Z447" s="1394"/>
      <c r="AA447" s="1394"/>
      <c r="AB447" s="1394"/>
      <c r="AC447" s="1394"/>
      <c r="AD447" s="1394"/>
      <c r="AE447" s="1394"/>
      <c r="AF447" s="1394"/>
      <c r="AG447" s="1394"/>
      <c r="AH447" s="1394"/>
      <c r="AI447" s="1394"/>
      <c r="AJ447" s="1395"/>
      <c r="AK447" s="1395"/>
      <c r="AL447" s="1395"/>
      <c r="AM447" s="1395"/>
      <c r="AN447" s="1395"/>
      <c r="AO447" s="1395"/>
      <c r="AP447" s="1395"/>
      <c r="AQ447" s="1395"/>
      <c r="AR447" s="1395"/>
      <c r="AS447" s="1395"/>
      <c r="AT447" s="1396"/>
      <c r="AU447" s="1413"/>
      <c r="AV447" s="1414"/>
    </row>
    <row r="448" spans="1:48" ht="23.1" customHeight="1" x14ac:dyDescent="0.25">
      <c r="A448" s="360"/>
      <c r="B448" s="1387"/>
      <c r="C448" s="1388"/>
      <c r="D448" s="1166" t="s">
        <v>209</v>
      </c>
      <c r="E448" s="1385"/>
      <c r="F448" s="1385"/>
      <c r="G448" s="1385"/>
      <c r="H448" s="2048"/>
      <c r="I448" s="2048"/>
      <c r="J448" s="2048"/>
      <c r="K448" s="1385"/>
      <c r="L448" s="1385"/>
      <c r="M448" s="1385"/>
      <c r="N448" s="2049">
        <v>0</v>
      </c>
      <c r="O448" s="2049">
        <v>0</v>
      </c>
      <c r="P448" s="2049">
        <v>0</v>
      </c>
      <c r="Q448" s="2028">
        <f t="shared" si="264"/>
        <v>0</v>
      </c>
      <c r="R448" s="2026">
        <f t="shared" si="262"/>
        <v>0</v>
      </c>
      <c r="S448" s="2029">
        <f t="shared" si="263"/>
        <v>0</v>
      </c>
      <c r="T448" s="853">
        <f t="shared" si="265"/>
        <v>0</v>
      </c>
      <c r="U448" s="1408" t="str">
        <f t="shared" si="266"/>
        <v>1.33</v>
      </c>
      <c r="V448" s="1408" t="str">
        <f t="shared" si="267"/>
        <v>D+</v>
      </c>
      <c r="W448" s="1408" t="str">
        <f t="shared" si="268"/>
        <v>0</v>
      </c>
      <c r="X448" s="1409"/>
      <c r="Y448" s="1393"/>
      <c r="Z448" s="1394"/>
      <c r="AA448" s="1394"/>
      <c r="AB448" s="1394"/>
      <c r="AC448" s="1394"/>
      <c r="AD448" s="1394"/>
      <c r="AE448" s="1394"/>
      <c r="AF448" s="1394"/>
      <c r="AG448" s="1394"/>
      <c r="AH448" s="1394"/>
      <c r="AI448" s="1394"/>
      <c r="AJ448" s="1395"/>
      <c r="AK448" s="1395"/>
      <c r="AL448" s="1395"/>
      <c r="AM448" s="1395"/>
      <c r="AN448" s="1395"/>
      <c r="AO448" s="1395"/>
      <c r="AP448" s="1395"/>
      <c r="AQ448" s="1395"/>
      <c r="AR448" s="1395"/>
      <c r="AS448" s="1395"/>
      <c r="AT448" s="1396"/>
      <c r="AU448" s="1413"/>
      <c r="AV448" s="1414"/>
    </row>
    <row r="449" spans="1:48" ht="23.1" customHeight="1" x14ac:dyDescent="0.25">
      <c r="A449" s="360"/>
      <c r="B449" s="1387"/>
      <c r="C449" s="1388"/>
      <c r="D449" s="1166" t="s">
        <v>210</v>
      </c>
      <c r="E449" s="1385"/>
      <c r="F449" s="1385"/>
      <c r="G449" s="1385"/>
      <c r="H449" s="2048"/>
      <c r="I449" s="2048"/>
      <c r="J449" s="2048"/>
      <c r="K449" s="1385"/>
      <c r="L449" s="1385"/>
      <c r="M449" s="1385"/>
      <c r="N449" s="2049">
        <v>0</v>
      </c>
      <c r="O449" s="2049">
        <v>0</v>
      </c>
      <c r="P449" s="2049">
        <v>0</v>
      </c>
      <c r="Q449" s="2028">
        <f t="shared" si="264"/>
        <v>0</v>
      </c>
      <c r="R449" s="2026">
        <f t="shared" si="262"/>
        <v>0</v>
      </c>
      <c r="S449" s="2029">
        <f t="shared" si="263"/>
        <v>0</v>
      </c>
      <c r="T449" s="853">
        <f t="shared" si="265"/>
        <v>0</v>
      </c>
      <c r="U449" s="1408" t="str">
        <f t="shared" si="266"/>
        <v>1.33</v>
      </c>
      <c r="V449" s="1408" t="str">
        <f t="shared" si="267"/>
        <v>D+</v>
      </c>
      <c r="W449" s="1408" t="str">
        <f t="shared" si="268"/>
        <v>0</v>
      </c>
      <c r="X449" s="1409"/>
      <c r="Y449" s="1397"/>
      <c r="Z449" s="1398"/>
      <c r="AA449" s="1398"/>
      <c r="AB449" s="1398"/>
      <c r="AC449" s="1398"/>
      <c r="AD449" s="1398"/>
      <c r="AE449" s="1398"/>
      <c r="AF449" s="1398"/>
      <c r="AG449" s="1398"/>
      <c r="AH449" s="1398"/>
      <c r="AI449" s="1398"/>
      <c r="AJ449" s="1399"/>
      <c r="AK449" s="1399"/>
      <c r="AL449" s="1399"/>
      <c r="AM449" s="1399"/>
      <c r="AN449" s="1399"/>
      <c r="AO449" s="1399"/>
      <c r="AP449" s="1399"/>
      <c r="AQ449" s="1399"/>
      <c r="AR449" s="1399"/>
      <c r="AS449" s="1399"/>
      <c r="AT449" s="1400"/>
      <c r="AU449" s="1415"/>
      <c r="AV449" s="1416"/>
    </row>
    <row r="450" spans="1:48" ht="23.1" customHeight="1" x14ac:dyDescent="0.25">
      <c r="A450" s="727"/>
      <c r="B450" s="1406">
        <v>37</v>
      </c>
      <c r="C450" s="1407"/>
      <c r="D450" s="1004"/>
      <c r="E450" s="2780"/>
      <c r="F450" s="2781"/>
      <c r="G450" s="2781"/>
      <c r="H450" s="2781"/>
      <c r="I450" s="2046"/>
      <c r="J450" s="2046"/>
      <c r="K450" s="2046"/>
      <c r="L450" s="2046"/>
      <c r="M450" s="2046"/>
      <c r="N450" s="2046"/>
      <c r="O450" s="2046"/>
      <c r="P450" s="2046"/>
      <c r="Q450" s="2046"/>
      <c r="R450" s="2046"/>
      <c r="S450" s="2046"/>
      <c r="T450" s="2044">
        <f>IFERROR(AVERAGE(T439:T449),"  ")</f>
        <v>0</v>
      </c>
      <c r="U450" s="2045" t="str">
        <f>IF(X450&gt;85,("4"),IF(X450&gt;80,("3.66"),IF(X450&gt;75,("3.33"),IF(X450&gt;70,("3.00"),IF(X450&gt;65,("2.66"),IF(X450&gt;60,("2.33"),IF(X450&gt;55,("2"),IF(X450&gt;50,("1.66"),"1.33"))))))))</f>
        <v>1.33</v>
      </c>
      <c r="V450" s="2045" t="str">
        <f>IF(X450&gt;85,("A"),IF(X450&gt;80,("A-"),IF(X450&gt;75,("B+"),IF(X450&gt;70,("B"),IF(X450&gt;65,("B-"),IF(X450&gt;60,("C+"),IF(X450&gt;55,("C"),IF(X450&gt;50,("C-"),"D+"))))))))</f>
        <v>D+</v>
      </c>
      <c r="W450" s="2045"/>
      <c r="X450" s="888">
        <f>MAX(T439:T449)</f>
        <v>0</v>
      </c>
      <c r="Y450" s="1403"/>
      <c r="Z450" s="1404"/>
      <c r="AA450" s="1404"/>
      <c r="AB450" s="1404"/>
      <c r="AC450" s="1404"/>
      <c r="AD450" s="1404"/>
      <c r="AE450" s="1404"/>
      <c r="AF450" s="1404"/>
      <c r="AG450" s="1404"/>
      <c r="AH450" s="1404"/>
      <c r="AI450" s="1404"/>
      <c r="AJ450" s="1404"/>
      <c r="AK450" s="1404"/>
      <c r="AL450" s="1404"/>
      <c r="AM450" s="1404"/>
      <c r="AN450" s="1404"/>
      <c r="AO450" s="1404"/>
      <c r="AP450" s="1404"/>
      <c r="AQ450" s="1404"/>
      <c r="AR450" s="1404"/>
      <c r="AS450" s="1404"/>
      <c r="AT450" s="1405"/>
      <c r="AU450" s="1257"/>
      <c r="AV450" s="1258"/>
    </row>
    <row r="451" spans="1:48" ht="23.1" customHeight="1" x14ac:dyDescent="0.25">
      <c r="A451" s="724">
        <v>38</v>
      </c>
      <c r="B451" s="1383"/>
      <c r="C451" s="1384" t="e">
        <f>VLOOKUP(A451,data_siswa,4,FALSE)</f>
        <v>#N/A</v>
      </c>
      <c r="D451" s="1166" t="s">
        <v>154</v>
      </c>
      <c r="E451" s="2050">
        <v>0</v>
      </c>
      <c r="F451" s="2050">
        <v>0</v>
      </c>
      <c r="G451" s="2050">
        <v>0</v>
      </c>
      <c r="H451" s="2051"/>
      <c r="I451" s="2051"/>
      <c r="J451" s="2051"/>
      <c r="K451" s="2050"/>
      <c r="L451" s="2050"/>
      <c r="M451" s="2050"/>
      <c r="N451" s="2052"/>
      <c r="O451" s="2052"/>
      <c r="P451" s="2052"/>
      <c r="Q451" s="2028">
        <f>MAX(E451,H451,K451,N451)</f>
        <v>0</v>
      </c>
      <c r="R451" s="2026">
        <f t="shared" ref="R451:R461" si="269">MAX(F451,I451,L451,O451)</f>
        <v>0</v>
      </c>
      <c r="S451" s="2029">
        <f t="shared" ref="S451:S461" si="270">MAX(G451,J451,M451,P451)</f>
        <v>0</v>
      </c>
      <c r="T451" s="853">
        <f>IFERROR(AVERAGE(Q451:S451),"")</f>
        <v>0</v>
      </c>
      <c r="U451" s="1408" t="str">
        <f>IF(T451&gt;85,("4"),IF(T451&gt;80,("3.66"),IF(T451&gt;75,("3.33"),IF(T451&gt;70,("3.00"),IF(T451&gt;65,("2.66"),IF(T451&gt;60,("2.33"),IF(T451&gt;55,("2"),IF(T451&gt;50,("1.66"),"1.33"))))))))</f>
        <v>1.33</v>
      </c>
      <c r="V451" s="1408" t="str">
        <f>IF(T451&gt;85,("A"),IF(T451&gt;80,("A-"),IF(T451&gt;75,("B+"),IF(T451&gt;70,("B"),IF(T451&gt;65,("B-"),IF(T451&gt;60,("C+"),IF(T451&gt;55,("C"),IF(T451&gt;50,("C-"),"D+"))))))))</f>
        <v>D+</v>
      </c>
      <c r="W451" s="1408" t="str">
        <f>IF(T451&gt;80,("SB"),IF(T451&gt;65,("B"),IF(T451&gt;50,("C"),IF(T451&gt;0,("K"),"0"))))</f>
        <v>0</v>
      </c>
      <c r="X451" s="1408"/>
      <c r="Y451" s="749"/>
      <c r="Z451" s="749"/>
      <c r="AA451" s="749"/>
      <c r="AB451" s="749"/>
      <c r="AC451" s="749"/>
      <c r="AD451" s="749"/>
      <c r="AE451" s="749"/>
      <c r="AF451" s="749"/>
      <c r="AG451" s="749"/>
      <c r="AH451" s="749"/>
      <c r="AI451" s="749"/>
      <c r="AJ451" s="1386"/>
      <c r="AK451" s="1386"/>
      <c r="AL451" s="1386"/>
      <c r="AM451" s="1386"/>
      <c r="AN451" s="1386"/>
      <c r="AO451" s="1386"/>
      <c r="AP451" s="1386"/>
      <c r="AQ451" s="1386"/>
      <c r="AR451" s="1386"/>
      <c r="AS451" s="1386"/>
      <c r="AT451" s="1386"/>
      <c r="AU451" s="1057">
        <f>T462</f>
        <v>0</v>
      </c>
      <c r="AV451" s="1194" t="str">
        <f>IF(AU451&gt;85,("A"),IF(AU451&gt;80,("A-"),IF(AU451&gt;75,("B+"),IF(AU451&gt;70,("B"),IF(AU451&gt;65,("B-"),IF(AU451&gt;60,("C+"),IF(AU451&gt;55,("C"),IF(AU451&gt;50,("C-"),"D+"))))))))</f>
        <v>D+</v>
      </c>
    </row>
    <row r="452" spans="1:48" ht="23.1" customHeight="1" x14ac:dyDescent="0.25">
      <c r="A452" s="360"/>
      <c r="B452" s="1387"/>
      <c r="C452" s="1388"/>
      <c r="D452" s="1166" t="s">
        <v>155</v>
      </c>
      <c r="E452" s="1493"/>
      <c r="F452" s="1493"/>
      <c r="G452" s="1493"/>
      <c r="H452" s="2040"/>
      <c r="I452" s="2040"/>
      <c r="J452" s="2040"/>
      <c r="K452" s="1493"/>
      <c r="L452" s="1493"/>
      <c r="M452" s="1493"/>
      <c r="N452" s="2039">
        <v>0</v>
      </c>
      <c r="O452" s="2039">
        <v>0</v>
      </c>
      <c r="P452" s="2039">
        <v>0</v>
      </c>
      <c r="Q452" s="2028">
        <f t="shared" ref="Q452:Q461" si="271">MAX(E452,H452,K452,N452)</f>
        <v>0</v>
      </c>
      <c r="R452" s="2026">
        <f t="shared" si="269"/>
        <v>0</v>
      </c>
      <c r="S452" s="2029">
        <f t="shared" si="270"/>
        <v>0</v>
      </c>
      <c r="T452" s="853">
        <f t="shared" ref="T452:T461" si="272">IFERROR(AVERAGE(Q452:S452),"")</f>
        <v>0</v>
      </c>
      <c r="U452" s="1408" t="str">
        <f t="shared" ref="U452:U461" si="273">IF(T452&gt;85,("4"),IF(T452&gt;80,("3.66"),IF(T452&gt;75,("3.33"),IF(T452&gt;70,("3.00"),IF(T452&gt;65,("2.66"),IF(T452&gt;60,("2.33"),IF(T452&gt;55,("2"),IF(T452&gt;50,("1.66"),"1.33"))))))))</f>
        <v>1.33</v>
      </c>
      <c r="V452" s="1408" t="str">
        <f t="shared" ref="V452:V461" si="274">IF(T452&gt;85,("A"),IF(T452&gt;80,("A-"),IF(T452&gt;75,("B+"),IF(T452&gt;70,("B"),IF(T452&gt;65,("B-"),IF(T452&gt;60,("C+"),IF(T452&gt;55,("C"),IF(T452&gt;50,("C-"),"D+"))))))))</f>
        <v>D+</v>
      </c>
      <c r="W452" s="1408" t="str">
        <f t="shared" ref="W452:W461" si="275">IF(T452&gt;80,("SB"),IF(T452&gt;65,("B"),IF(T452&gt;50,("C"),IF(T452&gt;0,("K"),"0"))))</f>
        <v>0</v>
      </c>
      <c r="X452" s="1409"/>
      <c r="Y452" s="1389"/>
      <c r="Z452" s="1390"/>
      <c r="AA452" s="1390"/>
      <c r="AB452" s="1390"/>
      <c r="AC452" s="1390"/>
      <c r="AD452" s="1390"/>
      <c r="AE452" s="1390"/>
      <c r="AF452" s="1390"/>
      <c r="AG452" s="1390"/>
      <c r="AH452" s="1390"/>
      <c r="AI452" s="1390"/>
      <c r="AJ452" s="1391"/>
      <c r="AK452" s="1391"/>
      <c r="AL452" s="1391"/>
      <c r="AM452" s="1391"/>
      <c r="AN452" s="1391"/>
      <c r="AO452" s="1391"/>
      <c r="AP452" s="1391"/>
      <c r="AQ452" s="1391"/>
      <c r="AR452" s="1391"/>
      <c r="AS452" s="1391"/>
      <c r="AT452" s="1392"/>
      <c r="AU452" s="1411"/>
      <c r="AV452" s="1412"/>
    </row>
    <row r="453" spans="1:48" ht="23.1" customHeight="1" x14ac:dyDescent="0.25">
      <c r="A453" s="360"/>
      <c r="B453" s="1387"/>
      <c r="C453" s="1388"/>
      <c r="D453" s="1166" t="s">
        <v>16</v>
      </c>
      <c r="E453" s="1493"/>
      <c r="F453" s="1493"/>
      <c r="G453" s="1493"/>
      <c r="H453" s="2040">
        <v>0</v>
      </c>
      <c r="I453" s="2040">
        <v>0</v>
      </c>
      <c r="J453" s="2040">
        <v>0</v>
      </c>
      <c r="K453" s="1493"/>
      <c r="L453" s="1493"/>
      <c r="M453" s="1493"/>
      <c r="N453" s="2052"/>
      <c r="O453" s="2052"/>
      <c r="P453" s="2052"/>
      <c r="Q453" s="2028">
        <f t="shared" si="271"/>
        <v>0</v>
      </c>
      <c r="R453" s="2026">
        <f t="shared" si="269"/>
        <v>0</v>
      </c>
      <c r="S453" s="2029">
        <f t="shared" si="270"/>
        <v>0</v>
      </c>
      <c r="T453" s="853">
        <f t="shared" si="272"/>
        <v>0</v>
      </c>
      <c r="U453" s="1408" t="str">
        <f t="shared" si="273"/>
        <v>1.33</v>
      </c>
      <c r="V453" s="1408" t="str">
        <f t="shared" si="274"/>
        <v>D+</v>
      </c>
      <c r="W453" s="1408" t="str">
        <f t="shared" si="275"/>
        <v>0</v>
      </c>
      <c r="X453" s="1409"/>
      <c r="Y453" s="1393"/>
      <c r="Z453" s="1394"/>
      <c r="AA453" s="1394"/>
      <c r="AB453" s="1394"/>
      <c r="AC453" s="1394"/>
      <c r="AD453" s="1394"/>
      <c r="AE453" s="1394"/>
      <c r="AF453" s="1394"/>
      <c r="AG453" s="1394"/>
      <c r="AH453" s="1394"/>
      <c r="AI453" s="1394"/>
      <c r="AJ453" s="1395"/>
      <c r="AK453" s="1395"/>
      <c r="AL453" s="1395"/>
      <c r="AM453" s="1395"/>
      <c r="AN453" s="1395"/>
      <c r="AO453" s="1395"/>
      <c r="AP453" s="1395"/>
      <c r="AQ453" s="1395"/>
      <c r="AR453" s="1395"/>
      <c r="AS453" s="1395"/>
      <c r="AT453" s="1396"/>
      <c r="AU453" s="1413"/>
      <c r="AV453" s="1414"/>
    </row>
    <row r="454" spans="1:48" ht="23.1" customHeight="1" x14ac:dyDescent="0.25">
      <c r="A454" s="360"/>
      <c r="B454" s="1387"/>
      <c r="C454" s="1388"/>
      <c r="D454" s="1166" t="s">
        <v>189</v>
      </c>
      <c r="E454" s="1493"/>
      <c r="F454" s="1493"/>
      <c r="G454" s="1493"/>
      <c r="H454" s="2040">
        <v>0</v>
      </c>
      <c r="I454" s="2040">
        <v>0</v>
      </c>
      <c r="J454" s="2040">
        <v>0</v>
      </c>
      <c r="K454" s="1493"/>
      <c r="L454" s="1493"/>
      <c r="M454" s="1493"/>
      <c r="N454" s="2039"/>
      <c r="O454" s="2039"/>
      <c r="P454" s="2039"/>
      <c r="Q454" s="2028">
        <f t="shared" si="271"/>
        <v>0</v>
      </c>
      <c r="R454" s="2026">
        <f t="shared" si="269"/>
        <v>0</v>
      </c>
      <c r="S454" s="2029">
        <f t="shared" si="270"/>
        <v>0</v>
      </c>
      <c r="T454" s="853">
        <f t="shared" si="272"/>
        <v>0</v>
      </c>
      <c r="U454" s="1408" t="str">
        <f t="shared" si="273"/>
        <v>1.33</v>
      </c>
      <c r="V454" s="1408" t="str">
        <f t="shared" si="274"/>
        <v>D+</v>
      </c>
      <c r="W454" s="1408" t="str">
        <f t="shared" si="275"/>
        <v>0</v>
      </c>
      <c r="X454" s="1409"/>
      <c r="Y454" s="1393"/>
      <c r="Z454" s="1394"/>
      <c r="AA454" s="1394"/>
      <c r="AB454" s="1394"/>
      <c r="AC454" s="1394"/>
      <c r="AD454" s="1394"/>
      <c r="AE454" s="1394"/>
      <c r="AF454" s="1394"/>
      <c r="AG454" s="1394"/>
      <c r="AH454" s="1394"/>
      <c r="AI454" s="1394"/>
      <c r="AJ454" s="1395"/>
      <c r="AK454" s="1395"/>
      <c r="AL454" s="1395"/>
      <c r="AM454" s="1395"/>
      <c r="AN454" s="1395"/>
      <c r="AO454" s="1395"/>
      <c r="AP454" s="1395"/>
      <c r="AQ454" s="1395"/>
      <c r="AR454" s="1395"/>
      <c r="AS454" s="1395"/>
      <c r="AT454" s="1396"/>
      <c r="AU454" s="1413"/>
      <c r="AV454" s="1414"/>
    </row>
    <row r="455" spans="1:48" ht="23.1" customHeight="1" x14ac:dyDescent="0.25">
      <c r="A455" s="360"/>
      <c r="B455" s="1387"/>
      <c r="C455" s="1388"/>
      <c r="D455" s="1166" t="s">
        <v>186</v>
      </c>
      <c r="E455" s="1493"/>
      <c r="F455" s="1493"/>
      <c r="G455" s="1493"/>
      <c r="H455" s="2040">
        <v>0</v>
      </c>
      <c r="I455" s="2040">
        <v>0</v>
      </c>
      <c r="J455" s="2040">
        <v>0</v>
      </c>
      <c r="K455" s="1493"/>
      <c r="L455" s="1493"/>
      <c r="M455" s="1493"/>
      <c r="N455" s="2039"/>
      <c r="O455" s="2039"/>
      <c r="P455" s="2039"/>
      <c r="Q455" s="2028">
        <f t="shared" si="271"/>
        <v>0</v>
      </c>
      <c r="R455" s="2026">
        <f t="shared" si="269"/>
        <v>0</v>
      </c>
      <c r="S455" s="2029">
        <f t="shared" si="270"/>
        <v>0</v>
      </c>
      <c r="T455" s="853">
        <f t="shared" si="272"/>
        <v>0</v>
      </c>
      <c r="U455" s="1408" t="str">
        <f t="shared" si="273"/>
        <v>1.33</v>
      </c>
      <c r="V455" s="1408" t="str">
        <f t="shared" si="274"/>
        <v>D+</v>
      </c>
      <c r="W455" s="1408" t="str">
        <f t="shared" si="275"/>
        <v>0</v>
      </c>
      <c r="X455" s="1409"/>
      <c r="Y455" s="1393"/>
      <c r="Z455" s="1394"/>
      <c r="AA455" s="1394"/>
      <c r="AB455" s="1394"/>
      <c r="AC455" s="1394"/>
      <c r="AD455" s="1394"/>
      <c r="AE455" s="1394"/>
      <c r="AF455" s="1394"/>
      <c r="AG455" s="1394"/>
      <c r="AH455" s="1394"/>
      <c r="AI455" s="1394"/>
      <c r="AJ455" s="1395"/>
      <c r="AK455" s="1395"/>
      <c r="AL455" s="1395"/>
      <c r="AM455" s="1395"/>
      <c r="AN455" s="1395"/>
      <c r="AO455" s="1395"/>
      <c r="AP455" s="1395"/>
      <c r="AQ455" s="1395"/>
      <c r="AR455" s="1395"/>
      <c r="AS455" s="1395"/>
      <c r="AT455" s="1396"/>
      <c r="AU455" s="1413"/>
      <c r="AV455" s="1414"/>
    </row>
    <row r="456" spans="1:48" ht="23.1" customHeight="1" x14ac:dyDescent="0.25">
      <c r="A456" s="360"/>
      <c r="B456" s="1387"/>
      <c r="C456" s="1388"/>
      <c r="D456" s="1166" t="s">
        <v>187</v>
      </c>
      <c r="E456" s="1385"/>
      <c r="F456" s="1385"/>
      <c r="G456" s="1385"/>
      <c r="H456" s="2048"/>
      <c r="I456" s="2048"/>
      <c r="J456" s="2048"/>
      <c r="K456" s="1385">
        <v>0</v>
      </c>
      <c r="L456" s="1385">
        <v>0</v>
      </c>
      <c r="M456" s="1385">
        <v>0</v>
      </c>
      <c r="N456" s="2049"/>
      <c r="O456" s="2049"/>
      <c r="P456" s="2049"/>
      <c r="Q456" s="2028">
        <f t="shared" si="271"/>
        <v>0</v>
      </c>
      <c r="R456" s="2026">
        <f t="shared" si="269"/>
        <v>0</v>
      </c>
      <c r="S456" s="2029">
        <f t="shared" si="270"/>
        <v>0</v>
      </c>
      <c r="T456" s="853">
        <f t="shared" si="272"/>
        <v>0</v>
      </c>
      <c r="U456" s="1408" t="str">
        <f t="shared" si="273"/>
        <v>1.33</v>
      </c>
      <c r="V456" s="1408" t="str">
        <f t="shared" si="274"/>
        <v>D+</v>
      </c>
      <c r="W456" s="1408" t="str">
        <f t="shared" si="275"/>
        <v>0</v>
      </c>
      <c r="X456" s="1409"/>
      <c r="Y456" s="1393"/>
      <c r="Z456" s="1394"/>
      <c r="AA456" s="1394"/>
      <c r="AB456" s="1394"/>
      <c r="AC456" s="1394"/>
      <c r="AD456" s="1394"/>
      <c r="AE456" s="1394"/>
      <c r="AF456" s="1394"/>
      <c r="AG456" s="1394"/>
      <c r="AH456" s="1394"/>
      <c r="AI456" s="1394"/>
      <c r="AJ456" s="1395"/>
      <c r="AK456" s="1395"/>
      <c r="AL456" s="1395"/>
      <c r="AM456" s="1395"/>
      <c r="AN456" s="1395"/>
      <c r="AO456" s="1395"/>
      <c r="AP456" s="1395"/>
      <c r="AQ456" s="1395"/>
      <c r="AR456" s="1395"/>
      <c r="AS456" s="1395"/>
      <c r="AT456" s="1396"/>
      <c r="AU456" s="1413"/>
      <c r="AV456" s="1414"/>
    </row>
    <row r="457" spans="1:48" ht="23.1" customHeight="1" x14ac:dyDescent="0.25">
      <c r="A457" s="360"/>
      <c r="B457" s="1387"/>
      <c r="C457" s="1388"/>
      <c r="D457" s="1166" t="s">
        <v>17</v>
      </c>
      <c r="E457" s="1385">
        <v>0</v>
      </c>
      <c r="F457" s="1385">
        <v>0</v>
      </c>
      <c r="G457" s="1385">
        <v>0</v>
      </c>
      <c r="H457" s="2048">
        <v>0</v>
      </c>
      <c r="I457" s="2048">
        <v>0</v>
      </c>
      <c r="J457" s="2048">
        <v>0</v>
      </c>
      <c r="K457" s="1385"/>
      <c r="L457" s="1385"/>
      <c r="M457" s="1385"/>
      <c r="N457" s="2049"/>
      <c r="O457" s="2049"/>
      <c r="P457" s="2049"/>
      <c r="Q457" s="2028">
        <f t="shared" si="271"/>
        <v>0</v>
      </c>
      <c r="R457" s="2026">
        <f t="shared" si="269"/>
        <v>0</v>
      </c>
      <c r="S457" s="2029">
        <f t="shared" si="270"/>
        <v>0</v>
      </c>
      <c r="T457" s="853">
        <f t="shared" si="272"/>
        <v>0</v>
      </c>
      <c r="U457" s="1408" t="str">
        <f t="shared" si="273"/>
        <v>1.33</v>
      </c>
      <c r="V457" s="1408" t="str">
        <f t="shared" si="274"/>
        <v>D+</v>
      </c>
      <c r="W457" s="1408" t="str">
        <f t="shared" si="275"/>
        <v>0</v>
      </c>
      <c r="X457" s="1409"/>
      <c r="Y457" s="1393"/>
      <c r="Z457" s="1394"/>
      <c r="AA457" s="1394"/>
      <c r="AB457" s="1394"/>
      <c r="AC457" s="1394"/>
      <c r="AD457" s="1394"/>
      <c r="AE457" s="1394"/>
      <c r="AF457" s="1394"/>
      <c r="AG457" s="1394"/>
      <c r="AH457" s="1394"/>
      <c r="AI457" s="1394"/>
      <c r="AJ457" s="1395"/>
      <c r="AK457" s="1395"/>
      <c r="AL457" s="1395"/>
      <c r="AM457" s="1395"/>
      <c r="AN457" s="1395"/>
      <c r="AO457" s="1395"/>
      <c r="AP457" s="1395"/>
      <c r="AQ457" s="1395"/>
      <c r="AR457" s="1395"/>
      <c r="AS457" s="1395"/>
      <c r="AT457" s="1396"/>
      <c r="AU457" s="1413"/>
      <c r="AV457" s="1414"/>
    </row>
    <row r="458" spans="1:48" ht="23.1" customHeight="1" x14ac:dyDescent="0.25">
      <c r="A458" s="360"/>
      <c r="B458" s="1387"/>
      <c r="C458" s="1388"/>
      <c r="D458" s="1166" t="s">
        <v>188</v>
      </c>
      <c r="E458" s="1385"/>
      <c r="F458" s="1385"/>
      <c r="G458" s="1385"/>
      <c r="H458" s="2048">
        <v>0</v>
      </c>
      <c r="I458" s="2048">
        <v>0</v>
      </c>
      <c r="J458" s="2048">
        <v>0</v>
      </c>
      <c r="K458" s="1385"/>
      <c r="L458" s="1385"/>
      <c r="M458" s="1385"/>
      <c r="N458" s="2049"/>
      <c r="O458" s="2049"/>
      <c r="P458" s="2049"/>
      <c r="Q458" s="2028">
        <f t="shared" si="271"/>
        <v>0</v>
      </c>
      <c r="R458" s="2026">
        <f t="shared" si="269"/>
        <v>0</v>
      </c>
      <c r="S458" s="2029">
        <f t="shared" si="270"/>
        <v>0</v>
      </c>
      <c r="T458" s="853">
        <f t="shared" si="272"/>
        <v>0</v>
      </c>
      <c r="U458" s="1408" t="str">
        <f t="shared" si="273"/>
        <v>1.33</v>
      </c>
      <c r="V458" s="1408" t="str">
        <f t="shared" si="274"/>
        <v>D+</v>
      </c>
      <c r="W458" s="1408" t="str">
        <f t="shared" si="275"/>
        <v>0</v>
      </c>
      <c r="X458" s="1409"/>
      <c r="Y458" s="1393"/>
      <c r="Z458" s="1394"/>
      <c r="AA458" s="1394"/>
      <c r="AB458" s="1394"/>
      <c r="AC458" s="1394"/>
      <c r="AD458" s="1394"/>
      <c r="AE458" s="1394"/>
      <c r="AF458" s="1394"/>
      <c r="AG458" s="1394"/>
      <c r="AH458" s="1394"/>
      <c r="AI458" s="1394"/>
      <c r="AJ458" s="1395"/>
      <c r="AK458" s="1395"/>
      <c r="AL458" s="1395"/>
      <c r="AM458" s="1395"/>
      <c r="AN458" s="1395"/>
      <c r="AO458" s="1395"/>
      <c r="AP458" s="1395"/>
      <c r="AQ458" s="1395"/>
      <c r="AR458" s="1395"/>
      <c r="AS458" s="1395"/>
      <c r="AT458" s="1396"/>
      <c r="AU458" s="1413"/>
      <c r="AV458" s="1414"/>
    </row>
    <row r="459" spans="1:48" ht="23.1" customHeight="1" x14ac:dyDescent="0.25">
      <c r="A459" s="360"/>
      <c r="B459" s="1387"/>
      <c r="C459" s="1388"/>
      <c r="D459" s="1166" t="s">
        <v>569</v>
      </c>
      <c r="E459" s="1385"/>
      <c r="F459" s="1385"/>
      <c r="G459" s="1385"/>
      <c r="H459" s="2048"/>
      <c r="I459" s="2048"/>
      <c r="J459" s="2048"/>
      <c r="K459" s="1385">
        <v>0</v>
      </c>
      <c r="L459" s="1385">
        <v>0</v>
      </c>
      <c r="M459" s="1385">
        <v>0</v>
      </c>
      <c r="N459" s="2049"/>
      <c r="O459" s="2049"/>
      <c r="P459" s="2049"/>
      <c r="Q459" s="2028">
        <f t="shared" si="271"/>
        <v>0</v>
      </c>
      <c r="R459" s="2026">
        <f t="shared" si="269"/>
        <v>0</v>
      </c>
      <c r="S459" s="2029">
        <f t="shared" si="270"/>
        <v>0</v>
      </c>
      <c r="T459" s="853">
        <f t="shared" si="272"/>
        <v>0</v>
      </c>
      <c r="U459" s="1408" t="str">
        <f t="shared" si="273"/>
        <v>1.33</v>
      </c>
      <c r="V459" s="1408" t="str">
        <f t="shared" si="274"/>
        <v>D+</v>
      </c>
      <c r="W459" s="1408" t="str">
        <f t="shared" si="275"/>
        <v>0</v>
      </c>
      <c r="X459" s="1409"/>
      <c r="Y459" s="1393"/>
      <c r="Z459" s="1394"/>
      <c r="AA459" s="1394"/>
      <c r="AB459" s="1394"/>
      <c r="AC459" s="1394"/>
      <c r="AD459" s="1394"/>
      <c r="AE459" s="1394"/>
      <c r="AF459" s="1394"/>
      <c r="AG459" s="1394"/>
      <c r="AH459" s="1394"/>
      <c r="AI459" s="1394"/>
      <c r="AJ459" s="1395"/>
      <c r="AK459" s="1395"/>
      <c r="AL459" s="1395"/>
      <c r="AM459" s="1395"/>
      <c r="AN459" s="1395"/>
      <c r="AO459" s="1395"/>
      <c r="AP459" s="1395"/>
      <c r="AQ459" s="1395"/>
      <c r="AR459" s="1395"/>
      <c r="AS459" s="1395"/>
      <c r="AT459" s="1396"/>
      <c r="AU459" s="1413"/>
      <c r="AV459" s="1414"/>
    </row>
    <row r="460" spans="1:48" ht="23.1" customHeight="1" x14ac:dyDescent="0.25">
      <c r="A460" s="360"/>
      <c r="B460" s="1387"/>
      <c r="C460" s="1388"/>
      <c r="D460" s="1166" t="s">
        <v>209</v>
      </c>
      <c r="E460" s="1385"/>
      <c r="F460" s="1385"/>
      <c r="G460" s="1385"/>
      <c r="H460" s="2048"/>
      <c r="I460" s="2048"/>
      <c r="J460" s="2048"/>
      <c r="K460" s="1385"/>
      <c r="L460" s="1385"/>
      <c r="M460" s="1385"/>
      <c r="N460" s="2049">
        <v>0</v>
      </c>
      <c r="O460" s="2049">
        <v>0</v>
      </c>
      <c r="P460" s="2049">
        <v>0</v>
      </c>
      <c r="Q460" s="2028">
        <f t="shared" si="271"/>
        <v>0</v>
      </c>
      <c r="R460" s="2026">
        <f t="shared" si="269"/>
        <v>0</v>
      </c>
      <c r="S460" s="2029">
        <f t="shared" si="270"/>
        <v>0</v>
      </c>
      <c r="T460" s="853">
        <f t="shared" si="272"/>
        <v>0</v>
      </c>
      <c r="U460" s="1408" t="str">
        <f t="shared" si="273"/>
        <v>1.33</v>
      </c>
      <c r="V460" s="1408" t="str">
        <f t="shared" si="274"/>
        <v>D+</v>
      </c>
      <c r="W460" s="1408" t="str">
        <f t="shared" si="275"/>
        <v>0</v>
      </c>
      <c r="X460" s="1409"/>
      <c r="Y460" s="1393"/>
      <c r="Z460" s="1394"/>
      <c r="AA460" s="1394"/>
      <c r="AB460" s="1394"/>
      <c r="AC460" s="1394"/>
      <c r="AD460" s="1394"/>
      <c r="AE460" s="1394"/>
      <c r="AF460" s="1394"/>
      <c r="AG460" s="1394"/>
      <c r="AH460" s="1394"/>
      <c r="AI460" s="1394"/>
      <c r="AJ460" s="1395"/>
      <c r="AK460" s="1395"/>
      <c r="AL460" s="1395"/>
      <c r="AM460" s="1395"/>
      <c r="AN460" s="1395"/>
      <c r="AO460" s="1395"/>
      <c r="AP460" s="1395"/>
      <c r="AQ460" s="1395"/>
      <c r="AR460" s="1395"/>
      <c r="AS460" s="1395"/>
      <c r="AT460" s="1396"/>
      <c r="AU460" s="1413"/>
      <c r="AV460" s="1414"/>
    </row>
    <row r="461" spans="1:48" ht="23.1" customHeight="1" x14ac:dyDescent="0.25">
      <c r="A461" s="360"/>
      <c r="B461" s="1387"/>
      <c r="C461" s="1388"/>
      <c r="D461" s="1166" t="s">
        <v>210</v>
      </c>
      <c r="E461" s="1385"/>
      <c r="F461" s="1385"/>
      <c r="G461" s="1385"/>
      <c r="H461" s="2048"/>
      <c r="I461" s="2048"/>
      <c r="J461" s="2048"/>
      <c r="K461" s="1385"/>
      <c r="L461" s="1385"/>
      <c r="M461" s="1385"/>
      <c r="N461" s="2049">
        <v>0</v>
      </c>
      <c r="O461" s="2049">
        <v>0</v>
      </c>
      <c r="P461" s="2049">
        <v>0</v>
      </c>
      <c r="Q461" s="2028">
        <f t="shared" si="271"/>
        <v>0</v>
      </c>
      <c r="R461" s="2026">
        <f t="shared" si="269"/>
        <v>0</v>
      </c>
      <c r="S461" s="2029">
        <f t="shared" si="270"/>
        <v>0</v>
      </c>
      <c r="T461" s="853">
        <f t="shared" si="272"/>
        <v>0</v>
      </c>
      <c r="U461" s="1408" t="str">
        <f t="shared" si="273"/>
        <v>1.33</v>
      </c>
      <c r="V461" s="1408" t="str">
        <f t="shared" si="274"/>
        <v>D+</v>
      </c>
      <c r="W461" s="1408" t="str">
        <f t="shared" si="275"/>
        <v>0</v>
      </c>
      <c r="X461" s="1409"/>
      <c r="Y461" s="1397"/>
      <c r="Z461" s="1398"/>
      <c r="AA461" s="1398"/>
      <c r="AB461" s="1398"/>
      <c r="AC461" s="1398"/>
      <c r="AD461" s="1398"/>
      <c r="AE461" s="1398"/>
      <c r="AF461" s="1398"/>
      <c r="AG461" s="1398"/>
      <c r="AH461" s="1398"/>
      <c r="AI461" s="1398"/>
      <c r="AJ461" s="1399"/>
      <c r="AK461" s="1399"/>
      <c r="AL461" s="1399"/>
      <c r="AM461" s="1399"/>
      <c r="AN461" s="1399"/>
      <c r="AO461" s="1399"/>
      <c r="AP461" s="1399"/>
      <c r="AQ461" s="1399"/>
      <c r="AR461" s="1399"/>
      <c r="AS461" s="1399"/>
      <c r="AT461" s="1400"/>
      <c r="AU461" s="1415"/>
      <c r="AV461" s="1416"/>
    </row>
    <row r="462" spans="1:48" ht="23.1" customHeight="1" x14ac:dyDescent="0.25">
      <c r="A462" s="727"/>
      <c r="B462" s="1406">
        <v>38</v>
      </c>
      <c r="C462" s="1407"/>
      <c r="D462" s="1004"/>
      <c r="E462" s="2780"/>
      <c r="F462" s="2781"/>
      <c r="G462" s="2781"/>
      <c r="H462" s="2781"/>
      <c r="I462" s="2046"/>
      <c r="J462" s="2046"/>
      <c r="K462" s="2046"/>
      <c r="L462" s="2046"/>
      <c r="M462" s="2046"/>
      <c r="N462" s="2046"/>
      <c r="O462" s="2046"/>
      <c r="P462" s="2046"/>
      <c r="Q462" s="2046"/>
      <c r="R462" s="2046"/>
      <c r="S462" s="2046"/>
      <c r="T462" s="2044">
        <f>IFERROR(AVERAGE(T451:T461),"  ")</f>
        <v>0</v>
      </c>
      <c r="U462" s="2045" t="str">
        <f>IF(X462&gt;85,("4"),IF(X462&gt;80,("3.66"),IF(X462&gt;75,("3.33"),IF(X462&gt;70,("3.00"),IF(X462&gt;65,("2.66"),IF(X462&gt;60,("2.33"),IF(X462&gt;55,("2"),IF(X462&gt;50,("1.66"),"1.33"))))))))</f>
        <v>1.33</v>
      </c>
      <c r="V462" s="2045" t="str">
        <f>IF(X462&gt;85,("A"),IF(X462&gt;80,("A-"),IF(X462&gt;75,("B+"),IF(X462&gt;70,("B"),IF(X462&gt;65,("B-"),IF(X462&gt;60,("C+"),IF(X462&gt;55,("C"),IF(X462&gt;50,("C-"),"D+"))))))))</f>
        <v>D+</v>
      </c>
      <c r="W462" s="2045"/>
      <c r="X462" s="888">
        <f>MAX(T451:T461)</f>
        <v>0</v>
      </c>
      <c r="Y462" s="1403"/>
      <c r="Z462" s="1404"/>
      <c r="AA462" s="1404"/>
      <c r="AB462" s="1404"/>
      <c r="AC462" s="1404"/>
      <c r="AD462" s="1404"/>
      <c r="AE462" s="1404"/>
      <c r="AF462" s="1404"/>
      <c r="AG462" s="1404"/>
      <c r="AH462" s="1404"/>
      <c r="AI462" s="1404"/>
      <c r="AJ462" s="1404"/>
      <c r="AK462" s="1404"/>
      <c r="AL462" s="1404"/>
      <c r="AM462" s="1404"/>
      <c r="AN462" s="1404"/>
      <c r="AO462" s="1404"/>
      <c r="AP462" s="1404"/>
      <c r="AQ462" s="1404"/>
      <c r="AR462" s="1404"/>
      <c r="AS462" s="1404"/>
      <c r="AT462" s="1405"/>
      <c r="AU462" s="1257"/>
      <c r="AV462" s="1258"/>
    </row>
    <row r="463" spans="1:48" ht="23.1" customHeight="1" x14ac:dyDescent="0.25">
      <c r="A463" s="724">
        <v>39</v>
      </c>
      <c r="B463" s="1383"/>
      <c r="C463" s="1384" t="e">
        <f>VLOOKUP(A463,data_siswa,4,FALSE)</f>
        <v>#N/A</v>
      </c>
      <c r="D463" s="1166" t="s">
        <v>154</v>
      </c>
      <c r="E463" s="2050">
        <v>0</v>
      </c>
      <c r="F463" s="2050">
        <v>0</v>
      </c>
      <c r="G463" s="2050">
        <v>0</v>
      </c>
      <c r="H463" s="2051"/>
      <c r="I463" s="2051"/>
      <c r="J463" s="2051"/>
      <c r="K463" s="2050"/>
      <c r="L463" s="2050"/>
      <c r="M463" s="2050"/>
      <c r="N463" s="2052"/>
      <c r="O463" s="2052"/>
      <c r="P463" s="2052"/>
      <c r="Q463" s="2028">
        <f>MAX(E463,H463,K463,N463)</f>
        <v>0</v>
      </c>
      <c r="R463" s="2026">
        <f t="shared" ref="R463:R473" si="276">MAX(F463,I463,L463,O463)</f>
        <v>0</v>
      </c>
      <c r="S463" s="2029">
        <f t="shared" ref="S463:S473" si="277">MAX(G463,J463,M463,P463)</f>
        <v>0</v>
      </c>
      <c r="T463" s="853">
        <f>IFERROR(AVERAGE(Q463:S463),"")</f>
        <v>0</v>
      </c>
      <c r="U463" s="1408" t="str">
        <f>IF(T463&gt;85,("4"),IF(T463&gt;80,("3.66"),IF(T463&gt;75,("3.33"),IF(T463&gt;70,("3.00"),IF(T463&gt;65,("2.66"),IF(T463&gt;60,("2.33"),IF(T463&gt;55,("2"),IF(T463&gt;50,("1.66"),"1.33"))))))))</f>
        <v>1.33</v>
      </c>
      <c r="V463" s="1408" t="str">
        <f>IF(T463&gt;85,("A"),IF(T463&gt;80,("A-"),IF(T463&gt;75,("B+"),IF(T463&gt;70,("B"),IF(T463&gt;65,("B-"),IF(T463&gt;60,("C+"),IF(T463&gt;55,("C"),IF(T463&gt;50,("C-"),"D+"))))))))</f>
        <v>D+</v>
      </c>
      <c r="W463" s="1408" t="str">
        <f>IF(T463&gt;80,("SB"),IF(T463&gt;65,("B"),IF(T463&gt;50,("C"),IF(T463&gt;0,("K"),"0"))))</f>
        <v>0</v>
      </c>
      <c r="X463" s="1408"/>
      <c r="Y463" s="749"/>
      <c r="Z463" s="749"/>
      <c r="AA463" s="749"/>
      <c r="AB463" s="749"/>
      <c r="AC463" s="749"/>
      <c r="AD463" s="749"/>
      <c r="AE463" s="749"/>
      <c r="AF463" s="749"/>
      <c r="AG463" s="749"/>
      <c r="AH463" s="749"/>
      <c r="AI463" s="749"/>
      <c r="AJ463" s="1386"/>
      <c r="AK463" s="1386"/>
      <c r="AL463" s="1386"/>
      <c r="AM463" s="1386"/>
      <c r="AN463" s="1386"/>
      <c r="AO463" s="1386"/>
      <c r="AP463" s="1386"/>
      <c r="AQ463" s="1386"/>
      <c r="AR463" s="1386"/>
      <c r="AS463" s="1386"/>
      <c r="AT463" s="1386"/>
      <c r="AU463" s="1057">
        <f>T474</f>
        <v>0</v>
      </c>
      <c r="AV463" s="1194" t="str">
        <f>IF(AU463&gt;85,("A"),IF(AU463&gt;80,("A-"),IF(AU463&gt;75,("B+"),IF(AU463&gt;70,("B"),IF(AU463&gt;65,("B-"),IF(AU463&gt;60,("C+"),IF(AU463&gt;55,("C"),IF(AU463&gt;50,("C-"),"D+"))))))))</f>
        <v>D+</v>
      </c>
    </row>
    <row r="464" spans="1:48" ht="23.1" customHeight="1" x14ac:dyDescent="0.25">
      <c r="A464" s="360"/>
      <c r="B464" s="1387"/>
      <c r="C464" s="1388"/>
      <c r="D464" s="1166" t="s">
        <v>155</v>
      </c>
      <c r="E464" s="1493"/>
      <c r="F464" s="1493"/>
      <c r="G464" s="1493"/>
      <c r="H464" s="2040"/>
      <c r="I464" s="2040"/>
      <c r="J464" s="2040"/>
      <c r="K464" s="1493"/>
      <c r="L464" s="1493"/>
      <c r="M464" s="1493"/>
      <c r="N464" s="2039">
        <v>0</v>
      </c>
      <c r="O464" s="2039">
        <v>0</v>
      </c>
      <c r="P464" s="2039">
        <v>0</v>
      </c>
      <c r="Q464" s="2028">
        <f t="shared" ref="Q464:Q473" si="278">MAX(E464,H464,K464,N464)</f>
        <v>0</v>
      </c>
      <c r="R464" s="2026">
        <f t="shared" si="276"/>
        <v>0</v>
      </c>
      <c r="S464" s="2029">
        <f t="shared" si="277"/>
        <v>0</v>
      </c>
      <c r="T464" s="853">
        <f t="shared" ref="T464:T473" si="279">IFERROR(AVERAGE(Q464:S464),"")</f>
        <v>0</v>
      </c>
      <c r="U464" s="1408" t="str">
        <f t="shared" ref="U464:U473" si="280">IF(T464&gt;85,("4"),IF(T464&gt;80,("3.66"),IF(T464&gt;75,("3.33"),IF(T464&gt;70,("3.00"),IF(T464&gt;65,("2.66"),IF(T464&gt;60,("2.33"),IF(T464&gt;55,("2"),IF(T464&gt;50,("1.66"),"1.33"))))))))</f>
        <v>1.33</v>
      </c>
      <c r="V464" s="1408" t="str">
        <f t="shared" ref="V464:V473" si="281">IF(T464&gt;85,("A"),IF(T464&gt;80,("A-"),IF(T464&gt;75,("B+"),IF(T464&gt;70,("B"),IF(T464&gt;65,("B-"),IF(T464&gt;60,("C+"),IF(T464&gt;55,("C"),IF(T464&gt;50,("C-"),"D+"))))))))</f>
        <v>D+</v>
      </c>
      <c r="W464" s="1408" t="str">
        <f t="shared" ref="W464:W473" si="282">IF(T464&gt;80,("SB"),IF(T464&gt;65,("B"),IF(T464&gt;50,("C"),IF(T464&gt;0,("K"),"0"))))</f>
        <v>0</v>
      </c>
      <c r="X464" s="1409"/>
      <c r="Y464" s="1389"/>
      <c r="Z464" s="1390"/>
      <c r="AA464" s="1390"/>
      <c r="AB464" s="1390"/>
      <c r="AC464" s="1390"/>
      <c r="AD464" s="1390"/>
      <c r="AE464" s="1390"/>
      <c r="AF464" s="1390"/>
      <c r="AG464" s="1390"/>
      <c r="AH464" s="1390"/>
      <c r="AI464" s="1390"/>
      <c r="AJ464" s="1391"/>
      <c r="AK464" s="1391"/>
      <c r="AL464" s="1391"/>
      <c r="AM464" s="1391"/>
      <c r="AN464" s="1391"/>
      <c r="AO464" s="1391"/>
      <c r="AP464" s="1391"/>
      <c r="AQ464" s="1391"/>
      <c r="AR464" s="1391"/>
      <c r="AS464" s="1391"/>
      <c r="AT464" s="1392"/>
      <c r="AU464" s="1411"/>
      <c r="AV464" s="1412"/>
    </row>
    <row r="465" spans="1:48" ht="23.1" customHeight="1" x14ac:dyDescent="0.25">
      <c r="A465" s="360"/>
      <c r="B465" s="1387"/>
      <c r="C465" s="1388"/>
      <c r="D465" s="1166" t="s">
        <v>16</v>
      </c>
      <c r="E465" s="1493"/>
      <c r="F465" s="1493"/>
      <c r="G465" s="1493"/>
      <c r="H465" s="2040">
        <v>0</v>
      </c>
      <c r="I465" s="2040">
        <v>0</v>
      </c>
      <c r="J465" s="2040">
        <v>0</v>
      </c>
      <c r="K465" s="1493"/>
      <c r="L465" s="1493"/>
      <c r="M465" s="1493"/>
      <c r="N465" s="2052"/>
      <c r="O465" s="2052"/>
      <c r="P465" s="2052"/>
      <c r="Q465" s="2028">
        <f t="shared" si="278"/>
        <v>0</v>
      </c>
      <c r="R465" s="2026">
        <f t="shared" si="276"/>
        <v>0</v>
      </c>
      <c r="S465" s="2029">
        <f t="shared" si="277"/>
        <v>0</v>
      </c>
      <c r="T465" s="853">
        <f t="shared" si="279"/>
        <v>0</v>
      </c>
      <c r="U465" s="1408" t="str">
        <f t="shared" si="280"/>
        <v>1.33</v>
      </c>
      <c r="V465" s="1408" t="str">
        <f t="shared" si="281"/>
        <v>D+</v>
      </c>
      <c r="W465" s="1408" t="str">
        <f t="shared" si="282"/>
        <v>0</v>
      </c>
      <c r="X465" s="1409"/>
      <c r="Y465" s="1393"/>
      <c r="Z465" s="1394"/>
      <c r="AA465" s="1394"/>
      <c r="AB465" s="1394"/>
      <c r="AC465" s="1394"/>
      <c r="AD465" s="1394"/>
      <c r="AE465" s="1394"/>
      <c r="AF465" s="1394"/>
      <c r="AG465" s="1394"/>
      <c r="AH465" s="1394"/>
      <c r="AI465" s="1394"/>
      <c r="AJ465" s="1395"/>
      <c r="AK465" s="1395"/>
      <c r="AL465" s="1395"/>
      <c r="AM465" s="1395"/>
      <c r="AN465" s="1395"/>
      <c r="AO465" s="1395"/>
      <c r="AP465" s="1395"/>
      <c r="AQ465" s="1395"/>
      <c r="AR465" s="1395"/>
      <c r="AS465" s="1395"/>
      <c r="AT465" s="1396"/>
      <c r="AU465" s="1413"/>
      <c r="AV465" s="1414"/>
    </row>
    <row r="466" spans="1:48" ht="23.1" customHeight="1" x14ac:dyDescent="0.25">
      <c r="A466" s="360"/>
      <c r="B466" s="1387"/>
      <c r="C466" s="1388"/>
      <c r="D466" s="1166" t="s">
        <v>189</v>
      </c>
      <c r="E466" s="1493"/>
      <c r="F466" s="1493"/>
      <c r="G466" s="1493"/>
      <c r="H466" s="2040">
        <v>0</v>
      </c>
      <c r="I466" s="2040">
        <v>0</v>
      </c>
      <c r="J466" s="2040">
        <v>0</v>
      </c>
      <c r="K466" s="1493"/>
      <c r="L466" s="1493"/>
      <c r="M466" s="1493"/>
      <c r="N466" s="2039"/>
      <c r="O466" s="2039"/>
      <c r="P466" s="2039"/>
      <c r="Q466" s="2028">
        <f t="shared" si="278"/>
        <v>0</v>
      </c>
      <c r="R466" s="2026">
        <f t="shared" si="276"/>
        <v>0</v>
      </c>
      <c r="S466" s="2029">
        <f t="shared" si="277"/>
        <v>0</v>
      </c>
      <c r="T466" s="853">
        <f t="shared" si="279"/>
        <v>0</v>
      </c>
      <c r="U466" s="1408" t="str">
        <f t="shared" si="280"/>
        <v>1.33</v>
      </c>
      <c r="V466" s="1408" t="str">
        <f t="shared" si="281"/>
        <v>D+</v>
      </c>
      <c r="W466" s="1408" t="str">
        <f t="shared" si="282"/>
        <v>0</v>
      </c>
      <c r="X466" s="1409"/>
      <c r="Y466" s="1393"/>
      <c r="Z466" s="1394"/>
      <c r="AA466" s="1394"/>
      <c r="AB466" s="1394"/>
      <c r="AC466" s="1394"/>
      <c r="AD466" s="1394"/>
      <c r="AE466" s="1394"/>
      <c r="AF466" s="1394"/>
      <c r="AG466" s="1394"/>
      <c r="AH466" s="1394"/>
      <c r="AI466" s="1394"/>
      <c r="AJ466" s="1395"/>
      <c r="AK466" s="1395"/>
      <c r="AL466" s="1395"/>
      <c r="AM466" s="1395"/>
      <c r="AN466" s="1395"/>
      <c r="AO466" s="1395"/>
      <c r="AP466" s="1395"/>
      <c r="AQ466" s="1395"/>
      <c r="AR466" s="1395"/>
      <c r="AS466" s="1395"/>
      <c r="AT466" s="1396"/>
      <c r="AU466" s="1413"/>
      <c r="AV466" s="1414"/>
    </row>
    <row r="467" spans="1:48" ht="23.1" customHeight="1" x14ac:dyDescent="0.25">
      <c r="A467" s="360"/>
      <c r="B467" s="1387"/>
      <c r="C467" s="1388"/>
      <c r="D467" s="1166" t="s">
        <v>186</v>
      </c>
      <c r="E467" s="1493"/>
      <c r="F467" s="1493"/>
      <c r="G467" s="1493"/>
      <c r="H467" s="2040">
        <v>0</v>
      </c>
      <c r="I467" s="2040">
        <v>0</v>
      </c>
      <c r="J467" s="2040">
        <v>0</v>
      </c>
      <c r="K467" s="1493"/>
      <c r="L467" s="1493"/>
      <c r="M467" s="1493"/>
      <c r="N467" s="2039"/>
      <c r="O467" s="2039"/>
      <c r="P467" s="2039"/>
      <c r="Q467" s="2028">
        <f t="shared" si="278"/>
        <v>0</v>
      </c>
      <c r="R467" s="2026">
        <f t="shared" si="276"/>
        <v>0</v>
      </c>
      <c r="S467" s="2029">
        <f t="shared" si="277"/>
        <v>0</v>
      </c>
      <c r="T467" s="853">
        <f t="shared" si="279"/>
        <v>0</v>
      </c>
      <c r="U467" s="1408" t="str">
        <f t="shared" si="280"/>
        <v>1.33</v>
      </c>
      <c r="V467" s="1408" t="str">
        <f t="shared" si="281"/>
        <v>D+</v>
      </c>
      <c r="W467" s="1408" t="str">
        <f t="shared" si="282"/>
        <v>0</v>
      </c>
      <c r="X467" s="1409"/>
      <c r="Y467" s="1393"/>
      <c r="Z467" s="1394"/>
      <c r="AA467" s="1394"/>
      <c r="AB467" s="1394"/>
      <c r="AC467" s="1394"/>
      <c r="AD467" s="1394"/>
      <c r="AE467" s="1394"/>
      <c r="AF467" s="1394"/>
      <c r="AG467" s="1394"/>
      <c r="AH467" s="1394"/>
      <c r="AI467" s="1394"/>
      <c r="AJ467" s="1395"/>
      <c r="AK467" s="1395"/>
      <c r="AL467" s="1395"/>
      <c r="AM467" s="1395"/>
      <c r="AN467" s="1395"/>
      <c r="AO467" s="1395"/>
      <c r="AP467" s="1395"/>
      <c r="AQ467" s="1395"/>
      <c r="AR467" s="1395"/>
      <c r="AS467" s="1395"/>
      <c r="AT467" s="1396"/>
      <c r="AU467" s="1413"/>
      <c r="AV467" s="1414"/>
    </row>
    <row r="468" spans="1:48" ht="23.1" customHeight="1" x14ac:dyDescent="0.25">
      <c r="A468" s="360"/>
      <c r="B468" s="1387"/>
      <c r="C468" s="1388"/>
      <c r="D468" s="1166" t="s">
        <v>187</v>
      </c>
      <c r="E468" s="1385"/>
      <c r="F468" s="1385"/>
      <c r="G468" s="1385"/>
      <c r="H468" s="2048"/>
      <c r="I468" s="2048"/>
      <c r="J468" s="2048"/>
      <c r="K468" s="1385">
        <v>0</v>
      </c>
      <c r="L468" s="1385">
        <v>0</v>
      </c>
      <c r="M468" s="1385">
        <v>0</v>
      </c>
      <c r="N468" s="2049"/>
      <c r="O468" s="2049"/>
      <c r="P468" s="2049"/>
      <c r="Q468" s="2028">
        <f t="shared" si="278"/>
        <v>0</v>
      </c>
      <c r="R468" s="2026">
        <f t="shared" si="276"/>
        <v>0</v>
      </c>
      <c r="S468" s="2029">
        <f t="shared" si="277"/>
        <v>0</v>
      </c>
      <c r="T468" s="853">
        <f t="shared" si="279"/>
        <v>0</v>
      </c>
      <c r="U468" s="1408" t="str">
        <f t="shared" si="280"/>
        <v>1.33</v>
      </c>
      <c r="V468" s="1408" t="str">
        <f t="shared" si="281"/>
        <v>D+</v>
      </c>
      <c r="W468" s="1408" t="str">
        <f t="shared" si="282"/>
        <v>0</v>
      </c>
      <c r="X468" s="1409"/>
      <c r="Y468" s="1393"/>
      <c r="Z468" s="1394"/>
      <c r="AA468" s="1394"/>
      <c r="AB468" s="1394"/>
      <c r="AC468" s="1394"/>
      <c r="AD468" s="1394"/>
      <c r="AE468" s="1394"/>
      <c r="AF468" s="1394"/>
      <c r="AG468" s="1394"/>
      <c r="AH468" s="1394"/>
      <c r="AI468" s="1394"/>
      <c r="AJ468" s="1395"/>
      <c r="AK468" s="1395"/>
      <c r="AL468" s="1395"/>
      <c r="AM468" s="1395"/>
      <c r="AN468" s="1395"/>
      <c r="AO468" s="1395"/>
      <c r="AP468" s="1395"/>
      <c r="AQ468" s="1395"/>
      <c r="AR468" s="1395"/>
      <c r="AS468" s="1395"/>
      <c r="AT468" s="1396"/>
      <c r="AU468" s="1413"/>
      <c r="AV468" s="1414"/>
    </row>
    <row r="469" spans="1:48" ht="23.1" customHeight="1" x14ac:dyDescent="0.25">
      <c r="A469" s="360"/>
      <c r="B469" s="1387"/>
      <c r="C469" s="1388"/>
      <c r="D469" s="1166" t="s">
        <v>17</v>
      </c>
      <c r="E469" s="1385">
        <v>0</v>
      </c>
      <c r="F469" s="1385">
        <v>0</v>
      </c>
      <c r="G469" s="1385">
        <v>0</v>
      </c>
      <c r="H469" s="2048">
        <v>0</v>
      </c>
      <c r="I469" s="2048">
        <v>0</v>
      </c>
      <c r="J469" s="2048">
        <v>0</v>
      </c>
      <c r="K469" s="1385"/>
      <c r="L469" s="1385"/>
      <c r="M469" s="1385"/>
      <c r="N469" s="2049"/>
      <c r="O469" s="2049"/>
      <c r="P469" s="2049"/>
      <c r="Q469" s="2028">
        <f t="shared" si="278"/>
        <v>0</v>
      </c>
      <c r="R469" s="2026">
        <f t="shared" si="276"/>
        <v>0</v>
      </c>
      <c r="S469" s="2029">
        <f t="shared" si="277"/>
        <v>0</v>
      </c>
      <c r="T469" s="853">
        <f t="shared" si="279"/>
        <v>0</v>
      </c>
      <c r="U469" s="1408" t="str">
        <f t="shared" si="280"/>
        <v>1.33</v>
      </c>
      <c r="V469" s="1408" t="str">
        <f t="shared" si="281"/>
        <v>D+</v>
      </c>
      <c r="W469" s="1408" t="str">
        <f t="shared" si="282"/>
        <v>0</v>
      </c>
      <c r="X469" s="1409"/>
      <c r="Y469" s="1393"/>
      <c r="Z469" s="1394"/>
      <c r="AA469" s="1394"/>
      <c r="AB469" s="1394"/>
      <c r="AC469" s="1394"/>
      <c r="AD469" s="1394"/>
      <c r="AE469" s="1394"/>
      <c r="AF469" s="1394"/>
      <c r="AG469" s="1394"/>
      <c r="AH469" s="1394"/>
      <c r="AI469" s="1394"/>
      <c r="AJ469" s="1395"/>
      <c r="AK469" s="1395"/>
      <c r="AL469" s="1395"/>
      <c r="AM469" s="1395"/>
      <c r="AN469" s="1395"/>
      <c r="AO469" s="1395"/>
      <c r="AP469" s="1395"/>
      <c r="AQ469" s="1395"/>
      <c r="AR469" s="1395"/>
      <c r="AS469" s="1395"/>
      <c r="AT469" s="1396"/>
      <c r="AU469" s="1413"/>
      <c r="AV469" s="1414"/>
    </row>
    <row r="470" spans="1:48" ht="23.1" customHeight="1" x14ac:dyDescent="0.25">
      <c r="A470" s="360"/>
      <c r="B470" s="1387"/>
      <c r="C470" s="1388"/>
      <c r="D470" s="1166" t="s">
        <v>188</v>
      </c>
      <c r="E470" s="1385"/>
      <c r="F470" s="1385"/>
      <c r="G470" s="1385"/>
      <c r="H470" s="2048">
        <v>0</v>
      </c>
      <c r="I470" s="2048">
        <v>0</v>
      </c>
      <c r="J470" s="2048">
        <v>0</v>
      </c>
      <c r="K470" s="1385"/>
      <c r="L470" s="1385"/>
      <c r="M470" s="1385"/>
      <c r="N470" s="2049"/>
      <c r="O470" s="2049"/>
      <c r="P470" s="2049"/>
      <c r="Q470" s="2028">
        <f t="shared" si="278"/>
        <v>0</v>
      </c>
      <c r="R470" s="2026">
        <f t="shared" si="276"/>
        <v>0</v>
      </c>
      <c r="S470" s="2029">
        <f t="shared" si="277"/>
        <v>0</v>
      </c>
      <c r="T470" s="853">
        <f t="shared" si="279"/>
        <v>0</v>
      </c>
      <c r="U470" s="1408" t="str">
        <f t="shared" si="280"/>
        <v>1.33</v>
      </c>
      <c r="V470" s="1408" t="str">
        <f t="shared" si="281"/>
        <v>D+</v>
      </c>
      <c r="W470" s="1408" t="str">
        <f t="shared" si="282"/>
        <v>0</v>
      </c>
      <c r="X470" s="1409"/>
      <c r="Y470" s="1393"/>
      <c r="Z470" s="1394"/>
      <c r="AA470" s="1394"/>
      <c r="AB470" s="1394"/>
      <c r="AC470" s="1394"/>
      <c r="AD470" s="1394"/>
      <c r="AE470" s="1394"/>
      <c r="AF470" s="1394"/>
      <c r="AG470" s="1394"/>
      <c r="AH470" s="1394"/>
      <c r="AI470" s="1394"/>
      <c r="AJ470" s="1395"/>
      <c r="AK470" s="1395"/>
      <c r="AL470" s="1395"/>
      <c r="AM470" s="1395"/>
      <c r="AN470" s="1395"/>
      <c r="AO470" s="1395"/>
      <c r="AP470" s="1395"/>
      <c r="AQ470" s="1395"/>
      <c r="AR470" s="1395"/>
      <c r="AS470" s="1395"/>
      <c r="AT470" s="1396"/>
      <c r="AU470" s="1413"/>
      <c r="AV470" s="1414"/>
    </row>
    <row r="471" spans="1:48" ht="23.1" customHeight="1" x14ac:dyDescent="0.25">
      <c r="A471" s="360"/>
      <c r="B471" s="1387"/>
      <c r="C471" s="1388"/>
      <c r="D471" s="1166" t="s">
        <v>569</v>
      </c>
      <c r="E471" s="1385"/>
      <c r="F471" s="1385"/>
      <c r="G471" s="1385"/>
      <c r="H471" s="2048"/>
      <c r="I471" s="2048"/>
      <c r="J471" s="2048"/>
      <c r="K471" s="1385">
        <v>0</v>
      </c>
      <c r="L471" s="1385">
        <v>0</v>
      </c>
      <c r="M471" s="1385">
        <v>0</v>
      </c>
      <c r="N471" s="2049"/>
      <c r="O471" s="2049"/>
      <c r="P471" s="2049"/>
      <c r="Q471" s="2028">
        <f t="shared" si="278"/>
        <v>0</v>
      </c>
      <c r="R471" s="2026">
        <f t="shared" si="276"/>
        <v>0</v>
      </c>
      <c r="S471" s="2029">
        <f t="shared" si="277"/>
        <v>0</v>
      </c>
      <c r="T471" s="853">
        <f t="shared" si="279"/>
        <v>0</v>
      </c>
      <c r="U471" s="1408" t="str">
        <f t="shared" si="280"/>
        <v>1.33</v>
      </c>
      <c r="V471" s="1408" t="str">
        <f t="shared" si="281"/>
        <v>D+</v>
      </c>
      <c r="W471" s="1408" t="str">
        <f t="shared" si="282"/>
        <v>0</v>
      </c>
      <c r="X471" s="1409"/>
      <c r="Y471" s="1393"/>
      <c r="Z471" s="1394"/>
      <c r="AA471" s="1394"/>
      <c r="AB471" s="1394"/>
      <c r="AC471" s="1394"/>
      <c r="AD471" s="1394"/>
      <c r="AE471" s="1394"/>
      <c r="AF471" s="1394"/>
      <c r="AG471" s="1394"/>
      <c r="AH471" s="1394"/>
      <c r="AI471" s="1394"/>
      <c r="AJ471" s="1395"/>
      <c r="AK471" s="1395"/>
      <c r="AL471" s="1395"/>
      <c r="AM471" s="1395"/>
      <c r="AN471" s="1395"/>
      <c r="AO471" s="1395"/>
      <c r="AP471" s="1395"/>
      <c r="AQ471" s="1395"/>
      <c r="AR471" s="1395"/>
      <c r="AS471" s="1395"/>
      <c r="AT471" s="1396"/>
      <c r="AU471" s="1413"/>
      <c r="AV471" s="1414"/>
    </row>
    <row r="472" spans="1:48" ht="23.1" customHeight="1" x14ac:dyDescent="0.25">
      <c r="A472" s="360"/>
      <c r="B472" s="1387"/>
      <c r="C472" s="1388"/>
      <c r="D472" s="1166" t="s">
        <v>209</v>
      </c>
      <c r="E472" s="1385"/>
      <c r="F472" s="1385"/>
      <c r="G472" s="1385"/>
      <c r="H472" s="2048"/>
      <c r="I472" s="2048"/>
      <c r="J472" s="2048"/>
      <c r="K472" s="1385"/>
      <c r="L472" s="1385"/>
      <c r="M472" s="1385"/>
      <c r="N472" s="2049">
        <v>0</v>
      </c>
      <c r="O472" s="2049">
        <v>0</v>
      </c>
      <c r="P472" s="2049">
        <v>0</v>
      </c>
      <c r="Q472" s="2028">
        <f t="shared" si="278"/>
        <v>0</v>
      </c>
      <c r="R472" s="2026">
        <f t="shared" si="276"/>
        <v>0</v>
      </c>
      <c r="S472" s="2029">
        <f t="shared" si="277"/>
        <v>0</v>
      </c>
      <c r="T472" s="853">
        <f t="shared" si="279"/>
        <v>0</v>
      </c>
      <c r="U472" s="1408" t="str">
        <f t="shared" si="280"/>
        <v>1.33</v>
      </c>
      <c r="V472" s="1408" t="str">
        <f t="shared" si="281"/>
        <v>D+</v>
      </c>
      <c r="W472" s="1408" t="str">
        <f t="shared" si="282"/>
        <v>0</v>
      </c>
      <c r="X472" s="1409"/>
      <c r="Y472" s="1393"/>
      <c r="Z472" s="1394"/>
      <c r="AA472" s="1394"/>
      <c r="AB472" s="1394"/>
      <c r="AC472" s="1394"/>
      <c r="AD472" s="1394"/>
      <c r="AE472" s="1394"/>
      <c r="AF472" s="1394"/>
      <c r="AG472" s="1394"/>
      <c r="AH472" s="1394"/>
      <c r="AI472" s="1394"/>
      <c r="AJ472" s="1395"/>
      <c r="AK472" s="1395"/>
      <c r="AL472" s="1395"/>
      <c r="AM472" s="1395"/>
      <c r="AN472" s="1395"/>
      <c r="AO472" s="1395"/>
      <c r="AP472" s="1395"/>
      <c r="AQ472" s="1395"/>
      <c r="AR472" s="1395"/>
      <c r="AS472" s="1395"/>
      <c r="AT472" s="1396"/>
      <c r="AU472" s="1413"/>
      <c r="AV472" s="1414"/>
    </row>
    <row r="473" spans="1:48" ht="23.1" customHeight="1" x14ac:dyDescent="0.25">
      <c r="A473" s="360"/>
      <c r="B473" s="1387"/>
      <c r="C473" s="1388"/>
      <c r="D473" s="1166" t="s">
        <v>210</v>
      </c>
      <c r="E473" s="1385"/>
      <c r="F473" s="1385"/>
      <c r="G473" s="1385"/>
      <c r="H473" s="2048"/>
      <c r="I473" s="2048"/>
      <c r="J473" s="2048"/>
      <c r="K473" s="1385"/>
      <c r="L473" s="1385"/>
      <c r="M473" s="1385"/>
      <c r="N473" s="2049">
        <v>0</v>
      </c>
      <c r="O473" s="2049">
        <v>0</v>
      </c>
      <c r="P473" s="2049">
        <v>0</v>
      </c>
      <c r="Q473" s="2028">
        <f t="shared" si="278"/>
        <v>0</v>
      </c>
      <c r="R473" s="2026">
        <f t="shared" si="276"/>
        <v>0</v>
      </c>
      <c r="S473" s="2029">
        <f t="shared" si="277"/>
        <v>0</v>
      </c>
      <c r="T473" s="853">
        <f t="shared" si="279"/>
        <v>0</v>
      </c>
      <c r="U473" s="1408" t="str">
        <f t="shared" si="280"/>
        <v>1.33</v>
      </c>
      <c r="V473" s="1408" t="str">
        <f t="shared" si="281"/>
        <v>D+</v>
      </c>
      <c r="W473" s="1408" t="str">
        <f t="shared" si="282"/>
        <v>0</v>
      </c>
      <c r="X473" s="1409"/>
      <c r="Y473" s="1397"/>
      <c r="Z473" s="1398"/>
      <c r="AA473" s="1398"/>
      <c r="AB473" s="1398"/>
      <c r="AC473" s="1398"/>
      <c r="AD473" s="1398"/>
      <c r="AE473" s="1398"/>
      <c r="AF473" s="1398"/>
      <c r="AG473" s="1398"/>
      <c r="AH473" s="1398"/>
      <c r="AI473" s="1398"/>
      <c r="AJ473" s="1399"/>
      <c r="AK473" s="1399"/>
      <c r="AL473" s="1399"/>
      <c r="AM473" s="1399"/>
      <c r="AN473" s="1399"/>
      <c r="AO473" s="1399"/>
      <c r="AP473" s="1399"/>
      <c r="AQ473" s="1399"/>
      <c r="AR473" s="1399"/>
      <c r="AS473" s="1399"/>
      <c r="AT473" s="1400"/>
      <c r="AU473" s="1415"/>
      <c r="AV473" s="1416"/>
    </row>
    <row r="474" spans="1:48" ht="23.1" customHeight="1" x14ac:dyDescent="0.25">
      <c r="A474" s="727"/>
      <c r="B474" s="1406">
        <v>39</v>
      </c>
      <c r="C474" s="1407"/>
      <c r="D474" s="1004"/>
      <c r="E474" s="2780"/>
      <c r="F474" s="2781"/>
      <c r="G474" s="2781"/>
      <c r="H474" s="2781"/>
      <c r="I474" s="2046"/>
      <c r="J474" s="2046"/>
      <c r="K474" s="2046"/>
      <c r="L474" s="2046"/>
      <c r="M474" s="2046"/>
      <c r="N474" s="2046"/>
      <c r="O474" s="2046"/>
      <c r="P474" s="2046"/>
      <c r="Q474" s="2046"/>
      <c r="R474" s="2046"/>
      <c r="S474" s="2046"/>
      <c r="T474" s="2044">
        <f>IFERROR(AVERAGE(T463:T473),"  ")</f>
        <v>0</v>
      </c>
      <c r="U474" s="2045" t="str">
        <f>IF(X474&gt;85,("4"),IF(X474&gt;80,("3.66"),IF(X474&gt;75,("3.33"),IF(X474&gt;70,("3.00"),IF(X474&gt;65,("2.66"),IF(X474&gt;60,("2.33"),IF(X474&gt;55,("2"),IF(X474&gt;50,("1.66"),"1.33"))))))))</f>
        <v>1.33</v>
      </c>
      <c r="V474" s="2045" t="str">
        <f>IF(X474&gt;85,("A"),IF(X474&gt;80,("A-"),IF(X474&gt;75,("B+"),IF(X474&gt;70,("B"),IF(X474&gt;65,("B-"),IF(X474&gt;60,("C+"),IF(X474&gt;55,("C"),IF(X474&gt;50,("C-"),"D+"))))))))</f>
        <v>D+</v>
      </c>
      <c r="W474" s="2045"/>
      <c r="X474" s="888">
        <f>MAX(T463:T473)</f>
        <v>0</v>
      </c>
      <c r="Y474" s="1403"/>
      <c r="Z474" s="1404"/>
      <c r="AA474" s="1404"/>
      <c r="AB474" s="1404"/>
      <c r="AC474" s="1404"/>
      <c r="AD474" s="1404"/>
      <c r="AE474" s="1404"/>
      <c r="AF474" s="1404"/>
      <c r="AG474" s="1404"/>
      <c r="AH474" s="1404"/>
      <c r="AI474" s="1404"/>
      <c r="AJ474" s="1404"/>
      <c r="AK474" s="1404"/>
      <c r="AL474" s="1404"/>
      <c r="AM474" s="1404"/>
      <c r="AN474" s="1404"/>
      <c r="AO474" s="1404"/>
      <c r="AP474" s="1404"/>
      <c r="AQ474" s="1404"/>
      <c r="AR474" s="1404"/>
      <c r="AS474" s="1404"/>
      <c r="AT474" s="1405"/>
      <c r="AU474" s="1257"/>
      <c r="AV474" s="1258"/>
    </row>
    <row r="475" spans="1:48" ht="23.1" customHeight="1" x14ac:dyDescent="0.25">
      <c r="A475" s="724">
        <v>40</v>
      </c>
      <c r="B475" s="1383"/>
      <c r="C475" s="1384" t="e">
        <f>VLOOKUP(A475,data_siswa,4,FALSE)</f>
        <v>#N/A</v>
      </c>
      <c r="D475" s="1166" t="s">
        <v>154</v>
      </c>
      <c r="E475" s="2050">
        <v>0</v>
      </c>
      <c r="F475" s="2050">
        <v>0</v>
      </c>
      <c r="G475" s="2050">
        <v>0</v>
      </c>
      <c r="H475" s="2051"/>
      <c r="I475" s="2051"/>
      <c r="J475" s="2051"/>
      <c r="K475" s="2050"/>
      <c r="L475" s="2050"/>
      <c r="M475" s="2050"/>
      <c r="N475" s="2052"/>
      <c r="O475" s="2052"/>
      <c r="P475" s="2052"/>
      <c r="Q475" s="2028">
        <f>MAX(E475,H475,K475,N475)</f>
        <v>0</v>
      </c>
      <c r="R475" s="2026">
        <f t="shared" ref="R475:R485" si="283">MAX(F475,I475,L475,O475)</f>
        <v>0</v>
      </c>
      <c r="S475" s="2029">
        <f t="shared" ref="S475:S485" si="284">MAX(G475,J475,M475,P475)</f>
        <v>0</v>
      </c>
      <c r="T475" s="853">
        <f>IFERROR(AVERAGE(Q475:S475),"")</f>
        <v>0</v>
      </c>
      <c r="U475" s="1408" t="str">
        <f>IF(T475&gt;85,("4"),IF(T475&gt;80,("3.66"),IF(T475&gt;75,("3.33"),IF(T475&gt;70,("3.00"),IF(T475&gt;65,("2.66"),IF(T475&gt;60,("2.33"),IF(T475&gt;55,("2"),IF(T475&gt;50,("1.66"),"1.33"))))))))</f>
        <v>1.33</v>
      </c>
      <c r="V475" s="1408" t="str">
        <f>IF(T475&gt;85,("A"),IF(T475&gt;80,("A-"),IF(T475&gt;75,("B+"),IF(T475&gt;70,("B"),IF(T475&gt;65,("B-"),IF(T475&gt;60,("C+"),IF(T475&gt;55,("C"),IF(T475&gt;50,("C-"),"D+"))))))))</f>
        <v>D+</v>
      </c>
      <c r="W475" s="1408" t="str">
        <f>IF(T475&gt;80,("SB"),IF(T475&gt;65,("B"),IF(T475&gt;50,("C"),IF(T475&gt;0,("K"),"0"))))</f>
        <v>0</v>
      </c>
      <c r="X475" s="1408"/>
      <c r="Y475" s="749"/>
      <c r="Z475" s="749"/>
      <c r="AA475" s="749"/>
      <c r="AB475" s="749"/>
      <c r="AC475" s="749"/>
      <c r="AD475" s="749"/>
      <c r="AE475" s="749"/>
      <c r="AF475" s="749"/>
      <c r="AG475" s="749"/>
      <c r="AH475" s="749"/>
      <c r="AI475" s="749"/>
      <c r="AJ475" s="1386"/>
      <c r="AK475" s="1386"/>
      <c r="AL475" s="1386"/>
      <c r="AM475" s="1386"/>
      <c r="AN475" s="1386"/>
      <c r="AO475" s="1386"/>
      <c r="AP475" s="1386"/>
      <c r="AQ475" s="1386"/>
      <c r="AR475" s="1386"/>
      <c r="AS475" s="1386"/>
      <c r="AT475" s="1386"/>
      <c r="AU475" s="1057">
        <f>T486</f>
        <v>0</v>
      </c>
      <c r="AV475" s="1194" t="str">
        <f>IF(AU475&gt;85,("A"),IF(AU475&gt;80,("A-"),IF(AU475&gt;75,("B+"),IF(AU475&gt;70,("B"),IF(AU475&gt;65,("B-"),IF(AU475&gt;60,("C+"),IF(AU475&gt;55,("C"),IF(AU475&gt;50,("C-"),"D+"))))))))</f>
        <v>D+</v>
      </c>
    </row>
    <row r="476" spans="1:48" ht="23.1" customHeight="1" x14ac:dyDescent="0.25">
      <c r="A476" s="360"/>
      <c r="B476" s="1387"/>
      <c r="C476" s="1388"/>
      <c r="D476" s="1166" t="s">
        <v>155</v>
      </c>
      <c r="E476" s="1493"/>
      <c r="F476" s="1493"/>
      <c r="G476" s="1493"/>
      <c r="H476" s="2040"/>
      <c r="I476" s="2040"/>
      <c r="J476" s="2040"/>
      <c r="K476" s="1493"/>
      <c r="L476" s="1493"/>
      <c r="M476" s="1493"/>
      <c r="N476" s="2039">
        <v>0</v>
      </c>
      <c r="O476" s="2039">
        <v>0</v>
      </c>
      <c r="P476" s="2039">
        <v>0</v>
      </c>
      <c r="Q476" s="2028">
        <f t="shared" ref="Q476:Q485" si="285">MAX(E476,H476,K476,N476)</f>
        <v>0</v>
      </c>
      <c r="R476" s="2026">
        <f t="shared" si="283"/>
        <v>0</v>
      </c>
      <c r="S476" s="2029">
        <f t="shared" si="284"/>
        <v>0</v>
      </c>
      <c r="T476" s="853">
        <f t="shared" ref="T476:T485" si="286">IFERROR(AVERAGE(Q476:S476),"")</f>
        <v>0</v>
      </c>
      <c r="U476" s="1408" t="str">
        <f t="shared" ref="U476:U485" si="287">IF(T476&gt;85,("4"),IF(T476&gt;80,("3.66"),IF(T476&gt;75,("3.33"),IF(T476&gt;70,("3.00"),IF(T476&gt;65,("2.66"),IF(T476&gt;60,("2.33"),IF(T476&gt;55,("2"),IF(T476&gt;50,("1.66"),"1.33"))))))))</f>
        <v>1.33</v>
      </c>
      <c r="V476" s="1408" t="str">
        <f t="shared" ref="V476:V485" si="288">IF(T476&gt;85,("A"),IF(T476&gt;80,("A-"),IF(T476&gt;75,("B+"),IF(T476&gt;70,("B"),IF(T476&gt;65,("B-"),IF(T476&gt;60,("C+"),IF(T476&gt;55,("C"),IF(T476&gt;50,("C-"),"D+"))))))))</f>
        <v>D+</v>
      </c>
      <c r="W476" s="1408" t="str">
        <f t="shared" ref="W476:W485" si="289">IF(T476&gt;80,("SB"),IF(T476&gt;65,("B"),IF(T476&gt;50,("C"),IF(T476&gt;0,("K"),"0"))))</f>
        <v>0</v>
      </c>
      <c r="X476" s="1409"/>
      <c r="Y476" s="1389"/>
      <c r="Z476" s="1390"/>
      <c r="AA476" s="1390"/>
      <c r="AB476" s="1390"/>
      <c r="AC476" s="1390"/>
      <c r="AD476" s="1390"/>
      <c r="AE476" s="1390"/>
      <c r="AF476" s="1390"/>
      <c r="AG476" s="1390"/>
      <c r="AH476" s="1390"/>
      <c r="AI476" s="1390"/>
      <c r="AJ476" s="1391"/>
      <c r="AK476" s="1391"/>
      <c r="AL476" s="1391"/>
      <c r="AM476" s="1391"/>
      <c r="AN476" s="1391"/>
      <c r="AO476" s="1391"/>
      <c r="AP476" s="1391"/>
      <c r="AQ476" s="1391"/>
      <c r="AR476" s="1391"/>
      <c r="AS476" s="1391"/>
      <c r="AT476" s="1392"/>
      <c r="AU476" s="1411"/>
      <c r="AV476" s="1412"/>
    </row>
    <row r="477" spans="1:48" ht="23.1" customHeight="1" x14ac:dyDescent="0.25">
      <c r="A477" s="360"/>
      <c r="B477" s="1387"/>
      <c r="C477" s="1388"/>
      <c r="D477" s="1166" t="s">
        <v>16</v>
      </c>
      <c r="E477" s="1493"/>
      <c r="F477" s="1493"/>
      <c r="G477" s="1493"/>
      <c r="H477" s="2040">
        <v>0</v>
      </c>
      <c r="I477" s="2040">
        <v>0</v>
      </c>
      <c r="J477" s="2040">
        <v>0</v>
      </c>
      <c r="K477" s="1493"/>
      <c r="L477" s="1493"/>
      <c r="M477" s="1493"/>
      <c r="N477" s="2052"/>
      <c r="O477" s="2052"/>
      <c r="P477" s="2052"/>
      <c r="Q477" s="2028">
        <f t="shared" si="285"/>
        <v>0</v>
      </c>
      <c r="R477" s="2026">
        <f t="shared" si="283"/>
        <v>0</v>
      </c>
      <c r="S477" s="2029">
        <f t="shared" si="284"/>
        <v>0</v>
      </c>
      <c r="T477" s="853">
        <f t="shared" si="286"/>
        <v>0</v>
      </c>
      <c r="U477" s="1408" t="str">
        <f t="shared" si="287"/>
        <v>1.33</v>
      </c>
      <c r="V477" s="1408" t="str">
        <f t="shared" si="288"/>
        <v>D+</v>
      </c>
      <c r="W477" s="1408" t="str">
        <f t="shared" si="289"/>
        <v>0</v>
      </c>
      <c r="X477" s="1409"/>
      <c r="Y477" s="1393"/>
      <c r="Z477" s="1394"/>
      <c r="AA477" s="1394"/>
      <c r="AB477" s="1394"/>
      <c r="AC477" s="1394"/>
      <c r="AD477" s="1394"/>
      <c r="AE477" s="1394"/>
      <c r="AF477" s="1394"/>
      <c r="AG477" s="1394"/>
      <c r="AH477" s="1394"/>
      <c r="AI477" s="1394"/>
      <c r="AJ477" s="1395"/>
      <c r="AK477" s="1395"/>
      <c r="AL477" s="1395"/>
      <c r="AM477" s="1395"/>
      <c r="AN477" s="1395"/>
      <c r="AO477" s="1395"/>
      <c r="AP477" s="1395"/>
      <c r="AQ477" s="1395"/>
      <c r="AR477" s="1395"/>
      <c r="AS477" s="1395"/>
      <c r="AT477" s="1396"/>
      <c r="AU477" s="1413"/>
      <c r="AV477" s="1414"/>
    </row>
    <row r="478" spans="1:48" ht="23.1" customHeight="1" x14ac:dyDescent="0.25">
      <c r="A478" s="360"/>
      <c r="B478" s="1387"/>
      <c r="C478" s="1388"/>
      <c r="D478" s="1166" t="s">
        <v>189</v>
      </c>
      <c r="E478" s="1493"/>
      <c r="F478" s="1493"/>
      <c r="G478" s="1493"/>
      <c r="H478" s="2040">
        <v>0</v>
      </c>
      <c r="I478" s="2040">
        <v>0</v>
      </c>
      <c r="J478" s="2040">
        <v>0</v>
      </c>
      <c r="K478" s="1493"/>
      <c r="L478" s="1493"/>
      <c r="M478" s="1493"/>
      <c r="N478" s="2039"/>
      <c r="O478" s="2039"/>
      <c r="P478" s="2039"/>
      <c r="Q478" s="2028">
        <f t="shared" si="285"/>
        <v>0</v>
      </c>
      <c r="R478" s="2026">
        <f t="shared" si="283"/>
        <v>0</v>
      </c>
      <c r="S478" s="2029">
        <f t="shared" si="284"/>
        <v>0</v>
      </c>
      <c r="T478" s="853">
        <f t="shared" si="286"/>
        <v>0</v>
      </c>
      <c r="U478" s="1408" t="str">
        <f t="shared" si="287"/>
        <v>1.33</v>
      </c>
      <c r="V478" s="1408" t="str">
        <f t="shared" si="288"/>
        <v>D+</v>
      </c>
      <c r="W478" s="1408" t="str">
        <f t="shared" si="289"/>
        <v>0</v>
      </c>
      <c r="X478" s="1409"/>
      <c r="Y478" s="1393"/>
      <c r="Z478" s="1394"/>
      <c r="AA478" s="1394"/>
      <c r="AB478" s="1394"/>
      <c r="AC478" s="1394"/>
      <c r="AD478" s="1394"/>
      <c r="AE478" s="1394"/>
      <c r="AF478" s="1394"/>
      <c r="AG478" s="1394"/>
      <c r="AH478" s="1394"/>
      <c r="AI478" s="1394"/>
      <c r="AJ478" s="1395"/>
      <c r="AK478" s="1395"/>
      <c r="AL478" s="1395"/>
      <c r="AM478" s="1395"/>
      <c r="AN478" s="1395"/>
      <c r="AO478" s="1395"/>
      <c r="AP478" s="1395"/>
      <c r="AQ478" s="1395"/>
      <c r="AR478" s="1395"/>
      <c r="AS478" s="1395"/>
      <c r="AT478" s="1396"/>
      <c r="AU478" s="1413"/>
      <c r="AV478" s="1414"/>
    </row>
    <row r="479" spans="1:48" ht="23.1" customHeight="1" x14ac:dyDescent="0.25">
      <c r="A479" s="360"/>
      <c r="B479" s="1387"/>
      <c r="C479" s="1388"/>
      <c r="D479" s="1166" t="s">
        <v>186</v>
      </c>
      <c r="E479" s="1493"/>
      <c r="F479" s="1493"/>
      <c r="G479" s="1493"/>
      <c r="H479" s="2040">
        <v>0</v>
      </c>
      <c r="I479" s="2040">
        <v>0</v>
      </c>
      <c r="J479" s="2040">
        <v>0</v>
      </c>
      <c r="K479" s="1493"/>
      <c r="L479" s="1493"/>
      <c r="M479" s="1493"/>
      <c r="N479" s="2039"/>
      <c r="O479" s="2039"/>
      <c r="P479" s="2039"/>
      <c r="Q479" s="2028">
        <f t="shared" si="285"/>
        <v>0</v>
      </c>
      <c r="R479" s="2026">
        <f t="shared" si="283"/>
        <v>0</v>
      </c>
      <c r="S479" s="2029">
        <f t="shared" si="284"/>
        <v>0</v>
      </c>
      <c r="T479" s="853">
        <f t="shared" si="286"/>
        <v>0</v>
      </c>
      <c r="U479" s="1408" t="str">
        <f t="shared" si="287"/>
        <v>1.33</v>
      </c>
      <c r="V479" s="1408" t="str">
        <f t="shared" si="288"/>
        <v>D+</v>
      </c>
      <c r="W479" s="1408" t="str">
        <f t="shared" si="289"/>
        <v>0</v>
      </c>
      <c r="X479" s="1409"/>
      <c r="Y479" s="1393"/>
      <c r="Z479" s="1394"/>
      <c r="AA479" s="1394"/>
      <c r="AB479" s="1394"/>
      <c r="AC479" s="1394"/>
      <c r="AD479" s="1394"/>
      <c r="AE479" s="1394"/>
      <c r="AF479" s="1394"/>
      <c r="AG479" s="1394"/>
      <c r="AH479" s="1394"/>
      <c r="AI479" s="1394"/>
      <c r="AJ479" s="1395"/>
      <c r="AK479" s="1395"/>
      <c r="AL479" s="1395"/>
      <c r="AM479" s="1395"/>
      <c r="AN479" s="1395"/>
      <c r="AO479" s="1395"/>
      <c r="AP479" s="1395"/>
      <c r="AQ479" s="1395"/>
      <c r="AR479" s="1395"/>
      <c r="AS479" s="1395"/>
      <c r="AT479" s="1396"/>
      <c r="AU479" s="1413"/>
      <c r="AV479" s="1414"/>
    </row>
    <row r="480" spans="1:48" ht="23.1" customHeight="1" x14ac:dyDescent="0.25">
      <c r="A480" s="360"/>
      <c r="B480" s="1387"/>
      <c r="C480" s="1388"/>
      <c r="D480" s="1166" t="s">
        <v>187</v>
      </c>
      <c r="E480" s="1385"/>
      <c r="F480" s="1385"/>
      <c r="G480" s="1385"/>
      <c r="H480" s="2048"/>
      <c r="I480" s="2048"/>
      <c r="J480" s="2048"/>
      <c r="K480" s="1385">
        <v>0</v>
      </c>
      <c r="L480" s="1385">
        <v>0</v>
      </c>
      <c r="M480" s="1385">
        <v>0</v>
      </c>
      <c r="N480" s="2049"/>
      <c r="O480" s="2049"/>
      <c r="P480" s="2049"/>
      <c r="Q480" s="2028">
        <f t="shared" si="285"/>
        <v>0</v>
      </c>
      <c r="R480" s="2026">
        <f t="shared" si="283"/>
        <v>0</v>
      </c>
      <c r="S480" s="2029">
        <f t="shared" si="284"/>
        <v>0</v>
      </c>
      <c r="T480" s="853">
        <f t="shared" si="286"/>
        <v>0</v>
      </c>
      <c r="U480" s="1408" t="str">
        <f t="shared" si="287"/>
        <v>1.33</v>
      </c>
      <c r="V480" s="1408" t="str">
        <f t="shared" si="288"/>
        <v>D+</v>
      </c>
      <c r="W480" s="1408" t="str">
        <f t="shared" si="289"/>
        <v>0</v>
      </c>
      <c r="X480" s="1409"/>
      <c r="Y480" s="1393"/>
      <c r="Z480" s="1394"/>
      <c r="AA480" s="1394"/>
      <c r="AB480" s="1394"/>
      <c r="AC480" s="1394"/>
      <c r="AD480" s="1394"/>
      <c r="AE480" s="1394"/>
      <c r="AF480" s="1394"/>
      <c r="AG480" s="1394"/>
      <c r="AH480" s="1394"/>
      <c r="AI480" s="1394"/>
      <c r="AJ480" s="1395"/>
      <c r="AK480" s="1395"/>
      <c r="AL480" s="1395"/>
      <c r="AM480" s="1395"/>
      <c r="AN480" s="1395"/>
      <c r="AO480" s="1395"/>
      <c r="AP480" s="1395"/>
      <c r="AQ480" s="1395"/>
      <c r="AR480" s="1395"/>
      <c r="AS480" s="1395"/>
      <c r="AT480" s="1396"/>
      <c r="AU480" s="1413"/>
      <c r="AV480" s="1414"/>
    </row>
    <row r="481" spans="1:48" ht="23.1" customHeight="1" x14ac:dyDescent="0.25">
      <c r="A481" s="360"/>
      <c r="B481" s="1387"/>
      <c r="C481" s="1388"/>
      <c r="D481" s="1166" t="s">
        <v>17</v>
      </c>
      <c r="E481" s="1385">
        <v>0</v>
      </c>
      <c r="F481" s="1385">
        <v>0</v>
      </c>
      <c r="G481" s="1385">
        <v>0</v>
      </c>
      <c r="H481" s="2048">
        <v>0</v>
      </c>
      <c r="I481" s="2048">
        <v>0</v>
      </c>
      <c r="J481" s="2048">
        <v>0</v>
      </c>
      <c r="K481" s="1385"/>
      <c r="L481" s="1385"/>
      <c r="M481" s="1385"/>
      <c r="N481" s="2049"/>
      <c r="O481" s="2049"/>
      <c r="P481" s="2049"/>
      <c r="Q481" s="2028">
        <f t="shared" si="285"/>
        <v>0</v>
      </c>
      <c r="R481" s="2026">
        <f t="shared" si="283"/>
        <v>0</v>
      </c>
      <c r="S481" s="2029">
        <f t="shared" si="284"/>
        <v>0</v>
      </c>
      <c r="T481" s="853">
        <f t="shared" si="286"/>
        <v>0</v>
      </c>
      <c r="U481" s="1408" t="str">
        <f t="shared" si="287"/>
        <v>1.33</v>
      </c>
      <c r="V481" s="1408" t="str">
        <f t="shared" si="288"/>
        <v>D+</v>
      </c>
      <c r="W481" s="1408" t="str">
        <f t="shared" si="289"/>
        <v>0</v>
      </c>
      <c r="X481" s="1409"/>
      <c r="Y481" s="1393"/>
      <c r="Z481" s="1394"/>
      <c r="AA481" s="1394"/>
      <c r="AB481" s="1394"/>
      <c r="AC481" s="1394"/>
      <c r="AD481" s="1394"/>
      <c r="AE481" s="1394"/>
      <c r="AF481" s="1394"/>
      <c r="AG481" s="1394"/>
      <c r="AH481" s="1394"/>
      <c r="AI481" s="1394"/>
      <c r="AJ481" s="1395"/>
      <c r="AK481" s="1395"/>
      <c r="AL481" s="1395"/>
      <c r="AM481" s="1395"/>
      <c r="AN481" s="1395"/>
      <c r="AO481" s="1395"/>
      <c r="AP481" s="1395"/>
      <c r="AQ481" s="1395"/>
      <c r="AR481" s="1395"/>
      <c r="AS481" s="1395"/>
      <c r="AT481" s="1396"/>
      <c r="AU481" s="1413"/>
      <c r="AV481" s="1414"/>
    </row>
    <row r="482" spans="1:48" ht="23.1" customHeight="1" x14ac:dyDescent="0.25">
      <c r="A482" s="360"/>
      <c r="B482" s="1387"/>
      <c r="C482" s="1388"/>
      <c r="D482" s="1166" t="s">
        <v>188</v>
      </c>
      <c r="E482" s="1385"/>
      <c r="F482" s="1385"/>
      <c r="G482" s="1385"/>
      <c r="H482" s="2048">
        <v>0</v>
      </c>
      <c r="I482" s="2048">
        <v>0</v>
      </c>
      <c r="J482" s="2048">
        <v>0</v>
      </c>
      <c r="K482" s="1385"/>
      <c r="L482" s="1385"/>
      <c r="M482" s="1385"/>
      <c r="N482" s="2049"/>
      <c r="O482" s="2049"/>
      <c r="P482" s="2049"/>
      <c r="Q482" s="2028">
        <f t="shared" si="285"/>
        <v>0</v>
      </c>
      <c r="R482" s="2026">
        <f t="shared" si="283"/>
        <v>0</v>
      </c>
      <c r="S482" s="2029">
        <f t="shared" si="284"/>
        <v>0</v>
      </c>
      <c r="T482" s="853">
        <f t="shared" si="286"/>
        <v>0</v>
      </c>
      <c r="U482" s="1408" t="str">
        <f t="shared" si="287"/>
        <v>1.33</v>
      </c>
      <c r="V482" s="1408" t="str">
        <f t="shared" si="288"/>
        <v>D+</v>
      </c>
      <c r="W482" s="1408" t="str">
        <f t="shared" si="289"/>
        <v>0</v>
      </c>
      <c r="X482" s="1409"/>
      <c r="Y482" s="1393"/>
      <c r="Z482" s="1394"/>
      <c r="AA482" s="1394"/>
      <c r="AB482" s="1394"/>
      <c r="AC482" s="1394"/>
      <c r="AD482" s="1394"/>
      <c r="AE482" s="1394"/>
      <c r="AF482" s="1394"/>
      <c r="AG482" s="1394"/>
      <c r="AH482" s="1394"/>
      <c r="AI482" s="1394"/>
      <c r="AJ482" s="1395"/>
      <c r="AK482" s="1395"/>
      <c r="AL482" s="1395"/>
      <c r="AM482" s="1395"/>
      <c r="AN482" s="1395"/>
      <c r="AO482" s="1395"/>
      <c r="AP482" s="1395"/>
      <c r="AQ482" s="1395"/>
      <c r="AR482" s="1395"/>
      <c r="AS482" s="1395"/>
      <c r="AT482" s="1396"/>
      <c r="AU482" s="1413"/>
      <c r="AV482" s="1414"/>
    </row>
    <row r="483" spans="1:48" ht="23.1" customHeight="1" x14ac:dyDescent="0.25">
      <c r="A483" s="360"/>
      <c r="B483" s="1387"/>
      <c r="C483" s="1388"/>
      <c r="D483" s="1166" t="s">
        <v>569</v>
      </c>
      <c r="E483" s="1385"/>
      <c r="F483" s="1385"/>
      <c r="G483" s="1385"/>
      <c r="H483" s="2048"/>
      <c r="I483" s="2048"/>
      <c r="J483" s="2048"/>
      <c r="K483" s="1385">
        <v>0</v>
      </c>
      <c r="L483" s="1385">
        <v>0</v>
      </c>
      <c r="M483" s="1385">
        <v>0</v>
      </c>
      <c r="N483" s="2049"/>
      <c r="O483" s="2049"/>
      <c r="P483" s="2049"/>
      <c r="Q483" s="2028">
        <f t="shared" si="285"/>
        <v>0</v>
      </c>
      <c r="R483" s="2026">
        <f t="shared" si="283"/>
        <v>0</v>
      </c>
      <c r="S483" s="2029">
        <f t="shared" si="284"/>
        <v>0</v>
      </c>
      <c r="T483" s="853">
        <f t="shared" si="286"/>
        <v>0</v>
      </c>
      <c r="U483" s="1408" t="str">
        <f t="shared" si="287"/>
        <v>1.33</v>
      </c>
      <c r="V483" s="1408" t="str">
        <f t="shared" si="288"/>
        <v>D+</v>
      </c>
      <c r="W483" s="1408" t="str">
        <f t="shared" si="289"/>
        <v>0</v>
      </c>
      <c r="X483" s="1409"/>
      <c r="Y483" s="1393"/>
      <c r="Z483" s="1394"/>
      <c r="AA483" s="1394"/>
      <c r="AB483" s="1394"/>
      <c r="AC483" s="1394"/>
      <c r="AD483" s="1394"/>
      <c r="AE483" s="1394"/>
      <c r="AF483" s="1394"/>
      <c r="AG483" s="1394"/>
      <c r="AH483" s="1394"/>
      <c r="AI483" s="1394"/>
      <c r="AJ483" s="1395"/>
      <c r="AK483" s="1395"/>
      <c r="AL483" s="1395"/>
      <c r="AM483" s="1395"/>
      <c r="AN483" s="1395"/>
      <c r="AO483" s="1395"/>
      <c r="AP483" s="1395"/>
      <c r="AQ483" s="1395"/>
      <c r="AR483" s="1395"/>
      <c r="AS483" s="1395"/>
      <c r="AT483" s="1396"/>
      <c r="AU483" s="1413"/>
      <c r="AV483" s="1414"/>
    </row>
    <row r="484" spans="1:48" ht="23.1" customHeight="1" x14ac:dyDescent="0.25">
      <c r="A484" s="360"/>
      <c r="B484" s="1387"/>
      <c r="C484" s="1388"/>
      <c r="D484" s="1166" t="s">
        <v>209</v>
      </c>
      <c r="E484" s="1385"/>
      <c r="F484" s="1385"/>
      <c r="G484" s="1385"/>
      <c r="H484" s="2048"/>
      <c r="I484" s="2048"/>
      <c r="J484" s="2048"/>
      <c r="K484" s="1385"/>
      <c r="L484" s="1385"/>
      <c r="M484" s="1385"/>
      <c r="N484" s="2049">
        <v>0</v>
      </c>
      <c r="O484" s="2049">
        <v>0</v>
      </c>
      <c r="P484" s="2049">
        <v>0</v>
      </c>
      <c r="Q484" s="2028">
        <f t="shared" si="285"/>
        <v>0</v>
      </c>
      <c r="R484" s="2026">
        <f t="shared" si="283"/>
        <v>0</v>
      </c>
      <c r="S484" s="2029">
        <f t="shared" si="284"/>
        <v>0</v>
      </c>
      <c r="T484" s="853">
        <f t="shared" si="286"/>
        <v>0</v>
      </c>
      <c r="U484" s="1408" t="str">
        <f t="shared" si="287"/>
        <v>1.33</v>
      </c>
      <c r="V484" s="1408" t="str">
        <f t="shared" si="288"/>
        <v>D+</v>
      </c>
      <c r="W484" s="1408" t="str">
        <f t="shared" si="289"/>
        <v>0</v>
      </c>
      <c r="X484" s="1409"/>
      <c r="Y484" s="1393"/>
      <c r="Z484" s="1394"/>
      <c r="AA484" s="1394"/>
      <c r="AB484" s="1394"/>
      <c r="AC484" s="1394"/>
      <c r="AD484" s="1394"/>
      <c r="AE484" s="1394"/>
      <c r="AF484" s="1394"/>
      <c r="AG484" s="1394"/>
      <c r="AH484" s="1394"/>
      <c r="AI484" s="1394"/>
      <c r="AJ484" s="1395"/>
      <c r="AK484" s="1395"/>
      <c r="AL484" s="1395"/>
      <c r="AM484" s="1395"/>
      <c r="AN484" s="1395"/>
      <c r="AO484" s="1395"/>
      <c r="AP484" s="1395"/>
      <c r="AQ484" s="1395"/>
      <c r="AR484" s="1395"/>
      <c r="AS484" s="1395"/>
      <c r="AT484" s="1396"/>
      <c r="AU484" s="1413"/>
      <c r="AV484" s="1414"/>
    </row>
    <row r="485" spans="1:48" ht="23.1" customHeight="1" x14ac:dyDescent="0.25">
      <c r="A485" s="360"/>
      <c r="B485" s="1387"/>
      <c r="C485" s="1388"/>
      <c r="D485" s="1166" t="s">
        <v>210</v>
      </c>
      <c r="E485" s="1385"/>
      <c r="F485" s="1385"/>
      <c r="G485" s="1385"/>
      <c r="H485" s="2048"/>
      <c r="I485" s="2048"/>
      <c r="J485" s="2048"/>
      <c r="K485" s="1385"/>
      <c r="L485" s="1385"/>
      <c r="M485" s="1385"/>
      <c r="N485" s="2049">
        <v>0</v>
      </c>
      <c r="O485" s="2049">
        <v>0</v>
      </c>
      <c r="P485" s="2049">
        <v>0</v>
      </c>
      <c r="Q485" s="2028">
        <f t="shared" si="285"/>
        <v>0</v>
      </c>
      <c r="R485" s="2026">
        <f t="shared" si="283"/>
        <v>0</v>
      </c>
      <c r="S485" s="2029">
        <f t="shared" si="284"/>
        <v>0</v>
      </c>
      <c r="T485" s="853">
        <f t="shared" si="286"/>
        <v>0</v>
      </c>
      <c r="U485" s="1408" t="str">
        <f t="shared" si="287"/>
        <v>1.33</v>
      </c>
      <c r="V485" s="1408" t="str">
        <f t="shared" si="288"/>
        <v>D+</v>
      </c>
      <c r="W485" s="1408" t="str">
        <f t="shared" si="289"/>
        <v>0</v>
      </c>
      <c r="X485" s="1409"/>
      <c r="Y485" s="1397"/>
      <c r="Z485" s="1398"/>
      <c r="AA485" s="1398"/>
      <c r="AB485" s="1398"/>
      <c r="AC485" s="1398"/>
      <c r="AD485" s="1398"/>
      <c r="AE485" s="1398"/>
      <c r="AF485" s="1398"/>
      <c r="AG485" s="1398"/>
      <c r="AH485" s="1398"/>
      <c r="AI485" s="1398"/>
      <c r="AJ485" s="1399"/>
      <c r="AK485" s="1399"/>
      <c r="AL485" s="1399"/>
      <c r="AM485" s="1399"/>
      <c r="AN485" s="1399"/>
      <c r="AO485" s="1399"/>
      <c r="AP485" s="1399"/>
      <c r="AQ485" s="1399"/>
      <c r="AR485" s="1399"/>
      <c r="AS485" s="1399"/>
      <c r="AT485" s="1400"/>
      <c r="AU485" s="1415"/>
      <c r="AV485" s="1416"/>
    </row>
    <row r="486" spans="1:48" ht="23.1" customHeight="1" x14ac:dyDescent="0.25">
      <c r="A486" s="727"/>
      <c r="B486" s="1406">
        <v>40</v>
      </c>
      <c r="C486" s="1407"/>
      <c r="D486" s="1004"/>
      <c r="E486" s="2780"/>
      <c r="F486" s="2781"/>
      <c r="G486" s="2781"/>
      <c r="H486" s="2781"/>
      <c r="I486" s="2046"/>
      <c r="J486" s="2046"/>
      <c r="K486" s="2046"/>
      <c r="L486" s="2046"/>
      <c r="M486" s="2046"/>
      <c r="N486" s="2046"/>
      <c r="O486" s="2046"/>
      <c r="P486" s="2046"/>
      <c r="Q486" s="2046"/>
      <c r="R486" s="2046"/>
      <c r="S486" s="2046"/>
      <c r="T486" s="2044">
        <f>IFERROR(AVERAGE(T475:T485),"  ")</f>
        <v>0</v>
      </c>
      <c r="U486" s="1410" t="str">
        <f t="shared" ref="U486" si="290">IF(T486&gt;85,("4"),IF(T486&gt;80,("3.66"),IF(T486&gt;75,("3.33"),IF(T486&gt;70,("3.00"),IF(T486&gt;65,("2.66"),IF(T486&gt;60,("2.33"),IF(T486&gt;55,("2"),IF(T486&gt;50,("1.66"),"1.33"))))))))</f>
        <v>1.33</v>
      </c>
      <c r="V486" s="1410" t="str">
        <f t="shared" ref="V486" si="291">IF(T486&gt;85,("A"),IF(T486&gt;80,("A-"),IF(T486&gt;75,("B+"),IF(T486&gt;70,("B"),IF(T486&gt;65,("B-"),IF(T486&gt;60,("C+"),IF(T486&gt;55,("C"),IF(T486&gt;50,("C-"),"D+"))))))))</f>
        <v>D+</v>
      </c>
      <c r="W486" s="1410"/>
      <c r="X486" s="888">
        <f>MAX(T475:T485)</f>
        <v>0</v>
      </c>
      <c r="Y486" s="1403"/>
      <c r="Z486" s="1404"/>
      <c r="AA486" s="1404"/>
      <c r="AB486" s="1404"/>
      <c r="AC486" s="1404"/>
      <c r="AD486" s="1404"/>
      <c r="AE486" s="1404"/>
      <c r="AF486" s="1404"/>
      <c r="AG486" s="1404"/>
      <c r="AH486" s="1404"/>
      <c r="AI486" s="1404"/>
      <c r="AJ486" s="1404"/>
      <c r="AK486" s="1404"/>
      <c r="AL486" s="1404"/>
      <c r="AM486" s="1404"/>
      <c r="AN486" s="1404"/>
      <c r="AO486" s="1404"/>
      <c r="AP486" s="1404"/>
      <c r="AQ486" s="1404"/>
      <c r="AR486" s="1404"/>
      <c r="AS486" s="1404"/>
      <c r="AT486" s="1405"/>
      <c r="AU486" s="1257"/>
      <c r="AV486" s="1258"/>
    </row>
  </sheetData>
  <sheetProtection password="C6F9" sheet="1" objects="1" scenarios="1"/>
  <mergeCells count="59">
    <mergeCell ref="E486:H486"/>
    <mergeCell ref="E390:H390"/>
    <mergeCell ref="E402:H402"/>
    <mergeCell ref="E414:H414"/>
    <mergeCell ref="E426:H426"/>
    <mergeCell ref="E438:H438"/>
    <mergeCell ref="E450:H450"/>
    <mergeCell ref="E246:H246"/>
    <mergeCell ref="E258:H258"/>
    <mergeCell ref="E270:H270"/>
    <mergeCell ref="E462:H462"/>
    <mergeCell ref="E474:H474"/>
    <mergeCell ref="E282:H282"/>
    <mergeCell ref="E294:H294"/>
    <mergeCell ref="E318:H318"/>
    <mergeCell ref="E330:H330"/>
    <mergeCell ref="E342:H342"/>
    <mergeCell ref="E354:H354"/>
    <mergeCell ref="E366:H366"/>
    <mergeCell ref="E378:H378"/>
    <mergeCell ref="E306:H306"/>
    <mergeCell ref="E30:H30"/>
    <mergeCell ref="E42:H42"/>
    <mergeCell ref="E54:H54"/>
    <mergeCell ref="E66:H66"/>
    <mergeCell ref="E78:H78"/>
    <mergeCell ref="E90:H90"/>
    <mergeCell ref="E102:H102"/>
    <mergeCell ref="E234:H234"/>
    <mergeCell ref="E114:H114"/>
    <mergeCell ref="E126:H126"/>
    <mergeCell ref="E138:H138"/>
    <mergeCell ref="E150:H150"/>
    <mergeCell ref="E210:H210"/>
    <mergeCell ref="E222:H222"/>
    <mergeCell ref="E162:H162"/>
    <mergeCell ref="E174:H174"/>
    <mergeCell ref="E186:H186"/>
    <mergeCell ref="E198:H198"/>
    <mergeCell ref="E18:H18"/>
    <mergeCell ref="U4:U6"/>
    <mergeCell ref="V4:V6"/>
    <mergeCell ref="W4:W6"/>
    <mergeCell ref="X4:X6"/>
    <mergeCell ref="E5:G5"/>
    <mergeCell ref="H5:J5"/>
    <mergeCell ref="E4:P4"/>
    <mergeCell ref="AV4:AV6"/>
    <mergeCell ref="A4:A6"/>
    <mergeCell ref="B4:B6"/>
    <mergeCell ref="C4:C6"/>
    <mergeCell ref="D4:D6"/>
    <mergeCell ref="T4:T6"/>
    <mergeCell ref="AU4:AU6"/>
    <mergeCell ref="K5:M5"/>
    <mergeCell ref="N5:P5"/>
    <mergeCell ref="Q4:S5"/>
    <mergeCell ref="Y4:AI5"/>
    <mergeCell ref="AJ4:AT5"/>
  </mergeCells>
  <conditionalFormatting sqref="T7:T17">
    <cfRule type="top10" dxfId="1205" priority="81" bottom="1" rank="1"/>
    <cfRule type="top10" dxfId="1204" priority="82" rank="1"/>
  </conditionalFormatting>
  <conditionalFormatting sqref="T19:T29">
    <cfRule type="top10" dxfId="1203" priority="79" bottom="1" rank="1"/>
    <cfRule type="top10" dxfId="1202" priority="80" rank="1"/>
  </conditionalFormatting>
  <conditionalFormatting sqref="T31:T41">
    <cfRule type="top10" dxfId="1201" priority="77" bottom="1" rank="1"/>
    <cfRule type="top10" dxfId="1200" priority="78" rank="1"/>
  </conditionalFormatting>
  <conditionalFormatting sqref="T43:T53">
    <cfRule type="top10" dxfId="1199" priority="75" bottom="1" rank="1"/>
    <cfRule type="top10" dxfId="1198" priority="76" rank="1"/>
  </conditionalFormatting>
  <conditionalFormatting sqref="T55:T65">
    <cfRule type="top10" dxfId="1197" priority="73" bottom="1" rank="1"/>
    <cfRule type="top10" dxfId="1196" priority="74" rank="1"/>
  </conditionalFormatting>
  <conditionalFormatting sqref="T67:T77">
    <cfRule type="top10" dxfId="1195" priority="71" bottom="1" rank="1"/>
    <cfRule type="top10" dxfId="1194" priority="72" rank="1"/>
  </conditionalFormatting>
  <conditionalFormatting sqref="T79:T89">
    <cfRule type="top10" dxfId="1193" priority="69" bottom="1" rank="1"/>
    <cfRule type="top10" dxfId="1192" priority="70" rank="1"/>
  </conditionalFormatting>
  <conditionalFormatting sqref="T91:T101">
    <cfRule type="top10" dxfId="1191" priority="67" bottom="1" rank="1"/>
    <cfRule type="top10" dxfId="1190" priority="68" rank="1"/>
  </conditionalFormatting>
  <conditionalFormatting sqref="T103:T113">
    <cfRule type="top10" dxfId="1189" priority="65" bottom="1" rank="1"/>
    <cfRule type="top10" dxfId="1188" priority="66" rank="1"/>
  </conditionalFormatting>
  <conditionalFormatting sqref="T115:T125">
    <cfRule type="top10" dxfId="1187" priority="63" bottom="1" rank="1"/>
    <cfRule type="top10" dxfId="1186" priority="64" rank="1"/>
  </conditionalFormatting>
  <conditionalFormatting sqref="T127:T137">
    <cfRule type="top10" dxfId="1185" priority="61" bottom="1" rank="1"/>
    <cfRule type="top10" dxfId="1184" priority="62" rank="1"/>
  </conditionalFormatting>
  <conditionalFormatting sqref="T139:T149">
    <cfRule type="top10" dxfId="1183" priority="59" bottom="1" rank="1"/>
    <cfRule type="top10" dxfId="1182" priority="60" rank="1"/>
  </conditionalFormatting>
  <conditionalFormatting sqref="T151:T161">
    <cfRule type="top10" dxfId="1181" priority="57" bottom="1" rank="1"/>
    <cfRule type="top10" dxfId="1180" priority="58" rank="1"/>
  </conditionalFormatting>
  <conditionalFormatting sqref="T163:T173">
    <cfRule type="top10" dxfId="1179" priority="55" bottom="1" rank="1"/>
    <cfRule type="top10" dxfId="1178" priority="56" rank="1"/>
  </conditionalFormatting>
  <conditionalFormatting sqref="T175:T185">
    <cfRule type="top10" dxfId="1177" priority="53" bottom="1" rank="1"/>
    <cfRule type="top10" dxfId="1176" priority="54" rank="1"/>
  </conditionalFormatting>
  <conditionalFormatting sqref="T187:T197">
    <cfRule type="top10" dxfId="1175" priority="51" bottom="1" rank="1"/>
    <cfRule type="top10" dxfId="1174" priority="52" rank="1"/>
  </conditionalFormatting>
  <conditionalFormatting sqref="T199:T209">
    <cfRule type="top10" dxfId="1173" priority="49" bottom="1" rank="1"/>
    <cfRule type="top10" dxfId="1172" priority="50" rank="1"/>
  </conditionalFormatting>
  <conditionalFormatting sqref="T211:T221">
    <cfRule type="top10" dxfId="1171" priority="47" bottom="1" rank="1"/>
    <cfRule type="top10" dxfId="1170" priority="48" rank="1"/>
  </conditionalFormatting>
  <conditionalFormatting sqref="T223:T233">
    <cfRule type="top10" dxfId="1169" priority="45" bottom="1" rank="1"/>
    <cfRule type="top10" dxfId="1168" priority="46" rank="1"/>
  </conditionalFormatting>
  <conditionalFormatting sqref="T235:T245">
    <cfRule type="top10" dxfId="1167" priority="43" bottom="1" rank="1"/>
    <cfRule type="top10" dxfId="1166" priority="44" rank="1"/>
  </conditionalFormatting>
  <conditionalFormatting sqref="T247:T257">
    <cfRule type="top10" dxfId="1165" priority="41" bottom="1" rank="1"/>
    <cfRule type="top10" dxfId="1164" priority="42" rank="1"/>
  </conditionalFormatting>
  <conditionalFormatting sqref="T259:T269">
    <cfRule type="top10" dxfId="1163" priority="39" bottom="1" rank="1"/>
    <cfRule type="top10" dxfId="1162" priority="40" rank="1"/>
  </conditionalFormatting>
  <conditionalFormatting sqref="T271:T281">
    <cfRule type="top10" dxfId="1161" priority="37" bottom="1" rank="1"/>
    <cfRule type="top10" dxfId="1160" priority="38" rank="1"/>
  </conditionalFormatting>
  <conditionalFormatting sqref="T283:T293">
    <cfRule type="top10" dxfId="1159" priority="35" bottom="1" rank="1"/>
    <cfRule type="top10" dxfId="1158" priority="36" rank="1"/>
  </conditionalFormatting>
  <conditionalFormatting sqref="T295:T305">
    <cfRule type="top10" dxfId="1157" priority="33" bottom="1" rank="1"/>
    <cfRule type="top10" dxfId="1156" priority="34" rank="1"/>
  </conditionalFormatting>
  <conditionalFormatting sqref="T307:T317">
    <cfRule type="top10" dxfId="1155" priority="31" bottom="1" rank="1"/>
    <cfRule type="top10" dxfId="1154" priority="32" rank="1"/>
  </conditionalFormatting>
  <conditionalFormatting sqref="T319:T329">
    <cfRule type="top10" dxfId="1153" priority="29" bottom="1" rank="1"/>
    <cfRule type="top10" dxfId="1152" priority="30" rank="1"/>
  </conditionalFormatting>
  <conditionalFormatting sqref="T331:T341">
    <cfRule type="top10" dxfId="1151" priority="27" bottom="1" rank="1"/>
    <cfRule type="top10" dxfId="1150" priority="28" rank="1"/>
  </conditionalFormatting>
  <conditionalFormatting sqref="T343:T353">
    <cfRule type="top10" dxfId="1149" priority="25" bottom="1" rank="1"/>
    <cfRule type="top10" dxfId="1148" priority="26" rank="1"/>
  </conditionalFormatting>
  <conditionalFormatting sqref="T355:T365">
    <cfRule type="top10" dxfId="1147" priority="23" bottom="1" rank="1"/>
    <cfRule type="top10" dxfId="1146" priority="24" rank="1"/>
  </conditionalFormatting>
  <conditionalFormatting sqref="T367:T377">
    <cfRule type="top10" dxfId="1145" priority="21" bottom="1" rank="1"/>
    <cfRule type="top10" dxfId="1144" priority="22" rank="1"/>
  </conditionalFormatting>
  <conditionalFormatting sqref="T379:T389">
    <cfRule type="top10" dxfId="1143" priority="19" bottom="1" rank="1"/>
    <cfRule type="top10" dxfId="1142" priority="20" rank="1"/>
  </conditionalFormatting>
  <conditionalFormatting sqref="T391:T401">
    <cfRule type="top10" dxfId="1141" priority="17" bottom="1" rank="1"/>
    <cfRule type="top10" dxfId="1140" priority="18" rank="1"/>
  </conditionalFormatting>
  <conditionalFormatting sqref="T403:T413">
    <cfRule type="top10" dxfId="1139" priority="15" bottom="1" rank="1"/>
    <cfRule type="top10" dxfId="1138" priority="16" rank="1"/>
  </conditionalFormatting>
  <conditionalFormatting sqref="T415:T425">
    <cfRule type="top10" dxfId="1137" priority="13" bottom="1" rank="1"/>
    <cfRule type="top10" dxfId="1136" priority="14" rank="1"/>
  </conditionalFormatting>
  <conditionalFormatting sqref="T427:T437">
    <cfRule type="top10" dxfId="1135" priority="11" bottom="1" rank="1"/>
    <cfRule type="top10" dxfId="1134" priority="12" rank="1"/>
  </conditionalFormatting>
  <conditionalFormatting sqref="T439:T449">
    <cfRule type="top10" dxfId="1133" priority="9" bottom="1" rank="1"/>
    <cfRule type="top10" dxfId="1132" priority="10" rank="1"/>
  </conditionalFormatting>
  <conditionalFormatting sqref="T451:T461">
    <cfRule type="top10" dxfId="1131" priority="7" bottom="1" rank="1"/>
    <cfRule type="top10" dxfId="1130" priority="8" rank="1"/>
  </conditionalFormatting>
  <conditionalFormatting sqref="T463:T473">
    <cfRule type="top10" dxfId="1129" priority="5" bottom="1" rank="1"/>
    <cfRule type="top10" dxfId="1128" priority="6" rank="1"/>
  </conditionalFormatting>
  <conditionalFormatting sqref="T475:T485">
    <cfRule type="top10" dxfId="1127" priority="3" bottom="1" rank="1"/>
    <cfRule type="top10" dxfId="1126" priority="4" rank="1"/>
  </conditionalFormatting>
  <pageMargins left="0.7" right="0.7" top="0.75" bottom="0.75" header="0.3" footer="0.3"/>
  <pageSetup paperSize="9"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rgb="FFFFC000"/>
  </sheetPr>
  <dimension ref="A1:AG209"/>
  <sheetViews>
    <sheetView showGridLines="0" workbookViewId="0">
      <pane xSplit="3" ySplit="8" topLeftCell="N9" activePane="bottomRight" state="frozen"/>
      <selection activeCell="W10" sqref="W10"/>
      <selection pane="topRight" activeCell="W10" sqref="W10"/>
      <selection pane="bottomLeft" activeCell="W10" sqref="W10"/>
      <selection pane="bottomRight" activeCell="V11" sqref="V11"/>
    </sheetView>
  </sheetViews>
  <sheetFormatPr defaultRowHeight="15" x14ac:dyDescent="0.25"/>
  <cols>
    <col min="1" max="1" width="4.85546875" style="352" customWidth="1"/>
    <col min="2" max="2" width="6.42578125" style="1488" customWidth="1"/>
    <col min="3" max="3" width="27.42578125" style="632" customWidth="1"/>
    <col min="4" max="4" width="5.7109375" style="352" customWidth="1"/>
    <col min="5" max="19" width="7.28515625" style="352" customWidth="1"/>
    <col min="20" max="20" width="6.42578125" style="1932" customWidth="1"/>
    <col min="21" max="21" width="9.7109375" style="352" customWidth="1"/>
    <col min="22" max="22" width="7.28515625" style="352" customWidth="1"/>
    <col min="23" max="23" width="7" style="352" customWidth="1"/>
    <col min="24" max="31" width="5.7109375" style="352" customWidth="1"/>
    <col min="32" max="32" width="8.140625" style="352" customWidth="1"/>
    <col min="33" max="33" width="7.5703125" style="352" customWidth="1"/>
    <col min="34" max="16384" width="9.140625" style="352"/>
  </cols>
  <sheetData>
    <row r="1" spans="1:33" x14ac:dyDescent="0.25">
      <c r="G1" s="981"/>
      <c r="H1" s="981"/>
      <c r="I1" s="981"/>
      <c r="J1" s="981"/>
      <c r="K1" s="981"/>
      <c r="L1" s="981"/>
      <c r="M1" s="981"/>
      <c r="N1" s="981"/>
      <c r="O1" s="981"/>
      <c r="P1" s="981"/>
      <c r="Q1" s="981"/>
      <c r="R1" s="981"/>
      <c r="S1" s="981"/>
      <c r="T1" s="1927"/>
      <c r="U1" s="981"/>
      <c r="V1" s="981"/>
      <c r="W1" s="1109"/>
      <c r="X1" s="981"/>
      <c r="Y1" s="981"/>
      <c r="Z1" s="1109"/>
      <c r="AA1" s="981"/>
      <c r="AB1" s="981"/>
      <c r="AC1" s="1109"/>
      <c r="AD1" s="394"/>
    </row>
    <row r="2" spans="1:33" ht="21" x14ac:dyDescent="0.35">
      <c r="A2" s="351" t="s">
        <v>788</v>
      </c>
      <c r="D2" s="69"/>
      <c r="E2" s="69"/>
      <c r="F2" s="74"/>
      <c r="G2" s="74"/>
      <c r="H2" s="74"/>
      <c r="I2" s="74"/>
      <c r="J2" s="74"/>
      <c r="K2" s="74"/>
      <c r="L2" s="74"/>
      <c r="M2" s="74"/>
      <c r="N2" s="74"/>
      <c r="O2" s="74"/>
      <c r="P2" s="74"/>
      <c r="Q2" s="74"/>
      <c r="R2" s="74"/>
      <c r="S2" s="74"/>
      <c r="T2" s="1930"/>
      <c r="U2" s="74"/>
      <c r="V2" s="74"/>
      <c r="W2" s="74"/>
      <c r="X2" s="394"/>
      <c r="Y2" s="394"/>
      <c r="Z2" s="394"/>
      <c r="AA2" s="394"/>
      <c r="AB2" s="394"/>
      <c r="AC2" s="394"/>
      <c r="AD2" s="394"/>
    </row>
    <row r="3" spans="1:33" ht="21" x14ac:dyDescent="0.35">
      <c r="A3" s="351" t="s">
        <v>54</v>
      </c>
      <c r="G3" s="394"/>
      <c r="H3" s="394"/>
      <c r="I3" s="394"/>
      <c r="J3" s="394"/>
      <c r="K3" s="394"/>
      <c r="L3" s="394"/>
      <c r="M3" s="394"/>
      <c r="N3" s="394"/>
      <c r="O3" s="394"/>
      <c r="P3" s="394"/>
      <c r="Q3" s="394"/>
      <c r="R3" s="394"/>
      <c r="S3" s="394"/>
      <c r="T3" s="1931"/>
      <c r="U3" s="394"/>
      <c r="V3" s="394"/>
      <c r="W3" s="394"/>
      <c r="X3" s="394"/>
      <c r="Y3" s="394"/>
      <c r="Z3" s="394"/>
      <c r="AA3" s="394"/>
      <c r="AB3" s="394"/>
      <c r="AC3" s="394"/>
      <c r="AD3" s="394"/>
    </row>
    <row r="4" spans="1:33" ht="18.75" x14ac:dyDescent="0.3">
      <c r="A4" s="354" t="s">
        <v>562</v>
      </c>
      <c r="AA4" s="1490"/>
    </row>
    <row r="5" spans="1:33" s="1491" customFormat="1" ht="16.5" thickBot="1" x14ac:dyDescent="0.3">
      <c r="A5" s="2085"/>
      <c r="B5" s="2085"/>
      <c r="C5" s="2085"/>
      <c r="D5" s="2085"/>
      <c r="E5" s="2085"/>
      <c r="F5" s="2085"/>
      <c r="G5" s="2085"/>
      <c r="H5" s="2085"/>
      <c r="I5" s="2085"/>
      <c r="J5" s="2085"/>
      <c r="K5" s="2085"/>
      <c r="L5" s="2085"/>
      <c r="M5" s="2085"/>
      <c r="N5" s="2085"/>
      <c r="O5" s="2085"/>
      <c r="P5" s="2085"/>
      <c r="Q5" s="2085"/>
      <c r="R5" s="2085"/>
      <c r="S5" s="2085"/>
      <c r="T5" s="2085"/>
      <c r="U5" s="2085"/>
      <c r="V5" s="2085"/>
      <c r="W5" s="2085"/>
      <c r="X5" s="2085"/>
      <c r="Y5" s="2085"/>
      <c r="Z5" s="2085"/>
      <c r="AA5" s="2085"/>
      <c r="AB5" s="2085"/>
      <c r="AC5" s="2085"/>
      <c r="AD5" s="2085"/>
      <c r="AE5" s="2085"/>
      <c r="AF5" s="2085"/>
      <c r="AG5" s="2085"/>
    </row>
    <row r="6" spans="1:33" ht="24" customHeight="1" x14ac:dyDescent="0.25">
      <c r="A6" s="2522" t="s">
        <v>0</v>
      </c>
      <c r="B6" s="2535" t="s">
        <v>55</v>
      </c>
      <c r="C6" s="2552" t="s">
        <v>1</v>
      </c>
      <c r="D6" s="2524" t="s">
        <v>56</v>
      </c>
      <c r="E6" s="2810" t="s">
        <v>32</v>
      </c>
      <c r="F6" s="2811"/>
      <c r="G6" s="2811"/>
      <c r="H6" s="2811"/>
      <c r="I6" s="2811"/>
      <c r="J6" s="2811"/>
      <c r="K6" s="2811"/>
      <c r="L6" s="2811"/>
      <c r="M6" s="2811"/>
      <c r="N6" s="2811"/>
      <c r="O6" s="2811"/>
      <c r="P6" s="2812"/>
      <c r="Q6" s="2735" t="s">
        <v>1004</v>
      </c>
      <c r="R6" s="2736"/>
      <c r="S6" s="2737"/>
      <c r="T6" s="2806" t="s">
        <v>64</v>
      </c>
      <c r="U6" s="2548" t="s">
        <v>61</v>
      </c>
      <c r="V6" s="2548" t="s">
        <v>5</v>
      </c>
      <c r="W6" s="2548" t="s">
        <v>1005</v>
      </c>
      <c r="X6" s="2800" t="s">
        <v>174</v>
      </c>
      <c r="Y6" s="2800"/>
      <c r="Z6" s="2800"/>
      <c r="AA6" s="2800"/>
      <c r="AB6" s="2801" t="s">
        <v>789</v>
      </c>
      <c r="AC6" s="2801"/>
      <c r="AD6" s="2801"/>
      <c r="AE6" s="2801"/>
      <c r="AF6" s="2541" t="s">
        <v>60</v>
      </c>
      <c r="AG6" s="2629" t="s">
        <v>5</v>
      </c>
    </row>
    <row r="7" spans="1:33" ht="21" customHeight="1" x14ac:dyDescent="0.25">
      <c r="A7" s="2802"/>
      <c r="B7" s="2803"/>
      <c r="C7" s="2804"/>
      <c r="D7" s="2805"/>
      <c r="E7" s="2791" t="s">
        <v>443</v>
      </c>
      <c r="F7" s="2792"/>
      <c r="G7" s="2793"/>
      <c r="H7" s="2794" t="s">
        <v>442</v>
      </c>
      <c r="I7" s="2795"/>
      <c r="J7" s="2796"/>
      <c r="K7" s="2768" t="s">
        <v>441</v>
      </c>
      <c r="L7" s="2769"/>
      <c r="M7" s="2770"/>
      <c r="N7" s="2771" t="s">
        <v>685</v>
      </c>
      <c r="O7" s="2772"/>
      <c r="P7" s="2773"/>
      <c r="Q7" s="2738"/>
      <c r="R7" s="2739"/>
      <c r="S7" s="2740"/>
      <c r="T7" s="2807"/>
      <c r="U7" s="2815"/>
      <c r="V7" s="2815"/>
      <c r="W7" s="2815"/>
      <c r="X7" s="2082"/>
      <c r="Y7" s="2082"/>
      <c r="Z7" s="2082"/>
      <c r="AA7" s="2082"/>
      <c r="AB7" s="2083"/>
      <c r="AC7" s="2083"/>
      <c r="AD7" s="2083"/>
      <c r="AE7" s="2083"/>
      <c r="AF7" s="2809"/>
      <c r="AG7" s="2753"/>
    </row>
    <row r="8" spans="1:33" ht="24" customHeight="1" thickBot="1" x14ac:dyDescent="0.3">
      <c r="A8" s="2523"/>
      <c r="B8" s="2536"/>
      <c r="C8" s="2553"/>
      <c r="D8" s="2525"/>
      <c r="E8" s="2034" t="s">
        <v>1001</v>
      </c>
      <c r="F8" s="2034" t="s">
        <v>1002</v>
      </c>
      <c r="G8" s="2034" t="s">
        <v>1003</v>
      </c>
      <c r="H8" s="2035" t="s">
        <v>1001</v>
      </c>
      <c r="I8" s="2035" t="s">
        <v>1002</v>
      </c>
      <c r="J8" s="2035" t="s">
        <v>1003</v>
      </c>
      <c r="K8" s="2036" t="s">
        <v>1001</v>
      </c>
      <c r="L8" s="2036" t="s">
        <v>1002</v>
      </c>
      <c r="M8" s="2036" t="s">
        <v>1003</v>
      </c>
      <c r="N8" s="2037" t="s">
        <v>1001</v>
      </c>
      <c r="O8" s="2037" t="s">
        <v>1002</v>
      </c>
      <c r="P8" s="2037" t="s">
        <v>1003</v>
      </c>
      <c r="Q8" s="2047" t="s">
        <v>1001</v>
      </c>
      <c r="R8" s="2047" t="s">
        <v>1002</v>
      </c>
      <c r="S8" s="2047" t="s">
        <v>1003</v>
      </c>
      <c r="T8" s="2808"/>
      <c r="U8" s="2549"/>
      <c r="V8" s="2549"/>
      <c r="W8" s="2549"/>
      <c r="X8" s="1836" t="s">
        <v>154</v>
      </c>
      <c r="Y8" s="1836" t="s">
        <v>9</v>
      </c>
      <c r="Z8" s="1836" t="s">
        <v>11</v>
      </c>
      <c r="AA8" s="1836" t="s">
        <v>16</v>
      </c>
      <c r="AB8" s="1837" t="s">
        <v>154</v>
      </c>
      <c r="AC8" s="1837" t="s">
        <v>9</v>
      </c>
      <c r="AD8" s="1837" t="s">
        <v>11</v>
      </c>
      <c r="AE8" s="1837" t="s">
        <v>16</v>
      </c>
      <c r="AF8" s="2542"/>
      <c r="AG8" s="2630"/>
    </row>
    <row r="9" spans="1:33" ht="24.95" customHeight="1" x14ac:dyDescent="0.25">
      <c r="A9" s="360">
        <v>1</v>
      </c>
      <c r="B9" s="1495"/>
      <c r="C9" s="1384" t="str">
        <f>VLOOKUP(A9,data_siswa,4,FALSE)</f>
        <v>Achmad Zacky</v>
      </c>
      <c r="D9" s="1510" t="s">
        <v>154</v>
      </c>
      <c r="E9" s="1497"/>
      <c r="F9" s="1497"/>
      <c r="G9" s="1497"/>
      <c r="H9" s="2043">
        <v>67</v>
      </c>
      <c r="I9" s="2043">
        <v>82</v>
      </c>
      <c r="J9" s="2043">
        <v>68</v>
      </c>
      <c r="K9" s="1497"/>
      <c r="L9" s="1497"/>
      <c r="M9" s="1497"/>
      <c r="N9" s="2043"/>
      <c r="O9" s="2043"/>
      <c r="P9" s="2043"/>
      <c r="Q9" s="2028">
        <f>MAX(E9,H9,K9,N9)</f>
        <v>67</v>
      </c>
      <c r="R9" s="2026">
        <f t="shared" ref="R9:S12" si="0">MAX(F9,I9,L9,O9)</f>
        <v>82</v>
      </c>
      <c r="S9" s="2029">
        <f t="shared" si="0"/>
        <v>68</v>
      </c>
      <c r="T9" s="853">
        <f>IFERROR(AVERAGE(Q9:S9),"")</f>
        <v>72.333333333333329</v>
      </c>
      <c r="U9" s="1934" t="str">
        <f>IF(T9&gt;85,("4"),IF(T9&gt;80,("3.66"),IF(T9&gt;75,("3.33"),IF(T9&gt;70,("3.00"),IF(T9&gt;65,("2.66"),IF(T9&gt;60,("2.33"),IF(T9&gt;55,("2"),IF(T9&gt;50,("1.66"),"1.33"))))))))</f>
        <v>3.00</v>
      </c>
      <c r="V9" s="1934" t="str">
        <f>IF(T9&gt;85,("A"),IF(T9&gt;80,("A-"),IF(T9&gt;75,("B+"),IF(T9&gt;70,("B"),IF(T9&gt;65,("B-"),IF(T9&gt;60,("C+"),IF(T9&gt;55,("C"),IF(T9&gt;50,("C-"),"D+"))))))))</f>
        <v>B</v>
      </c>
      <c r="W9" s="1934" t="str">
        <f>IF(T9&gt;80,("SB"),IF(T9&gt;65,("B"),IF(T9&gt;50,("C"),IF(T9&gt;0,("K"),"0"))))</f>
        <v>B</v>
      </c>
      <c r="X9" s="618"/>
      <c r="Y9" s="618"/>
      <c r="Z9" s="618">
        <v>3</v>
      </c>
      <c r="AA9" s="618"/>
      <c r="AB9" s="720">
        <v>2</v>
      </c>
      <c r="AC9" s="720"/>
      <c r="AD9" s="720"/>
      <c r="AE9" s="720"/>
      <c r="AF9" s="704">
        <f>AVERAGE(T9:T12)</f>
        <v>74.416666666666671</v>
      </c>
      <c r="AG9" s="1481" t="str">
        <f>IF(AF9&gt;85,("A"),IF(AF9&gt;80,("A-"),IF(AF9&gt;75,("B+"),IF(AF9&gt;70,("B"),IF(AF9&gt;65,("B-"),IF(AF9&gt;60,("C+"),IF(AF9&gt;55,("C"),IF(AF9&gt;50,("C-"),"D+"))))))))</f>
        <v>B</v>
      </c>
    </row>
    <row r="10" spans="1:33" ht="24.95" customHeight="1" x14ac:dyDescent="0.25">
      <c r="A10" s="360"/>
      <c r="B10" s="1495"/>
      <c r="C10" s="1496"/>
      <c r="D10" s="1492" t="s">
        <v>9</v>
      </c>
      <c r="E10" s="1493"/>
      <c r="F10" s="1497"/>
      <c r="G10" s="1493"/>
      <c r="H10" s="2040">
        <v>65</v>
      </c>
      <c r="I10" s="2040">
        <v>68</v>
      </c>
      <c r="J10" s="2040">
        <v>67</v>
      </c>
      <c r="K10" s="1497">
        <v>80</v>
      </c>
      <c r="L10" s="1497">
        <v>78</v>
      </c>
      <c r="M10" s="1497">
        <v>69</v>
      </c>
      <c r="N10" s="2043">
        <v>82</v>
      </c>
      <c r="O10" s="2043">
        <v>78</v>
      </c>
      <c r="P10" s="2043">
        <v>68</v>
      </c>
      <c r="Q10" s="2028">
        <f t="shared" ref="Q10:Q12" si="1">MAX(E10,H10,K10,N10)</f>
        <v>82</v>
      </c>
      <c r="R10" s="2026">
        <f t="shared" si="0"/>
        <v>78</v>
      </c>
      <c r="S10" s="2029">
        <f t="shared" si="0"/>
        <v>69</v>
      </c>
      <c r="T10" s="853">
        <f t="shared" ref="T10:T12" si="2">IFERROR(AVERAGE(Q10:S10),"")</f>
        <v>76.333333333333329</v>
      </c>
      <c r="U10" s="1934" t="str">
        <f t="shared" ref="U10:U12" si="3">IF(T10&gt;85,("4"),IF(T10&gt;80,("3.66"),IF(T10&gt;75,("3.33"),IF(T10&gt;70,("3.00"),IF(T10&gt;65,("2.66"),IF(T10&gt;60,("2.33"),IF(T10&gt;55,("2"),IF(T10&gt;50,("1.66"),"1.33"))))))))</f>
        <v>3.33</v>
      </c>
      <c r="V10" s="1934" t="str">
        <f t="shared" ref="V10:V12" si="4">IF(T10&gt;85,("A"),IF(T10&gt;80,("A-"),IF(T10&gt;75,("B+"),IF(T10&gt;70,("B"),IF(T10&gt;65,("B-"),IF(T10&gt;60,("C+"),IF(T10&gt;55,("C"),IF(T10&gt;50,("C-"),"D+"))))))))</f>
        <v>B+</v>
      </c>
      <c r="W10" s="1934" t="str">
        <f t="shared" ref="W10:W12" si="5">IF(T10&gt;80,("SB"),IF(T10&gt;65,("B"),IF(T10&gt;50,("C"),IF(T10&gt;0,("K"),"0"))))</f>
        <v>B</v>
      </c>
      <c r="X10" s="1498"/>
      <c r="Y10" s="1499"/>
      <c r="Z10" s="1499"/>
      <c r="AA10" s="1499"/>
      <c r="AB10" s="1500"/>
      <c r="AC10" s="1500"/>
      <c r="AD10" s="1500"/>
      <c r="AE10" s="1501"/>
      <c r="AF10" s="1521"/>
      <c r="AG10" s="1522"/>
    </row>
    <row r="11" spans="1:33" ht="24.95" customHeight="1" x14ac:dyDescent="0.25">
      <c r="A11" s="360"/>
      <c r="B11" s="1495"/>
      <c r="C11" s="1496"/>
      <c r="D11" s="1492" t="s">
        <v>11</v>
      </c>
      <c r="E11" s="1493"/>
      <c r="F11" s="1493"/>
      <c r="G11" s="1497"/>
      <c r="H11" s="2040">
        <v>64</v>
      </c>
      <c r="I11" s="2040">
        <v>67</v>
      </c>
      <c r="J11" s="2040">
        <v>70</v>
      </c>
      <c r="K11" s="1497">
        <v>72</v>
      </c>
      <c r="L11" s="1497">
        <v>69</v>
      </c>
      <c r="M11" s="1497">
        <v>73</v>
      </c>
      <c r="N11" s="2043"/>
      <c r="O11" s="2043"/>
      <c r="P11" s="2043"/>
      <c r="Q11" s="2028">
        <f t="shared" si="1"/>
        <v>72</v>
      </c>
      <c r="R11" s="2026">
        <f t="shared" si="0"/>
        <v>69</v>
      </c>
      <c r="S11" s="2029">
        <f t="shared" si="0"/>
        <v>73</v>
      </c>
      <c r="T11" s="853">
        <f t="shared" si="2"/>
        <v>71.333333333333329</v>
      </c>
      <c r="U11" s="1934" t="str">
        <f t="shared" si="3"/>
        <v>3.00</v>
      </c>
      <c r="V11" s="1934" t="str">
        <f t="shared" si="4"/>
        <v>B</v>
      </c>
      <c r="W11" s="1934" t="str">
        <f t="shared" si="5"/>
        <v>B</v>
      </c>
      <c r="X11" s="1502"/>
      <c r="Y11" s="1503"/>
      <c r="Z11" s="1503"/>
      <c r="AA11" s="1503"/>
      <c r="AB11" s="1504"/>
      <c r="AC11" s="1504"/>
      <c r="AD11" s="1504"/>
      <c r="AE11" s="1505"/>
      <c r="AF11" s="1523"/>
      <c r="AG11" s="1524"/>
    </row>
    <row r="12" spans="1:33" ht="24.95" customHeight="1" x14ac:dyDescent="0.25">
      <c r="A12" s="360"/>
      <c r="B12" s="1495"/>
      <c r="C12" s="1496"/>
      <c r="D12" s="1492" t="s">
        <v>16</v>
      </c>
      <c r="E12" s="1497">
        <v>78</v>
      </c>
      <c r="F12" s="1497">
        <v>75</v>
      </c>
      <c r="G12" s="1497">
        <v>80</v>
      </c>
      <c r="H12" s="2043">
        <v>69</v>
      </c>
      <c r="I12" s="2043">
        <v>69</v>
      </c>
      <c r="J12" s="2043">
        <v>72</v>
      </c>
      <c r="K12" s="1497">
        <v>70</v>
      </c>
      <c r="L12" s="1497">
        <v>73</v>
      </c>
      <c r="M12" s="1497">
        <v>70</v>
      </c>
      <c r="N12" s="2043">
        <v>67</v>
      </c>
      <c r="O12" s="2043">
        <v>68</v>
      </c>
      <c r="P12" s="2043">
        <v>70</v>
      </c>
      <c r="Q12" s="2028">
        <f t="shared" si="1"/>
        <v>78</v>
      </c>
      <c r="R12" s="2026">
        <f t="shared" si="0"/>
        <v>75</v>
      </c>
      <c r="S12" s="2029">
        <f t="shared" si="0"/>
        <v>80</v>
      </c>
      <c r="T12" s="853">
        <f t="shared" si="2"/>
        <v>77.666666666666671</v>
      </c>
      <c r="U12" s="1934" t="str">
        <f t="shared" si="3"/>
        <v>3.33</v>
      </c>
      <c r="V12" s="1934" t="str">
        <f t="shared" si="4"/>
        <v>B+</v>
      </c>
      <c r="W12" s="1934" t="str">
        <f t="shared" si="5"/>
        <v>B</v>
      </c>
      <c r="X12" s="1502"/>
      <c r="Y12" s="1503"/>
      <c r="Z12" s="1503"/>
      <c r="AA12" s="1503"/>
      <c r="AB12" s="1504"/>
      <c r="AC12" s="1504"/>
      <c r="AD12" s="1504"/>
      <c r="AE12" s="1505"/>
      <c r="AF12" s="1525"/>
      <c r="AG12" s="1526"/>
    </row>
    <row r="13" spans="1:33" s="1508" customFormat="1" ht="24.95" customHeight="1" x14ac:dyDescent="0.25">
      <c r="A13" s="1506"/>
      <c r="B13" s="1401">
        <v>1</v>
      </c>
      <c r="C13" s="1507" t="s">
        <v>167</v>
      </c>
      <c r="D13" s="1506"/>
      <c r="E13" s="2813"/>
      <c r="F13" s="2814"/>
      <c r="G13" s="2814"/>
      <c r="H13" s="2814"/>
      <c r="I13" s="2023"/>
      <c r="J13" s="2023"/>
      <c r="K13" s="2023"/>
      <c r="L13" s="2023"/>
      <c r="M13" s="2023"/>
      <c r="N13" s="2023"/>
      <c r="O13" s="2023"/>
      <c r="P13" s="2023"/>
      <c r="Q13" s="2023"/>
      <c r="R13" s="2023"/>
      <c r="S13" s="2023"/>
      <c r="T13" s="1520">
        <f>IFERROR(AVERAGE(T9:T12),"  ")</f>
        <v>74.416666666666671</v>
      </c>
      <c r="U13" s="1935" t="str">
        <f>IF(T13&gt;85,("4"),IF(T13&gt;80,("3.66"),IF(T13&gt;75,("3.33"),IF(T13&gt;70,("3.00"),IF(T13&gt;65,("2.66"),IF(T13&gt;60,("2.33"),IF(T13&gt;55,("2"),IF(T13&gt;50,("1.66"),"1.33"))))))))</f>
        <v>3.00</v>
      </c>
      <c r="V13" s="1935" t="str">
        <f>IF(T13&gt;85,("A"),IF(T13&gt;80,("A-"),IF(T13&gt;75,("B+"),IF(T13&gt;70,("B"),IF(T13&gt;65,("B-"),IF(T13&gt;60,("C+"),IF(T13&gt;55,("C"),IF(T13&gt;50,("C-"),"D+"))))))))</f>
        <v>B</v>
      </c>
      <c r="W13" s="1936"/>
      <c r="X13" s="728"/>
      <c r="Y13" s="729"/>
      <c r="Z13" s="729"/>
      <c r="AA13" s="729"/>
      <c r="AB13" s="729"/>
      <c r="AC13" s="729"/>
      <c r="AD13" s="729"/>
      <c r="AE13" s="730"/>
      <c r="AF13" s="1527"/>
      <c r="AG13" s="1528"/>
    </row>
    <row r="14" spans="1:33" ht="24.95" customHeight="1" x14ac:dyDescent="0.25">
      <c r="A14" s="724">
        <v>2</v>
      </c>
      <c r="B14" s="1509"/>
      <c r="C14" s="1384" t="str">
        <f>VLOOKUP(A14,data_siswa,4,FALSE)</f>
        <v>Angelia Vabel R</v>
      </c>
      <c r="D14" s="1510" t="s">
        <v>154</v>
      </c>
      <c r="E14" s="1497"/>
      <c r="F14" s="1497"/>
      <c r="G14" s="1497"/>
      <c r="H14" s="2043">
        <v>0</v>
      </c>
      <c r="I14" s="2043">
        <v>0</v>
      </c>
      <c r="J14" s="2043">
        <v>0</v>
      </c>
      <c r="K14" s="1497"/>
      <c r="L14" s="1497"/>
      <c r="M14" s="1497"/>
      <c r="N14" s="2043"/>
      <c r="O14" s="2043"/>
      <c r="P14" s="2043"/>
      <c r="Q14" s="2028">
        <f>MAX(E14,H14,K14,N14)</f>
        <v>0</v>
      </c>
      <c r="R14" s="2026">
        <f t="shared" ref="R14:R17" si="6">MAX(F14,I14,L14,O14)</f>
        <v>0</v>
      </c>
      <c r="S14" s="2029">
        <f t="shared" ref="S14:S17" si="7">MAX(G14,J14,M14,P14)</f>
        <v>0</v>
      </c>
      <c r="T14" s="853">
        <f>IFERROR(AVERAGE(Q14:S14),"")</f>
        <v>0</v>
      </c>
      <c r="U14" s="1934" t="str">
        <f>IF(T14&gt;85,("4"),IF(T14&gt;80,("3.66"),IF(T14&gt;75,("3.33"),IF(T14&gt;70,("3.00"),IF(T14&gt;65,("2.66"),IF(T14&gt;60,("2.33"),IF(T14&gt;55,("2"),IF(T14&gt;50,("1.66"),"1.33"))))))))</f>
        <v>1.33</v>
      </c>
      <c r="V14" s="1934" t="str">
        <f>IF(T14&gt;85,("A"),IF(T14&gt;80,("A-"),IF(T14&gt;75,("B+"),IF(T14&gt;70,("B"),IF(T14&gt;65,("B-"),IF(T14&gt;60,("C+"),IF(T14&gt;55,("C"),IF(T14&gt;50,("C-"),"D+"))))))))</f>
        <v>D+</v>
      </c>
      <c r="W14" s="1934" t="str">
        <f>IF(T14&gt;80,("SB"),IF(T14&gt;65,("B"),IF(T14&gt;50,("C"),IF(T14&gt;0,("K"),"0"))))</f>
        <v>0</v>
      </c>
      <c r="X14" s="383"/>
      <c r="Y14" s="383"/>
      <c r="Z14" s="383"/>
      <c r="AA14" s="383"/>
      <c r="AB14" s="726"/>
      <c r="AC14" s="726"/>
      <c r="AD14" s="726"/>
      <c r="AE14" s="726">
        <v>3</v>
      </c>
      <c r="AF14" s="1057">
        <f>AVERAGE(T14:T17)</f>
        <v>0</v>
      </c>
      <c r="AG14" s="1194" t="str">
        <f>IF(AF14&gt;85,("A"),IF(AF14&gt;80,("A-"),IF(AF14&gt;75,("B+"),IF(AF14&gt;70,("B"),IF(AF14&gt;65,("B-"),IF(AF14&gt;60,("C+"),IF(AF14&gt;55,("C"),IF(AF14&gt;50,("C-"),"D+"))))))))</f>
        <v>D+</v>
      </c>
    </row>
    <row r="15" spans="1:33" ht="24.95" customHeight="1" x14ac:dyDescent="0.25">
      <c r="A15" s="360"/>
      <c r="B15" s="1511"/>
      <c r="C15" s="1310"/>
      <c r="D15" s="1492" t="s">
        <v>9</v>
      </c>
      <c r="E15" s="1493"/>
      <c r="F15" s="1497"/>
      <c r="G15" s="1493"/>
      <c r="H15" s="2040">
        <v>0</v>
      </c>
      <c r="I15" s="2040">
        <v>0</v>
      </c>
      <c r="J15" s="2040">
        <v>0</v>
      </c>
      <c r="K15" s="1497">
        <v>0</v>
      </c>
      <c r="L15" s="1497">
        <v>0</v>
      </c>
      <c r="M15" s="1497">
        <v>0</v>
      </c>
      <c r="N15" s="2043">
        <v>0</v>
      </c>
      <c r="O15" s="2043">
        <v>0</v>
      </c>
      <c r="P15" s="2043">
        <v>0</v>
      </c>
      <c r="Q15" s="2028">
        <f t="shared" ref="Q15:Q17" si="8">MAX(E15,H15,K15,N15)</f>
        <v>0</v>
      </c>
      <c r="R15" s="2026">
        <f t="shared" si="6"/>
        <v>0</v>
      </c>
      <c r="S15" s="2029">
        <f t="shared" si="7"/>
        <v>0</v>
      </c>
      <c r="T15" s="853">
        <f t="shared" ref="T15:T17" si="9">IFERROR(AVERAGE(Q15:S15),"")</f>
        <v>0</v>
      </c>
      <c r="U15" s="1934" t="str">
        <f t="shared" ref="U15:U17" si="10">IF(T15&gt;85,("4"),IF(T15&gt;80,("3.66"),IF(T15&gt;75,("3.33"),IF(T15&gt;70,("3.00"),IF(T15&gt;65,("2.66"),IF(T15&gt;60,("2.33"),IF(T15&gt;55,("2"),IF(T15&gt;50,("1.66"),"1.33"))))))))</f>
        <v>1.33</v>
      </c>
      <c r="V15" s="1934" t="str">
        <f t="shared" ref="V15:V17" si="11">IF(T15&gt;85,("A"),IF(T15&gt;80,("A-"),IF(T15&gt;75,("B+"),IF(T15&gt;70,("B"),IF(T15&gt;65,("B-"),IF(T15&gt;60,("C+"),IF(T15&gt;55,("C"),IF(T15&gt;50,("C-"),"D+"))))))))</f>
        <v>D+</v>
      </c>
      <c r="W15" s="1934" t="str">
        <f t="shared" ref="W15:W17" si="12">IF(T15&gt;80,("SB"),IF(T15&gt;65,("B"),IF(T15&gt;50,("C"),IF(T15&gt;0,("K"),"0"))))</f>
        <v>0</v>
      </c>
      <c r="X15" s="1498"/>
      <c r="Y15" s="1499"/>
      <c r="Z15" s="1499"/>
      <c r="AA15" s="1499"/>
      <c r="AB15" s="1500"/>
      <c r="AC15" s="1500"/>
      <c r="AD15" s="1500"/>
      <c r="AE15" s="1501"/>
      <c r="AF15" s="1521"/>
      <c r="AG15" s="1522"/>
    </row>
    <row r="16" spans="1:33" ht="24.95" customHeight="1" x14ac:dyDescent="0.25">
      <c r="A16" s="360"/>
      <c r="B16" s="1511"/>
      <c r="C16" s="1310"/>
      <c r="D16" s="1492" t="s">
        <v>11</v>
      </c>
      <c r="E16" s="1493"/>
      <c r="F16" s="1493"/>
      <c r="G16" s="1497"/>
      <c r="H16" s="2040">
        <v>0</v>
      </c>
      <c r="I16" s="2040">
        <v>0</v>
      </c>
      <c r="J16" s="2040">
        <v>0</v>
      </c>
      <c r="K16" s="1497">
        <v>0</v>
      </c>
      <c r="L16" s="1497">
        <v>0</v>
      </c>
      <c r="M16" s="1497">
        <v>0</v>
      </c>
      <c r="N16" s="2043"/>
      <c r="O16" s="2043"/>
      <c r="P16" s="2043"/>
      <c r="Q16" s="2028">
        <f t="shared" si="8"/>
        <v>0</v>
      </c>
      <c r="R16" s="2026">
        <f t="shared" si="6"/>
        <v>0</v>
      </c>
      <c r="S16" s="2029">
        <f t="shared" si="7"/>
        <v>0</v>
      </c>
      <c r="T16" s="853">
        <f t="shared" si="9"/>
        <v>0</v>
      </c>
      <c r="U16" s="1934" t="str">
        <f t="shared" si="10"/>
        <v>1.33</v>
      </c>
      <c r="V16" s="1934" t="str">
        <f t="shared" si="11"/>
        <v>D+</v>
      </c>
      <c r="W16" s="1934" t="str">
        <f t="shared" si="12"/>
        <v>0</v>
      </c>
      <c r="X16" s="1502"/>
      <c r="Y16" s="1503"/>
      <c r="Z16" s="1503"/>
      <c r="AA16" s="1503"/>
      <c r="AB16" s="1504"/>
      <c r="AC16" s="1504"/>
      <c r="AD16" s="1504"/>
      <c r="AE16" s="1505"/>
      <c r="AF16" s="1523"/>
      <c r="AG16" s="1524"/>
    </row>
    <row r="17" spans="1:33" ht="24.95" customHeight="1" x14ac:dyDescent="0.25">
      <c r="A17" s="360"/>
      <c r="B17" s="1511"/>
      <c r="C17" s="1310"/>
      <c r="D17" s="1492" t="s">
        <v>16</v>
      </c>
      <c r="E17" s="1497">
        <v>0</v>
      </c>
      <c r="F17" s="1497">
        <v>0</v>
      </c>
      <c r="G17" s="1497">
        <v>0</v>
      </c>
      <c r="H17" s="2043">
        <v>0</v>
      </c>
      <c r="I17" s="2043">
        <v>0</v>
      </c>
      <c r="J17" s="2043">
        <v>0</v>
      </c>
      <c r="K17" s="1497">
        <v>0</v>
      </c>
      <c r="L17" s="1497">
        <v>0</v>
      </c>
      <c r="M17" s="1497">
        <v>0</v>
      </c>
      <c r="N17" s="2043">
        <v>0</v>
      </c>
      <c r="O17" s="2043">
        <v>0</v>
      </c>
      <c r="P17" s="2043">
        <v>0</v>
      </c>
      <c r="Q17" s="2028">
        <f t="shared" si="8"/>
        <v>0</v>
      </c>
      <c r="R17" s="2026">
        <f t="shared" si="6"/>
        <v>0</v>
      </c>
      <c r="S17" s="2029">
        <f t="shared" si="7"/>
        <v>0</v>
      </c>
      <c r="T17" s="853">
        <f t="shared" si="9"/>
        <v>0</v>
      </c>
      <c r="U17" s="1934" t="str">
        <f t="shared" si="10"/>
        <v>1.33</v>
      </c>
      <c r="V17" s="1934" t="str">
        <f t="shared" si="11"/>
        <v>D+</v>
      </c>
      <c r="W17" s="1934" t="str">
        <f t="shared" si="12"/>
        <v>0</v>
      </c>
      <c r="X17" s="1502"/>
      <c r="Y17" s="1503"/>
      <c r="Z17" s="1503"/>
      <c r="AA17" s="1503"/>
      <c r="AB17" s="1504"/>
      <c r="AC17" s="1504"/>
      <c r="AD17" s="1504"/>
      <c r="AE17" s="1505"/>
      <c r="AF17" s="1525"/>
      <c r="AG17" s="1526"/>
    </row>
    <row r="18" spans="1:33" ht="24.95" customHeight="1" x14ac:dyDescent="0.25">
      <c r="A18" s="727"/>
      <c r="B18" s="1401">
        <v>2</v>
      </c>
      <c r="C18" s="1512"/>
      <c r="D18" s="1506"/>
      <c r="E18" s="2813"/>
      <c r="F18" s="2814"/>
      <c r="G18" s="2814"/>
      <c r="H18" s="2814"/>
      <c r="I18" s="2023"/>
      <c r="J18" s="2023"/>
      <c r="K18" s="2023"/>
      <c r="L18" s="2023"/>
      <c r="M18" s="2023"/>
      <c r="N18" s="2023"/>
      <c r="O18" s="2023"/>
      <c r="P18" s="2023"/>
      <c r="Q18" s="2023"/>
      <c r="R18" s="2023"/>
      <c r="S18" s="2023"/>
      <c r="T18" s="1520">
        <f>IFERROR(AVERAGE(T14:T17),"  ")</f>
        <v>0</v>
      </c>
      <c r="U18" s="1935" t="str">
        <f>IF(T18&gt;85,("4"),IF(T18&gt;80,("3.66"),IF(T18&gt;75,("3.33"),IF(T18&gt;70,("3.00"),IF(T18&gt;65,("2.66"),IF(T18&gt;60,("2.33"),IF(T18&gt;55,("2"),IF(T18&gt;50,("1.66"),"1.33"))))))))</f>
        <v>1.33</v>
      </c>
      <c r="V18" s="1935" t="str">
        <f>IF(T18&gt;85,("A"),IF(T18&gt;80,("A-"),IF(T18&gt;75,("B+"),IF(T18&gt;70,("B"),IF(T18&gt;65,("B-"),IF(T18&gt;60,("C+"),IF(T18&gt;55,("C"),IF(T18&gt;50,("C-"),"D+"))))))))</f>
        <v>D+</v>
      </c>
      <c r="W18" s="1936"/>
      <c r="X18" s="728"/>
      <c r="Y18" s="729"/>
      <c r="Z18" s="729"/>
      <c r="AA18" s="729"/>
      <c r="AB18" s="729"/>
      <c r="AC18" s="729"/>
      <c r="AD18" s="729"/>
      <c r="AE18" s="730"/>
      <c r="AF18" s="1527"/>
      <c r="AG18" s="1528"/>
    </row>
    <row r="19" spans="1:33" ht="24.95" customHeight="1" x14ac:dyDescent="0.25">
      <c r="A19" s="724">
        <v>3</v>
      </c>
      <c r="B19" s="1509"/>
      <c r="C19" s="1384" t="str">
        <f>VLOOKUP(A19,data_siswa,4,FALSE)</f>
        <v>Anggun Dwi P.I</v>
      </c>
      <c r="D19" s="1510" t="s">
        <v>154</v>
      </c>
      <c r="E19" s="1497"/>
      <c r="F19" s="1497"/>
      <c r="G19" s="1497"/>
      <c r="H19" s="2043">
        <v>0</v>
      </c>
      <c r="I19" s="2043">
        <v>0</v>
      </c>
      <c r="J19" s="2043">
        <v>0</v>
      </c>
      <c r="K19" s="1497"/>
      <c r="L19" s="1497"/>
      <c r="M19" s="1497"/>
      <c r="N19" s="2043"/>
      <c r="O19" s="2043"/>
      <c r="P19" s="2043"/>
      <c r="Q19" s="2028">
        <f>MAX(E19,H19,K19,N19)</f>
        <v>0</v>
      </c>
      <c r="R19" s="2026">
        <f t="shared" ref="R19:R22" si="13">MAX(F19,I19,L19,O19)</f>
        <v>0</v>
      </c>
      <c r="S19" s="2029">
        <f t="shared" ref="S19:S22" si="14">MAX(G19,J19,M19,P19)</f>
        <v>0</v>
      </c>
      <c r="T19" s="853">
        <f>IFERROR(AVERAGE(Q19:S19),"")</f>
        <v>0</v>
      </c>
      <c r="U19" s="1934" t="str">
        <f>IF(T19&gt;85,("4"),IF(T19&gt;80,("3.66"),IF(T19&gt;75,("3.33"),IF(T19&gt;70,("3.00"),IF(T19&gt;65,("2.66"),IF(T19&gt;60,("2.33"),IF(T19&gt;55,("2"),IF(T19&gt;50,("1.66"),"1.33"))))))))</f>
        <v>1.33</v>
      </c>
      <c r="V19" s="1934" t="str">
        <f>IF(T19&gt;85,("A"),IF(T19&gt;80,("A-"),IF(T19&gt;75,("B+"),IF(T19&gt;70,("B"),IF(T19&gt;65,("B-"),IF(T19&gt;60,("C+"),IF(T19&gt;55,("C"),IF(T19&gt;50,("C-"),"D+"))))))))</f>
        <v>D+</v>
      </c>
      <c r="W19" s="1934" t="str">
        <f>IF(T19&gt;80,("SB"),IF(T19&gt;65,("B"),IF(T19&gt;50,("C"),IF(T19&gt;0,("K"),"0"))))</f>
        <v>0</v>
      </c>
      <c r="X19" s="383"/>
      <c r="Y19" s="383"/>
      <c r="Z19" s="383"/>
      <c r="AA19" s="383"/>
      <c r="AB19" s="726">
        <v>2</v>
      </c>
      <c r="AC19" s="726"/>
      <c r="AD19" s="726"/>
      <c r="AE19" s="726"/>
      <c r="AF19" s="1057">
        <f>AVERAGE(T19:T22)</f>
        <v>0</v>
      </c>
      <c r="AG19" s="1194" t="str">
        <f>IF(AF19&gt;85,("A"),IF(AF19&gt;80,("A-"),IF(AF19&gt;75,("B+"),IF(AF19&gt;70,("B"),IF(AF19&gt;65,("B-"),IF(AF19&gt;60,("C+"),IF(AF19&gt;55,("C"),IF(AF19&gt;50,("C-"),"D+"))))))))</f>
        <v>D+</v>
      </c>
    </row>
    <row r="20" spans="1:33" ht="24.95" customHeight="1" x14ac:dyDescent="0.25">
      <c r="A20" s="360"/>
      <c r="B20" s="1511"/>
      <c r="C20" s="1310"/>
      <c r="D20" s="1492" t="s">
        <v>9</v>
      </c>
      <c r="E20" s="1493"/>
      <c r="F20" s="1497"/>
      <c r="G20" s="1493"/>
      <c r="H20" s="2040">
        <v>0</v>
      </c>
      <c r="I20" s="2040">
        <v>0</v>
      </c>
      <c r="J20" s="2040">
        <v>0</v>
      </c>
      <c r="K20" s="1497">
        <v>0</v>
      </c>
      <c r="L20" s="1497">
        <v>0</v>
      </c>
      <c r="M20" s="1497">
        <v>0</v>
      </c>
      <c r="N20" s="2043">
        <v>0</v>
      </c>
      <c r="O20" s="2043">
        <v>0</v>
      </c>
      <c r="P20" s="2043">
        <v>0</v>
      </c>
      <c r="Q20" s="2028">
        <f t="shared" ref="Q20:Q22" si="15">MAX(E20,H20,K20,N20)</f>
        <v>0</v>
      </c>
      <c r="R20" s="2026">
        <f t="shared" si="13"/>
        <v>0</v>
      </c>
      <c r="S20" s="2029">
        <f t="shared" si="14"/>
        <v>0</v>
      </c>
      <c r="T20" s="853">
        <f t="shared" ref="T20:T22" si="16">IFERROR(AVERAGE(Q20:S20),"")</f>
        <v>0</v>
      </c>
      <c r="U20" s="1934" t="str">
        <f t="shared" ref="U20:U22" si="17">IF(T20&gt;85,("4"),IF(T20&gt;80,("3.66"),IF(T20&gt;75,("3.33"),IF(T20&gt;70,("3.00"),IF(T20&gt;65,("2.66"),IF(T20&gt;60,("2.33"),IF(T20&gt;55,("2"),IF(T20&gt;50,("1.66"),"1.33"))))))))</f>
        <v>1.33</v>
      </c>
      <c r="V20" s="1934" t="str">
        <f t="shared" ref="V20:V22" si="18">IF(T20&gt;85,("A"),IF(T20&gt;80,("A-"),IF(T20&gt;75,("B+"),IF(T20&gt;70,("B"),IF(T20&gt;65,("B-"),IF(T20&gt;60,("C+"),IF(T20&gt;55,("C"),IF(T20&gt;50,("C-"),"D+"))))))))</f>
        <v>D+</v>
      </c>
      <c r="W20" s="1934" t="str">
        <f t="shared" ref="W20:W22" si="19">IF(T20&gt;80,("SB"),IF(T20&gt;65,("B"),IF(T20&gt;50,("C"),IF(T20&gt;0,("K"),"0"))))</f>
        <v>0</v>
      </c>
      <c r="X20" s="1498"/>
      <c r="Y20" s="1499"/>
      <c r="Z20" s="1499"/>
      <c r="AA20" s="1499"/>
      <c r="AB20" s="1500"/>
      <c r="AC20" s="1500"/>
      <c r="AD20" s="1500"/>
      <c r="AE20" s="1501"/>
      <c r="AF20" s="1521"/>
      <c r="AG20" s="1522"/>
    </row>
    <row r="21" spans="1:33" ht="24.95" customHeight="1" x14ac:dyDescent="0.25">
      <c r="A21" s="360"/>
      <c r="B21" s="1511"/>
      <c r="C21" s="1310"/>
      <c r="D21" s="1492" t="s">
        <v>11</v>
      </c>
      <c r="E21" s="1493"/>
      <c r="F21" s="1493"/>
      <c r="G21" s="1497"/>
      <c r="H21" s="2040">
        <v>0</v>
      </c>
      <c r="I21" s="2040">
        <v>0</v>
      </c>
      <c r="J21" s="2040">
        <v>0</v>
      </c>
      <c r="K21" s="1497">
        <v>0</v>
      </c>
      <c r="L21" s="1497">
        <v>0</v>
      </c>
      <c r="M21" s="1497">
        <v>0</v>
      </c>
      <c r="N21" s="2043"/>
      <c r="O21" s="2043"/>
      <c r="P21" s="2043"/>
      <c r="Q21" s="2028">
        <f t="shared" si="15"/>
        <v>0</v>
      </c>
      <c r="R21" s="2026">
        <f t="shared" si="13"/>
        <v>0</v>
      </c>
      <c r="S21" s="2029">
        <f t="shared" si="14"/>
        <v>0</v>
      </c>
      <c r="T21" s="853">
        <f t="shared" si="16"/>
        <v>0</v>
      </c>
      <c r="U21" s="1934" t="str">
        <f t="shared" si="17"/>
        <v>1.33</v>
      </c>
      <c r="V21" s="1934" t="str">
        <f t="shared" si="18"/>
        <v>D+</v>
      </c>
      <c r="W21" s="1934" t="str">
        <f t="shared" si="19"/>
        <v>0</v>
      </c>
      <c r="X21" s="1502"/>
      <c r="Y21" s="1503"/>
      <c r="Z21" s="1503"/>
      <c r="AA21" s="1503"/>
      <c r="AB21" s="1504"/>
      <c r="AC21" s="1504"/>
      <c r="AD21" s="1504"/>
      <c r="AE21" s="1505"/>
      <c r="AF21" s="1523"/>
      <c r="AG21" s="1524"/>
    </row>
    <row r="22" spans="1:33" ht="24.95" customHeight="1" x14ac:dyDescent="0.25">
      <c r="A22" s="360"/>
      <c r="B22" s="1511"/>
      <c r="C22" s="1310"/>
      <c r="D22" s="1492" t="s">
        <v>16</v>
      </c>
      <c r="E22" s="1497">
        <v>0</v>
      </c>
      <c r="F22" s="1497">
        <v>0</v>
      </c>
      <c r="G22" s="1497">
        <v>0</v>
      </c>
      <c r="H22" s="2043">
        <v>0</v>
      </c>
      <c r="I22" s="2043">
        <v>0</v>
      </c>
      <c r="J22" s="2043">
        <v>0</v>
      </c>
      <c r="K22" s="1497">
        <v>0</v>
      </c>
      <c r="L22" s="1497">
        <v>0</v>
      </c>
      <c r="M22" s="1497">
        <v>0</v>
      </c>
      <c r="N22" s="2043">
        <v>0</v>
      </c>
      <c r="O22" s="2043">
        <v>0</v>
      </c>
      <c r="P22" s="2043">
        <v>0</v>
      </c>
      <c r="Q22" s="2028">
        <f t="shared" si="15"/>
        <v>0</v>
      </c>
      <c r="R22" s="2026">
        <f t="shared" si="13"/>
        <v>0</v>
      </c>
      <c r="S22" s="2029">
        <f t="shared" si="14"/>
        <v>0</v>
      </c>
      <c r="T22" s="853">
        <f t="shared" si="16"/>
        <v>0</v>
      </c>
      <c r="U22" s="1934" t="str">
        <f t="shared" si="17"/>
        <v>1.33</v>
      </c>
      <c r="V22" s="1934" t="str">
        <f t="shared" si="18"/>
        <v>D+</v>
      </c>
      <c r="W22" s="1934" t="str">
        <f t="shared" si="19"/>
        <v>0</v>
      </c>
      <c r="X22" s="1502"/>
      <c r="Y22" s="1503"/>
      <c r="Z22" s="1503"/>
      <c r="AA22" s="1503"/>
      <c r="AB22" s="1504"/>
      <c r="AC22" s="1504"/>
      <c r="AD22" s="1504"/>
      <c r="AE22" s="1505"/>
      <c r="AF22" s="1525"/>
      <c r="AG22" s="1526"/>
    </row>
    <row r="23" spans="1:33" ht="24.95" customHeight="1" x14ac:dyDescent="0.25">
      <c r="A23" s="727"/>
      <c r="B23" s="1401">
        <v>3</v>
      </c>
      <c r="C23" s="1512"/>
      <c r="D23" s="1506"/>
      <c r="E23" s="2813"/>
      <c r="F23" s="2814"/>
      <c r="G23" s="2814"/>
      <c r="H23" s="2814"/>
      <c r="I23" s="2023"/>
      <c r="J23" s="2023"/>
      <c r="K23" s="2023"/>
      <c r="L23" s="2023"/>
      <c r="M23" s="2023"/>
      <c r="N23" s="2023"/>
      <c r="O23" s="2023"/>
      <c r="P23" s="2023"/>
      <c r="Q23" s="2023"/>
      <c r="R23" s="2023"/>
      <c r="S23" s="2023"/>
      <c r="T23" s="1520">
        <f>IFERROR(AVERAGE(T19:T22),"  ")</f>
        <v>0</v>
      </c>
      <c r="U23" s="1935" t="str">
        <f>IF(T23&gt;85,("4"),IF(T23&gt;80,("3.66"),IF(T23&gt;75,("3.33"),IF(T23&gt;70,("3.00"),IF(T23&gt;65,("2.66"),IF(T23&gt;60,("2.33"),IF(T23&gt;55,("2"),IF(T23&gt;50,("1.66"),"1.33"))))))))</f>
        <v>1.33</v>
      </c>
      <c r="V23" s="1935" t="str">
        <f>IF(T23&gt;85,("A"),IF(T23&gt;80,("A-"),IF(T23&gt;75,("B+"),IF(T23&gt;70,("B"),IF(T23&gt;65,("B-"),IF(T23&gt;60,("C+"),IF(T23&gt;55,("C"),IF(T23&gt;50,("C-"),"D+"))))))))</f>
        <v>D+</v>
      </c>
      <c r="W23" s="1936"/>
      <c r="X23" s="728"/>
      <c r="Y23" s="729"/>
      <c r="Z23" s="729"/>
      <c r="AA23" s="729"/>
      <c r="AB23" s="729"/>
      <c r="AC23" s="729"/>
      <c r="AD23" s="729"/>
      <c r="AE23" s="730"/>
      <c r="AF23" s="1527"/>
      <c r="AG23" s="1528"/>
    </row>
    <row r="24" spans="1:33" ht="24.95" customHeight="1" x14ac:dyDescent="0.25">
      <c r="A24" s="724">
        <v>4</v>
      </c>
      <c r="B24" s="1509"/>
      <c r="C24" s="1384" t="str">
        <f>VLOOKUP(A24,data_siswa,4,FALSE)</f>
        <v>Antonio Permata A</v>
      </c>
      <c r="D24" s="1510" t="s">
        <v>154</v>
      </c>
      <c r="E24" s="1497"/>
      <c r="F24" s="1497"/>
      <c r="G24" s="1497"/>
      <c r="H24" s="2043">
        <v>0</v>
      </c>
      <c r="I24" s="2043">
        <v>0</v>
      </c>
      <c r="J24" s="2043">
        <v>0</v>
      </c>
      <c r="K24" s="1497"/>
      <c r="L24" s="1497"/>
      <c r="M24" s="1497"/>
      <c r="N24" s="2043"/>
      <c r="O24" s="2043"/>
      <c r="P24" s="2043"/>
      <c r="Q24" s="2028">
        <f>MAX(E24,H24,K24,N24)</f>
        <v>0</v>
      </c>
      <c r="R24" s="2026">
        <f t="shared" ref="R24:R27" si="20">MAX(F24,I24,L24,O24)</f>
        <v>0</v>
      </c>
      <c r="S24" s="2029">
        <f t="shared" ref="S24:S27" si="21">MAX(G24,J24,M24,P24)</f>
        <v>0</v>
      </c>
      <c r="T24" s="853">
        <f>IFERROR(AVERAGE(Q24:S24),"")</f>
        <v>0</v>
      </c>
      <c r="U24" s="1934" t="str">
        <f t="shared" ref="U24:U87" si="22">IF(T24&gt;85,("4"),IF(T24&gt;80,("3.66"),IF(T24&gt;75,("3.33"),IF(T24&gt;70,("3.00"),IF(T24&gt;65,("2.66"),IF(T24&gt;60,("2.33"),IF(T24&gt;55,("2"),IF(T24&gt;50,("1.66"),"1.33"))))))))</f>
        <v>1.33</v>
      </c>
      <c r="V24" s="1934" t="str">
        <f t="shared" ref="V24:V87" si="23">IF(T24&gt;85,("A"),IF(T24&gt;80,("A-"),IF(T24&gt;75,("B+"),IF(T24&gt;70,("B"),IF(T24&gt;65,("B-"),IF(T24&gt;60,("C+"),IF(T24&gt;55,("C"),IF(T24&gt;50,("C-"),"D+"))))))))</f>
        <v>D+</v>
      </c>
      <c r="W24" s="1934" t="str">
        <f t="shared" ref="W24:W27" si="24">IF(T24&gt;80,("SB"),IF(T24&gt;65,("B"),IF(T24&gt;50,("C"),IF(T24&gt;0,("K"),"0"))))</f>
        <v>0</v>
      </c>
      <c r="X24" s="383"/>
      <c r="Y24" s="383"/>
      <c r="Z24" s="383"/>
      <c r="AA24" s="383"/>
      <c r="AB24" s="726"/>
      <c r="AC24" s="726"/>
      <c r="AD24" s="726"/>
      <c r="AE24" s="726"/>
      <c r="AF24" s="1057">
        <f>AVERAGE(T24:T27)</f>
        <v>0</v>
      </c>
      <c r="AG24" s="1194" t="str">
        <f>IF(AF24&gt;85,("A"),IF(AF24&gt;80,("A-"),IF(AF24&gt;75,("B+"),IF(AF24&gt;70,("B"),IF(AF24&gt;65,("B-"),IF(AF24&gt;60,("C+"),IF(AF24&gt;55,("C"),IF(AF24&gt;50,("C-"),"D+"))))))))</f>
        <v>D+</v>
      </c>
    </row>
    <row r="25" spans="1:33" ht="24.95" customHeight="1" x14ac:dyDescent="0.25">
      <c r="A25" s="360"/>
      <c r="B25" s="1511"/>
      <c r="C25" s="1310"/>
      <c r="D25" s="1492" t="s">
        <v>9</v>
      </c>
      <c r="E25" s="1493"/>
      <c r="F25" s="1497"/>
      <c r="G25" s="1493"/>
      <c r="H25" s="2040">
        <v>0</v>
      </c>
      <c r="I25" s="2040">
        <v>0</v>
      </c>
      <c r="J25" s="2040">
        <v>0</v>
      </c>
      <c r="K25" s="1497">
        <v>0</v>
      </c>
      <c r="L25" s="1497">
        <v>0</v>
      </c>
      <c r="M25" s="1497">
        <v>0</v>
      </c>
      <c r="N25" s="2043">
        <v>0</v>
      </c>
      <c r="O25" s="2043">
        <v>0</v>
      </c>
      <c r="P25" s="2043">
        <v>0</v>
      </c>
      <c r="Q25" s="2028">
        <f t="shared" ref="Q25:Q27" si="25">MAX(E25,H25,K25,N25)</f>
        <v>0</v>
      </c>
      <c r="R25" s="2026">
        <f t="shared" si="20"/>
        <v>0</v>
      </c>
      <c r="S25" s="2029">
        <f t="shared" si="21"/>
        <v>0</v>
      </c>
      <c r="T25" s="853">
        <f t="shared" ref="T25:T27" si="26">IFERROR(AVERAGE(Q25:S25),"")</f>
        <v>0</v>
      </c>
      <c r="U25" s="1934" t="str">
        <f t="shared" si="22"/>
        <v>1.33</v>
      </c>
      <c r="V25" s="1934" t="str">
        <f t="shared" si="23"/>
        <v>D+</v>
      </c>
      <c r="W25" s="1934" t="str">
        <f t="shared" si="24"/>
        <v>0</v>
      </c>
      <c r="X25" s="1498"/>
      <c r="Y25" s="1499"/>
      <c r="Z25" s="1499"/>
      <c r="AA25" s="1499"/>
      <c r="AB25" s="1500"/>
      <c r="AC25" s="1500"/>
      <c r="AD25" s="1500"/>
      <c r="AE25" s="1501"/>
      <c r="AF25" s="1521"/>
      <c r="AG25" s="1522"/>
    </row>
    <row r="26" spans="1:33" ht="24.95" customHeight="1" x14ac:dyDescent="0.25">
      <c r="A26" s="360"/>
      <c r="B26" s="1511"/>
      <c r="C26" s="1310"/>
      <c r="D26" s="1492" t="s">
        <v>11</v>
      </c>
      <c r="E26" s="1493"/>
      <c r="F26" s="1493"/>
      <c r="G26" s="1497"/>
      <c r="H26" s="2040">
        <v>0</v>
      </c>
      <c r="I26" s="2040">
        <v>0</v>
      </c>
      <c r="J26" s="2040">
        <v>0</v>
      </c>
      <c r="K26" s="1497">
        <v>0</v>
      </c>
      <c r="L26" s="1497">
        <v>0</v>
      </c>
      <c r="M26" s="1497">
        <v>0</v>
      </c>
      <c r="N26" s="2043"/>
      <c r="O26" s="2043"/>
      <c r="P26" s="2043"/>
      <c r="Q26" s="2028">
        <f t="shared" si="25"/>
        <v>0</v>
      </c>
      <c r="R26" s="2026">
        <f t="shared" si="20"/>
        <v>0</v>
      </c>
      <c r="S26" s="2029">
        <f t="shared" si="21"/>
        <v>0</v>
      </c>
      <c r="T26" s="853">
        <f t="shared" si="26"/>
        <v>0</v>
      </c>
      <c r="U26" s="1934" t="str">
        <f t="shared" si="22"/>
        <v>1.33</v>
      </c>
      <c r="V26" s="1934" t="str">
        <f t="shared" si="23"/>
        <v>D+</v>
      </c>
      <c r="W26" s="1934" t="str">
        <f t="shared" si="24"/>
        <v>0</v>
      </c>
      <c r="X26" s="1502"/>
      <c r="Y26" s="1503"/>
      <c r="Z26" s="1503"/>
      <c r="AA26" s="1503"/>
      <c r="AB26" s="1504"/>
      <c r="AC26" s="1504"/>
      <c r="AD26" s="1504"/>
      <c r="AE26" s="1505"/>
      <c r="AF26" s="1523"/>
      <c r="AG26" s="1524"/>
    </row>
    <row r="27" spans="1:33" ht="24.95" customHeight="1" x14ac:dyDescent="0.25">
      <c r="A27" s="360"/>
      <c r="B27" s="1511"/>
      <c r="C27" s="1310"/>
      <c r="D27" s="1492" t="s">
        <v>16</v>
      </c>
      <c r="E27" s="1497">
        <v>0</v>
      </c>
      <c r="F27" s="1497">
        <v>0</v>
      </c>
      <c r="G27" s="1497">
        <v>0</v>
      </c>
      <c r="H27" s="2043">
        <v>0</v>
      </c>
      <c r="I27" s="2043">
        <v>0</v>
      </c>
      <c r="J27" s="2043">
        <v>0</v>
      </c>
      <c r="K27" s="1497">
        <v>0</v>
      </c>
      <c r="L27" s="1497">
        <v>0</v>
      </c>
      <c r="M27" s="1497">
        <v>0</v>
      </c>
      <c r="N27" s="2043">
        <v>0</v>
      </c>
      <c r="O27" s="2043">
        <v>0</v>
      </c>
      <c r="P27" s="2043">
        <v>0</v>
      </c>
      <c r="Q27" s="2028">
        <f t="shared" si="25"/>
        <v>0</v>
      </c>
      <c r="R27" s="2026">
        <f t="shared" si="20"/>
        <v>0</v>
      </c>
      <c r="S27" s="2029">
        <f t="shared" si="21"/>
        <v>0</v>
      </c>
      <c r="T27" s="853">
        <f t="shared" si="26"/>
        <v>0</v>
      </c>
      <c r="U27" s="1934" t="str">
        <f t="shared" si="22"/>
        <v>1.33</v>
      </c>
      <c r="V27" s="1934" t="str">
        <f t="shared" si="23"/>
        <v>D+</v>
      </c>
      <c r="W27" s="1934" t="str">
        <f t="shared" si="24"/>
        <v>0</v>
      </c>
      <c r="X27" s="1502"/>
      <c r="Y27" s="1503"/>
      <c r="Z27" s="1503"/>
      <c r="AA27" s="1503"/>
      <c r="AB27" s="1504"/>
      <c r="AC27" s="1504"/>
      <c r="AD27" s="1504"/>
      <c r="AE27" s="1505"/>
      <c r="AF27" s="1525"/>
      <c r="AG27" s="1526"/>
    </row>
    <row r="28" spans="1:33" ht="24.95" customHeight="1" x14ac:dyDescent="0.25">
      <c r="A28" s="727"/>
      <c r="B28" s="1401">
        <v>4</v>
      </c>
      <c r="C28" s="1512"/>
      <c r="D28" s="1506"/>
      <c r="E28" s="2813"/>
      <c r="F28" s="2814"/>
      <c r="G28" s="2814"/>
      <c r="H28" s="2814"/>
      <c r="I28" s="2023"/>
      <c r="J28" s="2023"/>
      <c r="K28" s="2023"/>
      <c r="L28" s="2023"/>
      <c r="M28" s="2023"/>
      <c r="N28" s="2023"/>
      <c r="O28" s="2023"/>
      <c r="P28" s="2023"/>
      <c r="Q28" s="2023"/>
      <c r="R28" s="2023"/>
      <c r="S28" s="2023"/>
      <c r="T28" s="1520">
        <f>IFERROR(AVERAGE(T24:T27),"  ")</f>
        <v>0</v>
      </c>
      <c r="U28" s="1935" t="str">
        <f t="shared" si="22"/>
        <v>1.33</v>
      </c>
      <c r="V28" s="1935" t="str">
        <f t="shared" si="23"/>
        <v>D+</v>
      </c>
      <c r="W28" s="1936"/>
      <c r="X28" s="728"/>
      <c r="Y28" s="729"/>
      <c r="Z28" s="729"/>
      <c r="AA28" s="729"/>
      <c r="AB28" s="729"/>
      <c r="AC28" s="729"/>
      <c r="AD28" s="729"/>
      <c r="AE28" s="730"/>
      <c r="AF28" s="1527"/>
      <c r="AG28" s="1528"/>
    </row>
    <row r="29" spans="1:33" ht="24.95" customHeight="1" x14ac:dyDescent="0.25">
      <c r="A29" s="724">
        <v>5</v>
      </c>
      <c r="B29" s="1509"/>
      <c r="C29" s="1384" t="str">
        <f>VLOOKUP(A29,data_siswa,4,FALSE)</f>
        <v>Arya Pratama G</v>
      </c>
      <c r="D29" s="1510" t="s">
        <v>154</v>
      </c>
      <c r="E29" s="1497"/>
      <c r="F29" s="1497"/>
      <c r="G29" s="1497"/>
      <c r="H29" s="2043">
        <v>0</v>
      </c>
      <c r="I29" s="2043">
        <v>0</v>
      </c>
      <c r="J29" s="2043">
        <v>0</v>
      </c>
      <c r="K29" s="1497"/>
      <c r="L29" s="1497"/>
      <c r="M29" s="1497"/>
      <c r="N29" s="2043"/>
      <c r="O29" s="2043"/>
      <c r="P29" s="2043"/>
      <c r="Q29" s="2028">
        <f>MAX(E29,H29,K29,N29)</f>
        <v>0</v>
      </c>
      <c r="R29" s="2026">
        <f t="shared" ref="R29:R32" si="27">MAX(F29,I29,L29,O29)</f>
        <v>0</v>
      </c>
      <c r="S29" s="2029">
        <f t="shared" ref="S29:S32" si="28">MAX(G29,J29,M29,P29)</f>
        <v>0</v>
      </c>
      <c r="T29" s="853">
        <f>IFERROR(AVERAGE(Q29:S29),"")</f>
        <v>0</v>
      </c>
      <c r="U29" s="1934" t="str">
        <f t="shared" si="22"/>
        <v>1.33</v>
      </c>
      <c r="V29" s="1934" t="str">
        <f t="shared" si="23"/>
        <v>D+</v>
      </c>
      <c r="W29" s="1934" t="str">
        <f t="shared" ref="W29:W32" si="29">IF(T29&gt;80,("SB"),IF(T29&gt;65,("B"),IF(T29&gt;50,("C"),IF(T29&gt;0,("K"),"0"))))</f>
        <v>0</v>
      </c>
      <c r="X29" s="383"/>
      <c r="Y29" s="383"/>
      <c r="Z29" s="383"/>
      <c r="AA29" s="383"/>
      <c r="AB29" s="726"/>
      <c r="AC29" s="726"/>
      <c r="AD29" s="726"/>
      <c r="AE29" s="726"/>
      <c r="AF29" s="1057">
        <f>AVERAGE(T29:T32)</f>
        <v>0</v>
      </c>
      <c r="AG29" s="1194" t="str">
        <f>IF(AF29&gt;85,("A"),IF(AF29&gt;80,("A-"),IF(AF29&gt;75,("B+"),IF(AF29&gt;70,("B"),IF(AF29&gt;65,("B-"),IF(AF29&gt;60,("C+"),IF(AF29&gt;55,("C"),IF(AF29&gt;50,("C-"),"D+"))))))))</f>
        <v>D+</v>
      </c>
    </row>
    <row r="30" spans="1:33" ht="24.95" customHeight="1" x14ac:dyDescent="0.25">
      <c r="A30" s="360"/>
      <c r="B30" s="1511"/>
      <c r="C30" s="1310"/>
      <c r="D30" s="1492" t="s">
        <v>9</v>
      </c>
      <c r="E30" s="1493"/>
      <c r="F30" s="1497"/>
      <c r="G30" s="1493"/>
      <c r="H30" s="2040">
        <v>0</v>
      </c>
      <c r="I30" s="2040">
        <v>0</v>
      </c>
      <c r="J30" s="2040">
        <v>0</v>
      </c>
      <c r="K30" s="1497">
        <v>0</v>
      </c>
      <c r="L30" s="1497">
        <v>0</v>
      </c>
      <c r="M30" s="1497">
        <v>0</v>
      </c>
      <c r="N30" s="2043">
        <v>0</v>
      </c>
      <c r="O30" s="2043">
        <v>0</v>
      </c>
      <c r="P30" s="2043">
        <v>0</v>
      </c>
      <c r="Q30" s="2028">
        <f t="shared" ref="Q30:Q32" si="30">MAX(E30,H30,K30,N30)</f>
        <v>0</v>
      </c>
      <c r="R30" s="2026">
        <f t="shared" si="27"/>
        <v>0</v>
      </c>
      <c r="S30" s="2029">
        <f t="shared" si="28"/>
        <v>0</v>
      </c>
      <c r="T30" s="853">
        <f t="shared" ref="T30:T32" si="31">IFERROR(AVERAGE(Q30:S30),"")</f>
        <v>0</v>
      </c>
      <c r="U30" s="1934" t="str">
        <f t="shared" si="22"/>
        <v>1.33</v>
      </c>
      <c r="V30" s="1934" t="str">
        <f t="shared" si="23"/>
        <v>D+</v>
      </c>
      <c r="W30" s="1934" t="str">
        <f t="shared" si="29"/>
        <v>0</v>
      </c>
      <c r="X30" s="1498"/>
      <c r="Y30" s="1499"/>
      <c r="Z30" s="1499"/>
      <c r="AA30" s="1499"/>
      <c r="AB30" s="1500"/>
      <c r="AC30" s="1500"/>
      <c r="AD30" s="1500"/>
      <c r="AE30" s="1501"/>
      <c r="AF30" s="1521"/>
      <c r="AG30" s="1522"/>
    </row>
    <row r="31" spans="1:33" ht="24.95" customHeight="1" x14ac:dyDescent="0.25">
      <c r="A31" s="360"/>
      <c r="B31" s="1511"/>
      <c r="C31" s="1310"/>
      <c r="D31" s="1492" t="s">
        <v>11</v>
      </c>
      <c r="E31" s="1493"/>
      <c r="F31" s="1493"/>
      <c r="G31" s="1497"/>
      <c r="H31" s="2040">
        <v>0</v>
      </c>
      <c r="I31" s="2040">
        <v>0</v>
      </c>
      <c r="J31" s="2040">
        <v>0</v>
      </c>
      <c r="K31" s="1497">
        <v>0</v>
      </c>
      <c r="L31" s="1497">
        <v>0</v>
      </c>
      <c r="M31" s="1497">
        <v>0</v>
      </c>
      <c r="N31" s="2043"/>
      <c r="O31" s="2043"/>
      <c r="P31" s="2043"/>
      <c r="Q31" s="2028">
        <f t="shared" si="30"/>
        <v>0</v>
      </c>
      <c r="R31" s="2026">
        <f t="shared" si="27"/>
        <v>0</v>
      </c>
      <c r="S31" s="2029">
        <f t="shared" si="28"/>
        <v>0</v>
      </c>
      <c r="T31" s="853">
        <f t="shared" si="31"/>
        <v>0</v>
      </c>
      <c r="U31" s="1934" t="str">
        <f t="shared" si="22"/>
        <v>1.33</v>
      </c>
      <c r="V31" s="1934" t="str">
        <f t="shared" si="23"/>
        <v>D+</v>
      </c>
      <c r="W31" s="1934" t="str">
        <f t="shared" si="29"/>
        <v>0</v>
      </c>
      <c r="X31" s="1502"/>
      <c r="Y31" s="1503"/>
      <c r="Z31" s="1503"/>
      <c r="AA31" s="1503"/>
      <c r="AB31" s="1504"/>
      <c r="AC31" s="1504"/>
      <c r="AD31" s="1504"/>
      <c r="AE31" s="1505"/>
      <c r="AF31" s="1523"/>
      <c r="AG31" s="1524"/>
    </row>
    <row r="32" spans="1:33" ht="24.95" customHeight="1" x14ac:dyDescent="0.25">
      <c r="A32" s="360"/>
      <c r="B32" s="1511"/>
      <c r="C32" s="1310"/>
      <c r="D32" s="1492" t="s">
        <v>16</v>
      </c>
      <c r="E32" s="1497">
        <v>0</v>
      </c>
      <c r="F32" s="1497">
        <v>0</v>
      </c>
      <c r="G32" s="1497">
        <v>0</v>
      </c>
      <c r="H32" s="2043">
        <v>0</v>
      </c>
      <c r="I32" s="2043">
        <v>0</v>
      </c>
      <c r="J32" s="2043">
        <v>0</v>
      </c>
      <c r="K32" s="1497">
        <v>0</v>
      </c>
      <c r="L32" s="1497">
        <v>0</v>
      </c>
      <c r="M32" s="1497">
        <v>0</v>
      </c>
      <c r="N32" s="2043">
        <v>0</v>
      </c>
      <c r="O32" s="2043">
        <v>0</v>
      </c>
      <c r="P32" s="2043">
        <v>0</v>
      </c>
      <c r="Q32" s="2028">
        <f t="shared" si="30"/>
        <v>0</v>
      </c>
      <c r="R32" s="2026">
        <f t="shared" si="27"/>
        <v>0</v>
      </c>
      <c r="S32" s="2029">
        <f t="shared" si="28"/>
        <v>0</v>
      </c>
      <c r="T32" s="853">
        <f t="shared" si="31"/>
        <v>0</v>
      </c>
      <c r="U32" s="1934" t="str">
        <f t="shared" si="22"/>
        <v>1.33</v>
      </c>
      <c r="V32" s="1934" t="str">
        <f t="shared" si="23"/>
        <v>D+</v>
      </c>
      <c r="W32" s="1934" t="str">
        <f t="shared" si="29"/>
        <v>0</v>
      </c>
      <c r="X32" s="1502"/>
      <c r="Y32" s="1503"/>
      <c r="Z32" s="1503"/>
      <c r="AA32" s="1503"/>
      <c r="AB32" s="1504"/>
      <c r="AC32" s="1504"/>
      <c r="AD32" s="1504"/>
      <c r="AE32" s="1505"/>
      <c r="AF32" s="1525"/>
      <c r="AG32" s="1526"/>
    </row>
    <row r="33" spans="1:33" ht="24.95" customHeight="1" x14ac:dyDescent="0.25">
      <c r="A33" s="727"/>
      <c r="B33" s="1401">
        <v>5</v>
      </c>
      <c r="C33" s="1512"/>
      <c r="D33" s="1506"/>
      <c r="E33" s="2813"/>
      <c r="F33" s="2814"/>
      <c r="G33" s="2814"/>
      <c r="H33" s="2814"/>
      <c r="I33" s="2023"/>
      <c r="J33" s="2023"/>
      <c r="K33" s="2023"/>
      <c r="L33" s="2023"/>
      <c r="M33" s="2023"/>
      <c r="N33" s="2023"/>
      <c r="O33" s="2023"/>
      <c r="P33" s="2023"/>
      <c r="Q33" s="2023"/>
      <c r="R33" s="2023"/>
      <c r="S33" s="2023"/>
      <c r="T33" s="1520">
        <f>IFERROR(AVERAGE(T29:T32),"  ")</f>
        <v>0</v>
      </c>
      <c r="U33" s="1935" t="str">
        <f t="shared" si="22"/>
        <v>1.33</v>
      </c>
      <c r="V33" s="1935" t="str">
        <f t="shared" si="23"/>
        <v>D+</v>
      </c>
      <c r="W33" s="1936"/>
      <c r="X33" s="728"/>
      <c r="Y33" s="729"/>
      <c r="Z33" s="729"/>
      <c r="AA33" s="729"/>
      <c r="AB33" s="729"/>
      <c r="AC33" s="729"/>
      <c r="AD33" s="729"/>
      <c r="AE33" s="730"/>
      <c r="AF33" s="1527"/>
      <c r="AG33" s="1528"/>
    </row>
    <row r="34" spans="1:33" ht="24.95" customHeight="1" x14ac:dyDescent="0.25">
      <c r="A34" s="724">
        <v>6</v>
      </c>
      <c r="B34" s="1509"/>
      <c r="C34" s="1384" t="str">
        <f>VLOOKUP(A34,data_siswa,4,FALSE)</f>
        <v>Asyam Hanif Ihsan H</v>
      </c>
      <c r="D34" s="1510" t="s">
        <v>154</v>
      </c>
      <c r="E34" s="1497"/>
      <c r="F34" s="1497"/>
      <c r="G34" s="1497"/>
      <c r="H34" s="2043">
        <v>0</v>
      </c>
      <c r="I34" s="2043">
        <v>0</v>
      </c>
      <c r="J34" s="2043">
        <v>0</v>
      </c>
      <c r="K34" s="1497"/>
      <c r="L34" s="1497"/>
      <c r="M34" s="1497"/>
      <c r="N34" s="2043"/>
      <c r="O34" s="2043"/>
      <c r="P34" s="2043"/>
      <c r="Q34" s="2028">
        <f>MAX(E34,H34,K34,N34)</f>
        <v>0</v>
      </c>
      <c r="R34" s="2026">
        <f t="shared" ref="R34:R37" si="32">MAX(F34,I34,L34,O34)</f>
        <v>0</v>
      </c>
      <c r="S34" s="2029">
        <f t="shared" ref="S34:S37" si="33">MAX(G34,J34,M34,P34)</f>
        <v>0</v>
      </c>
      <c r="T34" s="853">
        <f>IFERROR(AVERAGE(Q34:S34),"")</f>
        <v>0</v>
      </c>
      <c r="U34" s="1934" t="str">
        <f t="shared" si="22"/>
        <v>1.33</v>
      </c>
      <c r="V34" s="1934" t="str">
        <f t="shared" si="23"/>
        <v>D+</v>
      </c>
      <c r="W34" s="1934" t="str">
        <f t="shared" ref="W34:W37" si="34">IF(T34&gt;80,("SB"),IF(T34&gt;65,("B"),IF(T34&gt;50,("C"),IF(T34&gt;0,("K"),"0"))))</f>
        <v>0</v>
      </c>
      <c r="X34" s="383"/>
      <c r="Y34" s="383"/>
      <c r="Z34" s="383"/>
      <c r="AA34" s="383"/>
      <c r="AB34" s="726"/>
      <c r="AC34" s="726"/>
      <c r="AD34" s="726"/>
      <c r="AE34" s="726"/>
      <c r="AF34" s="1057">
        <f>AVERAGE(T34:T37)</f>
        <v>0</v>
      </c>
      <c r="AG34" s="1194" t="str">
        <f>IF(AF34&gt;85,("A"),IF(AF34&gt;80,("A-"),IF(AF34&gt;75,("B+"),IF(AF34&gt;70,("B"),IF(AF34&gt;65,("B-"),IF(AF34&gt;60,("C+"),IF(AF34&gt;55,("C"),IF(AF34&gt;50,("C-"),"D+"))))))))</f>
        <v>D+</v>
      </c>
    </row>
    <row r="35" spans="1:33" ht="24.95" customHeight="1" x14ac:dyDescent="0.25">
      <c r="A35" s="360"/>
      <c r="B35" s="1511"/>
      <c r="C35" s="1310"/>
      <c r="D35" s="1492" t="s">
        <v>9</v>
      </c>
      <c r="E35" s="1493"/>
      <c r="F35" s="1497"/>
      <c r="G35" s="1493"/>
      <c r="H35" s="2040">
        <v>0</v>
      </c>
      <c r="I35" s="2040">
        <v>0</v>
      </c>
      <c r="J35" s="2040">
        <v>0</v>
      </c>
      <c r="K35" s="1497">
        <v>0</v>
      </c>
      <c r="L35" s="1497">
        <v>0</v>
      </c>
      <c r="M35" s="1497">
        <v>0</v>
      </c>
      <c r="N35" s="2043">
        <v>0</v>
      </c>
      <c r="O35" s="2043">
        <v>0</v>
      </c>
      <c r="P35" s="2043">
        <v>0</v>
      </c>
      <c r="Q35" s="2028">
        <f t="shared" ref="Q35:Q37" si="35">MAX(E35,H35,K35,N35)</f>
        <v>0</v>
      </c>
      <c r="R35" s="2026">
        <f t="shared" si="32"/>
        <v>0</v>
      </c>
      <c r="S35" s="2029">
        <f t="shared" si="33"/>
        <v>0</v>
      </c>
      <c r="T35" s="853">
        <f t="shared" ref="T35:T37" si="36">IFERROR(AVERAGE(Q35:S35),"")</f>
        <v>0</v>
      </c>
      <c r="U35" s="1934" t="str">
        <f t="shared" si="22"/>
        <v>1.33</v>
      </c>
      <c r="V35" s="1934" t="str">
        <f t="shared" si="23"/>
        <v>D+</v>
      </c>
      <c r="W35" s="1934" t="str">
        <f t="shared" si="34"/>
        <v>0</v>
      </c>
      <c r="X35" s="1498"/>
      <c r="Y35" s="1499"/>
      <c r="Z35" s="1499"/>
      <c r="AA35" s="1499"/>
      <c r="AB35" s="1500"/>
      <c r="AC35" s="1500"/>
      <c r="AD35" s="1500"/>
      <c r="AE35" s="1501"/>
      <c r="AF35" s="1521"/>
      <c r="AG35" s="1522"/>
    </row>
    <row r="36" spans="1:33" ht="24.95" customHeight="1" x14ac:dyDescent="0.25">
      <c r="A36" s="360"/>
      <c r="B36" s="1511"/>
      <c r="C36" s="1310"/>
      <c r="D36" s="1492" t="s">
        <v>11</v>
      </c>
      <c r="E36" s="1493"/>
      <c r="F36" s="1493"/>
      <c r="G36" s="1497"/>
      <c r="H36" s="2040">
        <v>0</v>
      </c>
      <c r="I36" s="2040">
        <v>0</v>
      </c>
      <c r="J36" s="2040">
        <v>0</v>
      </c>
      <c r="K36" s="1497">
        <v>0</v>
      </c>
      <c r="L36" s="1497">
        <v>0</v>
      </c>
      <c r="M36" s="1497">
        <v>0</v>
      </c>
      <c r="N36" s="2043"/>
      <c r="O36" s="2043"/>
      <c r="P36" s="2043"/>
      <c r="Q36" s="2028">
        <f t="shared" si="35"/>
        <v>0</v>
      </c>
      <c r="R36" s="2026">
        <f t="shared" si="32"/>
        <v>0</v>
      </c>
      <c r="S36" s="2029">
        <f t="shared" si="33"/>
        <v>0</v>
      </c>
      <c r="T36" s="853">
        <f t="shared" si="36"/>
        <v>0</v>
      </c>
      <c r="U36" s="1934" t="str">
        <f t="shared" si="22"/>
        <v>1.33</v>
      </c>
      <c r="V36" s="1934" t="str">
        <f t="shared" si="23"/>
        <v>D+</v>
      </c>
      <c r="W36" s="1934" t="str">
        <f t="shared" si="34"/>
        <v>0</v>
      </c>
      <c r="X36" s="1502"/>
      <c r="Y36" s="1503"/>
      <c r="Z36" s="1503"/>
      <c r="AA36" s="1503"/>
      <c r="AB36" s="1504"/>
      <c r="AC36" s="1504"/>
      <c r="AD36" s="1504"/>
      <c r="AE36" s="1505"/>
      <c r="AF36" s="1523"/>
      <c r="AG36" s="1524"/>
    </row>
    <row r="37" spans="1:33" ht="24.95" customHeight="1" x14ac:dyDescent="0.25">
      <c r="A37" s="360"/>
      <c r="B37" s="1511"/>
      <c r="C37" s="1310"/>
      <c r="D37" s="1492" t="s">
        <v>16</v>
      </c>
      <c r="E37" s="1497">
        <v>0</v>
      </c>
      <c r="F37" s="1497">
        <v>0</v>
      </c>
      <c r="G37" s="1497">
        <v>0</v>
      </c>
      <c r="H37" s="2043">
        <v>0</v>
      </c>
      <c r="I37" s="2043">
        <v>0</v>
      </c>
      <c r="J37" s="2043">
        <v>0</v>
      </c>
      <c r="K37" s="1497">
        <v>0</v>
      </c>
      <c r="L37" s="1497">
        <v>0</v>
      </c>
      <c r="M37" s="1497">
        <v>0</v>
      </c>
      <c r="N37" s="2043">
        <v>0</v>
      </c>
      <c r="O37" s="2043">
        <v>0</v>
      </c>
      <c r="P37" s="2043">
        <v>0</v>
      </c>
      <c r="Q37" s="2028">
        <f t="shared" si="35"/>
        <v>0</v>
      </c>
      <c r="R37" s="2026">
        <f t="shared" si="32"/>
        <v>0</v>
      </c>
      <c r="S37" s="2029">
        <f t="shared" si="33"/>
        <v>0</v>
      </c>
      <c r="T37" s="853">
        <f t="shared" si="36"/>
        <v>0</v>
      </c>
      <c r="U37" s="1934" t="str">
        <f t="shared" si="22"/>
        <v>1.33</v>
      </c>
      <c r="V37" s="1934" t="str">
        <f t="shared" si="23"/>
        <v>D+</v>
      </c>
      <c r="W37" s="1934" t="str">
        <f t="shared" si="34"/>
        <v>0</v>
      </c>
      <c r="X37" s="1502"/>
      <c r="Y37" s="1503"/>
      <c r="Z37" s="1503"/>
      <c r="AA37" s="1503"/>
      <c r="AB37" s="1504"/>
      <c r="AC37" s="1504"/>
      <c r="AD37" s="1504"/>
      <c r="AE37" s="1505"/>
      <c r="AF37" s="1525"/>
      <c r="AG37" s="1526"/>
    </row>
    <row r="38" spans="1:33" ht="24.95" customHeight="1" x14ac:dyDescent="0.25">
      <c r="A38" s="727"/>
      <c r="B38" s="1401">
        <v>6</v>
      </c>
      <c r="C38" s="1512"/>
      <c r="D38" s="1506"/>
      <c r="E38" s="2813"/>
      <c r="F38" s="2814"/>
      <c r="G38" s="2814"/>
      <c r="H38" s="2814"/>
      <c r="I38" s="2023"/>
      <c r="J38" s="2023"/>
      <c r="K38" s="2023"/>
      <c r="L38" s="2023"/>
      <c r="M38" s="2023"/>
      <c r="N38" s="2023"/>
      <c r="O38" s="2023"/>
      <c r="P38" s="2023"/>
      <c r="Q38" s="2023"/>
      <c r="R38" s="2023"/>
      <c r="S38" s="2023"/>
      <c r="T38" s="1520">
        <f>IFERROR(AVERAGE(T34:T37),"  ")</f>
        <v>0</v>
      </c>
      <c r="U38" s="1935" t="str">
        <f t="shared" si="22"/>
        <v>1.33</v>
      </c>
      <c r="V38" s="1935" t="str">
        <f t="shared" si="23"/>
        <v>D+</v>
      </c>
      <c r="W38" s="1936"/>
      <c r="X38" s="728"/>
      <c r="Y38" s="729"/>
      <c r="Z38" s="729"/>
      <c r="AA38" s="729"/>
      <c r="AB38" s="729"/>
      <c r="AC38" s="729"/>
      <c r="AD38" s="729"/>
      <c r="AE38" s="730"/>
      <c r="AF38" s="1527"/>
      <c r="AG38" s="1528"/>
    </row>
    <row r="39" spans="1:33" ht="24.95" customHeight="1" x14ac:dyDescent="0.25">
      <c r="A39" s="724">
        <v>7</v>
      </c>
      <c r="B39" s="1509"/>
      <c r="C39" s="1384" t="str">
        <f>VLOOKUP(A39,data_siswa,4,FALSE)</f>
        <v>Athaya Salsabilla Z</v>
      </c>
      <c r="D39" s="1510" t="s">
        <v>154</v>
      </c>
      <c r="E39" s="1497"/>
      <c r="F39" s="1497"/>
      <c r="G39" s="1497"/>
      <c r="H39" s="2043">
        <v>0</v>
      </c>
      <c r="I39" s="2043">
        <v>0</v>
      </c>
      <c r="J39" s="2043">
        <v>0</v>
      </c>
      <c r="K39" s="1497"/>
      <c r="L39" s="1497"/>
      <c r="M39" s="1497"/>
      <c r="N39" s="2043"/>
      <c r="O39" s="2043"/>
      <c r="P39" s="2043"/>
      <c r="Q39" s="2028">
        <f>MAX(E39,H39,K39,N39)</f>
        <v>0</v>
      </c>
      <c r="R39" s="2026">
        <f t="shared" ref="R39:R42" si="37">MAX(F39,I39,L39,O39)</f>
        <v>0</v>
      </c>
      <c r="S39" s="2029">
        <f t="shared" ref="S39:S42" si="38">MAX(G39,J39,M39,P39)</f>
        <v>0</v>
      </c>
      <c r="T39" s="853">
        <f>IFERROR(AVERAGE(Q39:S39),"")</f>
        <v>0</v>
      </c>
      <c r="U39" s="1934" t="str">
        <f t="shared" si="22"/>
        <v>1.33</v>
      </c>
      <c r="V39" s="1934" t="str">
        <f t="shared" si="23"/>
        <v>D+</v>
      </c>
      <c r="W39" s="1934" t="str">
        <f t="shared" ref="W39:W42" si="39">IF(T39&gt;80,("SB"),IF(T39&gt;65,("B"),IF(T39&gt;50,("C"),IF(T39&gt;0,("K"),"0"))))</f>
        <v>0</v>
      </c>
      <c r="X39" s="383"/>
      <c r="Y39" s="383"/>
      <c r="Z39" s="383"/>
      <c r="AA39" s="383"/>
      <c r="AB39" s="726"/>
      <c r="AC39" s="726"/>
      <c r="AD39" s="726"/>
      <c r="AE39" s="726"/>
      <c r="AF39" s="1057">
        <f>AVERAGE(T39:T42)</f>
        <v>0</v>
      </c>
      <c r="AG39" s="1194" t="str">
        <f>IF(AF39&gt;85,("A"),IF(AF39&gt;80,("A-"),IF(AF39&gt;75,("B+"),IF(AF39&gt;70,("B"),IF(AF39&gt;65,("B-"),IF(AF39&gt;60,("C+"),IF(AF39&gt;55,("C"),IF(AF39&gt;50,("C-"),"D+"))))))))</f>
        <v>D+</v>
      </c>
    </row>
    <row r="40" spans="1:33" ht="24.95" customHeight="1" x14ac:dyDescent="0.25">
      <c r="A40" s="360"/>
      <c r="B40" s="1511"/>
      <c r="C40" s="1310"/>
      <c r="D40" s="1492" t="s">
        <v>9</v>
      </c>
      <c r="E40" s="1493"/>
      <c r="F40" s="1497"/>
      <c r="G40" s="1493"/>
      <c r="H40" s="2040">
        <v>0</v>
      </c>
      <c r="I40" s="2040">
        <v>0</v>
      </c>
      <c r="J40" s="2040">
        <v>0</v>
      </c>
      <c r="K40" s="1497">
        <v>0</v>
      </c>
      <c r="L40" s="1497">
        <v>0</v>
      </c>
      <c r="M40" s="1497">
        <v>0</v>
      </c>
      <c r="N40" s="2043">
        <v>0</v>
      </c>
      <c r="O40" s="2043">
        <v>0</v>
      </c>
      <c r="P40" s="2043">
        <v>0</v>
      </c>
      <c r="Q40" s="2028">
        <f t="shared" ref="Q40:Q42" si="40">MAX(E40,H40,K40,N40)</f>
        <v>0</v>
      </c>
      <c r="R40" s="2026">
        <f t="shared" si="37"/>
        <v>0</v>
      </c>
      <c r="S40" s="2029">
        <f t="shared" si="38"/>
        <v>0</v>
      </c>
      <c r="T40" s="853">
        <f t="shared" ref="T40:T42" si="41">IFERROR(AVERAGE(Q40:S40),"")</f>
        <v>0</v>
      </c>
      <c r="U40" s="1934" t="str">
        <f t="shared" si="22"/>
        <v>1.33</v>
      </c>
      <c r="V40" s="1934" t="str">
        <f t="shared" si="23"/>
        <v>D+</v>
      </c>
      <c r="W40" s="1934" t="str">
        <f t="shared" si="39"/>
        <v>0</v>
      </c>
      <c r="X40" s="1498"/>
      <c r="Y40" s="1499"/>
      <c r="Z40" s="1499"/>
      <c r="AA40" s="1499"/>
      <c r="AB40" s="1500"/>
      <c r="AC40" s="1500"/>
      <c r="AD40" s="1500"/>
      <c r="AE40" s="1501"/>
      <c r="AF40" s="1521"/>
      <c r="AG40" s="1522"/>
    </row>
    <row r="41" spans="1:33" ht="24.95" customHeight="1" x14ac:dyDescent="0.25">
      <c r="A41" s="360"/>
      <c r="B41" s="1511"/>
      <c r="C41" s="1310"/>
      <c r="D41" s="1492" t="s">
        <v>11</v>
      </c>
      <c r="E41" s="1493"/>
      <c r="F41" s="1493"/>
      <c r="G41" s="1497"/>
      <c r="H41" s="2040">
        <v>0</v>
      </c>
      <c r="I41" s="2040">
        <v>0</v>
      </c>
      <c r="J41" s="2040">
        <v>0</v>
      </c>
      <c r="K41" s="1497">
        <v>0</v>
      </c>
      <c r="L41" s="1497">
        <v>0</v>
      </c>
      <c r="M41" s="1497">
        <v>0</v>
      </c>
      <c r="N41" s="2043"/>
      <c r="O41" s="2043"/>
      <c r="P41" s="2043"/>
      <c r="Q41" s="2028">
        <f t="shared" si="40"/>
        <v>0</v>
      </c>
      <c r="R41" s="2026">
        <f t="shared" si="37"/>
        <v>0</v>
      </c>
      <c r="S41" s="2029">
        <f t="shared" si="38"/>
        <v>0</v>
      </c>
      <c r="T41" s="853">
        <f t="shared" si="41"/>
        <v>0</v>
      </c>
      <c r="U41" s="1934" t="str">
        <f t="shared" si="22"/>
        <v>1.33</v>
      </c>
      <c r="V41" s="1934" t="str">
        <f t="shared" si="23"/>
        <v>D+</v>
      </c>
      <c r="W41" s="1934" t="str">
        <f t="shared" si="39"/>
        <v>0</v>
      </c>
      <c r="X41" s="1502"/>
      <c r="Y41" s="1503"/>
      <c r="Z41" s="1503"/>
      <c r="AA41" s="1503"/>
      <c r="AB41" s="1504"/>
      <c r="AC41" s="1504"/>
      <c r="AD41" s="1504"/>
      <c r="AE41" s="1505"/>
      <c r="AF41" s="1523"/>
      <c r="AG41" s="1524"/>
    </row>
    <row r="42" spans="1:33" ht="24.95" customHeight="1" x14ac:dyDescent="0.25">
      <c r="A42" s="360"/>
      <c r="B42" s="1511"/>
      <c r="C42" s="1310"/>
      <c r="D42" s="1492" t="s">
        <v>16</v>
      </c>
      <c r="E42" s="1497">
        <v>0</v>
      </c>
      <c r="F42" s="1497">
        <v>0</v>
      </c>
      <c r="G42" s="1497">
        <v>0</v>
      </c>
      <c r="H42" s="2043">
        <v>0</v>
      </c>
      <c r="I42" s="2043">
        <v>0</v>
      </c>
      <c r="J42" s="2043">
        <v>0</v>
      </c>
      <c r="K42" s="1497">
        <v>0</v>
      </c>
      <c r="L42" s="1497">
        <v>0</v>
      </c>
      <c r="M42" s="1497">
        <v>0</v>
      </c>
      <c r="N42" s="2043">
        <v>0</v>
      </c>
      <c r="O42" s="2043">
        <v>0</v>
      </c>
      <c r="P42" s="2043">
        <v>0</v>
      </c>
      <c r="Q42" s="2028">
        <f t="shared" si="40"/>
        <v>0</v>
      </c>
      <c r="R42" s="2026">
        <f t="shared" si="37"/>
        <v>0</v>
      </c>
      <c r="S42" s="2029">
        <f t="shared" si="38"/>
        <v>0</v>
      </c>
      <c r="T42" s="853">
        <f t="shared" si="41"/>
        <v>0</v>
      </c>
      <c r="U42" s="1934" t="str">
        <f t="shared" si="22"/>
        <v>1.33</v>
      </c>
      <c r="V42" s="1934" t="str">
        <f t="shared" si="23"/>
        <v>D+</v>
      </c>
      <c r="W42" s="1934" t="str">
        <f t="shared" si="39"/>
        <v>0</v>
      </c>
      <c r="X42" s="1502"/>
      <c r="Y42" s="1503"/>
      <c r="Z42" s="1503"/>
      <c r="AA42" s="1503"/>
      <c r="AB42" s="1504"/>
      <c r="AC42" s="1504"/>
      <c r="AD42" s="1504"/>
      <c r="AE42" s="1505"/>
      <c r="AF42" s="1525"/>
      <c r="AG42" s="1526"/>
    </row>
    <row r="43" spans="1:33" ht="24.95" customHeight="1" x14ac:dyDescent="0.25">
      <c r="A43" s="727"/>
      <c r="B43" s="1401">
        <v>7</v>
      </c>
      <c r="C43" s="1512"/>
      <c r="D43" s="1506"/>
      <c r="E43" s="2813"/>
      <c r="F43" s="2814"/>
      <c r="G43" s="2814"/>
      <c r="H43" s="2814"/>
      <c r="I43" s="2023"/>
      <c r="J43" s="2023"/>
      <c r="K43" s="2023"/>
      <c r="L43" s="2023"/>
      <c r="M43" s="2023"/>
      <c r="N43" s="2023"/>
      <c r="O43" s="2023"/>
      <c r="P43" s="2023"/>
      <c r="Q43" s="2023"/>
      <c r="R43" s="2023"/>
      <c r="S43" s="2023"/>
      <c r="T43" s="1520">
        <f>IFERROR(AVERAGE(T39:T42),"  ")</f>
        <v>0</v>
      </c>
      <c r="U43" s="1935" t="str">
        <f t="shared" si="22"/>
        <v>1.33</v>
      </c>
      <c r="V43" s="1935" t="str">
        <f t="shared" si="23"/>
        <v>D+</v>
      </c>
      <c r="W43" s="1936"/>
      <c r="X43" s="728"/>
      <c r="Y43" s="729"/>
      <c r="Z43" s="729"/>
      <c r="AA43" s="729"/>
      <c r="AB43" s="729"/>
      <c r="AC43" s="729"/>
      <c r="AD43" s="729"/>
      <c r="AE43" s="730"/>
      <c r="AF43" s="1527"/>
      <c r="AG43" s="1528"/>
    </row>
    <row r="44" spans="1:33" ht="24.95" customHeight="1" x14ac:dyDescent="0.25">
      <c r="A44" s="724">
        <v>8</v>
      </c>
      <c r="B44" s="1509"/>
      <c r="C44" s="1384" t="str">
        <f>VLOOKUP(A44,data_siswa,4,FALSE)</f>
        <v>Aulia Dea Rosalinda</v>
      </c>
      <c r="D44" s="1510" t="s">
        <v>154</v>
      </c>
      <c r="E44" s="1497"/>
      <c r="F44" s="1497"/>
      <c r="G44" s="1497"/>
      <c r="H44" s="2043">
        <v>0</v>
      </c>
      <c r="I44" s="2043">
        <v>0</v>
      </c>
      <c r="J44" s="2043">
        <v>0</v>
      </c>
      <c r="K44" s="1497"/>
      <c r="L44" s="1497"/>
      <c r="M44" s="1497"/>
      <c r="N44" s="2043"/>
      <c r="O44" s="2043"/>
      <c r="P44" s="2043"/>
      <c r="Q44" s="2028">
        <f>MAX(E44,H44,K44,N44)</f>
        <v>0</v>
      </c>
      <c r="R44" s="2026">
        <f t="shared" ref="R44:R47" si="42">MAX(F44,I44,L44,O44)</f>
        <v>0</v>
      </c>
      <c r="S44" s="2029">
        <f t="shared" ref="S44:S47" si="43">MAX(G44,J44,M44,P44)</f>
        <v>0</v>
      </c>
      <c r="T44" s="853">
        <f>IFERROR(AVERAGE(Q44:S44),"")</f>
        <v>0</v>
      </c>
      <c r="U44" s="1934" t="str">
        <f t="shared" si="22"/>
        <v>1.33</v>
      </c>
      <c r="V44" s="1934" t="str">
        <f t="shared" si="23"/>
        <v>D+</v>
      </c>
      <c r="W44" s="1934" t="str">
        <f t="shared" ref="W44:W47" si="44">IF(T44&gt;80,("SB"),IF(T44&gt;65,("B"),IF(T44&gt;50,("C"),IF(T44&gt;0,("K"),"0"))))</f>
        <v>0</v>
      </c>
      <c r="X44" s="383"/>
      <c r="Y44" s="383"/>
      <c r="Z44" s="383"/>
      <c r="AA44" s="383"/>
      <c r="AB44" s="726"/>
      <c r="AC44" s="726"/>
      <c r="AD44" s="726"/>
      <c r="AE44" s="726"/>
      <c r="AF44" s="1057">
        <f>AVERAGE(T44:T47)</f>
        <v>0</v>
      </c>
      <c r="AG44" s="1194" t="str">
        <f>IF(AF44&gt;85,("A"),IF(AF44&gt;80,("A-"),IF(AF44&gt;75,("B+"),IF(AF44&gt;70,("B"),IF(AF44&gt;65,("B-"),IF(AF44&gt;60,("C+"),IF(AF44&gt;55,("C"),IF(AF44&gt;50,("C-"),"D+"))))))))</f>
        <v>D+</v>
      </c>
    </row>
    <row r="45" spans="1:33" ht="24.95" customHeight="1" x14ac:dyDescent="0.25">
      <c r="A45" s="360"/>
      <c r="B45" s="1511"/>
      <c r="C45" s="1310"/>
      <c r="D45" s="1492" t="s">
        <v>9</v>
      </c>
      <c r="E45" s="1493"/>
      <c r="F45" s="1497"/>
      <c r="G45" s="1493"/>
      <c r="H45" s="2040">
        <v>0</v>
      </c>
      <c r="I45" s="2040">
        <v>0</v>
      </c>
      <c r="J45" s="2040">
        <v>0</v>
      </c>
      <c r="K45" s="1497">
        <v>0</v>
      </c>
      <c r="L45" s="1497">
        <v>0</v>
      </c>
      <c r="M45" s="1497">
        <v>0</v>
      </c>
      <c r="N45" s="2043">
        <v>0</v>
      </c>
      <c r="O45" s="2043">
        <v>0</v>
      </c>
      <c r="P45" s="2043">
        <v>0</v>
      </c>
      <c r="Q45" s="2028">
        <f t="shared" ref="Q45:Q47" si="45">MAX(E45,H45,K45,N45)</f>
        <v>0</v>
      </c>
      <c r="R45" s="2026">
        <f t="shared" si="42"/>
        <v>0</v>
      </c>
      <c r="S45" s="2029">
        <f t="shared" si="43"/>
        <v>0</v>
      </c>
      <c r="T45" s="853">
        <f t="shared" ref="T45:T47" si="46">IFERROR(AVERAGE(Q45:S45),"")</f>
        <v>0</v>
      </c>
      <c r="U45" s="1934" t="str">
        <f t="shared" si="22"/>
        <v>1.33</v>
      </c>
      <c r="V45" s="1934" t="str">
        <f t="shared" si="23"/>
        <v>D+</v>
      </c>
      <c r="W45" s="1934" t="str">
        <f t="shared" si="44"/>
        <v>0</v>
      </c>
      <c r="X45" s="1498"/>
      <c r="Y45" s="1499"/>
      <c r="Z45" s="1499"/>
      <c r="AA45" s="1499"/>
      <c r="AB45" s="1500"/>
      <c r="AC45" s="1500"/>
      <c r="AD45" s="1500"/>
      <c r="AE45" s="1501"/>
      <c r="AF45" s="1521"/>
      <c r="AG45" s="1522"/>
    </row>
    <row r="46" spans="1:33" ht="24.95" customHeight="1" x14ac:dyDescent="0.25">
      <c r="A46" s="360"/>
      <c r="B46" s="1511"/>
      <c r="C46" s="1310"/>
      <c r="D46" s="1492" t="s">
        <v>11</v>
      </c>
      <c r="E46" s="1493"/>
      <c r="F46" s="1493"/>
      <c r="G46" s="1497"/>
      <c r="H46" s="2040">
        <v>0</v>
      </c>
      <c r="I46" s="2040">
        <v>0</v>
      </c>
      <c r="J46" s="2040">
        <v>0</v>
      </c>
      <c r="K46" s="1497">
        <v>0</v>
      </c>
      <c r="L46" s="1497">
        <v>0</v>
      </c>
      <c r="M46" s="1497">
        <v>0</v>
      </c>
      <c r="N46" s="2043"/>
      <c r="O46" s="2043"/>
      <c r="P46" s="2043"/>
      <c r="Q46" s="2028">
        <f t="shared" si="45"/>
        <v>0</v>
      </c>
      <c r="R46" s="2026">
        <f t="shared" si="42"/>
        <v>0</v>
      </c>
      <c r="S46" s="2029">
        <f t="shared" si="43"/>
        <v>0</v>
      </c>
      <c r="T46" s="853">
        <f t="shared" si="46"/>
        <v>0</v>
      </c>
      <c r="U46" s="1934" t="str">
        <f t="shared" si="22"/>
        <v>1.33</v>
      </c>
      <c r="V46" s="1934" t="str">
        <f t="shared" si="23"/>
        <v>D+</v>
      </c>
      <c r="W46" s="1934" t="str">
        <f t="shared" si="44"/>
        <v>0</v>
      </c>
      <c r="X46" s="1502"/>
      <c r="Y46" s="1503"/>
      <c r="Z46" s="1503"/>
      <c r="AA46" s="1503"/>
      <c r="AB46" s="1504"/>
      <c r="AC46" s="1504"/>
      <c r="AD46" s="1504"/>
      <c r="AE46" s="1505"/>
      <c r="AF46" s="1523"/>
      <c r="AG46" s="1524"/>
    </row>
    <row r="47" spans="1:33" ht="24.95" customHeight="1" x14ac:dyDescent="0.25">
      <c r="A47" s="360"/>
      <c r="B47" s="1511"/>
      <c r="C47" s="1310"/>
      <c r="D47" s="1492" t="s">
        <v>16</v>
      </c>
      <c r="E47" s="1497">
        <v>0</v>
      </c>
      <c r="F47" s="1497">
        <v>0</v>
      </c>
      <c r="G47" s="1497">
        <v>0</v>
      </c>
      <c r="H47" s="2043">
        <v>0</v>
      </c>
      <c r="I47" s="2043">
        <v>0</v>
      </c>
      <c r="J47" s="2043">
        <v>0</v>
      </c>
      <c r="K47" s="1497">
        <v>0</v>
      </c>
      <c r="L47" s="1497">
        <v>0</v>
      </c>
      <c r="M47" s="1497">
        <v>0</v>
      </c>
      <c r="N47" s="2043">
        <v>0</v>
      </c>
      <c r="O47" s="2043">
        <v>0</v>
      </c>
      <c r="P47" s="2043">
        <v>0</v>
      </c>
      <c r="Q47" s="2028">
        <f t="shared" si="45"/>
        <v>0</v>
      </c>
      <c r="R47" s="2026">
        <f t="shared" si="42"/>
        <v>0</v>
      </c>
      <c r="S47" s="2029">
        <f t="shared" si="43"/>
        <v>0</v>
      </c>
      <c r="T47" s="853">
        <f t="shared" si="46"/>
        <v>0</v>
      </c>
      <c r="U47" s="1934" t="str">
        <f t="shared" si="22"/>
        <v>1.33</v>
      </c>
      <c r="V47" s="1934" t="str">
        <f t="shared" si="23"/>
        <v>D+</v>
      </c>
      <c r="W47" s="1934" t="str">
        <f t="shared" si="44"/>
        <v>0</v>
      </c>
      <c r="X47" s="1502"/>
      <c r="Y47" s="1503"/>
      <c r="Z47" s="1503"/>
      <c r="AA47" s="1503"/>
      <c r="AB47" s="1504"/>
      <c r="AC47" s="1504"/>
      <c r="AD47" s="1504"/>
      <c r="AE47" s="1505"/>
      <c r="AF47" s="1525"/>
      <c r="AG47" s="1526"/>
    </row>
    <row r="48" spans="1:33" ht="24.95" customHeight="1" x14ac:dyDescent="0.25">
      <c r="A48" s="727"/>
      <c r="B48" s="1401">
        <v>8</v>
      </c>
      <c r="C48" s="1512"/>
      <c r="D48" s="1506"/>
      <c r="E48" s="2813"/>
      <c r="F48" s="2814"/>
      <c r="G48" s="2814"/>
      <c r="H48" s="2814"/>
      <c r="I48" s="2023"/>
      <c r="J48" s="2023"/>
      <c r="K48" s="2023"/>
      <c r="L48" s="2023"/>
      <c r="M48" s="2023"/>
      <c r="N48" s="2023"/>
      <c r="O48" s="2023"/>
      <c r="P48" s="2023"/>
      <c r="Q48" s="2023"/>
      <c r="R48" s="2023"/>
      <c r="S48" s="2023"/>
      <c r="T48" s="1520">
        <f>IFERROR(AVERAGE(T44:T47),"  ")</f>
        <v>0</v>
      </c>
      <c r="U48" s="1935" t="str">
        <f t="shared" si="22"/>
        <v>1.33</v>
      </c>
      <c r="V48" s="1935" t="str">
        <f t="shared" si="23"/>
        <v>D+</v>
      </c>
      <c r="W48" s="1936"/>
      <c r="X48" s="728"/>
      <c r="Y48" s="729"/>
      <c r="Z48" s="729"/>
      <c r="AA48" s="729"/>
      <c r="AB48" s="729"/>
      <c r="AC48" s="729"/>
      <c r="AD48" s="729"/>
      <c r="AE48" s="730"/>
      <c r="AF48" s="1527"/>
      <c r="AG48" s="1528"/>
    </row>
    <row r="49" spans="1:33" ht="24.95" customHeight="1" x14ac:dyDescent="0.25">
      <c r="A49" s="724">
        <v>9</v>
      </c>
      <c r="B49" s="1509"/>
      <c r="C49" s="1384" t="str">
        <f>VLOOKUP(A49,data_siswa,4,FALSE)</f>
        <v>Claudia Gabriella L</v>
      </c>
      <c r="D49" s="1510" t="s">
        <v>154</v>
      </c>
      <c r="E49" s="1497"/>
      <c r="F49" s="1497"/>
      <c r="G49" s="1497"/>
      <c r="H49" s="2043">
        <v>0</v>
      </c>
      <c r="I49" s="2043">
        <v>0</v>
      </c>
      <c r="J49" s="2043">
        <v>0</v>
      </c>
      <c r="K49" s="1497"/>
      <c r="L49" s="1497"/>
      <c r="M49" s="1497"/>
      <c r="N49" s="2043"/>
      <c r="O49" s="2043"/>
      <c r="P49" s="2043"/>
      <c r="Q49" s="2028">
        <f>MAX(E49,H49,K49,N49)</f>
        <v>0</v>
      </c>
      <c r="R49" s="2026">
        <f t="shared" ref="R49:R52" si="47">MAX(F49,I49,L49,O49)</f>
        <v>0</v>
      </c>
      <c r="S49" s="2029">
        <f t="shared" ref="S49:S52" si="48">MAX(G49,J49,M49,P49)</f>
        <v>0</v>
      </c>
      <c r="T49" s="853">
        <f>IFERROR(AVERAGE(Q49:S49),"")</f>
        <v>0</v>
      </c>
      <c r="U49" s="1934" t="str">
        <f t="shared" si="22"/>
        <v>1.33</v>
      </c>
      <c r="V49" s="1934" t="str">
        <f t="shared" si="23"/>
        <v>D+</v>
      </c>
      <c r="W49" s="1934" t="str">
        <f t="shared" ref="W49:W52" si="49">IF(T49&gt;80,("SB"),IF(T49&gt;65,("B"),IF(T49&gt;50,("C"),IF(T49&gt;0,("K"),"0"))))</f>
        <v>0</v>
      </c>
      <c r="X49" s="383"/>
      <c r="Y49" s="383"/>
      <c r="Z49" s="383"/>
      <c r="AA49" s="383"/>
      <c r="AB49" s="726"/>
      <c r="AC49" s="726"/>
      <c r="AD49" s="726"/>
      <c r="AE49" s="726"/>
      <c r="AF49" s="1057">
        <f>AVERAGE(T49:T52)</f>
        <v>0</v>
      </c>
      <c r="AG49" s="1194" t="str">
        <f>IF(AF49&gt;85,("A"),IF(AF49&gt;80,("A-"),IF(AF49&gt;75,("B+"),IF(AF49&gt;70,("B"),IF(AF49&gt;65,("B-"),IF(AF49&gt;60,("C+"),IF(AF49&gt;55,("C"),IF(AF49&gt;50,("C-"),"D+"))))))))</f>
        <v>D+</v>
      </c>
    </row>
    <row r="50" spans="1:33" ht="24.95" customHeight="1" x14ac:dyDescent="0.25">
      <c r="A50" s="360"/>
      <c r="B50" s="1511"/>
      <c r="C50" s="1310"/>
      <c r="D50" s="1492" t="s">
        <v>9</v>
      </c>
      <c r="E50" s="1493"/>
      <c r="F50" s="1497"/>
      <c r="G50" s="1493"/>
      <c r="H50" s="2040">
        <v>0</v>
      </c>
      <c r="I50" s="2040">
        <v>0</v>
      </c>
      <c r="J50" s="2040">
        <v>0</v>
      </c>
      <c r="K50" s="1497">
        <v>0</v>
      </c>
      <c r="L50" s="1497">
        <v>0</v>
      </c>
      <c r="M50" s="1497">
        <v>0</v>
      </c>
      <c r="N50" s="2043">
        <v>0</v>
      </c>
      <c r="O50" s="2043">
        <v>0</v>
      </c>
      <c r="P50" s="2043">
        <v>0</v>
      </c>
      <c r="Q50" s="2028">
        <f t="shared" ref="Q50:Q52" si="50">MAX(E50,H50,K50,N50)</f>
        <v>0</v>
      </c>
      <c r="R50" s="2026">
        <f t="shared" si="47"/>
        <v>0</v>
      </c>
      <c r="S50" s="2029">
        <f t="shared" si="48"/>
        <v>0</v>
      </c>
      <c r="T50" s="853">
        <f t="shared" ref="T50:T52" si="51">IFERROR(AVERAGE(Q50:S50),"")</f>
        <v>0</v>
      </c>
      <c r="U50" s="1934" t="str">
        <f t="shared" si="22"/>
        <v>1.33</v>
      </c>
      <c r="V50" s="1934" t="str">
        <f t="shared" si="23"/>
        <v>D+</v>
      </c>
      <c r="W50" s="1934" t="str">
        <f t="shared" si="49"/>
        <v>0</v>
      </c>
      <c r="X50" s="1498"/>
      <c r="Y50" s="1499"/>
      <c r="Z50" s="1499"/>
      <c r="AA50" s="1499"/>
      <c r="AB50" s="1500"/>
      <c r="AC50" s="1500"/>
      <c r="AD50" s="1500"/>
      <c r="AE50" s="1501"/>
      <c r="AF50" s="1521"/>
      <c r="AG50" s="1522"/>
    </row>
    <row r="51" spans="1:33" ht="24.95" customHeight="1" x14ac:dyDescent="0.25">
      <c r="A51" s="360"/>
      <c r="B51" s="1511"/>
      <c r="C51" s="1310"/>
      <c r="D51" s="1492" t="s">
        <v>11</v>
      </c>
      <c r="E51" s="1493"/>
      <c r="F51" s="1493"/>
      <c r="G51" s="1497"/>
      <c r="H51" s="2040">
        <v>0</v>
      </c>
      <c r="I51" s="2040">
        <v>0</v>
      </c>
      <c r="J51" s="2040">
        <v>0</v>
      </c>
      <c r="K51" s="1497">
        <v>0</v>
      </c>
      <c r="L51" s="1497">
        <v>0</v>
      </c>
      <c r="M51" s="1497">
        <v>0</v>
      </c>
      <c r="N51" s="2043"/>
      <c r="O51" s="2043"/>
      <c r="P51" s="2043"/>
      <c r="Q51" s="2028">
        <f t="shared" si="50"/>
        <v>0</v>
      </c>
      <c r="R51" s="2026">
        <f t="shared" si="47"/>
        <v>0</v>
      </c>
      <c r="S51" s="2029">
        <f t="shared" si="48"/>
        <v>0</v>
      </c>
      <c r="T51" s="853">
        <f t="shared" si="51"/>
        <v>0</v>
      </c>
      <c r="U51" s="1934" t="str">
        <f t="shared" si="22"/>
        <v>1.33</v>
      </c>
      <c r="V51" s="1934" t="str">
        <f t="shared" si="23"/>
        <v>D+</v>
      </c>
      <c r="W51" s="1934" t="str">
        <f t="shared" si="49"/>
        <v>0</v>
      </c>
      <c r="X51" s="1502"/>
      <c r="Y51" s="1503"/>
      <c r="Z51" s="1503"/>
      <c r="AA51" s="1503"/>
      <c r="AB51" s="1504"/>
      <c r="AC51" s="1504"/>
      <c r="AD51" s="1504"/>
      <c r="AE51" s="1505"/>
      <c r="AF51" s="1523"/>
      <c r="AG51" s="1524"/>
    </row>
    <row r="52" spans="1:33" ht="24.95" customHeight="1" x14ac:dyDescent="0.25">
      <c r="A52" s="360"/>
      <c r="B52" s="1511"/>
      <c r="C52" s="1310"/>
      <c r="D52" s="1492" t="s">
        <v>16</v>
      </c>
      <c r="E52" s="1497">
        <v>0</v>
      </c>
      <c r="F52" s="1497">
        <v>0</v>
      </c>
      <c r="G52" s="1497">
        <v>0</v>
      </c>
      <c r="H52" s="2043">
        <v>0</v>
      </c>
      <c r="I52" s="2043">
        <v>0</v>
      </c>
      <c r="J52" s="2043">
        <v>0</v>
      </c>
      <c r="K52" s="1497">
        <v>0</v>
      </c>
      <c r="L52" s="1497">
        <v>0</v>
      </c>
      <c r="M52" s="1497">
        <v>0</v>
      </c>
      <c r="N52" s="2043">
        <v>0</v>
      </c>
      <c r="O52" s="2043">
        <v>0</v>
      </c>
      <c r="P52" s="2043">
        <v>0</v>
      </c>
      <c r="Q52" s="2028">
        <f t="shared" si="50"/>
        <v>0</v>
      </c>
      <c r="R52" s="2026">
        <f t="shared" si="47"/>
        <v>0</v>
      </c>
      <c r="S52" s="2029">
        <f t="shared" si="48"/>
        <v>0</v>
      </c>
      <c r="T52" s="853">
        <f t="shared" si="51"/>
        <v>0</v>
      </c>
      <c r="U52" s="1934" t="str">
        <f t="shared" si="22"/>
        <v>1.33</v>
      </c>
      <c r="V52" s="1934" t="str">
        <f t="shared" si="23"/>
        <v>D+</v>
      </c>
      <c r="W52" s="1934" t="str">
        <f t="shared" si="49"/>
        <v>0</v>
      </c>
      <c r="X52" s="1502"/>
      <c r="Y52" s="1503"/>
      <c r="Z52" s="1503"/>
      <c r="AA52" s="1503"/>
      <c r="AB52" s="1504"/>
      <c r="AC52" s="1504"/>
      <c r="AD52" s="1504"/>
      <c r="AE52" s="1505"/>
      <c r="AF52" s="1525"/>
      <c r="AG52" s="1526"/>
    </row>
    <row r="53" spans="1:33" ht="24.95" customHeight="1" x14ac:dyDescent="0.25">
      <c r="A53" s="727"/>
      <c r="B53" s="1401">
        <v>9</v>
      </c>
      <c r="C53" s="1512"/>
      <c r="D53" s="1506"/>
      <c r="E53" s="2813"/>
      <c r="F53" s="2814"/>
      <c r="G53" s="2814"/>
      <c r="H53" s="2814"/>
      <c r="I53" s="2023"/>
      <c r="J53" s="2023"/>
      <c r="K53" s="2023"/>
      <c r="L53" s="2023"/>
      <c r="M53" s="2023"/>
      <c r="N53" s="2023"/>
      <c r="O53" s="2023"/>
      <c r="P53" s="2023"/>
      <c r="Q53" s="2023"/>
      <c r="R53" s="2023"/>
      <c r="S53" s="2023"/>
      <c r="T53" s="1520">
        <f>IFERROR(AVERAGE(T49:T52),"  ")</f>
        <v>0</v>
      </c>
      <c r="U53" s="1935" t="str">
        <f t="shared" si="22"/>
        <v>1.33</v>
      </c>
      <c r="V53" s="1935" t="str">
        <f t="shared" si="23"/>
        <v>D+</v>
      </c>
      <c r="W53" s="1936"/>
      <c r="X53" s="728"/>
      <c r="Y53" s="729"/>
      <c r="Z53" s="729"/>
      <c r="AA53" s="729"/>
      <c r="AB53" s="729"/>
      <c r="AC53" s="729"/>
      <c r="AD53" s="729"/>
      <c r="AE53" s="730"/>
      <c r="AF53" s="1527"/>
      <c r="AG53" s="1528"/>
    </row>
    <row r="54" spans="1:33" ht="24.95" customHeight="1" x14ac:dyDescent="0.25">
      <c r="A54" s="724">
        <v>10</v>
      </c>
      <c r="B54" s="1509"/>
      <c r="C54" s="1384" t="str">
        <f>VLOOKUP(A54,data_siswa,4,FALSE)</f>
        <v xml:space="preserve">Deco Badarus Zaman </v>
      </c>
      <c r="D54" s="1510" t="s">
        <v>154</v>
      </c>
      <c r="E54" s="1497"/>
      <c r="F54" s="1497"/>
      <c r="G54" s="1497"/>
      <c r="H54" s="2043">
        <v>0</v>
      </c>
      <c r="I54" s="2043">
        <v>0</v>
      </c>
      <c r="J54" s="2043">
        <v>0</v>
      </c>
      <c r="K54" s="1497"/>
      <c r="L54" s="1497"/>
      <c r="M54" s="1497"/>
      <c r="N54" s="2043"/>
      <c r="O54" s="2043"/>
      <c r="P54" s="2043"/>
      <c r="Q54" s="2028">
        <f>MAX(E54,H54,K54,N54)</f>
        <v>0</v>
      </c>
      <c r="R54" s="2026">
        <f t="shared" ref="R54:R57" si="52">MAX(F54,I54,L54,O54)</f>
        <v>0</v>
      </c>
      <c r="S54" s="2029">
        <f t="shared" ref="S54:S57" si="53">MAX(G54,J54,M54,P54)</f>
        <v>0</v>
      </c>
      <c r="T54" s="853">
        <f>IFERROR(AVERAGE(Q54:S54),"")</f>
        <v>0</v>
      </c>
      <c r="U54" s="1934" t="str">
        <f t="shared" si="22"/>
        <v>1.33</v>
      </c>
      <c r="V54" s="1934" t="str">
        <f t="shared" si="23"/>
        <v>D+</v>
      </c>
      <c r="W54" s="1934" t="str">
        <f t="shared" ref="W54:W57" si="54">IF(T54&gt;80,("SB"),IF(T54&gt;65,("B"),IF(T54&gt;50,("C"),IF(T54&gt;0,("K"),"0"))))</f>
        <v>0</v>
      </c>
      <c r="X54" s="383"/>
      <c r="Y54" s="383"/>
      <c r="Z54" s="383"/>
      <c r="AA54" s="383"/>
      <c r="AB54" s="726"/>
      <c r="AC54" s="726"/>
      <c r="AD54" s="726"/>
      <c r="AE54" s="726"/>
      <c r="AF54" s="1057">
        <f>AVERAGE(T54:T57)</f>
        <v>0</v>
      </c>
      <c r="AG54" s="1194" t="str">
        <f>IF(AF54&gt;85,("A"),IF(AF54&gt;80,("A-"),IF(AF54&gt;75,("B+"),IF(AF54&gt;70,("B"),IF(AF54&gt;65,("B-"),IF(AF54&gt;60,("C+"),IF(AF54&gt;55,("C"),IF(AF54&gt;50,("C-"),"D+"))))))))</f>
        <v>D+</v>
      </c>
    </row>
    <row r="55" spans="1:33" ht="24.95" customHeight="1" x14ac:dyDescent="0.25">
      <c r="A55" s="360"/>
      <c r="B55" s="1511"/>
      <c r="C55" s="1310"/>
      <c r="D55" s="1492" t="s">
        <v>9</v>
      </c>
      <c r="E55" s="1493"/>
      <c r="F55" s="1497"/>
      <c r="G55" s="1493"/>
      <c r="H55" s="2040">
        <v>0</v>
      </c>
      <c r="I55" s="2040">
        <v>0</v>
      </c>
      <c r="J55" s="2040">
        <v>0</v>
      </c>
      <c r="K55" s="1497">
        <v>0</v>
      </c>
      <c r="L55" s="1497">
        <v>0</v>
      </c>
      <c r="M55" s="1497">
        <v>0</v>
      </c>
      <c r="N55" s="2043">
        <v>0</v>
      </c>
      <c r="O55" s="2043">
        <v>0</v>
      </c>
      <c r="P55" s="2043">
        <v>0</v>
      </c>
      <c r="Q55" s="2028">
        <f t="shared" ref="Q55:Q57" si="55">MAX(E55,H55,K55,N55)</f>
        <v>0</v>
      </c>
      <c r="R55" s="2026">
        <f t="shared" si="52"/>
        <v>0</v>
      </c>
      <c r="S55" s="2029">
        <f t="shared" si="53"/>
        <v>0</v>
      </c>
      <c r="T55" s="853">
        <f t="shared" ref="T55:T57" si="56">IFERROR(AVERAGE(Q55:S55),"")</f>
        <v>0</v>
      </c>
      <c r="U55" s="1934" t="str">
        <f t="shared" si="22"/>
        <v>1.33</v>
      </c>
      <c r="V55" s="1934" t="str">
        <f t="shared" si="23"/>
        <v>D+</v>
      </c>
      <c r="W55" s="1934" t="str">
        <f t="shared" si="54"/>
        <v>0</v>
      </c>
      <c r="X55" s="1498"/>
      <c r="Y55" s="1499"/>
      <c r="Z55" s="1499"/>
      <c r="AA55" s="1499"/>
      <c r="AB55" s="1500"/>
      <c r="AC55" s="1500"/>
      <c r="AD55" s="1500"/>
      <c r="AE55" s="1501"/>
      <c r="AF55" s="1521"/>
      <c r="AG55" s="1522"/>
    </row>
    <row r="56" spans="1:33" ht="24.95" customHeight="1" x14ac:dyDescent="0.25">
      <c r="A56" s="360"/>
      <c r="B56" s="1511"/>
      <c r="C56" s="1310"/>
      <c r="D56" s="1492" t="s">
        <v>11</v>
      </c>
      <c r="E56" s="1493"/>
      <c r="F56" s="1493"/>
      <c r="G56" s="1497"/>
      <c r="H56" s="2040">
        <v>0</v>
      </c>
      <c r="I56" s="2040">
        <v>0</v>
      </c>
      <c r="J56" s="2040">
        <v>0</v>
      </c>
      <c r="K56" s="1497">
        <v>0</v>
      </c>
      <c r="L56" s="1497">
        <v>0</v>
      </c>
      <c r="M56" s="1497">
        <v>0</v>
      </c>
      <c r="N56" s="2043"/>
      <c r="O56" s="2043"/>
      <c r="P56" s="2043"/>
      <c r="Q56" s="2028">
        <f t="shared" si="55"/>
        <v>0</v>
      </c>
      <c r="R56" s="2026">
        <f t="shared" si="52"/>
        <v>0</v>
      </c>
      <c r="S56" s="2029">
        <f t="shared" si="53"/>
        <v>0</v>
      </c>
      <c r="T56" s="853">
        <f t="shared" si="56"/>
        <v>0</v>
      </c>
      <c r="U56" s="1934" t="str">
        <f t="shared" si="22"/>
        <v>1.33</v>
      </c>
      <c r="V56" s="1934" t="str">
        <f t="shared" si="23"/>
        <v>D+</v>
      </c>
      <c r="W56" s="1934" t="str">
        <f t="shared" si="54"/>
        <v>0</v>
      </c>
      <c r="X56" s="1502"/>
      <c r="Y56" s="1503"/>
      <c r="Z56" s="1503"/>
      <c r="AA56" s="1503"/>
      <c r="AB56" s="1504"/>
      <c r="AC56" s="1504"/>
      <c r="AD56" s="1504"/>
      <c r="AE56" s="1505"/>
      <c r="AF56" s="1523"/>
      <c r="AG56" s="1524"/>
    </row>
    <row r="57" spans="1:33" ht="24.95" customHeight="1" x14ac:dyDescent="0.25">
      <c r="A57" s="360"/>
      <c r="B57" s="1511"/>
      <c r="C57" s="1310"/>
      <c r="D57" s="1492" t="s">
        <v>16</v>
      </c>
      <c r="E57" s="1497">
        <v>0</v>
      </c>
      <c r="F57" s="1497">
        <v>0</v>
      </c>
      <c r="G57" s="1497">
        <v>0</v>
      </c>
      <c r="H57" s="2043">
        <v>0</v>
      </c>
      <c r="I57" s="2043">
        <v>0</v>
      </c>
      <c r="J57" s="2043">
        <v>0</v>
      </c>
      <c r="K57" s="1497">
        <v>0</v>
      </c>
      <c r="L57" s="1497">
        <v>0</v>
      </c>
      <c r="M57" s="1497">
        <v>0</v>
      </c>
      <c r="N57" s="2043">
        <v>0</v>
      </c>
      <c r="O57" s="2043">
        <v>0</v>
      </c>
      <c r="P57" s="2043">
        <v>0</v>
      </c>
      <c r="Q57" s="2028">
        <f t="shared" si="55"/>
        <v>0</v>
      </c>
      <c r="R57" s="2026">
        <f t="shared" si="52"/>
        <v>0</v>
      </c>
      <c r="S57" s="2029">
        <f t="shared" si="53"/>
        <v>0</v>
      </c>
      <c r="T57" s="853">
        <f t="shared" si="56"/>
        <v>0</v>
      </c>
      <c r="U57" s="1934" t="str">
        <f t="shared" si="22"/>
        <v>1.33</v>
      </c>
      <c r="V57" s="1934" t="str">
        <f t="shared" si="23"/>
        <v>D+</v>
      </c>
      <c r="W57" s="1934" t="str">
        <f t="shared" si="54"/>
        <v>0</v>
      </c>
      <c r="X57" s="1502"/>
      <c r="Y57" s="1503"/>
      <c r="Z57" s="1503"/>
      <c r="AA57" s="1503"/>
      <c r="AB57" s="1504"/>
      <c r="AC57" s="1504"/>
      <c r="AD57" s="1504"/>
      <c r="AE57" s="1505"/>
      <c r="AF57" s="1525"/>
      <c r="AG57" s="1526"/>
    </row>
    <row r="58" spans="1:33" ht="24.95" customHeight="1" x14ac:dyDescent="0.25">
      <c r="A58" s="727"/>
      <c r="B58" s="1401">
        <v>10</v>
      </c>
      <c r="C58" s="1512"/>
      <c r="D58" s="1506"/>
      <c r="E58" s="2813"/>
      <c r="F58" s="2814"/>
      <c r="G58" s="2814"/>
      <c r="H58" s="2814"/>
      <c r="I58" s="2023"/>
      <c r="J58" s="2023"/>
      <c r="K58" s="2023"/>
      <c r="L58" s="2023"/>
      <c r="M58" s="2023"/>
      <c r="N58" s="2023"/>
      <c r="O58" s="2023"/>
      <c r="P58" s="2023"/>
      <c r="Q58" s="2023"/>
      <c r="R58" s="2023"/>
      <c r="S58" s="2023"/>
      <c r="T58" s="1520">
        <f>IFERROR(AVERAGE(T54:T57),"  ")</f>
        <v>0</v>
      </c>
      <c r="U58" s="1935" t="str">
        <f t="shared" si="22"/>
        <v>1.33</v>
      </c>
      <c r="V58" s="1935" t="str">
        <f t="shared" si="23"/>
        <v>D+</v>
      </c>
      <c r="W58" s="1936"/>
      <c r="X58" s="728"/>
      <c r="Y58" s="729"/>
      <c r="Z58" s="729"/>
      <c r="AA58" s="729"/>
      <c r="AB58" s="729"/>
      <c r="AC58" s="729"/>
      <c r="AD58" s="729"/>
      <c r="AE58" s="730"/>
      <c r="AF58" s="1527"/>
      <c r="AG58" s="1528"/>
    </row>
    <row r="59" spans="1:33" ht="24.95" customHeight="1" x14ac:dyDescent="0.25">
      <c r="A59" s="724">
        <v>11</v>
      </c>
      <c r="B59" s="1509"/>
      <c r="C59" s="1384" t="str">
        <f>VLOOKUP(A59,data_siswa,4,FALSE)</f>
        <v>Fania Mutiara Felichia</v>
      </c>
      <c r="D59" s="1510" t="s">
        <v>154</v>
      </c>
      <c r="E59" s="1497"/>
      <c r="F59" s="1497"/>
      <c r="G59" s="1497"/>
      <c r="H59" s="2043">
        <v>0</v>
      </c>
      <c r="I59" s="2043">
        <v>0</v>
      </c>
      <c r="J59" s="2043">
        <v>0</v>
      </c>
      <c r="K59" s="1497"/>
      <c r="L59" s="1497"/>
      <c r="M59" s="1497"/>
      <c r="N59" s="2043"/>
      <c r="O59" s="2043"/>
      <c r="P59" s="2043"/>
      <c r="Q59" s="2028">
        <f>MAX(E59,H59,K59,N59)</f>
        <v>0</v>
      </c>
      <c r="R59" s="2026">
        <f t="shared" ref="R59:R62" si="57">MAX(F59,I59,L59,O59)</f>
        <v>0</v>
      </c>
      <c r="S59" s="2029">
        <f t="shared" ref="S59:S62" si="58">MAX(G59,J59,M59,P59)</f>
        <v>0</v>
      </c>
      <c r="T59" s="853">
        <f>IFERROR(AVERAGE(Q59:S59),"")</f>
        <v>0</v>
      </c>
      <c r="U59" s="1934" t="str">
        <f t="shared" si="22"/>
        <v>1.33</v>
      </c>
      <c r="V59" s="1934" t="str">
        <f t="shared" si="23"/>
        <v>D+</v>
      </c>
      <c r="W59" s="1934" t="str">
        <f t="shared" ref="W59:W62" si="59">IF(T59&gt;80,("SB"),IF(T59&gt;65,("B"),IF(T59&gt;50,("C"),IF(T59&gt;0,("K"),"0"))))</f>
        <v>0</v>
      </c>
      <c r="X59" s="383"/>
      <c r="Y59" s="383"/>
      <c r="Z59" s="383"/>
      <c r="AA59" s="383"/>
      <c r="AB59" s="726"/>
      <c r="AC59" s="726"/>
      <c r="AD59" s="726"/>
      <c r="AE59" s="726"/>
      <c r="AF59" s="1057">
        <f>AVERAGE(T59:T62)</f>
        <v>0</v>
      </c>
      <c r="AG59" s="1194" t="str">
        <f>IF(AF59&gt;85,("A"),IF(AF59&gt;80,("A-"),IF(AF59&gt;75,("B+"),IF(AF59&gt;70,("B"),IF(AF59&gt;65,("B-"),IF(AF59&gt;60,("C+"),IF(AF59&gt;55,("C"),IF(AF59&gt;50,("C-"),"D+"))))))))</f>
        <v>D+</v>
      </c>
    </row>
    <row r="60" spans="1:33" ht="24.95" customHeight="1" x14ac:dyDescent="0.25">
      <c r="A60" s="360"/>
      <c r="B60" s="1511"/>
      <c r="C60" s="1310"/>
      <c r="D60" s="1492" t="s">
        <v>9</v>
      </c>
      <c r="E60" s="1493"/>
      <c r="F60" s="1497"/>
      <c r="G60" s="1493"/>
      <c r="H60" s="2040">
        <v>0</v>
      </c>
      <c r="I60" s="2040">
        <v>0</v>
      </c>
      <c r="J60" s="2040">
        <v>0</v>
      </c>
      <c r="K60" s="1497">
        <v>0</v>
      </c>
      <c r="L60" s="1497">
        <v>0</v>
      </c>
      <c r="M60" s="1497">
        <v>0</v>
      </c>
      <c r="N60" s="2043">
        <v>0</v>
      </c>
      <c r="O60" s="2043">
        <v>0</v>
      </c>
      <c r="P60" s="2043">
        <v>0</v>
      </c>
      <c r="Q60" s="2028">
        <f t="shared" ref="Q60:Q62" si="60">MAX(E60,H60,K60,N60)</f>
        <v>0</v>
      </c>
      <c r="R60" s="2026">
        <f t="shared" si="57"/>
        <v>0</v>
      </c>
      <c r="S60" s="2029">
        <f t="shared" si="58"/>
        <v>0</v>
      </c>
      <c r="T60" s="853">
        <f t="shared" ref="T60:T62" si="61">IFERROR(AVERAGE(Q60:S60),"")</f>
        <v>0</v>
      </c>
      <c r="U60" s="1934" t="str">
        <f t="shared" si="22"/>
        <v>1.33</v>
      </c>
      <c r="V60" s="1934" t="str">
        <f t="shared" si="23"/>
        <v>D+</v>
      </c>
      <c r="W60" s="1934" t="str">
        <f t="shared" si="59"/>
        <v>0</v>
      </c>
      <c r="X60" s="1498"/>
      <c r="Y60" s="1499"/>
      <c r="Z60" s="1499"/>
      <c r="AA60" s="1499"/>
      <c r="AB60" s="1500"/>
      <c r="AC60" s="1500"/>
      <c r="AD60" s="1500"/>
      <c r="AE60" s="1501"/>
      <c r="AF60" s="1521"/>
      <c r="AG60" s="1522"/>
    </row>
    <row r="61" spans="1:33" ht="24.95" customHeight="1" x14ac:dyDescent="0.25">
      <c r="A61" s="360"/>
      <c r="B61" s="1511"/>
      <c r="C61" s="1310"/>
      <c r="D61" s="1492" t="s">
        <v>11</v>
      </c>
      <c r="E61" s="1493"/>
      <c r="F61" s="1493"/>
      <c r="G61" s="1497"/>
      <c r="H61" s="2040">
        <v>0</v>
      </c>
      <c r="I61" s="2040">
        <v>0</v>
      </c>
      <c r="J61" s="2040">
        <v>0</v>
      </c>
      <c r="K61" s="1497">
        <v>0</v>
      </c>
      <c r="L61" s="1497">
        <v>0</v>
      </c>
      <c r="M61" s="1497">
        <v>0</v>
      </c>
      <c r="N61" s="2043"/>
      <c r="O61" s="2043"/>
      <c r="P61" s="2043"/>
      <c r="Q61" s="2028">
        <f t="shared" si="60"/>
        <v>0</v>
      </c>
      <c r="R61" s="2026">
        <f t="shared" si="57"/>
        <v>0</v>
      </c>
      <c r="S61" s="2029">
        <f t="shared" si="58"/>
        <v>0</v>
      </c>
      <c r="T61" s="853">
        <f t="shared" si="61"/>
        <v>0</v>
      </c>
      <c r="U61" s="1934" t="str">
        <f t="shared" si="22"/>
        <v>1.33</v>
      </c>
      <c r="V61" s="1934" t="str">
        <f t="shared" si="23"/>
        <v>D+</v>
      </c>
      <c r="W61" s="1934" t="str">
        <f t="shared" si="59"/>
        <v>0</v>
      </c>
      <c r="X61" s="1502"/>
      <c r="Y61" s="1503"/>
      <c r="Z61" s="1503"/>
      <c r="AA61" s="1503"/>
      <c r="AB61" s="1504"/>
      <c r="AC61" s="1504"/>
      <c r="AD61" s="1504"/>
      <c r="AE61" s="1505"/>
      <c r="AF61" s="1523"/>
      <c r="AG61" s="1524"/>
    </row>
    <row r="62" spans="1:33" ht="24.95" customHeight="1" x14ac:dyDescent="0.25">
      <c r="A62" s="360"/>
      <c r="B62" s="1511"/>
      <c r="C62" s="1310"/>
      <c r="D62" s="1492" t="s">
        <v>16</v>
      </c>
      <c r="E62" s="1497">
        <v>0</v>
      </c>
      <c r="F62" s="1497">
        <v>0</v>
      </c>
      <c r="G62" s="1497">
        <v>0</v>
      </c>
      <c r="H62" s="2043">
        <v>0</v>
      </c>
      <c r="I62" s="2043">
        <v>0</v>
      </c>
      <c r="J62" s="2043">
        <v>0</v>
      </c>
      <c r="K62" s="1497">
        <v>0</v>
      </c>
      <c r="L62" s="1497">
        <v>0</v>
      </c>
      <c r="M62" s="1497">
        <v>0</v>
      </c>
      <c r="N62" s="2043">
        <v>0</v>
      </c>
      <c r="O62" s="2043">
        <v>0</v>
      </c>
      <c r="P62" s="2043">
        <v>0</v>
      </c>
      <c r="Q62" s="2028">
        <f t="shared" si="60"/>
        <v>0</v>
      </c>
      <c r="R62" s="2026">
        <f t="shared" si="57"/>
        <v>0</v>
      </c>
      <c r="S62" s="2029">
        <f t="shared" si="58"/>
        <v>0</v>
      </c>
      <c r="T62" s="853">
        <f t="shared" si="61"/>
        <v>0</v>
      </c>
      <c r="U62" s="1934" t="str">
        <f t="shared" si="22"/>
        <v>1.33</v>
      </c>
      <c r="V62" s="1934" t="str">
        <f t="shared" si="23"/>
        <v>D+</v>
      </c>
      <c r="W62" s="1934" t="str">
        <f t="shared" si="59"/>
        <v>0</v>
      </c>
      <c r="X62" s="1502"/>
      <c r="Y62" s="1503"/>
      <c r="Z62" s="1503"/>
      <c r="AA62" s="1503"/>
      <c r="AB62" s="1504"/>
      <c r="AC62" s="1504"/>
      <c r="AD62" s="1504"/>
      <c r="AE62" s="1505"/>
      <c r="AF62" s="1525"/>
      <c r="AG62" s="1526"/>
    </row>
    <row r="63" spans="1:33" ht="24.95" customHeight="1" x14ac:dyDescent="0.25">
      <c r="A63" s="727"/>
      <c r="B63" s="1401">
        <v>11</v>
      </c>
      <c r="C63" s="1512"/>
      <c r="D63" s="1506"/>
      <c r="E63" s="2813"/>
      <c r="F63" s="2814"/>
      <c r="G63" s="2814"/>
      <c r="H63" s="2814"/>
      <c r="I63" s="2023"/>
      <c r="J63" s="2023"/>
      <c r="K63" s="2023"/>
      <c r="L63" s="2023"/>
      <c r="M63" s="2023"/>
      <c r="N63" s="2023"/>
      <c r="O63" s="2023"/>
      <c r="P63" s="2023"/>
      <c r="Q63" s="2023"/>
      <c r="R63" s="2023"/>
      <c r="S63" s="2023"/>
      <c r="T63" s="1520">
        <f>IFERROR(AVERAGE(T59:T62),"  ")</f>
        <v>0</v>
      </c>
      <c r="U63" s="1935" t="str">
        <f t="shared" si="22"/>
        <v>1.33</v>
      </c>
      <c r="V63" s="1935" t="str">
        <f t="shared" si="23"/>
        <v>D+</v>
      </c>
      <c r="W63" s="1936"/>
      <c r="X63" s="728"/>
      <c r="Y63" s="729"/>
      <c r="Z63" s="729"/>
      <c r="AA63" s="729"/>
      <c r="AB63" s="729"/>
      <c r="AC63" s="729"/>
      <c r="AD63" s="729"/>
      <c r="AE63" s="730"/>
      <c r="AF63" s="1527"/>
      <c r="AG63" s="1528"/>
    </row>
    <row r="64" spans="1:33" ht="24.95" customHeight="1" x14ac:dyDescent="0.25">
      <c r="A64" s="724">
        <v>12</v>
      </c>
      <c r="B64" s="1509"/>
      <c r="C64" s="1384" t="str">
        <f>VLOOKUP(A64,data_siswa,4,FALSE)</f>
        <v>Intan Dyah Nowari</v>
      </c>
      <c r="D64" s="1510" t="s">
        <v>154</v>
      </c>
      <c r="E64" s="1497"/>
      <c r="F64" s="1497"/>
      <c r="G64" s="1497"/>
      <c r="H64" s="2043">
        <v>0</v>
      </c>
      <c r="I64" s="2043">
        <v>0</v>
      </c>
      <c r="J64" s="2043">
        <v>0</v>
      </c>
      <c r="K64" s="1497"/>
      <c r="L64" s="1497"/>
      <c r="M64" s="1497"/>
      <c r="N64" s="2043"/>
      <c r="O64" s="2043"/>
      <c r="P64" s="2043"/>
      <c r="Q64" s="2028">
        <f>MAX(E64,H64,K64,N64)</f>
        <v>0</v>
      </c>
      <c r="R64" s="2026">
        <f t="shared" ref="R64:R67" si="62">MAX(F64,I64,L64,O64)</f>
        <v>0</v>
      </c>
      <c r="S64" s="2029">
        <f t="shared" ref="S64:S67" si="63">MAX(G64,J64,M64,P64)</f>
        <v>0</v>
      </c>
      <c r="T64" s="853">
        <f>IFERROR(AVERAGE(Q64:S64),"")</f>
        <v>0</v>
      </c>
      <c r="U64" s="1934" t="str">
        <f t="shared" si="22"/>
        <v>1.33</v>
      </c>
      <c r="V64" s="1934" t="str">
        <f t="shared" si="23"/>
        <v>D+</v>
      </c>
      <c r="W64" s="1934" t="str">
        <f t="shared" ref="W64:W67" si="64">IF(T64&gt;80,("SB"),IF(T64&gt;65,("B"),IF(T64&gt;50,("C"),IF(T64&gt;0,("K"),"0"))))</f>
        <v>0</v>
      </c>
      <c r="X64" s="383"/>
      <c r="Y64" s="383"/>
      <c r="Z64" s="383"/>
      <c r="AA64" s="383"/>
      <c r="AB64" s="726"/>
      <c r="AC64" s="726"/>
      <c r="AD64" s="726"/>
      <c r="AE64" s="726"/>
      <c r="AF64" s="1057">
        <f>AVERAGE(T64:T67)</f>
        <v>0</v>
      </c>
      <c r="AG64" s="1194" t="str">
        <f>IF(AF64&gt;85,("A"),IF(AF64&gt;80,("A-"),IF(AF64&gt;75,("B+"),IF(AF64&gt;70,("B"),IF(AF64&gt;65,("B-"),IF(AF64&gt;60,("C+"),IF(AF64&gt;55,("C"),IF(AF64&gt;50,("C-"),"D+"))))))))</f>
        <v>D+</v>
      </c>
    </row>
    <row r="65" spans="1:33" ht="24.95" customHeight="1" x14ac:dyDescent="0.25">
      <c r="A65" s="360"/>
      <c r="B65" s="1511"/>
      <c r="C65" s="1310"/>
      <c r="D65" s="1492" t="s">
        <v>9</v>
      </c>
      <c r="E65" s="1493"/>
      <c r="F65" s="1497"/>
      <c r="G65" s="1493"/>
      <c r="H65" s="2040">
        <v>0</v>
      </c>
      <c r="I65" s="2040">
        <v>0</v>
      </c>
      <c r="J65" s="2040">
        <v>0</v>
      </c>
      <c r="K65" s="1497">
        <v>0</v>
      </c>
      <c r="L65" s="1497">
        <v>0</v>
      </c>
      <c r="M65" s="1497">
        <v>0</v>
      </c>
      <c r="N65" s="2043">
        <v>0</v>
      </c>
      <c r="O65" s="2043">
        <v>0</v>
      </c>
      <c r="P65" s="2043">
        <v>0</v>
      </c>
      <c r="Q65" s="2028">
        <f t="shared" ref="Q65:Q67" si="65">MAX(E65,H65,K65,N65)</f>
        <v>0</v>
      </c>
      <c r="R65" s="2026">
        <f t="shared" si="62"/>
        <v>0</v>
      </c>
      <c r="S65" s="2029">
        <f t="shared" si="63"/>
        <v>0</v>
      </c>
      <c r="T65" s="853">
        <f t="shared" ref="T65:T67" si="66">IFERROR(AVERAGE(Q65:S65),"")</f>
        <v>0</v>
      </c>
      <c r="U65" s="1934" t="str">
        <f t="shared" si="22"/>
        <v>1.33</v>
      </c>
      <c r="V65" s="1934" t="str">
        <f t="shared" si="23"/>
        <v>D+</v>
      </c>
      <c r="W65" s="1934" t="str">
        <f t="shared" si="64"/>
        <v>0</v>
      </c>
      <c r="X65" s="1498"/>
      <c r="Y65" s="1499"/>
      <c r="Z65" s="1499"/>
      <c r="AA65" s="1499"/>
      <c r="AB65" s="1500"/>
      <c r="AC65" s="1500"/>
      <c r="AD65" s="1500"/>
      <c r="AE65" s="1501"/>
      <c r="AF65" s="1521"/>
      <c r="AG65" s="1522"/>
    </row>
    <row r="66" spans="1:33" ht="24.95" customHeight="1" x14ac:dyDescent="0.25">
      <c r="A66" s="360"/>
      <c r="B66" s="1511"/>
      <c r="C66" s="1310"/>
      <c r="D66" s="1492" t="s">
        <v>11</v>
      </c>
      <c r="E66" s="1493"/>
      <c r="F66" s="1493"/>
      <c r="G66" s="1497"/>
      <c r="H66" s="2040">
        <v>0</v>
      </c>
      <c r="I66" s="2040">
        <v>0</v>
      </c>
      <c r="J66" s="2040">
        <v>0</v>
      </c>
      <c r="K66" s="1497">
        <v>0</v>
      </c>
      <c r="L66" s="1497">
        <v>0</v>
      </c>
      <c r="M66" s="1497">
        <v>0</v>
      </c>
      <c r="N66" s="2043"/>
      <c r="O66" s="2043"/>
      <c r="P66" s="2043"/>
      <c r="Q66" s="2028">
        <f t="shared" si="65"/>
        <v>0</v>
      </c>
      <c r="R66" s="2026">
        <f t="shared" si="62"/>
        <v>0</v>
      </c>
      <c r="S66" s="2029">
        <f t="shared" si="63"/>
        <v>0</v>
      </c>
      <c r="T66" s="853">
        <f t="shared" si="66"/>
        <v>0</v>
      </c>
      <c r="U66" s="1934" t="str">
        <f t="shared" si="22"/>
        <v>1.33</v>
      </c>
      <c r="V66" s="1934" t="str">
        <f t="shared" si="23"/>
        <v>D+</v>
      </c>
      <c r="W66" s="1934" t="str">
        <f t="shared" si="64"/>
        <v>0</v>
      </c>
      <c r="X66" s="1502"/>
      <c r="Y66" s="1503"/>
      <c r="Z66" s="1503"/>
      <c r="AA66" s="1503"/>
      <c r="AB66" s="1504"/>
      <c r="AC66" s="1504"/>
      <c r="AD66" s="1504"/>
      <c r="AE66" s="1505"/>
      <c r="AF66" s="1523"/>
      <c r="AG66" s="1524"/>
    </row>
    <row r="67" spans="1:33" ht="24.95" customHeight="1" x14ac:dyDescent="0.25">
      <c r="A67" s="360"/>
      <c r="B67" s="1511"/>
      <c r="C67" s="1310"/>
      <c r="D67" s="1492" t="s">
        <v>16</v>
      </c>
      <c r="E67" s="1497">
        <v>0</v>
      </c>
      <c r="F67" s="1497">
        <v>0</v>
      </c>
      <c r="G67" s="1497">
        <v>0</v>
      </c>
      <c r="H67" s="2043">
        <v>0</v>
      </c>
      <c r="I67" s="2043">
        <v>0</v>
      </c>
      <c r="J67" s="2043">
        <v>0</v>
      </c>
      <c r="K67" s="1497">
        <v>0</v>
      </c>
      <c r="L67" s="1497">
        <v>0</v>
      </c>
      <c r="M67" s="1497">
        <v>0</v>
      </c>
      <c r="N67" s="2043">
        <v>0</v>
      </c>
      <c r="O67" s="2043">
        <v>0</v>
      </c>
      <c r="P67" s="2043">
        <v>0</v>
      </c>
      <c r="Q67" s="2028">
        <f t="shared" si="65"/>
        <v>0</v>
      </c>
      <c r="R67" s="2026">
        <f t="shared" si="62"/>
        <v>0</v>
      </c>
      <c r="S67" s="2029">
        <f t="shared" si="63"/>
        <v>0</v>
      </c>
      <c r="T67" s="853">
        <f t="shared" si="66"/>
        <v>0</v>
      </c>
      <c r="U67" s="1934" t="str">
        <f t="shared" si="22"/>
        <v>1.33</v>
      </c>
      <c r="V67" s="1934" t="str">
        <f t="shared" si="23"/>
        <v>D+</v>
      </c>
      <c r="W67" s="1934" t="str">
        <f t="shared" si="64"/>
        <v>0</v>
      </c>
      <c r="X67" s="1502"/>
      <c r="Y67" s="1503"/>
      <c r="Z67" s="1503"/>
      <c r="AA67" s="1503"/>
      <c r="AB67" s="1504"/>
      <c r="AC67" s="1504"/>
      <c r="AD67" s="1504"/>
      <c r="AE67" s="1505"/>
      <c r="AF67" s="1525"/>
      <c r="AG67" s="1526"/>
    </row>
    <row r="68" spans="1:33" ht="24.95" customHeight="1" x14ac:dyDescent="0.25">
      <c r="A68" s="727"/>
      <c r="B68" s="1401">
        <v>12</v>
      </c>
      <c r="C68" s="1512"/>
      <c r="D68" s="1506"/>
      <c r="E68" s="2813"/>
      <c r="F68" s="2814"/>
      <c r="G68" s="2814"/>
      <c r="H68" s="2814"/>
      <c r="I68" s="2023"/>
      <c r="J68" s="2023"/>
      <c r="K68" s="2023"/>
      <c r="L68" s="2023"/>
      <c r="M68" s="2023"/>
      <c r="N68" s="2023"/>
      <c r="O68" s="2023"/>
      <c r="P68" s="2023"/>
      <c r="Q68" s="2023"/>
      <c r="R68" s="2023"/>
      <c r="S68" s="2023"/>
      <c r="T68" s="1520">
        <f>IFERROR(AVERAGE(T64:T67),"  ")</f>
        <v>0</v>
      </c>
      <c r="U68" s="1935" t="str">
        <f t="shared" si="22"/>
        <v>1.33</v>
      </c>
      <c r="V68" s="1935" t="str">
        <f t="shared" si="23"/>
        <v>D+</v>
      </c>
      <c r="W68" s="1936"/>
      <c r="X68" s="728"/>
      <c r="Y68" s="729"/>
      <c r="Z68" s="729"/>
      <c r="AA68" s="729"/>
      <c r="AB68" s="729"/>
      <c r="AC68" s="729"/>
      <c r="AD68" s="729"/>
      <c r="AE68" s="730"/>
      <c r="AF68" s="1527"/>
      <c r="AG68" s="1528"/>
    </row>
    <row r="69" spans="1:33" ht="24.95" customHeight="1" x14ac:dyDescent="0.25">
      <c r="A69" s="724">
        <v>13</v>
      </c>
      <c r="B69" s="1509"/>
      <c r="C69" s="1384" t="str">
        <f>VLOOKUP(A69,data_siswa,4,FALSE)</f>
        <v>Misyanita Nurfitri S</v>
      </c>
      <c r="D69" s="1510" t="s">
        <v>154</v>
      </c>
      <c r="E69" s="1497"/>
      <c r="F69" s="1497"/>
      <c r="G69" s="1497"/>
      <c r="H69" s="2043">
        <v>0</v>
      </c>
      <c r="I69" s="2043">
        <v>0</v>
      </c>
      <c r="J69" s="2043">
        <v>0</v>
      </c>
      <c r="K69" s="1497"/>
      <c r="L69" s="1497"/>
      <c r="M69" s="1497"/>
      <c r="N69" s="2043"/>
      <c r="O69" s="2043"/>
      <c r="P69" s="2043"/>
      <c r="Q69" s="2028">
        <f>MAX(E69,H69,K69,N69)</f>
        <v>0</v>
      </c>
      <c r="R69" s="2026">
        <f t="shared" ref="R69:R72" si="67">MAX(F69,I69,L69,O69)</f>
        <v>0</v>
      </c>
      <c r="S69" s="2029">
        <f t="shared" ref="S69:S72" si="68">MAX(G69,J69,M69,P69)</f>
        <v>0</v>
      </c>
      <c r="T69" s="853">
        <f>IFERROR(AVERAGE(Q69:S69),"")</f>
        <v>0</v>
      </c>
      <c r="U69" s="1934" t="str">
        <f t="shared" si="22"/>
        <v>1.33</v>
      </c>
      <c r="V69" s="1934" t="str">
        <f t="shared" si="23"/>
        <v>D+</v>
      </c>
      <c r="W69" s="1934" t="str">
        <f t="shared" ref="W69:W72" si="69">IF(T69&gt;80,("SB"),IF(T69&gt;65,("B"),IF(T69&gt;50,("C"),IF(T69&gt;0,("K"),"0"))))</f>
        <v>0</v>
      </c>
      <c r="X69" s="383"/>
      <c r="Y69" s="383"/>
      <c r="Z69" s="383"/>
      <c r="AA69" s="383"/>
      <c r="AB69" s="726"/>
      <c r="AC69" s="726"/>
      <c r="AD69" s="726"/>
      <c r="AE69" s="726"/>
      <c r="AF69" s="1057">
        <f>AVERAGE(T69:T72)</f>
        <v>0</v>
      </c>
      <c r="AG69" s="1194" t="str">
        <f>IF(AF69&gt;85,("A"),IF(AF69&gt;80,("A-"),IF(AF69&gt;75,("B+"),IF(AF69&gt;70,("B"),IF(AF69&gt;65,("B-"),IF(AF69&gt;60,("C+"),IF(AF69&gt;55,("C"),IF(AF69&gt;50,("C-"),"D+"))))))))</f>
        <v>D+</v>
      </c>
    </row>
    <row r="70" spans="1:33" ht="24.95" customHeight="1" x14ac:dyDescent="0.25">
      <c r="A70" s="360"/>
      <c r="B70" s="1511"/>
      <c r="C70" s="1310"/>
      <c r="D70" s="1492" t="s">
        <v>9</v>
      </c>
      <c r="E70" s="1493"/>
      <c r="F70" s="1497"/>
      <c r="G70" s="1493"/>
      <c r="H70" s="2040">
        <v>0</v>
      </c>
      <c r="I70" s="2040">
        <v>0</v>
      </c>
      <c r="J70" s="2040">
        <v>0</v>
      </c>
      <c r="K70" s="1497">
        <v>0</v>
      </c>
      <c r="L70" s="1497">
        <v>0</v>
      </c>
      <c r="M70" s="1497">
        <v>0</v>
      </c>
      <c r="N70" s="2043">
        <v>0</v>
      </c>
      <c r="O70" s="2043">
        <v>0</v>
      </c>
      <c r="P70" s="2043">
        <v>0</v>
      </c>
      <c r="Q70" s="2028">
        <f t="shared" ref="Q70:Q72" si="70">MAX(E70,H70,K70,N70)</f>
        <v>0</v>
      </c>
      <c r="R70" s="2026">
        <f t="shared" si="67"/>
        <v>0</v>
      </c>
      <c r="S70" s="2029">
        <f t="shared" si="68"/>
        <v>0</v>
      </c>
      <c r="T70" s="853">
        <f t="shared" ref="T70:T72" si="71">IFERROR(AVERAGE(Q70:S70),"")</f>
        <v>0</v>
      </c>
      <c r="U70" s="1934" t="str">
        <f t="shared" si="22"/>
        <v>1.33</v>
      </c>
      <c r="V70" s="1934" t="str">
        <f t="shared" si="23"/>
        <v>D+</v>
      </c>
      <c r="W70" s="1934" t="str">
        <f t="shared" si="69"/>
        <v>0</v>
      </c>
      <c r="X70" s="1498"/>
      <c r="Y70" s="1499"/>
      <c r="Z70" s="1499"/>
      <c r="AA70" s="1499"/>
      <c r="AB70" s="1500"/>
      <c r="AC70" s="1500"/>
      <c r="AD70" s="1500"/>
      <c r="AE70" s="1501"/>
      <c r="AF70" s="1521"/>
      <c r="AG70" s="1522"/>
    </row>
    <row r="71" spans="1:33" ht="24.95" customHeight="1" x14ac:dyDescent="0.25">
      <c r="A71" s="360"/>
      <c r="B71" s="1511"/>
      <c r="C71" s="1310"/>
      <c r="D71" s="1492" t="s">
        <v>11</v>
      </c>
      <c r="E71" s="1493"/>
      <c r="F71" s="1493"/>
      <c r="G71" s="1497"/>
      <c r="H71" s="2040">
        <v>0</v>
      </c>
      <c r="I71" s="2040">
        <v>0</v>
      </c>
      <c r="J71" s="2040">
        <v>0</v>
      </c>
      <c r="K71" s="1497">
        <v>0</v>
      </c>
      <c r="L71" s="1497">
        <v>0</v>
      </c>
      <c r="M71" s="1497">
        <v>0</v>
      </c>
      <c r="N71" s="2043"/>
      <c r="O71" s="2043"/>
      <c r="P71" s="2043"/>
      <c r="Q71" s="2028">
        <f t="shared" si="70"/>
        <v>0</v>
      </c>
      <c r="R71" s="2026">
        <f t="shared" si="67"/>
        <v>0</v>
      </c>
      <c r="S71" s="2029">
        <f t="shared" si="68"/>
        <v>0</v>
      </c>
      <c r="T71" s="853">
        <f t="shared" si="71"/>
        <v>0</v>
      </c>
      <c r="U71" s="1934" t="str">
        <f t="shared" si="22"/>
        <v>1.33</v>
      </c>
      <c r="V71" s="1934" t="str">
        <f t="shared" si="23"/>
        <v>D+</v>
      </c>
      <c r="W71" s="1934" t="str">
        <f t="shared" si="69"/>
        <v>0</v>
      </c>
      <c r="X71" s="1502"/>
      <c r="Y71" s="1503"/>
      <c r="Z71" s="1503"/>
      <c r="AA71" s="1503"/>
      <c r="AB71" s="1504"/>
      <c r="AC71" s="1504"/>
      <c r="AD71" s="1504"/>
      <c r="AE71" s="1505"/>
      <c r="AF71" s="1523"/>
      <c r="AG71" s="1524"/>
    </row>
    <row r="72" spans="1:33" ht="24.95" customHeight="1" x14ac:dyDescent="0.25">
      <c r="A72" s="360"/>
      <c r="B72" s="1511"/>
      <c r="C72" s="1310"/>
      <c r="D72" s="1492" t="s">
        <v>16</v>
      </c>
      <c r="E72" s="1497">
        <v>0</v>
      </c>
      <c r="F72" s="1497">
        <v>0</v>
      </c>
      <c r="G72" s="1497">
        <v>0</v>
      </c>
      <c r="H72" s="2043">
        <v>0</v>
      </c>
      <c r="I72" s="2043">
        <v>0</v>
      </c>
      <c r="J72" s="2043">
        <v>0</v>
      </c>
      <c r="K72" s="1497">
        <v>0</v>
      </c>
      <c r="L72" s="1497">
        <v>0</v>
      </c>
      <c r="M72" s="1497">
        <v>0</v>
      </c>
      <c r="N72" s="2043">
        <v>0</v>
      </c>
      <c r="O72" s="2043">
        <v>0</v>
      </c>
      <c r="P72" s="2043">
        <v>0</v>
      </c>
      <c r="Q72" s="2028">
        <f t="shared" si="70"/>
        <v>0</v>
      </c>
      <c r="R72" s="2026">
        <f t="shared" si="67"/>
        <v>0</v>
      </c>
      <c r="S72" s="2029">
        <f t="shared" si="68"/>
        <v>0</v>
      </c>
      <c r="T72" s="853">
        <f t="shared" si="71"/>
        <v>0</v>
      </c>
      <c r="U72" s="1934" t="str">
        <f t="shared" si="22"/>
        <v>1.33</v>
      </c>
      <c r="V72" s="1934" t="str">
        <f t="shared" si="23"/>
        <v>D+</v>
      </c>
      <c r="W72" s="1934" t="str">
        <f t="shared" si="69"/>
        <v>0</v>
      </c>
      <c r="X72" s="1502"/>
      <c r="Y72" s="1503"/>
      <c r="Z72" s="1503"/>
      <c r="AA72" s="1503"/>
      <c r="AB72" s="1504"/>
      <c r="AC72" s="1504"/>
      <c r="AD72" s="1504"/>
      <c r="AE72" s="1505"/>
      <c r="AF72" s="1525"/>
      <c r="AG72" s="1526"/>
    </row>
    <row r="73" spans="1:33" ht="24.95" customHeight="1" x14ac:dyDescent="0.25">
      <c r="A73" s="727"/>
      <c r="B73" s="1401">
        <v>13</v>
      </c>
      <c r="C73" s="1512"/>
      <c r="D73" s="1506"/>
      <c r="E73" s="2813"/>
      <c r="F73" s="2814"/>
      <c r="G73" s="2814"/>
      <c r="H73" s="2814"/>
      <c r="I73" s="2023"/>
      <c r="J73" s="2023"/>
      <c r="K73" s="2023"/>
      <c r="L73" s="2023"/>
      <c r="M73" s="2023"/>
      <c r="N73" s="2023"/>
      <c r="O73" s="2023"/>
      <c r="P73" s="2023"/>
      <c r="Q73" s="2023"/>
      <c r="R73" s="2023"/>
      <c r="S73" s="2023"/>
      <c r="T73" s="1520">
        <f>IFERROR(AVERAGE(T69:T72),"  ")</f>
        <v>0</v>
      </c>
      <c r="U73" s="1935" t="str">
        <f t="shared" si="22"/>
        <v>1.33</v>
      </c>
      <c r="V73" s="1935" t="str">
        <f t="shared" si="23"/>
        <v>D+</v>
      </c>
      <c r="W73" s="1936"/>
      <c r="X73" s="728"/>
      <c r="Y73" s="729"/>
      <c r="Z73" s="729"/>
      <c r="AA73" s="729"/>
      <c r="AB73" s="729"/>
      <c r="AC73" s="729"/>
      <c r="AD73" s="729"/>
      <c r="AE73" s="730"/>
      <c r="AF73" s="1527"/>
      <c r="AG73" s="1528"/>
    </row>
    <row r="74" spans="1:33" ht="24.95" customHeight="1" x14ac:dyDescent="0.25">
      <c r="A74" s="724">
        <v>14</v>
      </c>
      <c r="B74" s="1509"/>
      <c r="C74" s="1384" t="str">
        <f>VLOOKUP(A74,data_siswa,4,FALSE)</f>
        <v>Moch Zidane Hita L. U</v>
      </c>
      <c r="D74" s="1510" t="s">
        <v>154</v>
      </c>
      <c r="E74" s="1497"/>
      <c r="F74" s="1497"/>
      <c r="G74" s="1497"/>
      <c r="H74" s="2043">
        <v>0</v>
      </c>
      <c r="I74" s="2043">
        <v>0</v>
      </c>
      <c r="J74" s="2043">
        <v>0</v>
      </c>
      <c r="K74" s="1497"/>
      <c r="L74" s="1497"/>
      <c r="M74" s="1497"/>
      <c r="N74" s="2043"/>
      <c r="O74" s="2043"/>
      <c r="P74" s="2043"/>
      <c r="Q74" s="2028">
        <f>MAX(E74,H74,K74,N74)</f>
        <v>0</v>
      </c>
      <c r="R74" s="2026">
        <f t="shared" ref="R74:R77" si="72">MAX(F74,I74,L74,O74)</f>
        <v>0</v>
      </c>
      <c r="S74" s="2029">
        <f t="shared" ref="S74:S77" si="73">MAX(G74,J74,M74,P74)</f>
        <v>0</v>
      </c>
      <c r="T74" s="853">
        <f>IFERROR(AVERAGE(Q74:S74),"")</f>
        <v>0</v>
      </c>
      <c r="U74" s="1934" t="str">
        <f t="shared" si="22"/>
        <v>1.33</v>
      </c>
      <c r="V74" s="1934" t="str">
        <f t="shared" si="23"/>
        <v>D+</v>
      </c>
      <c r="W74" s="1934" t="str">
        <f t="shared" ref="W74:W77" si="74">IF(T74&gt;80,("SB"),IF(T74&gt;65,("B"),IF(T74&gt;50,("C"),IF(T74&gt;0,("K"),"0"))))</f>
        <v>0</v>
      </c>
      <c r="X74" s="383"/>
      <c r="Y74" s="383"/>
      <c r="Z74" s="383"/>
      <c r="AA74" s="383"/>
      <c r="AB74" s="726"/>
      <c r="AC74" s="726"/>
      <c r="AD74" s="726"/>
      <c r="AE74" s="726"/>
      <c r="AF74" s="1057">
        <f>AVERAGE(T74:T77)</f>
        <v>0</v>
      </c>
      <c r="AG74" s="1194" t="str">
        <f>IF(AF74&gt;85,("A"),IF(AF74&gt;80,("A-"),IF(AF74&gt;75,("B+"),IF(AF74&gt;70,("B"),IF(AF74&gt;65,("B-"),IF(AF74&gt;60,("C+"),IF(AF74&gt;55,("C"),IF(AF74&gt;50,("C-"),"D+"))))))))</f>
        <v>D+</v>
      </c>
    </row>
    <row r="75" spans="1:33" ht="24.95" customHeight="1" x14ac:dyDescent="0.25">
      <c r="A75" s="360"/>
      <c r="B75" s="1511"/>
      <c r="C75" s="1310"/>
      <c r="D75" s="1492" t="s">
        <v>9</v>
      </c>
      <c r="E75" s="1493"/>
      <c r="F75" s="1497"/>
      <c r="G75" s="1493"/>
      <c r="H75" s="2040">
        <v>0</v>
      </c>
      <c r="I75" s="2040">
        <v>0</v>
      </c>
      <c r="J75" s="2040">
        <v>0</v>
      </c>
      <c r="K75" s="1497">
        <v>0</v>
      </c>
      <c r="L75" s="1497">
        <v>0</v>
      </c>
      <c r="M75" s="1497">
        <v>0</v>
      </c>
      <c r="N75" s="2043">
        <v>0</v>
      </c>
      <c r="O75" s="2043">
        <v>0</v>
      </c>
      <c r="P75" s="2043">
        <v>0</v>
      </c>
      <c r="Q75" s="2028">
        <f t="shared" ref="Q75:Q77" si="75">MAX(E75,H75,K75,N75)</f>
        <v>0</v>
      </c>
      <c r="R75" s="2026">
        <f t="shared" si="72"/>
        <v>0</v>
      </c>
      <c r="S75" s="2029">
        <f t="shared" si="73"/>
        <v>0</v>
      </c>
      <c r="T75" s="853">
        <f t="shared" ref="T75:T77" si="76">IFERROR(AVERAGE(Q75:S75),"")</f>
        <v>0</v>
      </c>
      <c r="U75" s="1934" t="str">
        <f t="shared" si="22"/>
        <v>1.33</v>
      </c>
      <c r="V75" s="1934" t="str">
        <f t="shared" si="23"/>
        <v>D+</v>
      </c>
      <c r="W75" s="1934" t="str">
        <f t="shared" si="74"/>
        <v>0</v>
      </c>
      <c r="X75" s="1498"/>
      <c r="Y75" s="1499"/>
      <c r="Z75" s="1499"/>
      <c r="AA75" s="1499"/>
      <c r="AB75" s="1500"/>
      <c r="AC75" s="1500"/>
      <c r="AD75" s="1500"/>
      <c r="AE75" s="1501"/>
      <c r="AF75" s="1521"/>
      <c r="AG75" s="1522"/>
    </row>
    <row r="76" spans="1:33" ht="24.95" customHeight="1" x14ac:dyDescent="0.25">
      <c r="A76" s="360"/>
      <c r="B76" s="1511"/>
      <c r="C76" s="1310"/>
      <c r="D76" s="1492" t="s">
        <v>11</v>
      </c>
      <c r="E76" s="1493"/>
      <c r="F76" s="1493"/>
      <c r="G76" s="1497"/>
      <c r="H76" s="2040">
        <v>0</v>
      </c>
      <c r="I76" s="2040">
        <v>0</v>
      </c>
      <c r="J76" s="2040">
        <v>0</v>
      </c>
      <c r="K76" s="1497">
        <v>0</v>
      </c>
      <c r="L76" s="1497">
        <v>0</v>
      </c>
      <c r="M76" s="1497">
        <v>0</v>
      </c>
      <c r="N76" s="2043"/>
      <c r="O76" s="2043"/>
      <c r="P76" s="2043"/>
      <c r="Q76" s="2028">
        <f t="shared" si="75"/>
        <v>0</v>
      </c>
      <c r="R76" s="2026">
        <f t="shared" si="72"/>
        <v>0</v>
      </c>
      <c r="S76" s="2029">
        <f t="shared" si="73"/>
        <v>0</v>
      </c>
      <c r="T76" s="853">
        <f t="shared" si="76"/>
        <v>0</v>
      </c>
      <c r="U76" s="1934" t="str">
        <f t="shared" si="22"/>
        <v>1.33</v>
      </c>
      <c r="V76" s="1934" t="str">
        <f t="shared" si="23"/>
        <v>D+</v>
      </c>
      <c r="W76" s="1934" t="str">
        <f t="shared" si="74"/>
        <v>0</v>
      </c>
      <c r="X76" s="1502"/>
      <c r="Y76" s="1503"/>
      <c r="Z76" s="1503"/>
      <c r="AA76" s="1503"/>
      <c r="AB76" s="1504"/>
      <c r="AC76" s="1504"/>
      <c r="AD76" s="1504"/>
      <c r="AE76" s="1505"/>
      <c r="AF76" s="1523"/>
      <c r="AG76" s="1524"/>
    </row>
    <row r="77" spans="1:33" ht="24.95" customHeight="1" x14ac:dyDescent="0.25">
      <c r="A77" s="360"/>
      <c r="B77" s="1511"/>
      <c r="C77" s="1310"/>
      <c r="D77" s="1492" t="s">
        <v>16</v>
      </c>
      <c r="E77" s="1497">
        <v>0</v>
      </c>
      <c r="F77" s="1497">
        <v>0</v>
      </c>
      <c r="G77" s="1497">
        <v>0</v>
      </c>
      <c r="H77" s="2043">
        <v>0</v>
      </c>
      <c r="I77" s="2043">
        <v>0</v>
      </c>
      <c r="J77" s="2043">
        <v>0</v>
      </c>
      <c r="K77" s="1497">
        <v>0</v>
      </c>
      <c r="L77" s="1497">
        <v>0</v>
      </c>
      <c r="M77" s="1497">
        <v>0</v>
      </c>
      <c r="N77" s="2043">
        <v>0</v>
      </c>
      <c r="O77" s="2043">
        <v>0</v>
      </c>
      <c r="P77" s="2043">
        <v>0</v>
      </c>
      <c r="Q77" s="2028">
        <f t="shared" si="75"/>
        <v>0</v>
      </c>
      <c r="R77" s="2026">
        <f t="shared" si="72"/>
        <v>0</v>
      </c>
      <c r="S77" s="2029">
        <f t="shared" si="73"/>
        <v>0</v>
      </c>
      <c r="T77" s="853">
        <f t="shared" si="76"/>
        <v>0</v>
      </c>
      <c r="U77" s="1934" t="str">
        <f t="shared" si="22"/>
        <v>1.33</v>
      </c>
      <c r="V77" s="1934" t="str">
        <f t="shared" si="23"/>
        <v>D+</v>
      </c>
      <c r="W77" s="1934" t="str">
        <f t="shared" si="74"/>
        <v>0</v>
      </c>
      <c r="X77" s="1502"/>
      <c r="Y77" s="1503"/>
      <c r="Z77" s="1503"/>
      <c r="AA77" s="1503"/>
      <c r="AB77" s="1504"/>
      <c r="AC77" s="1504"/>
      <c r="AD77" s="1504"/>
      <c r="AE77" s="1505"/>
      <c r="AF77" s="1525"/>
      <c r="AG77" s="1526"/>
    </row>
    <row r="78" spans="1:33" ht="24.95" customHeight="1" x14ac:dyDescent="0.25">
      <c r="A78" s="727"/>
      <c r="B78" s="1401">
        <v>14</v>
      </c>
      <c r="C78" s="1512"/>
      <c r="D78" s="1506"/>
      <c r="E78" s="2813"/>
      <c r="F78" s="2814"/>
      <c r="G78" s="2814"/>
      <c r="H78" s="2814"/>
      <c r="I78" s="2023"/>
      <c r="J78" s="2023"/>
      <c r="K78" s="2023"/>
      <c r="L78" s="2023"/>
      <c r="M78" s="2023"/>
      <c r="N78" s="2023"/>
      <c r="O78" s="2023"/>
      <c r="P78" s="2023"/>
      <c r="Q78" s="2023"/>
      <c r="R78" s="2023"/>
      <c r="S78" s="2023"/>
      <c r="T78" s="1520">
        <f>IFERROR(AVERAGE(T74:T77),"  ")</f>
        <v>0</v>
      </c>
      <c r="U78" s="1935" t="str">
        <f t="shared" si="22"/>
        <v>1.33</v>
      </c>
      <c r="V78" s="1935" t="str">
        <f t="shared" si="23"/>
        <v>D+</v>
      </c>
      <c r="W78" s="1936"/>
      <c r="X78" s="728"/>
      <c r="Y78" s="729"/>
      <c r="Z78" s="729"/>
      <c r="AA78" s="729"/>
      <c r="AB78" s="729"/>
      <c r="AC78" s="729"/>
      <c r="AD78" s="729"/>
      <c r="AE78" s="730"/>
      <c r="AF78" s="1527"/>
      <c r="AG78" s="1528"/>
    </row>
    <row r="79" spans="1:33" ht="24.95" customHeight="1" x14ac:dyDescent="0.25">
      <c r="A79" s="724">
        <v>15</v>
      </c>
      <c r="B79" s="1509"/>
      <c r="C79" s="1384" t="str">
        <f>VLOOKUP(A79,data_siswa,4,FALSE)</f>
        <v>Muhammad Ibra Maulana</v>
      </c>
      <c r="D79" s="1510" t="s">
        <v>154</v>
      </c>
      <c r="E79" s="1497"/>
      <c r="F79" s="1497"/>
      <c r="G79" s="1497"/>
      <c r="H79" s="2043">
        <v>0</v>
      </c>
      <c r="I79" s="2043">
        <v>0</v>
      </c>
      <c r="J79" s="2043">
        <v>0</v>
      </c>
      <c r="K79" s="1497"/>
      <c r="L79" s="1497"/>
      <c r="M79" s="1497"/>
      <c r="N79" s="2043"/>
      <c r="O79" s="2043"/>
      <c r="P79" s="2043"/>
      <c r="Q79" s="2028">
        <f>MAX(E79,H79,K79,N79)</f>
        <v>0</v>
      </c>
      <c r="R79" s="2026">
        <f t="shared" ref="R79:R82" si="77">MAX(F79,I79,L79,O79)</f>
        <v>0</v>
      </c>
      <c r="S79" s="2029">
        <f t="shared" ref="S79:S82" si="78">MAX(G79,J79,M79,P79)</f>
        <v>0</v>
      </c>
      <c r="T79" s="853">
        <f>IFERROR(AVERAGE(Q79:S79),"")</f>
        <v>0</v>
      </c>
      <c r="U79" s="1934" t="str">
        <f t="shared" si="22"/>
        <v>1.33</v>
      </c>
      <c r="V79" s="1934" t="str">
        <f t="shared" si="23"/>
        <v>D+</v>
      </c>
      <c r="W79" s="1934" t="str">
        <f t="shared" ref="W79:W82" si="79">IF(T79&gt;80,("SB"),IF(T79&gt;65,("B"),IF(T79&gt;50,("C"),IF(T79&gt;0,("K"),"0"))))</f>
        <v>0</v>
      </c>
      <c r="X79" s="383"/>
      <c r="Y79" s="383"/>
      <c r="Z79" s="383"/>
      <c r="AA79" s="383"/>
      <c r="AB79" s="726"/>
      <c r="AC79" s="726"/>
      <c r="AD79" s="726"/>
      <c r="AE79" s="726"/>
      <c r="AF79" s="1057">
        <f>AVERAGE(T79:T82)</f>
        <v>0</v>
      </c>
      <c r="AG79" s="1194" t="str">
        <f>IF(AF79&gt;85,("A"),IF(AF79&gt;80,("A-"),IF(AF79&gt;75,("B+"),IF(AF79&gt;70,("B"),IF(AF79&gt;65,("B-"),IF(AF79&gt;60,("C+"),IF(AF79&gt;55,("C"),IF(AF79&gt;50,("C-"),"D+"))))))))</f>
        <v>D+</v>
      </c>
    </row>
    <row r="80" spans="1:33" ht="24.95" customHeight="1" x14ac:dyDescent="0.25">
      <c r="A80" s="360"/>
      <c r="B80" s="1511"/>
      <c r="C80" s="1310"/>
      <c r="D80" s="1492" t="s">
        <v>9</v>
      </c>
      <c r="E80" s="1493"/>
      <c r="F80" s="1497"/>
      <c r="G80" s="1493"/>
      <c r="H80" s="2040">
        <v>0</v>
      </c>
      <c r="I80" s="2040">
        <v>0</v>
      </c>
      <c r="J80" s="2040">
        <v>0</v>
      </c>
      <c r="K80" s="1497">
        <v>0</v>
      </c>
      <c r="L80" s="1497">
        <v>0</v>
      </c>
      <c r="M80" s="1497">
        <v>0</v>
      </c>
      <c r="N80" s="2043">
        <v>0</v>
      </c>
      <c r="O80" s="2043">
        <v>0</v>
      </c>
      <c r="P80" s="2043">
        <v>0</v>
      </c>
      <c r="Q80" s="2028">
        <f t="shared" ref="Q80:Q82" si="80">MAX(E80,H80,K80,N80)</f>
        <v>0</v>
      </c>
      <c r="R80" s="2026">
        <f t="shared" si="77"/>
        <v>0</v>
      </c>
      <c r="S80" s="2029">
        <f t="shared" si="78"/>
        <v>0</v>
      </c>
      <c r="T80" s="853">
        <f t="shared" ref="T80:T82" si="81">IFERROR(AVERAGE(Q80:S80),"")</f>
        <v>0</v>
      </c>
      <c r="U80" s="1934" t="str">
        <f t="shared" si="22"/>
        <v>1.33</v>
      </c>
      <c r="V80" s="1934" t="str">
        <f t="shared" si="23"/>
        <v>D+</v>
      </c>
      <c r="W80" s="1934" t="str">
        <f t="shared" si="79"/>
        <v>0</v>
      </c>
      <c r="X80" s="1498"/>
      <c r="Y80" s="1499"/>
      <c r="Z80" s="1499"/>
      <c r="AA80" s="1499"/>
      <c r="AB80" s="1500"/>
      <c r="AC80" s="1500"/>
      <c r="AD80" s="1500"/>
      <c r="AE80" s="1501"/>
      <c r="AF80" s="1521"/>
      <c r="AG80" s="1522"/>
    </row>
    <row r="81" spans="1:33" ht="24.95" customHeight="1" x14ac:dyDescent="0.25">
      <c r="A81" s="360"/>
      <c r="B81" s="1511"/>
      <c r="C81" s="1310"/>
      <c r="D81" s="1492" t="s">
        <v>11</v>
      </c>
      <c r="E81" s="1493"/>
      <c r="F81" s="1493"/>
      <c r="G81" s="1497"/>
      <c r="H81" s="2040">
        <v>0</v>
      </c>
      <c r="I81" s="2040">
        <v>0</v>
      </c>
      <c r="J81" s="2040">
        <v>0</v>
      </c>
      <c r="K81" s="1497">
        <v>0</v>
      </c>
      <c r="L81" s="1497">
        <v>0</v>
      </c>
      <c r="M81" s="1497">
        <v>0</v>
      </c>
      <c r="N81" s="2043"/>
      <c r="O81" s="2043"/>
      <c r="P81" s="2043"/>
      <c r="Q81" s="2028">
        <f t="shared" si="80"/>
        <v>0</v>
      </c>
      <c r="R81" s="2026">
        <f t="shared" si="77"/>
        <v>0</v>
      </c>
      <c r="S81" s="2029">
        <f t="shared" si="78"/>
        <v>0</v>
      </c>
      <c r="T81" s="853">
        <f t="shared" si="81"/>
        <v>0</v>
      </c>
      <c r="U81" s="1934" t="str">
        <f t="shared" si="22"/>
        <v>1.33</v>
      </c>
      <c r="V81" s="1934" t="str">
        <f t="shared" si="23"/>
        <v>D+</v>
      </c>
      <c r="W81" s="1934" t="str">
        <f t="shared" si="79"/>
        <v>0</v>
      </c>
      <c r="X81" s="1502"/>
      <c r="Y81" s="1503"/>
      <c r="Z81" s="1503"/>
      <c r="AA81" s="1503"/>
      <c r="AB81" s="1504"/>
      <c r="AC81" s="1504"/>
      <c r="AD81" s="1504"/>
      <c r="AE81" s="1505"/>
      <c r="AF81" s="1523"/>
      <c r="AG81" s="1524"/>
    </row>
    <row r="82" spans="1:33" ht="24.95" customHeight="1" x14ac:dyDescent="0.25">
      <c r="A82" s="360"/>
      <c r="B82" s="1511"/>
      <c r="C82" s="1310"/>
      <c r="D82" s="1492" t="s">
        <v>16</v>
      </c>
      <c r="E82" s="1497">
        <v>0</v>
      </c>
      <c r="F82" s="1497">
        <v>0</v>
      </c>
      <c r="G82" s="1497">
        <v>0</v>
      </c>
      <c r="H82" s="2043">
        <v>0</v>
      </c>
      <c r="I82" s="2043">
        <v>0</v>
      </c>
      <c r="J82" s="2043">
        <v>0</v>
      </c>
      <c r="K82" s="1497">
        <v>0</v>
      </c>
      <c r="L82" s="1497">
        <v>0</v>
      </c>
      <c r="M82" s="1497">
        <v>0</v>
      </c>
      <c r="N82" s="2043">
        <v>0</v>
      </c>
      <c r="O82" s="2043">
        <v>0</v>
      </c>
      <c r="P82" s="2043">
        <v>0</v>
      </c>
      <c r="Q82" s="2028">
        <f t="shared" si="80"/>
        <v>0</v>
      </c>
      <c r="R82" s="2026">
        <f t="shared" si="77"/>
        <v>0</v>
      </c>
      <c r="S82" s="2029">
        <f t="shared" si="78"/>
        <v>0</v>
      </c>
      <c r="T82" s="853">
        <f t="shared" si="81"/>
        <v>0</v>
      </c>
      <c r="U82" s="1934" t="str">
        <f t="shared" si="22"/>
        <v>1.33</v>
      </c>
      <c r="V82" s="1934" t="str">
        <f t="shared" si="23"/>
        <v>D+</v>
      </c>
      <c r="W82" s="1934" t="str">
        <f t="shared" si="79"/>
        <v>0</v>
      </c>
      <c r="X82" s="1502"/>
      <c r="Y82" s="1503"/>
      <c r="Z82" s="1503"/>
      <c r="AA82" s="1503"/>
      <c r="AB82" s="1504"/>
      <c r="AC82" s="1504"/>
      <c r="AD82" s="1504"/>
      <c r="AE82" s="1505"/>
      <c r="AF82" s="1525"/>
      <c r="AG82" s="1526"/>
    </row>
    <row r="83" spans="1:33" ht="24.95" customHeight="1" x14ac:dyDescent="0.25">
      <c r="A83" s="727"/>
      <c r="B83" s="1401">
        <v>15</v>
      </c>
      <c r="C83" s="1512"/>
      <c r="D83" s="1506"/>
      <c r="E83" s="2813"/>
      <c r="F83" s="2814"/>
      <c r="G83" s="2814"/>
      <c r="H83" s="2814"/>
      <c r="I83" s="2023"/>
      <c r="J83" s="2023"/>
      <c r="K83" s="2023"/>
      <c r="L83" s="2023"/>
      <c r="M83" s="2023"/>
      <c r="N83" s="2023"/>
      <c r="O83" s="2023"/>
      <c r="P83" s="2023"/>
      <c r="Q83" s="2023"/>
      <c r="R83" s="2023"/>
      <c r="S83" s="2023"/>
      <c r="T83" s="1520">
        <f>IFERROR(AVERAGE(T79:T82),"  ")</f>
        <v>0</v>
      </c>
      <c r="U83" s="1935" t="str">
        <f t="shared" si="22"/>
        <v>1.33</v>
      </c>
      <c r="V83" s="1935" t="str">
        <f t="shared" si="23"/>
        <v>D+</v>
      </c>
      <c r="W83" s="1936"/>
      <c r="X83" s="728"/>
      <c r="Y83" s="729"/>
      <c r="Z83" s="729"/>
      <c r="AA83" s="729"/>
      <c r="AB83" s="729"/>
      <c r="AC83" s="729"/>
      <c r="AD83" s="729"/>
      <c r="AE83" s="730"/>
      <c r="AF83" s="1527"/>
      <c r="AG83" s="1528"/>
    </row>
    <row r="84" spans="1:33" ht="24.95" customHeight="1" x14ac:dyDescent="0.25">
      <c r="A84" s="724">
        <v>16</v>
      </c>
      <c r="B84" s="1509"/>
      <c r="C84" s="1384" t="str">
        <f>VLOOKUP(A84,data_siswa,4,FALSE)</f>
        <v>Nabilla Shiva Putri</v>
      </c>
      <c r="D84" s="1510" t="s">
        <v>154</v>
      </c>
      <c r="E84" s="1497"/>
      <c r="F84" s="1497"/>
      <c r="G84" s="1497"/>
      <c r="H84" s="2043">
        <v>0</v>
      </c>
      <c r="I84" s="2043">
        <v>0</v>
      </c>
      <c r="J84" s="2043">
        <v>0</v>
      </c>
      <c r="K84" s="1497"/>
      <c r="L84" s="1497"/>
      <c r="M84" s="1497"/>
      <c r="N84" s="2043"/>
      <c r="O84" s="2043"/>
      <c r="P84" s="2043"/>
      <c r="Q84" s="2028">
        <f>MAX(E84,H84,K84,N84)</f>
        <v>0</v>
      </c>
      <c r="R84" s="2026">
        <f t="shared" ref="R84:R87" si="82">MAX(F84,I84,L84,O84)</f>
        <v>0</v>
      </c>
      <c r="S84" s="2029">
        <f t="shared" ref="S84:S87" si="83">MAX(G84,J84,M84,P84)</f>
        <v>0</v>
      </c>
      <c r="T84" s="853">
        <f>IFERROR(AVERAGE(Q84:S84),"")</f>
        <v>0</v>
      </c>
      <c r="U84" s="1934" t="str">
        <f t="shared" si="22"/>
        <v>1.33</v>
      </c>
      <c r="V84" s="1934" t="str">
        <f t="shared" si="23"/>
        <v>D+</v>
      </c>
      <c r="W84" s="1934" t="str">
        <f t="shared" ref="W84:W87" si="84">IF(T84&gt;80,("SB"),IF(T84&gt;65,("B"),IF(T84&gt;50,("C"),IF(T84&gt;0,("K"),"0"))))</f>
        <v>0</v>
      </c>
      <c r="X84" s="383"/>
      <c r="Y84" s="383"/>
      <c r="Z84" s="383"/>
      <c r="AA84" s="383"/>
      <c r="AB84" s="726"/>
      <c r="AC84" s="726"/>
      <c r="AD84" s="726"/>
      <c r="AE84" s="726"/>
      <c r="AF84" s="1057">
        <f>AVERAGE(T84:T87)</f>
        <v>0</v>
      </c>
      <c r="AG84" s="1194" t="str">
        <f>IF(AF84&gt;85,("A"),IF(AF84&gt;80,("A-"),IF(AF84&gt;75,("B+"),IF(AF84&gt;70,("B"),IF(AF84&gt;65,("B-"),IF(AF84&gt;60,("C+"),IF(AF84&gt;55,("C"),IF(AF84&gt;50,("C-"),"D+"))))))))</f>
        <v>D+</v>
      </c>
    </row>
    <row r="85" spans="1:33" ht="24.95" customHeight="1" x14ac:dyDescent="0.25">
      <c r="A85" s="360"/>
      <c r="B85" s="1511"/>
      <c r="C85" s="1310"/>
      <c r="D85" s="1492" t="s">
        <v>9</v>
      </c>
      <c r="E85" s="1493"/>
      <c r="F85" s="1497"/>
      <c r="G85" s="1493"/>
      <c r="H85" s="2040">
        <v>0</v>
      </c>
      <c r="I85" s="2040">
        <v>0</v>
      </c>
      <c r="J85" s="2040">
        <v>0</v>
      </c>
      <c r="K85" s="1497">
        <v>0</v>
      </c>
      <c r="L85" s="1497">
        <v>0</v>
      </c>
      <c r="M85" s="1497">
        <v>0</v>
      </c>
      <c r="N85" s="2043">
        <v>0</v>
      </c>
      <c r="O85" s="2043">
        <v>0</v>
      </c>
      <c r="P85" s="2043">
        <v>0</v>
      </c>
      <c r="Q85" s="2028">
        <f t="shared" ref="Q85:Q87" si="85">MAX(E85,H85,K85,N85)</f>
        <v>0</v>
      </c>
      <c r="R85" s="2026">
        <f t="shared" si="82"/>
        <v>0</v>
      </c>
      <c r="S85" s="2029">
        <f t="shared" si="83"/>
        <v>0</v>
      </c>
      <c r="T85" s="853">
        <f t="shared" ref="T85:T87" si="86">IFERROR(AVERAGE(Q85:S85),"")</f>
        <v>0</v>
      </c>
      <c r="U85" s="1934" t="str">
        <f t="shared" si="22"/>
        <v>1.33</v>
      </c>
      <c r="V85" s="1934" t="str">
        <f t="shared" si="23"/>
        <v>D+</v>
      </c>
      <c r="W85" s="1934" t="str">
        <f t="shared" si="84"/>
        <v>0</v>
      </c>
      <c r="X85" s="1498"/>
      <c r="Y85" s="1499"/>
      <c r="Z85" s="1499"/>
      <c r="AA85" s="1499"/>
      <c r="AB85" s="1500"/>
      <c r="AC85" s="1500"/>
      <c r="AD85" s="1500"/>
      <c r="AE85" s="1501"/>
      <c r="AF85" s="1521"/>
      <c r="AG85" s="1522"/>
    </row>
    <row r="86" spans="1:33" ht="24.95" customHeight="1" x14ac:dyDescent="0.25">
      <c r="A86" s="360"/>
      <c r="B86" s="1511"/>
      <c r="C86" s="1310"/>
      <c r="D86" s="1492" t="s">
        <v>11</v>
      </c>
      <c r="E86" s="1493"/>
      <c r="F86" s="1493"/>
      <c r="G86" s="1497"/>
      <c r="H86" s="2040">
        <v>0</v>
      </c>
      <c r="I86" s="2040">
        <v>0</v>
      </c>
      <c r="J86" s="2040">
        <v>0</v>
      </c>
      <c r="K86" s="1497">
        <v>0</v>
      </c>
      <c r="L86" s="1497">
        <v>0</v>
      </c>
      <c r="M86" s="1497">
        <v>0</v>
      </c>
      <c r="N86" s="2043"/>
      <c r="O86" s="2043"/>
      <c r="P86" s="2043"/>
      <c r="Q86" s="2028">
        <f t="shared" si="85"/>
        <v>0</v>
      </c>
      <c r="R86" s="2026">
        <f t="shared" si="82"/>
        <v>0</v>
      </c>
      <c r="S86" s="2029">
        <f t="shared" si="83"/>
        <v>0</v>
      </c>
      <c r="T86" s="853">
        <f t="shared" si="86"/>
        <v>0</v>
      </c>
      <c r="U86" s="1934" t="str">
        <f t="shared" si="22"/>
        <v>1.33</v>
      </c>
      <c r="V86" s="1934" t="str">
        <f t="shared" si="23"/>
        <v>D+</v>
      </c>
      <c r="W86" s="1934" t="str">
        <f t="shared" si="84"/>
        <v>0</v>
      </c>
      <c r="X86" s="1502"/>
      <c r="Y86" s="1503"/>
      <c r="Z86" s="1503"/>
      <c r="AA86" s="1503"/>
      <c r="AB86" s="1504"/>
      <c r="AC86" s="1504"/>
      <c r="AD86" s="1504"/>
      <c r="AE86" s="1505"/>
      <c r="AF86" s="1523"/>
      <c r="AG86" s="1524"/>
    </row>
    <row r="87" spans="1:33" ht="24.95" customHeight="1" x14ac:dyDescent="0.25">
      <c r="A87" s="360"/>
      <c r="B87" s="1511"/>
      <c r="C87" s="1310"/>
      <c r="D87" s="1492" t="s">
        <v>16</v>
      </c>
      <c r="E87" s="1497">
        <v>0</v>
      </c>
      <c r="F87" s="1497">
        <v>0</v>
      </c>
      <c r="G87" s="1497">
        <v>0</v>
      </c>
      <c r="H87" s="2043">
        <v>0</v>
      </c>
      <c r="I87" s="2043">
        <v>0</v>
      </c>
      <c r="J87" s="2043">
        <v>0</v>
      </c>
      <c r="K87" s="1497">
        <v>0</v>
      </c>
      <c r="L87" s="1497">
        <v>0</v>
      </c>
      <c r="M87" s="1497">
        <v>0</v>
      </c>
      <c r="N87" s="2043">
        <v>0</v>
      </c>
      <c r="O87" s="2043">
        <v>0</v>
      </c>
      <c r="P87" s="2043">
        <v>0</v>
      </c>
      <c r="Q87" s="2028">
        <f t="shared" si="85"/>
        <v>0</v>
      </c>
      <c r="R87" s="2026">
        <f t="shared" si="82"/>
        <v>0</v>
      </c>
      <c r="S87" s="2029">
        <f t="shared" si="83"/>
        <v>0</v>
      </c>
      <c r="T87" s="853">
        <f t="shared" si="86"/>
        <v>0</v>
      </c>
      <c r="U87" s="1934" t="str">
        <f t="shared" si="22"/>
        <v>1.33</v>
      </c>
      <c r="V87" s="1934" t="str">
        <f t="shared" si="23"/>
        <v>D+</v>
      </c>
      <c r="W87" s="1934" t="str">
        <f t="shared" si="84"/>
        <v>0</v>
      </c>
      <c r="X87" s="1502"/>
      <c r="Y87" s="1503"/>
      <c r="Z87" s="1503"/>
      <c r="AA87" s="1503"/>
      <c r="AB87" s="1504"/>
      <c r="AC87" s="1504"/>
      <c r="AD87" s="1504"/>
      <c r="AE87" s="1505"/>
      <c r="AF87" s="1525"/>
      <c r="AG87" s="1526"/>
    </row>
    <row r="88" spans="1:33" ht="24.95" customHeight="1" x14ac:dyDescent="0.25">
      <c r="A88" s="727"/>
      <c r="B88" s="1401">
        <v>16</v>
      </c>
      <c r="C88" s="1512"/>
      <c r="D88" s="1506"/>
      <c r="E88" s="2813"/>
      <c r="F88" s="2814"/>
      <c r="G88" s="2814"/>
      <c r="H88" s="2814"/>
      <c r="I88" s="2023"/>
      <c r="J88" s="2023"/>
      <c r="K88" s="2023"/>
      <c r="L88" s="2023"/>
      <c r="M88" s="2023"/>
      <c r="N88" s="2023"/>
      <c r="O88" s="2023"/>
      <c r="P88" s="2023"/>
      <c r="Q88" s="2023"/>
      <c r="R88" s="2023"/>
      <c r="S88" s="2023"/>
      <c r="T88" s="1520">
        <f>IFERROR(AVERAGE(T84:T87),"  ")</f>
        <v>0</v>
      </c>
      <c r="U88" s="1935" t="str">
        <f t="shared" ref="U88:U113" si="87">IF(T88&gt;85,("4"),IF(T88&gt;80,("3.66"),IF(T88&gt;75,("3.33"),IF(T88&gt;70,("3.00"),IF(T88&gt;65,("2.66"),IF(T88&gt;60,("2.33"),IF(T88&gt;55,("2"),IF(T88&gt;50,("1.66"),"1.33"))))))))</f>
        <v>1.33</v>
      </c>
      <c r="V88" s="1935" t="str">
        <f t="shared" ref="V88:V113" si="88">IF(T88&gt;85,("A"),IF(T88&gt;80,("A-"),IF(T88&gt;75,("B+"),IF(T88&gt;70,("B"),IF(T88&gt;65,("B-"),IF(T88&gt;60,("C+"),IF(T88&gt;55,("C"),IF(T88&gt;50,("C-"),"D+"))))))))</f>
        <v>D+</v>
      </c>
      <c r="W88" s="1936"/>
      <c r="X88" s="728"/>
      <c r="Y88" s="729"/>
      <c r="Z88" s="729"/>
      <c r="AA88" s="729"/>
      <c r="AB88" s="729"/>
      <c r="AC88" s="729"/>
      <c r="AD88" s="729"/>
      <c r="AE88" s="730"/>
      <c r="AF88" s="1527"/>
      <c r="AG88" s="1528"/>
    </row>
    <row r="89" spans="1:33" ht="24.95" customHeight="1" x14ac:dyDescent="0.25">
      <c r="A89" s="724">
        <v>17</v>
      </c>
      <c r="B89" s="1509"/>
      <c r="C89" s="1384" t="str">
        <f>VLOOKUP(A89,data_siswa,4,FALSE)</f>
        <v>Naufal Falih F</v>
      </c>
      <c r="D89" s="1510" t="s">
        <v>154</v>
      </c>
      <c r="E89" s="1497"/>
      <c r="F89" s="1497"/>
      <c r="G89" s="1497"/>
      <c r="H89" s="2043">
        <v>0</v>
      </c>
      <c r="I89" s="2043">
        <v>0</v>
      </c>
      <c r="J89" s="2043">
        <v>0</v>
      </c>
      <c r="K89" s="1497"/>
      <c r="L89" s="1497"/>
      <c r="M89" s="1497"/>
      <c r="N89" s="2043"/>
      <c r="O89" s="2043"/>
      <c r="P89" s="2043"/>
      <c r="Q89" s="2028">
        <f>MAX(E89,H89,K89,N89)</f>
        <v>0</v>
      </c>
      <c r="R89" s="2026">
        <f t="shared" ref="R89:R92" si="89">MAX(F89,I89,L89,O89)</f>
        <v>0</v>
      </c>
      <c r="S89" s="2029">
        <f t="shared" ref="S89:S92" si="90">MAX(G89,J89,M89,P89)</f>
        <v>0</v>
      </c>
      <c r="T89" s="853">
        <f>IFERROR(AVERAGE(Q89:S89),"")</f>
        <v>0</v>
      </c>
      <c r="U89" s="1934" t="str">
        <f t="shared" si="87"/>
        <v>1.33</v>
      </c>
      <c r="V89" s="1934" t="str">
        <f t="shared" si="88"/>
        <v>D+</v>
      </c>
      <c r="W89" s="1934" t="str">
        <f t="shared" ref="W89:W92" si="91">IF(T89&gt;80,("SB"),IF(T89&gt;65,("B"),IF(T89&gt;50,("C"),IF(T89&gt;0,("K"),"0"))))</f>
        <v>0</v>
      </c>
      <c r="X89" s="383"/>
      <c r="Y89" s="383"/>
      <c r="Z89" s="383"/>
      <c r="AA89" s="383"/>
      <c r="AB89" s="726"/>
      <c r="AC89" s="726"/>
      <c r="AD89" s="726"/>
      <c r="AE89" s="726"/>
      <c r="AF89" s="1057">
        <f>AVERAGE(T89:T92)</f>
        <v>0</v>
      </c>
      <c r="AG89" s="1194" t="str">
        <f>IF(AF89&gt;85,("A"),IF(AF89&gt;80,("A-"),IF(AF89&gt;75,("B+"),IF(AF89&gt;70,("B"),IF(AF89&gt;65,("B-"),IF(AF89&gt;60,("C+"),IF(AF89&gt;55,("C"),IF(AF89&gt;50,("C-"),"D+"))))))))</f>
        <v>D+</v>
      </c>
    </row>
    <row r="90" spans="1:33" ht="24.95" customHeight="1" x14ac:dyDescent="0.25">
      <c r="A90" s="360"/>
      <c r="B90" s="1511"/>
      <c r="C90" s="1310"/>
      <c r="D90" s="1492" t="s">
        <v>9</v>
      </c>
      <c r="E90" s="1493"/>
      <c r="F90" s="1497"/>
      <c r="G90" s="1493"/>
      <c r="H90" s="2040">
        <v>0</v>
      </c>
      <c r="I90" s="2040">
        <v>0</v>
      </c>
      <c r="J90" s="2040">
        <v>0</v>
      </c>
      <c r="K90" s="1497">
        <v>0</v>
      </c>
      <c r="L90" s="1497">
        <v>0</v>
      </c>
      <c r="M90" s="1497">
        <v>0</v>
      </c>
      <c r="N90" s="2043">
        <v>0</v>
      </c>
      <c r="O90" s="2043">
        <v>0</v>
      </c>
      <c r="P90" s="2043">
        <v>0</v>
      </c>
      <c r="Q90" s="2028">
        <f t="shared" ref="Q90:Q92" si="92">MAX(E90,H90,K90,N90)</f>
        <v>0</v>
      </c>
      <c r="R90" s="2026">
        <f t="shared" si="89"/>
        <v>0</v>
      </c>
      <c r="S90" s="2029">
        <f t="shared" si="90"/>
        <v>0</v>
      </c>
      <c r="T90" s="853">
        <f t="shared" ref="T90:T92" si="93">IFERROR(AVERAGE(Q90:S90),"")</f>
        <v>0</v>
      </c>
      <c r="U90" s="1934" t="str">
        <f t="shared" si="87"/>
        <v>1.33</v>
      </c>
      <c r="V90" s="1934" t="str">
        <f t="shared" si="88"/>
        <v>D+</v>
      </c>
      <c r="W90" s="1934" t="str">
        <f t="shared" si="91"/>
        <v>0</v>
      </c>
      <c r="X90" s="1498"/>
      <c r="Y90" s="1499"/>
      <c r="Z90" s="1499"/>
      <c r="AA90" s="1499"/>
      <c r="AB90" s="1500"/>
      <c r="AC90" s="1500"/>
      <c r="AD90" s="1500"/>
      <c r="AE90" s="1501"/>
      <c r="AF90" s="1521"/>
      <c r="AG90" s="1522"/>
    </row>
    <row r="91" spans="1:33" ht="24.95" customHeight="1" x14ac:dyDescent="0.25">
      <c r="A91" s="360"/>
      <c r="B91" s="1511"/>
      <c r="C91" s="1310"/>
      <c r="D91" s="1492" t="s">
        <v>11</v>
      </c>
      <c r="E91" s="1493"/>
      <c r="F91" s="1493"/>
      <c r="G91" s="1497"/>
      <c r="H91" s="2040">
        <v>0</v>
      </c>
      <c r="I91" s="2040">
        <v>0</v>
      </c>
      <c r="J91" s="2040">
        <v>0</v>
      </c>
      <c r="K91" s="1497">
        <v>0</v>
      </c>
      <c r="L91" s="1497">
        <v>0</v>
      </c>
      <c r="M91" s="1497">
        <v>0</v>
      </c>
      <c r="N91" s="2043"/>
      <c r="O91" s="2043"/>
      <c r="P91" s="2043"/>
      <c r="Q91" s="2028">
        <f t="shared" si="92"/>
        <v>0</v>
      </c>
      <c r="R91" s="2026">
        <f t="shared" si="89"/>
        <v>0</v>
      </c>
      <c r="S91" s="2029">
        <f t="shared" si="90"/>
        <v>0</v>
      </c>
      <c r="T91" s="853">
        <f t="shared" si="93"/>
        <v>0</v>
      </c>
      <c r="U91" s="1934" t="str">
        <f t="shared" si="87"/>
        <v>1.33</v>
      </c>
      <c r="V91" s="1934" t="str">
        <f t="shared" si="88"/>
        <v>D+</v>
      </c>
      <c r="W91" s="1934" t="str">
        <f t="shared" si="91"/>
        <v>0</v>
      </c>
      <c r="X91" s="1502"/>
      <c r="Y91" s="1503"/>
      <c r="Z91" s="1503"/>
      <c r="AA91" s="1503"/>
      <c r="AB91" s="1504"/>
      <c r="AC91" s="1504"/>
      <c r="AD91" s="1504"/>
      <c r="AE91" s="1505"/>
      <c r="AF91" s="1523"/>
      <c r="AG91" s="1524"/>
    </row>
    <row r="92" spans="1:33" ht="24.95" customHeight="1" x14ac:dyDescent="0.25">
      <c r="A92" s="360"/>
      <c r="B92" s="1511"/>
      <c r="C92" s="1310"/>
      <c r="D92" s="1492" t="s">
        <v>16</v>
      </c>
      <c r="E92" s="1497">
        <v>0</v>
      </c>
      <c r="F92" s="1497">
        <v>0</v>
      </c>
      <c r="G92" s="1497">
        <v>0</v>
      </c>
      <c r="H92" s="2043">
        <v>0</v>
      </c>
      <c r="I92" s="2043">
        <v>0</v>
      </c>
      <c r="J92" s="2043">
        <v>0</v>
      </c>
      <c r="K92" s="1497">
        <v>0</v>
      </c>
      <c r="L92" s="1497">
        <v>0</v>
      </c>
      <c r="M92" s="1497">
        <v>0</v>
      </c>
      <c r="N92" s="2043">
        <v>0</v>
      </c>
      <c r="O92" s="2043">
        <v>0</v>
      </c>
      <c r="P92" s="2043">
        <v>0</v>
      </c>
      <c r="Q92" s="2028">
        <f t="shared" si="92"/>
        <v>0</v>
      </c>
      <c r="R92" s="2026">
        <f t="shared" si="89"/>
        <v>0</v>
      </c>
      <c r="S92" s="2029">
        <f t="shared" si="90"/>
        <v>0</v>
      </c>
      <c r="T92" s="853">
        <f t="shared" si="93"/>
        <v>0</v>
      </c>
      <c r="U92" s="1934" t="str">
        <f t="shared" si="87"/>
        <v>1.33</v>
      </c>
      <c r="V92" s="1934" t="str">
        <f t="shared" si="88"/>
        <v>D+</v>
      </c>
      <c r="W92" s="1934" t="str">
        <f t="shared" si="91"/>
        <v>0</v>
      </c>
      <c r="X92" s="1502"/>
      <c r="Y92" s="1503"/>
      <c r="Z92" s="1503"/>
      <c r="AA92" s="1503"/>
      <c r="AB92" s="1504"/>
      <c r="AC92" s="1504"/>
      <c r="AD92" s="1504"/>
      <c r="AE92" s="1505"/>
      <c r="AF92" s="1525"/>
      <c r="AG92" s="1526"/>
    </row>
    <row r="93" spans="1:33" ht="24.95" customHeight="1" x14ac:dyDescent="0.25">
      <c r="A93" s="727"/>
      <c r="B93" s="1401">
        <v>17</v>
      </c>
      <c r="C93" s="1512"/>
      <c r="D93" s="1506"/>
      <c r="E93" s="2813"/>
      <c r="F93" s="2814"/>
      <c r="G93" s="2814"/>
      <c r="H93" s="2814"/>
      <c r="I93" s="2023"/>
      <c r="J93" s="2023"/>
      <c r="K93" s="2023"/>
      <c r="L93" s="2023"/>
      <c r="M93" s="2023"/>
      <c r="N93" s="2023"/>
      <c r="O93" s="2023"/>
      <c r="P93" s="2023"/>
      <c r="Q93" s="2023"/>
      <c r="R93" s="2023"/>
      <c r="S93" s="2023"/>
      <c r="T93" s="1520">
        <f>IFERROR(AVERAGE(T89:T92),"  ")</f>
        <v>0</v>
      </c>
      <c r="U93" s="1935" t="str">
        <f t="shared" si="87"/>
        <v>1.33</v>
      </c>
      <c r="V93" s="1935" t="str">
        <f t="shared" si="88"/>
        <v>D+</v>
      </c>
      <c r="W93" s="1936"/>
      <c r="X93" s="728"/>
      <c r="Y93" s="729"/>
      <c r="Z93" s="729"/>
      <c r="AA93" s="729"/>
      <c r="AB93" s="729"/>
      <c r="AC93" s="729"/>
      <c r="AD93" s="729"/>
      <c r="AE93" s="730"/>
      <c r="AF93" s="1527"/>
      <c r="AG93" s="1528"/>
    </row>
    <row r="94" spans="1:33" ht="24.95" customHeight="1" x14ac:dyDescent="0.25">
      <c r="A94" s="724">
        <v>18</v>
      </c>
      <c r="B94" s="1509"/>
      <c r="C94" s="1384" t="str">
        <f>VLOOKUP(A94,data_siswa,4,FALSE)</f>
        <v>Nayla Annora Nobel W</v>
      </c>
      <c r="D94" s="1510" t="s">
        <v>154</v>
      </c>
      <c r="E94" s="1497"/>
      <c r="F94" s="1497"/>
      <c r="G94" s="1497"/>
      <c r="H94" s="2043">
        <v>0</v>
      </c>
      <c r="I94" s="2043">
        <v>0</v>
      </c>
      <c r="J94" s="2043">
        <v>0</v>
      </c>
      <c r="K94" s="1497"/>
      <c r="L94" s="1497"/>
      <c r="M94" s="1497"/>
      <c r="N94" s="2043"/>
      <c r="O94" s="2043"/>
      <c r="P94" s="2043"/>
      <c r="Q94" s="2028">
        <f>MAX(E94,H94,K94,N94)</f>
        <v>0</v>
      </c>
      <c r="R94" s="2026">
        <f t="shared" ref="R94:R97" si="94">MAX(F94,I94,L94,O94)</f>
        <v>0</v>
      </c>
      <c r="S94" s="2029">
        <f t="shared" ref="S94:S97" si="95">MAX(G94,J94,M94,P94)</f>
        <v>0</v>
      </c>
      <c r="T94" s="853">
        <f>IFERROR(AVERAGE(Q94:S94),"")</f>
        <v>0</v>
      </c>
      <c r="U94" s="1934" t="str">
        <f t="shared" si="87"/>
        <v>1.33</v>
      </c>
      <c r="V94" s="1934" t="str">
        <f t="shared" si="88"/>
        <v>D+</v>
      </c>
      <c r="W94" s="1934" t="str">
        <f t="shared" ref="W94:W97" si="96">IF(T94&gt;80,("SB"),IF(T94&gt;65,("B"),IF(T94&gt;50,("C"),IF(T94&gt;0,("K"),"0"))))</f>
        <v>0</v>
      </c>
      <c r="X94" s="383"/>
      <c r="Y94" s="383"/>
      <c r="Z94" s="383"/>
      <c r="AA94" s="383"/>
      <c r="AB94" s="726"/>
      <c r="AC94" s="726"/>
      <c r="AD94" s="726"/>
      <c r="AE94" s="726"/>
      <c r="AF94" s="1057">
        <f>AVERAGE(T94:T97)</f>
        <v>0</v>
      </c>
      <c r="AG94" s="1194" t="str">
        <f>IF(AF94&gt;85,("A"),IF(AF94&gt;80,("A-"),IF(AF94&gt;75,("B+"),IF(AF94&gt;70,("B"),IF(AF94&gt;65,("B-"),IF(AF94&gt;60,("C+"),IF(AF94&gt;55,("C"),IF(AF94&gt;50,("C-"),"D+"))))))))</f>
        <v>D+</v>
      </c>
    </row>
    <row r="95" spans="1:33" ht="24.95" customHeight="1" x14ac:dyDescent="0.25">
      <c r="A95" s="360"/>
      <c r="B95" s="1511"/>
      <c r="C95" s="1310"/>
      <c r="D95" s="1492" t="s">
        <v>9</v>
      </c>
      <c r="E95" s="1493"/>
      <c r="F95" s="1497"/>
      <c r="G95" s="1493"/>
      <c r="H95" s="2040">
        <v>0</v>
      </c>
      <c r="I95" s="2040">
        <v>0</v>
      </c>
      <c r="J95" s="2040">
        <v>0</v>
      </c>
      <c r="K95" s="1497">
        <v>0</v>
      </c>
      <c r="L95" s="1497">
        <v>0</v>
      </c>
      <c r="M95" s="1497">
        <v>0</v>
      </c>
      <c r="N95" s="2043">
        <v>0</v>
      </c>
      <c r="O95" s="2043">
        <v>0</v>
      </c>
      <c r="P95" s="2043">
        <v>0</v>
      </c>
      <c r="Q95" s="2028">
        <f t="shared" ref="Q95:Q97" si="97">MAX(E95,H95,K95,N95)</f>
        <v>0</v>
      </c>
      <c r="R95" s="2026">
        <f t="shared" si="94"/>
        <v>0</v>
      </c>
      <c r="S95" s="2029">
        <f t="shared" si="95"/>
        <v>0</v>
      </c>
      <c r="T95" s="853">
        <f t="shared" ref="T95:T97" si="98">IFERROR(AVERAGE(Q95:S95),"")</f>
        <v>0</v>
      </c>
      <c r="U95" s="1934" t="str">
        <f t="shared" si="87"/>
        <v>1.33</v>
      </c>
      <c r="V95" s="1934" t="str">
        <f t="shared" si="88"/>
        <v>D+</v>
      </c>
      <c r="W95" s="1934" t="str">
        <f t="shared" si="96"/>
        <v>0</v>
      </c>
      <c r="X95" s="1498"/>
      <c r="Y95" s="1499"/>
      <c r="Z95" s="1499"/>
      <c r="AA95" s="1499"/>
      <c r="AB95" s="1500"/>
      <c r="AC95" s="1500"/>
      <c r="AD95" s="1500"/>
      <c r="AE95" s="1501"/>
      <c r="AF95" s="1521"/>
      <c r="AG95" s="1522"/>
    </row>
    <row r="96" spans="1:33" ht="24.95" customHeight="1" x14ac:dyDescent="0.25">
      <c r="A96" s="360"/>
      <c r="B96" s="1511"/>
      <c r="C96" s="1310"/>
      <c r="D96" s="1492" t="s">
        <v>11</v>
      </c>
      <c r="E96" s="1493"/>
      <c r="F96" s="1493"/>
      <c r="G96" s="1497"/>
      <c r="H96" s="2040">
        <v>0</v>
      </c>
      <c r="I96" s="2040">
        <v>0</v>
      </c>
      <c r="J96" s="2040">
        <v>0</v>
      </c>
      <c r="K96" s="1497">
        <v>0</v>
      </c>
      <c r="L96" s="1497">
        <v>0</v>
      </c>
      <c r="M96" s="1497">
        <v>0</v>
      </c>
      <c r="N96" s="2043"/>
      <c r="O96" s="2043"/>
      <c r="P96" s="2043"/>
      <c r="Q96" s="2028">
        <f t="shared" si="97"/>
        <v>0</v>
      </c>
      <c r="R96" s="2026">
        <f t="shared" si="94"/>
        <v>0</v>
      </c>
      <c r="S96" s="2029">
        <f t="shared" si="95"/>
        <v>0</v>
      </c>
      <c r="T96" s="853">
        <f t="shared" si="98"/>
        <v>0</v>
      </c>
      <c r="U96" s="1934" t="str">
        <f t="shared" si="87"/>
        <v>1.33</v>
      </c>
      <c r="V96" s="1934" t="str">
        <f t="shared" si="88"/>
        <v>D+</v>
      </c>
      <c r="W96" s="1934" t="str">
        <f t="shared" si="96"/>
        <v>0</v>
      </c>
      <c r="X96" s="1502"/>
      <c r="Y96" s="1503"/>
      <c r="Z96" s="1503"/>
      <c r="AA96" s="1503"/>
      <c r="AB96" s="1504"/>
      <c r="AC96" s="1504"/>
      <c r="AD96" s="1504"/>
      <c r="AE96" s="1505"/>
      <c r="AF96" s="1523"/>
      <c r="AG96" s="1524"/>
    </row>
    <row r="97" spans="1:33" ht="24.95" customHeight="1" x14ac:dyDescent="0.25">
      <c r="A97" s="360"/>
      <c r="B97" s="1511"/>
      <c r="C97" s="1310"/>
      <c r="D97" s="1492" t="s">
        <v>16</v>
      </c>
      <c r="E97" s="1497">
        <v>0</v>
      </c>
      <c r="F97" s="1497">
        <v>0</v>
      </c>
      <c r="G97" s="1497">
        <v>0</v>
      </c>
      <c r="H97" s="2043">
        <v>0</v>
      </c>
      <c r="I97" s="2043">
        <v>0</v>
      </c>
      <c r="J97" s="2043">
        <v>0</v>
      </c>
      <c r="K97" s="1497">
        <v>0</v>
      </c>
      <c r="L97" s="1497">
        <v>0</v>
      </c>
      <c r="M97" s="1497">
        <v>0</v>
      </c>
      <c r="N97" s="2043">
        <v>0</v>
      </c>
      <c r="O97" s="2043">
        <v>0</v>
      </c>
      <c r="P97" s="2043">
        <v>0</v>
      </c>
      <c r="Q97" s="2028">
        <f t="shared" si="97"/>
        <v>0</v>
      </c>
      <c r="R97" s="2026">
        <f t="shared" si="94"/>
        <v>0</v>
      </c>
      <c r="S97" s="2029">
        <f t="shared" si="95"/>
        <v>0</v>
      </c>
      <c r="T97" s="853">
        <f t="shared" si="98"/>
        <v>0</v>
      </c>
      <c r="U97" s="1934" t="str">
        <f t="shared" si="87"/>
        <v>1.33</v>
      </c>
      <c r="V97" s="1934" t="str">
        <f t="shared" si="88"/>
        <v>D+</v>
      </c>
      <c r="W97" s="1934" t="str">
        <f t="shared" si="96"/>
        <v>0</v>
      </c>
      <c r="X97" s="1502"/>
      <c r="Y97" s="1503"/>
      <c r="Z97" s="1503"/>
      <c r="AA97" s="1503"/>
      <c r="AB97" s="1504"/>
      <c r="AC97" s="1504"/>
      <c r="AD97" s="1504"/>
      <c r="AE97" s="1505"/>
      <c r="AF97" s="1525"/>
      <c r="AG97" s="1526"/>
    </row>
    <row r="98" spans="1:33" ht="24.95" customHeight="1" x14ac:dyDescent="0.25">
      <c r="A98" s="727"/>
      <c r="B98" s="1401">
        <v>18</v>
      </c>
      <c r="C98" s="1512"/>
      <c r="D98" s="1506"/>
      <c r="E98" s="2813"/>
      <c r="F98" s="2814"/>
      <c r="G98" s="2814"/>
      <c r="H98" s="2814"/>
      <c r="I98" s="2023"/>
      <c r="J98" s="2023"/>
      <c r="K98" s="2023"/>
      <c r="L98" s="2023"/>
      <c r="M98" s="2023"/>
      <c r="N98" s="2023"/>
      <c r="O98" s="2023"/>
      <c r="P98" s="2023"/>
      <c r="Q98" s="2023"/>
      <c r="R98" s="2023"/>
      <c r="S98" s="2023"/>
      <c r="T98" s="1520">
        <f>IFERROR(AVERAGE(T94:T97),"  ")</f>
        <v>0</v>
      </c>
      <c r="U98" s="1935" t="str">
        <f t="shared" si="87"/>
        <v>1.33</v>
      </c>
      <c r="V98" s="1935" t="str">
        <f t="shared" si="88"/>
        <v>D+</v>
      </c>
      <c r="W98" s="1936"/>
      <c r="X98" s="728"/>
      <c r="Y98" s="729"/>
      <c r="Z98" s="729"/>
      <c r="AA98" s="729"/>
      <c r="AB98" s="729"/>
      <c r="AC98" s="729"/>
      <c r="AD98" s="729"/>
      <c r="AE98" s="730"/>
      <c r="AF98" s="1527"/>
      <c r="AG98" s="1528"/>
    </row>
    <row r="99" spans="1:33" ht="24.95" customHeight="1" x14ac:dyDescent="0.25">
      <c r="A99" s="724">
        <v>19</v>
      </c>
      <c r="B99" s="1509"/>
      <c r="C99" s="1384" t="str">
        <f>VLOOKUP(A99,data_siswa,4,FALSE)</f>
        <v>Raihan Danang P</v>
      </c>
      <c r="D99" s="1510" t="s">
        <v>154</v>
      </c>
      <c r="E99" s="1497"/>
      <c r="F99" s="1497"/>
      <c r="G99" s="1497"/>
      <c r="H99" s="2043">
        <v>0</v>
      </c>
      <c r="I99" s="2043">
        <v>0</v>
      </c>
      <c r="J99" s="2043">
        <v>0</v>
      </c>
      <c r="K99" s="1497"/>
      <c r="L99" s="1497"/>
      <c r="M99" s="1497"/>
      <c r="N99" s="2043"/>
      <c r="O99" s="2043"/>
      <c r="P99" s="2043"/>
      <c r="Q99" s="2028">
        <f>MAX(E99,H99,K99,N99)</f>
        <v>0</v>
      </c>
      <c r="R99" s="2026">
        <f t="shared" ref="R99:R102" si="99">MAX(F99,I99,L99,O99)</f>
        <v>0</v>
      </c>
      <c r="S99" s="2029">
        <f t="shared" ref="S99:S102" si="100">MAX(G99,J99,M99,P99)</f>
        <v>0</v>
      </c>
      <c r="T99" s="853">
        <f>IFERROR(AVERAGE(Q99:S99),"")</f>
        <v>0</v>
      </c>
      <c r="U99" s="1934" t="str">
        <f t="shared" si="87"/>
        <v>1.33</v>
      </c>
      <c r="V99" s="1934" t="str">
        <f t="shared" si="88"/>
        <v>D+</v>
      </c>
      <c r="W99" s="1934" t="str">
        <f t="shared" ref="W99:W102" si="101">IF(T99&gt;80,("SB"),IF(T99&gt;65,("B"),IF(T99&gt;50,("C"),IF(T99&gt;0,("K"),"0"))))</f>
        <v>0</v>
      </c>
      <c r="X99" s="383"/>
      <c r="Y99" s="383"/>
      <c r="Z99" s="383"/>
      <c r="AA99" s="383"/>
      <c r="AB99" s="726"/>
      <c r="AC99" s="726"/>
      <c r="AD99" s="726"/>
      <c r="AE99" s="726"/>
      <c r="AF99" s="1057">
        <f>AVERAGE(T99:T102)</f>
        <v>0</v>
      </c>
      <c r="AG99" s="1194" t="str">
        <f>IF(AF99&gt;85,("A"),IF(AF99&gt;80,("A-"),IF(AF99&gt;75,("B+"),IF(AF99&gt;70,("B"),IF(AF99&gt;65,("B-"),IF(AF99&gt;60,("C+"),IF(AF99&gt;55,("C"),IF(AF99&gt;50,("C-"),"D+"))))))))</f>
        <v>D+</v>
      </c>
    </row>
    <row r="100" spans="1:33" ht="24.95" customHeight="1" x14ac:dyDescent="0.25">
      <c r="A100" s="360"/>
      <c r="B100" s="1511"/>
      <c r="C100" s="1310"/>
      <c r="D100" s="1492" t="s">
        <v>9</v>
      </c>
      <c r="E100" s="1493"/>
      <c r="F100" s="1497"/>
      <c r="G100" s="1493"/>
      <c r="H100" s="2040">
        <v>0</v>
      </c>
      <c r="I100" s="2040">
        <v>0</v>
      </c>
      <c r="J100" s="2040">
        <v>0</v>
      </c>
      <c r="K100" s="1497">
        <v>0</v>
      </c>
      <c r="L100" s="1497">
        <v>0</v>
      </c>
      <c r="M100" s="1497">
        <v>0</v>
      </c>
      <c r="N100" s="2043">
        <v>0</v>
      </c>
      <c r="O100" s="2043">
        <v>0</v>
      </c>
      <c r="P100" s="2043">
        <v>0</v>
      </c>
      <c r="Q100" s="2028">
        <f t="shared" ref="Q100:Q102" si="102">MAX(E100,H100,K100,N100)</f>
        <v>0</v>
      </c>
      <c r="R100" s="2026">
        <f t="shared" si="99"/>
        <v>0</v>
      </c>
      <c r="S100" s="2029">
        <f t="shared" si="100"/>
        <v>0</v>
      </c>
      <c r="T100" s="853">
        <f t="shared" ref="T100:T102" si="103">IFERROR(AVERAGE(Q100:S100),"")</f>
        <v>0</v>
      </c>
      <c r="U100" s="1934" t="str">
        <f t="shared" si="87"/>
        <v>1.33</v>
      </c>
      <c r="V100" s="1934" t="str">
        <f t="shared" si="88"/>
        <v>D+</v>
      </c>
      <c r="W100" s="1934" t="str">
        <f t="shared" si="101"/>
        <v>0</v>
      </c>
      <c r="X100" s="1498"/>
      <c r="Y100" s="1499"/>
      <c r="Z100" s="1499"/>
      <c r="AA100" s="1499"/>
      <c r="AB100" s="1500"/>
      <c r="AC100" s="1500"/>
      <c r="AD100" s="1500"/>
      <c r="AE100" s="1501"/>
      <c r="AF100" s="1521"/>
      <c r="AG100" s="1522"/>
    </row>
    <row r="101" spans="1:33" ht="24.95" customHeight="1" x14ac:dyDescent="0.25">
      <c r="A101" s="360"/>
      <c r="B101" s="1511"/>
      <c r="C101" s="1310"/>
      <c r="D101" s="1492" t="s">
        <v>11</v>
      </c>
      <c r="E101" s="1493"/>
      <c r="F101" s="1493"/>
      <c r="G101" s="1497"/>
      <c r="H101" s="2040">
        <v>0</v>
      </c>
      <c r="I101" s="2040">
        <v>0</v>
      </c>
      <c r="J101" s="2040">
        <v>0</v>
      </c>
      <c r="K101" s="1497">
        <v>0</v>
      </c>
      <c r="L101" s="1497">
        <v>0</v>
      </c>
      <c r="M101" s="1497">
        <v>0</v>
      </c>
      <c r="N101" s="2043"/>
      <c r="O101" s="2043"/>
      <c r="P101" s="2043"/>
      <c r="Q101" s="2028">
        <f t="shared" si="102"/>
        <v>0</v>
      </c>
      <c r="R101" s="2026">
        <f t="shared" si="99"/>
        <v>0</v>
      </c>
      <c r="S101" s="2029">
        <f t="shared" si="100"/>
        <v>0</v>
      </c>
      <c r="T101" s="853">
        <f t="shared" si="103"/>
        <v>0</v>
      </c>
      <c r="U101" s="1934" t="str">
        <f t="shared" si="87"/>
        <v>1.33</v>
      </c>
      <c r="V101" s="1934" t="str">
        <f t="shared" si="88"/>
        <v>D+</v>
      </c>
      <c r="W101" s="1934" t="str">
        <f t="shared" si="101"/>
        <v>0</v>
      </c>
      <c r="X101" s="1502"/>
      <c r="Y101" s="1503"/>
      <c r="Z101" s="1503"/>
      <c r="AA101" s="1503"/>
      <c r="AB101" s="1504"/>
      <c r="AC101" s="1504"/>
      <c r="AD101" s="1504"/>
      <c r="AE101" s="1505"/>
      <c r="AF101" s="1523"/>
      <c r="AG101" s="1524"/>
    </row>
    <row r="102" spans="1:33" ht="24.95" customHeight="1" x14ac:dyDescent="0.25">
      <c r="A102" s="360"/>
      <c r="B102" s="1511"/>
      <c r="C102" s="1310"/>
      <c r="D102" s="1492" t="s">
        <v>16</v>
      </c>
      <c r="E102" s="1497">
        <v>0</v>
      </c>
      <c r="F102" s="1497">
        <v>0</v>
      </c>
      <c r="G102" s="1497">
        <v>0</v>
      </c>
      <c r="H102" s="2043">
        <v>0</v>
      </c>
      <c r="I102" s="2043">
        <v>0</v>
      </c>
      <c r="J102" s="2043">
        <v>0</v>
      </c>
      <c r="K102" s="1497">
        <v>0</v>
      </c>
      <c r="L102" s="1497">
        <v>0</v>
      </c>
      <c r="M102" s="1497">
        <v>0</v>
      </c>
      <c r="N102" s="2043">
        <v>0</v>
      </c>
      <c r="O102" s="2043">
        <v>0</v>
      </c>
      <c r="P102" s="2043">
        <v>0</v>
      </c>
      <c r="Q102" s="2028">
        <f t="shared" si="102"/>
        <v>0</v>
      </c>
      <c r="R102" s="2026">
        <f t="shared" si="99"/>
        <v>0</v>
      </c>
      <c r="S102" s="2029">
        <f t="shared" si="100"/>
        <v>0</v>
      </c>
      <c r="T102" s="853">
        <f t="shared" si="103"/>
        <v>0</v>
      </c>
      <c r="U102" s="1934" t="str">
        <f t="shared" si="87"/>
        <v>1.33</v>
      </c>
      <c r="V102" s="1934" t="str">
        <f t="shared" si="88"/>
        <v>D+</v>
      </c>
      <c r="W102" s="1934" t="str">
        <f t="shared" si="101"/>
        <v>0</v>
      </c>
      <c r="X102" s="1502"/>
      <c r="Y102" s="1503"/>
      <c r="Z102" s="1503"/>
      <c r="AA102" s="1503"/>
      <c r="AB102" s="1504"/>
      <c r="AC102" s="1504"/>
      <c r="AD102" s="1504"/>
      <c r="AE102" s="1505"/>
      <c r="AF102" s="1525"/>
      <c r="AG102" s="1526"/>
    </row>
    <row r="103" spans="1:33" ht="24.95" customHeight="1" x14ac:dyDescent="0.25">
      <c r="A103" s="727"/>
      <c r="B103" s="1401">
        <v>19</v>
      </c>
      <c r="C103" s="1512"/>
      <c r="D103" s="1506"/>
      <c r="E103" s="2813"/>
      <c r="F103" s="2814"/>
      <c r="G103" s="2814"/>
      <c r="H103" s="2814"/>
      <c r="I103" s="2023"/>
      <c r="J103" s="2023"/>
      <c r="K103" s="2023"/>
      <c r="L103" s="2023"/>
      <c r="M103" s="2023"/>
      <c r="N103" s="2023"/>
      <c r="O103" s="2023"/>
      <c r="P103" s="2023"/>
      <c r="Q103" s="2023"/>
      <c r="R103" s="2023"/>
      <c r="S103" s="2023"/>
      <c r="T103" s="1520">
        <f>IFERROR(AVERAGE(T99:T102),"  ")</f>
        <v>0</v>
      </c>
      <c r="U103" s="1935" t="str">
        <f>IF(T13&gt;85,("4"),IF(T13&gt;80,("3.66"),IF(T13&gt;75,("3.33"),IF(T13&gt;70,("3.00"),IF(T13&gt;65,("2.66"),IF(T13&gt;60,("2.33"),IF(T13&gt;55,("2"),IF(T13&gt;50,("1.66"),"1.33"))))))))</f>
        <v>3.00</v>
      </c>
      <c r="V103" s="1935" t="str">
        <f>IF(T13&gt;85,("A"),IF(T13&gt;80,("A-"),IF(T13&gt;75,("B+"),IF(T13&gt;70,("B"),IF(T13&gt;65,("B-"),IF(T13&gt;60,("C+"),IF(T13&gt;55,("C"),IF(T13&gt;50,("C-"),"D+"))))))))</f>
        <v>B</v>
      </c>
      <c r="W103" s="1936"/>
      <c r="X103" s="728"/>
      <c r="Y103" s="729"/>
      <c r="Z103" s="729"/>
      <c r="AA103" s="729"/>
      <c r="AB103" s="729"/>
      <c r="AC103" s="729"/>
      <c r="AD103" s="729"/>
      <c r="AE103" s="730"/>
      <c r="AF103" s="1527"/>
      <c r="AG103" s="1528"/>
    </row>
    <row r="104" spans="1:33" ht="24.95" customHeight="1" x14ac:dyDescent="0.25">
      <c r="A104" s="724">
        <v>20</v>
      </c>
      <c r="B104" s="1509"/>
      <c r="C104" s="1384" t="str">
        <f>VLOOKUP(A104,data_siswa,4,FALSE)</f>
        <v>Roby Ardiyansyah</v>
      </c>
      <c r="D104" s="1510" t="s">
        <v>154</v>
      </c>
      <c r="E104" s="1497"/>
      <c r="F104" s="1497"/>
      <c r="G104" s="1497"/>
      <c r="H104" s="2043">
        <v>0</v>
      </c>
      <c r="I104" s="2043">
        <v>0</v>
      </c>
      <c r="J104" s="2043">
        <v>0</v>
      </c>
      <c r="K104" s="1497"/>
      <c r="L104" s="1497"/>
      <c r="M104" s="1497"/>
      <c r="N104" s="2043"/>
      <c r="O104" s="2043"/>
      <c r="P104" s="2043"/>
      <c r="Q104" s="2028">
        <f>MAX(E104,H104,K104,N104)</f>
        <v>0</v>
      </c>
      <c r="R104" s="2026">
        <f t="shared" ref="R104:R107" si="104">MAX(F104,I104,L104,O104)</f>
        <v>0</v>
      </c>
      <c r="S104" s="2029">
        <f t="shared" ref="S104:S107" si="105">MAX(G104,J104,M104,P104)</f>
        <v>0</v>
      </c>
      <c r="T104" s="853">
        <f>IFERROR(AVERAGE(Q104:S104),"")</f>
        <v>0</v>
      </c>
      <c r="U104" s="1934" t="str">
        <f>IF(T13&gt;85,("4"),IF(T13&gt;80,("3.66"),IF(T13&gt;75,("3.33"),IF(T13&gt;70,("3.00"),IF(T13&gt;65,("2.66"),IF(T13&gt;60,("2.33"),IF(T13&gt;55,("2"),IF(T13&gt;50,("1.66"),"1.33"))))))))</f>
        <v>3.00</v>
      </c>
      <c r="V104" s="1934" t="str">
        <f>IF(T13&gt;85,("A"),IF(T13&gt;80,("A-"),IF(T13&gt;75,("B+"),IF(T13&gt;70,("B"),IF(T13&gt;65,("B-"),IF(T13&gt;60,("C+"),IF(T13&gt;55,("C"),IF(T13&gt;50,("C-"),"D+"))))))))</f>
        <v>B</v>
      </c>
      <c r="W104" s="1934" t="str">
        <f>IF(T13&gt;80,("SB"),IF(T13&gt;65,("B"),IF(T13&gt;50,("C"),IF(T13&gt;0,("K"),"0"))))</f>
        <v>B</v>
      </c>
      <c r="X104" s="383"/>
      <c r="Y104" s="383"/>
      <c r="Z104" s="383"/>
      <c r="AA104" s="383"/>
      <c r="AB104" s="726"/>
      <c r="AC104" s="726"/>
      <c r="AD104" s="726"/>
      <c r="AE104" s="726"/>
      <c r="AF104" s="1057">
        <f>AVERAGE(T104:T107)</f>
        <v>0</v>
      </c>
      <c r="AG104" s="1194" t="str">
        <f>IF(AF104&gt;85,("A"),IF(AF104&gt;80,("A-"),IF(AF104&gt;75,("B+"),IF(AF104&gt;70,("B"),IF(AF104&gt;65,("B-"),IF(AF104&gt;60,("C+"),IF(AF104&gt;55,("C"),IF(AF104&gt;50,("C-"),"D+"))))))))</f>
        <v>D+</v>
      </c>
    </row>
    <row r="105" spans="1:33" ht="24.95" customHeight="1" x14ac:dyDescent="0.25">
      <c r="A105" s="360"/>
      <c r="B105" s="1511"/>
      <c r="C105" s="1384"/>
      <c r="D105" s="1492" t="s">
        <v>9</v>
      </c>
      <c r="E105" s="1493"/>
      <c r="F105" s="1497"/>
      <c r="G105" s="1493"/>
      <c r="H105" s="2040">
        <v>0</v>
      </c>
      <c r="I105" s="2040">
        <v>0</v>
      </c>
      <c r="J105" s="2040">
        <v>0</v>
      </c>
      <c r="K105" s="1497">
        <v>0</v>
      </c>
      <c r="L105" s="1497">
        <v>0</v>
      </c>
      <c r="M105" s="1497">
        <v>0</v>
      </c>
      <c r="N105" s="2043">
        <v>0</v>
      </c>
      <c r="O105" s="2043">
        <v>0</v>
      </c>
      <c r="P105" s="2043">
        <v>0</v>
      </c>
      <c r="Q105" s="2028">
        <f t="shared" ref="Q105:Q107" si="106">MAX(E105,H105,K105,N105)</f>
        <v>0</v>
      </c>
      <c r="R105" s="2026">
        <f t="shared" si="104"/>
        <v>0</v>
      </c>
      <c r="S105" s="2029">
        <f t="shared" si="105"/>
        <v>0</v>
      </c>
      <c r="T105" s="853">
        <f t="shared" ref="T105:T107" si="107">IFERROR(AVERAGE(Q105:S105),"")</f>
        <v>0</v>
      </c>
      <c r="U105" s="1934" t="str">
        <f>IF(T13&gt;85,("4"),IF(T13&gt;80,("3.66"),IF(T13&gt;75,("3.33"),IF(T13&gt;70,("3.00"),IF(T13&gt;65,("2.66"),IF(T13&gt;60,("2.33"),IF(T13&gt;55,("2"),IF(T13&gt;50,("1.66"),"1.33"))))))))</f>
        <v>3.00</v>
      </c>
      <c r="V105" s="1934" t="str">
        <f>IF(T13&gt;85,("A"),IF(T13&gt;80,("A-"),IF(T13&gt;75,("B+"),IF(T13&gt;70,("B"),IF(T13&gt;65,("B-"),IF(T13&gt;60,("C+"),IF(T13&gt;55,("C"),IF(T13&gt;50,("C-"),"D+"))))))))</f>
        <v>B</v>
      </c>
      <c r="W105" s="1934" t="str">
        <f>IF(T13&gt;80,("SB"),IF(T13&gt;65,("B"),IF(T13&gt;50,("C"),IF(T13&gt;0,("K"),"0"))))</f>
        <v>B</v>
      </c>
      <c r="X105" s="1498"/>
      <c r="Y105" s="1499"/>
      <c r="Z105" s="1499"/>
      <c r="AA105" s="1499"/>
      <c r="AB105" s="1500"/>
      <c r="AC105" s="1500"/>
      <c r="AD105" s="1500"/>
      <c r="AE105" s="1501"/>
      <c r="AF105" s="1521"/>
      <c r="AG105" s="1522"/>
    </row>
    <row r="106" spans="1:33" ht="24.95" customHeight="1" x14ac:dyDescent="0.25">
      <c r="A106" s="360"/>
      <c r="B106" s="1511"/>
      <c r="C106" s="1310"/>
      <c r="D106" s="1492" t="s">
        <v>11</v>
      </c>
      <c r="E106" s="1493"/>
      <c r="F106" s="1493"/>
      <c r="G106" s="1497"/>
      <c r="H106" s="2040">
        <v>0</v>
      </c>
      <c r="I106" s="2040">
        <v>0</v>
      </c>
      <c r="J106" s="2040">
        <v>0</v>
      </c>
      <c r="K106" s="1497">
        <v>0</v>
      </c>
      <c r="L106" s="1497">
        <v>0</v>
      </c>
      <c r="M106" s="1497">
        <v>0</v>
      </c>
      <c r="N106" s="2043"/>
      <c r="O106" s="2043"/>
      <c r="P106" s="2043"/>
      <c r="Q106" s="2028">
        <f t="shared" si="106"/>
        <v>0</v>
      </c>
      <c r="R106" s="2026">
        <f t="shared" si="104"/>
        <v>0</v>
      </c>
      <c r="S106" s="2029">
        <f t="shared" si="105"/>
        <v>0</v>
      </c>
      <c r="T106" s="853">
        <f t="shared" si="107"/>
        <v>0</v>
      </c>
      <c r="U106" s="1934" t="str">
        <f>IF(T13&gt;85,("4"),IF(T13&gt;80,("3.66"),IF(T13&gt;75,("3.33"),IF(T13&gt;70,("3.00"),IF(T13&gt;65,("2.66"),IF(T13&gt;60,("2.33"),IF(T13&gt;55,("2"),IF(T13&gt;50,("1.66"),"1.33"))))))))</f>
        <v>3.00</v>
      </c>
      <c r="V106" s="1934" t="str">
        <f>IF(T13&gt;85,("A"),IF(T13&gt;80,("A-"),IF(T13&gt;75,("B+"),IF(T13&gt;70,("B"),IF(T13&gt;65,("B-"),IF(T13&gt;60,("C+"),IF(T13&gt;55,("C"),IF(T13&gt;50,("C-"),"D+"))))))))</f>
        <v>B</v>
      </c>
      <c r="W106" s="1934" t="str">
        <f>IF(T13&gt;80,("SB"),IF(T13&gt;65,("B"),IF(T13&gt;50,("C"),IF(T13&gt;0,("K"),"0"))))</f>
        <v>B</v>
      </c>
      <c r="X106" s="1502"/>
      <c r="Y106" s="1503"/>
      <c r="Z106" s="1503"/>
      <c r="AA106" s="1503"/>
      <c r="AB106" s="1504"/>
      <c r="AC106" s="1504"/>
      <c r="AD106" s="1504"/>
      <c r="AE106" s="1505"/>
      <c r="AF106" s="1523"/>
      <c r="AG106" s="1524"/>
    </row>
    <row r="107" spans="1:33" ht="24.95" customHeight="1" x14ac:dyDescent="0.25">
      <c r="A107" s="360"/>
      <c r="B107" s="1511"/>
      <c r="C107" s="1310"/>
      <c r="D107" s="1492" t="s">
        <v>16</v>
      </c>
      <c r="E107" s="1497">
        <v>0</v>
      </c>
      <c r="F107" s="1497">
        <v>0</v>
      </c>
      <c r="G107" s="1497">
        <v>0</v>
      </c>
      <c r="H107" s="2043">
        <v>0</v>
      </c>
      <c r="I107" s="2043">
        <v>0</v>
      </c>
      <c r="J107" s="2043">
        <v>0</v>
      </c>
      <c r="K107" s="1497">
        <v>0</v>
      </c>
      <c r="L107" s="1497">
        <v>0</v>
      </c>
      <c r="M107" s="1497">
        <v>0</v>
      </c>
      <c r="N107" s="2043">
        <v>0</v>
      </c>
      <c r="O107" s="2043">
        <v>0</v>
      </c>
      <c r="P107" s="2043">
        <v>0</v>
      </c>
      <c r="Q107" s="2028">
        <f t="shared" si="106"/>
        <v>0</v>
      </c>
      <c r="R107" s="2026">
        <f t="shared" si="104"/>
        <v>0</v>
      </c>
      <c r="S107" s="2029">
        <f t="shared" si="105"/>
        <v>0</v>
      </c>
      <c r="T107" s="853">
        <f t="shared" si="107"/>
        <v>0</v>
      </c>
      <c r="U107" s="1934" t="str">
        <f>IF(T13&gt;85,("4"),IF(T13&gt;80,("3.66"),IF(T13&gt;75,("3.33"),IF(T13&gt;70,("3.00"),IF(T13&gt;65,("2.66"),IF(T13&gt;60,("2.33"),IF(T13&gt;55,("2"),IF(T13&gt;50,("1.66"),"1.33"))))))))</f>
        <v>3.00</v>
      </c>
      <c r="V107" s="1934" t="str">
        <f>IF(T13&gt;85,("A"),IF(T13&gt;80,("A-"),IF(T13&gt;75,("B+"),IF(T13&gt;70,("B"),IF(T13&gt;65,("B-"),IF(T13&gt;60,("C+"),IF(T13&gt;55,("C"),IF(T13&gt;50,("C-"),"D+"))))))))</f>
        <v>B</v>
      </c>
      <c r="W107" s="1934" t="str">
        <f>IF(T13&gt;80,("SB"),IF(T13&gt;65,("B"),IF(T13&gt;50,("C"),IF(T13&gt;0,("K"),"0"))))</f>
        <v>B</v>
      </c>
      <c r="X107" s="1502"/>
      <c r="Y107" s="1503"/>
      <c r="Z107" s="1503"/>
      <c r="AA107" s="1503"/>
      <c r="AB107" s="1504"/>
      <c r="AC107" s="1504"/>
      <c r="AD107" s="1504"/>
      <c r="AE107" s="1505"/>
      <c r="AF107" s="1525"/>
      <c r="AG107" s="1526"/>
    </row>
    <row r="108" spans="1:33" ht="24.95" customHeight="1" x14ac:dyDescent="0.25">
      <c r="A108" s="727"/>
      <c r="B108" s="1401">
        <v>20</v>
      </c>
      <c r="C108" s="1512"/>
      <c r="D108" s="1506"/>
      <c r="E108" s="2813"/>
      <c r="F108" s="2814"/>
      <c r="G108" s="2814"/>
      <c r="H108" s="2814"/>
      <c r="I108" s="2023"/>
      <c r="J108" s="2023"/>
      <c r="K108" s="2023"/>
      <c r="L108" s="2023"/>
      <c r="M108" s="2023"/>
      <c r="N108" s="2023"/>
      <c r="O108" s="2023"/>
      <c r="P108" s="2023"/>
      <c r="Q108" s="2023"/>
      <c r="R108" s="2023"/>
      <c r="S108" s="2023"/>
      <c r="T108" s="1520">
        <f>IFERROR(AVERAGE(T104:T107),"  ")</f>
        <v>0</v>
      </c>
      <c r="U108" s="1935" t="str">
        <f>IF(T13&gt;85,("4"),IF(T13&gt;80,("3.66"),IF(T13&gt;75,("3.33"),IF(T13&gt;70,("3.00"),IF(T13&gt;65,("2.66"),IF(T13&gt;60,("2.33"),IF(T13&gt;55,("2"),IF(T13&gt;50,("1.66"),"1.33"))))))))</f>
        <v>3.00</v>
      </c>
      <c r="V108" s="1935" t="str">
        <f>IF(T13&gt;85,("A"),IF(T13&gt;80,("A-"),IF(T13&gt;75,("B+"),IF(T13&gt;70,("B"),IF(T13&gt;65,("B-"),IF(T13&gt;60,("C+"),IF(T13&gt;55,("C"),IF(T13&gt;50,("C-"),"D+"))))))))</f>
        <v>B</v>
      </c>
      <c r="W108" s="1936"/>
      <c r="X108" s="728"/>
      <c r="Y108" s="729"/>
      <c r="Z108" s="729"/>
      <c r="AA108" s="729"/>
      <c r="AB108" s="729"/>
      <c r="AC108" s="729"/>
      <c r="AD108" s="729"/>
      <c r="AE108" s="730"/>
      <c r="AF108" s="1527"/>
      <c r="AG108" s="1528"/>
    </row>
    <row r="109" spans="1:33" ht="24.95" customHeight="1" x14ac:dyDescent="0.25">
      <c r="A109" s="724">
        <v>21</v>
      </c>
      <c r="B109" s="1509"/>
      <c r="C109" s="1384" t="str">
        <f>VLOOKUP(A109,data_siswa,4,FALSE)</f>
        <v>Rojalingga Prana A</v>
      </c>
      <c r="D109" s="1510" t="s">
        <v>154</v>
      </c>
      <c r="E109" s="1497"/>
      <c r="F109" s="1497"/>
      <c r="G109" s="1497"/>
      <c r="H109" s="2043">
        <v>0</v>
      </c>
      <c r="I109" s="2043">
        <v>0</v>
      </c>
      <c r="J109" s="2043">
        <v>0</v>
      </c>
      <c r="K109" s="1497"/>
      <c r="L109" s="1497"/>
      <c r="M109" s="1497"/>
      <c r="N109" s="2043"/>
      <c r="O109" s="2043"/>
      <c r="P109" s="2043"/>
      <c r="Q109" s="2028">
        <f>MAX(E109,H109,K109,N109)</f>
        <v>0</v>
      </c>
      <c r="R109" s="2026">
        <f t="shared" ref="R109:R112" si="108">MAX(F109,I109,L109,O109)</f>
        <v>0</v>
      </c>
      <c r="S109" s="2029">
        <f t="shared" ref="S109:S112" si="109">MAX(G109,J109,M109,P109)</f>
        <v>0</v>
      </c>
      <c r="T109" s="853">
        <f>IFERROR(AVERAGE(Q109:S109),"")</f>
        <v>0</v>
      </c>
      <c r="U109" s="1934" t="str">
        <f>IF(T13&gt;85,("4"),IF(T13&gt;80,("3.66"),IF(T13&gt;75,("3.33"),IF(T13&gt;70,("3.00"),IF(T13&gt;65,("2.66"),IF(T13&gt;60,("2.33"),IF(T13&gt;55,("2"),IF(T13&gt;50,("1.66"),"1.33"))))))))</f>
        <v>3.00</v>
      </c>
      <c r="V109" s="1934" t="str">
        <f>IF(T13&gt;85,("A"),IF(T13&gt;80,("A-"),IF(T13&gt;75,("B+"),IF(T13&gt;70,("B"),IF(T13&gt;65,("B-"),IF(T13&gt;60,("C+"),IF(T13&gt;55,("C"),IF(T13&gt;50,("C-"),"D+"))))))))</f>
        <v>B</v>
      </c>
      <c r="W109" s="1934" t="str">
        <f>IF(T13&gt;80,("SB"),IF(T13&gt;65,("B"),IF(T13&gt;50,("C"),IF(T13&gt;0,("K"),"0"))))</f>
        <v>B</v>
      </c>
      <c r="X109" s="383"/>
      <c r="Y109" s="383"/>
      <c r="Z109" s="383"/>
      <c r="AA109" s="383"/>
      <c r="AB109" s="726"/>
      <c r="AC109" s="726"/>
      <c r="AD109" s="726"/>
      <c r="AE109" s="726"/>
      <c r="AF109" s="1057">
        <f>AVERAGE(T109:T112)</f>
        <v>0</v>
      </c>
      <c r="AG109" s="1194" t="str">
        <f>IF(AF109&gt;85,("A"),IF(AF109&gt;80,("A-"),IF(AF109&gt;75,("B+"),IF(AF109&gt;70,("B"),IF(AF109&gt;65,("B-"),IF(AF109&gt;60,("C+"),IF(AF109&gt;55,("C"),IF(AF109&gt;50,("C-"),"D+"))))))))</f>
        <v>D+</v>
      </c>
    </row>
    <row r="110" spans="1:33" ht="24.95" customHeight="1" x14ac:dyDescent="0.25">
      <c r="A110" s="360"/>
      <c r="B110" s="1511"/>
      <c r="C110" s="1310"/>
      <c r="D110" s="1492" t="s">
        <v>9</v>
      </c>
      <c r="E110" s="1493"/>
      <c r="F110" s="1497"/>
      <c r="G110" s="1493"/>
      <c r="H110" s="2040">
        <v>0</v>
      </c>
      <c r="I110" s="2040">
        <v>0</v>
      </c>
      <c r="J110" s="2040">
        <v>0</v>
      </c>
      <c r="K110" s="1497">
        <v>0</v>
      </c>
      <c r="L110" s="1497">
        <v>0</v>
      </c>
      <c r="M110" s="1497">
        <v>0</v>
      </c>
      <c r="N110" s="2043">
        <v>0</v>
      </c>
      <c r="O110" s="2043">
        <v>0</v>
      </c>
      <c r="P110" s="2043">
        <v>0</v>
      </c>
      <c r="Q110" s="2028">
        <f t="shared" ref="Q110:Q112" si="110">MAX(E110,H110,K110,N110)</f>
        <v>0</v>
      </c>
      <c r="R110" s="2026">
        <f t="shared" si="108"/>
        <v>0</v>
      </c>
      <c r="S110" s="2029">
        <f t="shared" si="109"/>
        <v>0</v>
      </c>
      <c r="T110" s="853">
        <f t="shared" ref="T110:T112" si="111">IFERROR(AVERAGE(Q110:S110),"")</f>
        <v>0</v>
      </c>
      <c r="U110" s="1934" t="str">
        <f>IF(T13&gt;85,("4"),IF(T13&gt;80,("3.66"),IF(T13&gt;75,("3.33"),IF(T13&gt;70,("3.00"),IF(T13&gt;65,("2.66"),IF(T13&gt;60,("2.33"),IF(T13&gt;55,("2"),IF(T13&gt;50,("1.66"),"1.33"))))))))</f>
        <v>3.00</v>
      </c>
      <c r="V110" s="1934" t="str">
        <f>IF(T13&gt;85,("A"),IF(T13&gt;80,("A-"),IF(T13&gt;75,("B+"),IF(T13&gt;70,("B"),IF(T13&gt;65,("B-"),IF(T13&gt;60,("C+"),IF(T13&gt;55,("C"),IF(T13&gt;50,("C-"),"D+"))))))))</f>
        <v>B</v>
      </c>
      <c r="W110" s="1934" t="str">
        <f>IF(T13&gt;80,("SB"),IF(T13&gt;65,("B"),IF(T13&gt;50,("C"),IF(T13&gt;0,("K"),"0"))))</f>
        <v>B</v>
      </c>
      <c r="X110" s="1498"/>
      <c r="Y110" s="1499"/>
      <c r="Z110" s="1499"/>
      <c r="AA110" s="1499"/>
      <c r="AB110" s="1500"/>
      <c r="AC110" s="1500"/>
      <c r="AD110" s="1500"/>
      <c r="AE110" s="1501"/>
      <c r="AF110" s="1521"/>
      <c r="AG110" s="1522"/>
    </row>
    <row r="111" spans="1:33" ht="24.95" customHeight="1" x14ac:dyDescent="0.25">
      <c r="A111" s="360"/>
      <c r="B111" s="1511"/>
      <c r="C111" s="1310"/>
      <c r="D111" s="1492" t="s">
        <v>11</v>
      </c>
      <c r="E111" s="1493"/>
      <c r="F111" s="1493"/>
      <c r="G111" s="1497"/>
      <c r="H111" s="2040">
        <v>0</v>
      </c>
      <c r="I111" s="2040">
        <v>0</v>
      </c>
      <c r="J111" s="2040">
        <v>0</v>
      </c>
      <c r="K111" s="1497">
        <v>0</v>
      </c>
      <c r="L111" s="1497">
        <v>0</v>
      </c>
      <c r="M111" s="1497">
        <v>0</v>
      </c>
      <c r="N111" s="2043"/>
      <c r="O111" s="2043"/>
      <c r="P111" s="2043"/>
      <c r="Q111" s="2028">
        <f t="shared" si="110"/>
        <v>0</v>
      </c>
      <c r="R111" s="2026">
        <f t="shared" si="108"/>
        <v>0</v>
      </c>
      <c r="S111" s="2029">
        <f t="shared" si="109"/>
        <v>0</v>
      </c>
      <c r="T111" s="853">
        <f t="shared" si="111"/>
        <v>0</v>
      </c>
      <c r="U111" s="1934" t="str">
        <f>IF(T13&gt;85,("4"),IF(T13&gt;80,("3.66"),IF(T13&gt;75,("3.33"),IF(T13&gt;70,("3.00"),IF(T13&gt;65,("2.66"),IF(T13&gt;60,("2.33"),IF(T13&gt;55,("2"),IF(T13&gt;50,("1.66"),"1.33"))))))))</f>
        <v>3.00</v>
      </c>
      <c r="V111" s="1934" t="str">
        <f>IF(T13&gt;85,("A"),IF(T13&gt;80,("A-"),IF(T13&gt;75,("B+"),IF(T13&gt;70,("B"),IF(T13&gt;65,("B-"),IF(T13&gt;60,("C+"),IF(T13&gt;55,("C"),IF(T13&gt;50,("C-"),"D+"))))))))</f>
        <v>B</v>
      </c>
      <c r="W111" s="1934" t="str">
        <f>IF(T13&gt;80,("SB"),IF(T13&gt;65,("B"),IF(T13&gt;50,("C"),IF(T13&gt;0,("K"),"0"))))</f>
        <v>B</v>
      </c>
      <c r="X111" s="1502"/>
      <c r="Y111" s="1503"/>
      <c r="Z111" s="1503"/>
      <c r="AA111" s="1503"/>
      <c r="AB111" s="1504"/>
      <c r="AC111" s="1504"/>
      <c r="AD111" s="1504"/>
      <c r="AE111" s="1505"/>
      <c r="AF111" s="1523"/>
      <c r="AG111" s="1524"/>
    </row>
    <row r="112" spans="1:33" ht="24.95" customHeight="1" x14ac:dyDescent="0.25">
      <c r="A112" s="360"/>
      <c r="B112" s="1511"/>
      <c r="C112" s="1310"/>
      <c r="D112" s="1492" t="s">
        <v>16</v>
      </c>
      <c r="E112" s="1497">
        <v>0</v>
      </c>
      <c r="F112" s="1497">
        <v>0</v>
      </c>
      <c r="G112" s="1497">
        <v>0</v>
      </c>
      <c r="H112" s="2043">
        <v>0</v>
      </c>
      <c r="I112" s="2043">
        <v>0</v>
      </c>
      <c r="J112" s="2043">
        <v>0</v>
      </c>
      <c r="K112" s="1497">
        <v>0</v>
      </c>
      <c r="L112" s="1497">
        <v>0</v>
      </c>
      <c r="M112" s="1497">
        <v>0</v>
      </c>
      <c r="N112" s="2043">
        <v>0</v>
      </c>
      <c r="O112" s="2043">
        <v>0</v>
      </c>
      <c r="P112" s="2043">
        <v>0</v>
      </c>
      <c r="Q112" s="2028">
        <f t="shared" si="110"/>
        <v>0</v>
      </c>
      <c r="R112" s="2026">
        <f t="shared" si="108"/>
        <v>0</v>
      </c>
      <c r="S112" s="2029">
        <f t="shared" si="109"/>
        <v>0</v>
      </c>
      <c r="T112" s="853">
        <f t="shared" si="111"/>
        <v>0</v>
      </c>
      <c r="U112" s="1934" t="str">
        <f t="shared" si="87"/>
        <v>1.33</v>
      </c>
      <c r="V112" s="1934" t="str">
        <f t="shared" si="88"/>
        <v>D+</v>
      </c>
      <c r="W112" s="1934" t="str">
        <f t="shared" ref="W112" si="112">IF(T112&gt;80,("SB"),IF(T112&gt;65,("B"),IF(T112&gt;50,("C"),IF(T112&gt;0,("K"),"0"))))</f>
        <v>0</v>
      </c>
      <c r="X112" s="1502"/>
      <c r="Y112" s="1503"/>
      <c r="Z112" s="1503"/>
      <c r="AA112" s="1503"/>
      <c r="AB112" s="1504"/>
      <c r="AC112" s="1504"/>
      <c r="AD112" s="1504"/>
      <c r="AE112" s="1505"/>
      <c r="AF112" s="1525"/>
      <c r="AG112" s="1526"/>
    </row>
    <row r="113" spans="1:33" ht="24.95" customHeight="1" x14ac:dyDescent="0.25">
      <c r="A113" s="727"/>
      <c r="B113" s="1401">
        <v>21</v>
      </c>
      <c r="C113" s="1512"/>
      <c r="D113" s="1506"/>
      <c r="E113" s="2813"/>
      <c r="F113" s="2814"/>
      <c r="G113" s="2814"/>
      <c r="H113" s="2814"/>
      <c r="I113" s="2023"/>
      <c r="J113" s="2023"/>
      <c r="K113" s="2023"/>
      <c r="L113" s="2023"/>
      <c r="M113" s="2023"/>
      <c r="N113" s="2023"/>
      <c r="O113" s="2023"/>
      <c r="P113" s="2023"/>
      <c r="Q113" s="2023"/>
      <c r="R113" s="2023"/>
      <c r="S113" s="2023"/>
      <c r="T113" s="1520">
        <f>IFERROR(AVERAGE(T109:T112),"  ")</f>
        <v>0</v>
      </c>
      <c r="U113" s="1935" t="str">
        <f t="shared" si="87"/>
        <v>1.33</v>
      </c>
      <c r="V113" s="1935" t="str">
        <f t="shared" si="88"/>
        <v>D+</v>
      </c>
      <c r="W113" s="1936"/>
      <c r="X113" s="728"/>
      <c r="Y113" s="729"/>
      <c r="Z113" s="729"/>
      <c r="AA113" s="729"/>
      <c r="AB113" s="729"/>
      <c r="AC113" s="729"/>
      <c r="AD113" s="729"/>
      <c r="AE113" s="730"/>
      <c r="AF113" s="1527"/>
      <c r="AG113" s="1528"/>
    </row>
    <row r="114" spans="1:33" ht="24.95" customHeight="1" x14ac:dyDescent="0.25">
      <c r="A114" s="360">
        <v>22</v>
      </c>
      <c r="B114" s="1495"/>
      <c r="C114" s="1384" t="str">
        <f>VLOOKUP(A114,data_siswa,4,FALSE)</f>
        <v>Sally Savista A</v>
      </c>
      <c r="D114" s="1510" t="s">
        <v>154</v>
      </c>
      <c r="E114" s="1497"/>
      <c r="F114" s="1497"/>
      <c r="G114" s="1497"/>
      <c r="H114" s="2043">
        <v>0</v>
      </c>
      <c r="I114" s="2043">
        <v>0</v>
      </c>
      <c r="J114" s="2043">
        <v>0</v>
      </c>
      <c r="K114" s="1497"/>
      <c r="L114" s="1497"/>
      <c r="M114" s="1497"/>
      <c r="N114" s="2043"/>
      <c r="O114" s="2043"/>
      <c r="P114" s="2043"/>
      <c r="Q114" s="2028">
        <f>MAX(E114,H114,K114,N114)</f>
        <v>0</v>
      </c>
      <c r="R114" s="2026">
        <f t="shared" ref="R114:R117" si="113">MAX(F114,I114,L114,O114)</f>
        <v>0</v>
      </c>
      <c r="S114" s="2029">
        <f t="shared" ref="S114:S117" si="114">MAX(G114,J114,M114,P114)</f>
        <v>0</v>
      </c>
      <c r="T114" s="853">
        <f>IFERROR(AVERAGE(Q114:S114),"")</f>
        <v>0</v>
      </c>
      <c r="U114" s="1934" t="str">
        <f>IF(T114&gt;85,("4"),IF(T114&gt;80,("3.66"),IF(T114&gt;75,("3.33"),IF(T114&gt;70,("3.00"),IF(T114&gt;65,("2.66"),IF(T114&gt;60,("2.33"),IF(T114&gt;55,("2"),IF(T114&gt;50,("1.66"),"1.33"))))))))</f>
        <v>1.33</v>
      </c>
      <c r="V114" s="1934" t="str">
        <f>IF(T114&gt;85,("A"),IF(T114&gt;80,("A-"),IF(T114&gt;75,("B+"),IF(T114&gt;70,("B"),IF(T114&gt;65,("B-"),IF(T114&gt;60,("C+"),IF(T114&gt;55,("C"),IF(T114&gt;50,("C-"),"D+"))))))))</f>
        <v>D+</v>
      </c>
      <c r="W114" s="1934" t="str">
        <f>IF(T114&gt;80,("SB"),IF(T114&gt;65,("B"),IF(T114&gt;50,("C"),IF(T114&gt;0,("K"),"0"))))</f>
        <v>0</v>
      </c>
      <c r="X114" s="618"/>
      <c r="Y114" s="618"/>
      <c r="Z114" s="618"/>
      <c r="AA114" s="618"/>
      <c r="AB114" s="726"/>
      <c r="AC114" s="726"/>
      <c r="AD114" s="726"/>
      <c r="AE114" s="726"/>
      <c r="AF114" s="1057">
        <f>AVERAGE(T114:T117)</f>
        <v>0</v>
      </c>
      <c r="AG114" s="1194" t="str">
        <f>IF(AF114&gt;85,("A"),IF(AF114&gt;80,("A-"),IF(AF114&gt;75,("B+"),IF(AF114&gt;70,("B"),IF(AF114&gt;65,("B-"),IF(AF114&gt;60,("C+"),IF(AF114&gt;55,("C"),IF(AF114&gt;50,("C-"),"D+"))))))))</f>
        <v>D+</v>
      </c>
    </row>
    <row r="115" spans="1:33" ht="24.95" customHeight="1" x14ac:dyDescent="0.25">
      <c r="A115" s="360"/>
      <c r="B115" s="1495"/>
      <c r="C115" s="1496"/>
      <c r="D115" s="1492" t="s">
        <v>9</v>
      </c>
      <c r="E115" s="1493"/>
      <c r="F115" s="1497"/>
      <c r="G115" s="1493"/>
      <c r="H115" s="2040">
        <v>0</v>
      </c>
      <c r="I115" s="2040">
        <v>0</v>
      </c>
      <c r="J115" s="2040">
        <v>0</v>
      </c>
      <c r="K115" s="1497">
        <v>0</v>
      </c>
      <c r="L115" s="1497">
        <v>0</v>
      </c>
      <c r="M115" s="1497">
        <v>0</v>
      </c>
      <c r="N115" s="2043">
        <v>0</v>
      </c>
      <c r="O115" s="2043">
        <v>0</v>
      </c>
      <c r="P115" s="2043">
        <v>0</v>
      </c>
      <c r="Q115" s="2028">
        <f t="shared" ref="Q115:Q117" si="115">MAX(E115,H115,K115,N115)</f>
        <v>0</v>
      </c>
      <c r="R115" s="2026">
        <f t="shared" si="113"/>
        <v>0</v>
      </c>
      <c r="S115" s="2029">
        <f t="shared" si="114"/>
        <v>0</v>
      </c>
      <c r="T115" s="853">
        <f t="shared" ref="T115:T117" si="116">IFERROR(AVERAGE(Q115:S115),"")</f>
        <v>0</v>
      </c>
      <c r="U115" s="1934" t="str">
        <f t="shared" ref="U115:U117" si="117">IF(T115&gt;85,("4"),IF(T115&gt;80,("3.66"),IF(T115&gt;75,("3.33"),IF(T115&gt;70,("3.00"),IF(T115&gt;65,("2.66"),IF(T115&gt;60,("2.33"),IF(T115&gt;55,("2"),IF(T115&gt;50,("1.66"),"1.33"))))))))</f>
        <v>1.33</v>
      </c>
      <c r="V115" s="1934" t="str">
        <f t="shared" ref="V115:V117" si="118">IF(T115&gt;85,("A"),IF(T115&gt;80,("A-"),IF(T115&gt;75,("B+"),IF(T115&gt;70,("B"),IF(T115&gt;65,("B-"),IF(T115&gt;60,("C+"),IF(T115&gt;55,("C"),IF(T115&gt;50,("C-"),"D+"))))))))</f>
        <v>D+</v>
      </c>
      <c r="W115" s="1934" t="str">
        <f t="shared" ref="W115:W117" si="119">IF(T115&gt;80,("SB"),IF(T115&gt;65,("B"),IF(T115&gt;50,("C"),IF(T115&gt;0,("K"),"0"))))</f>
        <v>0</v>
      </c>
      <c r="X115" s="1498"/>
      <c r="Y115" s="1499"/>
      <c r="Z115" s="1499"/>
      <c r="AA115" s="1499"/>
      <c r="AB115" s="1500"/>
      <c r="AC115" s="1500"/>
      <c r="AD115" s="1500"/>
      <c r="AE115" s="1501"/>
      <c r="AF115" s="1521"/>
      <c r="AG115" s="1522"/>
    </row>
    <row r="116" spans="1:33" ht="24.95" customHeight="1" x14ac:dyDescent="0.25">
      <c r="A116" s="360"/>
      <c r="B116" s="1495"/>
      <c r="C116" s="1496"/>
      <c r="D116" s="1492" t="s">
        <v>11</v>
      </c>
      <c r="E116" s="1493"/>
      <c r="F116" s="1493"/>
      <c r="G116" s="1497"/>
      <c r="H116" s="2040">
        <v>0</v>
      </c>
      <c r="I116" s="2040">
        <v>0</v>
      </c>
      <c r="J116" s="2040">
        <v>0</v>
      </c>
      <c r="K116" s="1497">
        <v>0</v>
      </c>
      <c r="L116" s="1497">
        <v>0</v>
      </c>
      <c r="M116" s="1497">
        <v>0</v>
      </c>
      <c r="N116" s="2043"/>
      <c r="O116" s="2043"/>
      <c r="P116" s="2043"/>
      <c r="Q116" s="2028">
        <f t="shared" si="115"/>
        <v>0</v>
      </c>
      <c r="R116" s="2026">
        <f t="shared" si="113"/>
        <v>0</v>
      </c>
      <c r="S116" s="2029">
        <f t="shared" si="114"/>
        <v>0</v>
      </c>
      <c r="T116" s="853">
        <f t="shared" si="116"/>
        <v>0</v>
      </c>
      <c r="U116" s="1934" t="str">
        <f t="shared" si="117"/>
        <v>1.33</v>
      </c>
      <c r="V116" s="1934" t="str">
        <f t="shared" si="118"/>
        <v>D+</v>
      </c>
      <c r="W116" s="1934" t="str">
        <f t="shared" si="119"/>
        <v>0</v>
      </c>
      <c r="X116" s="1502"/>
      <c r="Y116" s="1503"/>
      <c r="Z116" s="1503"/>
      <c r="AA116" s="1503"/>
      <c r="AB116" s="1504"/>
      <c r="AC116" s="1504"/>
      <c r="AD116" s="1504"/>
      <c r="AE116" s="1505"/>
      <c r="AF116" s="1523"/>
      <c r="AG116" s="1524"/>
    </row>
    <row r="117" spans="1:33" ht="24.95" customHeight="1" x14ac:dyDescent="0.25">
      <c r="A117" s="360"/>
      <c r="B117" s="1495"/>
      <c r="C117" s="1496"/>
      <c r="D117" s="1492" t="s">
        <v>16</v>
      </c>
      <c r="E117" s="1497">
        <v>0</v>
      </c>
      <c r="F117" s="1497">
        <v>0</v>
      </c>
      <c r="G117" s="1497">
        <v>0</v>
      </c>
      <c r="H117" s="2043">
        <v>0</v>
      </c>
      <c r="I117" s="2043">
        <v>0</v>
      </c>
      <c r="J117" s="2043">
        <v>0</v>
      </c>
      <c r="K117" s="1497">
        <v>0</v>
      </c>
      <c r="L117" s="1497">
        <v>0</v>
      </c>
      <c r="M117" s="1497">
        <v>0</v>
      </c>
      <c r="N117" s="2043">
        <v>0</v>
      </c>
      <c r="O117" s="2043">
        <v>0</v>
      </c>
      <c r="P117" s="2043">
        <v>0</v>
      </c>
      <c r="Q117" s="2028">
        <f t="shared" si="115"/>
        <v>0</v>
      </c>
      <c r="R117" s="2026">
        <f t="shared" si="113"/>
        <v>0</v>
      </c>
      <c r="S117" s="2029">
        <f t="shared" si="114"/>
        <v>0</v>
      </c>
      <c r="T117" s="853">
        <f t="shared" si="116"/>
        <v>0</v>
      </c>
      <c r="U117" s="1934" t="str">
        <f t="shared" si="117"/>
        <v>1.33</v>
      </c>
      <c r="V117" s="1934" t="str">
        <f t="shared" si="118"/>
        <v>D+</v>
      </c>
      <c r="W117" s="1934" t="str">
        <f t="shared" si="119"/>
        <v>0</v>
      </c>
      <c r="X117" s="1502"/>
      <c r="Y117" s="1503"/>
      <c r="Z117" s="1503"/>
      <c r="AA117" s="1503"/>
      <c r="AB117" s="1504"/>
      <c r="AC117" s="1504"/>
      <c r="AD117" s="1504"/>
      <c r="AE117" s="1505"/>
      <c r="AF117" s="1525"/>
      <c r="AG117" s="1526"/>
    </row>
    <row r="118" spans="1:33" ht="24.95" customHeight="1" x14ac:dyDescent="0.25">
      <c r="A118" s="1506"/>
      <c r="B118" s="1401">
        <v>22</v>
      </c>
      <c r="C118" s="1507" t="s">
        <v>167</v>
      </c>
      <c r="D118" s="1506"/>
      <c r="E118" s="2813"/>
      <c r="F118" s="2814"/>
      <c r="G118" s="2814"/>
      <c r="H118" s="2814"/>
      <c r="I118" s="2023"/>
      <c r="J118" s="2023"/>
      <c r="K118" s="2023"/>
      <c r="L118" s="2023"/>
      <c r="M118" s="2023"/>
      <c r="N118" s="2023"/>
      <c r="O118" s="2023"/>
      <c r="P118" s="2023"/>
      <c r="Q118" s="2023"/>
      <c r="R118" s="2023"/>
      <c r="S118" s="2023"/>
      <c r="T118" s="1520">
        <f>IFERROR(AVERAGE(T114:T117),"  ")</f>
        <v>0</v>
      </c>
      <c r="U118" s="1935" t="str">
        <f>IF(T118&gt;85,("4"),IF(T118&gt;80,("3.66"),IF(T118&gt;75,("3.33"),IF(T118&gt;70,("3.00"),IF(T118&gt;65,("2.66"),IF(T118&gt;60,("2.33"),IF(T118&gt;55,("2"),IF(T118&gt;50,("1.66"),"1.33"))))))))</f>
        <v>1.33</v>
      </c>
      <c r="V118" s="1935" t="str">
        <f>IF(T118&gt;85,("A"),IF(T118&gt;80,("A-"),IF(T118&gt;75,("B+"),IF(T118&gt;70,("B"),IF(T118&gt;65,("B-"),IF(T118&gt;60,("C+"),IF(T118&gt;55,("C"),IF(T118&gt;50,("C-"),"D+"))))))))</f>
        <v>D+</v>
      </c>
      <c r="W118" s="1936"/>
      <c r="X118" s="728"/>
      <c r="Y118" s="729"/>
      <c r="Z118" s="729"/>
      <c r="AA118" s="729"/>
      <c r="AB118" s="729"/>
      <c r="AC118" s="729"/>
      <c r="AD118" s="729"/>
      <c r="AE118" s="730"/>
      <c r="AF118" s="1527"/>
      <c r="AG118" s="1528"/>
    </row>
    <row r="119" spans="1:33" ht="24.95" customHeight="1" x14ac:dyDescent="0.25">
      <c r="A119" s="724">
        <v>23</v>
      </c>
      <c r="B119" s="1509"/>
      <c r="C119" s="1384" t="str">
        <f>VLOOKUP(A119,data_siswa,4,FALSE)</f>
        <v xml:space="preserve">Tania Kaori Angelita </v>
      </c>
      <c r="D119" s="1510" t="s">
        <v>154</v>
      </c>
      <c r="E119" s="1497"/>
      <c r="F119" s="1497"/>
      <c r="G119" s="1497"/>
      <c r="H119" s="2043">
        <v>0</v>
      </c>
      <c r="I119" s="2043">
        <v>0</v>
      </c>
      <c r="J119" s="2043">
        <v>0</v>
      </c>
      <c r="K119" s="1497"/>
      <c r="L119" s="1497"/>
      <c r="M119" s="1497"/>
      <c r="N119" s="2043"/>
      <c r="O119" s="2043"/>
      <c r="P119" s="2043"/>
      <c r="Q119" s="2028">
        <f>MAX(E119,H119,K119,N119)</f>
        <v>0</v>
      </c>
      <c r="R119" s="2026">
        <f t="shared" ref="R119:R122" si="120">MAX(F119,I119,L119,O119)</f>
        <v>0</v>
      </c>
      <c r="S119" s="2029">
        <f t="shared" ref="S119:S122" si="121">MAX(G119,J119,M119,P119)</f>
        <v>0</v>
      </c>
      <c r="T119" s="853">
        <f>IFERROR(AVERAGE(Q119:S119),"")</f>
        <v>0</v>
      </c>
      <c r="U119" s="1934" t="str">
        <f>IF(T119&gt;85,("4"),IF(T119&gt;80,("3.66"),IF(T119&gt;75,("3.33"),IF(T119&gt;70,("3.00"),IF(T119&gt;65,("2.66"),IF(T119&gt;60,("2.33"),IF(T119&gt;55,("2"),IF(T119&gt;50,("1.66"),"1.33"))))))))</f>
        <v>1.33</v>
      </c>
      <c r="V119" s="1934" t="str">
        <f>IF(T119&gt;85,("A"),IF(T119&gt;80,("A-"),IF(T119&gt;75,("B+"),IF(T119&gt;70,("B"),IF(T119&gt;65,("B-"),IF(T119&gt;60,("C+"),IF(T119&gt;55,("C"),IF(T119&gt;50,("C-"),"D+"))))))))</f>
        <v>D+</v>
      </c>
      <c r="W119" s="1934" t="str">
        <f>IF(T119&gt;80,("SB"),IF(T119&gt;65,("B"),IF(T119&gt;50,("C"),IF(T119&gt;0,("K"),"0"))))</f>
        <v>0</v>
      </c>
      <c r="X119" s="383"/>
      <c r="Y119" s="383"/>
      <c r="Z119" s="383"/>
      <c r="AA119" s="383"/>
      <c r="AB119" s="726"/>
      <c r="AC119" s="726"/>
      <c r="AD119" s="726"/>
      <c r="AE119" s="726"/>
      <c r="AF119" s="1057">
        <f>AVERAGE(T119:T122)</f>
        <v>0</v>
      </c>
      <c r="AG119" s="1194" t="str">
        <f>IF(AF119&gt;85,("A"),IF(AF119&gt;80,("A-"),IF(AF119&gt;75,("B+"),IF(AF119&gt;70,("B"),IF(AF119&gt;65,("B-"),IF(AF119&gt;60,("C+"),IF(AF119&gt;55,("C"),IF(AF119&gt;50,("C-"),"D+"))))))))</f>
        <v>D+</v>
      </c>
    </row>
    <row r="120" spans="1:33" ht="24.95" customHeight="1" x14ac:dyDescent="0.25">
      <c r="A120" s="360"/>
      <c r="B120" s="1511"/>
      <c r="C120" s="1310"/>
      <c r="D120" s="1492" t="s">
        <v>9</v>
      </c>
      <c r="E120" s="1493"/>
      <c r="F120" s="1497"/>
      <c r="G120" s="1493"/>
      <c r="H120" s="2040">
        <v>0</v>
      </c>
      <c r="I120" s="2040">
        <v>0</v>
      </c>
      <c r="J120" s="2040">
        <v>0</v>
      </c>
      <c r="K120" s="1497">
        <v>0</v>
      </c>
      <c r="L120" s="1497">
        <v>0</v>
      </c>
      <c r="M120" s="1497">
        <v>0</v>
      </c>
      <c r="N120" s="2043">
        <v>0</v>
      </c>
      <c r="O120" s="2043">
        <v>0</v>
      </c>
      <c r="P120" s="2043">
        <v>0</v>
      </c>
      <c r="Q120" s="2028">
        <f t="shared" ref="Q120:Q122" si="122">MAX(E120,H120,K120,N120)</f>
        <v>0</v>
      </c>
      <c r="R120" s="2026">
        <f t="shared" si="120"/>
        <v>0</v>
      </c>
      <c r="S120" s="2029">
        <f t="shared" si="121"/>
        <v>0</v>
      </c>
      <c r="T120" s="853">
        <f t="shared" ref="T120:T122" si="123">IFERROR(AVERAGE(Q120:S120),"")</f>
        <v>0</v>
      </c>
      <c r="U120" s="1934" t="str">
        <f t="shared" ref="U120:U122" si="124">IF(T120&gt;85,("4"),IF(T120&gt;80,("3.66"),IF(T120&gt;75,("3.33"),IF(T120&gt;70,("3.00"),IF(T120&gt;65,("2.66"),IF(T120&gt;60,("2.33"),IF(T120&gt;55,("2"),IF(T120&gt;50,("1.66"),"1.33"))))))))</f>
        <v>1.33</v>
      </c>
      <c r="V120" s="1934" t="str">
        <f t="shared" ref="V120:V122" si="125">IF(T120&gt;85,("A"),IF(T120&gt;80,("A-"),IF(T120&gt;75,("B+"),IF(T120&gt;70,("B"),IF(T120&gt;65,("B-"),IF(T120&gt;60,("C+"),IF(T120&gt;55,("C"),IF(T120&gt;50,("C-"),"D+"))))))))</f>
        <v>D+</v>
      </c>
      <c r="W120" s="1934" t="str">
        <f t="shared" ref="W120:W122" si="126">IF(T120&gt;80,("SB"),IF(T120&gt;65,("B"),IF(T120&gt;50,("C"),IF(T120&gt;0,("K"),"0"))))</f>
        <v>0</v>
      </c>
      <c r="X120" s="1498"/>
      <c r="Y120" s="1499"/>
      <c r="Z120" s="1499"/>
      <c r="AA120" s="1499"/>
      <c r="AB120" s="1500"/>
      <c r="AC120" s="1500"/>
      <c r="AD120" s="1500"/>
      <c r="AE120" s="1501"/>
      <c r="AF120" s="1521"/>
      <c r="AG120" s="1522"/>
    </row>
    <row r="121" spans="1:33" ht="24.95" customHeight="1" x14ac:dyDescent="0.25">
      <c r="A121" s="360"/>
      <c r="B121" s="1511"/>
      <c r="C121" s="1310"/>
      <c r="D121" s="1492" t="s">
        <v>11</v>
      </c>
      <c r="E121" s="1493"/>
      <c r="F121" s="1493"/>
      <c r="G121" s="1497"/>
      <c r="H121" s="2040">
        <v>0</v>
      </c>
      <c r="I121" s="2040">
        <v>0</v>
      </c>
      <c r="J121" s="2040">
        <v>0</v>
      </c>
      <c r="K121" s="1497">
        <v>0</v>
      </c>
      <c r="L121" s="1497">
        <v>0</v>
      </c>
      <c r="M121" s="1497">
        <v>0</v>
      </c>
      <c r="N121" s="2043"/>
      <c r="O121" s="2043"/>
      <c r="P121" s="2043"/>
      <c r="Q121" s="2028">
        <f t="shared" si="122"/>
        <v>0</v>
      </c>
      <c r="R121" s="2026">
        <f t="shared" si="120"/>
        <v>0</v>
      </c>
      <c r="S121" s="2029">
        <f t="shared" si="121"/>
        <v>0</v>
      </c>
      <c r="T121" s="853">
        <f t="shared" si="123"/>
        <v>0</v>
      </c>
      <c r="U121" s="1934" t="str">
        <f t="shared" si="124"/>
        <v>1.33</v>
      </c>
      <c r="V121" s="1934" t="str">
        <f t="shared" si="125"/>
        <v>D+</v>
      </c>
      <c r="W121" s="1934" t="str">
        <f t="shared" si="126"/>
        <v>0</v>
      </c>
      <c r="X121" s="1502"/>
      <c r="Y121" s="1503"/>
      <c r="Z121" s="1503"/>
      <c r="AA121" s="1503"/>
      <c r="AB121" s="1504"/>
      <c r="AC121" s="1504"/>
      <c r="AD121" s="1504"/>
      <c r="AE121" s="1505"/>
      <c r="AF121" s="1523"/>
      <c r="AG121" s="1524"/>
    </row>
    <row r="122" spans="1:33" ht="24.95" customHeight="1" x14ac:dyDescent="0.25">
      <c r="A122" s="360"/>
      <c r="B122" s="1511"/>
      <c r="C122" s="1310"/>
      <c r="D122" s="1492" t="s">
        <v>16</v>
      </c>
      <c r="E122" s="1497">
        <v>0</v>
      </c>
      <c r="F122" s="1497">
        <v>0</v>
      </c>
      <c r="G122" s="1497">
        <v>0</v>
      </c>
      <c r="H122" s="2043">
        <v>0</v>
      </c>
      <c r="I122" s="2043">
        <v>0</v>
      </c>
      <c r="J122" s="2043">
        <v>0</v>
      </c>
      <c r="K122" s="1497">
        <v>0</v>
      </c>
      <c r="L122" s="1497">
        <v>0</v>
      </c>
      <c r="M122" s="1497">
        <v>0</v>
      </c>
      <c r="N122" s="2043">
        <v>0</v>
      </c>
      <c r="O122" s="2043">
        <v>0</v>
      </c>
      <c r="P122" s="2043">
        <v>0</v>
      </c>
      <c r="Q122" s="2028">
        <f t="shared" si="122"/>
        <v>0</v>
      </c>
      <c r="R122" s="2026">
        <f t="shared" si="120"/>
        <v>0</v>
      </c>
      <c r="S122" s="2029">
        <f t="shared" si="121"/>
        <v>0</v>
      </c>
      <c r="T122" s="853">
        <f t="shared" si="123"/>
        <v>0</v>
      </c>
      <c r="U122" s="1934" t="str">
        <f t="shared" si="124"/>
        <v>1.33</v>
      </c>
      <c r="V122" s="1934" t="str">
        <f t="shared" si="125"/>
        <v>D+</v>
      </c>
      <c r="W122" s="1934" t="str">
        <f t="shared" si="126"/>
        <v>0</v>
      </c>
      <c r="X122" s="1502"/>
      <c r="Y122" s="1503"/>
      <c r="Z122" s="1503"/>
      <c r="AA122" s="1503"/>
      <c r="AB122" s="1504"/>
      <c r="AC122" s="1504"/>
      <c r="AD122" s="1504"/>
      <c r="AE122" s="1505"/>
      <c r="AF122" s="1525"/>
      <c r="AG122" s="1526"/>
    </row>
    <row r="123" spans="1:33" ht="24.95" customHeight="1" x14ac:dyDescent="0.25">
      <c r="A123" s="727"/>
      <c r="B123" s="1401">
        <v>23</v>
      </c>
      <c r="C123" s="1512"/>
      <c r="D123" s="1506"/>
      <c r="E123" s="2813"/>
      <c r="F123" s="2814"/>
      <c r="G123" s="2814"/>
      <c r="H123" s="2814"/>
      <c r="I123" s="2023"/>
      <c r="J123" s="2023"/>
      <c r="K123" s="2023"/>
      <c r="L123" s="2023"/>
      <c r="M123" s="2023"/>
      <c r="N123" s="2023"/>
      <c r="O123" s="2023"/>
      <c r="P123" s="2023"/>
      <c r="Q123" s="2023"/>
      <c r="R123" s="2023"/>
      <c r="S123" s="2023"/>
      <c r="T123" s="1520">
        <f>IFERROR(AVERAGE(T119:T122),"  ")</f>
        <v>0</v>
      </c>
      <c r="U123" s="1935" t="str">
        <f>IF(T123&gt;85,("4"),IF(T123&gt;80,("3.66"),IF(T123&gt;75,("3.33"),IF(T123&gt;70,("3.00"),IF(T123&gt;65,("2.66"),IF(T123&gt;60,("2.33"),IF(T123&gt;55,("2"),IF(T123&gt;50,("1.66"),"1.33"))))))))</f>
        <v>1.33</v>
      </c>
      <c r="V123" s="1935" t="str">
        <f>IF(T123&gt;85,("A"),IF(T123&gt;80,("A-"),IF(T123&gt;75,("B+"),IF(T123&gt;70,("B"),IF(T123&gt;65,("B-"),IF(T123&gt;60,("C+"),IF(T123&gt;55,("C"),IF(T123&gt;50,("C-"),"D+"))))))))</f>
        <v>D+</v>
      </c>
      <c r="W123" s="1936"/>
      <c r="X123" s="728"/>
      <c r="Y123" s="729"/>
      <c r="Z123" s="729"/>
      <c r="AA123" s="729"/>
      <c r="AB123" s="729"/>
      <c r="AC123" s="729"/>
      <c r="AD123" s="729"/>
      <c r="AE123" s="730"/>
      <c r="AF123" s="1527"/>
      <c r="AG123" s="1528"/>
    </row>
    <row r="124" spans="1:33" ht="24.95" customHeight="1" x14ac:dyDescent="0.25">
      <c r="A124" s="724">
        <v>24</v>
      </c>
      <c r="B124" s="1509"/>
      <c r="C124" s="1384" t="str">
        <f>VLOOKUP(A124,data_siswa,4,FALSE)</f>
        <v>Romzy Oka Ramadhani P</v>
      </c>
      <c r="D124" s="1510" t="s">
        <v>154</v>
      </c>
      <c r="E124" s="1497"/>
      <c r="F124" s="1497"/>
      <c r="G124" s="1497"/>
      <c r="H124" s="2043">
        <v>0</v>
      </c>
      <c r="I124" s="2043">
        <v>0</v>
      </c>
      <c r="J124" s="2043">
        <v>0</v>
      </c>
      <c r="K124" s="1497"/>
      <c r="L124" s="1497"/>
      <c r="M124" s="1497"/>
      <c r="N124" s="2043"/>
      <c r="O124" s="2043"/>
      <c r="P124" s="2043"/>
      <c r="Q124" s="2028">
        <f>MAX(E124,H124,K124,N124)</f>
        <v>0</v>
      </c>
      <c r="R124" s="2026">
        <f t="shared" ref="R124:R127" si="127">MAX(F124,I124,L124,O124)</f>
        <v>0</v>
      </c>
      <c r="S124" s="2029">
        <f t="shared" ref="S124:S127" si="128">MAX(G124,J124,M124,P124)</f>
        <v>0</v>
      </c>
      <c r="T124" s="853">
        <f>IFERROR(AVERAGE(Q124:S124),"")</f>
        <v>0</v>
      </c>
      <c r="U124" s="1934" t="str">
        <f>IF(T124&gt;85,("4"),IF(T124&gt;80,("3.66"),IF(T124&gt;75,("3.33"),IF(T124&gt;70,("3.00"),IF(T124&gt;65,("2.66"),IF(T124&gt;60,("2.33"),IF(T124&gt;55,("2"),IF(T124&gt;50,("1.66"),"1.33"))))))))</f>
        <v>1.33</v>
      </c>
      <c r="V124" s="1934" t="str">
        <f>IF(T124&gt;85,("A"),IF(T124&gt;80,("A-"),IF(T124&gt;75,("B+"),IF(T124&gt;70,("B"),IF(T124&gt;65,("B-"),IF(T124&gt;60,("C+"),IF(T124&gt;55,("C"),IF(T124&gt;50,("C-"),"D+"))))))))</f>
        <v>D+</v>
      </c>
      <c r="W124" s="1934" t="str">
        <f>IF(T124&gt;80,("SB"),IF(T124&gt;65,("B"),IF(T124&gt;50,("C"),IF(T124&gt;0,("K"),"0"))))</f>
        <v>0</v>
      </c>
      <c r="X124" s="383"/>
      <c r="Y124" s="383"/>
      <c r="Z124" s="383"/>
      <c r="AA124" s="383"/>
      <c r="AB124" s="726"/>
      <c r="AC124" s="726"/>
      <c r="AD124" s="726"/>
      <c r="AE124" s="726"/>
      <c r="AF124" s="1057">
        <f>AVERAGE(T124:T127)</f>
        <v>0</v>
      </c>
      <c r="AG124" s="1194" t="str">
        <f>IF(AF124&gt;85,("A"),IF(AF124&gt;80,("A-"),IF(AF124&gt;75,("B+"),IF(AF124&gt;70,("B"),IF(AF124&gt;65,("B-"),IF(AF124&gt;60,("C+"),IF(AF124&gt;55,("C"),IF(AF124&gt;50,("C-"),"D+"))))))))</f>
        <v>D+</v>
      </c>
    </row>
    <row r="125" spans="1:33" ht="24.95" customHeight="1" x14ac:dyDescent="0.25">
      <c r="A125" s="360"/>
      <c r="B125" s="1511"/>
      <c r="C125" s="1310"/>
      <c r="D125" s="1492" t="s">
        <v>9</v>
      </c>
      <c r="E125" s="1493"/>
      <c r="F125" s="1497"/>
      <c r="G125" s="1493"/>
      <c r="H125" s="2040">
        <v>0</v>
      </c>
      <c r="I125" s="2040">
        <v>0</v>
      </c>
      <c r="J125" s="2040">
        <v>0</v>
      </c>
      <c r="K125" s="1497">
        <v>0</v>
      </c>
      <c r="L125" s="1497">
        <v>0</v>
      </c>
      <c r="M125" s="1497">
        <v>0</v>
      </c>
      <c r="N125" s="2043">
        <v>0</v>
      </c>
      <c r="O125" s="2043">
        <v>0</v>
      </c>
      <c r="P125" s="2043">
        <v>0</v>
      </c>
      <c r="Q125" s="2028">
        <f t="shared" ref="Q125:Q127" si="129">MAX(E125,H125,K125,N125)</f>
        <v>0</v>
      </c>
      <c r="R125" s="2026">
        <f t="shared" si="127"/>
        <v>0</v>
      </c>
      <c r="S125" s="2029">
        <f t="shared" si="128"/>
        <v>0</v>
      </c>
      <c r="T125" s="853">
        <f t="shared" ref="T125:T127" si="130">IFERROR(AVERAGE(Q125:S125),"")</f>
        <v>0</v>
      </c>
      <c r="U125" s="1934" t="str">
        <f t="shared" ref="U125:U127" si="131">IF(T125&gt;85,("4"),IF(T125&gt;80,("3.66"),IF(T125&gt;75,("3.33"),IF(T125&gt;70,("3.00"),IF(T125&gt;65,("2.66"),IF(T125&gt;60,("2.33"),IF(T125&gt;55,("2"),IF(T125&gt;50,("1.66"),"1.33"))))))))</f>
        <v>1.33</v>
      </c>
      <c r="V125" s="1934" t="str">
        <f t="shared" ref="V125:V127" si="132">IF(T125&gt;85,("A"),IF(T125&gt;80,("A-"),IF(T125&gt;75,("B+"),IF(T125&gt;70,("B"),IF(T125&gt;65,("B-"),IF(T125&gt;60,("C+"),IF(T125&gt;55,("C"),IF(T125&gt;50,("C-"),"D+"))))))))</f>
        <v>D+</v>
      </c>
      <c r="W125" s="1934" t="str">
        <f t="shared" ref="W125:W127" si="133">IF(T125&gt;80,("SB"),IF(T125&gt;65,("B"),IF(T125&gt;50,("C"),IF(T125&gt;0,("K"),"0"))))</f>
        <v>0</v>
      </c>
      <c r="X125" s="1498"/>
      <c r="Y125" s="1499"/>
      <c r="Z125" s="1499"/>
      <c r="AA125" s="1499"/>
      <c r="AB125" s="1500"/>
      <c r="AC125" s="1500"/>
      <c r="AD125" s="1500"/>
      <c r="AE125" s="1501"/>
      <c r="AF125" s="1521"/>
      <c r="AG125" s="1522"/>
    </row>
    <row r="126" spans="1:33" ht="24.95" customHeight="1" x14ac:dyDescent="0.25">
      <c r="A126" s="360"/>
      <c r="B126" s="1511"/>
      <c r="C126" s="1310"/>
      <c r="D126" s="1492" t="s">
        <v>11</v>
      </c>
      <c r="E126" s="1493"/>
      <c r="F126" s="1493"/>
      <c r="G126" s="1497"/>
      <c r="H126" s="2040">
        <v>0</v>
      </c>
      <c r="I126" s="2040">
        <v>0</v>
      </c>
      <c r="J126" s="2040">
        <v>0</v>
      </c>
      <c r="K126" s="1497">
        <v>0</v>
      </c>
      <c r="L126" s="1497">
        <v>0</v>
      </c>
      <c r="M126" s="1497">
        <v>0</v>
      </c>
      <c r="N126" s="2043"/>
      <c r="O126" s="2043"/>
      <c r="P126" s="2043"/>
      <c r="Q126" s="2028">
        <f t="shared" si="129"/>
        <v>0</v>
      </c>
      <c r="R126" s="2026">
        <f t="shared" si="127"/>
        <v>0</v>
      </c>
      <c r="S126" s="2029">
        <f t="shared" si="128"/>
        <v>0</v>
      </c>
      <c r="T126" s="853">
        <f t="shared" si="130"/>
        <v>0</v>
      </c>
      <c r="U126" s="1934" t="str">
        <f t="shared" si="131"/>
        <v>1.33</v>
      </c>
      <c r="V126" s="1934" t="str">
        <f t="shared" si="132"/>
        <v>D+</v>
      </c>
      <c r="W126" s="1934" t="str">
        <f t="shared" si="133"/>
        <v>0</v>
      </c>
      <c r="X126" s="1502"/>
      <c r="Y126" s="1503"/>
      <c r="Z126" s="1503"/>
      <c r="AA126" s="1503"/>
      <c r="AB126" s="1504"/>
      <c r="AC126" s="1504"/>
      <c r="AD126" s="1504"/>
      <c r="AE126" s="1505"/>
      <c r="AF126" s="1523"/>
      <c r="AG126" s="1524"/>
    </row>
    <row r="127" spans="1:33" ht="24.95" customHeight="1" x14ac:dyDescent="0.25">
      <c r="A127" s="360"/>
      <c r="B127" s="1511"/>
      <c r="C127" s="1310"/>
      <c r="D127" s="1492" t="s">
        <v>16</v>
      </c>
      <c r="E127" s="1497">
        <v>0</v>
      </c>
      <c r="F127" s="1497">
        <v>0</v>
      </c>
      <c r="G127" s="1497">
        <v>0</v>
      </c>
      <c r="H127" s="2043">
        <v>0</v>
      </c>
      <c r="I127" s="2043">
        <v>0</v>
      </c>
      <c r="J127" s="2043">
        <v>0</v>
      </c>
      <c r="K127" s="1497">
        <v>0</v>
      </c>
      <c r="L127" s="1497">
        <v>0</v>
      </c>
      <c r="M127" s="1497">
        <v>0</v>
      </c>
      <c r="N127" s="2043">
        <v>0</v>
      </c>
      <c r="O127" s="2043">
        <v>0</v>
      </c>
      <c r="P127" s="2043">
        <v>0</v>
      </c>
      <c r="Q127" s="2028">
        <f t="shared" si="129"/>
        <v>0</v>
      </c>
      <c r="R127" s="2026">
        <f t="shared" si="127"/>
        <v>0</v>
      </c>
      <c r="S127" s="2029">
        <f t="shared" si="128"/>
        <v>0</v>
      </c>
      <c r="T127" s="853">
        <f t="shared" si="130"/>
        <v>0</v>
      </c>
      <c r="U127" s="1934" t="str">
        <f t="shared" si="131"/>
        <v>1.33</v>
      </c>
      <c r="V127" s="1934" t="str">
        <f t="shared" si="132"/>
        <v>D+</v>
      </c>
      <c r="W127" s="1934" t="str">
        <f t="shared" si="133"/>
        <v>0</v>
      </c>
      <c r="X127" s="1502"/>
      <c r="Y127" s="1503"/>
      <c r="Z127" s="1503"/>
      <c r="AA127" s="1503"/>
      <c r="AB127" s="1504"/>
      <c r="AC127" s="1504"/>
      <c r="AD127" s="1504"/>
      <c r="AE127" s="1505"/>
      <c r="AF127" s="1525"/>
      <c r="AG127" s="1526"/>
    </row>
    <row r="128" spans="1:33" ht="24.95" customHeight="1" x14ac:dyDescent="0.25">
      <c r="A128" s="727"/>
      <c r="B128" s="1401">
        <v>24</v>
      </c>
      <c r="C128" s="1512"/>
      <c r="D128" s="1506"/>
      <c r="E128" s="2813"/>
      <c r="F128" s="2814"/>
      <c r="G128" s="2814"/>
      <c r="H128" s="2814"/>
      <c r="I128" s="2023"/>
      <c r="J128" s="2023"/>
      <c r="K128" s="2023"/>
      <c r="L128" s="2023"/>
      <c r="M128" s="2023"/>
      <c r="N128" s="2023"/>
      <c r="O128" s="2023"/>
      <c r="P128" s="2023"/>
      <c r="Q128" s="2023"/>
      <c r="R128" s="2023"/>
      <c r="S128" s="2023"/>
      <c r="T128" s="1520">
        <f>IFERROR(AVERAGE(T124:T127),"  ")</f>
        <v>0</v>
      </c>
      <c r="U128" s="1935" t="str">
        <f>IF(T128&gt;85,("4"),IF(T128&gt;80,("3.66"),IF(T128&gt;75,("3.33"),IF(T128&gt;70,("3.00"),IF(T128&gt;65,("2.66"),IF(T128&gt;60,("2.33"),IF(T128&gt;55,("2"),IF(T128&gt;50,("1.66"),"1.33"))))))))</f>
        <v>1.33</v>
      </c>
      <c r="V128" s="1935" t="str">
        <f>IF(T128&gt;85,("A"),IF(T128&gt;80,("A-"),IF(T128&gt;75,("B+"),IF(T128&gt;70,("B"),IF(T128&gt;65,("B-"),IF(T128&gt;60,("C+"),IF(T128&gt;55,("C"),IF(T128&gt;50,("C-"),"D+"))))))))</f>
        <v>D+</v>
      </c>
      <c r="W128" s="1936"/>
      <c r="X128" s="728"/>
      <c r="Y128" s="729"/>
      <c r="Z128" s="729"/>
      <c r="AA128" s="729"/>
      <c r="AB128" s="729"/>
      <c r="AC128" s="729"/>
      <c r="AD128" s="729"/>
      <c r="AE128" s="730"/>
      <c r="AF128" s="1527"/>
      <c r="AG128" s="1528"/>
    </row>
    <row r="129" spans="1:33" ht="24.95" customHeight="1" x14ac:dyDescent="0.25">
      <c r="A129" s="724">
        <v>25</v>
      </c>
      <c r="B129" s="1509"/>
      <c r="C129" s="1384" t="str">
        <f>VLOOKUP(A129,data_siswa,4,FALSE)</f>
        <v>Larasati Jagadhita P</v>
      </c>
      <c r="D129" s="1510" t="s">
        <v>154</v>
      </c>
      <c r="E129" s="1497"/>
      <c r="F129" s="1497"/>
      <c r="G129" s="1497"/>
      <c r="H129" s="2043">
        <v>0</v>
      </c>
      <c r="I129" s="2043">
        <v>0</v>
      </c>
      <c r="J129" s="2043">
        <v>0</v>
      </c>
      <c r="K129" s="1497"/>
      <c r="L129" s="1497"/>
      <c r="M129" s="1497"/>
      <c r="N129" s="2043"/>
      <c r="O129" s="2043"/>
      <c r="P129" s="2043"/>
      <c r="Q129" s="2028">
        <f>MAX(E129,H129,K129,N129)</f>
        <v>0</v>
      </c>
      <c r="R129" s="2026">
        <f t="shared" ref="R129:R132" si="134">MAX(F129,I129,L129,O129)</f>
        <v>0</v>
      </c>
      <c r="S129" s="2029">
        <f t="shared" ref="S129:S132" si="135">MAX(G129,J129,M129,P129)</f>
        <v>0</v>
      </c>
      <c r="T129" s="853">
        <f>IFERROR(AVERAGE(Q129:S129),"")</f>
        <v>0</v>
      </c>
      <c r="U129" s="1934" t="str">
        <f t="shared" ref="U129:U192" si="136">IF(T129&gt;85,("4"),IF(T129&gt;80,("3.66"),IF(T129&gt;75,("3.33"),IF(T129&gt;70,("3.00"),IF(T129&gt;65,("2.66"),IF(T129&gt;60,("2.33"),IF(T129&gt;55,("2"),IF(T129&gt;50,("1.66"),"1.33"))))))))</f>
        <v>1.33</v>
      </c>
      <c r="V129" s="1934" t="str">
        <f t="shared" ref="V129:V192" si="137">IF(T129&gt;85,("A"),IF(T129&gt;80,("A-"),IF(T129&gt;75,("B+"),IF(T129&gt;70,("B"),IF(T129&gt;65,("B-"),IF(T129&gt;60,("C+"),IF(T129&gt;55,("C"),IF(T129&gt;50,("C-"),"D+"))))))))</f>
        <v>D+</v>
      </c>
      <c r="W129" s="1934" t="str">
        <f t="shared" ref="W129:W132" si="138">IF(T129&gt;80,("SB"),IF(T129&gt;65,("B"),IF(T129&gt;50,("C"),IF(T129&gt;0,("K"),"0"))))</f>
        <v>0</v>
      </c>
      <c r="X129" s="383"/>
      <c r="Y129" s="383"/>
      <c r="Z129" s="383"/>
      <c r="AA129" s="383"/>
      <c r="AB129" s="726"/>
      <c r="AC129" s="726"/>
      <c r="AD129" s="726"/>
      <c r="AE129" s="726"/>
      <c r="AF129" s="1057">
        <f>AVERAGE(T129:T132)</f>
        <v>0</v>
      </c>
      <c r="AG129" s="1194" t="str">
        <f>IF(AF129&gt;85,("A"),IF(AF129&gt;80,("A-"),IF(AF129&gt;75,("B+"),IF(AF129&gt;70,("B"),IF(AF129&gt;65,("B-"),IF(AF129&gt;60,("C+"),IF(AF129&gt;55,("C"),IF(AF129&gt;50,("C-"),"D+"))))))))</f>
        <v>D+</v>
      </c>
    </row>
    <row r="130" spans="1:33" ht="24.95" customHeight="1" x14ac:dyDescent="0.25">
      <c r="A130" s="360"/>
      <c r="B130" s="1511"/>
      <c r="C130" s="1310"/>
      <c r="D130" s="1492" t="s">
        <v>9</v>
      </c>
      <c r="E130" s="1493"/>
      <c r="F130" s="1497"/>
      <c r="G130" s="1493"/>
      <c r="H130" s="2040">
        <v>0</v>
      </c>
      <c r="I130" s="2040">
        <v>0</v>
      </c>
      <c r="J130" s="2040">
        <v>0</v>
      </c>
      <c r="K130" s="1497">
        <v>0</v>
      </c>
      <c r="L130" s="1497">
        <v>0</v>
      </c>
      <c r="M130" s="1497">
        <v>0</v>
      </c>
      <c r="N130" s="2043">
        <v>0</v>
      </c>
      <c r="O130" s="2043">
        <v>0</v>
      </c>
      <c r="P130" s="2043">
        <v>0</v>
      </c>
      <c r="Q130" s="2028">
        <f t="shared" ref="Q130:Q132" si="139">MAX(E130,H130,K130,N130)</f>
        <v>0</v>
      </c>
      <c r="R130" s="2026">
        <f t="shared" si="134"/>
        <v>0</v>
      </c>
      <c r="S130" s="2029">
        <f t="shared" si="135"/>
        <v>0</v>
      </c>
      <c r="T130" s="853">
        <f t="shared" ref="T130:T132" si="140">IFERROR(AVERAGE(Q130:S130),"")</f>
        <v>0</v>
      </c>
      <c r="U130" s="1934" t="str">
        <f t="shared" si="136"/>
        <v>1.33</v>
      </c>
      <c r="V130" s="1934" t="str">
        <f t="shared" si="137"/>
        <v>D+</v>
      </c>
      <c r="W130" s="1934" t="str">
        <f t="shared" si="138"/>
        <v>0</v>
      </c>
      <c r="X130" s="1498"/>
      <c r="Y130" s="1499"/>
      <c r="Z130" s="1499"/>
      <c r="AA130" s="1499"/>
      <c r="AB130" s="1500"/>
      <c r="AC130" s="1500"/>
      <c r="AD130" s="1500"/>
      <c r="AE130" s="1501"/>
      <c r="AF130" s="1521"/>
      <c r="AG130" s="1522"/>
    </row>
    <row r="131" spans="1:33" ht="24.95" customHeight="1" x14ac:dyDescent="0.25">
      <c r="A131" s="360"/>
      <c r="B131" s="1511"/>
      <c r="C131" s="1310"/>
      <c r="D131" s="1492" t="s">
        <v>11</v>
      </c>
      <c r="E131" s="1493"/>
      <c r="F131" s="1493"/>
      <c r="G131" s="1497"/>
      <c r="H131" s="2040">
        <v>0</v>
      </c>
      <c r="I131" s="2040">
        <v>0</v>
      </c>
      <c r="J131" s="2040">
        <v>0</v>
      </c>
      <c r="K131" s="1497">
        <v>0</v>
      </c>
      <c r="L131" s="1497">
        <v>0</v>
      </c>
      <c r="M131" s="1497">
        <v>0</v>
      </c>
      <c r="N131" s="2043"/>
      <c r="O131" s="2043"/>
      <c r="P131" s="2043"/>
      <c r="Q131" s="2028">
        <f t="shared" si="139"/>
        <v>0</v>
      </c>
      <c r="R131" s="2026">
        <f t="shared" si="134"/>
        <v>0</v>
      </c>
      <c r="S131" s="2029">
        <f t="shared" si="135"/>
        <v>0</v>
      </c>
      <c r="T131" s="853">
        <f t="shared" si="140"/>
        <v>0</v>
      </c>
      <c r="U131" s="1934" t="str">
        <f t="shared" si="136"/>
        <v>1.33</v>
      </c>
      <c r="V131" s="1934" t="str">
        <f t="shared" si="137"/>
        <v>D+</v>
      </c>
      <c r="W131" s="1934" t="str">
        <f t="shared" si="138"/>
        <v>0</v>
      </c>
      <c r="X131" s="1502"/>
      <c r="Y131" s="1503"/>
      <c r="Z131" s="1503"/>
      <c r="AA131" s="1503"/>
      <c r="AB131" s="1504"/>
      <c r="AC131" s="1504"/>
      <c r="AD131" s="1504"/>
      <c r="AE131" s="1505"/>
      <c r="AF131" s="1523"/>
      <c r="AG131" s="1524"/>
    </row>
    <row r="132" spans="1:33" ht="24.95" customHeight="1" x14ac:dyDescent="0.25">
      <c r="A132" s="360"/>
      <c r="B132" s="1511"/>
      <c r="C132" s="1310"/>
      <c r="D132" s="1492" t="s">
        <v>16</v>
      </c>
      <c r="E132" s="1497">
        <v>0</v>
      </c>
      <c r="F132" s="1497">
        <v>0</v>
      </c>
      <c r="G132" s="1497">
        <v>0</v>
      </c>
      <c r="H132" s="2043">
        <v>0</v>
      </c>
      <c r="I132" s="2043">
        <v>0</v>
      </c>
      <c r="J132" s="2043">
        <v>0</v>
      </c>
      <c r="K132" s="1497">
        <v>0</v>
      </c>
      <c r="L132" s="1497">
        <v>0</v>
      </c>
      <c r="M132" s="1497">
        <v>0</v>
      </c>
      <c r="N132" s="2043">
        <v>0</v>
      </c>
      <c r="O132" s="2043">
        <v>0</v>
      </c>
      <c r="P132" s="2043">
        <v>0</v>
      </c>
      <c r="Q132" s="2028">
        <f t="shared" si="139"/>
        <v>0</v>
      </c>
      <c r="R132" s="2026">
        <f t="shared" si="134"/>
        <v>0</v>
      </c>
      <c r="S132" s="2029">
        <f t="shared" si="135"/>
        <v>0</v>
      </c>
      <c r="T132" s="853">
        <f t="shared" si="140"/>
        <v>0</v>
      </c>
      <c r="U132" s="1934" t="str">
        <f t="shared" si="136"/>
        <v>1.33</v>
      </c>
      <c r="V132" s="1934" t="str">
        <f t="shared" si="137"/>
        <v>D+</v>
      </c>
      <c r="W132" s="1934" t="str">
        <f t="shared" si="138"/>
        <v>0</v>
      </c>
      <c r="X132" s="1502"/>
      <c r="Y132" s="1503"/>
      <c r="Z132" s="1503"/>
      <c r="AA132" s="1503"/>
      <c r="AB132" s="1504"/>
      <c r="AC132" s="1504"/>
      <c r="AD132" s="1504"/>
      <c r="AE132" s="1505"/>
      <c r="AF132" s="1525"/>
      <c r="AG132" s="1526"/>
    </row>
    <row r="133" spans="1:33" ht="24.95" customHeight="1" x14ac:dyDescent="0.25">
      <c r="A133" s="727"/>
      <c r="B133" s="1401">
        <v>25</v>
      </c>
      <c r="C133" s="1512"/>
      <c r="D133" s="1506"/>
      <c r="E133" s="2813"/>
      <c r="F133" s="2814"/>
      <c r="G133" s="2814"/>
      <c r="H133" s="2814"/>
      <c r="I133" s="2023"/>
      <c r="J133" s="2023"/>
      <c r="K133" s="2023"/>
      <c r="L133" s="2023"/>
      <c r="M133" s="2023"/>
      <c r="N133" s="2023"/>
      <c r="O133" s="2023"/>
      <c r="P133" s="2023"/>
      <c r="Q133" s="2023"/>
      <c r="R133" s="2023"/>
      <c r="S133" s="2023"/>
      <c r="T133" s="1520">
        <f>IFERROR(AVERAGE(T129:T132),"  ")</f>
        <v>0</v>
      </c>
      <c r="U133" s="1935" t="str">
        <f t="shared" si="136"/>
        <v>1.33</v>
      </c>
      <c r="V133" s="1935" t="str">
        <f t="shared" si="137"/>
        <v>D+</v>
      </c>
      <c r="W133" s="1936"/>
      <c r="X133" s="728"/>
      <c r="Y133" s="729"/>
      <c r="Z133" s="729"/>
      <c r="AA133" s="729"/>
      <c r="AB133" s="729"/>
      <c r="AC133" s="729"/>
      <c r="AD133" s="729"/>
      <c r="AE133" s="730"/>
      <c r="AF133" s="1527"/>
      <c r="AG133" s="1528"/>
    </row>
    <row r="134" spans="1:33" ht="24.95" customHeight="1" x14ac:dyDescent="0.25">
      <c r="A134" s="724">
        <v>26</v>
      </c>
      <c r="B134" s="1509"/>
      <c r="C134" s="1384" t="str">
        <f>VLOOKUP(A134,data_siswa,4,FALSE)</f>
        <v>Meliana Citra A</v>
      </c>
      <c r="D134" s="1510" t="s">
        <v>154</v>
      </c>
      <c r="E134" s="1497"/>
      <c r="F134" s="1497"/>
      <c r="G134" s="1497"/>
      <c r="H134" s="2043">
        <v>0</v>
      </c>
      <c r="I134" s="2043">
        <v>0</v>
      </c>
      <c r="J134" s="2043">
        <v>0</v>
      </c>
      <c r="K134" s="1497"/>
      <c r="L134" s="1497"/>
      <c r="M134" s="1497"/>
      <c r="N134" s="2043"/>
      <c r="O134" s="2043"/>
      <c r="P134" s="2043"/>
      <c r="Q134" s="2028">
        <f>MAX(E134,H134,K134,N134)</f>
        <v>0</v>
      </c>
      <c r="R134" s="2026">
        <f t="shared" ref="R134:R137" si="141">MAX(F134,I134,L134,O134)</f>
        <v>0</v>
      </c>
      <c r="S134" s="2029">
        <f t="shared" ref="S134:S137" si="142">MAX(G134,J134,M134,P134)</f>
        <v>0</v>
      </c>
      <c r="T134" s="853">
        <f>IFERROR(AVERAGE(Q134:S134),"")</f>
        <v>0</v>
      </c>
      <c r="U134" s="1934" t="str">
        <f t="shared" si="136"/>
        <v>1.33</v>
      </c>
      <c r="V134" s="1934" t="str">
        <f t="shared" si="137"/>
        <v>D+</v>
      </c>
      <c r="W134" s="1934" t="str">
        <f t="shared" ref="W134:W137" si="143">IF(T134&gt;80,("SB"),IF(T134&gt;65,("B"),IF(T134&gt;50,("C"),IF(T134&gt;0,("K"),"0"))))</f>
        <v>0</v>
      </c>
      <c r="X134" s="383"/>
      <c r="Y134" s="383"/>
      <c r="Z134" s="383"/>
      <c r="AA134" s="383"/>
      <c r="AB134" s="726"/>
      <c r="AC134" s="726"/>
      <c r="AD134" s="726"/>
      <c r="AE134" s="726"/>
      <c r="AF134" s="1057">
        <f>AVERAGE(T134:T137)</f>
        <v>0</v>
      </c>
      <c r="AG134" s="1194" t="str">
        <f>IF(AF134&gt;85,("A"),IF(AF134&gt;80,("A-"),IF(AF134&gt;75,("B+"),IF(AF134&gt;70,("B"),IF(AF134&gt;65,("B-"),IF(AF134&gt;60,("C+"),IF(AF134&gt;55,("C"),IF(AF134&gt;50,("C-"),"D+"))))))))</f>
        <v>D+</v>
      </c>
    </row>
    <row r="135" spans="1:33" ht="24.95" customHeight="1" x14ac:dyDescent="0.25">
      <c r="A135" s="360"/>
      <c r="B135" s="1511"/>
      <c r="C135" s="1310"/>
      <c r="D135" s="1492" t="s">
        <v>9</v>
      </c>
      <c r="E135" s="1493"/>
      <c r="F135" s="1497"/>
      <c r="G135" s="1493"/>
      <c r="H135" s="2040">
        <v>0</v>
      </c>
      <c r="I135" s="2040">
        <v>0</v>
      </c>
      <c r="J135" s="2040">
        <v>0</v>
      </c>
      <c r="K135" s="1497">
        <v>0</v>
      </c>
      <c r="L135" s="1497">
        <v>0</v>
      </c>
      <c r="M135" s="1497">
        <v>0</v>
      </c>
      <c r="N135" s="2043">
        <v>0</v>
      </c>
      <c r="O135" s="2043">
        <v>0</v>
      </c>
      <c r="P135" s="2043">
        <v>0</v>
      </c>
      <c r="Q135" s="2028">
        <f t="shared" ref="Q135:Q137" si="144">MAX(E135,H135,K135,N135)</f>
        <v>0</v>
      </c>
      <c r="R135" s="2026">
        <f t="shared" si="141"/>
        <v>0</v>
      </c>
      <c r="S135" s="2029">
        <f t="shared" si="142"/>
        <v>0</v>
      </c>
      <c r="T135" s="853">
        <f t="shared" ref="T135:T137" si="145">IFERROR(AVERAGE(Q135:S135),"")</f>
        <v>0</v>
      </c>
      <c r="U135" s="1934" t="str">
        <f t="shared" si="136"/>
        <v>1.33</v>
      </c>
      <c r="V135" s="1934" t="str">
        <f t="shared" si="137"/>
        <v>D+</v>
      </c>
      <c r="W135" s="1934" t="str">
        <f t="shared" si="143"/>
        <v>0</v>
      </c>
      <c r="X135" s="1498"/>
      <c r="Y135" s="1499"/>
      <c r="Z135" s="1499"/>
      <c r="AA135" s="1499"/>
      <c r="AB135" s="1500"/>
      <c r="AC135" s="1500"/>
      <c r="AD135" s="1500"/>
      <c r="AE135" s="1501"/>
      <c r="AF135" s="1521"/>
      <c r="AG135" s="1522"/>
    </row>
    <row r="136" spans="1:33" ht="24.95" customHeight="1" x14ac:dyDescent="0.25">
      <c r="A136" s="360"/>
      <c r="B136" s="1511"/>
      <c r="C136" s="1310"/>
      <c r="D136" s="1492" t="s">
        <v>11</v>
      </c>
      <c r="E136" s="1493"/>
      <c r="F136" s="1493"/>
      <c r="G136" s="1497"/>
      <c r="H136" s="2040">
        <v>0</v>
      </c>
      <c r="I136" s="2040">
        <v>0</v>
      </c>
      <c r="J136" s="2040">
        <v>0</v>
      </c>
      <c r="K136" s="1497">
        <v>0</v>
      </c>
      <c r="L136" s="1497">
        <v>0</v>
      </c>
      <c r="M136" s="1497">
        <v>0</v>
      </c>
      <c r="N136" s="2043"/>
      <c r="O136" s="2043"/>
      <c r="P136" s="2043"/>
      <c r="Q136" s="2028">
        <f t="shared" si="144"/>
        <v>0</v>
      </c>
      <c r="R136" s="2026">
        <f t="shared" si="141"/>
        <v>0</v>
      </c>
      <c r="S136" s="2029">
        <f t="shared" si="142"/>
        <v>0</v>
      </c>
      <c r="T136" s="853">
        <f t="shared" si="145"/>
        <v>0</v>
      </c>
      <c r="U136" s="1934" t="str">
        <f t="shared" si="136"/>
        <v>1.33</v>
      </c>
      <c r="V136" s="1934" t="str">
        <f t="shared" si="137"/>
        <v>D+</v>
      </c>
      <c r="W136" s="1934" t="str">
        <f t="shared" si="143"/>
        <v>0</v>
      </c>
      <c r="X136" s="1502"/>
      <c r="Y136" s="1503"/>
      <c r="Z136" s="1503"/>
      <c r="AA136" s="1503"/>
      <c r="AB136" s="1504"/>
      <c r="AC136" s="1504"/>
      <c r="AD136" s="1504"/>
      <c r="AE136" s="1505"/>
      <c r="AF136" s="1523"/>
      <c r="AG136" s="1524"/>
    </row>
    <row r="137" spans="1:33" ht="24.95" customHeight="1" x14ac:dyDescent="0.25">
      <c r="A137" s="360"/>
      <c r="B137" s="1511"/>
      <c r="C137" s="1310"/>
      <c r="D137" s="1492" t="s">
        <v>16</v>
      </c>
      <c r="E137" s="1497">
        <v>0</v>
      </c>
      <c r="F137" s="1497">
        <v>0</v>
      </c>
      <c r="G137" s="1497">
        <v>0</v>
      </c>
      <c r="H137" s="2043">
        <v>0</v>
      </c>
      <c r="I137" s="2043">
        <v>0</v>
      </c>
      <c r="J137" s="2043">
        <v>0</v>
      </c>
      <c r="K137" s="1497">
        <v>0</v>
      </c>
      <c r="L137" s="1497">
        <v>0</v>
      </c>
      <c r="M137" s="1497">
        <v>0</v>
      </c>
      <c r="N137" s="2043">
        <v>0</v>
      </c>
      <c r="O137" s="2043">
        <v>0</v>
      </c>
      <c r="P137" s="2043">
        <v>0</v>
      </c>
      <c r="Q137" s="2028">
        <f t="shared" si="144"/>
        <v>0</v>
      </c>
      <c r="R137" s="2026">
        <f t="shared" si="141"/>
        <v>0</v>
      </c>
      <c r="S137" s="2029">
        <f t="shared" si="142"/>
        <v>0</v>
      </c>
      <c r="T137" s="853">
        <f t="shared" si="145"/>
        <v>0</v>
      </c>
      <c r="U137" s="1934" t="str">
        <f t="shared" si="136"/>
        <v>1.33</v>
      </c>
      <c r="V137" s="1934" t="str">
        <f t="shared" si="137"/>
        <v>D+</v>
      </c>
      <c r="W137" s="1934" t="str">
        <f t="shared" si="143"/>
        <v>0</v>
      </c>
      <c r="X137" s="1502"/>
      <c r="Y137" s="1503"/>
      <c r="Z137" s="1503"/>
      <c r="AA137" s="1503"/>
      <c r="AB137" s="1504"/>
      <c r="AC137" s="1504"/>
      <c r="AD137" s="1504"/>
      <c r="AE137" s="1505"/>
      <c r="AF137" s="1525"/>
      <c r="AG137" s="1526"/>
    </row>
    <row r="138" spans="1:33" ht="24.95" customHeight="1" x14ac:dyDescent="0.25">
      <c r="A138" s="727"/>
      <c r="B138" s="1401">
        <v>26</v>
      </c>
      <c r="C138" s="1512"/>
      <c r="D138" s="1506"/>
      <c r="E138" s="2813"/>
      <c r="F138" s="2814"/>
      <c r="G138" s="2814"/>
      <c r="H138" s="2814"/>
      <c r="I138" s="2023"/>
      <c r="J138" s="2023"/>
      <c r="K138" s="2023"/>
      <c r="L138" s="2023"/>
      <c r="M138" s="2023"/>
      <c r="N138" s="2023"/>
      <c r="O138" s="2023"/>
      <c r="P138" s="2023"/>
      <c r="Q138" s="2023"/>
      <c r="R138" s="2023"/>
      <c r="S138" s="2023"/>
      <c r="T138" s="1520">
        <f>IFERROR(AVERAGE(T134:T137),"  ")</f>
        <v>0</v>
      </c>
      <c r="U138" s="1935" t="str">
        <f t="shared" si="136"/>
        <v>1.33</v>
      </c>
      <c r="V138" s="1935" t="str">
        <f t="shared" si="137"/>
        <v>D+</v>
      </c>
      <c r="W138" s="1936"/>
      <c r="X138" s="728"/>
      <c r="Y138" s="729"/>
      <c r="Z138" s="729"/>
      <c r="AA138" s="729"/>
      <c r="AB138" s="729"/>
      <c r="AC138" s="729"/>
      <c r="AD138" s="729"/>
      <c r="AE138" s="730"/>
      <c r="AF138" s="1527"/>
      <c r="AG138" s="1528"/>
    </row>
    <row r="139" spans="1:33" ht="24.95" customHeight="1" x14ac:dyDescent="0.25">
      <c r="A139" s="724">
        <v>27</v>
      </c>
      <c r="B139" s="1509"/>
      <c r="C139" s="1384" t="str">
        <f>VLOOKUP(A139,data_siswa,4,FALSE)</f>
        <v>Mohammad Rizky</v>
      </c>
      <c r="D139" s="1510" t="s">
        <v>154</v>
      </c>
      <c r="E139" s="1497"/>
      <c r="F139" s="1497"/>
      <c r="G139" s="1497"/>
      <c r="H139" s="2043">
        <v>0</v>
      </c>
      <c r="I139" s="2043">
        <v>0</v>
      </c>
      <c r="J139" s="2043">
        <v>0</v>
      </c>
      <c r="K139" s="1497"/>
      <c r="L139" s="1497"/>
      <c r="M139" s="1497"/>
      <c r="N139" s="2043"/>
      <c r="O139" s="2043"/>
      <c r="P139" s="2043"/>
      <c r="Q139" s="2028">
        <f>MAX(E139,H139,K139,N139)</f>
        <v>0</v>
      </c>
      <c r="R139" s="2026">
        <f t="shared" ref="R139:R142" si="146">MAX(F139,I139,L139,O139)</f>
        <v>0</v>
      </c>
      <c r="S139" s="2029">
        <f t="shared" ref="S139:S142" si="147">MAX(G139,J139,M139,P139)</f>
        <v>0</v>
      </c>
      <c r="T139" s="853">
        <f>IFERROR(AVERAGE(Q139:S139),"")</f>
        <v>0</v>
      </c>
      <c r="U139" s="1934" t="str">
        <f t="shared" si="136"/>
        <v>1.33</v>
      </c>
      <c r="V139" s="1934" t="str">
        <f t="shared" si="137"/>
        <v>D+</v>
      </c>
      <c r="W139" s="1934" t="str">
        <f t="shared" ref="W139:W142" si="148">IF(T139&gt;80,("SB"),IF(T139&gt;65,("B"),IF(T139&gt;50,("C"),IF(T139&gt;0,("K"),"0"))))</f>
        <v>0</v>
      </c>
      <c r="X139" s="383"/>
      <c r="Y139" s="383"/>
      <c r="Z139" s="383"/>
      <c r="AA139" s="383"/>
      <c r="AB139" s="726"/>
      <c r="AC139" s="726"/>
      <c r="AD139" s="726"/>
      <c r="AE139" s="726"/>
      <c r="AF139" s="1057">
        <f>AVERAGE(T139:T142)</f>
        <v>0</v>
      </c>
      <c r="AG139" s="1194" t="str">
        <f>IF(AF139&gt;85,("A"),IF(AF139&gt;80,("A-"),IF(AF139&gt;75,("B+"),IF(AF139&gt;70,("B"),IF(AF139&gt;65,("B-"),IF(AF139&gt;60,("C+"),IF(AF139&gt;55,("C"),IF(AF139&gt;50,("C-"),"D+"))))))))</f>
        <v>D+</v>
      </c>
    </row>
    <row r="140" spans="1:33" ht="24.95" customHeight="1" x14ac:dyDescent="0.25">
      <c r="A140" s="360"/>
      <c r="B140" s="1511"/>
      <c r="C140" s="1310"/>
      <c r="D140" s="1492" t="s">
        <v>9</v>
      </c>
      <c r="E140" s="1493"/>
      <c r="F140" s="1497"/>
      <c r="G140" s="1493"/>
      <c r="H140" s="2040">
        <v>0</v>
      </c>
      <c r="I140" s="2040">
        <v>0</v>
      </c>
      <c r="J140" s="2040">
        <v>0</v>
      </c>
      <c r="K140" s="1497">
        <v>0</v>
      </c>
      <c r="L140" s="1497">
        <v>0</v>
      </c>
      <c r="M140" s="1497">
        <v>0</v>
      </c>
      <c r="N140" s="2043">
        <v>0</v>
      </c>
      <c r="O140" s="2043">
        <v>0</v>
      </c>
      <c r="P140" s="2043">
        <v>0</v>
      </c>
      <c r="Q140" s="2028">
        <f t="shared" ref="Q140:Q142" si="149">MAX(E140,H140,K140,N140)</f>
        <v>0</v>
      </c>
      <c r="R140" s="2026">
        <f t="shared" si="146"/>
        <v>0</v>
      </c>
      <c r="S140" s="2029">
        <f t="shared" si="147"/>
        <v>0</v>
      </c>
      <c r="T140" s="853">
        <f t="shared" ref="T140:T142" si="150">IFERROR(AVERAGE(Q140:S140),"")</f>
        <v>0</v>
      </c>
      <c r="U140" s="1934" t="str">
        <f t="shared" si="136"/>
        <v>1.33</v>
      </c>
      <c r="V140" s="1934" t="str">
        <f t="shared" si="137"/>
        <v>D+</v>
      </c>
      <c r="W140" s="1934" t="str">
        <f t="shared" si="148"/>
        <v>0</v>
      </c>
      <c r="X140" s="1498"/>
      <c r="Y140" s="1499"/>
      <c r="Z140" s="1499"/>
      <c r="AA140" s="1499"/>
      <c r="AB140" s="1500"/>
      <c r="AC140" s="1500"/>
      <c r="AD140" s="1500"/>
      <c r="AE140" s="1501"/>
      <c r="AF140" s="1521"/>
      <c r="AG140" s="1522"/>
    </row>
    <row r="141" spans="1:33" ht="24.95" customHeight="1" x14ac:dyDescent="0.25">
      <c r="A141" s="360"/>
      <c r="B141" s="1511"/>
      <c r="C141" s="1310"/>
      <c r="D141" s="1492" t="s">
        <v>11</v>
      </c>
      <c r="E141" s="1493"/>
      <c r="F141" s="1493"/>
      <c r="G141" s="1497"/>
      <c r="H141" s="2040">
        <v>0</v>
      </c>
      <c r="I141" s="2040">
        <v>0</v>
      </c>
      <c r="J141" s="2040">
        <v>0</v>
      </c>
      <c r="K141" s="1497">
        <v>0</v>
      </c>
      <c r="L141" s="1497">
        <v>0</v>
      </c>
      <c r="M141" s="1497">
        <v>0</v>
      </c>
      <c r="N141" s="2043"/>
      <c r="O141" s="2043"/>
      <c r="P141" s="2043"/>
      <c r="Q141" s="2028">
        <f t="shared" si="149"/>
        <v>0</v>
      </c>
      <c r="R141" s="2026">
        <f t="shared" si="146"/>
        <v>0</v>
      </c>
      <c r="S141" s="2029">
        <f t="shared" si="147"/>
        <v>0</v>
      </c>
      <c r="T141" s="853">
        <f t="shared" si="150"/>
        <v>0</v>
      </c>
      <c r="U141" s="1934" t="str">
        <f t="shared" si="136"/>
        <v>1.33</v>
      </c>
      <c r="V141" s="1934" t="str">
        <f t="shared" si="137"/>
        <v>D+</v>
      </c>
      <c r="W141" s="1934" t="str">
        <f t="shared" si="148"/>
        <v>0</v>
      </c>
      <c r="X141" s="1502"/>
      <c r="Y141" s="1503"/>
      <c r="Z141" s="1503"/>
      <c r="AA141" s="1503"/>
      <c r="AB141" s="1504"/>
      <c r="AC141" s="1504"/>
      <c r="AD141" s="1504"/>
      <c r="AE141" s="1505"/>
      <c r="AF141" s="1523"/>
      <c r="AG141" s="1524"/>
    </row>
    <row r="142" spans="1:33" ht="24.95" customHeight="1" x14ac:dyDescent="0.25">
      <c r="A142" s="360"/>
      <c r="B142" s="1511"/>
      <c r="C142" s="1310"/>
      <c r="D142" s="1492" t="s">
        <v>16</v>
      </c>
      <c r="E142" s="1497">
        <v>0</v>
      </c>
      <c r="F142" s="1497">
        <v>0</v>
      </c>
      <c r="G142" s="1497">
        <v>0</v>
      </c>
      <c r="H142" s="2043">
        <v>0</v>
      </c>
      <c r="I142" s="2043">
        <v>0</v>
      </c>
      <c r="J142" s="2043">
        <v>0</v>
      </c>
      <c r="K142" s="1497">
        <v>0</v>
      </c>
      <c r="L142" s="1497">
        <v>0</v>
      </c>
      <c r="M142" s="1497">
        <v>0</v>
      </c>
      <c r="N142" s="2043">
        <v>0</v>
      </c>
      <c r="O142" s="2043">
        <v>0</v>
      </c>
      <c r="P142" s="2043">
        <v>0</v>
      </c>
      <c r="Q142" s="2028">
        <f t="shared" si="149"/>
        <v>0</v>
      </c>
      <c r="R142" s="2026">
        <f t="shared" si="146"/>
        <v>0</v>
      </c>
      <c r="S142" s="2029">
        <f t="shared" si="147"/>
        <v>0</v>
      </c>
      <c r="T142" s="853">
        <f t="shared" si="150"/>
        <v>0</v>
      </c>
      <c r="U142" s="1934" t="str">
        <f t="shared" si="136"/>
        <v>1.33</v>
      </c>
      <c r="V142" s="1934" t="str">
        <f t="shared" si="137"/>
        <v>D+</v>
      </c>
      <c r="W142" s="1934" t="str">
        <f t="shared" si="148"/>
        <v>0</v>
      </c>
      <c r="X142" s="1502"/>
      <c r="Y142" s="1503"/>
      <c r="Z142" s="1503"/>
      <c r="AA142" s="1503"/>
      <c r="AB142" s="1504"/>
      <c r="AC142" s="1504"/>
      <c r="AD142" s="1504"/>
      <c r="AE142" s="1505"/>
      <c r="AF142" s="1525"/>
      <c r="AG142" s="1526"/>
    </row>
    <row r="143" spans="1:33" ht="24.95" customHeight="1" x14ac:dyDescent="0.25">
      <c r="A143" s="727"/>
      <c r="B143" s="1401">
        <v>27</v>
      </c>
      <c r="C143" s="1512"/>
      <c r="D143" s="1506"/>
      <c r="E143" s="2813"/>
      <c r="F143" s="2814"/>
      <c r="G143" s="2814"/>
      <c r="H143" s="2814"/>
      <c r="I143" s="2023"/>
      <c r="J143" s="2023"/>
      <c r="K143" s="2023"/>
      <c r="L143" s="2023"/>
      <c r="M143" s="2023"/>
      <c r="N143" s="2023"/>
      <c r="O143" s="2023"/>
      <c r="P143" s="2023"/>
      <c r="Q143" s="2023"/>
      <c r="R143" s="2023"/>
      <c r="S143" s="2023"/>
      <c r="T143" s="1520">
        <f>IFERROR(AVERAGE(T139:T142),"  ")</f>
        <v>0</v>
      </c>
      <c r="U143" s="1935" t="str">
        <f t="shared" si="136"/>
        <v>1.33</v>
      </c>
      <c r="V143" s="1935" t="str">
        <f t="shared" si="137"/>
        <v>D+</v>
      </c>
      <c r="W143" s="1936"/>
      <c r="X143" s="728"/>
      <c r="Y143" s="729"/>
      <c r="Z143" s="729"/>
      <c r="AA143" s="729"/>
      <c r="AB143" s="729"/>
      <c r="AC143" s="729"/>
      <c r="AD143" s="729"/>
      <c r="AE143" s="730"/>
      <c r="AF143" s="1527"/>
      <c r="AG143" s="1528"/>
    </row>
    <row r="144" spans="1:33" ht="24.95" customHeight="1" x14ac:dyDescent="0.25">
      <c r="A144" s="724">
        <v>28</v>
      </c>
      <c r="B144" s="1509"/>
      <c r="C144" s="1384" t="e">
        <f>VLOOKUP(A144,data_siswa,4,FALSE)</f>
        <v>#N/A</v>
      </c>
      <c r="D144" s="1510" t="s">
        <v>154</v>
      </c>
      <c r="E144" s="1497"/>
      <c r="F144" s="1497"/>
      <c r="G144" s="1497"/>
      <c r="H144" s="2043">
        <v>0</v>
      </c>
      <c r="I144" s="2043">
        <v>0</v>
      </c>
      <c r="J144" s="2043">
        <v>0</v>
      </c>
      <c r="K144" s="1497"/>
      <c r="L144" s="1497"/>
      <c r="M144" s="1497"/>
      <c r="N144" s="2043"/>
      <c r="O144" s="2043"/>
      <c r="P144" s="2043"/>
      <c r="Q144" s="2028">
        <f>MAX(E144,H144,K144,N144)</f>
        <v>0</v>
      </c>
      <c r="R144" s="2026">
        <f t="shared" ref="R144:R147" si="151">MAX(F144,I144,L144,O144)</f>
        <v>0</v>
      </c>
      <c r="S144" s="2029">
        <f t="shared" ref="S144:S147" si="152">MAX(G144,J144,M144,P144)</f>
        <v>0</v>
      </c>
      <c r="T144" s="853">
        <f>IFERROR(AVERAGE(Q144:S144),"")</f>
        <v>0</v>
      </c>
      <c r="U144" s="1934" t="str">
        <f t="shared" si="136"/>
        <v>1.33</v>
      </c>
      <c r="V144" s="1934" t="str">
        <f t="shared" si="137"/>
        <v>D+</v>
      </c>
      <c r="W144" s="1934" t="str">
        <f t="shared" ref="W144:W147" si="153">IF(T144&gt;80,("SB"),IF(T144&gt;65,("B"),IF(T144&gt;50,("C"),IF(T144&gt;0,("K"),"0"))))</f>
        <v>0</v>
      </c>
      <c r="X144" s="383"/>
      <c r="Y144" s="383"/>
      <c r="Z144" s="383"/>
      <c r="AA144" s="383"/>
      <c r="AB144" s="726"/>
      <c r="AC144" s="726"/>
      <c r="AD144" s="726"/>
      <c r="AE144" s="726"/>
      <c r="AF144" s="1057">
        <f>AVERAGE(T144:T147)</f>
        <v>0</v>
      </c>
      <c r="AG144" s="1194" t="str">
        <f>IF(AF144&gt;85,("A"),IF(AF144&gt;80,("A-"),IF(AF144&gt;75,("B+"),IF(AF144&gt;70,("B"),IF(AF144&gt;65,("B-"),IF(AF144&gt;60,("C+"),IF(AF144&gt;55,("C"),IF(AF144&gt;50,("C-"),"D+"))))))))</f>
        <v>D+</v>
      </c>
    </row>
    <row r="145" spans="1:33" ht="24.95" customHeight="1" x14ac:dyDescent="0.25">
      <c r="A145" s="360"/>
      <c r="B145" s="1511"/>
      <c r="C145" s="1310"/>
      <c r="D145" s="1492" t="s">
        <v>9</v>
      </c>
      <c r="E145" s="1493"/>
      <c r="F145" s="1497"/>
      <c r="G145" s="1493"/>
      <c r="H145" s="2040">
        <v>0</v>
      </c>
      <c r="I145" s="2040">
        <v>0</v>
      </c>
      <c r="J145" s="2040">
        <v>0</v>
      </c>
      <c r="K145" s="1497">
        <v>0</v>
      </c>
      <c r="L145" s="1497">
        <v>0</v>
      </c>
      <c r="M145" s="1497">
        <v>0</v>
      </c>
      <c r="N145" s="2043">
        <v>0</v>
      </c>
      <c r="O145" s="2043">
        <v>0</v>
      </c>
      <c r="P145" s="2043">
        <v>0</v>
      </c>
      <c r="Q145" s="2028">
        <f t="shared" ref="Q145:Q147" si="154">MAX(E145,H145,K145,N145)</f>
        <v>0</v>
      </c>
      <c r="R145" s="2026">
        <f t="shared" si="151"/>
        <v>0</v>
      </c>
      <c r="S145" s="2029">
        <f t="shared" si="152"/>
        <v>0</v>
      </c>
      <c r="T145" s="853">
        <f t="shared" ref="T145:T147" si="155">IFERROR(AVERAGE(Q145:S145),"")</f>
        <v>0</v>
      </c>
      <c r="U145" s="1934" t="str">
        <f t="shared" si="136"/>
        <v>1.33</v>
      </c>
      <c r="V145" s="1934" t="str">
        <f t="shared" si="137"/>
        <v>D+</v>
      </c>
      <c r="W145" s="1934" t="str">
        <f t="shared" si="153"/>
        <v>0</v>
      </c>
      <c r="X145" s="1498"/>
      <c r="Y145" s="1499"/>
      <c r="Z145" s="1499"/>
      <c r="AA145" s="1499"/>
      <c r="AB145" s="1500"/>
      <c r="AC145" s="1500"/>
      <c r="AD145" s="1500"/>
      <c r="AE145" s="1501"/>
      <c r="AF145" s="1521"/>
      <c r="AG145" s="1522"/>
    </row>
    <row r="146" spans="1:33" ht="24.95" customHeight="1" x14ac:dyDescent="0.25">
      <c r="A146" s="360"/>
      <c r="B146" s="1511"/>
      <c r="C146" s="1310"/>
      <c r="D146" s="1492" t="s">
        <v>11</v>
      </c>
      <c r="E146" s="1493"/>
      <c r="F146" s="1493"/>
      <c r="G146" s="1497"/>
      <c r="H146" s="2040">
        <v>0</v>
      </c>
      <c r="I146" s="2040">
        <v>0</v>
      </c>
      <c r="J146" s="2040">
        <v>0</v>
      </c>
      <c r="K146" s="1497">
        <v>0</v>
      </c>
      <c r="L146" s="1497">
        <v>0</v>
      </c>
      <c r="M146" s="1497">
        <v>0</v>
      </c>
      <c r="N146" s="2043"/>
      <c r="O146" s="2043"/>
      <c r="P146" s="2043"/>
      <c r="Q146" s="2028">
        <f t="shared" si="154"/>
        <v>0</v>
      </c>
      <c r="R146" s="2026">
        <f t="shared" si="151"/>
        <v>0</v>
      </c>
      <c r="S146" s="2029">
        <f t="shared" si="152"/>
        <v>0</v>
      </c>
      <c r="T146" s="853">
        <f t="shared" si="155"/>
        <v>0</v>
      </c>
      <c r="U146" s="1934" t="str">
        <f t="shared" si="136"/>
        <v>1.33</v>
      </c>
      <c r="V146" s="1934" t="str">
        <f t="shared" si="137"/>
        <v>D+</v>
      </c>
      <c r="W146" s="1934" t="str">
        <f t="shared" si="153"/>
        <v>0</v>
      </c>
      <c r="X146" s="1502"/>
      <c r="Y146" s="1503"/>
      <c r="Z146" s="1503"/>
      <c r="AA146" s="1503"/>
      <c r="AB146" s="1504"/>
      <c r="AC146" s="1504"/>
      <c r="AD146" s="1504"/>
      <c r="AE146" s="1505"/>
      <c r="AF146" s="1523"/>
      <c r="AG146" s="1524"/>
    </row>
    <row r="147" spans="1:33" ht="24.95" customHeight="1" x14ac:dyDescent="0.25">
      <c r="A147" s="360"/>
      <c r="B147" s="1511"/>
      <c r="C147" s="1310"/>
      <c r="D147" s="1492" t="s">
        <v>16</v>
      </c>
      <c r="E147" s="1497">
        <v>0</v>
      </c>
      <c r="F147" s="1497">
        <v>0</v>
      </c>
      <c r="G147" s="1497">
        <v>0</v>
      </c>
      <c r="H147" s="2043">
        <v>0</v>
      </c>
      <c r="I147" s="2043">
        <v>0</v>
      </c>
      <c r="J147" s="2043">
        <v>0</v>
      </c>
      <c r="K147" s="1497">
        <v>0</v>
      </c>
      <c r="L147" s="1497">
        <v>0</v>
      </c>
      <c r="M147" s="1497">
        <v>0</v>
      </c>
      <c r="N147" s="2043">
        <v>0</v>
      </c>
      <c r="O147" s="2043">
        <v>0</v>
      </c>
      <c r="P147" s="2043">
        <v>0</v>
      </c>
      <c r="Q147" s="2028">
        <f t="shared" si="154"/>
        <v>0</v>
      </c>
      <c r="R147" s="2026">
        <f t="shared" si="151"/>
        <v>0</v>
      </c>
      <c r="S147" s="2029">
        <f t="shared" si="152"/>
        <v>0</v>
      </c>
      <c r="T147" s="853">
        <f t="shared" si="155"/>
        <v>0</v>
      </c>
      <c r="U147" s="1934" t="str">
        <f t="shared" si="136"/>
        <v>1.33</v>
      </c>
      <c r="V147" s="1934" t="str">
        <f t="shared" si="137"/>
        <v>D+</v>
      </c>
      <c r="W147" s="1934" t="str">
        <f t="shared" si="153"/>
        <v>0</v>
      </c>
      <c r="X147" s="1502"/>
      <c r="Y147" s="1503"/>
      <c r="Z147" s="1503"/>
      <c r="AA147" s="1503"/>
      <c r="AB147" s="1504"/>
      <c r="AC147" s="1504"/>
      <c r="AD147" s="1504"/>
      <c r="AE147" s="1505"/>
      <c r="AF147" s="1525"/>
      <c r="AG147" s="1526"/>
    </row>
    <row r="148" spans="1:33" ht="24.95" customHeight="1" x14ac:dyDescent="0.25">
      <c r="A148" s="727"/>
      <c r="B148" s="1401">
        <v>28</v>
      </c>
      <c r="C148" s="1512"/>
      <c r="D148" s="1506"/>
      <c r="E148" s="2813"/>
      <c r="F148" s="2814"/>
      <c r="G148" s="2814"/>
      <c r="H148" s="2814"/>
      <c r="I148" s="2023"/>
      <c r="J148" s="2023"/>
      <c r="K148" s="2023"/>
      <c r="L148" s="2023"/>
      <c r="M148" s="2023"/>
      <c r="N148" s="2023"/>
      <c r="O148" s="2023"/>
      <c r="P148" s="2023"/>
      <c r="Q148" s="2023"/>
      <c r="R148" s="2023"/>
      <c r="S148" s="2023"/>
      <c r="T148" s="1520">
        <f>IFERROR(AVERAGE(T144:T147),"  ")</f>
        <v>0</v>
      </c>
      <c r="U148" s="1935" t="str">
        <f t="shared" si="136"/>
        <v>1.33</v>
      </c>
      <c r="V148" s="1935" t="str">
        <f t="shared" si="137"/>
        <v>D+</v>
      </c>
      <c r="W148" s="1936"/>
      <c r="X148" s="728"/>
      <c r="Y148" s="729"/>
      <c r="Z148" s="729"/>
      <c r="AA148" s="729"/>
      <c r="AB148" s="729"/>
      <c r="AC148" s="729"/>
      <c r="AD148" s="729"/>
      <c r="AE148" s="730"/>
      <c r="AF148" s="1527"/>
      <c r="AG148" s="1528"/>
    </row>
    <row r="149" spans="1:33" ht="24.95" customHeight="1" x14ac:dyDescent="0.25">
      <c r="A149" s="724">
        <v>29</v>
      </c>
      <c r="B149" s="1509"/>
      <c r="C149" s="1384" t="e">
        <f>VLOOKUP(A149,data_siswa,4,FALSE)</f>
        <v>#N/A</v>
      </c>
      <c r="D149" s="1510" t="s">
        <v>154</v>
      </c>
      <c r="E149" s="1497"/>
      <c r="F149" s="1497"/>
      <c r="G149" s="1497"/>
      <c r="H149" s="2043">
        <v>0</v>
      </c>
      <c r="I149" s="2043">
        <v>0</v>
      </c>
      <c r="J149" s="2043">
        <v>0</v>
      </c>
      <c r="K149" s="1497"/>
      <c r="L149" s="1497"/>
      <c r="M149" s="1497"/>
      <c r="N149" s="2043"/>
      <c r="O149" s="2043"/>
      <c r="P149" s="2043"/>
      <c r="Q149" s="2028">
        <f>MAX(E149,H149,K149,N149)</f>
        <v>0</v>
      </c>
      <c r="R149" s="2026">
        <f t="shared" ref="R149:R152" si="156">MAX(F149,I149,L149,O149)</f>
        <v>0</v>
      </c>
      <c r="S149" s="2029">
        <f t="shared" ref="S149:S152" si="157">MAX(G149,J149,M149,P149)</f>
        <v>0</v>
      </c>
      <c r="T149" s="853">
        <f>IFERROR(AVERAGE(Q149:S149),"")</f>
        <v>0</v>
      </c>
      <c r="U149" s="1934" t="str">
        <f t="shared" si="136"/>
        <v>1.33</v>
      </c>
      <c r="V149" s="1934" t="str">
        <f t="shared" si="137"/>
        <v>D+</v>
      </c>
      <c r="W149" s="1934" t="str">
        <f t="shared" ref="W149:W152" si="158">IF(T149&gt;80,("SB"),IF(T149&gt;65,("B"),IF(T149&gt;50,("C"),IF(T149&gt;0,("K"),"0"))))</f>
        <v>0</v>
      </c>
      <c r="X149" s="383"/>
      <c r="Y149" s="383"/>
      <c r="Z149" s="383"/>
      <c r="AA149" s="383"/>
      <c r="AB149" s="726"/>
      <c r="AC149" s="726"/>
      <c r="AD149" s="726"/>
      <c r="AE149" s="726"/>
      <c r="AF149" s="1057">
        <f>AVERAGE(T149:T152)</f>
        <v>0</v>
      </c>
      <c r="AG149" s="1194" t="str">
        <f>IF(AF149&gt;85,("A"),IF(AF149&gt;80,("A-"),IF(AF149&gt;75,("B+"),IF(AF149&gt;70,("B"),IF(AF149&gt;65,("B-"),IF(AF149&gt;60,("C+"),IF(AF149&gt;55,("C"),IF(AF149&gt;50,("C-"),"D+"))))))))</f>
        <v>D+</v>
      </c>
    </row>
    <row r="150" spans="1:33" ht="24.95" customHeight="1" x14ac:dyDescent="0.25">
      <c r="A150" s="360"/>
      <c r="B150" s="1511"/>
      <c r="C150" s="1310"/>
      <c r="D150" s="1492" t="s">
        <v>9</v>
      </c>
      <c r="E150" s="1493"/>
      <c r="F150" s="1497"/>
      <c r="G150" s="1493"/>
      <c r="H150" s="2040">
        <v>0</v>
      </c>
      <c r="I150" s="2040">
        <v>0</v>
      </c>
      <c r="J150" s="2040">
        <v>0</v>
      </c>
      <c r="K150" s="1497">
        <v>0</v>
      </c>
      <c r="L150" s="1497">
        <v>0</v>
      </c>
      <c r="M150" s="1497">
        <v>0</v>
      </c>
      <c r="N150" s="2043">
        <v>0</v>
      </c>
      <c r="O150" s="2043">
        <v>0</v>
      </c>
      <c r="P150" s="2043">
        <v>0</v>
      </c>
      <c r="Q150" s="2028">
        <f t="shared" ref="Q150:Q152" si="159">MAX(E150,H150,K150,N150)</f>
        <v>0</v>
      </c>
      <c r="R150" s="2026">
        <f t="shared" si="156"/>
        <v>0</v>
      </c>
      <c r="S150" s="2029">
        <f t="shared" si="157"/>
        <v>0</v>
      </c>
      <c r="T150" s="853">
        <f t="shared" ref="T150:T152" si="160">IFERROR(AVERAGE(Q150:S150),"")</f>
        <v>0</v>
      </c>
      <c r="U150" s="1934" t="str">
        <f t="shared" si="136"/>
        <v>1.33</v>
      </c>
      <c r="V150" s="1934" t="str">
        <f t="shared" si="137"/>
        <v>D+</v>
      </c>
      <c r="W150" s="1934" t="str">
        <f t="shared" si="158"/>
        <v>0</v>
      </c>
      <c r="X150" s="1498"/>
      <c r="Y150" s="1499"/>
      <c r="Z150" s="1499"/>
      <c r="AA150" s="1499"/>
      <c r="AB150" s="1500"/>
      <c r="AC150" s="1500"/>
      <c r="AD150" s="1500"/>
      <c r="AE150" s="1501"/>
      <c r="AF150" s="1521"/>
      <c r="AG150" s="1522"/>
    </row>
    <row r="151" spans="1:33" ht="24.95" customHeight="1" x14ac:dyDescent="0.25">
      <c r="A151" s="360"/>
      <c r="B151" s="1511"/>
      <c r="C151" s="1310"/>
      <c r="D151" s="1492" t="s">
        <v>11</v>
      </c>
      <c r="E151" s="1493"/>
      <c r="F151" s="1493"/>
      <c r="G151" s="1497"/>
      <c r="H151" s="2040">
        <v>0</v>
      </c>
      <c r="I151" s="2040">
        <v>0</v>
      </c>
      <c r="J151" s="2040">
        <v>0</v>
      </c>
      <c r="K151" s="1497">
        <v>0</v>
      </c>
      <c r="L151" s="1497">
        <v>0</v>
      </c>
      <c r="M151" s="1497">
        <v>0</v>
      </c>
      <c r="N151" s="2043"/>
      <c r="O151" s="2043"/>
      <c r="P151" s="2043"/>
      <c r="Q151" s="2028">
        <f t="shared" si="159"/>
        <v>0</v>
      </c>
      <c r="R151" s="2026">
        <f t="shared" si="156"/>
        <v>0</v>
      </c>
      <c r="S151" s="2029">
        <f t="shared" si="157"/>
        <v>0</v>
      </c>
      <c r="T151" s="853">
        <f t="shared" si="160"/>
        <v>0</v>
      </c>
      <c r="U151" s="1934" t="str">
        <f t="shared" si="136"/>
        <v>1.33</v>
      </c>
      <c r="V151" s="1934" t="str">
        <f t="shared" si="137"/>
        <v>D+</v>
      </c>
      <c r="W151" s="1934" t="str">
        <f t="shared" si="158"/>
        <v>0</v>
      </c>
      <c r="X151" s="1502"/>
      <c r="Y151" s="1503"/>
      <c r="Z151" s="1503"/>
      <c r="AA151" s="1503"/>
      <c r="AB151" s="1504"/>
      <c r="AC151" s="1504"/>
      <c r="AD151" s="1504"/>
      <c r="AE151" s="1505"/>
      <c r="AF151" s="1523"/>
      <c r="AG151" s="1524"/>
    </row>
    <row r="152" spans="1:33" ht="24.95" customHeight="1" x14ac:dyDescent="0.25">
      <c r="A152" s="360"/>
      <c r="B152" s="1511"/>
      <c r="C152" s="1310"/>
      <c r="D152" s="1492" t="s">
        <v>16</v>
      </c>
      <c r="E152" s="1497">
        <v>0</v>
      </c>
      <c r="F152" s="1497">
        <v>0</v>
      </c>
      <c r="G152" s="1497">
        <v>0</v>
      </c>
      <c r="H152" s="2043">
        <v>0</v>
      </c>
      <c r="I152" s="2043">
        <v>0</v>
      </c>
      <c r="J152" s="2043">
        <v>0</v>
      </c>
      <c r="K152" s="1497">
        <v>0</v>
      </c>
      <c r="L152" s="1497">
        <v>0</v>
      </c>
      <c r="M152" s="1497">
        <v>0</v>
      </c>
      <c r="N152" s="2043">
        <v>0</v>
      </c>
      <c r="O152" s="2043">
        <v>0</v>
      </c>
      <c r="P152" s="2043">
        <v>0</v>
      </c>
      <c r="Q152" s="2028">
        <f t="shared" si="159"/>
        <v>0</v>
      </c>
      <c r="R152" s="2026">
        <f t="shared" si="156"/>
        <v>0</v>
      </c>
      <c r="S152" s="2029">
        <f t="shared" si="157"/>
        <v>0</v>
      </c>
      <c r="T152" s="853">
        <f t="shared" si="160"/>
        <v>0</v>
      </c>
      <c r="U152" s="1934" t="str">
        <f t="shared" si="136"/>
        <v>1.33</v>
      </c>
      <c r="V152" s="1934" t="str">
        <f t="shared" si="137"/>
        <v>D+</v>
      </c>
      <c r="W152" s="1934" t="str">
        <f t="shared" si="158"/>
        <v>0</v>
      </c>
      <c r="X152" s="1502"/>
      <c r="Y152" s="1503"/>
      <c r="Z152" s="1503"/>
      <c r="AA152" s="1503"/>
      <c r="AB152" s="1504"/>
      <c r="AC152" s="1504"/>
      <c r="AD152" s="1504"/>
      <c r="AE152" s="1505"/>
      <c r="AF152" s="1525"/>
      <c r="AG152" s="1526"/>
    </row>
    <row r="153" spans="1:33" ht="24.95" customHeight="1" x14ac:dyDescent="0.25">
      <c r="A153" s="727"/>
      <c r="B153" s="1401">
        <v>29</v>
      </c>
      <c r="C153" s="1512"/>
      <c r="D153" s="1506"/>
      <c r="E153" s="2813"/>
      <c r="F153" s="2814"/>
      <c r="G153" s="2814"/>
      <c r="H153" s="2814"/>
      <c r="I153" s="2023"/>
      <c r="J153" s="2023"/>
      <c r="K153" s="2023"/>
      <c r="L153" s="2023"/>
      <c r="M153" s="2023"/>
      <c r="N153" s="2023"/>
      <c r="O153" s="2023"/>
      <c r="P153" s="2023"/>
      <c r="Q153" s="2023"/>
      <c r="R153" s="2023"/>
      <c r="S153" s="2023"/>
      <c r="T153" s="1520">
        <f>IFERROR(AVERAGE(T149:T152),"  ")</f>
        <v>0</v>
      </c>
      <c r="U153" s="1935" t="str">
        <f t="shared" si="136"/>
        <v>1.33</v>
      </c>
      <c r="V153" s="1935" t="str">
        <f t="shared" si="137"/>
        <v>D+</v>
      </c>
      <c r="W153" s="1936"/>
      <c r="X153" s="728"/>
      <c r="Y153" s="729"/>
      <c r="Z153" s="729"/>
      <c r="AA153" s="729"/>
      <c r="AB153" s="729"/>
      <c r="AC153" s="729"/>
      <c r="AD153" s="729"/>
      <c r="AE153" s="730"/>
      <c r="AF153" s="1527"/>
      <c r="AG153" s="1528"/>
    </row>
    <row r="154" spans="1:33" ht="24.95" customHeight="1" x14ac:dyDescent="0.25">
      <c r="A154" s="724">
        <v>30</v>
      </c>
      <c r="B154" s="1509"/>
      <c r="C154" s="1384" t="e">
        <f>VLOOKUP(A154,data_siswa,4,FALSE)</f>
        <v>#N/A</v>
      </c>
      <c r="D154" s="1510" t="s">
        <v>154</v>
      </c>
      <c r="E154" s="1497"/>
      <c r="F154" s="1497"/>
      <c r="G154" s="1497"/>
      <c r="H154" s="2043">
        <v>0</v>
      </c>
      <c r="I154" s="2043">
        <v>0</v>
      </c>
      <c r="J154" s="2043">
        <v>0</v>
      </c>
      <c r="K154" s="1497"/>
      <c r="L154" s="1497"/>
      <c r="M154" s="1497"/>
      <c r="N154" s="2043"/>
      <c r="O154" s="2043"/>
      <c r="P154" s="2043"/>
      <c r="Q154" s="2028">
        <f>MAX(E154,H154,K154,N154)</f>
        <v>0</v>
      </c>
      <c r="R154" s="2026">
        <f t="shared" ref="R154:R157" si="161">MAX(F154,I154,L154,O154)</f>
        <v>0</v>
      </c>
      <c r="S154" s="2029">
        <f t="shared" ref="S154:S157" si="162">MAX(G154,J154,M154,P154)</f>
        <v>0</v>
      </c>
      <c r="T154" s="853">
        <f>IFERROR(AVERAGE(Q154:S154),"")</f>
        <v>0</v>
      </c>
      <c r="U154" s="1934" t="str">
        <f t="shared" si="136"/>
        <v>1.33</v>
      </c>
      <c r="V154" s="1934" t="str">
        <f t="shared" si="137"/>
        <v>D+</v>
      </c>
      <c r="W154" s="1934" t="str">
        <f t="shared" ref="W154:W157" si="163">IF(T154&gt;80,("SB"),IF(T154&gt;65,("B"),IF(T154&gt;50,("C"),IF(T154&gt;0,("K"),"0"))))</f>
        <v>0</v>
      </c>
      <c r="X154" s="383"/>
      <c r="Y154" s="383"/>
      <c r="Z154" s="383"/>
      <c r="AA154" s="383"/>
      <c r="AB154" s="726"/>
      <c r="AC154" s="726"/>
      <c r="AD154" s="726"/>
      <c r="AE154" s="726"/>
      <c r="AF154" s="1057">
        <f>AVERAGE(T154:T157)</f>
        <v>0</v>
      </c>
      <c r="AG154" s="1194" t="str">
        <f>IF(AF154&gt;85,("A"),IF(AF154&gt;80,("A-"),IF(AF154&gt;75,("B+"),IF(AF154&gt;70,("B"),IF(AF154&gt;65,("B-"),IF(AF154&gt;60,("C+"),IF(AF154&gt;55,("C"),IF(AF154&gt;50,("C-"),"D+"))))))))</f>
        <v>D+</v>
      </c>
    </row>
    <row r="155" spans="1:33" ht="24.95" customHeight="1" x14ac:dyDescent="0.25">
      <c r="A155" s="360"/>
      <c r="B155" s="1511"/>
      <c r="C155" s="1310"/>
      <c r="D155" s="1492" t="s">
        <v>9</v>
      </c>
      <c r="E155" s="1493"/>
      <c r="F155" s="1497"/>
      <c r="G155" s="1493"/>
      <c r="H155" s="2040">
        <v>0</v>
      </c>
      <c r="I155" s="2040">
        <v>0</v>
      </c>
      <c r="J155" s="2040">
        <v>0</v>
      </c>
      <c r="K155" s="1497">
        <v>0</v>
      </c>
      <c r="L155" s="1497">
        <v>0</v>
      </c>
      <c r="M155" s="1497">
        <v>0</v>
      </c>
      <c r="N155" s="2043">
        <v>0</v>
      </c>
      <c r="O155" s="2043">
        <v>0</v>
      </c>
      <c r="P155" s="2043">
        <v>0</v>
      </c>
      <c r="Q155" s="2028">
        <f t="shared" ref="Q155:Q157" si="164">MAX(E155,H155,K155,N155)</f>
        <v>0</v>
      </c>
      <c r="R155" s="2026">
        <f t="shared" si="161"/>
        <v>0</v>
      </c>
      <c r="S155" s="2029">
        <f t="shared" si="162"/>
        <v>0</v>
      </c>
      <c r="T155" s="853">
        <f t="shared" ref="T155:T157" si="165">IFERROR(AVERAGE(Q155:S155),"")</f>
        <v>0</v>
      </c>
      <c r="U155" s="1934" t="str">
        <f t="shared" si="136"/>
        <v>1.33</v>
      </c>
      <c r="V155" s="1934" t="str">
        <f t="shared" si="137"/>
        <v>D+</v>
      </c>
      <c r="W155" s="1934" t="str">
        <f t="shared" si="163"/>
        <v>0</v>
      </c>
      <c r="X155" s="1498"/>
      <c r="Y155" s="1499"/>
      <c r="Z155" s="1499"/>
      <c r="AA155" s="1499"/>
      <c r="AB155" s="1500"/>
      <c r="AC155" s="1500"/>
      <c r="AD155" s="1500"/>
      <c r="AE155" s="1501"/>
      <c r="AF155" s="1521"/>
      <c r="AG155" s="1522"/>
    </row>
    <row r="156" spans="1:33" ht="24.95" customHeight="1" x14ac:dyDescent="0.25">
      <c r="A156" s="360"/>
      <c r="B156" s="1511"/>
      <c r="C156" s="1310"/>
      <c r="D156" s="1492" t="s">
        <v>11</v>
      </c>
      <c r="E156" s="1493"/>
      <c r="F156" s="1493"/>
      <c r="G156" s="1497"/>
      <c r="H156" s="2040">
        <v>0</v>
      </c>
      <c r="I156" s="2040">
        <v>0</v>
      </c>
      <c r="J156" s="2040">
        <v>0</v>
      </c>
      <c r="K156" s="1497">
        <v>0</v>
      </c>
      <c r="L156" s="1497">
        <v>0</v>
      </c>
      <c r="M156" s="1497">
        <v>0</v>
      </c>
      <c r="N156" s="2043"/>
      <c r="O156" s="2043"/>
      <c r="P156" s="2043"/>
      <c r="Q156" s="2028">
        <f t="shared" si="164"/>
        <v>0</v>
      </c>
      <c r="R156" s="2026">
        <f t="shared" si="161"/>
        <v>0</v>
      </c>
      <c r="S156" s="2029">
        <f t="shared" si="162"/>
        <v>0</v>
      </c>
      <c r="T156" s="853">
        <f t="shared" si="165"/>
        <v>0</v>
      </c>
      <c r="U156" s="1934" t="str">
        <f t="shared" si="136"/>
        <v>1.33</v>
      </c>
      <c r="V156" s="1934" t="str">
        <f t="shared" si="137"/>
        <v>D+</v>
      </c>
      <c r="W156" s="1934" t="str">
        <f t="shared" si="163"/>
        <v>0</v>
      </c>
      <c r="X156" s="1502"/>
      <c r="Y156" s="1503"/>
      <c r="Z156" s="1503"/>
      <c r="AA156" s="1503"/>
      <c r="AB156" s="1504"/>
      <c r="AC156" s="1504"/>
      <c r="AD156" s="1504"/>
      <c r="AE156" s="1505"/>
      <c r="AF156" s="1523"/>
      <c r="AG156" s="1524"/>
    </row>
    <row r="157" spans="1:33" ht="24.95" customHeight="1" x14ac:dyDescent="0.25">
      <c r="A157" s="360"/>
      <c r="B157" s="1511"/>
      <c r="C157" s="1310"/>
      <c r="D157" s="1492" t="s">
        <v>16</v>
      </c>
      <c r="E157" s="1497">
        <v>0</v>
      </c>
      <c r="F157" s="1497">
        <v>0</v>
      </c>
      <c r="G157" s="1497">
        <v>0</v>
      </c>
      <c r="H157" s="2043">
        <v>0</v>
      </c>
      <c r="I157" s="2043">
        <v>0</v>
      </c>
      <c r="J157" s="2043">
        <v>0</v>
      </c>
      <c r="K157" s="1497">
        <v>0</v>
      </c>
      <c r="L157" s="1497">
        <v>0</v>
      </c>
      <c r="M157" s="1497">
        <v>0</v>
      </c>
      <c r="N157" s="2043">
        <v>0</v>
      </c>
      <c r="O157" s="2043">
        <v>0</v>
      </c>
      <c r="P157" s="2043">
        <v>0</v>
      </c>
      <c r="Q157" s="2028">
        <f t="shared" si="164"/>
        <v>0</v>
      </c>
      <c r="R157" s="2026">
        <f t="shared" si="161"/>
        <v>0</v>
      </c>
      <c r="S157" s="2029">
        <f t="shared" si="162"/>
        <v>0</v>
      </c>
      <c r="T157" s="853">
        <f t="shared" si="165"/>
        <v>0</v>
      </c>
      <c r="U157" s="1934" t="str">
        <f t="shared" si="136"/>
        <v>1.33</v>
      </c>
      <c r="V157" s="1934" t="str">
        <f t="shared" si="137"/>
        <v>D+</v>
      </c>
      <c r="W157" s="1934" t="str">
        <f t="shared" si="163"/>
        <v>0</v>
      </c>
      <c r="X157" s="1502"/>
      <c r="Y157" s="1503"/>
      <c r="Z157" s="1503"/>
      <c r="AA157" s="1503"/>
      <c r="AB157" s="1504"/>
      <c r="AC157" s="1504"/>
      <c r="AD157" s="1504"/>
      <c r="AE157" s="1505"/>
      <c r="AF157" s="1525"/>
      <c r="AG157" s="1526"/>
    </row>
    <row r="158" spans="1:33" ht="24.95" customHeight="1" x14ac:dyDescent="0.25">
      <c r="A158" s="727"/>
      <c r="B158" s="1401">
        <v>30</v>
      </c>
      <c r="C158" s="1512"/>
      <c r="D158" s="1506"/>
      <c r="E158" s="2813"/>
      <c r="F158" s="2814"/>
      <c r="G158" s="2814"/>
      <c r="H158" s="2814"/>
      <c r="I158" s="2023"/>
      <c r="J158" s="2023"/>
      <c r="K158" s="2023"/>
      <c r="L158" s="2023"/>
      <c r="M158" s="2023"/>
      <c r="N158" s="2023"/>
      <c r="O158" s="2023"/>
      <c r="P158" s="2023"/>
      <c r="Q158" s="2023"/>
      <c r="R158" s="2023"/>
      <c r="S158" s="2023"/>
      <c r="T158" s="1520">
        <f>IFERROR(AVERAGE(T154:T157),"  ")</f>
        <v>0</v>
      </c>
      <c r="U158" s="1935" t="str">
        <f t="shared" si="136"/>
        <v>1.33</v>
      </c>
      <c r="V158" s="1935" t="str">
        <f t="shared" si="137"/>
        <v>D+</v>
      </c>
      <c r="W158" s="1936"/>
      <c r="X158" s="728"/>
      <c r="Y158" s="729"/>
      <c r="Z158" s="729"/>
      <c r="AA158" s="729"/>
      <c r="AB158" s="729"/>
      <c r="AC158" s="729"/>
      <c r="AD158" s="729"/>
      <c r="AE158" s="730"/>
      <c r="AF158" s="1527"/>
      <c r="AG158" s="1528"/>
    </row>
    <row r="159" spans="1:33" ht="24.95" customHeight="1" x14ac:dyDescent="0.25">
      <c r="A159" s="724">
        <v>31</v>
      </c>
      <c r="B159" s="1509"/>
      <c r="C159" s="1384" t="e">
        <f>VLOOKUP(A159,data_siswa,4,FALSE)</f>
        <v>#N/A</v>
      </c>
      <c r="D159" s="1510" t="s">
        <v>154</v>
      </c>
      <c r="E159" s="1497"/>
      <c r="F159" s="1497"/>
      <c r="G159" s="1497"/>
      <c r="H159" s="2043">
        <v>0</v>
      </c>
      <c r="I159" s="2043">
        <v>0</v>
      </c>
      <c r="J159" s="2043">
        <v>0</v>
      </c>
      <c r="K159" s="1497"/>
      <c r="L159" s="1497"/>
      <c r="M159" s="1497"/>
      <c r="N159" s="2043"/>
      <c r="O159" s="2043"/>
      <c r="P159" s="2043"/>
      <c r="Q159" s="2028">
        <f>MAX(E159,H159,K159,N159)</f>
        <v>0</v>
      </c>
      <c r="R159" s="2026">
        <f t="shared" ref="R159:R162" si="166">MAX(F159,I159,L159,O159)</f>
        <v>0</v>
      </c>
      <c r="S159" s="2029">
        <f t="shared" ref="S159:S162" si="167">MAX(G159,J159,M159,P159)</f>
        <v>0</v>
      </c>
      <c r="T159" s="853">
        <f>IFERROR(AVERAGE(Q159:S159),"")</f>
        <v>0</v>
      </c>
      <c r="U159" s="1934" t="str">
        <f t="shared" si="136"/>
        <v>1.33</v>
      </c>
      <c r="V159" s="1934" t="str">
        <f t="shared" si="137"/>
        <v>D+</v>
      </c>
      <c r="W159" s="1934" t="str">
        <f t="shared" ref="W159:W162" si="168">IF(T159&gt;80,("SB"),IF(T159&gt;65,("B"),IF(T159&gt;50,("C"),IF(T159&gt;0,("K"),"0"))))</f>
        <v>0</v>
      </c>
      <c r="X159" s="383"/>
      <c r="Y159" s="383"/>
      <c r="Z159" s="383"/>
      <c r="AA159" s="383"/>
      <c r="AB159" s="726"/>
      <c r="AC159" s="726"/>
      <c r="AD159" s="726"/>
      <c r="AE159" s="726"/>
      <c r="AF159" s="1057">
        <f>AVERAGE(T159:T162)</f>
        <v>0</v>
      </c>
      <c r="AG159" s="1194" t="str">
        <f>IF(AF159&gt;85,("A"),IF(AF159&gt;80,("A-"),IF(AF159&gt;75,("B+"),IF(AF159&gt;70,("B"),IF(AF159&gt;65,("B-"),IF(AF159&gt;60,("C+"),IF(AF159&gt;55,("C"),IF(AF159&gt;50,("C-"),"D+"))))))))</f>
        <v>D+</v>
      </c>
    </row>
    <row r="160" spans="1:33" ht="24.95" customHeight="1" x14ac:dyDescent="0.25">
      <c r="A160" s="360"/>
      <c r="B160" s="1511"/>
      <c r="C160" s="1310"/>
      <c r="D160" s="1492" t="s">
        <v>9</v>
      </c>
      <c r="E160" s="1493"/>
      <c r="F160" s="1497"/>
      <c r="G160" s="1493"/>
      <c r="H160" s="2040">
        <v>0</v>
      </c>
      <c r="I160" s="2040">
        <v>0</v>
      </c>
      <c r="J160" s="2040">
        <v>0</v>
      </c>
      <c r="K160" s="1497">
        <v>0</v>
      </c>
      <c r="L160" s="1497">
        <v>0</v>
      </c>
      <c r="M160" s="1497">
        <v>0</v>
      </c>
      <c r="N160" s="2043">
        <v>0</v>
      </c>
      <c r="O160" s="2043">
        <v>0</v>
      </c>
      <c r="P160" s="2043">
        <v>0</v>
      </c>
      <c r="Q160" s="2028">
        <f t="shared" ref="Q160:Q162" si="169">MAX(E160,H160,K160,N160)</f>
        <v>0</v>
      </c>
      <c r="R160" s="2026">
        <f t="shared" si="166"/>
        <v>0</v>
      </c>
      <c r="S160" s="2029">
        <f t="shared" si="167"/>
        <v>0</v>
      </c>
      <c r="T160" s="853">
        <f t="shared" ref="T160:T162" si="170">IFERROR(AVERAGE(Q160:S160),"")</f>
        <v>0</v>
      </c>
      <c r="U160" s="1934" t="str">
        <f t="shared" si="136"/>
        <v>1.33</v>
      </c>
      <c r="V160" s="1934" t="str">
        <f t="shared" si="137"/>
        <v>D+</v>
      </c>
      <c r="W160" s="1934" t="str">
        <f t="shared" si="168"/>
        <v>0</v>
      </c>
      <c r="X160" s="1498"/>
      <c r="Y160" s="1499"/>
      <c r="Z160" s="1499"/>
      <c r="AA160" s="1499"/>
      <c r="AB160" s="1500"/>
      <c r="AC160" s="1500"/>
      <c r="AD160" s="1500"/>
      <c r="AE160" s="1501"/>
      <c r="AF160" s="1521"/>
      <c r="AG160" s="1522"/>
    </row>
    <row r="161" spans="1:33" ht="24.95" customHeight="1" x14ac:dyDescent="0.25">
      <c r="A161" s="360"/>
      <c r="B161" s="1511"/>
      <c r="C161" s="1310"/>
      <c r="D161" s="1492" t="s">
        <v>11</v>
      </c>
      <c r="E161" s="1493"/>
      <c r="F161" s="1493"/>
      <c r="G161" s="1497"/>
      <c r="H161" s="2040">
        <v>0</v>
      </c>
      <c r="I161" s="2040">
        <v>0</v>
      </c>
      <c r="J161" s="2040">
        <v>0</v>
      </c>
      <c r="K161" s="1497">
        <v>0</v>
      </c>
      <c r="L161" s="1497">
        <v>0</v>
      </c>
      <c r="M161" s="1497">
        <v>0</v>
      </c>
      <c r="N161" s="2043"/>
      <c r="O161" s="2043"/>
      <c r="P161" s="2043"/>
      <c r="Q161" s="2028">
        <f t="shared" si="169"/>
        <v>0</v>
      </c>
      <c r="R161" s="2026">
        <f t="shared" si="166"/>
        <v>0</v>
      </c>
      <c r="S161" s="2029">
        <f t="shared" si="167"/>
        <v>0</v>
      </c>
      <c r="T161" s="853">
        <f t="shared" si="170"/>
        <v>0</v>
      </c>
      <c r="U161" s="1934" t="str">
        <f t="shared" si="136"/>
        <v>1.33</v>
      </c>
      <c r="V161" s="1934" t="str">
        <f t="shared" si="137"/>
        <v>D+</v>
      </c>
      <c r="W161" s="1934" t="str">
        <f t="shared" si="168"/>
        <v>0</v>
      </c>
      <c r="X161" s="1502"/>
      <c r="Y161" s="1503"/>
      <c r="Z161" s="1503"/>
      <c r="AA161" s="1503"/>
      <c r="AB161" s="1504"/>
      <c r="AC161" s="1504"/>
      <c r="AD161" s="1504"/>
      <c r="AE161" s="1505"/>
      <c r="AF161" s="1523"/>
      <c r="AG161" s="1524"/>
    </row>
    <row r="162" spans="1:33" ht="24.95" customHeight="1" x14ac:dyDescent="0.25">
      <c r="A162" s="360"/>
      <c r="B162" s="1511"/>
      <c r="C162" s="1310"/>
      <c r="D162" s="1492" t="s">
        <v>16</v>
      </c>
      <c r="E162" s="1497">
        <v>0</v>
      </c>
      <c r="F162" s="1497">
        <v>0</v>
      </c>
      <c r="G162" s="1497">
        <v>0</v>
      </c>
      <c r="H162" s="2043">
        <v>0</v>
      </c>
      <c r="I162" s="2043">
        <v>0</v>
      </c>
      <c r="J162" s="2043">
        <v>0</v>
      </c>
      <c r="K162" s="1497">
        <v>0</v>
      </c>
      <c r="L162" s="1497">
        <v>0</v>
      </c>
      <c r="M162" s="1497">
        <v>0</v>
      </c>
      <c r="N162" s="2043">
        <v>0</v>
      </c>
      <c r="O162" s="2043">
        <v>0</v>
      </c>
      <c r="P162" s="2043">
        <v>0</v>
      </c>
      <c r="Q162" s="2028">
        <f t="shared" si="169"/>
        <v>0</v>
      </c>
      <c r="R162" s="2026">
        <f t="shared" si="166"/>
        <v>0</v>
      </c>
      <c r="S162" s="2029">
        <f t="shared" si="167"/>
        <v>0</v>
      </c>
      <c r="T162" s="853">
        <f t="shared" si="170"/>
        <v>0</v>
      </c>
      <c r="U162" s="1934" t="str">
        <f t="shared" si="136"/>
        <v>1.33</v>
      </c>
      <c r="V162" s="1934" t="str">
        <f t="shared" si="137"/>
        <v>D+</v>
      </c>
      <c r="W162" s="1934" t="str">
        <f t="shared" si="168"/>
        <v>0</v>
      </c>
      <c r="X162" s="1502"/>
      <c r="Y162" s="1503"/>
      <c r="Z162" s="1503"/>
      <c r="AA162" s="1503"/>
      <c r="AB162" s="1504"/>
      <c r="AC162" s="1504"/>
      <c r="AD162" s="1504"/>
      <c r="AE162" s="1505"/>
      <c r="AF162" s="1525"/>
      <c r="AG162" s="1526"/>
    </row>
    <row r="163" spans="1:33" ht="24.95" customHeight="1" x14ac:dyDescent="0.25">
      <c r="A163" s="727"/>
      <c r="B163" s="1401">
        <v>31</v>
      </c>
      <c r="C163" s="1512"/>
      <c r="D163" s="1506"/>
      <c r="E163" s="2813"/>
      <c r="F163" s="2814"/>
      <c r="G163" s="2814"/>
      <c r="H163" s="2814"/>
      <c r="I163" s="2023"/>
      <c r="J163" s="2023"/>
      <c r="K163" s="2023"/>
      <c r="L163" s="2023"/>
      <c r="M163" s="2023"/>
      <c r="N163" s="2023"/>
      <c r="O163" s="2023"/>
      <c r="P163" s="2023"/>
      <c r="Q163" s="2023"/>
      <c r="R163" s="2023"/>
      <c r="S163" s="2023"/>
      <c r="T163" s="1520">
        <f>IFERROR(AVERAGE(T159:T162),"  ")</f>
        <v>0</v>
      </c>
      <c r="U163" s="1935" t="str">
        <f t="shared" si="136"/>
        <v>1.33</v>
      </c>
      <c r="V163" s="1935" t="str">
        <f t="shared" si="137"/>
        <v>D+</v>
      </c>
      <c r="W163" s="1936"/>
      <c r="X163" s="728"/>
      <c r="Y163" s="729"/>
      <c r="Z163" s="729"/>
      <c r="AA163" s="729"/>
      <c r="AB163" s="729"/>
      <c r="AC163" s="729"/>
      <c r="AD163" s="729"/>
      <c r="AE163" s="730"/>
      <c r="AF163" s="1527"/>
      <c r="AG163" s="1528"/>
    </row>
    <row r="164" spans="1:33" ht="24.95" customHeight="1" x14ac:dyDescent="0.25">
      <c r="A164" s="724">
        <v>32</v>
      </c>
      <c r="B164" s="1509"/>
      <c r="C164" s="1384" t="e">
        <f>VLOOKUP(A164,data_siswa,4,FALSE)</f>
        <v>#N/A</v>
      </c>
      <c r="D164" s="1510" t="s">
        <v>154</v>
      </c>
      <c r="E164" s="1497"/>
      <c r="F164" s="1497"/>
      <c r="G164" s="1497"/>
      <c r="H164" s="2043">
        <v>0</v>
      </c>
      <c r="I164" s="2043">
        <v>0</v>
      </c>
      <c r="J164" s="2043">
        <v>0</v>
      </c>
      <c r="K164" s="1497"/>
      <c r="L164" s="1497"/>
      <c r="M164" s="1497"/>
      <c r="N164" s="2043"/>
      <c r="O164" s="2043"/>
      <c r="P164" s="2043"/>
      <c r="Q164" s="2028">
        <f>MAX(E164,H164,K164,N164)</f>
        <v>0</v>
      </c>
      <c r="R164" s="2026">
        <f t="shared" ref="R164:R167" si="171">MAX(F164,I164,L164,O164)</f>
        <v>0</v>
      </c>
      <c r="S164" s="2029">
        <f t="shared" ref="S164:S167" si="172">MAX(G164,J164,M164,P164)</f>
        <v>0</v>
      </c>
      <c r="T164" s="853">
        <f>IFERROR(AVERAGE(Q164:S164),"")</f>
        <v>0</v>
      </c>
      <c r="U164" s="1934" t="str">
        <f t="shared" si="136"/>
        <v>1.33</v>
      </c>
      <c r="V164" s="1934" t="str">
        <f t="shared" si="137"/>
        <v>D+</v>
      </c>
      <c r="W164" s="1934" t="str">
        <f t="shared" ref="W164:W167" si="173">IF(T164&gt;80,("SB"),IF(T164&gt;65,("B"),IF(T164&gt;50,("C"),IF(T164&gt;0,("K"),"0"))))</f>
        <v>0</v>
      </c>
      <c r="X164" s="383"/>
      <c r="Y164" s="383"/>
      <c r="Z164" s="383"/>
      <c r="AA164" s="383"/>
      <c r="AB164" s="726"/>
      <c r="AC164" s="726"/>
      <c r="AD164" s="726"/>
      <c r="AE164" s="726"/>
      <c r="AF164" s="1057">
        <f>AVERAGE(T164:T167)</f>
        <v>0</v>
      </c>
      <c r="AG164" s="1194" t="str">
        <f>IF(AF164&gt;85,("A"),IF(AF164&gt;80,("A-"),IF(AF164&gt;75,("B+"),IF(AF164&gt;70,("B"),IF(AF164&gt;65,("B-"),IF(AF164&gt;60,("C+"),IF(AF164&gt;55,("C"),IF(AF164&gt;50,("C-"),"D+"))))))))</f>
        <v>D+</v>
      </c>
    </row>
    <row r="165" spans="1:33" ht="24.95" customHeight="1" x14ac:dyDescent="0.25">
      <c r="A165" s="360"/>
      <c r="B165" s="1511"/>
      <c r="C165" s="1310"/>
      <c r="D165" s="1492" t="s">
        <v>9</v>
      </c>
      <c r="E165" s="1493"/>
      <c r="F165" s="1497"/>
      <c r="G165" s="1493"/>
      <c r="H165" s="2040">
        <v>0</v>
      </c>
      <c r="I165" s="2040">
        <v>0</v>
      </c>
      <c r="J165" s="2040">
        <v>0</v>
      </c>
      <c r="K165" s="1497">
        <v>0</v>
      </c>
      <c r="L165" s="1497">
        <v>0</v>
      </c>
      <c r="M165" s="1497">
        <v>0</v>
      </c>
      <c r="N165" s="2043">
        <v>0</v>
      </c>
      <c r="O165" s="2043">
        <v>0</v>
      </c>
      <c r="P165" s="2043">
        <v>0</v>
      </c>
      <c r="Q165" s="2028">
        <f t="shared" ref="Q165:Q167" si="174">MAX(E165,H165,K165,N165)</f>
        <v>0</v>
      </c>
      <c r="R165" s="2026">
        <f t="shared" si="171"/>
        <v>0</v>
      </c>
      <c r="S165" s="2029">
        <f t="shared" si="172"/>
        <v>0</v>
      </c>
      <c r="T165" s="853">
        <f t="shared" ref="T165:T167" si="175">IFERROR(AVERAGE(Q165:S165),"")</f>
        <v>0</v>
      </c>
      <c r="U165" s="1934" t="str">
        <f t="shared" si="136"/>
        <v>1.33</v>
      </c>
      <c r="V165" s="1934" t="str">
        <f t="shared" si="137"/>
        <v>D+</v>
      </c>
      <c r="W165" s="1934" t="str">
        <f t="shared" si="173"/>
        <v>0</v>
      </c>
      <c r="X165" s="1498"/>
      <c r="Y165" s="1499"/>
      <c r="Z165" s="1499"/>
      <c r="AA165" s="1499"/>
      <c r="AB165" s="1500"/>
      <c r="AC165" s="1500"/>
      <c r="AD165" s="1500"/>
      <c r="AE165" s="1501"/>
      <c r="AF165" s="1521"/>
      <c r="AG165" s="1522"/>
    </row>
    <row r="166" spans="1:33" ht="24.95" customHeight="1" x14ac:dyDescent="0.25">
      <c r="A166" s="360"/>
      <c r="B166" s="1511"/>
      <c r="C166" s="1310"/>
      <c r="D166" s="1492" t="s">
        <v>11</v>
      </c>
      <c r="E166" s="1493"/>
      <c r="F166" s="1493"/>
      <c r="G166" s="1497"/>
      <c r="H166" s="2040">
        <v>0</v>
      </c>
      <c r="I166" s="2040">
        <v>0</v>
      </c>
      <c r="J166" s="2040">
        <v>0</v>
      </c>
      <c r="K166" s="1497">
        <v>0</v>
      </c>
      <c r="L166" s="1497">
        <v>0</v>
      </c>
      <c r="M166" s="1497">
        <v>0</v>
      </c>
      <c r="N166" s="2043"/>
      <c r="O166" s="2043"/>
      <c r="P166" s="2043"/>
      <c r="Q166" s="2028">
        <f t="shared" si="174"/>
        <v>0</v>
      </c>
      <c r="R166" s="2026">
        <f t="shared" si="171"/>
        <v>0</v>
      </c>
      <c r="S166" s="2029">
        <f t="shared" si="172"/>
        <v>0</v>
      </c>
      <c r="T166" s="853">
        <f t="shared" si="175"/>
        <v>0</v>
      </c>
      <c r="U166" s="1934" t="str">
        <f t="shared" si="136"/>
        <v>1.33</v>
      </c>
      <c r="V166" s="1934" t="str">
        <f t="shared" si="137"/>
        <v>D+</v>
      </c>
      <c r="W166" s="1934" t="str">
        <f t="shared" si="173"/>
        <v>0</v>
      </c>
      <c r="X166" s="1502"/>
      <c r="Y166" s="1503"/>
      <c r="Z166" s="1503"/>
      <c r="AA166" s="1503"/>
      <c r="AB166" s="1504"/>
      <c r="AC166" s="1504"/>
      <c r="AD166" s="1504"/>
      <c r="AE166" s="1505"/>
      <c r="AF166" s="1523"/>
      <c r="AG166" s="1524"/>
    </row>
    <row r="167" spans="1:33" ht="24.95" customHeight="1" x14ac:dyDescent="0.25">
      <c r="A167" s="360"/>
      <c r="B167" s="1511"/>
      <c r="C167" s="1310"/>
      <c r="D167" s="1492" t="s">
        <v>16</v>
      </c>
      <c r="E167" s="1497">
        <v>0</v>
      </c>
      <c r="F167" s="1497">
        <v>0</v>
      </c>
      <c r="G167" s="1497">
        <v>0</v>
      </c>
      <c r="H167" s="2043">
        <v>0</v>
      </c>
      <c r="I167" s="2043">
        <v>0</v>
      </c>
      <c r="J167" s="2043">
        <v>0</v>
      </c>
      <c r="K167" s="1497">
        <v>0</v>
      </c>
      <c r="L167" s="1497">
        <v>0</v>
      </c>
      <c r="M167" s="1497">
        <v>0</v>
      </c>
      <c r="N167" s="2043">
        <v>0</v>
      </c>
      <c r="O167" s="2043">
        <v>0</v>
      </c>
      <c r="P167" s="2043">
        <v>0</v>
      </c>
      <c r="Q167" s="2028">
        <f t="shared" si="174"/>
        <v>0</v>
      </c>
      <c r="R167" s="2026">
        <f t="shared" si="171"/>
        <v>0</v>
      </c>
      <c r="S167" s="2029">
        <f t="shared" si="172"/>
        <v>0</v>
      </c>
      <c r="T167" s="853">
        <f t="shared" si="175"/>
        <v>0</v>
      </c>
      <c r="U167" s="1934" t="str">
        <f t="shared" si="136"/>
        <v>1.33</v>
      </c>
      <c r="V167" s="1934" t="str">
        <f t="shared" si="137"/>
        <v>D+</v>
      </c>
      <c r="W167" s="1934" t="str">
        <f t="shared" si="173"/>
        <v>0</v>
      </c>
      <c r="X167" s="1502"/>
      <c r="Y167" s="1503"/>
      <c r="Z167" s="1503"/>
      <c r="AA167" s="1503"/>
      <c r="AB167" s="1504"/>
      <c r="AC167" s="1504"/>
      <c r="AD167" s="1504"/>
      <c r="AE167" s="1505"/>
      <c r="AF167" s="1525"/>
      <c r="AG167" s="1526"/>
    </row>
    <row r="168" spans="1:33" ht="24.95" customHeight="1" x14ac:dyDescent="0.25">
      <c r="A168" s="727"/>
      <c r="B168" s="1401">
        <v>32</v>
      </c>
      <c r="C168" s="1512"/>
      <c r="D168" s="1506"/>
      <c r="E168" s="2813"/>
      <c r="F168" s="2814"/>
      <c r="G168" s="2814"/>
      <c r="H168" s="2814"/>
      <c r="I168" s="2023"/>
      <c r="J168" s="2023"/>
      <c r="K168" s="2023"/>
      <c r="L168" s="2023"/>
      <c r="M168" s="2023"/>
      <c r="N168" s="2023"/>
      <c r="O168" s="2023"/>
      <c r="P168" s="2023"/>
      <c r="Q168" s="2023"/>
      <c r="R168" s="2023"/>
      <c r="S168" s="2023"/>
      <c r="T168" s="1520">
        <f>IFERROR(AVERAGE(T164:T167),"  ")</f>
        <v>0</v>
      </c>
      <c r="U168" s="1935" t="str">
        <f t="shared" si="136"/>
        <v>1.33</v>
      </c>
      <c r="V168" s="1935" t="str">
        <f t="shared" si="137"/>
        <v>D+</v>
      </c>
      <c r="W168" s="1936"/>
      <c r="X168" s="728"/>
      <c r="Y168" s="729"/>
      <c r="Z168" s="729"/>
      <c r="AA168" s="729"/>
      <c r="AB168" s="729"/>
      <c r="AC168" s="729"/>
      <c r="AD168" s="729"/>
      <c r="AE168" s="730"/>
      <c r="AF168" s="1527"/>
      <c r="AG168" s="1528"/>
    </row>
    <row r="169" spans="1:33" ht="24.95" customHeight="1" x14ac:dyDescent="0.25">
      <c r="A169" s="724">
        <v>33</v>
      </c>
      <c r="B169" s="1509"/>
      <c r="C169" s="1384" t="e">
        <f>VLOOKUP(A169,data_siswa,4,FALSE)</f>
        <v>#N/A</v>
      </c>
      <c r="D169" s="1510" t="s">
        <v>154</v>
      </c>
      <c r="E169" s="1497"/>
      <c r="F169" s="1497"/>
      <c r="G169" s="1497"/>
      <c r="H169" s="2043">
        <v>0</v>
      </c>
      <c r="I169" s="2043">
        <v>0</v>
      </c>
      <c r="J169" s="2043">
        <v>0</v>
      </c>
      <c r="K169" s="1497"/>
      <c r="L169" s="1497"/>
      <c r="M169" s="1497"/>
      <c r="N169" s="2043"/>
      <c r="O169" s="2043"/>
      <c r="P169" s="2043"/>
      <c r="Q169" s="2028">
        <f>MAX(E169,H169,K169,N169)</f>
        <v>0</v>
      </c>
      <c r="R169" s="2026">
        <f t="shared" ref="R169:R172" si="176">MAX(F169,I169,L169,O169)</f>
        <v>0</v>
      </c>
      <c r="S169" s="2029">
        <f t="shared" ref="S169:S172" si="177">MAX(G169,J169,M169,P169)</f>
        <v>0</v>
      </c>
      <c r="T169" s="853">
        <f>IFERROR(AVERAGE(Q169:S169),"")</f>
        <v>0</v>
      </c>
      <c r="U169" s="1934" t="str">
        <f t="shared" si="136"/>
        <v>1.33</v>
      </c>
      <c r="V169" s="1934" t="str">
        <f t="shared" si="137"/>
        <v>D+</v>
      </c>
      <c r="W169" s="1934" t="str">
        <f t="shared" ref="W169:W172" si="178">IF(T169&gt;80,("SB"),IF(T169&gt;65,("B"),IF(T169&gt;50,("C"),IF(T169&gt;0,("K"),"0"))))</f>
        <v>0</v>
      </c>
      <c r="X169" s="383"/>
      <c r="Y169" s="383"/>
      <c r="Z169" s="383"/>
      <c r="AA169" s="383"/>
      <c r="AB169" s="726"/>
      <c r="AC169" s="726"/>
      <c r="AD169" s="726"/>
      <c r="AE169" s="726"/>
      <c r="AF169" s="1057">
        <f>AVERAGE(T169:T172)</f>
        <v>0</v>
      </c>
      <c r="AG169" s="1194" t="str">
        <f>IF(AF169&gt;85,("A"),IF(AF169&gt;80,("A-"),IF(AF169&gt;75,("B+"),IF(AF169&gt;70,("B"),IF(AF169&gt;65,("B-"),IF(AF169&gt;60,("C+"),IF(AF169&gt;55,("C"),IF(AF169&gt;50,("C-"),"D+"))))))))</f>
        <v>D+</v>
      </c>
    </row>
    <row r="170" spans="1:33" ht="24.95" customHeight="1" x14ac:dyDescent="0.25">
      <c r="A170" s="360"/>
      <c r="B170" s="1511"/>
      <c r="C170" s="1310"/>
      <c r="D170" s="1492" t="s">
        <v>9</v>
      </c>
      <c r="E170" s="1493"/>
      <c r="F170" s="1497"/>
      <c r="G170" s="1493"/>
      <c r="H170" s="2040">
        <v>0</v>
      </c>
      <c r="I170" s="2040">
        <v>0</v>
      </c>
      <c r="J170" s="2040">
        <v>0</v>
      </c>
      <c r="K170" s="1497">
        <v>0</v>
      </c>
      <c r="L170" s="1497">
        <v>0</v>
      </c>
      <c r="M170" s="1497">
        <v>0</v>
      </c>
      <c r="N170" s="2043">
        <v>0</v>
      </c>
      <c r="O170" s="2043">
        <v>0</v>
      </c>
      <c r="P170" s="2043">
        <v>0</v>
      </c>
      <c r="Q170" s="2028">
        <f t="shared" ref="Q170:Q172" si="179">MAX(E170,H170,K170,N170)</f>
        <v>0</v>
      </c>
      <c r="R170" s="2026">
        <f t="shared" si="176"/>
        <v>0</v>
      </c>
      <c r="S170" s="2029">
        <f t="shared" si="177"/>
        <v>0</v>
      </c>
      <c r="T170" s="853">
        <f t="shared" ref="T170:T172" si="180">IFERROR(AVERAGE(Q170:S170),"")</f>
        <v>0</v>
      </c>
      <c r="U170" s="1934" t="str">
        <f t="shared" si="136"/>
        <v>1.33</v>
      </c>
      <c r="V170" s="1934" t="str">
        <f t="shared" si="137"/>
        <v>D+</v>
      </c>
      <c r="W170" s="1934" t="str">
        <f t="shared" si="178"/>
        <v>0</v>
      </c>
      <c r="X170" s="1498"/>
      <c r="Y170" s="1499"/>
      <c r="Z170" s="1499"/>
      <c r="AA170" s="1499"/>
      <c r="AB170" s="1500"/>
      <c r="AC170" s="1500"/>
      <c r="AD170" s="1500"/>
      <c r="AE170" s="1501"/>
      <c r="AF170" s="1521"/>
      <c r="AG170" s="1522"/>
    </row>
    <row r="171" spans="1:33" ht="24.95" customHeight="1" x14ac:dyDescent="0.25">
      <c r="A171" s="360"/>
      <c r="B171" s="1511"/>
      <c r="C171" s="1310"/>
      <c r="D171" s="1492" t="s">
        <v>11</v>
      </c>
      <c r="E171" s="1493"/>
      <c r="F171" s="1493"/>
      <c r="G171" s="1497"/>
      <c r="H171" s="2040">
        <v>0</v>
      </c>
      <c r="I171" s="2040">
        <v>0</v>
      </c>
      <c r="J171" s="2040">
        <v>0</v>
      </c>
      <c r="K171" s="1497">
        <v>0</v>
      </c>
      <c r="L171" s="1497">
        <v>0</v>
      </c>
      <c r="M171" s="1497">
        <v>0</v>
      </c>
      <c r="N171" s="2043"/>
      <c r="O171" s="2043"/>
      <c r="P171" s="2043"/>
      <c r="Q171" s="2028">
        <f t="shared" si="179"/>
        <v>0</v>
      </c>
      <c r="R171" s="2026">
        <f t="shared" si="176"/>
        <v>0</v>
      </c>
      <c r="S171" s="2029">
        <f t="shared" si="177"/>
        <v>0</v>
      </c>
      <c r="T171" s="853">
        <f t="shared" si="180"/>
        <v>0</v>
      </c>
      <c r="U171" s="1934" t="str">
        <f t="shared" si="136"/>
        <v>1.33</v>
      </c>
      <c r="V171" s="1934" t="str">
        <f t="shared" si="137"/>
        <v>D+</v>
      </c>
      <c r="W171" s="1934" t="str">
        <f t="shared" si="178"/>
        <v>0</v>
      </c>
      <c r="X171" s="1502"/>
      <c r="Y171" s="1503"/>
      <c r="Z171" s="1503"/>
      <c r="AA171" s="1503"/>
      <c r="AB171" s="1504"/>
      <c r="AC171" s="1504"/>
      <c r="AD171" s="1504"/>
      <c r="AE171" s="1505"/>
      <c r="AF171" s="1523"/>
      <c r="AG171" s="1524"/>
    </row>
    <row r="172" spans="1:33" ht="24.95" customHeight="1" x14ac:dyDescent="0.25">
      <c r="A172" s="360"/>
      <c r="B172" s="1511"/>
      <c r="C172" s="1310"/>
      <c r="D172" s="1492" t="s">
        <v>16</v>
      </c>
      <c r="E172" s="1497">
        <v>0</v>
      </c>
      <c r="F172" s="1497">
        <v>0</v>
      </c>
      <c r="G172" s="1497">
        <v>0</v>
      </c>
      <c r="H172" s="2043">
        <v>0</v>
      </c>
      <c r="I172" s="2043">
        <v>0</v>
      </c>
      <c r="J172" s="2043">
        <v>0</v>
      </c>
      <c r="K172" s="1497">
        <v>0</v>
      </c>
      <c r="L172" s="1497">
        <v>0</v>
      </c>
      <c r="M172" s="1497">
        <v>0</v>
      </c>
      <c r="N172" s="2043">
        <v>0</v>
      </c>
      <c r="O172" s="2043">
        <v>0</v>
      </c>
      <c r="P172" s="2043">
        <v>0</v>
      </c>
      <c r="Q172" s="2028">
        <f t="shared" si="179"/>
        <v>0</v>
      </c>
      <c r="R172" s="2026">
        <f t="shared" si="176"/>
        <v>0</v>
      </c>
      <c r="S172" s="2029">
        <f t="shared" si="177"/>
        <v>0</v>
      </c>
      <c r="T172" s="853">
        <f t="shared" si="180"/>
        <v>0</v>
      </c>
      <c r="U172" s="1934" t="str">
        <f t="shared" si="136"/>
        <v>1.33</v>
      </c>
      <c r="V172" s="1934" t="str">
        <f t="shared" si="137"/>
        <v>D+</v>
      </c>
      <c r="W172" s="1934" t="str">
        <f t="shared" si="178"/>
        <v>0</v>
      </c>
      <c r="X172" s="1502"/>
      <c r="Y172" s="1503"/>
      <c r="Z172" s="1503"/>
      <c r="AA172" s="1503"/>
      <c r="AB172" s="1504"/>
      <c r="AC172" s="1504"/>
      <c r="AD172" s="1504"/>
      <c r="AE172" s="1505"/>
      <c r="AF172" s="1525"/>
      <c r="AG172" s="1526"/>
    </row>
    <row r="173" spans="1:33" ht="24.95" customHeight="1" x14ac:dyDescent="0.25">
      <c r="A173" s="727"/>
      <c r="B173" s="1401">
        <v>33</v>
      </c>
      <c r="C173" s="1512"/>
      <c r="D173" s="1506"/>
      <c r="E173" s="2813"/>
      <c r="F173" s="2814"/>
      <c r="G173" s="2814"/>
      <c r="H173" s="2814"/>
      <c r="I173" s="2023"/>
      <c r="J173" s="2023"/>
      <c r="K173" s="2023"/>
      <c r="L173" s="2023"/>
      <c r="M173" s="2023"/>
      <c r="N173" s="2023"/>
      <c r="O173" s="2023"/>
      <c r="P173" s="2023"/>
      <c r="Q173" s="2023"/>
      <c r="R173" s="2023"/>
      <c r="S173" s="2023"/>
      <c r="T173" s="1520">
        <f>IFERROR(AVERAGE(T169:T172),"  ")</f>
        <v>0</v>
      </c>
      <c r="U173" s="1935" t="str">
        <f t="shared" si="136"/>
        <v>1.33</v>
      </c>
      <c r="V173" s="1935" t="str">
        <f t="shared" si="137"/>
        <v>D+</v>
      </c>
      <c r="W173" s="1936"/>
      <c r="X173" s="728"/>
      <c r="Y173" s="729"/>
      <c r="Z173" s="729"/>
      <c r="AA173" s="729"/>
      <c r="AB173" s="729"/>
      <c r="AC173" s="729"/>
      <c r="AD173" s="729"/>
      <c r="AE173" s="730"/>
      <c r="AF173" s="1527"/>
      <c r="AG173" s="1528"/>
    </row>
    <row r="174" spans="1:33" ht="24.95" customHeight="1" x14ac:dyDescent="0.25">
      <c r="A174" s="724">
        <v>34</v>
      </c>
      <c r="B174" s="1509"/>
      <c r="C174" s="1384" t="e">
        <f>VLOOKUP(A174,data_siswa,4,FALSE)</f>
        <v>#N/A</v>
      </c>
      <c r="D174" s="1510" t="s">
        <v>154</v>
      </c>
      <c r="E174" s="1497"/>
      <c r="F174" s="1497"/>
      <c r="G174" s="1497"/>
      <c r="H174" s="2043">
        <v>0</v>
      </c>
      <c r="I174" s="2043">
        <v>0</v>
      </c>
      <c r="J174" s="2043">
        <v>0</v>
      </c>
      <c r="K174" s="1497"/>
      <c r="L174" s="1497"/>
      <c r="M174" s="1497"/>
      <c r="N174" s="2043"/>
      <c r="O174" s="2043"/>
      <c r="P174" s="2043"/>
      <c r="Q174" s="2028">
        <f>MAX(E174,H174,K174,N174)</f>
        <v>0</v>
      </c>
      <c r="R174" s="2026">
        <f t="shared" ref="R174:R177" si="181">MAX(F174,I174,L174,O174)</f>
        <v>0</v>
      </c>
      <c r="S174" s="2029">
        <f t="shared" ref="S174:S177" si="182">MAX(G174,J174,M174,P174)</f>
        <v>0</v>
      </c>
      <c r="T174" s="853">
        <f>IFERROR(AVERAGE(Q174:S174),"")</f>
        <v>0</v>
      </c>
      <c r="U174" s="1934" t="str">
        <f t="shared" si="136"/>
        <v>1.33</v>
      </c>
      <c r="V174" s="1934" t="str">
        <f t="shared" si="137"/>
        <v>D+</v>
      </c>
      <c r="W174" s="1934" t="str">
        <f t="shared" ref="W174:W177" si="183">IF(T174&gt;80,("SB"),IF(T174&gt;65,("B"),IF(T174&gt;50,("C"),IF(T174&gt;0,("K"),"0"))))</f>
        <v>0</v>
      </c>
      <c r="X174" s="383"/>
      <c r="Y174" s="383"/>
      <c r="Z174" s="383"/>
      <c r="AA174" s="383"/>
      <c r="AB174" s="726"/>
      <c r="AC174" s="726"/>
      <c r="AD174" s="726"/>
      <c r="AE174" s="726"/>
      <c r="AF174" s="1057">
        <f>AVERAGE(T174:T177)</f>
        <v>0</v>
      </c>
      <c r="AG174" s="1194" t="str">
        <f>IF(AF174&gt;85,("A"),IF(AF174&gt;80,("A-"),IF(AF174&gt;75,("B+"),IF(AF174&gt;70,("B"),IF(AF174&gt;65,("B-"),IF(AF174&gt;60,("C+"),IF(AF174&gt;55,("C"),IF(AF174&gt;50,("C-"),"D+"))))))))</f>
        <v>D+</v>
      </c>
    </row>
    <row r="175" spans="1:33" ht="24.95" customHeight="1" x14ac:dyDescent="0.25">
      <c r="A175" s="360"/>
      <c r="B175" s="1511"/>
      <c r="C175" s="1310"/>
      <c r="D175" s="1492" t="s">
        <v>9</v>
      </c>
      <c r="E175" s="1493"/>
      <c r="F175" s="1497"/>
      <c r="G175" s="1493"/>
      <c r="H175" s="2040">
        <v>0</v>
      </c>
      <c r="I175" s="2040">
        <v>0</v>
      </c>
      <c r="J175" s="2040">
        <v>0</v>
      </c>
      <c r="K175" s="1497">
        <v>0</v>
      </c>
      <c r="L175" s="1497">
        <v>0</v>
      </c>
      <c r="M175" s="1497">
        <v>0</v>
      </c>
      <c r="N175" s="2043">
        <v>0</v>
      </c>
      <c r="O175" s="2043">
        <v>0</v>
      </c>
      <c r="P175" s="2043">
        <v>0</v>
      </c>
      <c r="Q175" s="2028">
        <f t="shared" ref="Q175:Q177" si="184">MAX(E175,H175,K175,N175)</f>
        <v>0</v>
      </c>
      <c r="R175" s="2026">
        <f t="shared" si="181"/>
        <v>0</v>
      </c>
      <c r="S175" s="2029">
        <f t="shared" si="182"/>
        <v>0</v>
      </c>
      <c r="T175" s="853">
        <f t="shared" ref="T175:T177" si="185">IFERROR(AVERAGE(Q175:S175),"")</f>
        <v>0</v>
      </c>
      <c r="U175" s="1934" t="str">
        <f t="shared" si="136"/>
        <v>1.33</v>
      </c>
      <c r="V175" s="1934" t="str">
        <f t="shared" si="137"/>
        <v>D+</v>
      </c>
      <c r="W175" s="1934" t="str">
        <f t="shared" si="183"/>
        <v>0</v>
      </c>
      <c r="X175" s="1498"/>
      <c r="Y175" s="1499"/>
      <c r="Z175" s="1499"/>
      <c r="AA175" s="1499"/>
      <c r="AB175" s="1500"/>
      <c r="AC175" s="1500"/>
      <c r="AD175" s="1500"/>
      <c r="AE175" s="1501"/>
      <c r="AF175" s="1521"/>
      <c r="AG175" s="1522"/>
    </row>
    <row r="176" spans="1:33" ht="24.95" customHeight="1" x14ac:dyDescent="0.25">
      <c r="A176" s="360"/>
      <c r="B176" s="1511"/>
      <c r="C176" s="1310"/>
      <c r="D176" s="1492" t="s">
        <v>11</v>
      </c>
      <c r="E176" s="1493"/>
      <c r="F176" s="1493"/>
      <c r="G176" s="1497"/>
      <c r="H176" s="2040">
        <v>0</v>
      </c>
      <c r="I176" s="2040">
        <v>0</v>
      </c>
      <c r="J176" s="2040">
        <v>0</v>
      </c>
      <c r="K176" s="1497">
        <v>0</v>
      </c>
      <c r="L176" s="1497">
        <v>0</v>
      </c>
      <c r="M176" s="1497">
        <v>0</v>
      </c>
      <c r="N176" s="2043"/>
      <c r="O176" s="2043"/>
      <c r="P176" s="2043"/>
      <c r="Q176" s="2028">
        <f t="shared" si="184"/>
        <v>0</v>
      </c>
      <c r="R176" s="2026">
        <f t="shared" si="181"/>
        <v>0</v>
      </c>
      <c r="S176" s="2029">
        <f t="shared" si="182"/>
        <v>0</v>
      </c>
      <c r="T176" s="853">
        <f t="shared" si="185"/>
        <v>0</v>
      </c>
      <c r="U176" s="1934" t="str">
        <f t="shared" si="136"/>
        <v>1.33</v>
      </c>
      <c r="V176" s="1934" t="str">
        <f t="shared" si="137"/>
        <v>D+</v>
      </c>
      <c r="W176" s="1934" t="str">
        <f t="shared" si="183"/>
        <v>0</v>
      </c>
      <c r="X176" s="1502"/>
      <c r="Y176" s="1503"/>
      <c r="Z176" s="1503"/>
      <c r="AA176" s="1503"/>
      <c r="AB176" s="1504"/>
      <c r="AC176" s="1504"/>
      <c r="AD176" s="1504"/>
      <c r="AE176" s="1505"/>
      <c r="AF176" s="1523"/>
      <c r="AG176" s="1524"/>
    </row>
    <row r="177" spans="1:33" ht="24.95" customHeight="1" x14ac:dyDescent="0.25">
      <c r="A177" s="360"/>
      <c r="B177" s="1511"/>
      <c r="C177" s="1310"/>
      <c r="D177" s="1492" t="s">
        <v>16</v>
      </c>
      <c r="E177" s="1497">
        <v>0</v>
      </c>
      <c r="F177" s="1497">
        <v>0</v>
      </c>
      <c r="G177" s="1497">
        <v>0</v>
      </c>
      <c r="H177" s="2043">
        <v>0</v>
      </c>
      <c r="I177" s="2043">
        <v>0</v>
      </c>
      <c r="J177" s="2043">
        <v>0</v>
      </c>
      <c r="K177" s="1497">
        <v>0</v>
      </c>
      <c r="L177" s="1497">
        <v>0</v>
      </c>
      <c r="M177" s="1497">
        <v>0</v>
      </c>
      <c r="N177" s="2043">
        <v>0</v>
      </c>
      <c r="O177" s="2043">
        <v>0</v>
      </c>
      <c r="P177" s="2043">
        <v>0</v>
      </c>
      <c r="Q177" s="2028">
        <f t="shared" si="184"/>
        <v>0</v>
      </c>
      <c r="R177" s="2026">
        <f t="shared" si="181"/>
        <v>0</v>
      </c>
      <c r="S177" s="2029">
        <f t="shared" si="182"/>
        <v>0</v>
      </c>
      <c r="T177" s="853">
        <f t="shared" si="185"/>
        <v>0</v>
      </c>
      <c r="U177" s="1934" t="str">
        <f t="shared" si="136"/>
        <v>1.33</v>
      </c>
      <c r="V177" s="1934" t="str">
        <f t="shared" si="137"/>
        <v>D+</v>
      </c>
      <c r="W177" s="1934" t="str">
        <f t="shared" si="183"/>
        <v>0</v>
      </c>
      <c r="X177" s="1502"/>
      <c r="Y177" s="1503"/>
      <c r="Z177" s="1503"/>
      <c r="AA177" s="1503"/>
      <c r="AB177" s="1504"/>
      <c r="AC177" s="1504"/>
      <c r="AD177" s="1504"/>
      <c r="AE177" s="1505"/>
      <c r="AF177" s="1525"/>
      <c r="AG177" s="1526"/>
    </row>
    <row r="178" spans="1:33" ht="24.95" customHeight="1" x14ac:dyDescent="0.25">
      <c r="A178" s="727"/>
      <c r="B178" s="1401">
        <v>34</v>
      </c>
      <c r="C178" s="1512"/>
      <c r="D178" s="1506"/>
      <c r="E178" s="2813"/>
      <c r="F178" s="2814"/>
      <c r="G178" s="2814"/>
      <c r="H178" s="2814"/>
      <c r="I178" s="2023"/>
      <c r="J178" s="2023"/>
      <c r="K178" s="2023"/>
      <c r="L178" s="2023"/>
      <c r="M178" s="2023"/>
      <c r="N178" s="2023"/>
      <c r="O178" s="2023"/>
      <c r="P178" s="2023"/>
      <c r="Q178" s="2023"/>
      <c r="R178" s="2023"/>
      <c r="S178" s="2023"/>
      <c r="T178" s="1520">
        <f>IFERROR(AVERAGE(T174:T177),"  ")</f>
        <v>0</v>
      </c>
      <c r="U178" s="1935" t="str">
        <f t="shared" si="136"/>
        <v>1.33</v>
      </c>
      <c r="V178" s="1935" t="str">
        <f t="shared" si="137"/>
        <v>D+</v>
      </c>
      <c r="W178" s="1936"/>
      <c r="X178" s="728"/>
      <c r="Y178" s="729"/>
      <c r="Z178" s="729"/>
      <c r="AA178" s="729"/>
      <c r="AB178" s="729"/>
      <c r="AC178" s="729"/>
      <c r="AD178" s="729"/>
      <c r="AE178" s="730"/>
      <c r="AF178" s="1527"/>
      <c r="AG178" s="1528"/>
    </row>
    <row r="179" spans="1:33" ht="24.95" customHeight="1" x14ac:dyDescent="0.25">
      <c r="A179" s="724">
        <v>35</v>
      </c>
      <c r="B179" s="1509"/>
      <c r="C179" s="1384" t="e">
        <f>VLOOKUP(A179,data_siswa,4,FALSE)</f>
        <v>#N/A</v>
      </c>
      <c r="D179" s="1510" t="s">
        <v>154</v>
      </c>
      <c r="E179" s="1497"/>
      <c r="F179" s="1497"/>
      <c r="G179" s="1497"/>
      <c r="H179" s="2043">
        <v>0</v>
      </c>
      <c r="I179" s="2043">
        <v>0</v>
      </c>
      <c r="J179" s="2043">
        <v>0</v>
      </c>
      <c r="K179" s="1497"/>
      <c r="L179" s="1497"/>
      <c r="M179" s="1497"/>
      <c r="N179" s="2043"/>
      <c r="O179" s="2043"/>
      <c r="P179" s="2043"/>
      <c r="Q179" s="2028">
        <f>MAX(E179,H179,K179,N179)</f>
        <v>0</v>
      </c>
      <c r="R179" s="2026">
        <f t="shared" ref="R179:R182" si="186">MAX(F179,I179,L179,O179)</f>
        <v>0</v>
      </c>
      <c r="S179" s="2029">
        <f t="shared" ref="S179:S182" si="187">MAX(G179,J179,M179,P179)</f>
        <v>0</v>
      </c>
      <c r="T179" s="853">
        <f>IFERROR(AVERAGE(Q179:S179),"")</f>
        <v>0</v>
      </c>
      <c r="U179" s="1934" t="str">
        <f t="shared" si="136"/>
        <v>1.33</v>
      </c>
      <c r="V179" s="1934" t="str">
        <f t="shared" si="137"/>
        <v>D+</v>
      </c>
      <c r="W179" s="1934" t="str">
        <f t="shared" ref="W179:W182" si="188">IF(T179&gt;80,("SB"),IF(T179&gt;65,("B"),IF(T179&gt;50,("C"),IF(T179&gt;0,("K"),"0"))))</f>
        <v>0</v>
      </c>
      <c r="X179" s="383"/>
      <c r="Y179" s="383"/>
      <c r="Z179" s="383"/>
      <c r="AA179" s="383"/>
      <c r="AB179" s="726"/>
      <c r="AC179" s="726"/>
      <c r="AD179" s="726"/>
      <c r="AE179" s="726"/>
      <c r="AF179" s="1057">
        <f>AVERAGE(T179:T182)</f>
        <v>0</v>
      </c>
      <c r="AG179" s="1194" t="str">
        <f>IF(AF179&gt;85,("A"),IF(AF179&gt;80,("A-"),IF(AF179&gt;75,("B+"),IF(AF179&gt;70,("B"),IF(AF179&gt;65,("B-"),IF(AF179&gt;60,("C+"),IF(AF179&gt;55,("C"),IF(AF179&gt;50,("C-"),"D+"))))))))</f>
        <v>D+</v>
      </c>
    </row>
    <row r="180" spans="1:33" ht="24.95" customHeight="1" x14ac:dyDescent="0.25">
      <c r="A180" s="360"/>
      <c r="B180" s="1511"/>
      <c r="C180" s="1310"/>
      <c r="D180" s="1492" t="s">
        <v>9</v>
      </c>
      <c r="E180" s="1493"/>
      <c r="F180" s="1497"/>
      <c r="G180" s="1493"/>
      <c r="H180" s="2040">
        <v>0</v>
      </c>
      <c r="I180" s="2040">
        <v>0</v>
      </c>
      <c r="J180" s="2040">
        <v>0</v>
      </c>
      <c r="K180" s="1497">
        <v>0</v>
      </c>
      <c r="L180" s="1497">
        <v>0</v>
      </c>
      <c r="M180" s="1497">
        <v>0</v>
      </c>
      <c r="N180" s="2043">
        <v>0</v>
      </c>
      <c r="O180" s="2043">
        <v>0</v>
      </c>
      <c r="P180" s="2043">
        <v>0</v>
      </c>
      <c r="Q180" s="2028">
        <f t="shared" ref="Q180:Q182" si="189">MAX(E180,H180,K180,N180)</f>
        <v>0</v>
      </c>
      <c r="R180" s="2026">
        <f t="shared" si="186"/>
        <v>0</v>
      </c>
      <c r="S180" s="2029">
        <f t="shared" si="187"/>
        <v>0</v>
      </c>
      <c r="T180" s="853">
        <f t="shared" ref="T180:T182" si="190">IFERROR(AVERAGE(Q180:S180),"")</f>
        <v>0</v>
      </c>
      <c r="U180" s="1934" t="str">
        <f t="shared" si="136"/>
        <v>1.33</v>
      </c>
      <c r="V180" s="1934" t="str">
        <f t="shared" si="137"/>
        <v>D+</v>
      </c>
      <c r="W180" s="1934" t="str">
        <f t="shared" si="188"/>
        <v>0</v>
      </c>
      <c r="X180" s="1498"/>
      <c r="Y180" s="1499"/>
      <c r="Z180" s="1499"/>
      <c r="AA180" s="1499"/>
      <c r="AB180" s="1500"/>
      <c r="AC180" s="1500"/>
      <c r="AD180" s="1500"/>
      <c r="AE180" s="1501"/>
      <c r="AF180" s="1521"/>
      <c r="AG180" s="1522"/>
    </row>
    <row r="181" spans="1:33" ht="24.95" customHeight="1" x14ac:dyDescent="0.25">
      <c r="A181" s="360"/>
      <c r="B181" s="1511"/>
      <c r="C181" s="1310"/>
      <c r="D181" s="1492" t="s">
        <v>11</v>
      </c>
      <c r="E181" s="1493"/>
      <c r="F181" s="1493"/>
      <c r="G181" s="1497"/>
      <c r="H181" s="2040">
        <v>0</v>
      </c>
      <c r="I181" s="2040">
        <v>0</v>
      </c>
      <c r="J181" s="2040">
        <v>0</v>
      </c>
      <c r="K181" s="1497">
        <v>0</v>
      </c>
      <c r="L181" s="1497">
        <v>0</v>
      </c>
      <c r="M181" s="1497">
        <v>0</v>
      </c>
      <c r="N181" s="2043"/>
      <c r="O181" s="2043"/>
      <c r="P181" s="2043"/>
      <c r="Q181" s="2028">
        <f t="shared" si="189"/>
        <v>0</v>
      </c>
      <c r="R181" s="2026">
        <f t="shared" si="186"/>
        <v>0</v>
      </c>
      <c r="S181" s="2029">
        <f t="shared" si="187"/>
        <v>0</v>
      </c>
      <c r="T181" s="853">
        <f t="shared" si="190"/>
        <v>0</v>
      </c>
      <c r="U181" s="1934" t="str">
        <f t="shared" si="136"/>
        <v>1.33</v>
      </c>
      <c r="V181" s="1934" t="str">
        <f t="shared" si="137"/>
        <v>D+</v>
      </c>
      <c r="W181" s="1934" t="str">
        <f t="shared" si="188"/>
        <v>0</v>
      </c>
      <c r="X181" s="1502"/>
      <c r="Y181" s="1503"/>
      <c r="Z181" s="1503"/>
      <c r="AA181" s="1503"/>
      <c r="AB181" s="1504"/>
      <c r="AC181" s="1504"/>
      <c r="AD181" s="1504"/>
      <c r="AE181" s="1505"/>
      <c r="AF181" s="1523"/>
      <c r="AG181" s="1524"/>
    </row>
    <row r="182" spans="1:33" ht="24.95" customHeight="1" x14ac:dyDescent="0.25">
      <c r="A182" s="360"/>
      <c r="B182" s="1511"/>
      <c r="C182" s="1310"/>
      <c r="D182" s="1492" t="s">
        <v>16</v>
      </c>
      <c r="E182" s="1497">
        <v>0</v>
      </c>
      <c r="F182" s="1497">
        <v>0</v>
      </c>
      <c r="G182" s="1497">
        <v>0</v>
      </c>
      <c r="H182" s="2043">
        <v>0</v>
      </c>
      <c r="I182" s="2043">
        <v>0</v>
      </c>
      <c r="J182" s="2043">
        <v>0</v>
      </c>
      <c r="K182" s="1497">
        <v>0</v>
      </c>
      <c r="L182" s="1497">
        <v>0</v>
      </c>
      <c r="M182" s="1497">
        <v>0</v>
      </c>
      <c r="N182" s="2043">
        <v>0</v>
      </c>
      <c r="O182" s="2043">
        <v>0</v>
      </c>
      <c r="P182" s="2043">
        <v>0</v>
      </c>
      <c r="Q182" s="2028">
        <f t="shared" si="189"/>
        <v>0</v>
      </c>
      <c r="R182" s="2026">
        <f t="shared" si="186"/>
        <v>0</v>
      </c>
      <c r="S182" s="2029">
        <f t="shared" si="187"/>
        <v>0</v>
      </c>
      <c r="T182" s="853">
        <f t="shared" si="190"/>
        <v>0</v>
      </c>
      <c r="U182" s="1934" t="str">
        <f t="shared" si="136"/>
        <v>1.33</v>
      </c>
      <c r="V182" s="1934" t="str">
        <f t="shared" si="137"/>
        <v>D+</v>
      </c>
      <c r="W182" s="1934" t="str">
        <f t="shared" si="188"/>
        <v>0</v>
      </c>
      <c r="X182" s="1502"/>
      <c r="Y182" s="1503"/>
      <c r="Z182" s="1503"/>
      <c r="AA182" s="1503"/>
      <c r="AB182" s="1504"/>
      <c r="AC182" s="1504"/>
      <c r="AD182" s="1504"/>
      <c r="AE182" s="1505"/>
      <c r="AF182" s="1525"/>
      <c r="AG182" s="1526"/>
    </row>
    <row r="183" spans="1:33" ht="24.95" customHeight="1" x14ac:dyDescent="0.25">
      <c r="A183" s="727"/>
      <c r="B183" s="1401">
        <v>35</v>
      </c>
      <c r="C183" s="1512"/>
      <c r="D183" s="1506"/>
      <c r="E183" s="2813"/>
      <c r="F183" s="2814"/>
      <c r="G183" s="2814"/>
      <c r="H183" s="2814"/>
      <c r="I183" s="2023"/>
      <c r="J183" s="2023"/>
      <c r="K183" s="2023"/>
      <c r="L183" s="2023"/>
      <c r="M183" s="2023"/>
      <c r="N183" s="2023"/>
      <c r="O183" s="2023"/>
      <c r="P183" s="2023"/>
      <c r="Q183" s="2023"/>
      <c r="R183" s="2023"/>
      <c r="S183" s="2023"/>
      <c r="T183" s="1520">
        <f>IFERROR(AVERAGE(T179:T182),"  ")</f>
        <v>0</v>
      </c>
      <c r="U183" s="1935" t="str">
        <f t="shared" si="136"/>
        <v>1.33</v>
      </c>
      <c r="V183" s="1935" t="str">
        <f t="shared" si="137"/>
        <v>D+</v>
      </c>
      <c r="W183" s="1936"/>
      <c r="X183" s="728"/>
      <c r="Y183" s="729"/>
      <c r="Z183" s="729"/>
      <c r="AA183" s="729"/>
      <c r="AB183" s="729"/>
      <c r="AC183" s="729"/>
      <c r="AD183" s="729"/>
      <c r="AE183" s="730"/>
      <c r="AF183" s="1527"/>
      <c r="AG183" s="1528"/>
    </row>
    <row r="184" spans="1:33" ht="24.95" customHeight="1" x14ac:dyDescent="0.25">
      <c r="A184" s="724">
        <v>36</v>
      </c>
      <c r="B184" s="1509"/>
      <c r="C184" s="1384" t="e">
        <f>VLOOKUP(A184,data_siswa,4,FALSE)</f>
        <v>#N/A</v>
      </c>
      <c r="D184" s="1510" t="s">
        <v>154</v>
      </c>
      <c r="E184" s="1497"/>
      <c r="F184" s="1497"/>
      <c r="G184" s="1497"/>
      <c r="H184" s="2043">
        <v>0</v>
      </c>
      <c r="I184" s="2043">
        <v>0</v>
      </c>
      <c r="J184" s="2043">
        <v>0</v>
      </c>
      <c r="K184" s="1497"/>
      <c r="L184" s="1497"/>
      <c r="M184" s="1497"/>
      <c r="N184" s="2043"/>
      <c r="O184" s="2043"/>
      <c r="P184" s="2043"/>
      <c r="Q184" s="2028">
        <f>MAX(E184,H184,K184,N184)</f>
        <v>0</v>
      </c>
      <c r="R184" s="2026">
        <f t="shared" ref="R184:R187" si="191">MAX(F184,I184,L184,O184)</f>
        <v>0</v>
      </c>
      <c r="S184" s="2029">
        <f t="shared" ref="S184:S187" si="192">MAX(G184,J184,M184,P184)</f>
        <v>0</v>
      </c>
      <c r="T184" s="853">
        <f>IFERROR(AVERAGE(Q184:S184),"")</f>
        <v>0</v>
      </c>
      <c r="U184" s="1934" t="str">
        <f t="shared" si="136"/>
        <v>1.33</v>
      </c>
      <c r="V184" s="1934" t="str">
        <f t="shared" si="137"/>
        <v>D+</v>
      </c>
      <c r="W184" s="1934" t="str">
        <f t="shared" ref="W184:W187" si="193">IF(T184&gt;80,("SB"),IF(T184&gt;65,("B"),IF(T184&gt;50,("C"),IF(T184&gt;0,("K"),"0"))))</f>
        <v>0</v>
      </c>
      <c r="X184" s="383"/>
      <c r="Y184" s="383"/>
      <c r="Z184" s="383"/>
      <c r="AA184" s="383"/>
      <c r="AB184" s="726"/>
      <c r="AC184" s="726"/>
      <c r="AD184" s="726"/>
      <c r="AE184" s="726"/>
      <c r="AF184" s="1057">
        <f>AVERAGE(T184:T187)</f>
        <v>0</v>
      </c>
      <c r="AG184" s="1194" t="str">
        <f>IF(AF184&gt;85,("A"),IF(AF184&gt;80,("A-"),IF(AF184&gt;75,("B+"),IF(AF184&gt;70,("B"),IF(AF184&gt;65,("B-"),IF(AF184&gt;60,("C+"),IF(AF184&gt;55,("C"),IF(AF184&gt;50,("C-"),"D+"))))))))</f>
        <v>D+</v>
      </c>
    </row>
    <row r="185" spans="1:33" ht="24.95" customHeight="1" x14ac:dyDescent="0.25">
      <c r="A185" s="360"/>
      <c r="B185" s="1511"/>
      <c r="C185" s="1310"/>
      <c r="D185" s="1492" t="s">
        <v>9</v>
      </c>
      <c r="E185" s="1493"/>
      <c r="F185" s="1497"/>
      <c r="G185" s="1493"/>
      <c r="H185" s="2040">
        <v>0</v>
      </c>
      <c r="I185" s="2040">
        <v>0</v>
      </c>
      <c r="J185" s="2040">
        <v>0</v>
      </c>
      <c r="K185" s="1497">
        <v>0</v>
      </c>
      <c r="L185" s="1497">
        <v>0</v>
      </c>
      <c r="M185" s="1497">
        <v>0</v>
      </c>
      <c r="N185" s="2043">
        <v>0</v>
      </c>
      <c r="O185" s="2043">
        <v>0</v>
      </c>
      <c r="P185" s="2043">
        <v>0</v>
      </c>
      <c r="Q185" s="2028">
        <f t="shared" ref="Q185:Q187" si="194">MAX(E185,H185,K185,N185)</f>
        <v>0</v>
      </c>
      <c r="R185" s="2026">
        <f t="shared" si="191"/>
        <v>0</v>
      </c>
      <c r="S185" s="2029">
        <f t="shared" si="192"/>
        <v>0</v>
      </c>
      <c r="T185" s="853">
        <f t="shared" ref="T185:T187" si="195">IFERROR(AVERAGE(Q185:S185),"")</f>
        <v>0</v>
      </c>
      <c r="U185" s="1934" t="str">
        <f t="shared" si="136"/>
        <v>1.33</v>
      </c>
      <c r="V185" s="1934" t="str">
        <f t="shared" si="137"/>
        <v>D+</v>
      </c>
      <c r="W185" s="1934" t="str">
        <f t="shared" si="193"/>
        <v>0</v>
      </c>
      <c r="X185" s="1498"/>
      <c r="Y185" s="1499"/>
      <c r="Z185" s="1499"/>
      <c r="AA185" s="1499"/>
      <c r="AB185" s="1500"/>
      <c r="AC185" s="1500"/>
      <c r="AD185" s="1500"/>
      <c r="AE185" s="1501"/>
      <c r="AF185" s="1521"/>
      <c r="AG185" s="1522"/>
    </row>
    <row r="186" spans="1:33" ht="24.95" customHeight="1" x14ac:dyDescent="0.25">
      <c r="A186" s="360"/>
      <c r="B186" s="1511"/>
      <c r="C186" s="1310"/>
      <c r="D186" s="1492" t="s">
        <v>11</v>
      </c>
      <c r="E186" s="1493"/>
      <c r="F186" s="1493"/>
      <c r="G186" s="1497"/>
      <c r="H186" s="2040">
        <v>0</v>
      </c>
      <c r="I186" s="2040">
        <v>0</v>
      </c>
      <c r="J186" s="2040">
        <v>0</v>
      </c>
      <c r="K186" s="1497">
        <v>0</v>
      </c>
      <c r="L186" s="1497">
        <v>0</v>
      </c>
      <c r="M186" s="1497">
        <v>0</v>
      </c>
      <c r="N186" s="2043"/>
      <c r="O186" s="2043"/>
      <c r="P186" s="2043"/>
      <c r="Q186" s="2028">
        <f t="shared" si="194"/>
        <v>0</v>
      </c>
      <c r="R186" s="2026">
        <f t="shared" si="191"/>
        <v>0</v>
      </c>
      <c r="S186" s="2029">
        <f t="shared" si="192"/>
        <v>0</v>
      </c>
      <c r="T186" s="853">
        <f t="shared" si="195"/>
        <v>0</v>
      </c>
      <c r="U186" s="1934" t="str">
        <f t="shared" si="136"/>
        <v>1.33</v>
      </c>
      <c r="V186" s="1934" t="str">
        <f t="shared" si="137"/>
        <v>D+</v>
      </c>
      <c r="W186" s="1934" t="str">
        <f t="shared" si="193"/>
        <v>0</v>
      </c>
      <c r="X186" s="1502"/>
      <c r="Y186" s="1503"/>
      <c r="Z186" s="1503"/>
      <c r="AA186" s="1503"/>
      <c r="AB186" s="1504"/>
      <c r="AC186" s="1504"/>
      <c r="AD186" s="1504"/>
      <c r="AE186" s="1505"/>
      <c r="AF186" s="1523"/>
      <c r="AG186" s="1524"/>
    </row>
    <row r="187" spans="1:33" ht="24.95" customHeight="1" x14ac:dyDescent="0.25">
      <c r="A187" s="360"/>
      <c r="B187" s="1511"/>
      <c r="C187" s="1310"/>
      <c r="D187" s="1492" t="s">
        <v>16</v>
      </c>
      <c r="E187" s="1497">
        <v>0</v>
      </c>
      <c r="F187" s="1497">
        <v>0</v>
      </c>
      <c r="G187" s="1497">
        <v>0</v>
      </c>
      <c r="H187" s="2043">
        <v>0</v>
      </c>
      <c r="I187" s="2043">
        <v>0</v>
      </c>
      <c r="J187" s="2043">
        <v>0</v>
      </c>
      <c r="K187" s="1497">
        <v>0</v>
      </c>
      <c r="L187" s="1497">
        <v>0</v>
      </c>
      <c r="M187" s="1497">
        <v>0</v>
      </c>
      <c r="N187" s="2043">
        <v>0</v>
      </c>
      <c r="O187" s="2043">
        <v>0</v>
      </c>
      <c r="P187" s="2043">
        <v>0</v>
      </c>
      <c r="Q187" s="2028">
        <f t="shared" si="194"/>
        <v>0</v>
      </c>
      <c r="R187" s="2026">
        <f t="shared" si="191"/>
        <v>0</v>
      </c>
      <c r="S187" s="2029">
        <f t="shared" si="192"/>
        <v>0</v>
      </c>
      <c r="T187" s="853">
        <f t="shared" si="195"/>
        <v>0</v>
      </c>
      <c r="U187" s="1934" t="str">
        <f t="shared" si="136"/>
        <v>1.33</v>
      </c>
      <c r="V187" s="1934" t="str">
        <f t="shared" si="137"/>
        <v>D+</v>
      </c>
      <c r="W187" s="1934" t="str">
        <f t="shared" si="193"/>
        <v>0</v>
      </c>
      <c r="X187" s="1502"/>
      <c r="Y187" s="1503"/>
      <c r="Z187" s="1503"/>
      <c r="AA187" s="1503"/>
      <c r="AB187" s="1504"/>
      <c r="AC187" s="1504"/>
      <c r="AD187" s="1504"/>
      <c r="AE187" s="1505"/>
      <c r="AF187" s="1525"/>
      <c r="AG187" s="1526"/>
    </row>
    <row r="188" spans="1:33" ht="24.95" customHeight="1" x14ac:dyDescent="0.25">
      <c r="A188" s="727"/>
      <c r="B188" s="1401">
        <v>36</v>
      </c>
      <c r="C188" s="1512"/>
      <c r="D188" s="1506"/>
      <c r="E188" s="2813"/>
      <c r="F188" s="2814"/>
      <c r="G188" s="2814"/>
      <c r="H188" s="2814"/>
      <c r="I188" s="2023"/>
      <c r="J188" s="2023"/>
      <c r="K188" s="2023"/>
      <c r="L188" s="2023"/>
      <c r="M188" s="2023"/>
      <c r="N188" s="2023"/>
      <c r="O188" s="2023"/>
      <c r="P188" s="2023"/>
      <c r="Q188" s="2023"/>
      <c r="R188" s="2023"/>
      <c r="S188" s="2023"/>
      <c r="T188" s="1520">
        <f>IFERROR(AVERAGE(T184:T187),"  ")</f>
        <v>0</v>
      </c>
      <c r="U188" s="1935" t="str">
        <f t="shared" si="136"/>
        <v>1.33</v>
      </c>
      <c r="V188" s="1935" t="str">
        <f t="shared" si="137"/>
        <v>D+</v>
      </c>
      <c r="W188" s="1936"/>
      <c r="X188" s="728"/>
      <c r="Y188" s="729"/>
      <c r="Z188" s="729"/>
      <c r="AA188" s="729"/>
      <c r="AB188" s="729"/>
      <c r="AC188" s="729"/>
      <c r="AD188" s="729"/>
      <c r="AE188" s="730"/>
      <c r="AF188" s="1527"/>
      <c r="AG188" s="1528"/>
    </row>
    <row r="189" spans="1:33" ht="24.95" customHeight="1" x14ac:dyDescent="0.25">
      <c r="A189" s="724">
        <v>37</v>
      </c>
      <c r="B189" s="1509"/>
      <c r="C189" s="1384" t="e">
        <f>VLOOKUP(A189,data_siswa,4,FALSE)</f>
        <v>#N/A</v>
      </c>
      <c r="D189" s="1510" t="s">
        <v>154</v>
      </c>
      <c r="E189" s="1497"/>
      <c r="F189" s="1497"/>
      <c r="G189" s="1497"/>
      <c r="H189" s="2043">
        <v>0</v>
      </c>
      <c r="I189" s="2043">
        <v>0</v>
      </c>
      <c r="J189" s="2043">
        <v>0</v>
      </c>
      <c r="K189" s="1497"/>
      <c r="L189" s="1497"/>
      <c r="M189" s="1497"/>
      <c r="N189" s="2043"/>
      <c r="O189" s="2043"/>
      <c r="P189" s="2043"/>
      <c r="Q189" s="2028">
        <f>MAX(E189,H189,K189,N189)</f>
        <v>0</v>
      </c>
      <c r="R189" s="2026">
        <f t="shared" ref="R189:R192" si="196">MAX(F189,I189,L189,O189)</f>
        <v>0</v>
      </c>
      <c r="S189" s="2029">
        <f t="shared" ref="S189:S192" si="197">MAX(G189,J189,M189,P189)</f>
        <v>0</v>
      </c>
      <c r="T189" s="853">
        <f>IFERROR(AVERAGE(Q189:S189),"")</f>
        <v>0</v>
      </c>
      <c r="U189" s="1934" t="str">
        <f t="shared" si="136"/>
        <v>1.33</v>
      </c>
      <c r="V189" s="1934" t="str">
        <f t="shared" si="137"/>
        <v>D+</v>
      </c>
      <c r="W189" s="1934" t="str">
        <f t="shared" ref="W189:W192" si="198">IF(T189&gt;80,("SB"),IF(T189&gt;65,("B"),IF(T189&gt;50,("C"),IF(T189&gt;0,("K"),"0"))))</f>
        <v>0</v>
      </c>
      <c r="X189" s="383"/>
      <c r="Y189" s="383"/>
      <c r="Z189" s="383"/>
      <c r="AA189" s="383"/>
      <c r="AB189" s="726"/>
      <c r="AC189" s="726"/>
      <c r="AD189" s="726"/>
      <c r="AE189" s="726"/>
      <c r="AF189" s="1057">
        <f>AVERAGE(T189:T192)</f>
        <v>0</v>
      </c>
      <c r="AG189" s="1194" t="str">
        <f>IF(AF189&gt;85,("A"),IF(AF189&gt;80,("A-"),IF(AF189&gt;75,("B+"),IF(AF189&gt;70,("B"),IF(AF189&gt;65,("B-"),IF(AF189&gt;60,("C+"),IF(AF189&gt;55,("C"),IF(AF189&gt;50,("C-"),"D+"))))))))</f>
        <v>D+</v>
      </c>
    </row>
    <row r="190" spans="1:33" ht="24.95" customHeight="1" x14ac:dyDescent="0.25">
      <c r="A190" s="360"/>
      <c r="B190" s="1511"/>
      <c r="C190" s="1310"/>
      <c r="D190" s="1492" t="s">
        <v>9</v>
      </c>
      <c r="E190" s="1493"/>
      <c r="F190" s="1497"/>
      <c r="G190" s="1493"/>
      <c r="H190" s="2040">
        <v>0</v>
      </c>
      <c r="I190" s="2040">
        <v>0</v>
      </c>
      <c r="J190" s="2040">
        <v>0</v>
      </c>
      <c r="K190" s="1497">
        <v>0</v>
      </c>
      <c r="L190" s="1497">
        <v>0</v>
      </c>
      <c r="M190" s="1497">
        <v>0</v>
      </c>
      <c r="N190" s="2043">
        <v>0</v>
      </c>
      <c r="O190" s="2043">
        <v>0</v>
      </c>
      <c r="P190" s="2043">
        <v>0</v>
      </c>
      <c r="Q190" s="2028">
        <f t="shared" ref="Q190:Q192" si="199">MAX(E190,H190,K190,N190)</f>
        <v>0</v>
      </c>
      <c r="R190" s="2026">
        <f t="shared" si="196"/>
        <v>0</v>
      </c>
      <c r="S190" s="2029">
        <f t="shared" si="197"/>
        <v>0</v>
      </c>
      <c r="T190" s="853">
        <f t="shared" ref="T190:T192" si="200">IFERROR(AVERAGE(Q190:S190),"")</f>
        <v>0</v>
      </c>
      <c r="U190" s="1934" t="str">
        <f t="shared" si="136"/>
        <v>1.33</v>
      </c>
      <c r="V190" s="1934" t="str">
        <f t="shared" si="137"/>
        <v>D+</v>
      </c>
      <c r="W190" s="1934" t="str">
        <f t="shared" si="198"/>
        <v>0</v>
      </c>
      <c r="X190" s="1498"/>
      <c r="Y190" s="1499"/>
      <c r="Z190" s="1499"/>
      <c r="AA190" s="1499"/>
      <c r="AB190" s="1500"/>
      <c r="AC190" s="1500"/>
      <c r="AD190" s="1500"/>
      <c r="AE190" s="1501"/>
      <c r="AF190" s="1521"/>
      <c r="AG190" s="1522"/>
    </row>
    <row r="191" spans="1:33" ht="24.95" customHeight="1" x14ac:dyDescent="0.25">
      <c r="A191" s="360"/>
      <c r="B191" s="1511"/>
      <c r="C191" s="1310"/>
      <c r="D191" s="1492" t="s">
        <v>11</v>
      </c>
      <c r="E191" s="1493"/>
      <c r="F191" s="1493"/>
      <c r="G191" s="1497"/>
      <c r="H191" s="2040">
        <v>0</v>
      </c>
      <c r="I191" s="2040">
        <v>0</v>
      </c>
      <c r="J191" s="2040">
        <v>0</v>
      </c>
      <c r="K191" s="1497">
        <v>0</v>
      </c>
      <c r="L191" s="1497">
        <v>0</v>
      </c>
      <c r="M191" s="1497">
        <v>0</v>
      </c>
      <c r="N191" s="2043"/>
      <c r="O191" s="2043"/>
      <c r="P191" s="2043"/>
      <c r="Q191" s="2028">
        <f t="shared" si="199"/>
        <v>0</v>
      </c>
      <c r="R191" s="2026">
        <f t="shared" si="196"/>
        <v>0</v>
      </c>
      <c r="S191" s="2029">
        <f t="shared" si="197"/>
        <v>0</v>
      </c>
      <c r="T191" s="853">
        <f t="shared" si="200"/>
        <v>0</v>
      </c>
      <c r="U191" s="1934" t="str">
        <f t="shared" si="136"/>
        <v>1.33</v>
      </c>
      <c r="V191" s="1934" t="str">
        <f t="shared" si="137"/>
        <v>D+</v>
      </c>
      <c r="W191" s="1934" t="str">
        <f t="shared" si="198"/>
        <v>0</v>
      </c>
      <c r="X191" s="1502"/>
      <c r="Y191" s="1503"/>
      <c r="Z191" s="1503"/>
      <c r="AA191" s="1503"/>
      <c r="AB191" s="1504"/>
      <c r="AC191" s="1504"/>
      <c r="AD191" s="1504"/>
      <c r="AE191" s="1505"/>
      <c r="AF191" s="1523"/>
      <c r="AG191" s="1524"/>
    </row>
    <row r="192" spans="1:33" ht="24.95" customHeight="1" x14ac:dyDescent="0.25">
      <c r="A192" s="360"/>
      <c r="B192" s="1511"/>
      <c r="C192" s="1310"/>
      <c r="D192" s="1492" t="s">
        <v>16</v>
      </c>
      <c r="E192" s="1497">
        <v>0</v>
      </c>
      <c r="F192" s="1497">
        <v>0</v>
      </c>
      <c r="G192" s="1497">
        <v>0</v>
      </c>
      <c r="H192" s="2043">
        <v>0</v>
      </c>
      <c r="I192" s="2043">
        <v>0</v>
      </c>
      <c r="J192" s="2043">
        <v>0</v>
      </c>
      <c r="K192" s="1497">
        <v>0</v>
      </c>
      <c r="L192" s="1497">
        <v>0</v>
      </c>
      <c r="M192" s="1497">
        <v>0</v>
      </c>
      <c r="N192" s="2043">
        <v>0</v>
      </c>
      <c r="O192" s="2043">
        <v>0</v>
      </c>
      <c r="P192" s="2043">
        <v>0</v>
      </c>
      <c r="Q192" s="2028">
        <f t="shared" si="199"/>
        <v>0</v>
      </c>
      <c r="R192" s="2026">
        <f t="shared" si="196"/>
        <v>0</v>
      </c>
      <c r="S192" s="2029">
        <f t="shared" si="197"/>
        <v>0</v>
      </c>
      <c r="T192" s="853">
        <f t="shared" si="200"/>
        <v>0</v>
      </c>
      <c r="U192" s="1934" t="str">
        <f t="shared" si="136"/>
        <v>1.33</v>
      </c>
      <c r="V192" s="1934" t="str">
        <f t="shared" si="137"/>
        <v>D+</v>
      </c>
      <c r="W192" s="1934" t="str">
        <f t="shared" si="198"/>
        <v>0</v>
      </c>
      <c r="X192" s="1502"/>
      <c r="Y192" s="1503"/>
      <c r="Z192" s="1503"/>
      <c r="AA192" s="1503"/>
      <c r="AB192" s="1504"/>
      <c r="AC192" s="1504"/>
      <c r="AD192" s="1504"/>
      <c r="AE192" s="1505"/>
      <c r="AF192" s="1525"/>
      <c r="AG192" s="1526"/>
    </row>
    <row r="193" spans="1:33" ht="24.95" customHeight="1" x14ac:dyDescent="0.25">
      <c r="A193" s="727"/>
      <c r="B193" s="1401">
        <v>37</v>
      </c>
      <c r="C193" s="1512"/>
      <c r="D193" s="1506"/>
      <c r="E193" s="2813"/>
      <c r="F193" s="2814"/>
      <c r="G193" s="2814"/>
      <c r="H193" s="2814"/>
      <c r="I193" s="2023"/>
      <c r="J193" s="2023"/>
      <c r="K193" s="2023"/>
      <c r="L193" s="2023"/>
      <c r="M193" s="2023"/>
      <c r="N193" s="2023"/>
      <c r="O193" s="2023"/>
      <c r="P193" s="2023"/>
      <c r="Q193" s="2023"/>
      <c r="R193" s="2023"/>
      <c r="S193" s="2023"/>
      <c r="T193" s="1520">
        <f>IFERROR(AVERAGE(T189:T192),"  ")</f>
        <v>0</v>
      </c>
      <c r="U193" s="1935" t="str">
        <f t="shared" ref="U193:U208" si="201">IF(T193&gt;85,("4"),IF(T193&gt;80,("3.66"),IF(T193&gt;75,("3.33"),IF(T193&gt;70,("3.00"),IF(T193&gt;65,("2.66"),IF(T193&gt;60,("2.33"),IF(T193&gt;55,("2"),IF(T193&gt;50,("1.66"),"1.33"))))))))</f>
        <v>1.33</v>
      </c>
      <c r="V193" s="1935" t="str">
        <f t="shared" ref="V193:V208" si="202">IF(T193&gt;85,("A"),IF(T193&gt;80,("A-"),IF(T193&gt;75,("B+"),IF(T193&gt;70,("B"),IF(T193&gt;65,("B-"),IF(T193&gt;60,("C+"),IF(T193&gt;55,("C"),IF(T193&gt;50,("C-"),"D+"))))))))</f>
        <v>D+</v>
      </c>
      <c r="W193" s="1936"/>
      <c r="X193" s="728"/>
      <c r="Y193" s="729"/>
      <c r="Z193" s="729"/>
      <c r="AA193" s="729"/>
      <c r="AB193" s="729"/>
      <c r="AC193" s="729"/>
      <c r="AD193" s="729"/>
      <c r="AE193" s="730"/>
      <c r="AF193" s="1527"/>
      <c r="AG193" s="1528"/>
    </row>
    <row r="194" spans="1:33" ht="24.95" customHeight="1" x14ac:dyDescent="0.25">
      <c r="A194" s="724">
        <v>38</v>
      </c>
      <c r="B194" s="1509"/>
      <c r="C194" s="1384" t="e">
        <f>VLOOKUP(A194,data_siswa,4,FALSE)</f>
        <v>#N/A</v>
      </c>
      <c r="D194" s="1510" t="s">
        <v>154</v>
      </c>
      <c r="E194" s="1497"/>
      <c r="F194" s="1497"/>
      <c r="G194" s="1497"/>
      <c r="H194" s="2043">
        <v>0</v>
      </c>
      <c r="I194" s="2043">
        <v>0</v>
      </c>
      <c r="J194" s="2043">
        <v>0</v>
      </c>
      <c r="K194" s="1497"/>
      <c r="L194" s="1497"/>
      <c r="M194" s="1497"/>
      <c r="N194" s="2043"/>
      <c r="O194" s="2043"/>
      <c r="P194" s="2043"/>
      <c r="Q194" s="2028">
        <f>MAX(E194,H194,K194,N194)</f>
        <v>0</v>
      </c>
      <c r="R194" s="2026">
        <f t="shared" ref="R194:R197" si="203">MAX(F194,I194,L194,O194)</f>
        <v>0</v>
      </c>
      <c r="S194" s="2029">
        <f t="shared" ref="S194:S197" si="204">MAX(G194,J194,M194,P194)</f>
        <v>0</v>
      </c>
      <c r="T194" s="853">
        <f>IFERROR(AVERAGE(Q194:S194),"")</f>
        <v>0</v>
      </c>
      <c r="U194" s="1934" t="str">
        <f t="shared" si="201"/>
        <v>1.33</v>
      </c>
      <c r="V194" s="1934" t="str">
        <f t="shared" si="202"/>
        <v>D+</v>
      </c>
      <c r="W194" s="1934" t="str">
        <f t="shared" ref="W194:W197" si="205">IF(T194&gt;80,("SB"),IF(T194&gt;65,("B"),IF(T194&gt;50,("C"),IF(T194&gt;0,("K"),"0"))))</f>
        <v>0</v>
      </c>
      <c r="X194" s="383"/>
      <c r="Y194" s="383"/>
      <c r="Z194" s="383"/>
      <c r="AA194" s="383"/>
      <c r="AB194" s="726"/>
      <c r="AC194" s="726"/>
      <c r="AD194" s="726"/>
      <c r="AE194" s="726"/>
      <c r="AF194" s="1057">
        <f>AVERAGE(T194:T197)</f>
        <v>0</v>
      </c>
      <c r="AG194" s="1194" t="str">
        <f>IF(AF194&gt;85,("A"),IF(AF194&gt;80,("A-"),IF(AF194&gt;75,("B+"),IF(AF194&gt;70,("B"),IF(AF194&gt;65,("B-"),IF(AF194&gt;60,("C+"),IF(AF194&gt;55,("C"),IF(AF194&gt;50,("C-"),"D+"))))))))</f>
        <v>D+</v>
      </c>
    </row>
    <row r="195" spans="1:33" ht="24.95" customHeight="1" x14ac:dyDescent="0.25">
      <c r="A195" s="360"/>
      <c r="B195" s="1511"/>
      <c r="C195" s="1310"/>
      <c r="D195" s="1492" t="s">
        <v>9</v>
      </c>
      <c r="E195" s="1493"/>
      <c r="F195" s="1497"/>
      <c r="G195" s="1493"/>
      <c r="H195" s="2040">
        <v>0</v>
      </c>
      <c r="I195" s="2040">
        <v>0</v>
      </c>
      <c r="J195" s="2040">
        <v>0</v>
      </c>
      <c r="K195" s="1497">
        <v>0</v>
      </c>
      <c r="L195" s="1497">
        <v>0</v>
      </c>
      <c r="M195" s="1497">
        <v>0</v>
      </c>
      <c r="N195" s="2043">
        <v>0</v>
      </c>
      <c r="O195" s="2043">
        <v>0</v>
      </c>
      <c r="P195" s="2043">
        <v>0</v>
      </c>
      <c r="Q195" s="2028">
        <f t="shared" ref="Q195:Q197" si="206">MAX(E195,H195,K195,N195)</f>
        <v>0</v>
      </c>
      <c r="R195" s="2026">
        <f t="shared" si="203"/>
        <v>0</v>
      </c>
      <c r="S195" s="2029">
        <f t="shared" si="204"/>
        <v>0</v>
      </c>
      <c r="T195" s="853">
        <f t="shared" ref="T195:T197" si="207">IFERROR(AVERAGE(Q195:S195),"")</f>
        <v>0</v>
      </c>
      <c r="U195" s="1934" t="str">
        <f t="shared" si="201"/>
        <v>1.33</v>
      </c>
      <c r="V195" s="1934" t="str">
        <f t="shared" si="202"/>
        <v>D+</v>
      </c>
      <c r="W195" s="1934" t="str">
        <f t="shared" si="205"/>
        <v>0</v>
      </c>
      <c r="X195" s="1498"/>
      <c r="Y195" s="1499"/>
      <c r="Z195" s="1499"/>
      <c r="AA195" s="1499"/>
      <c r="AB195" s="1500"/>
      <c r="AC195" s="1500"/>
      <c r="AD195" s="1500"/>
      <c r="AE195" s="1501"/>
      <c r="AF195" s="1521"/>
      <c r="AG195" s="1522"/>
    </row>
    <row r="196" spans="1:33" ht="24.95" customHeight="1" x14ac:dyDescent="0.25">
      <c r="A196" s="360"/>
      <c r="B196" s="1511"/>
      <c r="C196" s="1310"/>
      <c r="D196" s="1492" t="s">
        <v>11</v>
      </c>
      <c r="E196" s="1493"/>
      <c r="F196" s="1493"/>
      <c r="G196" s="1497"/>
      <c r="H196" s="2040">
        <v>0</v>
      </c>
      <c r="I196" s="2040">
        <v>0</v>
      </c>
      <c r="J196" s="2040">
        <v>0</v>
      </c>
      <c r="K196" s="1497">
        <v>0</v>
      </c>
      <c r="L196" s="1497">
        <v>0</v>
      </c>
      <c r="M196" s="1497">
        <v>0</v>
      </c>
      <c r="N196" s="2043"/>
      <c r="O196" s="2043"/>
      <c r="P196" s="2043"/>
      <c r="Q196" s="2028">
        <f t="shared" si="206"/>
        <v>0</v>
      </c>
      <c r="R196" s="2026">
        <f t="shared" si="203"/>
        <v>0</v>
      </c>
      <c r="S196" s="2029">
        <f t="shared" si="204"/>
        <v>0</v>
      </c>
      <c r="T196" s="853">
        <f t="shared" si="207"/>
        <v>0</v>
      </c>
      <c r="U196" s="1934" t="str">
        <f t="shared" si="201"/>
        <v>1.33</v>
      </c>
      <c r="V196" s="1934" t="str">
        <f t="shared" si="202"/>
        <v>D+</v>
      </c>
      <c r="W196" s="1934" t="str">
        <f t="shared" si="205"/>
        <v>0</v>
      </c>
      <c r="X196" s="1502"/>
      <c r="Y196" s="1503"/>
      <c r="Z196" s="1503"/>
      <c r="AA196" s="1503"/>
      <c r="AB196" s="1504"/>
      <c r="AC196" s="1504"/>
      <c r="AD196" s="1504"/>
      <c r="AE196" s="1505"/>
      <c r="AF196" s="1523"/>
      <c r="AG196" s="1524"/>
    </row>
    <row r="197" spans="1:33" ht="24.95" customHeight="1" x14ac:dyDescent="0.25">
      <c r="A197" s="360"/>
      <c r="B197" s="1511"/>
      <c r="C197" s="1310"/>
      <c r="D197" s="1492" t="s">
        <v>16</v>
      </c>
      <c r="E197" s="1497">
        <v>0</v>
      </c>
      <c r="F197" s="1497">
        <v>0</v>
      </c>
      <c r="G197" s="1497">
        <v>0</v>
      </c>
      <c r="H197" s="2043">
        <v>0</v>
      </c>
      <c r="I197" s="2043">
        <v>0</v>
      </c>
      <c r="J197" s="2043">
        <v>0</v>
      </c>
      <c r="K197" s="1497">
        <v>0</v>
      </c>
      <c r="L197" s="1497">
        <v>0</v>
      </c>
      <c r="M197" s="1497">
        <v>0</v>
      </c>
      <c r="N197" s="2043">
        <v>0</v>
      </c>
      <c r="O197" s="2043">
        <v>0</v>
      </c>
      <c r="P197" s="2043">
        <v>0</v>
      </c>
      <c r="Q197" s="2028">
        <f t="shared" si="206"/>
        <v>0</v>
      </c>
      <c r="R197" s="2026">
        <f t="shared" si="203"/>
        <v>0</v>
      </c>
      <c r="S197" s="2029">
        <f t="shared" si="204"/>
        <v>0</v>
      </c>
      <c r="T197" s="853">
        <f t="shared" si="207"/>
        <v>0</v>
      </c>
      <c r="U197" s="1934" t="str">
        <f t="shared" si="201"/>
        <v>1.33</v>
      </c>
      <c r="V197" s="1934" t="str">
        <f t="shared" si="202"/>
        <v>D+</v>
      </c>
      <c r="W197" s="1934" t="str">
        <f t="shared" si="205"/>
        <v>0</v>
      </c>
      <c r="X197" s="1502"/>
      <c r="Y197" s="1503"/>
      <c r="Z197" s="1503"/>
      <c r="AA197" s="1503"/>
      <c r="AB197" s="1504"/>
      <c r="AC197" s="1504"/>
      <c r="AD197" s="1504"/>
      <c r="AE197" s="1505"/>
      <c r="AF197" s="1525"/>
      <c r="AG197" s="1526"/>
    </row>
    <row r="198" spans="1:33" ht="24.95" customHeight="1" x14ac:dyDescent="0.25">
      <c r="A198" s="727"/>
      <c r="B198" s="1401">
        <v>38</v>
      </c>
      <c r="C198" s="1512"/>
      <c r="D198" s="1506"/>
      <c r="E198" s="2813"/>
      <c r="F198" s="2814"/>
      <c r="G198" s="2814"/>
      <c r="H198" s="2814"/>
      <c r="I198" s="2023"/>
      <c r="J198" s="2023"/>
      <c r="K198" s="2023"/>
      <c r="L198" s="2023"/>
      <c r="M198" s="2023"/>
      <c r="N198" s="2023"/>
      <c r="O198" s="2023"/>
      <c r="P198" s="2023"/>
      <c r="Q198" s="2023"/>
      <c r="R198" s="2023"/>
      <c r="S198" s="2023"/>
      <c r="T198" s="1520">
        <f>IFERROR(AVERAGE(T194:T197),"  ")</f>
        <v>0</v>
      </c>
      <c r="U198" s="1935" t="str">
        <f t="shared" si="201"/>
        <v>1.33</v>
      </c>
      <c r="V198" s="1935" t="str">
        <f t="shared" si="202"/>
        <v>D+</v>
      </c>
      <c r="W198" s="1936"/>
      <c r="X198" s="728"/>
      <c r="Y198" s="729"/>
      <c r="Z198" s="729"/>
      <c r="AA198" s="729"/>
      <c r="AB198" s="729"/>
      <c r="AC198" s="729"/>
      <c r="AD198" s="729"/>
      <c r="AE198" s="730"/>
      <c r="AF198" s="1527"/>
      <c r="AG198" s="1528"/>
    </row>
    <row r="199" spans="1:33" ht="24.95" customHeight="1" x14ac:dyDescent="0.25">
      <c r="A199" s="724">
        <v>39</v>
      </c>
      <c r="B199" s="1509"/>
      <c r="C199" s="1384" t="e">
        <f>VLOOKUP(A199,data_siswa,4,FALSE)</f>
        <v>#N/A</v>
      </c>
      <c r="D199" s="1510" t="s">
        <v>154</v>
      </c>
      <c r="E199" s="1497"/>
      <c r="F199" s="1497"/>
      <c r="G199" s="1497"/>
      <c r="H199" s="2043">
        <v>0</v>
      </c>
      <c r="I199" s="2043">
        <v>0</v>
      </c>
      <c r="J199" s="2043">
        <v>0</v>
      </c>
      <c r="K199" s="1497"/>
      <c r="L199" s="1497"/>
      <c r="M199" s="1497"/>
      <c r="N199" s="2043"/>
      <c r="O199" s="2043"/>
      <c r="P199" s="2043"/>
      <c r="Q199" s="2028">
        <f>MAX(E199,H199,K199,N199)</f>
        <v>0</v>
      </c>
      <c r="R199" s="2026">
        <f t="shared" ref="R199:R202" si="208">MAX(F199,I199,L199,O199)</f>
        <v>0</v>
      </c>
      <c r="S199" s="2029">
        <f t="shared" ref="S199:S202" si="209">MAX(G199,J199,M199,P199)</f>
        <v>0</v>
      </c>
      <c r="T199" s="853">
        <f>IFERROR(AVERAGE(Q199:S199),"")</f>
        <v>0</v>
      </c>
      <c r="U199" s="1934" t="str">
        <f t="shared" si="201"/>
        <v>1.33</v>
      </c>
      <c r="V199" s="1934" t="str">
        <f t="shared" si="202"/>
        <v>D+</v>
      </c>
      <c r="W199" s="1934" t="str">
        <f t="shared" ref="W199:W202" si="210">IF(T199&gt;80,("SB"),IF(T199&gt;65,("B"),IF(T199&gt;50,("C"),IF(T199&gt;0,("K"),"0"))))</f>
        <v>0</v>
      </c>
      <c r="X199" s="383"/>
      <c r="Y199" s="383"/>
      <c r="Z199" s="383"/>
      <c r="AA199" s="383"/>
      <c r="AB199" s="726"/>
      <c r="AC199" s="726"/>
      <c r="AD199" s="726"/>
      <c r="AE199" s="726"/>
      <c r="AF199" s="1057">
        <f>AVERAGE(T199:T202)</f>
        <v>0</v>
      </c>
      <c r="AG199" s="1194" t="str">
        <f>IF(AF199&gt;85,("A"),IF(AF199&gt;80,("A-"),IF(AF199&gt;75,("B+"),IF(AF199&gt;70,("B"),IF(AF199&gt;65,("B-"),IF(AF199&gt;60,("C+"),IF(AF199&gt;55,("C"),IF(AF199&gt;50,("C-"),"D+"))))))))</f>
        <v>D+</v>
      </c>
    </row>
    <row r="200" spans="1:33" ht="24.95" customHeight="1" x14ac:dyDescent="0.25">
      <c r="A200" s="360"/>
      <c r="B200" s="1511"/>
      <c r="C200" s="1310"/>
      <c r="D200" s="1492" t="s">
        <v>9</v>
      </c>
      <c r="E200" s="1493"/>
      <c r="F200" s="1497"/>
      <c r="G200" s="1493"/>
      <c r="H200" s="2040">
        <v>0</v>
      </c>
      <c r="I200" s="2040">
        <v>0</v>
      </c>
      <c r="J200" s="2040">
        <v>0</v>
      </c>
      <c r="K200" s="1497">
        <v>0</v>
      </c>
      <c r="L200" s="1497">
        <v>0</v>
      </c>
      <c r="M200" s="1497">
        <v>0</v>
      </c>
      <c r="N200" s="2043">
        <v>0</v>
      </c>
      <c r="O200" s="2043">
        <v>0</v>
      </c>
      <c r="P200" s="2043">
        <v>0</v>
      </c>
      <c r="Q200" s="2028">
        <f t="shared" ref="Q200:Q202" si="211">MAX(E200,H200,K200,N200)</f>
        <v>0</v>
      </c>
      <c r="R200" s="2026">
        <f t="shared" si="208"/>
        <v>0</v>
      </c>
      <c r="S200" s="2029">
        <f t="shared" si="209"/>
        <v>0</v>
      </c>
      <c r="T200" s="853">
        <f t="shared" ref="T200:T202" si="212">IFERROR(AVERAGE(Q200:S200),"")</f>
        <v>0</v>
      </c>
      <c r="U200" s="1934" t="str">
        <f t="shared" si="201"/>
        <v>1.33</v>
      </c>
      <c r="V200" s="1934" t="str">
        <f t="shared" si="202"/>
        <v>D+</v>
      </c>
      <c r="W200" s="1934" t="str">
        <f t="shared" si="210"/>
        <v>0</v>
      </c>
      <c r="X200" s="1498"/>
      <c r="Y200" s="1499"/>
      <c r="Z200" s="1499"/>
      <c r="AA200" s="1499"/>
      <c r="AB200" s="1500"/>
      <c r="AC200" s="1500"/>
      <c r="AD200" s="1500"/>
      <c r="AE200" s="1501"/>
      <c r="AF200" s="1521"/>
      <c r="AG200" s="1522"/>
    </row>
    <row r="201" spans="1:33" ht="24.95" customHeight="1" x14ac:dyDescent="0.25">
      <c r="A201" s="360"/>
      <c r="B201" s="1511"/>
      <c r="C201" s="1310"/>
      <c r="D201" s="1492" t="s">
        <v>11</v>
      </c>
      <c r="E201" s="1493"/>
      <c r="F201" s="1493"/>
      <c r="G201" s="1497"/>
      <c r="H201" s="2040">
        <v>0</v>
      </c>
      <c r="I201" s="2040">
        <v>0</v>
      </c>
      <c r="J201" s="2040">
        <v>0</v>
      </c>
      <c r="K201" s="1497">
        <v>0</v>
      </c>
      <c r="L201" s="1497">
        <v>0</v>
      </c>
      <c r="M201" s="1497">
        <v>0</v>
      </c>
      <c r="N201" s="2043"/>
      <c r="O201" s="2043"/>
      <c r="P201" s="2043"/>
      <c r="Q201" s="2028">
        <f t="shared" si="211"/>
        <v>0</v>
      </c>
      <c r="R201" s="2026">
        <f t="shared" si="208"/>
        <v>0</v>
      </c>
      <c r="S201" s="2029">
        <f t="shared" si="209"/>
        <v>0</v>
      </c>
      <c r="T201" s="853">
        <f t="shared" si="212"/>
        <v>0</v>
      </c>
      <c r="U201" s="1934" t="str">
        <f t="shared" si="201"/>
        <v>1.33</v>
      </c>
      <c r="V201" s="1934" t="str">
        <f t="shared" si="202"/>
        <v>D+</v>
      </c>
      <c r="W201" s="1934" t="str">
        <f t="shared" si="210"/>
        <v>0</v>
      </c>
      <c r="X201" s="1502"/>
      <c r="Y201" s="1503"/>
      <c r="Z201" s="1503"/>
      <c r="AA201" s="1503"/>
      <c r="AB201" s="1504"/>
      <c r="AC201" s="1504"/>
      <c r="AD201" s="1504"/>
      <c r="AE201" s="1505"/>
      <c r="AF201" s="1523"/>
      <c r="AG201" s="1524"/>
    </row>
    <row r="202" spans="1:33" ht="24.95" customHeight="1" x14ac:dyDescent="0.25">
      <c r="A202" s="360"/>
      <c r="B202" s="1511"/>
      <c r="C202" s="1310"/>
      <c r="D202" s="1492" t="s">
        <v>16</v>
      </c>
      <c r="E202" s="1497">
        <v>0</v>
      </c>
      <c r="F202" s="1497">
        <v>0</v>
      </c>
      <c r="G202" s="1497">
        <v>0</v>
      </c>
      <c r="H202" s="2043">
        <v>0</v>
      </c>
      <c r="I202" s="2043">
        <v>0</v>
      </c>
      <c r="J202" s="2043">
        <v>0</v>
      </c>
      <c r="K202" s="1497">
        <v>0</v>
      </c>
      <c r="L202" s="1497">
        <v>0</v>
      </c>
      <c r="M202" s="1497">
        <v>0</v>
      </c>
      <c r="N202" s="2043">
        <v>0</v>
      </c>
      <c r="O202" s="2043">
        <v>0</v>
      </c>
      <c r="P202" s="2043">
        <v>0</v>
      </c>
      <c r="Q202" s="2028">
        <f t="shared" si="211"/>
        <v>0</v>
      </c>
      <c r="R202" s="2026">
        <f t="shared" si="208"/>
        <v>0</v>
      </c>
      <c r="S202" s="2029">
        <f t="shared" si="209"/>
        <v>0</v>
      </c>
      <c r="T202" s="853">
        <f t="shared" si="212"/>
        <v>0</v>
      </c>
      <c r="U202" s="1934" t="str">
        <f t="shared" si="201"/>
        <v>1.33</v>
      </c>
      <c r="V202" s="1934" t="str">
        <f t="shared" si="202"/>
        <v>D+</v>
      </c>
      <c r="W202" s="1934" t="str">
        <f t="shared" si="210"/>
        <v>0</v>
      </c>
      <c r="X202" s="1502"/>
      <c r="Y202" s="1503"/>
      <c r="Z202" s="1503"/>
      <c r="AA202" s="1503"/>
      <c r="AB202" s="1504"/>
      <c r="AC202" s="1504"/>
      <c r="AD202" s="1504"/>
      <c r="AE202" s="1505"/>
      <c r="AF202" s="1525"/>
      <c r="AG202" s="1526"/>
    </row>
    <row r="203" spans="1:33" ht="24.95" customHeight="1" x14ac:dyDescent="0.25">
      <c r="A203" s="727"/>
      <c r="B203" s="1401">
        <v>39</v>
      </c>
      <c r="C203" s="1512"/>
      <c r="D203" s="1506"/>
      <c r="E203" s="2813"/>
      <c r="F203" s="2814"/>
      <c r="G203" s="2814"/>
      <c r="H203" s="2814"/>
      <c r="I203" s="2023"/>
      <c r="J203" s="2023"/>
      <c r="K203" s="2023"/>
      <c r="L203" s="2023"/>
      <c r="M203" s="2023"/>
      <c r="N203" s="2023"/>
      <c r="O203" s="2023"/>
      <c r="P203" s="2023"/>
      <c r="Q203" s="2023"/>
      <c r="R203" s="2023"/>
      <c r="S203" s="2023"/>
      <c r="T203" s="1520">
        <f>IFERROR(AVERAGE(T199:T202),"  ")</f>
        <v>0</v>
      </c>
      <c r="U203" s="1935" t="str">
        <f t="shared" si="201"/>
        <v>1.33</v>
      </c>
      <c r="V203" s="1935" t="str">
        <f t="shared" si="202"/>
        <v>D+</v>
      </c>
      <c r="W203" s="1936"/>
      <c r="X203" s="728"/>
      <c r="Y203" s="729"/>
      <c r="Z203" s="729"/>
      <c r="AA203" s="729"/>
      <c r="AB203" s="729"/>
      <c r="AC203" s="729"/>
      <c r="AD203" s="729"/>
      <c r="AE203" s="730"/>
      <c r="AF203" s="1527"/>
      <c r="AG203" s="1528"/>
    </row>
    <row r="204" spans="1:33" ht="24.95" customHeight="1" x14ac:dyDescent="0.25">
      <c r="A204" s="724">
        <v>40</v>
      </c>
      <c r="B204" s="1509"/>
      <c r="C204" s="1384" t="e">
        <f>VLOOKUP(A204,data_siswa,4,FALSE)</f>
        <v>#N/A</v>
      </c>
      <c r="D204" s="1510" t="s">
        <v>154</v>
      </c>
      <c r="E204" s="1497"/>
      <c r="F204" s="1497"/>
      <c r="G204" s="1497"/>
      <c r="H204" s="2043">
        <v>0</v>
      </c>
      <c r="I204" s="2043">
        <v>0</v>
      </c>
      <c r="J204" s="2043">
        <v>0</v>
      </c>
      <c r="K204" s="1497"/>
      <c r="L204" s="1497"/>
      <c r="M204" s="1497"/>
      <c r="N204" s="2043"/>
      <c r="O204" s="2043"/>
      <c r="P204" s="2043"/>
      <c r="Q204" s="2028">
        <f>MAX(E204,H204,K204,N204)</f>
        <v>0</v>
      </c>
      <c r="R204" s="2026">
        <f t="shared" ref="R204:R207" si="213">MAX(F204,I204,L204,O204)</f>
        <v>0</v>
      </c>
      <c r="S204" s="2029">
        <f t="shared" ref="S204:S207" si="214">MAX(G204,J204,M204,P204)</f>
        <v>0</v>
      </c>
      <c r="T204" s="853">
        <f>IFERROR(AVERAGE(Q204:S204),"")</f>
        <v>0</v>
      </c>
      <c r="U204" s="1934" t="str">
        <f t="shared" si="201"/>
        <v>1.33</v>
      </c>
      <c r="V204" s="1934" t="str">
        <f t="shared" si="202"/>
        <v>D+</v>
      </c>
      <c r="W204" s="1934" t="str">
        <f t="shared" ref="W204:W207" si="215">IF(T204&gt;80,("SB"),IF(T204&gt;65,("B"),IF(T204&gt;50,("C"),IF(T204&gt;0,("K"),"0"))))</f>
        <v>0</v>
      </c>
      <c r="X204" s="383"/>
      <c r="Y204" s="383"/>
      <c r="Z204" s="383"/>
      <c r="AA204" s="383"/>
      <c r="AB204" s="726"/>
      <c r="AC204" s="726"/>
      <c r="AD204" s="726"/>
      <c r="AE204" s="726"/>
      <c r="AF204" s="1057">
        <f>AVERAGE(T204:T207)</f>
        <v>0</v>
      </c>
      <c r="AG204" s="1194" t="str">
        <f>IF(AF204&gt;85,("A"),IF(AF204&gt;80,("A-"),IF(AF204&gt;75,("B+"),IF(AF204&gt;70,("B"),IF(AF204&gt;65,("B-"),IF(AF204&gt;60,("C+"),IF(AF204&gt;55,("C"),IF(AF204&gt;50,("C-"),"D+"))))))))</f>
        <v>D+</v>
      </c>
    </row>
    <row r="205" spans="1:33" ht="24.95" customHeight="1" x14ac:dyDescent="0.25">
      <c r="A205" s="360"/>
      <c r="B205" s="1511"/>
      <c r="C205" s="1310"/>
      <c r="D205" s="1492" t="s">
        <v>9</v>
      </c>
      <c r="E205" s="1493"/>
      <c r="F205" s="1497"/>
      <c r="G205" s="1493"/>
      <c r="H205" s="2040">
        <v>0</v>
      </c>
      <c r="I205" s="2040">
        <v>0</v>
      </c>
      <c r="J205" s="2040">
        <v>0</v>
      </c>
      <c r="K205" s="1497">
        <v>0</v>
      </c>
      <c r="L205" s="1497">
        <v>0</v>
      </c>
      <c r="M205" s="1497">
        <v>0</v>
      </c>
      <c r="N205" s="2043">
        <v>0</v>
      </c>
      <c r="O205" s="2043">
        <v>0</v>
      </c>
      <c r="P205" s="2043">
        <v>0</v>
      </c>
      <c r="Q205" s="2028">
        <f t="shared" ref="Q205:Q207" si="216">MAX(E205,H205,K205,N205)</f>
        <v>0</v>
      </c>
      <c r="R205" s="2026">
        <f t="shared" si="213"/>
        <v>0</v>
      </c>
      <c r="S205" s="2029">
        <f t="shared" si="214"/>
        <v>0</v>
      </c>
      <c r="T205" s="853">
        <f t="shared" ref="T205:T207" si="217">IFERROR(AVERAGE(Q205:S205),"")</f>
        <v>0</v>
      </c>
      <c r="U205" s="1934" t="str">
        <f t="shared" si="201"/>
        <v>1.33</v>
      </c>
      <c r="V205" s="1934" t="str">
        <f t="shared" si="202"/>
        <v>D+</v>
      </c>
      <c r="W205" s="1934" t="str">
        <f t="shared" si="215"/>
        <v>0</v>
      </c>
      <c r="X205" s="1498"/>
      <c r="Y205" s="1499"/>
      <c r="Z205" s="1499"/>
      <c r="AA205" s="1499"/>
      <c r="AB205" s="1500"/>
      <c r="AC205" s="1500"/>
      <c r="AD205" s="1500"/>
      <c r="AE205" s="1501"/>
      <c r="AF205" s="1521"/>
      <c r="AG205" s="1522"/>
    </row>
    <row r="206" spans="1:33" ht="24.95" customHeight="1" x14ac:dyDescent="0.25">
      <c r="A206" s="360"/>
      <c r="B206" s="1511"/>
      <c r="C206" s="1310"/>
      <c r="D206" s="1492" t="s">
        <v>11</v>
      </c>
      <c r="E206" s="1493"/>
      <c r="F206" s="1493"/>
      <c r="G206" s="1497"/>
      <c r="H206" s="2040">
        <v>0</v>
      </c>
      <c r="I206" s="2040">
        <v>0</v>
      </c>
      <c r="J206" s="2040">
        <v>0</v>
      </c>
      <c r="K206" s="1497">
        <v>0</v>
      </c>
      <c r="L206" s="1497">
        <v>0</v>
      </c>
      <c r="M206" s="1497">
        <v>0</v>
      </c>
      <c r="N206" s="2043"/>
      <c r="O206" s="2043"/>
      <c r="P206" s="2043"/>
      <c r="Q206" s="2028">
        <f t="shared" si="216"/>
        <v>0</v>
      </c>
      <c r="R206" s="2026">
        <f t="shared" si="213"/>
        <v>0</v>
      </c>
      <c r="S206" s="2029">
        <f t="shared" si="214"/>
        <v>0</v>
      </c>
      <c r="T206" s="853">
        <f t="shared" si="217"/>
        <v>0</v>
      </c>
      <c r="U206" s="1934" t="str">
        <f t="shared" si="201"/>
        <v>1.33</v>
      </c>
      <c r="V206" s="1934" t="str">
        <f t="shared" si="202"/>
        <v>D+</v>
      </c>
      <c r="W206" s="1934" t="str">
        <f t="shared" si="215"/>
        <v>0</v>
      </c>
      <c r="X206" s="1502"/>
      <c r="Y206" s="1503"/>
      <c r="Z206" s="1503"/>
      <c r="AA206" s="1503"/>
      <c r="AB206" s="1504"/>
      <c r="AC206" s="1504"/>
      <c r="AD206" s="1504"/>
      <c r="AE206" s="1505"/>
      <c r="AF206" s="1523"/>
      <c r="AG206" s="1524"/>
    </row>
    <row r="207" spans="1:33" ht="24.95" customHeight="1" x14ac:dyDescent="0.25">
      <c r="A207" s="360"/>
      <c r="B207" s="1511"/>
      <c r="C207" s="1310"/>
      <c r="D207" s="1492" t="s">
        <v>16</v>
      </c>
      <c r="E207" s="1497">
        <v>0</v>
      </c>
      <c r="F207" s="1497">
        <v>0</v>
      </c>
      <c r="G207" s="1497">
        <v>0</v>
      </c>
      <c r="H207" s="2043">
        <v>0</v>
      </c>
      <c r="I207" s="2043">
        <v>0</v>
      </c>
      <c r="J207" s="2043">
        <v>0</v>
      </c>
      <c r="K207" s="1497">
        <v>0</v>
      </c>
      <c r="L207" s="1497">
        <v>0</v>
      </c>
      <c r="M207" s="1497">
        <v>0</v>
      </c>
      <c r="N207" s="2043">
        <v>0</v>
      </c>
      <c r="O207" s="2043">
        <v>0</v>
      </c>
      <c r="P207" s="2043">
        <v>0</v>
      </c>
      <c r="Q207" s="2028">
        <f t="shared" si="216"/>
        <v>0</v>
      </c>
      <c r="R207" s="2026">
        <f t="shared" si="213"/>
        <v>0</v>
      </c>
      <c r="S207" s="2029">
        <f t="shared" si="214"/>
        <v>0</v>
      </c>
      <c r="T207" s="853">
        <f t="shared" si="217"/>
        <v>0</v>
      </c>
      <c r="U207" s="1934" t="str">
        <f t="shared" si="201"/>
        <v>1.33</v>
      </c>
      <c r="V207" s="1934" t="str">
        <f t="shared" si="202"/>
        <v>D+</v>
      </c>
      <c r="W207" s="1934" t="str">
        <f t="shared" si="215"/>
        <v>0</v>
      </c>
      <c r="X207" s="1502"/>
      <c r="Y207" s="1503"/>
      <c r="Z207" s="1503"/>
      <c r="AA207" s="1503"/>
      <c r="AB207" s="1504"/>
      <c r="AC207" s="1504"/>
      <c r="AD207" s="1504"/>
      <c r="AE207" s="1505"/>
      <c r="AF207" s="1525"/>
      <c r="AG207" s="1526"/>
    </row>
    <row r="208" spans="1:33" ht="24.95" customHeight="1" x14ac:dyDescent="0.25">
      <c r="A208" s="1513"/>
      <c r="B208" s="1401">
        <v>40</v>
      </c>
      <c r="C208" s="1512"/>
      <c r="D208" s="1506"/>
      <c r="E208" s="2813"/>
      <c r="F208" s="2814"/>
      <c r="G208" s="2814"/>
      <c r="H208" s="2814"/>
      <c r="I208" s="2023"/>
      <c r="J208" s="2023"/>
      <c r="K208" s="2023"/>
      <c r="L208" s="2023"/>
      <c r="M208" s="2023"/>
      <c r="N208" s="2023"/>
      <c r="O208" s="2023"/>
      <c r="P208" s="2023"/>
      <c r="Q208" s="2023"/>
      <c r="R208" s="2023"/>
      <c r="S208" s="2023"/>
      <c r="T208" s="1520">
        <f t="shared" ref="T208" si="218">IFERROR(AVERAGE(T204:T207),"  ")</f>
        <v>0</v>
      </c>
      <c r="U208" s="1935" t="str">
        <f t="shared" si="201"/>
        <v>1.33</v>
      </c>
      <c r="V208" s="1935" t="str">
        <f t="shared" si="202"/>
        <v>D+</v>
      </c>
      <c r="W208" s="1936"/>
      <c r="X208" s="728"/>
      <c r="Y208" s="729"/>
      <c r="Z208" s="729"/>
      <c r="AA208" s="729"/>
      <c r="AB208" s="729"/>
      <c r="AC208" s="729"/>
      <c r="AD208" s="729"/>
      <c r="AE208" s="730"/>
      <c r="AF208" s="1527"/>
      <c r="AG208" s="1528"/>
    </row>
    <row r="209" spans="2:31" s="1156" customFormat="1" ht="18.75" x14ac:dyDescent="0.3">
      <c r="B209" s="1514"/>
      <c r="C209" s="1515"/>
      <c r="T209" s="1933"/>
      <c r="AB209" s="1516"/>
      <c r="AC209" s="1516"/>
      <c r="AD209" s="1516"/>
      <c r="AE209" s="1517"/>
    </row>
  </sheetData>
  <sheetProtection password="C6F9" sheet="1" objects="1" scenarios="1"/>
  <mergeCells count="58">
    <mergeCell ref="E158:H158"/>
    <mergeCell ref="E103:H103"/>
    <mergeCell ref="E108:H108"/>
    <mergeCell ref="E113:H113"/>
    <mergeCell ref="E118:H118"/>
    <mergeCell ref="E123:H123"/>
    <mergeCell ref="E128:H128"/>
    <mergeCell ref="E133:H133"/>
    <mergeCell ref="E138:H138"/>
    <mergeCell ref="E143:H143"/>
    <mergeCell ref="E148:H148"/>
    <mergeCell ref="E153:H153"/>
    <mergeCell ref="E203:H203"/>
    <mergeCell ref="E208:H208"/>
    <mergeCell ref="E163:H163"/>
    <mergeCell ref="E168:H168"/>
    <mergeCell ref="E173:H173"/>
    <mergeCell ref="E178:H178"/>
    <mergeCell ref="E183:H183"/>
    <mergeCell ref="E188:H188"/>
    <mergeCell ref="E193:H193"/>
    <mergeCell ref="E198:H198"/>
    <mergeCell ref="E98:H98"/>
    <mergeCell ref="E43:H43"/>
    <mergeCell ref="E48:H48"/>
    <mergeCell ref="E53:H53"/>
    <mergeCell ref="E58:H58"/>
    <mergeCell ref="E63:H63"/>
    <mergeCell ref="E68:H68"/>
    <mergeCell ref="E73:H73"/>
    <mergeCell ref="E78:H78"/>
    <mergeCell ref="E83:H83"/>
    <mergeCell ref="E88:H88"/>
    <mergeCell ref="E93:H93"/>
    <mergeCell ref="E38:H38"/>
    <mergeCell ref="U6:U8"/>
    <mergeCell ref="V6:V8"/>
    <mergeCell ref="W6:W8"/>
    <mergeCell ref="E13:H13"/>
    <mergeCell ref="E18:H18"/>
    <mergeCell ref="E23:H23"/>
    <mergeCell ref="E28:H28"/>
    <mergeCell ref="E33:H33"/>
    <mergeCell ref="AG6:AG8"/>
    <mergeCell ref="X6:AA6"/>
    <mergeCell ref="AB6:AE6"/>
    <mergeCell ref="A6:A8"/>
    <mergeCell ref="B6:B8"/>
    <mergeCell ref="C6:C8"/>
    <mergeCell ref="D6:D8"/>
    <mergeCell ref="T6:T8"/>
    <mergeCell ref="AF6:AF8"/>
    <mergeCell ref="E7:G7"/>
    <mergeCell ref="H7:J7"/>
    <mergeCell ref="K7:M7"/>
    <mergeCell ref="N7:P7"/>
    <mergeCell ref="Q6:S7"/>
    <mergeCell ref="E6:P6"/>
  </mergeCells>
  <conditionalFormatting sqref="T9:T12">
    <cfRule type="top10" dxfId="1125" priority="79" bottom="1" rank="1"/>
    <cfRule type="top10" dxfId="1124" priority="80" rank="1"/>
  </conditionalFormatting>
  <conditionalFormatting sqref="T14:T17">
    <cfRule type="top10" dxfId="1123" priority="77" bottom="1" rank="1"/>
    <cfRule type="top10" dxfId="1122" priority="78" rank="1"/>
  </conditionalFormatting>
  <conditionalFormatting sqref="T19:T22">
    <cfRule type="top10" dxfId="1121" priority="75" bottom="1" rank="1"/>
    <cfRule type="top10" dxfId="1120" priority="76" rank="1"/>
  </conditionalFormatting>
  <conditionalFormatting sqref="T24:T27">
    <cfRule type="top10" dxfId="1119" priority="73" bottom="1" rank="1"/>
    <cfRule type="top10" dxfId="1118" priority="74" rank="1"/>
  </conditionalFormatting>
  <conditionalFormatting sqref="T29:T32">
    <cfRule type="top10" dxfId="1117" priority="71" bottom="1" rank="1"/>
    <cfRule type="top10" dxfId="1116" priority="72" rank="1"/>
  </conditionalFormatting>
  <conditionalFormatting sqref="T34:T37">
    <cfRule type="top10" dxfId="1115" priority="69" bottom="1" rank="1"/>
    <cfRule type="top10" dxfId="1114" priority="70" rank="1"/>
  </conditionalFormatting>
  <conditionalFormatting sqref="T39:T42">
    <cfRule type="top10" dxfId="1113" priority="67" bottom="1" rank="1"/>
    <cfRule type="top10" dxfId="1112" priority="68" rank="1"/>
  </conditionalFormatting>
  <conditionalFormatting sqref="T44:T47">
    <cfRule type="top10" dxfId="1111" priority="65" bottom="1" rank="1"/>
    <cfRule type="top10" dxfId="1110" priority="66" rank="1"/>
  </conditionalFormatting>
  <conditionalFormatting sqref="T49:T52">
    <cfRule type="top10" dxfId="1109" priority="63" bottom="1" rank="1"/>
    <cfRule type="top10" dxfId="1108" priority="64" rank="1"/>
  </conditionalFormatting>
  <conditionalFormatting sqref="T54:T57">
    <cfRule type="top10" dxfId="1107" priority="61" bottom="1" rank="1"/>
    <cfRule type="top10" dxfId="1106" priority="62" rank="1"/>
  </conditionalFormatting>
  <conditionalFormatting sqref="T59:T62">
    <cfRule type="top10" dxfId="1105" priority="59" bottom="1" rank="1"/>
    <cfRule type="top10" dxfId="1104" priority="60" rank="1"/>
  </conditionalFormatting>
  <conditionalFormatting sqref="T64:T67">
    <cfRule type="top10" dxfId="1103" priority="57" bottom="1" rank="1"/>
    <cfRule type="top10" dxfId="1102" priority="58" rank="1"/>
  </conditionalFormatting>
  <conditionalFormatting sqref="T69:T72">
    <cfRule type="top10" dxfId="1101" priority="55" bottom="1" rank="1"/>
    <cfRule type="top10" dxfId="1100" priority="56" rank="1"/>
  </conditionalFormatting>
  <conditionalFormatting sqref="T74:T77">
    <cfRule type="top10" dxfId="1099" priority="53" bottom="1" rank="1"/>
    <cfRule type="top10" dxfId="1098" priority="54" rank="1"/>
  </conditionalFormatting>
  <conditionalFormatting sqref="T79:T82">
    <cfRule type="top10" dxfId="1097" priority="51" bottom="1" rank="1"/>
    <cfRule type="top10" dxfId="1096" priority="52" rank="1"/>
  </conditionalFormatting>
  <conditionalFormatting sqref="T84:T87">
    <cfRule type="top10" dxfId="1095" priority="49" bottom="1" rank="1"/>
    <cfRule type="top10" dxfId="1094" priority="50" rank="1"/>
  </conditionalFormatting>
  <conditionalFormatting sqref="T89:T92">
    <cfRule type="top10" dxfId="1093" priority="47" bottom="1" rank="1"/>
    <cfRule type="top10" dxfId="1092" priority="48" rank="1"/>
  </conditionalFormatting>
  <conditionalFormatting sqref="T94:T97">
    <cfRule type="top10" dxfId="1091" priority="45" bottom="1" rank="1"/>
    <cfRule type="top10" dxfId="1090" priority="46" rank="1"/>
  </conditionalFormatting>
  <conditionalFormatting sqref="T99:T102">
    <cfRule type="top10" dxfId="1089" priority="43" bottom="1" rank="1"/>
    <cfRule type="top10" dxfId="1088" priority="44" rank="1"/>
  </conditionalFormatting>
  <conditionalFormatting sqref="T104:T107">
    <cfRule type="top10" dxfId="1087" priority="41" bottom="1" rank="1"/>
    <cfRule type="top10" dxfId="1086" priority="42" rank="1"/>
  </conditionalFormatting>
  <conditionalFormatting sqref="T109:T112">
    <cfRule type="top10" dxfId="1085" priority="39" bottom="1" rank="1"/>
    <cfRule type="top10" dxfId="1084" priority="40" rank="1"/>
  </conditionalFormatting>
  <conditionalFormatting sqref="T114:T117">
    <cfRule type="top10" dxfId="1083" priority="37" bottom="1" rank="1"/>
    <cfRule type="top10" dxfId="1082" priority="38" rank="1"/>
  </conditionalFormatting>
  <conditionalFormatting sqref="T119:T122">
    <cfRule type="top10" dxfId="1081" priority="35" bottom="1" rank="1"/>
    <cfRule type="top10" dxfId="1080" priority="36" rank="1"/>
  </conditionalFormatting>
  <conditionalFormatting sqref="T124:T127">
    <cfRule type="top10" dxfId="1079" priority="33" bottom="1" rank="1"/>
    <cfRule type="top10" dxfId="1078" priority="34" rank="1"/>
  </conditionalFormatting>
  <conditionalFormatting sqref="T129:T132">
    <cfRule type="top10" dxfId="1077" priority="31" bottom="1" rank="1"/>
    <cfRule type="top10" dxfId="1076" priority="32" rank="1"/>
  </conditionalFormatting>
  <conditionalFormatting sqref="T134:T137">
    <cfRule type="top10" dxfId="1075" priority="29" bottom="1" rank="1"/>
    <cfRule type="top10" dxfId="1074" priority="30" rank="1"/>
  </conditionalFormatting>
  <conditionalFormatting sqref="T139:T142">
    <cfRule type="top10" dxfId="1073" priority="27" bottom="1" rank="1"/>
    <cfRule type="top10" dxfId="1072" priority="28" rank="1"/>
  </conditionalFormatting>
  <conditionalFormatting sqref="T144:T147">
    <cfRule type="top10" dxfId="1071" priority="25" bottom="1" rank="1"/>
    <cfRule type="top10" dxfId="1070" priority="26" rank="1"/>
  </conditionalFormatting>
  <conditionalFormatting sqref="T149:T152">
    <cfRule type="top10" dxfId="1069" priority="23" bottom="1" rank="1"/>
    <cfRule type="top10" dxfId="1068" priority="24" rank="1"/>
  </conditionalFormatting>
  <conditionalFormatting sqref="T154:T157">
    <cfRule type="top10" dxfId="1067" priority="21" bottom="1" rank="1"/>
    <cfRule type="top10" dxfId="1066" priority="22" rank="1"/>
  </conditionalFormatting>
  <conditionalFormatting sqref="T159:T162">
    <cfRule type="top10" dxfId="1065" priority="19" bottom="1" rank="1"/>
    <cfRule type="top10" dxfId="1064" priority="20" rank="1"/>
  </conditionalFormatting>
  <conditionalFormatting sqref="T164:T167">
    <cfRule type="top10" dxfId="1063" priority="17" bottom="1" rank="1"/>
    <cfRule type="top10" dxfId="1062" priority="18" rank="1"/>
  </conditionalFormatting>
  <conditionalFormatting sqref="T169:T172">
    <cfRule type="top10" dxfId="1061" priority="15" bottom="1" rank="1"/>
    <cfRule type="top10" dxfId="1060" priority="16" rank="1"/>
  </conditionalFormatting>
  <conditionalFormatting sqref="T174:T177">
    <cfRule type="top10" dxfId="1059" priority="13" bottom="1" rank="1"/>
    <cfRule type="top10" dxfId="1058" priority="14" rank="1"/>
  </conditionalFormatting>
  <conditionalFormatting sqref="T179:T182">
    <cfRule type="top10" dxfId="1057" priority="11" bottom="1" rank="1"/>
    <cfRule type="top10" dxfId="1056" priority="12" rank="1"/>
  </conditionalFormatting>
  <conditionalFormatting sqref="T184:T187">
    <cfRule type="top10" dxfId="1055" priority="9" bottom="1" rank="1"/>
    <cfRule type="top10" dxfId="1054" priority="10" rank="1"/>
  </conditionalFormatting>
  <conditionalFormatting sqref="T189:T192">
    <cfRule type="top10" dxfId="1053" priority="7" bottom="1" rank="1"/>
    <cfRule type="top10" dxfId="1052" priority="8" rank="1"/>
  </conditionalFormatting>
  <conditionalFormatting sqref="T194:T197">
    <cfRule type="top10" dxfId="1051" priority="5" bottom="1" rank="1"/>
    <cfRule type="top10" dxfId="1050" priority="6" rank="1"/>
  </conditionalFormatting>
  <conditionalFormatting sqref="T199:T202">
    <cfRule type="top10" dxfId="1049" priority="3" bottom="1" rank="1"/>
    <cfRule type="top10" dxfId="1048" priority="4" rank="1"/>
  </conditionalFormatting>
  <conditionalFormatting sqref="T204:T207">
    <cfRule type="top10" dxfId="1047" priority="1" bottom="1" rank="1"/>
    <cfRule type="top10" dxfId="1046" priority="2" rank="1"/>
  </conditionalFormatting>
  <pageMargins left="0.7" right="0.7" top="0.75" bottom="0.75" header="0.3" footer="0.3"/>
  <pageSetup paperSize="9"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rgb="FFFFC000"/>
  </sheetPr>
  <dimension ref="A1:AE167"/>
  <sheetViews>
    <sheetView showGridLines="0" zoomScale="85" zoomScaleNormal="85" workbookViewId="0">
      <pane xSplit="3" ySplit="7" topLeftCell="L8" activePane="bottomRight" state="frozen"/>
      <selection activeCell="W10" sqref="W10"/>
      <selection pane="topRight" activeCell="W10" sqref="W10"/>
      <selection pane="bottomLeft" activeCell="W10" sqref="W10"/>
      <selection pane="bottomRight" activeCell="X12" sqref="X12"/>
    </sheetView>
  </sheetViews>
  <sheetFormatPr defaultRowHeight="15.75" x14ac:dyDescent="0.25"/>
  <cols>
    <col min="1" max="1" width="4.85546875" style="432" customWidth="1"/>
    <col min="2" max="2" width="5.7109375" style="1197" customWidth="1"/>
    <col min="3" max="3" width="28.85546875" style="432" customWidth="1"/>
    <col min="4" max="4" width="7.7109375" style="432" customWidth="1"/>
    <col min="5" max="19" width="6.7109375" style="432" customWidth="1"/>
    <col min="20" max="20" width="7.85546875" style="1203" customWidth="1"/>
    <col min="21" max="21" width="11.5703125" style="432" customWidth="1"/>
    <col min="22" max="22" width="11.28515625" style="1204" customWidth="1"/>
    <col min="23" max="23" width="12.140625" style="1204" customWidth="1"/>
    <col min="24" max="29" width="8.7109375" style="432" customWidth="1"/>
    <col min="30" max="30" width="9.7109375" style="432" customWidth="1"/>
    <col min="31" max="31" width="9" style="432" customWidth="1"/>
    <col min="32" max="16384" width="9.140625" style="432"/>
  </cols>
  <sheetData>
    <row r="1" spans="1:31" ht="23.25" x14ac:dyDescent="0.35">
      <c r="A1" s="434" t="s">
        <v>784</v>
      </c>
      <c r="D1" s="435"/>
      <c r="E1" s="435"/>
      <c r="F1" s="1458"/>
      <c r="G1" s="1199"/>
      <c r="H1" s="1199"/>
      <c r="I1" s="1199"/>
      <c r="J1" s="1199"/>
      <c r="K1" s="1199"/>
      <c r="L1" s="1199"/>
      <c r="M1" s="1199"/>
      <c r="N1" s="1199"/>
      <c r="O1" s="1199"/>
      <c r="P1" s="1199"/>
      <c r="Q1" s="1199"/>
      <c r="R1" s="1199"/>
      <c r="S1" s="1199"/>
      <c r="T1" s="1199"/>
      <c r="U1" s="1199"/>
      <c r="V1" s="1199"/>
      <c r="W1" s="1199"/>
      <c r="X1" s="1199"/>
      <c r="Y1" s="1199"/>
      <c r="Z1" s="1199"/>
      <c r="AA1" s="1199"/>
      <c r="AB1" s="1199"/>
      <c r="AC1" s="433"/>
    </row>
    <row r="2" spans="1:31" ht="21" x14ac:dyDescent="0.35">
      <c r="A2" s="1200" t="s">
        <v>54</v>
      </c>
      <c r="G2" s="1201"/>
      <c r="H2" s="1201"/>
      <c r="I2" s="1201"/>
      <c r="J2" s="1201"/>
      <c r="K2" s="1201"/>
      <c r="L2" s="1201"/>
      <c r="M2" s="1201"/>
      <c r="N2" s="1201"/>
      <c r="O2" s="1201"/>
      <c r="P2" s="1201"/>
      <c r="Q2" s="1201"/>
      <c r="R2" s="1201"/>
      <c r="S2" s="1201"/>
      <c r="T2" s="1199"/>
      <c r="U2" s="1201"/>
      <c r="V2" s="1201"/>
      <c r="W2" s="1199"/>
      <c r="X2" s="1201"/>
      <c r="Y2" s="1199"/>
      <c r="Z2" s="1201"/>
      <c r="AA2" s="1201"/>
      <c r="AB2" s="1199"/>
      <c r="AC2" s="433"/>
    </row>
    <row r="3" spans="1:31" ht="18.75" x14ac:dyDescent="0.3">
      <c r="A3" s="1202" t="s">
        <v>562</v>
      </c>
    </row>
    <row r="4" spans="1:31" s="1206" customFormat="1" ht="16.5" thickBot="1" x14ac:dyDescent="0.3">
      <c r="A4" s="2030"/>
      <c r="B4" s="2030"/>
      <c r="C4" s="2030"/>
      <c r="D4" s="2030"/>
      <c r="E4" s="2030"/>
      <c r="F4" s="2030"/>
      <c r="G4" s="2030"/>
      <c r="H4" s="2030"/>
      <c r="I4" s="2030"/>
      <c r="J4" s="2030"/>
      <c r="K4" s="2030"/>
      <c r="L4" s="2030"/>
      <c r="M4" s="2030"/>
      <c r="N4" s="2030"/>
      <c r="O4" s="2030"/>
      <c r="P4" s="2030"/>
      <c r="Q4" s="2030"/>
      <c r="R4" s="2030"/>
      <c r="S4" s="2030"/>
      <c r="T4" s="2030"/>
      <c r="U4" s="2030"/>
      <c r="V4" s="2030"/>
      <c r="W4" s="2030"/>
      <c r="X4" s="2030"/>
      <c r="Y4" s="2030"/>
      <c r="Z4" s="2030"/>
      <c r="AA4" s="2030"/>
      <c r="AB4" s="2030"/>
      <c r="AC4" s="2030"/>
      <c r="AD4" s="2030"/>
      <c r="AE4" s="2030"/>
    </row>
    <row r="5" spans="1:31" ht="24" customHeight="1" x14ac:dyDescent="0.25">
      <c r="A5" s="2821" t="s">
        <v>0</v>
      </c>
      <c r="B5" s="2824" t="s">
        <v>55</v>
      </c>
      <c r="C5" s="2824" t="s">
        <v>1</v>
      </c>
      <c r="D5" s="2824" t="s">
        <v>56</v>
      </c>
      <c r="E5" s="2732" t="s">
        <v>32</v>
      </c>
      <c r="F5" s="2733"/>
      <c r="G5" s="2733"/>
      <c r="H5" s="2733"/>
      <c r="I5" s="2733"/>
      <c r="J5" s="2733"/>
      <c r="K5" s="2733"/>
      <c r="L5" s="2733"/>
      <c r="M5" s="2733"/>
      <c r="N5" s="2733"/>
      <c r="O5" s="2733"/>
      <c r="P5" s="2734"/>
      <c r="Q5" s="2735" t="s">
        <v>1004</v>
      </c>
      <c r="R5" s="2736"/>
      <c r="S5" s="2737"/>
      <c r="T5" s="2827" t="s">
        <v>64</v>
      </c>
      <c r="U5" s="2832" t="s">
        <v>61</v>
      </c>
      <c r="V5" s="2834" t="s">
        <v>62</v>
      </c>
      <c r="W5" s="2836" t="s">
        <v>63</v>
      </c>
      <c r="X5" s="2819" t="s">
        <v>782</v>
      </c>
      <c r="Y5" s="2819"/>
      <c r="Z5" s="2819"/>
      <c r="AA5" s="2820" t="s">
        <v>783</v>
      </c>
      <c r="AB5" s="2820"/>
      <c r="AC5" s="2820"/>
      <c r="AD5" s="2830" t="s">
        <v>973</v>
      </c>
      <c r="AE5" s="2816" t="s">
        <v>5</v>
      </c>
    </row>
    <row r="6" spans="1:31" ht="24" customHeight="1" x14ac:dyDescent="0.25">
      <c r="A6" s="2822"/>
      <c r="B6" s="2825"/>
      <c r="C6" s="2825"/>
      <c r="D6" s="2825"/>
      <c r="E6" s="2791" t="s">
        <v>443</v>
      </c>
      <c r="F6" s="2792"/>
      <c r="G6" s="2793"/>
      <c r="H6" s="2794" t="s">
        <v>442</v>
      </c>
      <c r="I6" s="2795"/>
      <c r="J6" s="2796"/>
      <c r="K6" s="2768" t="s">
        <v>441</v>
      </c>
      <c r="L6" s="2769"/>
      <c r="M6" s="2770"/>
      <c r="N6" s="2771" t="s">
        <v>685</v>
      </c>
      <c r="O6" s="2772"/>
      <c r="P6" s="2773"/>
      <c r="Q6" s="2738"/>
      <c r="R6" s="2739"/>
      <c r="S6" s="2740"/>
      <c r="T6" s="2828"/>
      <c r="U6" s="2704"/>
      <c r="V6" s="2701"/>
      <c r="W6" s="2837"/>
      <c r="X6" s="1288"/>
      <c r="Y6" s="1288"/>
      <c r="Z6" s="1288"/>
      <c r="AA6" s="2068"/>
      <c r="AB6" s="2068"/>
      <c r="AC6" s="2068"/>
      <c r="AD6" s="2690"/>
      <c r="AE6" s="2817"/>
    </row>
    <row r="7" spans="1:31" ht="24" customHeight="1" thickBot="1" x14ac:dyDescent="0.3">
      <c r="A7" s="2823"/>
      <c r="B7" s="2826"/>
      <c r="C7" s="2826"/>
      <c r="D7" s="2826"/>
      <c r="E7" s="2034" t="s">
        <v>1001</v>
      </c>
      <c r="F7" s="2034" t="s">
        <v>1002</v>
      </c>
      <c r="G7" s="2034" t="s">
        <v>1003</v>
      </c>
      <c r="H7" s="2035" t="s">
        <v>1001</v>
      </c>
      <c r="I7" s="2035" t="s">
        <v>1002</v>
      </c>
      <c r="J7" s="2035" t="s">
        <v>1003</v>
      </c>
      <c r="K7" s="2036" t="s">
        <v>1001</v>
      </c>
      <c r="L7" s="2036" t="s">
        <v>1002</v>
      </c>
      <c r="M7" s="2036" t="s">
        <v>1003</v>
      </c>
      <c r="N7" s="2037" t="s">
        <v>1001</v>
      </c>
      <c r="O7" s="2037" t="s">
        <v>1002</v>
      </c>
      <c r="P7" s="2037" t="s">
        <v>1003</v>
      </c>
      <c r="Q7" s="2047" t="s">
        <v>1001</v>
      </c>
      <c r="R7" s="2047" t="s">
        <v>1002</v>
      </c>
      <c r="S7" s="2047" t="s">
        <v>1003</v>
      </c>
      <c r="T7" s="2829"/>
      <c r="U7" s="2833"/>
      <c r="V7" s="2835"/>
      <c r="W7" s="2838"/>
      <c r="X7" s="2072" t="s">
        <v>11</v>
      </c>
      <c r="Y7" s="2072" t="s">
        <v>189</v>
      </c>
      <c r="Z7" s="2072" t="s">
        <v>186</v>
      </c>
      <c r="AA7" s="1832" t="s">
        <v>11</v>
      </c>
      <c r="AB7" s="1832" t="s">
        <v>189</v>
      </c>
      <c r="AC7" s="1832" t="s">
        <v>186</v>
      </c>
      <c r="AD7" s="2831"/>
      <c r="AE7" s="2818"/>
    </row>
    <row r="8" spans="1:31" ht="24.95" customHeight="1" x14ac:dyDescent="0.25">
      <c r="A8" s="1207">
        <v>1</v>
      </c>
      <c r="B8" s="1208"/>
      <c r="C8" s="1209" t="str">
        <f>VLOOKUP(A8,data_siswa,4,FALSE)</f>
        <v>Achmad Zacky</v>
      </c>
      <c r="D8" s="2089" t="s">
        <v>11</v>
      </c>
      <c r="E8" s="1672"/>
      <c r="F8" s="1672"/>
      <c r="G8" s="1672"/>
      <c r="H8" s="2069">
        <v>72</v>
      </c>
      <c r="I8" s="2069">
        <v>68</v>
      </c>
      <c r="J8" s="2069">
        <v>79</v>
      </c>
      <c r="K8" s="1672"/>
      <c r="L8" s="1672"/>
      <c r="M8" s="1672"/>
      <c r="N8" s="2027"/>
      <c r="O8" s="2027"/>
      <c r="P8" s="2027"/>
      <c r="Q8" s="2028">
        <f>MAX(E8,H8,K8,N8)</f>
        <v>72</v>
      </c>
      <c r="R8" s="2026">
        <f t="shared" ref="R8:S10" si="0">MAX(F8,I8,L8,O8)</f>
        <v>68</v>
      </c>
      <c r="S8" s="2029">
        <f t="shared" si="0"/>
        <v>79</v>
      </c>
      <c r="T8" s="2025">
        <f>IFERROR(AVERAGE(Q8:S8),"")</f>
        <v>73</v>
      </c>
      <c r="U8" s="2121" t="str">
        <f>IF(T8&gt;85,("4"),IF(T8&gt;80,("3.66"),IF(T8&gt;75,("3.33"),IF(T8&gt;70,("3.00"),IF(T8&gt;65,("2.66"),IF(T8&gt;60,("2.33"),IF(T8&gt;55,("2"),IF(T8&gt;50,("1.66"),"1.33"))))))))</f>
        <v>3.00</v>
      </c>
      <c r="V8" s="2121" t="str">
        <f>IF(T8&gt;85,("A"),IF(T8&gt;80,("A-"),IF(T8&gt;75,("B+"),IF(T8&gt;70,("B"),IF(T8&gt;65,("B-"),IF(T8&gt;60,("C+"),IF(T8&gt;55,("C"),IF(T8&gt;50,("C-"),"D+"))))))))</f>
        <v>B</v>
      </c>
      <c r="W8" s="2121" t="str">
        <f>IF(T8&gt;80,("SB"),IF(T8&gt;65,("B"),IF(T8&gt;50,("C"),IF(T8&gt;0,("K"),"0"))))</f>
        <v>B</v>
      </c>
      <c r="X8" s="1226"/>
      <c r="Y8" s="1226">
        <v>3</v>
      </c>
      <c r="Z8" s="1226"/>
      <c r="AA8" s="1227">
        <v>1</v>
      </c>
      <c r="AB8" s="1227"/>
      <c r="AC8" s="1227"/>
      <c r="AD8" s="2152">
        <f>MAX(T8:T10)</f>
        <v>74.666666666666671</v>
      </c>
      <c r="AE8" s="2153" t="str">
        <f>IF(AD8&gt;85,("A"),IF(AD8&gt;80,("A-"),IF(AD8&gt;75,("B+"),IF(AD8&gt;70,("B"),IF(AD8&gt;65,("B-"),IF(AD8&gt;60,("C+"),IF(AD8&gt;55,("C"),IF(AD8&gt;50,("C-"),"D+"))))))))</f>
        <v>B</v>
      </c>
    </row>
    <row r="9" spans="1:31" ht="24.95" customHeight="1" x14ac:dyDescent="0.25">
      <c r="A9" s="1207"/>
      <c r="B9" s="1208"/>
      <c r="C9" s="1212"/>
      <c r="D9" s="1459" t="s">
        <v>189</v>
      </c>
      <c r="E9" s="1672">
        <v>65</v>
      </c>
      <c r="F9" s="1672">
        <v>56</v>
      </c>
      <c r="G9" s="1672">
        <v>70</v>
      </c>
      <c r="H9" s="2069">
        <v>73</v>
      </c>
      <c r="I9" s="2069">
        <v>68</v>
      </c>
      <c r="J9" s="2069">
        <v>71</v>
      </c>
      <c r="K9" s="1672">
        <v>65</v>
      </c>
      <c r="L9" s="1672">
        <v>68</v>
      </c>
      <c r="M9" s="1672">
        <v>68</v>
      </c>
      <c r="N9" s="2027">
        <v>81</v>
      </c>
      <c r="O9" s="2027">
        <v>69</v>
      </c>
      <c r="P9" s="2027">
        <v>70</v>
      </c>
      <c r="Q9" s="2028">
        <f t="shared" ref="Q9:Q10" si="1">MAX(E9,H9,K9,N9)</f>
        <v>81</v>
      </c>
      <c r="R9" s="2026">
        <f t="shared" si="0"/>
        <v>69</v>
      </c>
      <c r="S9" s="2029">
        <f t="shared" si="0"/>
        <v>71</v>
      </c>
      <c r="T9" s="2025">
        <f t="shared" ref="T9:T10" si="2">IFERROR(AVERAGE(Q9:S9),"")</f>
        <v>73.666666666666671</v>
      </c>
      <c r="U9" s="2122" t="str">
        <f t="shared" ref="U9:U10" si="3">IF(T9&gt;85,("4"),IF(T9&gt;80,("3.66"),IF(T9&gt;75,("3.33"),IF(T9&gt;70,("3.00"),IF(T9&gt;65,("2.66"),IF(T9&gt;60,("2.33"),IF(T9&gt;55,("2"),IF(T9&gt;50,("1.66"),"1.33"))))))))</f>
        <v>3.00</v>
      </c>
      <c r="V9" s="2122" t="str">
        <f t="shared" ref="V9:V10" si="4">IF(T9&gt;85,("A"),IF(T9&gt;80,("A-"),IF(T9&gt;75,("B+"),IF(T9&gt;70,("B"),IF(T9&gt;65,("B-"),IF(T9&gt;60,("C+"),IF(T9&gt;55,("C"),IF(T9&gt;50,("C-"),"D+"))))))))</f>
        <v>B</v>
      </c>
      <c r="W9" s="2122" t="str">
        <f t="shared" ref="W9:W10" si="5">IF(T9&gt;80,("SB"),IF(T9&gt;65,("B"),IF(T9&gt;50,("C"),IF(T9&gt;0,("K"),"0"))))</f>
        <v>B</v>
      </c>
      <c r="X9" s="1228"/>
      <c r="Y9" s="1229"/>
      <c r="Z9" s="1229"/>
      <c r="AA9" s="1230"/>
      <c r="AB9" s="1230"/>
      <c r="AC9" s="1231"/>
      <c r="AD9" s="2154"/>
      <c r="AE9" s="2155"/>
    </row>
    <row r="10" spans="1:31" ht="24.95" customHeight="1" x14ac:dyDescent="0.25">
      <c r="A10" s="1207"/>
      <c r="B10" s="1208"/>
      <c r="C10" s="1212"/>
      <c r="D10" s="1459" t="s">
        <v>186</v>
      </c>
      <c r="E10" s="1385">
        <v>72</v>
      </c>
      <c r="F10" s="1385">
        <v>76</v>
      </c>
      <c r="G10" s="1385">
        <v>68</v>
      </c>
      <c r="H10" s="2069"/>
      <c r="I10" s="2069"/>
      <c r="J10" s="2069"/>
      <c r="K10" s="1672">
        <v>71</v>
      </c>
      <c r="L10" s="1672">
        <v>81</v>
      </c>
      <c r="M10" s="1672">
        <v>57</v>
      </c>
      <c r="N10" s="2027">
        <v>68</v>
      </c>
      <c r="O10" s="2027">
        <v>73</v>
      </c>
      <c r="P10" s="2027">
        <v>71</v>
      </c>
      <c r="Q10" s="2028">
        <f t="shared" si="1"/>
        <v>72</v>
      </c>
      <c r="R10" s="2026">
        <f t="shared" si="0"/>
        <v>81</v>
      </c>
      <c r="S10" s="2029">
        <f t="shared" si="0"/>
        <v>71</v>
      </c>
      <c r="T10" s="2025">
        <f t="shared" si="2"/>
        <v>74.666666666666671</v>
      </c>
      <c r="U10" s="2122" t="str">
        <f t="shared" si="3"/>
        <v>3.00</v>
      </c>
      <c r="V10" s="2122" t="str">
        <f t="shared" si="4"/>
        <v>B</v>
      </c>
      <c r="W10" s="2122" t="str">
        <f t="shared" si="5"/>
        <v>B</v>
      </c>
      <c r="X10" s="1232"/>
      <c r="Y10" s="1233"/>
      <c r="Z10" s="1233"/>
      <c r="AA10" s="1234"/>
      <c r="AB10" s="1234"/>
      <c r="AC10" s="1235"/>
      <c r="AD10" s="2156"/>
      <c r="AE10" s="2157"/>
    </row>
    <row r="11" spans="1:31" s="1223" customFormat="1" ht="24.95" customHeight="1" x14ac:dyDescent="0.25">
      <c r="A11" s="1218"/>
      <c r="B11" s="1219">
        <v>1</v>
      </c>
      <c r="C11" s="1220" t="s">
        <v>167</v>
      </c>
      <c r="D11" s="1220"/>
      <c r="E11" s="2687"/>
      <c r="F11" s="2688"/>
      <c r="G11" s="2688"/>
      <c r="H11" s="2688"/>
      <c r="I11" s="2076"/>
      <c r="J11" s="2076"/>
      <c r="K11" s="2076"/>
      <c r="L11" s="2076"/>
      <c r="M11" s="2076"/>
      <c r="N11" s="2076"/>
      <c r="O11" s="2076"/>
      <c r="P11" s="2076"/>
      <c r="Q11" s="2076"/>
      <c r="R11" s="2076"/>
      <c r="S11" s="2076"/>
      <c r="T11" s="2123">
        <f>IFERROR(AVERAGE(T8:T10),"  ")</f>
        <v>73.777777777777786</v>
      </c>
      <c r="U11" s="2124" t="str">
        <f>IF(T11&gt;85,("4"),IF(T11&gt;80,("3.66"),IF(T11&gt;75,("3.33"),IF(T11&gt;70,("3.00"),IF(T11&gt;65,("2.66"),IF(T11&gt;60,("2.33"),IF(T11&gt;55,("2"),IF(T11&gt;50,("1.66"),"1.33"))))))))</f>
        <v>3.00</v>
      </c>
      <c r="V11" s="2124" t="str">
        <f>IF(T11&gt;85,("A"),IF(T11&gt;80,("A-"),IF(T11&gt;75,("B+"),IF(T11&gt;70,("B"),IF(T11&gt;65,("B-"),IF(T11&gt;60,("C+"),IF(T11&gt;55,("C"),IF(T11&gt;50,("C-"),"D+"))))))))</f>
        <v>B</v>
      </c>
      <c r="W11" s="2124"/>
      <c r="X11" s="1238"/>
      <c r="Y11" s="1239"/>
      <c r="Z11" s="1239"/>
      <c r="AA11" s="1239"/>
      <c r="AB11" s="1239"/>
      <c r="AC11" s="1240"/>
      <c r="AD11" s="2158"/>
      <c r="AE11" s="2125"/>
    </row>
    <row r="12" spans="1:31" ht="24.95" customHeight="1" x14ac:dyDescent="0.25">
      <c r="A12" s="1224">
        <v>2</v>
      </c>
      <c r="B12" s="1225"/>
      <c r="C12" s="1209" t="str">
        <f>VLOOKUP(A12,data_siswa,4,FALSE)</f>
        <v>Angelia Vabel R</v>
      </c>
      <c r="D12" s="2089" t="s">
        <v>11</v>
      </c>
      <c r="E12" s="1672"/>
      <c r="F12" s="1672"/>
      <c r="G12" s="1672"/>
      <c r="H12" s="2069">
        <v>0</v>
      </c>
      <c r="I12" s="2069">
        <v>0</v>
      </c>
      <c r="J12" s="2069">
        <v>0</v>
      </c>
      <c r="K12" s="1672"/>
      <c r="L12" s="1672"/>
      <c r="M12" s="1672"/>
      <c r="N12" s="2027"/>
      <c r="O12" s="2027"/>
      <c r="P12" s="2027"/>
      <c r="Q12" s="2028">
        <f>MAX(E12,H12,K12,N12)</f>
        <v>0</v>
      </c>
      <c r="R12" s="2026">
        <f t="shared" ref="R12:R14" si="6">MAX(F12,I12,L12,O12)</f>
        <v>0</v>
      </c>
      <c r="S12" s="2029">
        <f t="shared" ref="S12:S14" si="7">MAX(G12,J12,M12,P12)</f>
        <v>0</v>
      </c>
      <c r="T12" s="2025">
        <f>IFERROR(AVERAGE(Q12:S12),"")</f>
        <v>0</v>
      </c>
      <c r="U12" s="2121" t="str">
        <f>IF(T12&gt;85,("4"),IF(T12&gt;80,("3.66"),IF(T12&gt;75,("3.33"),IF(T12&gt;70,("3.00"),IF(T12&gt;65,("2.66"),IF(T12&gt;60,("2.33"),IF(T12&gt;55,("2"),IF(T12&gt;50,("1.66"),"1.33"))))))))</f>
        <v>1.33</v>
      </c>
      <c r="V12" s="2121" t="str">
        <f>IF(T12&gt;85,("A"),IF(T12&gt;80,("A-"),IF(T12&gt;75,("B+"),IF(T12&gt;70,("B"),IF(T12&gt;65,("B-"),IF(T12&gt;60,("C+"),IF(T12&gt;55,("C"),IF(T12&gt;50,("C-"),"D+"))))))))</f>
        <v>D+</v>
      </c>
      <c r="W12" s="2121" t="str">
        <f>IF(T12&gt;80,("SB"),IF(T12&gt;65,("B"),IF(T12&gt;50,("C"),IF(T12&gt;0,("K"),"0"))))</f>
        <v>0</v>
      </c>
      <c r="X12" s="1226"/>
      <c r="Y12" s="1226">
        <v>3</v>
      </c>
      <c r="Z12" s="1226"/>
      <c r="AA12" s="1227">
        <v>1</v>
      </c>
      <c r="AB12" s="1227"/>
      <c r="AC12" s="1227"/>
      <c r="AD12" s="2159">
        <f>MAX(T12:T14)</f>
        <v>0</v>
      </c>
      <c r="AE12" s="767" t="str">
        <f>IF(AD12&gt;85,("A"),IF(AD12&gt;80,("A-"),IF(AD12&gt;75,("B+"),IF(AD12&gt;70,("B"),IF(AD12&gt;65,("B-"),IF(AD12&gt;60,("C+"),IF(AD12&gt;55,("C"),IF(AD12&gt;50,("C-"),"D+"))))))))</f>
        <v>D+</v>
      </c>
    </row>
    <row r="13" spans="1:31" ht="24.95" customHeight="1" x14ac:dyDescent="0.25">
      <c r="A13" s="1207"/>
      <c r="B13" s="1208"/>
      <c r="C13" s="1212"/>
      <c r="D13" s="1459" t="s">
        <v>189</v>
      </c>
      <c r="E13" s="1672">
        <v>0</v>
      </c>
      <c r="F13" s="1672">
        <v>0</v>
      </c>
      <c r="G13" s="1672">
        <v>0</v>
      </c>
      <c r="H13" s="2069">
        <v>0</v>
      </c>
      <c r="I13" s="2069">
        <v>0</v>
      </c>
      <c r="J13" s="2069">
        <v>0</v>
      </c>
      <c r="K13" s="1672">
        <v>0</v>
      </c>
      <c r="L13" s="1672">
        <v>0</v>
      </c>
      <c r="M13" s="1672">
        <v>0</v>
      </c>
      <c r="N13" s="2027">
        <v>0</v>
      </c>
      <c r="O13" s="2027">
        <v>0</v>
      </c>
      <c r="P13" s="2027">
        <v>0</v>
      </c>
      <c r="Q13" s="2028">
        <f t="shared" ref="Q13:Q14" si="8">MAX(E13,H13,K13,N13)</f>
        <v>0</v>
      </c>
      <c r="R13" s="2026">
        <f t="shared" si="6"/>
        <v>0</v>
      </c>
      <c r="S13" s="2029">
        <f t="shared" si="7"/>
        <v>0</v>
      </c>
      <c r="T13" s="2025">
        <f t="shared" ref="T13:T14" si="9">IFERROR(AVERAGE(Q13:S13),"")</f>
        <v>0</v>
      </c>
      <c r="U13" s="2122" t="str">
        <f t="shared" ref="U13:U14" si="10">IF(T13&gt;85,("4"),IF(T13&gt;80,("3.66"),IF(T13&gt;75,("3.33"),IF(T13&gt;70,("3.00"),IF(T13&gt;65,("2.66"),IF(T13&gt;60,("2.33"),IF(T13&gt;55,("2"),IF(T13&gt;50,("1.66"),"1.33"))))))))</f>
        <v>1.33</v>
      </c>
      <c r="V13" s="2122" t="str">
        <f t="shared" ref="V13:V14" si="11">IF(T13&gt;85,("A"),IF(T13&gt;80,("A-"),IF(T13&gt;75,("B+"),IF(T13&gt;70,("B"),IF(T13&gt;65,("B-"),IF(T13&gt;60,("C+"),IF(T13&gt;55,("C"),IF(T13&gt;50,("C-"),"D+"))))))))</f>
        <v>D+</v>
      </c>
      <c r="W13" s="2122" t="str">
        <f t="shared" ref="W13:W14" si="12">IF(T13&gt;80,("SB"),IF(T13&gt;65,("B"),IF(T13&gt;50,("C"),IF(T13&gt;0,("K"),"0"))))</f>
        <v>0</v>
      </c>
      <c r="X13" s="1228"/>
      <c r="Y13" s="1229"/>
      <c r="Z13" s="1229"/>
      <c r="AA13" s="1230"/>
      <c r="AB13" s="1230"/>
      <c r="AC13" s="1231"/>
      <c r="AD13" s="2154"/>
      <c r="AE13" s="2155"/>
    </row>
    <row r="14" spans="1:31" ht="24.95" customHeight="1" x14ac:dyDescent="0.25">
      <c r="A14" s="1207"/>
      <c r="B14" s="1208"/>
      <c r="C14" s="1212"/>
      <c r="D14" s="1459" t="s">
        <v>186</v>
      </c>
      <c r="E14" s="1385">
        <v>0</v>
      </c>
      <c r="F14" s="1385">
        <v>0</v>
      </c>
      <c r="G14" s="1385">
        <v>0</v>
      </c>
      <c r="H14" s="2069"/>
      <c r="I14" s="2069"/>
      <c r="J14" s="2069"/>
      <c r="K14" s="1672">
        <v>0</v>
      </c>
      <c r="L14" s="1672">
        <v>0</v>
      </c>
      <c r="M14" s="1672">
        <v>0</v>
      </c>
      <c r="N14" s="2027">
        <v>0</v>
      </c>
      <c r="O14" s="2027">
        <v>0</v>
      </c>
      <c r="P14" s="2027">
        <v>0</v>
      </c>
      <c r="Q14" s="2028">
        <f t="shared" si="8"/>
        <v>0</v>
      </c>
      <c r="R14" s="2026">
        <f t="shared" si="6"/>
        <v>0</v>
      </c>
      <c r="S14" s="2029">
        <f t="shared" si="7"/>
        <v>0</v>
      </c>
      <c r="T14" s="2025">
        <f t="shared" si="9"/>
        <v>0</v>
      </c>
      <c r="U14" s="2122" t="str">
        <f t="shared" si="10"/>
        <v>1.33</v>
      </c>
      <c r="V14" s="2122" t="str">
        <f t="shared" si="11"/>
        <v>D+</v>
      </c>
      <c r="W14" s="2122" t="str">
        <f t="shared" si="12"/>
        <v>0</v>
      </c>
      <c r="X14" s="1232"/>
      <c r="Y14" s="1233"/>
      <c r="Z14" s="1233"/>
      <c r="AA14" s="1234"/>
      <c r="AB14" s="1234"/>
      <c r="AC14" s="1235"/>
      <c r="AD14" s="2156"/>
      <c r="AE14" s="2157"/>
    </row>
    <row r="15" spans="1:31" ht="24.95" customHeight="1" x14ac:dyDescent="0.25">
      <c r="A15" s="1236"/>
      <c r="B15" s="1219">
        <v>2</v>
      </c>
      <c r="C15" s="1220" t="s">
        <v>167</v>
      </c>
      <c r="D15" s="1237"/>
      <c r="E15" s="2687"/>
      <c r="F15" s="2688"/>
      <c r="G15" s="2688"/>
      <c r="H15" s="2688"/>
      <c r="I15" s="2076"/>
      <c r="J15" s="2076"/>
      <c r="K15" s="2076"/>
      <c r="L15" s="2076"/>
      <c r="M15" s="2076"/>
      <c r="N15" s="2076"/>
      <c r="O15" s="2076"/>
      <c r="P15" s="2076"/>
      <c r="Q15" s="2076"/>
      <c r="R15" s="2076"/>
      <c r="S15" s="2076"/>
      <c r="T15" s="2123">
        <f>IFERROR(AVERAGE(T12:T14),"  ")</f>
        <v>0</v>
      </c>
      <c r="U15" s="2124" t="str">
        <f>IF(T15&gt;85,("4"),IF(T15&gt;80,("3.66"),IF(T15&gt;75,("3.33"),IF(T15&gt;70,("3.00"),IF(T15&gt;65,("2.66"),IF(T15&gt;60,("2.33"),IF(T15&gt;55,("2"),IF(T15&gt;50,("1.66"),"1.33"))))))))</f>
        <v>1.33</v>
      </c>
      <c r="V15" s="2124" t="str">
        <f>IF(T15&gt;85,("A"),IF(T15&gt;80,("A-"),IF(T15&gt;75,("B+"),IF(T15&gt;70,("B"),IF(T15&gt;65,("B-"),IF(T15&gt;60,("C+"),IF(T15&gt;55,("C"),IF(T15&gt;50,("C-"),"D+"))))))))</f>
        <v>D+</v>
      </c>
      <c r="W15" s="2124"/>
      <c r="X15" s="1238"/>
      <c r="Y15" s="1239"/>
      <c r="Z15" s="1239"/>
      <c r="AA15" s="1239"/>
      <c r="AB15" s="1239"/>
      <c r="AC15" s="1240"/>
      <c r="AD15" s="2158"/>
      <c r="AE15" s="2125"/>
    </row>
    <row r="16" spans="1:31" ht="24.95" customHeight="1" x14ac:dyDescent="0.25">
      <c r="A16" s="1224">
        <v>3</v>
      </c>
      <c r="B16" s="1225"/>
      <c r="C16" s="1209" t="str">
        <f>VLOOKUP(A16,data_siswa,4,FALSE)</f>
        <v>Anggun Dwi P.I</v>
      </c>
      <c r="D16" s="2089" t="s">
        <v>11</v>
      </c>
      <c r="E16" s="1672"/>
      <c r="F16" s="1672"/>
      <c r="G16" s="1672"/>
      <c r="H16" s="2069">
        <v>0</v>
      </c>
      <c r="I16" s="2069">
        <v>0</v>
      </c>
      <c r="J16" s="2069">
        <v>0</v>
      </c>
      <c r="K16" s="1672"/>
      <c r="L16" s="1672"/>
      <c r="M16" s="1672"/>
      <c r="N16" s="2027"/>
      <c r="O16" s="2027"/>
      <c r="P16" s="2027"/>
      <c r="Q16" s="2028">
        <f>MAX(E16,H16,K16,N16)</f>
        <v>0</v>
      </c>
      <c r="R16" s="2026">
        <f t="shared" ref="R16:R18" si="13">MAX(F16,I16,L16,O16)</f>
        <v>0</v>
      </c>
      <c r="S16" s="2029">
        <f t="shared" ref="S16:S18" si="14">MAX(G16,J16,M16,P16)</f>
        <v>0</v>
      </c>
      <c r="T16" s="2025">
        <f>IFERROR(AVERAGE(Q16:S16),"")</f>
        <v>0</v>
      </c>
      <c r="U16" s="2121" t="str">
        <f>IF(T16&gt;85,("4"),IF(T16&gt;80,("3.66"),IF(T16&gt;75,("3.33"),IF(T16&gt;70,("3.00"),IF(T16&gt;65,("2.66"),IF(T16&gt;60,("2.33"),IF(T16&gt;55,("2"),IF(T16&gt;50,("1.66"),"1.33"))))))))</f>
        <v>1.33</v>
      </c>
      <c r="V16" s="2121" t="str">
        <f>IF(T16&gt;85,("A"),IF(T16&gt;80,("A-"),IF(T16&gt;75,("B+"),IF(T16&gt;70,("B"),IF(T16&gt;65,("B-"),IF(T16&gt;60,("C+"),IF(T16&gt;55,("C"),IF(T16&gt;50,("C-"),"D+"))))))))</f>
        <v>D+</v>
      </c>
      <c r="W16" s="2121" t="str">
        <f>IF(T16&gt;80,("SB"),IF(T16&gt;65,("B"),IF(T16&gt;50,("C"),IF(T16&gt;0,("K"),"0"))))</f>
        <v>0</v>
      </c>
      <c r="X16" s="1226"/>
      <c r="Y16" s="1226">
        <v>3</v>
      </c>
      <c r="Z16" s="1226"/>
      <c r="AA16" s="1227">
        <v>1</v>
      </c>
      <c r="AB16" s="1227"/>
      <c r="AC16" s="1227"/>
      <c r="AD16" s="2159">
        <f>MAX(T16:T18)</f>
        <v>0</v>
      </c>
      <c r="AE16" s="767" t="str">
        <f>IF(AD16&gt;85,("A"),IF(AD16&gt;80,("A-"),IF(AD16&gt;75,("B+"),IF(AD16&gt;70,("B"),IF(AD16&gt;65,("B-"),IF(AD16&gt;60,("C+"),IF(AD16&gt;55,("C"),IF(AD16&gt;50,("C-"),"D+"))))))))</f>
        <v>D+</v>
      </c>
    </row>
    <row r="17" spans="1:31" ht="24.95" customHeight="1" x14ac:dyDescent="0.25">
      <c r="A17" s="1207"/>
      <c r="B17" s="1208"/>
      <c r="C17" s="1212"/>
      <c r="D17" s="1459" t="s">
        <v>189</v>
      </c>
      <c r="E17" s="1672">
        <v>0</v>
      </c>
      <c r="F17" s="1672">
        <v>0</v>
      </c>
      <c r="G17" s="1672">
        <v>0</v>
      </c>
      <c r="H17" s="2069">
        <v>0</v>
      </c>
      <c r="I17" s="2069">
        <v>0</v>
      </c>
      <c r="J17" s="2069">
        <v>0</v>
      </c>
      <c r="K17" s="1672">
        <v>0</v>
      </c>
      <c r="L17" s="1672">
        <v>0</v>
      </c>
      <c r="M17" s="1672">
        <v>0</v>
      </c>
      <c r="N17" s="2027">
        <v>0</v>
      </c>
      <c r="O17" s="2027">
        <v>0</v>
      </c>
      <c r="P17" s="2027">
        <v>0</v>
      </c>
      <c r="Q17" s="2028">
        <f t="shared" ref="Q17:Q18" si="15">MAX(E17,H17,K17,N17)</f>
        <v>0</v>
      </c>
      <c r="R17" s="2026">
        <f t="shared" si="13"/>
        <v>0</v>
      </c>
      <c r="S17" s="2029">
        <f t="shared" si="14"/>
        <v>0</v>
      </c>
      <c r="T17" s="2025">
        <f t="shared" ref="T17:T18" si="16">IFERROR(AVERAGE(Q17:S17),"")</f>
        <v>0</v>
      </c>
      <c r="U17" s="2122" t="str">
        <f t="shared" ref="U17:U18" si="17">IF(T17&gt;85,("4"),IF(T17&gt;80,("3.66"),IF(T17&gt;75,("3.33"),IF(T17&gt;70,("3.00"),IF(T17&gt;65,("2.66"),IF(T17&gt;60,("2.33"),IF(T17&gt;55,("2"),IF(T17&gt;50,("1.66"),"1.33"))))))))</f>
        <v>1.33</v>
      </c>
      <c r="V17" s="2122" t="str">
        <f t="shared" ref="V17:V18" si="18">IF(T17&gt;85,("A"),IF(T17&gt;80,("A-"),IF(T17&gt;75,("B+"),IF(T17&gt;70,("B"),IF(T17&gt;65,("B-"),IF(T17&gt;60,("C+"),IF(T17&gt;55,("C"),IF(T17&gt;50,("C-"),"D+"))))))))</f>
        <v>D+</v>
      </c>
      <c r="W17" s="2122" t="str">
        <f t="shared" ref="W17:W18" si="19">IF(T17&gt;80,("SB"),IF(T17&gt;65,("B"),IF(T17&gt;50,("C"),IF(T17&gt;0,("K"),"0"))))</f>
        <v>0</v>
      </c>
      <c r="X17" s="1228"/>
      <c r="Y17" s="1229"/>
      <c r="Z17" s="1229"/>
      <c r="AA17" s="1230"/>
      <c r="AB17" s="1230"/>
      <c r="AC17" s="1231"/>
      <c r="AD17" s="2154"/>
      <c r="AE17" s="2155"/>
    </row>
    <row r="18" spans="1:31" ht="24.95" customHeight="1" x14ac:dyDescent="0.25">
      <c r="A18" s="1207"/>
      <c r="B18" s="1208"/>
      <c r="C18" s="1212"/>
      <c r="D18" s="1459" t="s">
        <v>186</v>
      </c>
      <c r="E18" s="1385">
        <v>0</v>
      </c>
      <c r="F18" s="1385">
        <v>0</v>
      </c>
      <c r="G18" s="1385">
        <v>0</v>
      </c>
      <c r="H18" s="2069"/>
      <c r="I18" s="2069"/>
      <c r="J18" s="2069"/>
      <c r="K18" s="1672">
        <v>0</v>
      </c>
      <c r="L18" s="1672">
        <v>0</v>
      </c>
      <c r="M18" s="1672">
        <v>0</v>
      </c>
      <c r="N18" s="2027">
        <v>0</v>
      </c>
      <c r="O18" s="2027">
        <v>0</v>
      </c>
      <c r="P18" s="2027">
        <v>0</v>
      </c>
      <c r="Q18" s="2028">
        <f t="shared" si="15"/>
        <v>0</v>
      </c>
      <c r="R18" s="2026">
        <f t="shared" si="13"/>
        <v>0</v>
      </c>
      <c r="S18" s="2029">
        <f t="shared" si="14"/>
        <v>0</v>
      </c>
      <c r="T18" s="2025">
        <f t="shared" si="16"/>
        <v>0</v>
      </c>
      <c r="U18" s="2122" t="str">
        <f t="shared" si="17"/>
        <v>1.33</v>
      </c>
      <c r="V18" s="2122" t="str">
        <f t="shared" si="18"/>
        <v>D+</v>
      </c>
      <c r="W18" s="2122" t="str">
        <f t="shared" si="19"/>
        <v>0</v>
      </c>
      <c r="X18" s="1232"/>
      <c r="Y18" s="1233"/>
      <c r="Z18" s="1233"/>
      <c r="AA18" s="1234"/>
      <c r="AB18" s="1234"/>
      <c r="AC18" s="1235"/>
      <c r="AD18" s="2156"/>
      <c r="AE18" s="2157"/>
    </row>
    <row r="19" spans="1:31" ht="24.95" customHeight="1" x14ac:dyDescent="0.25">
      <c r="A19" s="1236"/>
      <c r="B19" s="1241">
        <v>3</v>
      </c>
      <c r="C19" s="1220" t="s">
        <v>167</v>
      </c>
      <c r="D19" s="1237"/>
      <c r="E19" s="2687"/>
      <c r="F19" s="2688"/>
      <c r="G19" s="2688"/>
      <c r="H19" s="2688"/>
      <c r="I19" s="2076"/>
      <c r="J19" s="2076"/>
      <c r="K19" s="2076"/>
      <c r="L19" s="2076"/>
      <c r="M19" s="2076"/>
      <c r="N19" s="2076"/>
      <c r="O19" s="2076"/>
      <c r="P19" s="2076"/>
      <c r="Q19" s="2076"/>
      <c r="R19" s="2076"/>
      <c r="S19" s="2076"/>
      <c r="T19" s="2123">
        <f>IFERROR(AVERAGE(T16:T18),"  ")</f>
        <v>0</v>
      </c>
      <c r="U19" s="2124" t="str">
        <f>IF(T19&gt;85,("4"),IF(T19&gt;80,("3.66"),IF(T19&gt;75,("3.33"),IF(T19&gt;70,("3.00"),IF(T19&gt;65,("2.66"),IF(T19&gt;60,("2.33"),IF(T19&gt;55,("2"),IF(T19&gt;50,("1.66"),"1.33"))))))))</f>
        <v>1.33</v>
      </c>
      <c r="V19" s="2124" t="str">
        <f>IF(T19&gt;85,("A"),IF(T19&gt;80,("A-"),IF(T19&gt;75,("B+"),IF(T19&gt;70,("B"),IF(T19&gt;65,("B-"),IF(T19&gt;60,("C+"),IF(T19&gt;55,("C"),IF(T19&gt;50,("C-"),"D+"))))))))</f>
        <v>D+</v>
      </c>
      <c r="W19" s="2124"/>
      <c r="X19" s="1238"/>
      <c r="Y19" s="1239"/>
      <c r="Z19" s="1239"/>
      <c r="AA19" s="1239"/>
      <c r="AB19" s="1239"/>
      <c r="AC19" s="1240"/>
      <c r="AD19" s="2158"/>
      <c r="AE19" s="2125"/>
    </row>
    <row r="20" spans="1:31" ht="24.95" customHeight="1" x14ac:dyDescent="0.25">
      <c r="A20" s="1224">
        <v>4</v>
      </c>
      <c r="B20" s="1225"/>
      <c r="C20" s="1209" t="str">
        <f>VLOOKUP(A20,data_siswa,4,FALSE)</f>
        <v>Antonio Permata A</v>
      </c>
      <c r="D20" s="2089" t="s">
        <v>11</v>
      </c>
      <c r="E20" s="1672"/>
      <c r="F20" s="1672"/>
      <c r="G20" s="1672"/>
      <c r="H20" s="2069">
        <v>0</v>
      </c>
      <c r="I20" s="2069">
        <v>0</v>
      </c>
      <c r="J20" s="2069">
        <v>0</v>
      </c>
      <c r="K20" s="1672"/>
      <c r="L20" s="1672"/>
      <c r="M20" s="1672"/>
      <c r="N20" s="2027"/>
      <c r="O20" s="2027"/>
      <c r="P20" s="2027"/>
      <c r="Q20" s="2028">
        <f>MAX(E20,H20,K20,N20)</f>
        <v>0</v>
      </c>
      <c r="R20" s="2026">
        <f t="shared" ref="R20:R22" si="20">MAX(F20,I20,L20,O20)</f>
        <v>0</v>
      </c>
      <c r="S20" s="2029">
        <f t="shared" ref="S20:S22" si="21">MAX(G20,J20,M20,P20)</f>
        <v>0</v>
      </c>
      <c r="T20" s="2025">
        <f>IFERROR(AVERAGE(Q20:S20),"")</f>
        <v>0</v>
      </c>
      <c r="U20" s="2121" t="str">
        <f>IF(T20&gt;85,("4"),IF(T20&gt;80,("3.66"),IF(T20&gt;75,("3.33"),IF(T20&gt;70,("3.00"),IF(T20&gt;65,("2.66"),IF(T20&gt;60,("2.33"),IF(T20&gt;55,("2"),IF(T20&gt;50,("1.66"),"1.33"))))))))</f>
        <v>1.33</v>
      </c>
      <c r="V20" s="2121" t="str">
        <f>IF(T20&gt;85,("A"),IF(T20&gt;80,("A-"),IF(T20&gt;75,("B+"),IF(T20&gt;70,("B"),IF(T20&gt;65,("B-"),IF(T20&gt;60,("C+"),IF(T20&gt;55,("C"),IF(T20&gt;50,("C-"),"D+"))))))))</f>
        <v>D+</v>
      </c>
      <c r="W20" s="2121" t="str">
        <f>IF(T20&gt;80,("SB"),IF(T20&gt;65,("B"),IF(T20&gt;50,("C"),IF(T20&gt;0,("K"),"0"))))</f>
        <v>0</v>
      </c>
      <c r="X20" s="1226"/>
      <c r="Y20" s="1226">
        <v>3</v>
      </c>
      <c r="Z20" s="1226"/>
      <c r="AA20" s="1227">
        <v>1</v>
      </c>
      <c r="AB20" s="1227"/>
      <c r="AC20" s="1227"/>
      <c r="AD20" s="2159">
        <f>MAX(T20:T22)</f>
        <v>0</v>
      </c>
      <c r="AE20" s="767" t="str">
        <f>IF(AD20&gt;85,("A"),IF(AD20&gt;80,("A-"),IF(AD20&gt;75,("B+"),IF(AD20&gt;70,("B"),IF(AD20&gt;65,("B-"),IF(AD20&gt;60,("C+"),IF(AD20&gt;55,("C"),IF(AD20&gt;50,("C-"),"D+"))))))))</f>
        <v>D+</v>
      </c>
    </row>
    <row r="21" spans="1:31" ht="24.95" customHeight="1" x14ac:dyDescent="0.25">
      <c r="A21" s="1207"/>
      <c r="B21" s="1208"/>
      <c r="C21" s="1212"/>
      <c r="D21" s="1459" t="s">
        <v>189</v>
      </c>
      <c r="E21" s="1672">
        <v>0</v>
      </c>
      <c r="F21" s="1672">
        <v>0</v>
      </c>
      <c r="G21" s="1672">
        <v>0</v>
      </c>
      <c r="H21" s="2069">
        <v>0</v>
      </c>
      <c r="I21" s="2069">
        <v>0</v>
      </c>
      <c r="J21" s="2069">
        <v>0</v>
      </c>
      <c r="K21" s="1672">
        <v>0</v>
      </c>
      <c r="L21" s="1672">
        <v>0</v>
      </c>
      <c r="M21" s="1672">
        <v>0</v>
      </c>
      <c r="N21" s="2027">
        <v>0</v>
      </c>
      <c r="O21" s="2027">
        <v>0</v>
      </c>
      <c r="P21" s="2027">
        <v>0</v>
      </c>
      <c r="Q21" s="2028">
        <f t="shared" ref="Q21:Q22" si="22">MAX(E21,H21,K21,N21)</f>
        <v>0</v>
      </c>
      <c r="R21" s="2026">
        <f t="shared" si="20"/>
        <v>0</v>
      </c>
      <c r="S21" s="2029">
        <f t="shared" si="21"/>
        <v>0</v>
      </c>
      <c r="T21" s="2025">
        <f t="shared" ref="T21:T22" si="23">IFERROR(AVERAGE(Q21:S21),"")</f>
        <v>0</v>
      </c>
      <c r="U21" s="2122" t="str">
        <f t="shared" ref="U21:U22" si="24">IF(T21&gt;85,("4"),IF(T21&gt;80,("3.66"),IF(T21&gt;75,("3.33"),IF(T21&gt;70,("3.00"),IF(T21&gt;65,("2.66"),IF(T21&gt;60,("2.33"),IF(T21&gt;55,("2"),IF(T21&gt;50,("1.66"),"1.33"))))))))</f>
        <v>1.33</v>
      </c>
      <c r="V21" s="2122" t="str">
        <f t="shared" ref="V21:V22" si="25">IF(T21&gt;85,("A"),IF(T21&gt;80,("A-"),IF(T21&gt;75,("B+"),IF(T21&gt;70,("B"),IF(T21&gt;65,("B-"),IF(T21&gt;60,("C+"),IF(T21&gt;55,("C"),IF(T21&gt;50,("C-"),"D+"))))))))</f>
        <v>D+</v>
      </c>
      <c r="W21" s="2122" t="str">
        <f t="shared" ref="W21:W22" si="26">IF(T21&gt;80,("SB"),IF(T21&gt;65,("B"),IF(T21&gt;50,("C"),IF(T21&gt;0,("K"),"0"))))</f>
        <v>0</v>
      </c>
      <c r="X21" s="1228"/>
      <c r="Y21" s="1229"/>
      <c r="Z21" s="1229"/>
      <c r="AA21" s="1230"/>
      <c r="AB21" s="1230"/>
      <c r="AC21" s="1231"/>
      <c r="AD21" s="2154"/>
      <c r="AE21" s="2155"/>
    </row>
    <row r="22" spans="1:31" ht="24.95" customHeight="1" x14ac:dyDescent="0.25">
      <c r="A22" s="1207"/>
      <c r="B22" s="1208"/>
      <c r="C22" s="1212"/>
      <c r="D22" s="1459" t="s">
        <v>186</v>
      </c>
      <c r="E22" s="1385">
        <v>0</v>
      </c>
      <c r="F22" s="1385">
        <v>0</v>
      </c>
      <c r="G22" s="1385">
        <v>0</v>
      </c>
      <c r="H22" s="2069"/>
      <c r="I22" s="2069"/>
      <c r="J22" s="2069"/>
      <c r="K22" s="1672">
        <v>0</v>
      </c>
      <c r="L22" s="1672">
        <v>0</v>
      </c>
      <c r="M22" s="1672">
        <v>0</v>
      </c>
      <c r="N22" s="2027">
        <v>0</v>
      </c>
      <c r="O22" s="2027">
        <v>0</v>
      </c>
      <c r="P22" s="2027">
        <v>0</v>
      </c>
      <c r="Q22" s="2028">
        <f t="shared" si="22"/>
        <v>0</v>
      </c>
      <c r="R22" s="2026">
        <f t="shared" si="20"/>
        <v>0</v>
      </c>
      <c r="S22" s="2029">
        <f t="shared" si="21"/>
        <v>0</v>
      </c>
      <c r="T22" s="2025">
        <f t="shared" si="23"/>
        <v>0</v>
      </c>
      <c r="U22" s="2122" t="str">
        <f t="shared" si="24"/>
        <v>1.33</v>
      </c>
      <c r="V22" s="2122" t="str">
        <f t="shared" si="25"/>
        <v>D+</v>
      </c>
      <c r="W22" s="2122" t="str">
        <f t="shared" si="26"/>
        <v>0</v>
      </c>
      <c r="X22" s="1232"/>
      <c r="Y22" s="1233"/>
      <c r="Z22" s="1233"/>
      <c r="AA22" s="1234"/>
      <c r="AB22" s="1234"/>
      <c r="AC22" s="1235"/>
      <c r="AD22" s="2156"/>
      <c r="AE22" s="2157"/>
    </row>
    <row r="23" spans="1:31" ht="24.95" customHeight="1" x14ac:dyDescent="0.25">
      <c r="A23" s="1236"/>
      <c r="B23" s="1241">
        <v>4</v>
      </c>
      <c r="C23" s="1220" t="s">
        <v>167</v>
      </c>
      <c r="D23" s="1237"/>
      <c r="E23" s="2687"/>
      <c r="F23" s="2688"/>
      <c r="G23" s="2688"/>
      <c r="H23" s="2688"/>
      <c r="I23" s="2076"/>
      <c r="J23" s="2076"/>
      <c r="K23" s="2076"/>
      <c r="L23" s="2076"/>
      <c r="M23" s="2076"/>
      <c r="N23" s="2076"/>
      <c r="O23" s="2076"/>
      <c r="P23" s="2076"/>
      <c r="Q23" s="2076"/>
      <c r="R23" s="2076"/>
      <c r="S23" s="2076"/>
      <c r="T23" s="2123">
        <f>IFERROR(AVERAGE(T20:T22),"  ")</f>
        <v>0</v>
      </c>
      <c r="U23" s="2124" t="str">
        <f>IF(T23&gt;85,("4"),IF(T23&gt;80,("3.66"),IF(T23&gt;75,("3.33"),IF(T23&gt;70,("3.00"),IF(T23&gt;65,("2.66"),IF(T23&gt;60,("2.33"),IF(T23&gt;55,("2"),IF(T23&gt;50,("1.66"),"1.33"))))))))</f>
        <v>1.33</v>
      </c>
      <c r="V23" s="2124" t="str">
        <f>IF(T23&gt;85,("A"),IF(T23&gt;80,("A-"),IF(T23&gt;75,("B+"),IF(T23&gt;70,("B"),IF(T23&gt;65,("B-"),IF(T23&gt;60,("C+"),IF(T23&gt;55,("C"),IF(T23&gt;50,("C-"),"D+"))))))))</f>
        <v>D+</v>
      </c>
      <c r="W23" s="2124"/>
      <c r="X23" s="1238"/>
      <c r="Y23" s="1239"/>
      <c r="Z23" s="1239"/>
      <c r="AA23" s="1239"/>
      <c r="AB23" s="1239"/>
      <c r="AC23" s="1240"/>
      <c r="AD23" s="2158"/>
      <c r="AE23" s="2125"/>
    </row>
    <row r="24" spans="1:31" ht="24.95" customHeight="1" x14ac:dyDescent="0.25">
      <c r="A24" s="1224">
        <v>5</v>
      </c>
      <c r="B24" s="1225"/>
      <c r="C24" s="1209" t="str">
        <f>VLOOKUP(A24,data_siswa,4,FALSE)</f>
        <v>Arya Pratama G</v>
      </c>
      <c r="D24" s="2089" t="s">
        <v>11</v>
      </c>
      <c r="E24" s="1672"/>
      <c r="F24" s="1672"/>
      <c r="G24" s="1672"/>
      <c r="H24" s="2069">
        <v>0</v>
      </c>
      <c r="I24" s="2069">
        <v>0</v>
      </c>
      <c r="J24" s="2069">
        <v>0</v>
      </c>
      <c r="K24" s="1672"/>
      <c r="L24" s="1672"/>
      <c r="M24" s="1672"/>
      <c r="N24" s="2027"/>
      <c r="O24" s="2027"/>
      <c r="P24" s="2027"/>
      <c r="Q24" s="2028">
        <f>MAX(E24,H24,K24,N24)</f>
        <v>0</v>
      </c>
      <c r="R24" s="2026">
        <f t="shared" ref="R24:R26" si="27">MAX(F24,I24,L24,O24)</f>
        <v>0</v>
      </c>
      <c r="S24" s="2029">
        <f t="shared" ref="S24:S26" si="28">MAX(G24,J24,M24,P24)</f>
        <v>0</v>
      </c>
      <c r="T24" s="2025">
        <f>IFERROR(AVERAGE(Q24:S24),"")</f>
        <v>0</v>
      </c>
      <c r="U24" s="2121" t="str">
        <f>IF(T24&gt;85,("4"),IF(T24&gt;80,("3.66"),IF(T24&gt;75,("3.33"),IF(T24&gt;70,("3.00"),IF(T24&gt;65,("2.66"),IF(T24&gt;60,("2.33"),IF(T24&gt;55,("2"),IF(T24&gt;50,("1.66"),"1.33"))))))))</f>
        <v>1.33</v>
      </c>
      <c r="V24" s="2121" t="str">
        <f>IF(T24&gt;85,("A"),IF(T24&gt;80,("A-"),IF(T24&gt;75,("B+"),IF(T24&gt;70,("B"),IF(T24&gt;65,("B-"),IF(T24&gt;60,("C+"),IF(T24&gt;55,("C"),IF(T24&gt;50,("C-"),"D+"))))))))</f>
        <v>D+</v>
      </c>
      <c r="W24" s="2121" t="str">
        <f>IF(T24&gt;80,("SB"),IF(T24&gt;65,("B"),IF(T24&gt;50,("C"),IF(T24&gt;0,("K"),"0"))))</f>
        <v>0</v>
      </c>
      <c r="X24" s="1226"/>
      <c r="Y24" s="1226">
        <v>3</v>
      </c>
      <c r="Z24" s="1226"/>
      <c r="AA24" s="1227">
        <v>1</v>
      </c>
      <c r="AB24" s="1227"/>
      <c r="AC24" s="1227"/>
      <c r="AD24" s="2159">
        <f>MAX(T24:T26)</f>
        <v>0</v>
      </c>
      <c r="AE24" s="767" t="str">
        <f>IF(AD24&gt;85,("A"),IF(AD24&gt;80,("A-"),IF(AD24&gt;75,("B+"),IF(AD24&gt;70,("B"),IF(AD24&gt;65,("B-"),IF(AD24&gt;60,("C+"),IF(AD24&gt;55,("C"),IF(AD24&gt;50,("C-"),"D+"))))))))</f>
        <v>D+</v>
      </c>
    </row>
    <row r="25" spans="1:31" ht="24.95" customHeight="1" x14ac:dyDescent="0.25">
      <c r="A25" s="1207"/>
      <c r="B25" s="1208"/>
      <c r="C25" s="1212"/>
      <c r="D25" s="1459" t="s">
        <v>189</v>
      </c>
      <c r="E25" s="1672">
        <v>0</v>
      </c>
      <c r="F25" s="1672">
        <v>0</v>
      </c>
      <c r="G25" s="1672">
        <v>0</v>
      </c>
      <c r="H25" s="2069">
        <v>0</v>
      </c>
      <c r="I25" s="2069">
        <v>0</v>
      </c>
      <c r="J25" s="2069">
        <v>0</v>
      </c>
      <c r="K25" s="1672">
        <v>0</v>
      </c>
      <c r="L25" s="1672">
        <v>0</v>
      </c>
      <c r="M25" s="1672">
        <v>0</v>
      </c>
      <c r="N25" s="2027">
        <v>0</v>
      </c>
      <c r="O25" s="2027">
        <v>0</v>
      </c>
      <c r="P25" s="2027">
        <v>0</v>
      </c>
      <c r="Q25" s="2028">
        <f t="shared" ref="Q25:Q26" si="29">MAX(E25,H25,K25,N25)</f>
        <v>0</v>
      </c>
      <c r="R25" s="2026">
        <f t="shared" si="27"/>
        <v>0</v>
      </c>
      <c r="S25" s="2029">
        <f t="shared" si="28"/>
        <v>0</v>
      </c>
      <c r="T25" s="2025">
        <f t="shared" ref="T25:T26" si="30">IFERROR(AVERAGE(Q25:S25),"")</f>
        <v>0</v>
      </c>
      <c r="U25" s="2122" t="str">
        <f t="shared" ref="U25:U26" si="31">IF(T25&gt;85,("4"),IF(T25&gt;80,("3.66"),IF(T25&gt;75,("3.33"),IF(T25&gt;70,("3.00"),IF(T25&gt;65,("2.66"),IF(T25&gt;60,("2.33"),IF(T25&gt;55,("2"),IF(T25&gt;50,("1.66"),"1.33"))))))))</f>
        <v>1.33</v>
      </c>
      <c r="V25" s="2122" t="str">
        <f t="shared" ref="V25:V26" si="32">IF(T25&gt;85,("A"),IF(T25&gt;80,("A-"),IF(T25&gt;75,("B+"),IF(T25&gt;70,("B"),IF(T25&gt;65,("B-"),IF(T25&gt;60,("C+"),IF(T25&gt;55,("C"),IF(T25&gt;50,("C-"),"D+"))))))))</f>
        <v>D+</v>
      </c>
      <c r="W25" s="2122" t="str">
        <f t="shared" ref="W25:W26" si="33">IF(T25&gt;80,("SB"),IF(T25&gt;65,("B"),IF(T25&gt;50,("C"),IF(T25&gt;0,("K"),"0"))))</f>
        <v>0</v>
      </c>
      <c r="X25" s="1228"/>
      <c r="Y25" s="1229"/>
      <c r="Z25" s="1229"/>
      <c r="AA25" s="1230"/>
      <c r="AB25" s="1230"/>
      <c r="AC25" s="1231"/>
      <c r="AD25" s="2154"/>
      <c r="AE25" s="2155"/>
    </row>
    <row r="26" spans="1:31" ht="24.95" customHeight="1" x14ac:dyDescent="0.25">
      <c r="A26" s="1207"/>
      <c r="B26" s="1208"/>
      <c r="C26" s="1212"/>
      <c r="D26" s="1459" t="s">
        <v>186</v>
      </c>
      <c r="E26" s="1385">
        <v>0</v>
      </c>
      <c r="F26" s="1385">
        <v>0</v>
      </c>
      <c r="G26" s="1385">
        <v>0</v>
      </c>
      <c r="H26" s="2069"/>
      <c r="I26" s="2069"/>
      <c r="J26" s="2069"/>
      <c r="K26" s="1672">
        <v>0</v>
      </c>
      <c r="L26" s="1672">
        <v>0</v>
      </c>
      <c r="M26" s="1672">
        <v>0</v>
      </c>
      <c r="N26" s="2027">
        <v>0</v>
      </c>
      <c r="O26" s="2027">
        <v>0</v>
      </c>
      <c r="P26" s="2027">
        <v>0</v>
      </c>
      <c r="Q26" s="2028">
        <f t="shared" si="29"/>
        <v>0</v>
      </c>
      <c r="R26" s="2026">
        <f t="shared" si="27"/>
        <v>0</v>
      </c>
      <c r="S26" s="2029">
        <f t="shared" si="28"/>
        <v>0</v>
      </c>
      <c r="T26" s="2025">
        <f t="shared" si="30"/>
        <v>0</v>
      </c>
      <c r="U26" s="2122" t="str">
        <f t="shared" si="31"/>
        <v>1.33</v>
      </c>
      <c r="V26" s="2122" t="str">
        <f t="shared" si="32"/>
        <v>D+</v>
      </c>
      <c r="W26" s="2122" t="str">
        <f t="shared" si="33"/>
        <v>0</v>
      </c>
      <c r="X26" s="1232"/>
      <c r="Y26" s="1233"/>
      <c r="Z26" s="1233"/>
      <c r="AA26" s="1234"/>
      <c r="AB26" s="1234"/>
      <c r="AC26" s="1235"/>
      <c r="AD26" s="2156"/>
      <c r="AE26" s="2157"/>
    </row>
    <row r="27" spans="1:31" ht="24.95" customHeight="1" x14ac:dyDescent="0.25">
      <c r="A27" s="1236"/>
      <c r="B27" s="1241">
        <v>5</v>
      </c>
      <c r="C27" s="1220" t="s">
        <v>167</v>
      </c>
      <c r="D27" s="1237"/>
      <c r="E27" s="2687"/>
      <c r="F27" s="2688"/>
      <c r="G27" s="2688"/>
      <c r="H27" s="2688"/>
      <c r="I27" s="2076"/>
      <c r="J27" s="2076"/>
      <c r="K27" s="2076"/>
      <c r="L27" s="2076"/>
      <c r="M27" s="2076"/>
      <c r="N27" s="2076"/>
      <c r="O27" s="2076"/>
      <c r="P27" s="2076"/>
      <c r="Q27" s="2076"/>
      <c r="R27" s="2076"/>
      <c r="S27" s="2076"/>
      <c r="T27" s="2123">
        <f>IFERROR(AVERAGE(T24:T26),"  ")</f>
        <v>0</v>
      </c>
      <c r="U27" s="2124" t="str">
        <f>IF(T27&gt;85,("4"),IF(T27&gt;80,("3.66"),IF(T27&gt;75,("3.33"),IF(T27&gt;70,("3.00"),IF(T27&gt;65,("2.66"),IF(T27&gt;60,("2.33"),IF(T27&gt;55,("2"),IF(T27&gt;50,("1.66"),"1.33"))))))))</f>
        <v>1.33</v>
      </c>
      <c r="V27" s="2124" t="str">
        <f>IF(T27&gt;85,("A"),IF(T27&gt;80,("A-"),IF(T27&gt;75,("B+"),IF(T27&gt;70,("B"),IF(T27&gt;65,("B-"),IF(T27&gt;60,("C+"),IF(T27&gt;55,("C"),IF(T27&gt;50,("C-"),"D+"))))))))</f>
        <v>D+</v>
      </c>
      <c r="W27" s="2124"/>
      <c r="X27" s="1238"/>
      <c r="Y27" s="1239"/>
      <c r="Z27" s="1239"/>
      <c r="AA27" s="1239"/>
      <c r="AB27" s="1239"/>
      <c r="AC27" s="1240"/>
      <c r="AD27" s="2158"/>
      <c r="AE27" s="2125"/>
    </row>
    <row r="28" spans="1:31" ht="24.95" customHeight="1" x14ac:dyDescent="0.25">
      <c r="A28" s="1224">
        <v>6</v>
      </c>
      <c r="B28" s="1225"/>
      <c r="C28" s="1209" t="str">
        <f>VLOOKUP(A28,data_siswa,4,FALSE)</f>
        <v>Asyam Hanif Ihsan H</v>
      </c>
      <c r="D28" s="2089" t="s">
        <v>11</v>
      </c>
      <c r="E28" s="1672"/>
      <c r="F28" s="1672"/>
      <c r="G28" s="1672"/>
      <c r="H28" s="2069">
        <v>0</v>
      </c>
      <c r="I28" s="2069">
        <v>0</v>
      </c>
      <c r="J28" s="2069">
        <v>0</v>
      </c>
      <c r="K28" s="1672"/>
      <c r="L28" s="1672"/>
      <c r="M28" s="1672"/>
      <c r="N28" s="2027"/>
      <c r="O28" s="2027"/>
      <c r="P28" s="2027"/>
      <c r="Q28" s="2028">
        <f>MAX(E28,H28,K28,N28)</f>
        <v>0</v>
      </c>
      <c r="R28" s="2026">
        <f t="shared" ref="R28:R30" si="34">MAX(F28,I28,L28,O28)</f>
        <v>0</v>
      </c>
      <c r="S28" s="2029">
        <f t="shared" ref="S28:S30" si="35">MAX(G28,J28,M28,P28)</f>
        <v>0</v>
      </c>
      <c r="T28" s="2025">
        <f>IFERROR(AVERAGE(Q28:S28),"")</f>
        <v>0</v>
      </c>
      <c r="U28" s="2121" t="str">
        <f>IF(T28&gt;85,("4"),IF(T28&gt;80,("3.66"),IF(T28&gt;75,("3.33"),IF(T28&gt;70,("3.00"),IF(T28&gt;65,("2.66"),IF(T28&gt;60,("2.33"),IF(T28&gt;55,("2"),IF(T28&gt;50,("1.66"),"1.33"))))))))</f>
        <v>1.33</v>
      </c>
      <c r="V28" s="2121" t="str">
        <f>IF(T28&gt;85,("A"),IF(T28&gt;80,("A-"),IF(T28&gt;75,("B+"),IF(T28&gt;70,("B"),IF(T28&gt;65,("B-"),IF(T28&gt;60,("C+"),IF(T28&gt;55,("C"),IF(T28&gt;50,("C-"),"D+"))))))))</f>
        <v>D+</v>
      </c>
      <c r="W28" s="2121" t="str">
        <f>IF(T28&gt;80,("SB"),IF(T28&gt;65,("B"),IF(T28&gt;50,("C"),IF(T28&gt;0,("K"),"0"))))</f>
        <v>0</v>
      </c>
      <c r="X28" s="1226"/>
      <c r="Y28" s="1226">
        <v>3</v>
      </c>
      <c r="Z28" s="1226"/>
      <c r="AA28" s="1227">
        <v>1</v>
      </c>
      <c r="AB28" s="1227"/>
      <c r="AC28" s="1227"/>
      <c r="AD28" s="2159">
        <f>MAX(T28:T30)</f>
        <v>0</v>
      </c>
      <c r="AE28" s="767" t="str">
        <f>IF(AD28&gt;85,("A"),IF(AD28&gt;80,("A-"),IF(AD28&gt;75,("B+"),IF(AD28&gt;70,("B"),IF(AD28&gt;65,("B-"),IF(AD28&gt;60,("C+"),IF(AD28&gt;55,("C"),IF(AD28&gt;50,("C-"),"D+"))))))))</f>
        <v>D+</v>
      </c>
    </row>
    <row r="29" spans="1:31" ht="24.95" customHeight="1" x14ac:dyDescent="0.25">
      <c r="A29" s="1207"/>
      <c r="B29" s="1208"/>
      <c r="C29" s="1212"/>
      <c r="D29" s="1459" t="s">
        <v>189</v>
      </c>
      <c r="E29" s="1672">
        <v>0</v>
      </c>
      <c r="F29" s="1672">
        <v>0</v>
      </c>
      <c r="G29" s="1672">
        <v>0</v>
      </c>
      <c r="H29" s="2069">
        <v>0</v>
      </c>
      <c r="I29" s="2069">
        <v>0</v>
      </c>
      <c r="J29" s="2069">
        <v>0</v>
      </c>
      <c r="K29" s="1672">
        <v>0</v>
      </c>
      <c r="L29" s="1672">
        <v>0</v>
      </c>
      <c r="M29" s="1672">
        <v>0</v>
      </c>
      <c r="N29" s="2027">
        <v>0</v>
      </c>
      <c r="O29" s="2027">
        <v>0</v>
      </c>
      <c r="P29" s="2027">
        <v>0</v>
      </c>
      <c r="Q29" s="2028">
        <f t="shared" ref="Q29:Q30" si="36">MAX(E29,H29,K29,N29)</f>
        <v>0</v>
      </c>
      <c r="R29" s="2026">
        <f t="shared" si="34"/>
        <v>0</v>
      </c>
      <c r="S29" s="2029">
        <f t="shared" si="35"/>
        <v>0</v>
      </c>
      <c r="T29" s="2025">
        <f t="shared" ref="T29:T30" si="37">IFERROR(AVERAGE(Q29:S29),"")</f>
        <v>0</v>
      </c>
      <c r="U29" s="2122" t="str">
        <f t="shared" ref="U29:U30" si="38">IF(T29&gt;85,("4"),IF(T29&gt;80,("3.66"),IF(T29&gt;75,("3.33"),IF(T29&gt;70,("3.00"),IF(T29&gt;65,("2.66"),IF(T29&gt;60,("2.33"),IF(T29&gt;55,("2"),IF(T29&gt;50,("1.66"),"1.33"))))))))</f>
        <v>1.33</v>
      </c>
      <c r="V29" s="2122" t="str">
        <f t="shared" ref="V29:V30" si="39">IF(T29&gt;85,("A"),IF(T29&gt;80,("A-"),IF(T29&gt;75,("B+"),IF(T29&gt;70,("B"),IF(T29&gt;65,("B-"),IF(T29&gt;60,("C+"),IF(T29&gt;55,("C"),IF(T29&gt;50,("C-"),"D+"))))))))</f>
        <v>D+</v>
      </c>
      <c r="W29" s="2122" t="str">
        <f t="shared" ref="W29:W30" si="40">IF(T29&gt;80,("SB"),IF(T29&gt;65,("B"),IF(T29&gt;50,("C"),IF(T29&gt;0,("K"),"0"))))</f>
        <v>0</v>
      </c>
      <c r="X29" s="1228"/>
      <c r="Y29" s="1229"/>
      <c r="Z29" s="1229"/>
      <c r="AA29" s="1230"/>
      <c r="AB29" s="1230"/>
      <c r="AC29" s="1231"/>
      <c r="AD29" s="2154"/>
      <c r="AE29" s="2155"/>
    </row>
    <row r="30" spans="1:31" ht="24.95" customHeight="1" x14ac:dyDescent="0.25">
      <c r="A30" s="1207"/>
      <c r="B30" s="1208"/>
      <c r="C30" s="1212"/>
      <c r="D30" s="1459" t="s">
        <v>186</v>
      </c>
      <c r="E30" s="1385">
        <v>0</v>
      </c>
      <c r="F30" s="1385">
        <v>0</v>
      </c>
      <c r="G30" s="1385">
        <v>0</v>
      </c>
      <c r="H30" s="2069"/>
      <c r="I30" s="2069"/>
      <c r="J30" s="2069"/>
      <c r="K30" s="1672">
        <v>0</v>
      </c>
      <c r="L30" s="1672">
        <v>0</v>
      </c>
      <c r="M30" s="1672">
        <v>0</v>
      </c>
      <c r="N30" s="2027">
        <v>0</v>
      </c>
      <c r="O30" s="2027">
        <v>0</v>
      </c>
      <c r="P30" s="2027">
        <v>0</v>
      </c>
      <c r="Q30" s="2028">
        <f t="shared" si="36"/>
        <v>0</v>
      </c>
      <c r="R30" s="2026">
        <f t="shared" si="34"/>
        <v>0</v>
      </c>
      <c r="S30" s="2029">
        <f t="shared" si="35"/>
        <v>0</v>
      </c>
      <c r="T30" s="2025">
        <f t="shared" si="37"/>
        <v>0</v>
      </c>
      <c r="U30" s="2122" t="str">
        <f t="shared" si="38"/>
        <v>1.33</v>
      </c>
      <c r="V30" s="2122" t="str">
        <f t="shared" si="39"/>
        <v>D+</v>
      </c>
      <c r="W30" s="2122" t="str">
        <f t="shared" si="40"/>
        <v>0</v>
      </c>
      <c r="X30" s="1232"/>
      <c r="Y30" s="1233"/>
      <c r="Z30" s="1233"/>
      <c r="AA30" s="1234"/>
      <c r="AB30" s="1234"/>
      <c r="AC30" s="1235"/>
      <c r="AD30" s="2156"/>
      <c r="AE30" s="2157"/>
    </row>
    <row r="31" spans="1:31" ht="24.95" customHeight="1" x14ac:dyDescent="0.25">
      <c r="A31" s="1236"/>
      <c r="B31" s="1241">
        <v>6</v>
      </c>
      <c r="C31" s="1220" t="s">
        <v>167</v>
      </c>
      <c r="D31" s="1237"/>
      <c r="E31" s="2687"/>
      <c r="F31" s="2688"/>
      <c r="G31" s="2688"/>
      <c r="H31" s="2688"/>
      <c r="I31" s="2076"/>
      <c r="J31" s="2076"/>
      <c r="K31" s="2076"/>
      <c r="L31" s="2076"/>
      <c r="M31" s="2076"/>
      <c r="N31" s="2076"/>
      <c r="O31" s="2076"/>
      <c r="P31" s="2076"/>
      <c r="Q31" s="2076"/>
      <c r="R31" s="2076"/>
      <c r="S31" s="2076"/>
      <c r="T31" s="2123">
        <f>IFERROR(AVERAGE(T28:T30),"  ")</f>
        <v>0</v>
      </c>
      <c r="U31" s="2124" t="str">
        <f>IF(T31&gt;85,("4"),IF(T31&gt;80,("3.66"),IF(T31&gt;75,("3.33"),IF(T31&gt;70,("3.00"),IF(T31&gt;65,("2.66"),IF(T31&gt;60,("2.33"),IF(T31&gt;55,("2"),IF(T31&gt;50,("1.66"),"1.33"))))))))</f>
        <v>1.33</v>
      </c>
      <c r="V31" s="2124" t="str">
        <f>IF(T31&gt;85,("A"),IF(T31&gt;80,("A-"),IF(T31&gt;75,("B+"),IF(T31&gt;70,("B"),IF(T31&gt;65,("B-"),IF(T31&gt;60,("C+"),IF(T31&gt;55,("C"),IF(T31&gt;50,("C-"),"D+"))))))))</f>
        <v>D+</v>
      </c>
      <c r="W31" s="2124"/>
      <c r="X31" s="1238"/>
      <c r="Y31" s="1239"/>
      <c r="Z31" s="1239"/>
      <c r="AA31" s="1239"/>
      <c r="AB31" s="1239"/>
      <c r="AC31" s="1240"/>
      <c r="AD31" s="2158"/>
      <c r="AE31" s="2125"/>
    </row>
    <row r="32" spans="1:31" ht="24.95" customHeight="1" x14ac:dyDescent="0.25">
      <c r="A32" s="1224">
        <v>7</v>
      </c>
      <c r="B32" s="1225"/>
      <c r="C32" s="1242" t="str">
        <f>UTagm!$B$15</f>
        <v>Athaya Salsabilla Z</v>
      </c>
      <c r="D32" s="2089" t="s">
        <v>11</v>
      </c>
      <c r="E32" s="1672"/>
      <c r="F32" s="1672"/>
      <c r="G32" s="1672"/>
      <c r="H32" s="2069">
        <v>0</v>
      </c>
      <c r="I32" s="2069">
        <v>0</v>
      </c>
      <c r="J32" s="2069">
        <v>0</v>
      </c>
      <c r="K32" s="1672"/>
      <c r="L32" s="1672"/>
      <c r="M32" s="1672"/>
      <c r="N32" s="2027"/>
      <c r="O32" s="2027"/>
      <c r="P32" s="2027"/>
      <c r="Q32" s="2028">
        <f>MAX(E32,H32,K32,N32)</f>
        <v>0</v>
      </c>
      <c r="R32" s="2026">
        <f t="shared" ref="R32:R34" si="41">MAX(F32,I32,L32,O32)</f>
        <v>0</v>
      </c>
      <c r="S32" s="2029">
        <f t="shared" ref="S32:S34" si="42">MAX(G32,J32,M32,P32)</f>
        <v>0</v>
      </c>
      <c r="T32" s="2025">
        <f>IFERROR(AVERAGE(Q32:S32),"")</f>
        <v>0</v>
      </c>
      <c r="U32" s="2121" t="str">
        <f>IF(T32&gt;85,("4"),IF(T32&gt;80,("3.66"),IF(T32&gt;75,("3.33"),IF(T32&gt;70,("3.00"),IF(T32&gt;65,("2.66"),IF(T32&gt;60,("2.33"),IF(T32&gt;55,("2"),IF(T32&gt;50,("1.66"),"1.33"))))))))</f>
        <v>1.33</v>
      </c>
      <c r="V32" s="2121" t="str">
        <f>IF(T32&gt;85,("A"),IF(T32&gt;80,("A-"),IF(T32&gt;75,("B+"),IF(T32&gt;70,("B"),IF(T32&gt;65,("B-"),IF(T32&gt;60,("C+"),IF(T32&gt;55,("C"),IF(T32&gt;50,("C-"),"D+"))))))))</f>
        <v>D+</v>
      </c>
      <c r="W32" s="2121" t="str">
        <f>IF(T32&gt;80,("SB"),IF(T32&gt;65,("B"),IF(T32&gt;50,("C"),IF(T32&gt;0,("K"),"0"))))</f>
        <v>0</v>
      </c>
      <c r="X32" s="1226"/>
      <c r="Y32" s="1226">
        <v>3</v>
      </c>
      <c r="Z32" s="1226"/>
      <c r="AA32" s="1227">
        <v>1</v>
      </c>
      <c r="AB32" s="1227"/>
      <c r="AC32" s="1227"/>
      <c r="AD32" s="2159">
        <f>MAX(T32:T34)</f>
        <v>0</v>
      </c>
      <c r="AE32" s="767" t="str">
        <f>IF(AD32&gt;85,("A"),IF(AD32&gt;80,("A-"),IF(AD32&gt;75,("B+"),IF(AD32&gt;70,("B"),IF(AD32&gt;65,("B-"),IF(AD32&gt;60,("C+"),IF(AD32&gt;55,("C"),IF(AD32&gt;50,("C-"),"D+"))))))))</f>
        <v>D+</v>
      </c>
    </row>
    <row r="33" spans="1:31" ht="24.95" customHeight="1" x14ac:dyDescent="0.25">
      <c r="A33" s="1207"/>
      <c r="B33" s="1208"/>
      <c r="C33" s="1212"/>
      <c r="D33" s="1459" t="s">
        <v>189</v>
      </c>
      <c r="E33" s="1672">
        <v>0</v>
      </c>
      <c r="F33" s="1672">
        <v>0</v>
      </c>
      <c r="G33" s="1672">
        <v>0</v>
      </c>
      <c r="H33" s="2069">
        <v>0</v>
      </c>
      <c r="I33" s="2069">
        <v>0</v>
      </c>
      <c r="J33" s="2069">
        <v>0</v>
      </c>
      <c r="K33" s="1672">
        <v>0</v>
      </c>
      <c r="L33" s="1672">
        <v>0</v>
      </c>
      <c r="M33" s="1672">
        <v>0</v>
      </c>
      <c r="N33" s="2027">
        <v>0</v>
      </c>
      <c r="O33" s="2027">
        <v>0</v>
      </c>
      <c r="P33" s="2027">
        <v>0</v>
      </c>
      <c r="Q33" s="2028">
        <f t="shared" ref="Q33:Q34" si="43">MAX(E33,H33,K33,N33)</f>
        <v>0</v>
      </c>
      <c r="R33" s="2026">
        <f t="shared" si="41"/>
        <v>0</v>
      </c>
      <c r="S33" s="2029">
        <f t="shared" si="42"/>
        <v>0</v>
      </c>
      <c r="T33" s="2025">
        <f t="shared" ref="T33:T34" si="44">IFERROR(AVERAGE(Q33:S33),"")</f>
        <v>0</v>
      </c>
      <c r="U33" s="2122" t="str">
        <f t="shared" ref="U33:U34" si="45">IF(T33&gt;85,("4"),IF(T33&gt;80,("3.66"),IF(T33&gt;75,("3.33"),IF(T33&gt;70,("3.00"),IF(T33&gt;65,("2.66"),IF(T33&gt;60,("2.33"),IF(T33&gt;55,("2"),IF(T33&gt;50,("1.66"),"1.33"))))))))</f>
        <v>1.33</v>
      </c>
      <c r="V33" s="2122" t="str">
        <f t="shared" ref="V33:V34" si="46">IF(T33&gt;85,("A"),IF(T33&gt;80,("A-"),IF(T33&gt;75,("B+"),IF(T33&gt;70,("B"),IF(T33&gt;65,("B-"),IF(T33&gt;60,("C+"),IF(T33&gt;55,("C"),IF(T33&gt;50,("C-"),"D+"))))))))</f>
        <v>D+</v>
      </c>
      <c r="W33" s="2122" t="str">
        <f t="shared" ref="W33:W34" si="47">IF(T33&gt;80,("SB"),IF(T33&gt;65,("B"),IF(T33&gt;50,("C"),IF(T33&gt;0,("K"),"0"))))</f>
        <v>0</v>
      </c>
      <c r="X33" s="1228"/>
      <c r="Y33" s="1229"/>
      <c r="Z33" s="1229"/>
      <c r="AA33" s="1230"/>
      <c r="AB33" s="1230"/>
      <c r="AC33" s="1231"/>
      <c r="AD33" s="2154"/>
      <c r="AE33" s="2155"/>
    </row>
    <row r="34" spans="1:31" ht="24.95" customHeight="1" x14ac:dyDescent="0.25">
      <c r="A34" s="1207"/>
      <c r="B34" s="1208"/>
      <c r="C34" s="1212"/>
      <c r="D34" s="1459" t="s">
        <v>186</v>
      </c>
      <c r="E34" s="1385">
        <v>0</v>
      </c>
      <c r="F34" s="1385">
        <v>0</v>
      </c>
      <c r="G34" s="1385">
        <v>0</v>
      </c>
      <c r="H34" s="2069"/>
      <c r="I34" s="2069"/>
      <c r="J34" s="2069"/>
      <c r="K34" s="1672">
        <v>0</v>
      </c>
      <c r="L34" s="1672">
        <v>0</v>
      </c>
      <c r="M34" s="1672">
        <v>0</v>
      </c>
      <c r="N34" s="2027">
        <v>0</v>
      </c>
      <c r="O34" s="2027">
        <v>0</v>
      </c>
      <c r="P34" s="2027">
        <v>0</v>
      </c>
      <c r="Q34" s="2028">
        <f t="shared" si="43"/>
        <v>0</v>
      </c>
      <c r="R34" s="2026">
        <f t="shared" si="41"/>
        <v>0</v>
      </c>
      <c r="S34" s="2029">
        <f t="shared" si="42"/>
        <v>0</v>
      </c>
      <c r="T34" s="2025">
        <f t="shared" si="44"/>
        <v>0</v>
      </c>
      <c r="U34" s="2122" t="str">
        <f t="shared" si="45"/>
        <v>1.33</v>
      </c>
      <c r="V34" s="2122" t="str">
        <f t="shared" si="46"/>
        <v>D+</v>
      </c>
      <c r="W34" s="2122" t="str">
        <f t="shared" si="47"/>
        <v>0</v>
      </c>
      <c r="X34" s="1232"/>
      <c r="Y34" s="1233"/>
      <c r="Z34" s="1233"/>
      <c r="AA34" s="1234"/>
      <c r="AB34" s="1234"/>
      <c r="AC34" s="1235"/>
      <c r="AD34" s="2156"/>
      <c r="AE34" s="2157"/>
    </row>
    <row r="35" spans="1:31" ht="24.95" customHeight="1" x14ac:dyDescent="0.25">
      <c r="A35" s="1236"/>
      <c r="B35" s="1241">
        <v>7</v>
      </c>
      <c r="C35" s="1220" t="s">
        <v>167</v>
      </c>
      <c r="D35" s="1237"/>
      <c r="E35" s="2687"/>
      <c r="F35" s="2688"/>
      <c r="G35" s="2688"/>
      <c r="H35" s="2688"/>
      <c r="I35" s="2076"/>
      <c r="J35" s="2076"/>
      <c r="K35" s="2076"/>
      <c r="L35" s="2076"/>
      <c r="M35" s="2076"/>
      <c r="N35" s="2076"/>
      <c r="O35" s="2076"/>
      <c r="P35" s="2076"/>
      <c r="Q35" s="2076"/>
      <c r="R35" s="2076"/>
      <c r="S35" s="2076"/>
      <c r="T35" s="2123">
        <f>IFERROR(AVERAGE(T32:T34),"  ")</f>
        <v>0</v>
      </c>
      <c r="U35" s="2124" t="str">
        <f>IF(T35&gt;85,("4"),IF(T35&gt;80,("3.66"),IF(T35&gt;75,("3.33"),IF(T35&gt;70,("3.00"),IF(T35&gt;65,("2.66"),IF(T35&gt;60,("2.33"),IF(T35&gt;55,("2"),IF(T35&gt;50,("1.66"),"1.33"))))))))</f>
        <v>1.33</v>
      </c>
      <c r="V35" s="2124" t="str">
        <f>IF(T35&gt;85,("A"),IF(T35&gt;80,("A-"),IF(T35&gt;75,("B+"),IF(T35&gt;70,("B"),IF(T35&gt;65,("B-"),IF(T35&gt;60,("C+"),IF(T35&gt;55,("C"),IF(T35&gt;50,("C-"),"D+"))))))))</f>
        <v>D+</v>
      </c>
      <c r="W35" s="2124"/>
      <c r="X35" s="1238"/>
      <c r="Y35" s="1239"/>
      <c r="Z35" s="1239"/>
      <c r="AA35" s="1239"/>
      <c r="AB35" s="1239"/>
      <c r="AC35" s="1240"/>
      <c r="AD35" s="2158"/>
      <c r="AE35" s="2125"/>
    </row>
    <row r="36" spans="1:31" ht="24.95" customHeight="1" x14ac:dyDescent="0.25">
      <c r="A36" s="1224">
        <v>8</v>
      </c>
      <c r="B36" s="1225"/>
      <c r="C36" s="1209" t="str">
        <f>VLOOKUP(A36,data_siswa,4,FALSE)</f>
        <v>Aulia Dea Rosalinda</v>
      </c>
      <c r="D36" s="2089" t="s">
        <v>11</v>
      </c>
      <c r="E36" s="1672"/>
      <c r="F36" s="1672"/>
      <c r="G36" s="1672"/>
      <c r="H36" s="2069">
        <v>0</v>
      </c>
      <c r="I36" s="2069">
        <v>0</v>
      </c>
      <c r="J36" s="2069">
        <v>0</v>
      </c>
      <c r="K36" s="1672"/>
      <c r="L36" s="1672"/>
      <c r="M36" s="1672"/>
      <c r="N36" s="2027"/>
      <c r="O36" s="2027"/>
      <c r="P36" s="2027"/>
      <c r="Q36" s="2028">
        <f>MAX(E36,H36,K36,N36)</f>
        <v>0</v>
      </c>
      <c r="R36" s="2026">
        <f t="shared" ref="R36:R38" si="48">MAX(F36,I36,L36,O36)</f>
        <v>0</v>
      </c>
      <c r="S36" s="2029">
        <f t="shared" ref="S36:S38" si="49">MAX(G36,J36,M36,P36)</f>
        <v>0</v>
      </c>
      <c r="T36" s="2025">
        <f>IFERROR(AVERAGE(Q36:S36),"")</f>
        <v>0</v>
      </c>
      <c r="U36" s="2121" t="str">
        <f>IF(T36&gt;85,("4"),IF(T36&gt;80,("3.66"),IF(T36&gt;75,("3.33"),IF(T36&gt;70,("3.00"),IF(T36&gt;65,("2.66"),IF(T36&gt;60,("2.33"),IF(T36&gt;55,("2"),IF(T36&gt;50,("1.66"),"1.33"))))))))</f>
        <v>1.33</v>
      </c>
      <c r="V36" s="2121" t="str">
        <f>IF(T36&gt;85,("A"),IF(T36&gt;80,("A-"),IF(T36&gt;75,("B+"),IF(T36&gt;70,("B"),IF(T36&gt;65,("B-"),IF(T36&gt;60,("C+"),IF(T36&gt;55,("C"),IF(T36&gt;50,("C-"),"D+"))))))))</f>
        <v>D+</v>
      </c>
      <c r="W36" s="2121" t="str">
        <f>IF(T36&gt;80,("SB"),IF(T36&gt;65,("B"),IF(T36&gt;50,("C"),IF(T36&gt;0,("K"),"0"))))</f>
        <v>0</v>
      </c>
      <c r="X36" s="1226"/>
      <c r="Y36" s="1226">
        <v>3</v>
      </c>
      <c r="Z36" s="1226"/>
      <c r="AA36" s="1227">
        <v>1</v>
      </c>
      <c r="AB36" s="1227"/>
      <c r="AC36" s="1227"/>
      <c r="AD36" s="2159">
        <f>MAX(T36:T38)</f>
        <v>0</v>
      </c>
      <c r="AE36" s="767" t="str">
        <f>IF(AD36&gt;85,("A"),IF(AD36&gt;80,("A-"),IF(AD36&gt;75,("B+"),IF(AD36&gt;70,("B"),IF(AD36&gt;65,("B-"),IF(AD36&gt;60,("C+"),IF(AD36&gt;55,("C"),IF(AD36&gt;50,("C-"),"D+"))))))))</f>
        <v>D+</v>
      </c>
    </row>
    <row r="37" spans="1:31" ht="24.95" customHeight="1" x14ac:dyDescent="0.25">
      <c r="A37" s="1207"/>
      <c r="B37" s="1208"/>
      <c r="C37" s="1212"/>
      <c r="D37" s="1459" t="s">
        <v>189</v>
      </c>
      <c r="E37" s="1672">
        <v>0</v>
      </c>
      <c r="F37" s="1672">
        <v>0</v>
      </c>
      <c r="G37" s="1672">
        <v>0</v>
      </c>
      <c r="H37" s="2069">
        <v>0</v>
      </c>
      <c r="I37" s="2069">
        <v>0</v>
      </c>
      <c r="J37" s="2069">
        <v>0</v>
      </c>
      <c r="K37" s="1672">
        <v>0</v>
      </c>
      <c r="L37" s="1672">
        <v>0</v>
      </c>
      <c r="M37" s="1672">
        <v>0</v>
      </c>
      <c r="N37" s="2027">
        <v>0</v>
      </c>
      <c r="O37" s="2027">
        <v>0</v>
      </c>
      <c r="P37" s="2027">
        <v>0</v>
      </c>
      <c r="Q37" s="2028">
        <f t="shared" ref="Q37:Q38" si="50">MAX(E37,H37,K37,N37)</f>
        <v>0</v>
      </c>
      <c r="R37" s="2026">
        <f t="shared" si="48"/>
        <v>0</v>
      </c>
      <c r="S37" s="2029">
        <f t="shared" si="49"/>
        <v>0</v>
      </c>
      <c r="T37" s="2025">
        <f t="shared" ref="T37:T38" si="51">IFERROR(AVERAGE(Q37:S37),"")</f>
        <v>0</v>
      </c>
      <c r="U37" s="2122" t="str">
        <f t="shared" ref="U37:U38" si="52">IF(T37&gt;85,("4"),IF(T37&gt;80,("3.66"),IF(T37&gt;75,("3.33"),IF(T37&gt;70,("3.00"),IF(T37&gt;65,("2.66"),IF(T37&gt;60,("2.33"),IF(T37&gt;55,("2"),IF(T37&gt;50,("1.66"),"1.33"))))))))</f>
        <v>1.33</v>
      </c>
      <c r="V37" s="2122" t="str">
        <f t="shared" ref="V37:V38" si="53">IF(T37&gt;85,("A"),IF(T37&gt;80,("A-"),IF(T37&gt;75,("B+"),IF(T37&gt;70,("B"),IF(T37&gt;65,("B-"),IF(T37&gt;60,("C+"),IF(T37&gt;55,("C"),IF(T37&gt;50,("C-"),"D+"))))))))</f>
        <v>D+</v>
      </c>
      <c r="W37" s="2122" t="str">
        <f t="shared" ref="W37:W38" si="54">IF(T37&gt;80,("SB"),IF(T37&gt;65,("B"),IF(T37&gt;50,("C"),IF(T37&gt;0,("K"),"0"))))</f>
        <v>0</v>
      </c>
      <c r="X37" s="1228"/>
      <c r="Y37" s="1229"/>
      <c r="Z37" s="1229"/>
      <c r="AA37" s="1230"/>
      <c r="AB37" s="1230"/>
      <c r="AC37" s="1231"/>
      <c r="AD37" s="2154"/>
      <c r="AE37" s="2155"/>
    </row>
    <row r="38" spans="1:31" ht="24.95" customHeight="1" x14ac:dyDescent="0.25">
      <c r="A38" s="1207"/>
      <c r="B38" s="1208"/>
      <c r="C38" s="1212"/>
      <c r="D38" s="1459" t="s">
        <v>186</v>
      </c>
      <c r="E38" s="1385">
        <v>0</v>
      </c>
      <c r="F38" s="1385">
        <v>0</v>
      </c>
      <c r="G38" s="1385">
        <v>0</v>
      </c>
      <c r="H38" s="2069"/>
      <c r="I38" s="2069"/>
      <c r="J38" s="2069"/>
      <c r="K38" s="1672">
        <v>0</v>
      </c>
      <c r="L38" s="1672">
        <v>0</v>
      </c>
      <c r="M38" s="1672">
        <v>0</v>
      </c>
      <c r="N38" s="2027">
        <v>0</v>
      </c>
      <c r="O38" s="2027">
        <v>0</v>
      </c>
      <c r="P38" s="2027">
        <v>0</v>
      </c>
      <c r="Q38" s="2028">
        <f t="shared" si="50"/>
        <v>0</v>
      </c>
      <c r="R38" s="2026">
        <f t="shared" si="48"/>
        <v>0</v>
      </c>
      <c r="S38" s="2029">
        <f t="shared" si="49"/>
        <v>0</v>
      </c>
      <c r="T38" s="2025">
        <f t="shared" si="51"/>
        <v>0</v>
      </c>
      <c r="U38" s="2122" t="str">
        <f t="shared" si="52"/>
        <v>1.33</v>
      </c>
      <c r="V38" s="2122" t="str">
        <f t="shared" si="53"/>
        <v>D+</v>
      </c>
      <c r="W38" s="2122" t="str">
        <f t="shared" si="54"/>
        <v>0</v>
      </c>
      <c r="X38" s="1232"/>
      <c r="Y38" s="1233"/>
      <c r="Z38" s="1233"/>
      <c r="AA38" s="1234"/>
      <c r="AB38" s="1234"/>
      <c r="AC38" s="1235"/>
      <c r="AD38" s="2156"/>
      <c r="AE38" s="2157"/>
    </row>
    <row r="39" spans="1:31" ht="24.95" customHeight="1" x14ac:dyDescent="0.25">
      <c r="A39" s="1236"/>
      <c r="B39" s="1241">
        <v>8</v>
      </c>
      <c r="C39" s="1220" t="s">
        <v>167</v>
      </c>
      <c r="D39" s="1237"/>
      <c r="E39" s="2687"/>
      <c r="F39" s="2688"/>
      <c r="G39" s="2688"/>
      <c r="H39" s="2688"/>
      <c r="I39" s="2076"/>
      <c r="J39" s="2076"/>
      <c r="K39" s="2076"/>
      <c r="L39" s="2076"/>
      <c r="M39" s="2076"/>
      <c r="N39" s="2076"/>
      <c r="O39" s="2076"/>
      <c r="P39" s="2076"/>
      <c r="Q39" s="2076"/>
      <c r="R39" s="2076"/>
      <c r="S39" s="2076"/>
      <c r="T39" s="2123">
        <f>IFERROR(AVERAGE(T36:T38),"  ")</f>
        <v>0</v>
      </c>
      <c r="U39" s="2124" t="str">
        <f>IF(T39&gt;85,("4"),IF(T39&gt;80,("3.66"),IF(T39&gt;75,("3.33"),IF(T39&gt;70,("3.00"),IF(T39&gt;65,("2.66"),IF(T39&gt;60,("2.33"),IF(T39&gt;55,("2"),IF(T39&gt;50,("1.66"),"1.33"))))))))</f>
        <v>1.33</v>
      </c>
      <c r="V39" s="2124" t="str">
        <f>IF(T39&gt;85,("A"),IF(T39&gt;80,("A-"),IF(T39&gt;75,("B+"),IF(T39&gt;70,("B"),IF(T39&gt;65,("B-"),IF(T39&gt;60,("C+"),IF(T39&gt;55,("C"),IF(T39&gt;50,("C-"),"D+"))))))))</f>
        <v>D+</v>
      </c>
      <c r="W39" s="2124"/>
      <c r="X39" s="1238"/>
      <c r="Y39" s="1239"/>
      <c r="Z39" s="1239"/>
      <c r="AA39" s="1239"/>
      <c r="AB39" s="1239"/>
      <c r="AC39" s="1240"/>
      <c r="AD39" s="2158"/>
      <c r="AE39" s="2125"/>
    </row>
    <row r="40" spans="1:31" ht="24.95" customHeight="1" x14ac:dyDescent="0.25">
      <c r="A40" s="1224">
        <v>9</v>
      </c>
      <c r="B40" s="1225"/>
      <c r="C40" s="1209" t="str">
        <f>VLOOKUP(A40,data_siswa,4,FALSE)</f>
        <v>Claudia Gabriella L</v>
      </c>
      <c r="D40" s="2089" t="s">
        <v>11</v>
      </c>
      <c r="E40" s="1672"/>
      <c r="F40" s="1672"/>
      <c r="G40" s="1672"/>
      <c r="H40" s="2069">
        <v>0</v>
      </c>
      <c r="I40" s="2069">
        <v>0</v>
      </c>
      <c r="J40" s="2069">
        <v>0</v>
      </c>
      <c r="K40" s="1672"/>
      <c r="L40" s="1672"/>
      <c r="M40" s="1672"/>
      <c r="N40" s="2027"/>
      <c r="O40" s="2027"/>
      <c r="P40" s="2027"/>
      <c r="Q40" s="2028">
        <f>MAX(E40,H40,K40,N40)</f>
        <v>0</v>
      </c>
      <c r="R40" s="2026">
        <f t="shared" ref="R40:R42" si="55">MAX(F40,I40,L40,O40)</f>
        <v>0</v>
      </c>
      <c r="S40" s="2029">
        <f t="shared" ref="S40:S42" si="56">MAX(G40,J40,M40,P40)</f>
        <v>0</v>
      </c>
      <c r="T40" s="2025">
        <f>IFERROR(AVERAGE(Q40:S40),"")</f>
        <v>0</v>
      </c>
      <c r="U40" s="2121" t="str">
        <f>IF(T40&gt;85,("4"),IF(T40&gt;80,("3.66"),IF(T40&gt;75,("3.33"),IF(T40&gt;70,("3.00"),IF(T40&gt;65,("2.66"),IF(T40&gt;60,("2.33"),IF(T40&gt;55,("2"),IF(T40&gt;50,("1.66"),"1.33"))))))))</f>
        <v>1.33</v>
      </c>
      <c r="V40" s="2121" t="str">
        <f>IF(T40&gt;85,("A"),IF(T40&gt;80,("A-"),IF(T40&gt;75,("B+"),IF(T40&gt;70,("B"),IF(T40&gt;65,("B-"),IF(T40&gt;60,("C+"),IF(T40&gt;55,("C"),IF(T40&gt;50,("C-"),"D+"))))))))</f>
        <v>D+</v>
      </c>
      <c r="W40" s="2121" t="str">
        <f>IF(T40&gt;80,("SB"),IF(T40&gt;65,("B"),IF(T40&gt;50,("C"),IF(T40&gt;0,("K"),"0"))))</f>
        <v>0</v>
      </c>
      <c r="X40" s="1226"/>
      <c r="Y40" s="1226">
        <v>3</v>
      </c>
      <c r="Z40" s="1226"/>
      <c r="AA40" s="1227">
        <v>1</v>
      </c>
      <c r="AB40" s="1227"/>
      <c r="AC40" s="1227"/>
      <c r="AD40" s="2159">
        <f>MAX(T40:T42)</f>
        <v>0</v>
      </c>
      <c r="AE40" s="767" t="str">
        <f>IF(AD40&gt;85,("A"),IF(AD40&gt;80,("A-"),IF(AD40&gt;75,("B+"),IF(AD40&gt;70,("B"),IF(AD40&gt;65,("B-"),IF(AD40&gt;60,("C+"),IF(AD40&gt;55,("C"),IF(AD40&gt;50,("C-"),"D+"))))))))</f>
        <v>D+</v>
      </c>
    </row>
    <row r="41" spans="1:31" ht="24.95" customHeight="1" x14ac:dyDescent="0.25">
      <c r="A41" s="1207"/>
      <c r="B41" s="1208"/>
      <c r="C41" s="1212"/>
      <c r="D41" s="1459" t="s">
        <v>189</v>
      </c>
      <c r="E41" s="1672">
        <v>0</v>
      </c>
      <c r="F41" s="1672">
        <v>0</v>
      </c>
      <c r="G41" s="1672">
        <v>0</v>
      </c>
      <c r="H41" s="2069">
        <v>0</v>
      </c>
      <c r="I41" s="2069">
        <v>0</v>
      </c>
      <c r="J41" s="2069">
        <v>0</v>
      </c>
      <c r="K41" s="1672">
        <v>0</v>
      </c>
      <c r="L41" s="1672">
        <v>0</v>
      </c>
      <c r="M41" s="1672">
        <v>0</v>
      </c>
      <c r="N41" s="2027">
        <v>0</v>
      </c>
      <c r="O41" s="2027">
        <v>0</v>
      </c>
      <c r="P41" s="2027">
        <v>0</v>
      </c>
      <c r="Q41" s="2028">
        <f t="shared" ref="Q41:Q42" si="57">MAX(E41,H41,K41,N41)</f>
        <v>0</v>
      </c>
      <c r="R41" s="2026">
        <f t="shared" si="55"/>
        <v>0</v>
      </c>
      <c r="S41" s="2029">
        <f t="shared" si="56"/>
        <v>0</v>
      </c>
      <c r="T41" s="2025">
        <f t="shared" ref="T41:T42" si="58">IFERROR(AVERAGE(Q41:S41),"")</f>
        <v>0</v>
      </c>
      <c r="U41" s="2122" t="str">
        <f t="shared" ref="U41:U42" si="59">IF(T41&gt;85,("4"),IF(T41&gt;80,("3.66"),IF(T41&gt;75,("3.33"),IF(T41&gt;70,("3.00"),IF(T41&gt;65,("2.66"),IF(T41&gt;60,("2.33"),IF(T41&gt;55,("2"),IF(T41&gt;50,("1.66"),"1.33"))))))))</f>
        <v>1.33</v>
      </c>
      <c r="V41" s="2122" t="str">
        <f t="shared" ref="V41:V42" si="60">IF(T41&gt;85,("A"),IF(T41&gt;80,("A-"),IF(T41&gt;75,("B+"),IF(T41&gt;70,("B"),IF(T41&gt;65,("B-"),IF(T41&gt;60,("C+"),IF(T41&gt;55,("C"),IF(T41&gt;50,("C-"),"D+"))))))))</f>
        <v>D+</v>
      </c>
      <c r="W41" s="2122" t="str">
        <f t="shared" ref="W41:W42" si="61">IF(T41&gt;80,("SB"),IF(T41&gt;65,("B"),IF(T41&gt;50,("C"),IF(T41&gt;0,("K"),"0"))))</f>
        <v>0</v>
      </c>
      <c r="X41" s="1228"/>
      <c r="Y41" s="1229"/>
      <c r="Z41" s="1229"/>
      <c r="AA41" s="1230"/>
      <c r="AB41" s="1230"/>
      <c r="AC41" s="1231"/>
      <c r="AD41" s="2154"/>
      <c r="AE41" s="2155"/>
    </row>
    <row r="42" spans="1:31" ht="24.95" customHeight="1" x14ac:dyDescent="0.25">
      <c r="A42" s="1207"/>
      <c r="B42" s="1208"/>
      <c r="C42" s="1212"/>
      <c r="D42" s="1459" t="s">
        <v>186</v>
      </c>
      <c r="E42" s="1385">
        <v>0</v>
      </c>
      <c r="F42" s="1385">
        <v>0</v>
      </c>
      <c r="G42" s="1385">
        <v>0</v>
      </c>
      <c r="H42" s="2069"/>
      <c r="I42" s="2069"/>
      <c r="J42" s="2069"/>
      <c r="K42" s="1672">
        <v>0</v>
      </c>
      <c r="L42" s="1672">
        <v>0</v>
      </c>
      <c r="M42" s="1672">
        <v>0</v>
      </c>
      <c r="N42" s="2027">
        <v>0</v>
      </c>
      <c r="O42" s="2027">
        <v>0</v>
      </c>
      <c r="P42" s="2027">
        <v>0</v>
      </c>
      <c r="Q42" s="2028">
        <f t="shared" si="57"/>
        <v>0</v>
      </c>
      <c r="R42" s="2026">
        <f t="shared" si="55"/>
        <v>0</v>
      </c>
      <c r="S42" s="2029">
        <f t="shared" si="56"/>
        <v>0</v>
      </c>
      <c r="T42" s="2025">
        <f t="shared" si="58"/>
        <v>0</v>
      </c>
      <c r="U42" s="2122" t="str">
        <f t="shared" si="59"/>
        <v>1.33</v>
      </c>
      <c r="V42" s="2122" t="str">
        <f t="shared" si="60"/>
        <v>D+</v>
      </c>
      <c r="W42" s="2122" t="str">
        <f t="shared" si="61"/>
        <v>0</v>
      </c>
      <c r="X42" s="1232"/>
      <c r="Y42" s="1233"/>
      <c r="Z42" s="1233"/>
      <c r="AA42" s="1234"/>
      <c r="AB42" s="1234"/>
      <c r="AC42" s="1235"/>
      <c r="AD42" s="2156"/>
      <c r="AE42" s="2157"/>
    </row>
    <row r="43" spans="1:31" ht="24.95" customHeight="1" x14ac:dyDescent="0.25">
      <c r="A43" s="1236"/>
      <c r="B43" s="1241">
        <v>9</v>
      </c>
      <c r="C43" s="1220" t="s">
        <v>167</v>
      </c>
      <c r="D43" s="1237"/>
      <c r="E43" s="2687"/>
      <c r="F43" s="2688"/>
      <c r="G43" s="2688"/>
      <c r="H43" s="2688"/>
      <c r="I43" s="2076"/>
      <c r="J43" s="2076"/>
      <c r="K43" s="2076"/>
      <c r="L43" s="2076"/>
      <c r="M43" s="2076"/>
      <c r="N43" s="2076"/>
      <c r="O43" s="2076"/>
      <c r="P43" s="2076"/>
      <c r="Q43" s="2076"/>
      <c r="R43" s="2076"/>
      <c r="S43" s="2076"/>
      <c r="T43" s="2123">
        <f>IFERROR(AVERAGE(T40:T42),"  ")</f>
        <v>0</v>
      </c>
      <c r="U43" s="2124" t="str">
        <f>IF(T43&gt;85,("4"),IF(T43&gt;80,("3.66"),IF(T43&gt;75,("3.33"),IF(T43&gt;70,("3.00"),IF(T43&gt;65,("2.66"),IF(T43&gt;60,("2.33"),IF(T43&gt;55,("2"),IF(T43&gt;50,("1.66"),"1.33"))))))))</f>
        <v>1.33</v>
      </c>
      <c r="V43" s="2124" t="str">
        <f>IF(T43&gt;85,("A"),IF(T43&gt;80,("A-"),IF(T43&gt;75,("B+"),IF(T43&gt;70,("B"),IF(T43&gt;65,("B-"),IF(T43&gt;60,("C+"),IF(T43&gt;55,("C"),IF(T43&gt;50,("C-"),"D+"))))))))</f>
        <v>D+</v>
      </c>
      <c r="W43" s="2124"/>
      <c r="X43" s="1238"/>
      <c r="Y43" s="1239"/>
      <c r="Z43" s="1239"/>
      <c r="AA43" s="1239"/>
      <c r="AB43" s="1239"/>
      <c r="AC43" s="1240"/>
      <c r="AD43" s="2158"/>
      <c r="AE43" s="2125"/>
    </row>
    <row r="44" spans="1:31" ht="24.95" customHeight="1" x14ac:dyDescent="0.25">
      <c r="A44" s="1224">
        <v>10</v>
      </c>
      <c r="B44" s="1225"/>
      <c r="C44" s="1209" t="str">
        <f>VLOOKUP(A44,data_siswa,4,FALSE)</f>
        <v xml:space="preserve">Deco Badarus Zaman </v>
      </c>
      <c r="D44" s="2089" t="s">
        <v>11</v>
      </c>
      <c r="E44" s="1672"/>
      <c r="F44" s="1672"/>
      <c r="G44" s="1672"/>
      <c r="H44" s="2069">
        <v>0</v>
      </c>
      <c r="I44" s="2069">
        <v>0</v>
      </c>
      <c r="J44" s="2069">
        <v>0</v>
      </c>
      <c r="K44" s="1672"/>
      <c r="L44" s="1672"/>
      <c r="M44" s="1672"/>
      <c r="N44" s="2027"/>
      <c r="O44" s="2027"/>
      <c r="P44" s="2027"/>
      <c r="Q44" s="2028">
        <f>MAX(E44,H44,K44,N44)</f>
        <v>0</v>
      </c>
      <c r="R44" s="2026">
        <f t="shared" ref="R44:R46" si="62">MAX(F44,I44,L44,O44)</f>
        <v>0</v>
      </c>
      <c r="S44" s="2029">
        <f t="shared" ref="S44:S46" si="63">MAX(G44,J44,M44,P44)</f>
        <v>0</v>
      </c>
      <c r="T44" s="2025">
        <f>IFERROR(AVERAGE(Q44:S44),"")</f>
        <v>0</v>
      </c>
      <c r="U44" s="2121" t="str">
        <f>IF(T44&gt;85,("4"),IF(T44&gt;80,("3.66"),IF(T44&gt;75,("3.33"),IF(T44&gt;70,("3.00"),IF(T44&gt;65,("2.66"),IF(T44&gt;60,("2.33"),IF(T44&gt;55,("2"),IF(T44&gt;50,("1.66"),"1.33"))))))))</f>
        <v>1.33</v>
      </c>
      <c r="V44" s="2121" t="str">
        <f>IF(T44&gt;85,("A"),IF(T44&gt;80,("A-"),IF(T44&gt;75,("B+"),IF(T44&gt;70,("B"),IF(T44&gt;65,("B-"),IF(T44&gt;60,("C+"),IF(T44&gt;55,("C"),IF(T44&gt;50,("C-"),"D+"))))))))</f>
        <v>D+</v>
      </c>
      <c r="W44" s="2121" t="str">
        <f>IF(T44&gt;80,("SB"),IF(T44&gt;65,("B"),IF(T44&gt;50,("C"),IF(T44&gt;0,("K"),"0"))))</f>
        <v>0</v>
      </c>
      <c r="X44" s="1226"/>
      <c r="Y44" s="1226">
        <v>3</v>
      </c>
      <c r="Z44" s="1226"/>
      <c r="AA44" s="1227">
        <v>1</v>
      </c>
      <c r="AB44" s="1227"/>
      <c r="AC44" s="1227"/>
      <c r="AD44" s="2159">
        <f>MAX(T44:T46)</f>
        <v>0</v>
      </c>
      <c r="AE44" s="767" t="str">
        <f>IF(AD44&gt;85,("A"),IF(AD44&gt;80,("A-"),IF(AD44&gt;75,("B+"),IF(AD44&gt;70,("B"),IF(AD44&gt;65,("B-"),IF(AD44&gt;60,("C+"),IF(AD44&gt;55,("C"),IF(AD44&gt;50,("C-"),"D+"))))))))</f>
        <v>D+</v>
      </c>
    </row>
    <row r="45" spans="1:31" ht="24.95" customHeight="1" x14ac:dyDescent="0.25">
      <c r="A45" s="1207"/>
      <c r="B45" s="1208"/>
      <c r="C45" s="1212"/>
      <c r="D45" s="1459" t="s">
        <v>189</v>
      </c>
      <c r="E45" s="1672">
        <v>0</v>
      </c>
      <c r="F45" s="1672">
        <v>0</v>
      </c>
      <c r="G45" s="1672">
        <v>0</v>
      </c>
      <c r="H45" s="2069">
        <v>0</v>
      </c>
      <c r="I45" s="2069">
        <v>0</v>
      </c>
      <c r="J45" s="2069">
        <v>0</v>
      </c>
      <c r="K45" s="1672">
        <v>0</v>
      </c>
      <c r="L45" s="1672">
        <v>0</v>
      </c>
      <c r="M45" s="1672">
        <v>0</v>
      </c>
      <c r="N45" s="2027">
        <v>0</v>
      </c>
      <c r="O45" s="2027">
        <v>0</v>
      </c>
      <c r="P45" s="2027">
        <v>0</v>
      </c>
      <c r="Q45" s="2028">
        <f t="shared" ref="Q45:Q46" si="64">MAX(E45,H45,K45,N45)</f>
        <v>0</v>
      </c>
      <c r="R45" s="2026">
        <f t="shared" si="62"/>
        <v>0</v>
      </c>
      <c r="S45" s="2029">
        <f t="shared" si="63"/>
        <v>0</v>
      </c>
      <c r="T45" s="2025">
        <f t="shared" ref="T45:T46" si="65">IFERROR(AVERAGE(Q45:S45),"")</f>
        <v>0</v>
      </c>
      <c r="U45" s="2122" t="str">
        <f t="shared" ref="U45:U46" si="66">IF(T45&gt;85,("4"),IF(T45&gt;80,("3.66"),IF(T45&gt;75,("3.33"),IF(T45&gt;70,("3.00"),IF(T45&gt;65,("2.66"),IF(T45&gt;60,("2.33"),IF(T45&gt;55,("2"),IF(T45&gt;50,("1.66"),"1.33"))))))))</f>
        <v>1.33</v>
      </c>
      <c r="V45" s="2122" t="str">
        <f t="shared" ref="V45:V46" si="67">IF(T45&gt;85,("A"),IF(T45&gt;80,("A-"),IF(T45&gt;75,("B+"),IF(T45&gt;70,("B"),IF(T45&gt;65,("B-"),IF(T45&gt;60,("C+"),IF(T45&gt;55,("C"),IF(T45&gt;50,("C-"),"D+"))))))))</f>
        <v>D+</v>
      </c>
      <c r="W45" s="2122" t="str">
        <f t="shared" ref="W45:W46" si="68">IF(T45&gt;80,("SB"),IF(T45&gt;65,("B"),IF(T45&gt;50,("C"),IF(T45&gt;0,("K"),"0"))))</f>
        <v>0</v>
      </c>
      <c r="X45" s="1228"/>
      <c r="Y45" s="1229"/>
      <c r="Z45" s="1229"/>
      <c r="AA45" s="1230"/>
      <c r="AB45" s="1230"/>
      <c r="AC45" s="1231"/>
      <c r="AD45" s="2154"/>
      <c r="AE45" s="2155"/>
    </row>
    <row r="46" spans="1:31" ht="24.95" customHeight="1" x14ac:dyDescent="0.25">
      <c r="A46" s="1207"/>
      <c r="B46" s="1208"/>
      <c r="C46" s="1212"/>
      <c r="D46" s="1459" t="s">
        <v>186</v>
      </c>
      <c r="E46" s="1385">
        <v>0</v>
      </c>
      <c r="F46" s="1385">
        <v>0</v>
      </c>
      <c r="G46" s="1385">
        <v>0</v>
      </c>
      <c r="H46" s="2069"/>
      <c r="I46" s="2069"/>
      <c r="J46" s="2069"/>
      <c r="K46" s="1672">
        <v>0</v>
      </c>
      <c r="L46" s="1672">
        <v>0</v>
      </c>
      <c r="M46" s="1672">
        <v>0</v>
      </c>
      <c r="N46" s="2027">
        <v>0</v>
      </c>
      <c r="O46" s="2027">
        <v>0</v>
      </c>
      <c r="P46" s="2027">
        <v>0</v>
      </c>
      <c r="Q46" s="2028">
        <f t="shared" si="64"/>
        <v>0</v>
      </c>
      <c r="R46" s="2026">
        <f t="shared" si="62"/>
        <v>0</v>
      </c>
      <c r="S46" s="2029">
        <f t="shared" si="63"/>
        <v>0</v>
      </c>
      <c r="T46" s="2025">
        <f t="shared" si="65"/>
        <v>0</v>
      </c>
      <c r="U46" s="2122" t="str">
        <f t="shared" si="66"/>
        <v>1.33</v>
      </c>
      <c r="V46" s="2122" t="str">
        <f t="shared" si="67"/>
        <v>D+</v>
      </c>
      <c r="W46" s="2122" t="str">
        <f t="shared" si="68"/>
        <v>0</v>
      </c>
      <c r="X46" s="1232"/>
      <c r="Y46" s="1233"/>
      <c r="Z46" s="1233"/>
      <c r="AA46" s="1234"/>
      <c r="AB46" s="1234"/>
      <c r="AC46" s="1235"/>
      <c r="AD46" s="2156"/>
      <c r="AE46" s="2157"/>
    </row>
    <row r="47" spans="1:31" ht="24.95" customHeight="1" x14ac:dyDescent="0.25">
      <c r="A47" s="1236"/>
      <c r="B47" s="1241">
        <v>10</v>
      </c>
      <c r="C47" s="1220" t="s">
        <v>167</v>
      </c>
      <c r="D47" s="1237"/>
      <c r="E47" s="2687"/>
      <c r="F47" s="2688"/>
      <c r="G47" s="2688"/>
      <c r="H47" s="2688"/>
      <c r="I47" s="2076"/>
      <c r="J47" s="2076"/>
      <c r="K47" s="2076"/>
      <c r="L47" s="2076"/>
      <c r="M47" s="2076"/>
      <c r="N47" s="2076"/>
      <c r="O47" s="2076"/>
      <c r="P47" s="2076"/>
      <c r="Q47" s="2076"/>
      <c r="R47" s="2076"/>
      <c r="S47" s="2076"/>
      <c r="T47" s="2123">
        <f>IFERROR(AVERAGE(T44:T46),"  ")</f>
        <v>0</v>
      </c>
      <c r="U47" s="2124" t="str">
        <f>IF(T47&gt;85,("4"),IF(T47&gt;80,("3.66"),IF(T47&gt;75,("3.33"),IF(T47&gt;70,("3.00"),IF(T47&gt;65,("2.66"),IF(T47&gt;60,("2.33"),IF(T47&gt;55,("2"),IF(T47&gt;50,("1.66"),"1.33"))))))))</f>
        <v>1.33</v>
      </c>
      <c r="V47" s="2124" t="str">
        <f>IF(T47&gt;85,("A"),IF(T47&gt;80,("A-"),IF(T47&gt;75,("B+"),IF(T47&gt;70,("B"),IF(T47&gt;65,("B-"),IF(T47&gt;60,("C+"),IF(T47&gt;55,("C"),IF(T47&gt;50,("C-"),"D+"))))))))</f>
        <v>D+</v>
      </c>
      <c r="W47" s="2124"/>
      <c r="X47" s="1238"/>
      <c r="Y47" s="1239"/>
      <c r="Z47" s="1239"/>
      <c r="AA47" s="1239"/>
      <c r="AB47" s="1239"/>
      <c r="AC47" s="1240"/>
      <c r="AD47" s="2158"/>
      <c r="AE47" s="2125"/>
    </row>
    <row r="48" spans="1:31" ht="24.95" customHeight="1" x14ac:dyDescent="0.25">
      <c r="A48" s="1224">
        <v>11</v>
      </c>
      <c r="B48" s="1225"/>
      <c r="C48" s="1209" t="str">
        <f>VLOOKUP(A48,data_siswa,4,FALSE)</f>
        <v>Fania Mutiara Felichia</v>
      </c>
      <c r="D48" s="2089" t="s">
        <v>11</v>
      </c>
      <c r="E48" s="1672"/>
      <c r="F48" s="1672"/>
      <c r="G48" s="1672"/>
      <c r="H48" s="2069">
        <v>0</v>
      </c>
      <c r="I48" s="2069">
        <v>0</v>
      </c>
      <c r="J48" s="2069">
        <v>0</v>
      </c>
      <c r="K48" s="1672"/>
      <c r="L48" s="1672"/>
      <c r="M48" s="1672"/>
      <c r="N48" s="2027"/>
      <c r="O48" s="2027"/>
      <c r="P48" s="2027"/>
      <c r="Q48" s="2028">
        <f>MAX(E48,H48,K48,N48)</f>
        <v>0</v>
      </c>
      <c r="R48" s="2026">
        <f t="shared" ref="R48:R50" si="69">MAX(F48,I48,L48,O48)</f>
        <v>0</v>
      </c>
      <c r="S48" s="2029">
        <f t="shared" ref="S48:S50" si="70">MAX(G48,J48,M48,P48)</f>
        <v>0</v>
      </c>
      <c r="T48" s="2025">
        <f>IFERROR(AVERAGE(Q48:S48),"")</f>
        <v>0</v>
      </c>
      <c r="U48" s="2121" t="str">
        <f>IF(T48&gt;85,("4"),IF(T48&gt;80,("3.66"),IF(T48&gt;75,("3.33"),IF(T48&gt;70,("3.00"),IF(T48&gt;65,("2.66"),IF(T48&gt;60,("2.33"),IF(T48&gt;55,("2"),IF(T48&gt;50,("1.66"),"1.33"))))))))</f>
        <v>1.33</v>
      </c>
      <c r="V48" s="2121" t="str">
        <f>IF(T48&gt;85,("A"),IF(T48&gt;80,("A-"),IF(T48&gt;75,("B+"),IF(T48&gt;70,("B"),IF(T48&gt;65,("B-"),IF(T48&gt;60,("C+"),IF(T48&gt;55,("C"),IF(T48&gt;50,("C-"),"D+"))))))))</f>
        <v>D+</v>
      </c>
      <c r="W48" s="2121" t="str">
        <f>IF(T48&gt;80,("SB"),IF(T48&gt;65,("B"),IF(T48&gt;50,("C"),IF(T48&gt;0,("K"),"0"))))</f>
        <v>0</v>
      </c>
      <c r="X48" s="1226"/>
      <c r="Y48" s="1226">
        <v>3</v>
      </c>
      <c r="Z48" s="1226"/>
      <c r="AA48" s="1227">
        <v>1</v>
      </c>
      <c r="AB48" s="1227"/>
      <c r="AC48" s="1227"/>
      <c r="AD48" s="2159">
        <f>MAX(T48:T50)</f>
        <v>0</v>
      </c>
      <c r="AE48" s="767" t="str">
        <f>IF(AD48&gt;85,("A"),IF(AD48&gt;80,("A-"),IF(AD48&gt;75,("B+"),IF(AD48&gt;70,("B"),IF(AD48&gt;65,("B-"),IF(AD48&gt;60,("C+"),IF(AD48&gt;55,("C"),IF(AD48&gt;50,("C-"),"D+"))))))))</f>
        <v>D+</v>
      </c>
    </row>
    <row r="49" spans="1:31" ht="24.95" customHeight="1" x14ac:dyDescent="0.25">
      <c r="A49" s="1207"/>
      <c r="B49" s="1208"/>
      <c r="C49" s="1212"/>
      <c r="D49" s="1459" t="s">
        <v>189</v>
      </c>
      <c r="E49" s="1672">
        <v>0</v>
      </c>
      <c r="F49" s="1672">
        <v>0</v>
      </c>
      <c r="G49" s="1672">
        <v>0</v>
      </c>
      <c r="H49" s="2069">
        <v>0</v>
      </c>
      <c r="I49" s="2069">
        <v>0</v>
      </c>
      <c r="J49" s="2069">
        <v>0</v>
      </c>
      <c r="K49" s="1672">
        <v>0</v>
      </c>
      <c r="L49" s="1672">
        <v>0</v>
      </c>
      <c r="M49" s="1672">
        <v>0</v>
      </c>
      <c r="N49" s="2027">
        <v>0</v>
      </c>
      <c r="O49" s="2027">
        <v>0</v>
      </c>
      <c r="P49" s="2027">
        <v>0</v>
      </c>
      <c r="Q49" s="2028">
        <f t="shared" ref="Q49:Q50" si="71">MAX(E49,H49,K49,N49)</f>
        <v>0</v>
      </c>
      <c r="R49" s="2026">
        <f t="shared" si="69"/>
        <v>0</v>
      </c>
      <c r="S49" s="2029">
        <f t="shared" si="70"/>
        <v>0</v>
      </c>
      <c r="T49" s="2025">
        <f t="shared" ref="T49:T50" si="72">IFERROR(AVERAGE(Q49:S49),"")</f>
        <v>0</v>
      </c>
      <c r="U49" s="2122" t="str">
        <f t="shared" ref="U49:U50" si="73">IF(T49&gt;85,("4"),IF(T49&gt;80,("3.66"),IF(T49&gt;75,("3.33"),IF(T49&gt;70,("3.00"),IF(T49&gt;65,("2.66"),IF(T49&gt;60,("2.33"),IF(T49&gt;55,("2"),IF(T49&gt;50,("1.66"),"1.33"))))))))</f>
        <v>1.33</v>
      </c>
      <c r="V49" s="2122" t="str">
        <f t="shared" ref="V49:V50" si="74">IF(T49&gt;85,("A"),IF(T49&gt;80,("A-"),IF(T49&gt;75,("B+"),IF(T49&gt;70,("B"),IF(T49&gt;65,("B-"),IF(T49&gt;60,("C+"),IF(T49&gt;55,("C"),IF(T49&gt;50,("C-"),"D+"))))))))</f>
        <v>D+</v>
      </c>
      <c r="W49" s="2122" t="str">
        <f t="shared" ref="W49:W50" si="75">IF(T49&gt;80,("SB"),IF(T49&gt;65,("B"),IF(T49&gt;50,("C"),IF(T49&gt;0,("K"),"0"))))</f>
        <v>0</v>
      </c>
      <c r="X49" s="1228"/>
      <c r="Y49" s="1229"/>
      <c r="Z49" s="1229"/>
      <c r="AA49" s="1230"/>
      <c r="AB49" s="1230"/>
      <c r="AC49" s="1231"/>
      <c r="AD49" s="2154"/>
      <c r="AE49" s="2155"/>
    </row>
    <row r="50" spans="1:31" ht="24.95" customHeight="1" x14ac:dyDescent="0.25">
      <c r="A50" s="1207"/>
      <c r="B50" s="1208"/>
      <c r="C50" s="1212"/>
      <c r="D50" s="1459" t="s">
        <v>186</v>
      </c>
      <c r="E50" s="1385">
        <v>0</v>
      </c>
      <c r="F50" s="1385">
        <v>0</v>
      </c>
      <c r="G50" s="1385">
        <v>0</v>
      </c>
      <c r="H50" s="2069"/>
      <c r="I50" s="2069"/>
      <c r="J50" s="2069"/>
      <c r="K50" s="1672">
        <v>0</v>
      </c>
      <c r="L50" s="1672">
        <v>0</v>
      </c>
      <c r="M50" s="1672">
        <v>0</v>
      </c>
      <c r="N50" s="2027">
        <v>0</v>
      </c>
      <c r="O50" s="2027">
        <v>0</v>
      </c>
      <c r="P50" s="2027">
        <v>0</v>
      </c>
      <c r="Q50" s="2028">
        <f t="shared" si="71"/>
        <v>0</v>
      </c>
      <c r="R50" s="2026">
        <f t="shared" si="69"/>
        <v>0</v>
      </c>
      <c r="S50" s="2029">
        <f t="shared" si="70"/>
        <v>0</v>
      </c>
      <c r="T50" s="2025">
        <f t="shared" si="72"/>
        <v>0</v>
      </c>
      <c r="U50" s="2122" t="str">
        <f t="shared" si="73"/>
        <v>1.33</v>
      </c>
      <c r="V50" s="2122" t="str">
        <f t="shared" si="74"/>
        <v>D+</v>
      </c>
      <c r="W50" s="2122" t="str">
        <f t="shared" si="75"/>
        <v>0</v>
      </c>
      <c r="X50" s="1232"/>
      <c r="Y50" s="1233"/>
      <c r="Z50" s="1233"/>
      <c r="AA50" s="1234"/>
      <c r="AB50" s="1234"/>
      <c r="AC50" s="1235"/>
      <c r="AD50" s="2156"/>
      <c r="AE50" s="2157"/>
    </row>
    <row r="51" spans="1:31" ht="24.95" customHeight="1" x14ac:dyDescent="0.25">
      <c r="A51" s="1236"/>
      <c r="B51" s="1241">
        <v>11</v>
      </c>
      <c r="C51" s="1220" t="s">
        <v>167</v>
      </c>
      <c r="D51" s="1237"/>
      <c r="E51" s="2687"/>
      <c r="F51" s="2688"/>
      <c r="G51" s="2688"/>
      <c r="H51" s="2688"/>
      <c r="I51" s="2076"/>
      <c r="J51" s="2076"/>
      <c r="K51" s="2076"/>
      <c r="L51" s="2076"/>
      <c r="M51" s="2076"/>
      <c r="N51" s="2076"/>
      <c r="O51" s="2076"/>
      <c r="P51" s="2076"/>
      <c r="Q51" s="2076"/>
      <c r="R51" s="2076"/>
      <c r="S51" s="2076"/>
      <c r="T51" s="2123">
        <f>IFERROR(AVERAGE(T48:T50),"  ")</f>
        <v>0</v>
      </c>
      <c r="U51" s="2124" t="str">
        <f>IF(T51&gt;85,("4"),IF(T51&gt;80,("3.66"),IF(T51&gt;75,("3.33"),IF(T51&gt;70,("3.00"),IF(T51&gt;65,("2.66"),IF(T51&gt;60,("2.33"),IF(T51&gt;55,("2"),IF(T51&gt;50,("1.66"),"1.33"))))))))</f>
        <v>1.33</v>
      </c>
      <c r="V51" s="2124" t="str">
        <f>IF(T51&gt;85,("A"),IF(T51&gt;80,("A-"),IF(T51&gt;75,("B+"),IF(T51&gt;70,("B"),IF(T51&gt;65,("B-"),IF(T51&gt;60,("C+"),IF(T51&gt;55,("C"),IF(T51&gt;50,("C-"),"D+"))))))))</f>
        <v>D+</v>
      </c>
      <c r="W51" s="2124"/>
      <c r="X51" s="1238"/>
      <c r="Y51" s="1239"/>
      <c r="Z51" s="1239"/>
      <c r="AA51" s="1239"/>
      <c r="AB51" s="1239"/>
      <c r="AC51" s="1240"/>
      <c r="AD51" s="2158"/>
      <c r="AE51" s="2125"/>
    </row>
    <row r="52" spans="1:31" ht="24.95" customHeight="1" x14ac:dyDescent="0.25">
      <c r="A52" s="1224">
        <v>12</v>
      </c>
      <c r="B52" s="1225"/>
      <c r="C52" s="1209" t="str">
        <f>VLOOKUP(A52,data_siswa,4,FALSE)</f>
        <v>Intan Dyah Nowari</v>
      </c>
      <c r="D52" s="2089" t="s">
        <v>11</v>
      </c>
      <c r="E52" s="1672"/>
      <c r="F52" s="1672"/>
      <c r="G52" s="1672"/>
      <c r="H52" s="2069">
        <v>0</v>
      </c>
      <c r="I52" s="2069">
        <v>0</v>
      </c>
      <c r="J52" s="2069">
        <v>0</v>
      </c>
      <c r="K52" s="1672"/>
      <c r="L52" s="1672"/>
      <c r="M52" s="1672"/>
      <c r="N52" s="2027"/>
      <c r="O52" s="2027"/>
      <c r="P52" s="2027"/>
      <c r="Q52" s="2028">
        <f>MAX(E52,H52,K52,N52)</f>
        <v>0</v>
      </c>
      <c r="R52" s="2026">
        <f t="shared" ref="R52:R54" si="76">MAX(F52,I52,L52,O52)</f>
        <v>0</v>
      </c>
      <c r="S52" s="2029">
        <f t="shared" ref="S52:S54" si="77">MAX(G52,J52,M52,P52)</f>
        <v>0</v>
      </c>
      <c r="T52" s="2025">
        <f>IFERROR(AVERAGE(Q52:S52),"")</f>
        <v>0</v>
      </c>
      <c r="U52" s="2121" t="str">
        <f>IF(T52&gt;85,("4"),IF(T52&gt;80,("3.66"),IF(T52&gt;75,("3.33"),IF(T52&gt;70,("3.00"),IF(T52&gt;65,("2.66"),IF(T52&gt;60,("2.33"),IF(T52&gt;55,("2"),IF(T52&gt;50,("1.66"),"1.33"))))))))</f>
        <v>1.33</v>
      </c>
      <c r="V52" s="2121" t="str">
        <f>IF(T52&gt;85,("A"),IF(T52&gt;80,("A-"),IF(T52&gt;75,("B+"),IF(T52&gt;70,("B"),IF(T52&gt;65,("B-"),IF(T52&gt;60,("C+"),IF(T52&gt;55,("C"),IF(T52&gt;50,("C-"),"D+"))))))))</f>
        <v>D+</v>
      </c>
      <c r="W52" s="2121" t="str">
        <f>IF(T52&gt;80,("SB"),IF(T52&gt;65,("B"),IF(T52&gt;50,("C"),IF(T52&gt;0,("K"),"0"))))</f>
        <v>0</v>
      </c>
      <c r="X52" s="1226"/>
      <c r="Y52" s="1226">
        <v>3</v>
      </c>
      <c r="Z52" s="1226"/>
      <c r="AA52" s="1227">
        <v>1</v>
      </c>
      <c r="AB52" s="1227"/>
      <c r="AC52" s="1227"/>
      <c r="AD52" s="2159">
        <f>MAX(T52:T54)</f>
        <v>0</v>
      </c>
      <c r="AE52" s="767" t="str">
        <f>IF(AD52&gt;85,("A"),IF(AD52&gt;80,("A-"),IF(AD52&gt;75,("B+"),IF(AD52&gt;70,("B"),IF(AD52&gt;65,("B-"),IF(AD52&gt;60,("C+"),IF(AD52&gt;55,("C"),IF(AD52&gt;50,("C-"),"D+"))))))))</f>
        <v>D+</v>
      </c>
    </row>
    <row r="53" spans="1:31" ht="24.95" customHeight="1" x14ac:dyDescent="0.25">
      <c r="A53" s="1207"/>
      <c r="B53" s="1208"/>
      <c r="C53" s="1212"/>
      <c r="D53" s="1459" t="s">
        <v>189</v>
      </c>
      <c r="E53" s="1672">
        <v>0</v>
      </c>
      <c r="F53" s="1672">
        <v>0</v>
      </c>
      <c r="G53" s="1672">
        <v>0</v>
      </c>
      <c r="H53" s="2069">
        <v>0</v>
      </c>
      <c r="I53" s="2069">
        <v>0</v>
      </c>
      <c r="J53" s="2069">
        <v>0</v>
      </c>
      <c r="K53" s="1672">
        <v>0</v>
      </c>
      <c r="L53" s="1672">
        <v>0</v>
      </c>
      <c r="M53" s="1672">
        <v>0</v>
      </c>
      <c r="N53" s="2027">
        <v>0</v>
      </c>
      <c r="O53" s="2027">
        <v>0</v>
      </c>
      <c r="P53" s="2027">
        <v>0</v>
      </c>
      <c r="Q53" s="2028">
        <f t="shared" ref="Q53:Q54" si="78">MAX(E53,H53,K53,N53)</f>
        <v>0</v>
      </c>
      <c r="R53" s="2026">
        <f t="shared" si="76"/>
        <v>0</v>
      </c>
      <c r="S53" s="2029">
        <f t="shared" si="77"/>
        <v>0</v>
      </c>
      <c r="T53" s="2025">
        <f t="shared" ref="T53:T54" si="79">IFERROR(AVERAGE(Q53:S53),"")</f>
        <v>0</v>
      </c>
      <c r="U53" s="2122" t="str">
        <f t="shared" ref="U53:U54" si="80">IF(T53&gt;85,("4"),IF(T53&gt;80,("3.66"),IF(T53&gt;75,("3.33"),IF(T53&gt;70,("3.00"),IF(T53&gt;65,("2.66"),IF(T53&gt;60,("2.33"),IF(T53&gt;55,("2"),IF(T53&gt;50,("1.66"),"1.33"))))))))</f>
        <v>1.33</v>
      </c>
      <c r="V53" s="2122" t="str">
        <f t="shared" ref="V53:V54" si="81">IF(T53&gt;85,("A"),IF(T53&gt;80,("A-"),IF(T53&gt;75,("B+"),IF(T53&gt;70,("B"),IF(T53&gt;65,("B-"),IF(T53&gt;60,("C+"),IF(T53&gt;55,("C"),IF(T53&gt;50,("C-"),"D+"))))))))</f>
        <v>D+</v>
      </c>
      <c r="W53" s="2122" t="str">
        <f t="shared" ref="W53:W54" si="82">IF(T53&gt;80,("SB"),IF(T53&gt;65,("B"),IF(T53&gt;50,("C"),IF(T53&gt;0,("K"),"0"))))</f>
        <v>0</v>
      </c>
      <c r="X53" s="1228"/>
      <c r="Y53" s="1229"/>
      <c r="Z53" s="1229"/>
      <c r="AA53" s="1230"/>
      <c r="AB53" s="1230"/>
      <c r="AC53" s="1231"/>
      <c r="AD53" s="2154"/>
      <c r="AE53" s="2155"/>
    </row>
    <row r="54" spans="1:31" ht="24.95" customHeight="1" x14ac:dyDescent="0.25">
      <c r="A54" s="1207"/>
      <c r="B54" s="1208"/>
      <c r="C54" s="1212"/>
      <c r="D54" s="1459" t="s">
        <v>186</v>
      </c>
      <c r="E54" s="1385">
        <v>0</v>
      </c>
      <c r="F54" s="1385">
        <v>0</v>
      </c>
      <c r="G54" s="1385">
        <v>0</v>
      </c>
      <c r="H54" s="2069"/>
      <c r="I54" s="2069"/>
      <c r="J54" s="2069"/>
      <c r="K54" s="1672">
        <v>0</v>
      </c>
      <c r="L54" s="1672">
        <v>0</v>
      </c>
      <c r="M54" s="1672">
        <v>0</v>
      </c>
      <c r="N54" s="2027">
        <v>0</v>
      </c>
      <c r="O54" s="2027">
        <v>0</v>
      </c>
      <c r="P54" s="2027">
        <v>0</v>
      </c>
      <c r="Q54" s="2028">
        <f t="shared" si="78"/>
        <v>0</v>
      </c>
      <c r="R54" s="2026">
        <f t="shared" si="76"/>
        <v>0</v>
      </c>
      <c r="S54" s="2029">
        <f t="shared" si="77"/>
        <v>0</v>
      </c>
      <c r="T54" s="2025">
        <f t="shared" si="79"/>
        <v>0</v>
      </c>
      <c r="U54" s="2122" t="str">
        <f t="shared" si="80"/>
        <v>1.33</v>
      </c>
      <c r="V54" s="2122" t="str">
        <f t="shared" si="81"/>
        <v>D+</v>
      </c>
      <c r="W54" s="2122" t="str">
        <f t="shared" si="82"/>
        <v>0</v>
      </c>
      <c r="X54" s="1232"/>
      <c r="Y54" s="1233"/>
      <c r="Z54" s="1233"/>
      <c r="AA54" s="1234"/>
      <c r="AB54" s="1234"/>
      <c r="AC54" s="1235"/>
      <c r="AD54" s="2156"/>
      <c r="AE54" s="2157"/>
    </row>
    <row r="55" spans="1:31" ht="24.95" customHeight="1" x14ac:dyDescent="0.25">
      <c r="A55" s="1236"/>
      <c r="B55" s="1241">
        <v>12</v>
      </c>
      <c r="C55" s="1220" t="s">
        <v>167</v>
      </c>
      <c r="D55" s="1237"/>
      <c r="E55" s="2687"/>
      <c r="F55" s="2688"/>
      <c r="G55" s="2688"/>
      <c r="H55" s="2688"/>
      <c r="I55" s="2076"/>
      <c r="J55" s="2076"/>
      <c r="K55" s="2076"/>
      <c r="L55" s="2076"/>
      <c r="M55" s="2076"/>
      <c r="N55" s="2076"/>
      <c r="O55" s="2076"/>
      <c r="P55" s="2076"/>
      <c r="Q55" s="2076"/>
      <c r="R55" s="2076"/>
      <c r="S55" s="2076"/>
      <c r="T55" s="2123">
        <f>IFERROR(AVERAGE(T52:T54),"  ")</f>
        <v>0</v>
      </c>
      <c r="U55" s="2124" t="str">
        <f>IF(T55&gt;85,("4"),IF(T55&gt;80,("3.66"),IF(T55&gt;75,("3.33"),IF(T55&gt;70,("3.00"),IF(T55&gt;65,("2.66"),IF(T55&gt;60,("2.33"),IF(T55&gt;55,("2"),IF(T55&gt;50,("1.66"),"1.33"))))))))</f>
        <v>1.33</v>
      </c>
      <c r="V55" s="2124" t="str">
        <f>IF(T55&gt;85,("A"),IF(T55&gt;80,("A-"),IF(T55&gt;75,("B+"),IF(T55&gt;70,("B"),IF(T55&gt;65,("B-"),IF(T55&gt;60,("C+"),IF(T55&gt;55,("C"),IF(T55&gt;50,("C-"),"D+"))))))))</f>
        <v>D+</v>
      </c>
      <c r="W55" s="2124"/>
      <c r="X55" s="1238"/>
      <c r="Y55" s="1239"/>
      <c r="Z55" s="1239"/>
      <c r="AA55" s="1239"/>
      <c r="AB55" s="1239"/>
      <c r="AC55" s="1240"/>
      <c r="AD55" s="2158"/>
      <c r="AE55" s="2125"/>
    </row>
    <row r="56" spans="1:31" ht="24.95" customHeight="1" x14ac:dyDescent="0.25">
      <c r="A56" s="1224">
        <v>13</v>
      </c>
      <c r="B56" s="1225"/>
      <c r="C56" s="1209" t="str">
        <f>VLOOKUP(A56,data_siswa,4,FALSE)</f>
        <v>Misyanita Nurfitri S</v>
      </c>
      <c r="D56" s="2089" t="s">
        <v>11</v>
      </c>
      <c r="E56" s="1672"/>
      <c r="F56" s="1672"/>
      <c r="G56" s="1672"/>
      <c r="H56" s="2069">
        <v>0</v>
      </c>
      <c r="I56" s="2069">
        <v>0</v>
      </c>
      <c r="J56" s="2069">
        <v>0</v>
      </c>
      <c r="K56" s="1672"/>
      <c r="L56" s="1672"/>
      <c r="M56" s="1672"/>
      <c r="N56" s="2027"/>
      <c r="O56" s="2027"/>
      <c r="P56" s="2027"/>
      <c r="Q56" s="2028">
        <f>MAX(E56,H56,K56,N56)</f>
        <v>0</v>
      </c>
      <c r="R56" s="2026">
        <f t="shared" ref="R56:R58" si="83">MAX(F56,I56,L56,O56)</f>
        <v>0</v>
      </c>
      <c r="S56" s="2029">
        <f t="shared" ref="S56:S58" si="84">MAX(G56,J56,M56,P56)</f>
        <v>0</v>
      </c>
      <c r="T56" s="2025">
        <f>IFERROR(AVERAGE(Q56:S56),"")</f>
        <v>0</v>
      </c>
      <c r="U56" s="2121" t="str">
        <f>IF(T56&gt;85,("4"),IF(T56&gt;80,("3.66"),IF(T56&gt;75,("3.33"),IF(T56&gt;70,("3.00"),IF(T56&gt;65,("2.66"),IF(T56&gt;60,("2.33"),IF(T56&gt;55,("2"),IF(T56&gt;50,("1.66"),"1.33"))))))))</f>
        <v>1.33</v>
      </c>
      <c r="V56" s="2121" t="str">
        <f>IF(T56&gt;85,("A"),IF(T56&gt;80,("A-"),IF(T56&gt;75,("B+"),IF(T56&gt;70,("B"),IF(T56&gt;65,("B-"),IF(T56&gt;60,("C+"),IF(T56&gt;55,("C"),IF(T56&gt;50,("C-"),"D+"))))))))</f>
        <v>D+</v>
      </c>
      <c r="W56" s="2121" t="str">
        <f>IF(T56&gt;80,("SB"),IF(T56&gt;65,("B"),IF(T56&gt;50,("C"),IF(T56&gt;0,("K"),"0"))))</f>
        <v>0</v>
      </c>
      <c r="X56" s="1226"/>
      <c r="Y56" s="1226">
        <v>3</v>
      </c>
      <c r="Z56" s="1226"/>
      <c r="AA56" s="1227">
        <v>1</v>
      </c>
      <c r="AB56" s="1227"/>
      <c r="AC56" s="1227"/>
      <c r="AD56" s="2159">
        <f>MAX(T56:T58)</f>
        <v>0</v>
      </c>
      <c r="AE56" s="767" t="str">
        <f>IF(AD56&gt;85,("A"),IF(AD56&gt;80,("A-"),IF(AD56&gt;75,("B+"),IF(AD56&gt;70,("B"),IF(AD56&gt;65,("B-"),IF(AD56&gt;60,("C+"),IF(AD56&gt;55,("C"),IF(AD56&gt;50,("C-"),"D+"))))))))</f>
        <v>D+</v>
      </c>
    </row>
    <row r="57" spans="1:31" ht="24.95" customHeight="1" x14ac:dyDescent="0.25">
      <c r="A57" s="1207"/>
      <c r="B57" s="1208"/>
      <c r="C57" s="1212"/>
      <c r="D57" s="1459" t="s">
        <v>189</v>
      </c>
      <c r="E57" s="1672">
        <v>0</v>
      </c>
      <c r="F57" s="1672">
        <v>0</v>
      </c>
      <c r="G57" s="1672">
        <v>0</v>
      </c>
      <c r="H57" s="2069">
        <v>0</v>
      </c>
      <c r="I57" s="2069">
        <v>0</v>
      </c>
      <c r="J57" s="2069">
        <v>0</v>
      </c>
      <c r="K57" s="1672">
        <v>0</v>
      </c>
      <c r="L57" s="1672">
        <v>0</v>
      </c>
      <c r="M57" s="1672">
        <v>0</v>
      </c>
      <c r="N57" s="2027">
        <v>0</v>
      </c>
      <c r="O57" s="2027">
        <v>0</v>
      </c>
      <c r="P57" s="2027">
        <v>0</v>
      </c>
      <c r="Q57" s="2028">
        <f t="shared" ref="Q57:Q58" si="85">MAX(E57,H57,K57,N57)</f>
        <v>0</v>
      </c>
      <c r="R57" s="2026">
        <f t="shared" si="83"/>
        <v>0</v>
      </c>
      <c r="S57" s="2029">
        <f t="shared" si="84"/>
        <v>0</v>
      </c>
      <c r="T57" s="2025">
        <f t="shared" ref="T57:T58" si="86">IFERROR(AVERAGE(Q57:S57),"")</f>
        <v>0</v>
      </c>
      <c r="U57" s="2122" t="str">
        <f t="shared" ref="U57:U58" si="87">IF(T57&gt;85,("4"),IF(T57&gt;80,("3.66"),IF(T57&gt;75,("3.33"),IF(T57&gt;70,("3.00"),IF(T57&gt;65,("2.66"),IF(T57&gt;60,("2.33"),IF(T57&gt;55,("2"),IF(T57&gt;50,("1.66"),"1.33"))))))))</f>
        <v>1.33</v>
      </c>
      <c r="V57" s="2122" t="str">
        <f t="shared" ref="V57:V58" si="88">IF(T57&gt;85,("A"),IF(T57&gt;80,("A-"),IF(T57&gt;75,("B+"),IF(T57&gt;70,("B"),IF(T57&gt;65,("B-"),IF(T57&gt;60,("C+"),IF(T57&gt;55,("C"),IF(T57&gt;50,("C-"),"D+"))))))))</f>
        <v>D+</v>
      </c>
      <c r="W57" s="2122" t="str">
        <f t="shared" ref="W57:W58" si="89">IF(T57&gt;80,("SB"),IF(T57&gt;65,("B"),IF(T57&gt;50,("C"),IF(T57&gt;0,("K"),"0"))))</f>
        <v>0</v>
      </c>
      <c r="X57" s="1228"/>
      <c r="Y57" s="1229"/>
      <c r="Z57" s="1229"/>
      <c r="AA57" s="1230"/>
      <c r="AB57" s="1230"/>
      <c r="AC57" s="1231"/>
      <c r="AD57" s="2154"/>
      <c r="AE57" s="2155"/>
    </row>
    <row r="58" spans="1:31" ht="24.95" customHeight="1" x14ac:dyDescent="0.25">
      <c r="A58" s="1207"/>
      <c r="B58" s="1208"/>
      <c r="C58" s="1212"/>
      <c r="D58" s="1459" t="s">
        <v>186</v>
      </c>
      <c r="E58" s="1385">
        <v>0</v>
      </c>
      <c r="F58" s="1385">
        <v>0</v>
      </c>
      <c r="G58" s="1385">
        <v>0</v>
      </c>
      <c r="H58" s="2069"/>
      <c r="I58" s="2069"/>
      <c r="J58" s="2069"/>
      <c r="K58" s="1672">
        <v>0</v>
      </c>
      <c r="L58" s="1672">
        <v>0</v>
      </c>
      <c r="M58" s="1672">
        <v>0</v>
      </c>
      <c r="N58" s="2027">
        <v>0</v>
      </c>
      <c r="O58" s="2027">
        <v>0</v>
      </c>
      <c r="P58" s="2027">
        <v>0</v>
      </c>
      <c r="Q58" s="2028">
        <f t="shared" si="85"/>
        <v>0</v>
      </c>
      <c r="R58" s="2026">
        <f t="shared" si="83"/>
        <v>0</v>
      </c>
      <c r="S58" s="2029">
        <f t="shared" si="84"/>
        <v>0</v>
      </c>
      <c r="T58" s="2025">
        <f t="shared" si="86"/>
        <v>0</v>
      </c>
      <c r="U58" s="2122" t="str">
        <f t="shared" si="87"/>
        <v>1.33</v>
      </c>
      <c r="V58" s="2122" t="str">
        <f t="shared" si="88"/>
        <v>D+</v>
      </c>
      <c r="W58" s="2122" t="str">
        <f t="shared" si="89"/>
        <v>0</v>
      </c>
      <c r="X58" s="1232"/>
      <c r="Y58" s="1233"/>
      <c r="Z58" s="1233"/>
      <c r="AA58" s="1234"/>
      <c r="AB58" s="1234"/>
      <c r="AC58" s="1235"/>
      <c r="AD58" s="2156"/>
      <c r="AE58" s="2157"/>
    </row>
    <row r="59" spans="1:31" ht="24.95" customHeight="1" x14ac:dyDescent="0.25">
      <c r="A59" s="1236"/>
      <c r="B59" s="1241">
        <v>13</v>
      </c>
      <c r="C59" s="1220" t="s">
        <v>167</v>
      </c>
      <c r="D59" s="1237"/>
      <c r="E59" s="2687"/>
      <c r="F59" s="2688"/>
      <c r="G59" s="2688"/>
      <c r="H59" s="2688"/>
      <c r="I59" s="2076"/>
      <c r="J59" s="2076"/>
      <c r="K59" s="2076"/>
      <c r="L59" s="2076"/>
      <c r="M59" s="2076"/>
      <c r="N59" s="2076"/>
      <c r="O59" s="2076"/>
      <c r="P59" s="2076"/>
      <c r="Q59" s="2076"/>
      <c r="R59" s="2076"/>
      <c r="S59" s="2076"/>
      <c r="T59" s="2123">
        <f>IFERROR(AVERAGE(T56:T58),"  ")</f>
        <v>0</v>
      </c>
      <c r="U59" s="2124" t="str">
        <f>IF(T59&gt;85,("4"),IF(T59&gt;80,("3.66"),IF(T59&gt;75,("3.33"),IF(T59&gt;70,("3.00"),IF(T59&gt;65,("2.66"),IF(T59&gt;60,("2.33"),IF(T59&gt;55,("2"),IF(T59&gt;50,("1.66"),"1.33"))))))))</f>
        <v>1.33</v>
      </c>
      <c r="V59" s="2124" t="str">
        <f>IF(T59&gt;85,("A"),IF(T59&gt;80,("A-"),IF(T59&gt;75,("B+"),IF(T59&gt;70,("B"),IF(T59&gt;65,("B-"),IF(T59&gt;60,("C+"),IF(T59&gt;55,("C"),IF(T59&gt;50,("C-"),"D+"))))))))</f>
        <v>D+</v>
      </c>
      <c r="W59" s="2124"/>
      <c r="X59" s="1238"/>
      <c r="Y59" s="1239"/>
      <c r="Z59" s="1239"/>
      <c r="AA59" s="1239"/>
      <c r="AB59" s="1239"/>
      <c r="AC59" s="1240"/>
      <c r="AD59" s="2158"/>
      <c r="AE59" s="2125"/>
    </row>
    <row r="60" spans="1:31" ht="24.95" customHeight="1" x14ac:dyDescent="0.25">
      <c r="A60" s="1224">
        <v>14</v>
      </c>
      <c r="B60" s="1225"/>
      <c r="C60" s="1209" t="str">
        <f>VLOOKUP(A60,data_siswa,4,FALSE)</f>
        <v>Moch Zidane Hita L. U</v>
      </c>
      <c r="D60" s="2089" t="s">
        <v>11</v>
      </c>
      <c r="E60" s="1672"/>
      <c r="F60" s="1672"/>
      <c r="G60" s="1672"/>
      <c r="H60" s="2069">
        <v>0</v>
      </c>
      <c r="I60" s="2069">
        <v>0</v>
      </c>
      <c r="J60" s="2069">
        <v>0</v>
      </c>
      <c r="K60" s="1672"/>
      <c r="L60" s="1672"/>
      <c r="M60" s="1672"/>
      <c r="N60" s="2027"/>
      <c r="O60" s="2027"/>
      <c r="P60" s="2027"/>
      <c r="Q60" s="2028">
        <f>MAX(E60,H60,K60,N60)</f>
        <v>0</v>
      </c>
      <c r="R60" s="2026">
        <f t="shared" ref="R60:R62" si="90">MAX(F60,I60,L60,O60)</f>
        <v>0</v>
      </c>
      <c r="S60" s="2029">
        <f t="shared" ref="S60:S62" si="91">MAX(G60,J60,M60,P60)</f>
        <v>0</v>
      </c>
      <c r="T60" s="2025">
        <f>IFERROR(AVERAGE(Q60:S60),"")</f>
        <v>0</v>
      </c>
      <c r="U60" s="2121" t="str">
        <f>IF(T60&gt;85,("4"),IF(T60&gt;80,("3.66"),IF(T60&gt;75,("3.33"),IF(T60&gt;70,("3.00"),IF(T60&gt;65,("2.66"),IF(T60&gt;60,("2.33"),IF(T60&gt;55,("2"),IF(T60&gt;50,("1.66"),"1.33"))))))))</f>
        <v>1.33</v>
      </c>
      <c r="V60" s="2121" t="str">
        <f>IF(T60&gt;85,("A"),IF(T60&gt;80,("A-"),IF(T60&gt;75,("B+"),IF(T60&gt;70,("B"),IF(T60&gt;65,("B-"),IF(T60&gt;60,("C+"),IF(T60&gt;55,("C"),IF(T60&gt;50,("C-"),"D+"))))))))</f>
        <v>D+</v>
      </c>
      <c r="W60" s="2121" t="str">
        <f>IF(T60&gt;80,("SB"),IF(T60&gt;65,("B"),IF(T60&gt;50,("C"),IF(T60&gt;0,("K"),"0"))))</f>
        <v>0</v>
      </c>
      <c r="X60" s="1226"/>
      <c r="Y60" s="1226">
        <v>3</v>
      </c>
      <c r="Z60" s="1226"/>
      <c r="AA60" s="1227">
        <v>1</v>
      </c>
      <c r="AB60" s="1227"/>
      <c r="AC60" s="1227"/>
      <c r="AD60" s="2159">
        <f>MAX(T60:T62)</f>
        <v>0</v>
      </c>
      <c r="AE60" s="767" t="str">
        <f>IF(AD60&gt;85,("A"),IF(AD60&gt;80,("A-"),IF(AD60&gt;75,("B+"),IF(AD60&gt;70,("B"),IF(AD60&gt;65,("B-"),IF(AD60&gt;60,("C+"),IF(AD60&gt;55,("C"),IF(AD60&gt;50,("C-"),"D+"))))))))</f>
        <v>D+</v>
      </c>
    </row>
    <row r="61" spans="1:31" ht="24.95" customHeight="1" x14ac:dyDescent="0.25">
      <c r="A61" s="1207"/>
      <c r="B61" s="1208"/>
      <c r="C61" s="1212"/>
      <c r="D61" s="1459" t="s">
        <v>189</v>
      </c>
      <c r="E61" s="1672">
        <v>0</v>
      </c>
      <c r="F61" s="1672">
        <v>0</v>
      </c>
      <c r="G61" s="1672">
        <v>0</v>
      </c>
      <c r="H61" s="2069">
        <v>0</v>
      </c>
      <c r="I61" s="2069">
        <v>0</v>
      </c>
      <c r="J61" s="2069">
        <v>0</v>
      </c>
      <c r="K61" s="1672">
        <v>0</v>
      </c>
      <c r="L61" s="1672">
        <v>0</v>
      </c>
      <c r="M61" s="1672">
        <v>0</v>
      </c>
      <c r="N61" s="2027">
        <v>0</v>
      </c>
      <c r="O61" s="2027">
        <v>0</v>
      </c>
      <c r="P61" s="2027">
        <v>0</v>
      </c>
      <c r="Q61" s="2028">
        <f t="shared" ref="Q61:Q62" si="92">MAX(E61,H61,K61,N61)</f>
        <v>0</v>
      </c>
      <c r="R61" s="2026">
        <f t="shared" si="90"/>
        <v>0</v>
      </c>
      <c r="S61" s="2029">
        <f t="shared" si="91"/>
        <v>0</v>
      </c>
      <c r="T61" s="2025">
        <f t="shared" ref="T61:T62" si="93">IFERROR(AVERAGE(Q61:S61),"")</f>
        <v>0</v>
      </c>
      <c r="U61" s="2122" t="str">
        <f t="shared" ref="U61:U62" si="94">IF(T61&gt;85,("4"),IF(T61&gt;80,("3.66"),IF(T61&gt;75,("3.33"),IF(T61&gt;70,("3.00"),IF(T61&gt;65,("2.66"),IF(T61&gt;60,("2.33"),IF(T61&gt;55,("2"),IF(T61&gt;50,("1.66"),"1.33"))))))))</f>
        <v>1.33</v>
      </c>
      <c r="V61" s="2122" t="str">
        <f t="shared" ref="V61:V62" si="95">IF(T61&gt;85,("A"),IF(T61&gt;80,("A-"),IF(T61&gt;75,("B+"),IF(T61&gt;70,("B"),IF(T61&gt;65,("B-"),IF(T61&gt;60,("C+"),IF(T61&gt;55,("C"),IF(T61&gt;50,("C-"),"D+"))))))))</f>
        <v>D+</v>
      </c>
      <c r="W61" s="2122" t="str">
        <f t="shared" ref="W61:W62" si="96">IF(T61&gt;80,("SB"),IF(T61&gt;65,("B"),IF(T61&gt;50,("C"),IF(T61&gt;0,("K"),"0"))))</f>
        <v>0</v>
      </c>
      <c r="X61" s="1228"/>
      <c r="Y61" s="1229"/>
      <c r="Z61" s="1229"/>
      <c r="AA61" s="1230"/>
      <c r="AB61" s="1230"/>
      <c r="AC61" s="1231"/>
      <c r="AD61" s="2154"/>
      <c r="AE61" s="2155"/>
    </row>
    <row r="62" spans="1:31" ht="24.95" customHeight="1" x14ac:dyDescent="0.25">
      <c r="A62" s="1207"/>
      <c r="B62" s="1208"/>
      <c r="C62" s="1212"/>
      <c r="D62" s="1459" t="s">
        <v>186</v>
      </c>
      <c r="E62" s="1385">
        <v>0</v>
      </c>
      <c r="F62" s="1385">
        <v>0</v>
      </c>
      <c r="G62" s="1385">
        <v>0</v>
      </c>
      <c r="H62" s="2069"/>
      <c r="I62" s="2069"/>
      <c r="J62" s="2069"/>
      <c r="K62" s="1672">
        <v>0</v>
      </c>
      <c r="L62" s="1672">
        <v>0</v>
      </c>
      <c r="M62" s="1672">
        <v>0</v>
      </c>
      <c r="N62" s="2027">
        <v>0</v>
      </c>
      <c r="O62" s="2027">
        <v>0</v>
      </c>
      <c r="P62" s="2027">
        <v>0</v>
      </c>
      <c r="Q62" s="2028">
        <f t="shared" si="92"/>
        <v>0</v>
      </c>
      <c r="R62" s="2026">
        <f t="shared" si="90"/>
        <v>0</v>
      </c>
      <c r="S62" s="2029">
        <f t="shared" si="91"/>
        <v>0</v>
      </c>
      <c r="T62" s="2025">
        <f t="shared" si="93"/>
        <v>0</v>
      </c>
      <c r="U62" s="2122" t="str">
        <f t="shared" si="94"/>
        <v>1.33</v>
      </c>
      <c r="V62" s="2122" t="str">
        <f t="shared" si="95"/>
        <v>D+</v>
      </c>
      <c r="W62" s="2122" t="str">
        <f t="shared" si="96"/>
        <v>0</v>
      </c>
      <c r="X62" s="1232"/>
      <c r="Y62" s="1233"/>
      <c r="Z62" s="1233"/>
      <c r="AA62" s="1234"/>
      <c r="AB62" s="1234"/>
      <c r="AC62" s="1235"/>
      <c r="AD62" s="2156"/>
      <c r="AE62" s="2157"/>
    </row>
    <row r="63" spans="1:31" ht="24.95" customHeight="1" x14ac:dyDescent="0.25">
      <c r="A63" s="1236"/>
      <c r="B63" s="1241">
        <v>14</v>
      </c>
      <c r="C63" s="1220" t="s">
        <v>167</v>
      </c>
      <c r="D63" s="1237"/>
      <c r="E63" s="2687"/>
      <c r="F63" s="2688"/>
      <c r="G63" s="2688"/>
      <c r="H63" s="2688"/>
      <c r="I63" s="2076"/>
      <c r="J63" s="2076"/>
      <c r="K63" s="2076"/>
      <c r="L63" s="2076"/>
      <c r="M63" s="2076"/>
      <c r="N63" s="2076"/>
      <c r="O63" s="2076"/>
      <c r="P63" s="2076"/>
      <c r="Q63" s="2076"/>
      <c r="R63" s="2076"/>
      <c r="S63" s="2076"/>
      <c r="T63" s="2123">
        <f>IFERROR(AVERAGE(T60:T62),"  ")</f>
        <v>0</v>
      </c>
      <c r="U63" s="2124" t="str">
        <f>IF(T63&gt;85,("4"),IF(T63&gt;80,("3.66"),IF(T63&gt;75,("3.33"),IF(T63&gt;70,("3.00"),IF(T63&gt;65,("2.66"),IF(T63&gt;60,("2.33"),IF(T63&gt;55,("2"),IF(T63&gt;50,("1.66"),"1.33"))))))))</f>
        <v>1.33</v>
      </c>
      <c r="V63" s="2124" t="str">
        <f>IF(T63&gt;85,("A"),IF(T63&gt;80,("A-"),IF(T63&gt;75,("B+"),IF(T63&gt;70,("B"),IF(T63&gt;65,("B-"),IF(T63&gt;60,("C+"),IF(T63&gt;55,("C"),IF(T63&gt;50,("C-"),"D+"))))))))</f>
        <v>D+</v>
      </c>
      <c r="W63" s="2124"/>
      <c r="X63" s="1238"/>
      <c r="Y63" s="1239"/>
      <c r="Z63" s="1239"/>
      <c r="AA63" s="1239"/>
      <c r="AB63" s="1239"/>
      <c r="AC63" s="1240"/>
      <c r="AD63" s="2158"/>
      <c r="AE63" s="2125"/>
    </row>
    <row r="64" spans="1:31" ht="24.95" customHeight="1" x14ac:dyDescent="0.25">
      <c r="A64" s="1224">
        <v>15</v>
      </c>
      <c r="B64" s="1225"/>
      <c r="C64" s="1209" t="str">
        <f>VLOOKUP(A64,data_siswa,4,FALSE)</f>
        <v>Muhammad Ibra Maulana</v>
      </c>
      <c r="D64" s="2089" t="s">
        <v>11</v>
      </c>
      <c r="E64" s="1672"/>
      <c r="F64" s="1672"/>
      <c r="G64" s="1672"/>
      <c r="H64" s="2069">
        <v>0</v>
      </c>
      <c r="I64" s="2069">
        <v>0</v>
      </c>
      <c r="J64" s="2069">
        <v>0</v>
      </c>
      <c r="K64" s="1672"/>
      <c r="L64" s="1672"/>
      <c r="M64" s="1672"/>
      <c r="N64" s="2027"/>
      <c r="O64" s="2027"/>
      <c r="P64" s="2027"/>
      <c r="Q64" s="2028">
        <f>MAX(E64,H64,K64,N64)</f>
        <v>0</v>
      </c>
      <c r="R64" s="2026">
        <f t="shared" ref="R64:R66" si="97">MAX(F64,I64,L64,O64)</f>
        <v>0</v>
      </c>
      <c r="S64" s="2029">
        <f t="shared" ref="S64:S66" si="98">MAX(G64,J64,M64,P64)</f>
        <v>0</v>
      </c>
      <c r="T64" s="2025">
        <f>IFERROR(AVERAGE(Q64:S64),"")</f>
        <v>0</v>
      </c>
      <c r="U64" s="2121" t="str">
        <f>IF(T64&gt;85,("4"),IF(T64&gt;80,("3.66"),IF(T64&gt;75,("3.33"),IF(T64&gt;70,("3.00"),IF(T64&gt;65,("2.66"),IF(T64&gt;60,("2.33"),IF(T64&gt;55,("2"),IF(T64&gt;50,("1.66"),"1.33"))))))))</f>
        <v>1.33</v>
      </c>
      <c r="V64" s="2121" t="str">
        <f>IF(T64&gt;85,("A"),IF(T64&gt;80,("A-"),IF(T64&gt;75,("B+"),IF(T64&gt;70,("B"),IF(T64&gt;65,("B-"),IF(T64&gt;60,("C+"),IF(T64&gt;55,("C"),IF(T64&gt;50,("C-"),"D+"))))))))</f>
        <v>D+</v>
      </c>
      <c r="W64" s="2121" t="str">
        <f>IF(T64&gt;80,("SB"),IF(T64&gt;65,("B"),IF(T64&gt;50,("C"),IF(T64&gt;0,("K"),"0"))))</f>
        <v>0</v>
      </c>
      <c r="X64" s="1226"/>
      <c r="Y64" s="1226">
        <v>3</v>
      </c>
      <c r="Z64" s="1226"/>
      <c r="AA64" s="1227">
        <v>1</v>
      </c>
      <c r="AB64" s="1227"/>
      <c r="AC64" s="1227"/>
      <c r="AD64" s="2159">
        <f>MAX(T64:T66)</f>
        <v>0</v>
      </c>
      <c r="AE64" s="767" t="str">
        <f>IF(AD64&gt;85,("A"),IF(AD64&gt;80,("A-"),IF(AD64&gt;75,("B+"),IF(AD64&gt;70,("B"),IF(AD64&gt;65,("B-"),IF(AD64&gt;60,("C+"),IF(AD64&gt;55,("C"),IF(AD64&gt;50,("C-"),"D+"))))))))</f>
        <v>D+</v>
      </c>
    </row>
    <row r="65" spans="1:31" ht="24.95" customHeight="1" x14ac:dyDescent="0.25">
      <c r="A65" s="1207"/>
      <c r="B65" s="1208"/>
      <c r="C65" s="1212"/>
      <c r="D65" s="1459" t="s">
        <v>189</v>
      </c>
      <c r="E65" s="1672">
        <v>0</v>
      </c>
      <c r="F65" s="1672">
        <v>0</v>
      </c>
      <c r="G65" s="1672">
        <v>0</v>
      </c>
      <c r="H65" s="2069">
        <v>0</v>
      </c>
      <c r="I65" s="2069">
        <v>0</v>
      </c>
      <c r="J65" s="2069">
        <v>0</v>
      </c>
      <c r="K65" s="1672">
        <v>0</v>
      </c>
      <c r="L65" s="1672">
        <v>0</v>
      </c>
      <c r="M65" s="1672">
        <v>0</v>
      </c>
      <c r="N65" s="2027">
        <v>0</v>
      </c>
      <c r="O65" s="2027">
        <v>0</v>
      </c>
      <c r="P65" s="2027">
        <v>0</v>
      </c>
      <c r="Q65" s="2028">
        <f t="shared" ref="Q65:Q66" si="99">MAX(E65,H65,K65,N65)</f>
        <v>0</v>
      </c>
      <c r="R65" s="2026">
        <f t="shared" si="97"/>
        <v>0</v>
      </c>
      <c r="S65" s="2029">
        <f t="shared" si="98"/>
        <v>0</v>
      </c>
      <c r="T65" s="2025">
        <f t="shared" ref="T65:T66" si="100">IFERROR(AVERAGE(Q65:S65),"")</f>
        <v>0</v>
      </c>
      <c r="U65" s="2122" t="str">
        <f t="shared" ref="U65:U66" si="101">IF(T65&gt;85,("4"),IF(T65&gt;80,("3.66"),IF(T65&gt;75,("3.33"),IF(T65&gt;70,("3.00"),IF(T65&gt;65,("2.66"),IF(T65&gt;60,("2.33"),IF(T65&gt;55,("2"),IF(T65&gt;50,("1.66"),"1.33"))))))))</f>
        <v>1.33</v>
      </c>
      <c r="V65" s="2122" t="str">
        <f t="shared" ref="V65:V66" si="102">IF(T65&gt;85,("A"),IF(T65&gt;80,("A-"),IF(T65&gt;75,("B+"),IF(T65&gt;70,("B"),IF(T65&gt;65,("B-"),IF(T65&gt;60,("C+"),IF(T65&gt;55,("C"),IF(T65&gt;50,("C-"),"D+"))))))))</f>
        <v>D+</v>
      </c>
      <c r="W65" s="2122" t="str">
        <f t="shared" ref="W65:W66" si="103">IF(T65&gt;80,("SB"),IF(T65&gt;65,("B"),IF(T65&gt;50,("C"),IF(T65&gt;0,("K"),"0"))))</f>
        <v>0</v>
      </c>
      <c r="X65" s="1228"/>
      <c r="Y65" s="1229"/>
      <c r="Z65" s="1229"/>
      <c r="AA65" s="1230"/>
      <c r="AB65" s="1230"/>
      <c r="AC65" s="1231"/>
      <c r="AD65" s="2154"/>
      <c r="AE65" s="2155"/>
    </row>
    <row r="66" spans="1:31" ht="24.95" customHeight="1" x14ac:dyDescent="0.25">
      <c r="A66" s="1207"/>
      <c r="B66" s="1208"/>
      <c r="C66" s="1212"/>
      <c r="D66" s="1459" t="s">
        <v>186</v>
      </c>
      <c r="E66" s="1385">
        <v>0</v>
      </c>
      <c r="F66" s="1385">
        <v>0</v>
      </c>
      <c r="G66" s="1385">
        <v>0</v>
      </c>
      <c r="H66" s="2069"/>
      <c r="I66" s="2069"/>
      <c r="J66" s="2069"/>
      <c r="K66" s="1672">
        <v>0</v>
      </c>
      <c r="L66" s="1672">
        <v>0</v>
      </c>
      <c r="M66" s="1672">
        <v>0</v>
      </c>
      <c r="N66" s="2027">
        <v>0</v>
      </c>
      <c r="O66" s="2027">
        <v>0</v>
      </c>
      <c r="P66" s="2027">
        <v>0</v>
      </c>
      <c r="Q66" s="2028">
        <f t="shared" si="99"/>
        <v>0</v>
      </c>
      <c r="R66" s="2026">
        <f t="shared" si="97"/>
        <v>0</v>
      </c>
      <c r="S66" s="2029">
        <f t="shared" si="98"/>
        <v>0</v>
      </c>
      <c r="T66" s="2025">
        <f t="shared" si="100"/>
        <v>0</v>
      </c>
      <c r="U66" s="2122" t="str">
        <f t="shared" si="101"/>
        <v>1.33</v>
      </c>
      <c r="V66" s="2122" t="str">
        <f t="shared" si="102"/>
        <v>D+</v>
      </c>
      <c r="W66" s="2122" t="str">
        <f t="shared" si="103"/>
        <v>0</v>
      </c>
      <c r="X66" s="1232"/>
      <c r="Y66" s="1233"/>
      <c r="Z66" s="1233"/>
      <c r="AA66" s="1234"/>
      <c r="AB66" s="1234"/>
      <c r="AC66" s="1235"/>
      <c r="AD66" s="2156"/>
      <c r="AE66" s="2157"/>
    </row>
    <row r="67" spans="1:31" ht="24.95" customHeight="1" x14ac:dyDescent="0.25">
      <c r="A67" s="1236"/>
      <c r="B67" s="1241">
        <v>15</v>
      </c>
      <c r="C67" s="1220" t="s">
        <v>167</v>
      </c>
      <c r="D67" s="1237"/>
      <c r="E67" s="2687"/>
      <c r="F67" s="2688"/>
      <c r="G67" s="2688"/>
      <c r="H67" s="2688"/>
      <c r="I67" s="2076"/>
      <c r="J67" s="2076"/>
      <c r="K67" s="2076"/>
      <c r="L67" s="2076"/>
      <c r="M67" s="2076"/>
      <c r="N67" s="2076"/>
      <c r="O67" s="2076"/>
      <c r="P67" s="2076"/>
      <c r="Q67" s="2076"/>
      <c r="R67" s="2076"/>
      <c r="S67" s="2076"/>
      <c r="T67" s="2123">
        <f>IFERROR(AVERAGE(T64:T66),"  ")</f>
        <v>0</v>
      </c>
      <c r="U67" s="2124" t="str">
        <f>IF(T67&gt;85,("4"),IF(T67&gt;80,("3.66"),IF(T67&gt;75,("3.33"),IF(T67&gt;70,("3.00"),IF(T67&gt;65,("2.66"),IF(T67&gt;60,("2.33"),IF(T67&gt;55,("2"),IF(T67&gt;50,("1.66"),"1.33"))))))))</f>
        <v>1.33</v>
      </c>
      <c r="V67" s="2124" t="str">
        <f>IF(T67&gt;85,("A"),IF(T67&gt;80,("A-"),IF(T67&gt;75,("B+"),IF(T67&gt;70,("B"),IF(T67&gt;65,("B-"),IF(T67&gt;60,("C+"),IF(T67&gt;55,("C"),IF(T67&gt;50,("C-"),"D+"))))))))</f>
        <v>D+</v>
      </c>
      <c r="W67" s="2124"/>
      <c r="X67" s="1238"/>
      <c r="Y67" s="1239"/>
      <c r="Z67" s="1239"/>
      <c r="AA67" s="1239"/>
      <c r="AB67" s="1239"/>
      <c r="AC67" s="1240"/>
      <c r="AD67" s="2158"/>
      <c r="AE67" s="2125"/>
    </row>
    <row r="68" spans="1:31" ht="24.95" customHeight="1" x14ac:dyDescent="0.25">
      <c r="A68" s="1224">
        <v>16</v>
      </c>
      <c r="B68" s="1225"/>
      <c r="C68" s="1209" t="str">
        <f>VLOOKUP(A68,data_siswa,4,FALSE)</f>
        <v>Nabilla Shiva Putri</v>
      </c>
      <c r="D68" s="2089" t="s">
        <v>11</v>
      </c>
      <c r="E68" s="1672"/>
      <c r="F68" s="1672"/>
      <c r="G68" s="1672"/>
      <c r="H68" s="2069">
        <v>0</v>
      </c>
      <c r="I68" s="2069">
        <v>0</v>
      </c>
      <c r="J68" s="2069">
        <v>0</v>
      </c>
      <c r="K68" s="1672"/>
      <c r="L68" s="1672"/>
      <c r="M68" s="1672"/>
      <c r="N68" s="2027"/>
      <c r="O68" s="2027"/>
      <c r="P68" s="2027"/>
      <c r="Q68" s="2028">
        <f>MAX(E68,H68,K68,N68)</f>
        <v>0</v>
      </c>
      <c r="R68" s="2026">
        <f t="shared" ref="R68:R70" si="104">MAX(F68,I68,L68,O68)</f>
        <v>0</v>
      </c>
      <c r="S68" s="2029">
        <f t="shared" ref="S68:S70" si="105">MAX(G68,J68,M68,P68)</f>
        <v>0</v>
      </c>
      <c r="T68" s="2025">
        <f>IFERROR(AVERAGE(Q68:S68),"")</f>
        <v>0</v>
      </c>
      <c r="U68" s="2121" t="str">
        <f>IF(T68&gt;85,("4"),IF(T68&gt;80,("3.66"),IF(T68&gt;75,("3.33"),IF(T68&gt;70,("3.00"),IF(T68&gt;65,("2.66"),IF(T68&gt;60,("2.33"),IF(T68&gt;55,("2"),IF(T68&gt;50,("1.66"),"1.33"))))))))</f>
        <v>1.33</v>
      </c>
      <c r="V68" s="2121" t="str">
        <f>IF(T68&gt;85,("A"),IF(T68&gt;80,("A-"),IF(T68&gt;75,("B+"),IF(T68&gt;70,("B"),IF(T68&gt;65,("B-"),IF(T68&gt;60,("C+"),IF(T68&gt;55,("C"),IF(T68&gt;50,("C-"),"D+"))))))))</f>
        <v>D+</v>
      </c>
      <c r="W68" s="2121" t="str">
        <f>IF(T68&gt;80,("SB"),IF(T68&gt;65,("B"),IF(T68&gt;50,("C"),IF(T68&gt;0,("K"),"0"))))</f>
        <v>0</v>
      </c>
      <c r="X68" s="1226"/>
      <c r="Y68" s="1226">
        <v>3</v>
      </c>
      <c r="Z68" s="1226"/>
      <c r="AA68" s="1227">
        <v>1</v>
      </c>
      <c r="AB68" s="1227"/>
      <c r="AC68" s="1227"/>
      <c r="AD68" s="2159">
        <f>MAX(T68:T70)</f>
        <v>0</v>
      </c>
      <c r="AE68" s="767" t="str">
        <f>IF(AD68&gt;85,("A"),IF(AD68&gt;80,("A-"),IF(AD68&gt;75,("B+"),IF(AD68&gt;70,("B"),IF(AD68&gt;65,("B-"),IF(AD68&gt;60,("C+"),IF(AD68&gt;55,("C"),IF(AD68&gt;50,("C-"),"D+"))))))))</f>
        <v>D+</v>
      </c>
    </row>
    <row r="69" spans="1:31" ht="24.95" customHeight="1" x14ac:dyDescent="0.25">
      <c r="A69" s="1207"/>
      <c r="B69" s="1208"/>
      <c r="C69" s="1212"/>
      <c r="D69" s="1459" t="s">
        <v>189</v>
      </c>
      <c r="E69" s="1672">
        <v>0</v>
      </c>
      <c r="F69" s="1672">
        <v>0</v>
      </c>
      <c r="G69" s="1672">
        <v>0</v>
      </c>
      <c r="H69" s="2069">
        <v>0</v>
      </c>
      <c r="I69" s="2069">
        <v>0</v>
      </c>
      <c r="J69" s="2069">
        <v>0</v>
      </c>
      <c r="K69" s="1672">
        <v>0</v>
      </c>
      <c r="L69" s="1672">
        <v>0</v>
      </c>
      <c r="M69" s="1672">
        <v>0</v>
      </c>
      <c r="N69" s="2027">
        <v>0</v>
      </c>
      <c r="O69" s="2027">
        <v>0</v>
      </c>
      <c r="P69" s="2027">
        <v>0</v>
      </c>
      <c r="Q69" s="2028">
        <f t="shared" ref="Q69:Q70" si="106">MAX(E69,H69,K69,N69)</f>
        <v>0</v>
      </c>
      <c r="R69" s="2026">
        <f t="shared" si="104"/>
        <v>0</v>
      </c>
      <c r="S69" s="2029">
        <f t="shared" si="105"/>
        <v>0</v>
      </c>
      <c r="T69" s="2025">
        <f t="shared" ref="T69:T70" si="107">IFERROR(AVERAGE(Q69:S69),"")</f>
        <v>0</v>
      </c>
      <c r="U69" s="2122" t="str">
        <f t="shared" ref="U69:U70" si="108">IF(T69&gt;85,("4"),IF(T69&gt;80,("3.66"),IF(T69&gt;75,("3.33"),IF(T69&gt;70,("3.00"),IF(T69&gt;65,("2.66"),IF(T69&gt;60,("2.33"),IF(T69&gt;55,("2"),IF(T69&gt;50,("1.66"),"1.33"))))))))</f>
        <v>1.33</v>
      </c>
      <c r="V69" s="2122" t="str">
        <f t="shared" ref="V69:V70" si="109">IF(T69&gt;85,("A"),IF(T69&gt;80,("A-"),IF(T69&gt;75,("B+"),IF(T69&gt;70,("B"),IF(T69&gt;65,("B-"),IF(T69&gt;60,("C+"),IF(T69&gt;55,("C"),IF(T69&gt;50,("C-"),"D+"))))))))</f>
        <v>D+</v>
      </c>
      <c r="W69" s="2122" t="str">
        <f t="shared" ref="W69:W70" si="110">IF(T69&gt;80,("SB"),IF(T69&gt;65,("B"),IF(T69&gt;50,("C"),IF(T69&gt;0,("K"),"0"))))</f>
        <v>0</v>
      </c>
      <c r="X69" s="1228"/>
      <c r="Y69" s="1229"/>
      <c r="Z69" s="1229"/>
      <c r="AA69" s="1230"/>
      <c r="AB69" s="1230"/>
      <c r="AC69" s="1231"/>
      <c r="AD69" s="2154"/>
      <c r="AE69" s="2155"/>
    </row>
    <row r="70" spans="1:31" ht="24.95" customHeight="1" x14ac:dyDescent="0.25">
      <c r="A70" s="1207"/>
      <c r="B70" s="1208"/>
      <c r="C70" s="1212"/>
      <c r="D70" s="1459" t="s">
        <v>186</v>
      </c>
      <c r="E70" s="1385">
        <v>0</v>
      </c>
      <c r="F70" s="1385">
        <v>0</v>
      </c>
      <c r="G70" s="1385">
        <v>0</v>
      </c>
      <c r="H70" s="2069"/>
      <c r="I70" s="2069"/>
      <c r="J70" s="2069"/>
      <c r="K70" s="1672">
        <v>0</v>
      </c>
      <c r="L70" s="1672">
        <v>0</v>
      </c>
      <c r="M70" s="1672">
        <v>0</v>
      </c>
      <c r="N70" s="2027">
        <v>0</v>
      </c>
      <c r="O70" s="2027">
        <v>0</v>
      </c>
      <c r="P70" s="2027">
        <v>0</v>
      </c>
      <c r="Q70" s="2028">
        <f t="shared" si="106"/>
        <v>0</v>
      </c>
      <c r="R70" s="2026">
        <f t="shared" si="104"/>
        <v>0</v>
      </c>
      <c r="S70" s="2029">
        <f t="shared" si="105"/>
        <v>0</v>
      </c>
      <c r="T70" s="2025">
        <f t="shared" si="107"/>
        <v>0</v>
      </c>
      <c r="U70" s="2122" t="str">
        <f t="shared" si="108"/>
        <v>1.33</v>
      </c>
      <c r="V70" s="2122" t="str">
        <f t="shared" si="109"/>
        <v>D+</v>
      </c>
      <c r="W70" s="2122" t="str">
        <f t="shared" si="110"/>
        <v>0</v>
      </c>
      <c r="X70" s="1232"/>
      <c r="Y70" s="1233"/>
      <c r="Z70" s="1233"/>
      <c r="AA70" s="1234"/>
      <c r="AB70" s="1234"/>
      <c r="AC70" s="1235"/>
      <c r="AD70" s="2156"/>
      <c r="AE70" s="2157"/>
    </row>
    <row r="71" spans="1:31" ht="24.95" customHeight="1" x14ac:dyDescent="0.25">
      <c r="A71" s="1236"/>
      <c r="B71" s="1241">
        <v>16</v>
      </c>
      <c r="C71" s="1220" t="s">
        <v>167</v>
      </c>
      <c r="D71" s="1237"/>
      <c r="E71" s="2687"/>
      <c r="F71" s="2688"/>
      <c r="G71" s="2688"/>
      <c r="H71" s="2688"/>
      <c r="I71" s="2076"/>
      <c r="J71" s="2076"/>
      <c r="K71" s="2076"/>
      <c r="L71" s="2076"/>
      <c r="M71" s="2076"/>
      <c r="N71" s="2076"/>
      <c r="O71" s="2076"/>
      <c r="P71" s="2076"/>
      <c r="Q71" s="2076"/>
      <c r="R71" s="2076"/>
      <c r="S71" s="2076"/>
      <c r="T71" s="2123">
        <f>IFERROR(AVERAGE(T68:T70),"  ")</f>
        <v>0</v>
      </c>
      <c r="U71" s="2124" t="str">
        <f>IF(T71&gt;85,("4"),IF(T71&gt;80,("3.66"),IF(T71&gt;75,("3.33"),IF(T71&gt;70,("3.00"),IF(T71&gt;65,("2.66"),IF(T71&gt;60,("2.33"),IF(T71&gt;55,("2"),IF(T71&gt;50,("1.66"),"1.33"))))))))</f>
        <v>1.33</v>
      </c>
      <c r="V71" s="2124" t="str">
        <f>IF(T71&gt;85,("A"),IF(T71&gt;80,("A-"),IF(T71&gt;75,("B+"),IF(T71&gt;70,("B"),IF(T71&gt;65,("B-"),IF(T71&gt;60,("C+"),IF(T71&gt;55,("C"),IF(T71&gt;50,("C-"),"D+"))))))))</f>
        <v>D+</v>
      </c>
      <c r="W71" s="2124"/>
      <c r="X71" s="1238"/>
      <c r="Y71" s="1239"/>
      <c r="Z71" s="1239"/>
      <c r="AA71" s="1239"/>
      <c r="AB71" s="1239"/>
      <c r="AC71" s="1240"/>
      <c r="AD71" s="2158"/>
      <c r="AE71" s="2125"/>
    </row>
    <row r="72" spans="1:31" ht="24.95" customHeight="1" x14ac:dyDescent="0.25">
      <c r="A72" s="1224">
        <v>17</v>
      </c>
      <c r="B72" s="1225"/>
      <c r="C72" s="1209" t="str">
        <f>VLOOKUP(A72,data_siswa,4,FALSE)</f>
        <v>Naufal Falih F</v>
      </c>
      <c r="D72" s="2089" t="s">
        <v>11</v>
      </c>
      <c r="E72" s="1672"/>
      <c r="F72" s="1672"/>
      <c r="G72" s="1672"/>
      <c r="H72" s="2069">
        <v>0</v>
      </c>
      <c r="I72" s="2069">
        <v>0</v>
      </c>
      <c r="J72" s="2069">
        <v>0</v>
      </c>
      <c r="K72" s="1672"/>
      <c r="L72" s="1672"/>
      <c r="M72" s="1672"/>
      <c r="N72" s="2027"/>
      <c r="O72" s="2027"/>
      <c r="P72" s="2027"/>
      <c r="Q72" s="2028">
        <f>MAX(E72,H72,K72,N72)</f>
        <v>0</v>
      </c>
      <c r="R72" s="2026">
        <f t="shared" ref="R72:R74" si="111">MAX(F72,I72,L72,O72)</f>
        <v>0</v>
      </c>
      <c r="S72" s="2029">
        <f t="shared" ref="S72:S74" si="112">MAX(G72,J72,M72,P72)</f>
        <v>0</v>
      </c>
      <c r="T72" s="2025">
        <f>IFERROR(AVERAGE(Q72:S72),"")</f>
        <v>0</v>
      </c>
      <c r="U72" s="2121" t="str">
        <f>IF(T72&gt;85,("4"),IF(T72&gt;80,("3.66"),IF(T72&gt;75,("3.33"),IF(T72&gt;70,("3.00"),IF(T72&gt;65,("2.66"),IF(T72&gt;60,("2.33"),IF(T72&gt;55,("2"),IF(T72&gt;50,("1.66"),"1.33"))))))))</f>
        <v>1.33</v>
      </c>
      <c r="V72" s="2121" t="str">
        <f>IF(T72&gt;85,("A"),IF(T72&gt;80,("A-"),IF(T72&gt;75,("B+"),IF(T72&gt;70,("B"),IF(T72&gt;65,("B-"),IF(T72&gt;60,("C+"),IF(T72&gt;55,("C"),IF(T72&gt;50,("C-"),"D+"))))))))</f>
        <v>D+</v>
      </c>
      <c r="W72" s="2121" t="str">
        <f>IF(T72&gt;80,("SB"),IF(T72&gt;65,("B"),IF(T72&gt;50,("C"),IF(T72&gt;0,("K"),"0"))))</f>
        <v>0</v>
      </c>
      <c r="X72" s="1226"/>
      <c r="Y72" s="1226">
        <v>3</v>
      </c>
      <c r="Z72" s="1226"/>
      <c r="AA72" s="1227">
        <v>1</v>
      </c>
      <c r="AB72" s="1227"/>
      <c r="AC72" s="1227"/>
      <c r="AD72" s="2159">
        <f>MAX(T72:T74)</f>
        <v>0</v>
      </c>
      <c r="AE72" s="767" t="str">
        <f>IF(AD72&gt;85,("A"),IF(AD72&gt;80,("A-"),IF(AD72&gt;75,("B+"),IF(AD72&gt;70,("B"),IF(AD72&gt;65,("B-"),IF(AD72&gt;60,("C+"),IF(AD72&gt;55,("C"),IF(AD72&gt;50,("C-"),"D+"))))))))</f>
        <v>D+</v>
      </c>
    </row>
    <row r="73" spans="1:31" ht="24.95" customHeight="1" x14ac:dyDescent="0.25">
      <c r="A73" s="1207"/>
      <c r="B73" s="1208"/>
      <c r="C73" s="1212"/>
      <c r="D73" s="1459" t="s">
        <v>189</v>
      </c>
      <c r="E73" s="1672">
        <v>0</v>
      </c>
      <c r="F73" s="1672">
        <v>0</v>
      </c>
      <c r="G73" s="1672">
        <v>0</v>
      </c>
      <c r="H73" s="2069">
        <v>0</v>
      </c>
      <c r="I73" s="2069">
        <v>0</v>
      </c>
      <c r="J73" s="2069">
        <v>0</v>
      </c>
      <c r="K73" s="1672">
        <v>0</v>
      </c>
      <c r="L73" s="1672">
        <v>0</v>
      </c>
      <c r="M73" s="1672">
        <v>0</v>
      </c>
      <c r="N73" s="2027">
        <v>0</v>
      </c>
      <c r="O73" s="2027">
        <v>0</v>
      </c>
      <c r="P73" s="2027">
        <v>0</v>
      </c>
      <c r="Q73" s="2028">
        <f t="shared" ref="Q73:Q74" si="113">MAX(E73,H73,K73,N73)</f>
        <v>0</v>
      </c>
      <c r="R73" s="2026">
        <f t="shared" si="111"/>
        <v>0</v>
      </c>
      <c r="S73" s="2029">
        <f t="shared" si="112"/>
        <v>0</v>
      </c>
      <c r="T73" s="2025">
        <f t="shared" ref="T73:T74" si="114">IFERROR(AVERAGE(Q73:S73),"")</f>
        <v>0</v>
      </c>
      <c r="U73" s="2122" t="str">
        <f t="shared" ref="U73:U74" si="115">IF(T73&gt;85,("4"),IF(T73&gt;80,("3.66"),IF(T73&gt;75,("3.33"),IF(T73&gt;70,("3.00"),IF(T73&gt;65,("2.66"),IF(T73&gt;60,("2.33"),IF(T73&gt;55,("2"),IF(T73&gt;50,("1.66"),"1.33"))))))))</f>
        <v>1.33</v>
      </c>
      <c r="V73" s="2122" t="str">
        <f t="shared" ref="V73:V74" si="116">IF(T73&gt;85,("A"),IF(T73&gt;80,("A-"),IF(T73&gt;75,("B+"),IF(T73&gt;70,("B"),IF(T73&gt;65,("B-"),IF(T73&gt;60,("C+"),IF(T73&gt;55,("C"),IF(T73&gt;50,("C-"),"D+"))))))))</f>
        <v>D+</v>
      </c>
      <c r="W73" s="2122" t="str">
        <f t="shared" ref="W73:W74" si="117">IF(T73&gt;80,("SB"),IF(T73&gt;65,("B"),IF(T73&gt;50,("C"),IF(T73&gt;0,("K"),"0"))))</f>
        <v>0</v>
      </c>
      <c r="X73" s="1228"/>
      <c r="Y73" s="1229"/>
      <c r="Z73" s="1229"/>
      <c r="AA73" s="1230"/>
      <c r="AB73" s="1230"/>
      <c r="AC73" s="1231"/>
      <c r="AD73" s="2154"/>
      <c r="AE73" s="2155"/>
    </row>
    <row r="74" spans="1:31" ht="24.95" customHeight="1" x14ac:dyDescent="0.25">
      <c r="A74" s="1207"/>
      <c r="B74" s="1208"/>
      <c r="C74" s="1212"/>
      <c r="D74" s="1459" t="s">
        <v>186</v>
      </c>
      <c r="E74" s="1385">
        <v>0</v>
      </c>
      <c r="F74" s="1385">
        <v>0</v>
      </c>
      <c r="G74" s="1385">
        <v>0</v>
      </c>
      <c r="H74" s="2069"/>
      <c r="I74" s="2069"/>
      <c r="J74" s="2069"/>
      <c r="K74" s="1672">
        <v>0</v>
      </c>
      <c r="L74" s="1672">
        <v>0</v>
      </c>
      <c r="M74" s="1672">
        <v>0</v>
      </c>
      <c r="N74" s="2027">
        <v>0</v>
      </c>
      <c r="O74" s="2027">
        <v>0</v>
      </c>
      <c r="P74" s="2027">
        <v>0</v>
      </c>
      <c r="Q74" s="2028">
        <f t="shared" si="113"/>
        <v>0</v>
      </c>
      <c r="R74" s="2026">
        <f t="shared" si="111"/>
        <v>0</v>
      </c>
      <c r="S74" s="2029">
        <f t="shared" si="112"/>
        <v>0</v>
      </c>
      <c r="T74" s="2025">
        <f t="shared" si="114"/>
        <v>0</v>
      </c>
      <c r="U74" s="2122" t="str">
        <f t="shared" si="115"/>
        <v>1.33</v>
      </c>
      <c r="V74" s="2122" t="str">
        <f t="shared" si="116"/>
        <v>D+</v>
      </c>
      <c r="W74" s="2122" t="str">
        <f t="shared" si="117"/>
        <v>0</v>
      </c>
      <c r="X74" s="1232"/>
      <c r="Y74" s="1233"/>
      <c r="Z74" s="1233"/>
      <c r="AA74" s="1234"/>
      <c r="AB74" s="1234"/>
      <c r="AC74" s="1235"/>
      <c r="AD74" s="2156"/>
      <c r="AE74" s="2157"/>
    </row>
    <row r="75" spans="1:31" ht="24.95" customHeight="1" x14ac:dyDescent="0.25">
      <c r="A75" s="1236"/>
      <c r="B75" s="1241">
        <v>17</v>
      </c>
      <c r="C75" s="1220" t="s">
        <v>167</v>
      </c>
      <c r="D75" s="1237"/>
      <c r="E75" s="2687"/>
      <c r="F75" s="2688"/>
      <c r="G75" s="2688"/>
      <c r="H75" s="2688"/>
      <c r="I75" s="2076"/>
      <c r="J75" s="2076"/>
      <c r="K75" s="2076"/>
      <c r="L75" s="2076"/>
      <c r="M75" s="2076"/>
      <c r="N75" s="2076"/>
      <c r="O75" s="2076"/>
      <c r="P75" s="2076"/>
      <c r="Q75" s="2076"/>
      <c r="R75" s="2076"/>
      <c r="S75" s="2076"/>
      <c r="T75" s="2123">
        <f>IFERROR(AVERAGE(T72:T74),"  ")</f>
        <v>0</v>
      </c>
      <c r="U75" s="2124" t="str">
        <f>IF(T75&gt;85,("4"),IF(T75&gt;80,("3.66"),IF(T75&gt;75,("3.33"),IF(T75&gt;70,("3.00"),IF(T75&gt;65,("2.66"),IF(T75&gt;60,("2.33"),IF(T75&gt;55,("2"),IF(T75&gt;50,("1.66"),"1.33"))))))))</f>
        <v>1.33</v>
      </c>
      <c r="V75" s="2124" t="str">
        <f>IF(T75&gt;85,("A"),IF(T75&gt;80,("A-"),IF(T75&gt;75,("B+"),IF(T75&gt;70,("B"),IF(T75&gt;65,("B-"),IF(T75&gt;60,("C+"),IF(T75&gt;55,("C"),IF(T75&gt;50,("C-"),"D+"))))))))</f>
        <v>D+</v>
      </c>
      <c r="W75" s="2124"/>
      <c r="X75" s="1238"/>
      <c r="Y75" s="1239"/>
      <c r="Z75" s="1239"/>
      <c r="AA75" s="1239"/>
      <c r="AB75" s="1239"/>
      <c r="AC75" s="1240"/>
      <c r="AD75" s="2158"/>
      <c r="AE75" s="2125"/>
    </row>
    <row r="76" spans="1:31" ht="24.95" customHeight="1" x14ac:dyDescent="0.25">
      <c r="A76" s="1224">
        <v>18</v>
      </c>
      <c r="B76" s="1225"/>
      <c r="C76" s="1209" t="str">
        <f>VLOOKUP(A76,data_siswa,4,FALSE)</f>
        <v>Nayla Annora Nobel W</v>
      </c>
      <c r="D76" s="2089" t="s">
        <v>11</v>
      </c>
      <c r="E76" s="1672"/>
      <c r="F76" s="1672"/>
      <c r="G76" s="1672"/>
      <c r="H76" s="2069">
        <v>0</v>
      </c>
      <c r="I76" s="2069">
        <v>0</v>
      </c>
      <c r="J76" s="2069">
        <v>0</v>
      </c>
      <c r="K76" s="1672"/>
      <c r="L76" s="1672"/>
      <c r="M76" s="1672"/>
      <c r="N76" s="2027"/>
      <c r="O76" s="2027"/>
      <c r="P76" s="2027"/>
      <c r="Q76" s="2028">
        <f>MAX(E76,H76,K76,N76)</f>
        <v>0</v>
      </c>
      <c r="R76" s="2026">
        <f t="shared" ref="R76:R78" si="118">MAX(F76,I76,L76,O76)</f>
        <v>0</v>
      </c>
      <c r="S76" s="2029">
        <f t="shared" ref="S76:S78" si="119">MAX(G76,J76,M76,P76)</f>
        <v>0</v>
      </c>
      <c r="T76" s="2025">
        <f>IFERROR(AVERAGE(Q76:S76),"")</f>
        <v>0</v>
      </c>
      <c r="U76" s="2121" t="str">
        <f>IF(T76&gt;85,("4"),IF(T76&gt;80,("3.66"),IF(T76&gt;75,("3.33"),IF(T76&gt;70,("3.00"),IF(T76&gt;65,("2.66"),IF(T76&gt;60,("2.33"),IF(T76&gt;55,("2"),IF(T76&gt;50,("1.66"),"1.33"))))))))</f>
        <v>1.33</v>
      </c>
      <c r="V76" s="2121" t="str">
        <f>IF(T76&gt;85,("A"),IF(T76&gt;80,("A-"),IF(T76&gt;75,("B+"),IF(T76&gt;70,("B"),IF(T76&gt;65,("B-"),IF(T76&gt;60,("C+"),IF(T76&gt;55,("C"),IF(T76&gt;50,("C-"),"D+"))))))))</f>
        <v>D+</v>
      </c>
      <c r="W76" s="2121" t="str">
        <f>IF(T76&gt;80,("SB"),IF(T76&gt;65,("B"),IF(T76&gt;50,("C"),IF(T76&gt;0,("K"),"0"))))</f>
        <v>0</v>
      </c>
      <c r="X76" s="1226"/>
      <c r="Y76" s="1226">
        <v>3</v>
      </c>
      <c r="Z76" s="1226"/>
      <c r="AA76" s="1227">
        <v>1</v>
      </c>
      <c r="AB76" s="1227"/>
      <c r="AC76" s="1227"/>
      <c r="AD76" s="2159">
        <f>MAX(T76:T78)</f>
        <v>0</v>
      </c>
      <c r="AE76" s="767" t="str">
        <f>IF(AD76&gt;85,("A"),IF(AD76&gt;80,("A-"),IF(AD76&gt;75,("B+"),IF(AD76&gt;70,("B"),IF(AD76&gt;65,("B-"),IF(AD76&gt;60,("C+"),IF(AD76&gt;55,("C"),IF(AD76&gt;50,("C-"),"D+"))))))))</f>
        <v>D+</v>
      </c>
    </row>
    <row r="77" spans="1:31" ht="24.95" customHeight="1" x14ac:dyDescent="0.25">
      <c r="A77" s="1207"/>
      <c r="B77" s="1208"/>
      <c r="C77" s="1212"/>
      <c r="D77" s="1459" t="s">
        <v>189</v>
      </c>
      <c r="E77" s="1672">
        <v>0</v>
      </c>
      <c r="F77" s="1672">
        <v>0</v>
      </c>
      <c r="G77" s="1672">
        <v>0</v>
      </c>
      <c r="H77" s="2069">
        <v>0</v>
      </c>
      <c r="I77" s="2069">
        <v>0</v>
      </c>
      <c r="J77" s="2069">
        <v>0</v>
      </c>
      <c r="K77" s="1672">
        <v>0</v>
      </c>
      <c r="L77" s="1672">
        <v>0</v>
      </c>
      <c r="M77" s="1672">
        <v>0</v>
      </c>
      <c r="N77" s="2027">
        <v>0</v>
      </c>
      <c r="O77" s="2027">
        <v>0</v>
      </c>
      <c r="P77" s="2027">
        <v>0</v>
      </c>
      <c r="Q77" s="2028">
        <f t="shared" ref="Q77:Q78" si="120">MAX(E77,H77,K77,N77)</f>
        <v>0</v>
      </c>
      <c r="R77" s="2026">
        <f t="shared" si="118"/>
        <v>0</v>
      </c>
      <c r="S77" s="2029">
        <f t="shared" si="119"/>
        <v>0</v>
      </c>
      <c r="T77" s="2025">
        <f t="shared" ref="T77:T78" si="121">IFERROR(AVERAGE(Q77:S77),"")</f>
        <v>0</v>
      </c>
      <c r="U77" s="2122" t="str">
        <f t="shared" ref="U77:U78" si="122">IF(T77&gt;85,("4"),IF(T77&gt;80,("3.66"),IF(T77&gt;75,("3.33"),IF(T77&gt;70,("3.00"),IF(T77&gt;65,("2.66"),IF(T77&gt;60,("2.33"),IF(T77&gt;55,("2"),IF(T77&gt;50,("1.66"),"1.33"))))))))</f>
        <v>1.33</v>
      </c>
      <c r="V77" s="2122" t="str">
        <f t="shared" ref="V77:V78" si="123">IF(T77&gt;85,("A"),IF(T77&gt;80,("A-"),IF(T77&gt;75,("B+"),IF(T77&gt;70,("B"),IF(T77&gt;65,("B-"),IF(T77&gt;60,("C+"),IF(T77&gt;55,("C"),IF(T77&gt;50,("C-"),"D+"))))))))</f>
        <v>D+</v>
      </c>
      <c r="W77" s="2122" t="str">
        <f t="shared" ref="W77:W78" si="124">IF(T77&gt;80,("SB"),IF(T77&gt;65,("B"),IF(T77&gt;50,("C"),IF(T77&gt;0,("K"),"0"))))</f>
        <v>0</v>
      </c>
      <c r="X77" s="1228"/>
      <c r="Y77" s="1229"/>
      <c r="Z77" s="1229"/>
      <c r="AA77" s="1230"/>
      <c r="AB77" s="1230"/>
      <c r="AC77" s="1231"/>
      <c r="AD77" s="2154"/>
      <c r="AE77" s="2155"/>
    </row>
    <row r="78" spans="1:31" ht="24.95" customHeight="1" x14ac:dyDescent="0.25">
      <c r="A78" s="1207"/>
      <c r="B78" s="1208"/>
      <c r="C78" s="1212"/>
      <c r="D78" s="1459" t="s">
        <v>186</v>
      </c>
      <c r="E78" s="1385">
        <v>0</v>
      </c>
      <c r="F78" s="1385">
        <v>0</v>
      </c>
      <c r="G78" s="1385">
        <v>0</v>
      </c>
      <c r="H78" s="2069"/>
      <c r="I78" s="2069"/>
      <c r="J78" s="2069"/>
      <c r="K78" s="1672">
        <v>0</v>
      </c>
      <c r="L78" s="1672">
        <v>0</v>
      </c>
      <c r="M78" s="1672">
        <v>0</v>
      </c>
      <c r="N78" s="2027">
        <v>0</v>
      </c>
      <c r="O78" s="2027">
        <v>0</v>
      </c>
      <c r="P78" s="2027">
        <v>0</v>
      </c>
      <c r="Q78" s="2028">
        <f t="shared" si="120"/>
        <v>0</v>
      </c>
      <c r="R78" s="2026">
        <f t="shared" si="118"/>
        <v>0</v>
      </c>
      <c r="S78" s="2029">
        <f t="shared" si="119"/>
        <v>0</v>
      </c>
      <c r="T78" s="2025">
        <f t="shared" si="121"/>
        <v>0</v>
      </c>
      <c r="U78" s="2122" t="str">
        <f t="shared" si="122"/>
        <v>1.33</v>
      </c>
      <c r="V78" s="2122" t="str">
        <f t="shared" si="123"/>
        <v>D+</v>
      </c>
      <c r="W78" s="2122" t="str">
        <f t="shared" si="124"/>
        <v>0</v>
      </c>
      <c r="X78" s="1232"/>
      <c r="Y78" s="1233"/>
      <c r="Z78" s="1233"/>
      <c r="AA78" s="1234"/>
      <c r="AB78" s="1234"/>
      <c r="AC78" s="1235"/>
      <c r="AD78" s="2156"/>
      <c r="AE78" s="2157"/>
    </row>
    <row r="79" spans="1:31" ht="24.95" customHeight="1" x14ac:dyDescent="0.25">
      <c r="A79" s="1236"/>
      <c r="B79" s="1241">
        <v>18</v>
      </c>
      <c r="C79" s="1220" t="s">
        <v>167</v>
      </c>
      <c r="D79" s="1237"/>
      <c r="E79" s="2687"/>
      <c r="F79" s="2688"/>
      <c r="G79" s="2688"/>
      <c r="H79" s="2688"/>
      <c r="I79" s="2076"/>
      <c r="J79" s="2076"/>
      <c r="K79" s="2076"/>
      <c r="L79" s="2076"/>
      <c r="M79" s="2076"/>
      <c r="N79" s="2076"/>
      <c r="O79" s="2076"/>
      <c r="P79" s="2076"/>
      <c r="Q79" s="2076"/>
      <c r="R79" s="2076"/>
      <c r="S79" s="2076"/>
      <c r="T79" s="2123">
        <f>IFERROR(AVERAGE(T76:T78),"  ")</f>
        <v>0</v>
      </c>
      <c r="U79" s="2124" t="str">
        <f>IF(T79&gt;85,("4"),IF(T79&gt;80,("3.66"),IF(T79&gt;75,("3.33"),IF(T79&gt;70,("3.00"),IF(T79&gt;65,("2.66"),IF(T79&gt;60,("2.33"),IF(T79&gt;55,("2"),IF(T79&gt;50,("1.66"),"1.33"))))))))</f>
        <v>1.33</v>
      </c>
      <c r="V79" s="2124" t="str">
        <f>IF(T79&gt;85,("A"),IF(T79&gt;80,("A-"),IF(T79&gt;75,("B+"),IF(T79&gt;70,("B"),IF(T79&gt;65,("B-"),IF(T79&gt;60,("C+"),IF(T79&gt;55,("C"),IF(T79&gt;50,("C-"),"D+"))))))))</f>
        <v>D+</v>
      </c>
      <c r="W79" s="2124"/>
      <c r="X79" s="1238"/>
      <c r="Y79" s="1239"/>
      <c r="Z79" s="1239"/>
      <c r="AA79" s="1239"/>
      <c r="AB79" s="1239"/>
      <c r="AC79" s="1240"/>
      <c r="AD79" s="2158"/>
      <c r="AE79" s="2125"/>
    </row>
    <row r="80" spans="1:31" ht="24.95" customHeight="1" x14ac:dyDescent="0.25">
      <c r="A80" s="1224">
        <v>19</v>
      </c>
      <c r="B80" s="1225"/>
      <c r="C80" s="1209" t="str">
        <f>VLOOKUP(A80,data_siswa,4,FALSE)</f>
        <v>Raihan Danang P</v>
      </c>
      <c r="D80" s="2089" t="s">
        <v>11</v>
      </c>
      <c r="E80" s="1672"/>
      <c r="F80" s="1672"/>
      <c r="G80" s="1672"/>
      <c r="H80" s="2069">
        <v>0</v>
      </c>
      <c r="I80" s="2069">
        <v>0</v>
      </c>
      <c r="J80" s="2069">
        <v>0</v>
      </c>
      <c r="K80" s="1672"/>
      <c r="L80" s="1672"/>
      <c r="M80" s="1672"/>
      <c r="N80" s="2027"/>
      <c r="O80" s="2027"/>
      <c r="P80" s="2027"/>
      <c r="Q80" s="2028">
        <f>MAX(E80,H80,K80,N80)</f>
        <v>0</v>
      </c>
      <c r="R80" s="2026">
        <f t="shared" ref="R80:R82" si="125">MAX(F80,I80,L80,O80)</f>
        <v>0</v>
      </c>
      <c r="S80" s="2029">
        <f t="shared" ref="S80:S82" si="126">MAX(G80,J80,M80,P80)</f>
        <v>0</v>
      </c>
      <c r="T80" s="2025">
        <f>IFERROR(AVERAGE(Q80:S80),"")</f>
        <v>0</v>
      </c>
      <c r="U80" s="2121" t="str">
        <f>IF(T80&gt;85,("4"),IF(T80&gt;80,("3.66"),IF(T80&gt;75,("3.33"),IF(T80&gt;70,("3.00"),IF(T80&gt;65,("2.66"),IF(T80&gt;60,("2.33"),IF(T80&gt;55,("2"),IF(T80&gt;50,("1.66"),"1.33"))))))))</f>
        <v>1.33</v>
      </c>
      <c r="V80" s="2121" t="str">
        <f>IF(T80&gt;85,("A"),IF(T80&gt;80,("A-"),IF(T80&gt;75,("B+"),IF(T80&gt;70,("B"),IF(T80&gt;65,("B-"),IF(T80&gt;60,("C+"),IF(T80&gt;55,("C"),IF(T80&gt;50,("C-"),"D+"))))))))</f>
        <v>D+</v>
      </c>
      <c r="W80" s="2121" t="str">
        <f>IF(T80&gt;80,("SB"),IF(T80&gt;65,("B"),IF(T80&gt;50,("C"),IF(T80&gt;0,("K"),"0"))))</f>
        <v>0</v>
      </c>
      <c r="X80" s="1226"/>
      <c r="Y80" s="1226">
        <v>3</v>
      </c>
      <c r="Z80" s="1226"/>
      <c r="AA80" s="1227">
        <v>1</v>
      </c>
      <c r="AB80" s="1227"/>
      <c r="AC80" s="1227"/>
      <c r="AD80" s="2159">
        <f>MAX(T80:T82)</f>
        <v>0</v>
      </c>
      <c r="AE80" s="767" t="str">
        <f>IF(AD80&gt;85,("A"),IF(AD80&gt;80,("A-"),IF(AD80&gt;75,("B+"),IF(AD80&gt;70,("B"),IF(AD80&gt;65,("B-"),IF(AD80&gt;60,("C+"),IF(AD80&gt;55,("C"),IF(AD80&gt;50,("C-"),"D+"))))))))</f>
        <v>D+</v>
      </c>
    </row>
    <row r="81" spans="1:31" ht="24.95" customHeight="1" x14ac:dyDescent="0.25">
      <c r="A81" s="1207"/>
      <c r="B81" s="1208"/>
      <c r="C81" s="1212"/>
      <c r="D81" s="1459" t="s">
        <v>189</v>
      </c>
      <c r="E81" s="1672">
        <v>0</v>
      </c>
      <c r="F81" s="1672">
        <v>0</v>
      </c>
      <c r="G81" s="1672">
        <v>0</v>
      </c>
      <c r="H81" s="2069">
        <v>0</v>
      </c>
      <c r="I81" s="2069">
        <v>0</v>
      </c>
      <c r="J81" s="2069">
        <v>0</v>
      </c>
      <c r="K81" s="1672">
        <v>0</v>
      </c>
      <c r="L81" s="1672">
        <v>0</v>
      </c>
      <c r="M81" s="1672">
        <v>0</v>
      </c>
      <c r="N81" s="2027">
        <v>0</v>
      </c>
      <c r="O81" s="2027">
        <v>0</v>
      </c>
      <c r="P81" s="2027">
        <v>0</v>
      </c>
      <c r="Q81" s="2028">
        <f t="shared" ref="Q81:Q82" si="127">MAX(E81,H81,K81,N81)</f>
        <v>0</v>
      </c>
      <c r="R81" s="2026">
        <f t="shared" si="125"/>
        <v>0</v>
      </c>
      <c r="S81" s="2029">
        <f t="shared" si="126"/>
        <v>0</v>
      </c>
      <c r="T81" s="2025">
        <f t="shared" ref="T81:T82" si="128">IFERROR(AVERAGE(Q81:S81),"")</f>
        <v>0</v>
      </c>
      <c r="U81" s="2122" t="str">
        <f t="shared" ref="U81:U82" si="129">IF(T81&gt;85,("4"),IF(T81&gt;80,("3.66"),IF(T81&gt;75,("3.33"),IF(T81&gt;70,("3.00"),IF(T81&gt;65,("2.66"),IF(T81&gt;60,("2.33"),IF(T81&gt;55,("2"),IF(T81&gt;50,("1.66"),"1.33"))))))))</f>
        <v>1.33</v>
      </c>
      <c r="V81" s="2122" t="str">
        <f t="shared" ref="V81:V82" si="130">IF(T81&gt;85,("A"),IF(T81&gt;80,("A-"),IF(T81&gt;75,("B+"),IF(T81&gt;70,("B"),IF(T81&gt;65,("B-"),IF(T81&gt;60,("C+"),IF(T81&gt;55,("C"),IF(T81&gt;50,("C-"),"D+"))))))))</f>
        <v>D+</v>
      </c>
      <c r="W81" s="2122" t="str">
        <f t="shared" ref="W81:W82" si="131">IF(T81&gt;80,("SB"),IF(T81&gt;65,("B"),IF(T81&gt;50,("C"),IF(T81&gt;0,("K"),"0"))))</f>
        <v>0</v>
      </c>
      <c r="X81" s="1228"/>
      <c r="Y81" s="1229"/>
      <c r="Z81" s="1229"/>
      <c r="AA81" s="1230"/>
      <c r="AB81" s="1230"/>
      <c r="AC81" s="1231"/>
      <c r="AD81" s="2154"/>
      <c r="AE81" s="2155"/>
    </row>
    <row r="82" spans="1:31" ht="24.95" customHeight="1" x14ac:dyDescent="0.25">
      <c r="A82" s="1207"/>
      <c r="B82" s="1208"/>
      <c r="C82" s="1212"/>
      <c r="D82" s="1459" t="s">
        <v>186</v>
      </c>
      <c r="E82" s="1385">
        <v>0</v>
      </c>
      <c r="F82" s="1385">
        <v>0</v>
      </c>
      <c r="G82" s="1385">
        <v>0</v>
      </c>
      <c r="H82" s="2069"/>
      <c r="I82" s="2069"/>
      <c r="J82" s="2069"/>
      <c r="K82" s="1672">
        <v>0</v>
      </c>
      <c r="L82" s="1672">
        <v>0</v>
      </c>
      <c r="M82" s="1672">
        <v>0</v>
      </c>
      <c r="N82" s="2027">
        <v>0</v>
      </c>
      <c r="O82" s="2027">
        <v>0</v>
      </c>
      <c r="P82" s="2027">
        <v>0</v>
      </c>
      <c r="Q82" s="2028">
        <f t="shared" si="127"/>
        <v>0</v>
      </c>
      <c r="R82" s="2026">
        <f t="shared" si="125"/>
        <v>0</v>
      </c>
      <c r="S82" s="2029">
        <f t="shared" si="126"/>
        <v>0</v>
      </c>
      <c r="T82" s="2025">
        <f t="shared" si="128"/>
        <v>0</v>
      </c>
      <c r="U82" s="2122" t="str">
        <f t="shared" si="129"/>
        <v>1.33</v>
      </c>
      <c r="V82" s="2122" t="str">
        <f t="shared" si="130"/>
        <v>D+</v>
      </c>
      <c r="W82" s="2122" t="str">
        <f t="shared" si="131"/>
        <v>0</v>
      </c>
      <c r="X82" s="1232"/>
      <c r="Y82" s="1233"/>
      <c r="Z82" s="1233"/>
      <c r="AA82" s="1234"/>
      <c r="AB82" s="1234"/>
      <c r="AC82" s="1235"/>
      <c r="AD82" s="2156"/>
      <c r="AE82" s="2157"/>
    </row>
    <row r="83" spans="1:31" ht="24.95" customHeight="1" x14ac:dyDescent="0.25">
      <c r="A83" s="1236"/>
      <c r="B83" s="1241">
        <v>19</v>
      </c>
      <c r="C83" s="1220" t="s">
        <v>167</v>
      </c>
      <c r="D83" s="1237"/>
      <c r="E83" s="2687"/>
      <c r="F83" s="2688"/>
      <c r="G83" s="2688"/>
      <c r="H83" s="2688"/>
      <c r="I83" s="2076"/>
      <c r="J83" s="2076"/>
      <c r="K83" s="2076"/>
      <c r="L83" s="2076"/>
      <c r="M83" s="2076"/>
      <c r="N83" s="2076"/>
      <c r="O83" s="2076"/>
      <c r="P83" s="2076"/>
      <c r="Q83" s="2076"/>
      <c r="R83" s="2076"/>
      <c r="S83" s="2076"/>
      <c r="T83" s="2123">
        <f>IFERROR(AVERAGE(T80:T82),"  ")</f>
        <v>0</v>
      </c>
      <c r="U83" s="2124" t="str">
        <f>IF(T83&gt;85,("4"),IF(T83&gt;80,("3.66"),IF(T83&gt;75,("3.33"),IF(T83&gt;70,("3.00"),IF(T83&gt;65,("2.66"),IF(T83&gt;60,("2.33"),IF(T83&gt;55,("2"),IF(T83&gt;50,("1.66"),"1.33"))))))))</f>
        <v>1.33</v>
      </c>
      <c r="V83" s="2124" t="str">
        <f>IF(T83&gt;85,("A"),IF(T83&gt;80,("A-"),IF(T83&gt;75,("B+"),IF(T83&gt;70,("B"),IF(T83&gt;65,("B-"),IF(T83&gt;60,("C+"),IF(T83&gt;55,("C"),IF(T83&gt;50,("C-"),"D+"))))))))</f>
        <v>D+</v>
      </c>
      <c r="W83" s="2124"/>
      <c r="X83" s="1238"/>
      <c r="Y83" s="1239"/>
      <c r="Z83" s="1239"/>
      <c r="AA83" s="1239"/>
      <c r="AB83" s="1239"/>
      <c r="AC83" s="1240"/>
      <c r="AD83" s="2158"/>
      <c r="AE83" s="2125"/>
    </row>
    <row r="84" spans="1:31" ht="24.95" customHeight="1" x14ac:dyDescent="0.25">
      <c r="A84" s="1224">
        <v>20</v>
      </c>
      <c r="B84" s="1225"/>
      <c r="C84" s="1209" t="str">
        <f>VLOOKUP(A84,data_siswa,4,FALSE)</f>
        <v>Roby Ardiyansyah</v>
      </c>
      <c r="D84" s="2089" t="s">
        <v>11</v>
      </c>
      <c r="E84" s="1672"/>
      <c r="F84" s="1672"/>
      <c r="G84" s="1672"/>
      <c r="H84" s="2069">
        <v>0</v>
      </c>
      <c r="I84" s="2069">
        <v>0</v>
      </c>
      <c r="J84" s="2069">
        <v>0</v>
      </c>
      <c r="K84" s="1672"/>
      <c r="L84" s="1672"/>
      <c r="M84" s="1672"/>
      <c r="N84" s="2027"/>
      <c r="O84" s="2027"/>
      <c r="P84" s="2027"/>
      <c r="Q84" s="2028">
        <f>MAX(E84,H84,K84,N84)</f>
        <v>0</v>
      </c>
      <c r="R84" s="2026">
        <f t="shared" ref="R84:R86" si="132">MAX(F84,I84,L84,O84)</f>
        <v>0</v>
      </c>
      <c r="S84" s="2029">
        <f t="shared" ref="S84:S86" si="133">MAX(G84,J84,M84,P84)</f>
        <v>0</v>
      </c>
      <c r="T84" s="2025">
        <f>IFERROR(AVERAGE(Q84:S84),"")</f>
        <v>0</v>
      </c>
      <c r="U84" s="2121" t="str">
        <f>IF(T84&gt;85,("4"),IF(T84&gt;80,("3.66"),IF(T84&gt;75,("3.33"),IF(T84&gt;70,("3.00"),IF(T84&gt;65,("2.66"),IF(T84&gt;60,("2.33"),IF(T84&gt;55,("2"),IF(T84&gt;50,("1.66"),"1.33"))))))))</f>
        <v>1.33</v>
      </c>
      <c r="V84" s="2121" t="str">
        <f>IF(T84&gt;85,("A"),IF(T84&gt;80,("A-"),IF(T84&gt;75,("B+"),IF(T84&gt;70,("B"),IF(T84&gt;65,("B-"),IF(T84&gt;60,("C+"),IF(T84&gt;55,("C"),IF(T84&gt;50,("C-"),"D+"))))))))</f>
        <v>D+</v>
      </c>
      <c r="W84" s="2121" t="str">
        <f>IF(T84&gt;80,("SB"),IF(T84&gt;65,("B"),IF(T84&gt;50,("C"),IF(T84&gt;0,("K"),"0"))))</f>
        <v>0</v>
      </c>
      <c r="X84" s="1226"/>
      <c r="Y84" s="1226">
        <v>3</v>
      </c>
      <c r="Z84" s="1226"/>
      <c r="AA84" s="1227">
        <v>1</v>
      </c>
      <c r="AB84" s="1227"/>
      <c r="AC84" s="1227"/>
      <c r="AD84" s="2159">
        <f>MAX(T84:T86)</f>
        <v>0</v>
      </c>
      <c r="AE84" s="767" t="str">
        <f>IF(AD84&gt;85,("A"),IF(AD84&gt;80,("A-"),IF(AD84&gt;75,("B+"),IF(AD84&gt;70,("B"),IF(AD84&gt;65,("B-"),IF(AD84&gt;60,("C+"),IF(AD84&gt;55,("C"),IF(AD84&gt;50,("C-"),"D+"))))))))</f>
        <v>D+</v>
      </c>
    </row>
    <row r="85" spans="1:31" ht="24.95" customHeight="1" x14ac:dyDescent="0.25">
      <c r="A85" s="1207"/>
      <c r="B85" s="1208"/>
      <c r="C85" s="1212"/>
      <c r="D85" s="1459" t="s">
        <v>189</v>
      </c>
      <c r="E85" s="1672">
        <v>0</v>
      </c>
      <c r="F85" s="1672">
        <v>0</v>
      </c>
      <c r="G85" s="1672">
        <v>0</v>
      </c>
      <c r="H85" s="2069">
        <v>0</v>
      </c>
      <c r="I85" s="2069">
        <v>0</v>
      </c>
      <c r="J85" s="2069">
        <v>0</v>
      </c>
      <c r="K85" s="1672">
        <v>0</v>
      </c>
      <c r="L85" s="1672">
        <v>0</v>
      </c>
      <c r="M85" s="1672">
        <v>0</v>
      </c>
      <c r="N85" s="2027">
        <v>0</v>
      </c>
      <c r="O85" s="2027">
        <v>0</v>
      </c>
      <c r="P85" s="2027">
        <v>0</v>
      </c>
      <c r="Q85" s="2028">
        <f t="shared" ref="Q85:Q86" si="134">MAX(E85,H85,K85,N85)</f>
        <v>0</v>
      </c>
      <c r="R85" s="2026">
        <f t="shared" si="132"/>
        <v>0</v>
      </c>
      <c r="S85" s="2029">
        <f t="shared" si="133"/>
        <v>0</v>
      </c>
      <c r="T85" s="2025">
        <f t="shared" ref="T85:T86" si="135">IFERROR(AVERAGE(Q85:S85),"")</f>
        <v>0</v>
      </c>
      <c r="U85" s="2122" t="str">
        <f t="shared" ref="U85:U86" si="136">IF(T85&gt;85,("4"),IF(T85&gt;80,("3.66"),IF(T85&gt;75,("3.33"),IF(T85&gt;70,("3.00"),IF(T85&gt;65,("2.66"),IF(T85&gt;60,("2.33"),IF(T85&gt;55,("2"),IF(T85&gt;50,("1.66"),"1.33"))))))))</f>
        <v>1.33</v>
      </c>
      <c r="V85" s="2122" t="str">
        <f t="shared" ref="V85:V86" si="137">IF(T85&gt;85,("A"),IF(T85&gt;80,("A-"),IF(T85&gt;75,("B+"),IF(T85&gt;70,("B"),IF(T85&gt;65,("B-"),IF(T85&gt;60,("C+"),IF(T85&gt;55,("C"),IF(T85&gt;50,("C-"),"D+"))))))))</f>
        <v>D+</v>
      </c>
      <c r="W85" s="2122" t="str">
        <f t="shared" ref="W85:W86" si="138">IF(T85&gt;80,("SB"),IF(T85&gt;65,("B"),IF(T85&gt;50,("C"),IF(T85&gt;0,("K"),"0"))))</f>
        <v>0</v>
      </c>
      <c r="X85" s="1228"/>
      <c r="Y85" s="1229"/>
      <c r="Z85" s="1229"/>
      <c r="AA85" s="1230"/>
      <c r="AB85" s="1230"/>
      <c r="AC85" s="1231"/>
      <c r="AD85" s="2154"/>
      <c r="AE85" s="2155"/>
    </row>
    <row r="86" spans="1:31" ht="24.95" customHeight="1" x14ac:dyDescent="0.25">
      <c r="A86" s="1207"/>
      <c r="B86" s="1208"/>
      <c r="C86" s="1212"/>
      <c r="D86" s="1459" t="s">
        <v>186</v>
      </c>
      <c r="E86" s="1385">
        <v>0</v>
      </c>
      <c r="F86" s="1385">
        <v>0</v>
      </c>
      <c r="G86" s="1385">
        <v>0</v>
      </c>
      <c r="H86" s="2069"/>
      <c r="I86" s="2069"/>
      <c r="J86" s="2069"/>
      <c r="K86" s="1672">
        <v>0</v>
      </c>
      <c r="L86" s="1672">
        <v>0</v>
      </c>
      <c r="M86" s="1672">
        <v>0</v>
      </c>
      <c r="N86" s="2027">
        <v>0</v>
      </c>
      <c r="O86" s="2027">
        <v>0</v>
      </c>
      <c r="P86" s="2027">
        <v>0</v>
      </c>
      <c r="Q86" s="2028">
        <f t="shared" si="134"/>
        <v>0</v>
      </c>
      <c r="R86" s="2026">
        <f t="shared" si="132"/>
        <v>0</v>
      </c>
      <c r="S86" s="2029">
        <f t="shared" si="133"/>
        <v>0</v>
      </c>
      <c r="T86" s="2025">
        <f t="shared" si="135"/>
        <v>0</v>
      </c>
      <c r="U86" s="2122" t="str">
        <f t="shared" si="136"/>
        <v>1.33</v>
      </c>
      <c r="V86" s="2122" t="str">
        <f t="shared" si="137"/>
        <v>D+</v>
      </c>
      <c r="W86" s="2122" t="str">
        <f t="shared" si="138"/>
        <v>0</v>
      </c>
      <c r="X86" s="1232"/>
      <c r="Y86" s="1233"/>
      <c r="Z86" s="1233"/>
      <c r="AA86" s="1234"/>
      <c r="AB86" s="1234"/>
      <c r="AC86" s="1235"/>
      <c r="AD86" s="2156"/>
      <c r="AE86" s="2157"/>
    </row>
    <row r="87" spans="1:31" ht="24.95" customHeight="1" x14ac:dyDescent="0.25">
      <c r="A87" s="1236"/>
      <c r="B87" s="1241">
        <v>20</v>
      </c>
      <c r="C87" s="1220" t="s">
        <v>167</v>
      </c>
      <c r="D87" s="1237"/>
      <c r="E87" s="2687"/>
      <c r="F87" s="2688"/>
      <c r="G87" s="2688"/>
      <c r="H87" s="2688"/>
      <c r="I87" s="2076"/>
      <c r="J87" s="2076"/>
      <c r="K87" s="2076"/>
      <c r="L87" s="2076"/>
      <c r="M87" s="2076"/>
      <c r="N87" s="2076"/>
      <c r="O87" s="2076"/>
      <c r="P87" s="2076"/>
      <c r="Q87" s="2076"/>
      <c r="R87" s="2076"/>
      <c r="S87" s="2076"/>
      <c r="T87" s="2123">
        <f>IFERROR(AVERAGE(T84:T86),"  ")</f>
        <v>0</v>
      </c>
      <c r="U87" s="2124" t="str">
        <f>IF(T87&gt;85,("4"),IF(T87&gt;80,("3.66"),IF(T87&gt;75,("3.33"),IF(T87&gt;70,("3.00"),IF(T87&gt;65,("2.66"),IF(T87&gt;60,("2.33"),IF(T87&gt;55,("2"),IF(T87&gt;50,("1.66"),"1.33"))))))))</f>
        <v>1.33</v>
      </c>
      <c r="V87" s="2124" t="str">
        <f>IF(T87&gt;85,("A"),IF(T87&gt;80,("A-"),IF(T87&gt;75,("B+"),IF(T87&gt;70,("B"),IF(T87&gt;65,("B-"),IF(T87&gt;60,("C+"),IF(T87&gt;55,("C"),IF(T87&gt;50,("C-"),"D+"))))))))</f>
        <v>D+</v>
      </c>
      <c r="W87" s="2124"/>
      <c r="X87" s="1238"/>
      <c r="Y87" s="1239"/>
      <c r="Z87" s="1239"/>
      <c r="AA87" s="1239"/>
      <c r="AB87" s="1239"/>
      <c r="AC87" s="1240"/>
      <c r="AD87" s="2158"/>
      <c r="AE87" s="2125"/>
    </row>
    <row r="88" spans="1:31" ht="24.95" customHeight="1" x14ac:dyDescent="0.25">
      <c r="A88" s="1224">
        <v>21</v>
      </c>
      <c r="B88" s="1225"/>
      <c r="C88" s="1209" t="str">
        <f>VLOOKUP(A88,data_siswa,4,FALSE)</f>
        <v>Rojalingga Prana A</v>
      </c>
      <c r="D88" s="2089" t="s">
        <v>11</v>
      </c>
      <c r="E88" s="1672"/>
      <c r="F88" s="1672"/>
      <c r="G88" s="1672"/>
      <c r="H88" s="2069">
        <v>0</v>
      </c>
      <c r="I88" s="2069">
        <v>0</v>
      </c>
      <c r="J88" s="2069">
        <v>0</v>
      </c>
      <c r="K88" s="1672"/>
      <c r="L88" s="1672"/>
      <c r="M88" s="1672"/>
      <c r="N88" s="2027"/>
      <c r="O88" s="2027"/>
      <c r="P88" s="2027"/>
      <c r="Q88" s="2028">
        <f>MAX(E88,H88,K88,N88)</f>
        <v>0</v>
      </c>
      <c r="R88" s="2026">
        <f t="shared" ref="R88:R90" si="139">MAX(F88,I88,L88,O88)</f>
        <v>0</v>
      </c>
      <c r="S88" s="2029">
        <f t="shared" ref="S88:S90" si="140">MAX(G88,J88,M88,P88)</f>
        <v>0</v>
      </c>
      <c r="T88" s="2025">
        <f>IFERROR(AVERAGE(Q88:S88),"")</f>
        <v>0</v>
      </c>
      <c r="U88" s="2121" t="str">
        <f>IF(T88&gt;85,("4"),IF(T88&gt;80,("3.66"),IF(T88&gt;75,("3.33"),IF(T88&gt;70,("3.00"),IF(T88&gt;65,("2.66"),IF(T88&gt;60,("2.33"),IF(T88&gt;55,("2"),IF(T88&gt;50,("1.66"),"1.33"))))))))</f>
        <v>1.33</v>
      </c>
      <c r="V88" s="2121" t="str">
        <f>IF(T88&gt;85,("A"),IF(T88&gt;80,("A-"),IF(T88&gt;75,("B+"),IF(T88&gt;70,("B"),IF(T88&gt;65,("B-"),IF(T88&gt;60,("C+"),IF(T88&gt;55,("C"),IF(T88&gt;50,("C-"),"D+"))))))))</f>
        <v>D+</v>
      </c>
      <c r="W88" s="2121" t="str">
        <f>IF(T88&gt;80,("SB"),IF(T88&gt;65,("B"),IF(T88&gt;50,("C"),IF(T88&gt;0,("K"),"0"))))</f>
        <v>0</v>
      </c>
      <c r="X88" s="1226"/>
      <c r="Y88" s="1226">
        <v>3</v>
      </c>
      <c r="Z88" s="1226"/>
      <c r="AA88" s="1227">
        <v>1</v>
      </c>
      <c r="AB88" s="1227"/>
      <c r="AC88" s="1227"/>
      <c r="AD88" s="2159">
        <f>MAX(T88:T90)</f>
        <v>0</v>
      </c>
      <c r="AE88" s="767" t="str">
        <f>IF(AD88&gt;85,("A"),IF(AD88&gt;80,("A-"),IF(AD88&gt;75,("B+"),IF(AD88&gt;70,("B"),IF(AD88&gt;65,("B-"),IF(AD88&gt;60,("C+"),IF(AD88&gt;55,("C"),IF(AD88&gt;50,("C-"),"D+"))))))))</f>
        <v>D+</v>
      </c>
    </row>
    <row r="89" spans="1:31" ht="24.95" customHeight="1" x14ac:dyDescent="0.25">
      <c r="A89" s="1207"/>
      <c r="B89" s="1208"/>
      <c r="C89" s="1212"/>
      <c r="D89" s="1459" t="s">
        <v>189</v>
      </c>
      <c r="E89" s="1672">
        <v>0</v>
      </c>
      <c r="F89" s="1672">
        <v>0</v>
      </c>
      <c r="G89" s="1672">
        <v>0</v>
      </c>
      <c r="H89" s="2069">
        <v>0</v>
      </c>
      <c r="I89" s="2069">
        <v>0</v>
      </c>
      <c r="J89" s="2069">
        <v>0</v>
      </c>
      <c r="K89" s="1672">
        <v>0</v>
      </c>
      <c r="L89" s="1672">
        <v>0</v>
      </c>
      <c r="M89" s="1672">
        <v>0</v>
      </c>
      <c r="N89" s="2027">
        <v>0</v>
      </c>
      <c r="O89" s="2027">
        <v>0</v>
      </c>
      <c r="P89" s="2027">
        <v>0</v>
      </c>
      <c r="Q89" s="2028">
        <f t="shared" ref="Q89:Q90" si="141">MAX(E89,H89,K89,N89)</f>
        <v>0</v>
      </c>
      <c r="R89" s="2026">
        <f t="shared" si="139"/>
        <v>0</v>
      </c>
      <c r="S89" s="2029">
        <f t="shared" si="140"/>
        <v>0</v>
      </c>
      <c r="T89" s="2025">
        <f t="shared" ref="T89:T90" si="142">IFERROR(AVERAGE(Q89:S89),"")</f>
        <v>0</v>
      </c>
      <c r="U89" s="2122" t="str">
        <f t="shared" ref="U89:U90" si="143">IF(T89&gt;85,("4"),IF(T89&gt;80,("3.66"),IF(T89&gt;75,("3.33"),IF(T89&gt;70,("3.00"),IF(T89&gt;65,("2.66"),IF(T89&gt;60,("2.33"),IF(T89&gt;55,("2"),IF(T89&gt;50,("1.66"),"1.33"))))))))</f>
        <v>1.33</v>
      </c>
      <c r="V89" s="2122" t="str">
        <f t="shared" ref="V89:V90" si="144">IF(T89&gt;85,("A"),IF(T89&gt;80,("A-"),IF(T89&gt;75,("B+"),IF(T89&gt;70,("B"),IF(T89&gt;65,("B-"),IF(T89&gt;60,("C+"),IF(T89&gt;55,("C"),IF(T89&gt;50,("C-"),"D+"))))))))</f>
        <v>D+</v>
      </c>
      <c r="W89" s="2122" t="str">
        <f t="shared" ref="W89:W90" si="145">IF(T89&gt;80,("SB"),IF(T89&gt;65,("B"),IF(T89&gt;50,("C"),IF(T89&gt;0,("K"),"0"))))</f>
        <v>0</v>
      </c>
      <c r="X89" s="1228"/>
      <c r="Y89" s="1229"/>
      <c r="Z89" s="1229"/>
      <c r="AA89" s="1230"/>
      <c r="AB89" s="1230"/>
      <c r="AC89" s="1231"/>
      <c r="AD89" s="2154"/>
      <c r="AE89" s="2155"/>
    </row>
    <row r="90" spans="1:31" ht="24.95" customHeight="1" x14ac:dyDescent="0.25">
      <c r="A90" s="1207"/>
      <c r="B90" s="1208"/>
      <c r="C90" s="1212"/>
      <c r="D90" s="1459" t="s">
        <v>186</v>
      </c>
      <c r="E90" s="1385">
        <v>0</v>
      </c>
      <c r="F90" s="1385">
        <v>0</v>
      </c>
      <c r="G90" s="1385">
        <v>0</v>
      </c>
      <c r="H90" s="2069"/>
      <c r="I90" s="2069"/>
      <c r="J90" s="2069"/>
      <c r="K90" s="1672">
        <v>0</v>
      </c>
      <c r="L90" s="1672">
        <v>0</v>
      </c>
      <c r="M90" s="1672">
        <v>0</v>
      </c>
      <c r="N90" s="2027">
        <v>0</v>
      </c>
      <c r="O90" s="2027">
        <v>0</v>
      </c>
      <c r="P90" s="2027">
        <v>0</v>
      </c>
      <c r="Q90" s="2028">
        <f t="shared" si="141"/>
        <v>0</v>
      </c>
      <c r="R90" s="2026">
        <f t="shared" si="139"/>
        <v>0</v>
      </c>
      <c r="S90" s="2029">
        <f t="shared" si="140"/>
        <v>0</v>
      </c>
      <c r="T90" s="2025">
        <f t="shared" si="142"/>
        <v>0</v>
      </c>
      <c r="U90" s="2122" t="str">
        <f t="shared" si="143"/>
        <v>1.33</v>
      </c>
      <c r="V90" s="2122" t="str">
        <f t="shared" si="144"/>
        <v>D+</v>
      </c>
      <c r="W90" s="2122" t="str">
        <f t="shared" si="145"/>
        <v>0</v>
      </c>
      <c r="X90" s="1232"/>
      <c r="Y90" s="1233"/>
      <c r="Z90" s="1233"/>
      <c r="AA90" s="1234"/>
      <c r="AB90" s="1234"/>
      <c r="AC90" s="1235"/>
      <c r="AD90" s="2156"/>
      <c r="AE90" s="2157"/>
    </row>
    <row r="91" spans="1:31" ht="24.95" customHeight="1" x14ac:dyDescent="0.25">
      <c r="A91" s="1236"/>
      <c r="B91" s="1241">
        <v>21</v>
      </c>
      <c r="C91" s="1220" t="s">
        <v>167</v>
      </c>
      <c r="D91" s="1237"/>
      <c r="E91" s="2687"/>
      <c r="F91" s="2688"/>
      <c r="G91" s="2688"/>
      <c r="H91" s="2688"/>
      <c r="I91" s="2076"/>
      <c r="J91" s="2076"/>
      <c r="K91" s="2076"/>
      <c r="L91" s="2076"/>
      <c r="M91" s="2076"/>
      <c r="N91" s="2076"/>
      <c r="O91" s="2076"/>
      <c r="P91" s="2076"/>
      <c r="Q91" s="2076"/>
      <c r="R91" s="2076"/>
      <c r="S91" s="2076"/>
      <c r="T91" s="2123">
        <f>IFERROR(AVERAGE(T88:T90),"  ")</f>
        <v>0</v>
      </c>
      <c r="U91" s="2124" t="str">
        <f>IF(T91&gt;85,("4"),IF(T91&gt;80,("3.66"),IF(T91&gt;75,("3.33"),IF(T91&gt;70,("3.00"),IF(T91&gt;65,("2.66"),IF(T91&gt;60,("2.33"),IF(T91&gt;55,("2"),IF(T91&gt;50,("1.66"),"1.33"))))))))</f>
        <v>1.33</v>
      </c>
      <c r="V91" s="2124" t="str">
        <f>IF(T91&gt;85,("A"),IF(T91&gt;80,("A-"),IF(T91&gt;75,("B+"),IF(T91&gt;70,("B"),IF(T91&gt;65,("B-"),IF(T91&gt;60,("C+"),IF(T91&gt;55,("C"),IF(T91&gt;50,("C-"),"D+"))))))))</f>
        <v>D+</v>
      </c>
      <c r="W91" s="2124"/>
      <c r="X91" s="1238"/>
      <c r="Y91" s="1239"/>
      <c r="Z91" s="1239"/>
      <c r="AA91" s="1239"/>
      <c r="AB91" s="1239"/>
      <c r="AC91" s="1240"/>
      <c r="AD91" s="2158"/>
      <c r="AE91" s="2125"/>
    </row>
    <row r="92" spans="1:31" ht="24.95" customHeight="1" x14ac:dyDescent="0.25">
      <c r="A92" s="1224">
        <v>22</v>
      </c>
      <c r="B92" s="1225"/>
      <c r="C92" s="1209" t="str">
        <f>VLOOKUP(A92,data_siswa,4,FALSE)</f>
        <v>Sally Savista A</v>
      </c>
      <c r="D92" s="2089" t="s">
        <v>11</v>
      </c>
      <c r="E92" s="1672"/>
      <c r="F92" s="1672"/>
      <c r="G92" s="1672"/>
      <c r="H92" s="2069">
        <v>0</v>
      </c>
      <c r="I92" s="2069">
        <v>0</v>
      </c>
      <c r="J92" s="2069">
        <v>0</v>
      </c>
      <c r="K92" s="1672"/>
      <c r="L92" s="1672"/>
      <c r="M92" s="1672"/>
      <c r="N92" s="2027"/>
      <c r="O92" s="2027"/>
      <c r="P92" s="2027"/>
      <c r="Q92" s="2028">
        <f>MAX(E92,H92,K92,N92)</f>
        <v>0</v>
      </c>
      <c r="R92" s="2026">
        <f t="shared" ref="R92:R94" si="146">MAX(F92,I92,L92,O92)</f>
        <v>0</v>
      </c>
      <c r="S92" s="2029">
        <f t="shared" ref="S92:S94" si="147">MAX(G92,J92,M92,P92)</f>
        <v>0</v>
      </c>
      <c r="T92" s="2025">
        <f>IFERROR(AVERAGE(Q92:S92),"")</f>
        <v>0</v>
      </c>
      <c r="U92" s="2121" t="str">
        <f>IF(T92&gt;85,("4"),IF(T92&gt;80,("3.66"),IF(T92&gt;75,("3.33"),IF(T92&gt;70,("3.00"),IF(T92&gt;65,("2.66"),IF(T92&gt;60,("2.33"),IF(T92&gt;55,("2"),IF(T92&gt;50,("1.66"),"1.33"))))))))</f>
        <v>1.33</v>
      </c>
      <c r="V92" s="2121" t="str">
        <f>IF(T92&gt;85,("A"),IF(T92&gt;80,("A-"),IF(T92&gt;75,("B+"),IF(T92&gt;70,("B"),IF(T92&gt;65,("B-"),IF(T92&gt;60,("C+"),IF(T92&gt;55,("C"),IF(T92&gt;50,("C-"),"D+"))))))))</f>
        <v>D+</v>
      </c>
      <c r="W92" s="2121" t="str">
        <f>IF(T92&gt;80,("SB"),IF(T92&gt;65,("B"),IF(T92&gt;50,("C"),IF(T92&gt;0,("K"),"0"))))</f>
        <v>0</v>
      </c>
      <c r="X92" s="1226"/>
      <c r="Y92" s="1226">
        <v>3</v>
      </c>
      <c r="Z92" s="1226"/>
      <c r="AA92" s="1227">
        <v>1</v>
      </c>
      <c r="AB92" s="1227"/>
      <c r="AC92" s="1227"/>
      <c r="AD92" s="2159">
        <f>MAX(T92:T94)</f>
        <v>0</v>
      </c>
      <c r="AE92" s="767" t="str">
        <f>IF(AD92&gt;85,("A"),IF(AD92&gt;80,("A-"),IF(AD92&gt;75,("B+"),IF(AD92&gt;70,("B"),IF(AD92&gt;65,("B-"),IF(AD92&gt;60,("C+"),IF(AD92&gt;55,("C"),IF(AD92&gt;50,("C-"),"D+"))))))))</f>
        <v>D+</v>
      </c>
    </row>
    <row r="93" spans="1:31" ht="24.95" customHeight="1" x14ac:dyDescent="0.25">
      <c r="A93" s="1207"/>
      <c r="B93" s="1208"/>
      <c r="C93" s="1212"/>
      <c r="D93" s="1459" t="s">
        <v>189</v>
      </c>
      <c r="E93" s="1672">
        <v>0</v>
      </c>
      <c r="F93" s="1672">
        <v>0</v>
      </c>
      <c r="G93" s="1672">
        <v>0</v>
      </c>
      <c r="H93" s="2069">
        <v>0</v>
      </c>
      <c r="I93" s="2069">
        <v>0</v>
      </c>
      <c r="J93" s="2069">
        <v>0</v>
      </c>
      <c r="K93" s="1672">
        <v>0</v>
      </c>
      <c r="L93" s="1672">
        <v>0</v>
      </c>
      <c r="M93" s="1672">
        <v>0</v>
      </c>
      <c r="N93" s="2027">
        <v>0</v>
      </c>
      <c r="O93" s="2027">
        <v>0</v>
      </c>
      <c r="P93" s="2027">
        <v>0</v>
      </c>
      <c r="Q93" s="2028">
        <f t="shared" ref="Q93:Q94" si="148">MAX(E93,H93,K93,N93)</f>
        <v>0</v>
      </c>
      <c r="R93" s="2026">
        <f t="shared" si="146"/>
        <v>0</v>
      </c>
      <c r="S93" s="2029">
        <f t="shared" si="147"/>
        <v>0</v>
      </c>
      <c r="T93" s="2025">
        <f t="shared" ref="T93:T94" si="149">IFERROR(AVERAGE(Q93:S93),"")</f>
        <v>0</v>
      </c>
      <c r="U93" s="2122" t="str">
        <f t="shared" ref="U93:U94" si="150">IF(T93&gt;85,("4"),IF(T93&gt;80,("3.66"),IF(T93&gt;75,("3.33"),IF(T93&gt;70,("3.00"),IF(T93&gt;65,("2.66"),IF(T93&gt;60,("2.33"),IF(T93&gt;55,("2"),IF(T93&gt;50,("1.66"),"1.33"))))))))</f>
        <v>1.33</v>
      </c>
      <c r="V93" s="2122" t="str">
        <f t="shared" ref="V93:V94" si="151">IF(T93&gt;85,("A"),IF(T93&gt;80,("A-"),IF(T93&gt;75,("B+"),IF(T93&gt;70,("B"),IF(T93&gt;65,("B-"),IF(T93&gt;60,("C+"),IF(T93&gt;55,("C"),IF(T93&gt;50,("C-"),"D+"))))))))</f>
        <v>D+</v>
      </c>
      <c r="W93" s="2122" t="str">
        <f t="shared" ref="W93:W94" si="152">IF(T93&gt;80,("SB"),IF(T93&gt;65,("B"),IF(T93&gt;50,("C"),IF(T93&gt;0,("K"),"0"))))</f>
        <v>0</v>
      </c>
      <c r="X93" s="1228"/>
      <c r="Y93" s="1229"/>
      <c r="Z93" s="1229"/>
      <c r="AA93" s="1230"/>
      <c r="AB93" s="1230"/>
      <c r="AC93" s="1231"/>
      <c r="AD93" s="2154"/>
      <c r="AE93" s="2155"/>
    </row>
    <row r="94" spans="1:31" ht="24.95" customHeight="1" x14ac:dyDescent="0.25">
      <c r="A94" s="1207"/>
      <c r="B94" s="1208"/>
      <c r="C94" s="1212"/>
      <c r="D94" s="1459" t="s">
        <v>186</v>
      </c>
      <c r="E94" s="1385">
        <v>0</v>
      </c>
      <c r="F94" s="1385">
        <v>0</v>
      </c>
      <c r="G94" s="1385">
        <v>0</v>
      </c>
      <c r="H94" s="2069"/>
      <c r="I94" s="2069"/>
      <c r="J94" s="2069"/>
      <c r="K94" s="1672">
        <v>0</v>
      </c>
      <c r="L94" s="1672">
        <v>0</v>
      </c>
      <c r="M94" s="1672">
        <v>0</v>
      </c>
      <c r="N94" s="2027">
        <v>0</v>
      </c>
      <c r="O94" s="2027">
        <v>0</v>
      </c>
      <c r="P94" s="2027">
        <v>0</v>
      </c>
      <c r="Q94" s="2028">
        <f t="shared" si="148"/>
        <v>0</v>
      </c>
      <c r="R94" s="2026">
        <f t="shared" si="146"/>
        <v>0</v>
      </c>
      <c r="S94" s="2029">
        <f t="shared" si="147"/>
        <v>0</v>
      </c>
      <c r="T94" s="2025">
        <f t="shared" si="149"/>
        <v>0</v>
      </c>
      <c r="U94" s="2122" t="str">
        <f t="shared" si="150"/>
        <v>1.33</v>
      </c>
      <c r="V94" s="2122" t="str">
        <f t="shared" si="151"/>
        <v>D+</v>
      </c>
      <c r="W94" s="2122" t="str">
        <f t="shared" si="152"/>
        <v>0</v>
      </c>
      <c r="X94" s="1232"/>
      <c r="Y94" s="1233"/>
      <c r="Z94" s="1233"/>
      <c r="AA94" s="1234"/>
      <c r="AB94" s="1234"/>
      <c r="AC94" s="1235"/>
      <c r="AD94" s="2156"/>
      <c r="AE94" s="2157"/>
    </row>
    <row r="95" spans="1:31" ht="24.95" customHeight="1" x14ac:dyDescent="0.25">
      <c r="A95" s="1236"/>
      <c r="B95" s="1241">
        <v>22</v>
      </c>
      <c r="C95" s="1220" t="s">
        <v>167</v>
      </c>
      <c r="D95" s="1237"/>
      <c r="E95" s="2687"/>
      <c r="F95" s="2688"/>
      <c r="G95" s="2688"/>
      <c r="H95" s="2688"/>
      <c r="I95" s="2076"/>
      <c r="J95" s="2076"/>
      <c r="K95" s="2076"/>
      <c r="L95" s="2076"/>
      <c r="M95" s="2076"/>
      <c r="N95" s="2076"/>
      <c r="O95" s="2076"/>
      <c r="P95" s="2076"/>
      <c r="Q95" s="2076"/>
      <c r="R95" s="2076"/>
      <c r="S95" s="2076"/>
      <c r="T95" s="2123">
        <f>IFERROR(AVERAGE(T92:T94),"  ")</f>
        <v>0</v>
      </c>
      <c r="U95" s="2124" t="str">
        <f>IF(T95&gt;85,("4"),IF(T95&gt;80,("3.66"),IF(T95&gt;75,("3.33"),IF(T95&gt;70,("3.00"),IF(T95&gt;65,("2.66"),IF(T95&gt;60,("2.33"),IF(T95&gt;55,("2"),IF(T95&gt;50,("1.66"),"1.33"))))))))</f>
        <v>1.33</v>
      </c>
      <c r="V95" s="2124" t="str">
        <f>IF(T95&gt;85,("A"),IF(T95&gt;80,("A-"),IF(T95&gt;75,("B+"),IF(T95&gt;70,("B"),IF(T95&gt;65,("B-"),IF(T95&gt;60,("C+"),IF(T95&gt;55,("C"),IF(T95&gt;50,("C-"),"D+"))))))))</f>
        <v>D+</v>
      </c>
      <c r="W95" s="2124"/>
      <c r="X95" s="1238"/>
      <c r="Y95" s="1239"/>
      <c r="Z95" s="1239"/>
      <c r="AA95" s="1239"/>
      <c r="AB95" s="1239"/>
      <c r="AC95" s="1240"/>
      <c r="AD95" s="2158"/>
      <c r="AE95" s="2125"/>
    </row>
    <row r="96" spans="1:31" ht="24.95" customHeight="1" x14ac:dyDescent="0.25">
      <c r="A96" s="1224">
        <v>23</v>
      </c>
      <c r="B96" s="1225"/>
      <c r="C96" s="1209" t="str">
        <f>VLOOKUP(A96,data_siswa,4,FALSE)</f>
        <v xml:space="preserve">Tania Kaori Angelita </v>
      </c>
      <c r="D96" s="2089" t="s">
        <v>11</v>
      </c>
      <c r="E96" s="1672"/>
      <c r="F96" s="1672"/>
      <c r="G96" s="1672"/>
      <c r="H96" s="2069">
        <v>0</v>
      </c>
      <c r="I96" s="2069">
        <v>0</v>
      </c>
      <c r="J96" s="2069">
        <v>0</v>
      </c>
      <c r="K96" s="1672"/>
      <c r="L96" s="1672"/>
      <c r="M96" s="1672"/>
      <c r="N96" s="2027"/>
      <c r="O96" s="2027"/>
      <c r="P96" s="2027"/>
      <c r="Q96" s="2028">
        <f>MAX(E96,H96,K96,N96)</f>
        <v>0</v>
      </c>
      <c r="R96" s="2026">
        <f t="shared" ref="R96:R98" si="153">MAX(F96,I96,L96,O96)</f>
        <v>0</v>
      </c>
      <c r="S96" s="2029">
        <f t="shared" ref="S96:S98" si="154">MAX(G96,J96,M96,P96)</f>
        <v>0</v>
      </c>
      <c r="T96" s="2025">
        <f>IFERROR(AVERAGE(Q96:S96),"")</f>
        <v>0</v>
      </c>
      <c r="U96" s="2121" t="str">
        <f>IF(T96&gt;85,("4"),IF(T96&gt;80,("3.66"),IF(T96&gt;75,("3.33"),IF(T96&gt;70,("3.00"),IF(T96&gt;65,("2.66"),IF(T96&gt;60,("2.33"),IF(T96&gt;55,("2"),IF(T96&gt;50,("1.66"),"1.33"))))))))</f>
        <v>1.33</v>
      </c>
      <c r="V96" s="2121" t="str">
        <f>IF(T96&gt;85,("A"),IF(T96&gt;80,("A-"),IF(T96&gt;75,("B+"),IF(T96&gt;70,("B"),IF(T96&gt;65,("B-"),IF(T96&gt;60,("C+"),IF(T96&gt;55,("C"),IF(T96&gt;50,("C-"),"D+"))))))))</f>
        <v>D+</v>
      </c>
      <c r="W96" s="2121" t="str">
        <f>IF(T96&gt;80,("SB"),IF(T96&gt;65,("B"),IF(T96&gt;50,("C"),IF(T96&gt;0,("K"),"0"))))</f>
        <v>0</v>
      </c>
      <c r="X96" s="1226"/>
      <c r="Y96" s="1226">
        <v>3</v>
      </c>
      <c r="Z96" s="1226"/>
      <c r="AA96" s="1227">
        <v>1</v>
      </c>
      <c r="AB96" s="1227"/>
      <c r="AC96" s="1227"/>
      <c r="AD96" s="2159">
        <f>MAX(T96:T98)</f>
        <v>0</v>
      </c>
      <c r="AE96" s="767" t="str">
        <f>IF(AD96&gt;85,("A"),IF(AD96&gt;80,("A-"),IF(AD96&gt;75,("B+"),IF(AD96&gt;70,("B"),IF(AD96&gt;65,("B-"),IF(AD96&gt;60,("C+"),IF(AD96&gt;55,("C"),IF(AD96&gt;50,("C-"),"D+"))))))))</f>
        <v>D+</v>
      </c>
    </row>
    <row r="97" spans="1:31" ht="24.95" customHeight="1" x14ac:dyDescent="0.25">
      <c r="A97" s="1207"/>
      <c r="B97" s="1208"/>
      <c r="C97" s="1212"/>
      <c r="D97" s="1459" t="s">
        <v>189</v>
      </c>
      <c r="E97" s="1672">
        <v>0</v>
      </c>
      <c r="F97" s="1672">
        <v>0</v>
      </c>
      <c r="G97" s="1672">
        <v>0</v>
      </c>
      <c r="H97" s="2069">
        <v>0</v>
      </c>
      <c r="I97" s="2069">
        <v>0</v>
      </c>
      <c r="J97" s="2069">
        <v>0</v>
      </c>
      <c r="K97" s="1672">
        <v>0</v>
      </c>
      <c r="L97" s="1672">
        <v>0</v>
      </c>
      <c r="M97" s="1672">
        <v>0</v>
      </c>
      <c r="N97" s="2027">
        <v>0</v>
      </c>
      <c r="O97" s="2027">
        <v>0</v>
      </c>
      <c r="P97" s="2027">
        <v>0</v>
      </c>
      <c r="Q97" s="2028">
        <f t="shared" ref="Q97:Q98" si="155">MAX(E97,H97,K97,N97)</f>
        <v>0</v>
      </c>
      <c r="R97" s="2026">
        <f t="shared" si="153"/>
        <v>0</v>
      </c>
      <c r="S97" s="2029">
        <f t="shared" si="154"/>
        <v>0</v>
      </c>
      <c r="T97" s="2025">
        <f t="shared" ref="T97:T98" si="156">IFERROR(AVERAGE(Q97:S97),"")</f>
        <v>0</v>
      </c>
      <c r="U97" s="2122" t="str">
        <f t="shared" ref="U97:U98" si="157">IF(T97&gt;85,("4"),IF(T97&gt;80,("3.66"),IF(T97&gt;75,("3.33"),IF(T97&gt;70,("3.00"),IF(T97&gt;65,("2.66"),IF(T97&gt;60,("2.33"),IF(T97&gt;55,("2"),IF(T97&gt;50,("1.66"),"1.33"))))))))</f>
        <v>1.33</v>
      </c>
      <c r="V97" s="2122" t="str">
        <f t="shared" ref="V97:V98" si="158">IF(T97&gt;85,("A"),IF(T97&gt;80,("A-"),IF(T97&gt;75,("B+"),IF(T97&gt;70,("B"),IF(T97&gt;65,("B-"),IF(T97&gt;60,("C+"),IF(T97&gt;55,("C"),IF(T97&gt;50,("C-"),"D+"))))))))</f>
        <v>D+</v>
      </c>
      <c r="W97" s="2122" t="str">
        <f t="shared" ref="W97:W98" si="159">IF(T97&gt;80,("SB"),IF(T97&gt;65,("B"),IF(T97&gt;50,("C"),IF(T97&gt;0,("K"),"0"))))</f>
        <v>0</v>
      </c>
      <c r="X97" s="1228"/>
      <c r="Y97" s="1229"/>
      <c r="Z97" s="1229"/>
      <c r="AA97" s="1230"/>
      <c r="AB97" s="1230"/>
      <c r="AC97" s="1231"/>
      <c r="AD97" s="2154"/>
      <c r="AE97" s="2155"/>
    </row>
    <row r="98" spans="1:31" ht="24.95" customHeight="1" x14ac:dyDescent="0.25">
      <c r="A98" s="1207"/>
      <c r="B98" s="1208"/>
      <c r="C98" s="1212"/>
      <c r="D98" s="1459" t="s">
        <v>186</v>
      </c>
      <c r="E98" s="1385">
        <v>0</v>
      </c>
      <c r="F98" s="1385">
        <v>0</v>
      </c>
      <c r="G98" s="1385">
        <v>0</v>
      </c>
      <c r="H98" s="2069"/>
      <c r="I98" s="2069"/>
      <c r="J98" s="2069"/>
      <c r="K98" s="1672">
        <v>0</v>
      </c>
      <c r="L98" s="1672">
        <v>0</v>
      </c>
      <c r="M98" s="1672">
        <v>0</v>
      </c>
      <c r="N98" s="2027">
        <v>0</v>
      </c>
      <c r="O98" s="2027">
        <v>0</v>
      </c>
      <c r="P98" s="2027">
        <v>0</v>
      </c>
      <c r="Q98" s="2028">
        <f t="shared" si="155"/>
        <v>0</v>
      </c>
      <c r="R98" s="2026">
        <f t="shared" si="153"/>
        <v>0</v>
      </c>
      <c r="S98" s="2029">
        <f t="shared" si="154"/>
        <v>0</v>
      </c>
      <c r="T98" s="2025">
        <f t="shared" si="156"/>
        <v>0</v>
      </c>
      <c r="U98" s="2122" t="str">
        <f t="shared" si="157"/>
        <v>1.33</v>
      </c>
      <c r="V98" s="2122" t="str">
        <f t="shared" si="158"/>
        <v>D+</v>
      </c>
      <c r="W98" s="2122" t="str">
        <f t="shared" si="159"/>
        <v>0</v>
      </c>
      <c r="X98" s="1232"/>
      <c r="Y98" s="1233"/>
      <c r="Z98" s="1233"/>
      <c r="AA98" s="1234"/>
      <c r="AB98" s="1234"/>
      <c r="AC98" s="1235"/>
      <c r="AD98" s="2156"/>
      <c r="AE98" s="2157"/>
    </row>
    <row r="99" spans="1:31" ht="24.95" customHeight="1" x14ac:dyDescent="0.25">
      <c r="A99" s="1236"/>
      <c r="B99" s="1241">
        <v>23</v>
      </c>
      <c r="C99" s="1220" t="s">
        <v>167</v>
      </c>
      <c r="D99" s="1237"/>
      <c r="E99" s="2687"/>
      <c r="F99" s="2688"/>
      <c r="G99" s="2688"/>
      <c r="H99" s="2688"/>
      <c r="I99" s="2076"/>
      <c r="J99" s="2076"/>
      <c r="K99" s="2076"/>
      <c r="L99" s="2076"/>
      <c r="M99" s="2076"/>
      <c r="N99" s="2076"/>
      <c r="O99" s="2076"/>
      <c r="P99" s="2076"/>
      <c r="Q99" s="2076"/>
      <c r="R99" s="2076"/>
      <c r="S99" s="2076"/>
      <c r="T99" s="2123">
        <f>IFERROR(AVERAGE(T96:T98),"  ")</f>
        <v>0</v>
      </c>
      <c r="U99" s="2124" t="str">
        <f>IF(T99&gt;85,("4"),IF(T99&gt;80,("3.66"),IF(T99&gt;75,("3.33"),IF(T99&gt;70,("3.00"),IF(T99&gt;65,("2.66"),IF(T99&gt;60,("2.33"),IF(T99&gt;55,("2"),IF(T99&gt;50,("1.66"),"1.33"))))))))</f>
        <v>1.33</v>
      </c>
      <c r="V99" s="2124" t="str">
        <f>IF(T99&gt;85,("A"),IF(T99&gt;80,("A-"),IF(T99&gt;75,("B+"),IF(T99&gt;70,("B"),IF(T99&gt;65,("B-"),IF(T99&gt;60,("C+"),IF(T99&gt;55,("C"),IF(T99&gt;50,("C-"),"D+"))))))))</f>
        <v>D+</v>
      </c>
      <c r="W99" s="2124"/>
      <c r="X99" s="1238"/>
      <c r="Y99" s="1239"/>
      <c r="Z99" s="1239"/>
      <c r="AA99" s="1239"/>
      <c r="AB99" s="1239"/>
      <c r="AC99" s="1240"/>
      <c r="AD99" s="2158"/>
      <c r="AE99" s="2125"/>
    </row>
    <row r="100" spans="1:31" ht="24.95" customHeight="1" x14ac:dyDescent="0.25">
      <c r="A100" s="1224">
        <v>24</v>
      </c>
      <c r="B100" s="1225"/>
      <c r="C100" s="1209" t="str">
        <f>VLOOKUP(A100,data_siswa,4,FALSE)</f>
        <v>Romzy Oka Ramadhani P</v>
      </c>
      <c r="D100" s="2089" t="s">
        <v>11</v>
      </c>
      <c r="E100" s="1672"/>
      <c r="F100" s="1672"/>
      <c r="G100" s="1672"/>
      <c r="H100" s="2069">
        <v>0</v>
      </c>
      <c r="I100" s="2069">
        <v>0</v>
      </c>
      <c r="J100" s="2069">
        <v>0</v>
      </c>
      <c r="K100" s="1672"/>
      <c r="L100" s="1672"/>
      <c r="M100" s="1672"/>
      <c r="N100" s="2027"/>
      <c r="O100" s="2027"/>
      <c r="P100" s="2027"/>
      <c r="Q100" s="2028">
        <f>MAX(E100,H100,K100,N100)</f>
        <v>0</v>
      </c>
      <c r="R100" s="2026">
        <f t="shared" ref="R100:R102" si="160">MAX(F100,I100,L100,O100)</f>
        <v>0</v>
      </c>
      <c r="S100" s="2029">
        <f t="shared" ref="S100:S102" si="161">MAX(G100,J100,M100,P100)</f>
        <v>0</v>
      </c>
      <c r="T100" s="2025">
        <f>IFERROR(AVERAGE(Q100:S100),"")</f>
        <v>0</v>
      </c>
      <c r="U100" s="2121" t="str">
        <f>IF(T100&gt;85,("4"),IF(T100&gt;80,("3.66"),IF(T100&gt;75,("3.33"),IF(T100&gt;70,("3.00"),IF(T100&gt;65,("2.66"),IF(T100&gt;60,("2.33"),IF(T100&gt;55,("2"),IF(T100&gt;50,("1.66"),"1.33"))))))))</f>
        <v>1.33</v>
      </c>
      <c r="V100" s="2121" t="str">
        <f>IF(T100&gt;85,("A"),IF(T100&gt;80,("A-"),IF(T100&gt;75,("B+"),IF(T100&gt;70,("B"),IF(T100&gt;65,("B-"),IF(T100&gt;60,("C+"),IF(T100&gt;55,("C"),IF(T100&gt;50,("C-"),"D+"))))))))</f>
        <v>D+</v>
      </c>
      <c r="W100" s="2121" t="str">
        <f>IF(T100&gt;80,("SB"),IF(T100&gt;65,("B"),IF(T100&gt;50,("C"),IF(T100&gt;0,("K"),"0"))))</f>
        <v>0</v>
      </c>
      <c r="X100" s="1226"/>
      <c r="Y100" s="1226">
        <v>3</v>
      </c>
      <c r="Z100" s="1226"/>
      <c r="AA100" s="1227">
        <v>1</v>
      </c>
      <c r="AB100" s="1227"/>
      <c r="AC100" s="1227"/>
      <c r="AD100" s="2159">
        <f>MAX(T100:T102)</f>
        <v>0</v>
      </c>
      <c r="AE100" s="767" t="str">
        <f>IF(AD100&gt;85,("A"),IF(AD100&gt;80,("A-"),IF(AD100&gt;75,("B+"),IF(AD100&gt;70,("B"),IF(AD100&gt;65,("B-"),IF(AD100&gt;60,("C+"),IF(AD100&gt;55,("C"),IF(AD100&gt;50,("C-"),"D+"))))))))</f>
        <v>D+</v>
      </c>
    </row>
    <row r="101" spans="1:31" ht="24.95" customHeight="1" x14ac:dyDescent="0.25">
      <c r="A101" s="1207"/>
      <c r="B101" s="1208"/>
      <c r="C101" s="1212"/>
      <c r="D101" s="1459" t="s">
        <v>189</v>
      </c>
      <c r="E101" s="1672">
        <v>0</v>
      </c>
      <c r="F101" s="1672">
        <v>0</v>
      </c>
      <c r="G101" s="1672">
        <v>0</v>
      </c>
      <c r="H101" s="2069">
        <v>0</v>
      </c>
      <c r="I101" s="2069">
        <v>0</v>
      </c>
      <c r="J101" s="2069">
        <v>0</v>
      </c>
      <c r="K101" s="1672">
        <v>0</v>
      </c>
      <c r="L101" s="1672">
        <v>0</v>
      </c>
      <c r="M101" s="1672">
        <v>0</v>
      </c>
      <c r="N101" s="2027">
        <v>0</v>
      </c>
      <c r="O101" s="2027">
        <v>0</v>
      </c>
      <c r="P101" s="2027">
        <v>0</v>
      </c>
      <c r="Q101" s="2028">
        <f t="shared" ref="Q101:Q102" si="162">MAX(E101,H101,K101,N101)</f>
        <v>0</v>
      </c>
      <c r="R101" s="2026">
        <f t="shared" si="160"/>
        <v>0</v>
      </c>
      <c r="S101" s="2029">
        <f t="shared" si="161"/>
        <v>0</v>
      </c>
      <c r="T101" s="2025">
        <f t="shared" ref="T101:T102" si="163">IFERROR(AVERAGE(Q101:S101),"")</f>
        <v>0</v>
      </c>
      <c r="U101" s="2122" t="str">
        <f t="shared" ref="U101:U102" si="164">IF(T101&gt;85,("4"),IF(T101&gt;80,("3.66"),IF(T101&gt;75,("3.33"),IF(T101&gt;70,("3.00"),IF(T101&gt;65,("2.66"),IF(T101&gt;60,("2.33"),IF(T101&gt;55,("2"),IF(T101&gt;50,("1.66"),"1.33"))))))))</f>
        <v>1.33</v>
      </c>
      <c r="V101" s="2122" t="str">
        <f t="shared" ref="V101:V102" si="165">IF(T101&gt;85,("A"),IF(T101&gt;80,("A-"),IF(T101&gt;75,("B+"),IF(T101&gt;70,("B"),IF(T101&gt;65,("B-"),IF(T101&gt;60,("C+"),IF(T101&gt;55,("C"),IF(T101&gt;50,("C-"),"D+"))))))))</f>
        <v>D+</v>
      </c>
      <c r="W101" s="2122" t="str">
        <f t="shared" ref="W101:W102" si="166">IF(T101&gt;80,("SB"),IF(T101&gt;65,("B"),IF(T101&gt;50,("C"),IF(T101&gt;0,("K"),"0"))))</f>
        <v>0</v>
      </c>
      <c r="X101" s="1228"/>
      <c r="Y101" s="1229"/>
      <c r="Z101" s="1229"/>
      <c r="AA101" s="1230"/>
      <c r="AB101" s="1230"/>
      <c r="AC101" s="1231"/>
      <c r="AD101" s="2154"/>
      <c r="AE101" s="2155"/>
    </row>
    <row r="102" spans="1:31" ht="24.95" customHeight="1" x14ac:dyDescent="0.25">
      <c r="A102" s="1207"/>
      <c r="B102" s="1208"/>
      <c r="C102" s="1212"/>
      <c r="D102" s="1459" t="s">
        <v>186</v>
      </c>
      <c r="E102" s="1385">
        <v>0</v>
      </c>
      <c r="F102" s="1385">
        <v>0</v>
      </c>
      <c r="G102" s="1385">
        <v>0</v>
      </c>
      <c r="H102" s="2069"/>
      <c r="I102" s="2069"/>
      <c r="J102" s="2069"/>
      <c r="K102" s="1672">
        <v>0</v>
      </c>
      <c r="L102" s="1672">
        <v>0</v>
      </c>
      <c r="M102" s="1672">
        <v>0</v>
      </c>
      <c r="N102" s="2027">
        <v>0</v>
      </c>
      <c r="O102" s="2027">
        <v>0</v>
      </c>
      <c r="P102" s="2027">
        <v>0</v>
      </c>
      <c r="Q102" s="2028">
        <f t="shared" si="162"/>
        <v>0</v>
      </c>
      <c r="R102" s="2026">
        <f t="shared" si="160"/>
        <v>0</v>
      </c>
      <c r="S102" s="2029">
        <f t="shared" si="161"/>
        <v>0</v>
      </c>
      <c r="T102" s="2025">
        <f t="shared" si="163"/>
        <v>0</v>
      </c>
      <c r="U102" s="2122" t="str">
        <f t="shared" si="164"/>
        <v>1.33</v>
      </c>
      <c r="V102" s="2122" t="str">
        <f t="shared" si="165"/>
        <v>D+</v>
      </c>
      <c r="W102" s="2122" t="str">
        <f t="shared" si="166"/>
        <v>0</v>
      </c>
      <c r="X102" s="1232"/>
      <c r="Y102" s="1233"/>
      <c r="Z102" s="1233"/>
      <c r="AA102" s="1234"/>
      <c r="AB102" s="1234"/>
      <c r="AC102" s="1235"/>
      <c r="AD102" s="2156"/>
      <c r="AE102" s="2157"/>
    </row>
    <row r="103" spans="1:31" ht="24.95" customHeight="1" x14ac:dyDescent="0.25">
      <c r="A103" s="1236"/>
      <c r="B103" s="1241">
        <v>24</v>
      </c>
      <c r="C103" s="1220" t="s">
        <v>167</v>
      </c>
      <c r="D103" s="1237"/>
      <c r="E103" s="2687"/>
      <c r="F103" s="2688"/>
      <c r="G103" s="2688"/>
      <c r="H103" s="2688"/>
      <c r="I103" s="2076"/>
      <c r="J103" s="2076"/>
      <c r="K103" s="2076"/>
      <c r="L103" s="2076"/>
      <c r="M103" s="2076"/>
      <c r="N103" s="2076"/>
      <c r="O103" s="2076"/>
      <c r="P103" s="2076"/>
      <c r="Q103" s="2076"/>
      <c r="R103" s="2076"/>
      <c r="S103" s="2076"/>
      <c r="T103" s="2123">
        <f>IFERROR(AVERAGE(T100:T102),"  ")</f>
        <v>0</v>
      </c>
      <c r="U103" s="2124" t="str">
        <f>IF(T103&gt;85,("4"),IF(T103&gt;80,("3.66"),IF(T103&gt;75,("3.33"),IF(T103&gt;70,("3.00"),IF(T103&gt;65,("2.66"),IF(T103&gt;60,("2.33"),IF(T103&gt;55,("2"),IF(T103&gt;50,("1.66"),"1.33"))))))))</f>
        <v>1.33</v>
      </c>
      <c r="V103" s="2124" t="str">
        <f>IF(T103&gt;85,("A"),IF(T103&gt;80,("A-"),IF(T103&gt;75,("B+"),IF(T103&gt;70,("B"),IF(T103&gt;65,("B-"),IF(T103&gt;60,("C+"),IF(T103&gt;55,("C"),IF(T103&gt;50,("C-"),"D+"))))))))</f>
        <v>D+</v>
      </c>
      <c r="W103" s="2124"/>
      <c r="X103" s="1238"/>
      <c r="Y103" s="1239"/>
      <c r="Z103" s="1239"/>
      <c r="AA103" s="1239"/>
      <c r="AB103" s="1239"/>
      <c r="AC103" s="1240"/>
      <c r="AD103" s="2158"/>
      <c r="AE103" s="2125"/>
    </row>
    <row r="104" spans="1:31" ht="24.95" customHeight="1" x14ac:dyDescent="0.25">
      <c r="A104" s="1224">
        <v>25</v>
      </c>
      <c r="B104" s="1225"/>
      <c r="C104" s="1209" t="str">
        <f>VLOOKUP(A104,data_siswa,4,FALSE)</f>
        <v>Larasati Jagadhita P</v>
      </c>
      <c r="D104" s="2089" t="s">
        <v>11</v>
      </c>
      <c r="E104" s="1672"/>
      <c r="F104" s="1672"/>
      <c r="G104" s="1672"/>
      <c r="H104" s="2069">
        <v>0</v>
      </c>
      <c r="I104" s="2069">
        <v>0</v>
      </c>
      <c r="J104" s="2069">
        <v>0</v>
      </c>
      <c r="K104" s="1672"/>
      <c r="L104" s="1672"/>
      <c r="M104" s="1672"/>
      <c r="N104" s="2027"/>
      <c r="O104" s="2027"/>
      <c r="P104" s="2027"/>
      <c r="Q104" s="2028">
        <f>MAX(E104,H104,K104,N104)</f>
        <v>0</v>
      </c>
      <c r="R104" s="2026">
        <f t="shared" ref="R104:R106" si="167">MAX(F104,I104,L104,O104)</f>
        <v>0</v>
      </c>
      <c r="S104" s="2029">
        <f t="shared" ref="S104:S106" si="168">MAX(G104,J104,M104,P104)</f>
        <v>0</v>
      </c>
      <c r="T104" s="2025">
        <f>IFERROR(AVERAGE(Q104:S104),"")</f>
        <v>0</v>
      </c>
      <c r="U104" s="2121" t="str">
        <f>IF(T104&gt;85,("4"),IF(T104&gt;80,("3.66"),IF(T104&gt;75,("3.33"),IF(T104&gt;70,("3.00"),IF(T104&gt;65,("2.66"),IF(T104&gt;60,("2.33"),IF(T104&gt;55,("2"),IF(T104&gt;50,("1.66"),"1.33"))))))))</f>
        <v>1.33</v>
      </c>
      <c r="V104" s="2121" t="str">
        <f>IF(T104&gt;85,("A"),IF(T104&gt;80,("A-"),IF(T104&gt;75,("B+"),IF(T104&gt;70,("B"),IF(T104&gt;65,("B-"),IF(T104&gt;60,("C+"),IF(T104&gt;55,("C"),IF(T104&gt;50,("C-"),"D+"))))))))</f>
        <v>D+</v>
      </c>
      <c r="W104" s="2121" t="str">
        <f>IF(T104&gt;80,("SB"),IF(T104&gt;65,("B"),IF(T104&gt;50,("C"),IF(T104&gt;0,("K"),"0"))))</f>
        <v>0</v>
      </c>
      <c r="X104" s="1226"/>
      <c r="Y104" s="1226">
        <v>3</v>
      </c>
      <c r="Z104" s="1226"/>
      <c r="AA104" s="1227">
        <v>1</v>
      </c>
      <c r="AB104" s="1227"/>
      <c r="AC104" s="1227"/>
      <c r="AD104" s="2159">
        <f>MAX(T104:T106)</f>
        <v>0</v>
      </c>
      <c r="AE104" s="767" t="str">
        <f>IF(AD104&gt;85,("A"),IF(AD104&gt;80,("A-"),IF(AD104&gt;75,("B+"),IF(AD104&gt;70,("B"),IF(AD104&gt;65,("B-"),IF(AD104&gt;60,("C+"),IF(AD104&gt;55,("C"),IF(AD104&gt;50,("C-"),"D+"))))))))</f>
        <v>D+</v>
      </c>
    </row>
    <row r="105" spans="1:31" ht="24.95" customHeight="1" x14ac:dyDescent="0.25">
      <c r="A105" s="1207"/>
      <c r="B105" s="1208"/>
      <c r="C105" s="1212"/>
      <c r="D105" s="1459" t="s">
        <v>189</v>
      </c>
      <c r="E105" s="1672">
        <v>0</v>
      </c>
      <c r="F105" s="1672">
        <v>0</v>
      </c>
      <c r="G105" s="1672">
        <v>0</v>
      </c>
      <c r="H105" s="2069">
        <v>0</v>
      </c>
      <c r="I105" s="2069">
        <v>0</v>
      </c>
      <c r="J105" s="2069">
        <v>0</v>
      </c>
      <c r="K105" s="1672">
        <v>0</v>
      </c>
      <c r="L105" s="1672">
        <v>0</v>
      </c>
      <c r="M105" s="1672">
        <v>0</v>
      </c>
      <c r="N105" s="2027">
        <v>0</v>
      </c>
      <c r="O105" s="2027">
        <v>0</v>
      </c>
      <c r="P105" s="2027">
        <v>0</v>
      </c>
      <c r="Q105" s="2028">
        <f t="shared" ref="Q105:Q106" si="169">MAX(E105,H105,K105,N105)</f>
        <v>0</v>
      </c>
      <c r="R105" s="2026">
        <f t="shared" si="167"/>
        <v>0</v>
      </c>
      <c r="S105" s="2029">
        <f t="shared" si="168"/>
        <v>0</v>
      </c>
      <c r="T105" s="2025">
        <f t="shared" ref="T105:T106" si="170">IFERROR(AVERAGE(Q105:S105),"")</f>
        <v>0</v>
      </c>
      <c r="U105" s="2122" t="str">
        <f t="shared" ref="U105:U106" si="171">IF(T105&gt;85,("4"),IF(T105&gt;80,("3.66"),IF(T105&gt;75,("3.33"),IF(T105&gt;70,("3.00"),IF(T105&gt;65,("2.66"),IF(T105&gt;60,("2.33"),IF(T105&gt;55,("2"),IF(T105&gt;50,("1.66"),"1.33"))))))))</f>
        <v>1.33</v>
      </c>
      <c r="V105" s="2122" t="str">
        <f t="shared" ref="V105:V106" si="172">IF(T105&gt;85,("A"),IF(T105&gt;80,("A-"),IF(T105&gt;75,("B+"),IF(T105&gt;70,("B"),IF(T105&gt;65,("B-"),IF(T105&gt;60,("C+"),IF(T105&gt;55,("C"),IF(T105&gt;50,("C-"),"D+"))))))))</f>
        <v>D+</v>
      </c>
      <c r="W105" s="2122" t="str">
        <f t="shared" ref="W105:W106" si="173">IF(T105&gt;80,("SB"),IF(T105&gt;65,("B"),IF(T105&gt;50,("C"),IF(T105&gt;0,("K"),"0"))))</f>
        <v>0</v>
      </c>
      <c r="X105" s="1228"/>
      <c r="Y105" s="1229"/>
      <c r="Z105" s="1229"/>
      <c r="AA105" s="1230"/>
      <c r="AB105" s="1230"/>
      <c r="AC105" s="1231"/>
      <c r="AD105" s="2154"/>
      <c r="AE105" s="2155"/>
    </row>
    <row r="106" spans="1:31" ht="24.95" customHeight="1" x14ac:dyDescent="0.25">
      <c r="A106" s="1207"/>
      <c r="B106" s="1208"/>
      <c r="C106" s="1212"/>
      <c r="D106" s="1459" t="s">
        <v>186</v>
      </c>
      <c r="E106" s="1385">
        <v>0</v>
      </c>
      <c r="F106" s="1385">
        <v>0</v>
      </c>
      <c r="G106" s="1385">
        <v>0</v>
      </c>
      <c r="H106" s="2069"/>
      <c r="I106" s="2069"/>
      <c r="J106" s="2069"/>
      <c r="K106" s="1672">
        <v>0</v>
      </c>
      <c r="L106" s="1672">
        <v>0</v>
      </c>
      <c r="M106" s="1672">
        <v>0</v>
      </c>
      <c r="N106" s="2027">
        <v>0</v>
      </c>
      <c r="O106" s="2027">
        <v>0</v>
      </c>
      <c r="P106" s="2027">
        <v>0</v>
      </c>
      <c r="Q106" s="2028">
        <f t="shared" si="169"/>
        <v>0</v>
      </c>
      <c r="R106" s="2026">
        <f t="shared" si="167"/>
        <v>0</v>
      </c>
      <c r="S106" s="2029">
        <f t="shared" si="168"/>
        <v>0</v>
      </c>
      <c r="T106" s="2025">
        <f t="shared" si="170"/>
        <v>0</v>
      </c>
      <c r="U106" s="2122" t="str">
        <f t="shared" si="171"/>
        <v>1.33</v>
      </c>
      <c r="V106" s="2122" t="str">
        <f t="shared" si="172"/>
        <v>D+</v>
      </c>
      <c r="W106" s="2122" t="str">
        <f t="shared" si="173"/>
        <v>0</v>
      </c>
      <c r="X106" s="1232"/>
      <c r="Y106" s="1233"/>
      <c r="Z106" s="1233"/>
      <c r="AA106" s="1234"/>
      <c r="AB106" s="1234"/>
      <c r="AC106" s="1235"/>
      <c r="AD106" s="2156"/>
      <c r="AE106" s="2157"/>
    </row>
    <row r="107" spans="1:31" ht="24.95" customHeight="1" x14ac:dyDescent="0.25">
      <c r="A107" s="1236"/>
      <c r="B107" s="1241">
        <v>25</v>
      </c>
      <c r="C107" s="1220" t="s">
        <v>167</v>
      </c>
      <c r="D107" s="1237"/>
      <c r="E107" s="2687"/>
      <c r="F107" s="2688"/>
      <c r="G107" s="2688"/>
      <c r="H107" s="2688"/>
      <c r="I107" s="2076"/>
      <c r="J107" s="2076"/>
      <c r="K107" s="2076"/>
      <c r="L107" s="2076"/>
      <c r="M107" s="2076"/>
      <c r="N107" s="2076"/>
      <c r="O107" s="2076"/>
      <c r="P107" s="2076"/>
      <c r="Q107" s="2076"/>
      <c r="R107" s="2076"/>
      <c r="S107" s="2076"/>
      <c r="T107" s="2123">
        <f>IFERROR(AVERAGE(T104:T106),"  ")</f>
        <v>0</v>
      </c>
      <c r="U107" s="2124" t="str">
        <f>IF(T107&gt;85,("4"),IF(T107&gt;80,("3.66"),IF(T107&gt;75,("3.33"),IF(T107&gt;70,("3.00"),IF(T107&gt;65,("2.66"),IF(T107&gt;60,("2.33"),IF(T107&gt;55,("2"),IF(T107&gt;50,("1.66"),"1.33"))))))))</f>
        <v>1.33</v>
      </c>
      <c r="V107" s="2124" t="str">
        <f>IF(T107&gt;85,("A"),IF(T107&gt;80,("A-"),IF(T107&gt;75,("B+"),IF(T107&gt;70,("B"),IF(T107&gt;65,("B-"),IF(T107&gt;60,("C+"),IF(T107&gt;55,("C"),IF(T107&gt;50,("C-"),"D+"))))))))</f>
        <v>D+</v>
      </c>
      <c r="W107" s="2124"/>
      <c r="X107" s="1238"/>
      <c r="Y107" s="1239"/>
      <c r="Z107" s="1239"/>
      <c r="AA107" s="1239"/>
      <c r="AB107" s="1239"/>
      <c r="AC107" s="1240"/>
      <c r="AD107" s="2158"/>
      <c r="AE107" s="2125"/>
    </row>
    <row r="108" spans="1:31" ht="24.95" customHeight="1" x14ac:dyDescent="0.25">
      <c r="A108" s="1224">
        <v>26</v>
      </c>
      <c r="B108" s="1225"/>
      <c r="C108" s="1209" t="str">
        <f>VLOOKUP(A108,data_siswa,4,FALSE)</f>
        <v>Meliana Citra A</v>
      </c>
      <c r="D108" s="2089" t="s">
        <v>11</v>
      </c>
      <c r="E108" s="1672"/>
      <c r="F108" s="1672"/>
      <c r="G108" s="1672"/>
      <c r="H108" s="2069">
        <v>0</v>
      </c>
      <c r="I108" s="2069">
        <v>0</v>
      </c>
      <c r="J108" s="2069">
        <v>0</v>
      </c>
      <c r="K108" s="1672"/>
      <c r="L108" s="1672"/>
      <c r="M108" s="1672"/>
      <c r="N108" s="2027"/>
      <c r="O108" s="2027"/>
      <c r="P108" s="2027"/>
      <c r="Q108" s="2028">
        <f>MAX(E108,H108,K108,N108)</f>
        <v>0</v>
      </c>
      <c r="R108" s="2026">
        <f t="shared" ref="R108:R110" si="174">MAX(F108,I108,L108,O108)</f>
        <v>0</v>
      </c>
      <c r="S108" s="2029">
        <f t="shared" ref="S108:S110" si="175">MAX(G108,J108,M108,P108)</f>
        <v>0</v>
      </c>
      <c r="T108" s="2025">
        <f>IFERROR(AVERAGE(Q108:S108),"")</f>
        <v>0</v>
      </c>
      <c r="U108" s="2121" t="str">
        <f>IF(T108&gt;85,("4"),IF(T108&gt;80,("3.66"),IF(T108&gt;75,("3.33"),IF(T108&gt;70,("3.00"),IF(T108&gt;65,("2.66"),IF(T108&gt;60,("2.33"),IF(T108&gt;55,("2"),IF(T108&gt;50,("1.66"),"1.33"))))))))</f>
        <v>1.33</v>
      </c>
      <c r="V108" s="2121" t="str">
        <f>IF(T108&gt;85,("A"),IF(T108&gt;80,("A-"),IF(T108&gt;75,("B+"),IF(T108&gt;70,("B"),IF(T108&gt;65,("B-"),IF(T108&gt;60,("C+"),IF(T108&gt;55,("C"),IF(T108&gt;50,("C-"),"D+"))))))))</f>
        <v>D+</v>
      </c>
      <c r="W108" s="2121" t="str">
        <f>IF(T108&gt;80,("SB"),IF(T108&gt;65,("B"),IF(T108&gt;50,("C"),IF(T108&gt;0,("K"),"0"))))</f>
        <v>0</v>
      </c>
      <c r="X108" s="1226"/>
      <c r="Y108" s="1226">
        <v>3</v>
      </c>
      <c r="Z108" s="1226"/>
      <c r="AA108" s="1227">
        <v>1</v>
      </c>
      <c r="AB108" s="1227"/>
      <c r="AC108" s="1227"/>
      <c r="AD108" s="2159">
        <f>MAX(T108:T110)</f>
        <v>0</v>
      </c>
      <c r="AE108" s="767" t="str">
        <f>IF(AD108&gt;85,("A"),IF(AD108&gt;80,("A-"),IF(AD108&gt;75,("B+"),IF(AD108&gt;70,("B"),IF(AD108&gt;65,("B-"),IF(AD108&gt;60,("C+"),IF(AD108&gt;55,("C"),IF(AD108&gt;50,("C-"),"D+"))))))))</f>
        <v>D+</v>
      </c>
    </row>
    <row r="109" spans="1:31" ht="24.95" customHeight="1" x14ac:dyDescent="0.25">
      <c r="A109" s="1207"/>
      <c r="B109" s="1208"/>
      <c r="C109" s="1212"/>
      <c r="D109" s="1459" t="s">
        <v>189</v>
      </c>
      <c r="E109" s="1672">
        <v>0</v>
      </c>
      <c r="F109" s="1672">
        <v>0</v>
      </c>
      <c r="G109" s="1672">
        <v>0</v>
      </c>
      <c r="H109" s="2069">
        <v>0</v>
      </c>
      <c r="I109" s="2069">
        <v>0</v>
      </c>
      <c r="J109" s="2069">
        <v>0</v>
      </c>
      <c r="K109" s="1672">
        <v>0</v>
      </c>
      <c r="L109" s="1672">
        <v>0</v>
      </c>
      <c r="M109" s="1672">
        <v>0</v>
      </c>
      <c r="N109" s="2027">
        <v>0</v>
      </c>
      <c r="O109" s="2027">
        <v>0</v>
      </c>
      <c r="P109" s="2027">
        <v>0</v>
      </c>
      <c r="Q109" s="2028">
        <f t="shared" ref="Q109:Q110" si="176">MAX(E109,H109,K109,N109)</f>
        <v>0</v>
      </c>
      <c r="R109" s="2026">
        <f t="shared" si="174"/>
        <v>0</v>
      </c>
      <c r="S109" s="2029">
        <f t="shared" si="175"/>
        <v>0</v>
      </c>
      <c r="T109" s="2025">
        <f t="shared" ref="T109:T110" si="177">IFERROR(AVERAGE(Q109:S109),"")</f>
        <v>0</v>
      </c>
      <c r="U109" s="2122" t="str">
        <f t="shared" ref="U109:U110" si="178">IF(T109&gt;85,("4"),IF(T109&gt;80,("3.66"),IF(T109&gt;75,("3.33"),IF(T109&gt;70,("3.00"),IF(T109&gt;65,("2.66"),IF(T109&gt;60,("2.33"),IF(T109&gt;55,("2"),IF(T109&gt;50,("1.66"),"1.33"))))))))</f>
        <v>1.33</v>
      </c>
      <c r="V109" s="2122" t="str">
        <f t="shared" ref="V109:V110" si="179">IF(T109&gt;85,("A"),IF(T109&gt;80,("A-"),IF(T109&gt;75,("B+"),IF(T109&gt;70,("B"),IF(T109&gt;65,("B-"),IF(T109&gt;60,("C+"),IF(T109&gt;55,("C"),IF(T109&gt;50,("C-"),"D+"))))))))</f>
        <v>D+</v>
      </c>
      <c r="W109" s="2122" t="str">
        <f t="shared" ref="W109:W110" si="180">IF(T109&gt;80,("SB"),IF(T109&gt;65,("B"),IF(T109&gt;50,("C"),IF(T109&gt;0,("K"),"0"))))</f>
        <v>0</v>
      </c>
      <c r="X109" s="1228"/>
      <c r="Y109" s="1229"/>
      <c r="Z109" s="1229"/>
      <c r="AA109" s="1230"/>
      <c r="AB109" s="1230"/>
      <c r="AC109" s="1231"/>
      <c r="AD109" s="2154"/>
      <c r="AE109" s="2155"/>
    </row>
    <row r="110" spans="1:31" ht="24.95" customHeight="1" x14ac:dyDescent="0.25">
      <c r="A110" s="1207"/>
      <c r="B110" s="1208"/>
      <c r="C110" s="1212"/>
      <c r="D110" s="1459" t="s">
        <v>186</v>
      </c>
      <c r="E110" s="1385">
        <v>0</v>
      </c>
      <c r="F110" s="1385">
        <v>0</v>
      </c>
      <c r="G110" s="1385">
        <v>0</v>
      </c>
      <c r="H110" s="2069"/>
      <c r="I110" s="2069"/>
      <c r="J110" s="2069"/>
      <c r="K110" s="1672">
        <v>0</v>
      </c>
      <c r="L110" s="1672">
        <v>0</v>
      </c>
      <c r="M110" s="1672">
        <v>0</v>
      </c>
      <c r="N110" s="2027">
        <v>0</v>
      </c>
      <c r="O110" s="2027">
        <v>0</v>
      </c>
      <c r="P110" s="2027">
        <v>0</v>
      </c>
      <c r="Q110" s="2028">
        <f t="shared" si="176"/>
        <v>0</v>
      </c>
      <c r="R110" s="2026">
        <f t="shared" si="174"/>
        <v>0</v>
      </c>
      <c r="S110" s="2029">
        <f t="shared" si="175"/>
        <v>0</v>
      </c>
      <c r="T110" s="2025">
        <f t="shared" si="177"/>
        <v>0</v>
      </c>
      <c r="U110" s="2122" t="str">
        <f t="shared" si="178"/>
        <v>1.33</v>
      </c>
      <c r="V110" s="2122" t="str">
        <f t="shared" si="179"/>
        <v>D+</v>
      </c>
      <c r="W110" s="2122" t="str">
        <f t="shared" si="180"/>
        <v>0</v>
      </c>
      <c r="X110" s="1232"/>
      <c r="Y110" s="1233"/>
      <c r="Z110" s="1233"/>
      <c r="AA110" s="1234"/>
      <c r="AB110" s="1234"/>
      <c r="AC110" s="1235"/>
      <c r="AD110" s="2156"/>
      <c r="AE110" s="2157"/>
    </row>
    <row r="111" spans="1:31" ht="24.95" customHeight="1" x14ac:dyDescent="0.25">
      <c r="A111" s="1236"/>
      <c r="B111" s="1241">
        <v>26</v>
      </c>
      <c r="C111" s="1220" t="s">
        <v>167</v>
      </c>
      <c r="D111" s="1237"/>
      <c r="E111" s="2687"/>
      <c r="F111" s="2688"/>
      <c r="G111" s="2688"/>
      <c r="H111" s="2688"/>
      <c r="I111" s="2076"/>
      <c r="J111" s="2076"/>
      <c r="K111" s="2076"/>
      <c r="L111" s="2076"/>
      <c r="M111" s="2076"/>
      <c r="N111" s="2076"/>
      <c r="O111" s="2076"/>
      <c r="P111" s="2076"/>
      <c r="Q111" s="2076"/>
      <c r="R111" s="2076"/>
      <c r="S111" s="2076"/>
      <c r="T111" s="2123">
        <f>IFERROR(AVERAGE(T108:T110),"  ")</f>
        <v>0</v>
      </c>
      <c r="U111" s="2124" t="str">
        <f>IF(T111&gt;85,("4"),IF(T111&gt;80,("3.66"),IF(T111&gt;75,("3.33"),IF(T111&gt;70,("3.00"),IF(T111&gt;65,("2.66"),IF(T111&gt;60,("2.33"),IF(T111&gt;55,("2"),IF(T111&gt;50,("1.66"),"1.33"))))))))</f>
        <v>1.33</v>
      </c>
      <c r="V111" s="2124" t="str">
        <f>IF(T111&gt;85,("A"),IF(T111&gt;80,("A-"),IF(T111&gt;75,("B+"),IF(T111&gt;70,("B"),IF(T111&gt;65,("B-"),IF(T111&gt;60,("C+"),IF(T111&gt;55,("C"),IF(T111&gt;50,("C-"),"D+"))))))))</f>
        <v>D+</v>
      </c>
      <c r="W111" s="2124"/>
      <c r="X111" s="1238"/>
      <c r="Y111" s="1239"/>
      <c r="Z111" s="1239"/>
      <c r="AA111" s="1239"/>
      <c r="AB111" s="1239"/>
      <c r="AC111" s="1240"/>
      <c r="AD111" s="2158"/>
      <c r="AE111" s="2125"/>
    </row>
    <row r="112" spans="1:31" ht="24.95" customHeight="1" x14ac:dyDescent="0.25">
      <c r="A112" s="1224">
        <v>27</v>
      </c>
      <c r="B112" s="1225"/>
      <c r="C112" s="1209" t="str">
        <f>VLOOKUP(A112,data_siswa,4,FALSE)</f>
        <v>Mohammad Rizky</v>
      </c>
      <c r="D112" s="2089" t="s">
        <v>11</v>
      </c>
      <c r="E112" s="1672"/>
      <c r="F112" s="1672"/>
      <c r="G112" s="1672"/>
      <c r="H112" s="2069">
        <v>0</v>
      </c>
      <c r="I112" s="2069">
        <v>0</v>
      </c>
      <c r="J112" s="2069">
        <v>0</v>
      </c>
      <c r="K112" s="1672"/>
      <c r="L112" s="1672"/>
      <c r="M112" s="1672"/>
      <c r="N112" s="2027"/>
      <c r="O112" s="2027"/>
      <c r="P112" s="2027"/>
      <c r="Q112" s="2028">
        <f>MAX(E112,H112,K112,N112)</f>
        <v>0</v>
      </c>
      <c r="R112" s="2026">
        <f t="shared" ref="R112:R114" si="181">MAX(F112,I112,L112,O112)</f>
        <v>0</v>
      </c>
      <c r="S112" s="2029">
        <f t="shared" ref="S112:S114" si="182">MAX(G112,J112,M112,P112)</f>
        <v>0</v>
      </c>
      <c r="T112" s="2025">
        <f>IFERROR(AVERAGE(Q112:S112),"")</f>
        <v>0</v>
      </c>
      <c r="U112" s="2121" t="str">
        <f>IF(T112&gt;85,("4"),IF(T112&gt;80,("3.66"),IF(T112&gt;75,("3.33"),IF(T112&gt;70,("3.00"),IF(T112&gt;65,("2.66"),IF(T112&gt;60,("2.33"),IF(T112&gt;55,("2"),IF(T112&gt;50,("1.66"),"1.33"))))))))</f>
        <v>1.33</v>
      </c>
      <c r="V112" s="2121" t="str">
        <f>IF(T112&gt;85,("A"),IF(T112&gt;80,("A-"),IF(T112&gt;75,("B+"),IF(T112&gt;70,("B"),IF(T112&gt;65,("B-"),IF(T112&gt;60,("C+"),IF(T112&gt;55,("C"),IF(T112&gt;50,("C-"),"D+"))))))))</f>
        <v>D+</v>
      </c>
      <c r="W112" s="2121" t="str">
        <f>IF(T112&gt;80,("SB"),IF(T112&gt;65,("B"),IF(T112&gt;50,("C"),IF(T112&gt;0,("K"),"0"))))</f>
        <v>0</v>
      </c>
      <c r="X112" s="1226"/>
      <c r="Y112" s="1226">
        <v>3</v>
      </c>
      <c r="Z112" s="1226"/>
      <c r="AA112" s="1227">
        <v>1</v>
      </c>
      <c r="AB112" s="1227"/>
      <c r="AC112" s="1227"/>
      <c r="AD112" s="2159">
        <f>MAX(T112:T114)</f>
        <v>0</v>
      </c>
      <c r="AE112" s="767" t="str">
        <f>IF(AD112&gt;85,("A"),IF(AD112&gt;80,("A-"),IF(AD112&gt;75,("B+"),IF(AD112&gt;70,("B"),IF(AD112&gt;65,("B-"),IF(AD112&gt;60,("C+"),IF(AD112&gt;55,("C"),IF(AD112&gt;50,("C-"),"D+"))))))))</f>
        <v>D+</v>
      </c>
    </row>
    <row r="113" spans="1:31" ht="24.95" customHeight="1" x14ac:dyDescent="0.25">
      <c r="A113" s="1207"/>
      <c r="B113" s="1208"/>
      <c r="C113" s="1212"/>
      <c r="D113" s="1459" t="s">
        <v>189</v>
      </c>
      <c r="E113" s="1672">
        <v>0</v>
      </c>
      <c r="F113" s="1672">
        <v>0</v>
      </c>
      <c r="G113" s="1672">
        <v>0</v>
      </c>
      <c r="H113" s="2069">
        <v>0</v>
      </c>
      <c r="I113" s="2069">
        <v>0</v>
      </c>
      <c r="J113" s="2069">
        <v>0</v>
      </c>
      <c r="K113" s="1672">
        <v>0</v>
      </c>
      <c r="L113" s="1672">
        <v>0</v>
      </c>
      <c r="M113" s="1672">
        <v>0</v>
      </c>
      <c r="N113" s="2027">
        <v>0</v>
      </c>
      <c r="O113" s="2027">
        <v>0</v>
      </c>
      <c r="P113" s="2027">
        <v>0</v>
      </c>
      <c r="Q113" s="2028">
        <f t="shared" ref="Q113:Q114" si="183">MAX(E113,H113,K113,N113)</f>
        <v>0</v>
      </c>
      <c r="R113" s="2026">
        <f t="shared" si="181"/>
        <v>0</v>
      </c>
      <c r="S113" s="2029">
        <f t="shared" si="182"/>
        <v>0</v>
      </c>
      <c r="T113" s="2025">
        <f t="shared" ref="T113:T114" si="184">IFERROR(AVERAGE(Q113:S113),"")</f>
        <v>0</v>
      </c>
      <c r="U113" s="2122" t="str">
        <f t="shared" ref="U113:U114" si="185">IF(T113&gt;85,("4"),IF(T113&gt;80,("3.66"),IF(T113&gt;75,("3.33"),IF(T113&gt;70,("3.00"),IF(T113&gt;65,("2.66"),IF(T113&gt;60,("2.33"),IF(T113&gt;55,("2"),IF(T113&gt;50,("1.66"),"1.33"))))))))</f>
        <v>1.33</v>
      </c>
      <c r="V113" s="2122" t="str">
        <f t="shared" ref="V113:V114" si="186">IF(T113&gt;85,("A"),IF(T113&gt;80,("A-"),IF(T113&gt;75,("B+"),IF(T113&gt;70,("B"),IF(T113&gt;65,("B-"),IF(T113&gt;60,("C+"),IF(T113&gt;55,("C"),IF(T113&gt;50,("C-"),"D+"))))))))</f>
        <v>D+</v>
      </c>
      <c r="W113" s="2122" t="str">
        <f t="shared" ref="W113:W114" si="187">IF(T113&gt;80,("SB"),IF(T113&gt;65,("B"),IF(T113&gt;50,("C"),IF(T113&gt;0,("K"),"0"))))</f>
        <v>0</v>
      </c>
      <c r="X113" s="1228"/>
      <c r="Y113" s="1229"/>
      <c r="Z113" s="1229"/>
      <c r="AA113" s="1230"/>
      <c r="AB113" s="1230"/>
      <c r="AC113" s="1231"/>
      <c r="AD113" s="2154"/>
      <c r="AE113" s="2155"/>
    </row>
    <row r="114" spans="1:31" ht="24.95" customHeight="1" x14ac:dyDescent="0.25">
      <c r="A114" s="1207"/>
      <c r="B114" s="1208"/>
      <c r="C114" s="1212"/>
      <c r="D114" s="1459" t="s">
        <v>186</v>
      </c>
      <c r="E114" s="1385">
        <v>0</v>
      </c>
      <c r="F114" s="1385">
        <v>0</v>
      </c>
      <c r="G114" s="1385">
        <v>0</v>
      </c>
      <c r="H114" s="2069"/>
      <c r="I114" s="2069"/>
      <c r="J114" s="2069"/>
      <c r="K114" s="1672">
        <v>0</v>
      </c>
      <c r="L114" s="1672">
        <v>0</v>
      </c>
      <c r="M114" s="1672">
        <v>0</v>
      </c>
      <c r="N114" s="2027">
        <v>0</v>
      </c>
      <c r="O114" s="2027">
        <v>0</v>
      </c>
      <c r="P114" s="2027">
        <v>0</v>
      </c>
      <c r="Q114" s="2028">
        <f t="shared" si="183"/>
        <v>0</v>
      </c>
      <c r="R114" s="2026">
        <f t="shared" si="181"/>
        <v>0</v>
      </c>
      <c r="S114" s="2029">
        <f t="shared" si="182"/>
        <v>0</v>
      </c>
      <c r="T114" s="2025">
        <f t="shared" si="184"/>
        <v>0</v>
      </c>
      <c r="U114" s="2122" t="str">
        <f t="shared" si="185"/>
        <v>1.33</v>
      </c>
      <c r="V114" s="2122" t="str">
        <f t="shared" si="186"/>
        <v>D+</v>
      </c>
      <c r="W114" s="2122" t="str">
        <f t="shared" si="187"/>
        <v>0</v>
      </c>
      <c r="X114" s="1232"/>
      <c r="Y114" s="1233"/>
      <c r="Z114" s="1233"/>
      <c r="AA114" s="1234"/>
      <c r="AB114" s="1234"/>
      <c r="AC114" s="1235"/>
      <c r="AD114" s="2156"/>
      <c r="AE114" s="2157"/>
    </row>
    <row r="115" spans="1:31" ht="24.95" customHeight="1" x14ac:dyDescent="0.25">
      <c r="A115" s="1236"/>
      <c r="B115" s="1241">
        <v>27</v>
      </c>
      <c r="C115" s="1220" t="s">
        <v>167</v>
      </c>
      <c r="D115" s="1237"/>
      <c r="E115" s="2687"/>
      <c r="F115" s="2688"/>
      <c r="G115" s="2688"/>
      <c r="H115" s="2688"/>
      <c r="I115" s="2076"/>
      <c r="J115" s="2076"/>
      <c r="K115" s="2076"/>
      <c r="L115" s="2076"/>
      <c r="M115" s="2076"/>
      <c r="N115" s="2076"/>
      <c r="O115" s="2076"/>
      <c r="P115" s="2076"/>
      <c r="Q115" s="2076"/>
      <c r="R115" s="2076"/>
      <c r="S115" s="2076"/>
      <c r="T115" s="2123">
        <f>IFERROR(AVERAGE(T112:T114),"  ")</f>
        <v>0</v>
      </c>
      <c r="U115" s="2124" t="str">
        <f>IF(T115&gt;85,("4"),IF(T115&gt;80,("3.66"),IF(T115&gt;75,("3.33"),IF(T115&gt;70,("3.00"),IF(T115&gt;65,("2.66"),IF(T115&gt;60,("2.33"),IF(T115&gt;55,("2"),IF(T115&gt;50,("1.66"),"1.33"))))))))</f>
        <v>1.33</v>
      </c>
      <c r="V115" s="2124" t="str">
        <f>IF(T115&gt;85,("A"),IF(T115&gt;80,("A-"),IF(T115&gt;75,("B+"),IF(T115&gt;70,("B"),IF(T115&gt;65,("B-"),IF(T115&gt;60,("C+"),IF(T115&gt;55,("C"),IF(T115&gt;50,("C-"),"D+"))))))))</f>
        <v>D+</v>
      </c>
      <c r="W115" s="2124"/>
      <c r="X115" s="1238"/>
      <c r="Y115" s="1239"/>
      <c r="Z115" s="1239"/>
      <c r="AA115" s="1239"/>
      <c r="AB115" s="1239"/>
      <c r="AC115" s="1240"/>
      <c r="AD115" s="2158"/>
      <c r="AE115" s="2125"/>
    </row>
    <row r="116" spans="1:31" ht="24.95" customHeight="1" x14ac:dyDescent="0.25">
      <c r="A116" s="1224">
        <v>28</v>
      </c>
      <c r="B116" s="1225"/>
      <c r="C116" s="1209" t="e">
        <f>VLOOKUP(A116,data_siswa,4,FALSE)</f>
        <v>#N/A</v>
      </c>
      <c r="D116" s="2089" t="s">
        <v>11</v>
      </c>
      <c r="E116" s="1672"/>
      <c r="F116" s="1672"/>
      <c r="G116" s="1672"/>
      <c r="H116" s="2069">
        <v>0</v>
      </c>
      <c r="I116" s="2069">
        <v>0</v>
      </c>
      <c r="J116" s="2069">
        <v>0</v>
      </c>
      <c r="K116" s="1672"/>
      <c r="L116" s="1672"/>
      <c r="M116" s="1672"/>
      <c r="N116" s="2027"/>
      <c r="O116" s="2027"/>
      <c r="P116" s="2027"/>
      <c r="Q116" s="2028">
        <f>MAX(E116,H116,K116,N116)</f>
        <v>0</v>
      </c>
      <c r="R116" s="2026">
        <f t="shared" ref="R116:R118" si="188">MAX(F116,I116,L116,O116)</f>
        <v>0</v>
      </c>
      <c r="S116" s="2029">
        <f t="shared" ref="S116:S118" si="189">MAX(G116,J116,M116,P116)</f>
        <v>0</v>
      </c>
      <c r="T116" s="2025">
        <f>IFERROR(AVERAGE(Q116:S116),"")</f>
        <v>0</v>
      </c>
      <c r="U116" s="2121" t="str">
        <f>IF(T116&gt;85,("4"),IF(T116&gt;80,("3.66"),IF(T116&gt;75,("3.33"),IF(T116&gt;70,("3.00"),IF(T116&gt;65,("2.66"),IF(T116&gt;60,("2.33"),IF(T116&gt;55,("2"),IF(T116&gt;50,("1.66"),"1.33"))))))))</f>
        <v>1.33</v>
      </c>
      <c r="V116" s="2121" t="str">
        <f>IF(T116&gt;85,("A"),IF(T116&gt;80,("A-"),IF(T116&gt;75,("B+"),IF(T116&gt;70,("B"),IF(T116&gt;65,("B-"),IF(T116&gt;60,("C+"),IF(T116&gt;55,("C"),IF(T116&gt;50,("C-"),"D+"))))))))</f>
        <v>D+</v>
      </c>
      <c r="W116" s="2121" t="str">
        <f>IF(T116&gt;80,("SB"),IF(T116&gt;65,("B"),IF(T116&gt;50,("C"),IF(T116&gt;0,("K"),"0"))))</f>
        <v>0</v>
      </c>
      <c r="X116" s="1226"/>
      <c r="Y116" s="1226">
        <v>3</v>
      </c>
      <c r="Z116" s="1226"/>
      <c r="AA116" s="1227">
        <v>1</v>
      </c>
      <c r="AB116" s="1227"/>
      <c r="AC116" s="1227"/>
      <c r="AD116" s="2159">
        <f>MAX(T116:T118)</f>
        <v>0</v>
      </c>
      <c r="AE116" s="767" t="str">
        <f>IF(AD116&gt;85,("A"),IF(AD116&gt;80,("A-"),IF(AD116&gt;75,("B+"),IF(AD116&gt;70,("B"),IF(AD116&gt;65,("B-"),IF(AD116&gt;60,("C+"),IF(AD116&gt;55,("C"),IF(AD116&gt;50,("C-"),"D+"))))))))</f>
        <v>D+</v>
      </c>
    </row>
    <row r="117" spans="1:31" ht="24.95" customHeight="1" x14ac:dyDescent="0.25">
      <c r="A117" s="1207"/>
      <c r="B117" s="1208"/>
      <c r="C117" s="1212"/>
      <c r="D117" s="1459" t="s">
        <v>189</v>
      </c>
      <c r="E117" s="1672">
        <v>0</v>
      </c>
      <c r="F117" s="1672">
        <v>0</v>
      </c>
      <c r="G117" s="1672">
        <v>0</v>
      </c>
      <c r="H117" s="2069">
        <v>0</v>
      </c>
      <c r="I117" s="2069">
        <v>0</v>
      </c>
      <c r="J117" s="2069">
        <v>0</v>
      </c>
      <c r="K117" s="1672">
        <v>0</v>
      </c>
      <c r="L117" s="1672">
        <v>0</v>
      </c>
      <c r="M117" s="1672">
        <v>0</v>
      </c>
      <c r="N117" s="2027">
        <v>0</v>
      </c>
      <c r="O117" s="2027">
        <v>0</v>
      </c>
      <c r="P117" s="2027">
        <v>0</v>
      </c>
      <c r="Q117" s="2028">
        <f t="shared" ref="Q117:Q118" si="190">MAX(E117,H117,K117,N117)</f>
        <v>0</v>
      </c>
      <c r="R117" s="2026">
        <f t="shared" si="188"/>
        <v>0</v>
      </c>
      <c r="S117" s="2029">
        <f t="shared" si="189"/>
        <v>0</v>
      </c>
      <c r="T117" s="2025">
        <f t="shared" ref="T117:T118" si="191">IFERROR(AVERAGE(Q117:S117),"")</f>
        <v>0</v>
      </c>
      <c r="U117" s="2122" t="str">
        <f t="shared" ref="U117:U118" si="192">IF(T117&gt;85,("4"),IF(T117&gt;80,("3.66"),IF(T117&gt;75,("3.33"),IF(T117&gt;70,("3.00"),IF(T117&gt;65,("2.66"),IF(T117&gt;60,("2.33"),IF(T117&gt;55,("2"),IF(T117&gt;50,("1.66"),"1.33"))))))))</f>
        <v>1.33</v>
      </c>
      <c r="V117" s="2122" t="str">
        <f t="shared" ref="V117:V118" si="193">IF(T117&gt;85,("A"),IF(T117&gt;80,("A-"),IF(T117&gt;75,("B+"),IF(T117&gt;70,("B"),IF(T117&gt;65,("B-"),IF(T117&gt;60,("C+"),IF(T117&gt;55,("C"),IF(T117&gt;50,("C-"),"D+"))))))))</f>
        <v>D+</v>
      </c>
      <c r="W117" s="2122" t="str">
        <f t="shared" ref="W117:W118" si="194">IF(T117&gt;80,("SB"),IF(T117&gt;65,("B"),IF(T117&gt;50,("C"),IF(T117&gt;0,("K"),"0"))))</f>
        <v>0</v>
      </c>
      <c r="X117" s="1228"/>
      <c r="Y117" s="1229"/>
      <c r="Z117" s="1229"/>
      <c r="AA117" s="1230"/>
      <c r="AB117" s="1230"/>
      <c r="AC117" s="1231"/>
      <c r="AD117" s="2154"/>
      <c r="AE117" s="2155"/>
    </row>
    <row r="118" spans="1:31" ht="24.95" customHeight="1" x14ac:dyDescent="0.25">
      <c r="A118" s="1207"/>
      <c r="B118" s="1208"/>
      <c r="C118" s="1212"/>
      <c r="D118" s="1459" t="s">
        <v>186</v>
      </c>
      <c r="E118" s="1385">
        <v>0</v>
      </c>
      <c r="F118" s="1385">
        <v>0</v>
      </c>
      <c r="G118" s="1385">
        <v>0</v>
      </c>
      <c r="H118" s="2069"/>
      <c r="I118" s="2069"/>
      <c r="J118" s="2069"/>
      <c r="K118" s="1672">
        <v>0</v>
      </c>
      <c r="L118" s="1672">
        <v>0</v>
      </c>
      <c r="M118" s="1672">
        <v>0</v>
      </c>
      <c r="N118" s="2027">
        <v>0</v>
      </c>
      <c r="O118" s="2027">
        <v>0</v>
      </c>
      <c r="P118" s="2027">
        <v>0</v>
      </c>
      <c r="Q118" s="2028">
        <f t="shared" si="190"/>
        <v>0</v>
      </c>
      <c r="R118" s="2026">
        <f t="shared" si="188"/>
        <v>0</v>
      </c>
      <c r="S118" s="2029">
        <f t="shared" si="189"/>
        <v>0</v>
      </c>
      <c r="T118" s="2025">
        <f t="shared" si="191"/>
        <v>0</v>
      </c>
      <c r="U118" s="2122" t="str">
        <f t="shared" si="192"/>
        <v>1.33</v>
      </c>
      <c r="V118" s="2122" t="str">
        <f t="shared" si="193"/>
        <v>D+</v>
      </c>
      <c r="W118" s="2122" t="str">
        <f t="shared" si="194"/>
        <v>0</v>
      </c>
      <c r="X118" s="1232"/>
      <c r="Y118" s="1233"/>
      <c r="Z118" s="1233"/>
      <c r="AA118" s="1234"/>
      <c r="AB118" s="1234"/>
      <c r="AC118" s="1235"/>
      <c r="AD118" s="2156"/>
      <c r="AE118" s="2157"/>
    </row>
    <row r="119" spans="1:31" ht="24.95" customHeight="1" x14ac:dyDescent="0.25">
      <c r="A119" s="1236"/>
      <c r="B119" s="1241">
        <v>28</v>
      </c>
      <c r="C119" s="1220" t="s">
        <v>167</v>
      </c>
      <c r="D119" s="1237"/>
      <c r="E119" s="2687"/>
      <c r="F119" s="2688"/>
      <c r="G119" s="2688"/>
      <c r="H119" s="2688"/>
      <c r="I119" s="2076"/>
      <c r="J119" s="2076"/>
      <c r="K119" s="2076"/>
      <c r="L119" s="2076"/>
      <c r="M119" s="2076"/>
      <c r="N119" s="2076"/>
      <c r="O119" s="2076"/>
      <c r="P119" s="2076"/>
      <c r="Q119" s="2076"/>
      <c r="R119" s="2076"/>
      <c r="S119" s="2076"/>
      <c r="T119" s="2123">
        <f>IFERROR(AVERAGE(T116:T118),"  ")</f>
        <v>0</v>
      </c>
      <c r="U119" s="2124" t="str">
        <f>IF(T119&gt;85,("4"),IF(T119&gt;80,("3.66"),IF(T119&gt;75,("3.33"),IF(T119&gt;70,("3.00"),IF(T119&gt;65,("2.66"),IF(T119&gt;60,("2.33"),IF(T119&gt;55,("2"),IF(T119&gt;50,("1.66"),"1.33"))))))))</f>
        <v>1.33</v>
      </c>
      <c r="V119" s="2124" t="str">
        <f>IF(T119&gt;85,("A"),IF(T119&gt;80,("A-"),IF(T119&gt;75,("B+"),IF(T119&gt;70,("B"),IF(T119&gt;65,("B-"),IF(T119&gt;60,("C+"),IF(T119&gt;55,("C"),IF(T119&gt;50,("C-"),"D+"))))))))</f>
        <v>D+</v>
      </c>
      <c r="W119" s="2124"/>
      <c r="X119" s="1238"/>
      <c r="Y119" s="1239"/>
      <c r="Z119" s="1239"/>
      <c r="AA119" s="1239"/>
      <c r="AB119" s="1239"/>
      <c r="AC119" s="1240"/>
      <c r="AD119" s="2158"/>
      <c r="AE119" s="2125"/>
    </row>
    <row r="120" spans="1:31" ht="24.95" customHeight="1" x14ac:dyDescent="0.25">
      <c r="A120" s="1224">
        <v>29</v>
      </c>
      <c r="B120" s="1225"/>
      <c r="C120" s="1209" t="e">
        <f>VLOOKUP(A120,data_siswa,4,FALSE)</f>
        <v>#N/A</v>
      </c>
      <c r="D120" s="2089" t="s">
        <v>11</v>
      </c>
      <c r="E120" s="1672"/>
      <c r="F120" s="1672"/>
      <c r="G120" s="1672"/>
      <c r="H120" s="2069">
        <v>0</v>
      </c>
      <c r="I120" s="2069">
        <v>0</v>
      </c>
      <c r="J120" s="2069">
        <v>0</v>
      </c>
      <c r="K120" s="1672"/>
      <c r="L120" s="1672"/>
      <c r="M120" s="1672"/>
      <c r="N120" s="2027"/>
      <c r="O120" s="2027"/>
      <c r="P120" s="2027"/>
      <c r="Q120" s="2028">
        <f>MAX(E120,H120,K120,N120)</f>
        <v>0</v>
      </c>
      <c r="R120" s="2026">
        <f t="shared" ref="R120:R122" si="195">MAX(F120,I120,L120,O120)</f>
        <v>0</v>
      </c>
      <c r="S120" s="2029">
        <f t="shared" ref="S120:S122" si="196">MAX(G120,J120,M120,P120)</f>
        <v>0</v>
      </c>
      <c r="T120" s="2025">
        <f>IFERROR(AVERAGE(Q120:S120),"")</f>
        <v>0</v>
      </c>
      <c r="U120" s="2121" t="str">
        <f>IF(T120&gt;85,("4"),IF(T120&gt;80,("3.66"),IF(T120&gt;75,("3.33"),IF(T120&gt;70,("3.00"),IF(T120&gt;65,("2.66"),IF(T120&gt;60,("2.33"),IF(T120&gt;55,("2"),IF(T120&gt;50,("1.66"),"1.33"))))))))</f>
        <v>1.33</v>
      </c>
      <c r="V120" s="2121" t="str">
        <f>IF(T120&gt;85,("A"),IF(T120&gt;80,("A-"),IF(T120&gt;75,("B+"),IF(T120&gt;70,("B"),IF(T120&gt;65,("B-"),IF(T120&gt;60,("C+"),IF(T120&gt;55,("C"),IF(T120&gt;50,("C-"),"D+"))))))))</f>
        <v>D+</v>
      </c>
      <c r="W120" s="2121" t="str">
        <f>IF(T120&gt;80,("SB"),IF(T120&gt;65,("B"),IF(T120&gt;50,("C"),IF(T120&gt;0,("K"),"0"))))</f>
        <v>0</v>
      </c>
      <c r="X120" s="1226"/>
      <c r="Y120" s="1226">
        <v>3</v>
      </c>
      <c r="Z120" s="1226"/>
      <c r="AA120" s="1227">
        <v>1</v>
      </c>
      <c r="AB120" s="1227"/>
      <c r="AC120" s="1227"/>
      <c r="AD120" s="2159">
        <f>MAX(T120:T122)</f>
        <v>0</v>
      </c>
      <c r="AE120" s="767" t="str">
        <f>IF(AD120&gt;85,("A"),IF(AD120&gt;80,("A-"),IF(AD120&gt;75,("B+"),IF(AD120&gt;70,("B"),IF(AD120&gt;65,("B-"),IF(AD120&gt;60,("C+"),IF(AD120&gt;55,("C"),IF(AD120&gt;50,("C-"),"D+"))))))))</f>
        <v>D+</v>
      </c>
    </row>
    <row r="121" spans="1:31" ht="24.95" customHeight="1" x14ac:dyDescent="0.25">
      <c r="A121" s="1207"/>
      <c r="B121" s="1208"/>
      <c r="C121" s="1212"/>
      <c r="D121" s="1459" t="s">
        <v>189</v>
      </c>
      <c r="E121" s="1672">
        <v>0</v>
      </c>
      <c r="F121" s="1672">
        <v>0</v>
      </c>
      <c r="G121" s="1672">
        <v>0</v>
      </c>
      <c r="H121" s="2069">
        <v>0</v>
      </c>
      <c r="I121" s="2069">
        <v>0</v>
      </c>
      <c r="J121" s="2069">
        <v>0</v>
      </c>
      <c r="K121" s="1672">
        <v>0</v>
      </c>
      <c r="L121" s="1672">
        <v>0</v>
      </c>
      <c r="M121" s="1672">
        <v>0</v>
      </c>
      <c r="N121" s="2027">
        <v>0</v>
      </c>
      <c r="O121" s="2027">
        <v>0</v>
      </c>
      <c r="P121" s="2027">
        <v>0</v>
      </c>
      <c r="Q121" s="2028">
        <f t="shared" ref="Q121:Q122" si="197">MAX(E121,H121,K121,N121)</f>
        <v>0</v>
      </c>
      <c r="R121" s="2026">
        <f t="shared" si="195"/>
        <v>0</v>
      </c>
      <c r="S121" s="2029">
        <f t="shared" si="196"/>
        <v>0</v>
      </c>
      <c r="T121" s="2025">
        <f t="shared" ref="T121:T122" si="198">IFERROR(AVERAGE(Q121:S121),"")</f>
        <v>0</v>
      </c>
      <c r="U121" s="2122" t="str">
        <f t="shared" ref="U121:U122" si="199">IF(T121&gt;85,("4"),IF(T121&gt;80,("3.66"),IF(T121&gt;75,("3.33"),IF(T121&gt;70,("3.00"),IF(T121&gt;65,("2.66"),IF(T121&gt;60,("2.33"),IF(T121&gt;55,("2"),IF(T121&gt;50,("1.66"),"1.33"))))))))</f>
        <v>1.33</v>
      </c>
      <c r="V121" s="2122" t="str">
        <f t="shared" ref="V121:V122" si="200">IF(T121&gt;85,("A"),IF(T121&gt;80,("A-"),IF(T121&gt;75,("B+"),IF(T121&gt;70,("B"),IF(T121&gt;65,("B-"),IF(T121&gt;60,("C+"),IF(T121&gt;55,("C"),IF(T121&gt;50,("C-"),"D+"))))))))</f>
        <v>D+</v>
      </c>
      <c r="W121" s="2122" t="str">
        <f t="shared" ref="W121:W122" si="201">IF(T121&gt;80,("SB"),IF(T121&gt;65,("B"),IF(T121&gt;50,("C"),IF(T121&gt;0,("K"),"0"))))</f>
        <v>0</v>
      </c>
      <c r="X121" s="1228"/>
      <c r="Y121" s="1229"/>
      <c r="Z121" s="1229"/>
      <c r="AA121" s="1230"/>
      <c r="AB121" s="1230"/>
      <c r="AC121" s="1231"/>
      <c r="AD121" s="2154"/>
      <c r="AE121" s="2155"/>
    </row>
    <row r="122" spans="1:31" ht="24.95" customHeight="1" x14ac:dyDescent="0.25">
      <c r="A122" s="1207"/>
      <c r="B122" s="1208"/>
      <c r="C122" s="1212"/>
      <c r="D122" s="1459" t="s">
        <v>186</v>
      </c>
      <c r="E122" s="1385">
        <v>0</v>
      </c>
      <c r="F122" s="1385">
        <v>0</v>
      </c>
      <c r="G122" s="1385">
        <v>0</v>
      </c>
      <c r="H122" s="2069"/>
      <c r="I122" s="2069"/>
      <c r="J122" s="2069"/>
      <c r="K122" s="1672">
        <v>0</v>
      </c>
      <c r="L122" s="1672">
        <v>0</v>
      </c>
      <c r="M122" s="1672">
        <v>0</v>
      </c>
      <c r="N122" s="2027">
        <v>0</v>
      </c>
      <c r="O122" s="2027">
        <v>0</v>
      </c>
      <c r="P122" s="2027">
        <v>0</v>
      </c>
      <c r="Q122" s="2028">
        <f t="shared" si="197"/>
        <v>0</v>
      </c>
      <c r="R122" s="2026">
        <f t="shared" si="195"/>
        <v>0</v>
      </c>
      <c r="S122" s="2029">
        <f t="shared" si="196"/>
        <v>0</v>
      </c>
      <c r="T122" s="2025">
        <f t="shared" si="198"/>
        <v>0</v>
      </c>
      <c r="U122" s="2122" t="str">
        <f t="shared" si="199"/>
        <v>1.33</v>
      </c>
      <c r="V122" s="2122" t="str">
        <f t="shared" si="200"/>
        <v>D+</v>
      </c>
      <c r="W122" s="2122" t="str">
        <f t="shared" si="201"/>
        <v>0</v>
      </c>
      <c r="X122" s="1232"/>
      <c r="Y122" s="1233"/>
      <c r="Z122" s="1233"/>
      <c r="AA122" s="1234"/>
      <c r="AB122" s="1234"/>
      <c r="AC122" s="1235"/>
      <c r="AD122" s="2156"/>
      <c r="AE122" s="2157"/>
    </row>
    <row r="123" spans="1:31" ht="24.95" customHeight="1" x14ac:dyDescent="0.25">
      <c r="A123" s="1236"/>
      <c r="B123" s="1241">
        <v>29</v>
      </c>
      <c r="C123" s="1220" t="s">
        <v>167</v>
      </c>
      <c r="D123" s="1237"/>
      <c r="E123" s="2687"/>
      <c r="F123" s="2688"/>
      <c r="G123" s="2688"/>
      <c r="H123" s="2688"/>
      <c r="I123" s="2076"/>
      <c r="J123" s="2076"/>
      <c r="K123" s="2076"/>
      <c r="L123" s="2076"/>
      <c r="M123" s="2076"/>
      <c r="N123" s="2076"/>
      <c r="O123" s="2076"/>
      <c r="P123" s="2076"/>
      <c r="Q123" s="2076"/>
      <c r="R123" s="2076"/>
      <c r="S123" s="2076"/>
      <c r="T123" s="2123">
        <f>IFERROR(AVERAGE(T120:T122),"  ")</f>
        <v>0</v>
      </c>
      <c r="U123" s="2124" t="str">
        <f>IF(T123&gt;85,("4"),IF(T123&gt;80,("3.66"),IF(T123&gt;75,("3.33"),IF(T123&gt;70,("3.00"),IF(T123&gt;65,("2.66"),IF(T123&gt;60,("2.33"),IF(T123&gt;55,("2"),IF(T123&gt;50,("1.66"),"1.33"))))))))</f>
        <v>1.33</v>
      </c>
      <c r="V123" s="2124" t="str">
        <f>IF(T123&gt;85,("A"),IF(T123&gt;80,("A-"),IF(T123&gt;75,("B+"),IF(T123&gt;70,("B"),IF(T123&gt;65,("B-"),IF(T123&gt;60,("C+"),IF(T123&gt;55,("C"),IF(T123&gt;50,("C-"),"D+"))))))))</f>
        <v>D+</v>
      </c>
      <c r="W123" s="2124"/>
      <c r="X123" s="1238"/>
      <c r="Y123" s="1239"/>
      <c r="Z123" s="1239"/>
      <c r="AA123" s="1239"/>
      <c r="AB123" s="1239"/>
      <c r="AC123" s="1240"/>
      <c r="AD123" s="2158"/>
      <c r="AE123" s="2125"/>
    </row>
    <row r="124" spans="1:31" ht="24.95" customHeight="1" x14ac:dyDescent="0.25">
      <c r="A124" s="1224">
        <v>30</v>
      </c>
      <c r="B124" s="1225"/>
      <c r="C124" s="1209" t="e">
        <f>VLOOKUP(A124,data_siswa,4,FALSE)</f>
        <v>#N/A</v>
      </c>
      <c r="D124" s="2089" t="s">
        <v>11</v>
      </c>
      <c r="E124" s="1672"/>
      <c r="F124" s="1672"/>
      <c r="G124" s="1672"/>
      <c r="H124" s="2069">
        <v>0</v>
      </c>
      <c r="I124" s="2069">
        <v>0</v>
      </c>
      <c r="J124" s="2069">
        <v>0</v>
      </c>
      <c r="K124" s="1672"/>
      <c r="L124" s="1672"/>
      <c r="M124" s="1672"/>
      <c r="N124" s="2027"/>
      <c r="O124" s="2027"/>
      <c r="P124" s="2027"/>
      <c r="Q124" s="2028">
        <f>MAX(E124,H124,K124,N124)</f>
        <v>0</v>
      </c>
      <c r="R124" s="2026">
        <f t="shared" ref="R124:R126" si="202">MAX(F124,I124,L124,O124)</f>
        <v>0</v>
      </c>
      <c r="S124" s="2029">
        <f t="shared" ref="S124:S126" si="203">MAX(G124,J124,M124,P124)</f>
        <v>0</v>
      </c>
      <c r="T124" s="2025">
        <f>IFERROR(AVERAGE(Q124:S124),"")</f>
        <v>0</v>
      </c>
      <c r="U124" s="2121" t="str">
        <f>IF(T124&gt;85,("4"),IF(T124&gt;80,("3.66"),IF(T124&gt;75,("3.33"),IF(T124&gt;70,("3.00"),IF(T124&gt;65,("2.66"),IF(T124&gt;60,("2.33"),IF(T124&gt;55,("2"),IF(T124&gt;50,("1.66"),"1.33"))))))))</f>
        <v>1.33</v>
      </c>
      <c r="V124" s="2121" t="str">
        <f>IF(T124&gt;85,("A"),IF(T124&gt;80,("A-"),IF(T124&gt;75,("B+"),IF(T124&gt;70,("B"),IF(T124&gt;65,("B-"),IF(T124&gt;60,("C+"),IF(T124&gt;55,("C"),IF(T124&gt;50,("C-"),"D+"))))))))</f>
        <v>D+</v>
      </c>
      <c r="W124" s="2121" t="str">
        <f>IF(T124&gt;80,("SB"),IF(T124&gt;65,("B"),IF(T124&gt;50,("C"),IF(T124&gt;0,("K"),"0"))))</f>
        <v>0</v>
      </c>
      <c r="X124" s="1226"/>
      <c r="Y124" s="1226">
        <v>3</v>
      </c>
      <c r="Z124" s="1226"/>
      <c r="AA124" s="1227">
        <v>1</v>
      </c>
      <c r="AB124" s="1227"/>
      <c r="AC124" s="1227"/>
      <c r="AD124" s="2159">
        <f>MAX(T124:T126)</f>
        <v>0</v>
      </c>
      <c r="AE124" s="767" t="str">
        <f>IF(AD124&gt;85,("A"),IF(AD124&gt;80,("A-"),IF(AD124&gt;75,("B+"),IF(AD124&gt;70,("B"),IF(AD124&gt;65,("B-"),IF(AD124&gt;60,("C+"),IF(AD124&gt;55,("C"),IF(AD124&gt;50,("C-"),"D+"))))))))</f>
        <v>D+</v>
      </c>
    </row>
    <row r="125" spans="1:31" ht="24.95" customHeight="1" x14ac:dyDescent="0.25">
      <c r="A125" s="1207"/>
      <c r="B125" s="1208"/>
      <c r="C125" s="1212"/>
      <c r="D125" s="1459" t="s">
        <v>189</v>
      </c>
      <c r="E125" s="1672">
        <v>0</v>
      </c>
      <c r="F125" s="1672">
        <v>0</v>
      </c>
      <c r="G125" s="1672">
        <v>0</v>
      </c>
      <c r="H125" s="2069">
        <v>0</v>
      </c>
      <c r="I125" s="2069">
        <v>0</v>
      </c>
      <c r="J125" s="2069">
        <v>0</v>
      </c>
      <c r="K125" s="1672">
        <v>0</v>
      </c>
      <c r="L125" s="1672">
        <v>0</v>
      </c>
      <c r="M125" s="1672">
        <v>0</v>
      </c>
      <c r="N125" s="2027">
        <v>0</v>
      </c>
      <c r="O125" s="2027">
        <v>0</v>
      </c>
      <c r="P125" s="2027">
        <v>0</v>
      </c>
      <c r="Q125" s="2028">
        <f t="shared" ref="Q125:Q126" si="204">MAX(E125,H125,K125,N125)</f>
        <v>0</v>
      </c>
      <c r="R125" s="2026">
        <f t="shared" si="202"/>
        <v>0</v>
      </c>
      <c r="S125" s="2029">
        <f t="shared" si="203"/>
        <v>0</v>
      </c>
      <c r="T125" s="2025">
        <f t="shared" ref="T125:T126" si="205">IFERROR(AVERAGE(Q125:S125),"")</f>
        <v>0</v>
      </c>
      <c r="U125" s="2122" t="str">
        <f t="shared" ref="U125:U126" si="206">IF(T125&gt;85,("4"),IF(T125&gt;80,("3.66"),IF(T125&gt;75,("3.33"),IF(T125&gt;70,("3.00"),IF(T125&gt;65,("2.66"),IF(T125&gt;60,("2.33"),IF(T125&gt;55,("2"),IF(T125&gt;50,("1.66"),"1.33"))))))))</f>
        <v>1.33</v>
      </c>
      <c r="V125" s="2122" t="str">
        <f t="shared" ref="V125:V126" si="207">IF(T125&gt;85,("A"),IF(T125&gt;80,("A-"),IF(T125&gt;75,("B+"),IF(T125&gt;70,("B"),IF(T125&gt;65,("B-"),IF(T125&gt;60,("C+"),IF(T125&gt;55,("C"),IF(T125&gt;50,("C-"),"D+"))))))))</f>
        <v>D+</v>
      </c>
      <c r="W125" s="2122" t="str">
        <f t="shared" ref="W125:W126" si="208">IF(T125&gt;80,("SB"),IF(T125&gt;65,("B"),IF(T125&gt;50,("C"),IF(T125&gt;0,("K"),"0"))))</f>
        <v>0</v>
      </c>
      <c r="X125" s="1228"/>
      <c r="Y125" s="1229"/>
      <c r="Z125" s="1229"/>
      <c r="AA125" s="1230"/>
      <c r="AB125" s="1230"/>
      <c r="AC125" s="1231"/>
      <c r="AD125" s="2154"/>
      <c r="AE125" s="2155"/>
    </row>
    <row r="126" spans="1:31" ht="24.95" customHeight="1" x14ac:dyDescent="0.25">
      <c r="A126" s="1207"/>
      <c r="B126" s="1208"/>
      <c r="C126" s="1212"/>
      <c r="D126" s="1459" t="s">
        <v>186</v>
      </c>
      <c r="E126" s="1385">
        <v>0</v>
      </c>
      <c r="F126" s="1385">
        <v>0</v>
      </c>
      <c r="G126" s="1385">
        <v>0</v>
      </c>
      <c r="H126" s="2069"/>
      <c r="I126" s="2069"/>
      <c r="J126" s="2069"/>
      <c r="K126" s="1672">
        <v>0</v>
      </c>
      <c r="L126" s="1672">
        <v>0</v>
      </c>
      <c r="M126" s="1672">
        <v>0</v>
      </c>
      <c r="N126" s="2027">
        <v>0</v>
      </c>
      <c r="O126" s="2027">
        <v>0</v>
      </c>
      <c r="P126" s="2027">
        <v>0</v>
      </c>
      <c r="Q126" s="2028">
        <f t="shared" si="204"/>
        <v>0</v>
      </c>
      <c r="R126" s="2026">
        <f t="shared" si="202"/>
        <v>0</v>
      </c>
      <c r="S126" s="2029">
        <f t="shared" si="203"/>
        <v>0</v>
      </c>
      <c r="T126" s="2025">
        <f t="shared" si="205"/>
        <v>0</v>
      </c>
      <c r="U126" s="2122" t="str">
        <f t="shared" si="206"/>
        <v>1.33</v>
      </c>
      <c r="V126" s="2122" t="str">
        <f t="shared" si="207"/>
        <v>D+</v>
      </c>
      <c r="W126" s="2122" t="str">
        <f t="shared" si="208"/>
        <v>0</v>
      </c>
      <c r="X126" s="1232"/>
      <c r="Y126" s="1233"/>
      <c r="Z126" s="1233"/>
      <c r="AA126" s="1234"/>
      <c r="AB126" s="1234"/>
      <c r="AC126" s="1235"/>
      <c r="AD126" s="2156"/>
      <c r="AE126" s="2157"/>
    </row>
    <row r="127" spans="1:31" ht="24.95" customHeight="1" x14ac:dyDescent="0.25">
      <c r="A127" s="1236"/>
      <c r="B127" s="1241">
        <v>30</v>
      </c>
      <c r="C127" s="1220" t="s">
        <v>167</v>
      </c>
      <c r="D127" s="1237"/>
      <c r="E127" s="2687"/>
      <c r="F127" s="2688"/>
      <c r="G127" s="2688"/>
      <c r="H127" s="2688"/>
      <c r="I127" s="2076"/>
      <c r="J127" s="2076"/>
      <c r="K127" s="2076"/>
      <c r="L127" s="2076"/>
      <c r="M127" s="2076"/>
      <c r="N127" s="2076"/>
      <c r="O127" s="2076"/>
      <c r="P127" s="2076"/>
      <c r="Q127" s="2076"/>
      <c r="R127" s="2076"/>
      <c r="S127" s="2076"/>
      <c r="T127" s="2123">
        <f>IFERROR(AVERAGE(T124:T126),"  ")</f>
        <v>0</v>
      </c>
      <c r="U127" s="2124" t="str">
        <f>IF(T127&gt;85,("4"),IF(T127&gt;80,("3.66"),IF(T127&gt;75,("3.33"),IF(T127&gt;70,("3.00"),IF(T127&gt;65,("2.66"),IF(T127&gt;60,("2.33"),IF(T127&gt;55,("2"),IF(T127&gt;50,("1.66"),"1.33"))))))))</f>
        <v>1.33</v>
      </c>
      <c r="V127" s="2124" t="str">
        <f>IF(T127&gt;85,("A"),IF(T127&gt;80,("A-"),IF(T127&gt;75,("B+"),IF(T127&gt;70,("B"),IF(T127&gt;65,("B-"),IF(T127&gt;60,("C+"),IF(T127&gt;55,("C"),IF(T127&gt;50,("C-"),"D+"))))))))</f>
        <v>D+</v>
      </c>
      <c r="W127" s="2124"/>
      <c r="X127" s="1238"/>
      <c r="Y127" s="1239"/>
      <c r="Z127" s="1239"/>
      <c r="AA127" s="1239"/>
      <c r="AB127" s="1239"/>
      <c r="AC127" s="1240"/>
      <c r="AD127" s="2158"/>
      <c r="AE127" s="2125"/>
    </row>
    <row r="128" spans="1:31" ht="24.95" customHeight="1" x14ac:dyDescent="0.25">
      <c r="A128" s="1224">
        <v>31</v>
      </c>
      <c r="B128" s="1225"/>
      <c r="C128" s="1209" t="e">
        <f>VLOOKUP(A128,data_siswa,4,FALSE)</f>
        <v>#N/A</v>
      </c>
      <c r="D128" s="2089" t="s">
        <v>11</v>
      </c>
      <c r="E128" s="1672"/>
      <c r="F128" s="1672"/>
      <c r="G128" s="1672"/>
      <c r="H128" s="2069">
        <v>0</v>
      </c>
      <c r="I128" s="2069">
        <v>0</v>
      </c>
      <c r="J128" s="2069">
        <v>0</v>
      </c>
      <c r="K128" s="1672"/>
      <c r="L128" s="1672"/>
      <c r="M128" s="1672"/>
      <c r="N128" s="2027"/>
      <c r="O128" s="2027"/>
      <c r="P128" s="2027"/>
      <c r="Q128" s="2028">
        <f>MAX(E128,H128,K128,N128)</f>
        <v>0</v>
      </c>
      <c r="R128" s="2026">
        <f t="shared" ref="R128:R130" si="209">MAX(F128,I128,L128,O128)</f>
        <v>0</v>
      </c>
      <c r="S128" s="2029">
        <f t="shared" ref="S128:S130" si="210">MAX(G128,J128,M128,P128)</f>
        <v>0</v>
      </c>
      <c r="T128" s="2025">
        <f>IFERROR(AVERAGE(Q128:S128),"")</f>
        <v>0</v>
      </c>
      <c r="U128" s="2121" t="str">
        <f>IF(T128&gt;85,("4"),IF(T128&gt;80,("3.66"),IF(T128&gt;75,("3.33"),IF(T128&gt;70,("3.00"),IF(T128&gt;65,("2.66"),IF(T128&gt;60,("2.33"),IF(T128&gt;55,("2"),IF(T128&gt;50,("1.66"),"1.33"))))))))</f>
        <v>1.33</v>
      </c>
      <c r="V128" s="2121" t="str">
        <f>IF(T128&gt;85,("A"),IF(T128&gt;80,("A-"),IF(T128&gt;75,("B+"),IF(T128&gt;70,("B"),IF(T128&gt;65,("B-"),IF(T128&gt;60,("C+"),IF(T128&gt;55,("C"),IF(T128&gt;50,("C-"),"D+"))))))))</f>
        <v>D+</v>
      </c>
      <c r="W128" s="2121" t="str">
        <f>IF(T128&gt;80,("SB"),IF(T128&gt;65,("B"),IF(T128&gt;50,("C"),IF(T128&gt;0,("K"),"0"))))</f>
        <v>0</v>
      </c>
      <c r="X128" s="1226"/>
      <c r="Y128" s="1226">
        <v>3</v>
      </c>
      <c r="Z128" s="1226"/>
      <c r="AA128" s="1227">
        <v>1</v>
      </c>
      <c r="AB128" s="1227"/>
      <c r="AC128" s="1227"/>
      <c r="AD128" s="2159">
        <f>MAX(T128:T130)</f>
        <v>0</v>
      </c>
      <c r="AE128" s="767" t="str">
        <f>IF(AD128&gt;85,("A"),IF(AD128&gt;80,("A-"),IF(AD128&gt;75,("B+"),IF(AD128&gt;70,("B"),IF(AD128&gt;65,("B-"),IF(AD128&gt;60,("C+"),IF(AD128&gt;55,("C"),IF(AD128&gt;50,("C-"),"D+"))))))))</f>
        <v>D+</v>
      </c>
    </row>
    <row r="129" spans="1:31" ht="24.95" customHeight="1" x14ac:dyDescent="0.25">
      <c r="A129" s="1207"/>
      <c r="B129" s="1208"/>
      <c r="C129" s="1212"/>
      <c r="D129" s="1459" t="s">
        <v>189</v>
      </c>
      <c r="E129" s="1672">
        <v>0</v>
      </c>
      <c r="F129" s="1672">
        <v>0</v>
      </c>
      <c r="G129" s="1672">
        <v>0</v>
      </c>
      <c r="H129" s="2069">
        <v>0</v>
      </c>
      <c r="I129" s="2069">
        <v>0</v>
      </c>
      <c r="J129" s="2069">
        <v>0</v>
      </c>
      <c r="K129" s="1672">
        <v>0</v>
      </c>
      <c r="L129" s="1672">
        <v>0</v>
      </c>
      <c r="M129" s="1672">
        <v>0</v>
      </c>
      <c r="N129" s="2027">
        <v>0</v>
      </c>
      <c r="O129" s="2027">
        <v>0</v>
      </c>
      <c r="P129" s="2027">
        <v>0</v>
      </c>
      <c r="Q129" s="2028">
        <f t="shared" ref="Q129:Q130" si="211">MAX(E129,H129,K129,N129)</f>
        <v>0</v>
      </c>
      <c r="R129" s="2026">
        <f t="shared" si="209"/>
        <v>0</v>
      </c>
      <c r="S129" s="2029">
        <f t="shared" si="210"/>
        <v>0</v>
      </c>
      <c r="T129" s="2025">
        <f t="shared" ref="T129:T130" si="212">IFERROR(AVERAGE(Q129:S129),"")</f>
        <v>0</v>
      </c>
      <c r="U129" s="2122" t="str">
        <f t="shared" ref="U129:U130" si="213">IF(T129&gt;85,("4"),IF(T129&gt;80,("3.66"),IF(T129&gt;75,("3.33"),IF(T129&gt;70,("3.00"),IF(T129&gt;65,("2.66"),IF(T129&gt;60,("2.33"),IF(T129&gt;55,("2"),IF(T129&gt;50,("1.66"),"1.33"))))))))</f>
        <v>1.33</v>
      </c>
      <c r="V129" s="2122" t="str">
        <f t="shared" ref="V129:V130" si="214">IF(T129&gt;85,("A"),IF(T129&gt;80,("A-"),IF(T129&gt;75,("B+"),IF(T129&gt;70,("B"),IF(T129&gt;65,("B-"),IF(T129&gt;60,("C+"),IF(T129&gt;55,("C"),IF(T129&gt;50,("C-"),"D+"))))))))</f>
        <v>D+</v>
      </c>
      <c r="W129" s="2122" t="str">
        <f t="shared" ref="W129:W130" si="215">IF(T129&gt;80,("SB"),IF(T129&gt;65,("B"),IF(T129&gt;50,("C"),IF(T129&gt;0,("K"),"0"))))</f>
        <v>0</v>
      </c>
      <c r="X129" s="1228"/>
      <c r="Y129" s="1229"/>
      <c r="Z129" s="1229"/>
      <c r="AA129" s="1230"/>
      <c r="AB129" s="1230"/>
      <c r="AC129" s="1231"/>
      <c r="AD129" s="2154"/>
      <c r="AE129" s="2155"/>
    </row>
    <row r="130" spans="1:31" ht="24.95" customHeight="1" x14ac:dyDescent="0.25">
      <c r="A130" s="1207"/>
      <c r="B130" s="1208"/>
      <c r="C130" s="1212"/>
      <c r="D130" s="1459" t="s">
        <v>186</v>
      </c>
      <c r="E130" s="1385">
        <v>0</v>
      </c>
      <c r="F130" s="1385">
        <v>0</v>
      </c>
      <c r="G130" s="1385">
        <v>0</v>
      </c>
      <c r="H130" s="2069"/>
      <c r="I130" s="2069"/>
      <c r="J130" s="2069"/>
      <c r="K130" s="1672">
        <v>0</v>
      </c>
      <c r="L130" s="1672">
        <v>0</v>
      </c>
      <c r="M130" s="1672">
        <v>0</v>
      </c>
      <c r="N130" s="2027">
        <v>0</v>
      </c>
      <c r="O130" s="2027">
        <v>0</v>
      </c>
      <c r="P130" s="2027">
        <v>0</v>
      </c>
      <c r="Q130" s="2028">
        <f t="shared" si="211"/>
        <v>0</v>
      </c>
      <c r="R130" s="2026">
        <f t="shared" si="209"/>
        <v>0</v>
      </c>
      <c r="S130" s="2029">
        <f t="shared" si="210"/>
        <v>0</v>
      </c>
      <c r="T130" s="2025">
        <f t="shared" si="212"/>
        <v>0</v>
      </c>
      <c r="U130" s="2122" t="str">
        <f t="shared" si="213"/>
        <v>1.33</v>
      </c>
      <c r="V130" s="2122" t="str">
        <f t="shared" si="214"/>
        <v>D+</v>
      </c>
      <c r="W130" s="2122" t="str">
        <f t="shared" si="215"/>
        <v>0</v>
      </c>
      <c r="X130" s="1232"/>
      <c r="Y130" s="1233"/>
      <c r="Z130" s="1233"/>
      <c r="AA130" s="1234"/>
      <c r="AB130" s="1234"/>
      <c r="AC130" s="1235"/>
      <c r="AD130" s="2156"/>
      <c r="AE130" s="2157"/>
    </row>
    <row r="131" spans="1:31" ht="24.95" customHeight="1" x14ac:dyDescent="0.25">
      <c r="A131" s="1236"/>
      <c r="B131" s="1241">
        <v>31</v>
      </c>
      <c r="C131" s="1220" t="s">
        <v>167</v>
      </c>
      <c r="D131" s="1237"/>
      <c r="E131" s="2687"/>
      <c r="F131" s="2688"/>
      <c r="G131" s="2688"/>
      <c r="H131" s="2688"/>
      <c r="I131" s="2076"/>
      <c r="J131" s="2076"/>
      <c r="K131" s="2076"/>
      <c r="L131" s="2076"/>
      <c r="M131" s="2076"/>
      <c r="N131" s="2076"/>
      <c r="O131" s="2076"/>
      <c r="P131" s="2076"/>
      <c r="Q131" s="2076"/>
      <c r="R131" s="2076"/>
      <c r="S131" s="2076"/>
      <c r="T131" s="2123">
        <f>IFERROR(AVERAGE(T128:T130),"  ")</f>
        <v>0</v>
      </c>
      <c r="U131" s="2124" t="str">
        <f>IF(T131&gt;85,("4"),IF(T131&gt;80,("3.66"),IF(T131&gt;75,("3.33"),IF(T131&gt;70,("3.00"),IF(T131&gt;65,("2.66"),IF(T131&gt;60,("2.33"),IF(T131&gt;55,("2"),IF(T131&gt;50,("1.66"),"1.33"))))))))</f>
        <v>1.33</v>
      </c>
      <c r="V131" s="2124" t="str">
        <f>IF(T131&gt;85,("A"),IF(T131&gt;80,("A-"),IF(T131&gt;75,("B+"),IF(T131&gt;70,("B"),IF(T131&gt;65,("B-"),IF(T131&gt;60,("C+"),IF(T131&gt;55,("C"),IF(T131&gt;50,("C-"),"D+"))))))))</f>
        <v>D+</v>
      </c>
      <c r="W131" s="2124"/>
      <c r="X131" s="1238"/>
      <c r="Y131" s="1239"/>
      <c r="Z131" s="1239"/>
      <c r="AA131" s="1239"/>
      <c r="AB131" s="1239"/>
      <c r="AC131" s="1240"/>
      <c r="AD131" s="2158"/>
      <c r="AE131" s="2125"/>
    </row>
    <row r="132" spans="1:31" ht="24.95" customHeight="1" x14ac:dyDescent="0.25">
      <c r="A132" s="1224">
        <v>32</v>
      </c>
      <c r="B132" s="1225"/>
      <c r="C132" s="1209" t="e">
        <f>VLOOKUP(A132,data_siswa,4,FALSE)</f>
        <v>#N/A</v>
      </c>
      <c r="D132" s="2089" t="s">
        <v>11</v>
      </c>
      <c r="E132" s="1672"/>
      <c r="F132" s="1672"/>
      <c r="G132" s="1672"/>
      <c r="H132" s="2069">
        <v>0</v>
      </c>
      <c r="I132" s="2069">
        <v>0</v>
      </c>
      <c r="J132" s="2069">
        <v>0</v>
      </c>
      <c r="K132" s="1672"/>
      <c r="L132" s="1672"/>
      <c r="M132" s="1672"/>
      <c r="N132" s="2027"/>
      <c r="O132" s="2027"/>
      <c r="P132" s="2027"/>
      <c r="Q132" s="2028">
        <f>MAX(E132,H132,K132,N132)</f>
        <v>0</v>
      </c>
      <c r="R132" s="2026">
        <f t="shared" ref="R132:R134" si="216">MAX(F132,I132,L132,O132)</f>
        <v>0</v>
      </c>
      <c r="S132" s="2029">
        <f t="shared" ref="S132:S134" si="217">MAX(G132,J132,M132,P132)</f>
        <v>0</v>
      </c>
      <c r="T132" s="2025">
        <f>IFERROR(AVERAGE(Q132:S132),"")</f>
        <v>0</v>
      </c>
      <c r="U132" s="2121" t="str">
        <f>IF(T132&gt;85,("4"),IF(T132&gt;80,("3.66"),IF(T132&gt;75,("3.33"),IF(T132&gt;70,("3.00"),IF(T132&gt;65,("2.66"),IF(T132&gt;60,("2.33"),IF(T132&gt;55,("2"),IF(T132&gt;50,("1.66"),"1.33"))))))))</f>
        <v>1.33</v>
      </c>
      <c r="V132" s="2121" t="str">
        <f>IF(T132&gt;85,("A"),IF(T132&gt;80,("A-"),IF(T132&gt;75,("B+"),IF(T132&gt;70,("B"),IF(T132&gt;65,("B-"),IF(T132&gt;60,("C+"),IF(T132&gt;55,("C"),IF(T132&gt;50,("C-"),"D+"))))))))</f>
        <v>D+</v>
      </c>
      <c r="W132" s="2121" t="str">
        <f>IF(T132&gt;80,("SB"),IF(T132&gt;65,("B"),IF(T132&gt;50,("C"),IF(T132&gt;0,("K"),"0"))))</f>
        <v>0</v>
      </c>
      <c r="X132" s="1226"/>
      <c r="Y132" s="1226">
        <v>3</v>
      </c>
      <c r="Z132" s="1226"/>
      <c r="AA132" s="1227">
        <v>1</v>
      </c>
      <c r="AB132" s="1227"/>
      <c r="AC132" s="1227"/>
      <c r="AD132" s="2159">
        <f>MAX(T132:T134)</f>
        <v>0</v>
      </c>
      <c r="AE132" s="767" t="str">
        <f>IF(AD132&gt;85,("A"),IF(AD132&gt;80,("A-"),IF(AD132&gt;75,("B+"),IF(AD132&gt;70,("B"),IF(AD132&gt;65,("B-"),IF(AD132&gt;60,("C+"),IF(AD132&gt;55,("C"),IF(AD132&gt;50,("C-"),"D+"))))))))</f>
        <v>D+</v>
      </c>
    </row>
    <row r="133" spans="1:31" ht="24.95" customHeight="1" x14ac:dyDescent="0.25">
      <c r="A133" s="1207"/>
      <c r="B133" s="1208"/>
      <c r="C133" s="1212"/>
      <c r="D133" s="1459" t="s">
        <v>189</v>
      </c>
      <c r="E133" s="1672">
        <v>0</v>
      </c>
      <c r="F133" s="1672">
        <v>0</v>
      </c>
      <c r="G133" s="1672">
        <v>0</v>
      </c>
      <c r="H133" s="2069">
        <v>0</v>
      </c>
      <c r="I133" s="2069">
        <v>0</v>
      </c>
      <c r="J133" s="2069">
        <v>0</v>
      </c>
      <c r="K133" s="1672">
        <v>0</v>
      </c>
      <c r="L133" s="1672">
        <v>0</v>
      </c>
      <c r="M133" s="1672">
        <v>0</v>
      </c>
      <c r="N133" s="2027">
        <v>0</v>
      </c>
      <c r="O133" s="2027">
        <v>0</v>
      </c>
      <c r="P133" s="2027">
        <v>0</v>
      </c>
      <c r="Q133" s="2028">
        <f t="shared" ref="Q133:Q134" si="218">MAX(E133,H133,K133,N133)</f>
        <v>0</v>
      </c>
      <c r="R133" s="2026">
        <f t="shared" si="216"/>
        <v>0</v>
      </c>
      <c r="S133" s="2029">
        <f t="shared" si="217"/>
        <v>0</v>
      </c>
      <c r="T133" s="2025">
        <f t="shared" ref="T133:T134" si="219">IFERROR(AVERAGE(Q133:S133),"")</f>
        <v>0</v>
      </c>
      <c r="U133" s="2122" t="str">
        <f t="shared" ref="U133:U134" si="220">IF(T133&gt;85,("4"),IF(T133&gt;80,("3.66"),IF(T133&gt;75,("3.33"),IF(T133&gt;70,("3.00"),IF(T133&gt;65,("2.66"),IF(T133&gt;60,("2.33"),IF(T133&gt;55,("2"),IF(T133&gt;50,("1.66"),"1.33"))))))))</f>
        <v>1.33</v>
      </c>
      <c r="V133" s="2122" t="str">
        <f t="shared" ref="V133:V134" si="221">IF(T133&gt;85,("A"),IF(T133&gt;80,("A-"),IF(T133&gt;75,("B+"),IF(T133&gt;70,("B"),IF(T133&gt;65,("B-"),IF(T133&gt;60,("C+"),IF(T133&gt;55,("C"),IF(T133&gt;50,("C-"),"D+"))))))))</f>
        <v>D+</v>
      </c>
      <c r="W133" s="2122" t="str">
        <f t="shared" ref="W133:W134" si="222">IF(T133&gt;80,("SB"),IF(T133&gt;65,("B"),IF(T133&gt;50,("C"),IF(T133&gt;0,("K"),"0"))))</f>
        <v>0</v>
      </c>
      <c r="X133" s="1228"/>
      <c r="Y133" s="1229"/>
      <c r="Z133" s="1229"/>
      <c r="AA133" s="1230"/>
      <c r="AB133" s="1230"/>
      <c r="AC133" s="1231"/>
      <c r="AD133" s="2154"/>
      <c r="AE133" s="2155"/>
    </row>
    <row r="134" spans="1:31" ht="24.95" customHeight="1" x14ac:dyDescent="0.25">
      <c r="A134" s="1207"/>
      <c r="B134" s="1208"/>
      <c r="C134" s="1212"/>
      <c r="D134" s="1459" t="s">
        <v>186</v>
      </c>
      <c r="E134" s="1385">
        <v>0</v>
      </c>
      <c r="F134" s="1385">
        <v>0</v>
      </c>
      <c r="G134" s="1385">
        <v>0</v>
      </c>
      <c r="H134" s="2069"/>
      <c r="I134" s="2069"/>
      <c r="J134" s="2069"/>
      <c r="K134" s="1672">
        <v>0</v>
      </c>
      <c r="L134" s="1672">
        <v>0</v>
      </c>
      <c r="M134" s="1672">
        <v>0</v>
      </c>
      <c r="N134" s="2027">
        <v>0</v>
      </c>
      <c r="O134" s="2027">
        <v>0</v>
      </c>
      <c r="P134" s="2027">
        <v>0</v>
      </c>
      <c r="Q134" s="2028">
        <f t="shared" si="218"/>
        <v>0</v>
      </c>
      <c r="R134" s="2026">
        <f t="shared" si="216"/>
        <v>0</v>
      </c>
      <c r="S134" s="2029">
        <f t="shared" si="217"/>
        <v>0</v>
      </c>
      <c r="T134" s="2025">
        <f t="shared" si="219"/>
        <v>0</v>
      </c>
      <c r="U134" s="2122" t="str">
        <f t="shared" si="220"/>
        <v>1.33</v>
      </c>
      <c r="V134" s="2122" t="str">
        <f t="shared" si="221"/>
        <v>D+</v>
      </c>
      <c r="W134" s="2122" t="str">
        <f t="shared" si="222"/>
        <v>0</v>
      </c>
      <c r="X134" s="1232"/>
      <c r="Y134" s="1233"/>
      <c r="Z134" s="1233"/>
      <c r="AA134" s="1234"/>
      <c r="AB134" s="1234"/>
      <c r="AC134" s="1235"/>
      <c r="AD134" s="2156"/>
      <c r="AE134" s="2157"/>
    </row>
    <row r="135" spans="1:31" ht="24.95" customHeight="1" x14ac:dyDescent="0.25">
      <c r="A135" s="1236"/>
      <c r="B135" s="1241">
        <v>32</v>
      </c>
      <c r="C135" s="1220" t="s">
        <v>167</v>
      </c>
      <c r="D135" s="1237"/>
      <c r="E135" s="2687"/>
      <c r="F135" s="2688"/>
      <c r="G135" s="2688"/>
      <c r="H135" s="2688"/>
      <c r="I135" s="2076"/>
      <c r="J135" s="2076"/>
      <c r="K135" s="2076"/>
      <c r="L135" s="2076"/>
      <c r="M135" s="2076"/>
      <c r="N135" s="2076"/>
      <c r="O135" s="2076"/>
      <c r="P135" s="2076"/>
      <c r="Q135" s="2076"/>
      <c r="R135" s="2076"/>
      <c r="S135" s="2076"/>
      <c r="T135" s="2123">
        <f>IFERROR(AVERAGE(T132:T134),"  ")</f>
        <v>0</v>
      </c>
      <c r="U135" s="2124" t="str">
        <f>IF(T135&gt;85,("4"),IF(T135&gt;80,("3.66"),IF(T135&gt;75,("3.33"),IF(T135&gt;70,("3.00"),IF(T135&gt;65,("2.66"),IF(T135&gt;60,("2.33"),IF(T135&gt;55,("2"),IF(T135&gt;50,("1.66"),"1.33"))))))))</f>
        <v>1.33</v>
      </c>
      <c r="V135" s="2124" t="str">
        <f>IF(T135&gt;85,("A"),IF(T135&gt;80,("A-"),IF(T135&gt;75,("B+"),IF(T135&gt;70,("B"),IF(T135&gt;65,("B-"),IF(T135&gt;60,("C+"),IF(T135&gt;55,("C"),IF(T135&gt;50,("C-"),"D+"))))))))</f>
        <v>D+</v>
      </c>
      <c r="W135" s="2124"/>
      <c r="X135" s="1238"/>
      <c r="Y135" s="1239"/>
      <c r="Z135" s="1239"/>
      <c r="AA135" s="1239"/>
      <c r="AB135" s="1239"/>
      <c r="AC135" s="1240"/>
      <c r="AD135" s="2158"/>
      <c r="AE135" s="2125"/>
    </row>
    <row r="136" spans="1:31" ht="24.95" customHeight="1" x14ac:dyDescent="0.25">
      <c r="A136" s="1224">
        <v>33</v>
      </c>
      <c r="B136" s="1225"/>
      <c r="C136" s="1209" t="e">
        <f>VLOOKUP(A136,data_siswa,4,FALSE)</f>
        <v>#N/A</v>
      </c>
      <c r="D136" s="2089" t="s">
        <v>11</v>
      </c>
      <c r="E136" s="1672"/>
      <c r="F136" s="1672"/>
      <c r="G136" s="1672"/>
      <c r="H136" s="2069">
        <v>0</v>
      </c>
      <c r="I136" s="2069">
        <v>0</v>
      </c>
      <c r="J136" s="2069">
        <v>0</v>
      </c>
      <c r="K136" s="1672"/>
      <c r="L136" s="1672"/>
      <c r="M136" s="1672"/>
      <c r="N136" s="2027"/>
      <c r="O136" s="2027"/>
      <c r="P136" s="2027"/>
      <c r="Q136" s="2028">
        <f>MAX(E136,H136,K136,N136)</f>
        <v>0</v>
      </c>
      <c r="R136" s="2026">
        <f t="shared" ref="R136:R138" si="223">MAX(F136,I136,L136,O136)</f>
        <v>0</v>
      </c>
      <c r="S136" s="2029">
        <f t="shared" ref="S136:S138" si="224">MAX(G136,J136,M136,P136)</f>
        <v>0</v>
      </c>
      <c r="T136" s="2025">
        <f>IFERROR(AVERAGE(Q136:S136),"")</f>
        <v>0</v>
      </c>
      <c r="U136" s="2121" t="str">
        <f>IF(T136&gt;85,("4"),IF(T136&gt;80,("3.66"),IF(T136&gt;75,("3.33"),IF(T136&gt;70,("3.00"),IF(T136&gt;65,("2.66"),IF(T136&gt;60,("2.33"),IF(T136&gt;55,("2"),IF(T136&gt;50,("1.66"),"1.33"))))))))</f>
        <v>1.33</v>
      </c>
      <c r="V136" s="2121" t="str">
        <f>IF(T136&gt;85,("A"),IF(T136&gt;80,("A-"),IF(T136&gt;75,("B+"),IF(T136&gt;70,("B"),IF(T136&gt;65,("B-"),IF(T136&gt;60,("C+"),IF(T136&gt;55,("C"),IF(T136&gt;50,("C-"),"D+"))))))))</f>
        <v>D+</v>
      </c>
      <c r="W136" s="2121" t="str">
        <f>IF(T136&gt;80,("SB"),IF(T136&gt;65,("B"),IF(T136&gt;50,("C"),IF(T136&gt;0,("K"),"0"))))</f>
        <v>0</v>
      </c>
      <c r="X136" s="1226"/>
      <c r="Y136" s="1226">
        <v>3</v>
      </c>
      <c r="Z136" s="1226"/>
      <c r="AA136" s="1227">
        <v>1</v>
      </c>
      <c r="AB136" s="1227"/>
      <c r="AC136" s="1227"/>
      <c r="AD136" s="2159">
        <f>MAX(T136:T138)</f>
        <v>0</v>
      </c>
      <c r="AE136" s="767" t="str">
        <f>IF(AD136&gt;85,("A"),IF(AD136&gt;80,("A-"),IF(AD136&gt;75,("B+"),IF(AD136&gt;70,("B"),IF(AD136&gt;65,("B-"),IF(AD136&gt;60,("C+"),IF(AD136&gt;55,("C"),IF(AD136&gt;50,("C-"),"D+"))))))))</f>
        <v>D+</v>
      </c>
    </row>
    <row r="137" spans="1:31" ht="24.95" customHeight="1" x14ac:dyDescent="0.25">
      <c r="A137" s="1207"/>
      <c r="B137" s="1208"/>
      <c r="C137" s="1212"/>
      <c r="D137" s="1459" t="s">
        <v>189</v>
      </c>
      <c r="E137" s="1672">
        <v>0</v>
      </c>
      <c r="F137" s="1672">
        <v>0</v>
      </c>
      <c r="G137" s="1672">
        <v>0</v>
      </c>
      <c r="H137" s="2069">
        <v>0</v>
      </c>
      <c r="I137" s="2069">
        <v>0</v>
      </c>
      <c r="J137" s="2069">
        <v>0</v>
      </c>
      <c r="K137" s="1672">
        <v>0</v>
      </c>
      <c r="L137" s="1672">
        <v>0</v>
      </c>
      <c r="M137" s="1672">
        <v>0</v>
      </c>
      <c r="N137" s="2027">
        <v>0</v>
      </c>
      <c r="O137" s="2027">
        <v>0</v>
      </c>
      <c r="P137" s="2027">
        <v>0</v>
      </c>
      <c r="Q137" s="2028">
        <f t="shared" ref="Q137:Q138" si="225">MAX(E137,H137,K137,N137)</f>
        <v>0</v>
      </c>
      <c r="R137" s="2026">
        <f t="shared" si="223"/>
        <v>0</v>
      </c>
      <c r="S137" s="2029">
        <f t="shared" si="224"/>
        <v>0</v>
      </c>
      <c r="T137" s="2025">
        <f t="shared" ref="T137:T138" si="226">IFERROR(AVERAGE(Q137:S137),"")</f>
        <v>0</v>
      </c>
      <c r="U137" s="2122" t="str">
        <f t="shared" ref="U137:U138" si="227">IF(T137&gt;85,("4"),IF(T137&gt;80,("3.66"),IF(T137&gt;75,("3.33"),IF(T137&gt;70,("3.00"),IF(T137&gt;65,("2.66"),IF(T137&gt;60,("2.33"),IF(T137&gt;55,("2"),IF(T137&gt;50,("1.66"),"1.33"))))))))</f>
        <v>1.33</v>
      </c>
      <c r="V137" s="2122" t="str">
        <f t="shared" ref="V137:V138" si="228">IF(T137&gt;85,("A"),IF(T137&gt;80,("A-"),IF(T137&gt;75,("B+"),IF(T137&gt;70,("B"),IF(T137&gt;65,("B-"),IF(T137&gt;60,("C+"),IF(T137&gt;55,("C"),IF(T137&gt;50,("C-"),"D+"))))))))</f>
        <v>D+</v>
      </c>
      <c r="W137" s="2122" t="str">
        <f t="shared" ref="W137:W138" si="229">IF(T137&gt;80,("SB"),IF(T137&gt;65,("B"),IF(T137&gt;50,("C"),IF(T137&gt;0,("K"),"0"))))</f>
        <v>0</v>
      </c>
      <c r="X137" s="1228"/>
      <c r="Y137" s="1229"/>
      <c r="Z137" s="1229"/>
      <c r="AA137" s="1230"/>
      <c r="AB137" s="1230"/>
      <c r="AC137" s="1231"/>
      <c r="AD137" s="2154"/>
      <c r="AE137" s="2155"/>
    </row>
    <row r="138" spans="1:31" ht="24.95" customHeight="1" x14ac:dyDescent="0.25">
      <c r="A138" s="1207"/>
      <c r="B138" s="1208"/>
      <c r="C138" s="1212"/>
      <c r="D138" s="1459" t="s">
        <v>186</v>
      </c>
      <c r="E138" s="1385">
        <v>0</v>
      </c>
      <c r="F138" s="1385">
        <v>0</v>
      </c>
      <c r="G138" s="1385">
        <v>0</v>
      </c>
      <c r="H138" s="2069"/>
      <c r="I138" s="2069"/>
      <c r="J138" s="2069"/>
      <c r="K138" s="1672">
        <v>0</v>
      </c>
      <c r="L138" s="1672">
        <v>0</v>
      </c>
      <c r="M138" s="1672">
        <v>0</v>
      </c>
      <c r="N138" s="2027">
        <v>0</v>
      </c>
      <c r="O138" s="2027">
        <v>0</v>
      </c>
      <c r="P138" s="2027">
        <v>0</v>
      </c>
      <c r="Q138" s="2028">
        <f t="shared" si="225"/>
        <v>0</v>
      </c>
      <c r="R138" s="2026">
        <f t="shared" si="223"/>
        <v>0</v>
      </c>
      <c r="S138" s="2029">
        <f t="shared" si="224"/>
        <v>0</v>
      </c>
      <c r="T138" s="2025">
        <f t="shared" si="226"/>
        <v>0</v>
      </c>
      <c r="U138" s="2122" t="str">
        <f t="shared" si="227"/>
        <v>1.33</v>
      </c>
      <c r="V138" s="2122" t="str">
        <f t="shared" si="228"/>
        <v>D+</v>
      </c>
      <c r="W138" s="2122" t="str">
        <f t="shared" si="229"/>
        <v>0</v>
      </c>
      <c r="X138" s="1232"/>
      <c r="Y138" s="1233"/>
      <c r="Z138" s="1233"/>
      <c r="AA138" s="1234"/>
      <c r="AB138" s="1234"/>
      <c r="AC138" s="1235"/>
      <c r="AD138" s="2156"/>
      <c r="AE138" s="2157"/>
    </row>
    <row r="139" spans="1:31" ht="24.95" customHeight="1" x14ac:dyDescent="0.25">
      <c r="A139" s="1236"/>
      <c r="B139" s="1241">
        <v>33</v>
      </c>
      <c r="C139" s="1220" t="s">
        <v>167</v>
      </c>
      <c r="D139" s="1237"/>
      <c r="E139" s="2687"/>
      <c r="F139" s="2688"/>
      <c r="G139" s="2688"/>
      <c r="H139" s="2688"/>
      <c r="I139" s="2076"/>
      <c r="J139" s="2076"/>
      <c r="K139" s="2076"/>
      <c r="L139" s="2076"/>
      <c r="M139" s="2076"/>
      <c r="N139" s="2076"/>
      <c r="O139" s="2076"/>
      <c r="P139" s="2076"/>
      <c r="Q139" s="2076"/>
      <c r="R139" s="2076"/>
      <c r="S139" s="2076"/>
      <c r="T139" s="2123">
        <f>IFERROR(AVERAGE(T136:T138),"  ")</f>
        <v>0</v>
      </c>
      <c r="U139" s="2124" t="str">
        <f>IF(T139&gt;85,("4"),IF(T139&gt;80,("3.66"),IF(T139&gt;75,("3.33"),IF(T139&gt;70,("3.00"),IF(T139&gt;65,("2.66"),IF(T139&gt;60,("2.33"),IF(T139&gt;55,("2"),IF(T139&gt;50,("1.66"),"1.33"))))))))</f>
        <v>1.33</v>
      </c>
      <c r="V139" s="2124" t="str">
        <f>IF(T139&gt;85,("A"),IF(T139&gt;80,("A-"),IF(T139&gt;75,("B+"),IF(T139&gt;70,("B"),IF(T139&gt;65,("B-"),IF(T139&gt;60,("C+"),IF(T139&gt;55,("C"),IF(T139&gt;50,("C-"),"D+"))))))))</f>
        <v>D+</v>
      </c>
      <c r="W139" s="2124"/>
      <c r="X139" s="1238"/>
      <c r="Y139" s="1239"/>
      <c r="Z139" s="1239"/>
      <c r="AA139" s="1239"/>
      <c r="AB139" s="1239"/>
      <c r="AC139" s="1240"/>
      <c r="AD139" s="2158"/>
      <c r="AE139" s="2125"/>
    </row>
    <row r="140" spans="1:31" ht="24.95" customHeight="1" x14ac:dyDescent="0.25">
      <c r="A140" s="1224">
        <v>34</v>
      </c>
      <c r="B140" s="1225"/>
      <c r="C140" s="1209" t="e">
        <f>VLOOKUP(A140,data_siswa,4,FALSE)</f>
        <v>#N/A</v>
      </c>
      <c r="D140" s="2089" t="s">
        <v>11</v>
      </c>
      <c r="E140" s="1672"/>
      <c r="F140" s="1672"/>
      <c r="G140" s="1672"/>
      <c r="H140" s="2069">
        <v>0</v>
      </c>
      <c r="I140" s="2069">
        <v>0</v>
      </c>
      <c r="J140" s="2069">
        <v>0</v>
      </c>
      <c r="K140" s="1672"/>
      <c r="L140" s="1672"/>
      <c r="M140" s="1672"/>
      <c r="N140" s="2027"/>
      <c r="O140" s="2027"/>
      <c r="P140" s="2027"/>
      <c r="Q140" s="2028">
        <f>MAX(E140,H140,K140,N140)</f>
        <v>0</v>
      </c>
      <c r="R140" s="2026">
        <f t="shared" ref="R140:R142" si="230">MAX(F140,I140,L140,O140)</f>
        <v>0</v>
      </c>
      <c r="S140" s="2029">
        <f t="shared" ref="S140:S142" si="231">MAX(G140,J140,M140,P140)</f>
        <v>0</v>
      </c>
      <c r="T140" s="2025">
        <f>IFERROR(AVERAGE(Q140:S140),"")</f>
        <v>0</v>
      </c>
      <c r="U140" s="2121" t="str">
        <f>IF(T140&gt;85,("4"),IF(T140&gt;80,("3.66"),IF(T140&gt;75,("3.33"),IF(T140&gt;70,("3.00"),IF(T140&gt;65,("2.66"),IF(T140&gt;60,("2.33"),IF(T140&gt;55,("2"),IF(T140&gt;50,("1.66"),"1.33"))))))))</f>
        <v>1.33</v>
      </c>
      <c r="V140" s="2121" t="str">
        <f>IF(T140&gt;85,("A"),IF(T140&gt;80,("A-"),IF(T140&gt;75,("B+"),IF(T140&gt;70,("B"),IF(T140&gt;65,("B-"),IF(T140&gt;60,("C+"),IF(T140&gt;55,("C"),IF(T140&gt;50,("C-"),"D+"))))))))</f>
        <v>D+</v>
      </c>
      <c r="W140" s="2121" t="str">
        <f>IF(T140&gt;80,("SB"),IF(T140&gt;65,("B"),IF(T140&gt;50,("C"),IF(T140&gt;0,("K"),"0"))))</f>
        <v>0</v>
      </c>
      <c r="X140" s="1226"/>
      <c r="Y140" s="1226">
        <v>3</v>
      </c>
      <c r="Z140" s="1226"/>
      <c r="AA140" s="1227">
        <v>1</v>
      </c>
      <c r="AB140" s="1227"/>
      <c r="AC140" s="1227"/>
      <c r="AD140" s="2159">
        <f>MAX(T140:T142)</f>
        <v>0</v>
      </c>
      <c r="AE140" s="767" t="str">
        <f>IF(AD140&gt;85,("A"),IF(AD140&gt;80,("A-"),IF(AD140&gt;75,("B+"),IF(AD140&gt;70,("B"),IF(AD140&gt;65,("B-"),IF(AD140&gt;60,("C+"),IF(AD140&gt;55,("C"),IF(AD140&gt;50,("C-"),"D+"))))))))</f>
        <v>D+</v>
      </c>
    </row>
    <row r="141" spans="1:31" ht="24.95" customHeight="1" x14ac:dyDescent="0.25">
      <c r="A141" s="1207"/>
      <c r="B141" s="1208"/>
      <c r="C141" s="1212"/>
      <c r="D141" s="1459" t="s">
        <v>189</v>
      </c>
      <c r="E141" s="1672">
        <v>0</v>
      </c>
      <c r="F141" s="1672">
        <v>0</v>
      </c>
      <c r="G141" s="1672">
        <v>0</v>
      </c>
      <c r="H141" s="2069">
        <v>0</v>
      </c>
      <c r="I141" s="2069">
        <v>0</v>
      </c>
      <c r="J141" s="2069">
        <v>0</v>
      </c>
      <c r="K141" s="1672">
        <v>0</v>
      </c>
      <c r="L141" s="1672">
        <v>0</v>
      </c>
      <c r="M141" s="1672">
        <v>0</v>
      </c>
      <c r="N141" s="2027">
        <v>0</v>
      </c>
      <c r="O141" s="2027">
        <v>0</v>
      </c>
      <c r="P141" s="2027">
        <v>0</v>
      </c>
      <c r="Q141" s="2028">
        <f t="shared" ref="Q141:Q142" si="232">MAX(E141,H141,K141,N141)</f>
        <v>0</v>
      </c>
      <c r="R141" s="2026">
        <f t="shared" si="230"/>
        <v>0</v>
      </c>
      <c r="S141" s="2029">
        <f t="shared" si="231"/>
        <v>0</v>
      </c>
      <c r="T141" s="2025">
        <f t="shared" ref="T141:T142" si="233">IFERROR(AVERAGE(Q141:S141),"")</f>
        <v>0</v>
      </c>
      <c r="U141" s="2122" t="str">
        <f t="shared" ref="U141:U142" si="234">IF(T141&gt;85,("4"),IF(T141&gt;80,("3.66"),IF(T141&gt;75,("3.33"),IF(T141&gt;70,("3.00"),IF(T141&gt;65,("2.66"),IF(T141&gt;60,("2.33"),IF(T141&gt;55,("2"),IF(T141&gt;50,("1.66"),"1.33"))))))))</f>
        <v>1.33</v>
      </c>
      <c r="V141" s="2122" t="str">
        <f t="shared" ref="V141:V142" si="235">IF(T141&gt;85,("A"),IF(T141&gt;80,("A-"),IF(T141&gt;75,("B+"),IF(T141&gt;70,("B"),IF(T141&gt;65,("B-"),IF(T141&gt;60,("C+"),IF(T141&gt;55,("C"),IF(T141&gt;50,("C-"),"D+"))))))))</f>
        <v>D+</v>
      </c>
      <c r="W141" s="2122" t="str">
        <f t="shared" ref="W141:W142" si="236">IF(T141&gt;80,("SB"),IF(T141&gt;65,("B"),IF(T141&gt;50,("C"),IF(T141&gt;0,("K"),"0"))))</f>
        <v>0</v>
      </c>
      <c r="X141" s="1228"/>
      <c r="Y141" s="1229"/>
      <c r="Z141" s="1229"/>
      <c r="AA141" s="1230"/>
      <c r="AB141" s="1230"/>
      <c r="AC141" s="1231"/>
      <c r="AD141" s="2154"/>
      <c r="AE141" s="2155"/>
    </row>
    <row r="142" spans="1:31" ht="24.95" customHeight="1" x14ac:dyDescent="0.25">
      <c r="A142" s="1207"/>
      <c r="B142" s="1208"/>
      <c r="C142" s="1212"/>
      <c r="D142" s="1459" t="s">
        <v>186</v>
      </c>
      <c r="E142" s="1385">
        <v>0</v>
      </c>
      <c r="F142" s="1385">
        <v>0</v>
      </c>
      <c r="G142" s="1385">
        <v>0</v>
      </c>
      <c r="H142" s="2069"/>
      <c r="I142" s="2069"/>
      <c r="J142" s="2069"/>
      <c r="K142" s="1672">
        <v>0</v>
      </c>
      <c r="L142" s="1672">
        <v>0</v>
      </c>
      <c r="M142" s="1672">
        <v>0</v>
      </c>
      <c r="N142" s="2027">
        <v>0</v>
      </c>
      <c r="O142" s="2027">
        <v>0</v>
      </c>
      <c r="P142" s="2027">
        <v>0</v>
      </c>
      <c r="Q142" s="2028">
        <f t="shared" si="232"/>
        <v>0</v>
      </c>
      <c r="R142" s="2026">
        <f t="shared" si="230"/>
        <v>0</v>
      </c>
      <c r="S142" s="2029">
        <f t="shared" si="231"/>
        <v>0</v>
      </c>
      <c r="T142" s="2025">
        <f t="shared" si="233"/>
        <v>0</v>
      </c>
      <c r="U142" s="2122" t="str">
        <f t="shared" si="234"/>
        <v>1.33</v>
      </c>
      <c r="V142" s="2122" t="str">
        <f t="shared" si="235"/>
        <v>D+</v>
      </c>
      <c r="W142" s="2122" t="str">
        <f t="shared" si="236"/>
        <v>0</v>
      </c>
      <c r="X142" s="1232"/>
      <c r="Y142" s="1233"/>
      <c r="Z142" s="1233"/>
      <c r="AA142" s="1234"/>
      <c r="AB142" s="1234"/>
      <c r="AC142" s="1235"/>
      <c r="AD142" s="2156"/>
      <c r="AE142" s="2157"/>
    </row>
    <row r="143" spans="1:31" ht="24.95" customHeight="1" x14ac:dyDescent="0.25">
      <c r="A143" s="1236"/>
      <c r="B143" s="1241">
        <v>34</v>
      </c>
      <c r="C143" s="1220" t="s">
        <v>167</v>
      </c>
      <c r="D143" s="1237"/>
      <c r="E143" s="2687"/>
      <c r="F143" s="2688"/>
      <c r="G143" s="2688"/>
      <c r="H143" s="2688"/>
      <c r="I143" s="2076"/>
      <c r="J143" s="2076"/>
      <c r="K143" s="2076"/>
      <c r="L143" s="2076"/>
      <c r="M143" s="2076"/>
      <c r="N143" s="2076"/>
      <c r="O143" s="2076"/>
      <c r="P143" s="2076"/>
      <c r="Q143" s="2076"/>
      <c r="R143" s="2076"/>
      <c r="S143" s="2076"/>
      <c r="T143" s="2123">
        <f>IFERROR(AVERAGE(T140:T142),"  ")</f>
        <v>0</v>
      </c>
      <c r="U143" s="2124" t="str">
        <f>IF(T143&gt;85,("4"),IF(T143&gt;80,("3.66"),IF(T143&gt;75,("3.33"),IF(T143&gt;70,("3.00"),IF(T143&gt;65,("2.66"),IF(T143&gt;60,("2.33"),IF(T143&gt;55,("2"),IF(T143&gt;50,("1.66"),"1.33"))))))))</f>
        <v>1.33</v>
      </c>
      <c r="V143" s="2124" t="str">
        <f>IF(T143&gt;85,("A"),IF(T143&gt;80,("A-"),IF(T143&gt;75,("B+"),IF(T143&gt;70,("B"),IF(T143&gt;65,("B-"),IF(T143&gt;60,("C+"),IF(T143&gt;55,("C"),IF(T143&gt;50,("C-"),"D+"))))))))</f>
        <v>D+</v>
      </c>
      <c r="W143" s="2124"/>
      <c r="X143" s="1238"/>
      <c r="Y143" s="1239"/>
      <c r="Z143" s="1239"/>
      <c r="AA143" s="1239"/>
      <c r="AB143" s="1239"/>
      <c r="AC143" s="1240"/>
      <c r="AD143" s="2158"/>
      <c r="AE143" s="2125"/>
    </row>
    <row r="144" spans="1:31" ht="24.95" customHeight="1" x14ac:dyDescent="0.25">
      <c r="A144" s="1224">
        <v>35</v>
      </c>
      <c r="B144" s="1225"/>
      <c r="C144" s="1209" t="e">
        <f>VLOOKUP(A144,data_siswa,4,FALSE)</f>
        <v>#N/A</v>
      </c>
      <c r="D144" s="2089" t="s">
        <v>11</v>
      </c>
      <c r="E144" s="1672"/>
      <c r="F144" s="1672"/>
      <c r="G144" s="1672"/>
      <c r="H144" s="2069">
        <v>0</v>
      </c>
      <c r="I144" s="2069">
        <v>0</v>
      </c>
      <c r="J144" s="2069">
        <v>0</v>
      </c>
      <c r="K144" s="1672"/>
      <c r="L144" s="1672"/>
      <c r="M144" s="1672"/>
      <c r="N144" s="2027"/>
      <c r="O144" s="2027"/>
      <c r="P144" s="2027"/>
      <c r="Q144" s="2028">
        <f>MAX(E144,H144,K144,N144)</f>
        <v>0</v>
      </c>
      <c r="R144" s="2026">
        <f t="shared" ref="R144:R146" si="237">MAX(F144,I144,L144,O144)</f>
        <v>0</v>
      </c>
      <c r="S144" s="2029">
        <f t="shared" ref="S144:S146" si="238">MAX(G144,J144,M144,P144)</f>
        <v>0</v>
      </c>
      <c r="T144" s="2025">
        <f>IFERROR(AVERAGE(Q144:S144),"")</f>
        <v>0</v>
      </c>
      <c r="U144" s="2121" t="str">
        <f>IF(T144&gt;85,("4"),IF(T144&gt;80,("3.66"),IF(T144&gt;75,("3.33"),IF(T144&gt;70,("3.00"),IF(T144&gt;65,("2.66"),IF(T144&gt;60,("2.33"),IF(T144&gt;55,("2"),IF(T144&gt;50,("1.66"),"1.33"))))))))</f>
        <v>1.33</v>
      </c>
      <c r="V144" s="2121" t="str">
        <f>IF(T144&gt;85,("A"),IF(T144&gt;80,("A-"),IF(T144&gt;75,("B+"),IF(T144&gt;70,("B"),IF(T144&gt;65,("B-"),IF(T144&gt;60,("C+"),IF(T144&gt;55,("C"),IF(T144&gt;50,("C-"),"D+"))))))))</f>
        <v>D+</v>
      </c>
      <c r="W144" s="2121" t="str">
        <f>IF(T144&gt;80,("SB"),IF(T144&gt;65,("B"),IF(T144&gt;50,("C"),IF(T144&gt;0,("K"),"0"))))</f>
        <v>0</v>
      </c>
      <c r="X144" s="1226"/>
      <c r="Y144" s="1226">
        <v>3</v>
      </c>
      <c r="Z144" s="1226"/>
      <c r="AA144" s="1227">
        <v>1</v>
      </c>
      <c r="AB144" s="1227"/>
      <c r="AC144" s="1227"/>
      <c r="AD144" s="2159">
        <f>MAX(T144:T146)</f>
        <v>0</v>
      </c>
      <c r="AE144" s="767" t="str">
        <f>IF(AD144&gt;85,("A"),IF(AD144&gt;80,("A-"),IF(AD144&gt;75,("B+"),IF(AD144&gt;70,("B"),IF(AD144&gt;65,("B-"),IF(AD144&gt;60,("C+"),IF(AD144&gt;55,("C"),IF(AD144&gt;50,("C-"),"D+"))))))))</f>
        <v>D+</v>
      </c>
    </row>
    <row r="145" spans="1:31" ht="24.95" customHeight="1" x14ac:dyDescent="0.25">
      <c r="A145" s="1207"/>
      <c r="B145" s="1208"/>
      <c r="C145" s="1212"/>
      <c r="D145" s="1459" t="s">
        <v>189</v>
      </c>
      <c r="E145" s="1672">
        <v>0</v>
      </c>
      <c r="F145" s="1672">
        <v>0</v>
      </c>
      <c r="G145" s="1672">
        <v>0</v>
      </c>
      <c r="H145" s="2069">
        <v>0</v>
      </c>
      <c r="I145" s="2069">
        <v>0</v>
      </c>
      <c r="J145" s="2069">
        <v>0</v>
      </c>
      <c r="K145" s="1672">
        <v>0</v>
      </c>
      <c r="L145" s="1672">
        <v>0</v>
      </c>
      <c r="M145" s="1672">
        <v>0</v>
      </c>
      <c r="N145" s="2027">
        <v>0</v>
      </c>
      <c r="O145" s="2027">
        <v>0</v>
      </c>
      <c r="P145" s="2027">
        <v>0</v>
      </c>
      <c r="Q145" s="2028">
        <f t="shared" ref="Q145:Q146" si="239">MAX(E145,H145,K145,N145)</f>
        <v>0</v>
      </c>
      <c r="R145" s="2026">
        <f t="shared" si="237"/>
        <v>0</v>
      </c>
      <c r="S145" s="2029">
        <f t="shared" si="238"/>
        <v>0</v>
      </c>
      <c r="T145" s="2025">
        <f t="shared" ref="T145:T146" si="240">IFERROR(AVERAGE(Q145:S145),"")</f>
        <v>0</v>
      </c>
      <c r="U145" s="2122" t="str">
        <f t="shared" ref="U145:U146" si="241">IF(T145&gt;85,("4"),IF(T145&gt;80,("3.66"),IF(T145&gt;75,("3.33"),IF(T145&gt;70,("3.00"),IF(T145&gt;65,("2.66"),IF(T145&gt;60,("2.33"),IF(T145&gt;55,("2"),IF(T145&gt;50,("1.66"),"1.33"))))))))</f>
        <v>1.33</v>
      </c>
      <c r="V145" s="2122" t="str">
        <f t="shared" ref="V145:V146" si="242">IF(T145&gt;85,("A"),IF(T145&gt;80,("A-"),IF(T145&gt;75,("B+"),IF(T145&gt;70,("B"),IF(T145&gt;65,("B-"),IF(T145&gt;60,("C+"),IF(T145&gt;55,("C"),IF(T145&gt;50,("C-"),"D+"))))))))</f>
        <v>D+</v>
      </c>
      <c r="W145" s="2122" t="str">
        <f t="shared" ref="W145:W146" si="243">IF(T145&gt;80,("SB"),IF(T145&gt;65,("B"),IF(T145&gt;50,("C"),IF(T145&gt;0,("K"),"0"))))</f>
        <v>0</v>
      </c>
      <c r="X145" s="1228"/>
      <c r="Y145" s="1229"/>
      <c r="Z145" s="1229"/>
      <c r="AA145" s="1230"/>
      <c r="AB145" s="1230"/>
      <c r="AC145" s="1231"/>
      <c r="AD145" s="2154"/>
      <c r="AE145" s="2155"/>
    </row>
    <row r="146" spans="1:31" ht="24.95" customHeight="1" x14ac:dyDescent="0.25">
      <c r="A146" s="1207"/>
      <c r="B146" s="1208"/>
      <c r="C146" s="1212"/>
      <c r="D146" s="1459" t="s">
        <v>186</v>
      </c>
      <c r="E146" s="1385">
        <v>0</v>
      </c>
      <c r="F146" s="1385">
        <v>0</v>
      </c>
      <c r="G146" s="1385">
        <v>0</v>
      </c>
      <c r="H146" s="2069"/>
      <c r="I146" s="2069"/>
      <c r="J146" s="2069"/>
      <c r="K146" s="1672">
        <v>0</v>
      </c>
      <c r="L146" s="1672">
        <v>0</v>
      </c>
      <c r="M146" s="1672">
        <v>0</v>
      </c>
      <c r="N146" s="2027">
        <v>0</v>
      </c>
      <c r="O146" s="2027">
        <v>0</v>
      </c>
      <c r="P146" s="2027">
        <v>0</v>
      </c>
      <c r="Q146" s="2028">
        <f t="shared" si="239"/>
        <v>0</v>
      </c>
      <c r="R146" s="2026">
        <f t="shared" si="237"/>
        <v>0</v>
      </c>
      <c r="S146" s="2029">
        <f t="shared" si="238"/>
        <v>0</v>
      </c>
      <c r="T146" s="2025">
        <f t="shared" si="240"/>
        <v>0</v>
      </c>
      <c r="U146" s="2122" t="str">
        <f t="shared" si="241"/>
        <v>1.33</v>
      </c>
      <c r="V146" s="2122" t="str">
        <f t="shared" si="242"/>
        <v>D+</v>
      </c>
      <c r="W146" s="2122" t="str">
        <f t="shared" si="243"/>
        <v>0</v>
      </c>
      <c r="X146" s="1232"/>
      <c r="Y146" s="1233"/>
      <c r="Z146" s="1233"/>
      <c r="AA146" s="1234"/>
      <c r="AB146" s="1234"/>
      <c r="AC146" s="1235"/>
      <c r="AD146" s="2156"/>
      <c r="AE146" s="2157"/>
    </row>
    <row r="147" spans="1:31" ht="24.95" customHeight="1" x14ac:dyDescent="0.25">
      <c r="A147" s="1236"/>
      <c r="B147" s="1241">
        <v>35</v>
      </c>
      <c r="C147" s="1220" t="s">
        <v>167</v>
      </c>
      <c r="D147" s="1237"/>
      <c r="E147" s="2687"/>
      <c r="F147" s="2688"/>
      <c r="G147" s="2688"/>
      <c r="H147" s="2688"/>
      <c r="I147" s="2076"/>
      <c r="J147" s="2076"/>
      <c r="K147" s="2076"/>
      <c r="L147" s="2076"/>
      <c r="M147" s="2076"/>
      <c r="N147" s="2076"/>
      <c r="O147" s="2076"/>
      <c r="P147" s="2076"/>
      <c r="Q147" s="2076"/>
      <c r="R147" s="2076"/>
      <c r="S147" s="2076"/>
      <c r="T147" s="2123">
        <f>IFERROR(AVERAGE(T144:T146),"  ")</f>
        <v>0</v>
      </c>
      <c r="U147" s="2124" t="str">
        <f>IF(T147&gt;85,("4"),IF(T147&gt;80,("3.66"),IF(T147&gt;75,("3.33"),IF(T147&gt;70,("3.00"),IF(T147&gt;65,("2.66"),IF(T147&gt;60,("2.33"),IF(T147&gt;55,("2"),IF(T147&gt;50,("1.66"),"1.33"))))))))</f>
        <v>1.33</v>
      </c>
      <c r="V147" s="2124" t="str">
        <f>IF(T147&gt;85,("A"),IF(T147&gt;80,("A-"),IF(T147&gt;75,("B+"),IF(T147&gt;70,("B"),IF(T147&gt;65,("B-"),IF(T147&gt;60,("C+"),IF(T147&gt;55,("C"),IF(T147&gt;50,("C-"),"D+"))))))))</f>
        <v>D+</v>
      </c>
      <c r="W147" s="2124"/>
      <c r="X147" s="1238"/>
      <c r="Y147" s="1239"/>
      <c r="Z147" s="1239"/>
      <c r="AA147" s="1239"/>
      <c r="AB147" s="1239"/>
      <c r="AC147" s="1240"/>
      <c r="AD147" s="2158"/>
      <c r="AE147" s="2125"/>
    </row>
    <row r="148" spans="1:31" ht="24.95" customHeight="1" x14ac:dyDescent="0.25">
      <c r="A148" s="1224">
        <v>36</v>
      </c>
      <c r="B148" s="1225"/>
      <c r="C148" s="1209" t="e">
        <f>VLOOKUP(A148,data_siswa,4,FALSE)</f>
        <v>#N/A</v>
      </c>
      <c r="D148" s="2089" t="s">
        <v>11</v>
      </c>
      <c r="E148" s="1672"/>
      <c r="F148" s="1672"/>
      <c r="G148" s="1672"/>
      <c r="H148" s="2069">
        <v>0</v>
      </c>
      <c r="I148" s="2069">
        <v>0</v>
      </c>
      <c r="J148" s="2069">
        <v>0</v>
      </c>
      <c r="K148" s="1672"/>
      <c r="L148" s="1672"/>
      <c r="M148" s="1672"/>
      <c r="N148" s="2027"/>
      <c r="O148" s="2027"/>
      <c r="P148" s="2027"/>
      <c r="Q148" s="2028">
        <f>MAX(E148,H148,K148,N148)</f>
        <v>0</v>
      </c>
      <c r="R148" s="2026">
        <f t="shared" ref="R148:R150" si="244">MAX(F148,I148,L148,O148)</f>
        <v>0</v>
      </c>
      <c r="S148" s="2029">
        <f t="shared" ref="S148:S150" si="245">MAX(G148,J148,M148,P148)</f>
        <v>0</v>
      </c>
      <c r="T148" s="2025">
        <f>IFERROR(AVERAGE(Q148:S148),"")</f>
        <v>0</v>
      </c>
      <c r="U148" s="2121" t="str">
        <f>IF(T148&gt;85,("4"),IF(T148&gt;80,("3.66"),IF(T148&gt;75,("3.33"),IF(T148&gt;70,("3.00"),IF(T148&gt;65,("2.66"),IF(T148&gt;60,("2.33"),IF(T148&gt;55,("2"),IF(T148&gt;50,("1.66"),"1.33"))))))))</f>
        <v>1.33</v>
      </c>
      <c r="V148" s="2121" t="str">
        <f>IF(T148&gt;85,("A"),IF(T148&gt;80,("A-"),IF(T148&gt;75,("B+"),IF(T148&gt;70,("B"),IF(T148&gt;65,("B-"),IF(T148&gt;60,("C+"),IF(T148&gt;55,("C"),IF(T148&gt;50,("C-"),"D+"))))))))</f>
        <v>D+</v>
      </c>
      <c r="W148" s="2121" t="str">
        <f>IF(T148&gt;80,("SB"),IF(T148&gt;65,("B"),IF(T148&gt;50,("C"),IF(T148&gt;0,("K"),"0"))))</f>
        <v>0</v>
      </c>
      <c r="X148" s="1226"/>
      <c r="Y148" s="1226">
        <v>3</v>
      </c>
      <c r="Z148" s="1226"/>
      <c r="AA148" s="1227">
        <v>1</v>
      </c>
      <c r="AB148" s="1227"/>
      <c r="AC148" s="1227"/>
      <c r="AD148" s="2159">
        <f>MAX(T148:T150)</f>
        <v>0</v>
      </c>
      <c r="AE148" s="767" t="str">
        <f>IF(AD148&gt;85,("A"),IF(AD148&gt;80,("A-"),IF(AD148&gt;75,("B+"),IF(AD148&gt;70,("B"),IF(AD148&gt;65,("B-"),IF(AD148&gt;60,("C+"),IF(AD148&gt;55,("C"),IF(AD148&gt;50,("C-"),"D+"))))))))</f>
        <v>D+</v>
      </c>
    </row>
    <row r="149" spans="1:31" ht="24.95" customHeight="1" x14ac:dyDescent="0.25">
      <c r="A149" s="1207"/>
      <c r="B149" s="1208"/>
      <c r="C149" s="1212"/>
      <c r="D149" s="1459" t="s">
        <v>189</v>
      </c>
      <c r="E149" s="1672">
        <v>0</v>
      </c>
      <c r="F149" s="1672">
        <v>0</v>
      </c>
      <c r="G149" s="1672">
        <v>0</v>
      </c>
      <c r="H149" s="2069">
        <v>0</v>
      </c>
      <c r="I149" s="2069">
        <v>0</v>
      </c>
      <c r="J149" s="2069">
        <v>0</v>
      </c>
      <c r="K149" s="1672">
        <v>0</v>
      </c>
      <c r="L149" s="1672">
        <v>0</v>
      </c>
      <c r="M149" s="1672">
        <v>0</v>
      </c>
      <c r="N149" s="2027">
        <v>0</v>
      </c>
      <c r="O149" s="2027">
        <v>0</v>
      </c>
      <c r="P149" s="2027">
        <v>0</v>
      </c>
      <c r="Q149" s="2028">
        <f t="shared" ref="Q149:Q150" si="246">MAX(E149,H149,K149,N149)</f>
        <v>0</v>
      </c>
      <c r="R149" s="2026">
        <f t="shared" si="244"/>
        <v>0</v>
      </c>
      <c r="S149" s="2029">
        <f t="shared" si="245"/>
        <v>0</v>
      </c>
      <c r="T149" s="2025">
        <f t="shared" ref="T149:T150" si="247">IFERROR(AVERAGE(Q149:S149),"")</f>
        <v>0</v>
      </c>
      <c r="U149" s="2122" t="str">
        <f t="shared" ref="U149:U150" si="248">IF(T149&gt;85,("4"),IF(T149&gt;80,("3.66"),IF(T149&gt;75,("3.33"),IF(T149&gt;70,("3.00"),IF(T149&gt;65,("2.66"),IF(T149&gt;60,("2.33"),IF(T149&gt;55,("2"),IF(T149&gt;50,("1.66"),"1.33"))))))))</f>
        <v>1.33</v>
      </c>
      <c r="V149" s="2122" t="str">
        <f t="shared" ref="V149:V150" si="249">IF(T149&gt;85,("A"),IF(T149&gt;80,("A-"),IF(T149&gt;75,("B+"),IF(T149&gt;70,("B"),IF(T149&gt;65,("B-"),IF(T149&gt;60,("C+"),IF(T149&gt;55,("C"),IF(T149&gt;50,("C-"),"D+"))))))))</f>
        <v>D+</v>
      </c>
      <c r="W149" s="2122" t="str">
        <f t="shared" ref="W149:W150" si="250">IF(T149&gt;80,("SB"),IF(T149&gt;65,("B"),IF(T149&gt;50,("C"),IF(T149&gt;0,("K"),"0"))))</f>
        <v>0</v>
      </c>
      <c r="X149" s="1228"/>
      <c r="Y149" s="1229"/>
      <c r="Z149" s="1229"/>
      <c r="AA149" s="1230"/>
      <c r="AB149" s="1230"/>
      <c r="AC149" s="1231"/>
      <c r="AD149" s="2154"/>
      <c r="AE149" s="2155"/>
    </row>
    <row r="150" spans="1:31" ht="24.95" customHeight="1" x14ac:dyDescent="0.25">
      <c r="A150" s="1207"/>
      <c r="B150" s="1208"/>
      <c r="C150" s="1212"/>
      <c r="D150" s="1459" t="s">
        <v>186</v>
      </c>
      <c r="E150" s="1385">
        <v>0</v>
      </c>
      <c r="F150" s="1385">
        <v>0</v>
      </c>
      <c r="G150" s="1385">
        <v>0</v>
      </c>
      <c r="H150" s="2069"/>
      <c r="I150" s="2069"/>
      <c r="J150" s="2069"/>
      <c r="K150" s="1672">
        <v>0</v>
      </c>
      <c r="L150" s="1672">
        <v>0</v>
      </c>
      <c r="M150" s="1672">
        <v>0</v>
      </c>
      <c r="N150" s="2027">
        <v>0</v>
      </c>
      <c r="O150" s="2027">
        <v>0</v>
      </c>
      <c r="P150" s="2027">
        <v>0</v>
      </c>
      <c r="Q150" s="2028">
        <f t="shared" si="246"/>
        <v>0</v>
      </c>
      <c r="R150" s="2026">
        <f t="shared" si="244"/>
        <v>0</v>
      </c>
      <c r="S150" s="2029">
        <f t="shared" si="245"/>
        <v>0</v>
      </c>
      <c r="T150" s="2025">
        <f t="shared" si="247"/>
        <v>0</v>
      </c>
      <c r="U150" s="2122" t="str">
        <f t="shared" si="248"/>
        <v>1.33</v>
      </c>
      <c r="V150" s="2122" t="str">
        <f t="shared" si="249"/>
        <v>D+</v>
      </c>
      <c r="W150" s="2122" t="str">
        <f t="shared" si="250"/>
        <v>0</v>
      </c>
      <c r="X150" s="1232"/>
      <c r="Y150" s="1233"/>
      <c r="Z150" s="1233"/>
      <c r="AA150" s="1234"/>
      <c r="AB150" s="1234"/>
      <c r="AC150" s="1235"/>
      <c r="AD150" s="2156"/>
      <c r="AE150" s="2157"/>
    </row>
    <row r="151" spans="1:31" ht="24.95" customHeight="1" x14ac:dyDescent="0.25">
      <c r="A151" s="1236"/>
      <c r="B151" s="1241">
        <v>36</v>
      </c>
      <c r="C151" s="1220" t="s">
        <v>167</v>
      </c>
      <c r="D151" s="1237"/>
      <c r="E151" s="2687"/>
      <c r="F151" s="2688"/>
      <c r="G151" s="2688"/>
      <c r="H151" s="2688"/>
      <c r="I151" s="2076"/>
      <c r="J151" s="2076"/>
      <c r="K151" s="2076"/>
      <c r="L151" s="2076"/>
      <c r="M151" s="2076"/>
      <c r="N151" s="2076"/>
      <c r="O151" s="2076"/>
      <c r="P151" s="2076"/>
      <c r="Q151" s="2076"/>
      <c r="R151" s="2076"/>
      <c r="S151" s="2076"/>
      <c r="T151" s="2123">
        <f>IFERROR(AVERAGE(T148:T150),"  ")</f>
        <v>0</v>
      </c>
      <c r="U151" s="2124" t="str">
        <f>IF(T151&gt;85,("4"),IF(T151&gt;80,("3.66"),IF(T151&gt;75,("3.33"),IF(T151&gt;70,("3.00"),IF(T151&gt;65,("2.66"),IF(T151&gt;60,("2.33"),IF(T151&gt;55,("2"),IF(T151&gt;50,("1.66"),"1.33"))))))))</f>
        <v>1.33</v>
      </c>
      <c r="V151" s="2124" t="str">
        <f>IF(T151&gt;85,("A"),IF(T151&gt;80,("A-"),IF(T151&gt;75,("B+"),IF(T151&gt;70,("B"),IF(T151&gt;65,("B-"),IF(T151&gt;60,("C+"),IF(T151&gt;55,("C"),IF(T151&gt;50,("C-"),"D+"))))))))</f>
        <v>D+</v>
      </c>
      <c r="W151" s="2124"/>
      <c r="X151" s="1238"/>
      <c r="Y151" s="1239"/>
      <c r="Z151" s="1239"/>
      <c r="AA151" s="1239"/>
      <c r="AB151" s="1239"/>
      <c r="AC151" s="1240"/>
      <c r="AD151" s="2158"/>
      <c r="AE151" s="2125"/>
    </row>
    <row r="152" spans="1:31" ht="24.95" customHeight="1" x14ac:dyDescent="0.25">
      <c r="A152" s="1224">
        <v>37</v>
      </c>
      <c r="B152" s="1225"/>
      <c r="C152" s="1209" t="e">
        <f>VLOOKUP(A152,data_siswa,4,FALSE)</f>
        <v>#N/A</v>
      </c>
      <c r="D152" s="2089" t="s">
        <v>11</v>
      </c>
      <c r="E152" s="1672"/>
      <c r="F152" s="1672"/>
      <c r="G152" s="1672"/>
      <c r="H152" s="2069">
        <v>0</v>
      </c>
      <c r="I152" s="2069">
        <v>0</v>
      </c>
      <c r="J152" s="2069">
        <v>0</v>
      </c>
      <c r="K152" s="1672"/>
      <c r="L152" s="1672"/>
      <c r="M152" s="1672"/>
      <c r="N152" s="2027"/>
      <c r="O152" s="2027"/>
      <c r="P152" s="2027"/>
      <c r="Q152" s="2028">
        <f>MAX(E152,H152,K152,N152)</f>
        <v>0</v>
      </c>
      <c r="R152" s="2026">
        <f t="shared" ref="R152:R154" si="251">MAX(F152,I152,L152,O152)</f>
        <v>0</v>
      </c>
      <c r="S152" s="2029">
        <f t="shared" ref="S152:S154" si="252">MAX(G152,J152,M152,P152)</f>
        <v>0</v>
      </c>
      <c r="T152" s="2025">
        <f>IFERROR(AVERAGE(Q152:S152),"")</f>
        <v>0</v>
      </c>
      <c r="U152" s="2121" t="str">
        <f>IF(T152&gt;85,("4"),IF(T152&gt;80,("3.66"),IF(T152&gt;75,("3.33"),IF(T152&gt;70,("3.00"),IF(T152&gt;65,("2.66"),IF(T152&gt;60,("2.33"),IF(T152&gt;55,("2"),IF(T152&gt;50,("1.66"),"1.33"))))))))</f>
        <v>1.33</v>
      </c>
      <c r="V152" s="2121" t="str">
        <f>IF(T152&gt;85,("A"),IF(T152&gt;80,("A-"),IF(T152&gt;75,("B+"),IF(T152&gt;70,("B"),IF(T152&gt;65,("B-"),IF(T152&gt;60,("C+"),IF(T152&gt;55,("C"),IF(T152&gt;50,("C-"),"D+"))))))))</f>
        <v>D+</v>
      </c>
      <c r="W152" s="2121" t="str">
        <f>IF(T152&gt;80,("SB"),IF(T152&gt;65,("B"),IF(T152&gt;50,("C"),IF(T152&gt;0,("K"),"0"))))</f>
        <v>0</v>
      </c>
      <c r="X152" s="1226"/>
      <c r="Y152" s="1226">
        <v>3</v>
      </c>
      <c r="Z152" s="1226"/>
      <c r="AA152" s="1227">
        <v>1</v>
      </c>
      <c r="AB152" s="1227"/>
      <c r="AC152" s="1227"/>
      <c r="AD152" s="2159">
        <f>MAX(T152:T154)</f>
        <v>0</v>
      </c>
      <c r="AE152" s="767" t="str">
        <f>IF(AD152&gt;85,("A"),IF(AD152&gt;80,("A-"),IF(AD152&gt;75,("B+"),IF(AD152&gt;70,("B"),IF(AD152&gt;65,("B-"),IF(AD152&gt;60,("C+"),IF(AD152&gt;55,("C"),IF(AD152&gt;50,("C-"),"D+"))))))))</f>
        <v>D+</v>
      </c>
    </row>
    <row r="153" spans="1:31" ht="24.95" customHeight="1" x14ac:dyDescent="0.25">
      <c r="A153" s="1207"/>
      <c r="B153" s="1208"/>
      <c r="C153" s="1212"/>
      <c r="D153" s="1459" t="s">
        <v>189</v>
      </c>
      <c r="E153" s="1672">
        <v>0</v>
      </c>
      <c r="F153" s="1672">
        <v>0</v>
      </c>
      <c r="G153" s="1672">
        <v>0</v>
      </c>
      <c r="H153" s="2069">
        <v>0</v>
      </c>
      <c r="I153" s="2069">
        <v>0</v>
      </c>
      <c r="J153" s="2069">
        <v>0</v>
      </c>
      <c r="K153" s="1672">
        <v>0</v>
      </c>
      <c r="L153" s="1672">
        <v>0</v>
      </c>
      <c r="M153" s="1672">
        <v>0</v>
      </c>
      <c r="N153" s="2027">
        <v>0</v>
      </c>
      <c r="O153" s="2027">
        <v>0</v>
      </c>
      <c r="P153" s="2027">
        <v>0</v>
      </c>
      <c r="Q153" s="2028">
        <f t="shared" ref="Q153:Q154" si="253">MAX(E153,H153,K153,N153)</f>
        <v>0</v>
      </c>
      <c r="R153" s="2026">
        <f t="shared" si="251"/>
        <v>0</v>
      </c>
      <c r="S153" s="2029">
        <f t="shared" si="252"/>
        <v>0</v>
      </c>
      <c r="T153" s="2025">
        <f t="shared" ref="T153:T154" si="254">IFERROR(AVERAGE(Q153:S153),"")</f>
        <v>0</v>
      </c>
      <c r="U153" s="2122" t="str">
        <f t="shared" ref="U153:U154" si="255">IF(T153&gt;85,("4"),IF(T153&gt;80,("3.66"),IF(T153&gt;75,("3.33"),IF(T153&gt;70,("3.00"),IF(T153&gt;65,("2.66"),IF(T153&gt;60,("2.33"),IF(T153&gt;55,("2"),IF(T153&gt;50,("1.66"),"1.33"))))))))</f>
        <v>1.33</v>
      </c>
      <c r="V153" s="2122" t="str">
        <f t="shared" ref="V153:V154" si="256">IF(T153&gt;85,("A"),IF(T153&gt;80,("A-"),IF(T153&gt;75,("B+"),IF(T153&gt;70,("B"),IF(T153&gt;65,("B-"),IF(T153&gt;60,("C+"),IF(T153&gt;55,("C"),IF(T153&gt;50,("C-"),"D+"))))))))</f>
        <v>D+</v>
      </c>
      <c r="W153" s="2122" t="str">
        <f t="shared" ref="W153:W154" si="257">IF(T153&gt;80,("SB"),IF(T153&gt;65,("B"),IF(T153&gt;50,("C"),IF(T153&gt;0,("K"),"0"))))</f>
        <v>0</v>
      </c>
      <c r="X153" s="1228"/>
      <c r="Y153" s="1229"/>
      <c r="Z153" s="1229"/>
      <c r="AA153" s="1230"/>
      <c r="AB153" s="1230"/>
      <c r="AC153" s="1231"/>
      <c r="AD153" s="2154"/>
      <c r="AE153" s="2155"/>
    </row>
    <row r="154" spans="1:31" ht="24.95" customHeight="1" x14ac:dyDescent="0.25">
      <c r="A154" s="1207"/>
      <c r="B154" s="1208"/>
      <c r="C154" s="1212"/>
      <c r="D154" s="1459" t="s">
        <v>186</v>
      </c>
      <c r="E154" s="1385">
        <v>0</v>
      </c>
      <c r="F154" s="1385">
        <v>0</v>
      </c>
      <c r="G154" s="1385">
        <v>0</v>
      </c>
      <c r="H154" s="2069"/>
      <c r="I154" s="2069"/>
      <c r="J154" s="2069"/>
      <c r="K154" s="1672">
        <v>0</v>
      </c>
      <c r="L154" s="1672">
        <v>0</v>
      </c>
      <c r="M154" s="1672">
        <v>0</v>
      </c>
      <c r="N154" s="2027">
        <v>0</v>
      </c>
      <c r="O154" s="2027">
        <v>0</v>
      </c>
      <c r="P154" s="2027">
        <v>0</v>
      </c>
      <c r="Q154" s="2028">
        <f t="shared" si="253"/>
        <v>0</v>
      </c>
      <c r="R154" s="2026">
        <f t="shared" si="251"/>
        <v>0</v>
      </c>
      <c r="S154" s="2029">
        <f t="shared" si="252"/>
        <v>0</v>
      </c>
      <c r="T154" s="2025">
        <f t="shared" si="254"/>
        <v>0</v>
      </c>
      <c r="U154" s="2122" t="str">
        <f t="shared" si="255"/>
        <v>1.33</v>
      </c>
      <c r="V154" s="2122" t="str">
        <f t="shared" si="256"/>
        <v>D+</v>
      </c>
      <c r="W154" s="2122" t="str">
        <f t="shared" si="257"/>
        <v>0</v>
      </c>
      <c r="X154" s="1232"/>
      <c r="Y154" s="1233"/>
      <c r="Z154" s="1233"/>
      <c r="AA154" s="1234"/>
      <c r="AB154" s="1234"/>
      <c r="AC154" s="1235"/>
      <c r="AD154" s="2156"/>
      <c r="AE154" s="2157"/>
    </row>
    <row r="155" spans="1:31" ht="24.95" customHeight="1" x14ac:dyDescent="0.25">
      <c r="A155" s="1236"/>
      <c r="B155" s="1241">
        <v>37</v>
      </c>
      <c r="C155" s="1243"/>
      <c r="D155" s="1237"/>
      <c r="E155" s="2687"/>
      <c r="F155" s="2688"/>
      <c r="G155" s="2688"/>
      <c r="H155" s="2688"/>
      <c r="I155" s="2076"/>
      <c r="J155" s="2076"/>
      <c r="K155" s="2076"/>
      <c r="L155" s="2076"/>
      <c r="M155" s="2076"/>
      <c r="N155" s="2076"/>
      <c r="O155" s="2076"/>
      <c r="P155" s="2076"/>
      <c r="Q155" s="2076"/>
      <c r="R155" s="2076"/>
      <c r="S155" s="2076"/>
      <c r="T155" s="2123">
        <f>IFERROR(AVERAGE(T152:T154),"  ")</f>
        <v>0</v>
      </c>
      <c r="U155" s="2124" t="str">
        <f>IF(T155&gt;85,("4"),IF(T155&gt;80,("3.66"),IF(T155&gt;75,("3.33"),IF(T155&gt;70,("3.00"),IF(T155&gt;65,("2.66"),IF(T155&gt;60,("2.33"),IF(T155&gt;55,("2"),IF(T155&gt;50,("1.66"),"1.33"))))))))</f>
        <v>1.33</v>
      </c>
      <c r="V155" s="2124" t="str">
        <f>IF(T155&gt;85,("A"),IF(T155&gt;80,("A-"),IF(T155&gt;75,("B+"),IF(T155&gt;70,("B"),IF(T155&gt;65,("B-"),IF(T155&gt;60,("C+"),IF(T155&gt;55,("C"),IF(T155&gt;50,("C-"),"D+"))))))))</f>
        <v>D+</v>
      </c>
      <c r="W155" s="2124"/>
      <c r="X155" s="1238"/>
      <c r="Y155" s="1239"/>
      <c r="Z155" s="1239"/>
      <c r="AA155" s="1239"/>
      <c r="AB155" s="1239"/>
      <c r="AC155" s="1240"/>
      <c r="AD155" s="2158"/>
      <c r="AE155" s="2125"/>
    </row>
    <row r="156" spans="1:31" ht="24.95" customHeight="1" x14ac:dyDescent="0.25">
      <c r="A156" s="1224">
        <v>38</v>
      </c>
      <c r="B156" s="1225"/>
      <c r="C156" s="1209" t="e">
        <f>VLOOKUP(A156,data_siswa,4,FALSE)</f>
        <v>#N/A</v>
      </c>
      <c r="D156" s="2089" t="s">
        <v>11</v>
      </c>
      <c r="E156" s="1672"/>
      <c r="F156" s="1672"/>
      <c r="G156" s="1672"/>
      <c r="H156" s="2069">
        <v>0</v>
      </c>
      <c r="I156" s="2069">
        <v>0</v>
      </c>
      <c r="J156" s="2069">
        <v>0</v>
      </c>
      <c r="K156" s="1672"/>
      <c r="L156" s="1672"/>
      <c r="M156" s="1672"/>
      <c r="N156" s="2027"/>
      <c r="O156" s="2027"/>
      <c r="P156" s="2027"/>
      <c r="Q156" s="2028">
        <f>MAX(E156,H156,K156,N156)</f>
        <v>0</v>
      </c>
      <c r="R156" s="2026">
        <f t="shared" ref="R156:R158" si="258">MAX(F156,I156,L156,O156)</f>
        <v>0</v>
      </c>
      <c r="S156" s="2029">
        <f t="shared" ref="S156:S158" si="259">MAX(G156,J156,M156,P156)</f>
        <v>0</v>
      </c>
      <c r="T156" s="2025">
        <f>IFERROR(AVERAGE(Q156:S156),"")</f>
        <v>0</v>
      </c>
      <c r="U156" s="2121" t="str">
        <f>IF(T156&gt;85,("4"),IF(T156&gt;80,("3.66"),IF(T156&gt;75,("3.33"),IF(T156&gt;70,("3.00"),IF(T156&gt;65,("2.66"),IF(T156&gt;60,("2.33"),IF(T156&gt;55,("2"),IF(T156&gt;50,("1.66"),"1.33"))))))))</f>
        <v>1.33</v>
      </c>
      <c r="V156" s="2121" t="str">
        <f>IF(T156&gt;85,("A"),IF(T156&gt;80,("A-"),IF(T156&gt;75,("B+"),IF(T156&gt;70,("B"),IF(T156&gt;65,("B-"),IF(T156&gt;60,("C+"),IF(T156&gt;55,("C"),IF(T156&gt;50,("C-"),"D+"))))))))</f>
        <v>D+</v>
      </c>
      <c r="W156" s="2121" t="str">
        <f>IF(T156&gt;80,("SB"),IF(T156&gt;65,("B"),IF(T156&gt;50,("C"),IF(T156&gt;0,("K"),"0"))))</f>
        <v>0</v>
      </c>
      <c r="X156" s="1226"/>
      <c r="Y156" s="1226">
        <v>3</v>
      </c>
      <c r="Z156" s="1226"/>
      <c r="AA156" s="1227">
        <v>1</v>
      </c>
      <c r="AB156" s="1227"/>
      <c r="AC156" s="1227"/>
      <c r="AD156" s="2159">
        <f>MAX(T156:T158)</f>
        <v>0</v>
      </c>
      <c r="AE156" s="767" t="str">
        <f>IF(AD156&gt;85,("A"),IF(AD156&gt;80,("A-"),IF(AD156&gt;75,("B+"),IF(AD156&gt;70,("B"),IF(AD156&gt;65,("B-"),IF(AD156&gt;60,("C+"),IF(AD156&gt;55,("C"),IF(AD156&gt;50,("C-"),"D+"))))))))</f>
        <v>D+</v>
      </c>
    </row>
    <row r="157" spans="1:31" ht="24.95" customHeight="1" x14ac:dyDescent="0.25">
      <c r="A157" s="1207"/>
      <c r="B157" s="1208"/>
      <c r="C157" s="1212"/>
      <c r="D157" s="1459" t="s">
        <v>189</v>
      </c>
      <c r="E157" s="1672">
        <v>0</v>
      </c>
      <c r="F157" s="1672">
        <v>0</v>
      </c>
      <c r="G157" s="1672">
        <v>0</v>
      </c>
      <c r="H157" s="2069">
        <v>0</v>
      </c>
      <c r="I157" s="2069">
        <v>0</v>
      </c>
      <c r="J157" s="2069">
        <v>0</v>
      </c>
      <c r="K157" s="1672">
        <v>0</v>
      </c>
      <c r="L157" s="1672">
        <v>0</v>
      </c>
      <c r="M157" s="1672">
        <v>0</v>
      </c>
      <c r="N157" s="2027">
        <v>0</v>
      </c>
      <c r="O157" s="2027">
        <v>0</v>
      </c>
      <c r="P157" s="2027">
        <v>0</v>
      </c>
      <c r="Q157" s="2028">
        <f t="shared" ref="Q157:Q158" si="260">MAX(E157,H157,K157,N157)</f>
        <v>0</v>
      </c>
      <c r="R157" s="2026">
        <f t="shared" si="258"/>
        <v>0</v>
      </c>
      <c r="S157" s="2029">
        <f t="shared" si="259"/>
        <v>0</v>
      </c>
      <c r="T157" s="2025">
        <f t="shared" ref="T157:T158" si="261">IFERROR(AVERAGE(Q157:S157),"")</f>
        <v>0</v>
      </c>
      <c r="U157" s="2122" t="str">
        <f t="shared" ref="U157:U158" si="262">IF(T157&gt;85,("4"),IF(T157&gt;80,("3.66"),IF(T157&gt;75,("3.33"),IF(T157&gt;70,("3.00"),IF(T157&gt;65,("2.66"),IF(T157&gt;60,("2.33"),IF(T157&gt;55,("2"),IF(T157&gt;50,("1.66"),"1.33"))))))))</f>
        <v>1.33</v>
      </c>
      <c r="V157" s="2122" t="str">
        <f t="shared" ref="V157:V158" si="263">IF(T157&gt;85,("A"),IF(T157&gt;80,("A-"),IF(T157&gt;75,("B+"),IF(T157&gt;70,("B"),IF(T157&gt;65,("B-"),IF(T157&gt;60,("C+"),IF(T157&gt;55,("C"),IF(T157&gt;50,("C-"),"D+"))))))))</f>
        <v>D+</v>
      </c>
      <c r="W157" s="2122" t="str">
        <f t="shared" ref="W157:W158" si="264">IF(T157&gt;80,("SB"),IF(T157&gt;65,("B"),IF(T157&gt;50,("C"),IF(T157&gt;0,("K"),"0"))))</f>
        <v>0</v>
      </c>
      <c r="X157" s="1228"/>
      <c r="Y157" s="1229"/>
      <c r="Z157" s="1229"/>
      <c r="AA157" s="1230"/>
      <c r="AB157" s="1230"/>
      <c r="AC157" s="1231"/>
      <c r="AD157" s="2154"/>
      <c r="AE157" s="2155"/>
    </row>
    <row r="158" spans="1:31" ht="24.95" customHeight="1" x14ac:dyDescent="0.25">
      <c r="A158" s="1207"/>
      <c r="B158" s="1208"/>
      <c r="C158" s="1212"/>
      <c r="D158" s="1459" t="s">
        <v>186</v>
      </c>
      <c r="E158" s="1385">
        <v>0</v>
      </c>
      <c r="F158" s="1385">
        <v>0</v>
      </c>
      <c r="G158" s="1385">
        <v>0</v>
      </c>
      <c r="H158" s="2069"/>
      <c r="I158" s="2069"/>
      <c r="J158" s="2069"/>
      <c r="K158" s="1672">
        <v>0</v>
      </c>
      <c r="L158" s="1672">
        <v>0</v>
      </c>
      <c r="M158" s="1672">
        <v>0</v>
      </c>
      <c r="N158" s="2027">
        <v>0</v>
      </c>
      <c r="O158" s="2027">
        <v>0</v>
      </c>
      <c r="P158" s="2027">
        <v>0</v>
      </c>
      <c r="Q158" s="2028">
        <f t="shared" si="260"/>
        <v>0</v>
      </c>
      <c r="R158" s="2026">
        <f t="shared" si="258"/>
        <v>0</v>
      </c>
      <c r="S158" s="2029">
        <f t="shared" si="259"/>
        <v>0</v>
      </c>
      <c r="T158" s="2025">
        <f t="shared" si="261"/>
        <v>0</v>
      </c>
      <c r="U158" s="2122" t="str">
        <f t="shared" si="262"/>
        <v>1.33</v>
      </c>
      <c r="V158" s="2122" t="str">
        <f t="shared" si="263"/>
        <v>D+</v>
      </c>
      <c r="W158" s="2122" t="str">
        <f t="shared" si="264"/>
        <v>0</v>
      </c>
      <c r="X158" s="1232"/>
      <c r="Y158" s="1233"/>
      <c r="Z158" s="1233"/>
      <c r="AA158" s="1234"/>
      <c r="AB158" s="1234"/>
      <c r="AC158" s="1235"/>
      <c r="AD158" s="2156"/>
      <c r="AE158" s="2157"/>
    </row>
    <row r="159" spans="1:31" ht="24.95" customHeight="1" x14ac:dyDescent="0.25">
      <c r="A159" s="1236"/>
      <c r="B159" s="1241">
        <v>38</v>
      </c>
      <c r="C159" s="1220" t="s">
        <v>167</v>
      </c>
      <c r="D159" s="1237"/>
      <c r="E159" s="2687"/>
      <c r="F159" s="2688"/>
      <c r="G159" s="2688"/>
      <c r="H159" s="2688"/>
      <c r="I159" s="2076"/>
      <c r="J159" s="2076"/>
      <c r="K159" s="2076"/>
      <c r="L159" s="2076"/>
      <c r="M159" s="2076"/>
      <c r="N159" s="2076"/>
      <c r="O159" s="2076"/>
      <c r="P159" s="2076"/>
      <c r="Q159" s="2076"/>
      <c r="R159" s="2076"/>
      <c r="S159" s="2076"/>
      <c r="T159" s="2123">
        <f>IFERROR(AVERAGE(T156:T158),"  ")</f>
        <v>0</v>
      </c>
      <c r="U159" s="2124" t="str">
        <f>IF(T159&gt;85,("4"),IF(T159&gt;80,("3.66"),IF(T159&gt;75,("3.33"),IF(T159&gt;70,("3.00"),IF(T159&gt;65,("2.66"),IF(T159&gt;60,("2.33"),IF(T159&gt;55,("2"),IF(T159&gt;50,("1.66"),"1.33"))))))))</f>
        <v>1.33</v>
      </c>
      <c r="V159" s="2124" t="str">
        <f>IF(T159&gt;85,("A"),IF(T159&gt;80,("A-"),IF(T159&gt;75,("B+"),IF(T159&gt;70,("B"),IF(T159&gt;65,("B-"),IF(T159&gt;60,("C+"),IF(T159&gt;55,("C"),IF(T159&gt;50,("C-"),"D+"))))))))</f>
        <v>D+</v>
      </c>
      <c r="W159" s="2124"/>
      <c r="X159" s="1238"/>
      <c r="Y159" s="1239"/>
      <c r="Z159" s="1239"/>
      <c r="AA159" s="1239"/>
      <c r="AB159" s="1239"/>
      <c r="AC159" s="1240"/>
      <c r="AD159" s="2158"/>
      <c r="AE159" s="2125"/>
    </row>
    <row r="160" spans="1:31" ht="24.95" customHeight="1" x14ac:dyDescent="0.25">
      <c r="A160" s="1224">
        <v>39</v>
      </c>
      <c r="B160" s="1225"/>
      <c r="C160" s="1209" t="e">
        <f>VLOOKUP(A160,data_siswa,4,FALSE)</f>
        <v>#N/A</v>
      </c>
      <c r="D160" s="2089" t="s">
        <v>11</v>
      </c>
      <c r="E160" s="1672"/>
      <c r="F160" s="1672"/>
      <c r="G160" s="1672"/>
      <c r="H160" s="2069">
        <v>0</v>
      </c>
      <c r="I160" s="2069">
        <v>0</v>
      </c>
      <c r="J160" s="2069">
        <v>0</v>
      </c>
      <c r="K160" s="1672"/>
      <c r="L160" s="1672"/>
      <c r="M160" s="1672"/>
      <c r="N160" s="2027"/>
      <c r="O160" s="2027"/>
      <c r="P160" s="2027"/>
      <c r="Q160" s="2028">
        <f>MAX(E160,H160,K160,N160)</f>
        <v>0</v>
      </c>
      <c r="R160" s="2026">
        <f t="shared" ref="R160:R162" si="265">MAX(F160,I160,L160,O160)</f>
        <v>0</v>
      </c>
      <c r="S160" s="2029">
        <f t="shared" ref="S160:S162" si="266">MAX(G160,J160,M160,P160)</f>
        <v>0</v>
      </c>
      <c r="T160" s="2025">
        <f>IFERROR(AVERAGE(Q160:S160),"")</f>
        <v>0</v>
      </c>
      <c r="U160" s="2121" t="str">
        <f>IF(T160&gt;85,("4"),IF(T160&gt;80,("3.66"),IF(T160&gt;75,("3.33"),IF(T160&gt;70,("3.00"),IF(T160&gt;65,("2.66"),IF(T160&gt;60,("2.33"),IF(T160&gt;55,("2"),IF(T160&gt;50,("1.66"),"1.33"))))))))</f>
        <v>1.33</v>
      </c>
      <c r="V160" s="2121" t="str">
        <f>IF(T160&gt;85,("A"),IF(T160&gt;80,("A-"),IF(T160&gt;75,("B+"),IF(T160&gt;70,("B"),IF(T160&gt;65,("B-"),IF(T160&gt;60,("C+"),IF(T160&gt;55,("C"),IF(T160&gt;50,("C-"),"D+"))))))))</f>
        <v>D+</v>
      </c>
      <c r="W160" s="2121" t="str">
        <f>IF(T160&gt;80,("SB"),IF(T160&gt;65,("B"),IF(T160&gt;50,("C"),IF(T160&gt;0,("K"),"0"))))</f>
        <v>0</v>
      </c>
      <c r="X160" s="1226"/>
      <c r="Y160" s="1226">
        <v>3</v>
      </c>
      <c r="Z160" s="1226"/>
      <c r="AA160" s="1227">
        <v>1</v>
      </c>
      <c r="AB160" s="1227"/>
      <c r="AC160" s="1227"/>
      <c r="AD160" s="2159">
        <f>MAX(T160:T162)</f>
        <v>0</v>
      </c>
      <c r="AE160" s="767" t="str">
        <f>IF(AD160&gt;85,("A"),IF(AD160&gt;80,("A-"),IF(AD160&gt;75,("B+"),IF(AD160&gt;70,("B"),IF(AD160&gt;65,("B-"),IF(AD160&gt;60,("C+"),IF(AD160&gt;55,("C"),IF(AD160&gt;50,("C-"),"D+"))))))))</f>
        <v>D+</v>
      </c>
    </row>
    <row r="161" spans="1:31" ht="24.95" customHeight="1" x14ac:dyDescent="0.25">
      <c r="A161" s="1207"/>
      <c r="B161" s="1208"/>
      <c r="C161" s="1212"/>
      <c r="D161" s="1459" t="s">
        <v>189</v>
      </c>
      <c r="E161" s="1672">
        <v>0</v>
      </c>
      <c r="F161" s="1672">
        <v>0</v>
      </c>
      <c r="G161" s="1672">
        <v>0</v>
      </c>
      <c r="H161" s="2069">
        <v>0</v>
      </c>
      <c r="I161" s="2069">
        <v>0</v>
      </c>
      <c r="J161" s="2069">
        <v>0</v>
      </c>
      <c r="K161" s="1672">
        <v>0</v>
      </c>
      <c r="L161" s="1672">
        <v>0</v>
      </c>
      <c r="M161" s="1672">
        <v>0</v>
      </c>
      <c r="N161" s="2027">
        <v>0</v>
      </c>
      <c r="O161" s="2027">
        <v>0</v>
      </c>
      <c r="P161" s="2027">
        <v>0</v>
      </c>
      <c r="Q161" s="2028">
        <f t="shared" ref="Q161:Q162" si="267">MAX(E161,H161,K161,N161)</f>
        <v>0</v>
      </c>
      <c r="R161" s="2026">
        <f t="shared" si="265"/>
        <v>0</v>
      </c>
      <c r="S161" s="2029">
        <f t="shared" si="266"/>
        <v>0</v>
      </c>
      <c r="T161" s="2025">
        <f t="shared" ref="T161:T162" si="268">IFERROR(AVERAGE(Q161:S161),"")</f>
        <v>0</v>
      </c>
      <c r="U161" s="2122" t="str">
        <f t="shared" ref="U161:U162" si="269">IF(T161&gt;85,("4"),IF(T161&gt;80,("3.66"),IF(T161&gt;75,("3.33"),IF(T161&gt;70,("3.00"),IF(T161&gt;65,("2.66"),IF(T161&gt;60,("2.33"),IF(T161&gt;55,("2"),IF(T161&gt;50,("1.66"),"1.33"))))))))</f>
        <v>1.33</v>
      </c>
      <c r="V161" s="2122" t="str">
        <f t="shared" ref="V161:V162" si="270">IF(T161&gt;85,("A"),IF(T161&gt;80,("A-"),IF(T161&gt;75,("B+"),IF(T161&gt;70,("B"),IF(T161&gt;65,("B-"),IF(T161&gt;60,("C+"),IF(T161&gt;55,("C"),IF(T161&gt;50,("C-"),"D+"))))))))</f>
        <v>D+</v>
      </c>
      <c r="W161" s="2122" t="str">
        <f t="shared" ref="W161:W162" si="271">IF(T161&gt;80,("SB"),IF(T161&gt;65,("B"),IF(T161&gt;50,("C"),IF(T161&gt;0,("K"),"0"))))</f>
        <v>0</v>
      </c>
      <c r="X161" s="1228"/>
      <c r="Y161" s="1229"/>
      <c r="Z161" s="1229"/>
      <c r="AA161" s="1230"/>
      <c r="AB161" s="1230"/>
      <c r="AC161" s="1231"/>
      <c r="AD161" s="2154"/>
      <c r="AE161" s="2155"/>
    </row>
    <row r="162" spans="1:31" ht="24.95" customHeight="1" x14ac:dyDescent="0.25">
      <c r="A162" s="1207"/>
      <c r="B162" s="1208"/>
      <c r="C162" s="1212"/>
      <c r="D162" s="1459" t="s">
        <v>186</v>
      </c>
      <c r="E162" s="1385">
        <v>0</v>
      </c>
      <c r="F162" s="1385">
        <v>0</v>
      </c>
      <c r="G162" s="1385">
        <v>0</v>
      </c>
      <c r="H162" s="2069"/>
      <c r="I162" s="2069"/>
      <c r="J162" s="2069"/>
      <c r="K162" s="1672">
        <v>0</v>
      </c>
      <c r="L162" s="1672">
        <v>0</v>
      </c>
      <c r="M162" s="1672">
        <v>0</v>
      </c>
      <c r="N162" s="2027">
        <v>0</v>
      </c>
      <c r="O162" s="2027">
        <v>0</v>
      </c>
      <c r="P162" s="2027">
        <v>0</v>
      </c>
      <c r="Q162" s="2028">
        <f t="shared" si="267"/>
        <v>0</v>
      </c>
      <c r="R162" s="2026">
        <f t="shared" si="265"/>
        <v>0</v>
      </c>
      <c r="S162" s="2029">
        <f t="shared" si="266"/>
        <v>0</v>
      </c>
      <c r="T162" s="2025">
        <f t="shared" si="268"/>
        <v>0</v>
      </c>
      <c r="U162" s="2122" t="str">
        <f t="shared" si="269"/>
        <v>1.33</v>
      </c>
      <c r="V162" s="2122" t="str">
        <f t="shared" si="270"/>
        <v>D+</v>
      </c>
      <c r="W162" s="2122" t="str">
        <f t="shared" si="271"/>
        <v>0</v>
      </c>
      <c r="X162" s="1232"/>
      <c r="Y162" s="1233"/>
      <c r="Z162" s="1233"/>
      <c r="AA162" s="1234"/>
      <c r="AB162" s="1234"/>
      <c r="AC162" s="1235"/>
      <c r="AD162" s="2156"/>
      <c r="AE162" s="2157"/>
    </row>
    <row r="163" spans="1:31" ht="24.95" customHeight="1" x14ac:dyDescent="0.25">
      <c r="A163" s="1236"/>
      <c r="B163" s="1241">
        <v>39</v>
      </c>
      <c r="C163" s="1220" t="s">
        <v>167</v>
      </c>
      <c r="D163" s="1237"/>
      <c r="E163" s="2687"/>
      <c r="F163" s="2688"/>
      <c r="G163" s="2688"/>
      <c r="H163" s="2688"/>
      <c r="I163" s="2076"/>
      <c r="J163" s="2076"/>
      <c r="K163" s="2076"/>
      <c r="L163" s="2076"/>
      <c r="M163" s="2076"/>
      <c r="N163" s="2076"/>
      <c r="O163" s="2076"/>
      <c r="P163" s="2076"/>
      <c r="Q163" s="2076"/>
      <c r="R163" s="2076"/>
      <c r="S163" s="2076"/>
      <c r="T163" s="2123">
        <f>IFERROR(AVERAGE(T160:T162),"  ")</f>
        <v>0</v>
      </c>
      <c r="U163" s="2124" t="str">
        <f>IF(T163&gt;85,("4"),IF(T163&gt;80,("3.66"),IF(T163&gt;75,("3.33"),IF(T163&gt;70,("3.00"),IF(T163&gt;65,("2.66"),IF(T163&gt;60,("2.33"),IF(T163&gt;55,("2"),IF(T163&gt;50,("1.66"),"1.33"))))))))</f>
        <v>1.33</v>
      </c>
      <c r="V163" s="2124" t="str">
        <f>IF(T163&gt;85,("A"),IF(T163&gt;80,("A-"),IF(T163&gt;75,("B+"),IF(T163&gt;70,("B"),IF(T163&gt;65,("B-"),IF(T163&gt;60,("C+"),IF(T163&gt;55,("C"),IF(T163&gt;50,("C-"),"D+"))))))))</f>
        <v>D+</v>
      </c>
      <c r="W163" s="2124"/>
      <c r="X163" s="1238"/>
      <c r="Y163" s="1239"/>
      <c r="Z163" s="1239"/>
      <c r="AA163" s="1239"/>
      <c r="AB163" s="1239"/>
      <c r="AC163" s="1240"/>
      <c r="AD163" s="2158"/>
      <c r="AE163" s="2125"/>
    </row>
    <row r="164" spans="1:31" ht="24.95" customHeight="1" x14ac:dyDescent="0.25">
      <c r="A164" s="1224">
        <v>40</v>
      </c>
      <c r="B164" s="1225"/>
      <c r="C164" s="1209" t="e">
        <f>VLOOKUP(A164,data_siswa,4,FALSE)</f>
        <v>#N/A</v>
      </c>
      <c r="D164" s="2089" t="s">
        <v>11</v>
      </c>
      <c r="E164" s="1672"/>
      <c r="F164" s="1672"/>
      <c r="G164" s="1672"/>
      <c r="H164" s="2069">
        <v>0</v>
      </c>
      <c r="I164" s="2069">
        <v>0</v>
      </c>
      <c r="J164" s="2069">
        <v>0</v>
      </c>
      <c r="K164" s="1672"/>
      <c r="L164" s="1672"/>
      <c r="M164" s="1672"/>
      <c r="N164" s="2027"/>
      <c r="O164" s="2027"/>
      <c r="P164" s="2027"/>
      <c r="Q164" s="2028">
        <f>MAX(E164,H164,K164,N164)</f>
        <v>0</v>
      </c>
      <c r="R164" s="2026">
        <f t="shared" ref="R164:R166" si="272">MAX(F164,I164,L164,O164)</f>
        <v>0</v>
      </c>
      <c r="S164" s="2029">
        <f t="shared" ref="S164:S166" si="273">MAX(G164,J164,M164,P164)</f>
        <v>0</v>
      </c>
      <c r="T164" s="2025">
        <f>IFERROR(AVERAGE(Q164:S164),"")</f>
        <v>0</v>
      </c>
      <c r="U164" s="2121" t="str">
        <f>IF(T164&gt;85,("4"),IF(T164&gt;80,("3.66"),IF(T164&gt;75,("3.33"),IF(T164&gt;70,("3.00"),IF(T164&gt;65,("2.66"),IF(T164&gt;60,("2.33"),IF(T164&gt;55,("2"),IF(T164&gt;50,("1.66"),"1.33"))))))))</f>
        <v>1.33</v>
      </c>
      <c r="V164" s="2121" t="str">
        <f>IF(T164&gt;85,("A"),IF(T164&gt;80,("A-"),IF(T164&gt;75,("B+"),IF(T164&gt;70,("B"),IF(T164&gt;65,("B-"),IF(T164&gt;60,("C+"),IF(T164&gt;55,("C"),IF(T164&gt;50,("C-"),"D+"))))))))</f>
        <v>D+</v>
      </c>
      <c r="W164" s="2121" t="str">
        <f>IF(T164&gt;80,("SB"),IF(T164&gt;65,("B"),IF(T164&gt;50,("C"),IF(T164&gt;0,("K"),"0"))))</f>
        <v>0</v>
      </c>
      <c r="X164" s="1226"/>
      <c r="Y164" s="1226">
        <v>3</v>
      </c>
      <c r="Z164" s="1226"/>
      <c r="AA164" s="1227">
        <v>1</v>
      </c>
      <c r="AB164" s="1227"/>
      <c r="AC164" s="1227"/>
      <c r="AD164" s="2159">
        <f>MAX(T164:T166)</f>
        <v>0</v>
      </c>
      <c r="AE164" s="767" t="str">
        <f>IF(AD164&gt;85,("A"),IF(AD164&gt;80,("A-"),IF(AD164&gt;75,("B+"),IF(AD164&gt;70,("B"),IF(AD164&gt;65,("B-"),IF(AD164&gt;60,("C+"),IF(AD164&gt;55,("C"),IF(AD164&gt;50,("C-"),"D+"))))))))</f>
        <v>D+</v>
      </c>
    </row>
    <row r="165" spans="1:31" ht="24.95" customHeight="1" x14ac:dyDescent="0.25">
      <c r="A165" s="1207"/>
      <c r="B165" s="1208"/>
      <c r="C165" s="1212"/>
      <c r="D165" s="1459" t="s">
        <v>189</v>
      </c>
      <c r="E165" s="1672">
        <v>0</v>
      </c>
      <c r="F165" s="1672">
        <v>0</v>
      </c>
      <c r="G165" s="1672">
        <v>0</v>
      </c>
      <c r="H165" s="2069">
        <v>0</v>
      </c>
      <c r="I165" s="2069">
        <v>0</v>
      </c>
      <c r="J165" s="2069">
        <v>0</v>
      </c>
      <c r="K165" s="1672">
        <v>0</v>
      </c>
      <c r="L165" s="1672">
        <v>0</v>
      </c>
      <c r="M165" s="1672">
        <v>0</v>
      </c>
      <c r="N165" s="2027">
        <v>0</v>
      </c>
      <c r="O165" s="2027">
        <v>0</v>
      </c>
      <c r="P165" s="2027">
        <v>0</v>
      </c>
      <c r="Q165" s="2028">
        <f t="shared" ref="Q165:Q166" si="274">MAX(E165,H165,K165,N165)</f>
        <v>0</v>
      </c>
      <c r="R165" s="2026">
        <f t="shared" si="272"/>
        <v>0</v>
      </c>
      <c r="S165" s="2029">
        <f t="shared" si="273"/>
        <v>0</v>
      </c>
      <c r="T165" s="2025">
        <f t="shared" ref="T165:T166" si="275">IFERROR(AVERAGE(Q165:S165),"")</f>
        <v>0</v>
      </c>
      <c r="U165" s="2122" t="str">
        <f t="shared" ref="U165:U166" si="276">IF(T165&gt;85,("4"),IF(T165&gt;80,("3.66"),IF(T165&gt;75,("3.33"),IF(T165&gt;70,("3.00"),IF(T165&gt;65,("2.66"),IF(T165&gt;60,("2.33"),IF(T165&gt;55,("2"),IF(T165&gt;50,("1.66"),"1.33"))))))))</f>
        <v>1.33</v>
      </c>
      <c r="V165" s="2122" t="str">
        <f t="shared" ref="V165:V166" si="277">IF(T165&gt;85,("A"),IF(T165&gt;80,("A-"),IF(T165&gt;75,("B+"),IF(T165&gt;70,("B"),IF(T165&gt;65,("B-"),IF(T165&gt;60,("C+"),IF(T165&gt;55,("C"),IF(T165&gt;50,("C-"),"D+"))))))))</f>
        <v>D+</v>
      </c>
      <c r="W165" s="2122" t="str">
        <f t="shared" ref="W165:W166" si="278">IF(T165&gt;80,("SB"),IF(T165&gt;65,("B"),IF(T165&gt;50,("C"),IF(T165&gt;0,("K"),"0"))))</f>
        <v>0</v>
      </c>
      <c r="X165" s="1228"/>
      <c r="Y165" s="1229"/>
      <c r="Z165" s="1229"/>
      <c r="AA165" s="1230"/>
      <c r="AB165" s="1230"/>
      <c r="AC165" s="1231"/>
      <c r="AD165" s="2154"/>
      <c r="AE165" s="2155"/>
    </row>
    <row r="166" spans="1:31" ht="24.95" customHeight="1" x14ac:dyDescent="0.25">
      <c r="A166" s="1207"/>
      <c r="B166" s="1208"/>
      <c r="C166" s="1212"/>
      <c r="D166" s="1459" t="s">
        <v>186</v>
      </c>
      <c r="E166" s="1385">
        <v>0</v>
      </c>
      <c r="F166" s="1385">
        <v>0</v>
      </c>
      <c r="G166" s="1385">
        <v>0</v>
      </c>
      <c r="H166" s="2069"/>
      <c r="I166" s="2069"/>
      <c r="J166" s="2069"/>
      <c r="K166" s="1672">
        <v>0</v>
      </c>
      <c r="L166" s="1672">
        <v>0</v>
      </c>
      <c r="M166" s="1672">
        <v>0</v>
      </c>
      <c r="N166" s="2027">
        <v>0</v>
      </c>
      <c r="O166" s="2027">
        <v>0</v>
      </c>
      <c r="P166" s="2027">
        <v>0</v>
      </c>
      <c r="Q166" s="2028">
        <f t="shared" si="274"/>
        <v>0</v>
      </c>
      <c r="R166" s="2026">
        <f t="shared" si="272"/>
        <v>0</v>
      </c>
      <c r="S166" s="2029">
        <f t="shared" si="273"/>
        <v>0</v>
      </c>
      <c r="T166" s="2025">
        <f t="shared" si="275"/>
        <v>0</v>
      </c>
      <c r="U166" s="2122" t="str">
        <f t="shared" si="276"/>
        <v>1.33</v>
      </c>
      <c r="V166" s="2122" t="str">
        <f t="shared" si="277"/>
        <v>D+</v>
      </c>
      <c r="W166" s="2122" t="str">
        <f t="shared" si="278"/>
        <v>0</v>
      </c>
      <c r="X166" s="1232"/>
      <c r="Y166" s="1233"/>
      <c r="Z166" s="1233"/>
      <c r="AA166" s="1234"/>
      <c r="AB166" s="1234"/>
      <c r="AC166" s="1235"/>
      <c r="AD166" s="2156"/>
      <c r="AE166" s="2157"/>
    </row>
    <row r="167" spans="1:31" ht="24.95" customHeight="1" x14ac:dyDescent="0.25">
      <c r="A167" s="1236"/>
      <c r="B167" s="1241">
        <v>40</v>
      </c>
      <c r="C167" s="1220" t="s">
        <v>167</v>
      </c>
      <c r="D167" s="1237"/>
      <c r="E167" s="2687"/>
      <c r="F167" s="2688"/>
      <c r="G167" s="2688"/>
      <c r="H167" s="2688"/>
      <c r="I167" s="2076"/>
      <c r="J167" s="2076"/>
      <c r="K167" s="2076"/>
      <c r="L167" s="2076"/>
      <c r="M167" s="2076"/>
      <c r="N167" s="2076"/>
      <c r="O167" s="2076"/>
      <c r="P167" s="2076"/>
      <c r="Q167" s="2076"/>
      <c r="R167" s="2076"/>
      <c r="S167" s="2076"/>
      <c r="T167" s="2123">
        <f>IFERROR(AVERAGE(T164:T166),"  ")</f>
        <v>0</v>
      </c>
      <c r="U167" s="2124" t="str">
        <f>IF(T167&gt;85,("4"),IF(T167&gt;80,("3.66"),IF(T167&gt;75,("3.33"),IF(T167&gt;70,("3.00"),IF(T167&gt;65,("2.66"),IF(T167&gt;60,("2.33"),IF(T167&gt;55,("2"),IF(T167&gt;50,("1.66"),"1.33"))))))))</f>
        <v>1.33</v>
      </c>
      <c r="V167" s="2124" t="str">
        <f>IF(T167&gt;85,("A"),IF(T167&gt;80,("A-"),IF(T167&gt;75,("B+"),IF(T167&gt;70,("B"),IF(T167&gt;65,("B-"),IF(T167&gt;60,("C+"),IF(T167&gt;55,("C"),IF(T167&gt;50,("C-"),"D+"))))))))</f>
        <v>D+</v>
      </c>
      <c r="W167" s="2124"/>
      <c r="X167" s="1238"/>
      <c r="Y167" s="1239"/>
      <c r="Z167" s="1239"/>
      <c r="AA167" s="1239"/>
      <c r="AB167" s="1239"/>
      <c r="AC167" s="1240"/>
      <c r="AD167" s="2158"/>
      <c r="AE167" s="2125"/>
    </row>
  </sheetData>
  <sheetProtection password="C6F9" sheet="1" objects="1" scenarios="1"/>
  <mergeCells count="58">
    <mergeCell ref="E127:H127"/>
    <mergeCell ref="E83:H83"/>
    <mergeCell ref="E87:H87"/>
    <mergeCell ref="E91:H91"/>
    <mergeCell ref="E95:H95"/>
    <mergeCell ref="E99:H99"/>
    <mergeCell ref="E103:H103"/>
    <mergeCell ref="E107:H107"/>
    <mergeCell ref="E111:H111"/>
    <mergeCell ref="E115:H115"/>
    <mergeCell ref="E119:H119"/>
    <mergeCell ref="E123:H123"/>
    <mergeCell ref="E163:H163"/>
    <mergeCell ref="E167:H167"/>
    <mergeCell ref="E131:H131"/>
    <mergeCell ref="E135:H135"/>
    <mergeCell ref="E139:H139"/>
    <mergeCell ref="E143:H143"/>
    <mergeCell ref="E147:H147"/>
    <mergeCell ref="E151:H151"/>
    <mergeCell ref="E155:H155"/>
    <mergeCell ref="E159:H159"/>
    <mergeCell ref="E79:H79"/>
    <mergeCell ref="E35:H35"/>
    <mergeCell ref="E39:H39"/>
    <mergeCell ref="E43:H43"/>
    <mergeCell ref="E47:H47"/>
    <mergeCell ref="E51:H51"/>
    <mergeCell ref="E55:H55"/>
    <mergeCell ref="E59:H59"/>
    <mergeCell ref="E63:H63"/>
    <mergeCell ref="E67:H67"/>
    <mergeCell ref="E71:H71"/>
    <mergeCell ref="E75:H75"/>
    <mergeCell ref="E31:H31"/>
    <mergeCell ref="U5:U7"/>
    <mergeCell ref="V5:V7"/>
    <mergeCell ref="W5:W7"/>
    <mergeCell ref="E11:H11"/>
    <mergeCell ref="E15:H15"/>
    <mergeCell ref="E19:H19"/>
    <mergeCell ref="E23:H23"/>
    <mergeCell ref="E27:H27"/>
    <mergeCell ref="E6:G6"/>
    <mergeCell ref="H6:J6"/>
    <mergeCell ref="K6:M6"/>
    <mergeCell ref="N6:P6"/>
    <mergeCell ref="E5:P5"/>
    <mergeCell ref="Q5:S6"/>
    <mergeCell ref="AE5:AE7"/>
    <mergeCell ref="X5:Z5"/>
    <mergeCell ref="AA5:AC5"/>
    <mergeCell ref="A5:A7"/>
    <mergeCell ref="B5:B7"/>
    <mergeCell ref="C5:C7"/>
    <mergeCell ref="D5:D7"/>
    <mergeCell ref="T5:T7"/>
    <mergeCell ref="AD5:AD7"/>
  </mergeCells>
  <conditionalFormatting sqref="T8:T10">
    <cfRule type="top10" dxfId="1045" priority="79" bottom="1" rank="1"/>
    <cfRule type="top10" dxfId="1044" priority="80" rank="1"/>
  </conditionalFormatting>
  <conditionalFormatting sqref="T12:T14">
    <cfRule type="top10" dxfId="1043" priority="77" bottom="1" rank="1"/>
    <cfRule type="top10" dxfId="1042" priority="78" rank="1"/>
  </conditionalFormatting>
  <conditionalFormatting sqref="T16:T18">
    <cfRule type="top10" dxfId="1041" priority="75" bottom="1" rank="1"/>
    <cfRule type="top10" dxfId="1040" priority="76" rank="1"/>
  </conditionalFormatting>
  <conditionalFormatting sqref="T20:T22">
    <cfRule type="top10" dxfId="1039" priority="73" bottom="1" rank="1"/>
    <cfRule type="top10" dxfId="1038" priority="74" rank="1"/>
  </conditionalFormatting>
  <conditionalFormatting sqref="T24:T26">
    <cfRule type="top10" dxfId="1037" priority="71" bottom="1" rank="1"/>
    <cfRule type="top10" dxfId="1036" priority="72" rank="1"/>
  </conditionalFormatting>
  <conditionalFormatting sqref="T28:T30">
    <cfRule type="top10" dxfId="1035" priority="69" bottom="1" rank="1"/>
    <cfRule type="top10" dxfId="1034" priority="70" rank="1"/>
  </conditionalFormatting>
  <conditionalFormatting sqref="T32:T34">
    <cfRule type="top10" dxfId="1033" priority="67" bottom="1" rank="1"/>
    <cfRule type="top10" dxfId="1032" priority="68" rank="1"/>
  </conditionalFormatting>
  <conditionalFormatting sqref="T36:T38">
    <cfRule type="top10" dxfId="1031" priority="65" bottom="1" rank="1"/>
    <cfRule type="top10" dxfId="1030" priority="66" rank="1"/>
  </conditionalFormatting>
  <conditionalFormatting sqref="T40:T42">
    <cfRule type="top10" dxfId="1029" priority="63" bottom="1" rank="1"/>
    <cfRule type="top10" dxfId="1028" priority="64" rank="1"/>
  </conditionalFormatting>
  <conditionalFormatting sqref="T44:T46">
    <cfRule type="top10" dxfId="1027" priority="61" bottom="1" rank="1"/>
    <cfRule type="top10" dxfId="1026" priority="62" rank="1"/>
  </conditionalFormatting>
  <conditionalFormatting sqref="T48:T50">
    <cfRule type="top10" dxfId="1025" priority="59" bottom="1" rank="1"/>
    <cfRule type="top10" dxfId="1024" priority="60" rank="1"/>
  </conditionalFormatting>
  <conditionalFormatting sqref="T52:T54">
    <cfRule type="top10" dxfId="1023" priority="57" bottom="1" rank="1"/>
    <cfRule type="top10" dxfId="1022" priority="58" rank="1"/>
  </conditionalFormatting>
  <conditionalFormatting sqref="T56:T58">
    <cfRule type="top10" dxfId="1021" priority="55" bottom="1" rank="1"/>
    <cfRule type="top10" dxfId="1020" priority="56" rank="1"/>
  </conditionalFormatting>
  <conditionalFormatting sqref="T60:T62">
    <cfRule type="top10" dxfId="1019" priority="53" bottom="1" rank="1"/>
    <cfRule type="top10" dxfId="1018" priority="54" rank="1"/>
  </conditionalFormatting>
  <conditionalFormatting sqref="T64:T66">
    <cfRule type="top10" dxfId="1017" priority="51" bottom="1" rank="1"/>
    <cfRule type="top10" dxfId="1016" priority="52" rank="1"/>
  </conditionalFormatting>
  <conditionalFormatting sqref="T68:T70">
    <cfRule type="top10" dxfId="1015" priority="49" bottom="1" rank="1"/>
    <cfRule type="top10" dxfId="1014" priority="50" rank="1"/>
  </conditionalFormatting>
  <conditionalFormatting sqref="T72:T74">
    <cfRule type="top10" dxfId="1013" priority="47" bottom="1" rank="1"/>
    <cfRule type="top10" dxfId="1012" priority="48" rank="1"/>
  </conditionalFormatting>
  <conditionalFormatting sqref="T76:T78">
    <cfRule type="top10" dxfId="1011" priority="45" bottom="1" rank="1"/>
    <cfRule type="top10" dxfId="1010" priority="46" rank="1"/>
  </conditionalFormatting>
  <conditionalFormatting sqref="T80:T82">
    <cfRule type="top10" dxfId="1009" priority="43" bottom="1" rank="1"/>
    <cfRule type="top10" dxfId="1008" priority="44" rank="1"/>
  </conditionalFormatting>
  <conditionalFormatting sqref="T84:T86">
    <cfRule type="top10" dxfId="1007" priority="41" bottom="1" rank="1"/>
    <cfRule type="top10" dxfId="1006" priority="42" rank="1"/>
  </conditionalFormatting>
  <conditionalFormatting sqref="T88:T90">
    <cfRule type="top10" dxfId="1005" priority="39" bottom="1" rank="1"/>
    <cfRule type="top10" dxfId="1004" priority="40" rank="1"/>
  </conditionalFormatting>
  <conditionalFormatting sqref="T92:T94">
    <cfRule type="top10" dxfId="1003" priority="37" bottom="1" rank="1"/>
    <cfRule type="top10" dxfId="1002" priority="38" rank="1"/>
  </conditionalFormatting>
  <conditionalFormatting sqref="T96:T98">
    <cfRule type="top10" dxfId="1001" priority="35" bottom="1" rank="1"/>
    <cfRule type="top10" dxfId="1000" priority="36" rank="1"/>
  </conditionalFormatting>
  <conditionalFormatting sqref="T100:T102">
    <cfRule type="top10" dxfId="999" priority="33" bottom="1" rank="1"/>
    <cfRule type="top10" dxfId="998" priority="34" rank="1"/>
  </conditionalFormatting>
  <conditionalFormatting sqref="T104:T106">
    <cfRule type="top10" dxfId="997" priority="31" bottom="1" rank="1"/>
    <cfRule type="top10" dxfId="996" priority="32" rank="1"/>
  </conditionalFormatting>
  <conditionalFormatting sqref="T108:T110">
    <cfRule type="top10" dxfId="995" priority="29" bottom="1" rank="1"/>
    <cfRule type="top10" dxfId="994" priority="30" rank="1"/>
  </conditionalFormatting>
  <conditionalFormatting sqref="T112:T114">
    <cfRule type="top10" dxfId="993" priority="27" bottom="1" rank="1"/>
    <cfRule type="top10" dxfId="992" priority="28" rank="1"/>
  </conditionalFormatting>
  <conditionalFormatting sqref="T116:T118">
    <cfRule type="top10" dxfId="991" priority="25" bottom="1" rank="1"/>
    <cfRule type="top10" dxfId="990" priority="26" rank="1"/>
  </conditionalFormatting>
  <conditionalFormatting sqref="T120:T122">
    <cfRule type="top10" dxfId="989" priority="23" bottom="1" rank="1"/>
    <cfRule type="top10" dxfId="988" priority="24" rank="1"/>
  </conditionalFormatting>
  <conditionalFormatting sqref="T124:T126">
    <cfRule type="top10" dxfId="987" priority="21" bottom="1" rank="1"/>
    <cfRule type="top10" dxfId="986" priority="22" rank="1"/>
  </conditionalFormatting>
  <conditionalFormatting sqref="T128:T130">
    <cfRule type="top10" dxfId="985" priority="19" bottom="1" rank="1"/>
    <cfRule type="top10" dxfId="984" priority="20" rank="1"/>
  </conditionalFormatting>
  <conditionalFormatting sqref="T132:T134">
    <cfRule type="top10" dxfId="983" priority="17" bottom="1" rank="1"/>
    <cfRule type="top10" dxfId="982" priority="18" rank="1"/>
  </conditionalFormatting>
  <conditionalFormatting sqref="T136:T138">
    <cfRule type="top10" dxfId="981" priority="15" bottom="1" rank="1"/>
    <cfRule type="top10" dxfId="980" priority="16" rank="1"/>
  </conditionalFormatting>
  <conditionalFormatting sqref="T140:T142">
    <cfRule type="top10" dxfId="979" priority="13" bottom="1" rank="1"/>
    <cfRule type="top10" dxfId="978" priority="14" rank="1"/>
  </conditionalFormatting>
  <conditionalFormatting sqref="T144:T146">
    <cfRule type="top10" dxfId="977" priority="11" bottom="1" rank="1"/>
    <cfRule type="top10" dxfId="976" priority="12" rank="1"/>
  </conditionalFormatting>
  <conditionalFormatting sqref="T148:T150">
    <cfRule type="top10" dxfId="975" priority="9" bottom="1" rank="1"/>
    <cfRule type="top10" dxfId="974" priority="10" rank="1"/>
  </conditionalFormatting>
  <conditionalFormatting sqref="T152:T154">
    <cfRule type="top10" dxfId="973" priority="7" bottom="1" rank="1"/>
    <cfRule type="top10" dxfId="972" priority="8" rank="1"/>
  </conditionalFormatting>
  <conditionalFormatting sqref="T156:T158">
    <cfRule type="top10" dxfId="971" priority="5" bottom="1" rank="1"/>
    <cfRule type="top10" dxfId="970" priority="6" rank="1"/>
  </conditionalFormatting>
  <conditionalFormatting sqref="T160:T162">
    <cfRule type="top10" dxfId="969" priority="3" bottom="1" rank="1"/>
    <cfRule type="top10" dxfId="968" priority="4" rank="1"/>
  </conditionalFormatting>
  <conditionalFormatting sqref="T164:T166">
    <cfRule type="top10" dxfId="967" priority="1" bottom="1" rank="1"/>
    <cfRule type="top10" dxfId="966" priority="2" rank="1"/>
  </conditionalFormatting>
  <pageMargins left="0.7" right="0.7" top="0.75" bottom="0.75" header="0.3" footer="0.3"/>
  <pageSetup paperSize="9"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C000"/>
  </sheetPr>
  <dimension ref="A1:AK289"/>
  <sheetViews>
    <sheetView showGridLines="0" zoomScale="85" zoomScaleNormal="85" workbookViewId="0">
      <pane xSplit="3" ySplit="8" topLeftCell="K9" activePane="bottomRight" state="frozen"/>
      <selection activeCell="W10" sqref="W10"/>
      <selection pane="topRight" activeCell="W10" sqref="W10"/>
      <selection pane="bottomLeft" activeCell="W10" sqref="W10"/>
      <selection pane="bottomRight" activeCell="AJ9" sqref="AJ9"/>
    </sheetView>
  </sheetViews>
  <sheetFormatPr defaultRowHeight="21" x14ac:dyDescent="0.3"/>
  <cols>
    <col min="1" max="1" width="6" style="1677" customWidth="1"/>
    <col min="2" max="2" width="5.5703125" style="432" customWidth="1"/>
    <col min="3" max="3" width="28.85546875" style="1678" customWidth="1"/>
    <col min="4" max="4" width="8.140625" style="436" customWidth="1"/>
    <col min="5" max="16" width="6.7109375" style="432" customWidth="1"/>
    <col min="17" max="19" width="7" style="432" customWidth="1"/>
    <col min="20" max="20" width="9.5703125" style="1937" customWidth="1"/>
    <col min="21" max="21" width="11" style="432" customWidth="1"/>
    <col min="22" max="22" width="10.85546875" style="432" customWidth="1"/>
    <col min="23" max="23" width="12.85546875" style="432" customWidth="1"/>
    <col min="24" max="35" width="4.7109375" style="432" customWidth="1"/>
    <col min="36" max="16384" width="9.140625" style="432"/>
  </cols>
  <sheetData>
    <row r="1" spans="1:37" x14ac:dyDescent="0.3">
      <c r="F1" s="1199"/>
      <c r="G1" s="1199"/>
      <c r="H1" s="1199"/>
      <c r="I1" s="1199"/>
      <c r="J1" s="1199"/>
      <c r="K1" s="1199"/>
      <c r="L1" s="1199"/>
      <c r="M1" s="1199"/>
      <c r="N1" s="1199"/>
      <c r="O1" s="1199"/>
      <c r="P1" s="1199"/>
      <c r="Q1" s="1199"/>
      <c r="R1" s="1199"/>
      <c r="S1" s="1199"/>
      <c r="T1" s="1199"/>
      <c r="U1" s="1199"/>
      <c r="V1" s="1199"/>
      <c r="W1" s="1199"/>
      <c r="X1" s="1199"/>
      <c r="Y1" s="1199"/>
      <c r="Z1" s="1199"/>
      <c r="AA1" s="1199"/>
      <c r="AB1" s="1199"/>
      <c r="AC1" s="1199"/>
      <c r="AD1" s="1199"/>
      <c r="AE1" s="1199"/>
    </row>
    <row r="2" spans="1:37" x14ac:dyDescent="0.3">
      <c r="F2" s="1201"/>
      <c r="G2" s="1201"/>
      <c r="H2" s="1201"/>
      <c r="I2" s="1201"/>
      <c r="J2" s="1201"/>
      <c r="K2" s="1201"/>
      <c r="L2" s="1201"/>
      <c r="M2" s="1201"/>
      <c r="N2" s="1201"/>
      <c r="O2" s="1201"/>
      <c r="P2" s="1201"/>
      <c r="Q2" s="1201"/>
      <c r="R2" s="1201"/>
      <c r="S2" s="1201"/>
      <c r="T2" s="1199"/>
      <c r="U2" s="1201"/>
      <c r="V2" s="1201"/>
      <c r="W2" s="1201"/>
      <c r="X2" s="1201"/>
      <c r="Y2" s="1201"/>
      <c r="Z2" s="1201"/>
      <c r="AA2" s="1199"/>
      <c r="AB2" s="1201"/>
      <c r="AC2" s="1201"/>
      <c r="AD2" s="1201"/>
      <c r="AE2" s="1199"/>
    </row>
    <row r="3" spans="1:37" ht="26.25" x14ac:dyDescent="0.25">
      <c r="A3" s="1679" t="s">
        <v>791</v>
      </c>
      <c r="D3" s="1680"/>
      <c r="E3" s="1201"/>
      <c r="F3" s="1201"/>
      <c r="G3" s="1201"/>
      <c r="H3" s="1201"/>
      <c r="I3" s="1201"/>
      <c r="J3" s="1201"/>
      <c r="K3" s="1201"/>
      <c r="L3" s="1201"/>
      <c r="M3" s="1201"/>
      <c r="N3" s="1201"/>
      <c r="O3" s="1201"/>
      <c r="P3" s="1201"/>
      <c r="Q3" s="1201"/>
      <c r="R3" s="1201"/>
      <c r="S3" s="1201"/>
      <c r="T3" s="1201"/>
      <c r="U3" s="1201"/>
      <c r="V3" s="1458"/>
      <c r="W3" s="1458"/>
      <c r="X3" s="1458"/>
      <c r="Y3" s="1458"/>
      <c r="Z3" s="1458"/>
      <c r="AA3" s="433"/>
      <c r="AB3" s="433"/>
    </row>
    <row r="4" spans="1:37" ht="28.5" x14ac:dyDescent="0.3">
      <c r="A4" s="1679" t="s">
        <v>562</v>
      </c>
      <c r="AH4" s="2842"/>
      <c r="AI4" s="2842"/>
    </row>
    <row r="5" spans="1:37" s="1682" customFormat="1" ht="16.5" thickBot="1" x14ac:dyDescent="0.3">
      <c r="A5" s="1681">
        <v>1</v>
      </c>
      <c r="B5" s="1681">
        <v>2</v>
      </c>
      <c r="C5" s="1681">
        <v>3</v>
      </c>
      <c r="D5" s="1681">
        <v>4</v>
      </c>
      <c r="E5" s="1681">
        <v>5</v>
      </c>
      <c r="F5" s="1681">
        <v>6</v>
      </c>
      <c r="G5" s="1681">
        <v>7</v>
      </c>
      <c r="H5" s="1681">
        <v>8</v>
      </c>
      <c r="I5" s="1681">
        <v>9</v>
      </c>
      <c r="J5" s="1681">
        <v>10</v>
      </c>
      <c r="K5" s="1681">
        <v>11</v>
      </c>
      <c r="L5" s="1681">
        <v>12</v>
      </c>
      <c r="M5" s="1681">
        <v>13</v>
      </c>
      <c r="N5" s="1681">
        <v>14</v>
      </c>
      <c r="O5" s="1681">
        <v>15</v>
      </c>
      <c r="P5" s="1681">
        <v>16</v>
      </c>
      <c r="Q5" s="1681">
        <v>17</v>
      </c>
      <c r="R5" s="1681">
        <v>18</v>
      </c>
      <c r="S5" s="1681">
        <v>19</v>
      </c>
      <c r="T5" s="1681">
        <v>20</v>
      </c>
      <c r="U5" s="1681">
        <v>21</v>
      </c>
      <c r="V5" s="1681">
        <v>22</v>
      </c>
      <c r="W5" s="1681">
        <v>23</v>
      </c>
      <c r="X5" s="1681">
        <v>24</v>
      </c>
      <c r="Y5" s="1681">
        <v>25</v>
      </c>
      <c r="Z5" s="1681">
        <v>26</v>
      </c>
      <c r="AA5" s="1681">
        <v>27</v>
      </c>
      <c r="AB5" s="1681">
        <v>28</v>
      </c>
      <c r="AC5" s="1681">
        <v>29</v>
      </c>
      <c r="AD5" s="1681">
        <v>30</v>
      </c>
      <c r="AE5" s="1681">
        <v>31</v>
      </c>
      <c r="AF5" s="1681">
        <v>32</v>
      </c>
      <c r="AG5" s="1681">
        <v>33</v>
      </c>
      <c r="AH5" s="1681">
        <v>34</v>
      </c>
      <c r="AI5" s="1681">
        <v>35</v>
      </c>
      <c r="AJ5" s="1681">
        <v>36</v>
      </c>
      <c r="AK5" s="1681">
        <v>37</v>
      </c>
    </row>
    <row r="6" spans="1:37" ht="24.75" customHeight="1" x14ac:dyDescent="0.25">
      <c r="A6" s="2851" t="s">
        <v>0</v>
      </c>
      <c r="B6" s="2854" t="s">
        <v>55</v>
      </c>
      <c r="C6" s="2857" t="s">
        <v>1</v>
      </c>
      <c r="D6" s="2854" t="s">
        <v>56</v>
      </c>
      <c r="E6" s="2732" t="s">
        <v>32</v>
      </c>
      <c r="F6" s="2733"/>
      <c r="G6" s="2733"/>
      <c r="H6" s="2733"/>
      <c r="I6" s="2733"/>
      <c r="J6" s="2733"/>
      <c r="K6" s="2733"/>
      <c r="L6" s="2733"/>
      <c r="M6" s="2733"/>
      <c r="N6" s="2733"/>
      <c r="O6" s="2733"/>
      <c r="P6" s="2733"/>
      <c r="Q6" s="2735" t="s">
        <v>1004</v>
      </c>
      <c r="R6" s="2736"/>
      <c r="S6" s="2737"/>
      <c r="T6" s="2836" t="s">
        <v>64</v>
      </c>
      <c r="U6" s="2834" t="s">
        <v>61</v>
      </c>
      <c r="V6" s="2834" t="s">
        <v>62</v>
      </c>
      <c r="W6" s="2700" t="s">
        <v>63</v>
      </c>
      <c r="X6" s="2845" t="s">
        <v>174</v>
      </c>
      <c r="Y6" s="2846"/>
      <c r="Z6" s="2846"/>
      <c r="AA6" s="2846"/>
      <c r="AB6" s="2846"/>
      <c r="AC6" s="2847"/>
      <c r="AD6" s="2845" t="s">
        <v>803</v>
      </c>
      <c r="AE6" s="2846"/>
      <c r="AF6" s="2846"/>
      <c r="AG6" s="2846"/>
      <c r="AH6" s="2846"/>
      <c r="AI6" s="2847"/>
      <c r="AJ6" s="2584" t="s">
        <v>973</v>
      </c>
      <c r="AK6" s="2839" t="s">
        <v>5</v>
      </c>
    </row>
    <row r="7" spans="1:37" ht="24.75" customHeight="1" x14ac:dyDescent="0.25">
      <c r="A7" s="2852"/>
      <c r="B7" s="2855"/>
      <c r="C7" s="2858"/>
      <c r="D7" s="2860"/>
      <c r="E7" s="2791" t="s">
        <v>443</v>
      </c>
      <c r="F7" s="2792"/>
      <c r="G7" s="2793"/>
      <c r="H7" s="2794" t="s">
        <v>442</v>
      </c>
      <c r="I7" s="2795"/>
      <c r="J7" s="2796"/>
      <c r="K7" s="2768" t="s">
        <v>441</v>
      </c>
      <c r="L7" s="2769"/>
      <c r="M7" s="2770"/>
      <c r="N7" s="2771" t="s">
        <v>685</v>
      </c>
      <c r="O7" s="2772"/>
      <c r="P7" s="2773"/>
      <c r="Q7" s="2738"/>
      <c r="R7" s="2739"/>
      <c r="S7" s="2740"/>
      <c r="T7" s="2861"/>
      <c r="U7" s="2843"/>
      <c r="V7" s="2843"/>
      <c r="W7" s="2701"/>
      <c r="X7" s="2848"/>
      <c r="Y7" s="2849"/>
      <c r="Z7" s="2849"/>
      <c r="AA7" s="2849"/>
      <c r="AB7" s="2849"/>
      <c r="AC7" s="2850"/>
      <c r="AD7" s="2848"/>
      <c r="AE7" s="2849"/>
      <c r="AF7" s="2849"/>
      <c r="AG7" s="2849"/>
      <c r="AH7" s="2849"/>
      <c r="AI7" s="2850"/>
      <c r="AJ7" s="2844"/>
      <c r="AK7" s="2840"/>
    </row>
    <row r="8" spans="1:37" ht="30" customHeight="1" thickBot="1" x14ac:dyDescent="0.3">
      <c r="A8" s="2853"/>
      <c r="B8" s="2856"/>
      <c r="C8" s="2859"/>
      <c r="D8" s="2856"/>
      <c r="E8" s="2034" t="s">
        <v>1001</v>
      </c>
      <c r="F8" s="2034" t="s">
        <v>1002</v>
      </c>
      <c r="G8" s="2034" t="s">
        <v>1003</v>
      </c>
      <c r="H8" s="2035" t="s">
        <v>1001</v>
      </c>
      <c r="I8" s="2035" t="s">
        <v>1002</v>
      </c>
      <c r="J8" s="2035" t="s">
        <v>1003</v>
      </c>
      <c r="K8" s="2036" t="s">
        <v>1001</v>
      </c>
      <c r="L8" s="2036" t="s">
        <v>1002</v>
      </c>
      <c r="M8" s="2036" t="s">
        <v>1003</v>
      </c>
      <c r="N8" s="2037" t="s">
        <v>1001</v>
      </c>
      <c r="O8" s="2037" t="s">
        <v>1002</v>
      </c>
      <c r="P8" s="2037" t="s">
        <v>1003</v>
      </c>
      <c r="Q8" s="2047" t="s">
        <v>1001</v>
      </c>
      <c r="R8" s="2047" t="s">
        <v>1002</v>
      </c>
      <c r="S8" s="2047" t="s">
        <v>1003</v>
      </c>
      <c r="T8" s="2838"/>
      <c r="U8" s="2835"/>
      <c r="V8" s="2835"/>
      <c r="W8" s="2702"/>
      <c r="X8" s="2096" t="s">
        <v>154</v>
      </c>
      <c r="Y8" s="2096" t="s">
        <v>155</v>
      </c>
      <c r="Z8" s="2096" t="s">
        <v>11</v>
      </c>
      <c r="AA8" s="2096" t="s">
        <v>16</v>
      </c>
      <c r="AB8" s="2096" t="s">
        <v>186</v>
      </c>
      <c r="AC8" s="2096" t="s">
        <v>22</v>
      </c>
      <c r="AD8" s="2097" t="s">
        <v>154</v>
      </c>
      <c r="AE8" s="2097" t="s">
        <v>155</v>
      </c>
      <c r="AF8" s="2097" t="s">
        <v>11</v>
      </c>
      <c r="AG8" s="2097" t="s">
        <v>16</v>
      </c>
      <c r="AH8" s="2097" t="s">
        <v>186</v>
      </c>
      <c r="AI8" s="2097" t="s">
        <v>22</v>
      </c>
      <c r="AJ8" s="2585"/>
      <c r="AK8" s="2841"/>
    </row>
    <row r="9" spans="1:37" ht="24.95" customHeight="1" x14ac:dyDescent="0.25">
      <c r="A9" s="1687">
        <v>1</v>
      </c>
      <c r="B9" s="1688"/>
      <c r="C9" s="2090" t="str">
        <f>VLOOKUP(A9,data_siswa,4,FALSE)</f>
        <v>Achmad Zacky</v>
      </c>
      <c r="D9" s="2091" t="s">
        <v>154</v>
      </c>
      <c r="E9" s="2092">
        <v>65</v>
      </c>
      <c r="F9" s="2092">
        <v>78</v>
      </c>
      <c r="G9" s="2092">
        <v>76</v>
      </c>
      <c r="H9" s="2093">
        <v>56</v>
      </c>
      <c r="I9" s="2093">
        <v>67</v>
      </c>
      <c r="J9" s="2093">
        <v>67</v>
      </c>
      <c r="K9" s="2092"/>
      <c r="L9" s="2092"/>
      <c r="M9" s="2092"/>
      <c r="N9" s="2093"/>
      <c r="O9" s="2093"/>
      <c r="P9" s="2093"/>
      <c r="Q9" s="2028">
        <f>MAX(E9,H9,K9,N9)</f>
        <v>65</v>
      </c>
      <c r="R9" s="2126">
        <f t="shared" ref="R9:S11" si="0">MAX(F9,I9,L9,O9)</f>
        <v>78</v>
      </c>
      <c r="S9" s="2127">
        <f t="shared" si="0"/>
        <v>76</v>
      </c>
      <c r="T9" s="853">
        <f>IFERROR(AVERAGE(Q9:S9),"")</f>
        <v>73</v>
      </c>
      <c r="U9" s="2094" t="str">
        <f>IF(T9&gt;85,("4"),IF(T9&gt;80,("3.66"),IF(T9&gt;75,("3.33"),IF(T9&gt;70,("3.00"),IF(T9&gt;65,("2.66"),IF(T9&gt;60,("2.33"),IF(T9&gt;55,("2"),IF(T9&gt;50,("1.66"),"1.33"))))))))</f>
        <v>3.00</v>
      </c>
      <c r="V9" s="2094" t="str">
        <f>IF(T9&gt;85,("A"),IF(T9&gt;80,("A-"),IF(T9&gt;75,("B+"),IF(T9&gt;70,("B"),IF(T9&gt;65,("B-"),IF(T9&gt;60,("C+"),IF(T9&gt;55,("C"),IF(T9&gt;50,("C-"),"D+"))))))))</f>
        <v>B</v>
      </c>
      <c r="W9" s="2094" t="str">
        <f>IF(T9&gt;80,("SB"),IF(T9&gt;65,("B"),IF(T9&gt;50,("C"),IF(T9&gt;0,("K"),"0"))))</f>
        <v>B</v>
      </c>
      <c r="X9" s="1226"/>
      <c r="Y9" s="1226"/>
      <c r="Z9" s="1226"/>
      <c r="AA9" s="1226"/>
      <c r="AB9" s="1226"/>
      <c r="AC9" s="1226">
        <v>4</v>
      </c>
      <c r="AD9" s="1227"/>
      <c r="AE9" s="1227"/>
      <c r="AF9" s="1227">
        <v>3</v>
      </c>
      <c r="AG9" s="1227"/>
      <c r="AH9" s="1227"/>
      <c r="AI9" s="1227"/>
      <c r="AJ9" s="2099">
        <f>T15</f>
        <v>74.222222222222214</v>
      </c>
      <c r="AK9" s="2095" t="str">
        <f>V15</f>
        <v>B</v>
      </c>
    </row>
    <row r="10" spans="1:37" ht="24.95" customHeight="1" x14ac:dyDescent="0.25">
      <c r="A10" s="1687"/>
      <c r="B10" s="1688"/>
      <c r="C10" s="1270"/>
      <c r="D10" s="1686" t="s">
        <v>155</v>
      </c>
      <c r="E10" s="1494">
        <v>79</v>
      </c>
      <c r="F10" s="1494">
        <v>70</v>
      </c>
      <c r="G10" s="1494">
        <v>65</v>
      </c>
      <c r="H10" s="2087">
        <v>67</v>
      </c>
      <c r="I10" s="2087">
        <v>74</v>
      </c>
      <c r="J10" s="2087">
        <v>87</v>
      </c>
      <c r="K10" s="1494">
        <v>56</v>
      </c>
      <c r="L10" s="1494">
        <v>78</v>
      </c>
      <c r="M10" s="1494">
        <v>70</v>
      </c>
      <c r="N10" s="2087"/>
      <c r="O10" s="2087"/>
      <c r="P10" s="2087"/>
      <c r="Q10" s="2028">
        <f t="shared" ref="Q10:Q11" si="1">MAX(E10,H10,K10,N10)</f>
        <v>79</v>
      </c>
      <c r="R10" s="2126">
        <f t="shared" si="0"/>
        <v>78</v>
      </c>
      <c r="S10" s="2127">
        <f t="shared" si="0"/>
        <v>87</v>
      </c>
      <c r="T10" s="853">
        <f t="shared" ref="T10:T11" si="2">IFERROR(AVERAGE(Q10:S10),"")</f>
        <v>81.333333333333329</v>
      </c>
      <c r="U10" s="1704" t="str">
        <f t="shared" ref="U10:U14" si="3">IF(T10&gt;85,("4"),IF(T10&gt;80,("3.66"),IF(T10&gt;75,("3.33"),IF(T10&gt;70,("3.00"),IF(T10&gt;65,("2.66"),IF(T10&gt;60,("2.33"),IF(T10&gt;55,("2"),IF(T10&gt;50,("1.66"),"1.33"))))))))</f>
        <v>3.66</v>
      </c>
      <c r="V10" s="1704" t="str">
        <f t="shared" ref="V10:V14" si="4">IF(T10&gt;85,("A"),IF(T10&gt;80,("A-"),IF(T10&gt;75,("B+"),IF(T10&gt;70,("B"),IF(T10&gt;65,("B-"),IF(T10&gt;60,("C+"),IF(T10&gt;55,("C"),IF(T10&gt;50,("C-"),"D+"))))))))</f>
        <v>A-</v>
      </c>
      <c r="W10" s="1704" t="str">
        <f t="shared" ref="W10:W14" si="5">IF(T10&gt;80,("SB"),IF(T10&gt;65,("B"),IF(T10&gt;50,("C"),IF(T10&gt;0,("K"),"0"))))</f>
        <v>SB</v>
      </c>
      <c r="X10" s="1843"/>
      <c r="Y10" s="1844"/>
      <c r="Z10" s="1844"/>
      <c r="AA10" s="1844"/>
      <c r="AB10" s="1844"/>
      <c r="AC10" s="1844"/>
      <c r="AD10" s="1845"/>
      <c r="AE10" s="1845"/>
      <c r="AF10" s="1845"/>
      <c r="AG10" s="1845"/>
      <c r="AH10" s="1845"/>
      <c r="AI10" s="1846"/>
      <c r="AJ10" s="1847"/>
      <c r="AK10" s="1848"/>
    </row>
    <row r="11" spans="1:37" ht="24.95" customHeight="1" x14ac:dyDescent="0.25">
      <c r="A11" s="1687"/>
      <c r="B11" s="1688"/>
      <c r="C11" s="1270"/>
      <c r="D11" s="1686" t="s">
        <v>11</v>
      </c>
      <c r="E11" s="1494">
        <v>65</v>
      </c>
      <c r="F11" s="1494">
        <v>72</v>
      </c>
      <c r="G11" s="1494">
        <v>71</v>
      </c>
      <c r="H11" s="2087">
        <v>72</v>
      </c>
      <c r="I11" s="2087">
        <v>72</v>
      </c>
      <c r="J11" s="2087">
        <v>81</v>
      </c>
      <c r="K11" s="1494">
        <v>70</v>
      </c>
      <c r="L11" s="1494">
        <v>76</v>
      </c>
      <c r="M11" s="1494">
        <v>72</v>
      </c>
      <c r="N11" s="2087">
        <v>75</v>
      </c>
      <c r="O11" s="2087">
        <v>65</v>
      </c>
      <c r="P11" s="2087">
        <v>73</v>
      </c>
      <c r="Q11" s="2028">
        <f t="shared" si="1"/>
        <v>75</v>
      </c>
      <c r="R11" s="2126">
        <f t="shared" si="0"/>
        <v>76</v>
      </c>
      <c r="S11" s="2127">
        <f t="shared" si="0"/>
        <v>81</v>
      </c>
      <c r="T11" s="853">
        <f t="shared" si="2"/>
        <v>77.333333333333329</v>
      </c>
      <c r="U11" s="1704" t="str">
        <f t="shared" ref="U11" si="6">IF(T11&gt;85,("4"),IF(T11&gt;80,("3.66"),IF(T11&gt;75,("3.33"),IF(T11&gt;70,("3.00"),IF(T11&gt;65,("2.66"),IF(T11&gt;60,("2.33"),IF(T11&gt;55,("2"),IF(T11&gt;50,("1.66"),"1.33"))))))))</f>
        <v>3.33</v>
      </c>
      <c r="V11" s="1704" t="str">
        <f t="shared" ref="V11" si="7">IF(T11&gt;85,("A"),IF(T11&gt;80,("A-"),IF(T11&gt;75,("B+"),IF(T11&gt;70,("B"),IF(T11&gt;65,("B-"),IF(T11&gt;60,("C+"),IF(T11&gt;55,("C"),IF(T11&gt;50,("C-"),"D+"))))))))</f>
        <v>B+</v>
      </c>
      <c r="W11" s="1704" t="str">
        <f t="shared" ref="W11" si="8">IF(T11&gt;80,("SB"),IF(T11&gt;65,("B"),IF(T11&gt;50,("C"),IF(T11&gt;0,("K"),"0"))))</f>
        <v>B</v>
      </c>
      <c r="X11" s="1849"/>
      <c r="Y11" s="1850"/>
      <c r="Z11" s="1850"/>
      <c r="AA11" s="1850"/>
      <c r="AB11" s="1850"/>
      <c r="AC11" s="1850"/>
      <c r="AD11" s="1851"/>
      <c r="AE11" s="1851"/>
      <c r="AF11" s="1851"/>
      <c r="AG11" s="1851"/>
      <c r="AH11" s="1851"/>
      <c r="AI11" s="1852"/>
      <c r="AJ11" s="1853"/>
      <c r="AK11" s="1854"/>
    </row>
    <row r="12" spans="1:37" ht="24.95" customHeight="1" x14ac:dyDescent="0.25">
      <c r="A12" s="1687"/>
      <c r="B12" s="1688"/>
      <c r="C12" s="1270"/>
      <c r="D12" s="1686" t="s">
        <v>16</v>
      </c>
      <c r="E12" s="1494"/>
      <c r="F12" s="1494"/>
      <c r="G12" s="1494"/>
      <c r="H12" s="2087"/>
      <c r="I12" s="2087"/>
      <c r="J12" s="2087"/>
      <c r="K12" s="1494"/>
      <c r="L12" s="1494"/>
      <c r="M12" s="1494"/>
      <c r="N12" s="2087">
        <v>72</v>
      </c>
      <c r="O12" s="2087">
        <v>67</v>
      </c>
      <c r="P12" s="2087">
        <v>65</v>
      </c>
      <c r="Q12" s="2028">
        <f>MAX(E12,H12,K12,N12)</f>
        <v>72</v>
      </c>
      <c r="R12" s="2126">
        <f t="shared" ref="R12:R14" si="9">MAX(F12,I12,L12,O12)</f>
        <v>67</v>
      </c>
      <c r="S12" s="2127">
        <f t="shared" ref="S12:S14" si="10">MAX(G12,J12,M12,P12)</f>
        <v>65</v>
      </c>
      <c r="T12" s="853">
        <f>IFERROR(AVERAGE(Q12:S12),"")</f>
        <v>68</v>
      </c>
      <c r="U12" s="1704" t="str">
        <f t="shared" si="3"/>
        <v>2.66</v>
      </c>
      <c r="V12" s="1704" t="str">
        <f t="shared" si="4"/>
        <v>B-</v>
      </c>
      <c r="W12" s="1704" t="str">
        <f t="shared" si="5"/>
        <v>B</v>
      </c>
      <c r="X12" s="1849"/>
      <c r="Y12" s="1850"/>
      <c r="Z12" s="1850"/>
      <c r="AA12" s="1850"/>
      <c r="AB12" s="1850"/>
      <c r="AC12" s="1850"/>
      <c r="AD12" s="1851"/>
      <c r="AE12" s="1851"/>
      <c r="AF12" s="1851"/>
      <c r="AG12" s="1851"/>
      <c r="AH12" s="1851"/>
      <c r="AI12" s="1852"/>
      <c r="AJ12" s="1853"/>
      <c r="AK12" s="1854"/>
    </row>
    <row r="13" spans="1:37" ht="24.95" customHeight="1" x14ac:dyDescent="0.25">
      <c r="A13" s="1687"/>
      <c r="B13" s="1688"/>
      <c r="C13" s="1270"/>
      <c r="D13" s="1686" t="s">
        <v>186</v>
      </c>
      <c r="E13" s="1494"/>
      <c r="F13" s="1494"/>
      <c r="G13" s="1494"/>
      <c r="H13" s="2087"/>
      <c r="I13" s="2087"/>
      <c r="J13" s="2087"/>
      <c r="K13" s="1494">
        <v>89</v>
      </c>
      <c r="L13" s="1494">
        <v>68</v>
      </c>
      <c r="M13" s="1494">
        <v>65</v>
      </c>
      <c r="N13" s="2087"/>
      <c r="O13" s="2087"/>
      <c r="P13" s="2087"/>
      <c r="Q13" s="2028">
        <f t="shared" ref="Q13:Q14" si="11">MAX(E13,H13,K13,N13)</f>
        <v>89</v>
      </c>
      <c r="R13" s="2126">
        <f t="shared" si="9"/>
        <v>68</v>
      </c>
      <c r="S13" s="2127">
        <f t="shared" si="10"/>
        <v>65</v>
      </c>
      <c r="T13" s="853">
        <f t="shared" ref="T13:T14" si="12">IFERROR(AVERAGE(Q13:S13),"")</f>
        <v>74</v>
      </c>
      <c r="U13" s="1704" t="str">
        <f t="shared" si="3"/>
        <v>3.00</v>
      </c>
      <c r="V13" s="1704" t="str">
        <f t="shared" si="4"/>
        <v>B</v>
      </c>
      <c r="W13" s="1704" t="str">
        <f t="shared" si="5"/>
        <v>B</v>
      </c>
      <c r="X13" s="1849"/>
      <c r="Y13" s="1850"/>
      <c r="Z13" s="1850"/>
      <c r="AA13" s="1850"/>
      <c r="AB13" s="1850"/>
      <c r="AC13" s="1850"/>
      <c r="AD13" s="1851"/>
      <c r="AE13" s="1851"/>
      <c r="AF13" s="1851"/>
      <c r="AG13" s="1851"/>
      <c r="AH13" s="1851"/>
      <c r="AI13" s="1852"/>
      <c r="AJ13" s="1853"/>
      <c r="AK13" s="1854"/>
    </row>
    <row r="14" spans="1:37" ht="24.95" customHeight="1" x14ac:dyDescent="0.25">
      <c r="A14" s="1687"/>
      <c r="B14" s="1688"/>
      <c r="C14" s="1270"/>
      <c r="D14" s="1689" t="s">
        <v>22</v>
      </c>
      <c r="E14" s="2086"/>
      <c r="F14" s="2086"/>
      <c r="G14" s="2086"/>
      <c r="H14" s="2088"/>
      <c r="I14" s="2088"/>
      <c r="J14" s="2088"/>
      <c r="K14" s="2086"/>
      <c r="L14" s="2086"/>
      <c r="M14" s="2086"/>
      <c r="N14" s="2088">
        <v>70</v>
      </c>
      <c r="O14" s="2088">
        <v>78</v>
      </c>
      <c r="P14" s="2088">
        <v>67</v>
      </c>
      <c r="Q14" s="2028">
        <f t="shared" si="11"/>
        <v>70</v>
      </c>
      <c r="R14" s="2126">
        <f t="shared" si="9"/>
        <v>78</v>
      </c>
      <c r="S14" s="2127">
        <f t="shared" si="10"/>
        <v>67</v>
      </c>
      <c r="T14" s="853">
        <f t="shared" si="12"/>
        <v>71.666666666666671</v>
      </c>
      <c r="U14" s="1705" t="str">
        <f t="shared" si="3"/>
        <v>3.00</v>
      </c>
      <c r="V14" s="1705" t="str">
        <f t="shared" si="4"/>
        <v>B</v>
      </c>
      <c r="W14" s="1705" t="str">
        <f t="shared" si="5"/>
        <v>B</v>
      </c>
      <c r="X14" s="1849"/>
      <c r="Y14" s="1850"/>
      <c r="Z14" s="1850"/>
      <c r="AA14" s="1850"/>
      <c r="AB14" s="1850"/>
      <c r="AC14" s="1850"/>
      <c r="AD14" s="1851"/>
      <c r="AE14" s="1851"/>
      <c r="AF14" s="1851"/>
      <c r="AG14" s="1851"/>
      <c r="AH14" s="1851"/>
      <c r="AI14" s="1852"/>
      <c r="AJ14" s="1855"/>
      <c r="AK14" s="1856"/>
    </row>
    <row r="15" spans="1:37" ht="24.95" customHeight="1" x14ac:dyDescent="0.25">
      <c r="A15" s="1690"/>
      <c r="B15" s="1691">
        <v>1</v>
      </c>
      <c r="C15" s="1692"/>
      <c r="D15" s="1693"/>
      <c r="E15" s="1694"/>
      <c r="F15" s="1694"/>
      <c r="G15" s="1694"/>
      <c r="H15" s="1694"/>
      <c r="I15" s="1694"/>
      <c r="J15" s="1694"/>
      <c r="K15" s="1694"/>
      <c r="L15" s="1694"/>
      <c r="M15" s="1694"/>
      <c r="N15" s="1694"/>
      <c r="O15" s="1694"/>
      <c r="P15" s="1694"/>
      <c r="Q15" s="1694"/>
      <c r="R15" s="2160"/>
      <c r="S15" s="2160"/>
      <c r="T15" s="2098">
        <f>IFERROR(AVERAGE(T9:T14),"  ")</f>
        <v>74.222222222222214</v>
      </c>
      <c r="U15" s="1842" t="str">
        <f>IF(T15&gt;85,("4"),IF(T15&gt;80,("3.66"),IF(T15&gt;75,("3.33"),IF(T15&gt;70,("3.00"),IF(T15&gt;65,("2.66"),IF(T15&gt;60,("2.33"),IF(T15&gt;55,("2"),IF(T15&gt;50,("1.66"),"1.33"))))))))</f>
        <v>3.00</v>
      </c>
      <c r="V15" s="1842" t="str">
        <f>IF(T15&gt;85,("A"),IF(T15&gt;80,("A-"),IF(T15&gt;75,("B+"),IF(T15&gt;70,("B"),IF(T15&gt;65,("B-"),IF(T15&gt;60,("C+"),IF(T15&gt;55,("C"),IF(T15&gt;50,("C-"),"D+"))))))))</f>
        <v>B</v>
      </c>
      <c r="W15" s="1842"/>
      <c r="X15" s="2073"/>
      <c r="Y15" s="2074"/>
      <c r="Z15" s="2074"/>
      <c r="AA15" s="2074"/>
      <c r="AB15" s="2074"/>
      <c r="AC15" s="2074"/>
      <c r="AD15" s="2074"/>
      <c r="AE15" s="2074"/>
      <c r="AF15" s="2074"/>
      <c r="AG15" s="2074"/>
      <c r="AH15" s="2074"/>
      <c r="AI15" s="2075"/>
      <c r="AJ15" s="1857"/>
      <c r="AK15" s="1858"/>
    </row>
    <row r="16" spans="1:37" ht="24.95" customHeight="1" x14ac:dyDescent="0.25">
      <c r="A16" s="1683">
        <v>2</v>
      </c>
      <c r="B16" s="1684"/>
      <c r="C16" s="1685" t="str">
        <f>VLOOKUP(A16,data_siswa,4,FALSE)</f>
        <v>Angelia Vabel R</v>
      </c>
      <c r="D16" s="1686" t="s">
        <v>154</v>
      </c>
      <c r="E16" s="1494">
        <v>0</v>
      </c>
      <c r="F16" s="1494">
        <v>0</v>
      </c>
      <c r="G16" s="1494">
        <v>0</v>
      </c>
      <c r="H16" s="2087">
        <v>0</v>
      </c>
      <c r="I16" s="2087">
        <v>0</v>
      </c>
      <c r="J16" s="2087">
        <v>0</v>
      </c>
      <c r="K16" s="1494"/>
      <c r="L16" s="1494"/>
      <c r="M16" s="1494"/>
      <c r="N16" s="2087"/>
      <c r="O16" s="2087"/>
      <c r="P16" s="2087"/>
      <c r="Q16" s="2028">
        <f>MAX(E16,H16,K16,N16)</f>
        <v>0</v>
      </c>
      <c r="R16" s="2126">
        <f t="shared" ref="R16:R21" si="13">MAX(F16,I16,L16,O16)</f>
        <v>0</v>
      </c>
      <c r="S16" s="2127">
        <f t="shared" ref="S16:S21" si="14">MAX(G16,J16,M16,P16)</f>
        <v>0</v>
      </c>
      <c r="T16" s="853">
        <f>IFERROR(AVERAGE(Q16:S16),"")</f>
        <v>0</v>
      </c>
      <c r="U16" s="1704" t="str">
        <f>IF(T16&gt;85,("4"),IF(T16&gt;80,("3.66"),IF(T16&gt;75,("3.33"),IF(T16&gt;70,("3.00"),IF(T16&gt;65,("2.66"),IF(T16&gt;60,("2.33"),IF(T16&gt;55,("2"),IF(T16&gt;50,("1.66"),"1.33"))))))))</f>
        <v>1.33</v>
      </c>
      <c r="V16" s="1704" t="str">
        <f>IF(T16&gt;85,("A"),IF(T16&gt;80,("A-"),IF(T16&gt;75,("B+"),IF(T16&gt;70,("B"),IF(T16&gt;65,("B-"),IF(T16&gt;60,("C+"),IF(T16&gt;55,("C"),IF(T16&gt;50,("C-"),"D+"))))))))</f>
        <v>D+</v>
      </c>
      <c r="W16" s="1704" t="str">
        <f>IF(T16&gt;80,("SB"),IF(T16&gt;65,("B"),IF(T16&gt;50,("C"),IF(T16&gt;0,("K"),"0"))))</f>
        <v>0</v>
      </c>
      <c r="X16" s="1267"/>
      <c r="Y16" s="1267"/>
      <c r="Z16" s="1267"/>
      <c r="AA16" s="1267"/>
      <c r="AB16" s="1267"/>
      <c r="AC16" s="1267"/>
      <c r="AD16" s="1268"/>
      <c r="AE16" s="1268"/>
      <c r="AF16" s="1268"/>
      <c r="AG16" s="1268"/>
      <c r="AH16" s="1268"/>
      <c r="AI16" s="1268"/>
      <c r="AJ16" s="2099">
        <f>T22</f>
        <v>0</v>
      </c>
      <c r="AK16" s="2095" t="str">
        <f>V22</f>
        <v>D+</v>
      </c>
    </row>
    <row r="17" spans="1:37" ht="24.95" customHeight="1" x14ac:dyDescent="0.25">
      <c r="A17" s="1687"/>
      <c r="B17" s="1688"/>
      <c r="C17" s="1270"/>
      <c r="D17" s="1686" t="s">
        <v>155</v>
      </c>
      <c r="E17" s="1494">
        <v>0</v>
      </c>
      <c r="F17" s="1494">
        <v>0</v>
      </c>
      <c r="G17" s="1494">
        <v>0</v>
      </c>
      <c r="H17" s="2087">
        <v>0</v>
      </c>
      <c r="I17" s="2087">
        <v>0</v>
      </c>
      <c r="J17" s="2087">
        <v>0</v>
      </c>
      <c r="K17" s="1494">
        <v>0</v>
      </c>
      <c r="L17" s="1494">
        <v>0</v>
      </c>
      <c r="M17" s="1494">
        <v>0</v>
      </c>
      <c r="N17" s="2087"/>
      <c r="O17" s="2087"/>
      <c r="P17" s="2087"/>
      <c r="Q17" s="2028">
        <f t="shared" ref="Q17:Q18" si="15">MAX(E17,H17,K17,N17)</f>
        <v>0</v>
      </c>
      <c r="R17" s="2126">
        <f t="shared" si="13"/>
        <v>0</v>
      </c>
      <c r="S17" s="2127">
        <f t="shared" si="14"/>
        <v>0</v>
      </c>
      <c r="T17" s="853">
        <f t="shared" ref="T17:T18" si="16">IFERROR(AVERAGE(Q17:S17),"")</f>
        <v>0</v>
      </c>
      <c r="U17" s="1704" t="str">
        <f t="shared" ref="U17:U21" si="17">IF(T17&gt;85,("4"),IF(T17&gt;80,("3.66"),IF(T17&gt;75,("3.33"),IF(T17&gt;70,("3.00"),IF(T17&gt;65,("2.66"),IF(T17&gt;60,("2.33"),IF(T17&gt;55,("2"),IF(T17&gt;50,("1.66"),"1.33"))))))))</f>
        <v>1.33</v>
      </c>
      <c r="V17" s="1704" t="str">
        <f t="shared" ref="V17:V21" si="18">IF(T17&gt;85,("A"),IF(T17&gt;80,("A-"),IF(T17&gt;75,("B+"),IF(T17&gt;70,("B"),IF(T17&gt;65,("B-"),IF(T17&gt;60,("C+"),IF(T17&gt;55,("C"),IF(T17&gt;50,("C-"),"D+"))))))))</f>
        <v>D+</v>
      </c>
      <c r="W17" s="1704" t="str">
        <f t="shared" ref="W17:W21" si="19">IF(T17&gt;80,("SB"),IF(T17&gt;65,("B"),IF(T17&gt;50,("C"),IF(T17&gt;0,("K"),"0"))))</f>
        <v>0</v>
      </c>
      <c r="X17" s="1843"/>
      <c r="Y17" s="1844"/>
      <c r="Z17" s="1844"/>
      <c r="AA17" s="1844"/>
      <c r="AB17" s="1844"/>
      <c r="AC17" s="1844"/>
      <c r="AD17" s="1845"/>
      <c r="AE17" s="1845"/>
      <c r="AF17" s="1845"/>
      <c r="AG17" s="1845"/>
      <c r="AH17" s="1845"/>
      <c r="AI17" s="1846"/>
      <c r="AJ17" s="1847"/>
      <c r="AK17" s="1848"/>
    </row>
    <row r="18" spans="1:37" ht="24.95" customHeight="1" x14ac:dyDescent="0.25">
      <c r="A18" s="1687"/>
      <c r="B18" s="1688"/>
      <c r="C18" s="1270"/>
      <c r="D18" s="1686" t="s">
        <v>11</v>
      </c>
      <c r="E18" s="1494">
        <v>0</v>
      </c>
      <c r="F18" s="1494">
        <v>0</v>
      </c>
      <c r="G18" s="1494">
        <v>0</v>
      </c>
      <c r="H18" s="2087">
        <v>0</v>
      </c>
      <c r="I18" s="2087">
        <v>0</v>
      </c>
      <c r="J18" s="2087">
        <v>0</v>
      </c>
      <c r="K18" s="1494">
        <v>0</v>
      </c>
      <c r="L18" s="1494">
        <v>0</v>
      </c>
      <c r="M18" s="1494">
        <v>0</v>
      </c>
      <c r="N18" s="2087">
        <v>0</v>
      </c>
      <c r="O18" s="2087">
        <v>0</v>
      </c>
      <c r="P18" s="2087">
        <v>0</v>
      </c>
      <c r="Q18" s="2028">
        <f t="shared" si="15"/>
        <v>0</v>
      </c>
      <c r="R18" s="2126">
        <f t="shared" si="13"/>
        <v>0</v>
      </c>
      <c r="S18" s="2127">
        <f t="shared" si="14"/>
        <v>0</v>
      </c>
      <c r="T18" s="853">
        <f t="shared" si="16"/>
        <v>0</v>
      </c>
      <c r="U18" s="1704" t="str">
        <f t="shared" si="17"/>
        <v>1.33</v>
      </c>
      <c r="V18" s="1704" t="str">
        <f t="shared" si="18"/>
        <v>D+</v>
      </c>
      <c r="W18" s="1704" t="str">
        <f t="shared" si="19"/>
        <v>0</v>
      </c>
      <c r="X18" s="1849"/>
      <c r="Y18" s="1850"/>
      <c r="Z18" s="1850"/>
      <c r="AA18" s="1850"/>
      <c r="AB18" s="1850"/>
      <c r="AC18" s="1850"/>
      <c r="AD18" s="1851"/>
      <c r="AE18" s="1851"/>
      <c r="AF18" s="1851"/>
      <c r="AG18" s="1851"/>
      <c r="AH18" s="1851"/>
      <c r="AI18" s="1852"/>
      <c r="AJ18" s="1853"/>
      <c r="AK18" s="1854"/>
    </row>
    <row r="19" spans="1:37" ht="24.95" customHeight="1" x14ac:dyDescent="0.25">
      <c r="A19" s="1687"/>
      <c r="B19" s="1688"/>
      <c r="C19" s="1270"/>
      <c r="D19" s="1686" t="s">
        <v>16</v>
      </c>
      <c r="E19" s="1494"/>
      <c r="F19" s="1494"/>
      <c r="G19" s="1494"/>
      <c r="H19" s="2087"/>
      <c r="I19" s="2087"/>
      <c r="J19" s="2087"/>
      <c r="K19" s="1494"/>
      <c r="L19" s="1494"/>
      <c r="M19" s="1494"/>
      <c r="N19" s="2087">
        <v>0</v>
      </c>
      <c r="O19" s="2087">
        <v>0</v>
      </c>
      <c r="P19" s="2087">
        <v>0</v>
      </c>
      <c r="Q19" s="2028">
        <f>MAX(E19,H19,K19,N19)</f>
        <v>0</v>
      </c>
      <c r="R19" s="2126">
        <f t="shared" si="13"/>
        <v>0</v>
      </c>
      <c r="S19" s="2127">
        <f t="shared" si="14"/>
        <v>0</v>
      </c>
      <c r="T19" s="853">
        <f>IFERROR(AVERAGE(Q19:S19),"")</f>
        <v>0</v>
      </c>
      <c r="U19" s="1704" t="str">
        <f t="shared" si="17"/>
        <v>1.33</v>
      </c>
      <c r="V19" s="1704" t="str">
        <f t="shared" si="18"/>
        <v>D+</v>
      </c>
      <c r="W19" s="1704" t="str">
        <f t="shared" si="19"/>
        <v>0</v>
      </c>
      <c r="X19" s="1849"/>
      <c r="Y19" s="1850"/>
      <c r="Z19" s="1850"/>
      <c r="AA19" s="1850"/>
      <c r="AB19" s="1850"/>
      <c r="AC19" s="1850"/>
      <c r="AD19" s="1851"/>
      <c r="AE19" s="1851"/>
      <c r="AF19" s="1851"/>
      <c r="AG19" s="1851"/>
      <c r="AH19" s="1851"/>
      <c r="AI19" s="1852"/>
      <c r="AJ19" s="1853"/>
      <c r="AK19" s="1854"/>
    </row>
    <row r="20" spans="1:37" ht="24.95" customHeight="1" x14ac:dyDescent="0.25">
      <c r="A20" s="1687"/>
      <c r="B20" s="1688"/>
      <c r="C20" s="1270"/>
      <c r="D20" s="1686" t="s">
        <v>186</v>
      </c>
      <c r="E20" s="1494"/>
      <c r="F20" s="1494"/>
      <c r="G20" s="1494"/>
      <c r="H20" s="2087"/>
      <c r="I20" s="2087"/>
      <c r="J20" s="2087"/>
      <c r="K20" s="1494">
        <v>0</v>
      </c>
      <c r="L20" s="1494">
        <v>0</v>
      </c>
      <c r="M20" s="1494">
        <v>0</v>
      </c>
      <c r="N20" s="2087"/>
      <c r="O20" s="2087"/>
      <c r="P20" s="2087"/>
      <c r="Q20" s="2028">
        <f t="shared" ref="Q20:Q21" si="20">MAX(E20,H20,K20,N20)</f>
        <v>0</v>
      </c>
      <c r="R20" s="2126">
        <f t="shared" si="13"/>
        <v>0</v>
      </c>
      <c r="S20" s="2127">
        <f t="shared" si="14"/>
        <v>0</v>
      </c>
      <c r="T20" s="853">
        <f t="shared" ref="T20:T21" si="21">IFERROR(AVERAGE(Q20:S20),"")</f>
        <v>0</v>
      </c>
      <c r="U20" s="1704" t="str">
        <f t="shared" si="17"/>
        <v>1.33</v>
      </c>
      <c r="V20" s="1704" t="str">
        <f t="shared" si="18"/>
        <v>D+</v>
      </c>
      <c r="W20" s="1704" t="str">
        <f t="shared" si="19"/>
        <v>0</v>
      </c>
      <c r="X20" s="1849"/>
      <c r="Y20" s="1850"/>
      <c r="Z20" s="1850"/>
      <c r="AA20" s="1850"/>
      <c r="AB20" s="1850"/>
      <c r="AC20" s="1850"/>
      <c r="AD20" s="1851"/>
      <c r="AE20" s="1851"/>
      <c r="AF20" s="1851"/>
      <c r="AG20" s="1851"/>
      <c r="AH20" s="1851"/>
      <c r="AI20" s="1852"/>
      <c r="AJ20" s="1853"/>
      <c r="AK20" s="1854"/>
    </row>
    <row r="21" spans="1:37" ht="24.95" customHeight="1" x14ac:dyDescent="0.25">
      <c r="A21" s="1687"/>
      <c r="B21" s="1688"/>
      <c r="C21" s="1270"/>
      <c r="D21" s="1686" t="s">
        <v>22</v>
      </c>
      <c r="E21" s="2086"/>
      <c r="F21" s="2086"/>
      <c r="G21" s="2086"/>
      <c r="H21" s="2088"/>
      <c r="I21" s="2088"/>
      <c r="J21" s="2088"/>
      <c r="K21" s="2086"/>
      <c r="L21" s="2086"/>
      <c r="M21" s="2086"/>
      <c r="N21" s="2088">
        <v>0</v>
      </c>
      <c r="O21" s="2088">
        <v>0</v>
      </c>
      <c r="P21" s="2088">
        <v>0</v>
      </c>
      <c r="Q21" s="2028">
        <f t="shared" si="20"/>
        <v>0</v>
      </c>
      <c r="R21" s="2126">
        <f t="shared" si="13"/>
        <v>0</v>
      </c>
      <c r="S21" s="2127">
        <f t="shared" si="14"/>
        <v>0</v>
      </c>
      <c r="T21" s="853">
        <f t="shared" si="21"/>
        <v>0</v>
      </c>
      <c r="U21" s="1705" t="str">
        <f t="shared" si="17"/>
        <v>1.33</v>
      </c>
      <c r="V21" s="1705" t="str">
        <f t="shared" si="18"/>
        <v>D+</v>
      </c>
      <c r="W21" s="1705" t="str">
        <f t="shared" si="19"/>
        <v>0</v>
      </c>
      <c r="X21" s="1849"/>
      <c r="Y21" s="1850"/>
      <c r="Z21" s="1850"/>
      <c r="AA21" s="1850"/>
      <c r="AB21" s="1850"/>
      <c r="AC21" s="1850"/>
      <c r="AD21" s="1851"/>
      <c r="AE21" s="1851"/>
      <c r="AF21" s="1851"/>
      <c r="AG21" s="1851"/>
      <c r="AH21" s="1851"/>
      <c r="AI21" s="1852"/>
      <c r="AJ21" s="1855"/>
      <c r="AK21" s="1856"/>
    </row>
    <row r="22" spans="1:37" ht="24.95" customHeight="1" x14ac:dyDescent="0.25">
      <c r="A22" s="1693"/>
      <c r="B22" s="1237">
        <v>2</v>
      </c>
      <c r="C22" s="1695" t="s">
        <v>167</v>
      </c>
      <c r="D22" s="1696"/>
      <c r="E22" s="1694"/>
      <c r="F22" s="1694"/>
      <c r="G22" s="1694"/>
      <c r="H22" s="1694"/>
      <c r="I22" s="1694"/>
      <c r="J22" s="1694"/>
      <c r="K22" s="1694"/>
      <c r="L22" s="1694"/>
      <c r="M22" s="1694"/>
      <c r="N22" s="1694"/>
      <c r="O22" s="1694"/>
      <c r="P22" s="1694"/>
      <c r="Q22" s="1694"/>
      <c r="R22" s="2160"/>
      <c r="S22" s="2160"/>
      <c r="T22" s="1938">
        <f>IFERROR(AVERAGE(T16:T21),"  ")</f>
        <v>0</v>
      </c>
      <c r="U22" s="1842" t="str">
        <f>IF(T22&gt;85,("4"),IF(T22&gt;80,("3.66"),IF(T22&gt;75,("3.33"),IF(T22&gt;70,("3.00"),IF(T22&gt;65,("2.66"),IF(T22&gt;60,("2.33"),IF(T22&gt;55,("2"),IF(T22&gt;50,("1.66"),"1.33"))))))))</f>
        <v>1.33</v>
      </c>
      <c r="V22" s="1842" t="str">
        <f>IF(T22&gt;85,("A"),IF(T22&gt;80,("A-"),IF(T22&gt;75,("B+"),IF(T22&gt;70,("B"),IF(T22&gt;65,("B-"),IF(T22&gt;60,("C+"),IF(T22&gt;55,("C"),IF(T22&gt;50,("C-"),"D+"))))))))</f>
        <v>D+</v>
      </c>
      <c r="W22" s="1842"/>
      <c r="X22" s="2073"/>
      <c r="Y22" s="2074"/>
      <c r="Z22" s="2074"/>
      <c r="AA22" s="2074"/>
      <c r="AB22" s="2074"/>
      <c r="AC22" s="2074"/>
      <c r="AD22" s="2074"/>
      <c r="AE22" s="2074"/>
      <c r="AF22" s="2074"/>
      <c r="AG22" s="2074"/>
      <c r="AH22" s="2074"/>
      <c r="AI22" s="2075"/>
      <c r="AJ22" s="1857"/>
      <c r="AK22" s="1858"/>
    </row>
    <row r="23" spans="1:37" ht="24.95" customHeight="1" x14ac:dyDescent="0.25">
      <c r="A23" s="1683">
        <v>3</v>
      </c>
      <c r="B23" s="1684"/>
      <c r="C23" s="1685" t="str">
        <f>VLOOKUP(A23,data_siswa,4,FALSE)</f>
        <v>Anggun Dwi P.I</v>
      </c>
      <c r="D23" s="1686" t="s">
        <v>154</v>
      </c>
      <c r="E23" s="1494">
        <v>0</v>
      </c>
      <c r="F23" s="1494">
        <v>0</v>
      </c>
      <c r="G23" s="1494">
        <v>0</v>
      </c>
      <c r="H23" s="2087">
        <v>0</v>
      </c>
      <c r="I23" s="2087">
        <v>0</v>
      </c>
      <c r="J23" s="2087">
        <v>0</v>
      </c>
      <c r="K23" s="1494"/>
      <c r="L23" s="1494"/>
      <c r="M23" s="1494"/>
      <c r="N23" s="2087"/>
      <c r="O23" s="2087"/>
      <c r="P23" s="2087"/>
      <c r="Q23" s="2028">
        <f>MAX(E23,H23,K23,N23)</f>
        <v>0</v>
      </c>
      <c r="R23" s="2126">
        <f t="shared" ref="R23:R28" si="22">MAX(F23,I23,L23,O23)</f>
        <v>0</v>
      </c>
      <c r="S23" s="2127">
        <f t="shared" ref="S23:S28" si="23">MAX(G23,J23,M23,P23)</f>
        <v>0</v>
      </c>
      <c r="T23" s="853">
        <f>IFERROR(AVERAGE(Q23:S23),"")</f>
        <v>0</v>
      </c>
      <c r="U23" s="1704" t="str">
        <f>IF(T23&gt;85,("4"),IF(T23&gt;80,("3.66"),IF(T23&gt;75,("3.33"),IF(T23&gt;70,("3.00"),IF(T23&gt;65,("2.66"),IF(T23&gt;60,("2.33"),IF(T23&gt;55,("2"),IF(T23&gt;50,("1.66"),"1.33"))))))))</f>
        <v>1.33</v>
      </c>
      <c r="V23" s="1704" t="str">
        <f>IF(T23&gt;85,("A"),IF(T23&gt;80,("A-"),IF(T23&gt;75,("B+"),IF(T23&gt;70,("B"),IF(T23&gt;65,("B-"),IF(T23&gt;60,("C+"),IF(T23&gt;55,("C"),IF(T23&gt;50,("C-"),"D+"))))))))</f>
        <v>D+</v>
      </c>
      <c r="W23" s="1704" t="str">
        <f>IF(T23&gt;80,("SB"),IF(T23&gt;65,("B"),IF(T23&gt;50,("C"),IF(T23&gt;0,("K"),"0"))))</f>
        <v>0</v>
      </c>
      <c r="X23" s="1267"/>
      <c r="Y23" s="1267"/>
      <c r="Z23" s="1267"/>
      <c r="AA23" s="1267"/>
      <c r="AB23" s="1267"/>
      <c r="AC23" s="1267"/>
      <c r="AD23" s="1268"/>
      <c r="AE23" s="1268"/>
      <c r="AF23" s="1268"/>
      <c r="AG23" s="1268"/>
      <c r="AH23" s="1268"/>
      <c r="AI23" s="1268"/>
      <c r="AJ23" s="2099">
        <f>T29</f>
        <v>0</v>
      </c>
      <c r="AK23" s="2095" t="str">
        <f>V29</f>
        <v>D+</v>
      </c>
    </row>
    <row r="24" spans="1:37" ht="24.95" customHeight="1" x14ac:dyDescent="0.25">
      <c r="A24" s="1687"/>
      <c r="B24" s="1688"/>
      <c r="C24" s="1270"/>
      <c r="D24" s="1686" t="s">
        <v>155</v>
      </c>
      <c r="E24" s="1494">
        <v>0</v>
      </c>
      <c r="F24" s="1494">
        <v>0</v>
      </c>
      <c r="G24" s="1494">
        <v>0</v>
      </c>
      <c r="H24" s="2087">
        <v>0</v>
      </c>
      <c r="I24" s="2087">
        <v>0</v>
      </c>
      <c r="J24" s="2087">
        <v>0</v>
      </c>
      <c r="K24" s="1494">
        <v>0</v>
      </c>
      <c r="L24" s="1494">
        <v>0</v>
      </c>
      <c r="M24" s="1494">
        <v>0</v>
      </c>
      <c r="N24" s="2087"/>
      <c r="O24" s="2087"/>
      <c r="P24" s="2087"/>
      <c r="Q24" s="2028">
        <f t="shared" ref="Q24:Q25" si="24">MAX(E24,H24,K24,N24)</f>
        <v>0</v>
      </c>
      <c r="R24" s="2126">
        <f t="shared" si="22"/>
        <v>0</v>
      </c>
      <c r="S24" s="2127">
        <f t="shared" si="23"/>
        <v>0</v>
      </c>
      <c r="T24" s="853">
        <f t="shared" ref="T24:T25" si="25">IFERROR(AVERAGE(Q24:S24),"")</f>
        <v>0</v>
      </c>
      <c r="U24" s="1704" t="str">
        <f t="shared" ref="U24:U28" si="26">IF(T24&gt;85,("4"),IF(T24&gt;80,("3.66"),IF(T24&gt;75,("3.33"),IF(T24&gt;70,("3.00"),IF(T24&gt;65,("2.66"),IF(T24&gt;60,("2.33"),IF(T24&gt;55,("2"),IF(T24&gt;50,("1.66"),"1.33"))))))))</f>
        <v>1.33</v>
      </c>
      <c r="V24" s="1704" t="str">
        <f t="shared" ref="V24:V28" si="27">IF(T24&gt;85,("A"),IF(T24&gt;80,("A-"),IF(T24&gt;75,("B+"),IF(T24&gt;70,("B"),IF(T24&gt;65,("B-"),IF(T24&gt;60,("C+"),IF(T24&gt;55,("C"),IF(T24&gt;50,("C-"),"D+"))))))))</f>
        <v>D+</v>
      </c>
      <c r="W24" s="1704" t="str">
        <f t="shared" ref="W24:W28" si="28">IF(T24&gt;80,("SB"),IF(T24&gt;65,("B"),IF(T24&gt;50,("C"),IF(T24&gt;0,("K"),"0"))))</f>
        <v>0</v>
      </c>
      <c r="X24" s="1843"/>
      <c r="Y24" s="1844"/>
      <c r="Z24" s="1844"/>
      <c r="AA24" s="1844"/>
      <c r="AB24" s="1844"/>
      <c r="AC24" s="1844"/>
      <c r="AD24" s="1845"/>
      <c r="AE24" s="1845"/>
      <c r="AF24" s="1845"/>
      <c r="AG24" s="1845"/>
      <c r="AH24" s="1845"/>
      <c r="AI24" s="1846"/>
      <c r="AJ24" s="1847"/>
      <c r="AK24" s="1848"/>
    </row>
    <row r="25" spans="1:37" ht="24.95" customHeight="1" x14ac:dyDescent="0.25">
      <c r="A25" s="1687"/>
      <c r="B25" s="1688"/>
      <c r="C25" s="1270"/>
      <c r="D25" s="1686" t="s">
        <v>11</v>
      </c>
      <c r="E25" s="1494">
        <v>0</v>
      </c>
      <c r="F25" s="1494">
        <v>0</v>
      </c>
      <c r="G25" s="1494">
        <v>0</v>
      </c>
      <c r="H25" s="2087">
        <v>0</v>
      </c>
      <c r="I25" s="2087">
        <v>0</v>
      </c>
      <c r="J25" s="2087">
        <v>0</v>
      </c>
      <c r="K25" s="1494">
        <v>0</v>
      </c>
      <c r="L25" s="1494">
        <v>0</v>
      </c>
      <c r="M25" s="1494">
        <v>0</v>
      </c>
      <c r="N25" s="2087">
        <v>0</v>
      </c>
      <c r="O25" s="2087">
        <v>0</v>
      </c>
      <c r="P25" s="2087">
        <v>0</v>
      </c>
      <c r="Q25" s="2028">
        <f t="shared" si="24"/>
        <v>0</v>
      </c>
      <c r="R25" s="2126">
        <f t="shared" si="22"/>
        <v>0</v>
      </c>
      <c r="S25" s="2127">
        <f t="shared" si="23"/>
        <v>0</v>
      </c>
      <c r="T25" s="853">
        <f t="shared" si="25"/>
        <v>0</v>
      </c>
      <c r="U25" s="1704" t="str">
        <f t="shared" si="26"/>
        <v>1.33</v>
      </c>
      <c r="V25" s="1704" t="str">
        <f t="shared" si="27"/>
        <v>D+</v>
      </c>
      <c r="W25" s="1704" t="str">
        <f t="shared" si="28"/>
        <v>0</v>
      </c>
      <c r="X25" s="1849"/>
      <c r="Y25" s="1850"/>
      <c r="Z25" s="1850"/>
      <c r="AA25" s="1850"/>
      <c r="AB25" s="1850"/>
      <c r="AC25" s="1850"/>
      <c r="AD25" s="1851"/>
      <c r="AE25" s="1851"/>
      <c r="AF25" s="1851"/>
      <c r="AG25" s="1851"/>
      <c r="AH25" s="1851"/>
      <c r="AI25" s="1852"/>
      <c r="AJ25" s="1853"/>
      <c r="AK25" s="1854"/>
    </row>
    <row r="26" spans="1:37" ht="24.95" customHeight="1" x14ac:dyDescent="0.25">
      <c r="A26" s="1687"/>
      <c r="B26" s="1688"/>
      <c r="C26" s="1270"/>
      <c r="D26" s="1686" t="s">
        <v>16</v>
      </c>
      <c r="E26" s="1494"/>
      <c r="F26" s="1494"/>
      <c r="G26" s="1494"/>
      <c r="H26" s="2087"/>
      <c r="I26" s="2087"/>
      <c r="J26" s="2087"/>
      <c r="K26" s="1494"/>
      <c r="L26" s="1494"/>
      <c r="M26" s="1494"/>
      <c r="N26" s="2087">
        <v>0</v>
      </c>
      <c r="O26" s="2087">
        <v>0</v>
      </c>
      <c r="P26" s="2087">
        <v>0</v>
      </c>
      <c r="Q26" s="2028">
        <f>MAX(E26,H26,K26,N26)</f>
        <v>0</v>
      </c>
      <c r="R26" s="2126">
        <f t="shared" si="22"/>
        <v>0</v>
      </c>
      <c r="S26" s="2127">
        <f t="shared" si="23"/>
        <v>0</v>
      </c>
      <c r="T26" s="853">
        <f>IFERROR(AVERAGE(Q26:S26),"")</f>
        <v>0</v>
      </c>
      <c r="U26" s="1704" t="str">
        <f t="shared" si="26"/>
        <v>1.33</v>
      </c>
      <c r="V26" s="1704" t="str">
        <f t="shared" si="27"/>
        <v>D+</v>
      </c>
      <c r="W26" s="1704" t="str">
        <f t="shared" si="28"/>
        <v>0</v>
      </c>
      <c r="X26" s="1849"/>
      <c r="Y26" s="1850"/>
      <c r="Z26" s="1850"/>
      <c r="AA26" s="1850"/>
      <c r="AB26" s="1850"/>
      <c r="AC26" s="1850"/>
      <c r="AD26" s="1851"/>
      <c r="AE26" s="1851"/>
      <c r="AF26" s="1851"/>
      <c r="AG26" s="1851"/>
      <c r="AH26" s="1851"/>
      <c r="AI26" s="1852"/>
      <c r="AJ26" s="1853"/>
      <c r="AK26" s="1854"/>
    </row>
    <row r="27" spans="1:37" ht="24.95" customHeight="1" x14ac:dyDescent="0.25">
      <c r="A27" s="1687"/>
      <c r="B27" s="1688"/>
      <c r="C27" s="1270"/>
      <c r="D27" s="1686" t="s">
        <v>186</v>
      </c>
      <c r="E27" s="1494"/>
      <c r="F27" s="1494"/>
      <c r="G27" s="1494"/>
      <c r="H27" s="2087"/>
      <c r="I27" s="2087"/>
      <c r="J27" s="2087"/>
      <c r="K27" s="1494">
        <v>0</v>
      </c>
      <c r="L27" s="1494">
        <v>0</v>
      </c>
      <c r="M27" s="1494">
        <v>0</v>
      </c>
      <c r="N27" s="2087"/>
      <c r="O27" s="2087"/>
      <c r="P27" s="2087"/>
      <c r="Q27" s="2028">
        <f t="shared" ref="Q27:Q28" si="29">MAX(E27,H27,K27,N27)</f>
        <v>0</v>
      </c>
      <c r="R27" s="2126">
        <f t="shared" si="22"/>
        <v>0</v>
      </c>
      <c r="S27" s="2127">
        <f t="shared" si="23"/>
        <v>0</v>
      </c>
      <c r="T27" s="853">
        <f t="shared" ref="T27:T28" si="30">IFERROR(AVERAGE(Q27:S27),"")</f>
        <v>0</v>
      </c>
      <c r="U27" s="1704" t="str">
        <f t="shared" si="26"/>
        <v>1.33</v>
      </c>
      <c r="V27" s="1704" t="str">
        <f t="shared" si="27"/>
        <v>D+</v>
      </c>
      <c r="W27" s="1704" t="str">
        <f t="shared" si="28"/>
        <v>0</v>
      </c>
      <c r="X27" s="1849"/>
      <c r="Y27" s="1850"/>
      <c r="Z27" s="1850"/>
      <c r="AA27" s="1850"/>
      <c r="AB27" s="1850"/>
      <c r="AC27" s="1850"/>
      <c r="AD27" s="1851"/>
      <c r="AE27" s="1851"/>
      <c r="AF27" s="1851"/>
      <c r="AG27" s="1851"/>
      <c r="AH27" s="1851"/>
      <c r="AI27" s="1852"/>
      <c r="AJ27" s="1853"/>
      <c r="AK27" s="1854"/>
    </row>
    <row r="28" spans="1:37" ht="24.95" customHeight="1" x14ac:dyDescent="0.25">
      <c r="A28" s="1687"/>
      <c r="B28" s="1688"/>
      <c r="C28" s="1270"/>
      <c r="D28" s="1686" t="s">
        <v>22</v>
      </c>
      <c r="E28" s="2086"/>
      <c r="F28" s="2086"/>
      <c r="G28" s="2086"/>
      <c r="H28" s="2088"/>
      <c r="I28" s="2088"/>
      <c r="J28" s="2088"/>
      <c r="K28" s="2086"/>
      <c r="L28" s="2086"/>
      <c r="M28" s="2086"/>
      <c r="N28" s="2088">
        <v>0</v>
      </c>
      <c r="O28" s="2088">
        <v>0</v>
      </c>
      <c r="P28" s="2088">
        <v>0</v>
      </c>
      <c r="Q28" s="2028">
        <f t="shared" si="29"/>
        <v>0</v>
      </c>
      <c r="R28" s="2126">
        <f t="shared" si="22"/>
        <v>0</v>
      </c>
      <c r="S28" s="2127">
        <f t="shared" si="23"/>
        <v>0</v>
      </c>
      <c r="T28" s="853">
        <f t="shared" si="30"/>
        <v>0</v>
      </c>
      <c r="U28" s="1705" t="str">
        <f t="shared" si="26"/>
        <v>1.33</v>
      </c>
      <c r="V28" s="1705" t="str">
        <f t="shared" si="27"/>
        <v>D+</v>
      </c>
      <c r="W28" s="1705" t="str">
        <f t="shared" si="28"/>
        <v>0</v>
      </c>
      <c r="X28" s="1849"/>
      <c r="Y28" s="1850"/>
      <c r="Z28" s="1850"/>
      <c r="AA28" s="1850"/>
      <c r="AB28" s="1850"/>
      <c r="AC28" s="1850"/>
      <c r="AD28" s="1851"/>
      <c r="AE28" s="1851"/>
      <c r="AF28" s="1851"/>
      <c r="AG28" s="1851"/>
      <c r="AH28" s="1851"/>
      <c r="AI28" s="1852"/>
      <c r="AJ28" s="1855"/>
      <c r="AK28" s="1856"/>
    </row>
    <row r="29" spans="1:37" ht="24.95" customHeight="1" x14ac:dyDescent="0.25">
      <c r="A29" s="1693"/>
      <c r="B29" s="1237">
        <v>3</v>
      </c>
      <c r="C29" s="1695" t="s">
        <v>167</v>
      </c>
      <c r="D29" s="1696"/>
      <c r="E29" s="1694"/>
      <c r="F29" s="1694"/>
      <c r="G29" s="1694"/>
      <c r="H29" s="1694"/>
      <c r="I29" s="1694"/>
      <c r="J29" s="1694"/>
      <c r="K29" s="1694"/>
      <c r="L29" s="1694"/>
      <c r="M29" s="1694"/>
      <c r="N29" s="1694"/>
      <c r="O29" s="1694"/>
      <c r="P29" s="1694"/>
      <c r="Q29" s="1694"/>
      <c r="R29" s="2160"/>
      <c r="S29" s="2160"/>
      <c r="T29" s="1938">
        <f>IFERROR(AVERAGE(T23:T28),"  ")</f>
        <v>0</v>
      </c>
      <c r="U29" s="1842" t="str">
        <f>IF(T29&gt;85,("4"),IF(T29&gt;80,("3.66"),IF(T29&gt;75,("3.33"),IF(T29&gt;70,("3.00"),IF(T29&gt;65,("2.66"),IF(T29&gt;60,("2.33"),IF(T29&gt;55,("2"),IF(T29&gt;50,("1.66"),"1.33"))))))))</f>
        <v>1.33</v>
      </c>
      <c r="V29" s="1842" t="str">
        <f>IF(T29&gt;85,("A"),IF(T29&gt;80,("A-"),IF(T29&gt;75,("B+"),IF(T29&gt;70,("B"),IF(T29&gt;65,("B-"),IF(T29&gt;60,("C+"),IF(T29&gt;55,("C"),IF(T29&gt;50,("C-"),"D+"))))))))</f>
        <v>D+</v>
      </c>
      <c r="W29" s="1842"/>
      <c r="X29" s="2073"/>
      <c r="Y29" s="2074"/>
      <c r="Z29" s="2074"/>
      <c r="AA29" s="2074"/>
      <c r="AB29" s="2074"/>
      <c r="AC29" s="2074"/>
      <c r="AD29" s="2074"/>
      <c r="AE29" s="2074"/>
      <c r="AF29" s="2074"/>
      <c r="AG29" s="2074"/>
      <c r="AH29" s="2074"/>
      <c r="AI29" s="2075"/>
      <c r="AJ29" s="1857"/>
      <c r="AK29" s="1858"/>
    </row>
    <row r="30" spans="1:37" ht="24.95" customHeight="1" x14ac:dyDescent="0.25">
      <c r="A30" s="1683">
        <v>4</v>
      </c>
      <c r="B30" s="1684"/>
      <c r="C30" s="1685" t="str">
        <f>VLOOKUP(A30,data_siswa,4,FALSE)</f>
        <v>Antonio Permata A</v>
      </c>
      <c r="D30" s="1686" t="s">
        <v>154</v>
      </c>
      <c r="E30" s="1494">
        <v>0</v>
      </c>
      <c r="F30" s="1494">
        <v>0</v>
      </c>
      <c r="G30" s="1494">
        <v>0</v>
      </c>
      <c r="H30" s="2087">
        <v>0</v>
      </c>
      <c r="I30" s="2087">
        <v>0</v>
      </c>
      <c r="J30" s="2087">
        <v>0</v>
      </c>
      <c r="K30" s="1494"/>
      <c r="L30" s="1494"/>
      <c r="M30" s="1494"/>
      <c r="N30" s="2087"/>
      <c r="O30" s="2087"/>
      <c r="P30" s="2087"/>
      <c r="Q30" s="2028">
        <f>MAX(E30,H30,K30,N30)</f>
        <v>0</v>
      </c>
      <c r="R30" s="2126">
        <f t="shared" ref="R30:R35" si="31">MAX(F30,I30,L30,O30)</f>
        <v>0</v>
      </c>
      <c r="S30" s="2127">
        <f t="shared" ref="S30:S35" si="32">MAX(G30,J30,M30,P30)</f>
        <v>0</v>
      </c>
      <c r="T30" s="853">
        <f>IFERROR(AVERAGE(Q30:S30),"")</f>
        <v>0</v>
      </c>
      <c r="U30" s="1704" t="str">
        <f>IF(T30&gt;85,("4"),IF(T30&gt;80,("3.66"),IF(T30&gt;75,("3.33"),IF(T30&gt;70,("3.00"),IF(T30&gt;65,("2.66"),IF(T30&gt;60,("2.33"),IF(T30&gt;55,("2"),IF(T30&gt;50,("1.66"),"1.33"))))))))</f>
        <v>1.33</v>
      </c>
      <c r="V30" s="1704" t="str">
        <f>IF(T30&gt;85,("A"),IF(T30&gt;80,("A-"),IF(T30&gt;75,("B+"),IF(T30&gt;70,("B"),IF(T30&gt;65,("B-"),IF(T30&gt;60,("C+"),IF(T30&gt;55,("C"),IF(T30&gt;50,("C-"),"D+"))))))))</f>
        <v>D+</v>
      </c>
      <c r="W30" s="1704" t="str">
        <f>IF(T30&gt;80,("SB"),IF(T30&gt;65,("B"),IF(T30&gt;50,("C"),IF(T30&gt;0,("K"),"0"))))</f>
        <v>0</v>
      </c>
      <c r="X30" s="1267"/>
      <c r="Y30" s="1267"/>
      <c r="Z30" s="1267"/>
      <c r="AA30" s="1267"/>
      <c r="AB30" s="1267"/>
      <c r="AC30" s="1267"/>
      <c r="AD30" s="1268"/>
      <c r="AE30" s="1268"/>
      <c r="AF30" s="1268"/>
      <c r="AG30" s="1268"/>
      <c r="AH30" s="1268"/>
      <c r="AI30" s="1268"/>
      <c r="AJ30" s="2099">
        <f>T36</f>
        <v>0</v>
      </c>
      <c r="AK30" s="2095" t="str">
        <f>V36</f>
        <v>D+</v>
      </c>
    </row>
    <row r="31" spans="1:37" ht="24.95" customHeight="1" x14ac:dyDescent="0.25">
      <c r="A31" s="1687"/>
      <c r="B31" s="1688"/>
      <c r="C31" s="1270"/>
      <c r="D31" s="1686" t="s">
        <v>155</v>
      </c>
      <c r="E31" s="1494">
        <v>0</v>
      </c>
      <c r="F31" s="1494">
        <v>0</v>
      </c>
      <c r="G31" s="1494">
        <v>0</v>
      </c>
      <c r="H31" s="2087">
        <v>0</v>
      </c>
      <c r="I31" s="2087">
        <v>0</v>
      </c>
      <c r="J31" s="2087">
        <v>0</v>
      </c>
      <c r="K31" s="1494">
        <v>0</v>
      </c>
      <c r="L31" s="1494">
        <v>0</v>
      </c>
      <c r="M31" s="1494">
        <v>0</v>
      </c>
      <c r="N31" s="2087"/>
      <c r="O31" s="2087"/>
      <c r="P31" s="2087"/>
      <c r="Q31" s="2028">
        <f t="shared" ref="Q31:Q32" si="33">MAX(E31,H31,K31,N31)</f>
        <v>0</v>
      </c>
      <c r="R31" s="2126">
        <f t="shared" si="31"/>
        <v>0</v>
      </c>
      <c r="S31" s="2127">
        <f t="shared" si="32"/>
        <v>0</v>
      </c>
      <c r="T31" s="853">
        <f t="shared" ref="T31:T32" si="34">IFERROR(AVERAGE(Q31:S31),"")</f>
        <v>0</v>
      </c>
      <c r="U31" s="1704" t="str">
        <f t="shared" ref="U31:U35" si="35">IF(T31&gt;85,("4"),IF(T31&gt;80,("3.66"),IF(T31&gt;75,("3.33"),IF(T31&gt;70,("3.00"),IF(T31&gt;65,("2.66"),IF(T31&gt;60,("2.33"),IF(T31&gt;55,("2"),IF(T31&gt;50,("1.66"),"1.33"))))))))</f>
        <v>1.33</v>
      </c>
      <c r="V31" s="1704" t="str">
        <f t="shared" ref="V31:V35" si="36">IF(T31&gt;85,("A"),IF(T31&gt;80,("A-"),IF(T31&gt;75,("B+"),IF(T31&gt;70,("B"),IF(T31&gt;65,("B-"),IF(T31&gt;60,("C+"),IF(T31&gt;55,("C"),IF(T31&gt;50,("C-"),"D+"))))))))</f>
        <v>D+</v>
      </c>
      <c r="W31" s="1704" t="str">
        <f t="shared" ref="W31:W35" si="37">IF(T31&gt;80,("SB"),IF(T31&gt;65,("B"),IF(T31&gt;50,("C"),IF(T31&gt;0,("K"),"0"))))</f>
        <v>0</v>
      </c>
      <c r="X31" s="1843"/>
      <c r="Y31" s="1844"/>
      <c r="Z31" s="1844"/>
      <c r="AA31" s="1844"/>
      <c r="AB31" s="1844"/>
      <c r="AC31" s="1844"/>
      <c r="AD31" s="1845"/>
      <c r="AE31" s="1845"/>
      <c r="AF31" s="1845"/>
      <c r="AG31" s="1845"/>
      <c r="AH31" s="1845"/>
      <c r="AI31" s="1846"/>
      <c r="AJ31" s="1847"/>
      <c r="AK31" s="1848"/>
    </row>
    <row r="32" spans="1:37" ht="24.95" customHeight="1" x14ac:dyDescent="0.25">
      <c r="A32" s="1687"/>
      <c r="B32" s="1688"/>
      <c r="C32" s="1270"/>
      <c r="D32" s="1686" t="s">
        <v>11</v>
      </c>
      <c r="E32" s="1494">
        <v>0</v>
      </c>
      <c r="F32" s="1494">
        <v>0</v>
      </c>
      <c r="G32" s="1494">
        <v>0</v>
      </c>
      <c r="H32" s="2087">
        <v>0</v>
      </c>
      <c r="I32" s="2087">
        <v>0</v>
      </c>
      <c r="J32" s="2087">
        <v>0</v>
      </c>
      <c r="K32" s="1494">
        <v>0</v>
      </c>
      <c r="L32" s="1494">
        <v>0</v>
      </c>
      <c r="M32" s="1494">
        <v>0</v>
      </c>
      <c r="N32" s="2087">
        <v>0</v>
      </c>
      <c r="O32" s="2087">
        <v>0</v>
      </c>
      <c r="P32" s="2087">
        <v>0</v>
      </c>
      <c r="Q32" s="2028">
        <f t="shared" si="33"/>
        <v>0</v>
      </c>
      <c r="R32" s="2126">
        <f t="shared" si="31"/>
        <v>0</v>
      </c>
      <c r="S32" s="2127">
        <f t="shared" si="32"/>
        <v>0</v>
      </c>
      <c r="T32" s="853">
        <f t="shared" si="34"/>
        <v>0</v>
      </c>
      <c r="U32" s="1704" t="str">
        <f t="shared" si="35"/>
        <v>1.33</v>
      </c>
      <c r="V32" s="1704" t="str">
        <f t="shared" si="36"/>
        <v>D+</v>
      </c>
      <c r="W32" s="1704" t="str">
        <f t="shared" si="37"/>
        <v>0</v>
      </c>
      <c r="X32" s="1849"/>
      <c r="Y32" s="1850"/>
      <c r="Z32" s="1850"/>
      <c r="AA32" s="1850"/>
      <c r="AB32" s="1850"/>
      <c r="AC32" s="1850"/>
      <c r="AD32" s="1851"/>
      <c r="AE32" s="1851"/>
      <c r="AF32" s="1851"/>
      <c r="AG32" s="1851"/>
      <c r="AH32" s="1851"/>
      <c r="AI32" s="1852"/>
      <c r="AJ32" s="1853"/>
      <c r="AK32" s="1854"/>
    </row>
    <row r="33" spans="1:37" ht="24.95" customHeight="1" x14ac:dyDescent="0.25">
      <c r="A33" s="1687"/>
      <c r="B33" s="1688"/>
      <c r="C33" s="1270"/>
      <c r="D33" s="1686" t="s">
        <v>16</v>
      </c>
      <c r="E33" s="1494"/>
      <c r="F33" s="1494"/>
      <c r="G33" s="1494"/>
      <c r="H33" s="2087"/>
      <c r="I33" s="2087"/>
      <c r="J33" s="2087"/>
      <c r="K33" s="1494"/>
      <c r="L33" s="1494"/>
      <c r="M33" s="1494"/>
      <c r="N33" s="2087">
        <v>0</v>
      </c>
      <c r="O33" s="2087">
        <v>0</v>
      </c>
      <c r="P33" s="2087">
        <v>0</v>
      </c>
      <c r="Q33" s="2028">
        <f>MAX(E33,H33,K33,N33)</f>
        <v>0</v>
      </c>
      <c r="R33" s="2126">
        <f t="shared" si="31"/>
        <v>0</v>
      </c>
      <c r="S33" s="2127">
        <f t="shared" si="32"/>
        <v>0</v>
      </c>
      <c r="T33" s="853">
        <f>IFERROR(AVERAGE(Q33:S33),"")</f>
        <v>0</v>
      </c>
      <c r="U33" s="1704" t="str">
        <f t="shared" si="35"/>
        <v>1.33</v>
      </c>
      <c r="V33" s="1704" t="str">
        <f t="shared" si="36"/>
        <v>D+</v>
      </c>
      <c r="W33" s="1704" t="str">
        <f t="shared" si="37"/>
        <v>0</v>
      </c>
      <c r="X33" s="1849"/>
      <c r="Y33" s="1850"/>
      <c r="Z33" s="1850"/>
      <c r="AA33" s="1850"/>
      <c r="AB33" s="1850"/>
      <c r="AC33" s="1850"/>
      <c r="AD33" s="1851"/>
      <c r="AE33" s="1851"/>
      <c r="AF33" s="1851"/>
      <c r="AG33" s="1851"/>
      <c r="AH33" s="1851"/>
      <c r="AI33" s="1852"/>
      <c r="AJ33" s="1853"/>
      <c r="AK33" s="1854"/>
    </row>
    <row r="34" spans="1:37" ht="24.95" customHeight="1" x14ac:dyDescent="0.25">
      <c r="A34" s="1687"/>
      <c r="B34" s="1688"/>
      <c r="C34" s="1270"/>
      <c r="D34" s="1686" t="s">
        <v>186</v>
      </c>
      <c r="E34" s="1494"/>
      <c r="F34" s="1494"/>
      <c r="G34" s="1494"/>
      <c r="H34" s="2087"/>
      <c r="I34" s="2087"/>
      <c r="J34" s="2087"/>
      <c r="K34" s="1494">
        <v>0</v>
      </c>
      <c r="L34" s="1494">
        <v>0</v>
      </c>
      <c r="M34" s="1494">
        <v>0</v>
      </c>
      <c r="N34" s="2087"/>
      <c r="O34" s="2087"/>
      <c r="P34" s="2087"/>
      <c r="Q34" s="2028">
        <f t="shared" ref="Q34:Q35" si="38">MAX(E34,H34,K34,N34)</f>
        <v>0</v>
      </c>
      <c r="R34" s="2126">
        <f t="shared" si="31"/>
        <v>0</v>
      </c>
      <c r="S34" s="2127">
        <f t="shared" si="32"/>
        <v>0</v>
      </c>
      <c r="T34" s="853">
        <f t="shared" ref="T34:T35" si="39">IFERROR(AVERAGE(Q34:S34),"")</f>
        <v>0</v>
      </c>
      <c r="U34" s="1704" t="str">
        <f t="shared" si="35"/>
        <v>1.33</v>
      </c>
      <c r="V34" s="1704" t="str">
        <f t="shared" si="36"/>
        <v>D+</v>
      </c>
      <c r="W34" s="1704" t="str">
        <f t="shared" si="37"/>
        <v>0</v>
      </c>
      <c r="X34" s="1849"/>
      <c r="Y34" s="1850"/>
      <c r="Z34" s="1850"/>
      <c r="AA34" s="1850"/>
      <c r="AB34" s="1850"/>
      <c r="AC34" s="1850"/>
      <c r="AD34" s="1851"/>
      <c r="AE34" s="1851"/>
      <c r="AF34" s="1851"/>
      <c r="AG34" s="1851"/>
      <c r="AH34" s="1851"/>
      <c r="AI34" s="1852"/>
      <c r="AJ34" s="1853"/>
      <c r="AK34" s="1854"/>
    </row>
    <row r="35" spans="1:37" ht="24.95" customHeight="1" x14ac:dyDescent="0.25">
      <c r="A35" s="1687"/>
      <c r="B35" s="1688"/>
      <c r="C35" s="1270"/>
      <c r="D35" s="1686" t="s">
        <v>22</v>
      </c>
      <c r="E35" s="2086"/>
      <c r="F35" s="2086"/>
      <c r="G35" s="2086"/>
      <c r="H35" s="2088"/>
      <c r="I35" s="2088"/>
      <c r="J35" s="2088"/>
      <c r="K35" s="2086"/>
      <c r="L35" s="2086"/>
      <c r="M35" s="2086"/>
      <c r="N35" s="2088">
        <v>0</v>
      </c>
      <c r="O35" s="2088">
        <v>0</v>
      </c>
      <c r="P35" s="2088">
        <v>0</v>
      </c>
      <c r="Q35" s="2028">
        <f t="shared" si="38"/>
        <v>0</v>
      </c>
      <c r="R35" s="2126">
        <f t="shared" si="31"/>
        <v>0</v>
      </c>
      <c r="S35" s="2127">
        <f t="shared" si="32"/>
        <v>0</v>
      </c>
      <c r="T35" s="853">
        <f t="shared" si="39"/>
        <v>0</v>
      </c>
      <c r="U35" s="1705" t="str">
        <f t="shared" si="35"/>
        <v>1.33</v>
      </c>
      <c r="V35" s="1705" t="str">
        <f t="shared" si="36"/>
        <v>D+</v>
      </c>
      <c r="W35" s="1705" t="str">
        <f t="shared" si="37"/>
        <v>0</v>
      </c>
      <c r="X35" s="1849"/>
      <c r="Y35" s="1850"/>
      <c r="Z35" s="1850"/>
      <c r="AA35" s="1850"/>
      <c r="AB35" s="1850"/>
      <c r="AC35" s="1850"/>
      <c r="AD35" s="1851"/>
      <c r="AE35" s="1851"/>
      <c r="AF35" s="1851"/>
      <c r="AG35" s="1851"/>
      <c r="AH35" s="1851"/>
      <c r="AI35" s="1852"/>
      <c r="AJ35" s="1855"/>
      <c r="AK35" s="1856"/>
    </row>
    <row r="36" spans="1:37" ht="24.95" customHeight="1" x14ac:dyDescent="0.25">
      <c r="A36" s="1693"/>
      <c r="B36" s="1237">
        <v>4</v>
      </c>
      <c r="C36" s="1695" t="s">
        <v>167</v>
      </c>
      <c r="D36" s="1696"/>
      <c r="E36" s="1694"/>
      <c r="F36" s="1694"/>
      <c r="G36" s="1694"/>
      <c r="H36" s="1694"/>
      <c r="I36" s="1694"/>
      <c r="J36" s="1694"/>
      <c r="K36" s="1694"/>
      <c r="L36" s="1694"/>
      <c r="M36" s="1694"/>
      <c r="N36" s="1694"/>
      <c r="O36" s="1694"/>
      <c r="P36" s="1694"/>
      <c r="Q36" s="1694"/>
      <c r="R36" s="2160"/>
      <c r="S36" s="2160"/>
      <c r="T36" s="1938">
        <f>IFERROR(AVERAGE(T30:T35),"  ")</f>
        <v>0</v>
      </c>
      <c r="U36" s="1842" t="str">
        <f>IF(T36&gt;85,("4"),IF(T36&gt;80,("3.66"),IF(T36&gt;75,("3.33"),IF(T36&gt;70,("3.00"),IF(T36&gt;65,("2.66"),IF(T36&gt;60,("2.33"),IF(T36&gt;55,("2"),IF(T36&gt;50,("1.66"),"1.33"))))))))</f>
        <v>1.33</v>
      </c>
      <c r="V36" s="1842" t="str">
        <f>IF(T36&gt;85,("A"),IF(T36&gt;80,("A-"),IF(T36&gt;75,("B+"),IF(T36&gt;70,("B"),IF(T36&gt;65,("B-"),IF(T36&gt;60,("C+"),IF(T36&gt;55,("C"),IF(T36&gt;50,("C-"),"D+"))))))))</f>
        <v>D+</v>
      </c>
      <c r="W36" s="1842"/>
      <c r="X36" s="2073"/>
      <c r="Y36" s="2074"/>
      <c r="Z36" s="2074"/>
      <c r="AA36" s="2074"/>
      <c r="AB36" s="2074"/>
      <c r="AC36" s="2074"/>
      <c r="AD36" s="2074"/>
      <c r="AE36" s="2074"/>
      <c r="AF36" s="2074"/>
      <c r="AG36" s="2074"/>
      <c r="AH36" s="2074"/>
      <c r="AI36" s="2075"/>
      <c r="AJ36" s="1857"/>
      <c r="AK36" s="1858"/>
    </row>
    <row r="37" spans="1:37" ht="24.95" customHeight="1" x14ac:dyDescent="0.25">
      <c r="A37" s="1683">
        <v>5</v>
      </c>
      <c r="B37" s="1684"/>
      <c r="C37" s="1685" t="str">
        <f>VLOOKUP(A37,data_siswa,4,FALSE)</f>
        <v>Arya Pratama G</v>
      </c>
      <c r="D37" s="1686" t="s">
        <v>154</v>
      </c>
      <c r="E37" s="1494">
        <v>0</v>
      </c>
      <c r="F37" s="1494">
        <v>0</v>
      </c>
      <c r="G37" s="1494">
        <v>0</v>
      </c>
      <c r="H37" s="2087">
        <v>0</v>
      </c>
      <c r="I37" s="2087">
        <v>0</v>
      </c>
      <c r="J37" s="2087">
        <v>0</v>
      </c>
      <c r="K37" s="1494"/>
      <c r="L37" s="1494"/>
      <c r="M37" s="1494"/>
      <c r="N37" s="2087"/>
      <c r="O37" s="2087"/>
      <c r="P37" s="2087"/>
      <c r="Q37" s="2028">
        <f>MAX(E37,H37,K37,N37)</f>
        <v>0</v>
      </c>
      <c r="R37" s="2126">
        <f t="shared" ref="R37:R42" si="40">MAX(F37,I37,L37,O37)</f>
        <v>0</v>
      </c>
      <c r="S37" s="2127">
        <f t="shared" ref="S37:S42" si="41">MAX(G37,J37,M37,P37)</f>
        <v>0</v>
      </c>
      <c r="T37" s="853">
        <f>IFERROR(AVERAGE(Q37:S37),"")</f>
        <v>0</v>
      </c>
      <c r="U37" s="1704" t="str">
        <f>IF(T37&gt;85,("4"),IF(T37&gt;80,("3.66"),IF(T37&gt;75,("3.33"),IF(T37&gt;70,("3.00"),IF(T37&gt;65,("2.66"),IF(T37&gt;60,("2.33"),IF(T37&gt;55,("2"),IF(T37&gt;50,("1.66"),"1.33"))))))))</f>
        <v>1.33</v>
      </c>
      <c r="V37" s="1704" t="str">
        <f>IF(T37&gt;85,("A"),IF(T37&gt;80,("A-"),IF(T37&gt;75,("B+"),IF(T37&gt;70,("B"),IF(T37&gt;65,("B-"),IF(T37&gt;60,("C+"),IF(T37&gt;55,("C"),IF(T37&gt;50,("C-"),"D+"))))))))</f>
        <v>D+</v>
      </c>
      <c r="W37" s="1704" t="str">
        <f>IF(T37&gt;80,("SB"),IF(T37&gt;65,("B"),IF(T37&gt;50,("C"),IF(T37&gt;0,("K"),"0"))))</f>
        <v>0</v>
      </c>
      <c r="X37" s="1267"/>
      <c r="Y37" s="1267"/>
      <c r="Z37" s="1267"/>
      <c r="AA37" s="1267"/>
      <c r="AB37" s="1267"/>
      <c r="AC37" s="1267"/>
      <c r="AD37" s="1268"/>
      <c r="AE37" s="1268"/>
      <c r="AF37" s="1268"/>
      <c r="AG37" s="1268"/>
      <c r="AH37" s="1268"/>
      <c r="AI37" s="1268"/>
      <c r="AJ37" s="2099">
        <f>T43</f>
        <v>0</v>
      </c>
      <c r="AK37" s="2095" t="str">
        <f>V43</f>
        <v>D+</v>
      </c>
    </row>
    <row r="38" spans="1:37" ht="24.95" customHeight="1" x14ac:dyDescent="0.25">
      <c r="A38" s="1687"/>
      <c r="B38" s="1688"/>
      <c r="C38" s="1270"/>
      <c r="D38" s="1686" t="s">
        <v>155</v>
      </c>
      <c r="E38" s="1494">
        <v>0</v>
      </c>
      <c r="F38" s="1494">
        <v>0</v>
      </c>
      <c r="G38" s="1494">
        <v>0</v>
      </c>
      <c r="H38" s="2087">
        <v>0</v>
      </c>
      <c r="I38" s="2087">
        <v>0</v>
      </c>
      <c r="J38" s="2087">
        <v>0</v>
      </c>
      <c r="K38" s="1494">
        <v>0</v>
      </c>
      <c r="L38" s="1494">
        <v>0</v>
      </c>
      <c r="M38" s="1494">
        <v>0</v>
      </c>
      <c r="N38" s="2087"/>
      <c r="O38" s="2087"/>
      <c r="P38" s="2087"/>
      <c r="Q38" s="2028">
        <f t="shared" ref="Q38:Q39" si="42">MAX(E38,H38,K38,N38)</f>
        <v>0</v>
      </c>
      <c r="R38" s="2126">
        <f t="shared" si="40"/>
        <v>0</v>
      </c>
      <c r="S38" s="2127">
        <f t="shared" si="41"/>
        <v>0</v>
      </c>
      <c r="T38" s="853">
        <f t="shared" ref="T38:T39" si="43">IFERROR(AVERAGE(Q38:S38),"")</f>
        <v>0</v>
      </c>
      <c r="U38" s="1704" t="str">
        <f t="shared" ref="U38:U42" si="44">IF(T38&gt;85,("4"),IF(T38&gt;80,("3.66"),IF(T38&gt;75,("3.33"),IF(T38&gt;70,("3.00"),IF(T38&gt;65,("2.66"),IF(T38&gt;60,("2.33"),IF(T38&gt;55,("2"),IF(T38&gt;50,("1.66"),"1.33"))))))))</f>
        <v>1.33</v>
      </c>
      <c r="V38" s="1704" t="str">
        <f t="shared" ref="V38:V42" si="45">IF(T38&gt;85,("A"),IF(T38&gt;80,("A-"),IF(T38&gt;75,("B+"),IF(T38&gt;70,("B"),IF(T38&gt;65,("B-"),IF(T38&gt;60,("C+"),IF(T38&gt;55,("C"),IF(T38&gt;50,("C-"),"D+"))))))))</f>
        <v>D+</v>
      </c>
      <c r="W38" s="1704" t="str">
        <f t="shared" ref="W38:W42" si="46">IF(T38&gt;80,("SB"),IF(T38&gt;65,("B"),IF(T38&gt;50,("C"),IF(T38&gt;0,("K"),"0"))))</f>
        <v>0</v>
      </c>
      <c r="X38" s="1843"/>
      <c r="Y38" s="1844"/>
      <c r="Z38" s="1844"/>
      <c r="AA38" s="1844"/>
      <c r="AB38" s="1844"/>
      <c r="AC38" s="1844"/>
      <c r="AD38" s="1845"/>
      <c r="AE38" s="1845"/>
      <c r="AF38" s="1845"/>
      <c r="AG38" s="1845"/>
      <c r="AH38" s="1845"/>
      <c r="AI38" s="1846"/>
      <c r="AJ38" s="1847"/>
      <c r="AK38" s="1848"/>
    </row>
    <row r="39" spans="1:37" ht="24.95" customHeight="1" x14ac:dyDescent="0.25">
      <c r="A39" s="1687"/>
      <c r="B39" s="1688"/>
      <c r="C39" s="1270"/>
      <c r="D39" s="1686" t="s">
        <v>11</v>
      </c>
      <c r="E39" s="1494">
        <v>0</v>
      </c>
      <c r="F39" s="1494">
        <v>0</v>
      </c>
      <c r="G39" s="1494">
        <v>0</v>
      </c>
      <c r="H39" s="2087">
        <v>0</v>
      </c>
      <c r="I39" s="2087">
        <v>0</v>
      </c>
      <c r="J39" s="2087">
        <v>0</v>
      </c>
      <c r="K39" s="1494">
        <v>0</v>
      </c>
      <c r="L39" s="1494">
        <v>0</v>
      </c>
      <c r="M39" s="1494">
        <v>0</v>
      </c>
      <c r="N39" s="2087">
        <v>0</v>
      </c>
      <c r="O39" s="2087">
        <v>0</v>
      </c>
      <c r="P39" s="2087">
        <v>0</v>
      </c>
      <c r="Q39" s="2028">
        <f t="shared" si="42"/>
        <v>0</v>
      </c>
      <c r="R39" s="2126">
        <f t="shared" si="40"/>
        <v>0</v>
      </c>
      <c r="S39" s="2127">
        <f t="shared" si="41"/>
        <v>0</v>
      </c>
      <c r="T39" s="853">
        <f t="shared" si="43"/>
        <v>0</v>
      </c>
      <c r="U39" s="1704" t="str">
        <f t="shared" si="44"/>
        <v>1.33</v>
      </c>
      <c r="V39" s="1704" t="str">
        <f t="shared" si="45"/>
        <v>D+</v>
      </c>
      <c r="W39" s="1704" t="str">
        <f t="shared" si="46"/>
        <v>0</v>
      </c>
      <c r="X39" s="1849"/>
      <c r="Y39" s="1850"/>
      <c r="Z39" s="1850"/>
      <c r="AA39" s="1850"/>
      <c r="AB39" s="1850"/>
      <c r="AC39" s="1850"/>
      <c r="AD39" s="1851"/>
      <c r="AE39" s="1851"/>
      <c r="AF39" s="1851"/>
      <c r="AG39" s="1851"/>
      <c r="AH39" s="1851"/>
      <c r="AI39" s="1852"/>
      <c r="AJ39" s="1853"/>
      <c r="AK39" s="1854"/>
    </row>
    <row r="40" spans="1:37" ht="24.95" customHeight="1" x14ac:dyDescent="0.25">
      <c r="A40" s="1687"/>
      <c r="B40" s="1688"/>
      <c r="C40" s="1270"/>
      <c r="D40" s="1686" t="s">
        <v>16</v>
      </c>
      <c r="E40" s="1494"/>
      <c r="F40" s="1494"/>
      <c r="G40" s="1494"/>
      <c r="H40" s="2087"/>
      <c r="I40" s="2087"/>
      <c r="J40" s="2087"/>
      <c r="K40" s="1494"/>
      <c r="L40" s="1494"/>
      <c r="M40" s="1494"/>
      <c r="N40" s="2087">
        <v>0</v>
      </c>
      <c r="O40" s="2087">
        <v>0</v>
      </c>
      <c r="P40" s="2087">
        <v>0</v>
      </c>
      <c r="Q40" s="2028">
        <f>MAX(E40,H40,K40,N40)</f>
        <v>0</v>
      </c>
      <c r="R40" s="2126">
        <f t="shared" si="40"/>
        <v>0</v>
      </c>
      <c r="S40" s="2127">
        <f t="shared" si="41"/>
        <v>0</v>
      </c>
      <c r="T40" s="853">
        <f>IFERROR(AVERAGE(Q40:S40),"")</f>
        <v>0</v>
      </c>
      <c r="U40" s="1704" t="str">
        <f t="shared" si="44"/>
        <v>1.33</v>
      </c>
      <c r="V40" s="1704" t="str">
        <f t="shared" si="45"/>
        <v>D+</v>
      </c>
      <c r="W40" s="1704" t="str">
        <f t="shared" si="46"/>
        <v>0</v>
      </c>
      <c r="X40" s="1849"/>
      <c r="Y40" s="1850"/>
      <c r="Z40" s="1850"/>
      <c r="AA40" s="1850"/>
      <c r="AB40" s="1850"/>
      <c r="AC40" s="1850"/>
      <c r="AD40" s="1851"/>
      <c r="AE40" s="1851"/>
      <c r="AF40" s="1851"/>
      <c r="AG40" s="1851"/>
      <c r="AH40" s="1851"/>
      <c r="AI40" s="1852"/>
      <c r="AJ40" s="1853"/>
      <c r="AK40" s="1854"/>
    </row>
    <row r="41" spans="1:37" ht="24.95" customHeight="1" x14ac:dyDescent="0.25">
      <c r="A41" s="1687"/>
      <c r="B41" s="1688"/>
      <c r="C41" s="1270"/>
      <c r="D41" s="1686" t="s">
        <v>186</v>
      </c>
      <c r="E41" s="1494"/>
      <c r="F41" s="1494"/>
      <c r="G41" s="1494"/>
      <c r="H41" s="2087"/>
      <c r="I41" s="2087"/>
      <c r="J41" s="2087"/>
      <c r="K41" s="1494">
        <v>0</v>
      </c>
      <c r="L41" s="1494">
        <v>0</v>
      </c>
      <c r="M41" s="1494">
        <v>0</v>
      </c>
      <c r="N41" s="2087"/>
      <c r="O41" s="2087"/>
      <c r="P41" s="2087"/>
      <c r="Q41" s="2028">
        <f t="shared" ref="Q41:Q42" si="47">MAX(E41,H41,K41,N41)</f>
        <v>0</v>
      </c>
      <c r="R41" s="2126">
        <f t="shared" si="40"/>
        <v>0</v>
      </c>
      <c r="S41" s="2127">
        <f t="shared" si="41"/>
        <v>0</v>
      </c>
      <c r="T41" s="853">
        <f t="shared" ref="T41:T42" si="48">IFERROR(AVERAGE(Q41:S41),"")</f>
        <v>0</v>
      </c>
      <c r="U41" s="1704" t="str">
        <f t="shared" si="44"/>
        <v>1.33</v>
      </c>
      <c r="V41" s="1704" t="str">
        <f t="shared" si="45"/>
        <v>D+</v>
      </c>
      <c r="W41" s="1704" t="str">
        <f t="shared" si="46"/>
        <v>0</v>
      </c>
      <c r="X41" s="1849"/>
      <c r="Y41" s="1850"/>
      <c r="Z41" s="1850"/>
      <c r="AA41" s="1850"/>
      <c r="AB41" s="1850"/>
      <c r="AC41" s="1850"/>
      <c r="AD41" s="1851"/>
      <c r="AE41" s="1851"/>
      <c r="AF41" s="1851"/>
      <c r="AG41" s="1851"/>
      <c r="AH41" s="1851"/>
      <c r="AI41" s="1852"/>
      <c r="AJ41" s="1853"/>
      <c r="AK41" s="1854"/>
    </row>
    <row r="42" spans="1:37" ht="24.95" customHeight="1" x14ac:dyDescent="0.25">
      <c r="A42" s="1687"/>
      <c r="B42" s="1688"/>
      <c r="C42" s="1270"/>
      <c r="D42" s="1686" t="s">
        <v>22</v>
      </c>
      <c r="E42" s="2086"/>
      <c r="F42" s="2086"/>
      <c r="G42" s="2086"/>
      <c r="H42" s="2088"/>
      <c r="I42" s="2088"/>
      <c r="J42" s="2088"/>
      <c r="K42" s="2086"/>
      <c r="L42" s="2086"/>
      <c r="M42" s="2086"/>
      <c r="N42" s="2088">
        <v>0</v>
      </c>
      <c r="O42" s="2088">
        <v>0</v>
      </c>
      <c r="P42" s="2088">
        <v>0</v>
      </c>
      <c r="Q42" s="2028">
        <f t="shared" si="47"/>
        <v>0</v>
      </c>
      <c r="R42" s="2126">
        <f t="shared" si="40"/>
        <v>0</v>
      </c>
      <c r="S42" s="2127">
        <f t="shared" si="41"/>
        <v>0</v>
      </c>
      <c r="T42" s="853">
        <f t="shared" si="48"/>
        <v>0</v>
      </c>
      <c r="U42" s="1705" t="str">
        <f t="shared" si="44"/>
        <v>1.33</v>
      </c>
      <c r="V42" s="1705" t="str">
        <f t="shared" si="45"/>
        <v>D+</v>
      </c>
      <c r="W42" s="1705" t="str">
        <f t="shared" si="46"/>
        <v>0</v>
      </c>
      <c r="X42" s="1849"/>
      <c r="Y42" s="1850"/>
      <c r="Z42" s="1850"/>
      <c r="AA42" s="1850"/>
      <c r="AB42" s="1850"/>
      <c r="AC42" s="1850"/>
      <c r="AD42" s="1851"/>
      <c r="AE42" s="1851"/>
      <c r="AF42" s="1851"/>
      <c r="AG42" s="1851"/>
      <c r="AH42" s="1851"/>
      <c r="AI42" s="1852"/>
      <c r="AJ42" s="1855"/>
      <c r="AK42" s="1856"/>
    </row>
    <row r="43" spans="1:37" ht="24.95" customHeight="1" x14ac:dyDescent="0.25">
      <c r="A43" s="1693"/>
      <c r="B43" s="1237">
        <v>5</v>
      </c>
      <c r="C43" s="1695" t="s">
        <v>167</v>
      </c>
      <c r="D43" s="1696"/>
      <c r="E43" s="1694"/>
      <c r="F43" s="1694"/>
      <c r="G43" s="1694"/>
      <c r="H43" s="1694"/>
      <c r="I43" s="1694"/>
      <c r="J43" s="1694"/>
      <c r="K43" s="1694"/>
      <c r="L43" s="1694"/>
      <c r="M43" s="1694"/>
      <c r="N43" s="1694"/>
      <c r="O43" s="1694"/>
      <c r="P43" s="1694"/>
      <c r="Q43" s="1694"/>
      <c r="R43" s="2160"/>
      <c r="S43" s="2160"/>
      <c r="T43" s="1938">
        <f>IFERROR(AVERAGE(T37:T42),"  ")</f>
        <v>0</v>
      </c>
      <c r="U43" s="1842" t="str">
        <f>IF(T43&gt;85,("4"),IF(T43&gt;80,("3.66"),IF(T43&gt;75,("3.33"),IF(T43&gt;70,("3.00"),IF(T43&gt;65,("2.66"),IF(T43&gt;60,("2.33"),IF(T43&gt;55,("2"),IF(T43&gt;50,("1.66"),"1.33"))))))))</f>
        <v>1.33</v>
      </c>
      <c r="V43" s="1842" t="str">
        <f>IF(T43&gt;85,("A"),IF(T43&gt;80,("A-"),IF(T43&gt;75,("B+"),IF(T43&gt;70,("B"),IF(T43&gt;65,("B-"),IF(T43&gt;60,("C+"),IF(T43&gt;55,("C"),IF(T43&gt;50,("C-"),"D+"))))))))</f>
        <v>D+</v>
      </c>
      <c r="W43" s="1842"/>
      <c r="X43" s="2073"/>
      <c r="Y43" s="2074"/>
      <c r="Z43" s="2074"/>
      <c r="AA43" s="2074"/>
      <c r="AB43" s="2074"/>
      <c r="AC43" s="2074"/>
      <c r="AD43" s="2074"/>
      <c r="AE43" s="2074"/>
      <c r="AF43" s="2074"/>
      <c r="AG43" s="2074"/>
      <c r="AH43" s="2074"/>
      <c r="AI43" s="2075"/>
      <c r="AJ43" s="1857"/>
      <c r="AK43" s="1858"/>
    </row>
    <row r="44" spans="1:37" ht="24.95" customHeight="1" x14ac:dyDescent="0.25">
      <c r="A44" s="1683">
        <v>6</v>
      </c>
      <c r="B44" s="1684"/>
      <c r="C44" s="1685" t="str">
        <f>VLOOKUP(A44,data_siswa,4,FALSE)</f>
        <v>Asyam Hanif Ihsan H</v>
      </c>
      <c r="D44" s="1686" t="s">
        <v>154</v>
      </c>
      <c r="E44" s="1494">
        <v>0</v>
      </c>
      <c r="F44" s="1494">
        <v>0</v>
      </c>
      <c r="G44" s="1494">
        <v>0</v>
      </c>
      <c r="H44" s="2087">
        <v>0</v>
      </c>
      <c r="I44" s="2087">
        <v>0</v>
      </c>
      <c r="J44" s="2087">
        <v>0</v>
      </c>
      <c r="K44" s="1494"/>
      <c r="L44" s="1494"/>
      <c r="M44" s="1494"/>
      <c r="N44" s="2087"/>
      <c r="O44" s="2087"/>
      <c r="P44" s="2087"/>
      <c r="Q44" s="2028">
        <f>MAX(E44,H44,K44,N44)</f>
        <v>0</v>
      </c>
      <c r="R44" s="2126">
        <f t="shared" ref="R44:R49" si="49">MAX(F44,I44,L44,O44)</f>
        <v>0</v>
      </c>
      <c r="S44" s="2127">
        <f t="shared" ref="S44:S49" si="50">MAX(G44,J44,M44,P44)</f>
        <v>0</v>
      </c>
      <c r="T44" s="853">
        <f>IFERROR(AVERAGE(Q44:S44),"")</f>
        <v>0</v>
      </c>
      <c r="U44" s="1704" t="str">
        <f>IF(T44&gt;85,("4"),IF(T44&gt;80,("3.66"),IF(T44&gt;75,("3.33"),IF(T44&gt;70,("3.00"),IF(T44&gt;65,("2.66"),IF(T44&gt;60,("2.33"),IF(T44&gt;55,("2"),IF(T44&gt;50,("1.66"),"1.33"))))))))</f>
        <v>1.33</v>
      </c>
      <c r="V44" s="1704" t="str">
        <f>IF(T44&gt;85,("A"),IF(T44&gt;80,("A-"),IF(T44&gt;75,("B+"),IF(T44&gt;70,("B"),IF(T44&gt;65,("B-"),IF(T44&gt;60,("C+"),IF(T44&gt;55,("C"),IF(T44&gt;50,("C-"),"D+"))))))))</f>
        <v>D+</v>
      </c>
      <c r="W44" s="1704" t="str">
        <f>IF(T44&gt;80,("SB"),IF(T44&gt;65,("B"),IF(T44&gt;50,("C"),IF(T44&gt;0,("K"),"0"))))</f>
        <v>0</v>
      </c>
      <c r="X44" s="1267"/>
      <c r="Y44" s="1267"/>
      <c r="Z44" s="1267"/>
      <c r="AA44" s="1267"/>
      <c r="AB44" s="1267"/>
      <c r="AC44" s="1267"/>
      <c r="AD44" s="1268"/>
      <c r="AE44" s="1268"/>
      <c r="AF44" s="1268"/>
      <c r="AG44" s="1268"/>
      <c r="AH44" s="1268"/>
      <c r="AI44" s="1268"/>
      <c r="AJ44" s="2099">
        <f>T50</f>
        <v>0</v>
      </c>
      <c r="AK44" s="2095" t="str">
        <f>V50</f>
        <v>D+</v>
      </c>
    </row>
    <row r="45" spans="1:37" ht="24.95" customHeight="1" x14ac:dyDescent="0.25">
      <c r="A45" s="1687"/>
      <c r="B45" s="1688"/>
      <c r="C45" s="1270"/>
      <c r="D45" s="1686" t="s">
        <v>155</v>
      </c>
      <c r="E45" s="1494">
        <v>0</v>
      </c>
      <c r="F45" s="1494">
        <v>0</v>
      </c>
      <c r="G45" s="1494">
        <v>0</v>
      </c>
      <c r="H45" s="2087">
        <v>0</v>
      </c>
      <c r="I45" s="2087">
        <v>0</v>
      </c>
      <c r="J45" s="2087">
        <v>0</v>
      </c>
      <c r="K45" s="1494">
        <v>0</v>
      </c>
      <c r="L45" s="1494">
        <v>0</v>
      </c>
      <c r="M45" s="1494">
        <v>0</v>
      </c>
      <c r="N45" s="2087"/>
      <c r="O45" s="2087"/>
      <c r="P45" s="2087"/>
      <c r="Q45" s="2028">
        <f t="shared" ref="Q45:Q46" si="51">MAX(E45,H45,K45,N45)</f>
        <v>0</v>
      </c>
      <c r="R45" s="2126">
        <f t="shared" si="49"/>
        <v>0</v>
      </c>
      <c r="S45" s="2127">
        <f t="shared" si="50"/>
        <v>0</v>
      </c>
      <c r="T45" s="853">
        <f t="shared" ref="T45:T46" si="52">IFERROR(AVERAGE(Q45:S45),"")</f>
        <v>0</v>
      </c>
      <c r="U45" s="1704" t="str">
        <f t="shared" ref="U45:U49" si="53">IF(T45&gt;85,("4"),IF(T45&gt;80,("3.66"),IF(T45&gt;75,("3.33"),IF(T45&gt;70,("3.00"),IF(T45&gt;65,("2.66"),IF(T45&gt;60,("2.33"),IF(T45&gt;55,("2"),IF(T45&gt;50,("1.66"),"1.33"))))))))</f>
        <v>1.33</v>
      </c>
      <c r="V45" s="1704" t="str">
        <f t="shared" ref="V45:V49" si="54">IF(T45&gt;85,("A"),IF(T45&gt;80,("A-"),IF(T45&gt;75,("B+"),IF(T45&gt;70,("B"),IF(T45&gt;65,("B-"),IF(T45&gt;60,("C+"),IF(T45&gt;55,("C"),IF(T45&gt;50,("C-"),"D+"))))))))</f>
        <v>D+</v>
      </c>
      <c r="W45" s="1704" t="str">
        <f t="shared" ref="W45:W49" si="55">IF(T45&gt;80,("SB"),IF(T45&gt;65,("B"),IF(T45&gt;50,("C"),IF(T45&gt;0,("K"),"0"))))</f>
        <v>0</v>
      </c>
      <c r="X45" s="1843"/>
      <c r="Y45" s="1844"/>
      <c r="Z45" s="1844"/>
      <c r="AA45" s="1844"/>
      <c r="AB45" s="1844"/>
      <c r="AC45" s="1844"/>
      <c r="AD45" s="1845"/>
      <c r="AE45" s="1845"/>
      <c r="AF45" s="1845"/>
      <c r="AG45" s="1845"/>
      <c r="AH45" s="1845"/>
      <c r="AI45" s="1846"/>
      <c r="AJ45" s="1847"/>
      <c r="AK45" s="1848"/>
    </row>
    <row r="46" spans="1:37" ht="24.95" customHeight="1" x14ac:dyDescent="0.25">
      <c r="A46" s="1687"/>
      <c r="B46" s="1688"/>
      <c r="C46" s="1270"/>
      <c r="D46" s="1686" t="s">
        <v>11</v>
      </c>
      <c r="E46" s="1494">
        <v>0</v>
      </c>
      <c r="F46" s="1494">
        <v>0</v>
      </c>
      <c r="G46" s="1494">
        <v>0</v>
      </c>
      <c r="H46" s="2087">
        <v>0</v>
      </c>
      <c r="I46" s="2087">
        <v>0</v>
      </c>
      <c r="J46" s="2087">
        <v>0</v>
      </c>
      <c r="K46" s="1494">
        <v>0</v>
      </c>
      <c r="L46" s="1494">
        <v>0</v>
      </c>
      <c r="M46" s="1494">
        <v>0</v>
      </c>
      <c r="N46" s="2087">
        <v>0</v>
      </c>
      <c r="O46" s="2087">
        <v>0</v>
      </c>
      <c r="P46" s="2087">
        <v>0</v>
      </c>
      <c r="Q46" s="2028">
        <f t="shared" si="51"/>
        <v>0</v>
      </c>
      <c r="R46" s="2126">
        <f t="shared" si="49"/>
        <v>0</v>
      </c>
      <c r="S46" s="2127">
        <f t="shared" si="50"/>
        <v>0</v>
      </c>
      <c r="T46" s="853">
        <f t="shared" si="52"/>
        <v>0</v>
      </c>
      <c r="U46" s="1704" t="str">
        <f t="shared" si="53"/>
        <v>1.33</v>
      </c>
      <c r="V46" s="1704" t="str">
        <f t="shared" si="54"/>
        <v>D+</v>
      </c>
      <c r="W46" s="1704" t="str">
        <f t="shared" si="55"/>
        <v>0</v>
      </c>
      <c r="X46" s="1849"/>
      <c r="Y46" s="1850"/>
      <c r="Z46" s="1850"/>
      <c r="AA46" s="1850"/>
      <c r="AB46" s="1850"/>
      <c r="AC46" s="1850"/>
      <c r="AD46" s="1851"/>
      <c r="AE46" s="1851"/>
      <c r="AF46" s="1851"/>
      <c r="AG46" s="1851"/>
      <c r="AH46" s="1851"/>
      <c r="AI46" s="1852"/>
      <c r="AJ46" s="1853"/>
      <c r="AK46" s="1854"/>
    </row>
    <row r="47" spans="1:37" ht="24.95" customHeight="1" x14ac:dyDescent="0.25">
      <c r="A47" s="1687"/>
      <c r="B47" s="1688"/>
      <c r="C47" s="1270"/>
      <c r="D47" s="1686" t="s">
        <v>16</v>
      </c>
      <c r="E47" s="1494"/>
      <c r="F47" s="1494"/>
      <c r="G47" s="1494"/>
      <c r="H47" s="2087"/>
      <c r="I47" s="2087"/>
      <c r="J47" s="2087"/>
      <c r="K47" s="1494"/>
      <c r="L47" s="1494"/>
      <c r="M47" s="1494"/>
      <c r="N47" s="2087">
        <v>0</v>
      </c>
      <c r="O47" s="2087">
        <v>0</v>
      </c>
      <c r="P47" s="2087">
        <v>0</v>
      </c>
      <c r="Q47" s="2028">
        <f>MAX(E47,H47,K47,N47)</f>
        <v>0</v>
      </c>
      <c r="R47" s="2126">
        <f t="shared" si="49"/>
        <v>0</v>
      </c>
      <c r="S47" s="2127">
        <f t="shared" si="50"/>
        <v>0</v>
      </c>
      <c r="T47" s="853">
        <f>IFERROR(AVERAGE(Q47:S47),"")</f>
        <v>0</v>
      </c>
      <c r="U47" s="1704" t="str">
        <f t="shared" si="53"/>
        <v>1.33</v>
      </c>
      <c r="V47" s="1704" t="str">
        <f t="shared" si="54"/>
        <v>D+</v>
      </c>
      <c r="W47" s="1704" t="str">
        <f t="shared" si="55"/>
        <v>0</v>
      </c>
      <c r="X47" s="1849"/>
      <c r="Y47" s="1850"/>
      <c r="Z47" s="1850"/>
      <c r="AA47" s="1850"/>
      <c r="AB47" s="1850"/>
      <c r="AC47" s="1850"/>
      <c r="AD47" s="1851"/>
      <c r="AE47" s="1851"/>
      <c r="AF47" s="1851"/>
      <c r="AG47" s="1851"/>
      <c r="AH47" s="1851"/>
      <c r="AI47" s="1852"/>
      <c r="AJ47" s="1853"/>
      <c r="AK47" s="1854"/>
    </row>
    <row r="48" spans="1:37" ht="24.95" customHeight="1" x14ac:dyDescent="0.25">
      <c r="A48" s="1687"/>
      <c r="B48" s="1688"/>
      <c r="C48" s="1270"/>
      <c r="D48" s="1686" t="s">
        <v>186</v>
      </c>
      <c r="E48" s="1494"/>
      <c r="F48" s="1494"/>
      <c r="G48" s="1494"/>
      <c r="H48" s="2087"/>
      <c r="I48" s="2087"/>
      <c r="J48" s="2087"/>
      <c r="K48" s="1494">
        <v>0</v>
      </c>
      <c r="L48" s="1494">
        <v>0</v>
      </c>
      <c r="M48" s="1494">
        <v>0</v>
      </c>
      <c r="N48" s="2087"/>
      <c r="O48" s="2087"/>
      <c r="P48" s="2087"/>
      <c r="Q48" s="2028">
        <f t="shared" ref="Q48:Q49" si="56">MAX(E48,H48,K48,N48)</f>
        <v>0</v>
      </c>
      <c r="R48" s="2126">
        <f t="shared" si="49"/>
        <v>0</v>
      </c>
      <c r="S48" s="2127">
        <f t="shared" si="50"/>
        <v>0</v>
      </c>
      <c r="T48" s="853">
        <f t="shared" ref="T48:T49" si="57">IFERROR(AVERAGE(Q48:S48),"")</f>
        <v>0</v>
      </c>
      <c r="U48" s="1704" t="str">
        <f t="shared" si="53"/>
        <v>1.33</v>
      </c>
      <c r="V48" s="1704" t="str">
        <f t="shared" si="54"/>
        <v>D+</v>
      </c>
      <c r="W48" s="1704" t="str">
        <f t="shared" si="55"/>
        <v>0</v>
      </c>
      <c r="X48" s="1849"/>
      <c r="Y48" s="1850"/>
      <c r="Z48" s="1850"/>
      <c r="AA48" s="1850"/>
      <c r="AB48" s="1850"/>
      <c r="AC48" s="1850"/>
      <c r="AD48" s="1851"/>
      <c r="AE48" s="1851"/>
      <c r="AF48" s="1851"/>
      <c r="AG48" s="1851"/>
      <c r="AH48" s="1851"/>
      <c r="AI48" s="1852"/>
      <c r="AJ48" s="1853"/>
      <c r="AK48" s="1854"/>
    </row>
    <row r="49" spans="1:37" ht="24.95" customHeight="1" x14ac:dyDescent="0.25">
      <c r="A49" s="1687"/>
      <c r="B49" s="1688"/>
      <c r="C49" s="1270"/>
      <c r="D49" s="1686" t="s">
        <v>22</v>
      </c>
      <c r="E49" s="2086"/>
      <c r="F49" s="2086"/>
      <c r="G49" s="2086"/>
      <c r="H49" s="2088"/>
      <c r="I49" s="2088"/>
      <c r="J49" s="2088"/>
      <c r="K49" s="2086"/>
      <c r="L49" s="2086"/>
      <c r="M49" s="2086"/>
      <c r="N49" s="2088">
        <v>0</v>
      </c>
      <c r="O49" s="2088">
        <v>0</v>
      </c>
      <c r="P49" s="2088">
        <v>0</v>
      </c>
      <c r="Q49" s="2028">
        <f t="shared" si="56"/>
        <v>0</v>
      </c>
      <c r="R49" s="2126">
        <f t="shared" si="49"/>
        <v>0</v>
      </c>
      <c r="S49" s="2127">
        <f t="shared" si="50"/>
        <v>0</v>
      </c>
      <c r="T49" s="853">
        <f t="shared" si="57"/>
        <v>0</v>
      </c>
      <c r="U49" s="1705" t="str">
        <f t="shared" si="53"/>
        <v>1.33</v>
      </c>
      <c r="V49" s="1705" t="str">
        <f t="shared" si="54"/>
        <v>D+</v>
      </c>
      <c r="W49" s="1705" t="str">
        <f t="shared" si="55"/>
        <v>0</v>
      </c>
      <c r="X49" s="1849"/>
      <c r="Y49" s="1850"/>
      <c r="Z49" s="1850"/>
      <c r="AA49" s="1850"/>
      <c r="AB49" s="1850"/>
      <c r="AC49" s="1850"/>
      <c r="AD49" s="1851"/>
      <c r="AE49" s="1851"/>
      <c r="AF49" s="1851"/>
      <c r="AG49" s="1851"/>
      <c r="AH49" s="1851"/>
      <c r="AI49" s="1852"/>
      <c r="AJ49" s="1855"/>
      <c r="AK49" s="1856"/>
    </row>
    <row r="50" spans="1:37" ht="24.95" customHeight="1" x14ac:dyDescent="0.25">
      <c r="A50" s="1693"/>
      <c r="B50" s="1237">
        <v>6</v>
      </c>
      <c r="C50" s="1695" t="s">
        <v>167</v>
      </c>
      <c r="D50" s="1696"/>
      <c r="E50" s="1694"/>
      <c r="F50" s="1694"/>
      <c r="G50" s="1694"/>
      <c r="H50" s="1694"/>
      <c r="I50" s="1694"/>
      <c r="J50" s="1694"/>
      <c r="K50" s="1694"/>
      <c r="L50" s="1694"/>
      <c r="M50" s="1694"/>
      <c r="N50" s="1694"/>
      <c r="O50" s="1694"/>
      <c r="P50" s="1694"/>
      <c r="Q50" s="1694"/>
      <c r="R50" s="2160"/>
      <c r="S50" s="2160"/>
      <c r="T50" s="1938">
        <f>IFERROR(AVERAGE(T44:T49),"  ")</f>
        <v>0</v>
      </c>
      <c r="U50" s="1842" t="str">
        <f>IF(T50&gt;85,("4"),IF(T50&gt;80,("3.66"),IF(T50&gt;75,("3.33"),IF(T50&gt;70,("3.00"),IF(T50&gt;65,("2.66"),IF(T50&gt;60,("2.33"),IF(T50&gt;55,("2"),IF(T50&gt;50,("1.66"),"1.33"))))))))</f>
        <v>1.33</v>
      </c>
      <c r="V50" s="1842" t="str">
        <f>IF(T50&gt;85,("A"),IF(T50&gt;80,("A-"),IF(T50&gt;75,("B+"),IF(T50&gt;70,("B"),IF(T50&gt;65,("B-"),IF(T50&gt;60,("C+"),IF(T50&gt;55,("C"),IF(T50&gt;50,("C-"),"D+"))))))))</f>
        <v>D+</v>
      </c>
      <c r="W50" s="1842"/>
      <c r="X50" s="2073"/>
      <c r="Y50" s="2074"/>
      <c r="Z50" s="2074"/>
      <c r="AA50" s="2074"/>
      <c r="AB50" s="2074"/>
      <c r="AC50" s="2074"/>
      <c r="AD50" s="2074"/>
      <c r="AE50" s="2074"/>
      <c r="AF50" s="2074"/>
      <c r="AG50" s="2074"/>
      <c r="AH50" s="2074"/>
      <c r="AI50" s="2075"/>
      <c r="AJ50" s="1857"/>
      <c r="AK50" s="1858"/>
    </row>
    <row r="51" spans="1:37" ht="24.95" customHeight="1" x14ac:dyDescent="0.25">
      <c r="A51" s="1683">
        <v>7</v>
      </c>
      <c r="B51" s="1684"/>
      <c r="C51" s="1685" t="str">
        <f>VLOOKUP(A51,data_siswa,4,FALSE)</f>
        <v>Athaya Salsabilla Z</v>
      </c>
      <c r="D51" s="1686" t="s">
        <v>154</v>
      </c>
      <c r="E51" s="1494">
        <v>0</v>
      </c>
      <c r="F51" s="1494">
        <v>0</v>
      </c>
      <c r="G51" s="1494">
        <v>0</v>
      </c>
      <c r="H51" s="2087">
        <v>0</v>
      </c>
      <c r="I51" s="2087">
        <v>0</v>
      </c>
      <c r="J51" s="2087">
        <v>0</v>
      </c>
      <c r="K51" s="1494"/>
      <c r="L51" s="1494"/>
      <c r="M51" s="1494"/>
      <c r="N51" s="2087"/>
      <c r="O51" s="2087"/>
      <c r="P51" s="2087"/>
      <c r="Q51" s="2028">
        <f>MAX(E51,H51,K51,N51)</f>
        <v>0</v>
      </c>
      <c r="R51" s="2126">
        <f t="shared" ref="R51:R56" si="58">MAX(F51,I51,L51,O51)</f>
        <v>0</v>
      </c>
      <c r="S51" s="2127">
        <f t="shared" ref="S51:S56" si="59">MAX(G51,J51,M51,P51)</f>
        <v>0</v>
      </c>
      <c r="T51" s="853">
        <f>IFERROR(AVERAGE(Q51:S51),"")</f>
        <v>0</v>
      </c>
      <c r="U51" s="1704" t="str">
        <f>IF(T51&gt;85,("4"),IF(T51&gt;80,("3.66"),IF(T51&gt;75,("3.33"),IF(T51&gt;70,("3.00"),IF(T51&gt;65,("2.66"),IF(T51&gt;60,("2.33"),IF(T51&gt;55,("2"),IF(T51&gt;50,("1.66"),"1.33"))))))))</f>
        <v>1.33</v>
      </c>
      <c r="V51" s="1704" t="str">
        <f>IF(T51&gt;85,("A"),IF(T51&gt;80,("A-"),IF(T51&gt;75,("B+"),IF(T51&gt;70,("B"),IF(T51&gt;65,("B-"),IF(T51&gt;60,("C+"),IF(T51&gt;55,("C"),IF(T51&gt;50,("C-"),"D+"))))))))</f>
        <v>D+</v>
      </c>
      <c r="W51" s="1704" t="str">
        <f>IF(T51&gt;80,("SB"),IF(T51&gt;65,("B"),IF(T51&gt;50,("C"),IF(T51&gt;0,("K"),"0"))))</f>
        <v>0</v>
      </c>
      <c r="X51" s="1267"/>
      <c r="Y51" s="1267"/>
      <c r="Z51" s="1267"/>
      <c r="AA51" s="1267"/>
      <c r="AB51" s="1267"/>
      <c r="AC51" s="1267"/>
      <c r="AD51" s="1268"/>
      <c r="AE51" s="1268"/>
      <c r="AF51" s="1268"/>
      <c r="AG51" s="1268"/>
      <c r="AH51" s="1268"/>
      <c r="AI51" s="1268"/>
      <c r="AJ51" s="2099">
        <f>T57</f>
        <v>0</v>
      </c>
      <c r="AK51" s="2095" t="str">
        <f>V57</f>
        <v>D+</v>
      </c>
    </row>
    <row r="52" spans="1:37" ht="24.95" customHeight="1" x14ac:dyDescent="0.25">
      <c r="A52" s="1687"/>
      <c r="B52" s="1688"/>
      <c r="C52" s="1270"/>
      <c r="D52" s="1686" t="s">
        <v>155</v>
      </c>
      <c r="E52" s="1494">
        <v>0</v>
      </c>
      <c r="F52" s="1494">
        <v>0</v>
      </c>
      <c r="G52" s="1494">
        <v>0</v>
      </c>
      <c r="H52" s="2087">
        <v>0</v>
      </c>
      <c r="I52" s="2087">
        <v>0</v>
      </c>
      <c r="J52" s="2087">
        <v>0</v>
      </c>
      <c r="K52" s="1494">
        <v>0</v>
      </c>
      <c r="L52" s="1494">
        <v>0</v>
      </c>
      <c r="M52" s="1494">
        <v>0</v>
      </c>
      <c r="N52" s="2087"/>
      <c r="O52" s="2087"/>
      <c r="P52" s="2087"/>
      <c r="Q52" s="2028">
        <f t="shared" ref="Q52:Q53" si="60">MAX(E52,H52,K52,N52)</f>
        <v>0</v>
      </c>
      <c r="R52" s="2126">
        <f t="shared" si="58"/>
        <v>0</v>
      </c>
      <c r="S52" s="2127">
        <f t="shared" si="59"/>
        <v>0</v>
      </c>
      <c r="T52" s="853">
        <f t="shared" ref="T52:T53" si="61">IFERROR(AVERAGE(Q52:S52),"")</f>
        <v>0</v>
      </c>
      <c r="U52" s="1704" t="str">
        <f t="shared" ref="U52:U56" si="62">IF(T52&gt;85,("4"),IF(T52&gt;80,("3.66"),IF(T52&gt;75,("3.33"),IF(T52&gt;70,("3.00"),IF(T52&gt;65,("2.66"),IF(T52&gt;60,("2.33"),IF(T52&gt;55,("2"),IF(T52&gt;50,("1.66"),"1.33"))))))))</f>
        <v>1.33</v>
      </c>
      <c r="V52" s="1704" t="str">
        <f t="shared" ref="V52:V56" si="63">IF(T52&gt;85,("A"),IF(T52&gt;80,("A-"),IF(T52&gt;75,("B+"),IF(T52&gt;70,("B"),IF(T52&gt;65,("B-"),IF(T52&gt;60,("C+"),IF(T52&gt;55,("C"),IF(T52&gt;50,("C-"),"D+"))))))))</f>
        <v>D+</v>
      </c>
      <c r="W52" s="1704" t="str">
        <f t="shared" ref="W52:W56" si="64">IF(T52&gt;80,("SB"),IF(T52&gt;65,("B"),IF(T52&gt;50,("C"),IF(T52&gt;0,("K"),"0"))))</f>
        <v>0</v>
      </c>
      <c r="X52" s="1843"/>
      <c r="Y52" s="1844"/>
      <c r="Z52" s="1844"/>
      <c r="AA52" s="1844"/>
      <c r="AB52" s="1844"/>
      <c r="AC52" s="1844"/>
      <c r="AD52" s="1845"/>
      <c r="AE52" s="1845"/>
      <c r="AF52" s="1845"/>
      <c r="AG52" s="1845"/>
      <c r="AH52" s="1845"/>
      <c r="AI52" s="1846"/>
      <c r="AJ52" s="1847"/>
      <c r="AK52" s="1848"/>
    </row>
    <row r="53" spans="1:37" ht="24.95" customHeight="1" x14ac:dyDescent="0.25">
      <c r="A53" s="1687"/>
      <c r="B53" s="1688"/>
      <c r="C53" s="1270"/>
      <c r="D53" s="1686" t="s">
        <v>11</v>
      </c>
      <c r="E53" s="1494">
        <v>0</v>
      </c>
      <c r="F53" s="1494">
        <v>0</v>
      </c>
      <c r="G53" s="1494">
        <v>0</v>
      </c>
      <c r="H53" s="2087">
        <v>0</v>
      </c>
      <c r="I53" s="2087">
        <v>0</v>
      </c>
      <c r="J53" s="2087">
        <v>0</v>
      </c>
      <c r="K53" s="1494">
        <v>0</v>
      </c>
      <c r="L53" s="1494">
        <v>0</v>
      </c>
      <c r="M53" s="1494">
        <v>0</v>
      </c>
      <c r="N53" s="2087">
        <v>0</v>
      </c>
      <c r="O53" s="2087">
        <v>0</v>
      </c>
      <c r="P53" s="2087">
        <v>0</v>
      </c>
      <c r="Q53" s="2028">
        <f t="shared" si="60"/>
        <v>0</v>
      </c>
      <c r="R53" s="2126">
        <f t="shared" si="58"/>
        <v>0</v>
      </c>
      <c r="S53" s="2127">
        <f t="shared" si="59"/>
        <v>0</v>
      </c>
      <c r="T53" s="853">
        <f t="shared" si="61"/>
        <v>0</v>
      </c>
      <c r="U53" s="1704" t="str">
        <f t="shared" si="62"/>
        <v>1.33</v>
      </c>
      <c r="V53" s="1704" t="str">
        <f t="shared" si="63"/>
        <v>D+</v>
      </c>
      <c r="W53" s="1704" t="str">
        <f t="shared" si="64"/>
        <v>0</v>
      </c>
      <c r="X53" s="1849"/>
      <c r="Y53" s="1850"/>
      <c r="Z53" s="1850"/>
      <c r="AA53" s="1850"/>
      <c r="AB53" s="1850"/>
      <c r="AC53" s="1850"/>
      <c r="AD53" s="1851"/>
      <c r="AE53" s="1851"/>
      <c r="AF53" s="1851"/>
      <c r="AG53" s="1851"/>
      <c r="AH53" s="1851"/>
      <c r="AI53" s="1852"/>
      <c r="AJ53" s="1853"/>
      <c r="AK53" s="1854"/>
    </row>
    <row r="54" spans="1:37" ht="24.95" customHeight="1" x14ac:dyDescent="0.25">
      <c r="A54" s="1687"/>
      <c r="B54" s="1688"/>
      <c r="C54" s="1270"/>
      <c r="D54" s="1686" t="s">
        <v>16</v>
      </c>
      <c r="E54" s="1494"/>
      <c r="F54" s="1494"/>
      <c r="G54" s="1494"/>
      <c r="H54" s="2087"/>
      <c r="I54" s="2087"/>
      <c r="J54" s="2087"/>
      <c r="K54" s="1494"/>
      <c r="L54" s="1494"/>
      <c r="M54" s="1494"/>
      <c r="N54" s="2087">
        <v>0</v>
      </c>
      <c r="O54" s="2087">
        <v>0</v>
      </c>
      <c r="P54" s="2087">
        <v>0</v>
      </c>
      <c r="Q54" s="2028">
        <f>MAX(E54,H54,K54,N54)</f>
        <v>0</v>
      </c>
      <c r="R54" s="2126">
        <f t="shared" si="58"/>
        <v>0</v>
      </c>
      <c r="S54" s="2127">
        <f t="shared" si="59"/>
        <v>0</v>
      </c>
      <c r="T54" s="853">
        <f>IFERROR(AVERAGE(Q54:S54),"")</f>
        <v>0</v>
      </c>
      <c r="U54" s="1704" t="str">
        <f t="shared" si="62"/>
        <v>1.33</v>
      </c>
      <c r="V54" s="1704" t="str">
        <f t="shared" si="63"/>
        <v>D+</v>
      </c>
      <c r="W54" s="1704" t="str">
        <f t="shared" si="64"/>
        <v>0</v>
      </c>
      <c r="X54" s="1849"/>
      <c r="Y54" s="1850"/>
      <c r="Z54" s="1850"/>
      <c r="AA54" s="1850"/>
      <c r="AB54" s="1850"/>
      <c r="AC54" s="1850"/>
      <c r="AD54" s="1851"/>
      <c r="AE54" s="1851"/>
      <c r="AF54" s="1851"/>
      <c r="AG54" s="1851"/>
      <c r="AH54" s="1851"/>
      <c r="AI54" s="1852"/>
      <c r="AJ54" s="1853"/>
      <c r="AK54" s="1854"/>
    </row>
    <row r="55" spans="1:37" ht="24.95" customHeight="1" x14ac:dyDescent="0.25">
      <c r="A55" s="1687"/>
      <c r="B55" s="1688"/>
      <c r="C55" s="1270"/>
      <c r="D55" s="1686" t="s">
        <v>186</v>
      </c>
      <c r="E55" s="1494"/>
      <c r="F55" s="1494"/>
      <c r="G55" s="1494"/>
      <c r="H55" s="2087"/>
      <c r="I55" s="2087"/>
      <c r="J55" s="2087"/>
      <c r="K55" s="1494">
        <v>0</v>
      </c>
      <c r="L55" s="1494">
        <v>0</v>
      </c>
      <c r="M55" s="1494">
        <v>0</v>
      </c>
      <c r="N55" s="2087"/>
      <c r="O55" s="2087"/>
      <c r="P55" s="2087"/>
      <c r="Q55" s="2028">
        <f t="shared" ref="Q55:Q56" si="65">MAX(E55,H55,K55,N55)</f>
        <v>0</v>
      </c>
      <c r="R55" s="2126">
        <f t="shared" si="58"/>
        <v>0</v>
      </c>
      <c r="S55" s="2127">
        <f t="shared" si="59"/>
        <v>0</v>
      </c>
      <c r="T55" s="853">
        <f t="shared" ref="T55:T56" si="66">IFERROR(AVERAGE(Q55:S55),"")</f>
        <v>0</v>
      </c>
      <c r="U55" s="1704" t="str">
        <f t="shared" si="62"/>
        <v>1.33</v>
      </c>
      <c r="V55" s="1704" t="str">
        <f t="shared" si="63"/>
        <v>D+</v>
      </c>
      <c r="W55" s="1704" t="str">
        <f t="shared" si="64"/>
        <v>0</v>
      </c>
      <c r="X55" s="1849"/>
      <c r="Y55" s="1850"/>
      <c r="Z55" s="1850"/>
      <c r="AA55" s="1850"/>
      <c r="AB55" s="1850"/>
      <c r="AC55" s="1850"/>
      <c r="AD55" s="1851"/>
      <c r="AE55" s="1851"/>
      <c r="AF55" s="1851"/>
      <c r="AG55" s="1851"/>
      <c r="AH55" s="1851"/>
      <c r="AI55" s="1852"/>
      <c r="AJ55" s="1853"/>
      <c r="AK55" s="1854"/>
    </row>
    <row r="56" spans="1:37" ht="24.95" customHeight="1" x14ac:dyDescent="0.25">
      <c r="A56" s="1687"/>
      <c r="B56" s="1688"/>
      <c r="C56" s="1270"/>
      <c r="D56" s="1686" t="s">
        <v>22</v>
      </c>
      <c r="E56" s="2086"/>
      <c r="F56" s="2086"/>
      <c r="G56" s="2086"/>
      <c r="H56" s="2088"/>
      <c r="I56" s="2088"/>
      <c r="J56" s="2088"/>
      <c r="K56" s="2086"/>
      <c r="L56" s="2086"/>
      <c r="M56" s="2086"/>
      <c r="N56" s="2088">
        <v>0</v>
      </c>
      <c r="O56" s="2088">
        <v>0</v>
      </c>
      <c r="P56" s="2088">
        <v>0</v>
      </c>
      <c r="Q56" s="2028">
        <f t="shared" si="65"/>
        <v>0</v>
      </c>
      <c r="R56" s="2126">
        <f t="shared" si="58"/>
        <v>0</v>
      </c>
      <c r="S56" s="2127">
        <f t="shared" si="59"/>
        <v>0</v>
      </c>
      <c r="T56" s="853">
        <f t="shared" si="66"/>
        <v>0</v>
      </c>
      <c r="U56" s="1705" t="str">
        <f t="shared" si="62"/>
        <v>1.33</v>
      </c>
      <c r="V56" s="1705" t="str">
        <f t="shared" si="63"/>
        <v>D+</v>
      </c>
      <c r="W56" s="1705" t="str">
        <f t="shared" si="64"/>
        <v>0</v>
      </c>
      <c r="X56" s="1849"/>
      <c r="Y56" s="1850"/>
      <c r="Z56" s="1850"/>
      <c r="AA56" s="1850"/>
      <c r="AB56" s="1850"/>
      <c r="AC56" s="1850"/>
      <c r="AD56" s="1851"/>
      <c r="AE56" s="1851"/>
      <c r="AF56" s="1851"/>
      <c r="AG56" s="1851"/>
      <c r="AH56" s="1851"/>
      <c r="AI56" s="1852"/>
      <c r="AJ56" s="1855"/>
      <c r="AK56" s="1856"/>
    </row>
    <row r="57" spans="1:37" ht="24.95" customHeight="1" x14ac:dyDescent="0.25">
      <c r="A57" s="1693"/>
      <c r="B57" s="1237">
        <v>7</v>
      </c>
      <c r="C57" s="1695" t="s">
        <v>167</v>
      </c>
      <c r="D57" s="1696"/>
      <c r="E57" s="1694"/>
      <c r="F57" s="1694"/>
      <c r="G57" s="1694"/>
      <c r="H57" s="1694"/>
      <c r="I57" s="1694"/>
      <c r="J57" s="1694"/>
      <c r="K57" s="1694"/>
      <c r="L57" s="1694"/>
      <c r="M57" s="1694"/>
      <c r="N57" s="1694"/>
      <c r="O57" s="1694"/>
      <c r="P57" s="1694"/>
      <c r="Q57" s="1694"/>
      <c r="R57" s="2160"/>
      <c r="S57" s="2160"/>
      <c r="T57" s="1938">
        <f>IFERROR(AVERAGE(T51:T56),"  ")</f>
        <v>0</v>
      </c>
      <c r="U57" s="1842" t="str">
        <f>IF(T57&gt;85,("4"),IF(T57&gt;80,("3.66"),IF(T57&gt;75,("3.33"),IF(T57&gt;70,("3.00"),IF(T57&gt;65,("2.66"),IF(T57&gt;60,("2.33"),IF(T57&gt;55,("2"),IF(T57&gt;50,("1.66"),"1.33"))))))))</f>
        <v>1.33</v>
      </c>
      <c r="V57" s="1842" t="str">
        <f>IF(T57&gt;85,("A"),IF(T57&gt;80,("A-"),IF(T57&gt;75,("B+"),IF(T57&gt;70,("B"),IF(T57&gt;65,("B-"),IF(T57&gt;60,("C+"),IF(T57&gt;55,("C"),IF(T57&gt;50,("C-"),"D+"))))))))</f>
        <v>D+</v>
      </c>
      <c r="W57" s="1842"/>
      <c r="X57" s="2073"/>
      <c r="Y57" s="2074"/>
      <c r="Z57" s="2074"/>
      <c r="AA57" s="2074"/>
      <c r="AB57" s="2074"/>
      <c r="AC57" s="2074"/>
      <c r="AD57" s="2074"/>
      <c r="AE57" s="2074"/>
      <c r="AF57" s="2074"/>
      <c r="AG57" s="2074"/>
      <c r="AH57" s="2074"/>
      <c r="AI57" s="2075"/>
      <c r="AJ57" s="1857"/>
      <c r="AK57" s="1858"/>
    </row>
    <row r="58" spans="1:37" ht="24.95" customHeight="1" x14ac:dyDescent="0.25">
      <c r="A58" s="1683">
        <v>8</v>
      </c>
      <c r="B58" s="1684"/>
      <c r="C58" s="1685" t="str">
        <f>VLOOKUP(A58,data_siswa,4,FALSE)</f>
        <v>Aulia Dea Rosalinda</v>
      </c>
      <c r="D58" s="1686" t="s">
        <v>154</v>
      </c>
      <c r="E58" s="1494">
        <v>0</v>
      </c>
      <c r="F58" s="1494">
        <v>0</v>
      </c>
      <c r="G58" s="1494">
        <v>0</v>
      </c>
      <c r="H58" s="2087">
        <v>0</v>
      </c>
      <c r="I58" s="2087">
        <v>0</v>
      </c>
      <c r="J58" s="2087">
        <v>0</v>
      </c>
      <c r="K58" s="1494"/>
      <c r="L58" s="1494"/>
      <c r="M58" s="1494"/>
      <c r="N58" s="2087"/>
      <c r="O58" s="2087"/>
      <c r="P58" s="2087"/>
      <c r="Q58" s="2028">
        <f>MAX(E58,H58,K58,N58)</f>
        <v>0</v>
      </c>
      <c r="R58" s="2126">
        <f t="shared" ref="R58:R63" si="67">MAX(F58,I58,L58,O58)</f>
        <v>0</v>
      </c>
      <c r="S58" s="2127">
        <f t="shared" ref="S58:S63" si="68">MAX(G58,J58,M58,P58)</f>
        <v>0</v>
      </c>
      <c r="T58" s="853">
        <f>IFERROR(AVERAGE(Q58:S58),"")</f>
        <v>0</v>
      </c>
      <c r="U58" s="1704" t="str">
        <f>IF(T58&gt;85,("4"),IF(T58&gt;80,("3.66"),IF(T58&gt;75,("3.33"),IF(T58&gt;70,("3.00"),IF(T58&gt;65,("2.66"),IF(T58&gt;60,("2.33"),IF(T58&gt;55,("2"),IF(T58&gt;50,("1.66"),"1.33"))))))))</f>
        <v>1.33</v>
      </c>
      <c r="V58" s="1704" t="str">
        <f>IF(T58&gt;85,("A"),IF(T58&gt;80,("A-"),IF(T58&gt;75,("B+"),IF(T58&gt;70,("B"),IF(T58&gt;65,("B-"),IF(T58&gt;60,("C+"),IF(T58&gt;55,("C"),IF(T58&gt;50,("C-"),"D+"))))))))</f>
        <v>D+</v>
      </c>
      <c r="W58" s="1704" t="str">
        <f>IF(T58&gt;80,("SB"),IF(T58&gt;65,("B"),IF(T58&gt;50,("C"),IF(T58&gt;0,("K"),"0"))))</f>
        <v>0</v>
      </c>
      <c r="X58" s="1267"/>
      <c r="Y58" s="1267"/>
      <c r="Z58" s="1267"/>
      <c r="AA58" s="1267"/>
      <c r="AB58" s="1267"/>
      <c r="AC58" s="1267"/>
      <c r="AD58" s="1268"/>
      <c r="AE58" s="1268"/>
      <c r="AF58" s="1268"/>
      <c r="AG58" s="1268"/>
      <c r="AH58" s="1268"/>
      <c r="AI58" s="1268"/>
      <c r="AJ58" s="2099">
        <f>T64</f>
        <v>0</v>
      </c>
      <c r="AK58" s="2095" t="str">
        <f>V64</f>
        <v>D+</v>
      </c>
    </row>
    <row r="59" spans="1:37" ht="24.95" customHeight="1" x14ac:dyDescent="0.25">
      <c r="A59" s="1687"/>
      <c r="B59" s="1688"/>
      <c r="C59" s="1270"/>
      <c r="D59" s="1686" t="s">
        <v>155</v>
      </c>
      <c r="E59" s="1494">
        <v>0</v>
      </c>
      <c r="F59" s="1494">
        <v>0</v>
      </c>
      <c r="G59" s="1494">
        <v>0</v>
      </c>
      <c r="H59" s="2087">
        <v>0</v>
      </c>
      <c r="I59" s="2087">
        <v>0</v>
      </c>
      <c r="J59" s="2087">
        <v>0</v>
      </c>
      <c r="K59" s="1494">
        <v>0</v>
      </c>
      <c r="L59" s="1494">
        <v>0</v>
      </c>
      <c r="M59" s="1494">
        <v>0</v>
      </c>
      <c r="N59" s="2087"/>
      <c r="O59" s="2087"/>
      <c r="P59" s="2087"/>
      <c r="Q59" s="2028">
        <f t="shared" ref="Q59:Q60" si="69">MAX(E59,H59,K59,N59)</f>
        <v>0</v>
      </c>
      <c r="R59" s="2126">
        <f t="shared" si="67"/>
        <v>0</v>
      </c>
      <c r="S59" s="2127">
        <f t="shared" si="68"/>
        <v>0</v>
      </c>
      <c r="T59" s="853">
        <f t="shared" ref="T59:T60" si="70">IFERROR(AVERAGE(Q59:S59),"")</f>
        <v>0</v>
      </c>
      <c r="U59" s="1704" t="str">
        <f t="shared" ref="U59:U63" si="71">IF(T59&gt;85,("4"),IF(T59&gt;80,("3.66"),IF(T59&gt;75,("3.33"),IF(T59&gt;70,("3.00"),IF(T59&gt;65,("2.66"),IF(T59&gt;60,("2.33"),IF(T59&gt;55,("2"),IF(T59&gt;50,("1.66"),"1.33"))))))))</f>
        <v>1.33</v>
      </c>
      <c r="V59" s="1704" t="str">
        <f t="shared" ref="V59:V63" si="72">IF(T59&gt;85,("A"),IF(T59&gt;80,("A-"),IF(T59&gt;75,("B+"),IF(T59&gt;70,("B"),IF(T59&gt;65,("B-"),IF(T59&gt;60,("C+"),IF(T59&gt;55,("C"),IF(T59&gt;50,("C-"),"D+"))))))))</f>
        <v>D+</v>
      </c>
      <c r="W59" s="1704" t="str">
        <f t="shared" ref="W59:W63" si="73">IF(T59&gt;80,("SB"),IF(T59&gt;65,("B"),IF(T59&gt;50,("C"),IF(T59&gt;0,("K"),"0"))))</f>
        <v>0</v>
      </c>
      <c r="X59" s="1843"/>
      <c r="Y59" s="1844"/>
      <c r="Z59" s="1844"/>
      <c r="AA59" s="1844"/>
      <c r="AB59" s="1844"/>
      <c r="AC59" s="1844"/>
      <c r="AD59" s="1845"/>
      <c r="AE59" s="1845"/>
      <c r="AF59" s="1845"/>
      <c r="AG59" s="1845"/>
      <c r="AH59" s="1845"/>
      <c r="AI59" s="1846"/>
      <c r="AJ59" s="1847"/>
      <c r="AK59" s="1848"/>
    </row>
    <row r="60" spans="1:37" ht="24.95" customHeight="1" x14ac:dyDescent="0.25">
      <c r="A60" s="1687"/>
      <c r="B60" s="1688"/>
      <c r="C60" s="1270"/>
      <c r="D60" s="1686" t="s">
        <v>11</v>
      </c>
      <c r="E60" s="1494">
        <v>0</v>
      </c>
      <c r="F60" s="1494">
        <v>0</v>
      </c>
      <c r="G60" s="1494">
        <v>0</v>
      </c>
      <c r="H60" s="2087">
        <v>0</v>
      </c>
      <c r="I60" s="2087">
        <v>0</v>
      </c>
      <c r="J60" s="2087">
        <v>0</v>
      </c>
      <c r="K60" s="1494">
        <v>0</v>
      </c>
      <c r="L60" s="1494">
        <v>0</v>
      </c>
      <c r="M60" s="1494">
        <v>0</v>
      </c>
      <c r="N60" s="2087">
        <v>0</v>
      </c>
      <c r="O60" s="2087">
        <v>0</v>
      </c>
      <c r="P60" s="2087">
        <v>0</v>
      </c>
      <c r="Q60" s="2028">
        <f t="shared" si="69"/>
        <v>0</v>
      </c>
      <c r="R60" s="2126">
        <f t="shared" si="67"/>
        <v>0</v>
      </c>
      <c r="S60" s="2127">
        <f t="shared" si="68"/>
        <v>0</v>
      </c>
      <c r="T60" s="853">
        <f t="shared" si="70"/>
        <v>0</v>
      </c>
      <c r="U60" s="1704" t="str">
        <f t="shared" si="71"/>
        <v>1.33</v>
      </c>
      <c r="V60" s="1704" t="str">
        <f t="shared" si="72"/>
        <v>D+</v>
      </c>
      <c r="W60" s="1704" t="str">
        <f t="shared" si="73"/>
        <v>0</v>
      </c>
      <c r="X60" s="1849"/>
      <c r="Y60" s="1850"/>
      <c r="Z60" s="1850"/>
      <c r="AA60" s="1850"/>
      <c r="AB60" s="1850"/>
      <c r="AC60" s="1850"/>
      <c r="AD60" s="1851"/>
      <c r="AE60" s="1851"/>
      <c r="AF60" s="1851"/>
      <c r="AG60" s="1851"/>
      <c r="AH60" s="1851"/>
      <c r="AI60" s="1852"/>
      <c r="AJ60" s="1853"/>
      <c r="AK60" s="1854"/>
    </row>
    <row r="61" spans="1:37" ht="24.95" customHeight="1" x14ac:dyDescent="0.25">
      <c r="A61" s="1687"/>
      <c r="B61" s="1688"/>
      <c r="C61" s="1270"/>
      <c r="D61" s="1686" t="s">
        <v>16</v>
      </c>
      <c r="E61" s="1494"/>
      <c r="F61" s="1494"/>
      <c r="G61" s="1494"/>
      <c r="H61" s="2087"/>
      <c r="I61" s="2087"/>
      <c r="J61" s="2087"/>
      <c r="K61" s="1494"/>
      <c r="L61" s="1494"/>
      <c r="M61" s="1494"/>
      <c r="N61" s="2087">
        <v>0</v>
      </c>
      <c r="O61" s="2087">
        <v>0</v>
      </c>
      <c r="P61" s="2087">
        <v>0</v>
      </c>
      <c r="Q61" s="2028">
        <f>MAX(E61,H61,K61,N61)</f>
        <v>0</v>
      </c>
      <c r="R61" s="2126">
        <f t="shared" si="67"/>
        <v>0</v>
      </c>
      <c r="S61" s="2127">
        <f t="shared" si="68"/>
        <v>0</v>
      </c>
      <c r="T61" s="853">
        <f>IFERROR(AVERAGE(Q61:S61),"")</f>
        <v>0</v>
      </c>
      <c r="U61" s="1704" t="str">
        <f t="shared" si="71"/>
        <v>1.33</v>
      </c>
      <c r="V61" s="1704" t="str">
        <f t="shared" si="72"/>
        <v>D+</v>
      </c>
      <c r="W61" s="1704" t="str">
        <f t="shared" si="73"/>
        <v>0</v>
      </c>
      <c r="X61" s="1849"/>
      <c r="Y61" s="1850"/>
      <c r="Z61" s="1850"/>
      <c r="AA61" s="1850"/>
      <c r="AB61" s="1850"/>
      <c r="AC61" s="1850"/>
      <c r="AD61" s="1851"/>
      <c r="AE61" s="1851"/>
      <c r="AF61" s="1851"/>
      <c r="AG61" s="1851"/>
      <c r="AH61" s="1851"/>
      <c r="AI61" s="1852"/>
      <c r="AJ61" s="1853"/>
      <c r="AK61" s="1854"/>
    </row>
    <row r="62" spans="1:37" ht="24.95" customHeight="1" x14ac:dyDescent="0.25">
      <c r="A62" s="1687"/>
      <c r="B62" s="1688"/>
      <c r="C62" s="1270"/>
      <c r="D62" s="1686" t="s">
        <v>186</v>
      </c>
      <c r="E62" s="1494"/>
      <c r="F62" s="1494"/>
      <c r="G62" s="1494"/>
      <c r="H62" s="2087"/>
      <c r="I62" s="2087"/>
      <c r="J62" s="2087"/>
      <c r="K62" s="1494">
        <v>0</v>
      </c>
      <c r="L62" s="1494">
        <v>0</v>
      </c>
      <c r="M62" s="1494">
        <v>0</v>
      </c>
      <c r="N62" s="2087"/>
      <c r="O62" s="2087"/>
      <c r="P62" s="2087"/>
      <c r="Q62" s="2028">
        <f t="shared" ref="Q62:Q63" si="74">MAX(E62,H62,K62,N62)</f>
        <v>0</v>
      </c>
      <c r="R62" s="2126">
        <f t="shared" si="67"/>
        <v>0</v>
      </c>
      <c r="S62" s="2127">
        <f t="shared" si="68"/>
        <v>0</v>
      </c>
      <c r="T62" s="853">
        <f t="shared" ref="T62:T63" si="75">IFERROR(AVERAGE(Q62:S62),"")</f>
        <v>0</v>
      </c>
      <c r="U62" s="1704" t="str">
        <f t="shared" si="71"/>
        <v>1.33</v>
      </c>
      <c r="V62" s="1704" t="str">
        <f t="shared" si="72"/>
        <v>D+</v>
      </c>
      <c r="W62" s="1704" t="str">
        <f t="shared" si="73"/>
        <v>0</v>
      </c>
      <c r="X62" s="1849"/>
      <c r="Y62" s="1850"/>
      <c r="Z62" s="1850"/>
      <c r="AA62" s="1850"/>
      <c r="AB62" s="1850"/>
      <c r="AC62" s="1850"/>
      <c r="AD62" s="1851"/>
      <c r="AE62" s="1851"/>
      <c r="AF62" s="1851"/>
      <c r="AG62" s="1851"/>
      <c r="AH62" s="1851"/>
      <c r="AI62" s="1852"/>
      <c r="AJ62" s="1853"/>
      <c r="AK62" s="1854"/>
    </row>
    <row r="63" spans="1:37" ht="24.95" customHeight="1" x14ac:dyDescent="0.25">
      <c r="A63" s="1687"/>
      <c r="B63" s="1688"/>
      <c r="C63" s="1270"/>
      <c r="D63" s="1686" t="s">
        <v>22</v>
      </c>
      <c r="E63" s="2086"/>
      <c r="F63" s="2086"/>
      <c r="G63" s="2086"/>
      <c r="H63" s="2088"/>
      <c r="I63" s="2088"/>
      <c r="J63" s="2088"/>
      <c r="K63" s="2086"/>
      <c r="L63" s="2086"/>
      <c r="M63" s="2086"/>
      <c r="N63" s="2088">
        <v>0</v>
      </c>
      <c r="O63" s="2088">
        <v>0</v>
      </c>
      <c r="P63" s="2088">
        <v>0</v>
      </c>
      <c r="Q63" s="2028">
        <f t="shared" si="74"/>
        <v>0</v>
      </c>
      <c r="R63" s="2126">
        <f t="shared" si="67"/>
        <v>0</v>
      </c>
      <c r="S63" s="2127">
        <f t="shared" si="68"/>
        <v>0</v>
      </c>
      <c r="T63" s="853">
        <f t="shared" si="75"/>
        <v>0</v>
      </c>
      <c r="U63" s="1705" t="str">
        <f t="shared" si="71"/>
        <v>1.33</v>
      </c>
      <c r="V63" s="1705" t="str">
        <f t="shared" si="72"/>
        <v>D+</v>
      </c>
      <c r="W63" s="1705" t="str">
        <f t="shared" si="73"/>
        <v>0</v>
      </c>
      <c r="X63" s="1849"/>
      <c r="Y63" s="1850"/>
      <c r="Z63" s="1850"/>
      <c r="AA63" s="1850"/>
      <c r="AB63" s="1850"/>
      <c r="AC63" s="1850"/>
      <c r="AD63" s="1851"/>
      <c r="AE63" s="1851"/>
      <c r="AF63" s="1851"/>
      <c r="AG63" s="1851"/>
      <c r="AH63" s="1851"/>
      <c r="AI63" s="1852"/>
      <c r="AJ63" s="1855"/>
      <c r="AK63" s="1856"/>
    </row>
    <row r="64" spans="1:37" ht="24.95" customHeight="1" x14ac:dyDescent="0.25">
      <c r="A64" s="1693"/>
      <c r="B64" s="1237">
        <v>8</v>
      </c>
      <c r="C64" s="1695" t="s">
        <v>167</v>
      </c>
      <c r="D64" s="1696"/>
      <c r="E64" s="1694"/>
      <c r="F64" s="1694"/>
      <c r="G64" s="1694"/>
      <c r="H64" s="1694"/>
      <c r="I64" s="1694"/>
      <c r="J64" s="1694"/>
      <c r="K64" s="1694"/>
      <c r="L64" s="1694"/>
      <c r="M64" s="1694"/>
      <c r="N64" s="1694"/>
      <c r="O64" s="1694"/>
      <c r="P64" s="1694"/>
      <c r="Q64" s="1694"/>
      <c r="R64" s="2160"/>
      <c r="S64" s="2160"/>
      <c r="T64" s="1938">
        <f>IFERROR(AVERAGE(T58:T63),"  ")</f>
        <v>0</v>
      </c>
      <c r="U64" s="1842" t="str">
        <f>IF(T64&gt;85,("4"),IF(T64&gt;80,("3.66"),IF(T64&gt;75,("3.33"),IF(T64&gt;70,("3.00"),IF(T64&gt;65,("2.66"),IF(T64&gt;60,("2.33"),IF(T64&gt;55,("2"),IF(T64&gt;50,("1.66"),"1.33"))))))))</f>
        <v>1.33</v>
      </c>
      <c r="V64" s="1842" t="str">
        <f>IF(T64&gt;85,("A"),IF(T64&gt;80,("A-"),IF(T64&gt;75,("B+"),IF(T64&gt;70,("B"),IF(T64&gt;65,("B-"),IF(T64&gt;60,("C+"),IF(T64&gt;55,("C"),IF(T64&gt;50,("C-"),"D+"))))))))</f>
        <v>D+</v>
      </c>
      <c r="W64" s="1842"/>
      <c r="X64" s="2073"/>
      <c r="Y64" s="2074"/>
      <c r="Z64" s="2074"/>
      <c r="AA64" s="2074"/>
      <c r="AB64" s="2074"/>
      <c r="AC64" s="2074"/>
      <c r="AD64" s="2074"/>
      <c r="AE64" s="2074"/>
      <c r="AF64" s="2074"/>
      <c r="AG64" s="2074"/>
      <c r="AH64" s="2074"/>
      <c r="AI64" s="2075"/>
      <c r="AJ64" s="1857"/>
      <c r="AK64" s="1858"/>
    </row>
    <row r="65" spans="1:37" ht="24.95" customHeight="1" x14ac:dyDescent="0.25">
      <c r="A65" s="1683">
        <v>9</v>
      </c>
      <c r="B65" s="1684"/>
      <c r="C65" s="1685" t="str">
        <f>VLOOKUP(A65,data_siswa,4,FALSE)</f>
        <v>Claudia Gabriella L</v>
      </c>
      <c r="D65" s="1686" t="s">
        <v>154</v>
      </c>
      <c r="E65" s="1494">
        <v>0</v>
      </c>
      <c r="F65" s="1494">
        <v>0</v>
      </c>
      <c r="G65" s="1494">
        <v>0</v>
      </c>
      <c r="H65" s="2087">
        <v>0</v>
      </c>
      <c r="I65" s="2087">
        <v>0</v>
      </c>
      <c r="J65" s="2087">
        <v>0</v>
      </c>
      <c r="K65" s="1494"/>
      <c r="L65" s="1494"/>
      <c r="M65" s="1494"/>
      <c r="N65" s="2087"/>
      <c r="O65" s="2087"/>
      <c r="P65" s="2087"/>
      <c r="Q65" s="2028">
        <f>MAX(E65,H65,K65,N65)</f>
        <v>0</v>
      </c>
      <c r="R65" s="2126">
        <f t="shared" ref="R65:R70" si="76">MAX(F65,I65,L65,O65)</f>
        <v>0</v>
      </c>
      <c r="S65" s="2127">
        <f t="shared" ref="S65:S70" si="77">MAX(G65,J65,M65,P65)</f>
        <v>0</v>
      </c>
      <c r="T65" s="853">
        <f>IFERROR(AVERAGE(Q65:S65),"")</f>
        <v>0</v>
      </c>
      <c r="U65" s="1704" t="str">
        <f>IF(T65&gt;85,("4"),IF(T65&gt;80,("3.66"),IF(T65&gt;75,("3.33"),IF(T65&gt;70,("3.00"),IF(T65&gt;65,("2.66"),IF(T65&gt;60,("2.33"),IF(T65&gt;55,("2"),IF(T65&gt;50,("1.66"),"1.33"))))))))</f>
        <v>1.33</v>
      </c>
      <c r="V65" s="1704" t="str">
        <f>IF(T65&gt;85,("A"),IF(T65&gt;80,("A-"),IF(T65&gt;75,("B+"),IF(T65&gt;70,("B"),IF(T65&gt;65,("B-"),IF(T65&gt;60,("C+"),IF(T65&gt;55,("C"),IF(T65&gt;50,("C-"),"D+"))))))))</f>
        <v>D+</v>
      </c>
      <c r="W65" s="1704" t="str">
        <f>IF(T65&gt;80,("SB"),IF(T65&gt;65,("B"),IF(T65&gt;50,("C"),IF(T65&gt;0,("K"),"0"))))</f>
        <v>0</v>
      </c>
      <c r="X65" s="1267"/>
      <c r="Y65" s="1267"/>
      <c r="Z65" s="1267"/>
      <c r="AA65" s="1267"/>
      <c r="AB65" s="1267"/>
      <c r="AC65" s="1267"/>
      <c r="AD65" s="1268"/>
      <c r="AE65" s="1268"/>
      <c r="AF65" s="1268"/>
      <c r="AG65" s="1268"/>
      <c r="AH65" s="1268"/>
      <c r="AI65" s="1268"/>
      <c r="AJ65" s="2099">
        <f>T71</f>
        <v>0</v>
      </c>
      <c r="AK65" s="2095" t="str">
        <f>V71</f>
        <v>D+</v>
      </c>
    </row>
    <row r="66" spans="1:37" ht="24.95" customHeight="1" x14ac:dyDescent="0.25">
      <c r="A66" s="1687"/>
      <c r="B66" s="1688"/>
      <c r="C66" s="1270"/>
      <c r="D66" s="1686" t="s">
        <v>155</v>
      </c>
      <c r="E66" s="1494">
        <v>0</v>
      </c>
      <c r="F66" s="1494">
        <v>0</v>
      </c>
      <c r="G66" s="1494">
        <v>0</v>
      </c>
      <c r="H66" s="2087">
        <v>0</v>
      </c>
      <c r="I66" s="2087">
        <v>0</v>
      </c>
      <c r="J66" s="2087">
        <v>0</v>
      </c>
      <c r="K66" s="1494">
        <v>0</v>
      </c>
      <c r="L66" s="1494">
        <v>0</v>
      </c>
      <c r="M66" s="1494">
        <v>0</v>
      </c>
      <c r="N66" s="2087"/>
      <c r="O66" s="2087"/>
      <c r="P66" s="2087"/>
      <c r="Q66" s="2028">
        <f t="shared" ref="Q66:Q67" si="78">MAX(E66,H66,K66,N66)</f>
        <v>0</v>
      </c>
      <c r="R66" s="2126">
        <f t="shared" si="76"/>
        <v>0</v>
      </c>
      <c r="S66" s="2127">
        <f t="shared" si="77"/>
        <v>0</v>
      </c>
      <c r="T66" s="853">
        <f t="shared" ref="T66:T67" si="79">IFERROR(AVERAGE(Q66:S66),"")</f>
        <v>0</v>
      </c>
      <c r="U66" s="1704" t="str">
        <f t="shared" ref="U66:U70" si="80">IF(T66&gt;85,("4"),IF(T66&gt;80,("3.66"),IF(T66&gt;75,("3.33"),IF(T66&gt;70,("3.00"),IF(T66&gt;65,("2.66"),IF(T66&gt;60,("2.33"),IF(T66&gt;55,("2"),IF(T66&gt;50,("1.66"),"1.33"))))))))</f>
        <v>1.33</v>
      </c>
      <c r="V66" s="1704" t="str">
        <f t="shared" ref="V66:V70" si="81">IF(T66&gt;85,("A"),IF(T66&gt;80,("A-"),IF(T66&gt;75,("B+"),IF(T66&gt;70,("B"),IF(T66&gt;65,("B-"),IF(T66&gt;60,("C+"),IF(T66&gt;55,("C"),IF(T66&gt;50,("C-"),"D+"))))))))</f>
        <v>D+</v>
      </c>
      <c r="W66" s="1704" t="str">
        <f t="shared" ref="W66:W70" si="82">IF(T66&gt;80,("SB"),IF(T66&gt;65,("B"),IF(T66&gt;50,("C"),IF(T66&gt;0,("K"),"0"))))</f>
        <v>0</v>
      </c>
      <c r="X66" s="1843"/>
      <c r="Y66" s="1844"/>
      <c r="Z66" s="1844"/>
      <c r="AA66" s="1844"/>
      <c r="AB66" s="1844"/>
      <c r="AC66" s="1844"/>
      <c r="AD66" s="1845"/>
      <c r="AE66" s="1845"/>
      <c r="AF66" s="1845"/>
      <c r="AG66" s="1845"/>
      <c r="AH66" s="1845"/>
      <c r="AI66" s="1846"/>
      <c r="AJ66" s="1847"/>
      <c r="AK66" s="1848"/>
    </row>
    <row r="67" spans="1:37" ht="24.95" customHeight="1" x14ac:dyDescent="0.25">
      <c r="A67" s="1687"/>
      <c r="B67" s="1688"/>
      <c r="C67" s="1270"/>
      <c r="D67" s="1686" t="s">
        <v>11</v>
      </c>
      <c r="E67" s="1494">
        <v>0</v>
      </c>
      <c r="F67" s="1494">
        <v>0</v>
      </c>
      <c r="G67" s="1494">
        <v>0</v>
      </c>
      <c r="H67" s="2087">
        <v>0</v>
      </c>
      <c r="I67" s="2087">
        <v>0</v>
      </c>
      <c r="J67" s="2087">
        <v>0</v>
      </c>
      <c r="K67" s="1494">
        <v>0</v>
      </c>
      <c r="L67" s="1494">
        <v>0</v>
      </c>
      <c r="M67" s="1494">
        <v>0</v>
      </c>
      <c r="N67" s="2087">
        <v>0</v>
      </c>
      <c r="O67" s="2087">
        <v>0</v>
      </c>
      <c r="P67" s="2087">
        <v>0</v>
      </c>
      <c r="Q67" s="2028">
        <f t="shared" si="78"/>
        <v>0</v>
      </c>
      <c r="R67" s="2126">
        <f t="shared" si="76"/>
        <v>0</v>
      </c>
      <c r="S67" s="2127">
        <f t="shared" si="77"/>
        <v>0</v>
      </c>
      <c r="T67" s="853">
        <f t="shared" si="79"/>
        <v>0</v>
      </c>
      <c r="U67" s="1704" t="str">
        <f t="shared" si="80"/>
        <v>1.33</v>
      </c>
      <c r="V67" s="1704" t="str">
        <f t="shared" si="81"/>
        <v>D+</v>
      </c>
      <c r="W67" s="1704" t="str">
        <f t="shared" si="82"/>
        <v>0</v>
      </c>
      <c r="X67" s="1849"/>
      <c r="Y67" s="1850"/>
      <c r="Z67" s="1850"/>
      <c r="AA67" s="1850"/>
      <c r="AB67" s="1850"/>
      <c r="AC67" s="1850"/>
      <c r="AD67" s="1851"/>
      <c r="AE67" s="1851"/>
      <c r="AF67" s="1851"/>
      <c r="AG67" s="1851"/>
      <c r="AH67" s="1851"/>
      <c r="AI67" s="1852"/>
      <c r="AJ67" s="1853"/>
      <c r="AK67" s="1854"/>
    </row>
    <row r="68" spans="1:37" ht="24.95" customHeight="1" x14ac:dyDescent="0.25">
      <c r="A68" s="1687"/>
      <c r="B68" s="1688"/>
      <c r="C68" s="1270"/>
      <c r="D68" s="1686" t="s">
        <v>16</v>
      </c>
      <c r="E68" s="1494"/>
      <c r="F68" s="1494"/>
      <c r="G68" s="1494"/>
      <c r="H68" s="2087"/>
      <c r="I68" s="2087"/>
      <c r="J68" s="2087"/>
      <c r="K68" s="1494"/>
      <c r="L68" s="1494"/>
      <c r="M68" s="1494"/>
      <c r="N68" s="2087">
        <v>0</v>
      </c>
      <c r="O68" s="2087">
        <v>0</v>
      </c>
      <c r="P68" s="2087">
        <v>0</v>
      </c>
      <c r="Q68" s="2028">
        <f>MAX(E68,H68,K68,N68)</f>
        <v>0</v>
      </c>
      <c r="R68" s="2126">
        <f t="shared" si="76"/>
        <v>0</v>
      </c>
      <c r="S68" s="2127">
        <f t="shared" si="77"/>
        <v>0</v>
      </c>
      <c r="T68" s="853">
        <f>IFERROR(AVERAGE(Q68:S68),"")</f>
        <v>0</v>
      </c>
      <c r="U68" s="1704" t="str">
        <f t="shared" si="80"/>
        <v>1.33</v>
      </c>
      <c r="V68" s="1704" t="str">
        <f t="shared" si="81"/>
        <v>D+</v>
      </c>
      <c r="W68" s="1704" t="str">
        <f t="shared" si="82"/>
        <v>0</v>
      </c>
      <c r="X68" s="1849"/>
      <c r="Y68" s="1850"/>
      <c r="Z68" s="1850"/>
      <c r="AA68" s="1850"/>
      <c r="AB68" s="1850"/>
      <c r="AC68" s="1850"/>
      <c r="AD68" s="1851"/>
      <c r="AE68" s="1851"/>
      <c r="AF68" s="1851"/>
      <c r="AG68" s="1851"/>
      <c r="AH68" s="1851"/>
      <c r="AI68" s="1852"/>
      <c r="AJ68" s="1853"/>
      <c r="AK68" s="1854"/>
    </row>
    <row r="69" spans="1:37" ht="24.95" customHeight="1" x14ac:dyDescent="0.25">
      <c r="A69" s="1687"/>
      <c r="B69" s="1688"/>
      <c r="C69" s="1270"/>
      <c r="D69" s="1686" t="s">
        <v>186</v>
      </c>
      <c r="E69" s="1494"/>
      <c r="F69" s="1494"/>
      <c r="G69" s="1494"/>
      <c r="H69" s="2087"/>
      <c r="I69" s="2087"/>
      <c r="J69" s="2087"/>
      <c r="K69" s="1494">
        <v>0</v>
      </c>
      <c r="L69" s="1494">
        <v>0</v>
      </c>
      <c r="M69" s="1494">
        <v>0</v>
      </c>
      <c r="N69" s="2087"/>
      <c r="O69" s="2087"/>
      <c r="P69" s="2087"/>
      <c r="Q69" s="2028">
        <f t="shared" ref="Q69:Q70" si="83">MAX(E69,H69,K69,N69)</f>
        <v>0</v>
      </c>
      <c r="R69" s="2126">
        <f t="shared" si="76"/>
        <v>0</v>
      </c>
      <c r="S69" s="2127">
        <f t="shared" si="77"/>
        <v>0</v>
      </c>
      <c r="T69" s="853">
        <f t="shared" ref="T69:T70" si="84">IFERROR(AVERAGE(Q69:S69),"")</f>
        <v>0</v>
      </c>
      <c r="U69" s="1704" t="str">
        <f t="shared" si="80"/>
        <v>1.33</v>
      </c>
      <c r="V69" s="1704" t="str">
        <f t="shared" si="81"/>
        <v>D+</v>
      </c>
      <c r="W69" s="1704" t="str">
        <f t="shared" si="82"/>
        <v>0</v>
      </c>
      <c r="X69" s="1849"/>
      <c r="Y69" s="1850"/>
      <c r="Z69" s="1850"/>
      <c r="AA69" s="1850"/>
      <c r="AB69" s="1850"/>
      <c r="AC69" s="1850"/>
      <c r="AD69" s="1851"/>
      <c r="AE69" s="1851"/>
      <c r="AF69" s="1851"/>
      <c r="AG69" s="1851"/>
      <c r="AH69" s="1851"/>
      <c r="AI69" s="1852"/>
      <c r="AJ69" s="1853"/>
      <c r="AK69" s="1854"/>
    </row>
    <row r="70" spans="1:37" ht="24.95" customHeight="1" x14ac:dyDescent="0.25">
      <c r="A70" s="1687"/>
      <c r="B70" s="1688"/>
      <c r="C70" s="1270"/>
      <c r="D70" s="1686" t="s">
        <v>22</v>
      </c>
      <c r="E70" s="2086"/>
      <c r="F70" s="2086"/>
      <c r="G70" s="2086"/>
      <c r="H70" s="2088"/>
      <c r="I70" s="2088"/>
      <c r="J70" s="2088"/>
      <c r="K70" s="2086"/>
      <c r="L70" s="2086"/>
      <c r="M70" s="2086"/>
      <c r="N70" s="2088">
        <v>0</v>
      </c>
      <c r="O70" s="2088">
        <v>0</v>
      </c>
      <c r="P70" s="2088">
        <v>0</v>
      </c>
      <c r="Q70" s="2028">
        <f t="shared" si="83"/>
        <v>0</v>
      </c>
      <c r="R70" s="2126">
        <f t="shared" si="76"/>
        <v>0</v>
      </c>
      <c r="S70" s="2127">
        <f t="shared" si="77"/>
        <v>0</v>
      </c>
      <c r="T70" s="853">
        <f t="shared" si="84"/>
        <v>0</v>
      </c>
      <c r="U70" s="1705" t="str">
        <f t="shared" si="80"/>
        <v>1.33</v>
      </c>
      <c r="V70" s="1705" t="str">
        <f t="shared" si="81"/>
        <v>D+</v>
      </c>
      <c r="W70" s="1705" t="str">
        <f t="shared" si="82"/>
        <v>0</v>
      </c>
      <c r="X70" s="1849"/>
      <c r="Y70" s="1850"/>
      <c r="Z70" s="1850"/>
      <c r="AA70" s="1850"/>
      <c r="AB70" s="1850"/>
      <c r="AC70" s="1850"/>
      <c r="AD70" s="1851"/>
      <c r="AE70" s="1851"/>
      <c r="AF70" s="1851"/>
      <c r="AG70" s="1851"/>
      <c r="AH70" s="1851"/>
      <c r="AI70" s="1852"/>
      <c r="AJ70" s="1855"/>
      <c r="AK70" s="1856"/>
    </row>
    <row r="71" spans="1:37" ht="24.95" customHeight="1" x14ac:dyDescent="0.25">
      <c r="A71" s="1693"/>
      <c r="B71" s="1237">
        <v>9</v>
      </c>
      <c r="C71" s="1695" t="s">
        <v>167</v>
      </c>
      <c r="D71" s="1696"/>
      <c r="E71" s="1694"/>
      <c r="F71" s="1694"/>
      <c r="G71" s="1694"/>
      <c r="H71" s="1694"/>
      <c r="I71" s="1694"/>
      <c r="J71" s="1694"/>
      <c r="K71" s="1694"/>
      <c r="L71" s="1694"/>
      <c r="M71" s="1694"/>
      <c r="N71" s="1694"/>
      <c r="O71" s="1694"/>
      <c r="P71" s="1694"/>
      <c r="Q71" s="1694"/>
      <c r="R71" s="2160"/>
      <c r="S71" s="2160"/>
      <c r="T71" s="1938">
        <f>IFERROR(AVERAGE(T65:T70),"  ")</f>
        <v>0</v>
      </c>
      <c r="U71" s="1842" t="str">
        <f>IF(T71&gt;85,("4"),IF(T71&gt;80,("3.66"),IF(T71&gt;75,("3.33"),IF(T71&gt;70,("3.00"),IF(T71&gt;65,("2.66"),IF(T71&gt;60,("2.33"),IF(T71&gt;55,("2"),IF(T71&gt;50,("1.66"),"1.33"))))))))</f>
        <v>1.33</v>
      </c>
      <c r="V71" s="1842" t="str">
        <f>IF(T71&gt;85,("A"),IF(T71&gt;80,("A-"),IF(T71&gt;75,("B+"),IF(T71&gt;70,("B"),IF(T71&gt;65,("B-"),IF(T71&gt;60,("C+"),IF(T71&gt;55,("C"),IF(T71&gt;50,("C-"),"D+"))))))))</f>
        <v>D+</v>
      </c>
      <c r="W71" s="1842"/>
      <c r="X71" s="2073"/>
      <c r="Y71" s="2074"/>
      <c r="Z71" s="2074"/>
      <c r="AA71" s="2074"/>
      <c r="AB71" s="2074"/>
      <c r="AC71" s="2074"/>
      <c r="AD71" s="2074"/>
      <c r="AE71" s="2074"/>
      <c r="AF71" s="2074"/>
      <c r="AG71" s="2074"/>
      <c r="AH71" s="2074"/>
      <c r="AI71" s="2075"/>
      <c r="AJ71" s="1857"/>
      <c r="AK71" s="1858"/>
    </row>
    <row r="72" spans="1:37" ht="24.95" customHeight="1" x14ac:dyDescent="0.25">
      <c r="A72" s="1683">
        <v>10</v>
      </c>
      <c r="B72" s="1684"/>
      <c r="C72" s="1685" t="str">
        <f>VLOOKUP(A72,data_siswa,4,FALSE)</f>
        <v xml:space="preserve">Deco Badarus Zaman </v>
      </c>
      <c r="D72" s="1686" t="s">
        <v>154</v>
      </c>
      <c r="E72" s="1494">
        <v>0</v>
      </c>
      <c r="F72" s="1494">
        <v>0</v>
      </c>
      <c r="G72" s="1494">
        <v>0</v>
      </c>
      <c r="H72" s="2087">
        <v>0</v>
      </c>
      <c r="I72" s="2087">
        <v>0</v>
      </c>
      <c r="J72" s="2087">
        <v>0</v>
      </c>
      <c r="K72" s="1494"/>
      <c r="L72" s="1494"/>
      <c r="M72" s="1494"/>
      <c r="N72" s="2087"/>
      <c r="O72" s="2087"/>
      <c r="P72" s="2087"/>
      <c r="Q72" s="2028">
        <f>MAX(E72,H72,K72,N72)</f>
        <v>0</v>
      </c>
      <c r="R72" s="2126">
        <f t="shared" ref="R72:R77" si="85">MAX(F72,I72,L72,O72)</f>
        <v>0</v>
      </c>
      <c r="S72" s="2127">
        <f t="shared" ref="S72:S77" si="86">MAX(G72,J72,M72,P72)</f>
        <v>0</v>
      </c>
      <c r="T72" s="853">
        <f>IFERROR(AVERAGE(Q72:S72),"")</f>
        <v>0</v>
      </c>
      <c r="U72" s="1704" t="str">
        <f>IF(T72&gt;85,("4"),IF(T72&gt;80,("3.66"),IF(T72&gt;75,("3.33"),IF(T72&gt;70,("3.00"),IF(T72&gt;65,("2.66"),IF(T72&gt;60,("2.33"),IF(T72&gt;55,("2"),IF(T72&gt;50,("1.66"),"1.33"))))))))</f>
        <v>1.33</v>
      </c>
      <c r="V72" s="1704" t="str">
        <f>IF(T72&gt;85,("A"),IF(T72&gt;80,("A-"),IF(T72&gt;75,("B+"),IF(T72&gt;70,("B"),IF(T72&gt;65,("B-"),IF(T72&gt;60,("C+"),IF(T72&gt;55,("C"),IF(T72&gt;50,("C-"),"D+"))))))))</f>
        <v>D+</v>
      </c>
      <c r="W72" s="1704" t="str">
        <f>IF(T72&gt;80,("SB"),IF(T72&gt;65,("B"),IF(T72&gt;50,("C"),IF(T72&gt;0,("K"),"0"))))</f>
        <v>0</v>
      </c>
      <c r="X72" s="1267"/>
      <c r="Y72" s="1267"/>
      <c r="Z72" s="1267"/>
      <c r="AA72" s="1267"/>
      <c r="AB72" s="1267"/>
      <c r="AC72" s="1267"/>
      <c r="AD72" s="1268"/>
      <c r="AE72" s="1268"/>
      <c r="AF72" s="1268"/>
      <c r="AG72" s="1268"/>
      <c r="AH72" s="1268"/>
      <c r="AI72" s="1268"/>
      <c r="AJ72" s="2099">
        <f>T78</f>
        <v>0</v>
      </c>
      <c r="AK72" s="2095" t="str">
        <f>V78</f>
        <v>D+</v>
      </c>
    </row>
    <row r="73" spans="1:37" ht="24.95" customHeight="1" x14ac:dyDescent="0.25">
      <c r="A73" s="1687"/>
      <c r="B73" s="1688"/>
      <c r="C73" s="1270"/>
      <c r="D73" s="1686" t="s">
        <v>155</v>
      </c>
      <c r="E73" s="1494">
        <v>0</v>
      </c>
      <c r="F73" s="1494">
        <v>0</v>
      </c>
      <c r="G73" s="1494">
        <v>0</v>
      </c>
      <c r="H73" s="2087">
        <v>0</v>
      </c>
      <c r="I73" s="2087">
        <v>0</v>
      </c>
      <c r="J73" s="2087">
        <v>0</v>
      </c>
      <c r="K73" s="1494">
        <v>0</v>
      </c>
      <c r="L73" s="1494">
        <v>0</v>
      </c>
      <c r="M73" s="1494">
        <v>0</v>
      </c>
      <c r="N73" s="2087"/>
      <c r="O73" s="2087"/>
      <c r="P73" s="2087"/>
      <c r="Q73" s="2028">
        <f t="shared" ref="Q73:Q74" si="87">MAX(E73,H73,K73,N73)</f>
        <v>0</v>
      </c>
      <c r="R73" s="2126">
        <f t="shared" si="85"/>
        <v>0</v>
      </c>
      <c r="S73" s="2127">
        <f t="shared" si="86"/>
        <v>0</v>
      </c>
      <c r="T73" s="853">
        <f t="shared" ref="T73:T74" si="88">IFERROR(AVERAGE(Q73:S73),"")</f>
        <v>0</v>
      </c>
      <c r="U73" s="1704" t="str">
        <f t="shared" ref="U73:U77" si="89">IF(T73&gt;85,("4"),IF(T73&gt;80,("3.66"),IF(T73&gt;75,("3.33"),IF(T73&gt;70,("3.00"),IF(T73&gt;65,("2.66"),IF(T73&gt;60,("2.33"),IF(T73&gt;55,("2"),IF(T73&gt;50,("1.66"),"1.33"))))))))</f>
        <v>1.33</v>
      </c>
      <c r="V73" s="1704" t="str">
        <f t="shared" ref="V73:V77" si="90">IF(T73&gt;85,("A"),IF(T73&gt;80,("A-"),IF(T73&gt;75,("B+"),IF(T73&gt;70,("B"),IF(T73&gt;65,("B-"),IF(T73&gt;60,("C+"),IF(T73&gt;55,("C"),IF(T73&gt;50,("C-"),"D+"))))))))</f>
        <v>D+</v>
      </c>
      <c r="W73" s="1704" t="str">
        <f t="shared" ref="W73:W77" si="91">IF(T73&gt;80,("SB"),IF(T73&gt;65,("B"),IF(T73&gt;50,("C"),IF(T73&gt;0,("K"),"0"))))</f>
        <v>0</v>
      </c>
      <c r="X73" s="1843"/>
      <c r="Y73" s="1844"/>
      <c r="Z73" s="1844"/>
      <c r="AA73" s="1844"/>
      <c r="AB73" s="1844"/>
      <c r="AC73" s="1844"/>
      <c r="AD73" s="1845"/>
      <c r="AE73" s="1845"/>
      <c r="AF73" s="1845"/>
      <c r="AG73" s="1845"/>
      <c r="AH73" s="1845"/>
      <c r="AI73" s="1846"/>
      <c r="AJ73" s="1847"/>
      <c r="AK73" s="1848"/>
    </row>
    <row r="74" spans="1:37" ht="24.95" customHeight="1" x14ac:dyDescent="0.25">
      <c r="A74" s="1687"/>
      <c r="B74" s="1688"/>
      <c r="C74" s="1270"/>
      <c r="D74" s="1686" t="s">
        <v>11</v>
      </c>
      <c r="E74" s="1494">
        <v>0</v>
      </c>
      <c r="F74" s="1494">
        <v>0</v>
      </c>
      <c r="G74" s="1494">
        <v>0</v>
      </c>
      <c r="H74" s="2087">
        <v>0</v>
      </c>
      <c r="I74" s="2087">
        <v>0</v>
      </c>
      <c r="J74" s="2087">
        <v>0</v>
      </c>
      <c r="K74" s="1494">
        <v>0</v>
      </c>
      <c r="L74" s="1494">
        <v>0</v>
      </c>
      <c r="M74" s="1494">
        <v>0</v>
      </c>
      <c r="N74" s="2087">
        <v>0</v>
      </c>
      <c r="O74" s="2087">
        <v>0</v>
      </c>
      <c r="P74" s="2087">
        <v>0</v>
      </c>
      <c r="Q74" s="2028">
        <f t="shared" si="87"/>
        <v>0</v>
      </c>
      <c r="R74" s="2126">
        <f t="shared" si="85"/>
        <v>0</v>
      </c>
      <c r="S74" s="2127">
        <f t="shared" si="86"/>
        <v>0</v>
      </c>
      <c r="T74" s="853">
        <f t="shared" si="88"/>
        <v>0</v>
      </c>
      <c r="U74" s="1704" t="str">
        <f t="shared" si="89"/>
        <v>1.33</v>
      </c>
      <c r="V74" s="1704" t="str">
        <f t="shared" si="90"/>
        <v>D+</v>
      </c>
      <c r="W74" s="1704" t="str">
        <f t="shared" si="91"/>
        <v>0</v>
      </c>
      <c r="X74" s="1849"/>
      <c r="Y74" s="1850"/>
      <c r="Z74" s="1850"/>
      <c r="AA74" s="1850"/>
      <c r="AB74" s="1850"/>
      <c r="AC74" s="1850"/>
      <c r="AD74" s="1851"/>
      <c r="AE74" s="1851"/>
      <c r="AF74" s="1851"/>
      <c r="AG74" s="1851"/>
      <c r="AH74" s="1851"/>
      <c r="AI74" s="1852"/>
      <c r="AJ74" s="1853"/>
      <c r="AK74" s="1854"/>
    </row>
    <row r="75" spans="1:37" ht="24.95" customHeight="1" x14ac:dyDescent="0.25">
      <c r="A75" s="1687"/>
      <c r="B75" s="1688"/>
      <c r="C75" s="1270"/>
      <c r="D75" s="1686" t="s">
        <v>16</v>
      </c>
      <c r="E75" s="1494"/>
      <c r="F75" s="1494"/>
      <c r="G75" s="1494"/>
      <c r="H75" s="2087"/>
      <c r="I75" s="2087"/>
      <c r="J75" s="2087"/>
      <c r="K75" s="1494"/>
      <c r="L75" s="1494"/>
      <c r="M75" s="1494"/>
      <c r="N75" s="2087">
        <v>0</v>
      </c>
      <c r="O75" s="2087">
        <v>0</v>
      </c>
      <c r="P75" s="2087">
        <v>0</v>
      </c>
      <c r="Q75" s="2028">
        <f>MAX(E75,H75,K75,N75)</f>
        <v>0</v>
      </c>
      <c r="R75" s="2126">
        <f t="shared" si="85"/>
        <v>0</v>
      </c>
      <c r="S75" s="2127">
        <f t="shared" si="86"/>
        <v>0</v>
      </c>
      <c r="T75" s="853">
        <f>IFERROR(AVERAGE(Q75:S75),"")</f>
        <v>0</v>
      </c>
      <c r="U75" s="1704" t="str">
        <f t="shared" si="89"/>
        <v>1.33</v>
      </c>
      <c r="V75" s="1704" t="str">
        <f t="shared" si="90"/>
        <v>D+</v>
      </c>
      <c r="W75" s="1704" t="str">
        <f t="shared" si="91"/>
        <v>0</v>
      </c>
      <c r="X75" s="1849"/>
      <c r="Y75" s="1850"/>
      <c r="Z75" s="1850"/>
      <c r="AA75" s="1850"/>
      <c r="AB75" s="1850"/>
      <c r="AC75" s="1850"/>
      <c r="AD75" s="1851"/>
      <c r="AE75" s="1851"/>
      <c r="AF75" s="1851"/>
      <c r="AG75" s="1851"/>
      <c r="AH75" s="1851"/>
      <c r="AI75" s="1852"/>
      <c r="AJ75" s="1853"/>
      <c r="AK75" s="1854"/>
    </row>
    <row r="76" spans="1:37" ht="24.95" customHeight="1" x14ac:dyDescent="0.25">
      <c r="A76" s="1687"/>
      <c r="B76" s="1688"/>
      <c r="C76" s="1270"/>
      <c r="D76" s="1686" t="s">
        <v>186</v>
      </c>
      <c r="E76" s="1494"/>
      <c r="F76" s="1494"/>
      <c r="G76" s="1494"/>
      <c r="H76" s="2087"/>
      <c r="I76" s="2087"/>
      <c r="J76" s="2087"/>
      <c r="K76" s="1494">
        <v>0</v>
      </c>
      <c r="L76" s="1494">
        <v>0</v>
      </c>
      <c r="M76" s="1494">
        <v>0</v>
      </c>
      <c r="N76" s="2087"/>
      <c r="O76" s="2087"/>
      <c r="P76" s="2087"/>
      <c r="Q76" s="2028">
        <f t="shared" ref="Q76:Q77" si="92">MAX(E76,H76,K76,N76)</f>
        <v>0</v>
      </c>
      <c r="R76" s="2126">
        <f t="shared" si="85"/>
        <v>0</v>
      </c>
      <c r="S76" s="2127">
        <f t="shared" si="86"/>
        <v>0</v>
      </c>
      <c r="T76" s="853">
        <f t="shared" ref="T76:T77" si="93">IFERROR(AVERAGE(Q76:S76),"")</f>
        <v>0</v>
      </c>
      <c r="U76" s="1704" t="str">
        <f t="shared" si="89"/>
        <v>1.33</v>
      </c>
      <c r="V76" s="1704" t="str">
        <f t="shared" si="90"/>
        <v>D+</v>
      </c>
      <c r="W76" s="1704" t="str">
        <f t="shared" si="91"/>
        <v>0</v>
      </c>
      <c r="X76" s="1849"/>
      <c r="Y76" s="1850"/>
      <c r="Z76" s="1850"/>
      <c r="AA76" s="1850"/>
      <c r="AB76" s="1850"/>
      <c r="AC76" s="1850"/>
      <c r="AD76" s="1851"/>
      <c r="AE76" s="1851"/>
      <c r="AF76" s="1851"/>
      <c r="AG76" s="1851"/>
      <c r="AH76" s="1851"/>
      <c r="AI76" s="1852"/>
      <c r="AJ76" s="1853"/>
      <c r="AK76" s="1854"/>
    </row>
    <row r="77" spans="1:37" ht="24.95" customHeight="1" x14ac:dyDescent="0.25">
      <c r="A77" s="1687"/>
      <c r="B77" s="1688"/>
      <c r="C77" s="1270"/>
      <c r="D77" s="1686" t="s">
        <v>22</v>
      </c>
      <c r="E77" s="2086"/>
      <c r="F77" s="2086"/>
      <c r="G77" s="2086"/>
      <c r="H77" s="2088"/>
      <c r="I77" s="2088"/>
      <c r="J77" s="2088"/>
      <c r="K77" s="2086"/>
      <c r="L77" s="2086"/>
      <c r="M77" s="2086"/>
      <c r="N77" s="2088">
        <v>0</v>
      </c>
      <c r="O77" s="2088">
        <v>0</v>
      </c>
      <c r="P77" s="2088">
        <v>0</v>
      </c>
      <c r="Q77" s="2028">
        <f t="shared" si="92"/>
        <v>0</v>
      </c>
      <c r="R77" s="2126">
        <f t="shared" si="85"/>
        <v>0</v>
      </c>
      <c r="S77" s="2127">
        <f t="shared" si="86"/>
        <v>0</v>
      </c>
      <c r="T77" s="853">
        <f t="shared" si="93"/>
        <v>0</v>
      </c>
      <c r="U77" s="1705" t="str">
        <f t="shared" si="89"/>
        <v>1.33</v>
      </c>
      <c r="V77" s="1705" t="str">
        <f t="shared" si="90"/>
        <v>D+</v>
      </c>
      <c r="W77" s="1705" t="str">
        <f t="shared" si="91"/>
        <v>0</v>
      </c>
      <c r="X77" s="1849"/>
      <c r="Y77" s="1850"/>
      <c r="Z77" s="1850"/>
      <c r="AA77" s="1850"/>
      <c r="AB77" s="1850"/>
      <c r="AC77" s="1850"/>
      <c r="AD77" s="1851"/>
      <c r="AE77" s="1851"/>
      <c r="AF77" s="1851"/>
      <c r="AG77" s="1851"/>
      <c r="AH77" s="1851"/>
      <c r="AI77" s="1852"/>
      <c r="AJ77" s="1855"/>
      <c r="AK77" s="1856"/>
    </row>
    <row r="78" spans="1:37" ht="24.95" customHeight="1" x14ac:dyDescent="0.25">
      <c r="A78" s="1693"/>
      <c r="B78" s="1237">
        <v>10</v>
      </c>
      <c r="C78" s="1695" t="s">
        <v>167</v>
      </c>
      <c r="D78" s="1696"/>
      <c r="E78" s="1694"/>
      <c r="F78" s="1694"/>
      <c r="G78" s="1694"/>
      <c r="H78" s="1694"/>
      <c r="I78" s="1694"/>
      <c r="J78" s="1694"/>
      <c r="K78" s="1694"/>
      <c r="L78" s="1694"/>
      <c r="M78" s="1694"/>
      <c r="N78" s="1694"/>
      <c r="O78" s="1694"/>
      <c r="P78" s="1694"/>
      <c r="Q78" s="1694"/>
      <c r="R78" s="2160"/>
      <c r="S78" s="2160"/>
      <c r="T78" s="1938">
        <f>IFERROR(AVERAGE(T72:T77),"  ")</f>
        <v>0</v>
      </c>
      <c r="U78" s="1842" t="str">
        <f>IF(T78&gt;85,("4"),IF(T78&gt;80,("3.66"),IF(T78&gt;75,("3.33"),IF(T78&gt;70,("3.00"),IF(T78&gt;65,("2.66"),IF(T78&gt;60,("2.33"),IF(T78&gt;55,("2"),IF(T78&gt;50,("1.66"),"1.33"))))))))</f>
        <v>1.33</v>
      </c>
      <c r="V78" s="1842" t="str">
        <f>IF(T78&gt;85,("A"),IF(T78&gt;80,("A-"),IF(T78&gt;75,("B+"),IF(T78&gt;70,("B"),IF(T78&gt;65,("B-"),IF(T78&gt;60,("C+"),IF(T78&gt;55,("C"),IF(T78&gt;50,("C-"),"D+"))))))))</f>
        <v>D+</v>
      </c>
      <c r="W78" s="1842"/>
      <c r="X78" s="2073"/>
      <c r="Y78" s="2074"/>
      <c r="Z78" s="2074"/>
      <c r="AA78" s="2074"/>
      <c r="AB78" s="2074"/>
      <c r="AC78" s="2074"/>
      <c r="AD78" s="2074"/>
      <c r="AE78" s="2074"/>
      <c r="AF78" s="2074"/>
      <c r="AG78" s="2074"/>
      <c r="AH78" s="2074"/>
      <c r="AI78" s="2075"/>
      <c r="AJ78" s="1857"/>
      <c r="AK78" s="1858"/>
    </row>
    <row r="79" spans="1:37" ht="24.95" customHeight="1" x14ac:dyDescent="0.25">
      <c r="A79" s="1683">
        <v>11</v>
      </c>
      <c r="B79" s="1684"/>
      <c r="C79" s="1685" t="str">
        <f>VLOOKUP(A79,data_siswa,4,FALSE)</f>
        <v>Fania Mutiara Felichia</v>
      </c>
      <c r="D79" s="1686" t="s">
        <v>154</v>
      </c>
      <c r="E79" s="1494">
        <v>0</v>
      </c>
      <c r="F79" s="1494">
        <v>0</v>
      </c>
      <c r="G79" s="1494">
        <v>0</v>
      </c>
      <c r="H79" s="2087">
        <v>0</v>
      </c>
      <c r="I79" s="2087">
        <v>0</v>
      </c>
      <c r="J79" s="2087">
        <v>0</v>
      </c>
      <c r="K79" s="1494"/>
      <c r="L79" s="1494"/>
      <c r="M79" s="1494"/>
      <c r="N79" s="2087"/>
      <c r="O79" s="2087"/>
      <c r="P79" s="2087"/>
      <c r="Q79" s="2028">
        <f>MAX(E79,H79,K79,N79)</f>
        <v>0</v>
      </c>
      <c r="R79" s="2126">
        <f t="shared" ref="R79:R84" si="94">MAX(F79,I79,L79,O79)</f>
        <v>0</v>
      </c>
      <c r="S79" s="2127">
        <f t="shared" ref="S79:S84" si="95">MAX(G79,J79,M79,P79)</f>
        <v>0</v>
      </c>
      <c r="T79" s="853">
        <f>IFERROR(AVERAGE(Q79:S79),"")</f>
        <v>0</v>
      </c>
      <c r="U79" s="1704" t="str">
        <f>IF(T79&gt;85,("4"),IF(T79&gt;80,("3.66"),IF(T79&gt;75,("3.33"),IF(T79&gt;70,("3.00"),IF(T79&gt;65,("2.66"),IF(T79&gt;60,("2.33"),IF(T79&gt;55,("2"),IF(T79&gt;50,("1.66"),"1.33"))))))))</f>
        <v>1.33</v>
      </c>
      <c r="V79" s="1704" t="str">
        <f>IF(T79&gt;85,("A"),IF(T79&gt;80,("A-"),IF(T79&gt;75,("B+"),IF(T79&gt;70,("B"),IF(T79&gt;65,("B-"),IF(T79&gt;60,("C+"),IF(T79&gt;55,("C"),IF(T79&gt;50,("C-"),"D+"))))))))</f>
        <v>D+</v>
      </c>
      <c r="W79" s="1704" t="str">
        <f>IF(T79&gt;80,("SB"),IF(T79&gt;65,("B"),IF(T79&gt;50,("C"),IF(T79&gt;0,("K"),"0"))))</f>
        <v>0</v>
      </c>
      <c r="X79" s="1267"/>
      <c r="Y79" s="1267"/>
      <c r="Z79" s="1267"/>
      <c r="AA79" s="1267"/>
      <c r="AB79" s="1267"/>
      <c r="AC79" s="1267"/>
      <c r="AD79" s="1268"/>
      <c r="AE79" s="1268"/>
      <c r="AF79" s="1268"/>
      <c r="AG79" s="1268"/>
      <c r="AH79" s="1268"/>
      <c r="AI79" s="1268"/>
      <c r="AJ79" s="2099">
        <f>T85</f>
        <v>0</v>
      </c>
      <c r="AK79" s="2095" t="str">
        <f>V85</f>
        <v>D+</v>
      </c>
    </row>
    <row r="80" spans="1:37" ht="24.95" customHeight="1" x14ac:dyDescent="0.25">
      <c r="A80" s="1687"/>
      <c r="B80" s="1688"/>
      <c r="C80" s="1270"/>
      <c r="D80" s="1686" t="s">
        <v>155</v>
      </c>
      <c r="E80" s="1494">
        <v>0</v>
      </c>
      <c r="F80" s="1494">
        <v>0</v>
      </c>
      <c r="G80" s="1494">
        <v>0</v>
      </c>
      <c r="H80" s="2087">
        <v>0</v>
      </c>
      <c r="I80" s="2087">
        <v>0</v>
      </c>
      <c r="J80" s="2087">
        <v>0</v>
      </c>
      <c r="K80" s="1494">
        <v>0</v>
      </c>
      <c r="L80" s="1494">
        <v>0</v>
      </c>
      <c r="M80" s="1494">
        <v>0</v>
      </c>
      <c r="N80" s="2087"/>
      <c r="O80" s="2087"/>
      <c r="P80" s="2087"/>
      <c r="Q80" s="2028">
        <f t="shared" ref="Q80:Q81" si="96">MAX(E80,H80,K80,N80)</f>
        <v>0</v>
      </c>
      <c r="R80" s="2126">
        <f t="shared" si="94"/>
        <v>0</v>
      </c>
      <c r="S80" s="2127">
        <f t="shared" si="95"/>
        <v>0</v>
      </c>
      <c r="T80" s="853">
        <f t="shared" ref="T80:T81" si="97">IFERROR(AVERAGE(Q80:S80),"")</f>
        <v>0</v>
      </c>
      <c r="U80" s="1704" t="str">
        <f t="shared" ref="U80:U84" si="98">IF(T80&gt;85,("4"),IF(T80&gt;80,("3.66"),IF(T80&gt;75,("3.33"),IF(T80&gt;70,("3.00"),IF(T80&gt;65,("2.66"),IF(T80&gt;60,("2.33"),IF(T80&gt;55,("2"),IF(T80&gt;50,("1.66"),"1.33"))))))))</f>
        <v>1.33</v>
      </c>
      <c r="V80" s="1704" t="str">
        <f t="shared" ref="V80:V84" si="99">IF(T80&gt;85,("A"),IF(T80&gt;80,("A-"),IF(T80&gt;75,("B+"),IF(T80&gt;70,("B"),IF(T80&gt;65,("B-"),IF(T80&gt;60,("C+"),IF(T80&gt;55,("C"),IF(T80&gt;50,("C-"),"D+"))))))))</f>
        <v>D+</v>
      </c>
      <c r="W80" s="1704" t="str">
        <f t="shared" ref="W80:W84" si="100">IF(T80&gt;80,("SB"),IF(T80&gt;65,("B"),IF(T80&gt;50,("C"),IF(T80&gt;0,("K"),"0"))))</f>
        <v>0</v>
      </c>
      <c r="X80" s="1843"/>
      <c r="Y80" s="1844"/>
      <c r="Z80" s="1844"/>
      <c r="AA80" s="1844"/>
      <c r="AB80" s="1844"/>
      <c r="AC80" s="1844"/>
      <c r="AD80" s="1845"/>
      <c r="AE80" s="1845"/>
      <c r="AF80" s="1845"/>
      <c r="AG80" s="1845"/>
      <c r="AH80" s="1845"/>
      <c r="AI80" s="1846"/>
      <c r="AJ80" s="1847"/>
      <c r="AK80" s="1848"/>
    </row>
    <row r="81" spans="1:37" ht="24.95" customHeight="1" x14ac:dyDescent="0.25">
      <c r="A81" s="1687"/>
      <c r="B81" s="1688"/>
      <c r="C81" s="1270"/>
      <c r="D81" s="1686" t="s">
        <v>11</v>
      </c>
      <c r="E81" s="1494">
        <v>0</v>
      </c>
      <c r="F81" s="1494">
        <v>0</v>
      </c>
      <c r="G81" s="1494">
        <v>0</v>
      </c>
      <c r="H81" s="2087">
        <v>0</v>
      </c>
      <c r="I81" s="2087">
        <v>0</v>
      </c>
      <c r="J81" s="2087">
        <v>0</v>
      </c>
      <c r="K81" s="1494">
        <v>0</v>
      </c>
      <c r="L81" s="1494">
        <v>0</v>
      </c>
      <c r="M81" s="1494">
        <v>0</v>
      </c>
      <c r="N81" s="2087">
        <v>0</v>
      </c>
      <c r="O81" s="2087">
        <v>0</v>
      </c>
      <c r="P81" s="2087">
        <v>0</v>
      </c>
      <c r="Q81" s="2028">
        <f t="shared" si="96"/>
        <v>0</v>
      </c>
      <c r="R81" s="2126">
        <f t="shared" si="94"/>
        <v>0</v>
      </c>
      <c r="S81" s="2127">
        <f t="shared" si="95"/>
        <v>0</v>
      </c>
      <c r="T81" s="853">
        <f t="shared" si="97"/>
        <v>0</v>
      </c>
      <c r="U81" s="1704" t="str">
        <f t="shared" si="98"/>
        <v>1.33</v>
      </c>
      <c r="V81" s="1704" t="str">
        <f t="shared" si="99"/>
        <v>D+</v>
      </c>
      <c r="W81" s="1704" t="str">
        <f t="shared" si="100"/>
        <v>0</v>
      </c>
      <c r="X81" s="1849"/>
      <c r="Y81" s="1850"/>
      <c r="Z81" s="1850"/>
      <c r="AA81" s="1850"/>
      <c r="AB81" s="1850"/>
      <c r="AC81" s="1850"/>
      <c r="AD81" s="1851"/>
      <c r="AE81" s="1851"/>
      <c r="AF81" s="1851"/>
      <c r="AG81" s="1851"/>
      <c r="AH81" s="1851"/>
      <c r="AI81" s="1852"/>
      <c r="AJ81" s="1853"/>
      <c r="AK81" s="1854"/>
    </row>
    <row r="82" spans="1:37" ht="24.95" customHeight="1" x14ac:dyDescent="0.25">
      <c r="A82" s="1687"/>
      <c r="B82" s="1688"/>
      <c r="C82" s="1270"/>
      <c r="D82" s="1686" t="s">
        <v>16</v>
      </c>
      <c r="E82" s="1494"/>
      <c r="F82" s="1494"/>
      <c r="G82" s="1494"/>
      <c r="H82" s="2087"/>
      <c r="I82" s="2087"/>
      <c r="J82" s="2087"/>
      <c r="K82" s="1494"/>
      <c r="L82" s="1494"/>
      <c r="M82" s="1494"/>
      <c r="N82" s="2087">
        <v>0</v>
      </c>
      <c r="O82" s="2087">
        <v>0</v>
      </c>
      <c r="P82" s="2087">
        <v>0</v>
      </c>
      <c r="Q82" s="2028">
        <f>MAX(E82,H82,K82,N82)</f>
        <v>0</v>
      </c>
      <c r="R82" s="2126">
        <f t="shared" si="94"/>
        <v>0</v>
      </c>
      <c r="S82" s="2127">
        <f t="shared" si="95"/>
        <v>0</v>
      </c>
      <c r="T82" s="853">
        <f>IFERROR(AVERAGE(Q82:S82),"")</f>
        <v>0</v>
      </c>
      <c r="U82" s="1704" t="str">
        <f t="shared" si="98"/>
        <v>1.33</v>
      </c>
      <c r="V82" s="1704" t="str">
        <f t="shared" si="99"/>
        <v>D+</v>
      </c>
      <c r="W82" s="1704" t="str">
        <f t="shared" si="100"/>
        <v>0</v>
      </c>
      <c r="X82" s="1849"/>
      <c r="Y82" s="1850"/>
      <c r="Z82" s="1850"/>
      <c r="AA82" s="1850"/>
      <c r="AB82" s="1850"/>
      <c r="AC82" s="1850"/>
      <c r="AD82" s="1851"/>
      <c r="AE82" s="1851"/>
      <c r="AF82" s="1851"/>
      <c r="AG82" s="1851"/>
      <c r="AH82" s="1851"/>
      <c r="AI82" s="1852"/>
      <c r="AJ82" s="1853"/>
      <c r="AK82" s="1854"/>
    </row>
    <row r="83" spans="1:37" ht="24.95" customHeight="1" x14ac:dyDescent="0.25">
      <c r="A83" s="1687"/>
      <c r="B83" s="1688"/>
      <c r="C83" s="1270"/>
      <c r="D83" s="1686" t="s">
        <v>186</v>
      </c>
      <c r="E83" s="1494"/>
      <c r="F83" s="1494"/>
      <c r="G83" s="1494"/>
      <c r="H83" s="2087"/>
      <c r="I83" s="2087"/>
      <c r="J83" s="2087"/>
      <c r="K83" s="1494">
        <v>0</v>
      </c>
      <c r="L83" s="1494">
        <v>0</v>
      </c>
      <c r="M83" s="1494">
        <v>0</v>
      </c>
      <c r="N83" s="2087"/>
      <c r="O83" s="2087"/>
      <c r="P83" s="2087"/>
      <c r="Q83" s="2028">
        <f t="shared" ref="Q83:Q84" si="101">MAX(E83,H83,K83,N83)</f>
        <v>0</v>
      </c>
      <c r="R83" s="2126">
        <f t="shared" si="94"/>
        <v>0</v>
      </c>
      <c r="S83" s="2127">
        <f t="shared" si="95"/>
        <v>0</v>
      </c>
      <c r="T83" s="853">
        <f t="shared" ref="T83:T84" si="102">IFERROR(AVERAGE(Q83:S83),"")</f>
        <v>0</v>
      </c>
      <c r="U83" s="1704" t="str">
        <f t="shared" si="98"/>
        <v>1.33</v>
      </c>
      <c r="V83" s="1704" t="str">
        <f t="shared" si="99"/>
        <v>D+</v>
      </c>
      <c r="W83" s="1704" t="str">
        <f t="shared" si="100"/>
        <v>0</v>
      </c>
      <c r="X83" s="1849"/>
      <c r="Y83" s="1850"/>
      <c r="Z83" s="1850"/>
      <c r="AA83" s="1850"/>
      <c r="AB83" s="1850"/>
      <c r="AC83" s="1850"/>
      <c r="AD83" s="1851"/>
      <c r="AE83" s="1851"/>
      <c r="AF83" s="1851"/>
      <c r="AG83" s="1851"/>
      <c r="AH83" s="1851"/>
      <c r="AI83" s="1852"/>
      <c r="AJ83" s="1853"/>
      <c r="AK83" s="1854"/>
    </row>
    <row r="84" spans="1:37" ht="24.95" customHeight="1" x14ac:dyDescent="0.25">
      <c r="A84" s="1687"/>
      <c r="B84" s="1688"/>
      <c r="C84" s="1270"/>
      <c r="D84" s="1686" t="s">
        <v>22</v>
      </c>
      <c r="E84" s="2086"/>
      <c r="F84" s="2086"/>
      <c r="G84" s="2086"/>
      <c r="H84" s="2088"/>
      <c r="I84" s="2088"/>
      <c r="J84" s="2088"/>
      <c r="K84" s="2086"/>
      <c r="L84" s="2086"/>
      <c r="M84" s="2086"/>
      <c r="N84" s="2088">
        <v>0</v>
      </c>
      <c r="O84" s="2088">
        <v>0</v>
      </c>
      <c r="P84" s="2088">
        <v>0</v>
      </c>
      <c r="Q84" s="2028">
        <f t="shared" si="101"/>
        <v>0</v>
      </c>
      <c r="R84" s="2126">
        <f t="shared" si="94"/>
        <v>0</v>
      </c>
      <c r="S84" s="2127">
        <f t="shared" si="95"/>
        <v>0</v>
      </c>
      <c r="T84" s="853">
        <f t="shared" si="102"/>
        <v>0</v>
      </c>
      <c r="U84" s="1705" t="str">
        <f t="shared" si="98"/>
        <v>1.33</v>
      </c>
      <c r="V84" s="1705" t="str">
        <f t="shared" si="99"/>
        <v>D+</v>
      </c>
      <c r="W84" s="1705" t="str">
        <f t="shared" si="100"/>
        <v>0</v>
      </c>
      <c r="X84" s="1849"/>
      <c r="Y84" s="1850"/>
      <c r="Z84" s="1850"/>
      <c r="AA84" s="1850"/>
      <c r="AB84" s="1850"/>
      <c r="AC84" s="1850"/>
      <c r="AD84" s="1851"/>
      <c r="AE84" s="1851"/>
      <c r="AF84" s="1851"/>
      <c r="AG84" s="1851"/>
      <c r="AH84" s="1851"/>
      <c r="AI84" s="1852"/>
      <c r="AJ84" s="1855"/>
      <c r="AK84" s="1856"/>
    </row>
    <row r="85" spans="1:37" ht="24.95" customHeight="1" x14ac:dyDescent="0.25">
      <c r="A85" s="1693"/>
      <c r="B85" s="1237">
        <v>11</v>
      </c>
      <c r="C85" s="1695" t="s">
        <v>167</v>
      </c>
      <c r="D85" s="1696"/>
      <c r="E85" s="1694"/>
      <c r="F85" s="1694"/>
      <c r="G85" s="1694"/>
      <c r="H85" s="1694"/>
      <c r="I85" s="1694"/>
      <c r="J85" s="1694"/>
      <c r="K85" s="1694"/>
      <c r="L85" s="1694"/>
      <c r="M85" s="1694"/>
      <c r="N85" s="1694"/>
      <c r="O85" s="1694"/>
      <c r="P85" s="1694"/>
      <c r="Q85" s="1694"/>
      <c r="R85" s="2160"/>
      <c r="S85" s="2160"/>
      <c r="T85" s="1938">
        <f>IFERROR(AVERAGE(T79:T84),"  ")</f>
        <v>0</v>
      </c>
      <c r="U85" s="1842" t="str">
        <f>IF(T85&gt;85,("4"),IF(T85&gt;80,("3.66"),IF(T85&gt;75,("3.33"),IF(T85&gt;70,("3.00"),IF(T85&gt;65,("2.66"),IF(T85&gt;60,("2.33"),IF(T85&gt;55,("2"),IF(T85&gt;50,("1.66"),"1.33"))))))))</f>
        <v>1.33</v>
      </c>
      <c r="V85" s="1842" t="str">
        <f>IF(T85&gt;85,("A"),IF(T85&gt;80,("A-"),IF(T85&gt;75,("B+"),IF(T85&gt;70,("B"),IF(T85&gt;65,("B-"),IF(T85&gt;60,("C+"),IF(T85&gt;55,("C"),IF(T85&gt;50,("C-"),"D+"))))))))</f>
        <v>D+</v>
      </c>
      <c r="W85" s="1842"/>
      <c r="X85" s="2073"/>
      <c r="Y85" s="2074"/>
      <c r="Z85" s="2074"/>
      <c r="AA85" s="2074"/>
      <c r="AB85" s="2074"/>
      <c r="AC85" s="2074"/>
      <c r="AD85" s="2074"/>
      <c r="AE85" s="2074"/>
      <c r="AF85" s="2074"/>
      <c r="AG85" s="2074"/>
      <c r="AH85" s="2074"/>
      <c r="AI85" s="2075"/>
      <c r="AJ85" s="1857"/>
      <c r="AK85" s="1858"/>
    </row>
    <row r="86" spans="1:37" ht="24.95" customHeight="1" x14ac:dyDescent="0.25">
      <c r="A86" s="1683">
        <v>12</v>
      </c>
      <c r="B86" s="1684"/>
      <c r="C86" s="1685" t="str">
        <f>VLOOKUP(A86,data_siswa,4,FALSE)</f>
        <v>Intan Dyah Nowari</v>
      </c>
      <c r="D86" s="1686" t="s">
        <v>154</v>
      </c>
      <c r="E86" s="1494">
        <v>0</v>
      </c>
      <c r="F86" s="1494">
        <v>0</v>
      </c>
      <c r="G86" s="1494">
        <v>0</v>
      </c>
      <c r="H86" s="2087">
        <v>0</v>
      </c>
      <c r="I86" s="2087">
        <v>0</v>
      </c>
      <c r="J86" s="2087">
        <v>0</v>
      </c>
      <c r="K86" s="1494"/>
      <c r="L86" s="1494"/>
      <c r="M86" s="1494"/>
      <c r="N86" s="2087"/>
      <c r="O86" s="2087"/>
      <c r="P86" s="2087"/>
      <c r="Q86" s="2028">
        <f>MAX(E86,H86,K86,N86)</f>
        <v>0</v>
      </c>
      <c r="R86" s="2126">
        <f t="shared" ref="R86:R91" si="103">MAX(F86,I86,L86,O86)</f>
        <v>0</v>
      </c>
      <c r="S86" s="2127">
        <f t="shared" ref="S86:S91" si="104">MAX(G86,J86,M86,P86)</f>
        <v>0</v>
      </c>
      <c r="T86" s="853">
        <f>IFERROR(AVERAGE(Q86:S86),"")</f>
        <v>0</v>
      </c>
      <c r="U86" s="1704" t="str">
        <f>IF(T86&gt;85,("4"),IF(T86&gt;80,("3.66"),IF(T86&gt;75,("3.33"),IF(T86&gt;70,("3.00"),IF(T86&gt;65,("2.66"),IF(T86&gt;60,("2.33"),IF(T86&gt;55,("2"),IF(T86&gt;50,("1.66"),"1.33"))))))))</f>
        <v>1.33</v>
      </c>
      <c r="V86" s="1704" t="str">
        <f>IF(T86&gt;85,("A"),IF(T86&gt;80,("A-"),IF(T86&gt;75,("B+"),IF(T86&gt;70,("B"),IF(T86&gt;65,("B-"),IF(T86&gt;60,("C+"),IF(T86&gt;55,("C"),IF(T86&gt;50,("C-"),"D+"))))))))</f>
        <v>D+</v>
      </c>
      <c r="W86" s="1704" t="str">
        <f>IF(T86&gt;80,("SB"),IF(T86&gt;65,("B"),IF(T86&gt;50,("C"),IF(T86&gt;0,("K"),"0"))))</f>
        <v>0</v>
      </c>
      <c r="X86" s="1267"/>
      <c r="Y86" s="1267"/>
      <c r="Z86" s="1267"/>
      <c r="AA86" s="1267"/>
      <c r="AB86" s="1267"/>
      <c r="AC86" s="1267"/>
      <c r="AD86" s="1268"/>
      <c r="AE86" s="1268"/>
      <c r="AF86" s="1268"/>
      <c r="AG86" s="1268"/>
      <c r="AH86" s="1268"/>
      <c r="AI86" s="1268"/>
      <c r="AJ86" s="2099">
        <f>T92</f>
        <v>0</v>
      </c>
      <c r="AK86" s="2095" t="str">
        <f>V92</f>
        <v>D+</v>
      </c>
    </row>
    <row r="87" spans="1:37" ht="24.95" customHeight="1" x14ac:dyDescent="0.25">
      <c r="A87" s="1687"/>
      <c r="B87" s="1688"/>
      <c r="C87" s="1270"/>
      <c r="D87" s="1686" t="s">
        <v>155</v>
      </c>
      <c r="E87" s="1494">
        <v>0</v>
      </c>
      <c r="F87" s="1494">
        <v>0</v>
      </c>
      <c r="G87" s="1494">
        <v>0</v>
      </c>
      <c r="H87" s="2087">
        <v>0</v>
      </c>
      <c r="I87" s="2087">
        <v>0</v>
      </c>
      <c r="J87" s="2087">
        <v>0</v>
      </c>
      <c r="K87" s="1494">
        <v>0</v>
      </c>
      <c r="L87" s="1494">
        <v>0</v>
      </c>
      <c r="M87" s="1494">
        <v>0</v>
      </c>
      <c r="N87" s="2087"/>
      <c r="O87" s="2087"/>
      <c r="P87" s="2087"/>
      <c r="Q87" s="2028">
        <f t="shared" ref="Q87:Q88" si="105">MAX(E87,H87,K87,N87)</f>
        <v>0</v>
      </c>
      <c r="R87" s="2126">
        <f t="shared" si="103"/>
        <v>0</v>
      </c>
      <c r="S87" s="2127">
        <f t="shared" si="104"/>
        <v>0</v>
      </c>
      <c r="T87" s="853">
        <f t="shared" ref="T87:T88" si="106">IFERROR(AVERAGE(Q87:S87),"")</f>
        <v>0</v>
      </c>
      <c r="U87" s="1704" t="str">
        <f t="shared" ref="U87:U91" si="107">IF(T87&gt;85,("4"),IF(T87&gt;80,("3.66"),IF(T87&gt;75,("3.33"),IF(T87&gt;70,("3.00"),IF(T87&gt;65,("2.66"),IF(T87&gt;60,("2.33"),IF(T87&gt;55,("2"),IF(T87&gt;50,("1.66"),"1.33"))))))))</f>
        <v>1.33</v>
      </c>
      <c r="V87" s="1704" t="str">
        <f t="shared" ref="V87:V91" si="108">IF(T87&gt;85,("A"),IF(T87&gt;80,("A-"),IF(T87&gt;75,("B+"),IF(T87&gt;70,("B"),IF(T87&gt;65,("B-"),IF(T87&gt;60,("C+"),IF(T87&gt;55,("C"),IF(T87&gt;50,("C-"),"D+"))))))))</f>
        <v>D+</v>
      </c>
      <c r="W87" s="1704" t="str">
        <f t="shared" ref="W87:W91" si="109">IF(T87&gt;80,("SB"),IF(T87&gt;65,("B"),IF(T87&gt;50,("C"),IF(T87&gt;0,("K"),"0"))))</f>
        <v>0</v>
      </c>
      <c r="X87" s="1843"/>
      <c r="Y87" s="1844"/>
      <c r="Z87" s="1844"/>
      <c r="AA87" s="1844"/>
      <c r="AB87" s="1844"/>
      <c r="AC87" s="1844"/>
      <c r="AD87" s="1845"/>
      <c r="AE87" s="1845"/>
      <c r="AF87" s="1845"/>
      <c r="AG87" s="1845"/>
      <c r="AH87" s="1845"/>
      <c r="AI87" s="1846"/>
      <c r="AJ87" s="1847"/>
      <c r="AK87" s="1848"/>
    </row>
    <row r="88" spans="1:37" ht="24.95" customHeight="1" x14ac:dyDescent="0.25">
      <c r="A88" s="1687"/>
      <c r="B88" s="1688"/>
      <c r="C88" s="1270"/>
      <c r="D88" s="1686" t="s">
        <v>11</v>
      </c>
      <c r="E88" s="1494">
        <v>0</v>
      </c>
      <c r="F88" s="1494">
        <v>0</v>
      </c>
      <c r="G88" s="1494">
        <v>0</v>
      </c>
      <c r="H88" s="2087">
        <v>0</v>
      </c>
      <c r="I88" s="2087">
        <v>0</v>
      </c>
      <c r="J88" s="2087">
        <v>0</v>
      </c>
      <c r="K88" s="1494">
        <v>0</v>
      </c>
      <c r="L88" s="1494">
        <v>0</v>
      </c>
      <c r="M88" s="1494">
        <v>0</v>
      </c>
      <c r="N88" s="2087">
        <v>0</v>
      </c>
      <c r="O88" s="2087">
        <v>0</v>
      </c>
      <c r="P88" s="2087">
        <v>0</v>
      </c>
      <c r="Q88" s="2028">
        <f t="shared" si="105"/>
        <v>0</v>
      </c>
      <c r="R88" s="2126">
        <f t="shared" si="103"/>
        <v>0</v>
      </c>
      <c r="S88" s="2127">
        <f t="shared" si="104"/>
        <v>0</v>
      </c>
      <c r="T88" s="853">
        <f t="shared" si="106"/>
        <v>0</v>
      </c>
      <c r="U88" s="1704" t="str">
        <f t="shared" si="107"/>
        <v>1.33</v>
      </c>
      <c r="V88" s="1704" t="str">
        <f t="shared" si="108"/>
        <v>D+</v>
      </c>
      <c r="W88" s="1704" t="str">
        <f t="shared" si="109"/>
        <v>0</v>
      </c>
      <c r="X88" s="1849"/>
      <c r="Y88" s="1850"/>
      <c r="Z88" s="1850"/>
      <c r="AA88" s="1850"/>
      <c r="AB88" s="1850"/>
      <c r="AC88" s="1850"/>
      <c r="AD88" s="1851"/>
      <c r="AE88" s="1851"/>
      <c r="AF88" s="1851"/>
      <c r="AG88" s="1851"/>
      <c r="AH88" s="1851"/>
      <c r="AI88" s="1852"/>
      <c r="AJ88" s="1853"/>
      <c r="AK88" s="1854"/>
    </row>
    <row r="89" spans="1:37" ht="24.95" customHeight="1" x14ac:dyDescent="0.25">
      <c r="A89" s="1687"/>
      <c r="B89" s="1688"/>
      <c r="C89" s="1270"/>
      <c r="D89" s="1686" t="s">
        <v>16</v>
      </c>
      <c r="E89" s="1494"/>
      <c r="F89" s="1494"/>
      <c r="G89" s="1494"/>
      <c r="H89" s="2087"/>
      <c r="I89" s="2087"/>
      <c r="J89" s="2087"/>
      <c r="K89" s="1494"/>
      <c r="L89" s="1494"/>
      <c r="M89" s="1494"/>
      <c r="N89" s="2087">
        <v>0</v>
      </c>
      <c r="O89" s="2087">
        <v>0</v>
      </c>
      <c r="P89" s="2087">
        <v>0</v>
      </c>
      <c r="Q89" s="2028">
        <f>MAX(E89,H89,K89,N89)</f>
        <v>0</v>
      </c>
      <c r="R89" s="2126">
        <f t="shared" si="103"/>
        <v>0</v>
      </c>
      <c r="S89" s="2127">
        <f t="shared" si="104"/>
        <v>0</v>
      </c>
      <c r="T89" s="853">
        <f>IFERROR(AVERAGE(Q89:S89),"")</f>
        <v>0</v>
      </c>
      <c r="U89" s="1704" t="str">
        <f t="shared" si="107"/>
        <v>1.33</v>
      </c>
      <c r="V89" s="1704" t="str">
        <f t="shared" si="108"/>
        <v>D+</v>
      </c>
      <c r="W89" s="1704" t="str">
        <f t="shared" si="109"/>
        <v>0</v>
      </c>
      <c r="X89" s="1849"/>
      <c r="Y89" s="1850"/>
      <c r="Z89" s="1850"/>
      <c r="AA89" s="1850"/>
      <c r="AB89" s="1850"/>
      <c r="AC89" s="1850"/>
      <c r="AD89" s="1851"/>
      <c r="AE89" s="1851"/>
      <c r="AF89" s="1851"/>
      <c r="AG89" s="1851"/>
      <c r="AH89" s="1851"/>
      <c r="AI89" s="1852"/>
      <c r="AJ89" s="1853"/>
      <c r="AK89" s="1854"/>
    </row>
    <row r="90" spans="1:37" ht="24.95" customHeight="1" x14ac:dyDescent="0.25">
      <c r="A90" s="1687"/>
      <c r="B90" s="1688"/>
      <c r="C90" s="1270"/>
      <c r="D90" s="1686" t="s">
        <v>186</v>
      </c>
      <c r="E90" s="1494"/>
      <c r="F90" s="1494"/>
      <c r="G90" s="1494"/>
      <c r="H90" s="2087"/>
      <c r="I90" s="2087"/>
      <c r="J90" s="2087"/>
      <c r="K90" s="1494">
        <v>0</v>
      </c>
      <c r="L90" s="1494">
        <v>0</v>
      </c>
      <c r="M90" s="1494">
        <v>0</v>
      </c>
      <c r="N90" s="2087"/>
      <c r="O90" s="2087"/>
      <c r="P90" s="2087"/>
      <c r="Q90" s="2028">
        <f t="shared" ref="Q90:Q91" si="110">MAX(E90,H90,K90,N90)</f>
        <v>0</v>
      </c>
      <c r="R90" s="2126">
        <f t="shared" si="103"/>
        <v>0</v>
      </c>
      <c r="S90" s="2127">
        <f t="shared" si="104"/>
        <v>0</v>
      </c>
      <c r="T90" s="853">
        <f t="shared" ref="T90:T91" si="111">IFERROR(AVERAGE(Q90:S90),"")</f>
        <v>0</v>
      </c>
      <c r="U90" s="1704" t="str">
        <f t="shared" si="107"/>
        <v>1.33</v>
      </c>
      <c r="V90" s="1704" t="str">
        <f t="shared" si="108"/>
        <v>D+</v>
      </c>
      <c r="W90" s="1704" t="str">
        <f t="shared" si="109"/>
        <v>0</v>
      </c>
      <c r="X90" s="1849"/>
      <c r="Y90" s="1850"/>
      <c r="Z90" s="1850"/>
      <c r="AA90" s="1850"/>
      <c r="AB90" s="1850"/>
      <c r="AC90" s="1850"/>
      <c r="AD90" s="1851"/>
      <c r="AE90" s="1851"/>
      <c r="AF90" s="1851"/>
      <c r="AG90" s="1851"/>
      <c r="AH90" s="1851"/>
      <c r="AI90" s="1852"/>
      <c r="AJ90" s="1853"/>
      <c r="AK90" s="1854"/>
    </row>
    <row r="91" spans="1:37" ht="24.95" customHeight="1" x14ac:dyDescent="0.25">
      <c r="A91" s="1687"/>
      <c r="B91" s="1688"/>
      <c r="C91" s="1270"/>
      <c r="D91" s="1686" t="s">
        <v>22</v>
      </c>
      <c r="E91" s="2086"/>
      <c r="F91" s="2086"/>
      <c r="G91" s="2086"/>
      <c r="H91" s="2088"/>
      <c r="I91" s="2088"/>
      <c r="J91" s="2088"/>
      <c r="K91" s="2086"/>
      <c r="L91" s="2086"/>
      <c r="M91" s="2086"/>
      <c r="N91" s="2088">
        <v>0</v>
      </c>
      <c r="O91" s="2088">
        <v>0</v>
      </c>
      <c r="P91" s="2088">
        <v>0</v>
      </c>
      <c r="Q91" s="2028">
        <f t="shared" si="110"/>
        <v>0</v>
      </c>
      <c r="R91" s="2126">
        <f t="shared" si="103"/>
        <v>0</v>
      </c>
      <c r="S91" s="2127">
        <f t="shared" si="104"/>
        <v>0</v>
      </c>
      <c r="T91" s="853">
        <f t="shared" si="111"/>
        <v>0</v>
      </c>
      <c r="U91" s="1705" t="str">
        <f t="shared" si="107"/>
        <v>1.33</v>
      </c>
      <c r="V91" s="1705" t="str">
        <f t="shared" si="108"/>
        <v>D+</v>
      </c>
      <c r="W91" s="1705" t="str">
        <f t="shared" si="109"/>
        <v>0</v>
      </c>
      <c r="X91" s="1849"/>
      <c r="Y91" s="1850"/>
      <c r="Z91" s="1850"/>
      <c r="AA91" s="1850"/>
      <c r="AB91" s="1850"/>
      <c r="AC91" s="1850"/>
      <c r="AD91" s="1851"/>
      <c r="AE91" s="1851"/>
      <c r="AF91" s="1851"/>
      <c r="AG91" s="1851"/>
      <c r="AH91" s="1851"/>
      <c r="AI91" s="1852"/>
      <c r="AJ91" s="1855"/>
      <c r="AK91" s="1856"/>
    </row>
    <row r="92" spans="1:37" ht="24.95" customHeight="1" x14ac:dyDescent="0.25">
      <c r="A92" s="1693"/>
      <c r="B92" s="1237">
        <v>12</v>
      </c>
      <c r="C92" s="1695" t="s">
        <v>167</v>
      </c>
      <c r="D92" s="1696"/>
      <c r="E92" s="1694"/>
      <c r="F92" s="1694"/>
      <c r="G92" s="1694"/>
      <c r="H92" s="1694"/>
      <c r="I92" s="1694"/>
      <c r="J92" s="1694"/>
      <c r="K92" s="1694"/>
      <c r="L92" s="1694"/>
      <c r="M92" s="1694"/>
      <c r="N92" s="1694"/>
      <c r="O92" s="1694"/>
      <c r="P92" s="1694"/>
      <c r="Q92" s="1694"/>
      <c r="R92" s="2160"/>
      <c r="S92" s="2160"/>
      <c r="T92" s="1938">
        <f>IFERROR(AVERAGE(T86:T91),"  ")</f>
        <v>0</v>
      </c>
      <c r="U92" s="1842" t="str">
        <f>IF(T92&gt;85,("4"),IF(T92&gt;80,("3.66"),IF(T92&gt;75,("3.33"),IF(T92&gt;70,("3.00"),IF(T92&gt;65,("2.66"),IF(T92&gt;60,("2.33"),IF(T92&gt;55,("2"),IF(T92&gt;50,("1.66"),"1.33"))))))))</f>
        <v>1.33</v>
      </c>
      <c r="V92" s="1842" t="str">
        <f>IF(T92&gt;85,("A"),IF(T92&gt;80,("A-"),IF(T92&gt;75,("B+"),IF(T92&gt;70,("B"),IF(T92&gt;65,("B-"),IF(T92&gt;60,("C+"),IF(T92&gt;55,("C"),IF(T92&gt;50,("C-"),"D+"))))))))</f>
        <v>D+</v>
      </c>
      <c r="W92" s="1842"/>
      <c r="X92" s="2073"/>
      <c r="Y92" s="2074"/>
      <c r="Z92" s="2074"/>
      <c r="AA92" s="2074"/>
      <c r="AB92" s="2074"/>
      <c r="AC92" s="2074"/>
      <c r="AD92" s="2074"/>
      <c r="AE92" s="2074"/>
      <c r="AF92" s="2074"/>
      <c r="AG92" s="2074"/>
      <c r="AH92" s="2074"/>
      <c r="AI92" s="2075"/>
      <c r="AJ92" s="1857"/>
      <c r="AK92" s="1858"/>
    </row>
    <row r="93" spans="1:37" ht="24.95" customHeight="1" x14ac:dyDescent="0.25">
      <c r="A93" s="1683">
        <v>13</v>
      </c>
      <c r="B93" s="1684"/>
      <c r="C93" s="1685" t="str">
        <f>VLOOKUP(A93,data_siswa,4,FALSE)</f>
        <v>Misyanita Nurfitri S</v>
      </c>
      <c r="D93" s="1686" t="s">
        <v>154</v>
      </c>
      <c r="E93" s="1494">
        <v>0</v>
      </c>
      <c r="F93" s="1494">
        <v>0</v>
      </c>
      <c r="G93" s="1494">
        <v>0</v>
      </c>
      <c r="H93" s="2087">
        <v>0</v>
      </c>
      <c r="I93" s="2087">
        <v>0</v>
      </c>
      <c r="J93" s="2087">
        <v>0</v>
      </c>
      <c r="K93" s="1494"/>
      <c r="L93" s="1494"/>
      <c r="M93" s="1494"/>
      <c r="N93" s="2087"/>
      <c r="O93" s="2087"/>
      <c r="P93" s="2087"/>
      <c r="Q93" s="2028">
        <f>MAX(E93,H93,K93,N93)</f>
        <v>0</v>
      </c>
      <c r="R93" s="2126">
        <f t="shared" ref="R93:R98" si="112">MAX(F93,I93,L93,O93)</f>
        <v>0</v>
      </c>
      <c r="S93" s="2127">
        <f t="shared" ref="S93:S98" si="113">MAX(G93,J93,M93,P93)</f>
        <v>0</v>
      </c>
      <c r="T93" s="853">
        <f>IFERROR(AVERAGE(Q93:S93),"")</f>
        <v>0</v>
      </c>
      <c r="U93" s="1704" t="str">
        <f>IF(T93&gt;85,("4"),IF(T93&gt;80,("3.66"),IF(T93&gt;75,("3.33"),IF(T93&gt;70,("3.00"),IF(T93&gt;65,("2.66"),IF(T93&gt;60,("2.33"),IF(T93&gt;55,("2"),IF(T93&gt;50,("1.66"),"1.33"))))))))</f>
        <v>1.33</v>
      </c>
      <c r="V93" s="1704" t="str">
        <f>IF(T93&gt;85,("A"),IF(T93&gt;80,("A-"),IF(T93&gt;75,("B+"),IF(T93&gt;70,("B"),IF(T93&gt;65,("B-"),IF(T93&gt;60,("C+"),IF(T93&gt;55,("C"),IF(T93&gt;50,("C-"),"D+"))))))))</f>
        <v>D+</v>
      </c>
      <c r="W93" s="1704" t="str">
        <f>IF(T93&gt;80,("SB"),IF(T93&gt;65,("B"),IF(T93&gt;50,("C"),IF(T93&gt;0,("K"),"0"))))</f>
        <v>0</v>
      </c>
      <c r="X93" s="1267"/>
      <c r="Y93" s="1267"/>
      <c r="Z93" s="1267"/>
      <c r="AA93" s="1267"/>
      <c r="AB93" s="1267"/>
      <c r="AC93" s="1267"/>
      <c r="AD93" s="1268"/>
      <c r="AE93" s="1268"/>
      <c r="AF93" s="1268"/>
      <c r="AG93" s="1268"/>
      <c r="AH93" s="1268"/>
      <c r="AI93" s="1268"/>
      <c r="AJ93" s="2099">
        <f>T99</f>
        <v>0</v>
      </c>
      <c r="AK93" s="2095" t="str">
        <f>V99</f>
        <v>D+</v>
      </c>
    </row>
    <row r="94" spans="1:37" ht="24.95" customHeight="1" x14ac:dyDescent="0.25">
      <c r="A94" s="1687"/>
      <c r="B94" s="1688"/>
      <c r="C94" s="1270"/>
      <c r="D94" s="1686" t="s">
        <v>155</v>
      </c>
      <c r="E94" s="1494">
        <v>0</v>
      </c>
      <c r="F94" s="1494">
        <v>0</v>
      </c>
      <c r="G94" s="1494">
        <v>0</v>
      </c>
      <c r="H94" s="2087">
        <v>0</v>
      </c>
      <c r="I94" s="2087">
        <v>0</v>
      </c>
      <c r="J94" s="2087">
        <v>0</v>
      </c>
      <c r="K94" s="1494">
        <v>0</v>
      </c>
      <c r="L94" s="1494">
        <v>0</v>
      </c>
      <c r="M94" s="1494">
        <v>0</v>
      </c>
      <c r="N94" s="2087"/>
      <c r="O94" s="2087"/>
      <c r="P94" s="2087"/>
      <c r="Q94" s="2028">
        <f t="shared" ref="Q94:Q95" si="114">MAX(E94,H94,K94,N94)</f>
        <v>0</v>
      </c>
      <c r="R94" s="2126">
        <f t="shared" si="112"/>
        <v>0</v>
      </c>
      <c r="S94" s="2127">
        <f t="shared" si="113"/>
        <v>0</v>
      </c>
      <c r="T94" s="853">
        <f t="shared" ref="T94:T95" si="115">IFERROR(AVERAGE(Q94:S94),"")</f>
        <v>0</v>
      </c>
      <c r="U94" s="1704" t="str">
        <f t="shared" ref="U94:U98" si="116">IF(T94&gt;85,("4"),IF(T94&gt;80,("3.66"),IF(T94&gt;75,("3.33"),IF(T94&gt;70,("3.00"),IF(T94&gt;65,("2.66"),IF(T94&gt;60,("2.33"),IF(T94&gt;55,("2"),IF(T94&gt;50,("1.66"),"1.33"))))))))</f>
        <v>1.33</v>
      </c>
      <c r="V94" s="1704" t="str">
        <f t="shared" ref="V94:V98" si="117">IF(T94&gt;85,("A"),IF(T94&gt;80,("A-"),IF(T94&gt;75,("B+"),IF(T94&gt;70,("B"),IF(T94&gt;65,("B-"),IF(T94&gt;60,("C+"),IF(T94&gt;55,("C"),IF(T94&gt;50,("C-"),"D+"))))))))</f>
        <v>D+</v>
      </c>
      <c r="W94" s="1704" t="str">
        <f t="shared" ref="W94:W98" si="118">IF(T94&gt;80,("SB"),IF(T94&gt;65,("B"),IF(T94&gt;50,("C"),IF(T94&gt;0,("K"),"0"))))</f>
        <v>0</v>
      </c>
      <c r="X94" s="1843"/>
      <c r="Y94" s="1844"/>
      <c r="Z94" s="1844"/>
      <c r="AA94" s="1844"/>
      <c r="AB94" s="1844"/>
      <c r="AC94" s="1844"/>
      <c r="AD94" s="1845"/>
      <c r="AE94" s="1845"/>
      <c r="AF94" s="1845"/>
      <c r="AG94" s="1845"/>
      <c r="AH94" s="1845"/>
      <c r="AI94" s="1846"/>
      <c r="AJ94" s="1847"/>
      <c r="AK94" s="1848"/>
    </row>
    <row r="95" spans="1:37" ht="24.95" customHeight="1" x14ac:dyDescent="0.25">
      <c r="A95" s="1687"/>
      <c r="B95" s="1688"/>
      <c r="C95" s="1270"/>
      <c r="D95" s="1686" t="s">
        <v>11</v>
      </c>
      <c r="E95" s="1494">
        <v>0</v>
      </c>
      <c r="F95" s="1494">
        <v>0</v>
      </c>
      <c r="G95" s="1494">
        <v>0</v>
      </c>
      <c r="H95" s="2087">
        <v>0</v>
      </c>
      <c r="I95" s="2087">
        <v>0</v>
      </c>
      <c r="J95" s="2087">
        <v>0</v>
      </c>
      <c r="K95" s="1494">
        <v>0</v>
      </c>
      <c r="L95" s="1494">
        <v>0</v>
      </c>
      <c r="M95" s="1494">
        <v>0</v>
      </c>
      <c r="N95" s="2087">
        <v>0</v>
      </c>
      <c r="O95" s="2087">
        <v>0</v>
      </c>
      <c r="P95" s="2087">
        <v>0</v>
      </c>
      <c r="Q95" s="2028">
        <f t="shared" si="114"/>
        <v>0</v>
      </c>
      <c r="R95" s="2126">
        <f t="shared" si="112"/>
        <v>0</v>
      </c>
      <c r="S95" s="2127">
        <f t="shared" si="113"/>
        <v>0</v>
      </c>
      <c r="T95" s="853">
        <f t="shared" si="115"/>
        <v>0</v>
      </c>
      <c r="U95" s="1704" t="str">
        <f t="shared" si="116"/>
        <v>1.33</v>
      </c>
      <c r="V95" s="1704" t="str">
        <f t="shared" si="117"/>
        <v>D+</v>
      </c>
      <c r="W95" s="1704" t="str">
        <f t="shared" si="118"/>
        <v>0</v>
      </c>
      <c r="X95" s="1849"/>
      <c r="Y95" s="1850"/>
      <c r="Z95" s="1850"/>
      <c r="AA95" s="1850"/>
      <c r="AB95" s="1850"/>
      <c r="AC95" s="1850"/>
      <c r="AD95" s="1851"/>
      <c r="AE95" s="1851"/>
      <c r="AF95" s="1851"/>
      <c r="AG95" s="1851"/>
      <c r="AH95" s="1851"/>
      <c r="AI95" s="1852"/>
      <c r="AJ95" s="1853"/>
      <c r="AK95" s="1854"/>
    </row>
    <row r="96" spans="1:37" ht="24.95" customHeight="1" x14ac:dyDescent="0.25">
      <c r="A96" s="1687"/>
      <c r="B96" s="1688"/>
      <c r="C96" s="1270"/>
      <c r="D96" s="1686" t="s">
        <v>16</v>
      </c>
      <c r="E96" s="1494"/>
      <c r="F96" s="1494"/>
      <c r="G96" s="1494"/>
      <c r="H96" s="2087"/>
      <c r="I96" s="2087"/>
      <c r="J96" s="2087"/>
      <c r="K96" s="1494"/>
      <c r="L96" s="1494"/>
      <c r="M96" s="1494"/>
      <c r="N96" s="2087">
        <v>0</v>
      </c>
      <c r="O96" s="2087">
        <v>0</v>
      </c>
      <c r="P96" s="2087">
        <v>0</v>
      </c>
      <c r="Q96" s="2028">
        <f>MAX(E96,H96,K96,N96)</f>
        <v>0</v>
      </c>
      <c r="R96" s="2126">
        <f t="shared" si="112"/>
        <v>0</v>
      </c>
      <c r="S96" s="2127">
        <f t="shared" si="113"/>
        <v>0</v>
      </c>
      <c r="T96" s="853">
        <f>IFERROR(AVERAGE(Q96:S96),"")</f>
        <v>0</v>
      </c>
      <c r="U96" s="1704" t="str">
        <f t="shared" si="116"/>
        <v>1.33</v>
      </c>
      <c r="V96" s="1704" t="str">
        <f t="shared" si="117"/>
        <v>D+</v>
      </c>
      <c r="W96" s="1704" t="str">
        <f t="shared" si="118"/>
        <v>0</v>
      </c>
      <c r="X96" s="1849"/>
      <c r="Y96" s="1850"/>
      <c r="Z96" s="1850"/>
      <c r="AA96" s="1850"/>
      <c r="AB96" s="1850"/>
      <c r="AC96" s="1850"/>
      <c r="AD96" s="1851"/>
      <c r="AE96" s="1851"/>
      <c r="AF96" s="1851"/>
      <c r="AG96" s="1851"/>
      <c r="AH96" s="1851"/>
      <c r="AI96" s="1852"/>
      <c r="AJ96" s="1853"/>
      <c r="AK96" s="1854"/>
    </row>
    <row r="97" spans="1:37" ht="24.95" customHeight="1" x14ac:dyDescent="0.25">
      <c r="A97" s="1687"/>
      <c r="B97" s="1688"/>
      <c r="C97" s="1270"/>
      <c r="D97" s="1686" t="s">
        <v>186</v>
      </c>
      <c r="E97" s="1494"/>
      <c r="F97" s="1494"/>
      <c r="G97" s="1494"/>
      <c r="H97" s="2087"/>
      <c r="I97" s="2087"/>
      <c r="J97" s="2087"/>
      <c r="K97" s="1494">
        <v>0</v>
      </c>
      <c r="L97" s="1494">
        <v>0</v>
      </c>
      <c r="M97" s="1494">
        <v>0</v>
      </c>
      <c r="N97" s="2087"/>
      <c r="O97" s="2087"/>
      <c r="P97" s="2087"/>
      <c r="Q97" s="2028">
        <f t="shared" ref="Q97:Q98" si="119">MAX(E97,H97,K97,N97)</f>
        <v>0</v>
      </c>
      <c r="R97" s="2126">
        <f t="shared" si="112"/>
        <v>0</v>
      </c>
      <c r="S97" s="2127">
        <f t="shared" si="113"/>
        <v>0</v>
      </c>
      <c r="T97" s="853">
        <f t="shared" ref="T97:T98" si="120">IFERROR(AVERAGE(Q97:S97),"")</f>
        <v>0</v>
      </c>
      <c r="U97" s="1704" t="str">
        <f t="shared" si="116"/>
        <v>1.33</v>
      </c>
      <c r="V97" s="1704" t="str">
        <f t="shared" si="117"/>
        <v>D+</v>
      </c>
      <c r="W97" s="1704" t="str">
        <f t="shared" si="118"/>
        <v>0</v>
      </c>
      <c r="X97" s="1849"/>
      <c r="Y97" s="1850"/>
      <c r="Z97" s="1850"/>
      <c r="AA97" s="1850"/>
      <c r="AB97" s="1850"/>
      <c r="AC97" s="1850"/>
      <c r="AD97" s="1851"/>
      <c r="AE97" s="1851"/>
      <c r="AF97" s="1851"/>
      <c r="AG97" s="1851"/>
      <c r="AH97" s="1851"/>
      <c r="AI97" s="1852"/>
      <c r="AJ97" s="1853"/>
      <c r="AK97" s="1854"/>
    </row>
    <row r="98" spans="1:37" ht="24.95" customHeight="1" x14ac:dyDescent="0.25">
      <c r="A98" s="1687"/>
      <c r="B98" s="1688"/>
      <c r="C98" s="1270"/>
      <c r="D98" s="1686" t="s">
        <v>22</v>
      </c>
      <c r="E98" s="2086"/>
      <c r="F98" s="2086"/>
      <c r="G98" s="2086"/>
      <c r="H98" s="2088"/>
      <c r="I98" s="2088"/>
      <c r="J98" s="2088"/>
      <c r="K98" s="2086"/>
      <c r="L98" s="2086"/>
      <c r="M98" s="2086"/>
      <c r="N98" s="2088">
        <v>0</v>
      </c>
      <c r="O98" s="2088">
        <v>0</v>
      </c>
      <c r="P98" s="2088">
        <v>0</v>
      </c>
      <c r="Q98" s="2028">
        <f t="shared" si="119"/>
        <v>0</v>
      </c>
      <c r="R98" s="2126">
        <f t="shared" si="112"/>
        <v>0</v>
      </c>
      <c r="S98" s="2127">
        <f t="shared" si="113"/>
        <v>0</v>
      </c>
      <c r="T98" s="853">
        <f t="shared" si="120"/>
        <v>0</v>
      </c>
      <c r="U98" s="1705" t="str">
        <f t="shared" si="116"/>
        <v>1.33</v>
      </c>
      <c r="V98" s="1705" t="str">
        <f t="shared" si="117"/>
        <v>D+</v>
      </c>
      <c r="W98" s="1705" t="str">
        <f t="shared" si="118"/>
        <v>0</v>
      </c>
      <c r="X98" s="1849"/>
      <c r="Y98" s="1850"/>
      <c r="Z98" s="1850"/>
      <c r="AA98" s="1850"/>
      <c r="AB98" s="1850"/>
      <c r="AC98" s="1850"/>
      <c r="AD98" s="1851"/>
      <c r="AE98" s="1851"/>
      <c r="AF98" s="1851"/>
      <c r="AG98" s="1851"/>
      <c r="AH98" s="1851"/>
      <c r="AI98" s="1852"/>
      <c r="AJ98" s="1855"/>
      <c r="AK98" s="1856"/>
    </row>
    <row r="99" spans="1:37" ht="24.95" customHeight="1" x14ac:dyDescent="0.25">
      <c r="A99" s="1693"/>
      <c r="B99" s="1237">
        <v>13</v>
      </c>
      <c r="C99" s="1695" t="s">
        <v>167</v>
      </c>
      <c r="D99" s="1696"/>
      <c r="E99" s="1694"/>
      <c r="F99" s="1694"/>
      <c r="G99" s="1694"/>
      <c r="H99" s="1694"/>
      <c r="I99" s="1694"/>
      <c r="J99" s="1694"/>
      <c r="K99" s="1694"/>
      <c r="L99" s="1694"/>
      <c r="M99" s="1694"/>
      <c r="N99" s="1694"/>
      <c r="O99" s="1694"/>
      <c r="P99" s="1694"/>
      <c r="Q99" s="1694"/>
      <c r="R99" s="2160"/>
      <c r="S99" s="2160"/>
      <c r="T99" s="1938">
        <f>IFERROR(AVERAGE(T93:T98),"  ")</f>
        <v>0</v>
      </c>
      <c r="U99" s="1842" t="str">
        <f>IF(T99&gt;85,("4"),IF(T99&gt;80,("3.66"),IF(T99&gt;75,("3.33"),IF(T99&gt;70,("3.00"),IF(T99&gt;65,("2.66"),IF(T99&gt;60,("2.33"),IF(T99&gt;55,("2"),IF(T99&gt;50,("1.66"),"1.33"))))))))</f>
        <v>1.33</v>
      </c>
      <c r="V99" s="1842" t="str">
        <f>IF(T99&gt;85,("A"),IF(T99&gt;80,("A-"),IF(T99&gt;75,("B+"),IF(T99&gt;70,("B"),IF(T99&gt;65,("B-"),IF(T99&gt;60,("C+"),IF(T99&gt;55,("C"),IF(T99&gt;50,("C-"),"D+"))))))))</f>
        <v>D+</v>
      </c>
      <c r="W99" s="1842"/>
      <c r="X99" s="2073"/>
      <c r="Y99" s="2074"/>
      <c r="Z99" s="2074"/>
      <c r="AA99" s="2074"/>
      <c r="AB99" s="2074"/>
      <c r="AC99" s="2074"/>
      <c r="AD99" s="2074"/>
      <c r="AE99" s="2074"/>
      <c r="AF99" s="2074"/>
      <c r="AG99" s="2074"/>
      <c r="AH99" s="2074"/>
      <c r="AI99" s="2075"/>
      <c r="AJ99" s="1857"/>
      <c r="AK99" s="1858"/>
    </row>
    <row r="100" spans="1:37" ht="24.95" customHeight="1" x14ac:dyDescent="0.25">
      <c r="A100" s="1683">
        <v>14</v>
      </c>
      <c r="B100" s="1684"/>
      <c r="C100" s="1685" t="str">
        <f>VLOOKUP(A100,data_siswa,4,FALSE)</f>
        <v>Moch Zidane Hita L. U</v>
      </c>
      <c r="D100" s="1686" t="s">
        <v>154</v>
      </c>
      <c r="E100" s="1494">
        <v>0</v>
      </c>
      <c r="F100" s="1494">
        <v>0</v>
      </c>
      <c r="G100" s="1494">
        <v>0</v>
      </c>
      <c r="H100" s="2087">
        <v>0</v>
      </c>
      <c r="I100" s="2087">
        <v>0</v>
      </c>
      <c r="J100" s="2087">
        <v>0</v>
      </c>
      <c r="K100" s="1494"/>
      <c r="L100" s="1494"/>
      <c r="M100" s="1494"/>
      <c r="N100" s="2087"/>
      <c r="O100" s="2087"/>
      <c r="P100" s="2087"/>
      <c r="Q100" s="2028">
        <f>MAX(E100,H100,K100,N100)</f>
        <v>0</v>
      </c>
      <c r="R100" s="2126">
        <f t="shared" ref="R100:R105" si="121">MAX(F100,I100,L100,O100)</f>
        <v>0</v>
      </c>
      <c r="S100" s="2127">
        <f t="shared" ref="S100:S105" si="122">MAX(G100,J100,M100,P100)</f>
        <v>0</v>
      </c>
      <c r="T100" s="853">
        <f>IFERROR(AVERAGE(Q100:S100),"")</f>
        <v>0</v>
      </c>
      <c r="U100" s="1704" t="str">
        <f>IF(T100&gt;85,("4"),IF(T100&gt;80,("3.66"),IF(T100&gt;75,("3.33"),IF(T100&gt;70,("3.00"),IF(T100&gt;65,("2.66"),IF(T100&gt;60,("2.33"),IF(T100&gt;55,("2"),IF(T100&gt;50,("1.66"),"1.33"))))))))</f>
        <v>1.33</v>
      </c>
      <c r="V100" s="1704" t="str">
        <f>IF(T100&gt;85,("A"),IF(T100&gt;80,("A-"),IF(T100&gt;75,("B+"),IF(T100&gt;70,("B"),IF(T100&gt;65,("B-"),IF(T100&gt;60,("C+"),IF(T100&gt;55,("C"),IF(T100&gt;50,("C-"),"D+"))))))))</f>
        <v>D+</v>
      </c>
      <c r="W100" s="1704" t="str">
        <f>IF(T100&gt;80,("SB"),IF(T100&gt;65,("B"),IF(T100&gt;50,("C"),IF(T100&gt;0,("K"),"0"))))</f>
        <v>0</v>
      </c>
      <c r="X100" s="1267"/>
      <c r="Y100" s="1267"/>
      <c r="Z100" s="1267"/>
      <c r="AA100" s="1267"/>
      <c r="AB100" s="1267"/>
      <c r="AC100" s="1267"/>
      <c r="AD100" s="1268"/>
      <c r="AE100" s="1268"/>
      <c r="AF100" s="1268"/>
      <c r="AG100" s="1268"/>
      <c r="AH100" s="1268"/>
      <c r="AI100" s="1268"/>
      <c r="AJ100" s="2099">
        <f>T106</f>
        <v>0</v>
      </c>
      <c r="AK100" s="2095" t="str">
        <f>V106</f>
        <v>D+</v>
      </c>
    </row>
    <row r="101" spans="1:37" ht="24.95" customHeight="1" x14ac:dyDescent="0.25">
      <c r="A101" s="1687"/>
      <c r="B101" s="1688"/>
      <c r="C101" s="1270"/>
      <c r="D101" s="1686" t="s">
        <v>155</v>
      </c>
      <c r="E101" s="1494">
        <v>0</v>
      </c>
      <c r="F101" s="1494">
        <v>0</v>
      </c>
      <c r="G101" s="1494">
        <v>0</v>
      </c>
      <c r="H101" s="2087">
        <v>0</v>
      </c>
      <c r="I101" s="2087">
        <v>0</v>
      </c>
      <c r="J101" s="2087">
        <v>0</v>
      </c>
      <c r="K101" s="1494">
        <v>0</v>
      </c>
      <c r="L101" s="1494">
        <v>0</v>
      </c>
      <c r="M101" s="1494">
        <v>0</v>
      </c>
      <c r="N101" s="2087"/>
      <c r="O101" s="2087"/>
      <c r="P101" s="2087"/>
      <c r="Q101" s="2028">
        <f t="shared" ref="Q101:Q102" si="123">MAX(E101,H101,K101,N101)</f>
        <v>0</v>
      </c>
      <c r="R101" s="2126">
        <f t="shared" si="121"/>
        <v>0</v>
      </c>
      <c r="S101" s="2127">
        <f t="shared" si="122"/>
        <v>0</v>
      </c>
      <c r="T101" s="853">
        <f t="shared" ref="T101:T102" si="124">IFERROR(AVERAGE(Q101:S101),"")</f>
        <v>0</v>
      </c>
      <c r="U101" s="1704" t="str">
        <f t="shared" ref="U101:U105" si="125">IF(T101&gt;85,("4"),IF(T101&gt;80,("3.66"),IF(T101&gt;75,("3.33"),IF(T101&gt;70,("3.00"),IF(T101&gt;65,("2.66"),IF(T101&gt;60,("2.33"),IF(T101&gt;55,("2"),IF(T101&gt;50,("1.66"),"1.33"))))))))</f>
        <v>1.33</v>
      </c>
      <c r="V101" s="1704" t="str">
        <f t="shared" ref="V101:V105" si="126">IF(T101&gt;85,("A"),IF(T101&gt;80,("A-"),IF(T101&gt;75,("B+"),IF(T101&gt;70,("B"),IF(T101&gt;65,("B-"),IF(T101&gt;60,("C+"),IF(T101&gt;55,("C"),IF(T101&gt;50,("C-"),"D+"))))))))</f>
        <v>D+</v>
      </c>
      <c r="W101" s="1704" t="str">
        <f t="shared" ref="W101:W105" si="127">IF(T101&gt;80,("SB"),IF(T101&gt;65,("B"),IF(T101&gt;50,("C"),IF(T101&gt;0,("K"),"0"))))</f>
        <v>0</v>
      </c>
      <c r="X101" s="1843"/>
      <c r="Y101" s="1844"/>
      <c r="Z101" s="1844"/>
      <c r="AA101" s="1844"/>
      <c r="AB101" s="1844"/>
      <c r="AC101" s="1844"/>
      <c r="AD101" s="1845"/>
      <c r="AE101" s="1845"/>
      <c r="AF101" s="1845"/>
      <c r="AG101" s="1845"/>
      <c r="AH101" s="1845"/>
      <c r="AI101" s="1846"/>
      <c r="AJ101" s="1847"/>
      <c r="AK101" s="1848"/>
    </row>
    <row r="102" spans="1:37" ht="24.95" customHeight="1" x14ac:dyDescent="0.25">
      <c r="A102" s="1687"/>
      <c r="B102" s="1688"/>
      <c r="C102" s="1270"/>
      <c r="D102" s="1686" t="s">
        <v>11</v>
      </c>
      <c r="E102" s="1494">
        <v>0</v>
      </c>
      <c r="F102" s="1494">
        <v>0</v>
      </c>
      <c r="G102" s="1494">
        <v>0</v>
      </c>
      <c r="H102" s="2087">
        <v>0</v>
      </c>
      <c r="I102" s="2087">
        <v>0</v>
      </c>
      <c r="J102" s="2087">
        <v>0</v>
      </c>
      <c r="K102" s="1494">
        <v>0</v>
      </c>
      <c r="L102" s="1494">
        <v>0</v>
      </c>
      <c r="M102" s="1494">
        <v>0</v>
      </c>
      <c r="N102" s="2087">
        <v>0</v>
      </c>
      <c r="O102" s="2087">
        <v>0</v>
      </c>
      <c r="P102" s="2087">
        <v>0</v>
      </c>
      <c r="Q102" s="2028">
        <f t="shared" si="123"/>
        <v>0</v>
      </c>
      <c r="R102" s="2126">
        <f t="shared" si="121"/>
        <v>0</v>
      </c>
      <c r="S102" s="2127">
        <f t="shared" si="122"/>
        <v>0</v>
      </c>
      <c r="T102" s="853">
        <f t="shared" si="124"/>
        <v>0</v>
      </c>
      <c r="U102" s="1704" t="str">
        <f t="shared" si="125"/>
        <v>1.33</v>
      </c>
      <c r="V102" s="1704" t="str">
        <f t="shared" si="126"/>
        <v>D+</v>
      </c>
      <c r="W102" s="1704" t="str">
        <f t="shared" si="127"/>
        <v>0</v>
      </c>
      <c r="X102" s="1849"/>
      <c r="Y102" s="1850"/>
      <c r="Z102" s="1850"/>
      <c r="AA102" s="1850"/>
      <c r="AB102" s="1850"/>
      <c r="AC102" s="1850"/>
      <c r="AD102" s="1851"/>
      <c r="AE102" s="1851"/>
      <c r="AF102" s="1851"/>
      <c r="AG102" s="1851"/>
      <c r="AH102" s="1851"/>
      <c r="AI102" s="1852"/>
      <c r="AJ102" s="1853"/>
      <c r="AK102" s="1854"/>
    </row>
    <row r="103" spans="1:37" ht="24.95" customHeight="1" x14ac:dyDescent="0.25">
      <c r="A103" s="1687"/>
      <c r="B103" s="1688"/>
      <c r="C103" s="1270"/>
      <c r="D103" s="1686" t="s">
        <v>16</v>
      </c>
      <c r="E103" s="1494"/>
      <c r="F103" s="1494"/>
      <c r="G103" s="1494"/>
      <c r="H103" s="2087"/>
      <c r="I103" s="2087"/>
      <c r="J103" s="2087"/>
      <c r="K103" s="1494"/>
      <c r="L103" s="1494"/>
      <c r="M103" s="1494"/>
      <c r="N103" s="2087">
        <v>0</v>
      </c>
      <c r="O103" s="2087">
        <v>0</v>
      </c>
      <c r="P103" s="2087">
        <v>0</v>
      </c>
      <c r="Q103" s="2028">
        <f>MAX(E103,H103,K103,N103)</f>
        <v>0</v>
      </c>
      <c r="R103" s="2126">
        <f t="shared" si="121"/>
        <v>0</v>
      </c>
      <c r="S103" s="2127">
        <f t="shared" si="122"/>
        <v>0</v>
      </c>
      <c r="T103" s="853">
        <f>IFERROR(AVERAGE(Q103:S103),"")</f>
        <v>0</v>
      </c>
      <c r="U103" s="1704" t="str">
        <f t="shared" si="125"/>
        <v>1.33</v>
      </c>
      <c r="V103" s="1704" t="str">
        <f t="shared" si="126"/>
        <v>D+</v>
      </c>
      <c r="W103" s="1704" t="str">
        <f t="shared" si="127"/>
        <v>0</v>
      </c>
      <c r="X103" s="1849"/>
      <c r="Y103" s="1850"/>
      <c r="Z103" s="1850"/>
      <c r="AA103" s="1850"/>
      <c r="AB103" s="1850"/>
      <c r="AC103" s="1850"/>
      <c r="AD103" s="1851"/>
      <c r="AE103" s="1851"/>
      <c r="AF103" s="1851"/>
      <c r="AG103" s="1851"/>
      <c r="AH103" s="1851"/>
      <c r="AI103" s="1852"/>
      <c r="AJ103" s="1853"/>
      <c r="AK103" s="1854"/>
    </row>
    <row r="104" spans="1:37" ht="24.95" customHeight="1" x14ac:dyDescent="0.25">
      <c r="A104" s="1687"/>
      <c r="B104" s="1688"/>
      <c r="C104" s="1270"/>
      <c r="D104" s="1686" t="s">
        <v>186</v>
      </c>
      <c r="E104" s="1494"/>
      <c r="F104" s="1494"/>
      <c r="G104" s="1494"/>
      <c r="H104" s="2087"/>
      <c r="I104" s="2087"/>
      <c r="J104" s="2087"/>
      <c r="K104" s="1494">
        <v>0</v>
      </c>
      <c r="L104" s="1494">
        <v>0</v>
      </c>
      <c r="M104" s="1494">
        <v>0</v>
      </c>
      <c r="N104" s="2087"/>
      <c r="O104" s="2087"/>
      <c r="P104" s="2087"/>
      <c r="Q104" s="2028">
        <f t="shared" ref="Q104:Q105" si="128">MAX(E104,H104,K104,N104)</f>
        <v>0</v>
      </c>
      <c r="R104" s="2126">
        <f t="shared" si="121"/>
        <v>0</v>
      </c>
      <c r="S104" s="2127">
        <f t="shared" si="122"/>
        <v>0</v>
      </c>
      <c r="T104" s="853">
        <f t="shared" ref="T104:T105" si="129">IFERROR(AVERAGE(Q104:S104),"")</f>
        <v>0</v>
      </c>
      <c r="U104" s="1704" t="str">
        <f t="shared" si="125"/>
        <v>1.33</v>
      </c>
      <c r="V104" s="1704" t="str">
        <f t="shared" si="126"/>
        <v>D+</v>
      </c>
      <c r="W104" s="1704" t="str">
        <f t="shared" si="127"/>
        <v>0</v>
      </c>
      <c r="X104" s="1849"/>
      <c r="Y104" s="1850"/>
      <c r="Z104" s="1850"/>
      <c r="AA104" s="1850"/>
      <c r="AB104" s="1850"/>
      <c r="AC104" s="1850"/>
      <c r="AD104" s="1851"/>
      <c r="AE104" s="1851"/>
      <c r="AF104" s="1851"/>
      <c r="AG104" s="1851"/>
      <c r="AH104" s="1851"/>
      <c r="AI104" s="1852"/>
      <c r="AJ104" s="1853"/>
      <c r="AK104" s="1854"/>
    </row>
    <row r="105" spans="1:37" ht="24.95" customHeight="1" x14ac:dyDescent="0.25">
      <c r="A105" s="1687"/>
      <c r="B105" s="1688"/>
      <c r="C105" s="1270"/>
      <c r="D105" s="1686" t="s">
        <v>22</v>
      </c>
      <c r="E105" s="2086"/>
      <c r="F105" s="2086"/>
      <c r="G105" s="2086"/>
      <c r="H105" s="2088"/>
      <c r="I105" s="2088"/>
      <c r="J105" s="2088"/>
      <c r="K105" s="2086"/>
      <c r="L105" s="2086"/>
      <c r="M105" s="2086"/>
      <c r="N105" s="2088">
        <v>0</v>
      </c>
      <c r="O105" s="2088">
        <v>0</v>
      </c>
      <c r="P105" s="2088">
        <v>0</v>
      </c>
      <c r="Q105" s="2028">
        <f t="shared" si="128"/>
        <v>0</v>
      </c>
      <c r="R105" s="2126">
        <f t="shared" si="121"/>
        <v>0</v>
      </c>
      <c r="S105" s="2127">
        <f t="shared" si="122"/>
        <v>0</v>
      </c>
      <c r="T105" s="853">
        <f t="shared" si="129"/>
        <v>0</v>
      </c>
      <c r="U105" s="1705" t="str">
        <f t="shared" si="125"/>
        <v>1.33</v>
      </c>
      <c r="V105" s="1705" t="str">
        <f t="shared" si="126"/>
        <v>D+</v>
      </c>
      <c r="W105" s="1705" t="str">
        <f t="shared" si="127"/>
        <v>0</v>
      </c>
      <c r="X105" s="1849"/>
      <c r="Y105" s="1850"/>
      <c r="Z105" s="1850"/>
      <c r="AA105" s="1850"/>
      <c r="AB105" s="1850"/>
      <c r="AC105" s="1850"/>
      <c r="AD105" s="1851"/>
      <c r="AE105" s="1851"/>
      <c r="AF105" s="1851"/>
      <c r="AG105" s="1851"/>
      <c r="AH105" s="1851"/>
      <c r="AI105" s="1852"/>
      <c r="AJ105" s="1855"/>
      <c r="AK105" s="1856"/>
    </row>
    <row r="106" spans="1:37" ht="24.95" customHeight="1" x14ac:dyDescent="0.25">
      <c r="A106" s="1693"/>
      <c r="B106" s="1237">
        <v>14</v>
      </c>
      <c r="C106" s="1695" t="s">
        <v>167</v>
      </c>
      <c r="D106" s="1696"/>
      <c r="E106" s="1694"/>
      <c r="F106" s="1694"/>
      <c r="G106" s="1694"/>
      <c r="H106" s="1694"/>
      <c r="I106" s="1694"/>
      <c r="J106" s="1694"/>
      <c r="K106" s="1694"/>
      <c r="L106" s="1694"/>
      <c r="M106" s="1694"/>
      <c r="N106" s="1694"/>
      <c r="O106" s="1694"/>
      <c r="P106" s="1694"/>
      <c r="Q106" s="1694"/>
      <c r="R106" s="2160"/>
      <c r="S106" s="2160"/>
      <c r="T106" s="1938">
        <f>IFERROR(AVERAGE(T100:T105),"  ")</f>
        <v>0</v>
      </c>
      <c r="U106" s="1842" t="str">
        <f>IF(T106&gt;85,("4"),IF(T106&gt;80,("3.66"),IF(T106&gt;75,("3.33"),IF(T106&gt;70,("3.00"),IF(T106&gt;65,("2.66"),IF(T106&gt;60,("2.33"),IF(T106&gt;55,("2"),IF(T106&gt;50,("1.66"),"1.33"))))))))</f>
        <v>1.33</v>
      </c>
      <c r="V106" s="1842" t="str">
        <f>IF(T106&gt;85,("A"),IF(T106&gt;80,("A-"),IF(T106&gt;75,("B+"),IF(T106&gt;70,("B"),IF(T106&gt;65,("B-"),IF(T106&gt;60,("C+"),IF(T106&gt;55,("C"),IF(T106&gt;50,("C-"),"D+"))))))))</f>
        <v>D+</v>
      </c>
      <c r="W106" s="1842"/>
      <c r="X106" s="2073"/>
      <c r="Y106" s="2074"/>
      <c r="Z106" s="2074"/>
      <c r="AA106" s="2074"/>
      <c r="AB106" s="2074"/>
      <c r="AC106" s="2074"/>
      <c r="AD106" s="2074"/>
      <c r="AE106" s="2074"/>
      <c r="AF106" s="2074"/>
      <c r="AG106" s="2074"/>
      <c r="AH106" s="2074"/>
      <c r="AI106" s="2075"/>
      <c r="AJ106" s="1857"/>
      <c r="AK106" s="1858"/>
    </row>
    <row r="107" spans="1:37" ht="24.95" customHeight="1" x14ac:dyDescent="0.25">
      <c r="A107" s="1683">
        <v>15</v>
      </c>
      <c r="B107" s="1684"/>
      <c r="C107" s="1685" t="str">
        <f>VLOOKUP(A107,data_siswa,4,FALSE)</f>
        <v>Muhammad Ibra Maulana</v>
      </c>
      <c r="D107" s="1686" t="s">
        <v>154</v>
      </c>
      <c r="E107" s="1494">
        <v>0</v>
      </c>
      <c r="F107" s="1494">
        <v>0</v>
      </c>
      <c r="G107" s="1494">
        <v>0</v>
      </c>
      <c r="H107" s="2087">
        <v>0</v>
      </c>
      <c r="I107" s="2087">
        <v>0</v>
      </c>
      <c r="J107" s="2087">
        <v>0</v>
      </c>
      <c r="K107" s="1494"/>
      <c r="L107" s="1494"/>
      <c r="M107" s="1494"/>
      <c r="N107" s="2087"/>
      <c r="O107" s="2087"/>
      <c r="P107" s="2087"/>
      <c r="Q107" s="2028">
        <f>MAX(E107,H107,K107,N107)</f>
        <v>0</v>
      </c>
      <c r="R107" s="2126">
        <f t="shared" ref="R107:R112" si="130">MAX(F107,I107,L107,O107)</f>
        <v>0</v>
      </c>
      <c r="S107" s="2127">
        <f t="shared" ref="S107:S112" si="131">MAX(G107,J107,M107,P107)</f>
        <v>0</v>
      </c>
      <c r="T107" s="853">
        <f>IFERROR(AVERAGE(Q107:S107),"")</f>
        <v>0</v>
      </c>
      <c r="U107" s="1704" t="str">
        <f>IF(T107&gt;85,("4"),IF(T107&gt;80,("3.66"),IF(T107&gt;75,("3.33"),IF(T107&gt;70,("3.00"),IF(T107&gt;65,("2.66"),IF(T107&gt;60,("2.33"),IF(T107&gt;55,("2"),IF(T107&gt;50,("1.66"),"1.33"))))))))</f>
        <v>1.33</v>
      </c>
      <c r="V107" s="1704" t="str">
        <f>IF(T107&gt;85,("A"),IF(T107&gt;80,("A-"),IF(T107&gt;75,("B+"),IF(T107&gt;70,("B"),IF(T107&gt;65,("B-"),IF(T107&gt;60,("C+"),IF(T107&gt;55,("C"),IF(T107&gt;50,("C-"),"D+"))))))))</f>
        <v>D+</v>
      </c>
      <c r="W107" s="1704" t="str">
        <f>IF(T107&gt;80,("SB"),IF(T107&gt;65,("B"),IF(T107&gt;50,("C"),IF(T107&gt;0,("K"),"0"))))</f>
        <v>0</v>
      </c>
      <c r="X107" s="1267"/>
      <c r="Y107" s="1267"/>
      <c r="Z107" s="1267"/>
      <c r="AA107" s="1267"/>
      <c r="AB107" s="1267"/>
      <c r="AC107" s="1267"/>
      <c r="AD107" s="1268"/>
      <c r="AE107" s="1268"/>
      <c r="AF107" s="1268"/>
      <c r="AG107" s="1268"/>
      <c r="AH107" s="1268"/>
      <c r="AI107" s="1268"/>
      <c r="AJ107" s="2099">
        <f>T113</f>
        <v>0</v>
      </c>
      <c r="AK107" s="2095" t="str">
        <f>V113</f>
        <v>D+</v>
      </c>
    </row>
    <row r="108" spans="1:37" ht="24.95" customHeight="1" x14ac:dyDescent="0.25">
      <c r="A108" s="1687"/>
      <c r="B108" s="1688"/>
      <c r="C108" s="1270"/>
      <c r="D108" s="1686" t="s">
        <v>155</v>
      </c>
      <c r="E108" s="1494">
        <v>0</v>
      </c>
      <c r="F108" s="1494">
        <v>0</v>
      </c>
      <c r="G108" s="1494">
        <v>0</v>
      </c>
      <c r="H108" s="2087">
        <v>0</v>
      </c>
      <c r="I108" s="2087">
        <v>0</v>
      </c>
      <c r="J108" s="2087">
        <v>0</v>
      </c>
      <c r="K108" s="1494">
        <v>0</v>
      </c>
      <c r="L108" s="1494">
        <v>0</v>
      </c>
      <c r="M108" s="1494">
        <v>0</v>
      </c>
      <c r="N108" s="2087"/>
      <c r="O108" s="2087"/>
      <c r="P108" s="2087"/>
      <c r="Q108" s="2028">
        <f t="shared" ref="Q108:Q109" si="132">MAX(E108,H108,K108,N108)</f>
        <v>0</v>
      </c>
      <c r="R108" s="2126">
        <f t="shared" si="130"/>
        <v>0</v>
      </c>
      <c r="S108" s="2127">
        <f t="shared" si="131"/>
        <v>0</v>
      </c>
      <c r="T108" s="853">
        <f t="shared" ref="T108:T109" si="133">IFERROR(AVERAGE(Q108:S108),"")</f>
        <v>0</v>
      </c>
      <c r="U108" s="1704" t="str">
        <f t="shared" ref="U108:U112" si="134">IF(T108&gt;85,("4"),IF(T108&gt;80,("3.66"),IF(T108&gt;75,("3.33"),IF(T108&gt;70,("3.00"),IF(T108&gt;65,("2.66"),IF(T108&gt;60,("2.33"),IF(T108&gt;55,("2"),IF(T108&gt;50,("1.66"),"1.33"))))))))</f>
        <v>1.33</v>
      </c>
      <c r="V108" s="1704" t="str">
        <f t="shared" ref="V108:V112" si="135">IF(T108&gt;85,("A"),IF(T108&gt;80,("A-"),IF(T108&gt;75,("B+"),IF(T108&gt;70,("B"),IF(T108&gt;65,("B-"),IF(T108&gt;60,("C+"),IF(T108&gt;55,("C"),IF(T108&gt;50,("C-"),"D+"))))))))</f>
        <v>D+</v>
      </c>
      <c r="W108" s="1704" t="str">
        <f t="shared" ref="W108:W112" si="136">IF(T108&gt;80,("SB"),IF(T108&gt;65,("B"),IF(T108&gt;50,("C"),IF(T108&gt;0,("K"),"0"))))</f>
        <v>0</v>
      </c>
      <c r="X108" s="1843"/>
      <c r="Y108" s="1844"/>
      <c r="Z108" s="1844"/>
      <c r="AA108" s="1844"/>
      <c r="AB108" s="1844"/>
      <c r="AC108" s="1844"/>
      <c r="AD108" s="1845"/>
      <c r="AE108" s="1845"/>
      <c r="AF108" s="1845"/>
      <c r="AG108" s="1845"/>
      <c r="AH108" s="1845"/>
      <c r="AI108" s="1846"/>
      <c r="AJ108" s="1847"/>
      <c r="AK108" s="1848"/>
    </row>
    <row r="109" spans="1:37" ht="24.95" customHeight="1" x14ac:dyDescent="0.25">
      <c r="A109" s="1687"/>
      <c r="B109" s="1688"/>
      <c r="C109" s="1270"/>
      <c r="D109" s="1686" t="s">
        <v>11</v>
      </c>
      <c r="E109" s="1494">
        <v>0</v>
      </c>
      <c r="F109" s="1494">
        <v>0</v>
      </c>
      <c r="G109" s="1494">
        <v>0</v>
      </c>
      <c r="H109" s="2087">
        <v>0</v>
      </c>
      <c r="I109" s="2087">
        <v>0</v>
      </c>
      <c r="J109" s="2087">
        <v>0</v>
      </c>
      <c r="K109" s="1494">
        <v>0</v>
      </c>
      <c r="L109" s="1494">
        <v>0</v>
      </c>
      <c r="M109" s="1494">
        <v>0</v>
      </c>
      <c r="N109" s="2087">
        <v>0</v>
      </c>
      <c r="O109" s="2087">
        <v>0</v>
      </c>
      <c r="P109" s="2087">
        <v>0</v>
      </c>
      <c r="Q109" s="2028">
        <f t="shared" si="132"/>
        <v>0</v>
      </c>
      <c r="R109" s="2126">
        <f t="shared" si="130"/>
        <v>0</v>
      </c>
      <c r="S109" s="2127">
        <f t="shared" si="131"/>
        <v>0</v>
      </c>
      <c r="T109" s="853">
        <f t="shared" si="133"/>
        <v>0</v>
      </c>
      <c r="U109" s="1704" t="str">
        <f t="shared" si="134"/>
        <v>1.33</v>
      </c>
      <c r="V109" s="1704" t="str">
        <f t="shared" si="135"/>
        <v>D+</v>
      </c>
      <c r="W109" s="1704" t="str">
        <f t="shared" si="136"/>
        <v>0</v>
      </c>
      <c r="X109" s="1849"/>
      <c r="Y109" s="1850"/>
      <c r="Z109" s="1850"/>
      <c r="AA109" s="1850"/>
      <c r="AB109" s="1850"/>
      <c r="AC109" s="1850"/>
      <c r="AD109" s="1851"/>
      <c r="AE109" s="1851"/>
      <c r="AF109" s="1851"/>
      <c r="AG109" s="1851"/>
      <c r="AH109" s="1851"/>
      <c r="AI109" s="1852"/>
      <c r="AJ109" s="1853"/>
      <c r="AK109" s="1854"/>
    </row>
    <row r="110" spans="1:37" ht="24.95" customHeight="1" x14ac:dyDescent="0.25">
      <c r="A110" s="1687"/>
      <c r="B110" s="1688"/>
      <c r="C110" s="1270"/>
      <c r="D110" s="1686" t="s">
        <v>16</v>
      </c>
      <c r="E110" s="1494"/>
      <c r="F110" s="1494"/>
      <c r="G110" s="1494"/>
      <c r="H110" s="2087"/>
      <c r="I110" s="2087"/>
      <c r="J110" s="2087"/>
      <c r="K110" s="1494"/>
      <c r="L110" s="1494"/>
      <c r="M110" s="1494"/>
      <c r="N110" s="2087">
        <v>0</v>
      </c>
      <c r="O110" s="2087">
        <v>0</v>
      </c>
      <c r="P110" s="2087">
        <v>0</v>
      </c>
      <c r="Q110" s="2028">
        <f>MAX(E110,H110,K110,N110)</f>
        <v>0</v>
      </c>
      <c r="R110" s="2126">
        <f t="shared" si="130"/>
        <v>0</v>
      </c>
      <c r="S110" s="2127">
        <f t="shared" si="131"/>
        <v>0</v>
      </c>
      <c r="T110" s="853">
        <f>IFERROR(AVERAGE(Q110:S110),"")</f>
        <v>0</v>
      </c>
      <c r="U110" s="1704" t="str">
        <f t="shared" si="134"/>
        <v>1.33</v>
      </c>
      <c r="V110" s="1704" t="str">
        <f t="shared" si="135"/>
        <v>D+</v>
      </c>
      <c r="W110" s="1704" t="str">
        <f t="shared" si="136"/>
        <v>0</v>
      </c>
      <c r="X110" s="1849"/>
      <c r="Y110" s="1850"/>
      <c r="Z110" s="1850"/>
      <c r="AA110" s="1850"/>
      <c r="AB110" s="1850"/>
      <c r="AC110" s="1850"/>
      <c r="AD110" s="1851"/>
      <c r="AE110" s="1851"/>
      <c r="AF110" s="1851"/>
      <c r="AG110" s="1851"/>
      <c r="AH110" s="1851"/>
      <c r="AI110" s="1852"/>
      <c r="AJ110" s="1853"/>
      <c r="AK110" s="1854"/>
    </row>
    <row r="111" spans="1:37" ht="24.95" customHeight="1" x14ac:dyDescent="0.25">
      <c r="A111" s="1687"/>
      <c r="B111" s="1688"/>
      <c r="C111" s="1270"/>
      <c r="D111" s="1686" t="s">
        <v>186</v>
      </c>
      <c r="E111" s="1494"/>
      <c r="F111" s="1494"/>
      <c r="G111" s="1494"/>
      <c r="H111" s="2087"/>
      <c r="I111" s="2087"/>
      <c r="J111" s="2087"/>
      <c r="K111" s="1494">
        <v>0</v>
      </c>
      <c r="L111" s="1494">
        <v>0</v>
      </c>
      <c r="M111" s="1494">
        <v>0</v>
      </c>
      <c r="N111" s="2087"/>
      <c r="O111" s="2087"/>
      <c r="P111" s="2087"/>
      <c r="Q111" s="2028">
        <f t="shared" ref="Q111:Q112" si="137">MAX(E111,H111,K111,N111)</f>
        <v>0</v>
      </c>
      <c r="R111" s="2126">
        <f t="shared" si="130"/>
        <v>0</v>
      </c>
      <c r="S111" s="2127">
        <f t="shared" si="131"/>
        <v>0</v>
      </c>
      <c r="T111" s="853">
        <f t="shared" ref="T111:T112" si="138">IFERROR(AVERAGE(Q111:S111),"")</f>
        <v>0</v>
      </c>
      <c r="U111" s="1704" t="str">
        <f t="shared" si="134"/>
        <v>1.33</v>
      </c>
      <c r="V111" s="1704" t="str">
        <f t="shared" si="135"/>
        <v>D+</v>
      </c>
      <c r="W111" s="1704" t="str">
        <f t="shared" si="136"/>
        <v>0</v>
      </c>
      <c r="X111" s="1849"/>
      <c r="Y111" s="1850"/>
      <c r="Z111" s="1850"/>
      <c r="AA111" s="1850"/>
      <c r="AB111" s="1850"/>
      <c r="AC111" s="1850"/>
      <c r="AD111" s="1851"/>
      <c r="AE111" s="1851"/>
      <c r="AF111" s="1851"/>
      <c r="AG111" s="1851"/>
      <c r="AH111" s="1851"/>
      <c r="AI111" s="1852"/>
      <c r="AJ111" s="1853"/>
      <c r="AK111" s="1854"/>
    </row>
    <row r="112" spans="1:37" ht="24.95" customHeight="1" x14ac:dyDescent="0.25">
      <c r="A112" s="1687"/>
      <c r="B112" s="1688"/>
      <c r="C112" s="1270"/>
      <c r="D112" s="1686" t="s">
        <v>22</v>
      </c>
      <c r="E112" s="2086"/>
      <c r="F112" s="2086"/>
      <c r="G112" s="2086"/>
      <c r="H112" s="2088"/>
      <c r="I112" s="2088"/>
      <c r="J112" s="2088"/>
      <c r="K112" s="2086"/>
      <c r="L112" s="2086"/>
      <c r="M112" s="2086"/>
      <c r="N112" s="2088">
        <v>0</v>
      </c>
      <c r="O112" s="2088">
        <v>0</v>
      </c>
      <c r="P112" s="2088">
        <v>0</v>
      </c>
      <c r="Q112" s="2028">
        <f t="shared" si="137"/>
        <v>0</v>
      </c>
      <c r="R112" s="2126">
        <f t="shared" si="130"/>
        <v>0</v>
      </c>
      <c r="S112" s="2127">
        <f t="shared" si="131"/>
        <v>0</v>
      </c>
      <c r="T112" s="853">
        <f t="shared" si="138"/>
        <v>0</v>
      </c>
      <c r="U112" s="1705" t="str">
        <f t="shared" si="134"/>
        <v>1.33</v>
      </c>
      <c r="V112" s="1705" t="str">
        <f t="shared" si="135"/>
        <v>D+</v>
      </c>
      <c r="W112" s="1705" t="str">
        <f t="shared" si="136"/>
        <v>0</v>
      </c>
      <c r="X112" s="1849"/>
      <c r="Y112" s="1850"/>
      <c r="Z112" s="1850"/>
      <c r="AA112" s="1850"/>
      <c r="AB112" s="1850"/>
      <c r="AC112" s="1850"/>
      <c r="AD112" s="1851"/>
      <c r="AE112" s="1851"/>
      <c r="AF112" s="1851"/>
      <c r="AG112" s="1851"/>
      <c r="AH112" s="1851"/>
      <c r="AI112" s="1852"/>
      <c r="AJ112" s="1855"/>
      <c r="AK112" s="1856"/>
    </row>
    <row r="113" spans="1:37" ht="24.95" customHeight="1" x14ac:dyDescent="0.25">
      <c r="A113" s="1693"/>
      <c r="B113" s="1237">
        <v>15</v>
      </c>
      <c r="C113" s="1695" t="s">
        <v>167</v>
      </c>
      <c r="D113" s="1696"/>
      <c r="E113" s="1694"/>
      <c r="F113" s="1694"/>
      <c r="G113" s="1694"/>
      <c r="H113" s="1694"/>
      <c r="I113" s="1694"/>
      <c r="J113" s="1694"/>
      <c r="K113" s="1694"/>
      <c r="L113" s="1694"/>
      <c r="M113" s="1694"/>
      <c r="N113" s="1694"/>
      <c r="O113" s="1694"/>
      <c r="P113" s="1694"/>
      <c r="Q113" s="1694"/>
      <c r="R113" s="2160"/>
      <c r="S113" s="2160"/>
      <c r="T113" s="1938">
        <f>IFERROR(AVERAGE(T107:T112),"  ")</f>
        <v>0</v>
      </c>
      <c r="U113" s="1842" t="str">
        <f>IF(T113&gt;85,("4"),IF(T113&gt;80,("3.66"),IF(T113&gt;75,("3.33"),IF(T113&gt;70,("3.00"),IF(T113&gt;65,("2.66"),IF(T113&gt;60,("2.33"),IF(T113&gt;55,("2"),IF(T113&gt;50,("1.66"),"1.33"))))))))</f>
        <v>1.33</v>
      </c>
      <c r="V113" s="1842" t="str">
        <f>IF(T113&gt;85,("A"),IF(T113&gt;80,("A-"),IF(T113&gt;75,("B+"),IF(T113&gt;70,("B"),IF(T113&gt;65,("B-"),IF(T113&gt;60,("C+"),IF(T113&gt;55,("C"),IF(T113&gt;50,("C-"),"D+"))))))))</f>
        <v>D+</v>
      </c>
      <c r="W113" s="1842"/>
      <c r="X113" s="2073"/>
      <c r="Y113" s="2074"/>
      <c r="Z113" s="2074"/>
      <c r="AA113" s="2074"/>
      <c r="AB113" s="2074"/>
      <c r="AC113" s="2074"/>
      <c r="AD113" s="2074"/>
      <c r="AE113" s="2074"/>
      <c r="AF113" s="2074"/>
      <c r="AG113" s="2074"/>
      <c r="AH113" s="2074"/>
      <c r="AI113" s="2075"/>
      <c r="AJ113" s="1857"/>
      <c r="AK113" s="1858"/>
    </row>
    <row r="114" spans="1:37" ht="24.95" customHeight="1" x14ac:dyDescent="0.25">
      <c r="A114" s="1683">
        <v>16</v>
      </c>
      <c r="B114" s="1684"/>
      <c r="C114" s="1685" t="str">
        <f>VLOOKUP(A114,data_siswa,4,FALSE)</f>
        <v>Nabilla Shiva Putri</v>
      </c>
      <c r="D114" s="1686" t="s">
        <v>154</v>
      </c>
      <c r="E114" s="1494">
        <v>0</v>
      </c>
      <c r="F114" s="1494">
        <v>0</v>
      </c>
      <c r="G114" s="1494">
        <v>0</v>
      </c>
      <c r="H114" s="2087">
        <v>0</v>
      </c>
      <c r="I114" s="2087">
        <v>0</v>
      </c>
      <c r="J114" s="2087">
        <v>0</v>
      </c>
      <c r="K114" s="1494"/>
      <c r="L114" s="1494"/>
      <c r="M114" s="1494"/>
      <c r="N114" s="2087"/>
      <c r="O114" s="2087"/>
      <c r="P114" s="2087"/>
      <c r="Q114" s="2028">
        <f>MAX(E114,H114,K114,N114)</f>
        <v>0</v>
      </c>
      <c r="R114" s="2126">
        <f t="shared" ref="R114:R119" si="139">MAX(F114,I114,L114,O114)</f>
        <v>0</v>
      </c>
      <c r="S114" s="2127">
        <f t="shared" ref="S114:S119" si="140">MAX(G114,J114,M114,P114)</f>
        <v>0</v>
      </c>
      <c r="T114" s="853">
        <f>IFERROR(AVERAGE(Q114:S114),"")</f>
        <v>0</v>
      </c>
      <c r="U114" s="1704" t="str">
        <f>IF(T114&gt;85,("4"),IF(T114&gt;80,("3.66"),IF(T114&gt;75,("3.33"),IF(T114&gt;70,("3.00"),IF(T114&gt;65,("2.66"),IF(T114&gt;60,("2.33"),IF(T114&gt;55,("2"),IF(T114&gt;50,("1.66"),"1.33"))))))))</f>
        <v>1.33</v>
      </c>
      <c r="V114" s="1704" t="str">
        <f>IF(T114&gt;85,("A"),IF(T114&gt;80,("A-"),IF(T114&gt;75,("B+"),IF(T114&gt;70,("B"),IF(T114&gt;65,("B-"),IF(T114&gt;60,("C+"),IF(T114&gt;55,("C"),IF(T114&gt;50,("C-"),"D+"))))))))</f>
        <v>D+</v>
      </c>
      <c r="W114" s="1704" t="str">
        <f>IF(T114&gt;80,("SB"),IF(T114&gt;65,("B"),IF(T114&gt;50,("C"),IF(T114&gt;0,("K"),"0"))))</f>
        <v>0</v>
      </c>
      <c r="X114" s="1267"/>
      <c r="Y114" s="1267"/>
      <c r="Z114" s="1267"/>
      <c r="AA114" s="1267"/>
      <c r="AB114" s="1267"/>
      <c r="AC114" s="1267"/>
      <c r="AD114" s="1268"/>
      <c r="AE114" s="1268"/>
      <c r="AF114" s="1268"/>
      <c r="AG114" s="1268"/>
      <c r="AH114" s="1268"/>
      <c r="AI114" s="1268"/>
      <c r="AJ114" s="2099">
        <f>T120</f>
        <v>0</v>
      </c>
      <c r="AK114" s="2095" t="str">
        <f>V120</f>
        <v>D+</v>
      </c>
    </row>
    <row r="115" spans="1:37" ht="24.95" customHeight="1" x14ac:dyDescent="0.25">
      <c r="A115" s="1687"/>
      <c r="B115" s="1688"/>
      <c r="C115" s="1270"/>
      <c r="D115" s="1686" t="s">
        <v>155</v>
      </c>
      <c r="E115" s="1494">
        <v>0</v>
      </c>
      <c r="F115" s="1494">
        <v>0</v>
      </c>
      <c r="G115" s="1494">
        <v>0</v>
      </c>
      <c r="H115" s="2087">
        <v>0</v>
      </c>
      <c r="I115" s="2087">
        <v>0</v>
      </c>
      <c r="J115" s="2087">
        <v>0</v>
      </c>
      <c r="K115" s="1494">
        <v>0</v>
      </c>
      <c r="L115" s="1494">
        <v>0</v>
      </c>
      <c r="M115" s="1494">
        <v>0</v>
      </c>
      <c r="N115" s="2087"/>
      <c r="O115" s="2087"/>
      <c r="P115" s="2087"/>
      <c r="Q115" s="2028">
        <f t="shared" ref="Q115:Q116" si="141">MAX(E115,H115,K115,N115)</f>
        <v>0</v>
      </c>
      <c r="R115" s="2126">
        <f t="shared" si="139"/>
        <v>0</v>
      </c>
      <c r="S115" s="2127">
        <f t="shared" si="140"/>
        <v>0</v>
      </c>
      <c r="T115" s="853">
        <f t="shared" ref="T115:T116" si="142">IFERROR(AVERAGE(Q115:S115),"")</f>
        <v>0</v>
      </c>
      <c r="U115" s="1704" t="str">
        <f t="shared" ref="U115:U119" si="143">IF(T115&gt;85,("4"),IF(T115&gt;80,("3.66"),IF(T115&gt;75,("3.33"),IF(T115&gt;70,("3.00"),IF(T115&gt;65,("2.66"),IF(T115&gt;60,("2.33"),IF(T115&gt;55,("2"),IF(T115&gt;50,("1.66"),"1.33"))))))))</f>
        <v>1.33</v>
      </c>
      <c r="V115" s="1704" t="str">
        <f t="shared" ref="V115:V119" si="144">IF(T115&gt;85,("A"),IF(T115&gt;80,("A-"),IF(T115&gt;75,("B+"),IF(T115&gt;70,("B"),IF(T115&gt;65,("B-"),IF(T115&gt;60,("C+"),IF(T115&gt;55,("C"),IF(T115&gt;50,("C-"),"D+"))))))))</f>
        <v>D+</v>
      </c>
      <c r="W115" s="1704" t="str">
        <f t="shared" ref="W115:W119" si="145">IF(T115&gt;80,("SB"),IF(T115&gt;65,("B"),IF(T115&gt;50,("C"),IF(T115&gt;0,("K"),"0"))))</f>
        <v>0</v>
      </c>
      <c r="X115" s="1843"/>
      <c r="Y115" s="1844"/>
      <c r="Z115" s="1844"/>
      <c r="AA115" s="1844"/>
      <c r="AB115" s="1844"/>
      <c r="AC115" s="1844"/>
      <c r="AD115" s="1845"/>
      <c r="AE115" s="1845"/>
      <c r="AF115" s="1845"/>
      <c r="AG115" s="1845"/>
      <c r="AH115" s="1845"/>
      <c r="AI115" s="1846"/>
      <c r="AJ115" s="1847"/>
      <c r="AK115" s="1848"/>
    </row>
    <row r="116" spans="1:37" ht="24.95" customHeight="1" x14ac:dyDescent="0.25">
      <c r="A116" s="1687"/>
      <c r="B116" s="1688"/>
      <c r="C116" s="1270"/>
      <c r="D116" s="1686" t="s">
        <v>11</v>
      </c>
      <c r="E116" s="1494">
        <v>0</v>
      </c>
      <c r="F116" s="1494">
        <v>0</v>
      </c>
      <c r="G116" s="1494">
        <v>0</v>
      </c>
      <c r="H116" s="2087">
        <v>0</v>
      </c>
      <c r="I116" s="2087">
        <v>0</v>
      </c>
      <c r="J116" s="2087">
        <v>0</v>
      </c>
      <c r="K116" s="1494">
        <v>0</v>
      </c>
      <c r="L116" s="1494">
        <v>0</v>
      </c>
      <c r="M116" s="1494">
        <v>0</v>
      </c>
      <c r="N116" s="2087">
        <v>0</v>
      </c>
      <c r="O116" s="2087">
        <v>0</v>
      </c>
      <c r="P116" s="2087">
        <v>0</v>
      </c>
      <c r="Q116" s="2028">
        <f t="shared" si="141"/>
        <v>0</v>
      </c>
      <c r="R116" s="2126">
        <f t="shared" si="139"/>
        <v>0</v>
      </c>
      <c r="S116" s="2127">
        <f t="shared" si="140"/>
        <v>0</v>
      </c>
      <c r="T116" s="853">
        <f t="shared" si="142"/>
        <v>0</v>
      </c>
      <c r="U116" s="1704" t="str">
        <f t="shared" si="143"/>
        <v>1.33</v>
      </c>
      <c r="V116" s="1704" t="str">
        <f t="shared" si="144"/>
        <v>D+</v>
      </c>
      <c r="W116" s="1704" t="str">
        <f t="shared" si="145"/>
        <v>0</v>
      </c>
      <c r="X116" s="1849"/>
      <c r="Y116" s="1850"/>
      <c r="Z116" s="1850"/>
      <c r="AA116" s="1850"/>
      <c r="AB116" s="1850"/>
      <c r="AC116" s="1850"/>
      <c r="AD116" s="1851"/>
      <c r="AE116" s="1851"/>
      <c r="AF116" s="1851"/>
      <c r="AG116" s="1851"/>
      <c r="AH116" s="1851"/>
      <c r="AI116" s="1852"/>
      <c r="AJ116" s="1853"/>
      <c r="AK116" s="1854"/>
    </row>
    <row r="117" spans="1:37" ht="24.95" customHeight="1" x14ac:dyDescent="0.25">
      <c r="A117" s="1687"/>
      <c r="B117" s="1688"/>
      <c r="C117" s="1270"/>
      <c r="D117" s="1686" t="s">
        <v>16</v>
      </c>
      <c r="E117" s="1494"/>
      <c r="F117" s="1494"/>
      <c r="G117" s="1494"/>
      <c r="H117" s="2087"/>
      <c r="I117" s="2087"/>
      <c r="J117" s="2087"/>
      <c r="K117" s="1494"/>
      <c r="L117" s="1494"/>
      <c r="M117" s="1494"/>
      <c r="N117" s="2087">
        <v>0</v>
      </c>
      <c r="O117" s="2087">
        <v>0</v>
      </c>
      <c r="P117" s="2087">
        <v>0</v>
      </c>
      <c r="Q117" s="2028">
        <f>MAX(E117,H117,K117,N117)</f>
        <v>0</v>
      </c>
      <c r="R117" s="2126">
        <f t="shared" si="139"/>
        <v>0</v>
      </c>
      <c r="S117" s="2127">
        <f t="shared" si="140"/>
        <v>0</v>
      </c>
      <c r="T117" s="853">
        <f>IFERROR(AVERAGE(Q117:S117),"")</f>
        <v>0</v>
      </c>
      <c r="U117" s="1704" t="str">
        <f t="shared" si="143"/>
        <v>1.33</v>
      </c>
      <c r="V117" s="1704" t="str">
        <f t="shared" si="144"/>
        <v>D+</v>
      </c>
      <c r="W117" s="1704" t="str">
        <f t="shared" si="145"/>
        <v>0</v>
      </c>
      <c r="X117" s="1849"/>
      <c r="Y117" s="1850"/>
      <c r="Z117" s="1850"/>
      <c r="AA117" s="1850"/>
      <c r="AB117" s="1850"/>
      <c r="AC117" s="1850"/>
      <c r="AD117" s="1851"/>
      <c r="AE117" s="1851"/>
      <c r="AF117" s="1851"/>
      <c r="AG117" s="1851"/>
      <c r="AH117" s="1851"/>
      <c r="AI117" s="1852"/>
      <c r="AJ117" s="1853"/>
      <c r="AK117" s="1854"/>
    </row>
    <row r="118" spans="1:37" ht="24.95" customHeight="1" x14ac:dyDescent="0.25">
      <c r="A118" s="1687"/>
      <c r="B118" s="1688"/>
      <c r="C118" s="1270"/>
      <c r="D118" s="1686" t="s">
        <v>186</v>
      </c>
      <c r="E118" s="1494"/>
      <c r="F118" s="1494"/>
      <c r="G118" s="1494"/>
      <c r="H118" s="2087"/>
      <c r="I118" s="2087"/>
      <c r="J118" s="2087"/>
      <c r="K118" s="1494">
        <v>0</v>
      </c>
      <c r="L118" s="1494">
        <v>0</v>
      </c>
      <c r="M118" s="1494">
        <v>0</v>
      </c>
      <c r="N118" s="2087"/>
      <c r="O118" s="2087"/>
      <c r="P118" s="2087"/>
      <c r="Q118" s="2028">
        <f t="shared" ref="Q118:Q119" si="146">MAX(E118,H118,K118,N118)</f>
        <v>0</v>
      </c>
      <c r="R118" s="2126">
        <f t="shared" si="139"/>
        <v>0</v>
      </c>
      <c r="S118" s="2127">
        <f t="shared" si="140"/>
        <v>0</v>
      </c>
      <c r="T118" s="853">
        <f t="shared" ref="T118:T119" si="147">IFERROR(AVERAGE(Q118:S118),"")</f>
        <v>0</v>
      </c>
      <c r="U118" s="1704" t="str">
        <f t="shared" si="143"/>
        <v>1.33</v>
      </c>
      <c r="V118" s="1704" t="str">
        <f t="shared" si="144"/>
        <v>D+</v>
      </c>
      <c r="W118" s="1704" t="str">
        <f t="shared" si="145"/>
        <v>0</v>
      </c>
      <c r="X118" s="1849"/>
      <c r="Y118" s="1850"/>
      <c r="Z118" s="1850"/>
      <c r="AA118" s="1850"/>
      <c r="AB118" s="1850"/>
      <c r="AC118" s="1850"/>
      <c r="AD118" s="1851"/>
      <c r="AE118" s="1851"/>
      <c r="AF118" s="1851"/>
      <c r="AG118" s="1851"/>
      <c r="AH118" s="1851"/>
      <c r="AI118" s="1852"/>
      <c r="AJ118" s="1853"/>
      <c r="AK118" s="1854"/>
    </row>
    <row r="119" spans="1:37" ht="24.95" customHeight="1" x14ac:dyDescent="0.25">
      <c r="A119" s="1687"/>
      <c r="B119" s="1688"/>
      <c r="C119" s="1270"/>
      <c r="D119" s="1686" t="s">
        <v>22</v>
      </c>
      <c r="E119" s="2086"/>
      <c r="F119" s="2086"/>
      <c r="G119" s="2086"/>
      <c r="H119" s="2088"/>
      <c r="I119" s="2088"/>
      <c r="J119" s="2088"/>
      <c r="K119" s="2086"/>
      <c r="L119" s="2086"/>
      <c r="M119" s="2086"/>
      <c r="N119" s="2088">
        <v>0</v>
      </c>
      <c r="O119" s="2088">
        <v>0</v>
      </c>
      <c r="P119" s="2088">
        <v>0</v>
      </c>
      <c r="Q119" s="2028">
        <f t="shared" si="146"/>
        <v>0</v>
      </c>
      <c r="R119" s="2126">
        <f t="shared" si="139"/>
        <v>0</v>
      </c>
      <c r="S119" s="2127">
        <f t="shared" si="140"/>
        <v>0</v>
      </c>
      <c r="T119" s="853">
        <f t="shared" si="147"/>
        <v>0</v>
      </c>
      <c r="U119" s="1705" t="str">
        <f t="shared" si="143"/>
        <v>1.33</v>
      </c>
      <c r="V119" s="1705" t="str">
        <f t="shared" si="144"/>
        <v>D+</v>
      </c>
      <c r="W119" s="1705" t="str">
        <f t="shared" si="145"/>
        <v>0</v>
      </c>
      <c r="X119" s="1849"/>
      <c r="Y119" s="1850"/>
      <c r="Z119" s="1850"/>
      <c r="AA119" s="1850"/>
      <c r="AB119" s="1850"/>
      <c r="AC119" s="1850"/>
      <c r="AD119" s="1851"/>
      <c r="AE119" s="1851"/>
      <c r="AF119" s="1851"/>
      <c r="AG119" s="1851"/>
      <c r="AH119" s="1851"/>
      <c r="AI119" s="1852"/>
      <c r="AJ119" s="1855"/>
      <c r="AK119" s="1856"/>
    </row>
    <row r="120" spans="1:37" ht="24.95" customHeight="1" x14ac:dyDescent="0.25">
      <c r="A120" s="1693"/>
      <c r="B120" s="1237">
        <v>16</v>
      </c>
      <c r="C120" s="1695" t="s">
        <v>167</v>
      </c>
      <c r="D120" s="1696"/>
      <c r="E120" s="1694"/>
      <c r="F120" s="1694"/>
      <c r="G120" s="1694"/>
      <c r="H120" s="1694"/>
      <c r="I120" s="1694"/>
      <c r="J120" s="1694"/>
      <c r="K120" s="1694"/>
      <c r="L120" s="1694"/>
      <c r="M120" s="1694"/>
      <c r="N120" s="1694"/>
      <c r="O120" s="1694"/>
      <c r="P120" s="1694"/>
      <c r="Q120" s="1694"/>
      <c r="R120" s="2160"/>
      <c r="S120" s="2160"/>
      <c r="T120" s="1938">
        <f>IFERROR(AVERAGE(T114:T119),"  ")</f>
        <v>0</v>
      </c>
      <c r="U120" s="1842" t="str">
        <f>IF(T120&gt;85,("4"),IF(T120&gt;80,("3.66"),IF(T120&gt;75,("3.33"),IF(T120&gt;70,("3.00"),IF(T120&gt;65,("2.66"),IF(T120&gt;60,("2.33"),IF(T120&gt;55,("2"),IF(T120&gt;50,("1.66"),"1.33"))))))))</f>
        <v>1.33</v>
      </c>
      <c r="V120" s="1842" t="str">
        <f>IF(T120&gt;85,("A"),IF(T120&gt;80,("A-"),IF(T120&gt;75,("B+"),IF(T120&gt;70,("B"),IF(T120&gt;65,("B-"),IF(T120&gt;60,("C+"),IF(T120&gt;55,("C"),IF(T120&gt;50,("C-"),"D+"))))))))</f>
        <v>D+</v>
      </c>
      <c r="W120" s="1842"/>
      <c r="X120" s="2073"/>
      <c r="Y120" s="2074"/>
      <c r="Z120" s="2074"/>
      <c r="AA120" s="2074"/>
      <c r="AB120" s="2074"/>
      <c r="AC120" s="2074"/>
      <c r="AD120" s="2074"/>
      <c r="AE120" s="2074"/>
      <c r="AF120" s="2074"/>
      <c r="AG120" s="2074"/>
      <c r="AH120" s="2074"/>
      <c r="AI120" s="2075"/>
      <c r="AJ120" s="1857"/>
      <c r="AK120" s="1858"/>
    </row>
    <row r="121" spans="1:37" ht="24.95" customHeight="1" x14ac:dyDescent="0.25">
      <c r="A121" s="1683">
        <v>17</v>
      </c>
      <c r="B121" s="1684"/>
      <c r="C121" s="1685" t="str">
        <f>VLOOKUP(A121,data_siswa,4,FALSE)</f>
        <v>Naufal Falih F</v>
      </c>
      <c r="D121" s="1686" t="s">
        <v>154</v>
      </c>
      <c r="E121" s="1494">
        <v>0</v>
      </c>
      <c r="F121" s="1494">
        <v>0</v>
      </c>
      <c r="G121" s="1494">
        <v>0</v>
      </c>
      <c r="H121" s="2087">
        <v>0</v>
      </c>
      <c r="I121" s="2087">
        <v>0</v>
      </c>
      <c r="J121" s="2087">
        <v>0</v>
      </c>
      <c r="K121" s="1494"/>
      <c r="L121" s="1494"/>
      <c r="M121" s="1494"/>
      <c r="N121" s="2087"/>
      <c r="O121" s="2087"/>
      <c r="P121" s="2087"/>
      <c r="Q121" s="2028">
        <f>MAX(E121,H121,K121,N121)</f>
        <v>0</v>
      </c>
      <c r="R121" s="2126">
        <f t="shared" ref="R121:R126" si="148">MAX(F121,I121,L121,O121)</f>
        <v>0</v>
      </c>
      <c r="S121" s="2127">
        <f t="shared" ref="S121:S126" si="149">MAX(G121,J121,M121,P121)</f>
        <v>0</v>
      </c>
      <c r="T121" s="853">
        <f>IFERROR(AVERAGE(Q121:S121),"")</f>
        <v>0</v>
      </c>
      <c r="U121" s="1704" t="str">
        <f>IF(T121&gt;85,("4"),IF(T121&gt;80,("3.66"),IF(T121&gt;75,("3.33"),IF(T121&gt;70,("3.00"),IF(T121&gt;65,("2.66"),IF(T121&gt;60,("2.33"),IF(T121&gt;55,("2"),IF(T121&gt;50,("1.66"),"1.33"))))))))</f>
        <v>1.33</v>
      </c>
      <c r="V121" s="1704" t="str">
        <f>IF(T121&gt;85,("A"),IF(T121&gt;80,("A-"),IF(T121&gt;75,("B+"),IF(T121&gt;70,("B"),IF(T121&gt;65,("B-"),IF(T121&gt;60,("C+"),IF(T121&gt;55,("C"),IF(T121&gt;50,("C-"),"D+"))))))))</f>
        <v>D+</v>
      </c>
      <c r="W121" s="1704" t="str">
        <f>IF(T121&gt;80,("SB"),IF(T121&gt;65,("B"),IF(T121&gt;50,("C"),IF(T121&gt;0,("K"),"0"))))</f>
        <v>0</v>
      </c>
      <c r="X121" s="1267"/>
      <c r="Y121" s="1267"/>
      <c r="Z121" s="1267"/>
      <c r="AA121" s="1267"/>
      <c r="AB121" s="1267"/>
      <c r="AC121" s="1267"/>
      <c r="AD121" s="1268"/>
      <c r="AE121" s="1268"/>
      <c r="AF121" s="1268"/>
      <c r="AG121" s="1268"/>
      <c r="AH121" s="1268"/>
      <c r="AI121" s="1268"/>
      <c r="AJ121" s="2099">
        <f>T127</f>
        <v>0</v>
      </c>
      <c r="AK121" s="2095" t="str">
        <f>V127</f>
        <v>D+</v>
      </c>
    </row>
    <row r="122" spans="1:37" ht="24.95" customHeight="1" x14ac:dyDescent="0.25">
      <c r="A122" s="1687"/>
      <c r="B122" s="1688"/>
      <c r="C122" s="1270"/>
      <c r="D122" s="1686" t="s">
        <v>155</v>
      </c>
      <c r="E122" s="1494">
        <v>0</v>
      </c>
      <c r="F122" s="1494">
        <v>0</v>
      </c>
      <c r="G122" s="1494">
        <v>0</v>
      </c>
      <c r="H122" s="2087">
        <v>0</v>
      </c>
      <c r="I122" s="2087">
        <v>0</v>
      </c>
      <c r="J122" s="2087">
        <v>0</v>
      </c>
      <c r="K122" s="1494">
        <v>0</v>
      </c>
      <c r="L122" s="1494">
        <v>0</v>
      </c>
      <c r="M122" s="1494">
        <v>0</v>
      </c>
      <c r="N122" s="2087"/>
      <c r="O122" s="2087"/>
      <c r="P122" s="2087"/>
      <c r="Q122" s="2028">
        <f t="shared" ref="Q122:Q123" si="150">MAX(E122,H122,K122,N122)</f>
        <v>0</v>
      </c>
      <c r="R122" s="2126">
        <f t="shared" si="148"/>
        <v>0</v>
      </c>
      <c r="S122" s="2127">
        <f t="shared" si="149"/>
        <v>0</v>
      </c>
      <c r="T122" s="853">
        <f t="shared" ref="T122:T123" si="151">IFERROR(AVERAGE(Q122:S122),"")</f>
        <v>0</v>
      </c>
      <c r="U122" s="1704" t="str">
        <f t="shared" ref="U122:U126" si="152">IF(T122&gt;85,("4"),IF(T122&gt;80,("3.66"),IF(T122&gt;75,("3.33"),IF(T122&gt;70,("3.00"),IF(T122&gt;65,("2.66"),IF(T122&gt;60,("2.33"),IF(T122&gt;55,("2"),IF(T122&gt;50,("1.66"),"1.33"))))))))</f>
        <v>1.33</v>
      </c>
      <c r="V122" s="1704" t="str">
        <f t="shared" ref="V122:V126" si="153">IF(T122&gt;85,("A"),IF(T122&gt;80,("A-"),IF(T122&gt;75,("B+"),IF(T122&gt;70,("B"),IF(T122&gt;65,("B-"),IF(T122&gt;60,("C+"),IF(T122&gt;55,("C"),IF(T122&gt;50,("C-"),"D+"))))))))</f>
        <v>D+</v>
      </c>
      <c r="W122" s="1704" t="str">
        <f t="shared" ref="W122:W126" si="154">IF(T122&gt;80,("SB"),IF(T122&gt;65,("B"),IF(T122&gt;50,("C"),IF(T122&gt;0,("K"),"0"))))</f>
        <v>0</v>
      </c>
      <c r="X122" s="1843"/>
      <c r="Y122" s="1844"/>
      <c r="Z122" s="1844"/>
      <c r="AA122" s="1844"/>
      <c r="AB122" s="1844"/>
      <c r="AC122" s="1844"/>
      <c r="AD122" s="1845"/>
      <c r="AE122" s="1845"/>
      <c r="AF122" s="1845"/>
      <c r="AG122" s="1845"/>
      <c r="AH122" s="1845"/>
      <c r="AI122" s="1846"/>
      <c r="AJ122" s="1847"/>
      <c r="AK122" s="1848"/>
    </row>
    <row r="123" spans="1:37" ht="24.95" customHeight="1" x14ac:dyDescent="0.25">
      <c r="A123" s="1687"/>
      <c r="B123" s="1688"/>
      <c r="C123" s="1270"/>
      <c r="D123" s="1686" t="s">
        <v>11</v>
      </c>
      <c r="E123" s="1494">
        <v>0</v>
      </c>
      <c r="F123" s="1494">
        <v>0</v>
      </c>
      <c r="G123" s="1494">
        <v>0</v>
      </c>
      <c r="H123" s="2087">
        <v>0</v>
      </c>
      <c r="I123" s="2087">
        <v>0</v>
      </c>
      <c r="J123" s="2087">
        <v>0</v>
      </c>
      <c r="K123" s="1494">
        <v>0</v>
      </c>
      <c r="L123" s="1494">
        <v>0</v>
      </c>
      <c r="M123" s="1494">
        <v>0</v>
      </c>
      <c r="N123" s="2087">
        <v>0</v>
      </c>
      <c r="O123" s="2087">
        <v>0</v>
      </c>
      <c r="P123" s="2087">
        <v>0</v>
      </c>
      <c r="Q123" s="2028">
        <f t="shared" si="150"/>
        <v>0</v>
      </c>
      <c r="R123" s="2126">
        <f t="shared" si="148"/>
        <v>0</v>
      </c>
      <c r="S123" s="2127">
        <f t="shared" si="149"/>
        <v>0</v>
      </c>
      <c r="T123" s="853">
        <f t="shared" si="151"/>
        <v>0</v>
      </c>
      <c r="U123" s="1704" t="str">
        <f t="shared" si="152"/>
        <v>1.33</v>
      </c>
      <c r="V123" s="1704" t="str">
        <f t="shared" si="153"/>
        <v>D+</v>
      </c>
      <c r="W123" s="1704" t="str">
        <f t="shared" si="154"/>
        <v>0</v>
      </c>
      <c r="X123" s="1849"/>
      <c r="Y123" s="1850"/>
      <c r="Z123" s="1850"/>
      <c r="AA123" s="1850"/>
      <c r="AB123" s="1850"/>
      <c r="AC123" s="1850"/>
      <c r="AD123" s="1851"/>
      <c r="AE123" s="1851"/>
      <c r="AF123" s="1851"/>
      <c r="AG123" s="1851"/>
      <c r="AH123" s="1851"/>
      <c r="AI123" s="1852"/>
      <c r="AJ123" s="1853"/>
      <c r="AK123" s="1854"/>
    </row>
    <row r="124" spans="1:37" ht="24.95" customHeight="1" x14ac:dyDescent="0.25">
      <c r="A124" s="1687"/>
      <c r="B124" s="1688"/>
      <c r="C124" s="1270"/>
      <c r="D124" s="1686" t="s">
        <v>16</v>
      </c>
      <c r="E124" s="1494"/>
      <c r="F124" s="1494"/>
      <c r="G124" s="1494"/>
      <c r="H124" s="2087"/>
      <c r="I124" s="2087"/>
      <c r="J124" s="2087"/>
      <c r="K124" s="1494"/>
      <c r="L124" s="1494"/>
      <c r="M124" s="1494"/>
      <c r="N124" s="2087">
        <v>0</v>
      </c>
      <c r="O124" s="2087">
        <v>0</v>
      </c>
      <c r="P124" s="2087">
        <v>0</v>
      </c>
      <c r="Q124" s="2028">
        <f>MAX(E124,H124,K124,N124)</f>
        <v>0</v>
      </c>
      <c r="R124" s="2126">
        <f t="shared" si="148"/>
        <v>0</v>
      </c>
      <c r="S124" s="2127">
        <f t="shared" si="149"/>
        <v>0</v>
      </c>
      <c r="T124" s="853">
        <f>IFERROR(AVERAGE(Q124:S124),"")</f>
        <v>0</v>
      </c>
      <c r="U124" s="1704" t="str">
        <f t="shared" si="152"/>
        <v>1.33</v>
      </c>
      <c r="V124" s="1704" t="str">
        <f t="shared" si="153"/>
        <v>D+</v>
      </c>
      <c r="W124" s="1704" t="str">
        <f t="shared" si="154"/>
        <v>0</v>
      </c>
      <c r="X124" s="1849"/>
      <c r="Y124" s="1850"/>
      <c r="Z124" s="1850"/>
      <c r="AA124" s="1850"/>
      <c r="AB124" s="1850"/>
      <c r="AC124" s="1850"/>
      <c r="AD124" s="1851"/>
      <c r="AE124" s="1851"/>
      <c r="AF124" s="1851"/>
      <c r="AG124" s="1851"/>
      <c r="AH124" s="1851"/>
      <c r="AI124" s="1852"/>
      <c r="AJ124" s="1853"/>
      <c r="AK124" s="1854"/>
    </row>
    <row r="125" spans="1:37" ht="24.95" customHeight="1" x14ac:dyDescent="0.25">
      <c r="A125" s="1687"/>
      <c r="B125" s="1688"/>
      <c r="C125" s="1270"/>
      <c r="D125" s="1686" t="s">
        <v>186</v>
      </c>
      <c r="E125" s="1494"/>
      <c r="F125" s="1494"/>
      <c r="G125" s="1494"/>
      <c r="H125" s="2087"/>
      <c r="I125" s="2087"/>
      <c r="J125" s="2087"/>
      <c r="K125" s="1494">
        <v>0</v>
      </c>
      <c r="L125" s="1494">
        <v>0</v>
      </c>
      <c r="M125" s="1494">
        <v>0</v>
      </c>
      <c r="N125" s="2087"/>
      <c r="O125" s="2087"/>
      <c r="P125" s="2087"/>
      <c r="Q125" s="2028">
        <f t="shared" ref="Q125:Q126" si="155">MAX(E125,H125,K125,N125)</f>
        <v>0</v>
      </c>
      <c r="R125" s="2126">
        <f t="shared" si="148"/>
        <v>0</v>
      </c>
      <c r="S125" s="2127">
        <f t="shared" si="149"/>
        <v>0</v>
      </c>
      <c r="T125" s="853">
        <f t="shared" ref="T125:T126" si="156">IFERROR(AVERAGE(Q125:S125),"")</f>
        <v>0</v>
      </c>
      <c r="U125" s="1704" t="str">
        <f t="shared" si="152"/>
        <v>1.33</v>
      </c>
      <c r="V125" s="1704" t="str">
        <f t="shared" si="153"/>
        <v>D+</v>
      </c>
      <c r="W125" s="1704" t="str">
        <f t="shared" si="154"/>
        <v>0</v>
      </c>
      <c r="X125" s="1849"/>
      <c r="Y125" s="1850"/>
      <c r="Z125" s="1850"/>
      <c r="AA125" s="1850"/>
      <c r="AB125" s="1850"/>
      <c r="AC125" s="1850"/>
      <c r="AD125" s="1851"/>
      <c r="AE125" s="1851"/>
      <c r="AF125" s="1851"/>
      <c r="AG125" s="1851"/>
      <c r="AH125" s="1851"/>
      <c r="AI125" s="1852"/>
      <c r="AJ125" s="1853"/>
      <c r="AK125" s="1854"/>
    </row>
    <row r="126" spans="1:37" ht="24.95" customHeight="1" x14ac:dyDescent="0.25">
      <c r="A126" s="1687"/>
      <c r="B126" s="1688"/>
      <c r="C126" s="1270"/>
      <c r="D126" s="1686" t="s">
        <v>22</v>
      </c>
      <c r="E126" s="2086"/>
      <c r="F126" s="2086"/>
      <c r="G126" s="2086"/>
      <c r="H126" s="2088"/>
      <c r="I126" s="2088"/>
      <c r="J126" s="2088"/>
      <c r="K126" s="2086"/>
      <c r="L126" s="2086"/>
      <c r="M126" s="2086"/>
      <c r="N126" s="2088">
        <v>0</v>
      </c>
      <c r="O126" s="2088">
        <v>0</v>
      </c>
      <c r="P126" s="2088">
        <v>0</v>
      </c>
      <c r="Q126" s="2028">
        <f t="shared" si="155"/>
        <v>0</v>
      </c>
      <c r="R126" s="2126">
        <f t="shared" si="148"/>
        <v>0</v>
      </c>
      <c r="S126" s="2127">
        <f t="shared" si="149"/>
        <v>0</v>
      </c>
      <c r="T126" s="853">
        <f t="shared" si="156"/>
        <v>0</v>
      </c>
      <c r="U126" s="1705" t="str">
        <f t="shared" si="152"/>
        <v>1.33</v>
      </c>
      <c r="V126" s="1705" t="str">
        <f t="shared" si="153"/>
        <v>D+</v>
      </c>
      <c r="W126" s="1705" t="str">
        <f t="shared" si="154"/>
        <v>0</v>
      </c>
      <c r="X126" s="1849"/>
      <c r="Y126" s="1850"/>
      <c r="Z126" s="1850"/>
      <c r="AA126" s="1850"/>
      <c r="AB126" s="1850"/>
      <c r="AC126" s="1850"/>
      <c r="AD126" s="1851"/>
      <c r="AE126" s="1851"/>
      <c r="AF126" s="1851"/>
      <c r="AG126" s="1851"/>
      <c r="AH126" s="1851"/>
      <c r="AI126" s="1852"/>
      <c r="AJ126" s="1855"/>
      <c r="AK126" s="1856"/>
    </row>
    <row r="127" spans="1:37" ht="24.95" customHeight="1" x14ac:dyDescent="0.25">
      <c r="A127" s="1693"/>
      <c r="B127" s="1237">
        <v>17</v>
      </c>
      <c r="C127" s="1695" t="s">
        <v>167</v>
      </c>
      <c r="D127" s="1696"/>
      <c r="E127" s="1694"/>
      <c r="F127" s="1694"/>
      <c r="G127" s="1694"/>
      <c r="H127" s="1694"/>
      <c r="I127" s="1694"/>
      <c r="J127" s="1694"/>
      <c r="K127" s="1694"/>
      <c r="L127" s="1694"/>
      <c r="M127" s="1694"/>
      <c r="N127" s="1694"/>
      <c r="O127" s="1694"/>
      <c r="P127" s="1694"/>
      <c r="Q127" s="1694"/>
      <c r="R127" s="2160"/>
      <c r="S127" s="2160"/>
      <c r="T127" s="1938">
        <f>IFERROR(AVERAGE(T121:T126),"  ")</f>
        <v>0</v>
      </c>
      <c r="U127" s="1842" t="str">
        <f>IF(T127&gt;85,("4"),IF(T127&gt;80,("3.66"),IF(T127&gt;75,("3.33"),IF(T127&gt;70,("3.00"),IF(T127&gt;65,("2.66"),IF(T127&gt;60,("2.33"),IF(T127&gt;55,("2"),IF(T127&gt;50,("1.66"),"1.33"))))))))</f>
        <v>1.33</v>
      </c>
      <c r="V127" s="1842" t="str">
        <f>IF(T127&gt;85,("A"),IF(T127&gt;80,("A-"),IF(T127&gt;75,("B+"),IF(T127&gt;70,("B"),IF(T127&gt;65,("B-"),IF(T127&gt;60,("C+"),IF(T127&gt;55,("C"),IF(T127&gt;50,("C-"),"D+"))))))))</f>
        <v>D+</v>
      </c>
      <c r="W127" s="1842"/>
      <c r="X127" s="2073"/>
      <c r="Y127" s="2074"/>
      <c r="Z127" s="2074"/>
      <c r="AA127" s="2074"/>
      <c r="AB127" s="2074"/>
      <c r="AC127" s="2074"/>
      <c r="AD127" s="2074"/>
      <c r="AE127" s="2074"/>
      <c r="AF127" s="2074"/>
      <c r="AG127" s="2074"/>
      <c r="AH127" s="2074"/>
      <c r="AI127" s="2075"/>
      <c r="AJ127" s="1857"/>
      <c r="AK127" s="1858"/>
    </row>
    <row r="128" spans="1:37" ht="24.95" customHeight="1" x14ac:dyDescent="0.25">
      <c r="A128" s="1683">
        <v>18</v>
      </c>
      <c r="B128" s="1684"/>
      <c r="C128" s="1685" t="str">
        <f>VLOOKUP(A128,data_siswa,4,FALSE)</f>
        <v>Nayla Annora Nobel W</v>
      </c>
      <c r="D128" s="1686" t="s">
        <v>154</v>
      </c>
      <c r="E128" s="1494">
        <v>0</v>
      </c>
      <c r="F128" s="1494">
        <v>0</v>
      </c>
      <c r="G128" s="1494">
        <v>0</v>
      </c>
      <c r="H128" s="2087">
        <v>0</v>
      </c>
      <c r="I128" s="2087">
        <v>0</v>
      </c>
      <c r="J128" s="2087">
        <v>0</v>
      </c>
      <c r="K128" s="1494"/>
      <c r="L128" s="1494"/>
      <c r="M128" s="1494"/>
      <c r="N128" s="2087"/>
      <c r="O128" s="2087"/>
      <c r="P128" s="2087"/>
      <c r="Q128" s="2028">
        <f>MAX(E128,H128,K128,N128)</f>
        <v>0</v>
      </c>
      <c r="R128" s="2126">
        <f t="shared" ref="R128:R133" si="157">MAX(F128,I128,L128,O128)</f>
        <v>0</v>
      </c>
      <c r="S128" s="2127">
        <f t="shared" ref="S128:S133" si="158">MAX(G128,J128,M128,P128)</f>
        <v>0</v>
      </c>
      <c r="T128" s="853">
        <f>IFERROR(AVERAGE(Q128:S128),"")</f>
        <v>0</v>
      </c>
      <c r="U128" s="1704" t="str">
        <f>IF(T128&gt;85,("4"),IF(T128&gt;80,("3.66"),IF(T128&gt;75,("3.33"),IF(T128&gt;70,("3.00"),IF(T128&gt;65,("2.66"),IF(T128&gt;60,("2.33"),IF(T128&gt;55,("2"),IF(T128&gt;50,("1.66"),"1.33"))))))))</f>
        <v>1.33</v>
      </c>
      <c r="V128" s="1704" t="str">
        <f>IF(T128&gt;85,("A"),IF(T128&gt;80,("A-"),IF(T128&gt;75,("B+"),IF(T128&gt;70,("B"),IF(T128&gt;65,("B-"),IF(T128&gt;60,("C+"),IF(T128&gt;55,("C"),IF(T128&gt;50,("C-"),"D+"))))))))</f>
        <v>D+</v>
      </c>
      <c r="W128" s="1704" t="str">
        <f>IF(T128&gt;80,("SB"),IF(T128&gt;65,("B"),IF(T128&gt;50,("C"),IF(T128&gt;0,("K"),"0"))))</f>
        <v>0</v>
      </c>
      <c r="X128" s="1267"/>
      <c r="Y128" s="1267"/>
      <c r="Z128" s="1267"/>
      <c r="AA128" s="1267"/>
      <c r="AB128" s="1267"/>
      <c r="AC128" s="1267"/>
      <c r="AD128" s="1268"/>
      <c r="AE128" s="1268"/>
      <c r="AF128" s="1268"/>
      <c r="AG128" s="1268"/>
      <c r="AH128" s="1268"/>
      <c r="AI128" s="1268"/>
      <c r="AJ128" s="2099">
        <f>T134</f>
        <v>0</v>
      </c>
      <c r="AK128" s="2095" t="str">
        <f>V134</f>
        <v>D+</v>
      </c>
    </row>
    <row r="129" spans="1:37" ht="24.95" customHeight="1" x14ac:dyDescent="0.25">
      <c r="A129" s="1687"/>
      <c r="B129" s="1688"/>
      <c r="C129" s="1270"/>
      <c r="D129" s="1686" t="s">
        <v>155</v>
      </c>
      <c r="E129" s="1494">
        <v>0</v>
      </c>
      <c r="F129" s="1494">
        <v>0</v>
      </c>
      <c r="G129" s="1494">
        <v>0</v>
      </c>
      <c r="H129" s="2087">
        <v>0</v>
      </c>
      <c r="I129" s="2087">
        <v>0</v>
      </c>
      <c r="J129" s="2087">
        <v>0</v>
      </c>
      <c r="K129" s="1494">
        <v>0</v>
      </c>
      <c r="L129" s="1494">
        <v>0</v>
      </c>
      <c r="M129" s="1494">
        <v>0</v>
      </c>
      <c r="N129" s="2087"/>
      <c r="O129" s="2087"/>
      <c r="P129" s="2087"/>
      <c r="Q129" s="2028">
        <f t="shared" ref="Q129:Q130" si="159">MAX(E129,H129,K129,N129)</f>
        <v>0</v>
      </c>
      <c r="R129" s="2126">
        <f t="shared" si="157"/>
        <v>0</v>
      </c>
      <c r="S129" s="2127">
        <f t="shared" si="158"/>
        <v>0</v>
      </c>
      <c r="T129" s="853">
        <f t="shared" ref="T129:T130" si="160">IFERROR(AVERAGE(Q129:S129),"")</f>
        <v>0</v>
      </c>
      <c r="U129" s="1704" t="str">
        <f t="shared" ref="U129:U133" si="161">IF(T129&gt;85,("4"),IF(T129&gt;80,("3.66"),IF(T129&gt;75,("3.33"),IF(T129&gt;70,("3.00"),IF(T129&gt;65,("2.66"),IF(T129&gt;60,("2.33"),IF(T129&gt;55,("2"),IF(T129&gt;50,("1.66"),"1.33"))))))))</f>
        <v>1.33</v>
      </c>
      <c r="V129" s="1704" t="str">
        <f t="shared" ref="V129:V133" si="162">IF(T129&gt;85,("A"),IF(T129&gt;80,("A-"),IF(T129&gt;75,("B+"),IF(T129&gt;70,("B"),IF(T129&gt;65,("B-"),IF(T129&gt;60,("C+"),IF(T129&gt;55,("C"),IF(T129&gt;50,("C-"),"D+"))))))))</f>
        <v>D+</v>
      </c>
      <c r="W129" s="1704" t="str">
        <f t="shared" ref="W129:W133" si="163">IF(T129&gt;80,("SB"),IF(T129&gt;65,("B"),IF(T129&gt;50,("C"),IF(T129&gt;0,("K"),"0"))))</f>
        <v>0</v>
      </c>
      <c r="X129" s="1843"/>
      <c r="Y129" s="1844"/>
      <c r="Z129" s="1844"/>
      <c r="AA129" s="1844"/>
      <c r="AB129" s="1844"/>
      <c r="AC129" s="1844"/>
      <c r="AD129" s="1845"/>
      <c r="AE129" s="1845"/>
      <c r="AF129" s="1845"/>
      <c r="AG129" s="1845"/>
      <c r="AH129" s="1845"/>
      <c r="AI129" s="1846"/>
      <c r="AJ129" s="1847"/>
      <c r="AK129" s="1848"/>
    </row>
    <row r="130" spans="1:37" ht="24.95" customHeight="1" x14ac:dyDescent="0.25">
      <c r="A130" s="1687"/>
      <c r="B130" s="1688"/>
      <c r="C130" s="1270"/>
      <c r="D130" s="1686" t="s">
        <v>11</v>
      </c>
      <c r="E130" s="1494">
        <v>0</v>
      </c>
      <c r="F130" s="1494">
        <v>0</v>
      </c>
      <c r="G130" s="1494">
        <v>0</v>
      </c>
      <c r="H130" s="2087">
        <v>0</v>
      </c>
      <c r="I130" s="2087">
        <v>0</v>
      </c>
      <c r="J130" s="2087">
        <v>0</v>
      </c>
      <c r="K130" s="1494">
        <v>0</v>
      </c>
      <c r="L130" s="1494">
        <v>0</v>
      </c>
      <c r="M130" s="1494">
        <v>0</v>
      </c>
      <c r="N130" s="2087">
        <v>0</v>
      </c>
      <c r="O130" s="2087">
        <v>0</v>
      </c>
      <c r="P130" s="2087">
        <v>0</v>
      </c>
      <c r="Q130" s="2028">
        <f t="shared" si="159"/>
        <v>0</v>
      </c>
      <c r="R130" s="2126">
        <f t="shared" si="157"/>
        <v>0</v>
      </c>
      <c r="S130" s="2127">
        <f t="shared" si="158"/>
        <v>0</v>
      </c>
      <c r="T130" s="853">
        <f t="shared" si="160"/>
        <v>0</v>
      </c>
      <c r="U130" s="1704" t="str">
        <f t="shared" si="161"/>
        <v>1.33</v>
      </c>
      <c r="V130" s="1704" t="str">
        <f t="shared" si="162"/>
        <v>D+</v>
      </c>
      <c r="W130" s="1704" t="str">
        <f t="shared" si="163"/>
        <v>0</v>
      </c>
      <c r="X130" s="1849"/>
      <c r="Y130" s="1850"/>
      <c r="Z130" s="1850"/>
      <c r="AA130" s="1850"/>
      <c r="AB130" s="1850"/>
      <c r="AC130" s="1850"/>
      <c r="AD130" s="1851"/>
      <c r="AE130" s="1851"/>
      <c r="AF130" s="1851"/>
      <c r="AG130" s="1851"/>
      <c r="AH130" s="1851"/>
      <c r="AI130" s="1852"/>
      <c r="AJ130" s="1853"/>
      <c r="AK130" s="1854"/>
    </row>
    <row r="131" spans="1:37" ht="24.95" customHeight="1" x14ac:dyDescent="0.25">
      <c r="A131" s="1687"/>
      <c r="B131" s="1688"/>
      <c r="C131" s="1270"/>
      <c r="D131" s="1686" t="s">
        <v>16</v>
      </c>
      <c r="E131" s="1494"/>
      <c r="F131" s="1494"/>
      <c r="G131" s="1494"/>
      <c r="H131" s="2087"/>
      <c r="I131" s="2087"/>
      <c r="J131" s="2087"/>
      <c r="K131" s="1494"/>
      <c r="L131" s="1494"/>
      <c r="M131" s="1494"/>
      <c r="N131" s="2087">
        <v>0</v>
      </c>
      <c r="O131" s="2087">
        <v>0</v>
      </c>
      <c r="P131" s="2087">
        <v>0</v>
      </c>
      <c r="Q131" s="2028">
        <f>MAX(E131,H131,K131,N131)</f>
        <v>0</v>
      </c>
      <c r="R131" s="2126">
        <f t="shared" si="157"/>
        <v>0</v>
      </c>
      <c r="S131" s="2127">
        <f t="shared" si="158"/>
        <v>0</v>
      </c>
      <c r="T131" s="853">
        <f>IFERROR(AVERAGE(Q131:S131),"")</f>
        <v>0</v>
      </c>
      <c r="U131" s="1704" t="str">
        <f t="shared" si="161"/>
        <v>1.33</v>
      </c>
      <c r="V131" s="1704" t="str">
        <f t="shared" si="162"/>
        <v>D+</v>
      </c>
      <c r="W131" s="1704" t="str">
        <f t="shared" si="163"/>
        <v>0</v>
      </c>
      <c r="X131" s="1849"/>
      <c r="Y131" s="1850"/>
      <c r="Z131" s="1850"/>
      <c r="AA131" s="1850"/>
      <c r="AB131" s="1850"/>
      <c r="AC131" s="1850"/>
      <c r="AD131" s="1851"/>
      <c r="AE131" s="1851"/>
      <c r="AF131" s="1851"/>
      <c r="AG131" s="1851"/>
      <c r="AH131" s="1851"/>
      <c r="AI131" s="1852"/>
      <c r="AJ131" s="1853"/>
      <c r="AK131" s="1854"/>
    </row>
    <row r="132" spans="1:37" ht="24.95" customHeight="1" x14ac:dyDescent="0.25">
      <c r="A132" s="1687"/>
      <c r="B132" s="1688"/>
      <c r="C132" s="1270"/>
      <c r="D132" s="1686" t="s">
        <v>186</v>
      </c>
      <c r="E132" s="1494"/>
      <c r="F132" s="1494"/>
      <c r="G132" s="1494"/>
      <c r="H132" s="2087"/>
      <c r="I132" s="2087"/>
      <c r="J132" s="2087"/>
      <c r="K132" s="1494">
        <v>0</v>
      </c>
      <c r="L132" s="1494">
        <v>0</v>
      </c>
      <c r="M132" s="1494">
        <v>0</v>
      </c>
      <c r="N132" s="2087"/>
      <c r="O132" s="2087"/>
      <c r="P132" s="2087"/>
      <c r="Q132" s="2028">
        <f t="shared" ref="Q132:Q133" si="164">MAX(E132,H132,K132,N132)</f>
        <v>0</v>
      </c>
      <c r="R132" s="2126">
        <f t="shared" si="157"/>
        <v>0</v>
      </c>
      <c r="S132" s="2127">
        <f t="shared" si="158"/>
        <v>0</v>
      </c>
      <c r="T132" s="853">
        <f t="shared" ref="T132:T133" si="165">IFERROR(AVERAGE(Q132:S132),"")</f>
        <v>0</v>
      </c>
      <c r="U132" s="1704" t="str">
        <f t="shared" si="161"/>
        <v>1.33</v>
      </c>
      <c r="V132" s="1704" t="str">
        <f t="shared" si="162"/>
        <v>D+</v>
      </c>
      <c r="W132" s="1704" t="str">
        <f t="shared" si="163"/>
        <v>0</v>
      </c>
      <c r="X132" s="1849"/>
      <c r="Y132" s="1850"/>
      <c r="Z132" s="1850"/>
      <c r="AA132" s="1850"/>
      <c r="AB132" s="1850"/>
      <c r="AC132" s="1850"/>
      <c r="AD132" s="1851"/>
      <c r="AE132" s="1851"/>
      <c r="AF132" s="1851"/>
      <c r="AG132" s="1851"/>
      <c r="AH132" s="1851"/>
      <c r="AI132" s="1852"/>
      <c r="AJ132" s="1853"/>
      <c r="AK132" s="1854"/>
    </row>
    <row r="133" spans="1:37" ht="24.95" customHeight="1" x14ac:dyDescent="0.25">
      <c r="A133" s="1687"/>
      <c r="B133" s="1688"/>
      <c r="C133" s="1270"/>
      <c r="D133" s="1686" t="s">
        <v>22</v>
      </c>
      <c r="E133" s="2086"/>
      <c r="F133" s="2086"/>
      <c r="G133" s="2086"/>
      <c r="H133" s="2088"/>
      <c r="I133" s="2088"/>
      <c r="J133" s="2088"/>
      <c r="K133" s="2086"/>
      <c r="L133" s="2086"/>
      <c r="M133" s="2086"/>
      <c r="N133" s="2088">
        <v>0</v>
      </c>
      <c r="O133" s="2088">
        <v>0</v>
      </c>
      <c r="P133" s="2088">
        <v>0</v>
      </c>
      <c r="Q133" s="2028">
        <f t="shared" si="164"/>
        <v>0</v>
      </c>
      <c r="R133" s="2126">
        <f t="shared" si="157"/>
        <v>0</v>
      </c>
      <c r="S133" s="2127">
        <f t="shared" si="158"/>
        <v>0</v>
      </c>
      <c r="T133" s="853">
        <f t="shared" si="165"/>
        <v>0</v>
      </c>
      <c r="U133" s="1705" t="str">
        <f t="shared" si="161"/>
        <v>1.33</v>
      </c>
      <c r="V133" s="1705" t="str">
        <f t="shared" si="162"/>
        <v>D+</v>
      </c>
      <c r="W133" s="1705" t="str">
        <f t="shared" si="163"/>
        <v>0</v>
      </c>
      <c r="X133" s="1849"/>
      <c r="Y133" s="1850"/>
      <c r="Z133" s="1850"/>
      <c r="AA133" s="1850"/>
      <c r="AB133" s="1850"/>
      <c r="AC133" s="1850"/>
      <c r="AD133" s="1851"/>
      <c r="AE133" s="1851"/>
      <c r="AF133" s="1851"/>
      <c r="AG133" s="1851"/>
      <c r="AH133" s="1851"/>
      <c r="AI133" s="1852"/>
      <c r="AJ133" s="1855"/>
      <c r="AK133" s="1856"/>
    </row>
    <row r="134" spans="1:37" ht="24.95" customHeight="1" x14ac:dyDescent="0.25">
      <c r="A134" s="1693"/>
      <c r="B134" s="1237">
        <v>18</v>
      </c>
      <c r="C134" s="1695" t="s">
        <v>167</v>
      </c>
      <c r="D134" s="1696"/>
      <c r="E134" s="1694"/>
      <c r="F134" s="1694"/>
      <c r="G134" s="1694"/>
      <c r="H134" s="1694"/>
      <c r="I134" s="1694"/>
      <c r="J134" s="1694"/>
      <c r="K134" s="1694"/>
      <c r="L134" s="1694"/>
      <c r="M134" s="1694"/>
      <c r="N134" s="1694"/>
      <c r="O134" s="1694"/>
      <c r="P134" s="1694"/>
      <c r="Q134" s="1694"/>
      <c r="R134" s="2160"/>
      <c r="S134" s="2160"/>
      <c r="T134" s="1938">
        <f>IFERROR(AVERAGE(T128:T133),"  ")</f>
        <v>0</v>
      </c>
      <c r="U134" s="1842" t="str">
        <f>IF(T134&gt;85,("4"),IF(T134&gt;80,("3.66"),IF(T134&gt;75,("3.33"),IF(T134&gt;70,("3.00"),IF(T134&gt;65,("2.66"),IF(T134&gt;60,("2.33"),IF(T134&gt;55,("2"),IF(T134&gt;50,("1.66"),"1.33"))))))))</f>
        <v>1.33</v>
      </c>
      <c r="V134" s="1842" t="str">
        <f>IF(T134&gt;85,("A"),IF(T134&gt;80,("A-"),IF(T134&gt;75,("B+"),IF(T134&gt;70,("B"),IF(T134&gt;65,("B-"),IF(T134&gt;60,("C+"),IF(T134&gt;55,("C"),IF(T134&gt;50,("C-"),"D+"))))))))</f>
        <v>D+</v>
      </c>
      <c r="W134" s="1842"/>
      <c r="X134" s="2073"/>
      <c r="Y134" s="2074"/>
      <c r="Z134" s="2074"/>
      <c r="AA134" s="2074"/>
      <c r="AB134" s="2074"/>
      <c r="AC134" s="2074"/>
      <c r="AD134" s="2074"/>
      <c r="AE134" s="2074"/>
      <c r="AF134" s="2074"/>
      <c r="AG134" s="2074"/>
      <c r="AH134" s="2074"/>
      <c r="AI134" s="2075"/>
      <c r="AJ134" s="1857"/>
      <c r="AK134" s="1858"/>
    </row>
    <row r="135" spans="1:37" ht="24.95" customHeight="1" x14ac:dyDescent="0.25">
      <c r="A135" s="1683">
        <v>19</v>
      </c>
      <c r="B135" s="1684"/>
      <c r="C135" s="1685" t="str">
        <f>VLOOKUP(A135,data_siswa,4,FALSE)</f>
        <v>Raihan Danang P</v>
      </c>
      <c r="D135" s="1686" t="s">
        <v>154</v>
      </c>
      <c r="E135" s="1494">
        <v>0</v>
      </c>
      <c r="F135" s="1494">
        <v>0</v>
      </c>
      <c r="G135" s="1494">
        <v>0</v>
      </c>
      <c r="H135" s="2087">
        <v>0</v>
      </c>
      <c r="I135" s="2087">
        <v>0</v>
      </c>
      <c r="J135" s="2087">
        <v>0</v>
      </c>
      <c r="K135" s="1494"/>
      <c r="L135" s="1494"/>
      <c r="M135" s="1494"/>
      <c r="N135" s="2087"/>
      <c r="O135" s="2087"/>
      <c r="P135" s="2087"/>
      <c r="Q135" s="2028">
        <f>MAX(E135,H135,K135,N135)</f>
        <v>0</v>
      </c>
      <c r="R135" s="2126">
        <f t="shared" ref="R135:R140" si="166">MAX(F135,I135,L135,O135)</f>
        <v>0</v>
      </c>
      <c r="S135" s="2127">
        <f t="shared" ref="S135:S140" si="167">MAX(G135,J135,M135,P135)</f>
        <v>0</v>
      </c>
      <c r="T135" s="853">
        <f>IFERROR(AVERAGE(Q135:S135),"")</f>
        <v>0</v>
      </c>
      <c r="U135" s="1704" t="str">
        <f>IF(T135&gt;85,("4"),IF(T135&gt;80,("3.66"),IF(T135&gt;75,("3.33"),IF(T135&gt;70,("3.00"),IF(T135&gt;65,("2.66"),IF(T135&gt;60,("2.33"),IF(T135&gt;55,("2"),IF(T135&gt;50,("1.66"),"1.33"))))))))</f>
        <v>1.33</v>
      </c>
      <c r="V135" s="1704" t="str">
        <f>IF(T135&gt;85,("A"),IF(T135&gt;80,("A-"),IF(T135&gt;75,("B+"),IF(T135&gt;70,("B"),IF(T135&gt;65,("B-"),IF(T135&gt;60,("C+"),IF(T135&gt;55,("C"),IF(T135&gt;50,("C-"),"D+"))))))))</f>
        <v>D+</v>
      </c>
      <c r="W135" s="1704" t="str">
        <f>IF(T135&gt;80,("SB"),IF(T135&gt;65,("B"),IF(T135&gt;50,("C"),IF(T135&gt;0,("K"),"0"))))</f>
        <v>0</v>
      </c>
      <c r="X135" s="1267"/>
      <c r="Y135" s="1267"/>
      <c r="Z135" s="1267"/>
      <c r="AA135" s="1267"/>
      <c r="AB135" s="1267"/>
      <c r="AC135" s="1267"/>
      <c r="AD135" s="1268"/>
      <c r="AE135" s="1268"/>
      <c r="AF135" s="1268"/>
      <c r="AG135" s="1268"/>
      <c r="AH135" s="1268"/>
      <c r="AI135" s="1268"/>
      <c r="AJ135" s="2099">
        <f>T141</f>
        <v>0</v>
      </c>
      <c r="AK135" s="2095" t="str">
        <f>V141</f>
        <v>D+</v>
      </c>
    </row>
    <row r="136" spans="1:37" ht="24.95" customHeight="1" x14ac:dyDescent="0.25">
      <c r="A136" s="1687"/>
      <c r="B136" s="1688"/>
      <c r="C136" s="1270"/>
      <c r="D136" s="1686" t="s">
        <v>155</v>
      </c>
      <c r="E136" s="1494">
        <v>0</v>
      </c>
      <c r="F136" s="1494">
        <v>0</v>
      </c>
      <c r="G136" s="1494">
        <v>0</v>
      </c>
      <c r="H136" s="2087">
        <v>0</v>
      </c>
      <c r="I136" s="2087">
        <v>0</v>
      </c>
      <c r="J136" s="2087">
        <v>0</v>
      </c>
      <c r="K136" s="1494">
        <v>0</v>
      </c>
      <c r="L136" s="1494">
        <v>0</v>
      </c>
      <c r="M136" s="1494">
        <v>0</v>
      </c>
      <c r="N136" s="2087"/>
      <c r="O136" s="2087"/>
      <c r="P136" s="2087"/>
      <c r="Q136" s="2028">
        <f t="shared" ref="Q136:Q137" si="168">MAX(E136,H136,K136,N136)</f>
        <v>0</v>
      </c>
      <c r="R136" s="2126">
        <f t="shared" si="166"/>
        <v>0</v>
      </c>
      <c r="S136" s="2127">
        <f t="shared" si="167"/>
        <v>0</v>
      </c>
      <c r="T136" s="853">
        <f t="shared" ref="T136:T137" si="169">IFERROR(AVERAGE(Q136:S136),"")</f>
        <v>0</v>
      </c>
      <c r="U136" s="1704" t="str">
        <f t="shared" ref="U136:U140" si="170">IF(T136&gt;85,("4"),IF(T136&gt;80,("3.66"),IF(T136&gt;75,("3.33"),IF(T136&gt;70,("3.00"),IF(T136&gt;65,("2.66"),IF(T136&gt;60,("2.33"),IF(T136&gt;55,("2"),IF(T136&gt;50,("1.66"),"1.33"))))))))</f>
        <v>1.33</v>
      </c>
      <c r="V136" s="1704" t="str">
        <f t="shared" ref="V136:V140" si="171">IF(T136&gt;85,("A"),IF(T136&gt;80,("A-"),IF(T136&gt;75,("B+"),IF(T136&gt;70,("B"),IF(T136&gt;65,("B-"),IF(T136&gt;60,("C+"),IF(T136&gt;55,("C"),IF(T136&gt;50,("C-"),"D+"))))))))</f>
        <v>D+</v>
      </c>
      <c r="W136" s="1704" t="str">
        <f t="shared" ref="W136:W140" si="172">IF(T136&gt;80,("SB"),IF(T136&gt;65,("B"),IF(T136&gt;50,("C"),IF(T136&gt;0,("K"),"0"))))</f>
        <v>0</v>
      </c>
      <c r="X136" s="1843"/>
      <c r="Y136" s="1844"/>
      <c r="Z136" s="1844"/>
      <c r="AA136" s="1844"/>
      <c r="AB136" s="1844"/>
      <c r="AC136" s="1844"/>
      <c r="AD136" s="1845"/>
      <c r="AE136" s="1845"/>
      <c r="AF136" s="1845"/>
      <c r="AG136" s="1845"/>
      <c r="AH136" s="1845"/>
      <c r="AI136" s="1846"/>
      <c r="AJ136" s="1847"/>
      <c r="AK136" s="1848"/>
    </row>
    <row r="137" spans="1:37" ht="24.95" customHeight="1" x14ac:dyDescent="0.25">
      <c r="A137" s="1687"/>
      <c r="B137" s="1688"/>
      <c r="C137" s="1270"/>
      <c r="D137" s="1686" t="s">
        <v>11</v>
      </c>
      <c r="E137" s="1494">
        <v>0</v>
      </c>
      <c r="F137" s="1494">
        <v>0</v>
      </c>
      <c r="G137" s="1494">
        <v>0</v>
      </c>
      <c r="H137" s="2087">
        <v>0</v>
      </c>
      <c r="I137" s="2087">
        <v>0</v>
      </c>
      <c r="J137" s="2087">
        <v>0</v>
      </c>
      <c r="K137" s="1494">
        <v>0</v>
      </c>
      <c r="L137" s="1494">
        <v>0</v>
      </c>
      <c r="M137" s="1494">
        <v>0</v>
      </c>
      <c r="N137" s="2087">
        <v>0</v>
      </c>
      <c r="O137" s="2087">
        <v>0</v>
      </c>
      <c r="P137" s="2087">
        <v>0</v>
      </c>
      <c r="Q137" s="2028">
        <f t="shared" si="168"/>
        <v>0</v>
      </c>
      <c r="R137" s="2126">
        <f t="shared" si="166"/>
        <v>0</v>
      </c>
      <c r="S137" s="2127">
        <f t="shared" si="167"/>
        <v>0</v>
      </c>
      <c r="T137" s="853">
        <f t="shared" si="169"/>
        <v>0</v>
      </c>
      <c r="U137" s="1704" t="str">
        <f t="shared" si="170"/>
        <v>1.33</v>
      </c>
      <c r="V137" s="1704" t="str">
        <f t="shared" si="171"/>
        <v>D+</v>
      </c>
      <c r="W137" s="1704" t="str">
        <f t="shared" si="172"/>
        <v>0</v>
      </c>
      <c r="X137" s="1849"/>
      <c r="Y137" s="1850"/>
      <c r="Z137" s="1850"/>
      <c r="AA137" s="1850"/>
      <c r="AB137" s="1850"/>
      <c r="AC137" s="1850"/>
      <c r="AD137" s="1851"/>
      <c r="AE137" s="1851"/>
      <c r="AF137" s="1851"/>
      <c r="AG137" s="1851"/>
      <c r="AH137" s="1851"/>
      <c r="AI137" s="1852"/>
      <c r="AJ137" s="1853"/>
      <c r="AK137" s="1854"/>
    </row>
    <row r="138" spans="1:37" ht="24.95" customHeight="1" x14ac:dyDescent="0.25">
      <c r="A138" s="1687"/>
      <c r="B138" s="1688"/>
      <c r="C138" s="1270"/>
      <c r="D138" s="1686" t="s">
        <v>16</v>
      </c>
      <c r="E138" s="1494"/>
      <c r="F138" s="1494"/>
      <c r="G138" s="1494"/>
      <c r="H138" s="2087"/>
      <c r="I138" s="2087"/>
      <c r="J138" s="2087"/>
      <c r="K138" s="1494"/>
      <c r="L138" s="1494"/>
      <c r="M138" s="1494"/>
      <c r="N138" s="2087">
        <v>0</v>
      </c>
      <c r="O138" s="2087">
        <v>0</v>
      </c>
      <c r="P138" s="2087">
        <v>0</v>
      </c>
      <c r="Q138" s="2028">
        <f>MAX(E138,H138,K138,N138)</f>
        <v>0</v>
      </c>
      <c r="R138" s="2126">
        <f t="shared" si="166"/>
        <v>0</v>
      </c>
      <c r="S138" s="2127">
        <f t="shared" si="167"/>
        <v>0</v>
      </c>
      <c r="T138" s="853">
        <f>IFERROR(AVERAGE(Q138:S138),"")</f>
        <v>0</v>
      </c>
      <c r="U138" s="1704" t="str">
        <f t="shared" si="170"/>
        <v>1.33</v>
      </c>
      <c r="V138" s="1704" t="str">
        <f t="shared" si="171"/>
        <v>D+</v>
      </c>
      <c r="W138" s="1704" t="str">
        <f t="shared" si="172"/>
        <v>0</v>
      </c>
      <c r="X138" s="1849"/>
      <c r="Y138" s="1850"/>
      <c r="Z138" s="1850"/>
      <c r="AA138" s="1850"/>
      <c r="AB138" s="1850"/>
      <c r="AC138" s="1850"/>
      <c r="AD138" s="1851"/>
      <c r="AE138" s="1851"/>
      <c r="AF138" s="1851"/>
      <c r="AG138" s="1851"/>
      <c r="AH138" s="1851"/>
      <c r="AI138" s="1852"/>
      <c r="AJ138" s="1853"/>
      <c r="AK138" s="1854"/>
    </row>
    <row r="139" spans="1:37" ht="24.95" customHeight="1" x14ac:dyDescent="0.25">
      <c r="A139" s="1687"/>
      <c r="B139" s="1688"/>
      <c r="C139" s="1270"/>
      <c r="D139" s="1686" t="s">
        <v>186</v>
      </c>
      <c r="E139" s="1494"/>
      <c r="F139" s="1494"/>
      <c r="G139" s="1494"/>
      <c r="H139" s="2087"/>
      <c r="I139" s="2087"/>
      <c r="J139" s="2087"/>
      <c r="K139" s="1494">
        <v>0</v>
      </c>
      <c r="L139" s="1494">
        <v>0</v>
      </c>
      <c r="M139" s="1494">
        <v>0</v>
      </c>
      <c r="N139" s="2087"/>
      <c r="O139" s="2087"/>
      <c r="P139" s="2087"/>
      <c r="Q139" s="2028">
        <f t="shared" ref="Q139:Q140" si="173">MAX(E139,H139,K139,N139)</f>
        <v>0</v>
      </c>
      <c r="R139" s="2126">
        <f t="shared" si="166"/>
        <v>0</v>
      </c>
      <c r="S139" s="2127">
        <f t="shared" si="167"/>
        <v>0</v>
      </c>
      <c r="T139" s="853">
        <f t="shared" ref="T139:T140" si="174">IFERROR(AVERAGE(Q139:S139),"")</f>
        <v>0</v>
      </c>
      <c r="U139" s="1704" t="str">
        <f t="shared" si="170"/>
        <v>1.33</v>
      </c>
      <c r="V139" s="1704" t="str">
        <f t="shared" si="171"/>
        <v>D+</v>
      </c>
      <c r="W139" s="1704" t="str">
        <f t="shared" si="172"/>
        <v>0</v>
      </c>
      <c r="X139" s="1849"/>
      <c r="Y139" s="1850"/>
      <c r="Z139" s="1850"/>
      <c r="AA139" s="1850"/>
      <c r="AB139" s="1850"/>
      <c r="AC139" s="1850"/>
      <c r="AD139" s="1851"/>
      <c r="AE139" s="1851"/>
      <c r="AF139" s="1851"/>
      <c r="AG139" s="1851"/>
      <c r="AH139" s="1851"/>
      <c r="AI139" s="1852"/>
      <c r="AJ139" s="1853"/>
      <c r="AK139" s="1854"/>
    </row>
    <row r="140" spans="1:37" ht="24.95" customHeight="1" x14ac:dyDescent="0.25">
      <c r="A140" s="1687"/>
      <c r="B140" s="1688"/>
      <c r="C140" s="1270"/>
      <c r="D140" s="1686" t="s">
        <v>22</v>
      </c>
      <c r="E140" s="2086"/>
      <c r="F140" s="2086"/>
      <c r="G140" s="2086"/>
      <c r="H140" s="2088"/>
      <c r="I140" s="2088"/>
      <c r="J140" s="2088"/>
      <c r="K140" s="2086"/>
      <c r="L140" s="2086"/>
      <c r="M140" s="2086"/>
      <c r="N140" s="2088">
        <v>0</v>
      </c>
      <c r="O140" s="2088">
        <v>0</v>
      </c>
      <c r="P140" s="2088">
        <v>0</v>
      </c>
      <c r="Q140" s="2028">
        <f t="shared" si="173"/>
        <v>0</v>
      </c>
      <c r="R140" s="2126">
        <f t="shared" si="166"/>
        <v>0</v>
      </c>
      <c r="S140" s="2127">
        <f t="shared" si="167"/>
        <v>0</v>
      </c>
      <c r="T140" s="853">
        <f t="shared" si="174"/>
        <v>0</v>
      </c>
      <c r="U140" s="1705" t="str">
        <f t="shared" si="170"/>
        <v>1.33</v>
      </c>
      <c r="V140" s="1705" t="str">
        <f t="shared" si="171"/>
        <v>D+</v>
      </c>
      <c r="W140" s="1705" t="str">
        <f t="shared" si="172"/>
        <v>0</v>
      </c>
      <c r="X140" s="1849"/>
      <c r="Y140" s="1850"/>
      <c r="Z140" s="1850"/>
      <c r="AA140" s="1850"/>
      <c r="AB140" s="1850"/>
      <c r="AC140" s="1850"/>
      <c r="AD140" s="1851"/>
      <c r="AE140" s="1851"/>
      <c r="AF140" s="1851"/>
      <c r="AG140" s="1851"/>
      <c r="AH140" s="1851"/>
      <c r="AI140" s="1852"/>
      <c r="AJ140" s="1855"/>
      <c r="AK140" s="1856"/>
    </row>
    <row r="141" spans="1:37" ht="24.95" customHeight="1" x14ac:dyDescent="0.25">
      <c r="A141" s="1693"/>
      <c r="B141" s="1237">
        <v>19</v>
      </c>
      <c r="C141" s="1695" t="s">
        <v>167</v>
      </c>
      <c r="D141" s="1696"/>
      <c r="E141" s="1694"/>
      <c r="F141" s="1694"/>
      <c r="G141" s="1694"/>
      <c r="H141" s="1694"/>
      <c r="I141" s="1694"/>
      <c r="J141" s="1694"/>
      <c r="K141" s="1694"/>
      <c r="L141" s="1694"/>
      <c r="M141" s="1694"/>
      <c r="N141" s="1694"/>
      <c r="O141" s="1694"/>
      <c r="P141" s="1694"/>
      <c r="Q141" s="1694"/>
      <c r="R141" s="2160"/>
      <c r="S141" s="2160"/>
      <c r="T141" s="1938">
        <f>IFERROR(AVERAGE(T135:T140),"  ")</f>
        <v>0</v>
      </c>
      <c r="U141" s="1842" t="str">
        <f>IF(T141&gt;85,("4"),IF(T141&gt;80,("3.66"),IF(T141&gt;75,("3.33"),IF(T141&gt;70,("3.00"),IF(T141&gt;65,("2.66"),IF(T141&gt;60,("2.33"),IF(T141&gt;55,("2"),IF(T141&gt;50,("1.66"),"1.33"))))))))</f>
        <v>1.33</v>
      </c>
      <c r="V141" s="1842" t="str">
        <f>IF(T141&gt;85,("A"),IF(T141&gt;80,("A-"),IF(T141&gt;75,("B+"),IF(T141&gt;70,("B"),IF(T141&gt;65,("B-"),IF(T141&gt;60,("C+"),IF(T141&gt;55,("C"),IF(T141&gt;50,("C-"),"D+"))))))))</f>
        <v>D+</v>
      </c>
      <c r="W141" s="1842"/>
      <c r="X141" s="2073"/>
      <c r="Y141" s="2074"/>
      <c r="Z141" s="2074"/>
      <c r="AA141" s="2074"/>
      <c r="AB141" s="2074"/>
      <c r="AC141" s="2074"/>
      <c r="AD141" s="2074"/>
      <c r="AE141" s="2074"/>
      <c r="AF141" s="2074"/>
      <c r="AG141" s="2074"/>
      <c r="AH141" s="2074"/>
      <c r="AI141" s="2075"/>
      <c r="AJ141" s="1857"/>
      <c r="AK141" s="1858"/>
    </row>
    <row r="142" spans="1:37" ht="24.95" customHeight="1" x14ac:dyDescent="0.25">
      <c r="A142" s="1683">
        <v>20</v>
      </c>
      <c r="B142" s="1684"/>
      <c r="C142" s="1685" t="str">
        <f>VLOOKUP(A142,data_siswa,4,FALSE)</f>
        <v>Roby Ardiyansyah</v>
      </c>
      <c r="D142" s="1686" t="s">
        <v>154</v>
      </c>
      <c r="E142" s="1494">
        <v>0</v>
      </c>
      <c r="F142" s="1494">
        <v>0</v>
      </c>
      <c r="G142" s="1494">
        <v>0</v>
      </c>
      <c r="H142" s="2087">
        <v>0</v>
      </c>
      <c r="I142" s="2087">
        <v>0</v>
      </c>
      <c r="J142" s="2087">
        <v>0</v>
      </c>
      <c r="K142" s="1494"/>
      <c r="L142" s="1494"/>
      <c r="M142" s="1494"/>
      <c r="N142" s="2087"/>
      <c r="O142" s="2087"/>
      <c r="P142" s="2087"/>
      <c r="Q142" s="2028">
        <f>MAX(E142,H142,K142,N142)</f>
        <v>0</v>
      </c>
      <c r="R142" s="2126">
        <f t="shared" ref="R142:R147" si="175">MAX(F142,I142,L142,O142)</f>
        <v>0</v>
      </c>
      <c r="S142" s="2127">
        <f t="shared" ref="S142:S147" si="176">MAX(G142,J142,M142,P142)</f>
        <v>0</v>
      </c>
      <c r="T142" s="853">
        <f>IFERROR(AVERAGE(Q142:S142),"")</f>
        <v>0</v>
      </c>
      <c r="U142" s="1704" t="str">
        <f>IF(T142&gt;85,("4"),IF(T142&gt;80,("3.66"),IF(T142&gt;75,("3.33"),IF(T142&gt;70,("3.00"),IF(T142&gt;65,("2.66"),IF(T142&gt;60,("2.33"),IF(T142&gt;55,("2"),IF(T142&gt;50,("1.66"),"1.33"))))))))</f>
        <v>1.33</v>
      </c>
      <c r="V142" s="1704" t="str">
        <f>IF(T142&gt;85,("A"),IF(T142&gt;80,("A-"),IF(T142&gt;75,("B+"),IF(T142&gt;70,("B"),IF(T142&gt;65,("B-"),IF(T142&gt;60,("C+"),IF(T142&gt;55,("C"),IF(T142&gt;50,("C-"),"D+"))))))))</f>
        <v>D+</v>
      </c>
      <c r="W142" s="1704" t="str">
        <f>IF(T142&gt;80,("SB"),IF(T142&gt;65,("B"),IF(T142&gt;50,("C"),IF(T142&gt;0,("K"),"0"))))</f>
        <v>0</v>
      </c>
      <c r="X142" s="1267"/>
      <c r="Y142" s="1267"/>
      <c r="Z142" s="1267"/>
      <c r="AA142" s="1267"/>
      <c r="AB142" s="1267"/>
      <c r="AC142" s="1267"/>
      <c r="AD142" s="1268"/>
      <c r="AE142" s="1268"/>
      <c r="AF142" s="1268"/>
      <c r="AG142" s="1268"/>
      <c r="AH142" s="1268"/>
      <c r="AI142" s="1268"/>
      <c r="AJ142" s="2099">
        <f>T148</f>
        <v>0</v>
      </c>
      <c r="AK142" s="2095" t="str">
        <f>V148</f>
        <v>D+</v>
      </c>
    </row>
    <row r="143" spans="1:37" ht="24.95" customHeight="1" x14ac:dyDescent="0.25">
      <c r="A143" s="1687"/>
      <c r="B143" s="1688"/>
      <c r="C143" s="1270"/>
      <c r="D143" s="1686" t="s">
        <v>155</v>
      </c>
      <c r="E143" s="1494">
        <v>0</v>
      </c>
      <c r="F143" s="1494">
        <v>0</v>
      </c>
      <c r="G143" s="1494">
        <v>0</v>
      </c>
      <c r="H143" s="2087">
        <v>0</v>
      </c>
      <c r="I143" s="2087">
        <v>0</v>
      </c>
      <c r="J143" s="2087">
        <v>0</v>
      </c>
      <c r="K143" s="1494">
        <v>0</v>
      </c>
      <c r="L143" s="1494">
        <v>0</v>
      </c>
      <c r="M143" s="1494">
        <v>0</v>
      </c>
      <c r="N143" s="2087"/>
      <c r="O143" s="2087"/>
      <c r="P143" s="2087"/>
      <c r="Q143" s="2028">
        <f t="shared" ref="Q143:Q144" si="177">MAX(E143,H143,K143,N143)</f>
        <v>0</v>
      </c>
      <c r="R143" s="2126">
        <f t="shared" si="175"/>
        <v>0</v>
      </c>
      <c r="S143" s="2127">
        <f t="shared" si="176"/>
        <v>0</v>
      </c>
      <c r="T143" s="853">
        <f t="shared" ref="T143:T144" si="178">IFERROR(AVERAGE(Q143:S143),"")</f>
        <v>0</v>
      </c>
      <c r="U143" s="1704" t="str">
        <f t="shared" ref="U143:U147" si="179">IF(T143&gt;85,("4"),IF(T143&gt;80,("3.66"),IF(T143&gt;75,("3.33"),IF(T143&gt;70,("3.00"),IF(T143&gt;65,("2.66"),IF(T143&gt;60,("2.33"),IF(T143&gt;55,("2"),IF(T143&gt;50,("1.66"),"1.33"))))))))</f>
        <v>1.33</v>
      </c>
      <c r="V143" s="1704" t="str">
        <f t="shared" ref="V143:V147" si="180">IF(T143&gt;85,("A"),IF(T143&gt;80,("A-"),IF(T143&gt;75,("B+"),IF(T143&gt;70,("B"),IF(T143&gt;65,("B-"),IF(T143&gt;60,("C+"),IF(T143&gt;55,("C"),IF(T143&gt;50,("C-"),"D+"))))))))</f>
        <v>D+</v>
      </c>
      <c r="W143" s="1704" t="str">
        <f t="shared" ref="W143:W147" si="181">IF(T143&gt;80,("SB"),IF(T143&gt;65,("B"),IF(T143&gt;50,("C"),IF(T143&gt;0,("K"),"0"))))</f>
        <v>0</v>
      </c>
      <c r="X143" s="1843"/>
      <c r="Y143" s="1844"/>
      <c r="Z143" s="1844"/>
      <c r="AA143" s="1844"/>
      <c r="AB143" s="1844"/>
      <c r="AC143" s="1844"/>
      <c r="AD143" s="1845"/>
      <c r="AE143" s="1845"/>
      <c r="AF143" s="1845"/>
      <c r="AG143" s="1845"/>
      <c r="AH143" s="1845"/>
      <c r="AI143" s="1846"/>
      <c r="AJ143" s="1847"/>
      <c r="AK143" s="1848"/>
    </row>
    <row r="144" spans="1:37" ht="24.95" customHeight="1" x14ac:dyDescent="0.25">
      <c r="A144" s="1687"/>
      <c r="B144" s="1688"/>
      <c r="C144" s="1270"/>
      <c r="D144" s="1686" t="s">
        <v>11</v>
      </c>
      <c r="E144" s="1494">
        <v>0</v>
      </c>
      <c r="F144" s="1494">
        <v>0</v>
      </c>
      <c r="G144" s="1494">
        <v>0</v>
      </c>
      <c r="H144" s="2087">
        <v>0</v>
      </c>
      <c r="I144" s="2087">
        <v>0</v>
      </c>
      <c r="J144" s="2087">
        <v>0</v>
      </c>
      <c r="K144" s="1494">
        <v>0</v>
      </c>
      <c r="L144" s="1494">
        <v>0</v>
      </c>
      <c r="M144" s="1494">
        <v>0</v>
      </c>
      <c r="N144" s="2087">
        <v>0</v>
      </c>
      <c r="O144" s="2087">
        <v>0</v>
      </c>
      <c r="P144" s="2087">
        <v>0</v>
      </c>
      <c r="Q144" s="2028">
        <f t="shared" si="177"/>
        <v>0</v>
      </c>
      <c r="R144" s="2126">
        <f t="shared" si="175"/>
        <v>0</v>
      </c>
      <c r="S144" s="2127">
        <f t="shared" si="176"/>
        <v>0</v>
      </c>
      <c r="T144" s="853">
        <f t="shared" si="178"/>
        <v>0</v>
      </c>
      <c r="U144" s="1704" t="str">
        <f t="shared" si="179"/>
        <v>1.33</v>
      </c>
      <c r="V144" s="1704" t="str">
        <f t="shared" si="180"/>
        <v>D+</v>
      </c>
      <c r="W144" s="1704" t="str">
        <f t="shared" si="181"/>
        <v>0</v>
      </c>
      <c r="X144" s="1849"/>
      <c r="Y144" s="1850"/>
      <c r="Z144" s="1850"/>
      <c r="AA144" s="1850"/>
      <c r="AB144" s="1850"/>
      <c r="AC144" s="1850"/>
      <c r="AD144" s="1851"/>
      <c r="AE144" s="1851"/>
      <c r="AF144" s="1851"/>
      <c r="AG144" s="1851"/>
      <c r="AH144" s="1851"/>
      <c r="AI144" s="1852"/>
      <c r="AJ144" s="1853"/>
      <c r="AK144" s="1854"/>
    </row>
    <row r="145" spans="1:37" ht="24.95" customHeight="1" x14ac:dyDescent="0.25">
      <c r="A145" s="1687"/>
      <c r="B145" s="1688"/>
      <c r="C145" s="1270"/>
      <c r="D145" s="1686" t="s">
        <v>16</v>
      </c>
      <c r="E145" s="1494"/>
      <c r="F145" s="1494"/>
      <c r="G145" s="1494"/>
      <c r="H145" s="2087"/>
      <c r="I145" s="2087"/>
      <c r="J145" s="2087"/>
      <c r="K145" s="1494"/>
      <c r="L145" s="1494"/>
      <c r="M145" s="1494"/>
      <c r="N145" s="2087">
        <v>0</v>
      </c>
      <c r="O145" s="2087">
        <v>0</v>
      </c>
      <c r="P145" s="2087">
        <v>0</v>
      </c>
      <c r="Q145" s="2028">
        <f>MAX(E145,H145,K145,N145)</f>
        <v>0</v>
      </c>
      <c r="R145" s="2126">
        <f t="shared" si="175"/>
        <v>0</v>
      </c>
      <c r="S145" s="2127">
        <f t="shared" si="176"/>
        <v>0</v>
      </c>
      <c r="T145" s="853">
        <f>IFERROR(AVERAGE(Q145:S145),"")</f>
        <v>0</v>
      </c>
      <c r="U145" s="1704" t="str">
        <f t="shared" si="179"/>
        <v>1.33</v>
      </c>
      <c r="V145" s="1704" t="str">
        <f t="shared" si="180"/>
        <v>D+</v>
      </c>
      <c r="W145" s="1704" t="str">
        <f t="shared" si="181"/>
        <v>0</v>
      </c>
      <c r="X145" s="1849"/>
      <c r="Y145" s="1850"/>
      <c r="Z145" s="1850"/>
      <c r="AA145" s="1850"/>
      <c r="AB145" s="1850"/>
      <c r="AC145" s="1850"/>
      <c r="AD145" s="1851"/>
      <c r="AE145" s="1851"/>
      <c r="AF145" s="1851"/>
      <c r="AG145" s="1851"/>
      <c r="AH145" s="1851"/>
      <c r="AI145" s="1852"/>
      <c r="AJ145" s="1853"/>
      <c r="AK145" s="1854"/>
    </row>
    <row r="146" spans="1:37" ht="24.95" customHeight="1" x14ac:dyDescent="0.25">
      <c r="A146" s="1687"/>
      <c r="B146" s="1688"/>
      <c r="C146" s="1270"/>
      <c r="D146" s="1686" t="s">
        <v>186</v>
      </c>
      <c r="E146" s="1494"/>
      <c r="F146" s="1494"/>
      <c r="G146" s="1494"/>
      <c r="H146" s="2087"/>
      <c r="I146" s="2087"/>
      <c r="J146" s="2087"/>
      <c r="K146" s="1494">
        <v>0</v>
      </c>
      <c r="L146" s="1494">
        <v>0</v>
      </c>
      <c r="M146" s="1494">
        <v>0</v>
      </c>
      <c r="N146" s="2087"/>
      <c r="O146" s="2087"/>
      <c r="P146" s="2087"/>
      <c r="Q146" s="2028">
        <f t="shared" ref="Q146:Q147" si="182">MAX(E146,H146,K146,N146)</f>
        <v>0</v>
      </c>
      <c r="R146" s="2126">
        <f t="shared" si="175"/>
        <v>0</v>
      </c>
      <c r="S146" s="2127">
        <f t="shared" si="176"/>
        <v>0</v>
      </c>
      <c r="T146" s="853">
        <f t="shared" ref="T146:T147" si="183">IFERROR(AVERAGE(Q146:S146),"")</f>
        <v>0</v>
      </c>
      <c r="U146" s="1704" t="str">
        <f t="shared" si="179"/>
        <v>1.33</v>
      </c>
      <c r="V146" s="1704" t="str">
        <f t="shared" si="180"/>
        <v>D+</v>
      </c>
      <c r="W146" s="1704" t="str">
        <f t="shared" si="181"/>
        <v>0</v>
      </c>
      <c r="X146" s="1849"/>
      <c r="Y146" s="1850"/>
      <c r="Z146" s="1850"/>
      <c r="AA146" s="1850"/>
      <c r="AB146" s="1850"/>
      <c r="AC146" s="1850"/>
      <c r="AD146" s="1851"/>
      <c r="AE146" s="1851"/>
      <c r="AF146" s="1851"/>
      <c r="AG146" s="1851"/>
      <c r="AH146" s="1851"/>
      <c r="AI146" s="1852"/>
      <c r="AJ146" s="1853"/>
      <c r="AK146" s="1854"/>
    </row>
    <row r="147" spans="1:37" ht="24.95" customHeight="1" x14ac:dyDescent="0.25">
      <c r="A147" s="1687"/>
      <c r="B147" s="1688"/>
      <c r="C147" s="1270"/>
      <c r="D147" s="1686" t="s">
        <v>22</v>
      </c>
      <c r="E147" s="2086"/>
      <c r="F147" s="2086"/>
      <c r="G147" s="2086"/>
      <c r="H147" s="2088"/>
      <c r="I147" s="2088"/>
      <c r="J147" s="2088"/>
      <c r="K147" s="2086"/>
      <c r="L147" s="2086"/>
      <c r="M147" s="2086"/>
      <c r="N147" s="2088">
        <v>0</v>
      </c>
      <c r="O147" s="2088">
        <v>0</v>
      </c>
      <c r="P147" s="2088">
        <v>0</v>
      </c>
      <c r="Q147" s="2028">
        <f t="shared" si="182"/>
        <v>0</v>
      </c>
      <c r="R147" s="2126">
        <f t="shared" si="175"/>
        <v>0</v>
      </c>
      <c r="S147" s="2127">
        <f t="shared" si="176"/>
        <v>0</v>
      </c>
      <c r="T147" s="853">
        <f t="shared" si="183"/>
        <v>0</v>
      </c>
      <c r="U147" s="1705" t="str">
        <f t="shared" si="179"/>
        <v>1.33</v>
      </c>
      <c r="V147" s="1705" t="str">
        <f t="shared" si="180"/>
        <v>D+</v>
      </c>
      <c r="W147" s="1705" t="str">
        <f t="shared" si="181"/>
        <v>0</v>
      </c>
      <c r="X147" s="1849"/>
      <c r="Y147" s="1850"/>
      <c r="Z147" s="1850"/>
      <c r="AA147" s="1850"/>
      <c r="AB147" s="1850"/>
      <c r="AC147" s="1850"/>
      <c r="AD147" s="1851"/>
      <c r="AE147" s="1851"/>
      <c r="AF147" s="1851"/>
      <c r="AG147" s="1851"/>
      <c r="AH147" s="1851"/>
      <c r="AI147" s="1852"/>
      <c r="AJ147" s="1855"/>
      <c r="AK147" s="1856"/>
    </row>
    <row r="148" spans="1:37" ht="24.95" customHeight="1" x14ac:dyDescent="0.25">
      <c r="A148" s="1693"/>
      <c r="B148" s="1237">
        <v>20</v>
      </c>
      <c r="C148" s="1695" t="s">
        <v>167</v>
      </c>
      <c r="D148" s="1696"/>
      <c r="E148" s="1694"/>
      <c r="F148" s="1694"/>
      <c r="G148" s="1694"/>
      <c r="H148" s="1694"/>
      <c r="I148" s="1694"/>
      <c r="J148" s="1694"/>
      <c r="K148" s="1694"/>
      <c r="L148" s="1694"/>
      <c r="M148" s="1694"/>
      <c r="N148" s="1694"/>
      <c r="O148" s="1694"/>
      <c r="P148" s="1694"/>
      <c r="Q148" s="1694"/>
      <c r="R148" s="2160"/>
      <c r="S148" s="2160"/>
      <c r="T148" s="1938">
        <f>IFERROR(AVERAGE(T142:T147),"  ")</f>
        <v>0</v>
      </c>
      <c r="U148" s="1842" t="str">
        <f>IF(T148&gt;85,("4"),IF(T148&gt;80,("3.66"),IF(T148&gt;75,("3.33"),IF(T148&gt;70,("3.00"),IF(T148&gt;65,("2.66"),IF(T148&gt;60,("2.33"),IF(T148&gt;55,("2"),IF(T148&gt;50,("1.66"),"1.33"))))))))</f>
        <v>1.33</v>
      </c>
      <c r="V148" s="1842" t="str">
        <f>IF(T148&gt;85,("A"),IF(T148&gt;80,("A-"),IF(T148&gt;75,("B+"),IF(T148&gt;70,("B"),IF(T148&gt;65,("B-"),IF(T148&gt;60,("C+"),IF(T148&gt;55,("C"),IF(T148&gt;50,("C-"),"D+"))))))))</f>
        <v>D+</v>
      </c>
      <c r="W148" s="1842"/>
      <c r="X148" s="2073"/>
      <c r="Y148" s="2074"/>
      <c r="Z148" s="2074"/>
      <c r="AA148" s="2074"/>
      <c r="AB148" s="2074"/>
      <c r="AC148" s="2074"/>
      <c r="AD148" s="2074"/>
      <c r="AE148" s="2074"/>
      <c r="AF148" s="2074"/>
      <c r="AG148" s="2074"/>
      <c r="AH148" s="2074"/>
      <c r="AI148" s="2075"/>
      <c r="AJ148" s="1857"/>
      <c r="AK148" s="1858"/>
    </row>
    <row r="149" spans="1:37" ht="24.95" customHeight="1" x14ac:dyDescent="0.25">
      <c r="A149" s="1683">
        <v>21</v>
      </c>
      <c r="B149" s="1684"/>
      <c r="C149" s="1685" t="str">
        <f>VLOOKUP(A149,data_siswa,4,FALSE)</f>
        <v>Rojalingga Prana A</v>
      </c>
      <c r="D149" s="1686" t="s">
        <v>154</v>
      </c>
      <c r="E149" s="1494">
        <v>0</v>
      </c>
      <c r="F149" s="1494">
        <v>0</v>
      </c>
      <c r="G149" s="1494">
        <v>0</v>
      </c>
      <c r="H149" s="2087">
        <v>0</v>
      </c>
      <c r="I149" s="2087">
        <v>0</v>
      </c>
      <c r="J149" s="2087">
        <v>0</v>
      </c>
      <c r="K149" s="1494"/>
      <c r="L149" s="1494"/>
      <c r="M149" s="1494"/>
      <c r="N149" s="2087"/>
      <c r="O149" s="2087"/>
      <c r="P149" s="2087"/>
      <c r="Q149" s="2028">
        <f>MAX(E149,H149,K149,N149)</f>
        <v>0</v>
      </c>
      <c r="R149" s="2126">
        <f t="shared" ref="R149:R154" si="184">MAX(F149,I149,L149,O149)</f>
        <v>0</v>
      </c>
      <c r="S149" s="2127">
        <f t="shared" ref="S149:S154" si="185">MAX(G149,J149,M149,P149)</f>
        <v>0</v>
      </c>
      <c r="T149" s="853">
        <f>IFERROR(AVERAGE(Q149:S149),"")</f>
        <v>0</v>
      </c>
      <c r="U149" s="1704" t="str">
        <f>IF(T149&gt;85,("4"),IF(T149&gt;80,("3.66"),IF(T149&gt;75,("3.33"),IF(T149&gt;70,("3.00"),IF(T149&gt;65,("2.66"),IF(T149&gt;60,("2.33"),IF(T149&gt;55,("2"),IF(T149&gt;50,("1.66"),"1.33"))))))))</f>
        <v>1.33</v>
      </c>
      <c r="V149" s="1704" t="str">
        <f>IF(T149&gt;85,("A"),IF(T149&gt;80,("A-"),IF(T149&gt;75,("B+"),IF(T149&gt;70,("B"),IF(T149&gt;65,("B-"),IF(T149&gt;60,("C+"),IF(T149&gt;55,("C"),IF(T149&gt;50,("C-"),"D+"))))))))</f>
        <v>D+</v>
      </c>
      <c r="W149" s="1704" t="str">
        <f>IF(T149&gt;80,("SB"),IF(T149&gt;65,("B"),IF(T149&gt;50,("C"),IF(T149&gt;0,("K"),"0"))))</f>
        <v>0</v>
      </c>
      <c r="X149" s="1267"/>
      <c r="Y149" s="1267"/>
      <c r="Z149" s="1267"/>
      <c r="AA149" s="1267"/>
      <c r="AB149" s="1267"/>
      <c r="AC149" s="1267"/>
      <c r="AD149" s="1268"/>
      <c r="AE149" s="1268"/>
      <c r="AF149" s="1268"/>
      <c r="AG149" s="1268"/>
      <c r="AH149" s="1268"/>
      <c r="AI149" s="1268"/>
      <c r="AJ149" s="2099">
        <f>T155</f>
        <v>0</v>
      </c>
      <c r="AK149" s="2095" t="str">
        <f>V155</f>
        <v>D+</v>
      </c>
    </row>
    <row r="150" spans="1:37" ht="24.95" customHeight="1" x14ac:dyDescent="0.25">
      <c r="A150" s="1687"/>
      <c r="B150" s="1688"/>
      <c r="C150" s="1270"/>
      <c r="D150" s="1686" t="s">
        <v>155</v>
      </c>
      <c r="E150" s="1494">
        <v>0</v>
      </c>
      <c r="F150" s="1494">
        <v>0</v>
      </c>
      <c r="G150" s="1494">
        <v>0</v>
      </c>
      <c r="H150" s="2087">
        <v>0</v>
      </c>
      <c r="I150" s="2087">
        <v>0</v>
      </c>
      <c r="J150" s="2087">
        <v>0</v>
      </c>
      <c r="K150" s="1494">
        <v>0</v>
      </c>
      <c r="L150" s="1494">
        <v>0</v>
      </c>
      <c r="M150" s="1494">
        <v>0</v>
      </c>
      <c r="N150" s="2087"/>
      <c r="O150" s="2087"/>
      <c r="P150" s="2087"/>
      <c r="Q150" s="2028">
        <f t="shared" ref="Q150:Q151" si="186">MAX(E150,H150,K150,N150)</f>
        <v>0</v>
      </c>
      <c r="R150" s="2126">
        <f t="shared" si="184"/>
        <v>0</v>
      </c>
      <c r="S150" s="2127">
        <f t="shared" si="185"/>
        <v>0</v>
      </c>
      <c r="T150" s="853">
        <f t="shared" ref="T150:T151" si="187">IFERROR(AVERAGE(Q150:S150),"")</f>
        <v>0</v>
      </c>
      <c r="U150" s="1704" t="str">
        <f t="shared" ref="U150:U154" si="188">IF(T150&gt;85,("4"),IF(T150&gt;80,("3.66"),IF(T150&gt;75,("3.33"),IF(T150&gt;70,("3.00"),IF(T150&gt;65,("2.66"),IF(T150&gt;60,("2.33"),IF(T150&gt;55,("2"),IF(T150&gt;50,("1.66"),"1.33"))))))))</f>
        <v>1.33</v>
      </c>
      <c r="V150" s="1704" t="str">
        <f t="shared" ref="V150:V154" si="189">IF(T150&gt;85,("A"),IF(T150&gt;80,("A-"),IF(T150&gt;75,("B+"),IF(T150&gt;70,("B"),IF(T150&gt;65,("B-"),IF(T150&gt;60,("C+"),IF(T150&gt;55,("C"),IF(T150&gt;50,("C-"),"D+"))))))))</f>
        <v>D+</v>
      </c>
      <c r="W150" s="1704" t="str">
        <f t="shared" ref="W150:W154" si="190">IF(T150&gt;80,("SB"),IF(T150&gt;65,("B"),IF(T150&gt;50,("C"),IF(T150&gt;0,("K"),"0"))))</f>
        <v>0</v>
      </c>
      <c r="X150" s="1843"/>
      <c r="Y150" s="1844"/>
      <c r="Z150" s="1844"/>
      <c r="AA150" s="1844"/>
      <c r="AB150" s="1844"/>
      <c r="AC150" s="1844"/>
      <c r="AD150" s="1845"/>
      <c r="AE150" s="1845"/>
      <c r="AF150" s="1845"/>
      <c r="AG150" s="1845"/>
      <c r="AH150" s="1845"/>
      <c r="AI150" s="1846"/>
      <c r="AJ150" s="1847"/>
      <c r="AK150" s="1848"/>
    </row>
    <row r="151" spans="1:37" ht="24.95" customHeight="1" x14ac:dyDescent="0.25">
      <c r="A151" s="1687"/>
      <c r="B151" s="1688"/>
      <c r="C151" s="1270"/>
      <c r="D151" s="1686" t="s">
        <v>11</v>
      </c>
      <c r="E151" s="1494">
        <v>0</v>
      </c>
      <c r="F151" s="1494">
        <v>0</v>
      </c>
      <c r="G151" s="1494">
        <v>0</v>
      </c>
      <c r="H151" s="2087">
        <v>0</v>
      </c>
      <c r="I151" s="2087">
        <v>0</v>
      </c>
      <c r="J151" s="2087">
        <v>0</v>
      </c>
      <c r="K151" s="1494">
        <v>0</v>
      </c>
      <c r="L151" s="1494">
        <v>0</v>
      </c>
      <c r="M151" s="1494">
        <v>0</v>
      </c>
      <c r="N151" s="2087">
        <v>0</v>
      </c>
      <c r="O151" s="2087">
        <v>0</v>
      </c>
      <c r="P151" s="2087">
        <v>0</v>
      </c>
      <c r="Q151" s="2028">
        <f t="shared" si="186"/>
        <v>0</v>
      </c>
      <c r="R151" s="2126">
        <f t="shared" si="184"/>
        <v>0</v>
      </c>
      <c r="S151" s="2127">
        <f t="shared" si="185"/>
        <v>0</v>
      </c>
      <c r="T151" s="853">
        <f t="shared" si="187"/>
        <v>0</v>
      </c>
      <c r="U151" s="1704" t="str">
        <f t="shared" si="188"/>
        <v>1.33</v>
      </c>
      <c r="V151" s="1704" t="str">
        <f t="shared" si="189"/>
        <v>D+</v>
      </c>
      <c r="W151" s="1704" t="str">
        <f t="shared" si="190"/>
        <v>0</v>
      </c>
      <c r="X151" s="1849"/>
      <c r="Y151" s="1850"/>
      <c r="Z151" s="1850"/>
      <c r="AA151" s="1850"/>
      <c r="AB151" s="1850"/>
      <c r="AC151" s="1850"/>
      <c r="AD151" s="1851"/>
      <c r="AE151" s="1851"/>
      <c r="AF151" s="1851"/>
      <c r="AG151" s="1851"/>
      <c r="AH151" s="1851"/>
      <c r="AI151" s="1852"/>
      <c r="AJ151" s="1853"/>
      <c r="AK151" s="1854"/>
    </row>
    <row r="152" spans="1:37" ht="24.95" customHeight="1" x14ac:dyDescent="0.25">
      <c r="A152" s="1687"/>
      <c r="B152" s="1688"/>
      <c r="C152" s="1270"/>
      <c r="D152" s="1686" t="s">
        <v>16</v>
      </c>
      <c r="E152" s="1494"/>
      <c r="F152" s="1494"/>
      <c r="G152" s="1494"/>
      <c r="H152" s="2087"/>
      <c r="I152" s="2087"/>
      <c r="J152" s="2087"/>
      <c r="K152" s="1494"/>
      <c r="L152" s="1494"/>
      <c r="M152" s="1494"/>
      <c r="N152" s="2087">
        <v>0</v>
      </c>
      <c r="O152" s="2087">
        <v>0</v>
      </c>
      <c r="P152" s="2087">
        <v>0</v>
      </c>
      <c r="Q152" s="2028">
        <f>MAX(E152,H152,K152,N152)</f>
        <v>0</v>
      </c>
      <c r="R152" s="2126">
        <f t="shared" si="184"/>
        <v>0</v>
      </c>
      <c r="S152" s="2127">
        <f t="shared" si="185"/>
        <v>0</v>
      </c>
      <c r="T152" s="853">
        <f>IFERROR(AVERAGE(Q152:S152),"")</f>
        <v>0</v>
      </c>
      <c r="U152" s="1704" t="str">
        <f t="shared" si="188"/>
        <v>1.33</v>
      </c>
      <c r="V152" s="1704" t="str">
        <f t="shared" si="189"/>
        <v>D+</v>
      </c>
      <c r="W152" s="1704" t="str">
        <f t="shared" si="190"/>
        <v>0</v>
      </c>
      <c r="X152" s="1849"/>
      <c r="Y152" s="1850"/>
      <c r="Z152" s="1850"/>
      <c r="AA152" s="1850"/>
      <c r="AB152" s="1850"/>
      <c r="AC152" s="1850"/>
      <c r="AD152" s="1851"/>
      <c r="AE152" s="1851"/>
      <c r="AF152" s="1851"/>
      <c r="AG152" s="1851"/>
      <c r="AH152" s="1851"/>
      <c r="AI152" s="1852"/>
      <c r="AJ152" s="1853"/>
      <c r="AK152" s="1854"/>
    </row>
    <row r="153" spans="1:37" ht="24.95" customHeight="1" x14ac:dyDescent="0.25">
      <c r="A153" s="1687"/>
      <c r="B153" s="1688"/>
      <c r="C153" s="1270"/>
      <c r="D153" s="1686" t="s">
        <v>186</v>
      </c>
      <c r="E153" s="1494"/>
      <c r="F153" s="1494"/>
      <c r="G153" s="1494"/>
      <c r="H153" s="2087"/>
      <c r="I153" s="2087"/>
      <c r="J153" s="2087"/>
      <c r="K153" s="1494">
        <v>0</v>
      </c>
      <c r="L153" s="1494">
        <v>0</v>
      </c>
      <c r="M153" s="1494">
        <v>0</v>
      </c>
      <c r="N153" s="2087"/>
      <c r="O153" s="2087"/>
      <c r="P153" s="2087"/>
      <c r="Q153" s="2028">
        <f t="shared" ref="Q153:Q154" si="191">MAX(E153,H153,K153,N153)</f>
        <v>0</v>
      </c>
      <c r="R153" s="2126">
        <f t="shared" si="184"/>
        <v>0</v>
      </c>
      <c r="S153" s="2127">
        <f t="shared" si="185"/>
        <v>0</v>
      </c>
      <c r="T153" s="853">
        <f t="shared" ref="T153:T154" si="192">IFERROR(AVERAGE(Q153:S153),"")</f>
        <v>0</v>
      </c>
      <c r="U153" s="1704" t="str">
        <f t="shared" si="188"/>
        <v>1.33</v>
      </c>
      <c r="V153" s="1704" t="str">
        <f t="shared" si="189"/>
        <v>D+</v>
      </c>
      <c r="W153" s="1704" t="str">
        <f t="shared" si="190"/>
        <v>0</v>
      </c>
      <c r="X153" s="1849"/>
      <c r="Y153" s="1850"/>
      <c r="Z153" s="1850"/>
      <c r="AA153" s="1850"/>
      <c r="AB153" s="1850"/>
      <c r="AC153" s="1850"/>
      <c r="AD153" s="1851"/>
      <c r="AE153" s="1851"/>
      <c r="AF153" s="1851"/>
      <c r="AG153" s="1851"/>
      <c r="AH153" s="1851"/>
      <c r="AI153" s="1852"/>
      <c r="AJ153" s="1853"/>
      <c r="AK153" s="1854"/>
    </row>
    <row r="154" spans="1:37" ht="24.95" customHeight="1" x14ac:dyDescent="0.25">
      <c r="A154" s="1687"/>
      <c r="B154" s="1688"/>
      <c r="C154" s="1270"/>
      <c r="D154" s="1686" t="s">
        <v>22</v>
      </c>
      <c r="E154" s="2086"/>
      <c r="F154" s="2086"/>
      <c r="G154" s="2086"/>
      <c r="H154" s="2088"/>
      <c r="I154" s="2088"/>
      <c r="J154" s="2088"/>
      <c r="K154" s="2086"/>
      <c r="L154" s="2086"/>
      <c r="M154" s="2086"/>
      <c r="N154" s="2088">
        <v>0</v>
      </c>
      <c r="O154" s="2088">
        <v>0</v>
      </c>
      <c r="P154" s="2088">
        <v>0</v>
      </c>
      <c r="Q154" s="2028">
        <f t="shared" si="191"/>
        <v>0</v>
      </c>
      <c r="R154" s="2126">
        <f t="shared" si="184"/>
        <v>0</v>
      </c>
      <c r="S154" s="2127">
        <f t="shared" si="185"/>
        <v>0</v>
      </c>
      <c r="T154" s="853">
        <f t="shared" si="192"/>
        <v>0</v>
      </c>
      <c r="U154" s="1705" t="str">
        <f t="shared" si="188"/>
        <v>1.33</v>
      </c>
      <c r="V154" s="1705" t="str">
        <f t="shared" si="189"/>
        <v>D+</v>
      </c>
      <c r="W154" s="1705" t="str">
        <f t="shared" si="190"/>
        <v>0</v>
      </c>
      <c r="X154" s="1849"/>
      <c r="Y154" s="1850"/>
      <c r="Z154" s="1850"/>
      <c r="AA154" s="1850"/>
      <c r="AB154" s="1850"/>
      <c r="AC154" s="1850"/>
      <c r="AD154" s="1851"/>
      <c r="AE154" s="1851"/>
      <c r="AF154" s="1851"/>
      <c r="AG154" s="1851"/>
      <c r="AH154" s="1851"/>
      <c r="AI154" s="1852"/>
      <c r="AJ154" s="1855"/>
      <c r="AK154" s="1856"/>
    </row>
    <row r="155" spans="1:37" ht="24.95" customHeight="1" x14ac:dyDescent="0.25">
      <c r="A155" s="1693"/>
      <c r="B155" s="1237">
        <v>21</v>
      </c>
      <c r="C155" s="1695" t="s">
        <v>167</v>
      </c>
      <c r="D155" s="1696"/>
      <c r="E155" s="1694"/>
      <c r="F155" s="1694"/>
      <c r="G155" s="1694"/>
      <c r="H155" s="1694"/>
      <c r="I155" s="1694"/>
      <c r="J155" s="1694"/>
      <c r="K155" s="1694"/>
      <c r="L155" s="1694"/>
      <c r="M155" s="1694"/>
      <c r="N155" s="1694"/>
      <c r="O155" s="1694"/>
      <c r="P155" s="1694"/>
      <c r="Q155" s="1694"/>
      <c r="R155" s="2160"/>
      <c r="S155" s="2160"/>
      <c r="T155" s="1938">
        <f>IFERROR(AVERAGE(T149:T154),"  ")</f>
        <v>0</v>
      </c>
      <c r="U155" s="1842" t="str">
        <f>IF(T155&gt;85,("4"),IF(T155&gt;80,("3.66"),IF(T155&gt;75,("3.33"),IF(T155&gt;70,("3.00"),IF(T155&gt;65,("2.66"),IF(T155&gt;60,("2.33"),IF(T155&gt;55,("2"),IF(T155&gt;50,("1.66"),"1.33"))))))))</f>
        <v>1.33</v>
      </c>
      <c r="V155" s="1842" t="str">
        <f>IF(T155&gt;85,("A"),IF(T155&gt;80,("A-"),IF(T155&gt;75,("B+"),IF(T155&gt;70,("B"),IF(T155&gt;65,("B-"),IF(T155&gt;60,("C+"),IF(T155&gt;55,("C"),IF(T155&gt;50,("C-"),"D+"))))))))</f>
        <v>D+</v>
      </c>
      <c r="W155" s="1842"/>
      <c r="X155" s="2073"/>
      <c r="Y155" s="2074"/>
      <c r="Z155" s="2074"/>
      <c r="AA155" s="2074"/>
      <c r="AB155" s="2074"/>
      <c r="AC155" s="2074"/>
      <c r="AD155" s="2074"/>
      <c r="AE155" s="2074"/>
      <c r="AF155" s="2074"/>
      <c r="AG155" s="2074"/>
      <c r="AH155" s="2074"/>
      <c r="AI155" s="2075"/>
      <c r="AJ155" s="1857"/>
      <c r="AK155" s="1858"/>
    </row>
    <row r="156" spans="1:37" ht="24.95" customHeight="1" x14ac:dyDescent="0.25">
      <c r="A156" s="1683">
        <v>22</v>
      </c>
      <c r="B156" s="1684"/>
      <c r="C156" s="1685" t="str">
        <f>VLOOKUP(A156,data_siswa,4,FALSE)</f>
        <v>Sally Savista A</v>
      </c>
      <c r="D156" s="1686" t="s">
        <v>154</v>
      </c>
      <c r="E156" s="1494">
        <v>0</v>
      </c>
      <c r="F156" s="1494">
        <v>0</v>
      </c>
      <c r="G156" s="1494">
        <v>0</v>
      </c>
      <c r="H156" s="2087">
        <v>0</v>
      </c>
      <c r="I156" s="2087">
        <v>0</v>
      </c>
      <c r="J156" s="2087">
        <v>0</v>
      </c>
      <c r="K156" s="1494"/>
      <c r="L156" s="1494"/>
      <c r="M156" s="1494"/>
      <c r="N156" s="2087"/>
      <c r="O156" s="2087"/>
      <c r="P156" s="2087"/>
      <c r="Q156" s="2028">
        <f>MAX(E156,H156,K156,N156)</f>
        <v>0</v>
      </c>
      <c r="R156" s="2126">
        <f t="shared" ref="R156:R161" si="193">MAX(F156,I156,L156,O156)</f>
        <v>0</v>
      </c>
      <c r="S156" s="2127">
        <f t="shared" ref="S156:S161" si="194">MAX(G156,J156,M156,P156)</f>
        <v>0</v>
      </c>
      <c r="T156" s="853">
        <f>IFERROR(AVERAGE(Q156:S156),"")</f>
        <v>0</v>
      </c>
      <c r="U156" s="1704" t="str">
        <f>IF(T156&gt;85,("4"),IF(T156&gt;80,("3.66"),IF(T156&gt;75,("3.33"),IF(T156&gt;70,("3.00"),IF(T156&gt;65,("2.66"),IF(T156&gt;60,("2.33"),IF(T156&gt;55,("2"),IF(T156&gt;50,("1.66"),"1.33"))))))))</f>
        <v>1.33</v>
      </c>
      <c r="V156" s="1704" t="str">
        <f>IF(T156&gt;85,("A"),IF(T156&gt;80,("A-"),IF(T156&gt;75,("B+"),IF(T156&gt;70,("B"),IF(T156&gt;65,("B-"),IF(T156&gt;60,("C+"),IF(T156&gt;55,("C"),IF(T156&gt;50,("C-"),"D+"))))))))</f>
        <v>D+</v>
      </c>
      <c r="W156" s="1704" t="str">
        <f>IF(T156&gt;80,("SB"),IF(T156&gt;65,("B"),IF(T156&gt;50,("C"),IF(T156&gt;0,("K"),"0"))))</f>
        <v>0</v>
      </c>
      <c r="X156" s="1267"/>
      <c r="Y156" s="1267"/>
      <c r="Z156" s="1267"/>
      <c r="AA156" s="1267"/>
      <c r="AB156" s="1267"/>
      <c r="AC156" s="1267"/>
      <c r="AD156" s="1268"/>
      <c r="AE156" s="1268"/>
      <c r="AF156" s="1268"/>
      <c r="AG156" s="1268"/>
      <c r="AH156" s="1268"/>
      <c r="AI156" s="1268"/>
      <c r="AJ156" s="2099">
        <f>T162</f>
        <v>0</v>
      </c>
      <c r="AK156" s="2095" t="str">
        <f>V162</f>
        <v>D+</v>
      </c>
    </row>
    <row r="157" spans="1:37" ht="24.95" customHeight="1" x14ac:dyDescent="0.25">
      <c r="A157" s="1687"/>
      <c r="B157" s="1688"/>
      <c r="C157" s="1270"/>
      <c r="D157" s="1686" t="s">
        <v>155</v>
      </c>
      <c r="E157" s="1494">
        <v>0</v>
      </c>
      <c r="F157" s="1494">
        <v>0</v>
      </c>
      <c r="G157" s="1494">
        <v>0</v>
      </c>
      <c r="H157" s="2087">
        <v>0</v>
      </c>
      <c r="I157" s="2087">
        <v>0</v>
      </c>
      <c r="J157" s="2087">
        <v>0</v>
      </c>
      <c r="K157" s="1494">
        <v>0</v>
      </c>
      <c r="L157" s="1494">
        <v>0</v>
      </c>
      <c r="M157" s="1494">
        <v>0</v>
      </c>
      <c r="N157" s="2087"/>
      <c r="O157" s="2087"/>
      <c r="P157" s="2087"/>
      <c r="Q157" s="2028">
        <f t="shared" ref="Q157:Q158" si="195">MAX(E157,H157,K157,N157)</f>
        <v>0</v>
      </c>
      <c r="R157" s="2126">
        <f t="shared" si="193"/>
        <v>0</v>
      </c>
      <c r="S157" s="2127">
        <f t="shared" si="194"/>
        <v>0</v>
      </c>
      <c r="T157" s="853">
        <f t="shared" ref="T157:T158" si="196">IFERROR(AVERAGE(Q157:S157),"")</f>
        <v>0</v>
      </c>
      <c r="U157" s="1704" t="str">
        <f t="shared" ref="U157:U161" si="197">IF(T157&gt;85,("4"),IF(T157&gt;80,("3.66"),IF(T157&gt;75,("3.33"),IF(T157&gt;70,("3.00"),IF(T157&gt;65,("2.66"),IF(T157&gt;60,("2.33"),IF(T157&gt;55,("2"),IF(T157&gt;50,("1.66"),"1.33"))))))))</f>
        <v>1.33</v>
      </c>
      <c r="V157" s="1704" t="str">
        <f t="shared" ref="V157:V161" si="198">IF(T157&gt;85,("A"),IF(T157&gt;80,("A-"),IF(T157&gt;75,("B+"),IF(T157&gt;70,("B"),IF(T157&gt;65,("B-"),IF(T157&gt;60,("C+"),IF(T157&gt;55,("C"),IF(T157&gt;50,("C-"),"D+"))))))))</f>
        <v>D+</v>
      </c>
      <c r="W157" s="1704" t="str">
        <f t="shared" ref="W157:W161" si="199">IF(T157&gt;80,("SB"),IF(T157&gt;65,("B"),IF(T157&gt;50,("C"),IF(T157&gt;0,("K"),"0"))))</f>
        <v>0</v>
      </c>
      <c r="X157" s="1843"/>
      <c r="Y157" s="1844"/>
      <c r="Z157" s="1844"/>
      <c r="AA157" s="1844"/>
      <c r="AB157" s="1844"/>
      <c r="AC157" s="1844"/>
      <c r="AD157" s="1845"/>
      <c r="AE157" s="1845"/>
      <c r="AF157" s="1845"/>
      <c r="AG157" s="1845"/>
      <c r="AH157" s="1845"/>
      <c r="AI157" s="1846"/>
      <c r="AJ157" s="1847"/>
      <c r="AK157" s="1848"/>
    </row>
    <row r="158" spans="1:37" ht="24.95" customHeight="1" x14ac:dyDescent="0.25">
      <c r="A158" s="1687"/>
      <c r="B158" s="1688"/>
      <c r="C158" s="1270"/>
      <c r="D158" s="1686" t="s">
        <v>11</v>
      </c>
      <c r="E158" s="1494">
        <v>0</v>
      </c>
      <c r="F158" s="1494">
        <v>0</v>
      </c>
      <c r="G158" s="1494">
        <v>0</v>
      </c>
      <c r="H158" s="2087">
        <v>0</v>
      </c>
      <c r="I158" s="2087">
        <v>0</v>
      </c>
      <c r="J158" s="2087">
        <v>0</v>
      </c>
      <c r="K158" s="1494">
        <v>0</v>
      </c>
      <c r="L158" s="1494">
        <v>0</v>
      </c>
      <c r="M158" s="1494">
        <v>0</v>
      </c>
      <c r="N158" s="2087">
        <v>0</v>
      </c>
      <c r="O158" s="2087">
        <v>0</v>
      </c>
      <c r="P158" s="2087">
        <v>0</v>
      </c>
      <c r="Q158" s="2028">
        <f t="shared" si="195"/>
        <v>0</v>
      </c>
      <c r="R158" s="2126">
        <f t="shared" si="193"/>
        <v>0</v>
      </c>
      <c r="S158" s="2127">
        <f t="shared" si="194"/>
        <v>0</v>
      </c>
      <c r="T158" s="853">
        <f t="shared" si="196"/>
        <v>0</v>
      </c>
      <c r="U158" s="1704" t="str">
        <f t="shared" si="197"/>
        <v>1.33</v>
      </c>
      <c r="V158" s="1704" t="str">
        <f t="shared" si="198"/>
        <v>D+</v>
      </c>
      <c r="W158" s="1704" t="str">
        <f t="shared" si="199"/>
        <v>0</v>
      </c>
      <c r="X158" s="1849"/>
      <c r="Y158" s="1850"/>
      <c r="Z158" s="1850"/>
      <c r="AA158" s="1850"/>
      <c r="AB158" s="1850"/>
      <c r="AC158" s="1850"/>
      <c r="AD158" s="1851"/>
      <c r="AE158" s="1851"/>
      <c r="AF158" s="1851"/>
      <c r="AG158" s="1851"/>
      <c r="AH158" s="1851"/>
      <c r="AI158" s="1852"/>
      <c r="AJ158" s="1853"/>
      <c r="AK158" s="1854"/>
    </row>
    <row r="159" spans="1:37" ht="24.95" customHeight="1" x14ac:dyDescent="0.25">
      <c r="A159" s="1687"/>
      <c r="B159" s="1688"/>
      <c r="C159" s="1270"/>
      <c r="D159" s="1686" t="s">
        <v>16</v>
      </c>
      <c r="E159" s="1494"/>
      <c r="F159" s="1494"/>
      <c r="G159" s="1494"/>
      <c r="H159" s="2087"/>
      <c r="I159" s="2087"/>
      <c r="J159" s="2087"/>
      <c r="K159" s="1494"/>
      <c r="L159" s="1494"/>
      <c r="M159" s="1494"/>
      <c r="N159" s="2087">
        <v>0</v>
      </c>
      <c r="O159" s="2087">
        <v>0</v>
      </c>
      <c r="P159" s="2087">
        <v>0</v>
      </c>
      <c r="Q159" s="2028">
        <f>MAX(E159,H159,K159,N159)</f>
        <v>0</v>
      </c>
      <c r="R159" s="2126">
        <f t="shared" si="193"/>
        <v>0</v>
      </c>
      <c r="S159" s="2127">
        <f t="shared" si="194"/>
        <v>0</v>
      </c>
      <c r="T159" s="853">
        <f>IFERROR(AVERAGE(Q159:S159),"")</f>
        <v>0</v>
      </c>
      <c r="U159" s="1704" t="str">
        <f t="shared" si="197"/>
        <v>1.33</v>
      </c>
      <c r="V159" s="1704" t="str">
        <f t="shared" si="198"/>
        <v>D+</v>
      </c>
      <c r="W159" s="1704" t="str">
        <f t="shared" si="199"/>
        <v>0</v>
      </c>
      <c r="X159" s="1849"/>
      <c r="Y159" s="1850"/>
      <c r="Z159" s="1850"/>
      <c r="AA159" s="1850"/>
      <c r="AB159" s="1850"/>
      <c r="AC159" s="1850"/>
      <c r="AD159" s="1851"/>
      <c r="AE159" s="1851"/>
      <c r="AF159" s="1851"/>
      <c r="AG159" s="1851"/>
      <c r="AH159" s="1851"/>
      <c r="AI159" s="1852"/>
      <c r="AJ159" s="1853"/>
      <c r="AK159" s="1854"/>
    </row>
    <row r="160" spans="1:37" ht="24.95" customHeight="1" x14ac:dyDescent="0.25">
      <c r="A160" s="1687"/>
      <c r="B160" s="1688"/>
      <c r="C160" s="1270"/>
      <c r="D160" s="1686" t="s">
        <v>186</v>
      </c>
      <c r="E160" s="1494"/>
      <c r="F160" s="1494"/>
      <c r="G160" s="1494"/>
      <c r="H160" s="2087"/>
      <c r="I160" s="2087"/>
      <c r="J160" s="2087"/>
      <c r="K160" s="1494">
        <v>0</v>
      </c>
      <c r="L160" s="1494">
        <v>0</v>
      </c>
      <c r="M160" s="1494">
        <v>0</v>
      </c>
      <c r="N160" s="2087"/>
      <c r="O160" s="2087"/>
      <c r="P160" s="2087"/>
      <c r="Q160" s="2028">
        <f t="shared" ref="Q160:Q161" si="200">MAX(E160,H160,K160,N160)</f>
        <v>0</v>
      </c>
      <c r="R160" s="2126">
        <f t="shared" si="193"/>
        <v>0</v>
      </c>
      <c r="S160" s="2127">
        <f t="shared" si="194"/>
        <v>0</v>
      </c>
      <c r="T160" s="853">
        <f t="shared" ref="T160:T161" si="201">IFERROR(AVERAGE(Q160:S160),"")</f>
        <v>0</v>
      </c>
      <c r="U160" s="1704" t="str">
        <f t="shared" si="197"/>
        <v>1.33</v>
      </c>
      <c r="V160" s="1704" t="str">
        <f t="shared" si="198"/>
        <v>D+</v>
      </c>
      <c r="W160" s="1704" t="str">
        <f t="shared" si="199"/>
        <v>0</v>
      </c>
      <c r="X160" s="1849"/>
      <c r="Y160" s="1850"/>
      <c r="Z160" s="1850"/>
      <c r="AA160" s="1850"/>
      <c r="AB160" s="1850"/>
      <c r="AC160" s="1850"/>
      <c r="AD160" s="1851"/>
      <c r="AE160" s="1851"/>
      <c r="AF160" s="1851"/>
      <c r="AG160" s="1851"/>
      <c r="AH160" s="1851"/>
      <c r="AI160" s="1852"/>
      <c r="AJ160" s="1853"/>
      <c r="AK160" s="1854"/>
    </row>
    <row r="161" spans="1:37" ht="24.95" customHeight="1" x14ac:dyDescent="0.25">
      <c r="A161" s="1687"/>
      <c r="B161" s="1688"/>
      <c r="C161" s="1270"/>
      <c r="D161" s="1686" t="s">
        <v>22</v>
      </c>
      <c r="E161" s="2086"/>
      <c r="F161" s="2086"/>
      <c r="G161" s="2086"/>
      <c r="H161" s="2088"/>
      <c r="I161" s="2088"/>
      <c r="J161" s="2088"/>
      <c r="K161" s="2086"/>
      <c r="L161" s="2086"/>
      <c r="M161" s="2086"/>
      <c r="N161" s="2088">
        <v>0</v>
      </c>
      <c r="O161" s="2088">
        <v>0</v>
      </c>
      <c r="P161" s="2088">
        <v>0</v>
      </c>
      <c r="Q161" s="2028">
        <f t="shared" si="200"/>
        <v>0</v>
      </c>
      <c r="R161" s="2126">
        <f t="shared" si="193"/>
        <v>0</v>
      </c>
      <c r="S161" s="2127">
        <f t="shared" si="194"/>
        <v>0</v>
      </c>
      <c r="T161" s="853">
        <f t="shared" si="201"/>
        <v>0</v>
      </c>
      <c r="U161" s="1705" t="str">
        <f t="shared" si="197"/>
        <v>1.33</v>
      </c>
      <c r="V161" s="1705" t="str">
        <f t="shared" si="198"/>
        <v>D+</v>
      </c>
      <c r="W161" s="1705" t="str">
        <f t="shared" si="199"/>
        <v>0</v>
      </c>
      <c r="X161" s="1849"/>
      <c r="Y161" s="1850"/>
      <c r="Z161" s="1850"/>
      <c r="AA161" s="1850"/>
      <c r="AB161" s="1850"/>
      <c r="AC161" s="1850"/>
      <c r="AD161" s="1851"/>
      <c r="AE161" s="1851"/>
      <c r="AF161" s="1851"/>
      <c r="AG161" s="1851"/>
      <c r="AH161" s="1851"/>
      <c r="AI161" s="1852"/>
      <c r="AJ161" s="1855"/>
      <c r="AK161" s="1856"/>
    </row>
    <row r="162" spans="1:37" ht="24.95" customHeight="1" x14ac:dyDescent="0.25">
      <c r="A162" s="1693"/>
      <c r="B162" s="1237">
        <v>22</v>
      </c>
      <c r="C162" s="1695" t="s">
        <v>167</v>
      </c>
      <c r="D162" s="1696"/>
      <c r="E162" s="1694"/>
      <c r="F162" s="1694"/>
      <c r="G162" s="1694"/>
      <c r="H162" s="1694"/>
      <c r="I162" s="1694"/>
      <c r="J162" s="1694"/>
      <c r="K162" s="1694"/>
      <c r="L162" s="1694"/>
      <c r="M162" s="1694"/>
      <c r="N162" s="1694"/>
      <c r="O162" s="1694"/>
      <c r="P162" s="1694"/>
      <c r="Q162" s="1694"/>
      <c r="R162" s="2160"/>
      <c r="S162" s="2160"/>
      <c r="T162" s="1938">
        <f>IFERROR(AVERAGE(T156:T161),"  ")</f>
        <v>0</v>
      </c>
      <c r="U162" s="1842" t="str">
        <f>IF(T162&gt;85,("4"),IF(T162&gt;80,("3.66"),IF(T162&gt;75,("3.33"),IF(T162&gt;70,("3.00"),IF(T162&gt;65,("2.66"),IF(T162&gt;60,("2.33"),IF(T162&gt;55,("2"),IF(T162&gt;50,("1.66"),"1.33"))))))))</f>
        <v>1.33</v>
      </c>
      <c r="V162" s="1842" t="str">
        <f>IF(T162&gt;85,("A"),IF(T162&gt;80,("A-"),IF(T162&gt;75,("B+"),IF(T162&gt;70,("B"),IF(T162&gt;65,("B-"),IF(T162&gt;60,("C+"),IF(T162&gt;55,("C"),IF(T162&gt;50,("C-"),"D+"))))))))</f>
        <v>D+</v>
      </c>
      <c r="W162" s="1842"/>
      <c r="X162" s="2073"/>
      <c r="Y162" s="2074"/>
      <c r="Z162" s="2074"/>
      <c r="AA162" s="2074"/>
      <c r="AB162" s="2074"/>
      <c r="AC162" s="2074"/>
      <c r="AD162" s="2074"/>
      <c r="AE162" s="2074"/>
      <c r="AF162" s="2074"/>
      <c r="AG162" s="2074"/>
      <c r="AH162" s="2074"/>
      <c r="AI162" s="2075"/>
      <c r="AJ162" s="1857"/>
      <c r="AK162" s="1858"/>
    </row>
    <row r="163" spans="1:37" ht="24.95" customHeight="1" x14ac:dyDescent="0.25">
      <c r="A163" s="1683">
        <v>23</v>
      </c>
      <c r="B163" s="1684"/>
      <c r="C163" s="1685" t="str">
        <f>VLOOKUP(A163,data_siswa,4,FALSE)</f>
        <v xml:space="preserve">Tania Kaori Angelita </v>
      </c>
      <c r="D163" s="1686" t="s">
        <v>154</v>
      </c>
      <c r="E163" s="1494">
        <v>0</v>
      </c>
      <c r="F163" s="1494">
        <v>0</v>
      </c>
      <c r="G163" s="1494">
        <v>0</v>
      </c>
      <c r="H163" s="2087">
        <v>0</v>
      </c>
      <c r="I163" s="2087">
        <v>0</v>
      </c>
      <c r="J163" s="2087">
        <v>0</v>
      </c>
      <c r="K163" s="1494"/>
      <c r="L163" s="1494"/>
      <c r="M163" s="1494"/>
      <c r="N163" s="2087"/>
      <c r="O163" s="2087"/>
      <c r="P163" s="2087"/>
      <c r="Q163" s="2028">
        <f>MAX(E163,H163,K163,N163)</f>
        <v>0</v>
      </c>
      <c r="R163" s="2126">
        <f t="shared" ref="R163:R168" si="202">MAX(F163,I163,L163,O163)</f>
        <v>0</v>
      </c>
      <c r="S163" s="2127">
        <f t="shared" ref="S163:S168" si="203">MAX(G163,J163,M163,P163)</f>
        <v>0</v>
      </c>
      <c r="T163" s="853">
        <f>IFERROR(AVERAGE(Q163:S163),"")</f>
        <v>0</v>
      </c>
      <c r="U163" s="1704" t="str">
        <f>IF(T163&gt;85,("4"),IF(T163&gt;80,("3.66"),IF(T163&gt;75,("3.33"),IF(T163&gt;70,("3.00"),IF(T163&gt;65,("2.66"),IF(T163&gt;60,("2.33"),IF(T163&gt;55,("2"),IF(T163&gt;50,("1.66"),"1.33"))))))))</f>
        <v>1.33</v>
      </c>
      <c r="V163" s="1704" t="str">
        <f>IF(T163&gt;85,("A"),IF(T163&gt;80,("A-"),IF(T163&gt;75,("B+"),IF(T163&gt;70,("B"),IF(T163&gt;65,("B-"),IF(T163&gt;60,("C+"),IF(T163&gt;55,("C"),IF(T163&gt;50,("C-"),"D+"))))))))</f>
        <v>D+</v>
      </c>
      <c r="W163" s="1704" t="str">
        <f>IF(T163&gt;80,("SB"),IF(T163&gt;65,("B"),IF(T163&gt;50,("C"),IF(T163&gt;0,("K"),"0"))))</f>
        <v>0</v>
      </c>
      <c r="X163" s="1267"/>
      <c r="Y163" s="1267"/>
      <c r="Z163" s="1267"/>
      <c r="AA163" s="1267"/>
      <c r="AB163" s="1267"/>
      <c r="AC163" s="1267"/>
      <c r="AD163" s="1268"/>
      <c r="AE163" s="1268"/>
      <c r="AF163" s="1268"/>
      <c r="AG163" s="1268"/>
      <c r="AH163" s="1268"/>
      <c r="AI163" s="1268"/>
      <c r="AJ163" s="2099">
        <f>T169</f>
        <v>0</v>
      </c>
      <c r="AK163" s="2095" t="str">
        <f>V169</f>
        <v>D+</v>
      </c>
    </row>
    <row r="164" spans="1:37" ht="24.95" customHeight="1" x14ac:dyDescent="0.25">
      <c r="A164" s="1687"/>
      <c r="B164" s="1688"/>
      <c r="C164" s="1270"/>
      <c r="D164" s="1686" t="s">
        <v>155</v>
      </c>
      <c r="E164" s="1494">
        <v>0</v>
      </c>
      <c r="F164" s="1494">
        <v>0</v>
      </c>
      <c r="G164" s="1494">
        <v>0</v>
      </c>
      <c r="H164" s="2087">
        <v>0</v>
      </c>
      <c r="I164" s="2087">
        <v>0</v>
      </c>
      <c r="J164" s="2087">
        <v>0</v>
      </c>
      <c r="K164" s="1494">
        <v>0</v>
      </c>
      <c r="L164" s="1494">
        <v>0</v>
      </c>
      <c r="M164" s="1494">
        <v>0</v>
      </c>
      <c r="N164" s="2087"/>
      <c r="O164" s="2087"/>
      <c r="P164" s="2087"/>
      <c r="Q164" s="2028">
        <f t="shared" ref="Q164:Q165" si="204">MAX(E164,H164,K164,N164)</f>
        <v>0</v>
      </c>
      <c r="R164" s="2126">
        <f t="shared" si="202"/>
        <v>0</v>
      </c>
      <c r="S164" s="2127">
        <f t="shared" si="203"/>
        <v>0</v>
      </c>
      <c r="T164" s="853">
        <f t="shared" ref="T164:T165" si="205">IFERROR(AVERAGE(Q164:S164),"")</f>
        <v>0</v>
      </c>
      <c r="U164" s="1704" t="str">
        <f t="shared" ref="U164:U168" si="206">IF(T164&gt;85,("4"),IF(T164&gt;80,("3.66"),IF(T164&gt;75,("3.33"),IF(T164&gt;70,("3.00"),IF(T164&gt;65,("2.66"),IF(T164&gt;60,("2.33"),IF(T164&gt;55,("2"),IF(T164&gt;50,("1.66"),"1.33"))))))))</f>
        <v>1.33</v>
      </c>
      <c r="V164" s="1704" t="str">
        <f t="shared" ref="V164:V168" si="207">IF(T164&gt;85,("A"),IF(T164&gt;80,("A-"),IF(T164&gt;75,("B+"),IF(T164&gt;70,("B"),IF(T164&gt;65,("B-"),IF(T164&gt;60,("C+"),IF(T164&gt;55,("C"),IF(T164&gt;50,("C-"),"D+"))))))))</f>
        <v>D+</v>
      </c>
      <c r="W164" s="1704" t="str">
        <f t="shared" ref="W164:W168" si="208">IF(T164&gt;80,("SB"),IF(T164&gt;65,("B"),IF(T164&gt;50,("C"),IF(T164&gt;0,("K"),"0"))))</f>
        <v>0</v>
      </c>
      <c r="X164" s="1843"/>
      <c r="Y164" s="1844"/>
      <c r="Z164" s="1844"/>
      <c r="AA164" s="1844"/>
      <c r="AB164" s="1844"/>
      <c r="AC164" s="1844"/>
      <c r="AD164" s="1845"/>
      <c r="AE164" s="1845"/>
      <c r="AF164" s="1845"/>
      <c r="AG164" s="1845"/>
      <c r="AH164" s="1845"/>
      <c r="AI164" s="1846"/>
      <c r="AJ164" s="1847"/>
      <c r="AK164" s="1848"/>
    </row>
    <row r="165" spans="1:37" ht="24.95" customHeight="1" x14ac:dyDescent="0.25">
      <c r="A165" s="1687"/>
      <c r="B165" s="1688"/>
      <c r="C165" s="1270"/>
      <c r="D165" s="1686" t="s">
        <v>11</v>
      </c>
      <c r="E165" s="1494">
        <v>0</v>
      </c>
      <c r="F165" s="1494">
        <v>0</v>
      </c>
      <c r="G165" s="1494">
        <v>0</v>
      </c>
      <c r="H165" s="2087">
        <v>0</v>
      </c>
      <c r="I165" s="2087">
        <v>0</v>
      </c>
      <c r="J165" s="2087">
        <v>0</v>
      </c>
      <c r="K165" s="1494">
        <v>0</v>
      </c>
      <c r="L165" s="1494">
        <v>0</v>
      </c>
      <c r="M165" s="1494">
        <v>0</v>
      </c>
      <c r="N165" s="2087">
        <v>0</v>
      </c>
      <c r="O165" s="2087">
        <v>0</v>
      </c>
      <c r="P165" s="2087">
        <v>0</v>
      </c>
      <c r="Q165" s="2028">
        <f t="shared" si="204"/>
        <v>0</v>
      </c>
      <c r="R165" s="2126">
        <f t="shared" si="202"/>
        <v>0</v>
      </c>
      <c r="S165" s="2127">
        <f t="shared" si="203"/>
        <v>0</v>
      </c>
      <c r="T165" s="853">
        <f t="shared" si="205"/>
        <v>0</v>
      </c>
      <c r="U165" s="1704" t="str">
        <f t="shared" si="206"/>
        <v>1.33</v>
      </c>
      <c r="V165" s="1704" t="str">
        <f t="shared" si="207"/>
        <v>D+</v>
      </c>
      <c r="W165" s="1704" t="str">
        <f t="shared" si="208"/>
        <v>0</v>
      </c>
      <c r="X165" s="1849"/>
      <c r="Y165" s="1850"/>
      <c r="Z165" s="1850"/>
      <c r="AA165" s="1850"/>
      <c r="AB165" s="1850"/>
      <c r="AC165" s="1850"/>
      <c r="AD165" s="1851"/>
      <c r="AE165" s="1851"/>
      <c r="AF165" s="1851"/>
      <c r="AG165" s="1851"/>
      <c r="AH165" s="1851"/>
      <c r="AI165" s="1852"/>
      <c r="AJ165" s="1853"/>
      <c r="AK165" s="1854"/>
    </row>
    <row r="166" spans="1:37" ht="24.95" customHeight="1" x14ac:dyDescent="0.25">
      <c r="A166" s="1687"/>
      <c r="B166" s="1688"/>
      <c r="C166" s="1270"/>
      <c r="D166" s="1686" t="s">
        <v>16</v>
      </c>
      <c r="E166" s="1494"/>
      <c r="F166" s="1494"/>
      <c r="G166" s="1494"/>
      <c r="H166" s="2087"/>
      <c r="I166" s="2087"/>
      <c r="J166" s="2087"/>
      <c r="K166" s="1494"/>
      <c r="L166" s="1494"/>
      <c r="M166" s="1494"/>
      <c r="N166" s="2087">
        <v>0</v>
      </c>
      <c r="O166" s="2087">
        <v>0</v>
      </c>
      <c r="P166" s="2087">
        <v>0</v>
      </c>
      <c r="Q166" s="2028">
        <f>MAX(E166,H166,K166,N166)</f>
        <v>0</v>
      </c>
      <c r="R166" s="2126">
        <f t="shared" si="202"/>
        <v>0</v>
      </c>
      <c r="S166" s="2127">
        <f t="shared" si="203"/>
        <v>0</v>
      </c>
      <c r="T166" s="853">
        <f>IFERROR(AVERAGE(Q166:S166),"")</f>
        <v>0</v>
      </c>
      <c r="U166" s="1704" t="str">
        <f t="shared" si="206"/>
        <v>1.33</v>
      </c>
      <c r="V166" s="1704" t="str">
        <f t="shared" si="207"/>
        <v>D+</v>
      </c>
      <c r="W166" s="1704" t="str">
        <f t="shared" si="208"/>
        <v>0</v>
      </c>
      <c r="X166" s="1849"/>
      <c r="Y166" s="1850"/>
      <c r="Z166" s="1850"/>
      <c r="AA166" s="1850"/>
      <c r="AB166" s="1850"/>
      <c r="AC166" s="1850"/>
      <c r="AD166" s="1851"/>
      <c r="AE166" s="1851"/>
      <c r="AF166" s="1851"/>
      <c r="AG166" s="1851"/>
      <c r="AH166" s="1851"/>
      <c r="AI166" s="1852"/>
      <c r="AJ166" s="1853"/>
      <c r="AK166" s="1854"/>
    </row>
    <row r="167" spans="1:37" ht="24.95" customHeight="1" x14ac:dyDescent="0.25">
      <c r="A167" s="1687"/>
      <c r="B167" s="1688"/>
      <c r="C167" s="1270"/>
      <c r="D167" s="1686" t="s">
        <v>186</v>
      </c>
      <c r="E167" s="1494"/>
      <c r="F167" s="1494"/>
      <c r="G167" s="1494"/>
      <c r="H167" s="2087"/>
      <c r="I167" s="2087"/>
      <c r="J167" s="2087"/>
      <c r="K167" s="1494">
        <v>0</v>
      </c>
      <c r="L167" s="1494">
        <v>0</v>
      </c>
      <c r="M167" s="1494">
        <v>0</v>
      </c>
      <c r="N167" s="2087"/>
      <c r="O167" s="2087"/>
      <c r="P167" s="2087"/>
      <c r="Q167" s="2028">
        <f t="shared" ref="Q167:Q168" si="209">MAX(E167,H167,K167,N167)</f>
        <v>0</v>
      </c>
      <c r="R167" s="2126">
        <f t="shared" si="202"/>
        <v>0</v>
      </c>
      <c r="S167" s="2127">
        <f t="shared" si="203"/>
        <v>0</v>
      </c>
      <c r="T167" s="853">
        <f t="shared" ref="T167:T168" si="210">IFERROR(AVERAGE(Q167:S167),"")</f>
        <v>0</v>
      </c>
      <c r="U167" s="1704" t="str">
        <f t="shared" si="206"/>
        <v>1.33</v>
      </c>
      <c r="V167" s="1704" t="str">
        <f t="shared" si="207"/>
        <v>D+</v>
      </c>
      <c r="W167" s="1704" t="str">
        <f t="shared" si="208"/>
        <v>0</v>
      </c>
      <c r="X167" s="1849"/>
      <c r="Y167" s="1850"/>
      <c r="Z167" s="1850"/>
      <c r="AA167" s="1850"/>
      <c r="AB167" s="1850"/>
      <c r="AC167" s="1850"/>
      <c r="AD167" s="1851"/>
      <c r="AE167" s="1851"/>
      <c r="AF167" s="1851"/>
      <c r="AG167" s="1851"/>
      <c r="AH167" s="1851"/>
      <c r="AI167" s="1852"/>
      <c r="AJ167" s="1853"/>
      <c r="AK167" s="1854"/>
    </row>
    <row r="168" spans="1:37" ht="24.95" customHeight="1" x14ac:dyDescent="0.25">
      <c r="A168" s="1687"/>
      <c r="B168" s="1688"/>
      <c r="C168" s="1270"/>
      <c r="D168" s="1686" t="s">
        <v>22</v>
      </c>
      <c r="E168" s="2086"/>
      <c r="F168" s="2086"/>
      <c r="G168" s="2086"/>
      <c r="H168" s="2088"/>
      <c r="I168" s="2088"/>
      <c r="J168" s="2088"/>
      <c r="K168" s="2086"/>
      <c r="L168" s="2086"/>
      <c r="M168" s="2086"/>
      <c r="N168" s="2088">
        <v>0</v>
      </c>
      <c r="O168" s="2088">
        <v>0</v>
      </c>
      <c r="P168" s="2088">
        <v>0</v>
      </c>
      <c r="Q168" s="2028">
        <f t="shared" si="209"/>
        <v>0</v>
      </c>
      <c r="R168" s="2126">
        <f t="shared" si="202"/>
        <v>0</v>
      </c>
      <c r="S168" s="2127">
        <f t="shared" si="203"/>
        <v>0</v>
      </c>
      <c r="T168" s="853">
        <f t="shared" si="210"/>
        <v>0</v>
      </c>
      <c r="U168" s="1705" t="str">
        <f t="shared" si="206"/>
        <v>1.33</v>
      </c>
      <c r="V168" s="1705" t="str">
        <f t="shared" si="207"/>
        <v>D+</v>
      </c>
      <c r="W168" s="1705" t="str">
        <f t="shared" si="208"/>
        <v>0</v>
      </c>
      <c r="X168" s="1849"/>
      <c r="Y168" s="1850"/>
      <c r="Z168" s="1850"/>
      <c r="AA168" s="1850"/>
      <c r="AB168" s="1850"/>
      <c r="AC168" s="1850"/>
      <c r="AD168" s="1851"/>
      <c r="AE168" s="1851"/>
      <c r="AF168" s="1851"/>
      <c r="AG168" s="1851"/>
      <c r="AH168" s="1851"/>
      <c r="AI168" s="1852"/>
      <c r="AJ168" s="1855"/>
      <c r="AK168" s="1856"/>
    </row>
    <row r="169" spans="1:37" ht="24.95" customHeight="1" x14ac:dyDescent="0.25">
      <c r="A169" s="1693"/>
      <c r="B169" s="1237">
        <v>23</v>
      </c>
      <c r="C169" s="1695" t="s">
        <v>167</v>
      </c>
      <c r="D169" s="1696"/>
      <c r="E169" s="1694"/>
      <c r="F169" s="1694"/>
      <c r="G169" s="1694"/>
      <c r="H169" s="1694"/>
      <c r="I169" s="1694"/>
      <c r="J169" s="1694"/>
      <c r="K169" s="1694"/>
      <c r="L169" s="1694"/>
      <c r="M169" s="1694"/>
      <c r="N169" s="1694"/>
      <c r="O169" s="1694"/>
      <c r="P169" s="1694"/>
      <c r="Q169" s="1694"/>
      <c r="R169" s="2160"/>
      <c r="S169" s="2160"/>
      <c r="T169" s="1938">
        <f>IFERROR(AVERAGE(T163:T168),"  ")</f>
        <v>0</v>
      </c>
      <c r="U169" s="1842" t="str">
        <f>IF(T169&gt;85,("4"),IF(T169&gt;80,("3.66"),IF(T169&gt;75,("3.33"),IF(T169&gt;70,("3.00"),IF(T169&gt;65,("2.66"),IF(T169&gt;60,("2.33"),IF(T169&gt;55,("2"),IF(T169&gt;50,("1.66"),"1.33"))))))))</f>
        <v>1.33</v>
      </c>
      <c r="V169" s="1842" t="str">
        <f>IF(T169&gt;85,("A"),IF(T169&gt;80,("A-"),IF(T169&gt;75,("B+"),IF(T169&gt;70,("B"),IF(T169&gt;65,("B-"),IF(T169&gt;60,("C+"),IF(T169&gt;55,("C"),IF(T169&gt;50,("C-"),"D+"))))))))</f>
        <v>D+</v>
      </c>
      <c r="W169" s="1842"/>
      <c r="X169" s="2073"/>
      <c r="Y169" s="2074"/>
      <c r="Z169" s="2074"/>
      <c r="AA169" s="2074"/>
      <c r="AB169" s="2074"/>
      <c r="AC169" s="2074"/>
      <c r="AD169" s="2074"/>
      <c r="AE169" s="2074"/>
      <c r="AF169" s="2074"/>
      <c r="AG169" s="2074"/>
      <c r="AH169" s="2074"/>
      <c r="AI169" s="2075"/>
      <c r="AJ169" s="1857"/>
      <c r="AK169" s="1858"/>
    </row>
    <row r="170" spans="1:37" ht="24.95" customHeight="1" x14ac:dyDescent="0.25">
      <c r="A170" s="1683">
        <v>24</v>
      </c>
      <c r="B170" s="1684"/>
      <c r="C170" s="1685" t="str">
        <f>VLOOKUP(A170,data_siswa,4,FALSE)</f>
        <v>Romzy Oka Ramadhani P</v>
      </c>
      <c r="D170" s="1686" t="s">
        <v>154</v>
      </c>
      <c r="E170" s="1494">
        <v>0</v>
      </c>
      <c r="F170" s="1494">
        <v>0</v>
      </c>
      <c r="G170" s="1494">
        <v>0</v>
      </c>
      <c r="H170" s="2087">
        <v>0</v>
      </c>
      <c r="I170" s="2087">
        <v>0</v>
      </c>
      <c r="J170" s="2087">
        <v>0</v>
      </c>
      <c r="K170" s="1494"/>
      <c r="L170" s="1494"/>
      <c r="M170" s="1494"/>
      <c r="N170" s="2087"/>
      <c r="O170" s="2087"/>
      <c r="P170" s="2087"/>
      <c r="Q170" s="2028">
        <f>MAX(E170,H170,K170,N170)</f>
        <v>0</v>
      </c>
      <c r="R170" s="2126">
        <f t="shared" ref="R170:R175" si="211">MAX(F170,I170,L170,O170)</f>
        <v>0</v>
      </c>
      <c r="S170" s="2127">
        <f t="shared" ref="S170:S175" si="212">MAX(G170,J170,M170,P170)</f>
        <v>0</v>
      </c>
      <c r="T170" s="853">
        <f>IFERROR(AVERAGE(Q170:S170),"")</f>
        <v>0</v>
      </c>
      <c r="U170" s="1704" t="str">
        <f>IF(T170&gt;85,("4"),IF(T170&gt;80,("3.66"),IF(T170&gt;75,("3.33"),IF(T170&gt;70,("3.00"),IF(T170&gt;65,("2.66"),IF(T170&gt;60,("2.33"),IF(T170&gt;55,("2"),IF(T170&gt;50,("1.66"),"1.33"))))))))</f>
        <v>1.33</v>
      </c>
      <c r="V170" s="1704" t="str">
        <f>IF(T170&gt;85,("A"),IF(T170&gt;80,("A-"),IF(T170&gt;75,("B+"),IF(T170&gt;70,("B"),IF(T170&gt;65,("B-"),IF(T170&gt;60,("C+"),IF(T170&gt;55,("C"),IF(T170&gt;50,("C-"),"D+"))))))))</f>
        <v>D+</v>
      </c>
      <c r="W170" s="1704" t="str">
        <f>IF(T170&gt;80,("SB"),IF(T170&gt;65,("B"),IF(T170&gt;50,("C"),IF(T170&gt;0,("K"),"0"))))</f>
        <v>0</v>
      </c>
      <c r="X170" s="1267"/>
      <c r="Y170" s="1267"/>
      <c r="Z170" s="1267"/>
      <c r="AA170" s="1267"/>
      <c r="AB170" s="1267"/>
      <c r="AC170" s="1267"/>
      <c r="AD170" s="1268"/>
      <c r="AE170" s="1268"/>
      <c r="AF170" s="1268"/>
      <c r="AG170" s="1268"/>
      <c r="AH170" s="1268"/>
      <c r="AI170" s="1268"/>
      <c r="AJ170" s="2099">
        <f>T176</f>
        <v>0</v>
      </c>
      <c r="AK170" s="2095" t="str">
        <f>V176</f>
        <v>D+</v>
      </c>
    </row>
    <row r="171" spans="1:37" ht="24.95" customHeight="1" x14ac:dyDescent="0.25">
      <c r="A171" s="1687"/>
      <c r="B171" s="1688"/>
      <c r="C171" s="1270"/>
      <c r="D171" s="1686" t="s">
        <v>155</v>
      </c>
      <c r="E171" s="1494">
        <v>0</v>
      </c>
      <c r="F171" s="1494">
        <v>0</v>
      </c>
      <c r="G171" s="1494">
        <v>0</v>
      </c>
      <c r="H171" s="2087">
        <v>0</v>
      </c>
      <c r="I171" s="2087">
        <v>0</v>
      </c>
      <c r="J171" s="2087">
        <v>0</v>
      </c>
      <c r="K171" s="1494">
        <v>0</v>
      </c>
      <c r="L171" s="1494">
        <v>0</v>
      </c>
      <c r="M171" s="1494">
        <v>0</v>
      </c>
      <c r="N171" s="2087"/>
      <c r="O171" s="2087"/>
      <c r="P171" s="2087"/>
      <c r="Q171" s="2028">
        <f t="shared" ref="Q171:Q172" si="213">MAX(E171,H171,K171,N171)</f>
        <v>0</v>
      </c>
      <c r="R171" s="2126">
        <f t="shared" si="211"/>
        <v>0</v>
      </c>
      <c r="S171" s="2127">
        <f t="shared" si="212"/>
        <v>0</v>
      </c>
      <c r="T171" s="853">
        <f t="shared" ref="T171:T172" si="214">IFERROR(AVERAGE(Q171:S171),"")</f>
        <v>0</v>
      </c>
      <c r="U171" s="1704" t="str">
        <f t="shared" ref="U171:U175" si="215">IF(T171&gt;85,("4"),IF(T171&gt;80,("3.66"),IF(T171&gt;75,("3.33"),IF(T171&gt;70,("3.00"),IF(T171&gt;65,("2.66"),IF(T171&gt;60,("2.33"),IF(T171&gt;55,("2"),IF(T171&gt;50,("1.66"),"1.33"))))))))</f>
        <v>1.33</v>
      </c>
      <c r="V171" s="1704" t="str">
        <f t="shared" ref="V171:V175" si="216">IF(T171&gt;85,("A"),IF(T171&gt;80,("A-"),IF(T171&gt;75,("B+"),IF(T171&gt;70,("B"),IF(T171&gt;65,("B-"),IF(T171&gt;60,("C+"),IF(T171&gt;55,("C"),IF(T171&gt;50,("C-"),"D+"))))))))</f>
        <v>D+</v>
      </c>
      <c r="W171" s="1704" t="str">
        <f t="shared" ref="W171:W175" si="217">IF(T171&gt;80,("SB"),IF(T171&gt;65,("B"),IF(T171&gt;50,("C"),IF(T171&gt;0,("K"),"0"))))</f>
        <v>0</v>
      </c>
      <c r="X171" s="1843"/>
      <c r="Y171" s="1844"/>
      <c r="Z171" s="1844"/>
      <c r="AA171" s="1844"/>
      <c r="AB171" s="1844"/>
      <c r="AC171" s="1844"/>
      <c r="AD171" s="1845"/>
      <c r="AE171" s="1845"/>
      <c r="AF171" s="1845"/>
      <c r="AG171" s="1845"/>
      <c r="AH171" s="1845"/>
      <c r="AI171" s="1846"/>
      <c r="AJ171" s="1847"/>
      <c r="AK171" s="1848"/>
    </row>
    <row r="172" spans="1:37" ht="24.95" customHeight="1" x14ac:dyDescent="0.25">
      <c r="A172" s="1687"/>
      <c r="B172" s="1688"/>
      <c r="C172" s="1270"/>
      <c r="D172" s="1686" t="s">
        <v>11</v>
      </c>
      <c r="E172" s="1494">
        <v>0</v>
      </c>
      <c r="F172" s="1494">
        <v>0</v>
      </c>
      <c r="G172" s="1494">
        <v>0</v>
      </c>
      <c r="H172" s="2087">
        <v>0</v>
      </c>
      <c r="I172" s="2087">
        <v>0</v>
      </c>
      <c r="J172" s="2087">
        <v>0</v>
      </c>
      <c r="K172" s="1494">
        <v>0</v>
      </c>
      <c r="L172" s="1494">
        <v>0</v>
      </c>
      <c r="M172" s="1494">
        <v>0</v>
      </c>
      <c r="N172" s="2087">
        <v>0</v>
      </c>
      <c r="O172" s="2087">
        <v>0</v>
      </c>
      <c r="P172" s="2087">
        <v>0</v>
      </c>
      <c r="Q172" s="2028">
        <f t="shared" si="213"/>
        <v>0</v>
      </c>
      <c r="R172" s="2126">
        <f t="shared" si="211"/>
        <v>0</v>
      </c>
      <c r="S172" s="2127">
        <f t="shared" si="212"/>
        <v>0</v>
      </c>
      <c r="T172" s="853">
        <f t="shared" si="214"/>
        <v>0</v>
      </c>
      <c r="U172" s="1704" t="str">
        <f t="shared" si="215"/>
        <v>1.33</v>
      </c>
      <c r="V172" s="1704" t="str">
        <f t="shared" si="216"/>
        <v>D+</v>
      </c>
      <c r="W172" s="1704" t="str">
        <f t="shared" si="217"/>
        <v>0</v>
      </c>
      <c r="X172" s="1849"/>
      <c r="Y172" s="1850"/>
      <c r="Z172" s="1850"/>
      <c r="AA172" s="1850"/>
      <c r="AB172" s="1850"/>
      <c r="AC172" s="1850"/>
      <c r="AD172" s="1851"/>
      <c r="AE172" s="1851"/>
      <c r="AF172" s="1851"/>
      <c r="AG172" s="1851"/>
      <c r="AH172" s="1851"/>
      <c r="AI172" s="1852"/>
      <c r="AJ172" s="1853"/>
      <c r="AK172" s="1854"/>
    </row>
    <row r="173" spans="1:37" ht="24.95" customHeight="1" x14ac:dyDescent="0.25">
      <c r="A173" s="1687"/>
      <c r="B173" s="1688"/>
      <c r="C173" s="1270"/>
      <c r="D173" s="1686" t="s">
        <v>16</v>
      </c>
      <c r="E173" s="1494"/>
      <c r="F173" s="1494"/>
      <c r="G173" s="1494"/>
      <c r="H173" s="2087"/>
      <c r="I173" s="2087"/>
      <c r="J173" s="2087"/>
      <c r="K173" s="1494"/>
      <c r="L173" s="1494"/>
      <c r="M173" s="1494"/>
      <c r="N173" s="2087">
        <v>0</v>
      </c>
      <c r="O173" s="2087">
        <v>0</v>
      </c>
      <c r="P173" s="2087">
        <v>0</v>
      </c>
      <c r="Q173" s="2028">
        <f>MAX(E173,H173,K173,N173)</f>
        <v>0</v>
      </c>
      <c r="R173" s="2126">
        <f t="shared" si="211"/>
        <v>0</v>
      </c>
      <c r="S173" s="2127">
        <f t="shared" si="212"/>
        <v>0</v>
      </c>
      <c r="T173" s="853">
        <f>IFERROR(AVERAGE(Q173:S173),"")</f>
        <v>0</v>
      </c>
      <c r="U173" s="1704" t="str">
        <f t="shared" si="215"/>
        <v>1.33</v>
      </c>
      <c r="V173" s="1704" t="str">
        <f t="shared" si="216"/>
        <v>D+</v>
      </c>
      <c r="W173" s="1704" t="str">
        <f t="shared" si="217"/>
        <v>0</v>
      </c>
      <c r="X173" s="1849"/>
      <c r="Y173" s="1850"/>
      <c r="Z173" s="1850"/>
      <c r="AA173" s="1850"/>
      <c r="AB173" s="1850"/>
      <c r="AC173" s="1850"/>
      <c r="AD173" s="1851"/>
      <c r="AE173" s="1851"/>
      <c r="AF173" s="1851"/>
      <c r="AG173" s="1851"/>
      <c r="AH173" s="1851"/>
      <c r="AI173" s="1852"/>
      <c r="AJ173" s="1853"/>
      <c r="AK173" s="1854"/>
    </row>
    <row r="174" spans="1:37" ht="24.95" customHeight="1" x14ac:dyDescent="0.25">
      <c r="A174" s="1687"/>
      <c r="B174" s="1688"/>
      <c r="C174" s="1270"/>
      <c r="D174" s="1686" t="s">
        <v>186</v>
      </c>
      <c r="E174" s="1494"/>
      <c r="F174" s="1494"/>
      <c r="G174" s="1494"/>
      <c r="H174" s="2087"/>
      <c r="I174" s="2087"/>
      <c r="J174" s="2087"/>
      <c r="K174" s="1494">
        <v>0</v>
      </c>
      <c r="L174" s="1494">
        <v>0</v>
      </c>
      <c r="M174" s="1494">
        <v>0</v>
      </c>
      <c r="N174" s="2087"/>
      <c r="O174" s="2087"/>
      <c r="P174" s="2087"/>
      <c r="Q174" s="2028">
        <f t="shared" ref="Q174:Q175" si="218">MAX(E174,H174,K174,N174)</f>
        <v>0</v>
      </c>
      <c r="R174" s="2126">
        <f t="shared" si="211"/>
        <v>0</v>
      </c>
      <c r="S174" s="2127">
        <f t="shared" si="212"/>
        <v>0</v>
      </c>
      <c r="T174" s="853">
        <f t="shared" ref="T174:T175" si="219">IFERROR(AVERAGE(Q174:S174),"")</f>
        <v>0</v>
      </c>
      <c r="U174" s="1704" t="str">
        <f t="shared" si="215"/>
        <v>1.33</v>
      </c>
      <c r="V174" s="1704" t="str">
        <f t="shared" si="216"/>
        <v>D+</v>
      </c>
      <c r="W174" s="1704" t="str">
        <f t="shared" si="217"/>
        <v>0</v>
      </c>
      <c r="X174" s="1849"/>
      <c r="Y174" s="1850"/>
      <c r="Z174" s="1850"/>
      <c r="AA174" s="1850"/>
      <c r="AB174" s="1850"/>
      <c r="AC174" s="1850"/>
      <c r="AD174" s="1851"/>
      <c r="AE174" s="1851"/>
      <c r="AF174" s="1851"/>
      <c r="AG174" s="1851"/>
      <c r="AH174" s="1851"/>
      <c r="AI174" s="1852"/>
      <c r="AJ174" s="1853"/>
      <c r="AK174" s="1854"/>
    </row>
    <row r="175" spans="1:37" ht="24.95" customHeight="1" x14ac:dyDescent="0.25">
      <c r="A175" s="1687"/>
      <c r="B175" s="1688"/>
      <c r="C175" s="1270"/>
      <c r="D175" s="1686" t="s">
        <v>22</v>
      </c>
      <c r="E175" s="2086"/>
      <c r="F175" s="2086"/>
      <c r="G175" s="2086"/>
      <c r="H175" s="2088"/>
      <c r="I175" s="2088"/>
      <c r="J175" s="2088"/>
      <c r="K175" s="2086"/>
      <c r="L175" s="2086"/>
      <c r="M175" s="2086"/>
      <c r="N175" s="2088">
        <v>0</v>
      </c>
      <c r="O175" s="2088">
        <v>0</v>
      </c>
      <c r="P175" s="2088">
        <v>0</v>
      </c>
      <c r="Q175" s="2028">
        <f t="shared" si="218"/>
        <v>0</v>
      </c>
      <c r="R175" s="2126">
        <f t="shared" si="211"/>
        <v>0</v>
      </c>
      <c r="S175" s="2127">
        <f t="shared" si="212"/>
        <v>0</v>
      </c>
      <c r="T175" s="853">
        <f t="shared" si="219"/>
        <v>0</v>
      </c>
      <c r="U175" s="1705" t="str">
        <f t="shared" si="215"/>
        <v>1.33</v>
      </c>
      <c r="V175" s="1705" t="str">
        <f t="shared" si="216"/>
        <v>D+</v>
      </c>
      <c r="W175" s="1705" t="str">
        <f t="shared" si="217"/>
        <v>0</v>
      </c>
      <c r="X175" s="1849"/>
      <c r="Y175" s="1850"/>
      <c r="Z175" s="1850"/>
      <c r="AA175" s="1850"/>
      <c r="AB175" s="1850"/>
      <c r="AC175" s="1850"/>
      <c r="AD175" s="1851"/>
      <c r="AE175" s="1851"/>
      <c r="AF175" s="1851"/>
      <c r="AG175" s="1851"/>
      <c r="AH175" s="1851"/>
      <c r="AI175" s="1852"/>
      <c r="AJ175" s="1855"/>
      <c r="AK175" s="1856"/>
    </row>
    <row r="176" spans="1:37" ht="24.95" customHeight="1" x14ac:dyDescent="0.25">
      <c r="A176" s="1693"/>
      <c r="B176" s="1237">
        <v>24</v>
      </c>
      <c r="C176" s="1695" t="s">
        <v>167</v>
      </c>
      <c r="D176" s="1696"/>
      <c r="E176" s="1694"/>
      <c r="F176" s="1694"/>
      <c r="G176" s="1694"/>
      <c r="H176" s="1694"/>
      <c r="I176" s="1694"/>
      <c r="J176" s="1694"/>
      <c r="K176" s="1694"/>
      <c r="L176" s="1694"/>
      <c r="M176" s="1694"/>
      <c r="N176" s="1694"/>
      <c r="O176" s="1694"/>
      <c r="P176" s="1694"/>
      <c r="Q176" s="1694"/>
      <c r="R176" s="2160"/>
      <c r="S176" s="2160"/>
      <c r="T176" s="1938">
        <f>IFERROR(AVERAGE(T170:T175),"  ")</f>
        <v>0</v>
      </c>
      <c r="U176" s="1842" t="str">
        <f>IF(T176&gt;85,("4"),IF(T176&gt;80,("3.66"),IF(T176&gt;75,("3.33"),IF(T176&gt;70,("3.00"),IF(T176&gt;65,("2.66"),IF(T176&gt;60,("2.33"),IF(T176&gt;55,("2"),IF(T176&gt;50,("1.66"),"1.33"))))))))</f>
        <v>1.33</v>
      </c>
      <c r="V176" s="1842" t="str">
        <f>IF(T176&gt;85,("A"),IF(T176&gt;80,("A-"),IF(T176&gt;75,("B+"),IF(T176&gt;70,("B"),IF(T176&gt;65,("B-"),IF(T176&gt;60,("C+"),IF(T176&gt;55,("C"),IF(T176&gt;50,("C-"),"D+"))))))))</f>
        <v>D+</v>
      </c>
      <c r="W176" s="1842"/>
      <c r="X176" s="2073"/>
      <c r="Y176" s="2074"/>
      <c r="Z176" s="2074"/>
      <c r="AA176" s="2074"/>
      <c r="AB176" s="2074"/>
      <c r="AC176" s="2074"/>
      <c r="AD176" s="2074"/>
      <c r="AE176" s="2074"/>
      <c r="AF176" s="2074"/>
      <c r="AG176" s="2074"/>
      <c r="AH176" s="2074"/>
      <c r="AI176" s="2075"/>
      <c r="AJ176" s="1857"/>
      <c r="AK176" s="1858"/>
    </row>
    <row r="177" spans="1:37" ht="24.95" customHeight="1" x14ac:dyDescent="0.25">
      <c r="A177" s="1683">
        <v>25</v>
      </c>
      <c r="B177" s="1684"/>
      <c r="C177" s="1685" t="str">
        <f>VLOOKUP(A177,data_siswa,4,FALSE)</f>
        <v>Larasati Jagadhita P</v>
      </c>
      <c r="D177" s="1686" t="s">
        <v>154</v>
      </c>
      <c r="E177" s="1494">
        <v>0</v>
      </c>
      <c r="F177" s="1494">
        <v>0</v>
      </c>
      <c r="G177" s="1494">
        <v>0</v>
      </c>
      <c r="H177" s="2087">
        <v>0</v>
      </c>
      <c r="I177" s="2087">
        <v>0</v>
      </c>
      <c r="J177" s="2087">
        <v>0</v>
      </c>
      <c r="K177" s="1494"/>
      <c r="L177" s="1494"/>
      <c r="M177" s="1494"/>
      <c r="N177" s="2087"/>
      <c r="O177" s="2087"/>
      <c r="P177" s="2087"/>
      <c r="Q177" s="2028">
        <f>MAX(E177,H177,K177,N177)</f>
        <v>0</v>
      </c>
      <c r="R177" s="2126">
        <f t="shared" ref="R177:R182" si="220">MAX(F177,I177,L177,O177)</f>
        <v>0</v>
      </c>
      <c r="S177" s="2127">
        <f t="shared" ref="S177:S182" si="221">MAX(G177,J177,M177,P177)</f>
        <v>0</v>
      </c>
      <c r="T177" s="853">
        <f>IFERROR(AVERAGE(Q177:S177),"")</f>
        <v>0</v>
      </c>
      <c r="U177" s="1704" t="str">
        <f>IF(T177&gt;85,("4"),IF(T177&gt;80,("3.66"),IF(T177&gt;75,("3.33"),IF(T177&gt;70,("3.00"),IF(T177&gt;65,("2.66"),IF(T177&gt;60,("2.33"),IF(T177&gt;55,("2"),IF(T177&gt;50,("1.66"),"1.33"))))))))</f>
        <v>1.33</v>
      </c>
      <c r="V177" s="1704" t="str">
        <f>IF(T177&gt;85,("A"),IF(T177&gt;80,("A-"),IF(T177&gt;75,("B+"),IF(T177&gt;70,("B"),IF(T177&gt;65,("B-"),IF(T177&gt;60,("C+"),IF(T177&gt;55,("C"),IF(T177&gt;50,("C-"),"D+"))))))))</f>
        <v>D+</v>
      </c>
      <c r="W177" s="1704" t="str">
        <f>IF(T177&gt;80,("SB"),IF(T177&gt;65,("B"),IF(T177&gt;50,("C"),IF(T177&gt;0,("K"),"0"))))</f>
        <v>0</v>
      </c>
      <c r="X177" s="1267"/>
      <c r="Y177" s="1267"/>
      <c r="Z177" s="1267"/>
      <c r="AA177" s="1267"/>
      <c r="AB177" s="1267"/>
      <c r="AC177" s="1267"/>
      <c r="AD177" s="1268"/>
      <c r="AE177" s="1268"/>
      <c r="AF177" s="1268"/>
      <c r="AG177" s="1268"/>
      <c r="AH177" s="1268"/>
      <c r="AI177" s="1268"/>
      <c r="AJ177" s="2099">
        <f>T183</f>
        <v>0</v>
      </c>
      <c r="AK177" s="2095" t="str">
        <f>V183</f>
        <v>D+</v>
      </c>
    </row>
    <row r="178" spans="1:37" ht="24.95" customHeight="1" x14ac:dyDescent="0.25">
      <c r="A178" s="1687"/>
      <c r="B178" s="1688"/>
      <c r="C178" s="1270"/>
      <c r="D178" s="1686" t="s">
        <v>155</v>
      </c>
      <c r="E178" s="1494">
        <v>0</v>
      </c>
      <c r="F178" s="1494">
        <v>0</v>
      </c>
      <c r="G178" s="1494">
        <v>0</v>
      </c>
      <c r="H178" s="2087">
        <v>0</v>
      </c>
      <c r="I178" s="2087">
        <v>0</v>
      </c>
      <c r="J178" s="2087">
        <v>0</v>
      </c>
      <c r="K178" s="1494">
        <v>0</v>
      </c>
      <c r="L178" s="1494">
        <v>0</v>
      </c>
      <c r="M178" s="1494">
        <v>0</v>
      </c>
      <c r="N178" s="2087"/>
      <c r="O178" s="2087"/>
      <c r="P178" s="2087"/>
      <c r="Q178" s="2028">
        <f t="shared" ref="Q178:Q179" si="222">MAX(E178,H178,K178,N178)</f>
        <v>0</v>
      </c>
      <c r="R178" s="2126">
        <f t="shared" si="220"/>
        <v>0</v>
      </c>
      <c r="S178" s="2127">
        <f t="shared" si="221"/>
        <v>0</v>
      </c>
      <c r="T178" s="853">
        <f t="shared" ref="T178:T179" si="223">IFERROR(AVERAGE(Q178:S178),"")</f>
        <v>0</v>
      </c>
      <c r="U178" s="1704" t="str">
        <f t="shared" ref="U178:U182" si="224">IF(T178&gt;85,("4"),IF(T178&gt;80,("3.66"),IF(T178&gt;75,("3.33"),IF(T178&gt;70,("3.00"),IF(T178&gt;65,("2.66"),IF(T178&gt;60,("2.33"),IF(T178&gt;55,("2"),IF(T178&gt;50,("1.66"),"1.33"))))))))</f>
        <v>1.33</v>
      </c>
      <c r="V178" s="1704" t="str">
        <f t="shared" ref="V178:V182" si="225">IF(T178&gt;85,("A"),IF(T178&gt;80,("A-"),IF(T178&gt;75,("B+"),IF(T178&gt;70,("B"),IF(T178&gt;65,("B-"),IF(T178&gt;60,("C+"),IF(T178&gt;55,("C"),IF(T178&gt;50,("C-"),"D+"))))))))</f>
        <v>D+</v>
      </c>
      <c r="W178" s="1704" t="str">
        <f t="shared" ref="W178:W182" si="226">IF(T178&gt;80,("SB"),IF(T178&gt;65,("B"),IF(T178&gt;50,("C"),IF(T178&gt;0,("K"),"0"))))</f>
        <v>0</v>
      </c>
      <c r="X178" s="1843"/>
      <c r="Y178" s="1844"/>
      <c r="Z178" s="1844"/>
      <c r="AA178" s="1844"/>
      <c r="AB178" s="1844"/>
      <c r="AC178" s="1844"/>
      <c r="AD178" s="1845"/>
      <c r="AE178" s="1845"/>
      <c r="AF178" s="1845"/>
      <c r="AG178" s="1845"/>
      <c r="AH178" s="1845"/>
      <c r="AI178" s="1846"/>
      <c r="AJ178" s="1847"/>
      <c r="AK178" s="1848"/>
    </row>
    <row r="179" spans="1:37" ht="24.95" customHeight="1" x14ac:dyDescent="0.25">
      <c r="A179" s="1687"/>
      <c r="B179" s="1688"/>
      <c r="C179" s="1270"/>
      <c r="D179" s="1686" t="s">
        <v>11</v>
      </c>
      <c r="E179" s="1494">
        <v>0</v>
      </c>
      <c r="F179" s="1494">
        <v>0</v>
      </c>
      <c r="G179" s="1494">
        <v>0</v>
      </c>
      <c r="H179" s="2087">
        <v>0</v>
      </c>
      <c r="I179" s="2087">
        <v>0</v>
      </c>
      <c r="J179" s="2087">
        <v>0</v>
      </c>
      <c r="K179" s="1494">
        <v>0</v>
      </c>
      <c r="L179" s="1494">
        <v>0</v>
      </c>
      <c r="M179" s="1494">
        <v>0</v>
      </c>
      <c r="N179" s="2087">
        <v>0</v>
      </c>
      <c r="O179" s="2087">
        <v>0</v>
      </c>
      <c r="P179" s="2087">
        <v>0</v>
      </c>
      <c r="Q179" s="2028">
        <f t="shared" si="222"/>
        <v>0</v>
      </c>
      <c r="R179" s="2126">
        <f t="shared" si="220"/>
        <v>0</v>
      </c>
      <c r="S179" s="2127">
        <f t="shared" si="221"/>
        <v>0</v>
      </c>
      <c r="T179" s="853">
        <f t="shared" si="223"/>
        <v>0</v>
      </c>
      <c r="U179" s="1704" t="str">
        <f t="shared" si="224"/>
        <v>1.33</v>
      </c>
      <c r="V179" s="1704" t="str">
        <f t="shared" si="225"/>
        <v>D+</v>
      </c>
      <c r="W179" s="1704" t="str">
        <f t="shared" si="226"/>
        <v>0</v>
      </c>
      <c r="X179" s="1849"/>
      <c r="Y179" s="1850"/>
      <c r="Z179" s="1850"/>
      <c r="AA179" s="1850"/>
      <c r="AB179" s="1850"/>
      <c r="AC179" s="1850"/>
      <c r="AD179" s="1851"/>
      <c r="AE179" s="1851"/>
      <c r="AF179" s="1851"/>
      <c r="AG179" s="1851"/>
      <c r="AH179" s="1851"/>
      <c r="AI179" s="1852"/>
      <c r="AJ179" s="1853"/>
      <c r="AK179" s="1854"/>
    </row>
    <row r="180" spans="1:37" ht="24.95" customHeight="1" x14ac:dyDescent="0.25">
      <c r="A180" s="1687"/>
      <c r="B180" s="1688"/>
      <c r="C180" s="1270"/>
      <c r="D180" s="1686" t="s">
        <v>16</v>
      </c>
      <c r="E180" s="1494"/>
      <c r="F180" s="1494"/>
      <c r="G180" s="1494"/>
      <c r="H180" s="2087"/>
      <c r="I180" s="2087"/>
      <c r="J180" s="2087"/>
      <c r="K180" s="1494"/>
      <c r="L180" s="1494"/>
      <c r="M180" s="1494"/>
      <c r="N180" s="2087">
        <v>0</v>
      </c>
      <c r="O180" s="2087">
        <v>0</v>
      </c>
      <c r="P180" s="2087">
        <v>0</v>
      </c>
      <c r="Q180" s="2028">
        <f>MAX(E180,H180,K180,N180)</f>
        <v>0</v>
      </c>
      <c r="R180" s="2126">
        <f t="shared" si="220"/>
        <v>0</v>
      </c>
      <c r="S180" s="2127">
        <f t="shared" si="221"/>
        <v>0</v>
      </c>
      <c r="T180" s="853">
        <f>IFERROR(AVERAGE(Q180:S180),"")</f>
        <v>0</v>
      </c>
      <c r="U180" s="1704" t="str">
        <f t="shared" si="224"/>
        <v>1.33</v>
      </c>
      <c r="V180" s="1704" t="str">
        <f t="shared" si="225"/>
        <v>D+</v>
      </c>
      <c r="W180" s="1704" t="str">
        <f t="shared" si="226"/>
        <v>0</v>
      </c>
      <c r="X180" s="1849"/>
      <c r="Y180" s="1850"/>
      <c r="Z180" s="1850"/>
      <c r="AA180" s="1850"/>
      <c r="AB180" s="1850"/>
      <c r="AC180" s="1850"/>
      <c r="AD180" s="1851"/>
      <c r="AE180" s="1851"/>
      <c r="AF180" s="1851"/>
      <c r="AG180" s="1851"/>
      <c r="AH180" s="1851"/>
      <c r="AI180" s="1852"/>
      <c r="AJ180" s="1853"/>
      <c r="AK180" s="1854"/>
    </row>
    <row r="181" spans="1:37" ht="24.95" customHeight="1" x14ac:dyDescent="0.25">
      <c r="A181" s="1687"/>
      <c r="B181" s="1688"/>
      <c r="C181" s="1270"/>
      <c r="D181" s="1686" t="s">
        <v>186</v>
      </c>
      <c r="E181" s="1494"/>
      <c r="F181" s="1494"/>
      <c r="G181" s="1494"/>
      <c r="H181" s="2087"/>
      <c r="I181" s="2087"/>
      <c r="J181" s="2087"/>
      <c r="K181" s="1494">
        <v>0</v>
      </c>
      <c r="L181" s="1494">
        <v>0</v>
      </c>
      <c r="M181" s="1494">
        <v>0</v>
      </c>
      <c r="N181" s="2087"/>
      <c r="O181" s="2087"/>
      <c r="P181" s="2087"/>
      <c r="Q181" s="2028">
        <f t="shared" ref="Q181:Q182" si="227">MAX(E181,H181,K181,N181)</f>
        <v>0</v>
      </c>
      <c r="R181" s="2126">
        <f t="shared" si="220"/>
        <v>0</v>
      </c>
      <c r="S181" s="2127">
        <f t="shared" si="221"/>
        <v>0</v>
      </c>
      <c r="T181" s="853">
        <f t="shared" ref="T181:T182" si="228">IFERROR(AVERAGE(Q181:S181),"")</f>
        <v>0</v>
      </c>
      <c r="U181" s="1704" t="str">
        <f t="shared" si="224"/>
        <v>1.33</v>
      </c>
      <c r="V181" s="1704" t="str">
        <f t="shared" si="225"/>
        <v>D+</v>
      </c>
      <c r="W181" s="1704" t="str">
        <f t="shared" si="226"/>
        <v>0</v>
      </c>
      <c r="X181" s="1849"/>
      <c r="Y181" s="1850"/>
      <c r="Z181" s="1850"/>
      <c r="AA181" s="1850"/>
      <c r="AB181" s="1850"/>
      <c r="AC181" s="1850"/>
      <c r="AD181" s="1851"/>
      <c r="AE181" s="1851"/>
      <c r="AF181" s="1851"/>
      <c r="AG181" s="1851"/>
      <c r="AH181" s="1851"/>
      <c r="AI181" s="1852"/>
      <c r="AJ181" s="1853"/>
      <c r="AK181" s="1854"/>
    </row>
    <row r="182" spans="1:37" ht="24.95" customHeight="1" x14ac:dyDescent="0.25">
      <c r="A182" s="1687"/>
      <c r="B182" s="1688"/>
      <c r="C182" s="1270"/>
      <c r="D182" s="1686" t="s">
        <v>22</v>
      </c>
      <c r="E182" s="2086"/>
      <c r="F182" s="2086"/>
      <c r="G182" s="2086"/>
      <c r="H182" s="2088"/>
      <c r="I182" s="2088"/>
      <c r="J182" s="2088"/>
      <c r="K182" s="2086"/>
      <c r="L182" s="2086"/>
      <c r="M182" s="2086"/>
      <c r="N182" s="2088">
        <v>0</v>
      </c>
      <c r="O182" s="2088">
        <v>0</v>
      </c>
      <c r="P182" s="2088">
        <v>0</v>
      </c>
      <c r="Q182" s="2028">
        <f t="shared" si="227"/>
        <v>0</v>
      </c>
      <c r="R182" s="2126">
        <f t="shared" si="220"/>
        <v>0</v>
      </c>
      <c r="S182" s="2127">
        <f t="shared" si="221"/>
        <v>0</v>
      </c>
      <c r="T182" s="853">
        <f t="shared" si="228"/>
        <v>0</v>
      </c>
      <c r="U182" s="1705" t="str">
        <f t="shared" si="224"/>
        <v>1.33</v>
      </c>
      <c r="V182" s="1705" t="str">
        <f t="shared" si="225"/>
        <v>D+</v>
      </c>
      <c r="W182" s="1705" t="str">
        <f t="shared" si="226"/>
        <v>0</v>
      </c>
      <c r="X182" s="1849"/>
      <c r="Y182" s="1850"/>
      <c r="Z182" s="1850"/>
      <c r="AA182" s="1850"/>
      <c r="AB182" s="1850"/>
      <c r="AC182" s="1850"/>
      <c r="AD182" s="1851"/>
      <c r="AE182" s="1851"/>
      <c r="AF182" s="1851"/>
      <c r="AG182" s="1851"/>
      <c r="AH182" s="1851"/>
      <c r="AI182" s="1852"/>
      <c r="AJ182" s="1855"/>
      <c r="AK182" s="1856"/>
    </row>
    <row r="183" spans="1:37" ht="24.95" customHeight="1" x14ac:dyDescent="0.25">
      <c r="A183" s="1693"/>
      <c r="B183" s="1237">
        <v>25</v>
      </c>
      <c r="C183" s="1695" t="s">
        <v>167</v>
      </c>
      <c r="D183" s="1696"/>
      <c r="E183" s="1694"/>
      <c r="F183" s="1694"/>
      <c r="G183" s="1694"/>
      <c r="H183" s="1694"/>
      <c r="I183" s="1694"/>
      <c r="J183" s="1694"/>
      <c r="K183" s="1694"/>
      <c r="L183" s="1694"/>
      <c r="M183" s="1694"/>
      <c r="N183" s="1694"/>
      <c r="O183" s="1694"/>
      <c r="P183" s="1694"/>
      <c r="Q183" s="1694"/>
      <c r="R183" s="2160"/>
      <c r="S183" s="2160"/>
      <c r="T183" s="1938">
        <f>IFERROR(AVERAGE(T177:T182),"  ")</f>
        <v>0</v>
      </c>
      <c r="U183" s="1842" t="str">
        <f>IF(T183&gt;85,("4"),IF(T183&gt;80,("3.66"),IF(T183&gt;75,("3.33"),IF(T183&gt;70,("3.00"),IF(T183&gt;65,("2.66"),IF(T183&gt;60,("2.33"),IF(T183&gt;55,("2"),IF(T183&gt;50,("1.66"),"1.33"))))))))</f>
        <v>1.33</v>
      </c>
      <c r="V183" s="1842" t="str">
        <f>IF(T183&gt;85,("A"),IF(T183&gt;80,("A-"),IF(T183&gt;75,("B+"),IF(T183&gt;70,("B"),IF(T183&gt;65,("B-"),IF(T183&gt;60,("C+"),IF(T183&gt;55,("C"),IF(T183&gt;50,("C-"),"D+"))))))))</f>
        <v>D+</v>
      </c>
      <c r="W183" s="1842"/>
      <c r="X183" s="2073"/>
      <c r="Y183" s="2074"/>
      <c r="Z183" s="2074"/>
      <c r="AA183" s="2074"/>
      <c r="AB183" s="2074"/>
      <c r="AC183" s="2074"/>
      <c r="AD183" s="2074"/>
      <c r="AE183" s="2074"/>
      <c r="AF183" s="2074"/>
      <c r="AG183" s="2074"/>
      <c r="AH183" s="2074"/>
      <c r="AI183" s="2075"/>
      <c r="AJ183" s="1857"/>
      <c r="AK183" s="1858"/>
    </row>
    <row r="184" spans="1:37" ht="24.95" customHeight="1" x14ac:dyDescent="0.25">
      <c r="A184" s="1683">
        <v>26</v>
      </c>
      <c r="B184" s="1684"/>
      <c r="C184" s="1685" t="str">
        <f>VLOOKUP(A184,data_siswa,4,FALSE)</f>
        <v>Meliana Citra A</v>
      </c>
      <c r="D184" s="1686" t="s">
        <v>154</v>
      </c>
      <c r="E184" s="1494">
        <v>0</v>
      </c>
      <c r="F184" s="1494">
        <v>0</v>
      </c>
      <c r="G184" s="1494">
        <v>0</v>
      </c>
      <c r="H184" s="2087">
        <v>0</v>
      </c>
      <c r="I184" s="2087">
        <v>0</v>
      </c>
      <c r="J184" s="2087">
        <v>0</v>
      </c>
      <c r="K184" s="1494"/>
      <c r="L184" s="1494"/>
      <c r="M184" s="1494"/>
      <c r="N184" s="2087"/>
      <c r="O184" s="2087"/>
      <c r="P184" s="2087"/>
      <c r="Q184" s="2028">
        <f>MAX(E184,H184,K184,N184)</f>
        <v>0</v>
      </c>
      <c r="R184" s="2126">
        <f t="shared" ref="R184:R189" si="229">MAX(F184,I184,L184,O184)</f>
        <v>0</v>
      </c>
      <c r="S184" s="2127">
        <f t="shared" ref="S184:S189" si="230">MAX(G184,J184,M184,P184)</f>
        <v>0</v>
      </c>
      <c r="T184" s="853">
        <f>IFERROR(AVERAGE(Q184:S184),"")</f>
        <v>0</v>
      </c>
      <c r="U184" s="1704" t="str">
        <f>IF(T184&gt;85,("4"),IF(T184&gt;80,("3.66"),IF(T184&gt;75,("3.33"),IF(T184&gt;70,("3.00"),IF(T184&gt;65,("2.66"),IF(T184&gt;60,("2.33"),IF(T184&gt;55,("2"),IF(T184&gt;50,("1.66"),"1.33"))))))))</f>
        <v>1.33</v>
      </c>
      <c r="V184" s="1704" t="str">
        <f>IF(T184&gt;85,("A"),IF(T184&gt;80,("A-"),IF(T184&gt;75,("B+"),IF(T184&gt;70,("B"),IF(T184&gt;65,("B-"),IF(T184&gt;60,("C+"),IF(T184&gt;55,("C"),IF(T184&gt;50,("C-"),"D+"))))))))</f>
        <v>D+</v>
      </c>
      <c r="W184" s="1704" t="str">
        <f>IF(T184&gt;80,("SB"),IF(T184&gt;65,("B"),IF(T184&gt;50,("C"),IF(T184&gt;0,("K"),"0"))))</f>
        <v>0</v>
      </c>
      <c r="X184" s="1267"/>
      <c r="Y184" s="1267"/>
      <c r="Z184" s="1267"/>
      <c r="AA184" s="1267"/>
      <c r="AB184" s="1267"/>
      <c r="AC184" s="1267"/>
      <c r="AD184" s="1268"/>
      <c r="AE184" s="1268"/>
      <c r="AF184" s="1268"/>
      <c r="AG184" s="1268"/>
      <c r="AH184" s="1268"/>
      <c r="AI184" s="1268"/>
      <c r="AJ184" s="2099">
        <f>T190</f>
        <v>0</v>
      </c>
      <c r="AK184" s="2095" t="str">
        <f>V190</f>
        <v>D+</v>
      </c>
    </row>
    <row r="185" spans="1:37" ht="24.95" customHeight="1" x14ac:dyDescent="0.25">
      <c r="A185" s="1687"/>
      <c r="B185" s="1688"/>
      <c r="C185" s="1270"/>
      <c r="D185" s="1686" t="s">
        <v>155</v>
      </c>
      <c r="E185" s="1494">
        <v>0</v>
      </c>
      <c r="F185" s="1494">
        <v>0</v>
      </c>
      <c r="G185" s="1494">
        <v>0</v>
      </c>
      <c r="H185" s="2087">
        <v>0</v>
      </c>
      <c r="I185" s="2087">
        <v>0</v>
      </c>
      <c r="J185" s="2087">
        <v>0</v>
      </c>
      <c r="K185" s="1494">
        <v>0</v>
      </c>
      <c r="L185" s="1494">
        <v>0</v>
      </c>
      <c r="M185" s="1494">
        <v>0</v>
      </c>
      <c r="N185" s="2087"/>
      <c r="O185" s="2087"/>
      <c r="P185" s="2087"/>
      <c r="Q185" s="2028">
        <f t="shared" ref="Q185:Q186" si="231">MAX(E185,H185,K185,N185)</f>
        <v>0</v>
      </c>
      <c r="R185" s="2126">
        <f t="shared" si="229"/>
        <v>0</v>
      </c>
      <c r="S185" s="2127">
        <f t="shared" si="230"/>
        <v>0</v>
      </c>
      <c r="T185" s="853">
        <f t="shared" ref="T185:T186" si="232">IFERROR(AVERAGE(Q185:S185),"")</f>
        <v>0</v>
      </c>
      <c r="U185" s="1704" t="str">
        <f t="shared" ref="U185:U189" si="233">IF(T185&gt;85,("4"),IF(T185&gt;80,("3.66"),IF(T185&gt;75,("3.33"),IF(T185&gt;70,("3.00"),IF(T185&gt;65,("2.66"),IF(T185&gt;60,("2.33"),IF(T185&gt;55,("2"),IF(T185&gt;50,("1.66"),"1.33"))))))))</f>
        <v>1.33</v>
      </c>
      <c r="V185" s="1704" t="str">
        <f t="shared" ref="V185:V189" si="234">IF(T185&gt;85,("A"),IF(T185&gt;80,("A-"),IF(T185&gt;75,("B+"),IF(T185&gt;70,("B"),IF(T185&gt;65,("B-"),IF(T185&gt;60,("C+"),IF(T185&gt;55,("C"),IF(T185&gt;50,("C-"),"D+"))))))))</f>
        <v>D+</v>
      </c>
      <c r="W185" s="1704" t="str">
        <f t="shared" ref="W185:W189" si="235">IF(T185&gt;80,("SB"),IF(T185&gt;65,("B"),IF(T185&gt;50,("C"),IF(T185&gt;0,("K"),"0"))))</f>
        <v>0</v>
      </c>
      <c r="X185" s="1843"/>
      <c r="Y185" s="1844"/>
      <c r="Z185" s="1844"/>
      <c r="AA185" s="1844"/>
      <c r="AB185" s="1844"/>
      <c r="AC185" s="1844"/>
      <c r="AD185" s="1845"/>
      <c r="AE185" s="1845"/>
      <c r="AF185" s="1845"/>
      <c r="AG185" s="1845"/>
      <c r="AH185" s="1845"/>
      <c r="AI185" s="1846"/>
      <c r="AJ185" s="1847"/>
      <c r="AK185" s="1848"/>
    </row>
    <row r="186" spans="1:37" ht="24.95" customHeight="1" x14ac:dyDescent="0.25">
      <c r="A186" s="1687"/>
      <c r="B186" s="1688"/>
      <c r="C186" s="1270"/>
      <c r="D186" s="1686" t="s">
        <v>11</v>
      </c>
      <c r="E186" s="1494">
        <v>0</v>
      </c>
      <c r="F186" s="1494">
        <v>0</v>
      </c>
      <c r="G186" s="1494">
        <v>0</v>
      </c>
      <c r="H186" s="2087">
        <v>0</v>
      </c>
      <c r="I186" s="2087">
        <v>0</v>
      </c>
      <c r="J186" s="2087">
        <v>0</v>
      </c>
      <c r="K186" s="1494">
        <v>0</v>
      </c>
      <c r="L186" s="1494">
        <v>0</v>
      </c>
      <c r="M186" s="1494">
        <v>0</v>
      </c>
      <c r="N186" s="2087">
        <v>0</v>
      </c>
      <c r="O186" s="2087">
        <v>0</v>
      </c>
      <c r="P186" s="2087">
        <v>0</v>
      </c>
      <c r="Q186" s="2028">
        <f t="shared" si="231"/>
        <v>0</v>
      </c>
      <c r="R186" s="2126">
        <f t="shared" si="229"/>
        <v>0</v>
      </c>
      <c r="S186" s="2127">
        <f t="shared" si="230"/>
        <v>0</v>
      </c>
      <c r="T186" s="853">
        <f t="shared" si="232"/>
        <v>0</v>
      </c>
      <c r="U186" s="1704" t="str">
        <f t="shared" si="233"/>
        <v>1.33</v>
      </c>
      <c r="V186" s="1704" t="str">
        <f t="shared" si="234"/>
        <v>D+</v>
      </c>
      <c r="W186" s="1704" t="str">
        <f t="shared" si="235"/>
        <v>0</v>
      </c>
      <c r="X186" s="1849"/>
      <c r="Y186" s="1850"/>
      <c r="Z186" s="1850"/>
      <c r="AA186" s="1850"/>
      <c r="AB186" s="1850"/>
      <c r="AC186" s="1850"/>
      <c r="AD186" s="1851"/>
      <c r="AE186" s="1851"/>
      <c r="AF186" s="1851"/>
      <c r="AG186" s="1851"/>
      <c r="AH186" s="1851"/>
      <c r="AI186" s="1852"/>
      <c r="AJ186" s="1853"/>
      <c r="AK186" s="1854"/>
    </row>
    <row r="187" spans="1:37" ht="24.95" customHeight="1" x14ac:dyDescent="0.25">
      <c r="A187" s="1687"/>
      <c r="B187" s="1688"/>
      <c r="C187" s="1270"/>
      <c r="D187" s="1686" t="s">
        <v>16</v>
      </c>
      <c r="E187" s="1494"/>
      <c r="F187" s="1494"/>
      <c r="G187" s="1494"/>
      <c r="H187" s="2087"/>
      <c r="I187" s="2087"/>
      <c r="J187" s="2087"/>
      <c r="K187" s="1494"/>
      <c r="L187" s="1494"/>
      <c r="M187" s="1494"/>
      <c r="N187" s="2087">
        <v>0</v>
      </c>
      <c r="O187" s="2087">
        <v>0</v>
      </c>
      <c r="P187" s="2087">
        <v>0</v>
      </c>
      <c r="Q187" s="2028">
        <f>MAX(E187,H187,K187,N187)</f>
        <v>0</v>
      </c>
      <c r="R187" s="2126">
        <f t="shared" si="229"/>
        <v>0</v>
      </c>
      <c r="S187" s="2127">
        <f t="shared" si="230"/>
        <v>0</v>
      </c>
      <c r="T187" s="853">
        <f>IFERROR(AVERAGE(Q187:S187),"")</f>
        <v>0</v>
      </c>
      <c r="U187" s="1704" t="str">
        <f t="shared" si="233"/>
        <v>1.33</v>
      </c>
      <c r="V187" s="1704" t="str">
        <f t="shared" si="234"/>
        <v>D+</v>
      </c>
      <c r="W187" s="1704" t="str">
        <f t="shared" si="235"/>
        <v>0</v>
      </c>
      <c r="X187" s="1849"/>
      <c r="Y187" s="1850"/>
      <c r="Z187" s="1850"/>
      <c r="AA187" s="1850"/>
      <c r="AB187" s="1850"/>
      <c r="AC187" s="1850"/>
      <c r="AD187" s="1851"/>
      <c r="AE187" s="1851"/>
      <c r="AF187" s="1851"/>
      <c r="AG187" s="1851"/>
      <c r="AH187" s="1851"/>
      <c r="AI187" s="1852"/>
      <c r="AJ187" s="1853"/>
      <c r="AK187" s="1854"/>
    </row>
    <row r="188" spans="1:37" ht="24.95" customHeight="1" x14ac:dyDescent="0.25">
      <c r="A188" s="1687"/>
      <c r="B188" s="1688"/>
      <c r="C188" s="1270"/>
      <c r="D188" s="1686" t="s">
        <v>186</v>
      </c>
      <c r="E188" s="1494"/>
      <c r="F188" s="1494"/>
      <c r="G188" s="1494"/>
      <c r="H188" s="2087"/>
      <c r="I188" s="2087"/>
      <c r="J188" s="2087"/>
      <c r="K188" s="1494">
        <v>0</v>
      </c>
      <c r="L188" s="1494">
        <v>0</v>
      </c>
      <c r="M188" s="1494">
        <v>0</v>
      </c>
      <c r="N188" s="2087"/>
      <c r="O188" s="2087"/>
      <c r="P188" s="2087"/>
      <c r="Q188" s="2028">
        <f t="shared" ref="Q188:Q189" si="236">MAX(E188,H188,K188,N188)</f>
        <v>0</v>
      </c>
      <c r="R188" s="2126">
        <f t="shared" si="229"/>
        <v>0</v>
      </c>
      <c r="S188" s="2127">
        <f t="shared" si="230"/>
        <v>0</v>
      </c>
      <c r="T188" s="853">
        <f t="shared" ref="T188:T189" si="237">IFERROR(AVERAGE(Q188:S188),"")</f>
        <v>0</v>
      </c>
      <c r="U188" s="1704" t="str">
        <f t="shared" si="233"/>
        <v>1.33</v>
      </c>
      <c r="V188" s="1704" t="str">
        <f t="shared" si="234"/>
        <v>D+</v>
      </c>
      <c r="W188" s="1704" t="str">
        <f t="shared" si="235"/>
        <v>0</v>
      </c>
      <c r="X188" s="1849"/>
      <c r="Y188" s="1850"/>
      <c r="Z188" s="1850"/>
      <c r="AA188" s="1850"/>
      <c r="AB188" s="1850"/>
      <c r="AC188" s="1850"/>
      <c r="AD188" s="1851"/>
      <c r="AE188" s="1851"/>
      <c r="AF188" s="1851"/>
      <c r="AG188" s="1851"/>
      <c r="AH188" s="1851"/>
      <c r="AI188" s="1852"/>
      <c r="AJ188" s="1853"/>
      <c r="AK188" s="1854"/>
    </row>
    <row r="189" spans="1:37" ht="24.95" customHeight="1" x14ac:dyDescent="0.25">
      <c r="A189" s="1687"/>
      <c r="B189" s="1688"/>
      <c r="C189" s="1270"/>
      <c r="D189" s="1686" t="s">
        <v>22</v>
      </c>
      <c r="E189" s="2086"/>
      <c r="F189" s="2086"/>
      <c r="G189" s="2086"/>
      <c r="H189" s="2088"/>
      <c r="I189" s="2088"/>
      <c r="J189" s="2088"/>
      <c r="K189" s="2086"/>
      <c r="L189" s="2086"/>
      <c r="M189" s="2086"/>
      <c r="N189" s="2088">
        <v>0</v>
      </c>
      <c r="O189" s="2088">
        <v>0</v>
      </c>
      <c r="P189" s="2088">
        <v>0</v>
      </c>
      <c r="Q189" s="2028">
        <f t="shared" si="236"/>
        <v>0</v>
      </c>
      <c r="R189" s="2126">
        <f t="shared" si="229"/>
        <v>0</v>
      </c>
      <c r="S189" s="2127">
        <f t="shared" si="230"/>
        <v>0</v>
      </c>
      <c r="T189" s="853">
        <f t="shared" si="237"/>
        <v>0</v>
      </c>
      <c r="U189" s="1705" t="str">
        <f t="shared" si="233"/>
        <v>1.33</v>
      </c>
      <c r="V189" s="1705" t="str">
        <f t="shared" si="234"/>
        <v>D+</v>
      </c>
      <c r="W189" s="1705" t="str">
        <f t="shared" si="235"/>
        <v>0</v>
      </c>
      <c r="X189" s="1849"/>
      <c r="Y189" s="1850"/>
      <c r="Z189" s="1850"/>
      <c r="AA189" s="1850"/>
      <c r="AB189" s="1850"/>
      <c r="AC189" s="1850"/>
      <c r="AD189" s="1851"/>
      <c r="AE189" s="1851"/>
      <c r="AF189" s="1851"/>
      <c r="AG189" s="1851"/>
      <c r="AH189" s="1851"/>
      <c r="AI189" s="1852"/>
      <c r="AJ189" s="1855"/>
      <c r="AK189" s="1856"/>
    </row>
    <row r="190" spans="1:37" ht="24.95" customHeight="1" x14ac:dyDescent="0.25">
      <c r="A190" s="1693"/>
      <c r="B190" s="1237">
        <v>26</v>
      </c>
      <c r="C190" s="1695" t="s">
        <v>167</v>
      </c>
      <c r="D190" s="1696"/>
      <c r="E190" s="1694"/>
      <c r="F190" s="1694"/>
      <c r="G190" s="1694"/>
      <c r="H190" s="1694"/>
      <c r="I190" s="1694"/>
      <c r="J190" s="1694"/>
      <c r="K190" s="1694"/>
      <c r="L190" s="1694"/>
      <c r="M190" s="1694"/>
      <c r="N190" s="1694"/>
      <c r="O190" s="1694"/>
      <c r="P190" s="1694"/>
      <c r="Q190" s="1694"/>
      <c r="R190" s="2160"/>
      <c r="S190" s="2160"/>
      <c r="T190" s="1938">
        <f>IFERROR(AVERAGE(T184:T189),"  ")</f>
        <v>0</v>
      </c>
      <c r="U190" s="1842" t="str">
        <f>IF(T190&gt;85,("4"),IF(T190&gt;80,("3.66"),IF(T190&gt;75,("3.33"),IF(T190&gt;70,("3.00"),IF(T190&gt;65,("2.66"),IF(T190&gt;60,("2.33"),IF(T190&gt;55,("2"),IF(T190&gt;50,("1.66"),"1.33"))))))))</f>
        <v>1.33</v>
      </c>
      <c r="V190" s="1842" t="str">
        <f>IF(T190&gt;85,("A"),IF(T190&gt;80,("A-"),IF(T190&gt;75,("B+"),IF(T190&gt;70,("B"),IF(T190&gt;65,("B-"),IF(T190&gt;60,("C+"),IF(T190&gt;55,("C"),IF(T190&gt;50,("C-"),"D+"))))))))</f>
        <v>D+</v>
      </c>
      <c r="W190" s="1842"/>
      <c r="X190" s="2073"/>
      <c r="Y190" s="2074"/>
      <c r="Z190" s="2074"/>
      <c r="AA190" s="2074"/>
      <c r="AB190" s="2074"/>
      <c r="AC190" s="2074"/>
      <c r="AD190" s="2074"/>
      <c r="AE190" s="2074"/>
      <c r="AF190" s="2074"/>
      <c r="AG190" s="2074"/>
      <c r="AH190" s="2074"/>
      <c r="AI190" s="2075"/>
      <c r="AJ190" s="1857"/>
      <c r="AK190" s="1858"/>
    </row>
    <row r="191" spans="1:37" ht="24.95" customHeight="1" x14ac:dyDescent="0.25">
      <c r="A191" s="1683">
        <v>27</v>
      </c>
      <c r="B191" s="1684"/>
      <c r="C191" s="1685" t="str">
        <f>VLOOKUP(A191,data_siswa,4,FALSE)</f>
        <v>Mohammad Rizky</v>
      </c>
      <c r="D191" s="1686" t="s">
        <v>154</v>
      </c>
      <c r="E191" s="1494">
        <v>0</v>
      </c>
      <c r="F191" s="1494">
        <v>0</v>
      </c>
      <c r="G191" s="1494">
        <v>0</v>
      </c>
      <c r="H191" s="2087">
        <v>0</v>
      </c>
      <c r="I191" s="2087">
        <v>0</v>
      </c>
      <c r="J191" s="2087">
        <v>0</v>
      </c>
      <c r="K191" s="1494"/>
      <c r="L191" s="1494"/>
      <c r="M191" s="1494"/>
      <c r="N191" s="2087"/>
      <c r="O191" s="2087"/>
      <c r="P191" s="2087"/>
      <c r="Q191" s="2028">
        <f>MAX(E191,H191,K191,N191)</f>
        <v>0</v>
      </c>
      <c r="R191" s="2126">
        <f t="shared" ref="R191:R196" si="238">MAX(F191,I191,L191,O191)</f>
        <v>0</v>
      </c>
      <c r="S191" s="2127">
        <f t="shared" ref="S191:S196" si="239">MAX(G191,J191,M191,P191)</f>
        <v>0</v>
      </c>
      <c r="T191" s="853">
        <f>IFERROR(AVERAGE(Q191:S191),"")</f>
        <v>0</v>
      </c>
      <c r="U191" s="1704" t="str">
        <f>IF(T191&gt;85,("4"),IF(T191&gt;80,("3.66"),IF(T191&gt;75,("3.33"),IF(T191&gt;70,("3.00"),IF(T191&gt;65,("2.66"),IF(T191&gt;60,("2.33"),IF(T191&gt;55,("2"),IF(T191&gt;50,("1.66"),"1.33"))))))))</f>
        <v>1.33</v>
      </c>
      <c r="V191" s="1704" t="str">
        <f>IF(T191&gt;85,("A"),IF(T191&gt;80,("A-"),IF(T191&gt;75,("B+"),IF(T191&gt;70,("B"),IF(T191&gt;65,("B-"),IF(T191&gt;60,("C+"),IF(T191&gt;55,("C"),IF(T191&gt;50,("C-"),"D+"))))))))</f>
        <v>D+</v>
      </c>
      <c r="W191" s="1704" t="str">
        <f>IF(T191&gt;80,("SB"),IF(T191&gt;65,("B"),IF(T191&gt;50,("C"),IF(T191&gt;0,("K"),"0"))))</f>
        <v>0</v>
      </c>
      <c r="X191" s="1267"/>
      <c r="Y191" s="1267"/>
      <c r="Z191" s="1267"/>
      <c r="AA191" s="1267"/>
      <c r="AB191" s="1267"/>
      <c r="AC191" s="1267"/>
      <c r="AD191" s="1268"/>
      <c r="AE191" s="1268"/>
      <c r="AF191" s="1268"/>
      <c r="AG191" s="1268"/>
      <c r="AH191" s="1268"/>
      <c r="AI191" s="1268"/>
      <c r="AJ191" s="2099">
        <f>T197</f>
        <v>0</v>
      </c>
      <c r="AK191" s="2095" t="str">
        <f>V197</f>
        <v>D+</v>
      </c>
    </row>
    <row r="192" spans="1:37" ht="24.95" customHeight="1" x14ac:dyDescent="0.25">
      <c r="A192" s="1687"/>
      <c r="B192" s="1688"/>
      <c r="C192" s="1270"/>
      <c r="D192" s="1686" t="s">
        <v>155</v>
      </c>
      <c r="E192" s="1494">
        <v>0</v>
      </c>
      <c r="F192" s="1494">
        <v>0</v>
      </c>
      <c r="G192" s="1494">
        <v>0</v>
      </c>
      <c r="H192" s="2087">
        <v>0</v>
      </c>
      <c r="I192" s="2087">
        <v>0</v>
      </c>
      <c r="J192" s="2087">
        <v>0</v>
      </c>
      <c r="K192" s="1494">
        <v>0</v>
      </c>
      <c r="L192" s="1494">
        <v>0</v>
      </c>
      <c r="M192" s="1494">
        <v>0</v>
      </c>
      <c r="N192" s="2087"/>
      <c r="O192" s="2087"/>
      <c r="P192" s="2087"/>
      <c r="Q192" s="2028">
        <f t="shared" ref="Q192:Q193" si="240">MAX(E192,H192,K192,N192)</f>
        <v>0</v>
      </c>
      <c r="R192" s="2126">
        <f t="shared" si="238"/>
        <v>0</v>
      </c>
      <c r="S192" s="2127">
        <f t="shared" si="239"/>
        <v>0</v>
      </c>
      <c r="T192" s="853">
        <f t="shared" ref="T192:T193" si="241">IFERROR(AVERAGE(Q192:S192),"")</f>
        <v>0</v>
      </c>
      <c r="U192" s="1704" t="str">
        <f t="shared" ref="U192:U196" si="242">IF(T192&gt;85,("4"),IF(T192&gt;80,("3.66"),IF(T192&gt;75,("3.33"),IF(T192&gt;70,("3.00"),IF(T192&gt;65,("2.66"),IF(T192&gt;60,("2.33"),IF(T192&gt;55,("2"),IF(T192&gt;50,("1.66"),"1.33"))))))))</f>
        <v>1.33</v>
      </c>
      <c r="V192" s="1704" t="str">
        <f t="shared" ref="V192:V196" si="243">IF(T192&gt;85,("A"),IF(T192&gt;80,("A-"),IF(T192&gt;75,("B+"),IF(T192&gt;70,("B"),IF(T192&gt;65,("B-"),IF(T192&gt;60,("C+"),IF(T192&gt;55,("C"),IF(T192&gt;50,("C-"),"D+"))))))))</f>
        <v>D+</v>
      </c>
      <c r="W192" s="1704" t="str">
        <f t="shared" ref="W192:W196" si="244">IF(T192&gt;80,("SB"),IF(T192&gt;65,("B"),IF(T192&gt;50,("C"),IF(T192&gt;0,("K"),"0"))))</f>
        <v>0</v>
      </c>
      <c r="X192" s="1843"/>
      <c r="Y192" s="1844"/>
      <c r="Z192" s="1844"/>
      <c r="AA192" s="1844"/>
      <c r="AB192" s="1844"/>
      <c r="AC192" s="1844"/>
      <c r="AD192" s="1845"/>
      <c r="AE192" s="1845"/>
      <c r="AF192" s="1845"/>
      <c r="AG192" s="1845"/>
      <c r="AH192" s="1845"/>
      <c r="AI192" s="1846"/>
      <c r="AJ192" s="1847"/>
      <c r="AK192" s="1848"/>
    </row>
    <row r="193" spans="1:37" ht="24.95" customHeight="1" x14ac:dyDescent="0.25">
      <c r="A193" s="1687"/>
      <c r="B193" s="1688"/>
      <c r="C193" s="1270"/>
      <c r="D193" s="1686" t="s">
        <v>11</v>
      </c>
      <c r="E193" s="1494">
        <v>0</v>
      </c>
      <c r="F193" s="1494">
        <v>0</v>
      </c>
      <c r="G193" s="1494">
        <v>0</v>
      </c>
      <c r="H193" s="2087">
        <v>0</v>
      </c>
      <c r="I193" s="2087">
        <v>0</v>
      </c>
      <c r="J193" s="2087">
        <v>0</v>
      </c>
      <c r="K193" s="1494">
        <v>0</v>
      </c>
      <c r="L193" s="1494">
        <v>0</v>
      </c>
      <c r="M193" s="1494">
        <v>0</v>
      </c>
      <c r="N193" s="2087">
        <v>0</v>
      </c>
      <c r="O193" s="2087">
        <v>0</v>
      </c>
      <c r="P193" s="2087">
        <v>0</v>
      </c>
      <c r="Q193" s="2028">
        <f t="shared" si="240"/>
        <v>0</v>
      </c>
      <c r="R193" s="2126">
        <f t="shared" si="238"/>
        <v>0</v>
      </c>
      <c r="S193" s="2127">
        <f t="shared" si="239"/>
        <v>0</v>
      </c>
      <c r="T193" s="853">
        <f t="shared" si="241"/>
        <v>0</v>
      </c>
      <c r="U193" s="1704" t="str">
        <f t="shared" si="242"/>
        <v>1.33</v>
      </c>
      <c r="V193" s="1704" t="str">
        <f t="shared" si="243"/>
        <v>D+</v>
      </c>
      <c r="W193" s="1704" t="str">
        <f t="shared" si="244"/>
        <v>0</v>
      </c>
      <c r="X193" s="1849"/>
      <c r="Y193" s="1850"/>
      <c r="Z193" s="1850"/>
      <c r="AA193" s="1850"/>
      <c r="AB193" s="1850"/>
      <c r="AC193" s="1850"/>
      <c r="AD193" s="1851"/>
      <c r="AE193" s="1851"/>
      <c r="AF193" s="1851"/>
      <c r="AG193" s="1851"/>
      <c r="AH193" s="1851"/>
      <c r="AI193" s="1852"/>
      <c r="AJ193" s="1853"/>
      <c r="AK193" s="1854"/>
    </row>
    <row r="194" spans="1:37" ht="24.95" customHeight="1" x14ac:dyDescent="0.25">
      <c r="A194" s="1687"/>
      <c r="B194" s="1688"/>
      <c r="C194" s="1270"/>
      <c r="D194" s="1686" t="s">
        <v>16</v>
      </c>
      <c r="E194" s="1494"/>
      <c r="F194" s="1494"/>
      <c r="G194" s="1494"/>
      <c r="H194" s="2087"/>
      <c r="I194" s="2087"/>
      <c r="J194" s="2087"/>
      <c r="K194" s="1494"/>
      <c r="L194" s="1494"/>
      <c r="M194" s="1494"/>
      <c r="N194" s="2087">
        <v>0</v>
      </c>
      <c r="O194" s="2087">
        <v>0</v>
      </c>
      <c r="P194" s="2087">
        <v>0</v>
      </c>
      <c r="Q194" s="2028">
        <f>MAX(E194,H194,K194,N194)</f>
        <v>0</v>
      </c>
      <c r="R194" s="2126">
        <f t="shared" si="238"/>
        <v>0</v>
      </c>
      <c r="S194" s="2127">
        <f t="shared" si="239"/>
        <v>0</v>
      </c>
      <c r="T194" s="853">
        <f>IFERROR(AVERAGE(Q194:S194),"")</f>
        <v>0</v>
      </c>
      <c r="U194" s="1704" t="str">
        <f t="shared" si="242"/>
        <v>1.33</v>
      </c>
      <c r="V194" s="1704" t="str">
        <f t="shared" si="243"/>
        <v>D+</v>
      </c>
      <c r="W194" s="1704" t="str">
        <f t="shared" si="244"/>
        <v>0</v>
      </c>
      <c r="X194" s="1849"/>
      <c r="Y194" s="1850"/>
      <c r="Z194" s="1850"/>
      <c r="AA194" s="1850"/>
      <c r="AB194" s="1850"/>
      <c r="AC194" s="1850"/>
      <c r="AD194" s="1851"/>
      <c r="AE194" s="1851"/>
      <c r="AF194" s="1851"/>
      <c r="AG194" s="1851"/>
      <c r="AH194" s="1851"/>
      <c r="AI194" s="1852"/>
      <c r="AJ194" s="1853"/>
      <c r="AK194" s="1854"/>
    </row>
    <row r="195" spans="1:37" ht="24.95" customHeight="1" x14ac:dyDescent="0.25">
      <c r="A195" s="1687"/>
      <c r="B195" s="1688"/>
      <c r="C195" s="1270"/>
      <c r="D195" s="1686" t="s">
        <v>186</v>
      </c>
      <c r="E195" s="1494"/>
      <c r="F195" s="1494"/>
      <c r="G195" s="1494"/>
      <c r="H195" s="2087"/>
      <c r="I195" s="2087"/>
      <c r="J195" s="2087"/>
      <c r="K195" s="1494">
        <v>0</v>
      </c>
      <c r="L195" s="1494">
        <v>0</v>
      </c>
      <c r="M195" s="1494">
        <v>0</v>
      </c>
      <c r="N195" s="2087"/>
      <c r="O195" s="2087"/>
      <c r="P195" s="2087"/>
      <c r="Q195" s="2028">
        <f t="shared" ref="Q195:Q196" si="245">MAX(E195,H195,K195,N195)</f>
        <v>0</v>
      </c>
      <c r="R195" s="2126">
        <f t="shared" si="238"/>
        <v>0</v>
      </c>
      <c r="S195" s="2127">
        <f t="shared" si="239"/>
        <v>0</v>
      </c>
      <c r="T195" s="853">
        <f t="shared" ref="T195:T196" si="246">IFERROR(AVERAGE(Q195:S195),"")</f>
        <v>0</v>
      </c>
      <c r="U195" s="1704" t="str">
        <f t="shared" si="242"/>
        <v>1.33</v>
      </c>
      <c r="V195" s="1704" t="str">
        <f t="shared" si="243"/>
        <v>D+</v>
      </c>
      <c r="W195" s="1704" t="str">
        <f t="shared" si="244"/>
        <v>0</v>
      </c>
      <c r="X195" s="1849"/>
      <c r="Y195" s="1850"/>
      <c r="Z195" s="1850"/>
      <c r="AA195" s="1850"/>
      <c r="AB195" s="1850"/>
      <c r="AC195" s="1850"/>
      <c r="AD195" s="1851"/>
      <c r="AE195" s="1851"/>
      <c r="AF195" s="1851"/>
      <c r="AG195" s="1851"/>
      <c r="AH195" s="1851"/>
      <c r="AI195" s="1852"/>
      <c r="AJ195" s="1853"/>
      <c r="AK195" s="1854"/>
    </row>
    <row r="196" spans="1:37" ht="24.95" customHeight="1" x14ac:dyDescent="0.25">
      <c r="A196" s="1687"/>
      <c r="B196" s="1688"/>
      <c r="C196" s="1270"/>
      <c r="D196" s="1686" t="s">
        <v>22</v>
      </c>
      <c r="E196" s="2086"/>
      <c r="F196" s="2086"/>
      <c r="G196" s="2086"/>
      <c r="H196" s="2088"/>
      <c r="I196" s="2088"/>
      <c r="J196" s="2088"/>
      <c r="K196" s="2086"/>
      <c r="L196" s="2086"/>
      <c r="M196" s="2086"/>
      <c r="N196" s="2088">
        <v>0</v>
      </c>
      <c r="O196" s="2088">
        <v>0</v>
      </c>
      <c r="P196" s="2088">
        <v>0</v>
      </c>
      <c r="Q196" s="2028">
        <f t="shared" si="245"/>
        <v>0</v>
      </c>
      <c r="R196" s="2126">
        <f t="shared" si="238"/>
        <v>0</v>
      </c>
      <c r="S196" s="2127">
        <f t="shared" si="239"/>
        <v>0</v>
      </c>
      <c r="T196" s="853">
        <f t="shared" si="246"/>
        <v>0</v>
      </c>
      <c r="U196" s="1705" t="str">
        <f t="shared" si="242"/>
        <v>1.33</v>
      </c>
      <c r="V196" s="1705" t="str">
        <f t="shared" si="243"/>
        <v>D+</v>
      </c>
      <c r="W196" s="1705" t="str">
        <f t="shared" si="244"/>
        <v>0</v>
      </c>
      <c r="X196" s="1849"/>
      <c r="Y196" s="1850"/>
      <c r="Z196" s="1850"/>
      <c r="AA196" s="1850"/>
      <c r="AB196" s="1850"/>
      <c r="AC196" s="1850"/>
      <c r="AD196" s="1851"/>
      <c r="AE196" s="1851"/>
      <c r="AF196" s="1851"/>
      <c r="AG196" s="1851"/>
      <c r="AH196" s="1851"/>
      <c r="AI196" s="1852"/>
      <c r="AJ196" s="1855"/>
      <c r="AK196" s="1856"/>
    </row>
    <row r="197" spans="1:37" ht="24.95" customHeight="1" x14ac:dyDescent="0.25">
      <c r="A197" s="1693"/>
      <c r="B197" s="1237">
        <v>27</v>
      </c>
      <c r="C197" s="1695" t="s">
        <v>167</v>
      </c>
      <c r="D197" s="1696"/>
      <c r="E197" s="1694"/>
      <c r="F197" s="1694"/>
      <c r="G197" s="1694"/>
      <c r="H197" s="1694"/>
      <c r="I197" s="1694"/>
      <c r="J197" s="1694"/>
      <c r="K197" s="1694"/>
      <c r="L197" s="1694"/>
      <c r="M197" s="1694"/>
      <c r="N197" s="1694"/>
      <c r="O197" s="1694"/>
      <c r="P197" s="1694"/>
      <c r="Q197" s="1694"/>
      <c r="R197" s="2160"/>
      <c r="S197" s="2160"/>
      <c r="T197" s="1938">
        <f>IFERROR(AVERAGE(T191:T196),"  ")</f>
        <v>0</v>
      </c>
      <c r="U197" s="1842" t="str">
        <f>IF(T197&gt;85,("4"),IF(T197&gt;80,("3.66"),IF(T197&gt;75,("3.33"),IF(T197&gt;70,("3.00"),IF(T197&gt;65,("2.66"),IF(T197&gt;60,("2.33"),IF(T197&gt;55,("2"),IF(T197&gt;50,("1.66"),"1.33"))))))))</f>
        <v>1.33</v>
      </c>
      <c r="V197" s="1842" t="str">
        <f>IF(T197&gt;85,("A"),IF(T197&gt;80,("A-"),IF(T197&gt;75,("B+"),IF(T197&gt;70,("B"),IF(T197&gt;65,("B-"),IF(T197&gt;60,("C+"),IF(T197&gt;55,("C"),IF(T197&gt;50,("C-"),"D+"))))))))</f>
        <v>D+</v>
      </c>
      <c r="W197" s="1842"/>
      <c r="X197" s="2073"/>
      <c r="Y197" s="2074"/>
      <c r="Z197" s="2074"/>
      <c r="AA197" s="2074"/>
      <c r="AB197" s="2074"/>
      <c r="AC197" s="2074"/>
      <c r="AD197" s="2074"/>
      <c r="AE197" s="2074"/>
      <c r="AF197" s="2074"/>
      <c r="AG197" s="2074"/>
      <c r="AH197" s="2074"/>
      <c r="AI197" s="2075"/>
      <c r="AJ197" s="1857"/>
      <c r="AK197" s="1858"/>
    </row>
    <row r="198" spans="1:37" ht="24.95" customHeight="1" x14ac:dyDescent="0.25">
      <c r="A198" s="1683">
        <v>28</v>
      </c>
      <c r="B198" s="1684"/>
      <c r="C198" s="1685" t="e">
        <f>VLOOKUP(A198,data_siswa,4,FALSE)</f>
        <v>#N/A</v>
      </c>
      <c r="D198" s="1686" t="s">
        <v>154</v>
      </c>
      <c r="E198" s="1494">
        <v>0</v>
      </c>
      <c r="F198" s="1494">
        <v>0</v>
      </c>
      <c r="G198" s="1494">
        <v>0</v>
      </c>
      <c r="H198" s="2087">
        <v>0</v>
      </c>
      <c r="I198" s="2087">
        <v>0</v>
      </c>
      <c r="J198" s="2087">
        <v>0</v>
      </c>
      <c r="K198" s="1494"/>
      <c r="L198" s="1494"/>
      <c r="M198" s="1494"/>
      <c r="N198" s="2087"/>
      <c r="O198" s="2087"/>
      <c r="P198" s="2087"/>
      <c r="Q198" s="2028">
        <f>MAX(E198,H198,K198,N198)</f>
        <v>0</v>
      </c>
      <c r="R198" s="2126">
        <f t="shared" ref="R198:R203" si="247">MAX(F198,I198,L198,O198)</f>
        <v>0</v>
      </c>
      <c r="S198" s="2127">
        <f t="shared" ref="S198:S203" si="248">MAX(G198,J198,M198,P198)</f>
        <v>0</v>
      </c>
      <c r="T198" s="853">
        <f>IFERROR(AVERAGE(Q198:S198),"")</f>
        <v>0</v>
      </c>
      <c r="U198" s="1704" t="str">
        <f>IF(T198&gt;85,("4"),IF(T198&gt;80,("3.66"),IF(T198&gt;75,("3.33"),IF(T198&gt;70,("3.00"),IF(T198&gt;65,("2.66"),IF(T198&gt;60,("2.33"),IF(T198&gt;55,("2"),IF(T198&gt;50,("1.66"),"1.33"))))))))</f>
        <v>1.33</v>
      </c>
      <c r="V198" s="1704" t="str">
        <f>IF(T198&gt;85,("A"),IF(T198&gt;80,("A-"),IF(T198&gt;75,("B+"),IF(T198&gt;70,("B"),IF(T198&gt;65,("B-"),IF(T198&gt;60,("C+"),IF(T198&gt;55,("C"),IF(T198&gt;50,("C-"),"D+"))))))))</f>
        <v>D+</v>
      </c>
      <c r="W198" s="1704" t="str">
        <f>IF(T198&gt;80,("SB"),IF(T198&gt;65,("B"),IF(T198&gt;50,("C"),IF(T198&gt;0,("K"),"0"))))</f>
        <v>0</v>
      </c>
      <c r="X198" s="1267"/>
      <c r="Y198" s="1267"/>
      <c r="Z198" s="1267"/>
      <c r="AA198" s="1267"/>
      <c r="AB198" s="1267"/>
      <c r="AC198" s="1267"/>
      <c r="AD198" s="1268"/>
      <c r="AE198" s="1268"/>
      <c r="AF198" s="1268"/>
      <c r="AG198" s="1268"/>
      <c r="AH198" s="1268"/>
      <c r="AI198" s="1268"/>
      <c r="AJ198" s="2099">
        <f>T204</f>
        <v>0</v>
      </c>
      <c r="AK198" s="2095" t="str">
        <f>V204</f>
        <v>D+</v>
      </c>
    </row>
    <row r="199" spans="1:37" ht="24.95" customHeight="1" x14ac:dyDescent="0.25">
      <c r="A199" s="1687"/>
      <c r="B199" s="1688"/>
      <c r="C199" s="1270"/>
      <c r="D199" s="1686" t="s">
        <v>155</v>
      </c>
      <c r="E199" s="1494">
        <v>0</v>
      </c>
      <c r="F199" s="1494">
        <v>0</v>
      </c>
      <c r="G199" s="1494">
        <v>0</v>
      </c>
      <c r="H199" s="2087">
        <v>0</v>
      </c>
      <c r="I199" s="2087">
        <v>0</v>
      </c>
      <c r="J199" s="2087">
        <v>0</v>
      </c>
      <c r="K199" s="1494">
        <v>0</v>
      </c>
      <c r="L199" s="1494">
        <v>0</v>
      </c>
      <c r="M199" s="1494">
        <v>0</v>
      </c>
      <c r="N199" s="2087"/>
      <c r="O199" s="2087"/>
      <c r="P199" s="2087"/>
      <c r="Q199" s="2028">
        <f t="shared" ref="Q199:Q200" si="249">MAX(E199,H199,K199,N199)</f>
        <v>0</v>
      </c>
      <c r="R199" s="2126">
        <f t="shared" si="247"/>
        <v>0</v>
      </c>
      <c r="S199" s="2127">
        <f t="shared" si="248"/>
        <v>0</v>
      </c>
      <c r="T199" s="853">
        <f t="shared" ref="T199:T200" si="250">IFERROR(AVERAGE(Q199:S199),"")</f>
        <v>0</v>
      </c>
      <c r="U199" s="1704" t="str">
        <f t="shared" ref="U199:U203" si="251">IF(T199&gt;85,("4"),IF(T199&gt;80,("3.66"),IF(T199&gt;75,("3.33"),IF(T199&gt;70,("3.00"),IF(T199&gt;65,("2.66"),IF(T199&gt;60,("2.33"),IF(T199&gt;55,("2"),IF(T199&gt;50,("1.66"),"1.33"))))))))</f>
        <v>1.33</v>
      </c>
      <c r="V199" s="1704" t="str">
        <f t="shared" ref="V199:V203" si="252">IF(T199&gt;85,("A"),IF(T199&gt;80,("A-"),IF(T199&gt;75,("B+"),IF(T199&gt;70,("B"),IF(T199&gt;65,("B-"),IF(T199&gt;60,("C+"),IF(T199&gt;55,("C"),IF(T199&gt;50,("C-"),"D+"))))))))</f>
        <v>D+</v>
      </c>
      <c r="W199" s="1704" t="str">
        <f t="shared" ref="W199:W203" si="253">IF(T199&gt;80,("SB"),IF(T199&gt;65,("B"),IF(T199&gt;50,("C"),IF(T199&gt;0,("K"),"0"))))</f>
        <v>0</v>
      </c>
      <c r="X199" s="1843"/>
      <c r="Y199" s="1844"/>
      <c r="Z199" s="1844"/>
      <c r="AA199" s="1844"/>
      <c r="AB199" s="1844"/>
      <c r="AC199" s="1844"/>
      <c r="AD199" s="1845"/>
      <c r="AE199" s="1845"/>
      <c r="AF199" s="1845"/>
      <c r="AG199" s="1845"/>
      <c r="AH199" s="1845"/>
      <c r="AI199" s="1846"/>
      <c r="AJ199" s="1847"/>
      <c r="AK199" s="1848"/>
    </row>
    <row r="200" spans="1:37" ht="24.95" customHeight="1" x14ac:dyDescent="0.25">
      <c r="A200" s="1687"/>
      <c r="B200" s="1688"/>
      <c r="C200" s="1270"/>
      <c r="D200" s="1686" t="s">
        <v>11</v>
      </c>
      <c r="E200" s="1494">
        <v>0</v>
      </c>
      <c r="F200" s="1494">
        <v>0</v>
      </c>
      <c r="G200" s="1494">
        <v>0</v>
      </c>
      <c r="H200" s="2087">
        <v>0</v>
      </c>
      <c r="I200" s="2087">
        <v>0</v>
      </c>
      <c r="J200" s="2087">
        <v>0</v>
      </c>
      <c r="K200" s="1494">
        <v>0</v>
      </c>
      <c r="L200" s="1494">
        <v>0</v>
      </c>
      <c r="M200" s="1494">
        <v>0</v>
      </c>
      <c r="N200" s="2087">
        <v>0</v>
      </c>
      <c r="O200" s="2087">
        <v>0</v>
      </c>
      <c r="P200" s="2087">
        <v>0</v>
      </c>
      <c r="Q200" s="2028">
        <f t="shared" si="249"/>
        <v>0</v>
      </c>
      <c r="R200" s="2126">
        <f t="shared" si="247"/>
        <v>0</v>
      </c>
      <c r="S200" s="2127">
        <f t="shared" si="248"/>
        <v>0</v>
      </c>
      <c r="T200" s="853">
        <f t="shared" si="250"/>
        <v>0</v>
      </c>
      <c r="U200" s="1704" t="str">
        <f t="shared" si="251"/>
        <v>1.33</v>
      </c>
      <c r="V200" s="1704" t="str">
        <f t="shared" si="252"/>
        <v>D+</v>
      </c>
      <c r="W200" s="1704" t="str">
        <f t="shared" si="253"/>
        <v>0</v>
      </c>
      <c r="X200" s="1849"/>
      <c r="Y200" s="1850"/>
      <c r="Z200" s="1850"/>
      <c r="AA200" s="1850"/>
      <c r="AB200" s="1850"/>
      <c r="AC200" s="1850"/>
      <c r="AD200" s="1851"/>
      <c r="AE200" s="1851"/>
      <c r="AF200" s="1851"/>
      <c r="AG200" s="1851"/>
      <c r="AH200" s="1851"/>
      <c r="AI200" s="1852"/>
      <c r="AJ200" s="1853"/>
      <c r="AK200" s="1854"/>
    </row>
    <row r="201" spans="1:37" ht="24.95" customHeight="1" x14ac:dyDescent="0.25">
      <c r="A201" s="1687"/>
      <c r="B201" s="1688"/>
      <c r="C201" s="1270"/>
      <c r="D201" s="1686" t="s">
        <v>16</v>
      </c>
      <c r="E201" s="1494"/>
      <c r="F201" s="1494"/>
      <c r="G201" s="1494"/>
      <c r="H201" s="2087"/>
      <c r="I201" s="2087"/>
      <c r="J201" s="2087"/>
      <c r="K201" s="1494"/>
      <c r="L201" s="1494"/>
      <c r="M201" s="1494"/>
      <c r="N201" s="2087">
        <v>0</v>
      </c>
      <c r="O201" s="2087">
        <v>0</v>
      </c>
      <c r="P201" s="2087">
        <v>0</v>
      </c>
      <c r="Q201" s="2028">
        <f>MAX(E201,H201,K201,N201)</f>
        <v>0</v>
      </c>
      <c r="R201" s="2126">
        <f t="shared" si="247"/>
        <v>0</v>
      </c>
      <c r="S201" s="2127">
        <f t="shared" si="248"/>
        <v>0</v>
      </c>
      <c r="T201" s="853">
        <f>IFERROR(AVERAGE(Q201:S201),"")</f>
        <v>0</v>
      </c>
      <c r="U201" s="1704" t="str">
        <f t="shared" si="251"/>
        <v>1.33</v>
      </c>
      <c r="V201" s="1704" t="str">
        <f t="shared" si="252"/>
        <v>D+</v>
      </c>
      <c r="W201" s="1704" t="str">
        <f t="shared" si="253"/>
        <v>0</v>
      </c>
      <c r="X201" s="1849"/>
      <c r="Y201" s="1850"/>
      <c r="Z201" s="1850"/>
      <c r="AA201" s="1850"/>
      <c r="AB201" s="1850"/>
      <c r="AC201" s="1850"/>
      <c r="AD201" s="1851"/>
      <c r="AE201" s="1851"/>
      <c r="AF201" s="1851"/>
      <c r="AG201" s="1851"/>
      <c r="AH201" s="1851"/>
      <c r="AI201" s="1852"/>
      <c r="AJ201" s="1853"/>
      <c r="AK201" s="1854"/>
    </row>
    <row r="202" spans="1:37" ht="24.95" customHeight="1" x14ac:dyDescent="0.25">
      <c r="A202" s="1687"/>
      <c r="B202" s="1688"/>
      <c r="C202" s="1270"/>
      <c r="D202" s="1686" t="s">
        <v>186</v>
      </c>
      <c r="E202" s="1494"/>
      <c r="F202" s="1494"/>
      <c r="G202" s="1494"/>
      <c r="H202" s="2087"/>
      <c r="I202" s="2087"/>
      <c r="J202" s="2087"/>
      <c r="K202" s="1494">
        <v>0</v>
      </c>
      <c r="L202" s="1494">
        <v>0</v>
      </c>
      <c r="M202" s="1494">
        <v>0</v>
      </c>
      <c r="N202" s="2087"/>
      <c r="O202" s="2087"/>
      <c r="P202" s="2087"/>
      <c r="Q202" s="2028">
        <f t="shared" ref="Q202:Q203" si="254">MAX(E202,H202,K202,N202)</f>
        <v>0</v>
      </c>
      <c r="R202" s="2126">
        <f t="shared" si="247"/>
        <v>0</v>
      </c>
      <c r="S202" s="2127">
        <f t="shared" si="248"/>
        <v>0</v>
      </c>
      <c r="T202" s="853">
        <f t="shared" ref="T202:T203" si="255">IFERROR(AVERAGE(Q202:S202),"")</f>
        <v>0</v>
      </c>
      <c r="U202" s="1704" t="str">
        <f t="shared" si="251"/>
        <v>1.33</v>
      </c>
      <c r="V202" s="1704" t="str">
        <f t="shared" si="252"/>
        <v>D+</v>
      </c>
      <c r="W202" s="1704" t="str">
        <f t="shared" si="253"/>
        <v>0</v>
      </c>
      <c r="X202" s="1849"/>
      <c r="Y202" s="1850"/>
      <c r="Z202" s="1850"/>
      <c r="AA202" s="1850"/>
      <c r="AB202" s="1850"/>
      <c r="AC202" s="1850"/>
      <c r="AD202" s="1851"/>
      <c r="AE202" s="1851"/>
      <c r="AF202" s="1851"/>
      <c r="AG202" s="1851"/>
      <c r="AH202" s="1851"/>
      <c r="AI202" s="1852"/>
      <c r="AJ202" s="1853"/>
      <c r="AK202" s="1854"/>
    </row>
    <row r="203" spans="1:37" ht="24.95" customHeight="1" x14ac:dyDescent="0.25">
      <c r="A203" s="1687"/>
      <c r="B203" s="1688"/>
      <c r="C203" s="1270"/>
      <c r="D203" s="1686" t="s">
        <v>22</v>
      </c>
      <c r="E203" s="2086"/>
      <c r="F203" s="2086"/>
      <c r="G203" s="2086"/>
      <c r="H203" s="2088"/>
      <c r="I203" s="2088"/>
      <c r="J203" s="2088"/>
      <c r="K203" s="2086"/>
      <c r="L203" s="2086"/>
      <c r="M203" s="2086"/>
      <c r="N203" s="2088">
        <v>0</v>
      </c>
      <c r="O203" s="2088">
        <v>0</v>
      </c>
      <c r="P203" s="2088">
        <v>0</v>
      </c>
      <c r="Q203" s="2028">
        <f t="shared" si="254"/>
        <v>0</v>
      </c>
      <c r="R203" s="2126">
        <f t="shared" si="247"/>
        <v>0</v>
      </c>
      <c r="S203" s="2127">
        <f t="shared" si="248"/>
        <v>0</v>
      </c>
      <c r="T203" s="853">
        <f t="shared" si="255"/>
        <v>0</v>
      </c>
      <c r="U203" s="1705" t="str">
        <f t="shared" si="251"/>
        <v>1.33</v>
      </c>
      <c r="V203" s="1705" t="str">
        <f t="shared" si="252"/>
        <v>D+</v>
      </c>
      <c r="W203" s="1705" t="str">
        <f t="shared" si="253"/>
        <v>0</v>
      </c>
      <c r="X203" s="1849"/>
      <c r="Y203" s="1850"/>
      <c r="Z203" s="1850"/>
      <c r="AA203" s="1850"/>
      <c r="AB203" s="1850"/>
      <c r="AC203" s="1850"/>
      <c r="AD203" s="1851"/>
      <c r="AE203" s="1851"/>
      <c r="AF203" s="1851"/>
      <c r="AG203" s="1851"/>
      <c r="AH203" s="1851"/>
      <c r="AI203" s="1852"/>
      <c r="AJ203" s="1855"/>
      <c r="AK203" s="1856"/>
    </row>
    <row r="204" spans="1:37" ht="24.95" customHeight="1" x14ac:dyDescent="0.25">
      <c r="A204" s="1693"/>
      <c r="B204" s="1237">
        <v>28</v>
      </c>
      <c r="C204" s="1695" t="s">
        <v>167</v>
      </c>
      <c r="D204" s="1696"/>
      <c r="E204" s="1694"/>
      <c r="F204" s="1694"/>
      <c r="G204" s="1694"/>
      <c r="H204" s="1694"/>
      <c r="I204" s="1694"/>
      <c r="J204" s="1694"/>
      <c r="K204" s="1694"/>
      <c r="L204" s="1694"/>
      <c r="M204" s="1694"/>
      <c r="N204" s="1694"/>
      <c r="O204" s="1694"/>
      <c r="P204" s="1694"/>
      <c r="Q204" s="1694"/>
      <c r="R204" s="2160"/>
      <c r="S204" s="2160"/>
      <c r="T204" s="1938">
        <f>IFERROR(AVERAGE(T198:T203),"  ")</f>
        <v>0</v>
      </c>
      <c r="U204" s="1842" t="str">
        <f>IF(T204&gt;85,("4"),IF(T204&gt;80,("3.66"),IF(T204&gt;75,("3.33"),IF(T204&gt;70,("3.00"),IF(T204&gt;65,("2.66"),IF(T204&gt;60,("2.33"),IF(T204&gt;55,("2"),IF(T204&gt;50,("1.66"),"1.33"))))))))</f>
        <v>1.33</v>
      </c>
      <c r="V204" s="1842" t="str">
        <f>IF(T204&gt;85,("A"),IF(T204&gt;80,("A-"),IF(T204&gt;75,("B+"),IF(T204&gt;70,("B"),IF(T204&gt;65,("B-"),IF(T204&gt;60,("C+"),IF(T204&gt;55,("C"),IF(T204&gt;50,("C-"),"D+"))))))))</f>
        <v>D+</v>
      </c>
      <c r="W204" s="1842"/>
      <c r="X204" s="2073"/>
      <c r="Y204" s="2074"/>
      <c r="Z204" s="2074"/>
      <c r="AA204" s="2074"/>
      <c r="AB204" s="2074"/>
      <c r="AC204" s="2074"/>
      <c r="AD204" s="2074"/>
      <c r="AE204" s="2074"/>
      <c r="AF204" s="2074"/>
      <c r="AG204" s="2074"/>
      <c r="AH204" s="2074"/>
      <c r="AI204" s="2075"/>
      <c r="AJ204" s="1857"/>
      <c r="AK204" s="1858"/>
    </row>
    <row r="205" spans="1:37" ht="24.95" customHeight="1" x14ac:dyDescent="0.25">
      <c r="A205" s="1683">
        <v>29</v>
      </c>
      <c r="B205" s="1684"/>
      <c r="C205" s="1685" t="e">
        <f>VLOOKUP(A205,data_siswa,4,FALSE)</f>
        <v>#N/A</v>
      </c>
      <c r="D205" s="1686" t="s">
        <v>154</v>
      </c>
      <c r="E205" s="1494">
        <v>0</v>
      </c>
      <c r="F205" s="1494">
        <v>0</v>
      </c>
      <c r="G205" s="1494">
        <v>0</v>
      </c>
      <c r="H205" s="2087">
        <v>0</v>
      </c>
      <c r="I205" s="2087">
        <v>0</v>
      </c>
      <c r="J205" s="2087">
        <v>0</v>
      </c>
      <c r="K205" s="1494"/>
      <c r="L205" s="1494"/>
      <c r="M205" s="1494"/>
      <c r="N205" s="2087"/>
      <c r="O205" s="2087"/>
      <c r="P205" s="2087"/>
      <c r="Q205" s="2028">
        <f>MAX(E205,H205,K205,N205)</f>
        <v>0</v>
      </c>
      <c r="R205" s="2126">
        <f t="shared" ref="R205:R210" si="256">MAX(F205,I205,L205,O205)</f>
        <v>0</v>
      </c>
      <c r="S205" s="2127">
        <f t="shared" ref="S205:S210" si="257">MAX(G205,J205,M205,P205)</f>
        <v>0</v>
      </c>
      <c r="T205" s="853">
        <f>IFERROR(AVERAGE(Q205:S205),"")</f>
        <v>0</v>
      </c>
      <c r="U205" s="1704" t="str">
        <f>IF(T205&gt;85,("4"),IF(T205&gt;80,("3.66"),IF(T205&gt;75,("3.33"),IF(T205&gt;70,("3.00"),IF(T205&gt;65,("2.66"),IF(T205&gt;60,("2.33"),IF(T205&gt;55,("2"),IF(T205&gt;50,("1.66"),"1.33"))))))))</f>
        <v>1.33</v>
      </c>
      <c r="V205" s="1704" t="str">
        <f>IF(T205&gt;85,("A"),IF(T205&gt;80,("A-"),IF(T205&gt;75,("B+"),IF(T205&gt;70,("B"),IF(T205&gt;65,("B-"),IF(T205&gt;60,("C+"),IF(T205&gt;55,("C"),IF(T205&gt;50,("C-"),"D+"))))))))</f>
        <v>D+</v>
      </c>
      <c r="W205" s="1704" t="str">
        <f>IF(T205&gt;80,("SB"),IF(T205&gt;65,("B"),IF(T205&gt;50,("C"),IF(T205&gt;0,("K"),"0"))))</f>
        <v>0</v>
      </c>
      <c r="X205" s="1267"/>
      <c r="Y205" s="1267"/>
      <c r="Z205" s="1267"/>
      <c r="AA205" s="1267"/>
      <c r="AB205" s="1267"/>
      <c r="AC205" s="1267"/>
      <c r="AD205" s="1268"/>
      <c r="AE205" s="1268"/>
      <c r="AF205" s="1268"/>
      <c r="AG205" s="1268"/>
      <c r="AH205" s="1268"/>
      <c r="AI205" s="1268"/>
      <c r="AJ205" s="2099">
        <f>T211</f>
        <v>0</v>
      </c>
      <c r="AK205" s="2095" t="str">
        <f>V211</f>
        <v>D+</v>
      </c>
    </row>
    <row r="206" spans="1:37" ht="24.95" customHeight="1" x14ac:dyDescent="0.25">
      <c r="A206" s="1687"/>
      <c r="B206" s="1688"/>
      <c r="C206" s="1270"/>
      <c r="D206" s="1686" t="s">
        <v>155</v>
      </c>
      <c r="E206" s="1494">
        <v>0</v>
      </c>
      <c r="F206" s="1494">
        <v>0</v>
      </c>
      <c r="G206" s="1494">
        <v>0</v>
      </c>
      <c r="H206" s="2087">
        <v>0</v>
      </c>
      <c r="I206" s="2087">
        <v>0</v>
      </c>
      <c r="J206" s="2087">
        <v>0</v>
      </c>
      <c r="K206" s="1494">
        <v>0</v>
      </c>
      <c r="L206" s="1494">
        <v>0</v>
      </c>
      <c r="M206" s="1494">
        <v>0</v>
      </c>
      <c r="N206" s="2087"/>
      <c r="O206" s="2087"/>
      <c r="P206" s="2087"/>
      <c r="Q206" s="2028">
        <f t="shared" ref="Q206:Q207" si="258">MAX(E206,H206,K206,N206)</f>
        <v>0</v>
      </c>
      <c r="R206" s="2126">
        <f t="shared" si="256"/>
        <v>0</v>
      </c>
      <c r="S206" s="2127">
        <f t="shared" si="257"/>
        <v>0</v>
      </c>
      <c r="T206" s="853">
        <f t="shared" ref="T206:T207" si="259">IFERROR(AVERAGE(Q206:S206),"")</f>
        <v>0</v>
      </c>
      <c r="U206" s="1704" t="str">
        <f t="shared" ref="U206:U210" si="260">IF(T206&gt;85,("4"),IF(T206&gt;80,("3.66"),IF(T206&gt;75,("3.33"),IF(T206&gt;70,("3.00"),IF(T206&gt;65,("2.66"),IF(T206&gt;60,("2.33"),IF(T206&gt;55,("2"),IF(T206&gt;50,("1.66"),"1.33"))))))))</f>
        <v>1.33</v>
      </c>
      <c r="V206" s="1704" t="str">
        <f t="shared" ref="V206:V210" si="261">IF(T206&gt;85,("A"),IF(T206&gt;80,("A-"),IF(T206&gt;75,("B+"),IF(T206&gt;70,("B"),IF(T206&gt;65,("B-"),IF(T206&gt;60,("C+"),IF(T206&gt;55,("C"),IF(T206&gt;50,("C-"),"D+"))))))))</f>
        <v>D+</v>
      </c>
      <c r="W206" s="1704" t="str">
        <f t="shared" ref="W206:W210" si="262">IF(T206&gt;80,("SB"),IF(T206&gt;65,("B"),IF(T206&gt;50,("C"),IF(T206&gt;0,("K"),"0"))))</f>
        <v>0</v>
      </c>
      <c r="X206" s="1843"/>
      <c r="Y206" s="1844"/>
      <c r="Z206" s="1844"/>
      <c r="AA206" s="1844"/>
      <c r="AB206" s="1844"/>
      <c r="AC206" s="1844"/>
      <c r="AD206" s="1845"/>
      <c r="AE206" s="1845"/>
      <c r="AF206" s="1845"/>
      <c r="AG206" s="1845"/>
      <c r="AH206" s="1845"/>
      <c r="AI206" s="1846"/>
      <c r="AJ206" s="1847"/>
      <c r="AK206" s="1848"/>
    </row>
    <row r="207" spans="1:37" ht="24.95" customHeight="1" x14ac:dyDescent="0.25">
      <c r="A207" s="1687"/>
      <c r="B207" s="1688"/>
      <c r="C207" s="1270"/>
      <c r="D207" s="1686" t="s">
        <v>11</v>
      </c>
      <c r="E207" s="1494">
        <v>0</v>
      </c>
      <c r="F207" s="1494">
        <v>0</v>
      </c>
      <c r="G207" s="1494">
        <v>0</v>
      </c>
      <c r="H207" s="2087">
        <v>0</v>
      </c>
      <c r="I207" s="2087">
        <v>0</v>
      </c>
      <c r="J207" s="2087">
        <v>0</v>
      </c>
      <c r="K207" s="1494">
        <v>0</v>
      </c>
      <c r="L207" s="1494">
        <v>0</v>
      </c>
      <c r="M207" s="1494">
        <v>0</v>
      </c>
      <c r="N207" s="2087">
        <v>0</v>
      </c>
      <c r="O207" s="2087">
        <v>0</v>
      </c>
      <c r="P207" s="2087">
        <v>0</v>
      </c>
      <c r="Q207" s="2028">
        <f t="shared" si="258"/>
        <v>0</v>
      </c>
      <c r="R207" s="2126">
        <f t="shared" si="256"/>
        <v>0</v>
      </c>
      <c r="S207" s="2127">
        <f t="shared" si="257"/>
        <v>0</v>
      </c>
      <c r="T207" s="853">
        <f t="shared" si="259"/>
        <v>0</v>
      </c>
      <c r="U207" s="1704" t="str">
        <f t="shared" si="260"/>
        <v>1.33</v>
      </c>
      <c r="V207" s="1704" t="str">
        <f t="shared" si="261"/>
        <v>D+</v>
      </c>
      <c r="W207" s="1704" t="str">
        <f t="shared" si="262"/>
        <v>0</v>
      </c>
      <c r="X207" s="1849"/>
      <c r="Y207" s="1850"/>
      <c r="Z207" s="1850"/>
      <c r="AA207" s="1850"/>
      <c r="AB207" s="1850"/>
      <c r="AC207" s="1850"/>
      <c r="AD207" s="1851"/>
      <c r="AE207" s="1851"/>
      <c r="AF207" s="1851"/>
      <c r="AG207" s="1851"/>
      <c r="AH207" s="1851"/>
      <c r="AI207" s="1852"/>
      <c r="AJ207" s="1853"/>
      <c r="AK207" s="1854"/>
    </row>
    <row r="208" spans="1:37" ht="24.95" customHeight="1" x14ac:dyDescent="0.25">
      <c r="A208" s="1687"/>
      <c r="B208" s="1688"/>
      <c r="C208" s="1270"/>
      <c r="D208" s="1686" t="s">
        <v>16</v>
      </c>
      <c r="E208" s="1494"/>
      <c r="F208" s="1494"/>
      <c r="G208" s="1494"/>
      <c r="H208" s="2087"/>
      <c r="I208" s="2087"/>
      <c r="J208" s="2087"/>
      <c r="K208" s="1494"/>
      <c r="L208" s="1494"/>
      <c r="M208" s="1494"/>
      <c r="N208" s="2087">
        <v>0</v>
      </c>
      <c r="O208" s="2087">
        <v>0</v>
      </c>
      <c r="P208" s="2087">
        <v>0</v>
      </c>
      <c r="Q208" s="2028">
        <f>MAX(E208,H208,K208,N208)</f>
        <v>0</v>
      </c>
      <c r="R208" s="2126">
        <f t="shared" si="256"/>
        <v>0</v>
      </c>
      <c r="S208" s="2127">
        <f t="shared" si="257"/>
        <v>0</v>
      </c>
      <c r="T208" s="853">
        <f>IFERROR(AVERAGE(Q208:S208),"")</f>
        <v>0</v>
      </c>
      <c r="U208" s="1704" t="str">
        <f t="shared" si="260"/>
        <v>1.33</v>
      </c>
      <c r="V208" s="1704" t="str">
        <f t="shared" si="261"/>
        <v>D+</v>
      </c>
      <c r="W208" s="1704" t="str">
        <f t="shared" si="262"/>
        <v>0</v>
      </c>
      <c r="X208" s="1849"/>
      <c r="Y208" s="1850"/>
      <c r="Z208" s="1850"/>
      <c r="AA208" s="1850"/>
      <c r="AB208" s="1850"/>
      <c r="AC208" s="1850"/>
      <c r="AD208" s="1851"/>
      <c r="AE208" s="1851"/>
      <c r="AF208" s="1851"/>
      <c r="AG208" s="1851"/>
      <c r="AH208" s="1851"/>
      <c r="AI208" s="1852"/>
      <c r="AJ208" s="1853"/>
      <c r="AK208" s="1854"/>
    </row>
    <row r="209" spans="1:37" ht="24.95" customHeight="1" x14ac:dyDescent="0.25">
      <c r="A209" s="1687"/>
      <c r="B209" s="1688"/>
      <c r="C209" s="1270"/>
      <c r="D209" s="1686" t="s">
        <v>186</v>
      </c>
      <c r="E209" s="1494"/>
      <c r="F209" s="1494"/>
      <c r="G209" s="1494"/>
      <c r="H209" s="2087"/>
      <c r="I209" s="2087"/>
      <c r="J209" s="2087"/>
      <c r="K209" s="1494">
        <v>0</v>
      </c>
      <c r="L209" s="1494">
        <v>0</v>
      </c>
      <c r="M209" s="1494">
        <v>0</v>
      </c>
      <c r="N209" s="2087"/>
      <c r="O209" s="2087"/>
      <c r="P209" s="2087"/>
      <c r="Q209" s="2028">
        <f t="shared" ref="Q209:Q210" si="263">MAX(E209,H209,K209,N209)</f>
        <v>0</v>
      </c>
      <c r="R209" s="2126">
        <f t="shared" si="256"/>
        <v>0</v>
      </c>
      <c r="S209" s="2127">
        <f t="shared" si="257"/>
        <v>0</v>
      </c>
      <c r="T209" s="853">
        <f t="shared" ref="T209:T210" si="264">IFERROR(AVERAGE(Q209:S209),"")</f>
        <v>0</v>
      </c>
      <c r="U209" s="1704" t="str">
        <f t="shared" si="260"/>
        <v>1.33</v>
      </c>
      <c r="V209" s="1704" t="str">
        <f t="shared" si="261"/>
        <v>D+</v>
      </c>
      <c r="W209" s="1704" t="str">
        <f t="shared" si="262"/>
        <v>0</v>
      </c>
      <c r="X209" s="1849"/>
      <c r="Y209" s="1850"/>
      <c r="Z209" s="1850"/>
      <c r="AA209" s="1850"/>
      <c r="AB209" s="1850"/>
      <c r="AC209" s="1850"/>
      <c r="AD209" s="1851"/>
      <c r="AE209" s="1851"/>
      <c r="AF209" s="1851"/>
      <c r="AG209" s="1851"/>
      <c r="AH209" s="1851"/>
      <c r="AI209" s="1852"/>
      <c r="AJ209" s="1853"/>
      <c r="AK209" s="1854"/>
    </row>
    <row r="210" spans="1:37" ht="24.95" customHeight="1" x14ac:dyDescent="0.25">
      <c r="A210" s="1687"/>
      <c r="B210" s="1688"/>
      <c r="C210" s="1270"/>
      <c r="D210" s="1686" t="s">
        <v>22</v>
      </c>
      <c r="E210" s="2086"/>
      <c r="F210" s="2086"/>
      <c r="G210" s="2086"/>
      <c r="H210" s="2088"/>
      <c r="I210" s="2088"/>
      <c r="J210" s="2088"/>
      <c r="K210" s="2086"/>
      <c r="L210" s="2086"/>
      <c r="M210" s="2086"/>
      <c r="N210" s="2088">
        <v>0</v>
      </c>
      <c r="O210" s="2088">
        <v>0</v>
      </c>
      <c r="P210" s="2088">
        <v>0</v>
      </c>
      <c r="Q210" s="2028">
        <f t="shared" si="263"/>
        <v>0</v>
      </c>
      <c r="R210" s="2126">
        <f t="shared" si="256"/>
        <v>0</v>
      </c>
      <c r="S210" s="2127">
        <f t="shared" si="257"/>
        <v>0</v>
      </c>
      <c r="T210" s="853">
        <f t="shared" si="264"/>
        <v>0</v>
      </c>
      <c r="U210" s="1705" t="str">
        <f t="shared" si="260"/>
        <v>1.33</v>
      </c>
      <c r="V210" s="1705" t="str">
        <f t="shared" si="261"/>
        <v>D+</v>
      </c>
      <c r="W210" s="1705" t="str">
        <f t="shared" si="262"/>
        <v>0</v>
      </c>
      <c r="X210" s="1849"/>
      <c r="Y210" s="1850"/>
      <c r="Z210" s="1850"/>
      <c r="AA210" s="1850"/>
      <c r="AB210" s="1850"/>
      <c r="AC210" s="1850"/>
      <c r="AD210" s="1851"/>
      <c r="AE210" s="1851"/>
      <c r="AF210" s="1851"/>
      <c r="AG210" s="1851"/>
      <c r="AH210" s="1851"/>
      <c r="AI210" s="1852"/>
      <c r="AJ210" s="1855"/>
      <c r="AK210" s="1856"/>
    </row>
    <row r="211" spans="1:37" ht="24.95" customHeight="1" x14ac:dyDescent="0.25">
      <c r="A211" s="1693"/>
      <c r="B211" s="1237">
        <v>29</v>
      </c>
      <c r="C211" s="1695" t="s">
        <v>167</v>
      </c>
      <c r="D211" s="1696"/>
      <c r="E211" s="1694"/>
      <c r="F211" s="1694"/>
      <c r="G211" s="1694"/>
      <c r="H211" s="1694"/>
      <c r="I211" s="1694"/>
      <c r="J211" s="1694"/>
      <c r="K211" s="1694"/>
      <c r="L211" s="1694"/>
      <c r="M211" s="1694"/>
      <c r="N211" s="1694"/>
      <c r="O211" s="1694"/>
      <c r="P211" s="1694"/>
      <c r="Q211" s="1694"/>
      <c r="R211" s="2160"/>
      <c r="S211" s="2160"/>
      <c r="T211" s="1938">
        <f>IFERROR(AVERAGE(T205:T210),"  ")</f>
        <v>0</v>
      </c>
      <c r="U211" s="1842" t="str">
        <f>IF(T211&gt;85,("4"),IF(T211&gt;80,("3.66"),IF(T211&gt;75,("3.33"),IF(T211&gt;70,("3.00"),IF(T211&gt;65,("2.66"),IF(T211&gt;60,("2.33"),IF(T211&gt;55,("2"),IF(T211&gt;50,("1.66"),"1.33"))))))))</f>
        <v>1.33</v>
      </c>
      <c r="V211" s="1842" t="str">
        <f>IF(T211&gt;85,("A"),IF(T211&gt;80,("A-"),IF(T211&gt;75,("B+"),IF(T211&gt;70,("B"),IF(T211&gt;65,("B-"),IF(T211&gt;60,("C+"),IF(T211&gt;55,("C"),IF(T211&gt;50,("C-"),"D+"))))))))</f>
        <v>D+</v>
      </c>
      <c r="W211" s="1842"/>
      <c r="X211" s="2073"/>
      <c r="Y211" s="2074"/>
      <c r="Z211" s="2074"/>
      <c r="AA211" s="2074"/>
      <c r="AB211" s="2074"/>
      <c r="AC211" s="2074"/>
      <c r="AD211" s="2074"/>
      <c r="AE211" s="2074"/>
      <c r="AF211" s="2074"/>
      <c r="AG211" s="2074"/>
      <c r="AH211" s="2074"/>
      <c r="AI211" s="2075"/>
      <c r="AJ211" s="1857"/>
      <c r="AK211" s="1858"/>
    </row>
    <row r="212" spans="1:37" ht="24.95" customHeight="1" x14ac:dyDescent="0.25">
      <c r="A212" s="1683">
        <v>30</v>
      </c>
      <c r="B212" s="1684"/>
      <c r="C212" s="1685" t="e">
        <f>VLOOKUP(A212,data_siswa,4,FALSE)</f>
        <v>#N/A</v>
      </c>
      <c r="D212" s="1686" t="s">
        <v>154</v>
      </c>
      <c r="E212" s="1494">
        <v>0</v>
      </c>
      <c r="F212" s="1494">
        <v>0</v>
      </c>
      <c r="G212" s="1494">
        <v>0</v>
      </c>
      <c r="H212" s="2087">
        <v>0</v>
      </c>
      <c r="I212" s="2087">
        <v>0</v>
      </c>
      <c r="J212" s="2087">
        <v>0</v>
      </c>
      <c r="K212" s="1494"/>
      <c r="L212" s="1494"/>
      <c r="M212" s="1494"/>
      <c r="N212" s="2087"/>
      <c r="O212" s="2087"/>
      <c r="P212" s="2087"/>
      <c r="Q212" s="2028">
        <f>MAX(E212,H212,K212,N212)</f>
        <v>0</v>
      </c>
      <c r="R212" s="2126">
        <f t="shared" ref="R212:R217" si="265">MAX(F212,I212,L212,O212)</f>
        <v>0</v>
      </c>
      <c r="S212" s="2127">
        <f t="shared" ref="S212:S217" si="266">MAX(G212,J212,M212,P212)</f>
        <v>0</v>
      </c>
      <c r="T212" s="853">
        <f>IFERROR(AVERAGE(Q212:S212),"")</f>
        <v>0</v>
      </c>
      <c r="U212" s="1704" t="str">
        <f>IF(T212&gt;85,("4"),IF(T212&gt;80,("3.66"),IF(T212&gt;75,("3.33"),IF(T212&gt;70,("3.00"),IF(T212&gt;65,("2.66"),IF(T212&gt;60,("2.33"),IF(T212&gt;55,("2"),IF(T212&gt;50,("1.66"),"1.33"))))))))</f>
        <v>1.33</v>
      </c>
      <c r="V212" s="1704" t="str">
        <f>IF(T212&gt;85,("A"),IF(T212&gt;80,("A-"),IF(T212&gt;75,("B+"),IF(T212&gt;70,("B"),IF(T212&gt;65,("B-"),IF(T212&gt;60,("C+"),IF(T212&gt;55,("C"),IF(T212&gt;50,("C-"),"D+"))))))))</f>
        <v>D+</v>
      </c>
      <c r="W212" s="1704" t="str">
        <f>IF(T212&gt;80,("SB"),IF(T212&gt;65,("B"),IF(T212&gt;50,("C"),IF(T212&gt;0,("K"),"0"))))</f>
        <v>0</v>
      </c>
      <c r="X212" s="1267"/>
      <c r="Y212" s="1267"/>
      <c r="Z212" s="1267"/>
      <c r="AA212" s="1267"/>
      <c r="AB212" s="1267"/>
      <c r="AC212" s="1267"/>
      <c r="AD212" s="1268"/>
      <c r="AE212" s="1268"/>
      <c r="AF212" s="1268"/>
      <c r="AG212" s="1268"/>
      <c r="AH212" s="1268"/>
      <c r="AI212" s="1268"/>
      <c r="AJ212" s="2099">
        <f>T218</f>
        <v>0</v>
      </c>
      <c r="AK212" s="2095" t="str">
        <f>V218</f>
        <v>D+</v>
      </c>
    </row>
    <row r="213" spans="1:37" ht="24.95" customHeight="1" x14ac:dyDescent="0.25">
      <c r="A213" s="1687"/>
      <c r="B213" s="1688"/>
      <c r="C213" s="1270"/>
      <c r="D213" s="1686" t="s">
        <v>155</v>
      </c>
      <c r="E213" s="1494">
        <v>0</v>
      </c>
      <c r="F213" s="1494">
        <v>0</v>
      </c>
      <c r="G213" s="1494">
        <v>0</v>
      </c>
      <c r="H213" s="2087">
        <v>0</v>
      </c>
      <c r="I213" s="2087">
        <v>0</v>
      </c>
      <c r="J213" s="2087">
        <v>0</v>
      </c>
      <c r="K213" s="1494">
        <v>0</v>
      </c>
      <c r="L213" s="1494">
        <v>0</v>
      </c>
      <c r="M213" s="1494">
        <v>0</v>
      </c>
      <c r="N213" s="2087"/>
      <c r="O213" s="2087"/>
      <c r="P213" s="2087"/>
      <c r="Q213" s="2028">
        <f t="shared" ref="Q213:Q214" si="267">MAX(E213,H213,K213,N213)</f>
        <v>0</v>
      </c>
      <c r="R213" s="2126">
        <f t="shared" si="265"/>
        <v>0</v>
      </c>
      <c r="S213" s="2127">
        <f t="shared" si="266"/>
        <v>0</v>
      </c>
      <c r="T213" s="853">
        <f t="shared" ref="T213:T214" si="268">IFERROR(AVERAGE(Q213:S213),"")</f>
        <v>0</v>
      </c>
      <c r="U213" s="1704" t="str">
        <f t="shared" ref="U213:U217" si="269">IF(T213&gt;85,("4"),IF(T213&gt;80,("3.66"),IF(T213&gt;75,("3.33"),IF(T213&gt;70,("3.00"),IF(T213&gt;65,("2.66"),IF(T213&gt;60,("2.33"),IF(T213&gt;55,("2"),IF(T213&gt;50,("1.66"),"1.33"))))))))</f>
        <v>1.33</v>
      </c>
      <c r="V213" s="1704" t="str">
        <f t="shared" ref="V213:V217" si="270">IF(T213&gt;85,("A"),IF(T213&gt;80,("A-"),IF(T213&gt;75,("B+"),IF(T213&gt;70,("B"),IF(T213&gt;65,("B-"),IF(T213&gt;60,("C+"),IF(T213&gt;55,("C"),IF(T213&gt;50,("C-"),"D+"))))))))</f>
        <v>D+</v>
      </c>
      <c r="W213" s="1704" t="str">
        <f t="shared" ref="W213:W217" si="271">IF(T213&gt;80,("SB"),IF(T213&gt;65,("B"),IF(T213&gt;50,("C"),IF(T213&gt;0,("K"),"0"))))</f>
        <v>0</v>
      </c>
      <c r="X213" s="1843"/>
      <c r="Y213" s="1844"/>
      <c r="Z213" s="1844"/>
      <c r="AA213" s="1844"/>
      <c r="AB213" s="1844"/>
      <c r="AC213" s="1844"/>
      <c r="AD213" s="1845"/>
      <c r="AE213" s="1845"/>
      <c r="AF213" s="1845"/>
      <c r="AG213" s="1845"/>
      <c r="AH213" s="1845"/>
      <c r="AI213" s="1846"/>
      <c r="AJ213" s="1847"/>
      <c r="AK213" s="1848"/>
    </row>
    <row r="214" spans="1:37" ht="24.95" customHeight="1" x14ac:dyDescent="0.25">
      <c r="A214" s="1687"/>
      <c r="B214" s="1688"/>
      <c r="C214" s="1270"/>
      <c r="D214" s="1686" t="s">
        <v>11</v>
      </c>
      <c r="E214" s="1494">
        <v>0</v>
      </c>
      <c r="F214" s="1494">
        <v>0</v>
      </c>
      <c r="G214" s="1494">
        <v>0</v>
      </c>
      <c r="H214" s="2087">
        <v>0</v>
      </c>
      <c r="I214" s="2087">
        <v>0</v>
      </c>
      <c r="J214" s="2087">
        <v>0</v>
      </c>
      <c r="K214" s="1494">
        <v>0</v>
      </c>
      <c r="L214" s="1494">
        <v>0</v>
      </c>
      <c r="M214" s="1494">
        <v>0</v>
      </c>
      <c r="N214" s="2087">
        <v>0</v>
      </c>
      <c r="O214" s="2087">
        <v>0</v>
      </c>
      <c r="P214" s="2087">
        <v>0</v>
      </c>
      <c r="Q214" s="2028">
        <f t="shared" si="267"/>
        <v>0</v>
      </c>
      <c r="R214" s="2126">
        <f t="shared" si="265"/>
        <v>0</v>
      </c>
      <c r="S214" s="2127">
        <f t="shared" si="266"/>
        <v>0</v>
      </c>
      <c r="T214" s="853">
        <f t="shared" si="268"/>
        <v>0</v>
      </c>
      <c r="U214" s="1704" t="str">
        <f t="shared" si="269"/>
        <v>1.33</v>
      </c>
      <c r="V214" s="1704" t="str">
        <f t="shared" si="270"/>
        <v>D+</v>
      </c>
      <c r="W214" s="1704" t="str">
        <f t="shared" si="271"/>
        <v>0</v>
      </c>
      <c r="X214" s="1849"/>
      <c r="Y214" s="1850"/>
      <c r="Z214" s="1850"/>
      <c r="AA214" s="1850"/>
      <c r="AB214" s="1850"/>
      <c r="AC214" s="1850"/>
      <c r="AD214" s="1851"/>
      <c r="AE214" s="1851"/>
      <c r="AF214" s="1851"/>
      <c r="AG214" s="1851"/>
      <c r="AH214" s="1851"/>
      <c r="AI214" s="1852"/>
      <c r="AJ214" s="1853"/>
      <c r="AK214" s="1854"/>
    </row>
    <row r="215" spans="1:37" ht="24.95" customHeight="1" x14ac:dyDescent="0.25">
      <c r="A215" s="1687"/>
      <c r="B215" s="1688"/>
      <c r="C215" s="1270"/>
      <c r="D215" s="1686" t="s">
        <v>16</v>
      </c>
      <c r="E215" s="1494"/>
      <c r="F215" s="1494"/>
      <c r="G215" s="1494"/>
      <c r="H215" s="2087"/>
      <c r="I215" s="2087"/>
      <c r="J215" s="2087"/>
      <c r="K215" s="1494"/>
      <c r="L215" s="1494"/>
      <c r="M215" s="1494"/>
      <c r="N215" s="2087">
        <v>0</v>
      </c>
      <c r="O215" s="2087">
        <v>0</v>
      </c>
      <c r="P215" s="2087">
        <v>0</v>
      </c>
      <c r="Q215" s="2028">
        <f>MAX(E215,H215,K215,N215)</f>
        <v>0</v>
      </c>
      <c r="R215" s="2126">
        <f t="shared" si="265"/>
        <v>0</v>
      </c>
      <c r="S215" s="2127">
        <f t="shared" si="266"/>
        <v>0</v>
      </c>
      <c r="T215" s="853">
        <f>IFERROR(AVERAGE(Q215:S215),"")</f>
        <v>0</v>
      </c>
      <c r="U215" s="1704" t="str">
        <f t="shared" si="269"/>
        <v>1.33</v>
      </c>
      <c r="V215" s="1704" t="str">
        <f t="shared" si="270"/>
        <v>D+</v>
      </c>
      <c r="W215" s="1704" t="str">
        <f t="shared" si="271"/>
        <v>0</v>
      </c>
      <c r="X215" s="1849"/>
      <c r="Y215" s="1850"/>
      <c r="Z215" s="1850"/>
      <c r="AA215" s="1850"/>
      <c r="AB215" s="1850"/>
      <c r="AC215" s="1850"/>
      <c r="AD215" s="1851"/>
      <c r="AE215" s="1851"/>
      <c r="AF215" s="1851"/>
      <c r="AG215" s="1851"/>
      <c r="AH215" s="1851"/>
      <c r="AI215" s="1852"/>
      <c r="AJ215" s="1853"/>
      <c r="AK215" s="1854"/>
    </row>
    <row r="216" spans="1:37" ht="24.95" customHeight="1" x14ac:dyDescent="0.25">
      <c r="A216" s="1687"/>
      <c r="B216" s="1688"/>
      <c r="C216" s="1270"/>
      <c r="D216" s="1686" t="s">
        <v>186</v>
      </c>
      <c r="E216" s="1494"/>
      <c r="F216" s="1494"/>
      <c r="G216" s="1494"/>
      <c r="H216" s="2087"/>
      <c r="I216" s="2087"/>
      <c r="J216" s="2087"/>
      <c r="K216" s="1494">
        <v>0</v>
      </c>
      <c r="L216" s="1494">
        <v>0</v>
      </c>
      <c r="M216" s="1494">
        <v>0</v>
      </c>
      <c r="N216" s="2087"/>
      <c r="O216" s="2087"/>
      <c r="P216" s="2087"/>
      <c r="Q216" s="2028">
        <f t="shared" ref="Q216:Q217" si="272">MAX(E216,H216,K216,N216)</f>
        <v>0</v>
      </c>
      <c r="R216" s="2126">
        <f t="shared" si="265"/>
        <v>0</v>
      </c>
      <c r="S216" s="2127">
        <f t="shared" si="266"/>
        <v>0</v>
      </c>
      <c r="T216" s="853">
        <f t="shared" ref="T216:T217" si="273">IFERROR(AVERAGE(Q216:S216),"")</f>
        <v>0</v>
      </c>
      <c r="U216" s="1704" t="str">
        <f t="shared" si="269"/>
        <v>1.33</v>
      </c>
      <c r="V216" s="1704" t="str">
        <f t="shared" si="270"/>
        <v>D+</v>
      </c>
      <c r="W216" s="1704" t="str">
        <f t="shared" si="271"/>
        <v>0</v>
      </c>
      <c r="X216" s="1849"/>
      <c r="Y216" s="1850"/>
      <c r="Z216" s="1850"/>
      <c r="AA216" s="1850"/>
      <c r="AB216" s="1850"/>
      <c r="AC216" s="1850"/>
      <c r="AD216" s="1851"/>
      <c r="AE216" s="1851"/>
      <c r="AF216" s="1851"/>
      <c r="AG216" s="1851"/>
      <c r="AH216" s="1851"/>
      <c r="AI216" s="1852"/>
      <c r="AJ216" s="1853"/>
      <c r="AK216" s="1854"/>
    </row>
    <row r="217" spans="1:37" ht="24.95" customHeight="1" x14ac:dyDescent="0.25">
      <c r="A217" s="1687"/>
      <c r="B217" s="1688"/>
      <c r="C217" s="1270"/>
      <c r="D217" s="1686" t="s">
        <v>22</v>
      </c>
      <c r="E217" s="2086"/>
      <c r="F217" s="2086"/>
      <c r="G217" s="2086"/>
      <c r="H217" s="2088"/>
      <c r="I217" s="2088"/>
      <c r="J217" s="2088"/>
      <c r="K217" s="2086"/>
      <c r="L217" s="2086"/>
      <c r="M217" s="2086"/>
      <c r="N217" s="2088">
        <v>0</v>
      </c>
      <c r="O217" s="2088">
        <v>0</v>
      </c>
      <c r="P217" s="2088">
        <v>0</v>
      </c>
      <c r="Q217" s="2028">
        <f t="shared" si="272"/>
        <v>0</v>
      </c>
      <c r="R217" s="2126">
        <f t="shared" si="265"/>
        <v>0</v>
      </c>
      <c r="S217" s="2127">
        <f t="shared" si="266"/>
        <v>0</v>
      </c>
      <c r="T217" s="853">
        <f t="shared" si="273"/>
        <v>0</v>
      </c>
      <c r="U217" s="1705" t="str">
        <f t="shared" si="269"/>
        <v>1.33</v>
      </c>
      <c r="V217" s="1705" t="str">
        <f t="shared" si="270"/>
        <v>D+</v>
      </c>
      <c r="W217" s="1705" t="str">
        <f t="shared" si="271"/>
        <v>0</v>
      </c>
      <c r="X217" s="1849"/>
      <c r="Y217" s="1850"/>
      <c r="Z217" s="1850"/>
      <c r="AA217" s="1850"/>
      <c r="AB217" s="1850"/>
      <c r="AC217" s="1850"/>
      <c r="AD217" s="1851"/>
      <c r="AE217" s="1851"/>
      <c r="AF217" s="1851"/>
      <c r="AG217" s="1851"/>
      <c r="AH217" s="1851"/>
      <c r="AI217" s="1852"/>
      <c r="AJ217" s="1855"/>
      <c r="AK217" s="1856"/>
    </row>
    <row r="218" spans="1:37" ht="24.95" customHeight="1" x14ac:dyDescent="0.25">
      <c r="A218" s="1693"/>
      <c r="B218" s="1237">
        <v>30</v>
      </c>
      <c r="C218" s="1695" t="s">
        <v>167</v>
      </c>
      <c r="D218" s="1696"/>
      <c r="E218" s="1694"/>
      <c r="F218" s="1694"/>
      <c r="G218" s="1694"/>
      <c r="H218" s="1694"/>
      <c r="I218" s="1694"/>
      <c r="J218" s="1694"/>
      <c r="K218" s="1694"/>
      <c r="L218" s="1694"/>
      <c r="M218" s="1694"/>
      <c r="N218" s="1694"/>
      <c r="O218" s="1694"/>
      <c r="P218" s="1694"/>
      <c r="Q218" s="1694"/>
      <c r="R218" s="2160"/>
      <c r="S218" s="2160"/>
      <c r="T218" s="1938">
        <f>IFERROR(AVERAGE(T212:T217),"  ")</f>
        <v>0</v>
      </c>
      <c r="U218" s="1842" t="str">
        <f>IF(T218&gt;85,("4"),IF(T218&gt;80,("3.66"),IF(T218&gt;75,("3.33"),IF(T218&gt;70,("3.00"),IF(T218&gt;65,("2.66"),IF(T218&gt;60,("2.33"),IF(T218&gt;55,("2"),IF(T218&gt;50,("1.66"),"1.33"))))))))</f>
        <v>1.33</v>
      </c>
      <c r="V218" s="1842" t="str">
        <f>IF(T218&gt;85,("A"),IF(T218&gt;80,("A-"),IF(T218&gt;75,("B+"),IF(T218&gt;70,("B"),IF(T218&gt;65,("B-"),IF(T218&gt;60,("C+"),IF(T218&gt;55,("C"),IF(T218&gt;50,("C-"),"D+"))))))))</f>
        <v>D+</v>
      </c>
      <c r="W218" s="1842"/>
      <c r="X218" s="2073"/>
      <c r="Y218" s="2074"/>
      <c r="Z218" s="2074"/>
      <c r="AA218" s="2074"/>
      <c r="AB218" s="2074"/>
      <c r="AC218" s="2074"/>
      <c r="AD218" s="2074"/>
      <c r="AE218" s="2074"/>
      <c r="AF218" s="2074"/>
      <c r="AG218" s="2074"/>
      <c r="AH218" s="2074"/>
      <c r="AI218" s="2075"/>
      <c r="AJ218" s="1857"/>
      <c r="AK218" s="1858"/>
    </row>
    <row r="219" spans="1:37" ht="24.95" customHeight="1" x14ac:dyDescent="0.25">
      <c r="A219" s="1683">
        <v>31</v>
      </c>
      <c r="B219" s="1684"/>
      <c r="C219" s="1685" t="e">
        <f>VLOOKUP(A219,data_siswa,4,FALSE)</f>
        <v>#N/A</v>
      </c>
      <c r="D219" s="1686" t="s">
        <v>154</v>
      </c>
      <c r="E219" s="1494">
        <v>0</v>
      </c>
      <c r="F219" s="1494">
        <v>0</v>
      </c>
      <c r="G219" s="1494">
        <v>0</v>
      </c>
      <c r="H219" s="2087">
        <v>0</v>
      </c>
      <c r="I219" s="2087">
        <v>0</v>
      </c>
      <c r="J219" s="2087">
        <v>0</v>
      </c>
      <c r="K219" s="1494"/>
      <c r="L219" s="1494"/>
      <c r="M219" s="1494"/>
      <c r="N219" s="2087"/>
      <c r="O219" s="2087"/>
      <c r="P219" s="2087"/>
      <c r="Q219" s="2028">
        <f>MAX(E219,H219,K219,N219)</f>
        <v>0</v>
      </c>
      <c r="R219" s="2126">
        <f t="shared" ref="R219:R224" si="274">MAX(F219,I219,L219,O219)</f>
        <v>0</v>
      </c>
      <c r="S219" s="2127">
        <f t="shared" ref="S219:S224" si="275">MAX(G219,J219,M219,P219)</f>
        <v>0</v>
      </c>
      <c r="T219" s="853">
        <f>IFERROR(AVERAGE(Q219:S219),"")</f>
        <v>0</v>
      </c>
      <c r="U219" s="1704" t="str">
        <f>IF(T219&gt;85,("4"),IF(T219&gt;80,("3.66"),IF(T219&gt;75,("3.33"),IF(T219&gt;70,("3.00"),IF(T219&gt;65,("2.66"),IF(T219&gt;60,("2.33"),IF(T219&gt;55,("2"),IF(T219&gt;50,("1.66"),"1.33"))))))))</f>
        <v>1.33</v>
      </c>
      <c r="V219" s="1704" t="str">
        <f>IF(T219&gt;85,("A"),IF(T219&gt;80,("A-"),IF(T219&gt;75,("B+"),IF(T219&gt;70,("B"),IF(T219&gt;65,("B-"),IF(T219&gt;60,("C+"),IF(T219&gt;55,("C"),IF(T219&gt;50,("C-"),"D+"))))))))</f>
        <v>D+</v>
      </c>
      <c r="W219" s="1704" t="str">
        <f>IF(T219&gt;80,("SB"),IF(T219&gt;65,("B"),IF(T219&gt;50,("C"),IF(T219&gt;0,("K"),"0"))))</f>
        <v>0</v>
      </c>
      <c r="X219" s="1267"/>
      <c r="Y219" s="1267"/>
      <c r="Z219" s="1267"/>
      <c r="AA219" s="1267"/>
      <c r="AB219" s="1267"/>
      <c r="AC219" s="1267"/>
      <c r="AD219" s="1268"/>
      <c r="AE219" s="1268"/>
      <c r="AF219" s="1268"/>
      <c r="AG219" s="1268"/>
      <c r="AH219" s="1268"/>
      <c r="AI219" s="1268"/>
      <c r="AJ219" s="2099">
        <f>T225</f>
        <v>0</v>
      </c>
      <c r="AK219" s="2095" t="str">
        <f>V225</f>
        <v>D+</v>
      </c>
    </row>
    <row r="220" spans="1:37" ht="24.95" customHeight="1" x14ac:dyDescent="0.25">
      <c r="A220" s="1687"/>
      <c r="B220" s="1688"/>
      <c r="C220" s="1270"/>
      <c r="D220" s="1686" t="s">
        <v>155</v>
      </c>
      <c r="E220" s="1494">
        <v>0</v>
      </c>
      <c r="F220" s="1494">
        <v>0</v>
      </c>
      <c r="G220" s="1494">
        <v>0</v>
      </c>
      <c r="H220" s="2087">
        <v>0</v>
      </c>
      <c r="I220" s="2087">
        <v>0</v>
      </c>
      <c r="J220" s="2087">
        <v>0</v>
      </c>
      <c r="K220" s="1494">
        <v>0</v>
      </c>
      <c r="L220" s="1494">
        <v>0</v>
      </c>
      <c r="M220" s="1494">
        <v>0</v>
      </c>
      <c r="N220" s="2087"/>
      <c r="O220" s="2087"/>
      <c r="P220" s="2087"/>
      <c r="Q220" s="2028">
        <f t="shared" ref="Q220:Q221" si="276">MAX(E220,H220,K220,N220)</f>
        <v>0</v>
      </c>
      <c r="R220" s="2126">
        <f t="shared" si="274"/>
        <v>0</v>
      </c>
      <c r="S220" s="2127">
        <f t="shared" si="275"/>
        <v>0</v>
      </c>
      <c r="T220" s="853">
        <f t="shared" ref="T220:T221" si="277">IFERROR(AVERAGE(Q220:S220),"")</f>
        <v>0</v>
      </c>
      <c r="U220" s="1704" t="str">
        <f t="shared" ref="U220:U224" si="278">IF(T220&gt;85,("4"),IF(T220&gt;80,("3.66"),IF(T220&gt;75,("3.33"),IF(T220&gt;70,("3.00"),IF(T220&gt;65,("2.66"),IF(T220&gt;60,("2.33"),IF(T220&gt;55,("2"),IF(T220&gt;50,("1.66"),"1.33"))))))))</f>
        <v>1.33</v>
      </c>
      <c r="V220" s="1704" t="str">
        <f t="shared" ref="V220:V224" si="279">IF(T220&gt;85,("A"),IF(T220&gt;80,("A-"),IF(T220&gt;75,("B+"),IF(T220&gt;70,("B"),IF(T220&gt;65,("B-"),IF(T220&gt;60,("C+"),IF(T220&gt;55,("C"),IF(T220&gt;50,("C-"),"D+"))))))))</f>
        <v>D+</v>
      </c>
      <c r="W220" s="1704" t="str">
        <f t="shared" ref="W220:W224" si="280">IF(T220&gt;80,("SB"),IF(T220&gt;65,("B"),IF(T220&gt;50,("C"),IF(T220&gt;0,("K"),"0"))))</f>
        <v>0</v>
      </c>
      <c r="X220" s="1843"/>
      <c r="Y220" s="1844"/>
      <c r="Z220" s="1844"/>
      <c r="AA220" s="1844"/>
      <c r="AB220" s="1844"/>
      <c r="AC220" s="1844"/>
      <c r="AD220" s="1845"/>
      <c r="AE220" s="1845"/>
      <c r="AF220" s="1845"/>
      <c r="AG220" s="1845"/>
      <c r="AH220" s="1845"/>
      <c r="AI220" s="1846"/>
      <c r="AJ220" s="1847"/>
      <c r="AK220" s="1848"/>
    </row>
    <row r="221" spans="1:37" ht="24.95" customHeight="1" x14ac:dyDescent="0.25">
      <c r="A221" s="1687"/>
      <c r="B221" s="1688"/>
      <c r="C221" s="1270"/>
      <c r="D221" s="1686" t="s">
        <v>11</v>
      </c>
      <c r="E221" s="1494">
        <v>0</v>
      </c>
      <c r="F221" s="1494">
        <v>0</v>
      </c>
      <c r="G221" s="1494">
        <v>0</v>
      </c>
      <c r="H221" s="2087">
        <v>0</v>
      </c>
      <c r="I221" s="2087">
        <v>0</v>
      </c>
      <c r="J221" s="2087">
        <v>0</v>
      </c>
      <c r="K221" s="1494">
        <v>0</v>
      </c>
      <c r="L221" s="1494">
        <v>0</v>
      </c>
      <c r="M221" s="1494">
        <v>0</v>
      </c>
      <c r="N221" s="2087">
        <v>0</v>
      </c>
      <c r="O221" s="2087">
        <v>0</v>
      </c>
      <c r="P221" s="2087">
        <v>0</v>
      </c>
      <c r="Q221" s="2028">
        <f t="shared" si="276"/>
        <v>0</v>
      </c>
      <c r="R221" s="2126">
        <f t="shared" si="274"/>
        <v>0</v>
      </c>
      <c r="S221" s="2127">
        <f t="shared" si="275"/>
        <v>0</v>
      </c>
      <c r="T221" s="853">
        <f t="shared" si="277"/>
        <v>0</v>
      </c>
      <c r="U221" s="1704" t="str">
        <f t="shared" si="278"/>
        <v>1.33</v>
      </c>
      <c r="V221" s="1704" t="str">
        <f t="shared" si="279"/>
        <v>D+</v>
      </c>
      <c r="W221" s="1704" t="str">
        <f t="shared" si="280"/>
        <v>0</v>
      </c>
      <c r="X221" s="1849"/>
      <c r="Y221" s="1850"/>
      <c r="Z221" s="1850"/>
      <c r="AA221" s="1850"/>
      <c r="AB221" s="1850"/>
      <c r="AC221" s="1850"/>
      <c r="AD221" s="1851"/>
      <c r="AE221" s="1851"/>
      <c r="AF221" s="1851"/>
      <c r="AG221" s="1851"/>
      <c r="AH221" s="1851"/>
      <c r="AI221" s="1852"/>
      <c r="AJ221" s="1853"/>
      <c r="AK221" s="1854"/>
    </row>
    <row r="222" spans="1:37" ht="24.95" customHeight="1" x14ac:dyDescent="0.25">
      <c r="A222" s="1687"/>
      <c r="B222" s="1688"/>
      <c r="C222" s="1270"/>
      <c r="D222" s="1686" t="s">
        <v>16</v>
      </c>
      <c r="E222" s="1494"/>
      <c r="F222" s="1494"/>
      <c r="G222" s="1494"/>
      <c r="H222" s="2087"/>
      <c r="I222" s="2087"/>
      <c r="J222" s="2087"/>
      <c r="K222" s="1494"/>
      <c r="L222" s="1494"/>
      <c r="M222" s="1494"/>
      <c r="N222" s="2087">
        <v>0</v>
      </c>
      <c r="O222" s="2087">
        <v>0</v>
      </c>
      <c r="P222" s="2087">
        <v>0</v>
      </c>
      <c r="Q222" s="2028">
        <f>MAX(E222,H222,K222,N222)</f>
        <v>0</v>
      </c>
      <c r="R222" s="2126">
        <f t="shared" si="274"/>
        <v>0</v>
      </c>
      <c r="S222" s="2127">
        <f t="shared" si="275"/>
        <v>0</v>
      </c>
      <c r="T222" s="853">
        <f>IFERROR(AVERAGE(Q222:S222),"")</f>
        <v>0</v>
      </c>
      <c r="U222" s="1704" t="str">
        <f t="shared" si="278"/>
        <v>1.33</v>
      </c>
      <c r="V222" s="1704" t="str">
        <f t="shared" si="279"/>
        <v>D+</v>
      </c>
      <c r="W222" s="1704" t="str">
        <f t="shared" si="280"/>
        <v>0</v>
      </c>
      <c r="X222" s="1849"/>
      <c r="Y222" s="1850"/>
      <c r="Z222" s="1850"/>
      <c r="AA222" s="1850"/>
      <c r="AB222" s="1850"/>
      <c r="AC222" s="1850"/>
      <c r="AD222" s="1851"/>
      <c r="AE222" s="1851"/>
      <c r="AF222" s="1851"/>
      <c r="AG222" s="1851"/>
      <c r="AH222" s="1851"/>
      <c r="AI222" s="1852"/>
      <c r="AJ222" s="1853"/>
      <c r="AK222" s="1854"/>
    </row>
    <row r="223" spans="1:37" ht="24.95" customHeight="1" x14ac:dyDescent="0.25">
      <c r="A223" s="1687"/>
      <c r="B223" s="1688"/>
      <c r="C223" s="1270"/>
      <c r="D223" s="1686" t="s">
        <v>186</v>
      </c>
      <c r="E223" s="1494"/>
      <c r="F223" s="1494"/>
      <c r="G223" s="1494"/>
      <c r="H223" s="2087"/>
      <c r="I223" s="2087"/>
      <c r="J223" s="2087"/>
      <c r="K223" s="1494">
        <v>0</v>
      </c>
      <c r="L223" s="1494">
        <v>0</v>
      </c>
      <c r="M223" s="1494">
        <v>0</v>
      </c>
      <c r="N223" s="2087"/>
      <c r="O223" s="2087"/>
      <c r="P223" s="2087"/>
      <c r="Q223" s="2028">
        <f t="shared" ref="Q223:Q224" si="281">MAX(E223,H223,K223,N223)</f>
        <v>0</v>
      </c>
      <c r="R223" s="2126">
        <f t="shared" si="274"/>
        <v>0</v>
      </c>
      <c r="S223" s="2127">
        <f t="shared" si="275"/>
        <v>0</v>
      </c>
      <c r="T223" s="853">
        <f t="shared" ref="T223:T224" si="282">IFERROR(AVERAGE(Q223:S223),"")</f>
        <v>0</v>
      </c>
      <c r="U223" s="1704" t="str">
        <f t="shared" si="278"/>
        <v>1.33</v>
      </c>
      <c r="V223" s="1704" t="str">
        <f t="shared" si="279"/>
        <v>D+</v>
      </c>
      <c r="W223" s="1704" t="str">
        <f t="shared" si="280"/>
        <v>0</v>
      </c>
      <c r="X223" s="1849"/>
      <c r="Y223" s="1850"/>
      <c r="Z223" s="1850"/>
      <c r="AA223" s="1850"/>
      <c r="AB223" s="1850"/>
      <c r="AC223" s="1850"/>
      <c r="AD223" s="1851"/>
      <c r="AE223" s="1851"/>
      <c r="AF223" s="1851"/>
      <c r="AG223" s="1851"/>
      <c r="AH223" s="1851"/>
      <c r="AI223" s="1852"/>
      <c r="AJ223" s="1853"/>
      <c r="AK223" s="1854"/>
    </row>
    <row r="224" spans="1:37" ht="24.95" customHeight="1" x14ac:dyDescent="0.25">
      <c r="A224" s="1687"/>
      <c r="B224" s="1688"/>
      <c r="C224" s="1270"/>
      <c r="D224" s="1686" t="s">
        <v>22</v>
      </c>
      <c r="E224" s="2086"/>
      <c r="F224" s="2086"/>
      <c r="G224" s="2086"/>
      <c r="H224" s="2088"/>
      <c r="I224" s="2088"/>
      <c r="J224" s="2088"/>
      <c r="K224" s="2086"/>
      <c r="L224" s="2086"/>
      <c r="M224" s="2086"/>
      <c r="N224" s="2088">
        <v>0</v>
      </c>
      <c r="O224" s="2088">
        <v>0</v>
      </c>
      <c r="P224" s="2088">
        <v>0</v>
      </c>
      <c r="Q224" s="2028">
        <f t="shared" si="281"/>
        <v>0</v>
      </c>
      <c r="R224" s="2126">
        <f t="shared" si="274"/>
        <v>0</v>
      </c>
      <c r="S224" s="2127">
        <f t="shared" si="275"/>
        <v>0</v>
      </c>
      <c r="T224" s="853">
        <f t="shared" si="282"/>
        <v>0</v>
      </c>
      <c r="U224" s="1705" t="str">
        <f t="shared" si="278"/>
        <v>1.33</v>
      </c>
      <c r="V224" s="1705" t="str">
        <f t="shared" si="279"/>
        <v>D+</v>
      </c>
      <c r="W224" s="1705" t="str">
        <f t="shared" si="280"/>
        <v>0</v>
      </c>
      <c r="X224" s="1849"/>
      <c r="Y224" s="1850"/>
      <c r="Z224" s="1850"/>
      <c r="AA224" s="1850"/>
      <c r="AB224" s="1850"/>
      <c r="AC224" s="1850"/>
      <c r="AD224" s="1851"/>
      <c r="AE224" s="1851"/>
      <c r="AF224" s="1851"/>
      <c r="AG224" s="1851"/>
      <c r="AH224" s="1851"/>
      <c r="AI224" s="1852"/>
      <c r="AJ224" s="1855"/>
      <c r="AK224" s="1856"/>
    </row>
    <row r="225" spans="1:37" ht="24.95" customHeight="1" x14ac:dyDescent="0.25">
      <c r="A225" s="1693"/>
      <c r="B225" s="1237">
        <v>31</v>
      </c>
      <c r="C225" s="1695" t="s">
        <v>167</v>
      </c>
      <c r="D225" s="1696"/>
      <c r="E225" s="1694"/>
      <c r="F225" s="1694"/>
      <c r="G225" s="1694"/>
      <c r="H225" s="1694"/>
      <c r="I225" s="1694"/>
      <c r="J225" s="1694"/>
      <c r="K225" s="1694"/>
      <c r="L225" s="1694"/>
      <c r="M225" s="1694"/>
      <c r="N225" s="1694"/>
      <c r="O225" s="1694"/>
      <c r="P225" s="1694"/>
      <c r="Q225" s="1694"/>
      <c r="R225" s="2160"/>
      <c r="S225" s="2160"/>
      <c r="T225" s="1938">
        <f>IFERROR(AVERAGE(T219:T224),"  ")</f>
        <v>0</v>
      </c>
      <c r="U225" s="1842" t="str">
        <f>IF(T225&gt;85,("4"),IF(T225&gt;80,("3.66"),IF(T225&gt;75,("3.33"),IF(T225&gt;70,("3.00"),IF(T225&gt;65,("2.66"),IF(T225&gt;60,("2.33"),IF(T225&gt;55,("2"),IF(T225&gt;50,("1.66"),"1.33"))))))))</f>
        <v>1.33</v>
      </c>
      <c r="V225" s="1842" t="str">
        <f>IF(T225&gt;85,("A"),IF(T225&gt;80,("A-"),IF(T225&gt;75,("B+"),IF(T225&gt;70,("B"),IF(T225&gt;65,("B-"),IF(T225&gt;60,("C+"),IF(T225&gt;55,("C"),IF(T225&gt;50,("C-"),"D+"))))))))</f>
        <v>D+</v>
      </c>
      <c r="W225" s="1842"/>
      <c r="X225" s="2073"/>
      <c r="Y225" s="2074"/>
      <c r="Z225" s="2074"/>
      <c r="AA225" s="2074"/>
      <c r="AB225" s="2074"/>
      <c r="AC225" s="2074"/>
      <c r="AD225" s="2074"/>
      <c r="AE225" s="2074"/>
      <c r="AF225" s="2074"/>
      <c r="AG225" s="2074"/>
      <c r="AH225" s="2074"/>
      <c r="AI225" s="2075"/>
      <c r="AJ225" s="1857"/>
      <c r="AK225" s="1858"/>
    </row>
    <row r="226" spans="1:37" ht="24.95" customHeight="1" x14ac:dyDescent="0.25">
      <c r="A226" s="1683">
        <v>32</v>
      </c>
      <c r="B226" s="1684"/>
      <c r="C226" s="1685" t="e">
        <f>VLOOKUP(A226,data_siswa,4,FALSE)</f>
        <v>#N/A</v>
      </c>
      <c r="D226" s="1686" t="s">
        <v>154</v>
      </c>
      <c r="E226" s="1494">
        <v>0</v>
      </c>
      <c r="F226" s="1494">
        <v>0</v>
      </c>
      <c r="G226" s="1494">
        <v>0</v>
      </c>
      <c r="H226" s="2087">
        <v>0</v>
      </c>
      <c r="I226" s="2087">
        <v>0</v>
      </c>
      <c r="J226" s="2087">
        <v>0</v>
      </c>
      <c r="K226" s="1494"/>
      <c r="L226" s="1494"/>
      <c r="M226" s="1494"/>
      <c r="N226" s="2087"/>
      <c r="O226" s="2087"/>
      <c r="P226" s="2087"/>
      <c r="Q226" s="2028">
        <f>MAX(E226,H226,K226,N226)</f>
        <v>0</v>
      </c>
      <c r="R226" s="2126">
        <f t="shared" ref="R226:R231" si="283">MAX(F226,I226,L226,O226)</f>
        <v>0</v>
      </c>
      <c r="S226" s="2127">
        <f t="shared" ref="S226:S231" si="284">MAX(G226,J226,M226,P226)</f>
        <v>0</v>
      </c>
      <c r="T226" s="853">
        <f>IFERROR(AVERAGE(Q226:S226),"")</f>
        <v>0</v>
      </c>
      <c r="U226" s="1704" t="str">
        <f>IF(T226&gt;85,("4"),IF(T226&gt;80,("3.66"),IF(T226&gt;75,("3.33"),IF(T226&gt;70,("3.00"),IF(T226&gt;65,("2.66"),IF(T226&gt;60,("2.33"),IF(T226&gt;55,("2"),IF(T226&gt;50,("1.66"),"1.33"))))))))</f>
        <v>1.33</v>
      </c>
      <c r="V226" s="1704" t="str">
        <f>IF(T226&gt;85,("A"),IF(T226&gt;80,("A-"),IF(T226&gt;75,("B+"),IF(T226&gt;70,("B"),IF(T226&gt;65,("B-"),IF(T226&gt;60,("C+"),IF(T226&gt;55,("C"),IF(T226&gt;50,("C-"),"D+"))))))))</f>
        <v>D+</v>
      </c>
      <c r="W226" s="1704" t="str">
        <f>IF(T226&gt;80,("SB"),IF(T226&gt;65,("B"),IF(T226&gt;50,("C"),IF(T226&gt;0,("K"),"0"))))</f>
        <v>0</v>
      </c>
      <c r="X226" s="1267"/>
      <c r="Y226" s="1267"/>
      <c r="Z226" s="1267"/>
      <c r="AA226" s="1267"/>
      <c r="AB226" s="1267"/>
      <c r="AC226" s="1267"/>
      <c r="AD226" s="1268"/>
      <c r="AE226" s="1268"/>
      <c r="AF226" s="1268"/>
      <c r="AG226" s="1268"/>
      <c r="AH226" s="1268"/>
      <c r="AI226" s="1268"/>
      <c r="AJ226" s="2099">
        <f>T232</f>
        <v>0</v>
      </c>
      <c r="AK226" s="2095" t="str">
        <f>V232</f>
        <v>D+</v>
      </c>
    </row>
    <row r="227" spans="1:37" ht="24.95" customHeight="1" x14ac:dyDescent="0.25">
      <c r="A227" s="1687"/>
      <c r="B227" s="1688"/>
      <c r="C227" s="1270"/>
      <c r="D227" s="1686" t="s">
        <v>155</v>
      </c>
      <c r="E227" s="1494">
        <v>0</v>
      </c>
      <c r="F227" s="1494">
        <v>0</v>
      </c>
      <c r="G227" s="1494">
        <v>0</v>
      </c>
      <c r="H227" s="2087">
        <v>0</v>
      </c>
      <c r="I227" s="2087">
        <v>0</v>
      </c>
      <c r="J227" s="2087">
        <v>0</v>
      </c>
      <c r="K227" s="1494">
        <v>0</v>
      </c>
      <c r="L227" s="1494">
        <v>0</v>
      </c>
      <c r="M227" s="1494">
        <v>0</v>
      </c>
      <c r="N227" s="2087"/>
      <c r="O227" s="2087"/>
      <c r="P227" s="2087"/>
      <c r="Q227" s="2028">
        <f t="shared" ref="Q227:Q228" si="285">MAX(E227,H227,K227,N227)</f>
        <v>0</v>
      </c>
      <c r="R227" s="2126">
        <f t="shared" si="283"/>
        <v>0</v>
      </c>
      <c r="S227" s="2127">
        <f t="shared" si="284"/>
        <v>0</v>
      </c>
      <c r="T227" s="853">
        <f t="shared" ref="T227:T228" si="286">IFERROR(AVERAGE(Q227:S227),"")</f>
        <v>0</v>
      </c>
      <c r="U227" s="1704" t="str">
        <f t="shared" ref="U227:U231" si="287">IF(T227&gt;85,("4"),IF(T227&gt;80,("3.66"),IF(T227&gt;75,("3.33"),IF(T227&gt;70,("3.00"),IF(T227&gt;65,("2.66"),IF(T227&gt;60,("2.33"),IF(T227&gt;55,("2"),IF(T227&gt;50,("1.66"),"1.33"))))))))</f>
        <v>1.33</v>
      </c>
      <c r="V227" s="1704" t="str">
        <f t="shared" ref="V227:V231" si="288">IF(T227&gt;85,("A"),IF(T227&gt;80,("A-"),IF(T227&gt;75,("B+"),IF(T227&gt;70,("B"),IF(T227&gt;65,("B-"),IF(T227&gt;60,("C+"),IF(T227&gt;55,("C"),IF(T227&gt;50,("C-"),"D+"))))))))</f>
        <v>D+</v>
      </c>
      <c r="W227" s="1704" t="str">
        <f t="shared" ref="W227:W231" si="289">IF(T227&gt;80,("SB"),IF(T227&gt;65,("B"),IF(T227&gt;50,("C"),IF(T227&gt;0,("K"),"0"))))</f>
        <v>0</v>
      </c>
      <c r="X227" s="1843"/>
      <c r="Y227" s="1844"/>
      <c r="Z227" s="1844"/>
      <c r="AA227" s="1844"/>
      <c r="AB227" s="1844"/>
      <c r="AC227" s="1844"/>
      <c r="AD227" s="1845"/>
      <c r="AE227" s="1845"/>
      <c r="AF227" s="1845"/>
      <c r="AG227" s="1845"/>
      <c r="AH227" s="1845"/>
      <c r="AI227" s="1846"/>
      <c r="AJ227" s="1847"/>
      <c r="AK227" s="1848"/>
    </row>
    <row r="228" spans="1:37" ht="24.95" customHeight="1" x14ac:dyDescent="0.25">
      <c r="A228" s="1687"/>
      <c r="B228" s="1688"/>
      <c r="C228" s="1270"/>
      <c r="D228" s="1686" t="s">
        <v>11</v>
      </c>
      <c r="E228" s="1494">
        <v>0</v>
      </c>
      <c r="F228" s="1494">
        <v>0</v>
      </c>
      <c r="G228" s="1494">
        <v>0</v>
      </c>
      <c r="H228" s="2087">
        <v>0</v>
      </c>
      <c r="I228" s="2087">
        <v>0</v>
      </c>
      <c r="J228" s="2087">
        <v>0</v>
      </c>
      <c r="K228" s="1494">
        <v>0</v>
      </c>
      <c r="L228" s="1494">
        <v>0</v>
      </c>
      <c r="M228" s="1494">
        <v>0</v>
      </c>
      <c r="N228" s="2087">
        <v>0</v>
      </c>
      <c r="O228" s="2087">
        <v>0</v>
      </c>
      <c r="P228" s="2087">
        <v>0</v>
      </c>
      <c r="Q228" s="2028">
        <f t="shared" si="285"/>
        <v>0</v>
      </c>
      <c r="R228" s="2126">
        <f t="shared" si="283"/>
        <v>0</v>
      </c>
      <c r="S228" s="2127">
        <f t="shared" si="284"/>
        <v>0</v>
      </c>
      <c r="T228" s="853">
        <f t="shared" si="286"/>
        <v>0</v>
      </c>
      <c r="U228" s="1704" t="str">
        <f t="shared" si="287"/>
        <v>1.33</v>
      </c>
      <c r="V228" s="1704" t="str">
        <f t="shared" si="288"/>
        <v>D+</v>
      </c>
      <c r="W228" s="1704" t="str">
        <f t="shared" si="289"/>
        <v>0</v>
      </c>
      <c r="X228" s="1849"/>
      <c r="Y228" s="1850"/>
      <c r="Z228" s="1850"/>
      <c r="AA228" s="1850"/>
      <c r="AB228" s="1850"/>
      <c r="AC228" s="1850"/>
      <c r="AD228" s="1851"/>
      <c r="AE228" s="1851"/>
      <c r="AF228" s="1851"/>
      <c r="AG228" s="1851"/>
      <c r="AH228" s="1851"/>
      <c r="AI228" s="1852"/>
      <c r="AJ228" s="1853"/>
      <c r="AK228" s="1854"/>
    </row>
    <row r="229" spans="1:37" ht="24.95" customHeight="1" x14ac:dyDescent="0.25">
      <c r="A229" s="1687"/>
      <c r="B229" s="1688"/>
      <c r="C229" s="1270"/>
      <c r="D229" s="1686" t="s">
        <v>16</v>
      </c>
      <c r="E229" s="1494"/>
      <c r="F229" s="1494"/>
      <c r="G229" s="1494"/>
      <c r="H229" s="2087"/>
      <c r="I229" s="2087"/>
      <c r="J229" s="2087"/>
      <c r="K229" s="1494"/>
      <c r="L229" s="1494"/>
      <c r="M229" s="1494"/>
      <c r="N229" s="2087">
        <v>0</v>
      </c>
      <c r="O229" s="2087">
        <v>0</v>
      </c>
      <c r="P229" s="2087">
        <v>0</v>
      </c>
      <c r="Q229" s="2028">
        <f>MAX(E229,H229,K229,N229)</f>
        <v>0</v>
      </c>
      <c r="R229" s="2126">
        <f t="shared" si="283"/>
        <v>0</v>
      </c>
      <c r="S229" s="2127">
        <f t="shared" si="284"/>
        <v>0</v>
      </c>
      <c r="T229" s="853">
        <f>IFERROR(AVERAGE(Q229:S229),"")</f>
        <v>0</v>
      </c>
      <c r="U229" s="1704" t="str">
        <f t="shared" si="287"/>
        <v>1.33</v>
      </c>
      <c r="V229" s="1704" t="str">
        <f t="shared" si="288"/>
        <v>D+</v>
      </c>
      <c r="W229" s="1704" t="str">
        <f t="shared" si="289"/>
        <v>0</v>
      </c>
      <c r="X229" s="1849"/>
      <c r="Y229" s="1850"/>
      <c r="Z229" s="1850"/>
      <c r="AA229" s="1850"/>
      <c r="AB229" s="1850"/>
      <c r="AC229" s="1850"/>
      <c r="AD229" s="1851"/>
      <c r="AE229" s="1851"/>
      <c r="AF229" s="1851"/>
      <c r="AG229" s="1851"/>
      <c r="AH229" s="1851"/>
      <c r="AI229" s="1852"/>
      <c r="AJ229" s="1853"/>
      <c r="AK229" s="1854"/>
    </row>
    <row r="230" spans="1:37" ht="24.95" customHeight="1" x14ac:dyDescent="0.25">
      <c r="A230" s="1687"/>
      <c r="B230" s="1688"/>
      <c r="C230" s="1270"/>
      <c r="D230" s="1686" t="s">
        <v>186</v>
      </c>
      <c r="E230" s="1494"/>
      <c r="F230" s="1494"/>
      <c r="G230" s="1494"/>
      <c r="H230" s="2087"/>
      <c r="I230" s="2087"/>
      <c r="J230" s="2087"/>
      <c r="K230" s="1494">
        <v>0</v>
      </c>
      <c r="L230" s="1494">
        <v>0</v>
      </c>
      <c r="M230" s="1494">
        <v>0</v>
      </c>
      <c r="N230" s="2087"/>
      <c r="O230" s="2087"/>
      <c r="P230" s="2087"/>
      <c r="Q230" s="2028">
        <f t="shared" ref="Q230:Q231" si="290">MAX(E230,H230,K230,N230)</f>
        <v>0</v>
      </c>
      <c r="R230" s="2126">
        <f t="shared" si="283"/>
        <v>0</v>
      </c>
      <c r="S230" s="2127">
        <f t="shared" si="284"/>
        <v>0</v>
      </c>
      <c r="T230" s="853">
        <f t="shared" ref="T230:T231" si="291">IFERROR(AVERAGE(Q230:S230),"")</f>
        <v>0</v>
      </c>
      <c r="U230" s="1704" t="str">
        <f t="shared" si="287"/>
        <v>1.33</v>
      </c>
      <c r="V230" s="1704" t="str">
        <f t="shared" si="288"/>
        <v>D+</v>
      </c>
      <c r="W230" s="1704" t="str">
        <f t="shared" si="289"/>
        <v>0</v>
      </c>
      <c r="X230" s="1849"/>
      <c r="Y230" s="1850"/>
      <c r="Z230" s="1850"/>
      <c r="AA230" s="1850"/>
      <c r="AB230" s="1850"/>
      <c r="AC230" s="1850"/>
      <c r="AD230" s="1851"/>
      <c r="AE230" s="1851"/>
      <c r="AF230" s="1851"/>
      <c r="AG230" s="1851"/>
      <c r="AH230" s="1851"/>
      <c r="AI230" s="1852"/>
      <c r="AJ230" s="1853"/>
      <c r="AK230" s="1854"/>
    </row>
    <row r="231" spans="1:37" ht="24.95" customHeight="1" x14ac:dyDescent="0.25">
      <c r="A231" s="1687"/>
      <c r="B231" s="1688"/>
      <c r="C231" s="1270"/>
      <c r="D231" s="1686" t="s">
        <v>22</v>
      </c>
      <c r="E231" s="2086"/>
      <c r="F231" s="2086"/>
      <c r="G231" s="2086"/>
      <c r="H231" s="2088"/>
      <c r="I231" s="2088"/>
      <c r="J231" s="2088"/>
      <c r="K231" s="2086"/>
      <c r="L231" s="2086"/>
      <c r="M231" s="2086"/>
      <c r="N231" s="2088">
        <v>0</v>
      </c>
      <c r="O231" s="2088">
        <v>0</v>
      </c>
      <c r="P231" s="2088">
        <v>0</v>
      </c>
      <c r="Q231" s="2028">
        <f t="shared" si="290"/>
        <v>0</v>
      </c>
      <c r="R231" s="2126">
        <f t="shared" si="283"/>
        <v>0</v>
      </c>
      <c r="S231" s="2127">
        <f t="shared" si="284"/>
        <v>0</v>
      </c>
      <c r="T231" s="853">
        <f t="shared" si="291"/>
        <v>0</v>
      </c>
      <c r="U231" s="1705" t="str">
        <f t="shared" si="287"/>
        <v>1.33</v>
      </c>
      <c r="V231" s="1705" t="str">
        <f t="shared" si="288"/>
        <v>D+</v>
      </c>
      <c r="W231" s="1705" t="str">
        <f t="shared" si="289"/>
        <v>0</v>
      </c>
      <c r="X231" s="1849"/>
      <c r="Y231" s="1850"/>
      <c r="Z231" s="1850"/>
      <c r="AA231" s="1850"/>
      <c r="AB231" s="1850"/>
      <c r="AC231" s="1850"/>
      <c r="AD231" s="1851"/>
      <c r="AE231" s="1851"/>
      <c r="AF231" s="1851"/>
      <c r="AG231" s="1851"/>
      <c r="AH231" s="1851"/>
      <c r="AI231" s="1852"/>
      <c r="AJ231" s="1855"/>
      <c r="AK231" s="1856"/>
    </row>
    <row r="232" spans="1:37" ht="24.95" customHeight="1" x14ac:dyDescent="0.25">
      <c r="A232" s="1693"/>
      <c r="B232" s="1237">
        <v>32</v>
      </c>
      <c r="C232" s="1695" t="s">
        <v>167</v>
      </c>
      <c r="D232" s="1696"/>
      <c r="E232" s="1694"/>
      <c r="F232" s="1694"/>
      <c r="G232" s="1694"/>
      <c r="H232" s="1694"/>
      <c r="I232" s="1694"/>
      <c r="J232" s="1694"/>
      <c r="K232" s="1694"/>
      <c r="L232" s="1694"/>
      <c r="M232" s="1694"/>
      <c r="N232" s="1694"/>
      <c r="O232" s="1694"/>
      <c r="P232" s="1694"/>
      <c r="Q232" s="1694"/>
      <c r="R232" s="2160"/>
      <c r="S232" s="2160"/>
      <c r="T232" s="1938">
        <f>IFERROR(AVERAGE(T226:T231),"  ")</f>
        <v>0</v>
      </c>
      <c r="U232" s="1842" t="str">
        <f>IF(T232&gt;85,("4"),IF(T232&gt;80,("3.66"),IF(T232&gt;75,("3.33"),IF(T232&gt;70,("3.00"),IF(T232&gt;65,("2.66"),IF(T232&gt;60,("2.33"),IF(T232&gt;55,("2"),IF(T232&gt;50,("1.66"),"1.33"))))))))</f>
        <v>1.33</v>
      </c>
      <c r="V232" s="1842" t="str">
        <f>IF(T232&gt;85,("A"),IF(T232&gt;80,("A-"),IF(T232&gt;75,("B+"),IF(T232&gt;70,("B"),IF(T232&gt;65,("B-"),IF(T232&gt;60,("C+"),IF(T232&gt;55,("C"),IF(T232&gt;50,("C-"),"D+"))))))))</f>
        <v>D+</v>
      </c>
      <c r="W232" s="1842"/>
      <c r="X232" s="2073"/>
      <c r="Y232" s="2074"/>
      <c r="Z232" s="2074"/>
      <c r="AA232" s="2074"/>
      <c r="AB232" s="2074"/>
      <c r="AC232" s="2074"/>
      <c r="AD232" s="2074"/>
      <c r="AE232" s="2074"/>
      <c r="AF232" s="2074"/>
      <c r="AG232" s="2074"/>
      <c r="AH232" s="2074"/>
      <c r="AI232" s="2075"/>
      <c r="AJ232" s="1857"/>
      <c r="AK232" s="1858"/>
    </row>
    <row r="233" spans="1:37" ht="24.95" customHeight="1" x14ac:dyDescent="0.25">
      <c r="A233" s="1683">
        <v>33</v>
      </c>
      <c r="B233" s="1684"/>
      <c r="C233" s="1685" t="e">
        <f>VLOOKUP(A233,data_siswa,4,FALSE)</f>
        <v>#N/A</v>
      </c>
      <c r="D233" s="1686" t="s">
        <v>154</v>
      </c>
      <c r="E233" s="1494">
        <v>0</v>
      </c>
      <c r="F233" s="1494">
        <v>0</v>
      </c>
      <c r="G233" s="1494">
        <v>0</v>
      </c>
      <c r="H233" s="2087">
        <v>0</v>
      </c>
      <c r="I233" s="2087">
        <v>0</v>
      </c>
      <c r="J233" s="2087">
        <v>0</v>
      </c>
      <c r="K233" s="1494"/>
      <c r="L233" s="1494"/>
      <c r="M233" s="1494"/>
      <c r="N233" s="2087"/>
      <c r="O233" s="2087"/>
      <c r="P233" s="2087"/>
      <c r="Q233" s="2028">
        <f>MAX(E233,H233,K233,N233)</f>
        <v>0</v>
      </c>
      <c r="R233" s="2126">
        <f t="shared" ref="R233:R238" si="292">MAX(F233,I233,L233,O233)</f>
        <v>0</v>
      </c>
      <c r="S233" s="2127">
        <f t="shared" ref="S233:S238" si="293">MAX(G233,J233,M233,P233)</f>
        <v>0</v>
      </c>
      <c r="T233" s="853">
        <f>IFERROR(AVERAGE(Q233:S233),"")</f>
        <v>0</v>
      </c>
      <c r="U233" s="1704" t="str">
        <f>IF(T233&gt;85,("4"),IF(T233&gt;80,("3.66"),IF(T233&gt;75,("3.33"),IF(T233&gt;70,("3.00"),IF(T233&gt;65,("2.66"),IF(T233&gt;60,("2.33"),IF(T233&gt;55,("2"),IF(T233&gt;50,("1.66"),"1.33"))))))))</f>
        <v>1.33</v>
      </c>
      <c r="V233" s="1704" t="str">
        <f>IF(T233&gt;85,("A"),IF(T233&gt;80,("A-"),IF(T233&gt;75,("B+"),IF(T233&gt;70,("B"),IF(T233&gt;65,("B-"),IF(T233&gt;60,("C+"),IF(T233&gt;55,("C"),IF(T233&gt;50,("C-"),"D+"))))))))</f>
        <v>D+</v>
      </c>
      <c r="W233" s="1704" t="str">
        <f>IF(T233&gt;80,("SB"),IF(T233&gt;65,("B"),IF(T233&gt;50,("C"),IF(T233&gt;0,("K"),"0"))))</f>
        <v>0</v>
      </c>
      <c r="X233" s="1267"/>
      <c r="Y233" s="1267"/>
      <c r="Z233" s="1267"/>
      <c r="AA233" s="1267"/>
      <c r="AB233" s="1267"/>
      <c r="AC233" s="1267"/>
      <c r="AD233" s="1268"/>
      <c r="AE233" s="1268"/>
      <c r="AF233" s="1268"/>
      <c r="AG233" s="1268"/>
      <c r="AH233" s="1268"/>
      <c r="AI233" s="1268"/>
      <c r="AJ233" s="2099">
        <f>T239</f>
        <v>0</v>
      </c>
      <c r="AK233" s="2095" t="str">
        <f>V239</f>
        <v>D+</v>
      </c>
    </row>
    <row r="234" spans="1:37" ht="24.95" customHeight="1" x14ac:dyDescent="0.25">
      <c r="A234" s="1687"/>
      <c r="B234" s="1688"/>
      <c r="C234" s="1270"/>
      <c r="D234" s="1686" t="s">
        <v>155</v>
      </c>
      <c r="E234" s="1494">
        <v>0</v>
      </c>
      <c r="F234" s="1494">
        <v>0</v>
      </c>
      <c r="G234" s="1494">
        <v>0</v>
      </c>
      <c r="H234" s="2087">
        <v>0</v>
      </c>
      <c r="I234" s="2087">
        <v>0</v>
      </c>
      <c r="J234" s="2087">
        <v>0</v>
      </c>
      <c r="K234" s="1494">
        <v>0</v>
      </c>
      <c r="L234" s="1494">
        <v>0</v>
      </c>
      <c r="M234" s="1494">
        <v>0</v>
      </c>
      <c r="N234" s="2087"/>
      <c r="O234" s="2087"/>
      <c r="P234" s="2087"/>
      <c r="Q234" s="2028">
        <f t="shared" ref="Q234:Q235" si="294">MAX(E234,H234,K234,N234)</f>
        <v>0</v>
      </c>
      <c r="R234" s="2126">
        <f t="shared" si="292"/>
        <v>0</v>
      </c>
      <c r="S234" s="2127">
        <f t="shared" si="293"/>
        <v>0</v>
      </c>
      <c r="T234" s="853">
        <f t="shared" ref="T234:T235" si="295">IFERROR(AVERAGE(Q234:S234),"")</f>
        <v>0</v>
      </c>
      <c r="U234" s="1704" t="str">
        <f t="shared" ref="U234:U238" si="296">IF(T234&gt;85,("4"),IF(T234&gt;80,("3.66"),IF(T234&gt;75,("3.33"),IF(T234&gt;70,("3.00"),IF(T234&gt;65,("2.66"),IF(T234&gt;60,("2.33"),IF(T234&gt;55,("2"),IF(T234&gt;50,("1.66"),"1.33"))))))))</f>
        <v>1.33</v>
      </c>
      <c r="V234" s="1704" t="str">
        <f t="shared" ref="V234:V238" si="297">IF(T234&gt;85,("A"),IF(T234&gt;80,("A-"),IF(T234&gt;75,("B+"),IF(T234&gt;70,("B"),IF(T234&gt;65,("B-"),IF(T234&gt;60,("C+"),IF(T234&gt;55,("C"),IF(T234&gt;50,("C-"),"D+"))))))))</f>
        <v>D+</v>
      </c>
      <c r="W234" s="1704" t="str">
        <f t="shared" ref="W234:W238" si="298">IF(T234&gt;80,("SB"),IF(T234&gt;65,("B"),IF(T234&gt;50,("C"),IF(T234&gt;0,("K"),"0"))))</f>
        <v>0</v>
      </c>
      <c r="X234" s="1843"/>
      <c r="Y234" s="1844"/>
      <c r="Z234" s="1844"/>
      <c r="AA234" s="1844"/>
      <c r="AB234" s="1844"/>
      <c r="AC234" s="1844"/>
      <c r="AD234" s="1845"/>
      <c r="AE234" s="1845"/>
      <c r="AF234" s="1845"/>
      <c r="AG234" s="1845"/>
      <c r="AH234" s="1845"/>
      <c r="AI234" s="1846"/>
      <c r="AJ234" s="1847"/>
      <c r="AK234" s="1848"/>
    </row>
    <row r="235" spans="1:37" ht="24.95" customHeight="1" x14ac:dyDescent="0.25">
      <c r="A235" s="1687"/>
      <c r="B235" s="1688"/>
      <c r="C235" s="1270"/>
      <c r="D235" s="1686" t="s">
        <v>11</v>
      </c>
      <c r="E235" s="1494">
        <v>0</v>
      </c>
      <c r="F235" s="1494">
        <v>0</v>
      </c>
      <c r="G235" s="1494">
        <v>0</v>
      </c>
      <c r="H235" s="2087">
        <v>0</v>
      </c>
      <c r="I235" s="2087">
        <v>0</v>
      </c>
      <c r="J235" s="2087">
        <v>0</v>
      </c>
      <c r="K235" s="1494">
        <v>0</v>
      </c>
      <c r="L235" s="1494">
        <v>0</v>
      </c>
      <c r="M235" s="1494">
        <v>0</v>
      </c>
      <c r="N235" s="2087">
        <v>0</v>
      </c>
      <c r="O235" s="2087">
        <v>0</v>
      </c>
      <c r="P235" s="2087">
        <v>0</v>
      </c>
      <c r="Q235" s="2028">
        <f t="shared" si="294"/>
        <v>0</v>
      </c>
      <c r="R235" s="2126">
        <f t="shared" si="292"/>
        <v>0</v>
      </c>
      <c r="S235" s="2127">
        <f t="shared" si="293"/>
        <v>0</v>
      </c>
      <c r="T235" s="853">
        <f t="shared" si="295"/>
        <v>0</v>
      </c>
      <c r="U235" s="1704" t="str">
        <f t="shared" si="296"/>
        <v>1.33</v>
      </c>
      <c r="V235" s="1704" t="str">
        <f t="shared" si="297"/>
        <v>D+</v>
      </c>
      <c r="W235" s="1704" t="str">
        <f t="shared" si="298"/>
        <v>0</v>
      </c>
      <c r="X235" s="1849"/>
      <c r="Y235" s="1850"/>
      <c r="Z235" s="1850"/>
      <c r="AA235" s="1850"/>
      <c r="AB235" s="1850"/>
      <c r="AC235" s="1850"/>
      <c r="AD235" s="1851"/>
      <c r="AE235" s="1851"/>
      <c r="AF235" s="1851"/>
      <c r="AG235" s="1851"/>
      <c r="AH235" s="1851"/>
      <c r="AI235" s="1852"/>
      <c r="AJ235" s="1853"/>
      <c r="AK235" s="1854"/>
    </row>
    <row r="236" spans="1:37" ht="24.95" customHeight="1" x14ac:dyDescent="0.25">
      <c r="A236" s="1687"/>
      <c r="B236" s="1688"/>
      <c r="C236" s="1270"/>
      <c r="D236" s="1686" t="s">
        <v>16</v>
      </c>
      <c r="E236" s="1494"/>
      <c r="F236" s="1494"/>
      <c r="G236" s="1494"/>
      <c r="H236" s="2087"/>
      <c r="I236" s="2087"/>
      <c r="J236" s="2087"/>
      <c r="K236" s="1494"/>
      <c r="L236" s="1494"/>
      <c r="M236" s="1494"/>
      <c r="N236" s="2087">
        <v>0</v>
      </c>
      <c r="O236" s="2087">
        <v>0</v>
      </c>
      <c r="P236" s="2087">
        <v>0</v>
      </c>
      <c r="Q236" s="2028">
        <f>MAX(E236,H236,K236,N236)</f>
        <v>0</v>
      </c>
      <c r="R236" s="2126">
        <f t="shared" si="292"/>
        <v>0</v>
      </c>
      <c r="S236" s="2127">
        <f t="shared" si="293"/>
        <v>0</v>
      </c>
      <c r="T236" s="853">
        <f>IFERROR(AVERAGE(Q236:S236),"")</f>
        <v>0</v>
      </c>
      <c r="U236" s="1704" t="str">
        <f t="shared" si="296"/>
        <v>1.33</v>
      </c>
      <c r="V236" s="1704" t="str">
        <f t="shared" si="297"/>
        <v>D+</v>
      </c>
      <c r="W236" s="1704" t="str">
        <f t="shared" si="298"/>
        <v>0</v>
      </c>
      <c r="X236" s="1849"/>
      <c r="Y236" s="1850"/>
      <c r="Z236" s="1850"/>
      <c r="AA236" s="1850"/>
      <c r="AB236" s="1850"/>
      <c r="AC236" s="1850"/>
      <c r="AD236" s="1851"/>
      <c r="AE236" s="1851"/>
      <c r="AF236" s="1851"/>
      <c r="AG236" s="1851"/>
      <c r="AH236" s="1851"/>
      <c r="AI236" s="1852"/>
      <c r="AJ236" s="1853"/>
      <c r="AK236" s="1854"/>
    </row>
    <row r="237" spans="1:37" ht="24.95" customHeight="1" x14ac:dyDescent="0.25">
      <c r="A237" s="1687"/>
      <c r="B237" s="1688"/>
      <c r="C237" s="1270"/>
      <c r="D237" s="1686" t="s">
        <v>186</v>
      </c>
      <c r="E237" s="1494"/>
      <c r="F237" s="1494"/>
      <c r="G237" s="1494"/>
      <c r="H237" s="2087"/>
      <c r="I237" s="2087"/>
      <c r="J237" s="2087"/>
      <c r="K237" s="1494">
        <v>0</v>
      </c>
      <c r="L237" s="1494">
        <v>0</v>
      </c>
      <c r="M237" s="1494">
        <v>0</v>
      </c>
      <c r="N237" s="2087"/>
      <c r="O237" s="2087"/>
      <c r="P237" s="2087"/>
      <c r="Q237" s="2028">
        <f t="shared" ref="Q237:Q238" si="299">MAX(E237,H237,K237,N237)</f>
        <v>0</v>
      </c>
      <c r="R237" s="2126">
        <f t="shared" si="292"/>
        <v>0</v>
      </c>
      <c r="S237" s="2127">
        <f t="shared" si="293"/>
        <v>0</v>
      </c>
      <c r="T237" s="853">
        <f t="shared" ref="T237:T238" si="300">IFERROR(AVERAGE(Q237:S237),"")</f>
        <v>0</v>
      </c>
      <c r="U237" s="1704" t="str">
        <f t="shared" si="296"/>
        <v>1.33</v>
      </c>
      <c r="V237" s="1704" t="str">
        <f t="shared" si="297"/>
        <v>D+</v>
      </c>
      <c r="W237" s="1704" t="str">
        <f t="shared" si="298"/>
        <v>0</v>
      </c>
      <c r="X237" s="1849"/>
      <c r="Y237" s="1850"/>
      <c r="Z237" s="1850"/>
      <c r="AA237" s="1850"/>
      <c r="AB237" s="1850"/>
      <c r="AC237" s="1850"/>
      <c r="AD237" s="1851"/>
      <c r="AE237" s="1851"/>
      <c r="AF237" s="1851"/>
      <c r="AG237" s="1851"/>
      <c r="AH237" s="1851"/>
      <c r="AI237" s="1852"/>
      <c r="AJ237" s="1853"/>
      <c r="AK237" s="1854"/>
    </row>
    <row r="238" spans="1:37" ht="24.95" customHeight="1" x14ac:dyDescent="0.25">
      <c r="A238" s="1687"/>
      <c r="B238" s="1688"/>
      <c r="C238" s="1270"/>
      <c r="D238" s="1686" t="s">
        <v>22</v>
      </c>
      <c r="E238" s="2086"/>
      <c r="F238" s="2086"/>
      <c r="G238" s="2086"/>
      <c r="H238" s="2088"/>
      <c r="I238" s="2088"/>
      <c r="J238" s="2088"/>
      <c r="K238" s="2086"/>
      <c r="L238" s="2086"/>
      <c r="M238" s="2086"/>
      <c r="N238" s="2088">
        <v>0</v>
      </c>
      <c r="O238" s="2088">
        <v>0</v>
      </c>
      <c r="P238" s="2088">
        <v>0</v>
      </c>
      <c r="Q238" s="2028">
        <f t="shared" si="299"/>
        <v>0</v>
      </c>
      <c r="R238" s="2126">
        <f t="shared" si="292"/>
        <v>0</v>
      </c>
      <c r="S238" s="2127">
        <f t="shared" si="293"/>
        <v>0</v>
      </c>
      <c r="T238" s="853">
        <f t="shared" si="300"/>
        <v>0</v>
      </c>
      <c r="U238" s="1705" t="str">
        <f t="shared" si="296"/>
        <v>1.33</v>
      </c>
      <c r="V238" s="1705" t="str">
        <f t="shared" si="297"/>
        <v>D+</v>
      </c>
      <c r="W238" s="1705" t="str">
        <f t="shared" si="298"/>
        <v>0</v>
      </c>
      <c r="X238" s="1849"/>
      <c r="Y238" s="1850"/>
      <c r="Z238" s="1850"/>
      <c r="AA238" s="1850"/>
      <c r="AB238" s="1850"/>
      <c r="AC238" s="1850"/>
      <c r="AD238" s="1851"/>
      <c r="AE238" s="1851"/>
      <c r="AF238" s="1851"/>
      <c r="AG238" s="1851"/>
      <c r="AH238" s="1851"/>
      <c r="AI238" s="1852"/>
      <c r="AJ238" s="1855"/>
      <c r="AK238" s="1856"/>
    </row>
    <row r="239" spans="1:37" ht="24.95" customHeight="1" x14ac:dyDescent="0.25">
      <c r="A239" s="1693"/>
      <c r="B239" s="1237">
        <v>33</v>
      </c>
      <c r="C239" s="1695" t="s">
        <v>167</v>
      </c>
      <c r="D239" s="1696"/>
      <c r="E239" s="1694"/>
      <c r="F239" s="1694"/>
      <c r="G239" s="1694"/>
      <c r="H239" s="1694"/>
      <c r="I239" s="1694"/>
      <c r="J239" s="1694"/>
      <c r="K239" s="1694"/>
      <c r="L239" s="1694"/>
      <c r="M239" s="1694"/>
      <c r="N239" s="1694"/>
      <c r="O239" s="1694"/>
      <c r="P239" s="1694"/>
      <c r="Q239" s="1694"/>
      <c r="R239" s="2160"/>
      <c r="S239" s="2160"/>
      <c r="T239" s="1938">
        <f>IFERROR(AVERAGE(T233:T238),"  ")</f>
        <v>0</v>
      </c>
      <c r="U239" s="1842" t="str">
        <f>IF(T239&gt;85,("4"),IF(T239&gt;80,("3.66"),IF(T239&gt;75,("3.33"),IF(T239&gt;70,("3.00"),IF(T239&gt;65,("2.66"),IF(T239&gt;60,("2.33"),IF(T239&gt;55,("2"),IF(T239&gt;50,("1.66"),"1.33"))))))))</f>
        <v>1.33</v>
      </c>
      <c r="V239" s="1842" t="str">
        <f>IF(T239&gt;85,("A"),IF(T239&gt;80,("A-"),IF(T239&gt;75,("B+"),IF(T239&gt;70,("B"),IF(T239&gt;65,("B-"),IF(T239&gt;60,("C+"),IF(T239&gt;55,("C"),IF(T239&gt;50,("C-"),"D+"))))))))</f>
        <v>D+</v>
      </c>
      <c r="W239" s="1842"/>
      <c r="X239" s="2073"/>
      <c r="Y239" s="2074"/>
      <c r="Z239" s="2074"/>
      <c r="AA239" s="2074"/>
      <c r="AB239" s="2074"/>
      <c r="AC239" s="2074"/>
      <c r="AD239" s="2074"/>
      <c r="AE239" s="2074"/>
      <c r="AF239" s="2074"/>
      <c r="AG239" s="2074"/>
      <c r="AH239" s="2074"/>
      <c r="AI239" s="2075"/>
      <c r="AJ239" s="1857"/>
      <c r="AK239" s="1858"/>
    </row>
    <row r="240" spans="1:37" ht="24.95" customHeight="1" x14ac:dyDescent="0.25">
      <c r="A240" s="1683">
        <v>34</v>
      </c>
      <c r="B240" s="1684"/>
      <c r="C240" s="1685" t="e">
        <f>VLOOKUP(A240,data_siswa,4,FALSE)</f>
        <v>#N/A</v>
      </c>
      <c r="D240" s="1686" t="s">
        <v>154</v>
      </c>
      <c r="E240" s="1494">
        <v>0</v>
      </c>
      <c r="F240" s="1494">
        <v>0</v>
      </c>
      <c r="G240" s="1494">
        <v>0</v>
      </c>
      <c r="H240" s="2087">
        <v>0</v>
      </c>
      <c r="I240" s="2087">
        <v>0</v>
      </c>
      <c r="J240" s="2087">
        <v>0</v>
      </c>
      <c r="K240" s="1494"/>
      <c r="L240" s="1494"/>
      <c r="M240" s="1494"/>
      <c r="N240" s="2087"/>
      <c r="O240" s="2087"/>
      <c r="P240" s="2087"/>
      <c r="Q240" s="2028">
        <f>MAX(E240,H240,K240,N240)</f>
        <v>0</v>
      </c>
      <c r="R240" s="2126">
        <f t="shared" ref="R240:R245" si="301">MAX(F240,I240,L240,O240)</f>
        <v>0</v>
      </c>
      <c r="S240" s="2127">
        <f t="shared" ref="S240:S245" si="302">MAX(G240,J240,M240,P240)</f>
        <v>0</v>
      </c>
      <c r="T240" s="853">
        <f>IFERROR(AVERAGE(Q240:S240),"")</f>
        <v>0</v>
      </c>
      <c r="U240" s="1704" t="str">
        <f>IF(T240&gt;85,("4"),IF(T240&gt;80,("3.66"),IF(T240&gt;75,("3.33"),IF(T240&gt;70,("3.00"),IF(T240&gt;65,("2.66"),IF(T240&gt;60,("2.33"),IF(T240&gt;55,("2"),IF(T240&gt;50,("1.66"),"1.33"))))))))</f>
        <v>1.33</v>
      </c>
      <c r="V240" s="1704" t="str">
        <f>IF(T240&gt;85,("A"),IF(T240&gt;80,("A-"),IF(T240&gt;75,("B+"),IF(T240&gt;70,("B"),IF(T240&gt;65,("B-"),IF(T240&gt;60,("C+"),IF(T240&gt;55,("C"),IF(T240&gt;50,("C-"),"D+"))))))))</f>
        <v>D+</v>
      </c>
      <c r="W240" s="1704" t="str">
        <f>IF(T240&gt;80,("SB"),IF(T240&gt;65,("B"),IF(T240&gt;50,("C"),IF(T240&gt;0,("K"),"0"))))</f>
        <v>0</v>
      </c>
      <c r="X240" s="1267"/>
      <c r="Y240" s="1267"/>
      <c r="Z240" s="1267"/>
      <c r="AA240" s="1267"/>
      <c r="AB240" s="1267"/>
      <c r="AC240" s="1267"/>
      <c r="AD240" s="1268"/>
      <c r="AE240" s="1268"/>
      <c r="AF240" s="1268"/>
      <c r="AG240" s="1268"/>
      <c r="AH240" s="1268"/>
      <c r="AI240" s="1268"/>
      <c r="AJ240" s="2099">
        <f>T246</f>
        <v>0</v>
      </c>
      <c r="AK240" s="2095" t="str">
        <f>V246</f>
        <v>D+</v>
      </c>
    </row>
    <row r="241" spans="1:37" ht="24.95" customHeight="1" x14ac:dyDescent="0.25">
      <c r="A241" s="1687"/>
      <c r="B241" s="1688"/>
      <c r="C241" s="1270"/>
      <c r="D241" s="1686" t="s">
        <v>155</v>
      </c>
      <c r="E241" s="1494">
        <v>0</v>
      </c>
      <c r="F241" s="1494">
        <v>0</v>
      </c>
      <c r="G241" s="1494">
        <v>0</v>
      </c>
      <c r="H241" s="2087">
        <v>0</v>
      </c>
      <c r="I241" s="2087">
        <v>0</v>
      </c>
      <c r="J241" s="2087">
        <v>0</v>
      </c>
      <c r="K241" s="1494">
        <v>0</v>
      </c>
      <c r="L241" s="1494">
        <v>0</v>
      </c>
      <c r="M241" s="1494">
        <v>0</v>
      </c>
      <c r="N241" s="2087"/>
      <c r="O241" s="2087"/>
      <c r="P241" s="2087"/>
      <c r="Q241" s="2028">
        <f t="shared" ref="Q241:Q242" si="303">MAX(E241,H241,K241,N241)</f>
        <v>0</v>
      </c>
      <c r="R241" s="2126">
        <f t="shared" si="301"/>
        <v>0</v>
      </c>
      <c r="S241" s="2127">
        <f t="shared" si="302"/>
        <v>0</v>
      </c>
      <c r="T241" s="853">
        <f t="shared" ref="T241:T242" si="304">IFERROR(AVERAGE(Q241:S241),"")</f>
        <v>0</v>
      </c>
      <c r="U241" s="1704" t="str">
        <f t="shared" ref="U241:U245" si="305">IF(T241&gt;85,("4"),IF(T241&gt;80,("3.66"),IF(T241&gt;75,("3.33"),IF(T241&gt;70,("3.00"),IF(T241&gt;65,("2.66"),IF(T241&gt;60,("2.33"),IF(T241&gt;55,("2"),IF(T241&gt;50,("1.66"),"1.33"))))))))</f>
        <v>1.33</v>
      </c>
      <c r="V241" s="1704" t="str">
        <f t="shared" ref="V241:V245" si="306">IF(T241&gt;85,("A"),IF(T241&gt;80,("A-"),IF(T241&gt;75,("B+"),IF(T241&gt;70,("B"),IF(T241&gt;65,("B-"),IF(T241&gt;60,("C+"),IF(T241&gt;55,("C"),IF(T241&gt;50,("C-"),"D+"))))))))</f>
        <v>D+</v>
      </c>
      <c r="W241" s="1704" t="str">
        <f t="shared" ref="W241:W245" si="307">IF(T241&gt;80,("SB"),IF(T241&gt;65,("B"),IF(T241&gt;50,("C"),IF(T241&gt;0,("K"),"0"))))</f>
        <v>0</v>
      </c>
      <c r="X241" s="1843"/>
      <c r="Y241" s="1844"/>
      <c r="Z241" s="1844"/>
      <c r="AA241" s="1844"/>
      <c r="AB241" s="1844"/>
      <c r="AC241" s="1844"/>
      <c r="AD241" s="1845"/>
      <c r="AE241" s="1845"/>
      <c r="AF241" s="1845"/>
      <c r="AG241" s="1845"/>
      <c r="AH241" s="1845"/>
      <c r="AI241" s="1846"/>
      <c r="AJ241" s="1847"/>
      <c r="AK241" s="1848"/>
    </row>
    <row r="242" spans="1:37" ht="24.95" customHeight="1" x14ac:dyDescent="0.25">
      <c r="A242" s="1687"/>
      <c r="B242" s="1688"/>
      <c r="C242" s="1270"/>
      <c r="D242" s="1686" t="s">
        <v>11</v>
      </c>
      <c r="E242" s="1494">
        <v>0</v>
      </c>
      <c r="F242" s="1494">
        <v>0</v>
      </c>
      <c r="G242" s="1494">
        <v>0</v>
      </c>
      <c r="H242" s="2087">
        <v>0</v>
      </c>
      <c r="I242" s="2087">
        <v>0</v>
      </c>
      <c r="J242" s="2087">
        <v>0</v>
      </c>
      <c r="K242" s="1494">
        <v>0</v>
      </c>
      <c r="L242" s="1494">
        <v>0</v>
      </c>
      <c r="M242" s="1494">
        <v>0</v>
      </c>
      <c r="N242" s="2087">
        <v>0</v>
      </c>
      <c r="O242" s="2087">
        <v>0</v>
      </c>
      <c r="P242" s="2087">
        <v>0</v>
      </c>
      <c r="Q242" s="2028">
        <f t="shared" si="303"/>
        <v>0</v>
      </c>
      <c r="R242" s="2126">
        <f t="shared" si="301"/>
        <v>0</v>
      </c>
      <c r="S242" s="2127">
        <f t="shared" si="302"/>
        <v>0</v>
      </c>
      <c r="T242" s="853">
        <f t="shared" si="304"/>
        <v>0</v>
      </c>
      <c r="U242" s="1704" t="str">
        <f t="shared" si="305"/>
        <v>1.33</v>
      </c>
      <c r="V242" s="1704" t="str">
        <f t="shared" si="306"/>
        <v>D+</v>
      </c>
      <c r="W242" s="1704" t="str">
        <f t="shared" si="307"/>
        <v>0</v>
      </c>
      <c r="X242" s="1849"/>
      <c r="Y242" s="1850"/>
      <c r="Z242" s="1850"/>
      <c r="AA242" s="1850"/>
      <c r="AB242" s="1850"/>
      <c r="AC242" s="1850"/>
      <c r="AD242" s="1851"/>
      <c r="AE242" s="1851"/>
      <c r="AF242" s="1851"/>
      <c r="AG242" s="1851"/>
      <c r="AH242" s="1851"/>
      <c r="AI242" s="1852"/>
      <c r="AJ242" s="1853"/>
      <c r="AK242" s="1854"/>
    </row>
    <row r="243" spans="1:37" ht="24.95" customHeight="1" x14ac:dyDescent="0.25">
      <c r="A243" s="1687"/>
      <c r="B243" s="1688"/>
      <c r="C243" s="1270"/>
      <c r="D243" s="1686" t="s">
        <v>16</v>
      </c>
      <c r="E243" s="1494"/>
      <c r="F243" s="1494"/>
      <c r="G243" s="1494"/>
      <c r="H243" s="2087"/>
      <c r="I243" s="2087"/>
      <c r="J243" s="2087"/>
      <c r="K243" s="1494"/>
      <c r="L243" s="1494"/>
      <c r="M243" s="1494"/>
      <c r="N243" s="2087">
        <v>0</v>
      </c>
      <c r="O243" s="2087">
        <v>0</v>
      </c>
      <c r="P243" s="2087">
        <v>0</v>
      </c>
      <c r="Q243" s="2028">
        <f>MAX(E243,H243,K243,N243)</f>
        <v>0</v>
      </c>
      <c r="R243" s="2126">
        <f t="shared" si="301"/>
        <v>0</v>
      </c>
      <c r="S243" s="2127">
        <f t="shared" si="302"/>
        <v>0</v>
      </c>
      <c r="T243" s="853">
        <f>IFERROR(AVERAGE(Q243:S243),"")</f>
        <v>0</v>
      </c>
      <c r="U243" s="1704" t="str">
        <f t="shared" si="305"/>
        <v>1.33</v>
      </c>
      <c r="V243" s="1704" t="str">
        <f t="shared" si="306"/>
        <v>D+</v>
      </c>
      <c r="W243" s="1704" t="str">
        <f t="shared" si="307"/>
        <v>0</v>
      </c>
      <c r="X243" s="1849"/>
      <c r="Y243" s="1850"/>
      <c r="Z243" s="1850"/>
      <c r="AA243" s="1850"/>
      <c r="AB243" s="1850"/>
      <c r="AC243" s="1850"/>
      <c r="AD243" s="1851"/>
      <c r="AE243" s="1851"/>
      <c r="AF243" s="1851"/>
      <c r="AG243" s="1851"/>
      <c r="AH243" s="1851"/>
      <c r="AI243" s="1852"/>
      <c r="AJ243" s="1853"/>
      <c r="AK243" s="1854"/>
    </row>
    <row r="244" spans="1:37" ht="24.95" customHeight="1" x14ac:dyDescent="0.25">
      <c r="A244" s="1687"/>
      <c r="B244" s="1688"/>
      <c r="C244" s="1270"/>
      <c r="D244" s="1686" t="s">
        <v>186</v>
      </c>
      <c r="E244" s="1494"/>
      <c r="F244" s="1494"/>
      <c r="G244" s="1494"/>
      <c r="H244" s="2087"/>
      <c r="I244" s="2087"/>
      <c r="J244" s="2087"/>
      <c r="K244" s="1494">
        <v>0</v>
      </c>
      <c r="L244" s="1494">
        <v>0</v>
      </c>
      <c r="M244" s="1494">
        <v>0</v>
      </c>
      <c r="N244" s="2087"/>
      <c r="O244" s="2087"/>
      <c r="P244" s="2087"/>
      <c r="Q244" s="2028">
        <f t="shared" ref="Q244:Q245" si="308">MAX(E244,H244,K244,N244)</f>
        <v>0</v>
      </c>
      <c r="R244" s="2126">
        <f t="shared" si="301"/>
        <v>0</v>
      </c>
      <c r="S244" s="2127">
        <f t="shared" si="302"/>
        <v>0</v>
      </c>
      <c r="T244" s="853">
        <f t="shared" ref="T244:T245" si="309">IFERROR(AVERAGE(Q244:S244),"")</f>
        <v>0</v>
      </c>
      <c r="U244" s="1704" t="str">
        <f t="shared" si="305"/>
        <v>1.33</v>
      </c>
      <c r="V244" s="1704" t="str">
        <f t="shared" si="306"/>
        <v>D+</v>
      </c>
      <c r="W244" s="1704" t="str">
        <f t="shared" si="307"/>
        <v>0</v>
      </c>
      <c r="X244" s="1849"/>
      <c r="Y244" s="1850"/>
      <c r="Z244" s="1850"/>
      <c r="AA244" s="1850"/>
      <c r="AB244" s="1850"/>
      <c r="AC244" s="1850"/>
      <c r="AD244" s="1851"/>
      <c r="AE244" s="1851"/>
      <c r="AF244" s="1851"/>
      <c r="AG244" s="1851"/>
      <c r="AH244" s="1851"/>
      <c r="AI244" s="1852"/>
      <c r="AJ244" s="1853"/>
      <c r="AK244" s="1854"/>
    </row>
    <row r="245" spans="1:37" ht="24.95" customHeight="1" x14ac:dyDescent="0.25">
      <c r="A245" s="1687"/>
      <c r="B245" s="1688"/>
      <c r="C245" s="1270"/>
      <c r="D245" s="1686" t="s">
        <v>22</v>
      </c>
      <c r="E245" s="2086"/>
      <c r="F245" s="2086"/>
      <c r="G245" s="2086"/>
      <c r="H245" s="2088"/>
      <c r="I245" s="2088"/>
      <c r="J245" s="2088"/>
      <c r="K245" s="2086"/>
      <c r="L245" s="2086"/>
      <c r="M245" s="2086"/>
      <c r="N245" s="2088">
        <v>0</v>
      </c>
      <c r="O245" s="2088">
        <v>0</v>
      </c>
      <c r="P245" s="2088">
        <v>0</v>
      </c>
      <c r="Q245" s="2028">
        <f t="shared" si="308"/>
        <v>0</v>
      </c>
      <c r="R245" s="2126">
        <f t="shared" si="301"/>
        <v>0</v>
      </c>
      <c r="S245" s="2127">
        <f t="shared" si="302"/>
        <v>0</v>
      </c>
      <c r="T245" s="853">
        <f t="shared" si="309"/>
        <v>0</v>
      </c>
      <c r="U245" s="1705" t="str">
        <f t="shared" si="305"/>
        <v>1.33</v>
      </c>
      <c r="V245" s="1705" t="str">
        <f t="shared" si="306"/>
        <v>D+</v>
      </c>
      <c r="W245" s="1705" t="str">
        <f t="shared" si="307"/>
        <v>0</v>
      </c>
      <c r="X245" s="1849"/>
      <c r="Y245" s="1850"/>
      <c r="Z245" s="1850"/>
      <c r="AA245" s="1850"/>
      <c r="AB245" s="1850"/>
      <c r="AC245" s="1850"/>
      <c r="AD245" s="1851"/>
      <c r="AE245" s="1851"/>
      <c r="AF245" s="1851"/>
      <c r="AG245" s="1851"/>
      <c r="AH245" s="1851"/>
      <c r="AI245" s="1852"/>
      <c r="AJ245" s="1855"/>
      <c r="AK245" s="1856"/>
    </row>
    <row r="246" spans="1:37" ht="24.95" customHeight="1" x14ac:dyDescent="0.25">
      <c r="A246" s="1693"/>
      <c r="B246" s="1237">
        <v>34</v>
      </c>
      <c r="C246" s="1695" t="s">
        <v>167</v>
      </c>
      <c r="D246" s="1696"/>
      <c r="E246" s="1694"/>
      <c r="F246" s="1694"/>
      <c r="G246" s="1694"/>
      <c r="H246" s="1694"/>
      <c r="I246" s="1694"/>
      <c r="J246" s="1694"/>
      <c r="K246" s="1694"/>
      <c r="L246" s="1694"/>
      <c r="M246" s="1694"/>
      <c r="N246" s="1694"/>
      <c r="O246" s="1694"/>
      <c r="P246" s="1694"/>
      <c r="Q246" s="1694"/>
      <c r="R246" s="2160"/>
      <c r="S246" s="2160"/>
      <c r="T246" s="1938">
        <f>IFERROR(AVERAGE(T240:T245),"  ")</f>
        <v>0</v>
      </c>
      <c r="U246" s="1842" t="str">
        <f>IF(T246&gt;85,("4"),IF(T246&gt;80,("3.66"),IF(T246&gt;75,("3.33"),IF(T246&gt;70,("3.00"),IF(T246&gt;65,("2.66"),IF(T246&gt;60,("2.33"),IF(T246&gt;55,("2"),IF(T246&gt;50,("1.66"),"1.33"))))))))</f>
        <v>1.33</v>
      </c>
      <c r="V246" s="1842" t="str">
        <f>IF(T246&gt;85,("A"),IF(T246&gt;80,("A-"),IF(T246&gt;75,("B+"),IF(T246&gt;70,("B"),IF(T246&gt;65,("B-"),IF(T246&gt;60,("C+"),IF(T246&gt;55,("C"),IF(T246&gt;50,("C-"),"D+"))))))))</f>
        <v>D+</v>
      </c>
      <c r="W246" s="1842"/>
      <c r="X246" s="2073"/>
      <c r="Y246" s="2074"/>
      <c r="Z246" s="2074"/>
      <c r="AA246" s="2074"/>
      <c r="AB246" s="2074"/>
      <c r="AC246" s="2074"/>
      <c r="AD246" s="2074"/>
      <c r="AE246" s="2074"/>
      <c r="AF246" s="2074"/>
      <c r="AG246" s="2074"/>
      <c r="AH246" s="2074"/>
      <c r="AI246" s="2075"/>
      <c r="AJ246" s="1857"/>
      <c r="AK246" s="1858"/>
    </row>
    <row r="247" spans="1:37" ht="24.95" customHeight="1" x14ac:dyDescent="0.25">
      <c r="A247" s="1683">
        <v>35</v>
      </c>
      <c r="B247" s="1684"/>
      <c r="C247" s="1685" t="e">
        <f>VLOOKUP(A247,data_siswa,4,FALSE)</f>
        <v>#N/A</v>
      </c>
      <c r="D247" s="1686" t="s">
        <v>154</v>
      </c>
      <c r="E247" s="1494">
        <v>0</v>
      </c>
      <c r="F247" s="1494">
        <v>0</v>
      </c>
      <c r="G247" s="1494">
        <v>0</v>
      </c>
      <c r="H247" s="2087">
        <v>0</v>
      </c>
      <c r="I247" s="2087">
        <v>0</v>
      </c>
      <c r="J247" s="2087">
        <v>0</v>
      </c>
      <c r="K247" s="1494"/>
      <c r="L247" s="1494"/>
      <c r="M247" s="1494"/>
      <c r="N247" s="2087"/>
      <c r="O247" s="2087"/>
      <c r="P247" s="2087"/>
      <c r="Q247" s="2028">
        <f>MAX(E247,H247,K247,N247)</f>
        <v>0</v>
      </c>
      <c r="R247" s="2126">
        <f t="shared" ref="R247:R252" si="310">MAX(F247,I247,L247,O247)</f>
        <v>0</v>
      </c>
      <c r="S247" s="2127">
        <f t="shared" ref="S247:S252" si="311">MAX(G247,J247,M247,P247)</f>
        <v>0</v>
      </c>
      <c r="T247" s="853">
        <f>IFERROR(AVERAGE(Q247:S247),"")</f>
        <v>0</v>
      </c>
      <c r="U247" s="1704" t="str">
        <f>IF(T247&gt;85,("4"),IF(T247&gt;80,("3.66"),IF(T247&gt;75,("3.33"),IF(T247&gt;70,("3.00"),IF(T247&gt;65,("2.66"),IF(T247&gt;60,("2.33"),IF(T247&gt;55,("2"),IF(T247&gt;50,("1.66"),"1.33"))))))))</f>
        <v>1.33</v>
      </c>
      <c r="V247" s="1704" t="str">
        <f>IF(T247&gt;85,("A"),IF(T247&gt;80,("A-"),IF(T247&gt;75,("B+"),IF(T247&gt;70,("B"),IF(T247&gt;65,("B-"),IF(T247&gt;60,("C+"),IF(T247&gt;55,("C"),IF(T247&gt;50,("C-"),"D+"))))))))</f>
        <v>D+</v>
      </c>
      <c r="W247" s="1704" t="str">
        <f>IF(T247&gt;80,("SB"),IF(T247&gt;65,("B"),IF(T247&gt;50,("C"),IF(T247&gt;0,("K"),"0"))))</f>
        <v>0</v>
      </c>
      <c r="X247" s="1267"/>
      <c r="Y247" s="1267"/>
      <c r="Z247" s="1267"/>
      <c r="AA247" s="1267"/>
      <c r="AB247" s="1267"/>
      <c r="AC247" s="1267"/>
      <c r="AD247" s="1268"/>
      <c r="AE247" s="1268"/>
      <c r="AF247" s="1268"/>
      <c r="AG247" s="1268"/>
      <c r="AH247" s="1268"/>
      <c r="AI247" s="1268"/>
      <c r="AJ247" s="2099">
        <f>T253</f>
        <v>0</v>
      </c>
      <c r="AK247" s="2095" t="str">
        <f>V253</f>
        <v>D+</v>
      </c>
    </row>
    <row r="248" spans="1:37" ht="24.95" customHeight="1" x14ac:dyDescent="0.25">
      <c r="A248" s="1687"/>
      <c r="B248" s="1688"/>
      <c r="C248" s="1270"/>
      <c r="D248" s="1686" t="s">
        <v>155</v>
      </c>
      <c r="E248" s="1494">
        <v>0</v>
      </c>
      <c r="F248" s="1494">
        <v>0</v>
      </c>
      <c r="G248" s="1494">
        <v>0</v>
      </c>
      <c r="H248" s="2087">
        <v>0</v>
      </c>
      <c r="I248" s="2087">
        <v>0</v>
      </c>
      <c r="J248" s="2087">
        <v>0</v>
      </c>
      <c r="K248" s="1494">
        <v>0</v>
      </c>
      <c r="L248" s="1494">
        <v>0</v>
      </c>
      <c r="M248" s="1494">
        <v>0</v>
      </c>
      <c r="N248" s="2087"/>
      <c r="O248" s="2087"/>
      <c r="P248" s="2087"/>
      <c r="Q248" s="2028">
        <f t="shared" ref="Q248:Q249" si="312">MAX(E248,H248,K248,N248)</f>
        <v>0</v>
      </c>
      <c r="R248" s="2126">
        <f t="shared" si="310"/>
        <v>0</v>
      </c>
      <c r="S248" s="2127">
        <f t="shared" si="311"/>
        <v>0</v>
      </c>
      <c r="T248" s="853">
        <f t="shared" ref="T248:T249" si="313">IFERROR(AVERAGE(Q248:S248),"")</f>
        <v>0</v>
      </c>
      <c r="U248" s="1704" t="str">
        <f t="shared" ref="U248:U252" si="314">IF(T248&gt;85,("4"),IF(T248&gt;80,("3.66"),IF(T248&gt;75,("3.33"),IF(T248&gt;70,("3.00"),IF(T248&gt;65,("2.66"),IF(T248&gt;60,("2.33"),IF(T248&gt;55,("2"),IF(T248&gt;50,("1.66"),"1.33"))))))))</f>
        <v>1.33</v>
      </c>
      <c r="V248" s="1704" t="str">
        <f t="shared" ref="V248:V252" si="315">IF(T248&gt;85,("A"),IF(T248&gt;80,("A-"),IF(T248&gt;75,("B+"),IF(T248&gt;70,("B"),IF(T248&gt;65,("B-"),IF(T248&gt;60,("C+"),IF(T248&gt;55,("C"),IF(T248&gt;50,("C-"),"D+"))))))))</f>
        <v>D+</v>
      </c>
      <c r="W248" s="1704" t="str">
        <f t="shared" ref="W248:W252" si="316">IF(T248&gt;80,("SB"),IF(T248&gt;65,("B"),IF(T248&gt;50,("C"),IF(T248&gt;0,("K"),"0"))))</f>
        <v>0</v>
      </c>
      <c r="X248" s="1843"/>
      <c r="Y248" s="1844"/>
      <c r="Z248" s="1844"/>
      <c r="AA248" s="1844"/>
      <c r="AB248" s="1844"/>
      <c r="AC248" s="1844"/>
      <c r="AD248" s="1845"/>
      <c r="AE248" s="1845"/>
      <c r="AF248" s="1845"/>
      <c r="AG248" s="1845"/>
      <c r="AH248" s="1845"/>
      <c r="AI248" s="1846"/>
      <c r="AJ248" s="1847"/>
      <c r="AK248" s="1848"/>
    </row>
    <row r="249" spans="1:37" ht="24.95" customHeight="1" x14ac:dyDescent="0.25">
      <c r="A249" s="1687"/>
      <c r="B249" s="1688"/>
      <c r="C249" s="1270"/>
      <c r="D249" s="1686" t="s">
        <v>11</v>
      </c>
      <c r="E249" s="1494">
        <v>0</v>
      </c>
      <c r="F249" s="1494">
        <v>0</v>
      </c>
      <c r="G249" s="1494">
        <v>0</v>
      </c>
      <c r="H249" s="2087">
        <v>0</v>
      </c>
      <c r="I249" s="2087">
        <v>0</v>
      </c>
      <c r="J249" s="2087">
        <v>0</v>
      </c>
      <c r="K249" s="1494">
        <v>0</v>
      </c>
      <c r="L249" s="1494">
        <v>0</v>
      </c>
      <c r="M249" s="1494">
        <v>0</v>
      </c>
      <c r="N249" s="2087">
        <v>0</v>
      </c>
      <c r="O249" s="2087">
        <v>0</v>
      </c>
      <c r="P249" s="2087">
        <v>0</v>
      </c>
      <c r="Q249" s="2028">
        <f t="shared" si="312"/>
        <v>0</v>
      </c>
      <c r="R249" s="2126">
        <f t="shared" si="310"/>
        <v>0</v>
      </c>
      <c r="S249" s="2127">
        <f t="shared" si="311"/>
        <v>0</v>
      </c>
      <c r="T249" s="853">
        <f t="shared" si="313"/>
        <v>0</v>
      </c>
      <c r="U249" s="1704" t="str">
        <f t="shared" si="314"/>
        <v>1.33</v>
      </c>
      <c r="V249" s="1704" t="str">
        <f t="shared" si="315"/>
        <v>D+</v>
      </c>
      <c r="W249" s="1704" t="str">
        <f t="shared" si="316"/>
        <v>0</v>
      </c>
      <c r="X249" s="1849"/>
      <c r="Y249" s="1850"/>
      <c r="Z249" s="1850"/>
      <c r="AA249" s="1850"/>
      <c r="AB249" s="1850"/>
      <c r="AC249" s="1850"/>
      <c r="AD249" s="1851"/>
      <c r="AE249" s="1851"/>
      <c r="AF249" s="1851"/>
      <c r="AG249" s="1851"/>
      <c r="AH249" s="1851"/>
      <c r="AI249" s="1852"/>
      <c r="AJ249" s="1853"/>
      <c r="AK249" s="1854"/>
    </row>
    <row r="250" spans="1:37" ht="24.95" customHeight="1" x14ac:dyDescent="0.25">
      <c r="A250" s="1687"/>
      <c r="B250" s="1688"/>
      <c r="C250" s="1270"/>
      <c r="D250" s="1686" t="s">
        <v>16</v>
      </c>
      <c r="E250" s="1494"/>
      <c r="F250" s="1494"/>
      <c r="G250" s="1494"/>
      <c r="H250" s="2087"/>
      <c r="I250" s="2087"/>
      <c r="J250" s="2087"/>
      <c r="K250" s="1494"/>
      <c r="L250" s="1494"/>
      <c r="M250" s="1494"/>
      <c r="N250" s="2087">
        <v>0</v>
      </c>
      <c r="O250" s="2087">
        <v>0</v>
      </c>
      <c r="P250" s="2087">
        <v>0</v>
      </c>
      <c r="Q250" s="2028">
        <f>MAX(E250,H250,K250,N250)</f>
        <v>0</v>
      </c>
      <c r="R250" s="2126">
        <f t="shared" si="310"/>
        <v>0</v>
      </c>
      <c r="S250" s="2127">
        <f t="shared" si="311"/>
        <v>0</v>
      </c>
      <c r="T250" s="853">
        <f>IFERROR(AVERAGE(Q250:S250),"")</f>
        <v>0</v>
      </c>
      <c r="U250" s="1704" t="str">
        <f t="shared" si="314"/>
        <v>1.33</v>
      </c>
      <c r="V250" s="1704" t="str">
        <f t="shared" si="315"/>
        <v>D+</v>
      </c>
      <c r="W250" s="1704" t="str">
        <f t="shared" si="316"/>
        <v>0</v>
      </c>
      <c r="X250" s="1849"/>
      <c r="Y250" s="1850"/>
      <c r="Z250" s="1850"/>
      <c r="AA250" s="1850"/>
      <c r="AB250" s="1850"/>
      <c r="AC250" s="1850"/>
      <c r="AD250" s="1851"/>
      <c r="AE250" s="1851"/>
      <c r="AF250" s="1851"/>
      <c r="AG250" s="1851"/>
      <c r="AH250" s="1851"/>
      <c r="AI250" s="1852"/>
      <c r="AJ250" s="1853"/>
      <c r="AK250" s="1854"/>
    </row>
    <row r="251" spans="1:37" ht="24.95" customHeight="1" x14ac:dyDescent="0.25">
      <c r="A251" s="1687"/>
      <c r="B251" s="1688"/>
      <c r="C251" s="1270"/>
      <c r="D251" s="1686" t="s">
        <v>186</v>
      </c>
      <c r="E251" s="1494"/>
      <c r="F251" s="1494"/>
      <c r="G251" s="1494"/>
      <c r="H251" s="2087"/>
      <c r="I251" s="2087"/>
      <c r="J251" s="2087"/>
      <c r="K251" s="1494">
        <v>0</v>
      </c>
      <c r="L251" s="1494">
        <v>0</v>
      </c>
      <c r="M251" s="1494">
        <v>0</v>
      </c>
      <c r="N251" s="2087"/>
      <c r="O251" s="2087"/>
      <c r="P251" s="2087"/>
      <c r="Q251" s="2028">
        <f t="shared" ref="Q251:Q252" si="317">MAX(E251,H251,K251,N251)</f>
        <v>0</v>
      </c>
      <c r="R251" s="2126">
        <f t="shared" si="310"/>
        <v>0</v>
      </c>
      <c r="S251" s="2127">
        <f t="shared" si="311"/>
        <v>0</v>
      </c>
      <c r="T251" s="853">
        <f t="shared" ref="T251:T252" si="318">IFERROR(AVERAGE(Q251:S251),"")</f>
        <v>0</v>
      </c>
      <c r="U251" s="1704" t="str">
        <f t="shared" si="314"/>
        <v>1.33</v>
      </c>
      <c r="V251" s="1704" t="str">
        <f t="shared" si="315"/>
        <v>D+</v>
      </c>
      <c r="W251" s="1704" t="str">
        <f t="shared" si="316"/>
        <v>0</v>
      </c>
      <c r="X251" s="1849"/>
      <c r="Y251" s="1850"/>
      <c r="Z251" s="1850"/>
      <c r="AA251" s="1850"/>
      <c r="AB251" s="1850"/>
      <c r="AC251" s="1850"/>
      <c r="AD251" s="1851"/>
      <c r="AE251" s="1851"/>
      <c r="AF251" s="1851"/>
      <c r="AG251" s="1851"/>
      <c r="AH251" s="1851"/>
      <c r="AI251" s="1852"/>
      <c r="AJ251" s="1853"/>
      <c r="AK251" s="1854"/>
    </row>
    <row r="252" spans="1:37" ht="24.95" customHeight="1" x14ac:dyDescent="0.25">
      <c r="A252" s="1687"/>
      <c r="B252" s="1688"/>
      <c r="C252" s="1270"/>
      <c r="D252" s="1686" t="s">
        <v>22</v>
      </c>
      <c r="E252" s="2086"/>
      <c r="F252" s="2086"/>
      <c r="G252" s="2086"/>
      <c r="H252" s="2088"/>
      <c r="I252" s="2088"/>
      <c r="J252" s="2088"/>
      <c r="K252" s="2086"/>
      <c r="L252" s="2086"/>
      <c r="M252" s="2086"/>
      <c r="N252" s="2088">
        <v>0</v>
      </c>
      <c r="O252" s="2088">
        <v>0</v>
      </c>
      <c r="P252" s="2088">
        <v>0</v>
      </c>
      <c r="Q252" s="2028">
        <f t="shared" si="317"/>
        <v>0</v>
      </c>
      <c r="R252" s="2126">
        <f t="shared" si="310"/>
        <v>0</v>
      </c>
      <c r="S252" s="2127">
        <f t="shared" si="311"/>
        <v>0</v>
      </c>
      <c r="T252" s="853">
        <f t="shared" si="318"/>
        <v>0</v>
      </c>
      <c r="U252" s="1705" t="str">
        <f t="shared" si="314"/>
        <v>1.33</v>
      </c>
      <c r="V252" s="1705" t="str">
        <f t="shared" si="315"/>
        <v>D+</v>
      </c>
      <c r="W252" s="1705" t="str">
        <f t="shared" si="316"/>
        <v>0</v>
      </c>
      <c r="X252" s="1849"/>
      <c r="Y252" s="1850"/>
      <c r="Z252" s="1850"/>
      <c r="AA252" s="1850"/>
      <c r="AB252" s="1850"/>
      <c r="AC252" s="1850"/>
      <c r="AD252" s="1851"/>
      <c r="AE252" s="1851"/>
      <c r="AF252" s="1851"/>
      <c r="AG252" s="1851"/>
      <c r="AH252" s="1851"/>
      <c r="AI252" s="1852"/>
      <c r="AJ252" s="1855"/>
      <c r="AK252" s="1856"/>
    </row>
    <row r="253" spans="1:37" ht="24.95" customHeight="1" x14ac:dyDescent="0.25">
      <c r="A253" s="1693"/>
      <c r="B253" s="1237">
        <v>35</v>
      </c>
      <c r="C253" s="1695" t="s">
        <v>167</v>
      </c>
      <c r="D253" s="1696"/>
      <c r="E253" s="1694"/>
      <c r="F253" s="1694"/>
      <c r="G253" s="1694"/>
      <c r="H253" s="1694"/>
      <c r="I253" s="1694"/>
      <c r="J253" s="1694"/>
      <c r="K253" s="1694"/>
      <c r="L253" s="1694"/>
      <c r="M253" s="1694"/>
      <c r="N253" s="1694"/>
      <c r="O253" s="1694"/>
      <c r="P253" s="1694"/>
      <c r="Q253" s="1694"/>
      <c r="R253" s="2160"/>
      <c r="S253" s="2160"/>
      <c r="T253" s="1938">
        <f>IFERROR(AVERAGE(T247:T252),"  ")</f>
        <v>0</v>
      </c>
      <c r="U253" s="1842" t="str">
        <f>IF(T253&gt;85,("4"),IF(T253&gt;80,("3.66"),IF(T253&gt;75,("3.33"),IF(T253&gt;70,("3.00"),IF(T253&gt;65,("2.66"),IF(T253&gt;60,("2.33"),IF(T253&gt;55,("2"),IF(T253&gt;50,("1.66"),"1.33"))))))))</f>
        <v>1.33</v>
      </c>
      <c r="V253" s="1842" t="str">
        <f>IF(T253&gt;85,("A"),IF(T253&gt;80,("A-"),IF(T253&gt;75,("B+"),IF(T253&gt;70,("B"),IF(T253&gt;65,("B-"),IF(T253&gt;60,("C+"),IF(T253&gt;55,("C"),IF(T253&gt;50,("C-"),"D+"))))))))</f>
        <v>D+</v>
      </c>
      <c r="W253" s="1842"/>
      <c r="X253" s="2073"/>
      <c r="Y253" s="2074"/>
      <c r="Z253" s="2074"/>
      <c r="AA253" s="2074"/>
      <c r="AB253" s="2074"/>
      <c r="AC253" s="2074"/>
      <c r="AD253" s="2074"/>
      <c r="AE253" s="2074"/>
      <c r="AF253" s="2074"/>
      <c r="AG253" s="2074"/>
      <c r="AH253" s="2074"/>
      <c r="AI253" s="2075"/>
      <c r="AJ253" s="1857"/>
      <c r="AK253" s="1858"/>
    </row>
    <row r="254" spans="1:37" ht="24.95" customHeight="1" x14ac:dyDescent="0.25">
      <c r="A254" s="1697">
        <v>36</v>
      </c>
      <c r="B254" s="1684"/>
      <c r="C254" s="1685" t="e">
        <f>VLOOKUP(A254,data_siswa,4,FALSE)</f>
        <v>#N/A</v>
      </c>
      <c r="D254" s="1686" t="s">
        <v>154</v>
      </c>
      <c r="E254" s="1494">
        <v>0</v>
      </c>
      <c r="F254" s="1494">
        <v>0</v>
      </c>
      <c r="G254" s="1494">
        <v>0</v>
      </c>
      <c r="H254" s="2087">
        <v>0</v>
      </c>
      <c r="I254" s="2087">
        <v>0</v>
      </c>
      <c r="J254" s="2087">
        <v>0</v>
      </c>
      <c r="K254" s="1494"/>
      <c r="L254" s="1494"/>
      <c r="M254" s="1494"/>
      <c r="N254" s="2087"/>
      <c r="O254" s="2087"/>
      <c r="P254" s="2087"/>
      <c r="Q254" s="2028">
        <f>MAX(E254,H254,K254,N254)</f>
        <v>0</v>
      </c>
      <c r="R254" s="2126">
        <f t="shared" ref="R254:R259" si="319">MAX(F254,I254,L254,O254)</f>
        <v>0</v>
      </c>
      <c r="S254" s="2127">
        <f t="shared" ref="S254:S259" si="320">MAX(G254,J254,M254,P254)</f>
        <v>0</v>
      </c>
      <c r="T254" s="853">
        <f>IFERROR(AVERAGE(Q254:S254),"")</f>
        <v>0</v>
      </c>
      <c r="U254" s="1704" t="str">
        <f>IF(T254&gt;85,("4"),IF(T254&gt;80,("3.66"),IF(T254&gt;75,("3.33"),IF(T254&gt;70,("3.00"),IF(T254&gt;65,("2.66"),IF(T254&gt;60,("2.33"),IF(T254&gt;55,("2"),IF(T254&gt;50,("1.66"),"1.33"))))))))</f>
        <v>1.33</v>
      </c>
      <c r="V254" s="1704" t="str">
        <f>IF(T254&gt;85,("A"),IF(T254&gt;80,("A-"),IF(T254&gt;75,("B+"),IF(T254&gt;70,("B"),IF(T254&gt;65,("B-"),IF(T254&gt;60,("C+"),IF(T254&gt;55,("C"),IF(T254&gt;50,("C-"),"D+"))))))))</f>
        <v>D+</v>
      </c>
      <c r="W254" s="1704" t="str">
        <f>IF(T254&gt;80,("SB"),IF(T254&gt;65,("B"),IF(T254&gt;50,("C"),IF(T254&gt;0,("K"),"0"))))</f>
        <v>0</v>
      </c>
      <c r="X254" s="1267"/>
      <c r="Y254" s="1267"/>
      <c r="Z254" s="1267"/>
      <c r="AA254" s="1267"/>
      <c r="AB254" s="1267"/>
      <c r="AC254" s="1267"/>
      <c r="AD254" s="1268"/>
      <c r="AE254" s="1268"/>
      <c r="AF254" s="1268"/>
      <c r="AG254" s="1268"/>
      <c r="AH254" s="1268"/>
      <c r="AI254" s="1268"/>
      <c r="AJ254" s="2099">
        <f>T260</f>
        <v>0</v>
      </c>
      <c r="AK254" s="2095" t="str">
        <f>V260</f>
        <v>D+</v>
      </c>
    </row>
    <row r="255" spans="1:37" ht="24.95" customHeight="1" x14ac:dyDescent="0.25">
      <c r="A255" s="1698"/>
      <c r="B255" s="1688"/>
      <c r="C255" s="1270"/>
      <c r="D255" s="1686" t="s">
        <v>155</v>
      </c>
      <c r="E255" s="1494">
        <v>0</v>
      </c>
      <c r="F255" s="1494">
        <v>0</v>
      </c>
      <c r="G255" s="1494">
        <v>0</v>
      </c>
      <c r="H255" s="2087">
        <v>0</v>
      </c>
      <c r="I255" s="2087">
        <v>0</v>
      </c>
      <c r="J255" s="2087">
        <v>0</v>
      </c>
      <c r="K255" s="1494">
        <v>0</v>
      </c>
      <c r="L255" s="1494">
        <v>0</v>
      </c>
      <c r="M255" s="1494">
        <v>0</v>
      </c>
      <c r="N255" s="2087"/>
      <c r="O255" s="2087"/>
      <c r="P255" s="2087"/>
      <c r="Q255" s="2028">
        <f t="shared" ref="Q255:Q256" si="321">MAX(E255,H255,K255,N255)</f>
        <v>0</v>
      </c>
      <c r="R255" s="2126">
        <f t="shared" si="319"/>
        <v>0</v>
      </c>
      <c r="S255" s="2127">
        <f t="shared" si="320"/>
        <v>0</v>
      </c>
      <c r="T255" s="853">
        <f t="shared" ref="T255:T256" si="322">IFERROR(AVERAGE(Q255:S255),"")</f>
        <v>0</v>
      </c>
      <c r="U255" s="1704" t="str">
        <f t="shared" ref="U255:U259" si="323">IF(T255&gt;85,("4"),IF(T255&gt;80,("3.66"),IF(T255&gt;75,("3.33"),IF(T255&gt;70,("3.00"),IF(T255&gt;65,("2.66"),IF(T255&gt;60,("2.33"),IF(T255&gt;55,("2"),IF(T255&gt;50,("1.66"),"1.33"))))))))</f>
        <v>1.33</v>
      </c>
      <c r="V255" s="1704" t="str">
        <f t="shared" ref="V255:V259" si="324">IF(T255&gt;85,("A"),IF(T255&gt;80,("A-"),IF(T255&gt;75,("B+"),IF(T255&gt;70,("B"),IF(T255&gt;65,("B-"),IF(T255&gt;60,("C+"),IF(T255&gt;55,("C"),IF(T255&gt;50,("C-"),"D+"))))))))</f>
        <v>D+</v>
      </c>
      <c r="W255" s="1704" t="str">
        <f t="shared" ref="W255:W259" si="325">IF(T255&gt;80,("SB"),IF(T255&gt;65,("B"),IF(T255&gt;50,("C"),IF(T255&gt;0,("K"),"0"))))</f>
        <v>0</v>
      </c>
      <c r="X255" s="1843"/>
      <c r="Y255" s="1844"/>
      <c r="Z255" s="1844"/>
      <c r="AA255" s="1844"/>
      <c r="AB255" s="1844"/>
      <c r="AC255" s="1844"/>
      <c r="AD255" s="1845"/>
      <c r="AE255" s="1845"/>
      <c r="AF255" s="1845"/>
      <c r="AG255" s="1845"/>
      <c r="AH255" s="1845"/>
      <c r="AI255" s="1846"/>
      <c r="AJ255" s="1847"/>
      <c r="AK255" s="1848"/>
    </row>
    <row r="256" spans="1:37" ht="24.95" customHeight="1" x14ac:dyDescent="0.25">
      <c r="A256" s="1698"/>
      <c r="B256" s="1688"/>
      <c r="C256" s="1270"/>
      <c r="D256" s="1686" t="s">
        <v>11</v>
      </c>
      <c r="E256" s="1494">
        <v>0</v>
      </c>
      <c r="F256" s="1494">
        <v>0</v>
      </c>
      <c r="G256" s="1494">
        <v>0</v>
      </c>
      <c r="H256" s="2087">
        <v>0</v>
      </c>
      <c r="I256" s="2087">
        <v>0</v>
      </c>
      <c r="J256" s="2087">
        <v>0</v>
      </c>
      <c r="K256" s="1494">
        <v>0</v>
      </c>
      <c r="L256" s="1494">
        <v>0</v>
      </c>
      <c r="M256" s="1494">
        <v>0</v>
      </c>
      <c r="N256" s="2087">
        <v>0</v>
      </c>
      <c r="O256" s="2087">
        <v>0</v>
      </c>
      <c r="P256" s="2087">
        <v>0</v>
      </c>
      <c r="Q256" s="2028">
        <f t="shared" si="321"/>
        <v>0</v>
      </c>
      <c r="R256" s="2126">
        <f t="shared" si="319"/>
        <v>0</v>
      </c>
      <c r="S256" s="2127">
        <f t="shared" si="320"/>
        <v>0</v>
      </c>
      <c r="T256" s="853">
        <f t="shared" si="322"/>
        <v>0</v>
      </c>
      <c r="U256" s="1704" t="str">
        <f t="shared" si="323"/>
        <v>1.33</v>
      </c>
      <c r="V256" s="1704" t="str">
        <f t="shared" si="324"/>
        <v>D+</v>
      </c>
      <c r="W256" s="1704" t="str">
        <f t="shared" si="325"/>
        <v>0</v>
      </c>
      <c r="X256" s="1849"/>
      <c r="Y256" s="1850"/>
      <c r="Z256" s="1850"/>
      <c r="AA256" s="1850"/>
      <c r="AB256" s="1850"/>
      <c r="AC256" s="1850"/>
      <c r="AD256" s="1851"/>
      <c r="AE256" s="1851"/>
      <c r="AF256" s="1851"/>
      <c r="AG256" s="1851"/>
      <c r="AH256" s="1851"/>
      <c r="AI256" s="1852"/>
      <c r="AJ256" s="1853"/>
      <c r="AK256" s="1854"/>
    </row>
    <row r="257" spans="1:37" ht="24.95" customHeight="1" x14ac:dyDescent="0.25">
      <c r="A257" s="1698"/>
      <c r="B257" s="1688"/>
      <c r="C257" s="1270"/>
      <c r="D257" s="1686" t="s">
        <v>16</v>
      </c>
      <c r="E257" s="1494"/>
      <c r="F257" s="1494"/>
      <c r="G257" s="1494"/>
      <c r="H257" s="2087"/>
      <c r="I257" s="2087"/>
      <c r="J257" s="2087"/>
      <c r="K257" s="1494"/>
      <c r="L257" s="1494"/>
      <c r="M257" s="1494"/>
      <c r="N257" s="2087">
        <v>0</v>
      </c>
      <c r="O257" s="2087">
        <v>0</v>
      </c>
      <c r="P257" s="2087">
        <v>0</v>
      </c>
      <c r="Q257" s="2028">
        <f>MAX(E257,H257,K257,N257)</f>
        <v>0</v>
      </c>
      <c r="R257" s="2126">
        <f t="shared" si="319"/>
        <v>0</v>
      </c>
      <c r="S257" s="2127">
        <f t="shared" si="320"/>
        <v>0</v>
      </c>
      <c r="T257" s="853">
        <f>IFERROR(AVERAGE(Q257:S257),"")</f>
        <v>0</v>
      </c>
      <c r="U257" s="1704" t="str">
        <f t="shared" si="323"/>
        <v>1.33</v>
      </c>
      <c r="V257" s="1704" t="str">
        <f t="shared" si="324"/>
        <v>D+</v>
      </c>
      <c r="W257" s="1704" t="str">
        <f t="shared" si="325"/>
        <v>0</v>
      </c>
      <c r="X257" s="1849"/>
      <c r="Y257" s="1850"/>
      <c r="Z257" s="1850"/>
      <c r="AA257" s="1850"/>
      <c r="AB257" s="1850"/>
      <c r="AC257" s="1850"/>
      <c r="AD257" s="1851"/>
      <c r="AE257" s="1851"/>
      <c r="AF257" s="1851"/>
      <c r="AG257" s="1851"/>
      <c r="AH257" s="1851"/>
      <c r="AI257" s="1852"/>
      <c r="AJ257" s="1853"/>
      <c r="AK257" s="1854"/>
    </row>
    <row r="258" spans="1:37" ht="24.95" customHeight="1" x14ac:dyDescent="0.25">
      <c r="A258" s="1698"/>
      <c r="B258" s="1688"/>
      <c r="C258" s="1270"/>
      <c r="D258" s="1686" t="s">
        <v>186</v>
      </c>
      <c r="E258" s="1494"/>
      <c r="F258" s="1494"/>
      <c r="G258" s="1494"/>
      <c r="H258" s="2087"/>
      <c r="I258" s="2087"/>
      <c r="J258" s="2087"/>
      <c r="K258" s="1494">
        <v>0</v>
      </c>
      <c r="L258" s="1494">
        <v>0</v>
      </c>
      <c r="M258" s="1494">
        <v>0</v>
      </c>
      <c r="N258" s="2087"/>
      <c r="O258" s="2087"/>
      <c r="P258" s="2087"/>
      <c r="Q258" s="2028">
        <f t="shared" ref="Q258:Q259" si="326">MAX(E258,H258,K258,N258)</f>
        <v>0</v>
      </c>
      <c r="R258" s="2126">
        <f t="shared" si="319"/>
        <v>0</v>
      </c>
      <c r="S258" s="2127">
        <f t="shared" si="320"/>
        <v>0</v>
      </c>
      <c r="T258" s="853">
        <f t="shared" ref="T258:T259" si="327">IFERROR(AVERAGE(Q258:S258),"")</f>
        <v>0</v>
      </c>
      <c r="U258" s="1704" t="str">
        <f t="shared" si="323"/>
        <v>1.33</v>
      </c>
      <c r="V258" s="1704" t="str">
        <f t="shared" si="324"/>
        <v>D+</v>
      </c>
      <c r="W258" s="1704" t="str">
        <f t="shared" si="325"/>
        <v>0</v>
      </c>
      <c r="X258" s="1849"/>
      <c r="Y258" s="1850"/>
      <c r="Z258" s="1850"/>
      <c r="AA258" s="1850"/>
      <c r="AB258" s="1850"/>
      <c r="AC258" s="1850"/>
      <c r="AD258" s="1851"/>
      <c r="AE258" s="1851"/>
      <c r="AF258" s="1851"/>
      <c r="AG258" s="1851"/>
      <c r="AH258" s="1851"/>
      <c r="AI258" s="1852"/>
      <c r="AJ258" s="1853"/>
      <c r="AK258" s="1854"/>
    </row>
    <row r="259" spans="1:37" ht="24.95" customHeight="1" x14ac:dyDescent="0.25">
      <c r="A259" s="1698"/>
      <c r="B259" s="1688"/>
      <c r="C259" s="1270"/>
      <c r="D259" s="1686" t="s">
        <v>22</v>
      </c>
      <c r="E259" s="2086"/>
      <c r="F259" s="2086"/>
      <c r="G259" s="2086"/>
      <c r="H259" s="2088"/>
      <c r="I259" s="2088"/>
      <c r="J259" s="2088"/>
      <c r="K259" s="2086"/>
      <c r="L259" s="2086"/>
      <c r="M259" s="2086"/>
      <c r="N259" s="2088">
        <v>0</v>
      </c>
      <c r="O259" s="2088">
        <v>0</v>
      </c>
      <c r="P259" s="2088">
        <v>0</v>
      </c>
      <c r="Q259" s="2028">
        <f t="shared" si="326"/>
        <v>0</v>
      </c>
      <c r="R259" s="2126">
        <f t="shared" si="319"/>
        <v>0</v>
      </c>
      <c r="S259" s="2127">
        <f t="shared" si="320"/>
        <v>0</v>
      </c>
      <c r="T259" s="853">
        <f t="shared" si="327"/>
        <v>0</v>
      </c>
      <c r="U259" s="1705" t="str">
        <f t="shared" si="323"/>
        <v>1.33</v>
      </c>
      <c r="V259" s="1705" t="str">
        <f t="shared" si="324"/>
        <v>D+</v>
      </c>
      <c r="W259" s="1705" t="str">
        <f t="shared" si="325"/>
        <v>0</v>
      </c>
      <c r="X259" s="1849"/>
      <c r="Y259" s="1850"/>
      <c r="Z259" s="1850"/>
      <c r="AA259" s="1850"/>
      <c r="AB259" s="1850"/>
      <c r="AC259" s="1850"/>
      <c r="AD259" s="1851"/>
      <c r="AE259" s="1851"/>
      <c r="AF259" s="1851"/>
      <c r="AG259" s="1851"/>
      <c r="AH259" s="1851"/>
      <c r="AI259" s="1852"/>
      <c r="AJ259" s="1855"/>
      <c r="AK259" s="1856"/>
    </row>
    <row r="260" spans="1:37" ht="24.95" customHeight="1" x14ac:dyDescent="0.25">
      <c r="A260" s="1699"/>
      <c r="B260" s="1237">
        <v>36</v>
      </c>
      <c r="C260" s="1695" t="s">
        <v>167</v>
      </c>
      <c r="D260" s="1696"/>
      <c r="E260" s="1694"/>
      <c r="F260" s="1694"/>
      <c r="G260" s="1694"/>
      <c r="H260" s="1694"/>
      <c r="I260" s="1694"/>
      <c r="J260" s="1694"/>
      <c r="K260" s="1694"/>
      <c r="L260" s="1694"/>
      <c r="M260" s="1694"/>
      <c r="N260" s="1694"/>
      <c r="O260" s="1694"/>
      <c r="P260" s="1694"/>
      <c r="Q260" s="1694"/>
      <c r="R260" s="2160"/>
      <c r="S260" s="2160"/>
      <c r="T260" s="1938">
        <f>IFERROR(AVERAGE(T254:T259),"  ")</f>
        <v>0</v>
      </c>
      <c r="U260" s="1842" t="str">
        <f>IF(T260&gt;85,("4"),IF(T260&gt;80,("3.66"),IF(T260&gt;75,("3.33"),IF(T260&gt;70,("3.00"),IF(T260&gt;65,("2.66"),IF(T260&gt;60,("2.33"),IF(T260&gt;55,("2"),IF(T260&gt;50,("1.66"),"1.33"))))))))</f>
        <v>1.33</v>
      </c>
      <c r="V260" s="1842" t="str">
        <f>IF(T260&gt;85,("A"),IF(T260&gt;80,("A-"),IF(T260&gt;75,("B+"),IF(T260&gt;70,("B"),IF(T260&gt;65,("B-"),IF(T260&gt;60,("C+"),IF(T260&gt;55,("C"),IF(T260&gt;50,("C-"),"D+"))))))))</f>
        <v>D+</v>
      </c>
      <c r="W260" s="1842"/>
      <c r="X260" s="2073"/>
      <c r="Y260" s="2074"/>
      <c r="Z260" s="2074"/>
      <c r="AA260" s="2074"/>
      <c r="AB260" s="2074"/>
      <c r="AC260" s="2074"/>
      <c r="AD260" s="2074"/>
      <c r="AE260" s="2074"/>
      <c r="AF260" s="2074"/>
      <c r="AG260" s="2074"/>
      <c r="AH260" s="2074"/>
      <c r="AI260" s="2075"/>
      <c r="AJ260" s="1857"/>
      <c r="AK260" s="1858"/>
    </row>
    <row r="261" spans="1:37" ht="24.95" customHeight="1" x14ac:dyDescent="0.25">
      <c r="A261" s="1697">
        <v>37</v>
      </c>
      <c r="B261" s="1684"/>
      <c r="C261" s="1685" t="e">
        <f>VLOOKUP(A261,data_siswa,4,FALSE)</f>
        <v>#N/A</v>
      </c>
      <c r="D261" s="1686" t="s">
        <v>154</v>
      </c>
      <c r="E261" s="1494">
        <v>0</v>
      </c>
      <c r="F261" s="1494">
        <v>0</v>
      </c>
      <c r="G261" s="1494">
        <v>0</v>
      </c>
      <c r="H261" s="2087">
        <v>0</v>
      </c>
      <c r="I261" s="2087">
        <v>0</v>
      </c>
      <c r="J261" s="2087">
        <v>0</v>
      </c>
      <c r="K261" s="1494"/>
      <c r="L261" s="1494"/>
      <c r="M261" s="1494"/>
      <c r="N261" s="2087"/>
      <c r="O261" s="2087"/>
      <c r="P261" s="2087"/>
      <c r="Q261" s="2028">
        <f>MAX(E261,H261,K261,N261)</f>
        <v>0</v>
      </c>
      <c r="R261" s="2126">
        <f t="shared" ref="R261:R266" si="328">MAX(F261,I261,L261,O261)</f>
        <v>0</v>
      </c>
      <c r="S261" s="2127">
        <f t="shared" ref="S261:S266" si="329">MAX(G261,J261,M261,P261)</f>
        <v>0</v>
      </c>
      <c r="T261" s="853">
        <f>IFERROR(AVERAGE(Q261:S261),"")</f>
        <v>0</v>
      </c>
      <c r="U261" s="1704" t="str">
        <f>IF(T261&gt;85,("4"),IF(T261&gt;80,("3.66"),IF(T261&gt;75,("3.33"),IF(T261&gt;70,("3.00"),IF(T261&gt;65,("2.66"),IF(T261&gt;60,("2.33"),IF(T261&gt;55,("2"),IF(T261&gt;50,("1.66"),"1.33"))))))))</f>
        <v>1.33</v>
      </c>
      <c r="V261" s="1704" t="str">
        <f>IF(T261&gt;85,("A"),IF(T261&gt;80,("A-"),IF(T261&gt;75,("B+"),IF(T261&gt;70,("B"),IF(T261&gt;65,("B-"),IF(T261&gt;60,("C+"),IF(T261&gt;55,("C"),IF(T261&gt;50,("C-"),"D+"))))))))</f>
        <v>D+</v>
      </c>
      <c r="W261" s="1704" t="str">
        <f>IF(T261&gt;80,("SB"),IF(T261&gt;65,("B"),IF(T261&gt;50,("C"),IF(T261&gt;0,("K"),"0"))))</f>
        <v>0</v>
      </c>
      <c r="X261" s="1267"/>
      <c r="Y261" s="1267"/>
      <c r="Z261" s="1267"/>
      <c r="AA261" s="1267"/>
      <c r="AB261" s="1267"/>
      <c r="AC261" s="1267"/>
      <c r="AD261" s="1268"/>
      <c r="AE261" s="1268"/>
      <c r="AF261" s="1268"/>
      <c r="AG261" s="1268"/>
      <c r="AH261" s="1268"/>
      <c r="AI261" s="1268"/>
      <c r="AJ261" s="2099">
        <f>T267</f>
        <v>0</v>
      </c>
      <c r="AK261" s="2095" t="str">
        <f>V267</f>
        <v>D+</v>
      </c>
    </row>
    <row r="262" spans="1:37" ht="24.95" customHeight="1" x14ac:dyDescent="0.25">
      <c r="A262" s="1698"/>
      <c r="B262" s="1688"/>
      <c r="C262" s="1270"/>
      <c r="D262" s="1686" t="s">
        <v>155</v>
      </c>
      <c r="E262" s="1494">
        <v>0</v>
      </c>
      <c r="F262" s="1494">
        <v>0</v>
      </c>
      <c r="G262" s="1494">
        <v>0</v>
      </c>
      <c r="H262" s="2087">
        <v>0</v>
      </c>
      <c r="I262" s="2087">
        <v>0</v>
      </c>
      <c r="J262" s="2087">
        <v>0</v>
      </c>
      <c r="K262" s="1494">
        <v>0</v>
      </c>
      <c r="L262" s="1494">
        <v>0</v>
      </c>
      <c r="M262" s="1494">
        <v>0</v>
      </c>
      <c r="N262" s="2087"/>
      <c r="O262" s="2087"/>
      <c r="P262" s="2087"/>
      <c r="Q262" s="2028">
        <f t="shared" ref="Q262:Q263" si="330">MAX(E262,H262,K262,N262)</f>
        <v>0</v>
      </c>
      <c r="R262" s="2126">
        <f t="shared" si="328"/>
        <v>0</v>
      </c>
      <c r="S262" s="2127">
        <f t="shared" si="329"/>
        <v>0</v>
      </c>
      <c r="T262" s="853">
        <f t="shared" ref="T262:T263" si="331">IFERROR(AVERAGE(Q262:S262),"")</f>
        <v>0</v>
      </c>
      <c r="U262" s="1704" t="str">
        <f t="shared" ref="U262:U266" si="332">IF(T262&gt;85,("4"),IF(T262&gt;80,("3.66"),IF(T262&gt;75,("3.33"),IF(T262&gt;70,("3.00"),IF(T262&gt;65,("2.66"),IF(T262&gt;60,("2.33"),IF(T262&gt;55,("2"),IF(T262&gt;50,("1.66"),"1.33"))))))))</f>
        <v>1.33</v>
      </c>
      <c r="V262" s="1704" t="str">
        <f t="shared" ref="V262:V266" si="333">IF(T262&gt;85,("A"),IF(T262&gt;80,("A-"),IF(T262&gt;75,("B+"),IF(T262&gt;70,("B"),IF(T262&gt;65,("B-"),IF(T262&gt;60,("C+"),IF(T262&gt;55,("C"),IF(T262&gt;50,("C-"),"D+"))))))))</f>
        <v>D+</v>
      </c>
      <c r="W262" s="1704" t="str">
        <f t="shared" ref="W262:W266" si="334">IF(T262&gt;80,("SB"),IF(T262&gt;65,("B"),IF(T262&gt;50,("C"),IF(T262&gt;0,("K"),"0"))))</f>
        <v>0</v>
      </c>
      <c r="X262" s="1843"/>
      <c r="Y262" s="1844"/>
      <c r="Z262" s="1844"/>
      <c r="AA262" s="1844"/>
      <c r="AB262" s="1844"/>
      <c r="AC262" s="1844"/>
      <c r="AD262" s="1845"/>
      <c r="AE262" s="1845"/>
      <c r="AF262" s="1845"/>
      <c r="AG262" s="1845"/>
      <c r="AH262" s="1845"/>
      <c r="AI262" s="1846"/>
      <c r="AJ262" s="1847"/>
      <c r="AK262" s="1848"/>
    </row>
    <row r="263" spans="1:37" ht="24.95" customHeight="1" x14ac:dyDescent="0.25">
      <c r="A263" s="1698"/>
      <c r="B263" s="1688"/>
      <c r="C263" s="1270"/>
      <c r="D263" s="1686" t="s">
        <v>11</v>
      </c>
      <c r="E263" s="1494">
        <v>0</v>
      </c>
      <c r="F263" s="1494">
        <v>0</v>
      </c>
      <c r="G263" s="1494">
        <v>0</v>
      </c>
      <c r="H263" s="2087">
        <v>0</v>
      </c>
      <c r="I263" s="2087">
        <v>0</v>
      </c>
      <c r="J263" s="2087">
        <v>0</v>
      </c>
      <c r="K263" s="1494">
        <v>0</v>
      </c>
      <c r="L263" s="1494">
        <v>0</v>
      </c>
      <c r="M263" s="1494">
        <v>0</v>
      </c>
      <c r="N263" s="2087">
        <v>0</v>
      </c>
      <c r="O263" s="2087">
        <v>0</v>
      </c>
      <c r="P263" s="2087">
        <v>0</v>
      </c>
      <c r="Q263" s="2028">
        <f t="shared" si="330"/>
        <v>0</v>
      </c>
      <c r="R263" s="2126">
        <f t="shared" si="328"/>
        <v>0</v>
      </c>
      <c r="S263" s="2127">
        <f t="shared" si="329"/>
        <v>0</v>
      </c>
      <c r="T263" s="853">
        <f t="shared" si="331"/>
        <v>0</v>
      </c>
      <c r="U263" s="1704" t="str">
        <f t="shared" si="332"/>
        <v>1.33</v>
      </c>
      <c r="V263" s="1704" t="str">
        <f t="shared" si="333"/>
        <v>D+</v>
      </c>
      <c r="W263" s="1704" t="str">
        <f t="shared" si="334"/>
        <v>0</v>
      </c>
      <c r="X263" s="1849"/>
      <c r="Y263" s="1850"/>
      <c r="Z263" s="1850"/>
      <c r="AA263" s="1850"/>
      <c r="AB263" s="1850"/>
      <c r="AC263" s="1850"/>
      <c r="AD263" s="1851"/>
      <c r="AE263" s="1851"/>
      <c r="AF263" s="1851"/>
      <c r="AG263" s="1851"/>
      <c r="AH263" s="1851"/>
      <c r="AI263" s="1852"/>
      <c r="AJ263" s="1853"/>
      <c r="AK263" s="1854"/>
    </row>
    <row r="264" spans="1:37" ht="24.95" customHeight="1" x14ac:dyDescent="0.25">
      <c r="A264" s="1698"/>
      <c r="B264" s="1688"/>
      <c r="C264" s="1270"/>
      <c r="D264" s="1686" t="s">
        <v>16</v>
      </c>
      <c r="E264" s="1494"/>
      <c r="F264" s="1494"/>
      <c r="G264" s="1494"/>
      <c r="H264" s="2087"/>
      <c r="I264" s="2087"/>
      <c r="J264" s="2087"/>
      <c r="K264" s="1494"/>
      <c r="L264" s="1494"/>
      <c r="M264" s="1494"/>
      <c r="N264" s="2087">
        <v>0</v>
      </c>
      <c r="O264" s="2087">
        <v>0</v>
      </c>
      <c r="P264" s="2087">
        <v>0</v>
      </c>
      <c r="Q264" s="2028">
        <f>MAX(E264,H264,K264,N264)</f>
        <v>0</v>
      </c>
      <c r="R264" s="2126">
        <f t="shared" si="328"/>
        <v>0</v>
      </c>
      <c r="S264" s="2127">
        <f t="shared" si="329"/>
        <v>0</v>
      </c>
      <c r="T264" s="853">
        <f>IFERROR(AVERAGE(Q264:S264),"")</f>
        <v>0</v>
      </c>
      <c r="U264" s="1704" t="str">
        <f t="shared" si="332"/>
        <v>1.33</v>
      </c>
      <c r="V264" s="1704" t="str">
        <f t="shared" si="333"/>
        <v>D+</v>
      </c>
      <c r="W264" s="1704" t="str">
        <f t="shared" si="334"/>
        <v>0</v>
      </c>
      <c r="X264" s="1849"/>
      <c r="Y264" s="1850"/>
      <c r="Z264" s="1850"/>
      <c r="AA264" s="1850"/>
      <c r="AB264" s="1850"/>
      <c r="AC264" s="1850"/>
      <c r="AD264" s="1851"/>
      <c r="AE264" s="1851"/>
      <c r="AF264" s="1851"/>
      <c r="AG264" s="1851"/>
      <c r="AH264" s="1851"/>
      <c r="AI264" s="1852"/>
      <c r="AJ264" s="1853"/>
      <c r="AK264" s="1854"/>
    </row>
    <row r="265" spans="1:37" ht="24.95" customHeight="1" x14ac:dyDescent="0.25">
      <c r="A265" s="1698"/>
      <c r="B265" s="1688"/>
      <c r="C265" s="1270"/>
      <c r="D265" s="1686" t="s">
        <v>186</v>
      </c>
      <c r="E265" s="1494"/>
      <c r="F265" s="1494"/>
      <c r="G265" s="1494"/>
      <c r="H265" s="2087"/>
      <c r="I265" s="2087"/>
      <c r="J265" s="2087"/>
      <c r="K265" s="1494">
        <v>0</v>
      </c>
      <c r="L265" s="1494">
        <v>0</v>
      </c>
      <c r="M265" s="1494">
        <v>0</v>
      </c>
      <c r="N265" s="2087"/>
      <c r="O265" s="2087"/>
      <c r="P265" s="2087"/>
      <c r="Q265" s="2028">
        <f t="shared" ref="Q265:Q266" si="335">MAX(E265,H265,K265,N265)</f>
        <v>0</v>
      </c>
      <c r="R265" s="2126">
        <f t="shared" si="328"/>
        <v>0</v>
      </c>
      <c r="S265" s="2127">
        <f t="shared" si="329"/>
        <v>0</v>
      </c>
      <c r="T265" s="853">
        <f t="shared" ref="T265:T266" si="336">IFERROR(AVERAGE(Q265:S265),"")</f>
        <v>0</v>
      </c>
      <c r="U265" s="1704" t="str">
        <f t="shared" si="332"/>
        <v>1.33</v>
      </c>
      <c r="V265" s="1704" t="str">
        <f t="shared" si="333"/>
        <v>D+</v>
      </c>
      <c r="W265" s="1704" t="str">
        <f t="shared" si="334"/>
        <v>0</v>
      </c>
      <c r="X265" s="1849"/>
      <c r="Y265" s="1850"/>
      <c r="Z265" s="1850"/>
      <c r="AA265" s="1850"/>
      <c r="AB265" s="1850"/>
      <c r="AC265" s="1850"/>
      <c r="AD265" s="1851"/>
      <c r="AE265" s="1851"/>
      <c r="AF265" s="1851"/>
      <c r="AG265" s="1851"/>
      <c r="AH265" s="1851"/>
      <c r="AI265" s="1852"/>
      <c r="AJ265" s="1853"/>
      <c r="AK265" s="1854"/>
    </row>
    <row r="266" spans="1:37" ht="24.95" customHeight="1" x14ac:dyDescent="0.25">
      <c r="A266" s="1698"/>
      <c r="B266" s="1688"/>
      <c r="C266" s="1270"/>
      <c r="D266" s="1686" t="s">
        <v>22</v>
      </c>
      <c r="E266" s="2086"/>
      <c r="F266" s="2086"/>
      <c r="G266" s="2086"/>
      <c r="H266" s="2088"/>
      <c r="I266" s="2088"/>
      <c r="J266" s="2088"/>
      <c r="K266" s="2086"/>
      <c r="L266" s="2086"/>
      <c r="M266" s="2086"/>
      <c r="N266" s="2088">
        <v>0</v>
      </c>
      <c r="O266" s="2088">
        <v>0</v>
      </c>
      <c r="P266" s="2088">
        <v>0</v>
      </c>
      <c r="Q266" s="2028">
        <f t="shared" si="335"/>
        <v>0</v>
      </c>
      <c r="R266" s="2126">
        <f t="shared" si="328"/>
        <v>0</v>
      </c>
      <c r="S266" s="2127">
        <f t="shared" si="329"/>
        <v>0</v>
      </c>
      <c r="T266" s="853">
        <f t="shared" si="336"/>
        <v>0</v>
      </c>
      <c r="U266" s="1705" t="str">
        <f t="shared" si="332"/>
        <v>1.33</v>
      </c>
      <c r="V266" s="1705" t="str">
        <f t="shared" si="333"/>
        <v>D+</v>
      </c>
      <c r="W266" s="1705" t="str">
        <f t="shared" si="334"/>
        <v>0</v>
      </c>
      <c r="X266" s="1849"/>
      <c r="Y266" s="1850"/>
      <c r="Z266" s="1850"/>
      <c r="AA266" s="1850"/>
      <c r="AB266" s="1850"/>
      <c r="AC266" s="1850"/>
      <c r="AD266" s="1851"/>
      <c r="AE266" s="1851"/>
      <c r="AF266" s="1851"/>
      <c r="AG266" s="1851"/>
      <c r="AH266" s="1851"/>
      <c r="AI266" s="1852"/>
      <c r="AJ266" s="1855"/>
      <c r="AK266" s="1856"/>
    </row>
    <row r="267" spans="1:37" ht="24.95" customHeight="1" x14ac:dyDescent="0.25">
      <c r="A267" s="1699"/>
      <c r="B267" s="1237">
        <v>37</v>
      </c>
      <c r="C267" s="1695" t="s">
        <v>167</v>
      </c>
      <c r="D267" s="1696"/>
      <c r="E267" s="1694"/>
      <c r="F267" s="1694"/>
      <c r="G267" s="1694"/>
      <c r="H267" s="1694"/>
      <c r="I267" s="1694"/>
      <c r="J267" s="1694"/>
      <c r="K267" s="1694"/>
      <c r="L267" s="1694"/>
      <c r="M267" s="1694"/>
      <c r="N267" s="1694"/>
      <c r="O267" s="1694"/>
      <c r="P267" s="1694"/>
      <c r="Q267" s="1694"/>
      <c r="R267" s="2160"/>
      <c r="S267" s="2160"/>
      <c r="T267" s="1938">
        <f>IFERROR(AVERAGE(T261:T266),"  ")</f>
        <v>0</v>
      </c>
      <c r="U267" s="1842" t="str">
        <f>IF(T267&gt;85,("4"),IF(T267&gt;80,("3.66"),IF(T267&gt;75,("3.33"),IF(T267&gt;70,("3.00"),IF(T267&gt;65,("2.66"),IF(T267&gt;60,("2.33"),IF(T267&gt;55,("2"),IF(T267&gt;50,("1.66"),"1.33"))))))))</f>
        <v>1.33</v>
      </c>
      <c r="V267" s="1842" t="str">
        <f>IF(T267&gt;85,("A"),IF(T267&gt;80,("A-"),IF(T267&gt;75,("B+"),IF(T267&gt;70,("B"),IF(T267&gt;65,("B-"),IF(T267&gt;60,("C+"),IF(T267&gt;55,("C"),IF(T267&gt;50,("C-"),"D+"))))))))</f>
        <v>D+</v>
      </c>
      <c r="W267" s="1842"/>
      <c r="X267" s="2073"/>
      <c r="Y267" s="2074"/>
      <c r="Z267" s="2074"/>
      <c r="AA267" s="2074"/>
      <c r="AB267" s="2074"/>
      <c r="AC267" s="2074"/>
      <c r="AD267" s="2074"/>
      <c r="AE267" s="2074"/>
      <c r="AF267" s="2074"/>
      <c r="AG267" s="2074"/>
      <c r="AH267" s="2074"/>
      <c r="AI267" s="2075"/>
      <c r="AJ267" s="1857"/>
      <c r="AK267" s="1858"/>
    </row>
    <row r="268" spans="1:37" ht="24.95" customHeight="1" x14ac:dyDescent="0.25">
      <c r="A268" s="1697">
        <v>38</v>
      </c>
      <c r="B268" s="1684"/>
      <c r="C268" s="1685" t="e">
        <f>VLOOKUP(A268,data_siswa,4,FALSE)</f>
        <v>#N/A</v>
      </c>
      <c r="D268" s="1686" t="s">
        <v>154</v>
      </c>
      <c r="E268" s="1494">
        <v>0</v>
      </c>
      <c r="F268" s="1494">
        <v>0</v>
      </c>
      <c r="G268" s="1494">
        <v>0</v>
      </c>
      <c r="H268" s="2087">
        <v>0</v>
      </c>
      <c r="I268" s="2087">
        <v>0</v>
      </c>
      <c r="J268" s="2087">
        <v>0</v>
      </c>
      <c r="K268" s="1494"/>
      <c r="L268" s="1494"/>
      <c r="M268" s="1494"/>
      <c r="N268" s="2087"/>
      <c r="O268" s="2087"/>
      <c r="P268" s="2087"/>
      <c r="Q268" s="2028">
        <f>MAX(E268,H268,K268,N268)</f>
        <v>0</v>
      </c>
      <c r="R268" s="2126">
        <f t="shared" ref="R268:R273" si="337">MAX(F268,I268,L268,O268)</f>
        <v>0</v>
      </c>
      <c r="S268" s="2127">
        <f t="shared" ref="S268:S273" si="338">MAX(G268,J268,M268,P268)</f>
        <v>0</v>
      </c>
      <c r="T268" s="853">
        <f>IFERROR(AVERAGE(Q268:S268),"")</f>
        <v>0</v>
      </c>
      <c r="U268" s="1704" t="str">
        <f>IF(T268&gt;85,("4"),IF(T268&gt;80,("3.66"),IF(T268&gt;75,("3.33"),IF(T268&gt;70,("3.00"),IF(T268&gt;65,("2.66"),IF(T268&gt;60,("2.33"),IF(T268&gt;55,("2"),IF(T268&gt;50,("1.66"),"1.33"))))))))</f>
        <v>1.33</v>
      </c>
      <c r="V268" s="1704" t="str">
        <f>IF(T268&gt;85,("A"),IF(T268&gt;80,("A-"),IF(T268&gt;75,("B+"),IF(T268&gt;70,("B"),IF(T268&gt;65,("B-"),IF(T268&gt;60,("C+"),IF(T268&gt;55,("C"),IF(T268&gt;50,("C-"),"D+"))))))))</f>
        <v>D+</v>
      </c>
      <c r="W268" s="1704" t="str">
        <f>IF(T268&gt;80,("SB"),IF(T268&gt;65,("B"),IF(T268&gt;50,("C"),IF(T268&gt;0,("K"),"0"))))</f>
        <v>0</v>
      </c>
      <c r="X268" s="1267"/>
      <c r="Y268" s="1267"/>
      <c r="Z268" s="1267"/>
      <c r="AA268" s="1267"/>
      <c r="AB268" s="1267"/>
      <c r="AC268" s="1267"/>
      <c r="AD268" s="1268"/>
      <c r="AE268" s="1268"/>
      <c r="AF268" s="1268"/>
      <c r="AG268" s="1268"/>
      <c r="AH268" s="1268"/>
      <c r="AI268" s="1268"/>
      <c r="AJ268" s="2099">
        <f>T274</f>
        <v>0</v>
      </c>
      <c r="AK268" s="2095" t="str">
        <f>V274</f>
        <v>D+</v>
      </c>
    </row>
    <row r="269" spans="1:37" ht="24.95" customHeight="1" x14ac:dyDescent="0.25">
      <c r="A269" s="1698"/>
      <c r="B269" s="1688"/>
      <c r="C269" s="1270"/>
      <c r="D269" s="1686" t="s">
        <v>155</v>
      </c>
      <c r="E269" s="1494">
        <v>0</v>
      </c>
      <c r="F269" s="1494">
        <v>0</v>
      </c>
      <c r="G269" s="1494">
        <v>0</v>
      </c>
      <c r="H269" s="2087">
        <v>0</v>
      </c>
      <c r="I269" s="2087">
        <v>0</v>
      </c>
      <c r="J269" s="2087">
        <v>0</v>
      </c>
      <c r="K269" s="1494">
        <v>0</v>
      </c>
      <c r="L269" s="1494">
        <v>0</v>
      </c>
      <c r="M269" s="1494">
        <v>0</v>
      </c>
      <c r="N269" s="2087"/>
      <c r="O269" s="2087"/>
      <c r="P269" s="2087"/>
      <c r="Q269" s="2028">
        <f t="shared" ref="Q269:Q270" si="339">MAX(E269,H269,K269,N269)</f>
        <v>0</v>
      </c>
      <c r="R269" s="2126">
        <f t="shared" si="337"/>
        <v>0</v>
      </c>
      <c r="S269" s="2127">
        <f t="shared" si="338"/>
        <v>0</v>
      </c>
      <c r="T269" s="853">
        <f t="shared" ref="T269:T270" si="340">IFERROR(AVERAGE(Q269:S269),"")</f>
        <v>0</v>
      </c>
      <c r="U269" s="1704" t="str">
        <f t="shared" ref="U269:U273" si="341">IF(T269&gt;85,("4"),IF(T269&gt;80,("3.66"),IF(T269&gt;75,("3.33"),IF(T269&gt;70,("3.00"),IF(T269&gt;65,("2.66"),IF(T269&gt;60,("2.33"),IF(T269&gt;55,("2"),IF(T269&gt;50,("1.66"),"1.33"))))))))</f>
        <v>1.33</v>
      </c>
      <c r="V269" s="1704" t="str">
        <f t="shared" ref="V269:V273" si="342">IF(T269&gt;85,("A"),IF(T269&gt;80,("A-"),IF(T269&gt;75,("B+"),IF(T269&gt;70,("B"),IF(T269&gt;65,("B-"),IF(T269&gt;60,("C+"),IF(T269&gt;55,("C"),IF(T269&gt;50,("C-"),"D+"))))))))</f>
        <v>D+</v>
      </c>
      <c r="W269" s="1704" t="str">
        <f t="shared" ref="W269:W273" si="343">IF(T269&gt;80,("SB"),IF(T269&gt;65,("B"),IF(T269&gt;50,("C"),IF(T269&gt;0,("K"),"0"))))</f>
        <v>0</v>
      </c>
      <c r="X269" s="1843"/>
      <c r="Y269" s="1844"/>
      <c r="Z269" s="1844"/>
      <c r="AA269" s="1844"/>
      <c r="AB269" s="1844"/>
      <c r="AC269" s="1844"/>
      <c r="AD269" s="1845"/>
      <c r="AE269" s="1845"/>
      <c r="AF269" s="1845"/>
      <c r="AG269" s="1845"/>
      <c r="AH269" s="1845"/>
      <c r="AI269" s="1846"/>
      <c r="AJ269" s="1847"/>
      <c r="AK269" s="1848"/>
    </row>
    <row r="270" spans="1:37" ht="24.95" customHeight="1" x14ac:dyDescent="0.25">
      <c r="A270" s="1698"/>
      <c r="B270" s="1688"/>
      <c r="C270" s="1270"/>
      <c r="D270" s="1686" t="s">
        <v>11</v>
      </c>
      <c r="E270" s="1494">
        <v>0</v>
      </c>
      <c r="F270" s="1494">
        <v>0</v>
      </c>
      <c r="G270" s="1494">
        <v>0</v>
      </c>
      <c r="H270" s="2087">
        <v>0</v>
      </c>
      <c r="I270" s="2087">
        <v>0</v>
      </c>
      <c r="J270" s="2087">
        <v>0</v>
      </c>
      <c r="K270" s="1494">
        <v>0</v>
      </c>
      <c r="L270" s="1494">
        <v>0</v>
      </c>
      <c r="M270" s="1494">
        <v>0</v>
      </c>
      <c r="N270" s="2087">
        <v>0</v>
      </c>
      <c r="O270" s="2087">
        <v>0</v>
      </c>
      <c r="P270" s="2087">
        <v>0</v>
      </c>
      <c r="Q270" s="2028">
        <f t="shared" si="339"/>
        <v>0</v>
      </c>
      <c r="R270" s="2126">
        <f t="shared" si="337"/>
        <v>0</v>
      </c>
      <c r="S270" s="2127">
        <f t="shared" si="338"/>
        <v>0</v>
      </c>
      <c r="T270" s="853">
        <f t="shared" si="340"/>
        <v>0</v>
      </c>
      <c r="U270" s="1704" t="str">
        <f t="shared" si="341"/>
        <v>1.33</v>
      </c>
      <c r="V270" s="1704" t="str">
        <f t="shared" si="342"/>
        <v>D+</v>
      </c>
      <c r="W270" s="1704" t="str">
        <f t="shared" si="343"/>
        <v>0</v>
      </c>
      <c r="X270" s="1849"/>
      <c r="Y270" s="1850"/>
      <c r="Z270" s="1850"/>
      <c r="AA270" s="1850"/>
      <c r="AB270" s="1850"/>
      <c r="AC270" s="1850"/>
      <c r="AD270" s="1851"/>
      <c r="AE270" s="1851"/>
      <c r="AF270" s="1851"/>
      <c r="AG270" s="1851"/>
      <c r="AH270" s="1851"/>
      <c r="AI270" s="1852"/>
      <c r="AJ270" s="1853"/>
      <c r="AK270" s="1854"/>
    </row>
    <row r="271" spans="1:37" ht="24.95" customHeight="1" x14ac:dyDescent="0.25">
      <c r="A271" s="1698"/>
      <c r="B271" s="1688"/>
      <c r="C271" s="1270"/>
      <c r="D271" s="1686" t="s">
        <v>16</v>
      </c>
      <c r="E271" s="1494"/>
      <c r="F271" s="1494"/>
      <c r="G271" s="1494"/>
      <c r="H271" s="2087"/>
      <c r="I271" s="2087"/>
      <c r="J271" s="2087"/>
      <c r="K271" s="1494"/>
      <c r="L271" s="1494"/>
      <c r="M271" s="1494"/>
      <c r="N271" s="2087">
        <v>0</v>
      </c>
      <c r="O271" s="2087">
        <v>0</v>
      </c>
      <c r="P271" s="2087">
        <v>0</v>
      </c>
      <c r="Q271" s="2028">
        <f>MAX(E271,H271,K271,N271)</f>
        <v>0</v>
      </c>
      <c r="R271" s="2126">
        <f t="shared" si="337"/>
        <v>0</v>
      </c>
      <c r="S271" s="2127">
        <f t="shared" si="338"/>
        <v>0</v>
      </c>
      <c r="T271" s="853">
        <f>IFERROR(AVERAGE(Q271:S271),"")</f>
        <v>0</v>
      </c>
      <c r="U271" s="1704" t="str">
        <f t="shared" si="341"/>
        <v>1.33</v>
      </c>
      <c r="V271" s="1704" t="str">
        <f t="shared" si="342"/>
        <v>D+</v>
      </c>
      <c r="W271" s="1704" t="str">
        <f t="shared" si="343"/>
        <v>0</v>
      </c>
      <c r="X271" s="1849"/>
      <c r="Y271" s="1850"/>
      <c r="Z271" s="1850"/>
      <c r="AA271" s="1850"/>
      <c r="AB271" s="1850"/>
      <c r="AC271" s="1850"/>
      <c r="AD271" s="1851"/>
      <c r="AE271" s="1851"/>
      <c r="AF271" s="1851"/>
      <c r="AG271" s="1851"/>
      <c r="AH271" s="1851"/>
      <c r="AI271" s="1852"/>
      <c r="AJ271" s="1853"/>
      <c r="AK271" s="1854"/>
    </row>
    <row r="272" spans="1:37" ht="24.95" customHeight="1" x14ac:dyDescent="0.25">
      <c r="A272" s="1698"/>
      <c r="B272" s="1688"/>
      <c r="C272" s="1270"/>
      <c r="D272" s="1686" t="s">
        <v>186</v>
      </c>
      <c r="E272" s="1494"/>
      <c r="F272" s="1494"/>
      <c r="G272" s="1494"/>
      <c r="H272" s="2087"/>
      <c r="I272" s="2087"/>
      <c r="J272" s="2087"/>
      <c r="K272" s="1494">
        <v>0</v>
      </c>
      <c r="L272" s="1494">
        <v>0</v>
      </c>
      <c r="M272" s="1494">
        <v>0</v>
      </c>
      <c r="N272" s="2087"/>
      <c r="O272" s="2087"/>
      <c r="P272" s="2087"/>
      <c r="Q272" s="2028">
        <f t="shared" ref="Q272:Q273" si="344">MAX(E272,H272,K272,N272)</f>
        <v>0</v>
      </c>
      <c r="R272" s="2126">
        <f t="shared" si="337"/>
        <v>0</v>
      </c>
      <c r="S272" s="2127">
        <f t="shared" si="338"/>
        <v>0</v>
      </c>
      <c r="T272" s="853">
        <f t="shared" ref="T272:T273" si="345">IFERROR(AVERAGE(Q272:S272),"")</f>
        <v>0</v>
      </c>
      <c r="U272" s="1704" t="str">
        <f t="shared" si="341"/>
        <v>1.33</v>
      </c>
      <c r="V272" s="1704" t="str">
        <f t="shared" si="342"/>
        <v>D+</v>
      </c>
      <c r="W272" s="1704" t="str">
        <f t="shared" si="343"/>
        <v>0</v>
      </c>
      <c r="X272" s="1849"/>
      <c r="Y272" s="1850"/>
      <c r="Z272" s="1850"/>
      <c r="AA272" s="1850"/>
      <c r="AB272" s="1850"/>
      <c r="AC272" s="1850"/>
      <c r="AD272" s="1851"/>
      <c r="AE272" s="1851"/>
      <c r="AF272" s="1851"/>
      <c r="AG272" s="1851"/>
      <c r="AH272" s="1851"/>
      <c r="AI272" s="1852"/>
      <c r="AJ272" s="1853"/>
      <c r="AK272" s="1854"/>
    </row>
    <row r="273" spans="1:37" ht="24.95" customHeight="1" x14ac:dyDescent="0.25">
      <c r="A273" s="1698"/>
      <c r="B273" s="1688"/>
      <c r="C273" s="1270"/>
      <c r="D273" s="1686" t="s">
        <v>22</v>
      </c>
      <c r="E273" s="2086"/>
      <c r="F273" s="2086"/>
      <c r="G273" s="2086"/>
      <c r="H273" s="2088"/>
      <c r="I273" s="2088"/>
      <c r="J273" s="2088"/>
      <c r="K273" s="2086"/>
      <c r="L273" s="2086"/>
      <c r="M273" s="2086"/>
      <c r="N273" s="2088">
        <v>0</v>
      </c>
      <c r="O273" s="2088">
        <v>0</v>
      </c>
      <c r="P273" s="2088">
        <v>0</v>
      </c>
      <c r="Q273" s="2028">
        <f t="shared" si="344"/>
        <v>0</v>
      </c>
      <c r="R273" s="2126">
        <f t="shared" si="337"/>
        <v>0</v>
      </c>
      <c r="S273" s="2127">
        <f t="shared" si="338"/>
        <v>0</v>
      </c>
      <c r="T273" s="853">
        <f t="shared" si="345"/>
        <v>0</v>
      </c>
      <c r="U273" s="1705" t="str">
        <f t="shared" si="341"/>
        <v>1.33</v>
      </c>
      <c r="V273" s="1705" t="str">
        <f t="shared" si="342"/>
        <v>D+</v>
      </c>
      <c r="W273" s="1705" t="str">
        <f t="shared" si="343"/>
        <v>0</v>
      </c>
      <c r="X273" s="1849"/>
      <c r="Y273" s="1850"/>
      <c r="Z273" s="1850"/>
      <c r="AA273" s="1850"/>
      <c r="AB273" s="1850"/>
      <c r="AC273" s="1850"/>
      <c r="AD273" s="1851"/>
      <c r="AE273" s="1851"/>
      <c r="AF273" s="1851"/>
      <c r="AG273" s="1851"/>
      <c r="AH273" s="1851"/>
      <c r="AI273" s="1852"/>
      <c r="AJ273" s="1855"/>
      <c r="AK273" s="1856"/>
    </row>
    <row r="274" spans="1:37" ht="24.95" customHeight="1" x14ac:dyDescent="0.25">
      <c r="A274" s="1699"/>
      <c r="B274" s="1237">
        <v>38</v>
      </c>
      <c r="C274" s="1695" t="s">
        <v>167</v>
      </c>
      <c r="D274" s="1696"/>
      <c r="E274" s="1694"/>
      <c r="F274" s="1694"/>
      <c r="G274" s="1694"/>
      <c r="H274" s="1694"/>
      <c r="I274" s="1694"/>
      <c r="J274" s="1694"/>
      <c r="K274" s="1694"/>
      <c r="L274" s="1694"/>
      <c r="M274" s="1694"/>
      <c r="N274" s="1694"/>
      <c r="O274" s="1694"/>
      <c r="P274" s="1694"/>
      <c r="Q274" s="1694"/>
      <c r="R274" s="2160"/>
      <c r="S274" s="2160"/>
      <c r="T274" s="1938">
        <f>IFERROR(AVERAGE(T268:T273),"  ")</f>
        <v>0</v>
      </c>
      <c r="U274" s="1842" t="str">
        <f>IF(T274&gt;85,("4"),IF(T274&gt;80,("3.66"),IF(T274&gt;75,("3.33"),IF(T274&gt;70,("3.00"),IF(T274&gt;65,("2.66"),IF(T274&gt;60,("2.33"),IF(T274&gt;55,("2"),IF(T274&gt;50,("1.66"),"1.33"))))))))</f>
        <v>1.33</v>
      </c>
      <c r="V274" s="1842" t="str">
        <f>IF(T274&gt;85,("A"),IF(T274&gt;80,("A-"),IF(T274&gt;75,("B+"),IF(T274&gt;70,("B"),IF(T274&gt;65,("B-"),IF(T274&gt;60,("C+"),IF(T274&gt;55,("C"),IF(T274&gt;50,("C-"),"D+"))))))))</f>
        <v>D+</v>
      </c>
      <c r="W274" s="1842"/>
      <c r="X274" s="2073"/>
      <c r="Y274" s="2074"/>
      <c r="Z274" s="2074"/>
      <c r="AA274" s="2074"/>
      <c r="AB274" s="2074"/>
      <c r="AC274" s="2074"/>
      <c r="AD274" s="2074"/>
      <c r="AE274" s="2074"/>
      <c r="AF274" s="2074"/>
      <c r="AG274" s="2074"/>
      <c r="AH274" s="2074"/>
      <c r="AI274" s="2075"/>
      <c r="AJ274" s="1857"/>
      <c r="AK274" s="1858"/>
    </row>
    <row r="275" spans="1:37" ht="24.95" customHeight="1" x14ac:dyDescent="0.25">
      <c r="A275" s="1697">
        <v>39</v>
      </c>
      <c r="B275" s="1684"/>
      <c r="C275" s="1685" t="e">
        <f>VLOOKUP(A275,data_siswa,4,FALSE)</f>
        <v>#N/A</v>
      </c>
      <c r="D275" s="1686" t="s">
        <v>154</v>
      </c>
      <c r="E275" s="1494">
        <v>0</v>
      </c>
      <c r="F275" s="1494">
        <v>0</v>
      </c>
      <c r="G275" s="1494">
        <v>0</v>
      </c>
      <c r="H275" s="2087">
        <v>0</v>
      </c>
      <c r="I275" s="2087">
        <v>0</v>
      </c>
      <c r="J275" s="2087">
        <v>0</v>
      </c>
      <c r="K275" s="1494"/>
      <c r="L275" s="1494"/>
      <c r="M275" s="1494"/>
      <c r="N275" s="2087"/>
      <c r="O275" s="2087"/>
      <c r="P275" s="2087"/>
      <c r="Q275" s="2028">
        <f>MAX(E275,H275,K275,N275)</f>
        <v>0</v>
      </c>
      <c r="R275" s="2126">
        <f t="shared" ref="R275:R280" si="346">MAX(F275,I275,L275,O275)</f>
        <v>0</v>
      </c>
      <c r="S275" s="2127">
        <f t="shared" ref="S275:S280" si="347">MAX(G275,J275,M275,P275)</f>
        <v>0</v>
      </c>
      <c r="T275" s="853">
        <f>IFERROR(AVERAGE(Q275:S275),"")</f>
        <v>0</v>
      </c>
      <c r="U275" s="1704" t="str">
        <f>IF(T275&gt;85,("4"),IF(T275&gt;80,("3.66"),IF(T275&gt;75,("3.33"),IF(T275&gt;70,("3.00"),IF(T275&gt;65,("2.66"),IF(T275&gt;60,("2.33"),IF(T275&gt;55,("2"),IF(T275&gt;50,("1.66"),"1.33"))))))))</f>
        <v>1.33</v>
      </c>
      <c r="V275" s="1704" t="str">
        <f>IF(T275&gt;85,("A"),IF(T275&gt;80,("A-"),IF(T275&gt;75,("B+"),IF(T275&gt;70,("B"),IF(T275&gt;65,("B-"),IF(T275&gt;60,("C+"),IF(T275&gt;55,("C"),IF(T275&gt;50,("C-"),"D+"))))))))</f>
        <v>D+</v>
      </c>
      <c r="W275" s="1704" t="str">
        <f>IF(T275&gt;80,("SB"),IF(T275&gt;65,("B"),IF(T275&gt;50,("C"),IF(T275&gt;0,("K"),"0"))))</f>
        <v>0</v>
      </c>
      <c r="X275" s="1267"/>
      <c r="Y275" s="1267"/>
      <c r="Z275" s="1267"/>
      <c r="AA275" s="1267"/>
      <c r="AB275" s="1267"/>
      <c r="AC275" s="1267"/>
      <c r="AD275" s="1268"/>
      <c r="AE275" s="1268"/>
      <c r="AF275" s="1268"/>
      <c r="AG275" s="1268"/>
      <c r="AH275" s="1268"/>
      <c r="AI275" s="1268"/>
      <c r="AJ275" s="2099">
        <f>T281</f>
        <v>0</v>
      </c>
      <c r="AK275" s="2095" t="str">
        <f>V281</f>
        <v>D+</v>
      </c>
    </row>
    <row r="276" spans="1:37" ht="24.95" customHeight="1" x14ac:dyDescent="0.25">
      <c r="A276" s="1698"/>
      <c r="B276" s="1688"/>
      <c r="C276" s="1270"/>
      <c r="D276" s="1686" t="s">
        <v>155</v>
      </c>
      <c r="E276" s="1494">
        <v>0</v>
      </c>
      <c r="F276" s="1494">
        <v>0</v>
      </c>
      <c r="G276" s="1494">
        <v>0</v>
      </c>
      <c r="H276" s="2087">
        <v>0</v>
      </c>
      <c r="I276" s="2087">
        <v>0</v>
      </c>
      <c r="J276" s="2087">
        <v>0</v>
      </c>
      <c r="K276" s="1494">
        <v>0</v>
      </c>
      <c r="L276" s="1494">
        <v>0</v>
      </c>
      <c r="M276" s="1494">
        <v>0</v>
      </c>
      <c r="N276" s="2087"/>
      <c r="O276" s="2087"/>
      <c r="P276" s="2087"/>
      <c r="Q276" s="2028">
        <f t="shared" ref="Q276:Q277" si="348">MAX(E276,H276,K276,N276)</f>
        <v>0</v>
      </c>
      <c r="R276" s="2126">
        <f t="shared" si="346"/>
        <v>0</v>
      </c>
      <c r="S276" s="2127">
        <f t="shared" si="347"/>
        <v>0</v>
      </c>
      <c r="T276" s="853">
        <f t="shared" ref="T276:T277" si="349">IFERROR(AVERAGE(Q276:S276),"")</f>
        <v>0</v>
      </c>
      <c r="U276" s="1704" t="str">
        <f t="shared" ref="U276:U280" si="350">IF(T276&gt;85,("4"),IF(T276&gt;80,("3.66"),IF(T276&gt;75,("3.33"),IF(T276&gt;70,("3.00"),IF(T276&gt;65,("2.66"),IF(T276&gt;60,("2.33"),IF(T276&gt;55,("2"),IF(T276&gt;50,("1.66"),"1.33"))))))))</f>
        <v>1.33</v>
      </c>
      <c r="V276" s="1704" t="str">
        <f t="shared" ref="V276:V280" si="351">IF(T276&gt;85,("A"),IF(T276&gt;80,("A-"),IF(T276&gt;75,("B+"),IF(T276&gt;70,("B"),IF(T276&gt;65,("B-"),IF(T276&gt;60,("C+"),IF(T276&gt;55,("C"),IF(T276&gt;50,("C-"),"D+"))))))))</f>
        <v>D+</v>
      </c>
      <c r="W276" s="1704" t="str">
        <f t="shared" ref="W276:W280" si="352">IF(T276&gt;80,("SB"),IF(T276&gt;65,("B"),IF(T276&gt;50,("C"),IF(T276&gt;0,("K"),"0"))))</f>
        <v>0</v>
      </c>
      <c r="X276" s="1843"/>
      <c r="Y276" s="1844"/>
      <c r="Z276" s="1844"/>
      <c r="AA276" s="1844"/>
      <c r="AB276" s="1844"/>
      <c r="AC276" s="1844"/>
      <c r="AD276" s="1845"/>
      <c r="AE276" s="1845"/>
      <c r="AF276" s="1845"/>
      <c r="AG276" s="1845"/>
      <c r="AH276" s="1845"/>
      <c r="AI276" s="1846"/>
      <c r="AJ276" s="1847"/>
      <c r="AK276" s="1848"/>
    </row>
    <row r="277" spans="1:37" ht="24.95" customHeight="1" x14ac:dyDescent="0.25">
      <c r="A277" s="1698"/>
      <c r="B277" s="1688"/>
      <c r="C277" s="1270"/>
      <c r="D277" s="1686" t="s">
        <v>11</v>
      </c>
      <c r="E277" s="1494">
        <v>0</v>
      </c>
      <c r="F277" s="1494">
        <v>0</v>
      </c>
      <c r="G277" s="1494">
        <v>0</v>
      </c>
      <c r="H277" s="2087">
        <v>0</v>
      </c>
      <c r="I277" s="2087">
        <v>0</v>
      </c>
      <c r="J277" s="2087">
        <v>0</v>
      </c>
      <c r="K277" s="1494">
        <v>0</v>
      </c>
      <c r="L277" s="1494">
        <v>0</v>
      </c>
      <c r="M277" s="1494">
        <v>0</v>
      </c>
      <c r="N277" s="2087">
        <v>0</v>
      </c>
      <c r="O277" s="2087">
        <v>0</v>
      </c>
      <c r="P277" s="2087">
        <v>0</v>
      </c>
      <c r="Q277" s="2028">
        <f t="shared" si="348"/>
        <v>0</v>
      </c>
      <c r="R277" s="2126">
        <f t="shared" si="346"/>
        <v>0</v>
      </c>
      <c r="S277" s="2127">
        <f t="shared" si="347"/>
        <v>0</v>
      </c>
      <c r="T277" s="853">
        <f t="shared" si="349"/>
        <v>0</v>
      </c>
      <c r="U277" s="1704" t="str">
        <f t="shared" si="350"/>
        <v>1.33</v>
      </c>
      <c r="V277" s="1704" t="str">
        <f t="shared" si="351"/>
        <v>D+</v>
      </c>
      <c r="W277" s="1704" t="str">
        <f t="shared" si="352"/>
        <v>0</v>
      </c>
      <c r="X277" s="1849"/>
      <c r="Y277" s="1850"/>
      <c r="Z277" s="1850"/>
      <c r="AA277" s="1850"/>
      <c r="AB277" s="1850"/>
      <c r="AC277" s="1850"/>
      <c r="AD277" s="1851"/>
      <c r="AE277" s="1851"/>
      <c r="AF277" s="1851"/>
      <c r="AG277" s="1851"/>
      <c r="AH277" s="1851"/>
      <c r="AI277" s="1852"/>
      <c r="AJ277" s="1853"/>
      <c r="AK277" s="1854"/>
    </row>
    <row r="278" spans="1:37" ht="24.95" customHeight="1" x14ac:dyDescent="0.25">
      <c r="A278" s="1698"/>
      <c r="B278" s="1688"/>
      <c r="C278" s="1270"/>
      <c r="D278" s="1686" t="s">
        <v>16</v>
      </c>
      <c r="E278" s="1494"/>
      <c r="F278" s="1494"/>
      <c r="G278" s="1494"/>
      <c r="H278" s="2087"/>
      <c r="I278" s="2087"/>
      <c r="J278" s="2087"/>
      <c r="K278" s="1494"/>
      <c r="L278" s="1494"/>
      <c r="M278" s="1494"/>
      <c r="N278" s="2087">
        <v>0</v>
      </c>
      <c r="O278" s="2087">
        <v>0</v>
      </c>
      <c r="P278" s="2087">
        <v>0</v>
      </c>
      <c r="Q278" s="2028">
        <f>MAX(E278,H278,K278,N278)</f>
        <v>0</v>
      </c>
      <c r="R278" s="2126">
        <f t="shared" si="346"/>
        <v>0</v>
      </c>
      <c r="S278" s="2127">
        <f t="shared" si="347"/>
        <v>0</v>
      </c>
      <c r="T278" s="853">
        <f>IFERROR(AVERAGE(Q278:S278),"")</f>
        <v>0</v>
      </c>
      <c r="U278" s="1704" t="str">
        <f t="shared" si="350"/>
        <v>1.33</v>
      </c>
      <c r="V278" s="1704" t="str">
        <f t="shared" si="351"/>
        <v>D+</v>
      </c>
      <c r="W278" s="1704" t="str">
        <f t="shared" si="352"/>
        <v>0</v>
      </c>
      <c r="X278" s="1849"/>
      <c r="Y278" s="1850"/>
      <c r="Z278" s="1850"/>
      <c r="AA278" s="1850"/>
      <c r="AB278" s="1850"/>
      <c r="AC278" s="1850"/>
      <c r="AD278" s="1851"/>
      <c r="AE278" s="1851"/>
      <c r="AF278" s="1851"/>
      <c r="AG278" s="1851"/>
      <c r="AH278" s="1851"/>
      <c r="AI278" s="1852"/>
      <c r="AJ278" s="1853"/>
      <c r="AK278" s="1854"/>
    </row>
    <row r="279" spans="1:37" ht="24.95" customHeight="1" x14ac:dyDescent="0.25">
      <c r="A279" s="1698"/>
      <c r="B279" s="1688"/>
      <c r="C279" s="1270"/>
      <c r="D279" s="1686" t="s">
        <v>186</v>
      </c>
      <c r="E279" s="1494"/>
      <c r="F279" s="1494"/>
      <c r="G279" s="1494"/>
      <c r="H279" s="2087"/>
      <c r="I279" s="2087"/>
      <c r="J279" s="2087"/>
      <c r="K279" s="1494">
        <v>0</v>
      </c>
      <c r="L279" s="1494">
        <v>0</v>
      </c>
      <c r="M279" s="1494">
        <v>0</v>
      </c>
      <c r="N279" s="2087"/>
      <c r="O279" s="2087"/>
      <c r="P279" s="2087"/>
      <c r="Q279" s="2028">
        <f t="shared" ref="Q279:Q280" si="353">MAX(E279,H279,K279,N279)</f>
        <v>0</v>
      </c>
      <c r="R279" s="2126">
        <f t="shared" si="346"/>
        <v>0</v>
      </c>
      <c r="S279" s="2127">
        <f t="shared" si="347"/>
        <v>0</v>
      </c>
      <c r="T279" s="853">
        <f t="shared" ref="T279:T280" si="354">IFERROR(AVERAGE(Q279:S279),"")</f>
        <v>0</v>
      </c>
      <c r="U279" s="1704" t="str">
        <f t="shared" si="350"/>
        <v>1.33</v>
      </c>
      <c r="V279" s="1704" t="str">
        <f t="shared" si="351"/>
        <v>D+</v>
      </c>
      <c r="W279" s="1704" t="str">
        <f t="shared" si="352"/>
        <v>0</v>
      </c>
      <c r="X279" s="1849"/>
      <c r="Y279" s="1850"/>
      <c r="Z279" s="1850"/>
      <c r="AA279" s="1850"/>
      <c r="AB279" s="1850"/>
      <c r="AC279" s="1850"/>
      <c r="AD279" s="1851"/>
      <c r="AE279" s="1851"/>
      <c r="AF279" s="1851"/>
      <c r="AG279" s="1851"/>
      <c r="AH279" s="1851"/>
      <c r="AI279" s="1852"/>
      <c r="AJ279" s="1853"/>
      <c r="AK279" s="1854"/>
    </row>
    <row r="280" spans="1:37" ht="24.95" customHeight="1" x14ac:dyDescent="0.25">
      <c r="A280" s="1698"/>
      <c r="B280" s="1688"/>
      <c r="C280" s="1270"/>
      <c r="D280" s="1686" t="s">
        <v>22</v>
      </c>
      <c r="E280" s="2086"/>
      <c r="F280" s="2086"/>
      <c r="G280" s="2086"/>
      <c r="H280" s="2088"/>
      <c r="I280" s="2088"/>
      <c r="J280" s="2088"/>
      <c r="K280" s="2086"/>
      <c r="L280" s="2086"/>
      <c r="M280" s="2086"/>
      <c r="N280" s="2088">
        <v>0</v>
      </c>
      <c r="O280" s="2088">
        <v>0</v>
      </c>
      <c r="P280" s="2088">
        <v>0</v>
      </c>
      <c r="Q280" s="2028">
        <f t="shared" si="353"/>
        <v>0</v>
      </c>
      <c r="R280" s="2126">
        <f t="shared" si="346"/>
        <v>0</v>
      </c>
      <c r="S280" s="2127">
        <f t="shared" si="347"/>
        <v>0</v>
      </c>
      <c r="T280" s="853">
        <f t="shared" si="354"/>
        <v>0</v>
      </c>
      <c r="U280" s="1705" t="str">
        <f t="shared" si="350"/>
        <v>1.33</v>
      </c>
      <c r="V280" s="1705" t="str">
        <f t="shared" si="351"/>
        <v>D+</v>
      </c>
      <c r="W280" s="1705" t="str">
        <f t="shared" si="352"/>
        <v>0</v>
      </c>
      <c r="X280" s="1849"/>
      <c r="Y280" s="1850"/>
      <c r="Z280" s="1850"/>
      <c r="AA280" s="1850"/>
      <c r="AB280" s="1850"/>
      <c r="AC280" s="1850"/>
      <c r="AD280" s="1851"/>
      <c r="AE280" s="1851"/>
      <c r="AF280" s="1851"/>
      <c r="AG280" s="1851"/>
      <c r="AH280" s="1851"/>
      <c r="AI280" s="1852"/>
      <c r="AJ280" s="1855"/>
      <c r="AK280" s="1856"/>
    </row>
    <row r="281" spans="1:37" ht="24.95" customHeight="1" x14ac:dyDescent="0.25">
      <c r="A281" s="1699"/>
      <c r="B281" s="1237">
        <v>39</v>
      </c>
      <c r="C281" s="1695" t="s">
        <v>167</v>
      </c>
      <c r="D281" s="1696"/>
      <c r="E281" s="1694"/>
      <c r="F281" s="1694"/>
      <c r="G281" s="1694"/>
      <c r="H281" s="1694"/>
      <c r="I281" s="1694"/>
      <c r="J281" s="1694"/>
      <c r="K281" s="1694"/>
      <c r="L281" s="1694"/>
      <c r="M281" s="1694"/>
      <c r="N281" s="1694"/>
      <c r="O281" s="1694"/>
      <c r="P281" s="1694"/>
      <c r="Q281" s="1694"/>
      <c r="R281" s="2160"/>
      <c r="S281" s="2160"/>
      <c r="T281" s="1938">
        <f>IFERROR(AVERAGE(T275:T280),"  ")</f>
        <v>0</v>
      </c>
      <c r="U281" s="1842" t="str">
        <f>IF(T281&gt;85,("4"),IF(T281&gt;80,("3.66"),IF(T281&gt;75,("3.33"),IF(T281&gt;70,("3.00"),IF(T281&gt;65,("2.66"),IF(T281&gt;60,("2.33"),IF(T281&gt;55,("2"),IF(T281&gt;50,("1.66"),"1.33"))))))))</f>
        <v>1.33</v>
      </c>
      <c r="V281" s="1842" t="str">
        <f>IF(T281&gt;85,("A"),IF(T281&gt;80,("A-"),IF(T281&gt;75,("B+"),IF(T281&gt;70,("B"),IF(T281&gt;65,("B-"),IF(T281&gt;60,("C+"),IF(T281&gt;55,("C"),IF(T281&gt;50,("C-"),"D+"))))))))</f>
        <v>D+</v>
      </c>
      <c r="W281" s="1842"/>
      <c r="X281" s="2073"/>
      <c r="Y281" s="2074"/>
      <c r="Z281" s="2074"/>
      <c r="AA281" s="2074"/>
      <c r="AB281" s="2074"/>
      <c r="AC281" s="2074"/>
      <c r="AD281" s="2074"/>
      <c r="AE281" s="2074"/>
      <c r="AF281" s="2074"/>
      <c r="AG281" s="2074"/>
      <c r="AH281" s="2074"/>
      <c r="AI281" s="2075"/>
      <c r="AJ281" s="1857"/>
      <c r="AK281" s="1858"/>
    </row>
    <row r="282" spans="1:37" ht="24.95" customHeight="1" x14ac:dyDescent="0.25">
      <c r="A282" s="1677">
        <v>40</v>
      </c>
      <c r="B282" s="1684"/>
      <c r="C282" s="1685" t="e">
        <f>VLOOKUP(A282,data_siswa,4,FALSE)</f>
        <v>#N/A</v>
      </c>
      <c r="D282" s="1686" t="s">
        <v>154</v>
      </c>
      <c r="E282" s="1494">
        <v>0</v>
      </c>
      <c r="F282" s="1494">
        <v>0</v>
      </c>
      <c r="G282" s="1494">
        <v>0</v>
      </c>
      <c r="H282" s="2087">
        <v>0</v>
      </c>
      <c r="I282" s="2087">
        <v>0</v>
      </c>
      <c r="J282" s="2087">
        <v>0</v>
      </c>
      <c r="K282" s="1494"/>
      <c r="L282" s="1494"/>
      <c r="M282" s="1494"/>
      <c r="N282" s="2087"/>
      <c r="O282" s="2087"/>
      <c r="P282" s="2087"/>
      <c r="Q282" s="2028">
        <f>MAX(E282,H282,K282,N282)</f>
        <v>0</v>
      </c>
      <c r="R282" s="2126">
        <f t="shared" ref="R282:R287" si="355">MAX(F282,I282,L282,O282)</f>
        <v>0</v>
      </c>
      <c r="S282" s="2127">
        <f t="shared" ref="S282:S287" si="356">MAX(G282,J282,M282,P282)</f>
        <v>0</v>
      </c>
      <c r="T282" s="853">
        <f>IFERROR(AVERAGE(Q282:S282),"")</f>
        <v>0</v>
      </c>
      <c r="U282" s="1704" t="str">
        <f>IF(T282&gt;85,("4"),IF(T282&gt;80,("3.66"),IF(T282&gt;75,("3.33"),IF(T282&gt;70,("3.00"),IF(T282&gt;65,("2.66"),IF(T282&gt;60,("2.33"),IF(T282&gt;55,("2"),IF(T282&gt;50,("1.66"),"1.33"))))))))</f>
        <v>1.33</v>
      </c>
      <c r="V282" s="1704" t="str">
        <f>IF(T282&gt;85,("A"),IF(T282&gt;80,("A-"),IF(T282&gt;75,("B+"),IF(T282&gt;70,("B"),IF(T282&gt;65,("B-"),IF(T282&gt;60,("C+"),IF(T282&gt;55,("C"),IF(T282&gt;50,("C-"),"D+"))))))))</f>
        <v>D+</v>
      </c>
      <c r="W282" s="1704" t="str">
        <f>IF(T282&gt;80,("SB"),IF(T282&gt;65,("B"),IF(T282&gt;50,("C"),IF(T282&gt;0,("K"),"0"))))</f>
        <v>0</v>
      </c>
      <c r="X282" s="1267"/>
      <c r="Y282" s="1267"/>
      <c r="Z282" s="1267"/>
      <c r="AA282" s="1267"/>
      <c r="AB282" s="1267"/>
      <c r="AC282" s="1267"/>
      <c r="AD282" s="1268"/>
      <c r="AE282" s="1268"/>
      <c r="AF282" s="1268"/>
      <c r="AG282" s="1268"/>
      <c r="AH282" s="1268"/>
      <c r="AI282" s="1268"/>
      <c r="AJ282" s="2099">
        <f>T288</f>
        <v>0</v>
      </c>
      <c r="AK282" s="2095" t="str">
        <f>V288</f>
        <v>D+</v>
      </c>
    </row>
    <row r="283" spans="1:37" ht="24.95" customHeight="1" x14ac:dyDescent="0.25">
      <c r="B283" s="1688"/>
      <c r="C283" s="1270"/>
      <c r="D283" s="1686" t="s">
        <v>155</v>
      </c>
      <c r="E283" s="1494">
        <v>0</v>
      </c>
      <c r="F283" s="1494">
        <v>0</v>
      </c>
      <c r="G283" s="1494">
        <v>0</v>
      </c>
      <c r="H283" s="2087">
        <v>0</v>
      </c>
      <c r="I283" s="2087">
        <v>0</v>
      </c>
      <c r="J283" s="2087">
        <v>0</v>
      </c>
      <c r="K283" s="1494">
        <v>0</v>
      </c>
      <c r="L283" s="1494">
        <v>0</v>
      </c>
      <c r="M283" s="1494">
        <v>0</v>
      </c>
      <c r="N283" s="2087"/>
      <c r="O283" s="2087"/>
      <c r="P283" s="2087"/>
      <c r="Q283" s="2028">
        <f t="shared" ref="Q283:Q284" si="357">MAX(E283,H283,K283,N283)</f>
        <v>0</v>
      </c>
      <c r="R283" s="2126">
        <f t="shared" si="355"/>
        <v>0</v>
      </c>
      <c r="S283" s="2127">
        <f t="shared" si="356"/>
        <v>0</v>
      </c>
      <c r="T283" s="853">
        <f t="shared" ref="T283:T284" si="358">IFERROR(AVERAGE(Q283:S283),"")</f>
        <v>0</v>
      </c>
      <c r="U283" s="1704" t="str">
        <f t="shared" ref="U283:U287" si="359">IF(T283&gt;85,("4"),IF(T283&gt;80,("3.66"),IF(T283&gt;75,("3.33"),IF(T283&gt;70,("3.00"),IF(T283&gt;65,("2.66"),IF(T283&gt;60,("2.33"),IF(T283&gt;55,("2"),IF(T283&gt;50,("1.66"),"1.33"))))))))</f>
        <v>1.33</v>
      </c>
      <c r="V283" s="1704" t="str">
        <f t="shared" ref="V283:V287" si="360">IF(T283&gt;85,("A"),IF(T283&gt;80,("A-"),IF(T283&gt;75,("B+"),IF(T283&gt;70,("B"),IF(T283&gt;65,("B-"),IF(T283&gt;60,("C+"),IF(T283&gt;55,("C"),IF(T283&gt;50,("C-"),"D+"))))))))</f>
        <v>D+</v>
      </c>
      <c r="W283" s="1704" t="str">
        <f t="shared" ref="W283:W287" si="361">IF(T283&gt;80,("SB"),IF(T283&gt;65,("B"),IF(T283&gt;50,("C"),IF(T283&gt;0,("K"),"0"))))</f>
        <v>0</v>
      </c>
      <c r="X283" s="1843"/>
      <c r="Y283" s="1844"/>
      <c r="Z283" s="1844"/>
      <c r="AA283" s="1844"/>
      <c r="AB283" s="1844"/>
      <c r="AC283" s="1844"/>
      <c r="AD283" s="1845"/>
      <c r="AE283" s="1845"/>
      <c r="AF283" s="1845"/>
      <c r="AG283" s="1845"/>
      <c r="AH283" s="1845"/>
      <c r="AI283" s="1846"/>
      <c r="AJ283" s="1847"/>
      <c r="AK283" s="1848"/>
    </row>
    <row r="284" spans="1:37" ht="24.95" customHeight="1" x14ac:dyDescent="0.25">
      <c r="B284" s="1688"/>
      <c r="C284" s="1270"/>
      <c r="D284" s="1686" t="s">
        <v>11</v>
      </c>
      <c r="E284" s="1494">
        <v>0</v>
      </c>
      <c r="F284" s="1494">
        <v>0</v>
      </c>
      <c r="G284" s="1494">
        <v>0</v>
      </c>
      <c r="H284" s="2087">
        <v>0</v>
      </c>
      <c r="I284" s="2087">
        <v>0</v>
      </c>
      <c r="J284" s="2087">
        <v>0</v>
      </c>
      <c r="K284" s="1494">
        <v>0</v>
      </c>
      <c r="L284" s="1494">
        <v>0</v>
      </c>
      <c r="M284" s="1494">
        <v>0</v>
      </c>
      <c r="N284" s="2087">
        <v>0</v>
      </c>
      <c r="O284" s="2087">
        <v>0</v>
      </c>
      <c r="P284" s="2087">
        <v>0</v>
      </c>
      <c r="Q284" s="2028">
        <f t="shared" si="357"/>
        <v>0</v>
      </c>
      <c r="R284" s="2126">
        <f t="shared" si="355"/>
        <v>0</v>
      </c>
      <c r="S284" s="2127">
        <f t="shared" si="356"/>
        <v>0</v>
      </c>
      <c r="T284" s="853">
        <f t="shared" si="358"/>
        <v>0</v>
      </c>
      <c r="U284" s="1704" t="str">
        <f t="shared" si="359"/>
        <v>1.33</v>
      </c>
      <c r="V284" s="1704" t="str">
        <f t="shared" si="360"/>
        <v>D+</v>
      </c>
      <c r="W284" s="1704" t="str">
        <f t="shared" si="361"/>
        <v>0</v>
      </c>
      <c r="X284" s="1849"/>
      <c r="Y284" s="1850"/>
      <c r="Z284" s="1850"/>
      <c r="AA284" s="1850"/>
      <c r="AB284" s="1850"/>
      <c r="AC284" s="1850"/>
      <c r="AD284" s="1851"/>
      <c r="AE284" s="1851"/>
      <c r="AF284" s="1851"/>
      <c r="AG284" s="1851"/>
      <c r="AH284" s="1851"/>
      <c r="AI284" s="1852"/>
      <c r="AJ284" s="1853"/>
      <c r="AK284" s="1854"/>
    </row>
    <row r="285" spans="1:37" ht="24.95" customHeight="1" x14ac:dyDescent="0.25">
      <c r="B285" s="1688"/>
      <c r="C285" s="1270"/>
      <c r="D285" s="1686" t="s">
        <v>16</v>
      </c>
      <c r="E285" s="1494"/>
      <c r="F285" s="1494"/>
      <c r="G285" s="1494"/>
      <c r="H285" s="2087"/>
      <c r="I285" s="2087"/>
      <c r="J285" s="2087"/>
      <c r="K285" s="1494"/>
      <c r="L285" s="1494"/>
      <c r="M285" s="1494"/>
      <c r="N285" s="2087">
        <v>0</v>
      </c>
      <c r="O285" s="2087">
        <v>0</v>
      </c>
      <c r="P285" s="2087">
        <v>0</v>
      </c>
      <c r="Q285" s="2028">
        <f>MAX(E285,H285,K285,N285)</f>
        <v>0</v>
      </c>
      <c r="R285" s="2126">
        <f t="shared" si="355"/>
        <v>0</v>
      </c>
      <c r="S285" s="2127">
        <f t="shared" si="356"/>
        <v>0</v>
      </c>
      <c r="T285" s="853">
        <f>IFERROR(AVERAGE(Q285:S285),"")</f>
        <v>0</v>
      </c>
      <c r="U285" s="1704" t="str">
        <f t="shared" si="359"/>
        <v>1.33</v>
      </c>
      <c r="V285" s="1704" t="str">
        <f t="shared" si="360"/>
        <v>D+</v>
      </c>
      <c r="W285" s="1704" t="str">
        <f t="shared" si="361"/>
        <v>0</v>
      </c>
      <c r="X285" s="1849"/>
      <c r="Y285" s="1850"/>
      <c r="Z285" s="1850"/>
      <c r="AA285" s="1850"/>
      <c r="AB285" s="1850"/>
      <c r="AC285" s="1850"/>
      <c r="AD285" s="1851"/>
      <c r="AE285" s="1851"/>
      <c r="AF285" s="1851"/>
      <c r="AG285" s="1851"/>
      <c r="AH285" s="1851"/>
      <c r="AI285" s="1852"/>
      <c r="AJ285" s="1853"/>
      <c r="AK285" s="1854"/>
    </row>
    <row r="286" spans="1:37" ht="24.95" customHeight="1" x14ac:dyDescent="0.25">
      <c r="B286" s="1688"/>
      <c r="C286" s="1270"/>
      <c r="D286" s="1686" t="s">
        <v>186</v>
      </c>
      <c r="E286" s="1494"/>
      <c r="F286" s="1494"/>
      <c r="G286" s="1494"/>
      <c r="H286" s="2087"/>
      <c r="I286" s="2087"/>
      <c r="J286" s="2087"/>
      <c r="K286" s="1494">
        <v>0</v>
      </c>
      <c r="L286" s="1494">
        <v>0</v>
      </c>
      <c r="M286" s="1494">
        <v>0</v>
      </c>
      <c r="N286" s="2087"/>
      <c r="O286" s="2087"/>
      <c r="P286" s="2087"/>
      <c r="Q286" s="2028">
        <f t="shared" ref="Q286:Q287" si="362">MAX(E286,H286,K286,N286)</f>
        <v>0</v>
      </c>
      <c r="R286" s="2126">
        <f t="shared" si="355"/>
        <v>0</v>
      </c>
      <c r="S286" s="2127">
        <f t="shared" si="356"/>
        <v>0</v>
      </c>
      <c r="T286" s="853">
        <f t="shared" ref="T286:T287" si="363">IFERROR(AVERAGE(Q286:S286),"")</f>
        <v>0</v>
      </c>
      <c r="U286" s="1704" t="str">
        <f t="shared" si="359"/>
        <v>1.33</v>
      </c>
      <c r="V286" s="1704" t="str">
        <f t="shared" si="360"/>
        <v>D+</v>
      </c>
      <c r="W286" s="1704" t="str">
        <f t="shared" si="361"/>
        <v>0</v>
      </c>
      <c r="X286" s="1849"/>
      <c r="Y286" s="1850"/>
      <c r="Z286" s="1850"/>
      <c r="AA286" s="1850"/>
      <c r="AB286" s="1850"/>
      <c r="AC286" s="1850"/>
      <c r="AD286" s="1851"/>
      <c r="AE286" s="1851"/>
      <c r="AF286" s="1851"/>
      <c r="AG286" s="1851"/>
      <c r="AH286" s="1851"/>
      <c r="AI286" s="1852"/>
      <c r="AJ286" s="1853"/>
      <c r="AK286" s="1854"/>
    </row>
    <row r="287" spans="1:37" ht="24.95" customHeight="1" x14ac:dyDescent="0.25">
      <c r="B287" s="1688"/>
      <c r="C287" s="1270"/>
      <c r="D287" s="1686" t="s">
        <v>22</v>
      </c>
      <c r="E287" s="2086"/>
      <c r="F287" s="2086"/>
      <c r="G287" s="2086"/>
      <c r="H287" s="2088"/>
      <c r="I287" s="2088"/>
      <c r="J287" s="2088"/>
      <c r="K287" s="2086"/>
      <c r="L287" s="2086"/>
      <c r="M287" s="2086"/>
      <c r="N287" s="2088">
        <v>0</v>
      </c>
      <c r="O287" s="2088">
        <v>0</v>
      </c>
      <c r="P287" s="2088">
        <v>0</v>
      </c>
      <c r="Q287" s="2028">
        <f t="shared" si="362"/>
        <v>0</v>
      </c>
      <c r="R287" s="2126">
        <f t="shared" si="355"/>
        <v>0</v>
      </c>
      <c r="S287" s="2127">
        <f t="shared" si="356"/>
        <v>0</v>
      </c>
      <c r="T287" s="853">
        <f t="shared" si="363"/>
        <v>0</v>
      </c>
      <c r="U287" s="1705" t="str">
        <f t="shared" si="359"/>
        <v>1.33</v>
      </c>
      <c r="V287" s="1705" t="str">
        <f t="shared" si="360"/>
        <v>D+</v>
      </c>
      <c r="W287" s="1705" t="str">
        <f t="shared" si="361"/>
        <v>0</v>
      </c>
      <c r="X287" s="1849"/>
      <c r="Y287" s="1850"/>
      <c r="Z287" s="1850"/>
      <c r="AA287" s="1850"/>
      <c r="AB287" s="1850"/>
      <c r="AC287" s="1850"/>
      <c r="AD287" s="1851"/>
      <c r="AE287" s="1851"/>
      <c r="AF287" s="1851"/>
      <c r="AG287" s="1851"/>
      <c r="AH287" s="1851"/>
      <c r="AI287" s="1852"/>
      <c r="AJ287" s="1855"/>
      <c r="AK287" s="1856"/>
    </row>
    <row r="288" spans="1:37" ht="24.95" customHeight="1" x14ac:dyDescent="0.25">
      <c r="B288" s="1237">
        <v>40</v>
      </c>
      <c r="C288" s="1695" t="s">
        <v>167</v>
      </c>
      <c r="D288" s="1696"/>
      <c r="E288" s="1694"/>
      <c r="F288" s="1694"/>
      <c r="G288" s="1694"/>
      <c r="H288" s="1694"/>
      <c r="I288" s="1694"/>
      <c r="J288" s="1694"/>
      <c r="K288" s="1694"/>
      <c r="L288" s="1694"/>
      <c r="M288" s="1694"/>
      <c r="N288" s="1694"/>
      <c r="O288" s="1694"/>
      <c r="P288" s="1694"/>
      <c r="Q288" s="1694"/>
      <c r="R288" s="2160"/>
      <c r="S288" s="2160"/>
      <c r="T288" s="1938">
        <f>IFERROR(AVERAGE(T282:T287),"  ")</f>
        <v>0</v>
      </c>
      <c r="U288" s="1842" t="str">
        <f>IF(T288&gt;85,("4"),IF(T288&gt;80,("3.66"),IF(T288&gt;75,("3.33"),IF(T288&gt;70,("3.00"),IF(T288&gt;65,("2.66"),IF(T288&gt;60,("2.33"),IF(T288&gt;55,("2"),IF(T288&gt;50,("1.66"),"1.33"))))))))</f>
        <v>1.33</v>
      </c>
      <c r="V288" s="1842" t="str">
        <f>IF(T288&gt;85,("A"),IF(T288&gt;80,("A-"),IF(T288&gt;75,("B+"),IF(T288&gt;70,("B"),IF(T288&gt;65,("B-"),IF(T288&gt;60,("C+"),IF(T288&gt;55,("C"),IF(T288&gt;50,("C-"),"D+"))))))))</f>
        <v>D+</v>
      </c>
      <c r="W288" s="1842"/>
      <c r="X288" s="2073"/>
      <c r="Y288" s="2074"/>
      <c r="Z288" s="2074"/>
      <c r="AA288" s="2074"/>
      <c r="AB288" s="2074"/>
      <c r="AC288" s="2074"/>
      <c r="AD288" s="2074"/>
      <c r="AE288" s="2074"/>
      <c r="AF288" s="2074"/>
      <c r="AG288" s="2074"/>
      <c r="AH288" s="2074"/>
      <c r="AI288" s="2075"/>
      <c r="AJ288" s="1857"/>
      <c r="AK288" s="1858"/>
    </row>
    <row r="289" spans="1:20" s="1701" customFormat="1" x14ac:dyDescent="0.3">
      <c r="A289" s="1700"/>
      <c r="C289" s="1702"/>
      <c r="D289" s="1703"/>
      <c r="T289" s="1939"/>
    </row>
  </sheetData>
  <sheetProtection password="C6F9" sheet="1" objects="1" scenarios="1"/>
  <mergeCells count="19">
    <mergeCell ref="A6:A8"/>
    <mergeCell ref="B6:B8"/>
    <mergeCell ref="C6:C8"/>
    <mergeCell ref="D6:D8"/>
    <mergeCell ref="T6:T8"/>
    <mergeCell ref="E7:G7"/>
    <mergeCell ref="H7:J7"/>
    <mergeCell ref="K7:M7"/>
    <mergeCell ref="N7:P7"/>
    <mergeCell ref="E6:P6"/>
    <mergeCell ref="Q6:S7"/>
    <mergeCell ref="AK6:AK8"/>
    <mergeCell ref="AH4:AI4"/>
    <mergeCell ref="U6:U8"/>
    <mergeCell ref="V6:V8"/>
    <mergeCell ref="W6:W8"/>
    <mergeCell ref="AJ6:AJ8"/>
    <mergeCell ref="X6:AC7"/>
    <mergeCell ref="AD6:AI7"/>
  </mergeCells>
  <conditionalFormatting sqref="T15">
    <cfRule type="top10" dxfId="965" priority="1914" bottom="1" rank="1"/>
    <cfRule type="top10" dxfId="964" priority="1915" rank="1"/>
  </conditionalFormatting>
  <conditionalFormatting sqref="T29">
    <cfRule type="top10" dxfId="963" priority="217" bottom="1" rank="1"/>
    <cfRule type="top10" dxfId="962" priority="218" rank="1"/>
  </conditionalFormatting>
  <conditionalFormatting sqref="T36">
    <cfRule type="top10" dxfId="961" priority="215" bottom="1" rank="1"/>
    <cfRule type="top10" dxfId="960" priority="216" rank="1"/>
  </conditionalFormatting>
  <conditionalFormatting sqref="T22">
    <cfRule type="top10" dxfId="959" priority="219" bottom="1" rank="1"/>
    <cfRule type="top10" dxfId="958" priority="220" rank="1"/>
  </conditionalFormatting>
  <conditionalFormatting sqref="T43">
    <cfRule type="top10" dxfId="957" priority="213" bottom="1" rank="1"/>
    <cfRule type="top10" dxfId="956" priority="214" rank="1"/>
  </conditionalFormatting>
  <conditionalFormatting sqref="T50">
    <cfRule type="top10" dxfId="955" priority="209" bottom="1" rank="1"/>
    <cfRule type="top10" dxfId="954" priority="210" rank="1"/>
  </conditionalFormatting>
  <conditionalFormatting sqref="T57">
    <cfRule type="top10" dxfId="953" priority="207" bottom="1" rank="1"/>
    <cfRule type="top10" dxfId="952" priority="208" rank="1"/>
  </conditionalFormatting>
  <conditionalFormatting sqref="T64">
    <cfRule type="top10" dxfId="951" priority="205" bottom="1" rank="1"/>
    <cfRule type="top10" dxfId="950" priority="206" rank="1"/>
  </conditionalFormatting>
  <conditionalFormatting sqref="T71">
    <cfRule type="top10" dxfId="949" priority="203" bottom="1" rank="1"/>
    <cfRule type="top10" dxfId="948" priority="204" rank="1"/>
  </conditionalFormatting>
  <conditionalFormatting sqref="T78">
    <cfRule type="top10" dxfId="947" priority="201" bottom="1" rank="1"/>
    <cfRule type="top10" dxfId="946" priority="202" rank="1"/>
  </conditionalFormatting>
  <conditionalFormatting sqref="T9:T14">
    <cfRule type="top10" dxfId="945" priority="139" bottom="1" rank="1"/>
    <cfRule type="top10" dxfId="944" priority="140" rank="1"/>
  </conditionalFormatting>
  <conditionalFormatting sqref="T16:T21">
    <cfRule type="top10" dxfId="943" priority="137" bottom="1" rank="1"/>
    <cfRule type="top10" dxfId="942" priority="138" rank="1"/>
  </conditionalFormatting>
  <conditionalFormatting sqref="T23:T28">
    <cfRule type="top10" dxfId="941" priority="135" bottom="1" rank="1"/>
    <cfRule type="top10" dxfId="940" priority="136" rank="1"/>
  </conditionalFormatting>
  <conditionalFormatting sqref="T30:T35">
    <cfRule type="top10" dxfId="939" priority="133" bottom="1" rank="1"/>
    <cfRule type="top10" dxfId="938" priority="134" rank="1"/>
  </conditionalFormatting>
  <conditionalFormatting sqref="T37:T42">
    <cfRule type="top10" dxfId="937" priority="131" bottom="1" rank="1"/>
    <cfRule type="top10" dxfId="936" priority="132" rank="1"/>
  </conditionalFormatting>
  <conditionalFormatting sqref="T44:T49">
    <cfRule type="top10" dxfId="935" priority="129" bottom="1" rank="1"/>
    <cfRule type="top10" dxfId="934" priority="130" rank="1"/>
  </conditionalFormatting>
  <conditionalFormatting sqref="T51:T56">
    <cfRule type="top10" dxfId="933" priority="127" bottom="1" rank="1"/>
    <cfRule type="top10" dxfId="932" priority="128" rank="1"/>
  </conditionalFormatting>
  <conditionalFormatting sqref="T58:T63">
    <cfRule type="top10" dxfId="931" priority="125" bottom="1" rank="1"/>
    <cfRule type="top10" dxfId="930" priority="126" rank="1"/>
  </conditionalFormatting>
  <conditionalFormatting sqref="T65:T70">
    <cfRule type="top10" dxfId="929" priority="123" bottom="1" rank="1"/>
    <cfRule type="top10" dxfId="928" priority="124" rank="1"/>
  </conditionalFormatting>
  <conditionalFormatting sqref="T72:T77">
    <cfRule type="top10" dxfId="927" priority="121" bottom="1" rank="1"/>
    <cfRule type="top10" dxfId="926" priority="122" rank="1"/>
  </conditionalFormatting>
  <conditionalFormatting sqref="T85">
    <cfRule type="top10" dxfId="925" priority="119" bottom="1" rank="1"/>
    <cfRule type="top10" dxfId="924" priority="120" rank="1"/>
  </conditionalFormatting>
  <conditionalFormatting sqref="T99">
    <cfRule type="top10" dxfId="923" priority="115" bottom="1" rank="1"/>
    <cfRule type="top10" dxfId="922" priority="116" rank="1"/>
  </conditionalFormatting>
  <conditionalFormatting sqref="T106">
    <cfRule type="top10" dxfId="921" priority="113" bottom="1" rank="1"/>
    <cfRule type="top10" dxfId="920" priority="114" rank="1"/>
  </conditionalFormatting>
  <conditionalFormatting sqref="T92">
    <cfRule type="top10" dxfId="919" priority="117" bottom="1" rank="1"/>
    <cfRule type="top10" dxfId="918" priority="118" rank="1"/>
  </conditionalFormatting>
  <conditionalFormatting sqref="T113">
    <cfRule type="top10" dxfId="917" priority="111" bottom="1" rank="1"/>
    <cfRule type="top10" dxfId="916" priority="112" rank="1"/>
  </conditionalFormatting>
  <conditionalFormatting sqref="T120">
    <cfRule type="top10" dxfId="915" priority="109" bottom="1" rank="1"/>
    <cfRule type="top10" dxfId="914" priority="110" rank="1"/>
  </conditionalFormatting>
  <conditionalFormatting sqref="T127">
    <cfRule type="top10" dxfId="913" priority="107" bottom="1" rank="1"/>
    <cfRule type="top10" dxfId="912" priority="108" rank="1"/>
  </conditionalFormatting>
  <conditionalFormatting sqref="T134">
    <cfRule type="top10" dxfId="911" priority="105" bottom="1" rank="1"/>
    <cfRule type="top10" dxfId="910" priority="106" rank="1"/>
  </conditionalFormatting>
  <conditionalFormatting sqref="T141">
    <cfRule type="top10" dxfId="909" priority="103" bottom="1" rank="1"/>
    <cfRule type="top10" dxfId="908" priority="104" rank="1"/>
  </conditionalFormatting>
  <conditionalFormatting sqref="T148">
    <cfRule type="top10" dxfId="907" priority="101" bottom="1" rank="1"/>
    <cfRule type="top10" dxfId="906" priority="102" rank="1"/>
  </conditionalFormatting>
  <conditionalFormatting sqref="T79:T84">
    <cfRule type="top10" dxfId="905" priority="99" bottom="1" rank="1"/>
    <cfRule type="top10" dxfId="904" priority="100" rank="1"/>
  </conditionalFormatting>
  <conditionalFormatting sqref="T86:T91">
    <cfRule type="top10" dxfId="903" priority="97" bottom="1" rank="1"/>
    <cfRule type="top10" dxfId="902" priority="98" rank="1"/>
  </conditionalFormatting>
  <conditionalFormatting sqref="T93:T98">
    <cfRule type="top10" dxfId="901" priority="95" bottom="1" rank="1"/>
    <cfRule type="top10" dxfId="900" priority="96" rank="1"/>
  </conditionalFormatting>
  <conditionalFormatting sqref="T100:T105">
    <cfRule type="top10" dxfId="899" priority="93" bottom="1" rank="1"/>
    <cfRule type="top10" dxfId="898" priority="94" rank="1"/>
  </conditionalFormatting>
  <conditionalFormatting sqref="T107:T112">
    <cfRule type="top10" dxfId="897" priority="91" bottom="1" rank="1"/>
    <cfRule type="top10" dxfId="896" priority="92" rank="1"/>
  </conditionalFormatting>
  <conditionalFormatting sqref="T114:T119">
    <cfRule type="top10" dxfId="895" priority="89" bottom="1" rank="1"/>
    <cfRule type="top10" dxfId="894" priority="90" rank="1"/>
  </conditionalFormatting>
  <conditionalFormatting sqref="T121:T126">
    <cfRule type="top10" dxfId="893" priority="87" bottom="1" rank="1"/>
    <cfRule type="top10" dxfId="892" priority="88" rank="1"/>
  </conditionalFormatting>
  <conditionalFormatting sqref="T128:T133">
    <cfRule type="top10" dxfId="891" priority="85" bottom="1" rank="1"/>
    <cfRule type="top10" dxfId="890" priority="86" rank="1"/>
  </conditionalFormatting>
  <conditionalFormatting sqref="T135:T140">
    <cfRule type="top10" dxfId="889" priority="83" bottom="1" rank="1"/>
    <cfRule type="top10" dxfId="888" priority="84" rank="1"/>
  </conditionalFormatting>
  <conditionalFormatting sqref="T142:T147">
    <cfRule type="top10" dxfId="887" priority="81" bottom="1" rank="1"/>
    <cfRule type="top10" dxfId="886" priority="82" rank="1"/>
  </conditionalFormatting>
  <conditionalFormatting sqref="T155">
    <cfRule type="top10" dxfId="885" priority="79" bottom="1" rank="1"/>
    <cfRule type="top10" dxfId="884" priority="80" rank="1"/>
  </conditionalFormatting>
  <conditionalFormatting sqref="T169">
    <cfRule type="top10" dxfId="883" priority="75" bottom="1" rank="1"/>
    <cfRule type="top10" dxfId="882" priority="76" rank="1"/>
  </conditionalFormatting>
  <conditionalFormatting sqref="T176">
    <cfRule type="top10" dxfId="881" priority="73" bottom="1" rank="1"/>
    <cfRule type="top10" dxfId="880" priority="74" rank="1"/>
  </conditionalFormatting>
  <conditionalFormatting sqref="T162">
    <cfRule type="top10" dxfId="879" priority="77" bottom="1" rank="1"/>
    <cfRule type="top10" dxfId="878" priority="78" rank="1"/>
  </conditionalFormatting>
  <conditionalFormatting sqref="T183">
    <cfRule type="top10" dxfId="877" priority="71" bottom="1" rank="1"/>
    <cfRule type="top10" dxfId="876" priority="72" rank="1"/>
  </conditionalFormatting>
  <conditionalFormatting sqref="T190">
    <cfRule type="top10" dxfId="875" priority="69" bottom="1" rank="1"/>
    <cfRule type="top10" dxfId="874" priority="70" rank="1"/>
  </conditionalFormatting>
  <conditionalFormatting sqref="T197">
    <cfRule type="top10" dxfId="873" priority="67" bottom="1" rank="1"/>
    <cfRule type="top10" dxfId="872" priority="68" rank="1"/>
  </conditionalFormatting>
  <conditionalFormatting sqref="T204">
    <cfRule type="top10" dxfId="871" priority="65" bottom="1" rank="1"/>
    <cfRule type="top10" dxfId="870" priority="66" rank="1"/>
  </conditionalFormatting>
  <conditionalFormatting sqref="T211">
    <cfRule type="top10" dxfId="869" priority="63" bottom="1" rank="1"/>
    <cfRule type="top10" dxfId="868" priority="64" rank="1"/>
  </conditionalFormatting>
  <conditionalFormatting sqref="T218">
    <cfRule type="top10" dxfId="867" priority="61" bottom="1" rank="1"/>
    <cfRule type="top10" dxfId="866" priority="62" rank="1"/>
  </conditionalFormatting>
  <conditionalFormatting sqref="T149:T154">
    <cfRule type="top10" dxfId="865" priority="59" bottom="1" rank="1"/>
    <cfRule type="top10" dxfId="864" priority="60" rank="1"/>
  </conditionalFormatting>
  <conditionalFormatting sqref="T156:T161">
    <cfRule type="top10" dxfId="863" priority="57" bottom="1" rank="1"/>
    <cfRule type="top10" dxfId="862" priority="58" rank="1"/>
  </conditionalFormatting>
  <conditionalFormatting sqref="T163:T168">
    <cfRule type="top10" dxfId="861" priority="55" bottom="1" rank="1"/>
    <cfRule type="top10" dxfId="860" priority="56" rank="1"/>
  </conditionalFormatting>
  <conditionalFormatting sqref="T170:T175">
    <cfRule type="top10" dxfId="859" priority="53" bottom="1" rank="1"/>
    <cfRule type="top10" dxfId="858" priority="54" rank="1"/>
  </conditionalFormatting>
  <conditionalFormatting sqref="T177:T182">
    <cfRule type="top10" dxfId="857" priority="51" bottom="1" rank="1"/>
    <cfRule type="top10" dxfId="856" priority="52" rank="1"/>
  </conditionalFormatting>
  <conditionalFormatting sqref="T184:T189">
    <cfRule type="top10" dxfId="855" priority="49" bottom="1" rank="1"/>
    <cfRule type="top10" dxfId="854" priority="50" rank="1"/>
  </conditionalFormatting>
  <conditionalFormatting sqref="T191:T196">
    <cfRule type="top10" dxfId="853" priority="47" bottom="1" rank="1"/>
    <cfRule type="top10" dxfId="852" priority="48" rank="1"/>
  </conditionalFormatting>
  <conditionalFormatting sqref="T198:T203">
    <cfRule type="top10" dxfId="851" priority="45" bottom="1" rank="1"/>
    <cfRule type="top10" dxfId="850" priority="46" rank="1"/>
  </conditionalFormatting>
  <conditionalFormatting sqref="T205:T210">
    <cfRule type="top10" dxfId="849" priority="43" bottom="1" rank="1"/>
    <cfRule type="top10" dxfId="848" priority="44" rank="1"/>
  </conditionalFormatting>
  <conditionalFormatting sqref="T212:T217">
    <cfRule type="top10" dxfId="847" priority="41" bottom="1" rank="1"/>
    <cfRule type="top10" dxfId="846" priority="42" rank="1"/>
  </conditionalFormatting>
  <conditionalFormatting sqref="T225">
    <cfRule type="top10" dxfId="845" priority="39" bottom="1" rank="1"/>
    <cfRule type="top10" dxfId="844" priority="40" rank="1"/>
  </conditionalFormatting>
  <conditionalFormatting sqref="T239">
    <cfRule type="top10" dxfId="843" priority="35" bottom="1" rank="1"/>
    <cfRule type="top10" dxfId="842" priority="36" rank="1"/>
  </conditionalFormatting>
  <conditionalFormatting sqref="T246">
    <cfRule type="top10" dxfId="841" priority="33" bottom="1" rank="1"/>
    <cfRule type="top10" dxfId="840" priority="34" rank="1"/>
  </conditionalFormatting>
  <conditionalFormatting sqref="T232">
    <cfRule type="top10" dxfId="839" priority="37" bottom="1" rank="1"/>
    <cfRule type="top10" dxfId="838" priority="38" rank="1"/>
  </conditionalFormatting>
  <conditionalFormatting sqref="T253">
    <cfRule type="top10" dxfId="837" priority="31" bottom="1" rank="1"/>
    <cfRule type="top10" dxfId="836" priority="32" rank="1"/>
  </conditionalFormatting>
  <conditionalFormatting sqref="T260">
    <cfRule type="top10" dxfId="835" priority="29" bottom="1" rank="1"/>
    <cfRule type="top10" dxfId="834" priority="30" rank="1"/>
  </conditionalFormatting>
  <conditionalFormatting sqref="T267">
    <cfRule type="top10" dxfId="833" priority="27" bottom="1" rank="1"/>
    <cfRule type="top10" dxfId="832" priority="28" rank="1"/>
  </conditionalFormatting>
  <conditionalFormatting sqref="T274">
    <cfRule type="top10" dxfId="831" priority="25" bottom="1" rank="1"/>
    <cfRule type="top10" dxfId="830" priority="26" rank="1"/>
  </conditionalFormatting>
  <conditionalFormatting sqref="T281">
    <cfRule type="top10" dxfId="829" priority="23" bottom="1" rank="1"/>
    <cfRule type="top10" dxfId="828" priority="24" rank="1"/>
  </conditionalFormatting>
  <conditionalFormatting sqref="T288">
    <cfRule type="top10" dxfId="827" priority="21" bottom="1" rank="1"/>
    <cfRule type="top10" dxfId="826" priority="22" rank="1"/>
  </conditionalFormatting>
  <conditionalFormatting sqref="T219:T224">
    <cfRule type="top10" dxfId="825" priority="19" bottom="1" rank="1"/>
    <cfRule type="top10" dxfId="824" priority="20" rank="1"/>
  </conditionalFormatting>
  <conditionalFormatting sqref="T226:T231">
    <cfRule type="top10" dxfId="823" priority="17" bottom="1" rank="1"/>
    <cfRule type="top10" dxfId="822" priority="18" rank="1"/>
  </conditionalFormatting>
  <conditionalFormatting sqref="T233:T238">
    <cfRule type="top10" dxfId="821" priority="15" bottom="1" rank="1"/>
    <cfRule type="top10" dxfId="820" priority="16" rank="1"/>
  </conditionalFormatting>
  <conditionalFormatting sqref="T240:T245">
    <cfRule type="top10" dxfId="819" priority="13" bottom="1" rank="1"/>
    <cfRule type="top10" dxfId="818" priority="14" rank="1"/>
  </conditionalFormatting>
  <conditionalFormatting sqref="T247:T252">
    <cfRule type="top10" dxfId="817" priority="11" bottom="1" rank="1"/>
    <cfRule type="top10" dxfId="816" priority="12" rank="1"/>
  </conditionalFormatting>
  <conditionalFormatting sqref="T254:T259">
    <cfRule type="top10" dxfId="815" priority="9" bottom="1" rank="1"/>
    <cfRule type="top10" dxfId="814" priority="10" rank="1"/>
  </conditionalFormatting>
  <conditionalFormatting sqref="T261:T266">
    <cfRule type="top10" dxfId="813" priority="7" bottom="1" rank="1"/>
    <cfRule type="top10" dxfId="812" priority="8" rank="1"/>
  </conditionalFormatting>
  <conditionalFormatting sqref="T268:T273">
    <cfRule type="top10" dxfId="811" priority="5" bottom="1" rank="1"/>
    <cfRule type="top10" dxfId="810" priority="6" rank="1"/>
  </conditionalFormatting>
  <conditionalFormatting sqref="T275:T280">
    <cfRule type="top10" dxfId="809" priority="3" bottom="1" rank="1"/>
    <cfRule type="top10" dxfId="808" priority="4" rank="1"/>
  </conditionalFormatting>
  <conditionalFormatting sqref="T282:T287">
    <cfRule type="top10" dxfId="807" priority="1" bottom="1" rank="1"/>
    <cfRule type="top10" dxfId="806" priority="2" rank="1"/>
  </conditionalFormatting>
  <pageMargins left="0.7" right="0.7" top="0.75" bottom="0.75" header="0.3" footer="0.3"/>
  <pageSetup paperSize="9"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C000"/>
  </sheetPr>
  <dimension ref="A1:AI247"/>
  <sheetViews>
    <sheetView showGridLines="0" zoomScale="90" zoomScaleNormal="90" workbookViewId="0">
      <pane xSplit="4" ySplit="6" topLeftCell="Q236" activePane="bottomRight" state="frozen"/>
      <selection pane="topRight" activeCell="E1" sqref="E1"/>
      <selection pane="bottomLeft" activeCell="A7" sqref="A7"/>
      <selection pane="bottomRight" activeCell="AI241" sqref="AI241"/>
    </sheetView>
  </sheetViews>
  <sheetFormatPr defaultRowHeight="17.25" x14ac:dyDescent="0.3"/>
  <cols>
    <col min="1" max="1" width="6" style="352" customWidth="1"/>
    <col min="2" max="2" width="5.5703125" style="352" customWidth="1"/>
    <col min="3" max="3" width="25" style="1570" customWidth="1"/>
    <col min="4" max="4" width="8.140625" style="1571" customWidth="1"/>
    <col min="5" max="19" width="7.140625" style="352" customWidth="1"/>
    <col min="20" max="20" width="7.140625" style="1944" customWidth="1"/>
    <col min="21" max="21" width="11.5703125" style="352" customWidth="1"/>
    <col min="22" max="22" width="7.42578125" style="352" customWidth="1"/>
    <col min="23" max="23" width="9" style="352" customWidth="1"/>
    <col min="24" max="33" width="5.7109375" style="352" customWidth="1"/>
    <col min="34" max="34" width="9" style="352" customWidth="1"/>
    <col min="35" max="16384" width="9.140625" style="352"/>
  </cols>
  <sheetData>
    <row r="1" spans="1:35" s="1120" customFormat="1" ht="21" x14ac:dyDescent="0.35">
      <c r="A1" s="2161" t="s">
        <v>508</v>
      </c>
      <c r="C1" s="1572"/>
      <c r="D1" s="1573"/>
      <c r="E1" s="981"/>
      <c r="F1" s="981"/>
      <c r="G1" s="981"/>
      <c r="H1" s="981"/>
      <c r="I1" s="981"/>
      <c r="J1" s="981"/>
      <c r="K1" s="981"/>
      <c r="L1" s="981"/>
      <c r="M1" s="981"/>
      <c r="N1" s="981"/>
      <c r="O1" s="981"/>
      <c r="P1" s="981"/>
      <c r="Q1" s="981"/>
      <c r="R1" s="981"/>
      <c r="S1" s="981"/>
      <c r="T1" s="1940"/>
      <c r="U1" s="981"/>
      <c r="V1" s="74"/>
      <c r="W1" s="74"/>
      <c r="X1" s="74"/>
      <c r="Y1" s="74"/>
      <c r="Z1" s="74"/>
      <c r="AA1" s="394"/>
      <c r="AB1" s="394"/>
    </row>
    <row r="2" spans="1:35" s="1120" customFormat="1" ht="23.25" x14ac:dyDescent="0.35">
      <c r="A2" s="1574" t="s">
        <v>562</v>
      </c>
      <c r="C2" s="1572"/>
      <c r="D2" s="1575"/>
      <c r="T2" s="1941"/>
    </row>
    <row r="3" spans="1:35" s="432" customFormat="1" ht="15.75" thickBot="1" x14ac:dyDescent="0.3">
      <c r="A3" s="1417">
        <v>1</v>
      </c>
      <c r="B3" s="1417">
        <v>2</v>
      </c>
      <c r="C3" s="1417">
        <v>3</v>
      </c>
      <c r="D3" s="1417">
        <v>4</v>
      </c>
      <c r="E3" s="1417">
        <v>5</v>
      </c>
      <c r="F3" s="1417">
        <v>6</v>
      </c>
      <c r="G3" s="1417">
        <v>7</v>
      </c>
      <c r="H3" s="1417">
        <v>8</v>
      </c>
      <c r="I3" s="1417">
        <v>9</v>
      </c>
      <c r="J3" s="1417">
        <v>10</v>
      </c>
      <c r="K3" s="1417">
        <v>11</v>
      </c>
      <c r="L3" s="1417">
        <v>12</v>
      </c>
      <c r="M3" s="1417">
        <v>13</v>
      </c>
      <c r="N3" s="1417">
        <v>14</v>
      </c>
      <c r="O3" s="1417">
        <v>15</v>
      </c>
      <c r="P3" s="1417">
        <v>16</v>
      </c>
      <c r="Q3" s="1417">
        <v>17</v>
      </c>
      <c r="R3" s="1417">
        <v>18</v>
      </c>
      <c r="S3" s="1417">
        <v>19</v>
      </c>
      <c r="T3" s="1417">
        <v>20</v>
      </c>
      <c r="U3" s="1417">
        <v>21</v>
      </c>
      <c r="V3" s="1417">
        <v>22</v>
      </c>
      <c r="W3" s="1417">
        <v>23</v>
      </c>
      <c r="X3" s="1417">
        <v>24</v>
      </c>
      <c r="Y3" s="1417">
        <v>25</v>
      </c>
      <c r="Z3" s="1417">
        <v>26</v>
      </c>
      <c r="AA3" s="1417">
        <v>27</v>
      </c>
      <c r="AB3" s="1417">
        <v>28</v>
      </c>
      <c r="AC3" s="1417">
        <v>29</v>
      </c>
      <c r="AD3" s="1417">
        <v>30</v>
      </c>
      <c r="AE3" s="1417">
        <v>31</v>
      </c>
      <c r="AF3" s="1417">
        <v>32</v>
      </c>
      <c r="AG3" s="1417">
        <v>33</v>
      </c>
      <c r="AH3" s="1417">
        <v>34</v>
      </c>
      <c r="AI3" s="1417">
        <v>35</v>
      </c>
    </row>
    <row r="4" spans="1:35" ht="24" customHeight="1" x14ac:dyDescent="0.25">
      <c r="A4" s="2754" t="s">
        <v>0</v>
      </c>
      <c r="B4" s="2520" t="s">
        <v>55</v>
      </c>
      <c r="C4" s="2760" t="s">
        <v>1</v>
      </c>
      <c r="D4" s="2520" t="s">
        <v>56</v>
      </c>
      <c r="E4" s="2810" t="s">
        <v>32</v>
      </c>
      <c r="F4" s="2811"/>
      <c r="G4" s="2811"/>
      <c r="H4" s="2811"/>
      <c r="I4" s="2084"/>
      <c r="J4" s="2084"/>
      <c r="K4" s="2084"/>
      <c r="L4" s="2084"/>
      <c r="M4" s="2084"/>
      <c r="N4" s="2084"/>
      <c r="O4" s="2084"/>
      <c r="P4" s="2084"/>
      <c r="Q4" s="2735" t="s">
        <v>1004</v>
      </c>
      <c r="R4" s="2736"/>
      <c r="S4" s="2737"/>
      <c r="T4" s="2870" t="s">
        <v>64</v>
      </c>
      <c r="U4" s="2528" t="s">
        <v>61</v>
      </c>
      <c r="V4" s="2528" t="s">
        <v>5</v>
      </c>
      <c r="W4" s="2881" t="s">
        <v>1005</v>
      </c>
      <c r="X4" s="2876" t="s">
        <v>174</v>
      </c>
      <c r="Y4" s="2862"/>
      <c r="Z4" s="2862"/>
      <c r="AA4" s="2862"/>
      <c r="AB4" s="2862"/>
      <c r="AC4" s="2862" t="s">
        <v>174</v>
      </c>
      <c r="AD4" s="2862"/>
      <c r="AE4" s="2862"/>
      <c r="AF4" s="2862"/>
      <c r="AG4" s="2863"/>
      <c r="AH4" s="2873" t="s">
        <v>973</v>
      </c>
      <c r="AI4" s="2866" t="s">
        <v>5</v>
      </c>
    </row>
    <row r="5" spans="1:35" ht="24" customHeight="1" x14ac:dyDescent="0.25">
      <c r="A5" s="2755"/>
      <c r="B5" s="2869"/>
      <c r="C5" s="2761"/>
      <c r="D5" s="2763"/>
      <c r="E5" s="2791" t="s">
        <v>443</v>
      </c>
      <c r="F5" s="2792"/>
      <c r="G5" s="2793"/>
      <c r="H5" s="2794" t="s">
        <v>442</v>
      </c>
      <c r="I5" s="2795"/>
      <c r="J5" s="2796"/>
      <c r="K5" s="2768" t="s">
        <v>441</v>
      </c>
      <c r="L5" s="2769"/>
      <c r="M5" s="2770"/>
      <c r="N5" s="2771" t="s">
        <v>685</v>
      </c>
      <c r="O5" s="2772"/>
      <c r="P5" s="2773"/>
      <c r="Q5" s="2738"/>
      <c r="R5" s="2739"/>
      <c r="S5" s="2740"/>
      <c r="T5" s="2871"/>
      <c r="U5" s="2880"/>
      <c r="V5" s="2880"/>
      <c r="W5" s="2882"/>
      <c r="X5" s="2877"/>
      <c r="Y5" s="2864"/>
      <c r="Z5" s="2864"/>
      <c r="AA5" s="2864"/>
      <c r="AB5" s="2864"/>
      <c r="AC5" s="2864"/>
      <c r="AD5" s="2864"/>
      <c r="AE5" s="2864"/>
      <c r="AF5" s="2864"/>
      <c r="AG5" s="2865"/>
      <c r="AH5" s="2874"/>
      <c r="AI5" s="2867"/>
    </row>
    <row r="6" spans="1:35" ht="24" customHeight="1" thickBot="1" x14ac:dyDescent="0.3">
      <c r="A6" s="2756"/>
      <c r="B6" s="2521"/>
      <c r="C6" s="2762"/>
      <c r="D6" s="2521"/>
      <c r="E6" s="2034" t="s">
        <v>1001</v>
      </c>
      <c r="F6" s="2034" t="s">
        <v>1002</v>
      </c>
      <c r="G6" s="2034" t="s">
        <v>1003</v>
      </c>
      <c r="H6" s="2035" t="s">
        <v>1001</v>
      </c>
      <c r="I6" s="2035" t="s">
        <v>1002</v>
      </c>
      <c r="J6" s="2035" t="s">
        <v>1003</v>
      </c>
      <c r="K6" s="2036" t="s">
        <v>1001</v>
      </c>
      <c r="L6" s="2036" t="s">
        <v>1002</v>
      </c>
      <c r="M6" s="2036" t="s">
        <v>1003</v>
      </c>
      <c r="N6" s="2037" t="s">
        <v>1001</v>
      </c>
      <c r="O6" s="2037" t="s">
        <v>1002</v>
      </c>
      <c r="P6" s="2037" t="s">
        <v>1003</v>
      </c>
      <c r="Q6" s="2047" t="s">
        <v>1001</v>
      </c>
      <c r="R6" s="2047" t="s">
        <v>1002</v>
      </c>
      <c r="S6" s="2047" t="s">
        <v>1003</v>
      </c>
      <c r="T6" s="2872"/>
      <c r="U6" s="2529"/>
      <c r="V6" s="2529"/>
      <c r="W6" s="2883"/>
      <c r="X6" s="2070" t="s">
        <v>155</v>
      </c>
      <c r="Y6" s="2106" t="s">
        <v>9</v>
      </c>
      <c r="Z6" s="2106" t="s">
        <v>11</v>
      </c>
      <c r="AA6" s="2106" t="s">
        <v>16</v>
      </c>
      <c r="AB6" s="2106" t="s">
        <v>189</v>
      </c>
      <c r="AC6" s="2107" t="s">
        <v>155</v>
      </c>
      <c r="AD6" s="2107" t="s">
        <v>9</v>
      </c>
      <c r="AE6" s="2107" t="s">
        <v>11</v>
      </c>
      <c r="AF6" s="2107" t="s">
        <v>16</v>
      </c>
      <c r="AG6" s="2107" t="s">
        <v>189</v>
      </c>
      <c r="AH6" s="2875"/>
      <c r="AI6" s="2868"/>
    </row>
    <row r="7" spans="1:35" ht="24.95" customHeight="1" x14ac:dyDescent="0.25">
      <c r="A7" s="1478">
        <v>1</v>
      </c>
      <c r="B7" s="1580"/>
      <c r="C7" s="1671" t="str">
        <f>VLOOKUP(A7,data_siswa,4,FALSE)</f>
        <v>Achmad Zacky</v>
      </c>
      <c r="D7" s="2102" t="s">
        <v>155</v>
      </c>
      <c r="E7" s="1672">
        <v>76</v>
      </c>
      <c r="F7" s="1672">
        <v>69</v>
      </c>
      <c r="G7" s="1672">
        <v>72</v>
      </c>
      <c r="H7" s="2027"/>
      <c r="I7" s="2027"/>
      <c r="J7" s="2027"/>
      <c r="K7" s="1672"/>
      <c r="L7" s="1672"/>
      <c r="M7" s="1672"/>
      <c r="N7" s="2103"/>
      <c r="O7" s="2103"/>
      <c r="P7" s="2103"/>
      <c r="Q7" s="1077">
        <f>MAX(E7,H7,K7,N7)</f>
        <v>76</v>
      </c>
      <c r="R7" s="2126">
        <f t="shared" ref="R7:S9" si="0">MAX(F7,I7,L7,O7)</f>
        <v>69</v>
      </c>
      <c r="S7" s="2127">
        <f t="shared" si="0"/>
        <v>72</v>
      </c>
      <c r="T7" s="853">
        <f>IFERROR(AVERAGE(Q7:S7),"")</f>
        <v>72.333333333333329</v>
      </c>
      <c r="U7" s="2104" t="str">
        <f>IF(T7&gt;85,("4"),IF(T7&gt;80,("3.66"),IF(T7&gt;75,("3.33"),IF(T7&gt;70,("3.00"),IF(T7&gt;65,("2.66"),IF(T7&gt;60,("2.33"),IF(T7&gt;55,("2"),IF(T7&gt;50,("1.66"),"1.33"))))))))</f>
        <v>3.00</v>
      </c>
      <c r="V7" s="2104" t="str">
        <f>IF(T7&gt;85,("A"),IF(T7&gt;80,("A-"),IF(T7&gt;75,("B+"),IF(T7&gt;70,("B"),IF(T7&gt;65,("B-"),IF(T7&gt;60,("C+"),IF(T7&gt;55,("C"),IF(T7&gt;50,("C-"),"D+"))))))))</f>
        <v>B</v>
      </c>
      <c r="W7" s="2104" t="str">
        <f>IF(T7&gt;80,("SB"),IF(T7&gt;65,("B"),IF(T7&gt;50,("C"),IF(T7&gt;0,("K"),"0"))))</f>
        <v>B</v>
      </c>
      <c r="X7" s="1602"/>
      <c r="Y7" s="1602"/>
      <c r="Z7" s="1602">
        <v>4</v>
      </c>
      <c r="AA7" s="1602"/>
      <c r="AB7" s="1602"/>
      <c r="AC7" s="1603">
        <v>3</v>
      </c>
      <c r="AD7" s="1604"/>
      <c r="AE7" s="1604"/>
      <c r="AF7" s="1604"/>
      <c r="AG7" s="1604"/>
      <c r="AH7" s="1928">
        <f>AVERAGE(T7:T11)</f>
        <v>76.199999999999989</v>
      </c>
      <c r="AI7" s="2105" t="str">
        <f>IF(AH7&gt;85,("A"),IF(AH7&gt;80,("A-"),IF(AH7&gt;75,("B+"),IF(AH7&gt;70,("B"),IF(AH7&gt;65,("B-"),IF(AH7&gt;60,("C+"),IF(AH7&gt;55,("C"),IF(AH7&gt;50,("C-"),"D+"))))))))</f>
        <v>B+</v>
      </c>
    </row>
    <row r="8" spans="1:35" ht="24.95" customHeight="1" x14ac:dyDescent="0.25">
      <c r="A8" s="1478"/>
      <c r="B8" s="1580"/>
      <c r="C8" s="1581"/>
      <c r="D8" s="1579" t="s">
        <v>9</v>
      </c>
      <c r="E8" s="1385">
        <v>75</v>
      </c>
      <c r="F8" s="1385">
        <v>78</v>
      </c>
      <c r="G8" s="1385">
        <v>78</v>
      </c>
      <c r="H8" s="2101"/>
      <c r="I8" s="2101"/>
      <c r="J8" s="2101"/>
      <c r="K8" s="1385"/>
      <c r="L8" s="1385"/>
      <c r="M8" s="1385"/>
      <c r="N8" s="2100">
        <v>65</v>
      </c>
      <c r="O8" s="2100">
        <v>67</v>
      </c>
      <c r="P8" s="2100">
        <v>81</v>
      </c>
      <c r="Q8" s="1077">
        <f t="shared" ref="Q8:Q9" si="1">MAX(E8,H8,K8,N8)</f>
        <v>75</v>
      </c>
      <c r="R8" s="2126">
        <f t="shared" si="0"/>
        <v>78</v>
      </c>
      <c r="S8" s="2127">
        <f t="shared" si="0"/>
        <v>81</v>
      </c>
      <c r="T8" s="853">
        <f t="shared" ref="T8:T9" si="2">IFERROR(AVERAGE(Q8:S8),"")</f>
        <v>78</v>
      </c>
      <c r="U8" s="2081" t="str">
        <f t="shared" ref="U8:U11" si="3">IF(T8&gt;85,("4"),IF(T8&gt;80,("3.66"),IF(T8&gt;75,("3.33"),IF(T8&gt;70,("3.00"),IF(T8&gt;65,("2.66"),IF(T8&gt;60,("2.33"),IF(T8&gt;55,("2"),IF(T8&gt;50,("1.66"),"1.33"))))))))</f>
        <v>3.33</v>
      </c>
      <c r="V8" s="2081" t="str">
        <f t="shared" ref="V8:V11" si="4">IF(T8&gt;85,("A"),IF(T8&gt;80,("A-"),IF(T8&gt;75,("B+"),IF(T8&gt;70,("B"),IF(T8&gt;65,("B-"),IF(T8&gt;60,("C+"),IF(T8&gt;55,("C"),IF(T8&gt;50,("C-"),"D+"))))))))</f>
        <v>B+</v>
      </c>
      <c r="W8" s="2081" t="str">
        <f t="shared" ref="W8:W11" si="5">IF(T8&gt;80,("SB"),IF(T8&gt;65,("B"),IF(T8&gt;50,("C"),IF(T8&gt;0,("K"),"0"))))</f>
        <v>B</v>
      </c>
      <c r="X8" s="1582"/>
      <c r="Y8" s="1583"/>
      <c r="Z8" s="1583"/>
      <c r="AA8" s="1583"/>
      <c r="AB8" s="1583"/>
      <c r="AC8" s="1584"/>
      <c r="AD8" s="1585"/>
      <c r="AE8" s="1585"/>
      <c r="AF8" s="1585"/>
      <c r="AG8" s="1586"/>
      <c r="AH8" s="1411"/>
      <c r="AI8" s="1412"/>
    </row>
    <row r="9" spans="1:35" ht="24.95" customHeight="1" x14ac:dyDescent="0.25">
      <c r="A9" s="1478"/>
      <c r="B9" s="1580"/>
      <c r="C9" s="1581"/>
      <c r="D9" s="1579" t="s">
        <v>11</v>
      </c>
      <c r="E9" s="1385"/>
      <c r="F9" s="1385"/>
      <c r="G9" s="1385"/>
      <c r="H9" s="2101">
        <v>65</v>
      </c>
      <c r="I9" s="2101">
        <v>69</v>
      </c>
      <c r="J9" s="2101">
        <v>75</v>
      </c>
      <c r="K9" s="1385">
        <v>76</v>
      </c>
      <c r="L9" s="1385">
        <v>70</v>
      </c>
      <c r="M9" s="1385">
        <v>80</v>
      </c>
      <c r="N9" s="2100">
        <v>87</v>
      </c>
      <c r="O9" s="2100">
        <v>80</v>
      </c>
      <c r="P9" s="2100">
        <v>69</v>
      </c>
      <c r="Q9" s="1077">
        <f t="shared" si="1"/>
        <v>87</v>
      </c>
      <c r="R9" s="2126">
        <f t="shared" si="0"/>
        <v>80</v>
      </c>
      <c r="S9" s="2127">
        <f t="shared" si="0"/>
        <v>80</v>
      </c>
      <c r="T9" s="853">
        <f t="shared" si="2"/>
        <v>82.333333333333329</v>
      </c>
      <c r="U9" s="2081" t="str">
        <f t="shared" si="3"/>
        <v>3.66</v>
      </c>
      <c r="V9" s="2081" t="str">
        <f t="shared" si="4"/>
        <v>A-</v>
      </c>
      <c r="W9" s="2081" t="str">
        <f t="shared" si="5"/>
        <v>SB</v>
      </c>
      <c r="X9" s="1587"/>
      <c r="Y9" s="1588"/>
      <c r="Z9" s="1588"/>
      <c r="AA9" s="1588"/>
      <c r="AB9" s="1588"/>
      <c r="AC9" s="1589"/>
      <c r="AD9" s="1590"/>
      <c r="AE9" s="1590"/>
      <c r="AF9" s="1590"/>
      <c r="AG9" s="1591"/>
      <c r="AH9" s="1413"/>
      <c r="AI9" s="1414"/>
    </row>
    <row r="10" spans="1:35" ht="24.95" customHeight="1" x14ac:dyDescent="0.25">
      <c r="A10" s="1478"/>
      <c r="B10" s="1580"/>
      <c r="C10" s="1581"/>
      <c r="D10" s="1579" t="s">
        <v>16</v>
      </c>
      <c r="E10" s="1385"/>
      <c r="F10" s="1385"/>
      <c r="G10" s="1385"/>
      <c r="H10" s="2101">
        <v>67</v>
      </c>
      <c r="I10" s="2101">
        <v>87</v>
      </c>
      <c r="J10" s="2101">
        <v>63</v>
      </c>
      <c r="K10" s="1385"/>
      <c r="L10" s="1385"/>
      <c r="M10" s="1385"/>
      <c r="N10" s="2100"/>
      <c r="O10" s="2100"/>
      <c r="P10" s="2100"/>
      <c r="Q10" s="1077">
        <f>MAX(E10,H10,K10,N10)</f>
        <v>67</v>
      </c>
      <c r="R10" s="2126">
        <f t="shared" ref="R10:R11" si="6">MAX(F10,I10,L10,O10)</f>
        <v>87</v>
      </c>
      <c r="S10" s="2127">
        <f t="shared" ref="S10:S11" si="7">MAX(G10,J10,M10,P10)</f>
        <v>63</v>
      </c>
      <c r="T10" s="853">
        <f>IFERROR(AVERAGE(Q10:S10),"")</f>
        <v>72.333333333333329</v>
      </c>
      <c r="U10" s="2081" t="str">
        <f t="shared" si="3"/>
        <v>3.00</v>
      </c>
      <c r="V10" s="2081" t="str">
        <f t="shared" si="4"/>
        <v>B</v>
      </c>
      <c r="W10" s="2081" t="str">
        <f t="shared" si="5"/>
        <v>B</v>
      </c>
      <c r="X10" s="1587"/>
      <c r="Y10" s="1588"/>
      <c r="Z10" s="1588"/>
      <c r="AA10" s="1588"/>
      <c r="AB10" s="1588"/>
      <c r="AC10" s="1589"/>
      <c r="AD10" s="1590"/>
      <c r="AE10" s="1590"/>
      <c r="AF10" s="1590"/>
      <c r="AG10" s="1591"/>
      <c r="AH10" s="1413"/>
      <c r="AI10" s="1414"/>
    </row>
    <row r="11" spans="1:35" ht="24.95" customHeight="1" x14ac:dyDescent="0.25">
      <c r="A11" s="1478"/>
      <c r="B11" s="1580"/>
      <c r="C11" s="1581"/>
      <c r="D11" s="1579" t="s">
        <v>189</v>
      </c>
      <c r="E11" s="1385">
        <v>73</v>
      </c>
      <c r="F11" s="1385">
        <v>67</v>
      </c>
      <c r="G11" s="1385">
        <v>65</v>
      </c>
      <c r="H11" s="2101"/>
      <c r="I11" s="2101"/>
      <c r="J11" s="2101"/>
      <c r="K11" s="1385">
        <v>73</v>
      </c>
      <c r="L11" s="1385">
        <v>82</v>
      </c>
      <c r="M11" s="1385">
        <v>73</v>
      </c>
      <c r="N11" s="2100"/>
      <c r="O11" s="2100"/>
      <c r="P11" s="2100"/>
      <c r="Q11" s="1077">
        <f t="shared" ref="Q11" si="8">MAX(E11,H11,K11,N11)</f>
        <v>73</v>
      </c>
      <c r="R11" s="2126">
        <f t="shared" si="6"/>
        <v>82</v>
      </c>
      <c r="S11" s="2127">
        <f t="shared" si="7"/>
        <v>73</v>
      </c>
      <c r="T11" s="853">
        <f>IFERROR(AVERAGE(Q11:S11),"")</f>
        <v>76</v>
      </c>
      <c r="U11" s="2081" t="str">
        <f t="shared" si="3"/>
        <v>3.33</v>
      </c>
      <c r="V11" s="2081" t="str">
        <f t="shared" si="4"/>
        <v>B+</v>
      </c>
      <c r="W11" s="2081" t="str">
        <f t="shared" si="5"/>
        <v>B</v>
      </c>
      <c r="X11" s="1587"/>
      <c r="Y11" s="1588"/>
      <c r="Z11" s="1588"/>
      <c r="AA11" s="1588"/>
      <c r="AB11" s="1588"/>
      <c r="AC11" s="1589"/>
      <c r="AD11" s="1590"/>
      <c r="AE11" s="1590"/>
      <c r="AF11" s="1590"/>
      <c r="AG11" s="1591"/>
      <c r="AH11" s="1413"/>
      <c r="AI11" s="1414"/>
    </row>
    <row r="12" spans="1:35" s="1601" customFormat="1" ht="24.95" customHeight="1" x14ac:dyDescent="0.25">
      <c r="A12" s="1592"/>
      <c r="B12" s="1592">
        <v>1</v>
      </c>
      <c r="C12" s="1593" t="s">
        <v>167</v>
      </c>
      <c r="D12" s="1594"/>
      <c r="E12" s="2878"/>
      <c r="F12" s="2879"/>
      <c r="G12" s="2879"/>
      <c r="H12" s="2879"/>
      <c r="I12" s="2079"/>
      <c r="J12" s="2079"/>
      <c r="K12" s="2079"/>
      <c r="L12" s="2079"/>
      <c r="M12" s="2079"/>
      <c r="N12" s="2079"/>
      <c r="O12" s="2079"/>
      <c r="P12" s="2079"/>
      <c r="Q12" s="2162"/>
      <c r="R12" s="2162"/>
      <c r="S12" s="2162"/>
      <c r="T12" s="1942">
        <f>IFERROR(AVERAGE(T7:T11),"  ")</f>
        <v>76.199999999999989</v>
      </c>
      <c r="U12" s="1619" t="str">
        <f>IF(T12&gt;85,("4"),IF(T12&gt;80,("3.66"),IF(T12&gt;75,("3.33"),IF(T12&gt;70,("3.00"),IF(T12&gt;65,("2.66"),IF(T12&gt;60,("2.33"),IF(T12&gt;55,("2"),IF(T12&gt;50,("1.66"),"1.33"))))))))</f>
        <v>3.33</v>
      </c>
      <c r="V12" s="1619" t="str">
        <f>IF(T12&gt;85,("A"),IF(T12&gt;80,("A-"),IF(T12&gt;75,("B+"),IF(T12&gt;70,("B"),IF(T12&gt;65,("B-"),IF(T12&gt;60,("C+"),IF(T12&gt;55,("C"),IF(T12&gt;50,("C-"),"D+"))))))))</f>
        <v>B+</v>
      </c>
      <c r="W12" s="1619"/>
      <c r="X12" s="1595"/>
      <c r="Y12" s="1596"/>
      <c r="Z12" s="1596"/>
      <c r="AA12" s="1596"/>
      <c r="AB12" s="1596"/>
      <c r="AC12" s="1597"/>
      <c r="AD12" s="1596"/>
      <c r="AE12" s="1596"/>
      <c r="AF12" s="1596"/>
      <c r="AG12" s="1598"/>
      <c r="AH12" s="1841"/>
      <c r="AI12" s="1620"/>
    </row>
    <row r="13" spans="1:35" ht="24.95" customHeight="1" x14ac:dyDescent="0.25">
      <c r="A13" s="1477">
        <v>2</v>
      </c>
      <c r="B13" s="1577"/>
      <c r="C13" s="1578" t="str">
        <f>VLOOKUP(A13,data_siswa,4,FALSE)</f>
        <v>Angelia Vabel R</v>
      </c>
      <c r="D13" s="1579" t="s">
        <v>155</v>
      </c>
      <c r="E13" s="1672">
        <v>0</v>
      </c>
      <c r="F13" s="1672">
        <v>0</v>
      </c>
      <c r="G13" s="1672">
        <v>0</v>
      </c>
      <c r="H13" s="2027"/>
      <c r="I13" s="2027"/>
      <c r="J13" s="2027"/>
      <c r="K13" s="1672"/>
      <c r="L13" s="1672"/>
      <c r="M13" s="1672"/>
      <c r="N13" s="2103"/>
      <c r="O13" s="2103"/>
      <c r="P13" s="2103"/>
      <c r="Q13" s="1077">
        <f>MAX(E13,H13,K13,N13)</f>
        <v>0</v>
      </c>
      <c r="R13" s="2126">
        <f t="shared" ref="R13:R17" si="9">MAX(F13,I13,L13,O13)</f>
        <v>0</v>
      </c>
      <c r="S13" s="2127">
        <f t="shared" ref="S13:S17" si="10">MAX(G13,J13,M13,P13)</f>
        <v>0</v>
      </c>
      <c r="T13" s="853">
        <f>IFERROR(AVERAGE(Q13:S13),"")</f>
        <v>0</v>
      </c>
      <c r="U13" s="2081" t="str">
        <f>IF(T13&gt;85,("4"),IF(T13&gt;80,("3.66"),IF(T13&gt;75,("3.33"),IF(T13&gt;70,("3.00"),IF(T13&gt;65,("2.66"),IF(T13&gt;60,("2.33"),IF(T13&gt;55,("2"),IF(T13&gt;50,("1.66"),"1.33"))))))))</f>
        <v>1.33</v>
      </c>
      <c r="V13" s="2081" t="str">
        <f>IF(T13&gt;85,("A"),IF(T13&gt;80,("A-"),IF(T13&gt;75,("B+"),IF(T13&gt;70,("B"),IF(T13&gt;65,("B-"),IF(T13&gt;60,("C+"),IF(T13&gt;55,("C"),IF(T13&gt;50,("C-"),"D+"))))))))</f>
        <v>D+</v>
      </c>
      <c r="W13" s="2081" t="str">
        <f>IF(T13&gt;80,("SB"),IF(T13&gt;65,("B"),IF(T13&gt;50,("C"),IF(T13&gt;0,("K"),"0"))))</f>
        <v>0</v>
      </c>
      <c r="X13" s="1602"/>
      <c r="Y13" s="1602"/>
      <c r="Z13" s="1602"/>
      <c r="AA13" s="1602"/>
      <c r="AB13" s="1602"/>
      <c r="AC13" s="1603"/>
      <c r="AD13" s="1604"/>
      <c r="AE13" s="1604"/>
      <c r="AF13" s="1604"/>
      <c r="AG13" s="1604"/>
      <c r="AH13" s="1929">
        <f>AVERAGE(T13:T17)</f>
        <v>0</v>
      </c>
      <c r="AI13" s="1945" t="str">
        <f>IF(AH13&gt;85,("A"),IF(AH13&gt;80,("A-"),IF(AH13&gt;75,("B+"),IF(AH13&gt;70,("B"),IF(AH13&gt;65,("B-"),IF(AH13&gt;60,("C+"),IF(AH13&gt;55,("C"),IF(AH13&gt;50,("C-"),"D+"))))))))</f>
        <v>D+</v>
      </c>
    </row>
    <row r="14" spans="1:35" ht="24.95" customHeight="1" x14ac:dyDescent="0.25">
      <c r="A14" s="1478"/>
      <c r="B14" s="1580"/>
      <c r="C14" s="1581"/>
      <c r="D14" s="1579" t="s">
        <v>9</v>
      </c>
      <c r="E14" s="1385">
        <v>0</v>
      </c>
      <c r="F14" s="1385">
        <v>0</v>
      </c>
      <c r="G14" s="1385">
        <v>0</v>
      </c>
      <c r="H14" s="2101"/>
      <c r="I14" s="2101"/>
      <c r="J14" s="2101"/>
      <c r="K14" s="1385"/>
      <c r="L14" s="1385"/>
      <c r="M14" s="1385"/>
      <c r="N14" s="2100">
        <v>0</v>
      </c>
      <c r="O14" s="2100">
        <v>0</v>
      </c>
      <c r="P14" s="2100">
        <v>0</v>
      </c>
      <c r="Q14" s="1077">
        <f t="shared" ref="Q14:Q15" si="11">MAX(E14,H14,K14,N14)</f>
        <v>0</v>
      </c>
      <c r="R14" s="2126">
        <f t="shared" si="9"/>
        <v>0</v>
      </c>
      <c r="S14" s="2127">
        <f t="shared" si="10"/>
        <v>0</v>
      </c>
      <c r="T14" s="853">
        <f t="shared" ref="T14:T15" si="12">IFERROR(AVERAGE(Q14:S14),"")</f>
        <v>0</v>
      </c>
      <c r="U14" s="2081" t="str">
        <f t="shared" ref="U14:U17" si="13">IF(T14&gt;85,("4"),IF(T14&gt;80,("3.66"),IF(T14&gt;75,("3.33"),IF(T14&gt;70,("3.00"),IF(T14&gt;65,("2.66"),IF(T14&gt;60,("2.33"),IF(T14&gt;55,("2"),IF(T14&gt;50,("1.66"),"1.33"))))))))</f>
        <v>1.33</v>
      </c>
      <c r="V14" s="2081" t="str">
        <f t="shared" ref="V14:V17" si="14">IF(T14&gt;85,("A"),IF(T14&gt;80,("A-"),IF(T14&gt;75,("B+"),IF(T14&gt;70,("B"),IF(T14&gt;65,("B-"),IF(T14&gt;60,("C+"),IF(T14&gt;55,("C"),IF(T14&gt;50,("C-"),"D+"))))))))</f>
        <v>D+</v>
      </c>
      <c r="W14" s="2081" t="str">
        <f t="shared" ref="W14:W17" si="15">IF(T14&gt;80,("SB"),IF(T14&gt;65,("B"),IF(T14&gt;50,("C"),IF(T14&gt;0,("K"),"0"))))</f>
        <v>0</v>
      </c>
      <c r="X14" s="1582"/>
      <c r="Y14" s="1583"/>
      <c r="Z14" s="1583"/>
      <c r="AA14" s="1583"/>
      <c r="AB14" s="1583"/>
      <c r="AC14" s="1584"/>
      <c r="AD14" s="1585"/>
      <c r="AE14" s="1585"/>
      <c r="AF14" s="1585"/>
      <c r="AG14" s="1586"/>
      <c r="AH14" s="1411"/>
      <c r="AI14" s="1412"/>
    </row>
    <row r="15" spans="1:35" ht="24.95" customHeight="1" x14ac:dyDescent="0.25">
      <c r="A15" s="1478"/>
      <c r="B15" s="1580"/>
      <c r="C15" s="1581"/>
      <c r="D15" s="1579" t="s">
        <v>11</v>
      </c>
      <c r="E15" s="1385"/>
      <c r="F15" s="1385"/>
      <c r="G15" s="1385"/>
      <c r="H15" s="2101">
        <v>0</v>
      </c>
      <c r="I15" s="2101">
        <v>0</v>
      </c>
      <c r="J15" s="2101">
        <v>0</v>
      </c>
      <c r="K15" s="1385">
        <v>0</v>
      </c>
      <c r="L15" s="1385">
        <v>0</v>
      </c>
      <c r="M15" s="1385">
        <v>0</v>
      </c>
      <c r="N15" s="2100">
        <v>0</v>
      </c>
      <c r="O15" s="2100">
        <v>0</v>
      </c>
      <c r="P15" s="2100">
        <v>0</v>
      </c>
      <c r="Q15" s="1077">
        <f t="shared" si="11"/>
        <v>0</v>
      </c>
      <c r="R15" s="2126">
        <f t="shared" si="9"/>
        <v>0</v>
      </c>
      <c r="S15" s="2127">
        <f t="shared" si="10"/>
        <v>0</v>
      </c>
      <c r="T15" s="853">
        <f t="shared" si="12"/>
        <v>0</v>
      </c>
      <c r="U15" s="2081" t="str">
        <f t="shared" si="13"/>
        <v>1.33</v>
      </c>
      <c r="V15" s="2081" t="str">
        <f t="shared" si="14"/>
        <v>D+</v>
      </c>
      <c r="W15" s="2081" t="str">
        <f t="shared" si="15"/>
        <v>0</v>
      </c>
      <c r="X15" s="1587"/>
      <c r="Y15" s="1588"/>
      <c r="Z15" s="1588"/>
      <c r="AA15" s="1588"/>
      <c r="AB15" s="1588"/>
      <c r="AC15" s="1589"/>
      <c r="AD15" s="1590"/>
      <c r="AE15" s="1590"/>
      <c r="AF15" s="1590"/>
      <c r="AG15" s="1591"/>
      <c r="AH15" s="1413"/>
      <c r="AI15" s="1414"/>
    </row>
    <row r="16" spans="1:35" ht="24.95" customHeight="1" x14ac:dyDescent="0.25">
      <c r="A16" s="1478"/>
      <c r="B16" s="1580"/>
      <c r="C16" s="1581"/>
      <c r="D16" s="1579" t="s">
        <v>16</v>
      </c>
      <c r="E16" s="1385"/>
      <c r="F16" s="1385"/>
      <c r="G16" s="1385"/>
      <c r="H16" s="2101">
        <v>0</v>
      </c>
      <c r="I16" s="2101">
        <v>0</v>
      </c>
      <c r="J16" s="2101">
        <v>0</v>
      </c>
      <c r="K16" s="1385"/>
      <c r="L16" s="1385"/>
      <c r="M16" s="1385"/>
      <c r="N16" s="2100"/>
      <c r="O16" s="2100"/>
      <c r="P16" s="2100"/>
      <c r="Q16" s="1077">
        <f>MAX(E16,H16,K16,N16)</f>
        <v>0</v>
      </c>
      <c r="R16" s="2126">
        <f t="shared" si="9"/>
        <v>0</v>
      </c>
      <c r="S16" s="2127">
        <f t="shared" si="10"/>
        <v>0</v>
      </c>
      <c r="T16" s="853">
        <f>IFERROR(AVERAGE(Q16:S16),"")</f>
        <v>0</v>
      </c>
      <c r="U16" s="2081" t="str">
        <f t="shared" si="13"/>
        <v>1.33</v>
      </c>
      <c r="V16" s="2081" t="str">
        <f t="shared" si="14"/>
        <v>D+</v>
      </c>
      <c r="W16" s="2081" t="str">
        <f t="shared" si="15"/>
        <v>0</v>
      </c>
      <c r="X16" s="1587"/>
      <c r="Y16" s="1588"/>
      <c r="Z16" s="1588"/>
      <c r="AA16" s="1588"/>
      <c r="AB16" s="1588"/>
      <c r="AC16" s="1589"/>
      <c r="AD16" s="1590"/>
      <c r="AE16" s="1590"/>
      <c r="AF16" s="1590"/>
      <c r="AG16" s="1591"/>
      <c r="AH16" s="1413"/>
      <c r="AI16" s="1414"/>
    </row>
    <row r="17" spans="1:35" ht="24.95" customHeight="1" x14ac:dyDescent="0.25">
      <c r="A17" s="1478"/>
      <c r="B17" s="1580"/>
      <c r="C17" s="1581"/>
      <c r="D17" s="1579" t="s">
        <v>189</v>
      </c>
      <c r="E17" s="1385">
        <v>0</v>
      </c>
      <c r="F17" s="1385">
        <v>0</v>
      </c>
      <c r="G17" s="1385">
        <v>0</v>
      </c>
      <c r="H17" s="2101"/>
      <c r="I17" s="2101"/>
      <c r="J17" s="2101"/>
      <c r="K17" s="1385">
        <v>0</v>
      </c>
      <c r="L17" s="1385">
        <v>0</v>
      </c>
      <c r="M17" s="1385">
        <v>0</v>
      </c>
      <c r="N17" s="2100"/>
      <c r="O17" s="2100"/>
      <c r="P17" s="2100"/>
      <c r="Q17" s="1077">
        <f t="shared" ref="Q17" si="16">MAX(E17,H17,K17,N17)</f>
        <v>0</v>
      </c>
      <c r="R17" s="2126">
        <f t="shared" si="9"/>
        <v>0</v>
      </c>
      <c r="S17" s="2127">
        <f t="shared" si="10"/>
        <v>0</v>
      </c>
      <c r="T17" s="853">
        <f>IFERROR(AVERAGE(Q17:S17),"")</f>
        <v>0</v>
      </c>
      <c r="U17" s="2081" t="str">
        <f t="shared" si="13"/>
        <v>1.33</v>
      </c>
      <c r="V17" s="2081" t="str">
        <f t="shared" si="14"/>
        <v>D+</v>
      </c>
      <c r="W17" s="2081" t="str">
        <f t="shared" si="15"/>
        <v>0</v>
      </c>
      <c r="X17" s="1587"/>
      <c r="Y17" s="1588"/>
      <c r="Z17" s="1588"/>
      <c r="AA17" s="1588"/>
      <c r="AB17" s="1588"/>
      <c r="AC17" s="1589"/>
      <c r="AD17" s="1590"/>
      <c r="AE17" s="1590"/>
      <c r="AF17" s="1590"/>
      <c r="AG17" s="1591"/>
      <c r="AH17" s="1413"/>
      <c r="AI17" s="1414"/>
    </row>
    <row r="18" spans="1:35" ht="24.95" customHeight="1" x14ac:dyDescent="0.25">
      <c r="A18" s="1592"/>
      <c r="B18" s="1592">
        <v>2</v>
      </c>
      <c r="C18" s="1593" t="s">
        <v>167</v>
      </c>
      <c r="D18" s="1594"/>
      <c r="E18" s="2878"/>
      <c r="F18" s="2879"/>
      <c r="G18" s="2879"/>
      <c r="H18" s="2879"/>
      <c r="I18" s="2079"/>
      <c r="J18" s="2079"/>
      <c r="K18" s="2079"/>
      <c r="L18" s="2079"/>
      <c r="M18" s="2079"/>
      <c r="N18" s="2079"/>
      <c r="O18" s="2079"/>
      <c r="P18" s="2079"/>
      <c r="Q18" s="2162"/>
      <c r="R18" s="2162"/>
      <c r="S18" s="2162"/>
      <c r="T18" s="1942">
        <f>IFERROR(AVERAGE(T13:T17),"  ")</f>
        <v>0</v>
      </c>
      <c r="U18" s="1619" t="str">
        <f>IF(T18&gt;85,("4"),IF(T18&gt;80,("3.66"),IF(T18&gt;75,("3.33"),IF(T18&gt;70,("3.00"),IF(T18&gt;65,("2.66"),IF(T18&gt;60,("2.33"),IF(T18&gt;55,("2"),IF(T18&gt;50,("1.66"),"1.33"))))))))</f>
        <v>1.33</v>
      </c>
      <c r="V18" s="1619" t="str">
        <f>IF(T18&gt;85,("A"),IF(T18&gt;80,("A-"),IF(T18&gt;75,("B+"),IF(T18&gt;70,("B"),IF(T18&gt;65,("B-"),IF(T18&gt;60,("C+"),IF(T18&gt;55,("C"),IF(T18&gt;50,("C-"),"D+"))))))))</f>
        <v>D+</v>
      </c>
      <c r="W18" s="1619"/>
      <c r="X18" s="1605"/>
      <c r="Y18" s="1606"/>
      <c r="Z18" s="1606"/>
      <c r="AA18" s="1606"/>
      <c r="AB18" s="1606"/>
      <c r="AC18" s="1607"/>
      <c r="AD18" s="1606"/>
      <c r="AE18" s="1606"/>
      <c r="AF18" s="1606"/>
      <c r="AG18" s="1608"/>
      <c r="AH18" s="1841"/>
      <c r="AI18" s="1620"/>
    </row>
    <row r="19" spans="1:35" ht="24.95" customHeight="1" x14ac:dyDescent="0.25">
      <c r="A19" s="1477">
        <v>3</v>
      </c>
      <c r="B19" s="1577"/>
      <c r="C19" s="1578" t="str">
        <f>VLOOKUP(A19,data_siswa,4,FALSE)</f>
        <v>Anggun Dwi P.I</v>
      </c>
      <c r="D19" s="1579" t="s">
        <v>155</v>
      </c>
      <c r="E19" s="1672">
        <v>0</v>
      </c>
      <c r="F19" s="1672">
        <v>0</v>
      </c>
      <c r="G19" s="1672">
        <v>0</v>
      </c>
      <c r="H19" s="2027"/>
      <c r="I19" s="2027"/>
      <c r="J19" s="2027"/>
      <c r="K19" s="1672"/>
      <c r="L19" s="1672"/>
      <c r="M19" s="1672"/>
      <c r="N19" s="2103"/>
      <c r="O19" s="2103"/>
      <c r="P19" s="2103"/>
      <c r="Q19" s="1077">
        <f>MAX(E19,H19,K19,N19)</f>
        <v>0</v>
      </c>
      <c r="R19" s="2126">
        <f t="shared" ref="R19:R23" si="17">MAX(F19,I19,L19,O19)</f>
        <v>0</v>
      </c>
      <c r="S19" s="2127">
        <f t="shared" ref="S19:S23" si="18">MAX(G19,J19,M19,P19)</f>
        <v>0</v>
      </c>
      <c r="T19" s="853">
        <f>IFERROR(AVERAGE(Q19:S19),"")</f>
        <v>0</v>
      </c>
      <c r="U19" s="2081" t="str">
        <f>IF(T19&gt;85,("4"),IF(T19&gt;80,("3.66"),IF(T19&gt;75,("3.33"),IF(T19&gt;70,("3.00"),IF(T19&gt;65,("2.66"),IF(T19&gt;60,("2.33"),IF(T19&gt;55,("2"),IF(T19&gt;50,("1.66"),"1.33"))))))))</f>
        <v>1.33</v>
      </c>
      <c r="V19" s="2081" t="str">
        <f>IF(T19&gt;85,("A"),IF(T19&gt;80,("A-"),IF(T19&gt;75,("B+"),IF(T19&gt;70,("B"),IF(T19&gt;65,("B-"),IF(T19&gt;60,("C+"),IF(T19&gt;55,("C"),IF(T19&gt;50,("C-"),"D+"))))))))</f>
        <v>D+</v>
      </c>
      <c r="W19" s="2081" t="str">
        <f>IF(T19&gt;80,("SB"),IF(T19&gt;65,("B"),IF(T19&gt;50,("C"),IF(T19&gt;0,("K"),"0"))))</f>
        <v>0</v>
      </c>
      <c r="X19" s="1609"/>
      <c r="Y19" s="1609"/>
      <c r="Z19" s="1609"/>
      <c r="AA19" s="1609"/>
      <c r="AB19" s="1609"/>
      <c r="AC19" s="1610"/>
      <c r="AD19" s="1611"/>
      <c r="AE19" s="1611"/>
      <c r="AF19" s="1611"/>
      <c r="AG19" s="1611"/>
      <c r="AH19" s="1929">
        <f>AVERAGE(T19:T23)</f>
        <v>0</v>
      </c>
      <c r="AI19" s="1945" t="str">
        <f>IF(AH19&gt;85,("A"),IF(AH19&gt;80,("A-"),IF(AH19&gt;75,("B+"),IF(AH19&gt;70,("B"),IF(AH19&gt;65,("B-"),IF(AH19&gt;60,("C+"),IF(AH19&gt;55,("C"),IF(AH19&gt;50,("C-"),"D+"))))))))</f>
        <v>D+</v>
      </c>
    </row>
    <row r="20" spans="1:35" ht="24.95" customHeight="1" x14ac:dyDescent="0.25">
      <c r="A20" s="1478"/>
      <c r="B20" s="1580"/>
      <c r="C20" s="1581"/>
      <c r="D20" s="1579" t="s">
        <v>9</v>
      </c>
      <c r="E20" s="1385">
        <v>0</v>
      </c>
      <c r="F20" s="1385">
        <v>0</v>
      </c>
      <c r="G20" s="1385">
        <v>0</v>
      </c>
      <c r="H20" s="2101"/>
      <c r="I20" s="2101"/>
      <c r="J20" s="2101"/>
      <c r="K20" s="1385"/>
      <c r="L20" s="1385"/>
      <c r="M20" s="1385"/>
      <c r="N20" s="2100">
        <v>0</v>
      </c>
      <c r="O20" s="2100">
        <v>0</v>
      </c>
      <c r="P20" s="2100">
        <v>0</v>
      </c>
      <c r="Q20" s="1077">
        <f t="shared" ref="Q20:Q21" si="19">MAX(E20,H20,K20,N20)</f>
        <v>0</v>
      </c>
      <c r="R20" s="2126">
        <f t="shared" si="17"/>
        <v>0</v>
      </c>
      <c r="S20" s="2127">
        <f t="shared" si="18"/>
        <v>0</v>
      </c>
      <c r="T20" s="853">
        <f t="shared" ref="T20:T21" si="20">IFERROR(AVERAGE(Q20:S20),"")</f>
        <v>0</v>
      </c>
      <c r="U20" s="2081" t="str">
        <f t="shared" ref="U20:U23" si="21">IF(T20&gt;85,("4"),IF(T20&gt;80,("3.66"),IF(T20&gt;75,("3.33"),IF(T20&gt;70,("3.00"),IF(T20&gt;65,("2.66"),IF(T20&gt;60,("2.33"),IF(T20&gt;55,("2"),IF(T20&gt;50,("1.66"),"1.33"))))))))</f>
        <v>1.33</v>
      </c>
      <c r="V20" s="2081" t="str">
        <f t="shared" ref="V20:V23" si="22">IF(T20&gt;85,("A"),IF(T20&gt;80,("A-"),IF(T20&gt;75,("B+"),IF(T20&gt;70,("B"),IF(T20&gt;65,("B-"),IF(T20&gt;60,("C+"),IF(T20&gt;55,("C"),IF(T20&gt;50,("C-"),"D+"))))))))</f>
        <v>D+</v>
      </c>
      <c r="W20" s="2081" t="str">
        <f t="shared" ref="W20:W23" si="23">IF(T20&gt;80,("SB"),IF(T20&gt;65,("B"),IF(T20&gt;50,("C"),IF(T20&gt;0,("K"),"0"))))</f>
        <v>0</v>
      </c>
      <c r="X20" s="1582"/>
      <c r="Y20" s="1583"/>
      <c r="Z20" s="1583"/>
      <c r="AA20" s="1583"/>
      <c r="AB20" s="1583"/>
      <c r="AC20" s="1584"/>
      <c r="AD20" s="1585"/>
      <c r="AE20" s="1585"/>
      <c r="AF20" s="1585"/>
      <c r="AG20" s="1586"/>
      <c r="AH20" s="1411"/>
      <c r="AI20" s="1412"/>
    </row>
    <row r="21" spans="1:35" ht="24.95" customHeight="1" x14ac:dyDescent="0.25">
      <c r="A21" s="1478"/>
      <c r="B21" s="1580"/>
      <c r="C21" s="1581"/>
      <c r="D21" s="1579" t="s">
        <v>11</v>
      </c>
      <c r="E21" s="1385"/>
      <c r="F21" s="1385"/>
      <c r="G21" s="1385"/>
      <c r="H21" s="2101">
        <v>0</v>
      </c>
      <c r="I21" s="2101">
        <v>0</v>
      </c>
      <c r="J21" s="2101">
        <v>0</v>
      </c>
      <c r="K21" s="1385">
        <v>0</v>
      </c>
      <c r="L21" s="1385">
        <v>0</v>
      </c>
      <c r="M21" s="1385">
        <v>0</v>
      </c>
      <c r="N21" s="2100">
        <v>0</v>
      </c>
      <c r="O21" s="2100">
        <v>0</v>
      </c>
      <c r="P21" s="2100">
        <v>0</v>
      </c>
      <c r="Q21" s="1077">
        <f t="shared" si="19"/>
        <v>0</v>
      </c>
      <c r="R21" s="2126">
        <f t="shared" si="17"/>
        <v>0</v>
      </c>
      <c r="S21" s="2127">
        <f t="shared" si="18"/>
        <v>0</v>
      </c>
      <c r="T21" s="853">
        <f t="shared" si="20"/>
        <v>0</v>
      </c>
      <c r="U21" s="2081" t="str">
        <f t="shared" si="21"/>
        <v>1.33</v>
      </c>
      <c r="V21" s="2081" t="str">
        <f t="shared" si="22"/>
        <v>D+</v>
      </c>
      <c r="W21" s="2081" t="str">
        <f t="shared" si="23"/>
        <v>0</v>
      </c>
      <c r="X21" s="1587"/>
      <c r="Y21" s="1588"/>
      <c r="Z21" s="1588"/>
      <c r="AA21" s="1588"/>
      <c r="AB21" s="1588"/>
      <c r="AC21" s="1589"/>
      <c r="AD21" s="1590"/>
      <c r="AE21" s="1590"/>
      <c r="AF21" s="1590"/>
      <c r="AG21" s="1591"/>
      <c r="AH21" s="1413"/>
      <c r="AI21" s="1414"/>
    </row>
    <row r="22" spans="1:35" ht="24.95" customHeight="1" x14ac:dyDescent="0.25">
      <c r="A22" s="1478"/>
      <c r="B22" s="1580"/>
      <c r="C22" s="1581"/>
      <c r="D22" s="1579" t="s">
        <v>16</v>
      </c>
      <c r="E22" s="1385"/>
      <c r="F22" s="1385"/>
      <c r="G22" s="1385"/>
      <c r="H22" s="2101">
        <v>0</v>
      </c>
      <c r="I22" s="2101">
        <v>0</v>
      </c>
      <c r="J22" s="2101">
        <v>0</v>
      </c>
      <c r="K22" s="1385"/>
      <c r="L22" s="1385"/>
      <c r="M22" s="1385"/>
      <c r="N22" s="2100"/>
      <c r="O22" s="2100"/>
      <c r="P22" s="2100"/>
      <c r="Q22" s="1077">
        <f>MAX(E22,H22,K22,N22)</f>
        <v>0</v>
      </c>
      <c r="R22" s="2126">
        <f t="shared" si="17"/>
        <v>0</v>
      </c>
      <c r="S22" s="2127">
        <f t="shared" si="18"/>
        <v>0</v>
      </c>
      <c r="T22" s="853">
        <f>IFERROR(AVERAGE(Q22:S22),"")</f>
        <v>0</v>
      </c>
      <c r="U22" s="2081" t="str">
        <f t="shared" si="21"/>
        <v>1.33</v>
      </c>
      <c r="V22" s="2081" t="str">
        <f t="shared" si="22"/>
        <v>D+</v>
      </c>
      <c r="W22" s="2081" t="str">
        <f t="shared" si="23"/>
        <v>0</v>
      </c>
      <c r="X22" s="1587"/>
      <c r="Y22" s="1588"/>
      <c r="Z22" s="1588"/>
      <c r="AA22" s="1588"/>
      <c r="AB22" s="1588"/>
      <c r="AC22" s="1589"/>
      <c r="AD22" s="1590"/>
      <c r="AE22" s="1590"/>
      <c r="AF22" s="1590"/>
      <c r="AG22" s="1591"/>
      <c r="AH22" s="1413"/>
      <c r="AI22" s="1414"/>
    </row>
    <row r="23" spans="1:35" ht="24.95" customHeight="1" x14ac:dyDescent="0.25">
      <c r="A23" s="1478"/>
      <c r="B23" s="1580"/>
      <c r="C23" s="1581"/>
      <c r="D23" s="1579" t="s">
        <v>189</v>
      </c>
      <c r="E23" s="1385">
        <v>0</v>
      </c>
      <c r="F23" s="1385">
        <v>0</v>
      </c>
      <c r="G23" s="1385">
        <v>0</v>
      </c>
      <c r="H23" s="2101"/>
      <c r="I23" s="2101"/>
      <c r="J23" s="2101"/>
      <c r="K23" s="1385">
        <v>0</v>
      </c>
      <c r="L23" s="1385">
        <v>0</v>
      </c>
      <c r="M23" s="1385">
        <v>0</v>
      </c>
      <c r="N23" s="2100"/>
      <c r="O23" s="2100"/>
      <c r="P23" s="2100"/>
      <c r="Q23" s="1077">
        <f t="shared" ref="Q23" si="24">MAX(E23,H23,K23,N23)</f>
        <v>0</v>
      </c>
      <c r="R23" s="2126">
        <f t="shared" si="17"/>
        <v>0</v>
      </c>
      <c r="S23" s="2127">
        <f t="shared" si="18"/>
        <v>0</v>
      </c>
      <c r="T23" s="853">
        <f>IFERROR(AVERAGE(Q23:S23),"")</f>
        <v>0</v>
      </c>
      <c r="U23" s="2081" t="str">
        <f t="shared" si="21"/>
        <v>1.33</v>
      </c>
      <c r="V23" s="2081" t="str">
        <f t="shared" si="22"/>
        <v>D+</v>
      </c>
      <c r="W23" s="2081" t="str">
        <f t="shared" si="23"/>
        <v>0</v>
      </c>
      <c r="X23" s="1587"/>
      <c r="Y23" s="1588"/>
      <c r="Z23" s="1588"/>
      <c r="AA23" s="1588"/>
      <c r="AB23" s="1588"/>
      <c r="AC23" s="1589"/>
      <c r="AD23" s="1590"/>
      <c r="AE23" s="1590"/>
      <c r="AF23" s="1590"/>
      <c r="AG23" s="1591"/>
      <c r="AH23" s="1413"/>
      <c r="AI23" s="1414"/>
    </row>
    <row r="24" spans="1:35" ht="24.95" customHeight="1" x14ac:dyDescent="0.25">
      <c r="A24" s="1592"/>
      <c r="B24" s="1592">
        <v>3</v>
      </c>
      <c r="C24" s="1593" t="s">
        <v>167</v>
      </c>
      <c r="D24" s="1594"/>
      <c r="E24" s="2878"/>
      <c r="F24" s="2879"/>
      <c r="G24" s="2879"/>
      <c r="H24" s="2879"/>
      <c r="I24" s="2079"/>
      <c r="J24" s="2079"/>
      <c r="K24" s="2079"/>
      <c r="L24" s="2079"/>
      <c r="M24" s="2079"/>
      <c r="N24" s="2079"/>
      <c r="O24" s="2079"/>
      <c r="P24" s="2079"/>
      <c r="Q24" s="2162"/>
      <c r="R24" s="2162"/>
      <c r="S24" s="2162"/>
      <c r="T24" s="1942">
        <f>IFERROR(AVERAGE(T19:T23),"  ")</f>
        <v>0</v>
      </c>
      <c r="U24" s="1619" t="str">
        <f>IF(T24&gt;85,("4"),IF(T24&gt;80,("3.66"),IF(T24&gt;75,("3.33"),IF(T24&gt;70,("3.00"),IF(T24&gt;65,("2.66"),IF(T24&gt;60,("2.33"),IF(T24&gt;55,("2"),IF(T24&gt;50,("1.66"),"1.33"))))))))</f>
        <v>1.33</v>
      </c>
      <c r="V24" s="1619" t="str">
        <f>IF(T24&gt;85,("A"),IF(T24&gt;80,("A-"),IF(T24&gt;75,("B+"),IF(T24&gt;70,("B"),IF(T24&gt;65,("B-"),IF(T24&gt;60,("C+"),IF(T24&gt;55,("C"),IF(T24&gt;50,("C-"),"D+"))))))))</f>
        <v>D+</v>
      </c>
      <c r="W24" s="1619"/>
      <c r="X24" s="1605"/>
      <c r="Y24" s="1606"/>
      <c r="Z24" s="1606"/>
      <c r="AA24" s="1606"/>
      <c r="AB24" s="1606"/>
      <c r="AC24" s="1607"/>
      <c r="AD24" s="1606"/>
      <c r="AE24" s="1606"/>
      <c r="AF24" s="1606"/>
      <c r="AG24" s="1608"/>
      <c r="AH24" s="1841"/>
      <c r="AI24" s="1620"/>
    </row>
    <row r="25" spans="1:35" ht="24.95" customHeight="1" x14ac:dyDescent="0.25">
      <c r="A25" s="1477">
        <v>4</v>
      </c>
      <c r="B25" s="1577"/>
      <c r="C25" s="1578" t="str">
        <f>VLOOKUP(A25,data_siswa,4,FALSE)</f>
        <v>Antonio Permata A</v>
      </c>
      <c r="D25" s="1579" t="s">
        <v>155</v>
      </c>
      <c r="E25" s="1672">
        <v>0</v>
      </c>
      <c r="F25" s="1672">
        <v>0</v>
      </c>
      <c r="G25" s="1672">
        <v>0</v>
      </c>
      <c r="H25" s="2027"/>
      <c r="I25" s="2027"/>
      <c r="J25" s="2027"/>
      <c r="K25" s="1672"/>
      <c r="L25" s="1672"/>
      <c r="M25" s="1672"/>
      <c r="N25" s="2103"/>
      <c r="O25" s="2103"/>
      <c r="P25" s="2103"/>
      <c r="Q25" s="1077">
        <f>MAX(E25,H25,K25,N25)</f>
        <v>0</v>
      </c>
      <c r="R25" s="2126">
        <f t="shared" ref="R25:R29" si="25">MAX(F25,I25,L25,O25)</f>
        <v>0</v>
      </c>
      <c r="S25" s="2127">
        <f t="shared" ref="S25:S29" si="26">MAX(G25,J25,M25,P25)</f>
        <v>0</v>
      </c>
      <c r="T25" s="853">
        <f>IFERROR(AVERAGE(Q25:S25),"")</f>
        <v>0</v>
      </c>
      <c r="U25" s="2081" t="str">
        <f>IF(T25&gt;85,("4"),IF(T25&gt;80,("3.66"),IF(T25&gt;75,("3.33"),IF(T25&gt;70,("3.00"),IF(T25&gt;65,("2.66"),IF(T25&gt;60,("2.33"),IF(T25&gt;55,("2"),IF(T25&gt;50,("1.66"),"1.33"))))))))</f>
        <v>1.33</v>
      </c>
      <c r="V25" s="2081" t="str">
        <f>IF(T25&gt;85,("A"),IF(T25&gt;80,("A-"),IF(T25&gt;75,("B+"),IF(T25&gt;70,("B"),IF(T25&gt;65,("B-"),IF(T25&gt;60,("C+"),IF(T25&gt;55,("C"),IF(T25&gt;50,("C-"),"D+"))))))))</f>
        <v>D+</v>
      </c>
      <c r="W25" s="2081" t="str">
        <f>IF(T25&gt;80,("SB"),IF(T25&gt;65,("B"),IF(T25&gt;50,("C"),IF(T25&gt;0,("K"),"0"))))</f>
        <v>0</v>
      </c>
      <c r="X25" s="1609"/>
      <c r="Y25" s="1609"/>
      <c r="Z25" s="1609"/>
      <c r="AA25" s="1609"/>
      <c r="AB25" s="1609"/>
      <c r="AC25" s="1610"/>
      <c r="AD25" s="1611"/>
      <c r="AE25" s="1611"/>
      <c r="AF25" s="1611"/>
      <c r="AG25" s="1611"/>
      <c r="AH25" s="1929">
        <f>AVERAGE(T25:T29)</f>
        <v>0</v>
      </c>
      <c r="AI25" s="1945" t="str">
        <f>IF(AH25&gt;85,("A"),IF(AH25&gt;80,("A-"),IF(AH25&gt;75,("B+"),IF(AH25&gt;70,("B"),IF(AH25&gt;65,("B-"),IF(AH25&gt;60,("C+"),IF(AH25&gt;55,("C"),IF(AH25&gt;50,("C-"),"D+"))))))))</f>
        <v>D+</v>
      </c>
    </row>
    <row r="26" spans="1:35" ht="24.95" customHeight="1" x14ac:dyDescent="0.25">
      <c r="A26" s="1478"/>
      <c r="B26" s="1580"/>
      <c r="C26" s="1581"/>
      <c r="D26" s="1579" t="s">
        <v>9</v>
      </c>
      <c r="E26" s="1385">
        <v>0</v>
      </c>
      <c r="F26" s="1385">
        <v>0</v>
      </c>
      <c r="G26" s="1385">
        <v>0</v>
      </c>
      <c r="H26" s="2101"/>
      <c r="I26" s="2101"/>
      <c r="J26" s="2101"/>
      <c r="K26" s="1385"/>
      <c r="L26" s="1385"/>
      <c r="M26" s="1385"/>
      <c r="N26" s="2100">
        <v>0</v>
      </c>
      <c r="O26" s="2100">
        <v>0</v>
      </c>
      <c r="P26" s="2100">
        <v>0</v>
      </c>
      <c r="Q26" s="1077">
        <f t="shared" ref="Q26:Q27" si="27">MAX(E26,H26,K26,N26)</f>
        <v>0</v>
      </c>
      <c r="R26" s="2126">
        <f t="shared" si="25"/>
        <v>0</v>
      </c>
      <c r="S26" s="2127">
        <f t="shared" si="26"/>
        <v>0</v>
      </c>
      <c r="T26" s="853">
        <f t="shared" ref="T26:T27" si="28">IFERROR(AVERAGE(Q26:S26),"")</f>
        <v>0</v>
      </c>
      <c r="U26" s="2081" t="str">
        <f t="shared" ref="U26:U29" si="29">IF(T26&gt;85,("4"),IF(T26&gt;80,("3.66"),IF(T26&gt;75,("3.33"),IF(T26&gt;70,("3.00"),IF(T26&gt;65,("2.66"),IF(T26&gt;60,("2.33"),IF(T26&gt;55,("2"),IF(T26&gt;50,("1.66"),"1.33"))))))))</f>
        <v>1.33</v>
      </c>
      <c r="V26" s="2081" t="str">
        <f t="shared" ref="V26:V29" si="30">IF(T26&gt;85,("A"),IF(T26&gt;80,("A-"),IF(T26&gt;75,("B+"),IF(T26&gt;70,("B"),IF(T26&gt;65,("B-"),IF(T26&gt;60,("C+"),IF(T26&gt;55,("C"),IF(T26&gt;50,("C-"),"D+"))))))))</f>
        <v>D+</v>
      </c>
      <c r="W26" s="2081" t="str">
        <f t="shared" ref="W26:W29" si="31">IF(T26&gt;80,("SB"),IF(T26&gt;65,("B"),IF(T26&gt;50,("C"),IF(T26&gt;0,("K"),"0"))))</f>
        <v>0</v>
      </c>
      <c r="X26" s="1582"/>
      <c r="Y26" s="1583"/>
      <c r="Z26" s="1583"/>
      <c r="AA26" s="1583"/>
      <c r="AB26" s="1583"/>
      <c r="AC26" s="1584"/>
      <c r="AD26" s="1585"/>
      <c r="AE26" s="1585"/>
      <c r="AF26" s="1585"/>
      <c r="AG26" s="1586"/>
      <c r="AH26" s="1411"/>
      <c r="AI26" s="1412"/>
    </row>
    <row r="27" spans="1:35" ht="24.95" customHeight="1" x14ac:dyDescent="0.25">
      <c r="A27" s="1478"/>
      <c r="B27" s="1580"/>
      <c r="C27" s="1581"/>
      <c r="D27" s="1579" t="s">
        <v>11</v>
      </c>
      <c r="E27" s="1385"/>
      <c r="F27" s="1385"/>
      <c r="G27" s="1385"/>
      <c r="H27" s="2101">
        <v>0</v>
      </c>
      <c r="I27" s="2101">
        <v>0</v>
      </c>
      <c r="J27" s="2101">
        <v>0</v>
      </c>
      <c r="K27" s="1385">
        <v>0</v>
      </c>
      <c r="L27" s="1385">
        <v>0</v>
      </c>
      <c r="M27" s="1385">
        <v>0</v>
      </c>
      <c r="N27" s="2100">
        <v>0</v>
      </c>
      <c r="O27" s="2100">
        <v>0</v>
      </c>
      <c r="P27" s="2100">
        <v>0</v>
      </c>
      <c r="Q27" s="1077">
        <f t="shared" si="27"/>
        <v>0</v>
      </c>
      <c r="R27" s="2126">
        <f t="shared" si="25"/>
        <v>0</v>
      </c>
      <c r="S27" s="2127">
        <f t="shared" si="26"/>
        <v>0</v>
      </c>
      <c r="T27" s="853">
        <f t="shared" si="28"/>
        <v>0</v>
      </c>
      <c r="U27" s="2081" t="str">
        <f t="shared" si="29"/>
        <v>1.33</v>
      </c>
      <c r="V27" s="2081" t="str">
        <f t="shared" si="30"/>
        <v>D+</v>
      </c>
      <c r="W27" s="2081" t="str">
        <f t="shared" si="31"/>
        <v>0</v>
      </c>
      <c r="X27" s="1587"/>
      <c r="Y27" s="1588"/>
      <c r="Z27" s="1588"/>
      <c r="AA27" s="1588"/>
      <c r="AB27" s="1588"/>
      <c r="AC27" s="1589"/>
      <c r="AD27" s="1590"/>
      <c r="AE27" s="1590"/>
      <c r="AF27" s="1590"/>
      <c r="AG27" s="1591"/>
      <c r="AH27" s="1413"/>
      <c r="AI27" s="1414"/>
    </row>
    <row r="28" spans="1:35" ht="24.95" customHeight="1" x14ac:dyDescent="0.25">
      <c r="A28" s="1478"/>
      <c r="B28" s="1580"/>
      <c r="C28" s="1581"/>
      <c r="D28" s="1579" t="s">
        <v>16</v>
      </c>
      <c r="E28" s="1385"/>
      <c r="F28" s="1385"/>
      <c r="G28" s="1385"/>
      <c r="H28" s="2101">
        <v>0</v>
      </c>
      <c r="I28" s="2101">
        <v>0</v>
      </c>
      <c r="J28" s="2101">
        <v>0</v>
      </c>
      <c r="K28" s="1385"/>
      <c r="L28" s="1385"/>
      <c r="M28" s="1385"/>
      <c r="N28" s="2100"/>
      <c r="O28" s="2100"/>
      <c r="P28" s="2100"/>
      <c r="Q28" s="1077">
        <f>MAX(E28,H28,K28,N28)</f>
        <v>0</v>
      </c>
      <c r="R28" s="2126">
        <f t="shared" si="25"/>
        <v>0</v>
      </c>
      <c r="S28" s="2127">
        <f t="shared" si="26"/>
        <v>0</v>
      </c>
      <c r="T28" s="853">
        <f>IFERROR(AVERAGE(Q28:S28),"")</f>
        <v>0</v>
      </c>
      <c r="U28" s="2081" t="str">
        <f t="shared" si="29"/>
        <v>1.33</v>
      </c>
      <c r="V28" s="2081" t="str">
        <f t="shared" si="30"/>
        <v>D+</v>
      </c>
      <c r="W28" s="2081" t="str">
        <f t="shared" si="31"/>
        <v>0</v>
      </c>
      <c r="X28" s="1587"/>
      <c r="Y28" s="1588"/>
      <c r="Z28" s="1588"/>
      <c r="AA28" s="1588"/>
      <c r="AB28" s="1588"/>
      <c r="AC28" s="1589"/>
      <c r="AD28" s="1590"/>
      <c r="AE28" s="1590"/>
      <c r="AF28" s="1590"/>
      <c r="AG28" s="1591"/>
      <c r="AH28" s="1413"/>
      <c r="AI28" s="1414"/>
    </row>
    <row r="29" spans="1:35" ht="24.95" customHeight="1" x14ac:dyDescent="0.25">
      <c r="A29" s="1478"/>
      <c r="B29" s="1580"/>
      <c r="C29" s="1581"/>
      <c r="D29" s="1579" t="s">
        <v>189</v>
      </c>
      <c r="E29" s="1385">
        <v>0</v>
      </c>
      <c r="F29" s="1385">
        <v>0</v>
      </c>
      <c r="G29" s="1385">
        <v>0</v>
      </c>
      <c r="H29" s="2101"/>
      <c r="I29" s="2101"/>
      <c r="J29" s="2101"/>
      <c r="K29" s="1385">
        <v>0</v>
      </c>
      <c r="L29" s="1385">
        <v>0</v>
      </c>
      <c r="M29" s="1385">
        <v>0</v>
      </c>
      <c r="N29" s="2100"/>
      <c r="O29" s="2100"/>
      <c r="P29" s="2100"/>
      <c r="Q29" s="1077">
        <f t="shared" ref="Q29" si="32">MAX(E29,H29,K29,N29)</f>
        <v>0</v>
      </c>
      <c r="R29" s="2126">
        <f t="shared" si="25"/>
        <v>0</v>
      </c>
      <c r="S29" s="2127">
        <f t="shared" si="26"/>
        <v>0</v>
      </c>
      <c r="T29" s="853">
        <f>IFERROR(AVERAGE(Q29:S29),"")</f>
        <v>0</v>
      </c>
      <c r="U29" s="2081" t="str">
        <f t="shared" si="29"/>
        <v>1.33</v>
      </c>
      <c r="V29" s="2081" t="str">
        <f t="shared" si="30"/>
        <v>D+</v>
      </c>
      <c r="W29" s="2081" t="str">
        <f t="shared" si="31"/>
        <v>0</v>
      </c>
      <c r="X29" s="1587"/>
      <c r="Y29" s="1588"/>
      <c r="Z29" s="1588"/>
      <c r="AA29" s="1588"/>
      <c r="AB29" s="1588"/>
      <c r="AC29" s="1589"/>
      <c r="AD29" s="1590"/>
      <c r="AE29" s="1590"/>
      <c r="AF29" s="1590"/>
      <c r="AG29" s="1591"/>
      <c r="AH29" s="1413"/>
      <c r="AI29" s="1414"/>
    </row>
    <row r="30" spans="1:35" ht="24.95" customHeight="1" x14ac:dyDescent="0.25">
      <c r="A30" s="1592"/>
      <c r="B30" s="1592">
        <v>4</v>
      </c>
      <c r="C30" s="1593" t="s">
        <v>167</v>
      </c>
      <c r="D30" s="1594"/>
      <c r="E30" s="2878"/>
      <c r="F30" s="2879"/>
      <c r="G30" s="2879"/>
      <c r="H30" s="2879"/>
      <c r="I30" s="2079"/>
      <c r="J30" s="2079"/>
      <c r="K30" s="2079"/>
      <c r="L30" s="2079"/>
      <c r="M30" s="2079"/>
      <c r="N30" s="2079"/>
      <c r="O30" s="2079"/>
      <c r="P30" s="2079"/>
      <c r="Q30" s="2162"/>
      <c r="R30" s="2162"/>
      <c r="S30" s="2162"/>
      <c r="T30" s="1942">
        <f>IFERROR(AVERAGE(T25:T29),"  ")</f>
        <v>0</v>
      </c>
      <c r="U30" s="1619" t="str">
        <f>IF(T30&gt;85,("4"),IF(T30&gt;80,("3.66"),IF(T30&gt;75,("3.33"),IF(T30&gt;70,("3.00"),IF(T30&gt;65,("2.66"),IF(T30&gt;60,("2.33"),IF(T30&gt;55,("2"),IF(T30&gt;50,("1.66"),"1.33"))))))))</f>
        <v>1.33</v>
      </c>
      <c r="V30" s="1619" t="str">
        <f>IF(T30&gt;85,("A"),IF(T30&gt;80,("A-"),IF(T30&gt;75,("B+"),IF(T30&gt;70,("B"),IF(T30&gt;65,("B-"),IF(T30&gt;60,("C+"),IF(T30&gt;55,("C"),IF(T30&gt;50,("C-"),"D+"))))))))</f>
        <v>D+</v>
      </c>
      <c r="W30" s="1619"/>
      <c r="X30" s="1605"/>
      <c r="Y30" s="1606"/>
      <c r="Z30" s="1606"/>
      <c r="AA30" s="1606"/>
      <c r="AB30" s="1606"/>
      <c r="AC30" s="1607"/>
      <c r="AD30" s="1606"/>
      <c r="AE30" s="1606"/>
      <c r="AF30" s="1606"/>
      <c r="AG30" s="1608"/>
      <c r="AH30" s="1841"/>
      <c r="AI30" s="1620"/>
    </row>
    <row r="31" spans="1:35" ht="24.95" customHeight="1" x14ac:dyDescent="0.25">
      <c r="A31" s="1477">
        <v>5</v>
      </c>
      <c r="B31" s="1577"/>
      <c r="C31" s="1578" t="str">
        <f>VLOOKUP(A31,data_siswa,4,FALSE)</f>
        <v>Arya Pratama G</v>
      </c>
      <c r="D31" s="1579" t="s">
        <v>155</v>
      </c>
      <c r="E31" s="1672">
        <v>0</v>
      </c>
      <c r="F31" s="1672">
        <v>0</v>
      </c>
      <c r="G31" s="1672">
        <v>0</v>
      </c>
      <c r="H31" s="2027"/>
      <c r="I31" s="2027"/>
      <c r="J31" s="2027"/>
      <c r="K31" s="1672"/>
      <c r="L31" s="1672"/>
      <c r="M31" s="1672"/>
      <c r="N31" s="2103"/>
      <c r="O31" s="2103"/>
      <c r="P31" s="2103"/>
      <c r="Q31" s="1077">
        <f>MAX(E31,H31,K31,N31)</f>
        <v>0</v>
      </c>
      <c r="R31" s="2126">
        <f t="shared" ref="R31:R35" si="33">MAX(F31,I31,L31,O31)</f>
        <v>0</v>
      </c>
      <c r="S31" s="2127">
        <f t="shared" ref="S31:S35" si="34">MAX(G31,J31,M31,P31)</f>
        <v>0</v>
      </c>
      <c r="T31" s="853">
        <f>IFERROR(AVERAGE(Q31:S31),"")</f>
        <v>0</v>
      </c>
      <c r="U31" s="2081" t="str">
        <f>IF(T31&gt;85,("4"),IF(T31&gt;80,("3.66"),IF(T31&gt;75,("3.33"),IF(T31&gt;70,("3.00"),IF(T31&gt;65,("2.66"),IF(T31&gt;60,("2.33"),IF(T31&gt;55,("2"),IF(T31&gt;50,("1.66"),"1.33"))))))))</f>
        <v>1.33</v>
      </c>
      <c r="V31" s="2081" t="str">
        <f>IF(T31&gt;85,("A"),IF(T31&gt;80,("A-"),IF(T31&gt;75,("B+"),IF(T31&gt;70,("B"),IF(T31&gt;65,("B-"),IF(T31&gt;60,("C+"),IF(T31&gt;55,("C"),IF(T31&gt;50,("C-"),"D+"))))))))</f>
        <v>D+</v>
      </c>
      <c r="W31" s="2081" t="str">
        <f>IF(T31&gt;80,("SB"),IF(T31&gt;65,("B"),IF(T31&gt;50,("C"),IF(T31&gt;0,("K"),"0"))))</f>
        <v>0</v>
      </c>
      <c r="X31" s="1609"/>
      <c r="Y31" s="1609"/>
      <c r="Z31" s="1609"/>
      <c r="AA31" s="1609"/>
      <c r="AB31" s="1609"/>
      <c r="AC31" s="1610"/>
      <c r="AD31" s="1611"/>
      <c r="AE31" s="1611"/>
      <c r="AF31" s="1611"/>
      <c r="AG31" s="1611"/>
      <c r="AH31" s="1929">
        <f>AVERAGE(T31:T35)</f>
        <v>0</v>
      </c>
      <c r="AI31" s="1945" t="str">
        <f>IF(AH31&gt;85,("A"),IF(AH31&gt;80,("A-"),IF(AH31&gt;75,("B+"),IF(AH31&gt;70,("B"),IF(AH31&gt;65,("B-"),IF(AH31&gt;60,("C+"),IF(AH31&gt;55,("C"),IF(AH31&gt;50,("C-"),"D+"))))))))</f>
        <v>D+</v>
      </c>
    </row>
    <row r="32" spans="1:35" ht="24.95" customHeight="1" x14ac:dyDescent="0.25">
      <c r="A32" s="1478"/>
      <c r="B32" s="1580"/>
      <c r="C32" s="1581"/>
      <c r="D32" s="1579" t="s">
        <v>9</v>
      </c>
      <c r="E32" s="1385">
        <v>0</v>
      </c>
      <c r="F32" s="1385">
        <v>0</v>
      </c>
      <c r="G32" s="1385">
        <v>0</v>
      </c>
      <c r="H32" s="2101"/>
      <c r="I32" s="2101"/>
      <c r="J32" s="2101"/>
      <c r="K32" s="1385"/>
      <c r="L32" s="1385"/>
      <c r="M32" s="1385"/>
      <c r="N32" s="2100">
        <v>0</v>
      </c>
      <c r="O32" s="2100">
        <v>0</v>
      </c>
      <c r="P32" s="2100">
        <v>0</v>
      </c>
      <c r="Q32" s="1077">
        <f t="shared" ref="Q32:Q33" si="35">MAX(E32,H32,K32,N32)</f>
        <v>0</v>
      </c>
      <c r="R32" s="2126">
        <f t="shared" si="33"/>
        <v>0</v>
      </c>
      <c r="S32" s="2127">
        <f t="shared" si="34"/>
        <v>0</v>
      </c>
      <c r="T32" s="853">
        <f t="shared" ref="T32:T33" si="36">IFERROR(AVERAGE(Q32:S32),"")</f>
        <v>0</v>
      </c>
      <c r="U32" s="2081" t="str">
        <f t="shared" ref="U32:U35" si="37">IF(T32&gt;85,("4"),IF(T32&gt;80,("3.66"),IF(T32&gt;75,("3.33"),IF(T32&gt;70,("3.00"),IF(T32&gt;65,("2.66"),IF(T32&gt;60,("2.33"),IF(T32&gt;55,("2"),IF(T32&gt;50,("1.66"),"1.33"))))))))</f>
        <v>1.33</v>
      </c>
      <c r="V32" s="2081" t="str">
        <f t="shared" ref="V32:V35" si="38">IF(T32&gt;85,("A"),IF(T32&gt;80,("A-"),IF(T32&gt;75,("B+"),IF(T32&gt;70,("B"),IF(T32&gt;65,("B-"),IF(T32&gt;60,("C+"),IF(T32&gt;55,("C"),IF(T32&gt;50,("C-"),"D+"))))))))</f>
        <v>D+</v>
      </c>
      <c r="W32" s="2081" t="str">
        <f t="shared" ref="W32:W35" si="39">IF(T32&gt;80,("SB"),IF(T32&gt;65,("B"),IF(T32&gt;50,("C"),IF(T32&gt;0,("K"),"0"))))</f>
        <v>0</v>
      </c>
      <c r="X32" s="1582"/>
      <c r="Y32" s="1583"/>
      <c r="Z32" s="1583"/>
      <c r="AA32" s="1583"/>
      <c r="AB32" s="1583"/>
      <c r="AC32" s="1584"/>
      <c r="AD32" s="1585"/>
      <c r="AE32" s="1585"/>
      <c r="AF32" s="1585"/>
      <c r="AG32" s="1586"/>
      <c r="AH32" s="1411"/>
      <c r="AI32" s="1412"/>
    </row>
    <row r="33" spans="1:35" ht="24.95" customHeight="1" x14ac:dyDescent="0.25">
      <c r="A33" s="1478"/>
      <c r="B33" s="1580"/>
      <c r="C33" s="1581"/>
      <c r="D33" s="1579" t="s">
        <v>11</v>
      </c>
      <c r="E33" s="1385"/>
      <c r="F33" s="1385"/>
      <c r="G33" s="1385"/>
      <c r="H33" s="2101">
        <v>0</v>
      </c>
      <c r="I33" s="2101">
        <v>0</v>
      </c>
      <c r="J33" s="2101">
        <v>0</v>
      </c>
      <c r="K33" s="1385">
        <v>0</v>
      </c>
      <c r="L33" s="1385">
        <v>0</v>
      </c>
      <c r="M33" s="1385">
        <v>0</v>
      </c>
      <c r="N33" s="2100">
        <v>0</v>
      </c>
      <c r="O33" s="2100">
        <v>0</v>
      </c>
      <c r="P33" s="2100">
        <v>0</v>
      </c>
      <c r="Q33" s="1077">
        <f t="shared" si="35"/>
        <v>0</v>
      </c>
      <c r="R33" s="2126">
        <f t="shared" si="33"/>
        <v>0</v>
      </c>
      <c r="S33" s="2127">
        <f t="shared" si="34"/>
        <v>0</v>
      </c>
      <c r="T33" s="853">
        <f t="shared" si="36"/>
        <v>0</v>
      </c>
      <c r="U33" s="2081" t="str">
        <f t="shared" si="37"/>
        <v>1.33</v>
      </c>
      <c r="V33" s="2081" t="str">
        <f t="shared" si="38"/>
        <v>D+</v>
      </c>
      <c r="W33" s="2081" t="str">
        <f t="shared" si="39"/>
        <v>0</v>
      </c>
      <c r="X33" s="1587"/>
      <c r="Y33" s="1588"/>
      <c r="Z33" s="1588"/>
      <c r="AA33" s="1588"/>
      <c r="AB33" s="1588"/>
      <c r="AC33" s="1589"/>
      <c r="AD33" s="1590"/>
      <c r="AE33" s="1590"/>
      <c r="AF33" s="1590"/>
      <c r="AG33" s="1591"/>
      <c r="AH33" s="1413"/>
      <c r="AI33" s="1414"/>
    </row>
    <row r="34" spans="1:35" ht="24.95" customHeight="1" x14ac:dyDescent="0.25">
      <c r="A34" s="1478"/>
      <c r="B34" s="1580"/>
      <c r="C34" s="1581"/>
      <c r="D34" s="1579" t="s">
        <v>16</v>
      </c>
      <c r="E34" s="1385"/>
      <c r="F34" s="1385"/>
      <c r="G34" s="1385"/>
      <c r="H34" s="2101">
        <v>0</v>
      </c>
      <c r="I34" s="2101">
        <v>0</v>
      </c>
      <c r="J34" s="2101">
        <v>0</v>
      </c>
      <c r="K34" s="1385"/>
      <c r="L34" s="1385"/>
      <c r="M34" s="1385"/>
      <c r="N34" s="2100"/>
      <c r="O34" s="2100"/>
      <c r="P34" s="2100"/>
      <c r="Q34" s="1077">
        <f>MAX(E34,H34,K34,N34)</f>
        <v>0</v>
      </c>
      <c r="R34" s="2126">
        <f t="shared" si="33"/>
        <v>0</v>
      </c>
      <c r="S34" s="2127">
        <f t="shared" si="34"/>
        <v>0</v>
      </c>
      <c r="T34" s="853">
        <f>IFERROR(AVERAGE(Q34:S34),"")</f>
        <v>0</v>
      </c>
      <c r="U34" s="2081" t="str">
        <f t="shared" si="37"/>
        <v>1.33</v>
      </c>
      <c r="V34" s="2081" t="str">
        <f t="shared" si="38"/>
        <v>D+</v>
      </c>
      <c r="W34" s="2081" t="str">
        <f t="shared" si="39"/>
        <v>0</v>
      </c>
      <c r="X34" s="1587"/>
      <c r="Y34" s="1588"/>
      <c r="Z34" s="1588"/>
      <c r="AA34" s="1588"/>
      <c r="AB34" s="1588"/>
      <c r="AC34" s="1589"/>
      <c r="AD34" s="1590"/>
      <c r="AE34" s="1590"/>
      <c r="AF34" s="1590"/>
      <c r="AG34" s="1591"/>
      <c r="AH34" s="1413"/>
      <c r="AI34" s="1414"/>
    </row>
    <row r="35" spans="1:35" ht="24.95" customHeight="1" x14ac:dyDescent="0.25">
      <c r="A35" s="1478"/>
      <c r="B35" s="1580"/>
      <c r="C35" s="1581"/>
      <c r="D35" s="1579" t="s">
        <v>189</v>
      </c>
      <c r="E35" s="1385">
        <v>0</v>
      </c>
      <c r="F35" s="1385">
        <v>0</v>
      </c>
      <c r="G35" s="1385">
        <v>0</v>
      </c>
      <c r="H35" s="2101"/>
      <c r="I35" s="2101"/>
      <c r="J35" s="2101"/>
      <c r="K35" s="1385">
        <v>0</v>
      </c>
      <c r="L35" s="1385">
        <v>0</v>
      </c>
      <c r="M35" s="1385">
        <v>0</v>
      </c>
      <c r="N35" s="2100"/>
      <c r="O35" s="2100"/>
      <c r="P35" s="2100"/>
      <c r="Q35" s="1077">
        <f t="shared" ref="Q35" si="40">MAX(E35,H35,K35,N35)</f>
        <v>0</v>
      </c>
      <c r="R35" s="2126">
        <f t="shared" si="33"/>
        <v>0</v>
      </c>
      <c r="S35" s="2127">
        <f t="shared" si="34"/>
        <v>0</v>
      </c>
      <c r="T35" s="853">
        <f>IFERROR(AVERAGE(Q35:S35),"")</f>
        <v>0</v>
      </c>
      <c r="U35" s="2081" t="str">
        <f t="shared" si="37"/>
        <v>1.33</v>
      </c>
      <c r="V35" s="2081" t="str">
        <f t="shared" si="38"/>
        <v>D+</v>
      </c>
      <c r="W35" s="2081" t="str">
        <f t="shared" si="39"/>
        <v>0</v>
      </c>
      <c r="X35" s="1587"/>
      <c r="Y35" s="1588"/>
      <c r="Z35" s="1588"/>
      <c r="AA35" s="1588"/>
      <c r="AB35" s="1588"/>
      <c r="AC35" s="1589"/>
      <c r="AD35" s="1590"/>
      <c r="AE35" s="1590"/>
      <c r="AF35" s="1590"/>
      <c r="AG35" s="1591"/>
      <c r="AH35" s="1413"/>
      <c r="AI35" s="1414"/>
    </row>
    <row r="36" spans="1:35" ht="24.95" customHeight="1" x14ac:dyDescent="0.25">
      <c r="A36" s="1592"/>
      <c r="B36" s="1592">
        <v>5</v>
      </c>
      <c r="C36" s="1593" t="s">
        <v>167</v>
      </c>
      <c r="D36" s="1594"/>
      <c r="E36" s="2878"/>
      <c r="F36" s="2879"/>
      <c r="G36" s="2879"/>
      <c r="H36" s="2879"/>
      <c r="I36" s="2079"/>
      <c r="J36" s="2079"/>
      <c r="K36" s="2079"/>
      <c r="L36" s="2079"/>
      <c r="M36" s="2079"/>
      <c r="N36" s="2079"/>
      <c r="O36" s="2079"/>
      <c r="P36" s="2079"/>
      <c r="Q36" s="2162"/>
      <c r="R36" s="2162"/>
      <c r="S36" s="2162"/>
      <c r="T36" s="1942">
        <f>IFERROR(AVERAGE(T31:T35),"  ")</f>
        <v>0</v>
      </c>
      <c r="U36" s="1619" t="str">
        <f>IF(T36&gt;85,("4"),IF(T36&gt;80,("3.66"),IF(T36&gt;75,("3.33"),IF(T36&gt;70,("3.00"),IF(T36&gt;65,("2.66"),IF(T36&gt;60,("2.33"),IF(T36&gt;55,("2"),IF(T36&gt;50,("1.66"),"1.33"))))))))</f>
        <v>1.33</v>
      </c>
      <c r="V36" s="1619" t="str">
        <f>IF(T36&gt;85,("A"),IF(T36&gt;80,("A-"),IF(T36&gt;75,("B+"),IF(T36&gt;70,("B"),IF(T36&gt;65,("B-"),IF(T36&gt;60,("C+"),IF(T36&gt;55,("C"),IF(T36&gt;50,("C-"),"D+"))))))))</f>
        <v>D+</v>
      </c>
      <c r="W36" s="1619"/>
      <c r="X36" s="1605"/>
      <c r="Y36" s="1606"/>
      <c r="Z36" s="1606"/>
      <c r="AA36" s="1606"/>
      <c r="AB36" s="1606"/>
      <c r="AC36" s="1607"/>
      <c r="AD36" s="1606"/>
      <c r="AE36" s="1606"/>
      <c r="AF36" s="1606"/>
      <c r="AG36" s="1608"/>
      <c r="AH36" s="1841"/>
      <c r="AI36" s="1620"/>
    </row>
    <row r="37" spans="1:35" ht="24.95" customHeight="1" x14ac:dyDescent="0.25">
      <c r="A37" s="1477">
        <v>6</v>
      </c>
      <c r="B37" s="1577"/>
      <c r="C37" s="1578" t="str">
        <f>VLOOKUP(A37,data_siswa,4,FALSE)</f>
        <v>Asyam Hanif Ihsan H</v>
      </c>
      <c r="D37" s="1579" t="s">
        <v>155</v>
      </c>
      <c r="E37" s="1672">
        <v>0</v>
      </c>
      <c r="F37" s="1672">
        <v>0</v>
      </c>
      <c r="G37" s="1672">
        <v>0</v>
      </c>
      <c r="H37" s="2027"/>
      <c r="I37" s="2027"/>
      <c r="J37" s="2027"/>
      <c r="K37" s="1672"/>
      <c r="L37" s="1672"/>
      <c r="M37" s="1672"/>
      <c r="N37" s="2103"/>
      <c r="O37" s="2103"/>
      <c r="P37" s="2103"/>
      <c r="Q37" s="1077">
        <f>MAX(E37,H37,K37,N37)</f>
        <v>0</v>
      </c>
      <c r="R37" s="2126">
        <f t="shared" ref="R37:R41" si="41">MAX(F37,I37,L37,O37)</f>
        <v>0</v>
      </c>
      <c r="S37" s="2127">
        <f t="shared" ref="S37:S41" si="42">MAX(G37,J37,M37,P37)</f>
        <v>0</v>
      </c>
      <c r="T37" s="853">
        <f>IFERROR(AVERAGE(Q37:S37),"")</f>
        <v>0</v>
      </c>
      <c r="U37" s="2081" t="str">
        <f>IF(T37&gt;85,("4"),IF(T37&gt;80,("3.66"),IF(T37&gt;75,("3.33"),IF(T37&gt;70,("3.00"),IF(T37&gt;65,("2.66"),IF(T37&gt;60,("2.33"),IF(T37&gt;55,("2"),IF(T37&gt;50,("1.66"),"1.33"))))))))</f>
        <v>1.33</v>
      </c>
      <c r="V37" s="2081" t="str">
        <f>IF(T37&gt;85,("A"),IF(T37&gt;80,("A-"),IF(T37&gt;75,("B+"),IF(T37&gt;70,("B"),IF(T37&gt;65,("B-"),IF(T37&gt;60,("C+"),IF(T37&gt;55,("C"),IF(T37&gt;50,("C-"),"D+"))))))))</f>
        <v>D+</v>
      </c>
      <c r="W37" s="2081" t="str">
        <f>IF(T37&gt;80,("SB"),IF(T37&gt;65,("B"),IF(T37&gt;50,("C"),IF(T37&gt;0,("K"),"0"))))</f>
        <v>0</v>
      </c>
      <c r="X37" s="1609"/>
      <c r="Y37" s="1609"/>
      <c r="Z37" s="1609"/>
      <c r="AA37" s="1609"/>
      <c r="AB37" s="1609"/>
      <c r="AC37" s="1610"/>
      <c r="AD37" s="1611"/>
      <c r="AE37" s="1611"/>
      <c r="AF37" s="1611"/>
      <c r="AG37" s="1611"/>
      <c r="AH37" s="1929">
        <f>AVERAGE(T37:T41)</f>
        <v>0</v>
      </c>
      <c r="AI37" s="1945" t="str">
        <f>IF(AH37&gt;85,("A"),IF(AH37&gt;80,("A-"),IF(AH37&gt;75,("B+"),IF(AH37&gt;70,("B"),IF(AH37&gt;65,("B-"),IF(AH37&gt;60,("C+"),IF(AH37&gt;55,("C"),IF(AH37&gt;50,("C-"),"D+"))))))))</f>
        <v>D+</v>
      </c>
    </row>
    <row r="38" spans="1:35" ht="24.95" customHeight="1" x14ac:dyDescent="0.25">
      <c r="A38" s="1478"/>
      <c r="B38" s="1580"/>
      <c r="C38" s="1581"/>
      <c r="D38" s="1579" t="s">
        <v>9</v>
      </c>
      <c r="E38" s="1385">
        <v>0</v>
      </c>
      <c r="F38" s="1385">
        <v>0</v>
      </c>
      <c r="G38" s="1385">
        <v>0</v>
      </c>
      <c r="H38" s="2101"/>
      <c r="I38" s="2101"/>
      <c r="J38" s="2101"/>
      <c r="K38" s="1385"/>
      <c r="L38" s="1385"/>
      <c r="M38" s="1385"/>
      <c r="N38" s="2100">
        <v>0</v>
      </c>
      <c r="O38" s="2100">
        <v>0</v>
      </c>
      <c r="P38" s="2100">
        <v>0</v>
      </c>
      <c r="Q38" s="1077">
        <f t="shared" ref="Q38:Q39" si="43">MAX(E38,H38,K38,N38)</f>
        <v>0</v>
      </c>
      <c r="R38" s="2126">
        <f t="shared" si="41"/>
        <v>0</v>
      </c>
      <c r="S38" s="2127">
        <f t="shared" si="42"/>
        <v>0</v>
      </c>
      <c r="T38" s="853">
        <f t="shared" ref="T38:T39" si="44">IFERROR(AVERAGE(Q38:S38),"")</f>
        <v>0</v>
      </c>
      <c r="U38" s="2081" t="str">
        <f t="shared" ref="U38:U41" si="45">IF(T38&gt;85,("4"),IF(T38&gt;80,("3.66"),IF(T38&gt;75,("3.33"),IF(T38&gt;70,("3.00"),IF(T38&gt;65,("2.66"),IF(T38&gt;60,("2.33"),IF(T38&gt;55,("2"),IF(T38&gt;50,("1.66"),"1.33"))))))))</f>
        <v>1.33</v>
      </c>
      <c r="V38" s="2081" t="str">
        <f t="shared" ref="V38:V41" si="46">IF(T38&gt;85,("A"),IF(T38&gt;80,("A-"),IF(T38&gt;75,("B+"),IF(T38&gt;70,("B"),IF(T38&gt;65,("B-"),IF(T38&gt;60,("C+"),IF(T38&gt;55,("C"),IF(T38&gt;50,("C-"),"D+"))))))))</f>
        <v>D+</v>
      </c>
      <c r="W38" s="2081" t="str">
        <f t="shared" ref="W38:W41" si="47">IF(T38&gt;80,("SB"),IF(T38&gt;65,("B"),IF(T38&gt;50,("C"),IF(T38&gt;0,("K"),"0"))))</f>
        <v>0</v>
      </c>
      <c r="X38" s="1582"/>
      <c r="Y38" s="1583"/>
      <c r="Z38" s="1583"/>
      <c r="AA38" s="1583"/>
      <c r="AB38" s="1583"/>
      <c r="AC38" s="1584"/>
      <c r="AD38" s="1585"/>
      <c r="AE38" s="1585"/>
      <c r="AF38" s="1585"/>
      <c r="AG38" s="1586"/>
      <c r="AH38" s="1411"/>
      <c r="AI38" s="1412"/>
    </row>
    <row r="39" spans="1:35" ht="24.95" customHeight="1" x14ac:dyDescent="0.25">
      <c r="A39" s="1478"/>
      <c r="B39" s="1580"/>
      <c r="C39" s="1581"/>
      <c r="D39" s="1579" t="s">
        <v>11</v>
      </c>
      <c r="E39" s="1385"/>
      <c r="F39" s="1385"/>
      <c r="G39" s="1385"/>
      <c r="H39" s="2101">
        <v>0</v>
      </c>
      <c r="I39" s="2101">
        <v>0</v>
      </c>
      <c r="J39" s="2101">
        <v>0</v>
      </c>
      <c r="K39" s="1385">
        <v>0</v>
      </c>
      <c r="L39" s="1385">
        <v>0</v>
      </c>
      <c r="M39" s="1385">
        <v>0</v>
      </c>
      <c r="N39" s="2100">
        <v>0</v>
      </c>
      <c r="O39" s="2100">
        <v>0</v>
      </c>
      <c r="P39" s="2100">
        <v>0</v>
      </c>
      <c r="Q39" s="1077">
        <f t="shared" si="43"/>
        <v>0</v>
      </c>
      <c r="R39" s="2126">
        <f t="shared" si="41"/>
        <v>0</v>
      </c>
      <c r="S39" s="2127">
        <f t="shared" si="42"/>
        <v>0</v>
      </c>
      <c r="T39" s="853">
        <f t="shared" si="44"/>
        <v>0</v>
      </c>
      <c r="U39" s="2081" t="str">
        <f t="shared" si="45"/>
        <v>1.33</v>
      </c>
      <c r="V39" s="2081" t="str">
        <f t="shared" si="46"/>
        <v>D+</v>
      </c>
      <c r="W39" s="2081" t="str">
        <f t="shared" si="47"/>
        <v>0</v>
      </c>
      <c r="X39" s="1587"/>
      <c r="Y39" s="1588"/>
      <c r="Z39" s="1588"/>
      <c r="AA39" s="1588"/>
      <c r="AB39" s="1588"/>
      <c r="AC39" s="1589"/>
      <c r="AD39" s="1590"/>
      <c r="AE39" s="1590"/>
      <c r="AF39" s="1590"/>
      <c r="AG39" s="1591"/>
      <c r="AH39" s="1413"/>
      <c r="AI39" s="1414"/>
    </row>
    <row r="40" spans="1:35" ht="24.95" customHeight="1" x14ac:dyDescent="0.25">
      <c r="A40" s="1478"/>
      <c r="B40" s="1580"/>
      <c r="C40" s="1581"/>
      <c r="D40" s="1579" t="s">
        <v>16</v>
      </c>
      <c r="E40" s="1385"/>
      <c r="F40" s="1385"/>
      <c r="G40" s="1385"/>
      <c r="H40" s="2101">
        <v>0</v>
      </c>
      <c r="I40" s="2101">
        <v>0</v>
      </c>
      <c r="J40" s="2101">
        <v>0</v>
      </c>
      <c r="K40" s="1385"/>
      <c r="L40" s="1385"/>
      <c r="M40" s="1385"/>
      <c r="N40" s="2100"/>
      <c r="O40" s="2100"/>
      <c r="P40" s="2100"/>
      <c r="Q40" s="1077">
        <f>MAX(E40,H40,K40,N40)</f>
        <v>0</v>
      </c>
      <c r="R40" s="2126">
        <f t="shared" si="41"/>
        <v>0</v>
      </c>
      <c r="S40" s="2127">
        <f t="shared" si="42"/>
        <v>0</v>
      </c>
      <c r="T40" s="853">
        <f>IFERROR(AVERAGE(Q40:S40),"")</f>
        <v>0</v>
      </c>
      <c r="U40" s="2081" t="str">
        <f t="shared" si="45"/>
        <v>1.33</v>
      </c>
      <c r="V40" s="2081" t="str">
        <f t="shared" si="46"/>
        <v>D+</v>
      </c>
      <c r="W40" s="2081" t="str">
        <f t="shared" si="47"/>
        <v>0</v>
      </c>
      <c r="X40" s="1587"/>
      <c r="Y40" s="1588"/>
      <c r="Z40" s="1588"/>
      <c r="AA40" s="1588"/>
      <c r="AB40" s="1588"/>
      <c r="AC40" s="1589"/>
      <c r="AD40" s="1590"/>
      <c r="AE40" s="1590"/>
      <c r="AF40" s="1590"/>
      <c r="AG40" s="1591"/>
      <c r="AH40" s="1413"/>
      <c r="AI40" s="1414"/>
    </row>
    <row r="41" spans="1:35" ht="24.95" customHeight="1" x14ac:dyDescent="0.25">
      <c r="A41" s="1478"/>
      <c r="B41" s="1580"/>
      <c r="C41" s="1581"/>
      <c r="D41" s="1579" t="s">
        <v>189</v>
      </c>
      <c r="E41" s="1385">
        <v>0</v>
      </c>
      <c r="F41" s="1385">
        <v>0</v>
      </c>
      <c r="G41" s="1385">
        <v>0</v>
      </c>
      <c r="H41" s="2101"/>
      <c r="I41" s="2101"/>
      <c r="J41" s="2101"/>
      <c r="K41" s="1385">
        <v>0</v>
      </c>
      <c r="L41" s="1385">
        <v>0</v>
      </c>
      <c r="M41" s="1385">
        <v>0</v>
      </c>
      <c r="N41" s="2100"/>
      <c r="O41" s="2100"/>
      <c r="P41" s="2100"/>
      <c r="Q41" s="1077">
        <f t="shared" ref="Q41" si="48">MAX(E41,H41,K41,N41)</f>
        <v>0</v>
      </c>
      <c r="R41" s="2126">
        <f t="shared" si="41"/>
        <v>0</v>
      </c>
      <c r="S41" s="2127">
        <f t="shared" si="42"/>
        <v>0</v>
      </c>
      <c r="T41" s="853">
        <f>IFERROR(AVERAGE(Q41:S41),"")</f>
        <v>0</v>
      </c>
      <c r="U41" s="2081" t="str">
        <f t="shared" si="45"/>
        <v>1.33</v>
      </c>
      <c r="V41" s="2081" t="str">
        <f t="shared" si="46"/>
        <v>D+</v>
      </c>
      <c r="W41" s="2081" t="str">
        <f t="shared" si="47"/>
        <v>0</v>
      </c>
      <c r="X41" s="1587"/>
      <c r="Y41" s="1588"/>
      <c r="Z41" s="1588"/>
      <c r="AA41" s="1588"/>
      <c r="AB41" s="1588"/>
      <c r="AC41" s="1589"/>
      <c r="AD41" s="1590"/>
      <c r="AE41" s="1590"/>
      <c r="AF41" s="1590"/>
      <c r="AG41" s="1591"/>
      <c r="AH41" s="1413"/>
      <c r="AI41" s="1414"/>
    </row>
    <row r="42" spans="1:35" ht="24.95" customHeight="1" x14ac:dyDescent="0.25">
      <c r="A42" s="1592"/>
      <c r="B42" s="1592">
        <v>6</v>
      </c>
      <c r="C42" s="1593" t="s">
        <v>167</v>
      </c>
      <c r="D42" s="1594"/>
      <c r="E42" s="2878"/>
      <c r="F42" s="2879"/>
      <c r="G42" s="2879"/>
      <c r="H42" s="2879"/>
      <c r="I42" s="2079"/>
      <c r="J42" s="2079"/>
      <c r="K42" s="2079"/>
      <c r="L42" s="2079"/>
      <c r="M42" s="2079"/>
      <c r="N42" s="2079"/>
      <c r="O42" s="2079"/>
      <c r="P42" s="2079"/>
      <c r="Q42" s="2162"/>
      <c r="R42" s="2162"/>
      <c r="S42" s="2162"/>
      <c r="T42" s="1942">
        <f>IFERROR(AVERAGE(T37:T41),"  ")</f>
        <v>0</v>
      </c>
      <c r="U42" s="1619" t="str">
        <f>IF(T42&gt;85,("4"),IF(T42&gt;80,("3.66"),IF(T42&gt;75,("3.33"),IF(T42&gt;70,("3.00"),IF(T42&gt;65,("2.66"),IF(T42&gt;60,("2.33"),IF(T42&gt;55,("2"),IF(T42&gt;50,("1.66"),"1.33"))))))))</f>
        <v>1.33</v>
      </c>
      <c r="V42" s="1619" t="str">
        <f>IF(T42&gt;85,("A"),IF(T42&gt;80,("A-"),IF(T42&gt;75,("B+"),IF(T42&gt;70,("B"),IF(T42&gt;65,("B-"),IF(T42&gt;60,("C+"),IF(T42&gt;55,("C"),IF(T42&gt;50,("C-"),"D+"))))))))</f>
        <v>D+</v>
      </c>
      <c r="W42" s="1619"/>
      <c r="X42" s="1605"/>
      <c r="Y42" s="1606"/>
      <c r="Z42" s="1606"/>
      <c r="AA42" s="1606"/>
      <c r="AB42" s="1606"/>
      <c r="AC42" s="1607"/>
      <c r="AD42" s="1606"/>
      <c r="AE42" s="1606"/>
      <c r="AF42" s="1606"/>
      <c r="AG42" s="1608"/>
      <c r="AH42" s="1841"/>
      <c r="AI42" s="1620"/>
    </row>
    <row r="43" spans="1:35" ht="24.95" customHeight="1" x14ac:dyDescent="0.25">
      <c r="A43" s="1477">
        <v>7</v>
      </c>
      <c r="B43" s="1577"/>
      <c r="C43" s="1578" t="str">
        <f>VLOOKUP(A43,data_siswa,4,FALSE)</f>
        <v>Athaya Salsabilla Z</v>
      </c>
      <c r="D43" s="1579" t="s">
        <v>155</v>
      </c>
      <c r="E43" s="1672">
        <v>0</v>
      </c>
      <c r="F43" s="1672">
        <v>0</v>
      </c>
      <c r="G43" s="1672">
        <v>0</v>
      </c>
      <c r="H43" s="2027"/>
      <c r="I43" s="2027"/>
      <c r="J43" s="2027"/>
      <c r="K43" s="1672"/>
      <c r="L43" s="1672"/>
      <c r="M43" s="1672"/>
      <c r="N43" s="2103"/>
      <c r="O43" s="2103"/>
      <c r="P43" s="2103"/>
      <c r="Q43" s="1077">
        <f>MAX(E43,H43,K43,N43)</f>
        <v>0</v>
      </c>
      <c r="R43" s="2126">
        <f t="shared" ref="R43:R47" si="49">MAX(F43,I43,L43,O43)</f>
        <v>0</v>
      </c>
      <c r="S43" s="2127">
        <f t="shared" ref="S43:S47" si="50">MAX(G43,J43,M43,P43)</f>
        <v>0</v>
      </c>
      <c r="T43" s="853">
        <f>IFERROR(AVERAGE(Q43:S43),"")</f>
        <v>0</v>
      </c>
      <c r="U43" s="2081" t="str">
        <f>IF(T43&gt;85,("4"),IF(T43&gt;80,("3.66"),IF(T43&gt;75,("3.33"),IF(T43&gt;70,("3.00"),IF(T43&gt;65,("2.66"),IF(T43&gt;60,("2.33"),IF(T43&gt;55,("2"),IF(T43&gt;50,("1.66"),"1.33"))))))))</f>
        <v>1.33</v>
      </c>
      <c r="V43" s="2081" t="str">
        <f>IF(T43&gt;85,("A"),IF(T43&gt;80,("A-"),IF(T43&gt;75,("B+"),IF(T43&gt;70,("B"),IF(T43&gt;65,("B-"),IF(T43&gt;60,("C+"),IF(T43&gt;55,("C"),IF(T43&gt;50,("C-"),"D+"))))))))</f>
        <v>D+</v>
      </c>
      <c r="W43" s="2081" t="str">
        <f>IF(T43&gt;80,("SB"),IF(T43&gt;65,("B"),IF(T43&gt;50,("C"),IF(T43&gt;0,("K"),"0"))))</f>
        <v>0</v>
      </c>
      <c r="X43" s="1609"/>
      <c r="Y43" s="1609"/>
      <c r="Z43" s="1609"/>
      <c r="AA43" s="1609"/>
      <c r="AB43" s="1609"/>
      <c r="AC43" s="1610"/>
      <c r="AD43" s="1611"/>
      <c r="AE43" s="1611"/>
      <c r="AF43" s="1611"/>
      <c r="AG43" s="1611"/>
      <c r="AH43" s="1929">
        <f>AVERAGE(T43:T47)</f>
        <v>0</v>
      </c>
      <c r="AI43" s="1945" t="str">
        <f>IF(AH43&gt;85,("A"),IF(AH43&gt;80,("A-"),IF(AH43&gt;75,("B+"),IF(AH43&gt;70,("B"),IF(AH43&gt;65,("B-"),IF(AH43&gt;60,("C+"),IF(AH43&gt;55,("C"),IF(AH43&gt;50,("C-"),"D+"))))))))</f>
        <v>D+</v>
      </c>
    </row>
    <row r="44" spans="1:35" ht="24.95" customHeight="1" x14ac:dyDescent="0.25">
      <c r="A44" s="1478"/>
      <c r="B44" s="1580"/>
      <c r="C44" s="1581"/>
      <c r="D44" s="1579" t="s">
        <v>9</v>
      </c>
      <c r="E44" s="1385">
        <v>0</v>
      </c>
      <c r="F44" s="1385">
        <v>0</v>
      </c>
      <c r="G44" s="1385">
        <v>0</v>
      </c>
      <c r="H44" s="2101"/>
      <c r="I44" s="2101"/>
      <c r="J44" s="2101"/>
      <c r="K44" s="1385"/>
      <c r="L44" s="1385"/>
      <c r="M44" s="1385"/>
      <c r="N44" s="2100">
        <v>0</v>
      </c>
      <c r="O44" s="2100">
        <v>0</v>
      </c>
      <c r="P44" s="2100">
        <v>0</v>
      </c>
      <c r="Q44" s="1077">
        <f t="shared" ref="Q44:Q45" si="51">MAX(E44,H44,K44,N44)</f>
        <v>0</v>
      </c>
      <c r="R44" s="2126">
        <f t="shared" si="49"/>
        <v>0</v>
      </c>
      <c r="S44" s="2127">
        <f t="shared" si="50"/>
        <v>0</v>
      </c>
      <c r="T44" s="853">
        <f t="shared" ref="T44:T45" si="52">IFERROR(AVERAGE(Q44:S44),"")</f>
        <v>0</v>
      </c>
      <c r="U44" s="2081" t="str">
        <f t="shared" ref="U44:U47" si="53">IF(T44&gt;85,("4"),IF(T44&gt;80,("3.66"),IF(T44&gt;75,("3.33"),IF(T44&gt;70,("3.00"),IF(T44&gt;65,("2.66"),IF(T44&gt;60,("2.33"),IF(T44&gt;55,("2"),IF(T44&gt;50,("1.66"),"1.33"))))))))</f>
        <v>1.33</v>
      </c>
      <c r="V44" s="2081" t="str">
        <f t="shared" ref="V44:V47" si="54">IF(T44&gt;85,("A"),IF(T44&gt;80,("A-"),IF(T44&gt;75,("B+"),IF(T44&gt;70,("B"),IF(T44&gt;65,("B-"),IF(T44&gt;60,("C+"),IF(T44&gt;55,("C"),IF(T44&gt;50,("C-"),"D+"))))))))</f>
        <v>D+</v>
      </c>
      <c r="W44" s="2081" t="str">
        <f t="shared" ref="W44:W47" si="55">IF(T44&gt;80,("SB"),IF(T44&gt;65,("B"),IF(T44&gt;50,("C"),IF(T44&gt;0,("K"),"0"))))</f>
        <v>0</v>
      </c>
      <c r="X44" s="1582"/>
      <c r="Y44" s="1583"/>
      <c r="Z44" s="1583"/>
      <c r="AA44" s="1583"/>
      <c r="AB44" s="1583"/>
      <c r="AC44" s="1584"/>
      <c r="AD44" s="1585"/>
      <c r="AE44" s="1585"/>
      <c r="AF44" s="1585"/>
      <c r="AG44" s="1586"/>
      <c r="AH44" s="1411"/>
      <c r="AI44" s="1412"/>
    </row>
    <row r="45" spans="1:35" ht="24.95" customHeight="1" x14ac:dyDescent="0.25">
      <c r="A45" s="1478"/>
      <c r="B45" s="1580"/>
      <c r="C45" s="1581"/>
      <c r="D45" s="1579" t="s">
        <v>11</v>
      </c>
      <c r="E45" s="1385"/>
      <c r="F45" s="1385"/>
      <c r="G45" s="1385"/>
      <c r="H45" s="2101">
        <v>0</v>
      </c>
      <c r="I45" s="2101">
        <v>0</v>
      </c>
      <c r="J45" s="2101">
        <v>0</v>
      </c>
      <c r="K45" s="1385">
        <v>0</v>
      </c>
      <c r="L45" s="1385">
        <v>0</v>
      </c>
      <c r="M45" s="1385">
        <v>0</v>
      </c>
      <c r="N45" s="2100">
        <v>0</v>
      </c>
      <c r="O45" s="2100">
        <v>0</v>
      </c>
      <c r="P45" s="2100">
        <v>0</v>
      </c>
      <c r="Q45" s="1077">
        <f t="shared" si="51"/>
        <v>0</v>
      </c>
      <c r="R45" s="2126">
        <f t="shared" si="49"/>
        <v>0</v>
      </c>
      <c r="S45" s="2127">
        <f t="shared" si="50"/>
        <v>0</v>
      </c>
      <c r="T45" s="853">
        <f t="shared" si="52"/>
        <v>0</v>
      </c>
      <c r="U45" s="2081" t="str">
        <f t="shared" si="53"/>
        <v>1.33</v>
      </c>
      <c r="V45" s="2081" t="str">
        <f t="shared" si="54"/>
        <v>D+</v>
      </c>
      <c r="W45" s="2081" t="str">
        <f t="shared" si="55"/>
        <v>0</v>
      </c>
      <c r="X45" s="1587"/>
      <c r="Y45" s="1588"/>
      <c r="Z45" s="1588"/>
      <c r="AA45" s="1588"/>
      <c r="AB45" s="1588"/>
      <c r="AC45" s="1589"/>
      <c r="AD45" s="1590"/>
      <c r="AE45" s="1590"/>
      <c r="AF45" s="1590"/>
      <c r="AG45" s="1591"/>
      <c r="AH45" s="1413"/>
      <c r="AI45" s="1414"/>
    </row>
    <row r="46" spans="1:35" ht="24.95" customHeight="1" x14ac:dyDescent="0.25">
      <c r="A46" s="1478"/>
      <c r="B46" s="1580"/>
      <c r="C46" s="1581"/>
      <c r="D46" s="1579" t="s">
        <v>16</v>
      </c>
      <c r="E46" s="1385"/>
      <c r="F46" s="1385"/>
      <c r="G46" s="1385"/>
      <c r="H46" s="2101">
        <v>0</v>
      </c>
      <c r="I46" s="2101">
        <v>0</v>
      </c>
      <c r="J46" s="2101">
        <v>0</v>
      </c>
      <c r="K46" s="1385"/>
      <c r="L46" s="1385"/>
      <c r="M46" s="1385"/>
      <c r="N46" s="2100"/>
      <c r="O46" s="2100"/>
      <c r="P46" s="2100"/>
      <c r="Q46" s="1077">
        <f>MAX(E46,H46,K46,N46)</f>
        <v>0</v>
      </c>
      <c r="R46" s="2126">
        <f t="shared" si="49"/>
        <v>0</v>
      </c>
      <c r="S46" s="2127">
        <f t="shared" si="50"/>
        <v>0</v>
      </c>
      <c r="T46" s="853">
        <f>IFERROR(AVERAGE(Q46:S46),"")</f>
        <v>0</v>
      </c>
      <c r="U46" s="2081" t="str">
        <f t="shared" si="53"/>
        <v>1.33</v>
      </c>
      <c r="V46" s="2081" t="str">
        <f t="shared" si="54"/>
        <v>D+</v>
      </c>
      <c r="W46" s="2081" t="str">
        <f t="shared" si="55"/>
        <v>0</v>
      </c>
      <c r="X46" s="1587"/>
      <c r="Y46" s="1588"/>
      <c r="Z46" s="1588"/>
      <c r="AA46" s="1588"/>
      <c r="AB46" s="1588"/>
      <c r="AC46" s="1589"/>
      <c r="AD46" s="1590"/>
      <c r="AE46" s="1590"/>
      <c r="AF46" s="1590"/>
      <c r="AG46" s="1591"/>
      <c r="AH46" s="1413"/>
      <c r="AI46" s="1414"/>
    </row>
    <row r="47" spans="1:35" ht="24.95" customHeight="1" x14ac:dyDescent="0.25">
      <c r="A47" s="1478"/>
      <c r="B47" s="1580"/>
      <c r="C47" s="1581"/>
      <c r="D47" s="1579" t="s">
        <v>189</v>
      </c>
      <c r="E47" s="1385">
        <v>0</v>
      </c>
      <c r="F47" s="1385">
        <v>0</v>
      </c>
      <c r="G47" s="1385">
        <v>0</v>
      </c>
      <c r="H47" s="2101"/>
      <c r="I47" s="2101"/>
      <c r="J47" s="2101"/>
      <c r="K47" s="1385">
        <v>0</v>
      </c>
      <c r="L47" s="1385">
        <v>0</v>
      </c>
      <c r="M47" s="1385">
        <v>0</v>
      </c>
      <c r="N47" s="2100"/>
      <c r="O47" s="2100"/>
      <c r="P47" s="2100"/>
      <c r="Q47" s="1077">
        <f t="shared" ref="Q47" si="56">MAX(E47,H47,K47,N47)</f>
        <v>0</v>
      </c>
      <c r="R47" s="2126">
        <f t="shared" si="49"/>
        <v>0</v>
      </c>
      <c r="S47" s="2127">
        <f t="shared" si="50"/>
        <v>0</v>
      </c>
      <c r="T47" s="853">
        <f>IFERROR(AVERAGE(Q47:S47),"")</f>
        <v>0</v>
      </c>
      <c r="U47" s="2081" t="str">
        <f t="shared" si="53"/>
        <v>1.33</v>
      </c>
      <c r="V47" s="2081" t="str">
        <f t="shared" si="54"/>
        <v>D+</v>
      </c>
      <c r="W47" s="2081" t="str">
        <f t="shared" si="55"/>
        <v>0</v>
      </c>
      <c r="X47" s="1587"/>
      <c r="Y47" s="1588"/>
      <c r="Z47" s="1588"/>
      <c r="AA47" s="1588"/>
      <c r="AB47" s="1588"/>
      <c r="AC47" s="1589"/>
      <c r="AD47" s="1590"/>
      <c r="AE47" s="1590"/>
      <c r="AF47" s="1590"/>
      <c r="AG47" s="1591"/>
      <c r="AH47" s="1413"/>
      <c r="AI47" s="1414"/>
    </row>
    <row r="48" spans="1:35" ht="24.95" customHeight="1" x14ac:dyDescent="0.25">
      <c r="A48" s="1592"/>
      <c r="B48" s="1592">
        <v>7</v>
      </c>
      <c r="C48" s="1593" t="s">
        <v>167</v>
      </c>
      <c r="D48" s="1594"/>
      <c r="E48" s="2878"/>
      <c r="F48" s="2879"/>
      <c r="G48" s="2879"/>
      <c r="H48" s="2879"/>
      <c r="I48" s="2079"/>
      <c r="J48" s="2079"/>
      <c r="K48" s="2079"/>
      <c r="L48" s="2079"/>
      <c r="M48" s="2079"/>
      <c r="N48" s="2079"/>
      <c r="O48" s="2079"/>
      <c r="P48" s="2079"/>
      <c r="Q48" s="2162"/>
      <c r="R48" s="2162"/>
      <c r="S48" s="2162"/>
      <c r="T48" s="1942">
        <f>IFERROR(AVERAGE(T43:T47),"  ")</f>
        <v>0</v>
      </c>
      <c r="U48" s="1619" t="str">
        <f>IF(T48&gt;85,("4"),IF(T48&gt;80,("3.66"),IF(T48&gt;75,("3.33"),IF(T48&gt;70,("3.00"),IF(T48&gt;65,("2.66"),IF(T48&gt;60,("2.33"),IF(T48&gt;55,("2"),IF(T48&gt;50,("1.66"),"1.33"))))))))</f>
        <v>1.33</v>
      </c>
      <c r="V48" s="1619" t="str">
        <f>IF(T48&gt;85,("A"),IF(T48&gt;80,("A-"),IF(T48&gt;75,("B+"),IF(T48&gt;70,("B"),IF(T48&gt;65,("B-"),IF(T48&gt;60,("C+"),IF(T48&gt;55,("C"),IF(T48&gt;50,("C-"),"D+"))))))))</f>
        <v>D+</v>
      </c>
      <c r="W48" s="1619"/>
      <c r="X48" s="1605"/>
      <c r="Y48" s="1606"/>
      <c r="Z48" s="1606"/>
      <c r="AA48" s="1606"/>
      <c r="AB48" s="1606"/>
      <c r="AC48" s="1607"/>
      <c r="AD48" s="1606"/>
      <c r="AE48" s="1606"/>
      <c r="AF48" s="1606"/>
      <c r="AG48" s="1608"/>
      <c r="AH48" s="1841"/>
      <c r="AI48" s="1620"/>
    </row>
    <row r="49" spans="1:35" ht="24.95" customHeight="1" x14ac:dyDescent="0.25">
      <c r="A49" s="1477">
        <v>8</v>
      </c>
      <c r="B49" s="1577"/>
      <c r="C49" s="1578" t="str">
        <f>VLOOKUP(A49,data_siswa,4,FALSE)</f>
        <v>Aulia Dea Rosalinda</v>
      </c>
      <c r="D49" s="1579" t="s">
        <v>155</v>
      </c>
      <c r="E49" s="1672">
        <v>0</v>
      </c>
      <c r="F49" s="1672">
        <v>0</v>
      </c>
      <c r="G49" s="1672">
        <v>0</v>
      </c>
      <c r="H49" s="2027"/>
      <c r="I49" s="2027"/>
      <c r="J49" s="2027"/>
      <c r="K49" s="1672"/>
      <c r="L49" s="1672"/>
      <c r="M49" s="1672"/>
      <c r="N49" s="2103"/>
      <c r="O49" s="2103"/>
      <c r="P49" s="2103"/>
      <c r="Q49" s="1077">
        <f>MAX(E49,H49,K49,N49)</f>
        <v>0</v>
      </c>
      <c r="R49" s="2126">
        <f t="shared" ref="R49:R53" si="57">MAX(F49,I49,L49,O49)</f>
        <v>0</v>
      </c>
      <c r="S49" s="2127">
        <f t="shared" ref="S49:S53" si="58">MAX(G49,J49,M49,P49)</f>
        <v>0</v>
      </c>
      <c r="T49" s="853">
        <f>IFERROR(AVERAGE(Q49:S49),"")</f>
        <v>0</v>
      </c>
      <c r="U49" s="2081" t="str">
        <f>IF(T49&gt;85,("4"),IF(T49&gt;80,("3.66"),IF(T49&gt;75,("3.33"),IF(T49&gt;70,("3.00"),IF(T49&gt;65,("2.66"),IF(T49&gt;60,("2.33"),IF(T49&gt;55,("2"),IF(T49&gt;50,("1.66"),"1.33"))))))))</f>
        <v>1.33</v>
      </c>
      <c r="V49" s="2081" t="str">
        <f>IF(T49&gt;85,("A"),IF(T49&gt;80,("A-"),IF(T49&gt;75,("B+"),IF(T49&gt;70,("B"),IF(T49&gt;65,("B-"),IF(T49&gt;60,("C+"),IF(T49&gt;55,("C"),IF(T49&gt;50,("C-"),"D+"))))))))</f>
        <v>D+</v>
      </c>
      <c r="W49" s="2081" t="str">
        <f>IF(T49&gt;80,("SB"),IF(T49&gt;65,("B"),IF(T49&gt;50,("C"),IF(T49&gt;0,("K"),"0"))))</f>
        <v>0</v>
      </c>
      <c r="X49" s="1609"/>
      <c r="Y49" s="1609"/>
      <c r="Z49" s="1609"/>
      <c r="AA49" s="1609"/>
      <c r="AB49" s="1609"/>
      <c r="AC49" s="1610"/>
      <c r="AD49" s="1611"/>
      <c r="AE49" s="1611"/>
      <c r="AF49" s="1611"/>
      <c r="AG49" s="1611"/>
      <c r="AH49" s="1929">
        <f>AVERAGE(T49:T53)</f>
        <v>0</v>
      </c>
      <c r="AI49" s="1945" t="str">
        <f>IF(AH49&gt;85,("A"),IF(AH49&gt;80,("A-"),IF(AH49&gt;75,("B+"),IF(AH49&gt;70,("B"),IF(AH49&gt;65,("B-"),IF(AH49&gt;60,("C+"),IF(AH49&gt;55,("C"),IF(AH49&gt;50,("C-"),"D+"))))))))</f>
        <v>D+</v>
      </c>
    </row>
    <row r="50" spans="1:35" ht="24.95" customHeight="1" x14ac:dyDescent="0.25">
      <c r="A50" s="1478"/>
      <c r="B50" s="1580"/>
      <c r="C50" s="1581"/>
      <c r="D50" s="1579" t="s">
        <v>9</v>
      </c>
      <c r="E50" s="1385">
        <v>0</v>
      </c>
      <c r="F50" s="1385">
        <v>0</v>
      </c>
      <c r="G50" s="1385">
        <v>0</v>
      </c>
      <c r="H50" s="2101"/>
      <c r="I50" s="2101"/>
      <c r="J50" s="2101"/>
      <c r="K50" s="1385"/>
      <c r="L50" s="1385"/>
      <c r="M50" s="1385"/>
      <c r="N50" s="2100">
        <v>0</v>
      </c>
      <c r="O50" s="2100">
        <v>0</v>
      </c>
      <c r="P50" s="2100">
        <v>0</v>
      </c>
      <c r="Q50" s="1077">
        <f t="shared" ref="Q50:Q51" si="59">MAX(E50,H50,K50,N50)</f>
        <v>0</v>
      </c>
      <c r="R50" s="2126">
        <f t="shared" si="57"/>
        <v>0</v>
      </c>
      <c r="S50" s="2127">
        <f t="shared" si="58"/>
        <v>0</v>
      </c>
      <c r="T50" s="853">
        <f t="shared" ref="T50:T51" si="60">IFERROR(AVERAGE(Q50:S50),"")</f>
        <v>0</v>
      </c>
      <c r="U50" s="2081" t="str">
        <f t="shared" ref="U50:U53" si="61">IF(T50&gt;85,("4"),IF(T50&gt;80,("3.66"),IF(T50&gt;75,("3.33"),IF(T50&gt;70,("3.00"),IF(T50&gt;65,("2.66"),IF(T50&gt;60,("2.33"),IF(T50&gt;55,("2"),IF(T50&gt;50,("1.66"),"1.33"))))))))</f>
        <v>1.33</v>
      </c>
      <c r="V50" s="2081" t="str">
        <f t="shared" ref="V50:V53" si="62">IF(T50&gt;85,("A"),IF(T50&gt;80,("A-"),IF(T50&gt;75,("B+"),IF(T50&gt;70,("B"),IF(T50&gt;65,("B-"),IF(T50&gt;60,("C+"),IF(T50&gt;55,("C"),IF(T50&gt;50,("C-"),"D+"))))))))</f>
        <v>D+</v>
      </c>
      <c r="W50" s="2081" t="str">
        <f t="shared" ref="W50:W53" si="63">IF(T50&gt;80,("SB"),IF(T50&gt;65,("B"),IF(T50&gt;50,("C"),IF(T50&gt;0,("K"),"0"))))</f>
        <v>0</v>
      </c>
      <c r="X50" s="1582"/>
      <c r="Y50" s="1583"/>
      <c r="Z50" s="1583"/>
      <c r="AA50" s="1583"/>
      <c r="AB50" s="1583"/>
      <c r="AC50" s="1584"/>
      <c r="AD50" s="1585"/>
      <c r="AE50" s="1585"/>
      <c r="AF50" s="1585"/>
      <c r="AG50" s="1586"/>
      <c r="AH50" s="1411"/>
      <c r="AI50" s="1412"/>
    </row>
    <row r="51" spans="1:35" ht="24.95" customHeight="1" x14ac:dyDescent="0.25">
      <c r="A51" s="1478"/>
      <c r="B51" s="1580"/>
      <c r="C51" s="1581"/>
      <c r="D51" s="1579" t="s">
        <v>11</v>
      </c>
      <c r="E51" s="1385"/>
      <c r="F51" s="1385"/>
      <c r="G51" s="1385"/>
      <c r="H51" s="2101">
        <v>0</v>
      </c>
      <c r="I51" s="2101">
        <v>0</v>
      </c>
      <c r="J51" s="2101">
        <v>0</v>
      </c>
      <c r="K51" s="1385">
        <v>0</v>
      </c>
      <c r="L51" s="1385">
        <v>0</v>
      </c>
      <c r="M51" s="1385">
        <v>0</v>
      </c>
      <c r="N51" s="2100">
        <v>0</v>
      </c>
      <c r="O51" s="2100">
        <v>0</v>
      </c>
      <c r="P51" s="2100">
        <v>0</v>
      </c>
      <c r="Q51" s="1077">
        <f t="shared" si="59"/>
        <v>0</v>
      </c>
      <c r="R51" s="2126">
        <f t="shared" si="57"/>
        <v>0</v>
      </c>
      <c r="S51" s="2127">
        <f t="shared" si="58"/>
        <v>0</v>
      </c>
      <c r="T51" s="853">
        <f t="shared" si="60"/>
        <v>0</v>
      </c>
      <c r="U51" s="2081" t="str">
        <f t="shared" si="61"/>
        <v>1.33</v>
      </c>
      <c r="V51" s="2081" t="str">
        <f t="shared" si="62"/>
        <v>D+</v>
      </c>
      <c r="W51" s="2081" t="str">
        <f t="shared" si="63"/>
        <v>0</v>
      </c>
      <c r="X51" s="1587"/>
      <c r="Y51" s="1588"/>
      <c r="Z51" s="1588"/>
      <c r="AA51" s="1588"/>
      <c r="AB51" s="1588"/>
      <c r="AC51" s="1589"/>
      <c r="AD51" s="1590"/>
      <c r="AE51" s="1590"/>
      <c r="AF51" s="1590"/>
      <c r="AG51" s="1591"/>
      <c r="AH51" s="1413"/>
      <c r="AI51" s="1414"/>
    </row>
    <row r="52" spans="1:35" ht="24.95" customHeight="1" x14ac:dyDescent="0.25">
      <c r="A52" s="1478"/>
      <c r="B52" s="1580"/>
      <c r="C52" s="1581"/>
      <c r="D52" s="1579" t="s">
        <v>16</v>
      </c>
      <c r="E52" s="1385"/>
      <c r="F52" s="1385"/>
      <c r="G52" s="1385"/>
      <c r="H52" s="2101">
        <v>0</v>
      </c>
      <c r="I52" s="2101">
        <v>0</v>
      </c>
      <c r="J52" s="2101">
        <v>0</v>
      </c>
      <c r="K52" s="1385"/>
      <c r="L52" s="1385"/>
      <c r="M52" s="1385"/>
      <c r="N52" s="2100"/>
      <c r="O52" s="2100"/>
      <c r="P52" s="2100"/>
      <c r="Q52" s="1077">
        <f>MAX(E52,H52,K52,N52)</f>
        <v>0</v>
      </c>
      <c r="R52" s="2126">
        <f t="shared" si="57"/>
        <v>0</v>
      </c>
      <c r="S52" s="2127">
        <f t="shared" si="58"/>
        <v>0</v>
      </c>
      <c r="T52" s="853">
        <f>IFERROR(AVERAGE(Q52:S52),"")</f>
        <v>0</v>
      </c>
      <c r="U52" s="2081" t="str">
        <f t="shared" si="61"/>
        <v>1.33</v>
      </c>
      <c r="V52" s="2081" t="str">
        <f t="shared" si="62"/>
        <v>D+</v>
      </c>
      <c r="W52" s="2081" t="str">
        <f t="shared" si="63"/>
        <v>0</v>
      </c>
      <c r="X52" s="1587"/>
      <c r="Y52" s="1588"/>
      <c r="Z52" s="1588"/>
      <c r="AA52" s="1588"/>
      <c r="AB52" s="1588"/>
      <c r="AC52" s="1589"/>
      <c r="AD52" s="1590"/>
      <c r="AE52" s="1590"/>
      <c r="AF52" s="1590"/>
      <c r="AG52" s="1591"/>
      <c r="AH52" s="1413"/>
      <c r="AI52" s="1414"/>
    </row>
    <row r="53" spans="1:35" ht="24.95" customHeight="1" x14ac:dyDescent="0.25">
      <c r="A53" s="1478"/>
      <c r="B53" s="1580"/>
      <c r="C53" s="1581"/>
      <c r="D53" s="1579" t="s">
        <v>189</v>
      </c>
      <c r="E53" s="1385">
        <v>0</v>
      </c>
      <c r="F53" s="1385">
        <v>0</v>
      </c>
      <c r="G53" s="1385">
        <v>0</v>
      </c>
      <c r="H53" s="2101"/>
      <c r="I53" s="2101"/>
      <c r="J53" s="2101"/>
      <c r="K53" s="1385">
        <v>0</v>
      </c>
      <c r="L53" s="1385">
        <v>0</v>
      </c>
      <c r="M53" s="1385">
        <v>0</v>
      </c>
      <c r="N53" s="2100"/>
      <c r="O53" s="2100"/>
      <c r="P53" s="2100"/>
      <c r="Q53" s="1077">
        <f t="shared" ref="Q53" si="64">MAX(E53,H53,K53,N53)</f>
        <v>0</v>
      </c>
      <c r="R53" s="2126">
        <f t="shared" si="57"/>
        <v>0</v>
      </c>
      <c r="S53" s="2127">
        <f t="shared" si="58"/>
        <v>0</v>
      </c>
      <c r="T53" s="853">
        <f>IFERROR(AVERAGE(Q53:S53),"")</f>
        <v>0</v>
      </c>
      <c r="U53" s="2081" t="str">
        <f t="shared" si="61"/>
        <v>1.33</v>
      </c>
      <c r="V53" s="2081" t="str">
        <f t="shared" si="62"/>
        <v>D+</v>
      </c>
      <c r="W53" s="2081" t="str">
        <f t="shared" si="63"/>
        <v>0</v>
      </c>
      <c r="X53" s="1587"/>
      <c r="Y53" s="1588"/>
      <c r="Z53" s="1588"/>
      <c r="AA53" s="1588"/>
      <c r="AB53" s="1588"/>
      <c r="AC53" s="1589"/>
      <c r="AD53" s="1590"/>
      <c r="AE53" s="1590"/>
      <c r="AF53" s="1590"/>
      <c r="AG53" s="1591"/>
      <c r="AH53" s="1413"/>
      <c r="AI53" s="1414"/>
    </row>
    <row r="54" spans="1:35" ht="24.95" customHeight="1" x14ac:dyDescent="0.25">
      <c r="A54" s="1592"/>
      <c r="B54" s="1592">
        <v>8</v>
      </c>
      <c r="C54" s="1593" t="s">
        <v>167</v>
      </c>
      <c r="D54" s="1594"/>
      <c r="E54" s="2878"/>
      <c r="F54" s="2879"/>
      <c r="G54" s="2879"/>
      <c r="H54" s="2879"/>
      <c r="I54" s="2079"/>
      <c r="J54" s="2079"/>
      <c r="K54" s="2079"/>
      <c r="L54" s="2079"/>
      <c r="M54" s="2079"/>
      <c r="N54" s="2079"/>
      <c r="O54" s="2079"/>
      <c r="P54" s="2079"/>
      <c r="Q54" s="2162"/>
      <c r="R54" s="2162"/>
      <c r="S54" s="2162"/>
      <c r="T54" s="1942">
        <f>IFERROR(AVERAGE(T49:T53),"  ")</f>
        <v>0</v>
      </c>
      <c r="U54" s="1619" t="str">
        <f>IF(T54&gt;85,("4"),IF(T54&gt;80,("3.66"),IF(T54&gt;75,("3.33"),IF(T54&gt;70,("3.00"),IF(T54&gt;65,("2.66"),IF(T54&gt;60,("2.33"),IF(T54&gt;55,("2"),IF(T54&gt;50,("1.66"),"1.33"))))))))</f>
        <v>1.33</v>
      </c>
      <c r="V54" s="1619" t="str">
        <f>IF(T54&gt;85,("A"),IF(T54&gt;80,("A-"),IF(T54&gt;75,("B+"),IF(T54&gt;70,("B"),IF(T54&gt;65,("B-"),IF(T54&gt;60,("C+"),IF(T54&gt;55,("C"),IF(T54&gt;50,("C-"),"D+"))))))))</f>
        <v>D+</v>
      </c>
      <c r="W54" s="1619"/>
      <c r="X54" s="1605"/>
      <c r="Y54" s="1606"/>
      <c r="Z54" s="1606"/>
      <c r="AA54" s="1606"/>
      <c r="AB54" s="1606"/>
      <c r="AC54" s="1607"/>
      <c r="AD54" s="1606"/>
      <c r="AE54" s="1606"/>
      <c r="AF54" s="1606"/>
      <c r="AG54" s="1608"/>
      <c r="AH54" s="1841"/>
      <c r="AI54" s="1620"/>
    </row>
    <row r="55" spans="1:35" ht="24.95" customHeight="1" x14ac:dyDescent="0.25">
      <c r="A55" s="1477">
        <v>9</v>
      </c>
      <c r="B55" s="1577"/>
      <c r="C55" s="1578" t="str">
        <f>VLOOKUP(A55,data_siswa,4,FALSE)</f>
        <v>Claudia Gabriella L</v>
      </c>
      <c r="D55" s="1579" t="s">
        <v>155</v>
      </c>
      <c r="E55" s="1672">
        <v>0</v>
      </c>
      <c r="F55" s="1672">
        <v>0</v>
      </c>
      <c r="G55" s="1672">
        <v>0</v>
      </c>
      <c r="H55" s="2027"/>
      <c r="I55" s="2027"/>
      <c r="J55" s="2027"/>
      <c r="K55" s="1672"/>
      <c r="L55" s="1672"/>
      <c r="M55" s="1672"/>
      <c r="N55" s="2103"/>
      <c r="O55" s="2103"/>
      <c r="P55" s="2103"/>
      <c r="Q55" s="1077">
        <f>MAX(E55,H55,K55,N55)</f>
        <v>0</v>
      </c>
      <c r="R55" s="2126">
        <f t="shared" ref="R55:R59" si="65">MAX(F55,I55,L55,O55)</f>
        <v>0</v>
      </c>
      <c r="S55" s="2127">
        <f t="shared" ref="S55:S59" si="66">MAX(G55,J55,M55,P55)</f>
        <v>0</v>
      </c>
      <c r="T55" s="853">
        <f>IFERROR(AVERAGE(Q55:S55),"")</f>
        <v>0</v>
      </c>
      <c r="U55" s="2081" t="str">
        <f>IF(T55&gt;85,("4"),IF(T55&gt;80,("3.66"),IF(T55&gt;75,("3.33"),IF(T55&gt;70,("3.00"),IF(T55&gt;65,("2.66"),IF(T55&gt;60,("2.33"),IF(T55&gt;55,("2"),IF(T55&gt;50,("1.66"),"1.33"))))))))</f>
        <v>1.33</v>
      </c>
      <c r="V55" s="2081" t="str">
        <f>IF(T55&gt;85,("A"),IF(T55&gt;80,("A-"),IF(T55&gt;75,("B+"),IF(T55&gt;70,("B"),IF(T55&gt;65,("B-"),IF(T55&gt;60,("C+"),IF(T55&gt;55,("C"),IF(T55&gt;50,("C-"),"D+"))))))))</f>
        <v>D+</v>
      </c>
      <c r="W55" s="2081" t="str">
        <f>IF(T55&gt;80,("SB"),IF(T55&gt;65,("B"),IF(T55&gt;50,("C"),IF(T55&gt;0,("K"),"0"))))</f>
        <v>0</v>
      </c>
      <c r="X55" s="1609"/>
      <c r="Y55" s="1609"/>
      <c r="Z55" s="1609"/>
      <c r="AA55" s="1609"/>
      <c r="AB55" s="1609"/>
      <c r="AC55" s="1610"/>
      <c r="AD55" s="1611"/>
      <c r="AE55" s="1611"/>
      <c r="AF55" s="1611"/>
      <c r="AG55" s="1611"/>
      <c r="AH55" s="1929">
        <f>AVERAGE(T55:T59)</f>
        <v>0</v>
      </c>
      <c r="AI55" s="1945" t="str">
        <f>IF(AH55&gt;85,("A"),IF(AH55&gt;80,("A-"),IF(AH55&gt;75,("B+"),IF(AH55&gt;70,("B"),IF(AH55&gt;65,("B-"),IF(AH55&gt;60,("C+"),IF(AH55&gt;55,("C"),IF(AH55&gt;50,("C-"),"D+"))))))))</f>
        <v>D+</v>
      </c>
    </row>
    <row r="56" spans="1:35" ht="24.95" customHeight="1" x14ac:dyDescent="0.25">
      <c r="A56" s="1478"/>
      <c r="B56" s="1580"/>
      <c r="C56" s="1581"/>
      <c r="D56" s="1579" t="s">
        <v>9</v>
      </c>
      <c r="E56" s="1385">
        <v>0</v>
      </c>
      <c r="F56" s="1385">
        <v>0</v>
      </c>
      <c r="G56" s="1385">
        <v>0</v>
      </c>
      <c r="H56" s="2101"/>
      <c r="I56" s="2101"/>
      <c r="J56" s="2101"/>
      <c r="K56" s="1385"/>
      <c r="L56" s="1385"/>
      <c r="M56" s="1385"/>
      <c r="N56" s="2100">
        <v>0</v>
      </c>
      <c r="O56" s="2100">
        <v>0</v>
      </c>
      <c r="P56" s="2100">
        <v>0</v>
      </c>
      <c r="Q56" s="1077">
        <f t="shared" ref="Q56:Q57" si="67">MAX(E56,H56,K56,N56)</f>
        <v>0</v>
      </c>
      <c r="R56" s="2126">
        <f t="shared" si="65"/>
        <v>0</v>
      </c>
      <c r="S56" s="2127">
        <f t="shared" si="66"/>
        <v>0</v>
      </c>
      <c r="T56" s="853">
        <f t="shared" ref="T56:T57" si="68">IFERROR(AVERAGE(Q56:S56),"")</f>
        <v>0</v>
      </c>
      <c r="U56" s="2081" t="str">
        <f t="shared" ref="U56:U59" si="69">IF(T56&gt;85,("4"),IF(T56&gt;80,("3.66"),IF(T56&gt;75,("3.33"),IF(T56&gt;70,("3.00"),IF(T56&gt;65,("2.66"),IF(T56&gt;60,("2.33"),IF(T56&gt;55,("2"),IF(T56&gt;50,("1.66"),"1.33"))))))))</f>
        <v>1.33</v>
      </c>
      <c r="V56" s="2081" t="str">
        <f t="shared" ref="V56:V59" si="70">IF(T56&gt;85,("A"),IF(T56&gt;80,("A-"),IF(T56&gt;75,("B+"),IF(T56&gt;70,("B"),IF(T56&gt;65,("B-"),IF(T56&gt;60,("C+"),IF(T56&gt;55,("C"),IF(T56&gt;50,("C-"),"D+"))))))))</f>
        <v>D+</v>
      </c>
      <c r="W56" s="2081" t="str">
        <f t="shared" ref="W56:W59" si="71">IF(T56&gt;80,("SB"),IF(T56&gt;65,("B"),IF(T56&gt;50,("C"),IF(T56&gt;0,("K"),"0"))))</f>
        <v>0</v>
      </c>
      <c r="X56" s="1582"/>
      <c r="Y56" s="1583"/>
      <c r="Z56" s="1583"/>
      <c r="AA56" s="1583"/>
      <c r="AB56" s="1583"/>
      <c r="AC56" s="1584"/>
      <c r="AD56" s="1585"/>
      <c r="AE56" s="1585"/>
      <c r="AF56" s="1585"/>
      <c r="AG56" s="1586"/>
      <c r="AH56" s="1411"/>
      <c r="AI56" s="1412"/>
    </row>
    <row r="57" spans="1:35" ht="24.95" customHeight="1" x14ac:dyDescent="0.25">
      <c r="A57" s="1478"/>
      <c r="B57" s="1580"/>
      <c r="C57" s="1581"/>
      <c r="D57" s="1579" t="s">
        <v>11</v>
      </c>
      <c r="E57" s="1385"/>
      <c r="F57" s="1385"/>
      <c r="G57" s="1385"/>
      <c r="H57" s="2101">
        <v>0</v>
      </c>
      <c r="I57" s="2101">
        <v>0</v>
      </c>
      <c r="J57" s="2101">
        <v>0</v>
      </c>
      <c r="K57" s="1385">
        <v>0</v>
      </c>
      <c r="L57" s="1385">
        <v>0</v>
      </c>
      <c r="M57" s="1385">
        <v>0</v>
      </c>
      <c r="N57" s="2100">
        <v>0</v>
      </c>
      <c r="O57" s="2100">
        <v>0</v>
      </c>
      <c r="P57" s="2100">
        <v>0</v>
      </c>
      <c r="Q57" s="1077">
        <f t="shared" si="67"/>
        <v>0</v>
      </c>
      <c r="R57" s="2126">
        <f t="shared" si="65"/>
        <v>0</v>
      </c>
      <c r="S57" s="2127">
        <f t="shared" si="66"/>
        <v>0</v>
      </c>
      <c r="T57" s="853">
        <f t="shared" si="68"/>
        <v>0</v>
      </c>
      <c r="U57" s="2081" t="str">
        <f t="shared" si="69"/>
        <v>1.33</v>
      </c>
      <c r="V57" s="2081" t="str">
        <f t="shared" si="70"/>
        <v>D+</v>
      </c>
      <c r="W57" s="2081" t="str">
        <f t="shared" si="71"/>
        <v>0</v>
      </c>
      <c r="X57" s="1587"/>
      <c r="Y57" s="1588"/>
      <c r="Z57" s="1588"/>
      <c r="AA57" s="1588"/>
      <c r="AB57" s="1588"/>
      <c r="AC57" s="1589"/>
      <c r="AD57" s="1590"/>
      <c r="AE57" s="1590"/>
      <c r="AF57" s="1590"/>
      <c r="AG57" s="1591"/>
      <c r="AH57" s="1413"/>
      <c r="AI57" s="1414"/>
    </row>
    <row r="58" spans="1:35" ht="24.95" customHeight="1" x14ac:dyDescent="0.25">
      <c r="A58" s="1478"/>
      <c r="B58" s="1580"/>
      <c r="C58" s="1581"/>
      <c r="D58" s="1579" t="s">
        <v>16</v>
      </c>
      <c r="E58" s="1385"/>
      <c r="F58" s="1385"/>
      <c r="G58" s="1385"/>
      <c r="H58" s="2101">
        <v>0</v>
      </c>
      <c r="I58" s="2101">
        <v>0</v>
      </c>
      <c r="J58" s="2101">
        <v>0</v>
      </c>
      <c r="K58" s="1385"/>
      <c r="L58" s="1385"/>
      <c r="M58" s="1385"/>
      <c r="N58" s="2100"/>
      <c r="O58" s="2100"/>
      <c r="P58" s="2100"/>
      <c r="Q58" s="1077">
        <f>MAX(E58,H58,K58,N58)</f>
        <v>0</v>
      </c>
      <c r="R58" s="2126">
        <f t="shared" si="65"/>
        <v>0</v>
      </c>
      <c r="S58" s="2127">
        <f t="shared" si="66"/>
        <v>0</v>
      </c>
      <c r="T58" s="853">
        <f>IFERROR(AVERAGE(Q58:S58),"")</f>
        <v>0</v>
      </c>
      <c r="U58" s="2081" t="str">
        <f t="shared" si="69"/>
        <v>1.33</v>
      </c>
      <c r="V58" s="2081" t="str">
        <f t="shared" si="70"/>
        <v>D+</v>
      </c>
      <c r="W58" s="2081" t="str">
        <f t="shared" si="71"/>
        <v>0</v>
      </c>
      <c r="X58" s="1587"/>
      <c r="Y58" s="1588"/>
      <c r="Z58" s="1588"/>
      <c r="AA58" s="1588"/>
      <c r="AB58" s="1588"/>
      <c r="AC58" s="1589"/>
      <c r="AD58" s="1590"/>
      <c r="AE58" s="1590"/>
      <c r="AF58" s="1590"/>
      <c r="AG58" s="1591"/>
      <c r="AH58" s="1413"/>
      <c r="AI58" s="1414"/>
    </row>
    <row r="59" spans="1:35" ht="24.95" customHeight="1" x14ac:dyDescent="0.25">
      <c r="A59" s="1478"/>
      <c r="B59" s="1580"/>
      <c r="C59" s="1581"/>
      <c r="D59" s="1579" t="s">
        <v>189</v>
      </c>
      <c r="E59" s="1385">
        <v>0</v>
      </c>
      <c r="F59" s="1385">
        <v>0</v>
      </c>
      <c r="G59" s="1385">
        <v>0</v>
      </c>
      <c r="H59" s="2101"/>
      <c r="I59" s="2101"/>
      <c r="J59" s="2101"/>
      <c r="K59" s="1385">
        <v>0</v>
      </c>
      <c r="L59" s="1385">
        <v>0</v>
      </c>
      <c r="M59" s="1385">
        <v>0</v>
      </c>
      <c r="N59" s="2100"/>
      <c r="O59" s="2100"/>
      <c r="P59" s="2100"/>
      <c r="Q59" s="1077">
        <f t="shared" ref="Q59" si="72">MAX(E59,H59,K59,N59)</f>
        <v>0</v>
      </c>
      <c r="R59" s="2126">
        <f t="shared" si="65"/>
        <v>0</v>
      </c>
      <c r="S59" s="2127">
        <f t="shared" si="66"/>
        <v>0</v>
      </c>
      <c r="T59" s="853">
        <f>IFERROR(AVERAGE(Q59:S59),"")</f>
        <v>0</v>
      </c>
      <c r="U59" s="2081" t="str">
        <f t="shared" si="69"/>
        <v>1.33</v>
      </c>
      <c r="V59" s="2081" t="str">
        <f t="shared" si="70"/>
        <v>D+</v>
      </c>
      <c r="W59" s="2081" t="str">
        <f t="shared" si="71"/>
        <v>0</v>
      </c>
      <c r="X59" s="1587"/>
      <c r="Y59" s="1588"/>
      <c r="Z59" s="1588"/>
      <c r="AA59" s="1588"/>
      <c r="AB59" s="1588"/>
      <c r="AC59" s="1589"/>
      <c r="AD59" s="1590"/>
      <c r="AE59" s="1590"/>
      <c r="AF59" s="1590"/>
      <c r="AG59" s="1591"/>
      <c r="AH59" s="1413"/>
      <c r="AI59" s="1414"/>
    </row>
    <row r="60" spans="1:35" ht="24.95" customHeight="1" x14ac:dyDescent="0.25">
      <c r="A60" s="1592"/>
      <c r="B60" s="1592">
        <v>9</v>
      </c>
      <c r="C60" s="1593" t="s">
        <v>167</v>
      </c>
      <c r="D60" s="1594"/>
      <c r="E60" s="2878"/>
      <c r="F60" s="2879"/>
      <c r="G60" s="2879"/>
      <c r="H60" s="2879"/>
      <c r="I60" s="2079"/>
      <c r="J60" s="2079"/>
      <c r="K60" s="2079"/>
      <c r="L60" s="2079"/>
      <c r="M60" s="2079"/>
      <c r="N60" s="2079"/>
      <c r="O60" s="2079"/>
      <c r="P60" s="2079"/>
      <c r="Q60" s="2162"/>
      <c r="R60" s="2162"/>
      <c r="S60" s="2162"/>
      <c r="T60" s="1942">
        <f>IFERROR(AVERAGE(T55:T59),"  ")</f>
        <v>0</v>
      </c>
      <c r="U60" s="1619" t="str">
        <f>IF(T60&gt;85,("4"),IF(T60&gt;80,("3.66"),IF(T60&gt;75,("3.33"),IF(T60&gt;70,("3.00"),IF(T60&gt;65,("2.66"),IF(T60&gt;60,("2.33"),IF(T60&gt;55,("2"),IF(T60&gt;50,("1.66"),"1.33"))))))))</f>
        <v>1.33</v>
      </c>
      <c r="V60" s="1619" t="str">
        <f>IF(T60&gt;85,("A"),IF(T60&gt;80,("A-"),IF(T60&gt;75,("B+"),IF(T60&gt;70,("B"),IF(T60&gt;65,("B-"),IF(T60&gt;60,("C+"),IF(T60&gt;55,("C"),IF(T60&gt;50,("C-"),"D+"))))))))</f>
        <v>D+</v>
      </c>
      <c r="W60" s="1619"/>
      <c r="X60" s="1605"/>
      <c r="Y60" s="1606"/>
      <c r="Z60" s="1606"/>
      <c r="AA60" s="1606"/>
      <c r="AB60" s="1606"/>
      <c r="AC60" s="1607"/>
      <c r="AD60" s="1606"/>
      <c r="AE60" s="1606"/>
      <c r="AF60" s="1606"/>
      <c r="AG60" s="1608"/>
      <c r="AH60" s="1841"/>
      <c r="AI60" s="1620"/>
    </row>
    <row r="61" spans="1:35" ht="24.95" customHeight="1" x14ac:dyDescent="0.25">
      <c r="A61" s="1477">
        <v>10</v>
      </c>
      <c r="B61" s="1577"/>
      <c r="C61" s="1578" t="str">
        <f>VLOOKUP(A61,data_siswa,4,FALSE)</f>
        <v xml:space="preserve">Deco Badarus Zaman </v>
      </c>
      <c r="D61" s="1579" t="s">
        <v>155</v>
      </c>
      <c r="E61" s="1672">
        <v>0</v>
      </c>
      <c r="F61" s="1672">
        <v>0</v>
      </c>
      <c r="G61" s="1672">
        <v>0</v>
      </c>
      <c r="H61" s="2027"/>
      <c r="I61" s="2027"/>
      <c r="J61" s="2027"/>
      <c r="K61" s="1672"/>
      <c r="L61" s="1672"/>
      <c r="M61" s="1672"/>
      <c r="N61" s="2103"/>
      <c r="O61" s="2103"/>
      <c r="P61" s="2103"/>
      <c r="Q61" s="1077">
        <f>MAX(E61,H61,K61,N61)</f>
        <v>0</v>
      </c>
      <c r="R61" s="2126">
        <f t="shared" ref="R61:R65" si="73">MAX(F61,I61,L61,O61)</f>
        <v>0</v>
      </c>
      <c r="S61" s="2127">
        <f t="shared" ref="S61:S65" si="74">MAX(G61,J61,M61,P61)</f>
        <v>0</v>
      </c>
      <c r="T61" s="853">
        <f>IFERROR(AVERAGE(Q61:S61),"")</f>
        <v>0</v>
      </c>
      <c r="U61" s="2081" t="str">
        <f>IF(T61&gt;85,("4"),IF(T61&gt;80,("3.66"),IF(T61&gt;75,("3.33"),IF(T61&gt;70,("3.00"),IF(T61&gt;65,("2.66"),IF(T61&gt;60,("2.33"),IF(T61&gt;55,("2"),IF(T61&gt;50,("1.66"),"1.33"))))))))</f>
        <v>1.33</v>
      </c>
      <c r="V61" s="2081" t="str">
        <f>IF(T61&gt;85,("A"),IF(T61&gt;80,("A-"),IF(T61&gt;75,("B+"),IF(T61&gt;70,("B"),IF(T61&gt;65,("B-"),IF(T61&gt;60,("C+"),IF(T61&gt;55,("C"),IF(T61&gt;50,("C-"),"D+"))))))))</f>
        <v>D+</v>
      </c>
      <c r="W61" s="2081" t="str">
        <f>IF(T61&gt;80,("SB"),IF(T61&gt;65,("B"),IF(T61&gt;50,("C"),IF(T61&gt;0,("K"),"0"))))</f>
        <v>0</v>
      </c>
      <c r="X61" s="1609"/>
      <c r="Y61" s="1609"/>
      <c r="Z61" s="1609"/>
      <c r="AA61" s="1609"/>
      <c r="AB61" s="1609"/>
      <c r="AC61" s="1610"/>
      <c r="AD61" s="1611"/>
      <c r="AE61" s="1611"/>
      <c r="AF61" s="1611"/>
      <c r="AG61" s="1611"/>
      <c r="AH61" s="1929">
        <f>AVERAGE(T61:T65)</f>
        <v>0</v>
      </c>
      <c r="AI61" s="1945" t="str">
        <f>IF(AH61&gt;85,("A"),IF(AH61&gt;80,("A-"),IF(AH61&gt;75,("B+"),IF(AH61&gt;70,("B"),IF(AH61&gt;65,("B-"),IF(AH61&gt;60,("C+"),IF(AH61&gt;55,("C"),IF(AH61&gt;50,("C-"),"D+"))))))))</f>
        <v>D+</v>
      </c>
    </row>
    <row r="62" spans="1:35" ht="24.95" customHeight="1" x14ac:dyDescent="0.25">
      <c r="A62" s="1478"/>
      <c r="B62" s="1580"/>
      <c r="C62" s="1581"/>
      <c r="D62" s="1579" t="s">
        <v>9</v>
      </c>
      <c r="E62" s="1385">
        <v>0</v>
      </c>
      <c r="F62" s="1385">
        <v>0</v>
      </c>
      <c r="G62" s="1385">
        <v>0</v>
      </c>
      <c r="H62" s="2101"/>
      <c r="I62" s="2101"/>
      <c r="J62" s="2101"/>
      <c r="K62" s="1385"/>
      <c r="L62" s="1385"/>
      <c r="M62" s="1385"/>
      <c r="N62" s="2100">
        <v>0</v>
      </c>
      <c r="O62" s="2100">
        <v>0</v>
      </c>
      <c r="P62" s="2100">
        <v>0</v>
      </c>
      <c r="Q62" s="1077">
        <f t="shared" ref="Q62:Q63" si="75">MAX(E62,H62,K62,N62)</f>
        <v>0</v>
      </c>
      <c r="R62" s="2126">
        <f t="shared" si="73"/>
        <v>0</v>
      </c>
      <c r="S62" s="2127">
        <f t="shared" si="74"/>
        <v>0</v>
      </c>
      <c r="T62" s="853">
        <f t="shared" ref="T62:T63" si="76">IFERROR(AVERAGE(Q62:S62),"")</f>
        <v>0</v>
      </c>
      <c r="U62" s="2081" t="str">
        <f t="shared" ref="U62:U65" si="77">IF(T62&gt;85,("4"),IF(T62&gt;80,("3.66"),IF(T62&gt;75,("3.33"),IF(T62&gt;70,("3.00"),IF(T62&gt;65,("2.66"),IF(T62&gt;60,("2.33"),IF(T62&gt;55,("2"),IF(T62&gt;50,("1.66"),"1.33"))))))))</f>
        <v>1.33</v>
      </c>
      <c r="V62" s="2081" t="str">
        <f t="shared" ref="V62:V65" si="78">IF(T62&gt;85,("A"),IF(T62&gt;80,("A-"),IF(T62&gt;75,("B+"),IF(T62&gt;70,("B"),IF(T62&gt;65,("B-"),IF(T62&gt;60,("C+"),IF(T62&gt;55,("C"),IF(T62&gt;50,("C-"),"D+"))))))))</f>
        <v>D+</v>
      </c>
      <c r="W62" s="2081" t="str">
        <f t="shared" ref="W62:W65" si="79">IF(T62&gt;80,("SB"),IF(T62&gt;65,("B"),IF(T62&gt;50,("C"),IF(T62&gt;0,("K"),"0"))))</f>
        <v>0</v>
      </c>
      <c r="X62" s="1582"/>
      <c r="Y62" s="1583"/>
      <c r="Z62" s="1583"/>
      <c r="AA62" s="1583"/>
      <c r="AB62" s="1583"/>
      <c r="AC62" s="1584"/>
      <c r="AD62" s="1585"/>
      <c r="AE62" s="1585"/>
      <c r="AF62" s="1585"/>
      <c r="AG62" s="1586"/>
      <c r="AH62" s="1411"/>
      <c r="AI62" s="1412"/>
    </row>
    <row r="63" spans="1:35" ht="24.95" customHeight="1" x14ac:dyDescent="0.25">
      <c r="A63" s="1478"/>
      <c r="B63" s="1580"/>
      <c r="C63" s="1581"/>
      <c r="D63" s="1579" t="s">
        <v>11</v>
      </c>
      <c r="E63" s="1385"/>
      <c r="F63" s="1385"/>
      <c r="G63" s="1385"/>
      <c r="H63" s="2101">
        <v>0</v>
      </c>
      <c r="I63" s="2101">
        <v>0</v>
      </c>
      <c r="J63" s="2101">
        <v>0</v>
      </c>
      <c r="K63" s="1385">
        <v>0</v>
      </c>
      <c r="L63" s="1385">
        <v>0</v>
      </c>
      <c r="M63" s="1385">
        <v>0</v>
      </c>
      <c r="N63" s="2100">
        <v>0</v>
      </c>
      <c r="O63" s="2100">
        <v>0</v>
      </c>
      <c r="P63" s="2100">
        <v>0</v>
      </c>
      <c r="Q63" s="1077">
        <f t="shared" si="75"/>
        <v>0</v>
      </c>
      <c r="R63" s="2126">
        <f t="shared" si="73"/>
        <v>0</v>
      </c>
      <c r="S63" s="2127">
        <f t="shared" si="74"/>
        <v>0</v>
      </c>
      <c r="T63" s="853">
        <f t="shared" si="76"/>
        <v>0</v>
      </c>
      <c r="U63" s="2081" t="str">
        <f t="shared" si="77"/>
        <v>1.33</v>
      </c>
      <c r="V63" s="2081" t="str">
        <f t="shared" si="78"/>
        <v>D+</v>
      </c>
      <c r="W63" s="2081" t="str">
        <f t="shared" si="79"/>
        <v>0</v>
      </c>
      <c r="X63" s="1587"/>
      <c r="Y63" s="1588"/>
      <c r="Z63" s="1588"/>
      <c r="AA63" s="1588"/>
      <c r="AB63" s="1588"/>
      <c r="AC63" s="1589"/>
      <c r="AD63" s="1590"/>
      <c r="AE63" s="1590"/>
      <c r="AF63" s="1590"/>
      <c r="AG63" s="1591"/>
      <c r="AH63" s="1413"/>
      <c r="AI63" s="1414"/>
    </row>
    <row r="64" spans="1:35" ht="24.95" customHeight="1" x14ac:dyDescent="0.25">
      <c r="A64" s="1478"/>
      <c r="B64" s="1580"/>
      <c r="C64" s="1581"/>
      <c r="D64" s="1579" t="s">
        <v>16</v>
      </c>
      <c r="E64" s="1385"/>
      <c r="F64" s="1385"/>
      <c r="G64" s="1385"/>
      <c r="H64" s="2101">
        <v>0</v>
      </c>
      <c r="I64" s="2101">
        <v>0</v>
      </c>
      <c r="J64" s="2101">
        <v>0</v>
      </c>
      <c r="K64" s="1385"/>
      <c r="L64" s="1385"/>
      <c r="M64" s="1385"/>
      <c r="N64" s="2100"/>
      <c r="O64" s="2100"/>
      <c r="P64" s="2100"/>
      <c r="Q64" s="1077">
        <f>MAX(E64,H64,K64,N64)</f>
        <v>0</v>
      </c>
      <c r="R64" s="2126">
        <f t="shared" si="73"/>
        <v>0</v>
      </c>
      <c r="S64" s="2127">
        <f t="shared" si="74"/>
        <v>0</v>
      </c>
      <c r="T64" s="853">
        <f>IFERROR(AVERAGE(Q64:S64),"")</f>
        <v>0</v>
      </c>
      <c r="U64" s="2081" t="str">
        <f t="shared" si="77"/>
        <v>1.33</v>
      </c>
      <c r="V64" s="2081" t="str">
        <f t="shared" si="78"/>
        <v>D+</v>
      </c>
      <c r="W64" s="2081" t="str">
        <f t="shared" si="79"/>
        <v>0</v>
      </c>
      <c r="X64" s="1587"/>
      <c r="Y64" s="1588"/>
      <c r="Z64" s="1588"/>
      <c r="AA64" s="1588"/>
      <c r="AB64" s="1588"/>
      <c r="AC64" s="1589"/>
      <c r="AD64" s="1590"/>
      <c r="AE64" s="1590"/>
      <c r="AF64" s="1590"/>
      <c r="AG64" s="1591"/>
      <c r="AH64" s="1413"/>
      <c r="AI64" s="1414"/>
    </row>
    <row r="65" spans="1:35" ht="24.95" customHeight="1" x14ac:dyDescent="0.25">
      <c r="A65" s="1478"/>
      <c r="B65" s="1580"/>
      <c r="C65" s="1581"/>
      <c r="D65" s="1579" t="s">
        <v>189</v>
      </c>
      <c r="E65" s="1385">
        <v>0</v>
      </c>
      <c r="F65" s="1385">
        <v>0</v>
      </c>
      <c r="G65" s="1385">
        <v>0</v>
      </c>
      <c r="H65" s="2101"/>
      <c r="I65" s="2101"/>
      <c r="J65" s="2101"/>
      <c r="K65" s="1385">
        <v>0</v>
      </c>
      <c r="L65" s="1385">
        <v>0</v>
      </c>
      <c r="M65" s="1385">
        <v>0</v>
      </c>
      <c r="N65" s="2100"/>
      <c r="O65" s="2100"/>
      <c r="P65" s="2100"/>
      <c r="Q65" s="1077">
        <f t="shared" ref="Q65" si="80">MAX(E65,H65,K65,N65)</f>
        <v>0</v>
      </c>
      <c r="R65" s="2126">
        <f t="shared" si="73"/>
        <v>0</v>
      </c>
      <c r="S65" s="2127">
        <f t="shared" si="74"/>
        <v>0</v>
      </c>
      <c r="T65" s="853">
        <f>IFERROR(AVERAGE(Q65:S65),"")</f>
        <v>0</v>
      </c>
      <c r="U65" s="2081" t="str">
        <f t="shared" si="77"/>
        <v>1.33</v>
      </c>
      <c r="V65" s="2081" t="str">
        <f t="shared" si="78"/>
        <v>D+</v>
      </c>
      <c r="W65" s="2081" t="str">
        <f t="shared" si="79"/>
        <v>0</v>
      </c>
      <c r="X65" s="1587"/>
      <c r="Y65" s="1588"/>
      <c r="Z65" s="1588"/>
      <c r="AA65" s="1588"/>
      <c r="AB65" s="1588"/>
      <c r="AC65" s="1589"/>
      <c r="AD65" s="1590"/>
      <c r="AE65" s="1590"/>
      <c r="AF65" s="1590"/>
      <c r="AG65" s="1591"/>
      <c r="AH65" s="1413"/>
      <c r="AI65" s="1414"/>
    </row>
    <row r="66" spans="1:35" ht="24.95" customHeight="1" x14ac:dyDescent="0.25">
      <c r="A66" s="1592"/>
      <c r="B66" s="1592">
        <v>10</v>
      </c>
      <c r="C66" s="1593" t="s">
        <v>167</v>
      </c>
      <c r="D66" s="1594"/>
      <c r="E66" s="2878"/>
      <c r="F66" s="2879"/>
      <c r="G66" s="2879"/>
      <c r="H66" s="2879"/>
      <c r="I66" s="2079"/>
      <c r="J66" s="2079"/>
      <c r="K66" s="2079"/>
      <c r="L66" s="2079"/>
      <c r="M66" s="2079"/>
      <c r="N66" s="2079"/>
      <c r="O66" s="2079"/>
      <c r="P66" s="2079"/>
      <c r="Q66" s="2162"/>
      <c r="R66" s="2162"/>
      <c r="S66" s="2162"/>
      <c r="T66" s="1942">
        <f>IFERROR(AVERAGE(T61:T65),"  ")</f>
        <v>0</v>
      </c>
      <c r="U66" s="1619" t="str">
        <f>IF(T66&gt;85,("4"),IF(T66&gt;80,("3.66"),IF(T66&gt;75,("3.33"),IF(T66&gt;70,("3.00"),IF(T66&gt;65,("2.66"),IF(T66&gt;60,("2.33"),IF(T66&gt;55,("2"),IF(T66&gt;50,("1.66"),"1.33"))))))))</f>
        <v>1.33</v>
      </c>
      <c r="V66" s="1619" t="str">
        <f>IF(T66&gt;85,("A"),IF(T66&gt;80,("A-"),IF(T66&gt;75,("B+"),IF(T66&gt;70,("B"),IF(T66&gt;65,("B-"),IF(T66&gt;60,("C+"),IF(T66&gt;55,("C"),IF(T66&gt;50,("C-"),"D+"))))))))</f>
        <v>D+</v>
      </c>
      <c r="W66" s="1619"/>
      <c r="X66" s="1605"/>
      <c r="Y66" s="1606"/>
      <c r="Z66" s="1606"/>
      <c r="AA66" s="1606"/>
      <c r="AB66" s="1606"/>
      <c r="AC66" s="1607"/>
      <c r="AD66" s="1606"/>
      <c r="AE66" s="1606"/>
      <c r="AF66" s="1606"/>
      <c r="AG66" s="1608"/>
      <c r="AH66" s="1841"/>
      <c r="AI66" s="1620"/>
    </row>
    <row r="67" spans="1:35" ht="24.95" customHeight="1" x14ac:dyDescent="0.25">
      <c r="A67" s="1477">
        <v>11</v>
      </c>
      <c r="B67" s="1577"/>
      <c r="C67" s="1578" t="str">
        <f>VLOOKUP(A67,data_siswa,4,FALSE)</f>
        <v>Fania Mutiara Felichia</v>
      </c>
      <c r="D67" s="1579" t="s">
        <v>155</v>
      </c>
      <c r="E67" s="1672">
        <v>0</v>
      </c>
      <c r="F67" s="1672">
        <v>0</v>
      </c>
      <c r="G67" s="1672">
        <v>0</v>
      </c>
      <c r="H67" s="2027"/>
      <c r="I67" s="2027"/>
      <c r="J67" s="2027"/>
      <c r="K67" s="1672"/>
      <c r="L67" s="1672"/>
      <c r="M67" s="1672"/>
      <c r="N67" s="2103"/>
      <c r="O67" s="2103"/>
      <c r="P67" s="2103"/>
      <c r="Q67" s="1077">
        <f>MAX(E67,H67,K67,N67)</f>
        <v>0</v>
      </c>
      <c r="R67" s="2126">
        <f t="shared" ref="R67:R71" si="81">MAX(F67,I67,L67,O67)</f>
        <v>0</v>
      </c>
      <c r="S67" s="2127">
        <f t="shared" ref="S67:S71" si="82">MAX(G67,J67,M67,P67)</f>
        <v>0</v>
      </c>
      <c r="T67" s="853">
        <f>IFERROR(AVERAGE(Q67:S67),"")</f>
        <v>0</v>
      </c>
      <c r="U67" s="2081" t="str">
        <f>IF(T67&gt;85,("4"),IF(T67&gt;80,("3.66"),IF(T67&gt;75,("3.33"),IF(T67&gt;70,("3.00"),IF(T67&gt;65,("2.66"),IF(T67&gt;60,("2.33"),IF(T67&gt;55,("2"),IF(T67&gt;50,("1.66"),"1.33"))))))))</f>
        <v>1.33</v>
      </c>
      <c r="V67" s="2081" t="str">
        <f>IF(T67&gt;85,("A"),IF(T67&gt;80,("A-"),IF(T67&gt;75,("B+"),IF(T67&gt;70,("B"),IF(T67&gt;65,("B-"),IF(T67&gt;60,("C+"),IF(T67&gt;55,("C"),IF(T67&gt;50,("C-"),"D+"))))))))</f>
        <v>D+</v>
      </c>
      <c r="W67" s="2081" t="str">
        <f>IF(T67&gt;80,("SB"),IF(T67&gt;65,("B"),IF(T67&gt;50,("C"),IF(T67&gt;0,("K"),"0"))))</f>
        <v>0</v>
      </c>
      <c r="X67" s="1609"/>
      <c r="Y67" s="1609"/>
      <c r="Z67" s="1609"/>
      <c r="AA67" s="1609"/>
      <c r="AB67" s="1609"/>
      <c r="AC67" s="1610"/>
      <c r="AD67" s="1611"/>
      <c r="AE67" s="1611"/>
      <c r="AF67" s="1611"/>
      <c r="AG67" s="1611"/>
      <c r="AH67" s="1929">
        <f>AVERAGE(T67:T71)</f>
        <v>0</v>
      </c>
      <c r="AI67" s="1945" t="str">
        <f>IF(AH67&gt;85,("A"),IF(AH67&gt;80,("A-"),IF(AH67&gt;75,("B+"),IF(AH67&gt;70,("B"),IF(AH67&gt;65,("B-"),IF(AH67&gt;60,("C+"),IF(AH67&gt;55,("C"),IF(AH67&gt;50,("C-"),"D+"))))))))</f>
        <v>D+</v>
      </c>
    </row>
    <row r="68" spans="1:35" ht="24.95" customHeight="1" x14ac:dyDescent="0.25">
      <c r="A68" s="1478"/>
      <c r="B68" s="1580"/>
      <c r="C68" s="1581"/>
      <c r="D68" s="1579" t="s">
        <v>9</v>
      </c>
      <c r="E68" s="1385">
        <v>0</v>
      </c>
      <c r="F68" s="1385">
        <v>0</v>
      </c>
      <c r="G68" s="1385">
        <v>0</v>
      </c>
      <c r="H68" s="2101"/>
      <c r="I68" s="2101"/>
      <c r="J68" s="2101"/>
      <c r="K68" s="1385"/>
      <c r="L68" s="1385"/>
      <c r="M68" s="1385"/>
      <c r="N68" s="2100">
        <v>0</v>
      </c>
      <c r="O68" s="2100">
        <v>0</v>
      </c>
      <c r="P68" s="2100">
        <v>0</v>
      </c>
      <c r="Q68" s="1077">
        <f t="shared" ref="Q68:Q69" si="83">MAX(E68,H68,K68,N68)</f>
        <v>0</v>
      </c>
      <c r="R68" s="2126">
        <f t="shared" si="81"/>
        <v>0</v>
      </c>
      <c r="S68" s="2127">
        <f t="shared" si="82"/>
        <v>0</v>
      </c>
      <c r="T68" s="853">
        <f t="shared" ref="T68:T69" si="84">IFERROR(AVERAGE(Q68:S68),"")</f>
        <v>0</v>
      </c>
      <c r="U68" s="2081" t="str">
        <f t="shared" ref="U68:U71" si="85">IF(T68&gt;85,("4"),IF(T68&gt;80,("3.66"),IF(T68&gt;75,("3.33"),IF(T68&gt;70,("3.00"),IF(T68&gt;65,("2.66"),IF(T68&gt;60,("2.33"),IF(T68&gt;55,("2"),IF(T68&gt;50,("1.66"),"1.33"))))))))</f>
        <v>1.33</v>
      </c>
      <c r="V68" s="2081" t="str">
        <f t="shared" ref="V68:V71" si="86">IF(T68&gt;85,("A"),IF(T68&gt;80,("A-"),IF(T68&gt;75,("B+"),IF(T68&gt;70,("B"),IF(T68&gt;65,("B-"),IF(T68&gt;60,("C+"),IF(T68&gt;55,("C"),IF(T68&gt;50,("C-"),"D+"))))))))</f>
        <v>D+</v>
      </c>
      <c r="W68" s="2081" t="str">
        <f t="shared" ref="W68:W71" si="87">IF(T68&gt;80,("SB"),IF(T68&gt;65,("B"),IF(T68&gt;50,("C"),IF(T68&gt;0,("K"),"0"))))</f>
        <v>0</v>
      </c>
      <c r="X68" s="1582"/>
      <c r="Y68" s="1583"/>
      <c r="Z68" s="1583"/>
      <c r="AA68" s="1583"/>
      <c r="AB68" s="1583"/>
      <c r="AC68" s="1584"/>
      <c r="AD68" s="1585"/>
      <c r="AE68" s="1585"/>
      <c r="AF68" s="1585"/>
      <c r="AG68" s="1586"/>
      <c r="AH68" s="1411"/>
      <c r="AI68" s="1412"/>
    </row>
    <row r="69" spans="1:35" ht="24.95" customHeight="1" x14ac:dyDescent="0.25">
      <c r="A69" s="1478"/>
      <c r="B69" s="1580"/>
      <c r="C69" s="1581"/>
      <c r="D69" s="1579" t="s">
        <v>11</v>
      </c>
      <c r="E69" s="1385"/>
      <c r="F69" s="1385"/>
      <c r="G69" s="1385"/>
      <c r="H69" s="2101">
        <v>0</v>
      </c>
      <c r="I69" s="2101">
        <v>0</v>
      </c>
      <c r="J69" s="2101">
        <v>0</v>
      </c>
      <c r="K69" s="1385">
        <v>0</v>
      </c>
      <c r="L69" s="1385">
        <v>0</v>
      </c>
      <c r="M69" s="1385">
        <v>0</v>
      </c>
      <c r="N69" s="2100">
        <v>0</v>
      </c>
      <c r="O69" s="2100">
        <v>0</v>
      </c>
      <c r="P69" s="2100">
        <v>0</v>
      </c>
      <c r="Q69" s="1077">
        <f t="shared" si="83"/>
        <v>0</v>
      </c>
      <c r="R69" s="2126">
        <f t="shared" si="81"/>
        <v>0</v>
      </c>
      <c r="S69" s="2127">
        <f t="shared" si="82"/>
        <v>0</v>
      </c>
      <c r="T69" s="853">
        <f t="shared" si="84"/>
        <v>0</v>
      </c>
      <c r="U69" s="2081" t="str">
        <f t="shared" si="85"/>
        <v>1.33</v>
      </c>
      <c r="V69" s="2081" t="str">
        <f t="shared" si="86"/>
        <v>D+</v>
      </c>
      <c r="W69" s="2081" t="str">
        <f t="shared" si="87"/>
        <v>0</v>
      </c>
      <c r="X69" s="1587"/>
      <c r="Y69" s="1588"/>
      <c r="Z69" s="1588"/>
      <c r="AA69" s="1588"/>
      <c r="AB69" s="1588"/>
      <c r="AC69" s="1589"/>
      <c r="AD69" s="1590"/>
      <c r="AE69" s="1590"/>
      <c r="AF69" s="1590"/>
      <c r="AG69" s="1591"/>
      <c r="AH69" s="1413"/>
      <c r="AI69" s="1414"/>
    </row>
    <row r="70" spans="1:35" ht="24.95" customHeight="1" x14ac:dyDescent="0.25">
      <c r="A70" s="1478"/>
      <c r="B70" s="1580"/>
      <c r="C70" s="1581"/>
      <c r="D70" s="1579" t="s">
        <v>16</v>
      </c>
      <c r="E70" s="1385"/>
      <c r="F70" s="1385"/>
      <c r="G70" s="1385"/>
      <c r="H70" s="2101">
        <v>0</v>
      </c>
      <c r="I70" s="2101">
        <v>0</v>
      </c>
      <c r="J70" s="2101">
        <v>0</v>
      </c>
      <c r="K70" s="1385"/>
      <c r="L70" s="1385"/>
      <c r="M70" s="1385"/>
      <c r="N70" s="2100"/>
      <c r="O70" s="2100"/>
      <c r="P70" s="2100"/>
      <c r="Q70" s="1077">
        <f>MAX(E70,H70,K70,N70)</f>
        <v>0</v>
      </c>
      <c r="R70" s="2126">
        <f t="shared" si="81"/>
        <v>0</v>
      </c>
      <c r="S70" s="2127">
        <f t="shared" si="82"/>
        <v>0</v>
      </c>
      <c r="T70" s="853">
        <f>IFERROR(AVERAGE(Q70:S70),"")</f>
        <v>0</v>
      </c>
      <c r="U70" s="2081" t="str">
        <f t="shared" si="85"/>
        <v>1.33</v>
      </c>
      <c r="V70" s="2081" t="str">
        <f t="shared" si="86"/>
        <v>D+</v>
      </c>
      <c r="W70" s="2081" t="str">
        <f t="shared" si="87"/>
        <v>0</v>
      </c>
      <c r="X70" s="1587"/>
      <c r="Y70" s="1588"/>
      <c r="Z70" s="1588"/>
      <c r="AA70" s="1588"/>
      <c r="AB70" s="1588"/>
      <c r="AC70" s="1589"/>
      <c r="AD70" s="1590"/>
      <c r="AE70" s="1590"/>
      <c r="AF70" s="1590"/>
      <c r="AG70" s="1591"/>
      <c r="AH70" s="1413"/>
      <c r="AI70" s="1414"/>
    </row>
    <row r="71" spans="1:35" ht="24.95" customHeight="1" x14ac:dyDescent="0.25">
      <c r="A71" s="1478"/>
      <c r="B71" s="1580"/>
      <c r="C71" s="1581"/>
      <c r="D71" s="1579" t="s">
        <v>189</v>
      </c>
      <c r="E71" s="1385">
        <v>0</v>
      </c>
      <c r="F71" s="1385">
        <v>0</v>
      </c>
      <c r="G71" s="1385">
        <v>0</v>
      </c>
      <c r="H71" s="2101"/>
      <c r="I71" s="2101"/>
      <c r="J71" s="2101"/>
      <c r="K71" s="1385">
        <v>0</v>
      </c>
      <c r="L71" s="1385">
        <v>0</v>
      </c>
      <c r="M71" s="1385">
        <v>0</v>
      </c>
      <c r="N71" s="2100"/>
      <c r="O71" s="2100"/>
      <c r="P71" s="2100"/>
      <c r="Q71" s="1077">
        <f t="shared" ref="Q71" si="88">MAX(E71,H71,K71,N71)</f>
        <v>0</v>
      </c>
      <c r="R71" s="2126">
        <f t="shared" si="81"/>
        <v>0</v>
      </c>
      <c r="S71" s="2127">
        <f t="shared" si="82"/>
        <v>0</v>
      </c>
      <c r="T71" s="853">
        <f>IFERROR(AVERAGE(Q71:S71),"")</f>
        <v>0</v>
      </c>
      <c r="U71" s="2081" t="str">
        <f t="shared" si="85"/>
        <v>1.33</v>
      </c>
      <c r="V71" s="2081" t="str">
        <f t="shared" si="86"/>
        <v>D+</v>
      </c>
      <c r="W71" s="2081" t="str">
        <f t="shared" si="87"/>
        <v>0</v>
      </c>
      <c r="X71" s="1587"/>
      <c r="Y71" s="1588"/>
      <c r="Z71" s="1588"/>
      <c r="AA71" s="1588"/>
      <c r="AB71" s="1588"/>
      <c r="AC71" s="1589"/>
      <c r="AD71" s="1590"/>
      <c r="AE71" s="1590"/>
      <c r="AF71" s="1590"/>
      <c r="AG71" s="1591"/>
      <c r="AH71" s="1413"/>
      <c r="AI71" s="1414"/>
    </row>
    <row r="72" spans="1:35" ht="24.95" customHeight="1" x14ac:dyDescent="0.25">
      <c r="A72" s="1592"/>
      <c r="B72" s="1592">
        <v>11</v>
      </c>
      <c r="C72" s="1593" t="s">
        <v>167</v>
      </c>
      <c r="D72" s="1594"/>
      <c r="E72" s="2878"/>
      <c r="F72" s="2879"/>
      <c r="G72" s="2879"/>
      <c r="H72" s="2879"/>
      <c r="I72" s="2079"/>
      <c r="J72" s="2079"/>
      <c r="K72" s="2079"/>
      <c r="L72" s="2079"/>
      <c r="M72" s="2079"/>
      <c r="N72" s="2079"/>
      <c r="O72" s="2079"/>
      <c r="P72" s="2079"/>
      <c r="Q72" s="2162"/>
      <c r="R72" s="2162"/>
      <c r="S72" s="2162"/>
      <c r="T72" s="1942">
        <f>IFERROR(AVERAGE(T67:T71),"  ")</f>
        <v>0</v>
      </c>
      <c r="U72" s="1619" t="str">
        <f>IF(T72&gt;85,("4"),IF(T72&gt;80,("3.66"),IF(T72&gt;75,("3.33"),IF(T72&gt;70,("3.00"),IF(T72&gt;65,("2.66"),IF(T72&gt;60,("2.33"),IF(T72&gt;55,("2"),IF(T72&gt;50,("1.66"),"1.33"))))))))</f>
        <v>1.33</v>
      </c>
      <c r="V72" s="1619" t="str">
        <f>IF(T72&gt;85,("A"),IF(T72&gt;80,("A-"),IF(T72&gt;75,("B+"),IF(T72&gt;70,("B"),IF(T72&gt;65,("B-"),IF(T72&gt;60,("C+"),IF(T72&gt;55,("C"),IF(T72&gt;50,("C-"),"D+"))))))))</f>
        <v>D+</v>
      </c>
      <c r="W72" s="1619"/>
      <c r="X72" s="1605"/>
      <c r="Y72" s="1606"/>
      <c r="Z72" s="1606"/>
      <c r="AA72" s="1606"/>
      <c r="AB72" s="1606"/>
      <c r="AC72" s="1607"/>
      <c r="AD72" s="1606"/>
      <c r="AE72" s="1606"/>
      <c r="AF72" s="1606"/>
      <c r="AG72" s="1608"/>
      <c r="AH72" s="1841"/>
      <c r="AI72" s="1620"/>
    </row>
    <row r="73" spans="1:35" ht="24.95" customHeight="1" x14ac:dyDescent="0.25">
      <c r="A73" s="1477">
        <v>12</v>
      </c>
      <c r="B73" s="1577"/>
      <c r="C73" s="1578" t="str">
        <f>VLOOKUP(A73,data_siswa,4,FALSE)</f>
        <v>Intan Dyah Nowari</v>
      </c>
      <c r="D73" s="1579" t="s">
        <v>155</v>
      </c>
      <c r="E73" s="1672">
        <v>0</v>
      </c>
      <c r="F73" s="1672">
        <v>0</v>
      </c>
      <c r="G73" s="1672">
        <v>0</v>
      </c>
      <c r="H73" s="2027"/>
      <c r="I73" s="2027"/>
      <c r="J73" s="2027"/>
      <c r="K73" s="1672"/>
      <c r="L73" s="1672"/>
      <c r="M73" s="1672"/>
      <c r="N73" s="2103"/>
      <c r="O73" s="2103"/>
      <c r="P73" s="2103"/>
      <c r="Q73" s="1077">
        <f>MAX(E73,H73,K73,N73)</f>
        <v>0</v>
      </c>
      <c r="R73" s="2126">
        <f t="shared" ref="R73:R77" si="89">MAX(F73,I73,L73,O73)</f>
        <v>0</v>
      </c>
      <c r="S73" s="2127">
        <f t="shared" ref="S73:S77" si="90">MAX(G73,J73,M73,P73)</f>
        <v>0</v>
      </c>
      <c r="T73" s="853">
        <f>IFERROR(AVERAGE(Q73:S73),"")</f>
        <v>0</v>
      </c>
      <c r="U73" s="2081" t="str">
        <f>IF(T73&gt;85,("4"),IF(T73&gt;80,("3.66"),IF(T73&gt;75,("3.33"),IF(T73&gt;70,("3.00"),IF(T73&gt;65,("2.66"),IF(T73&gt;60,("2.33"),IF(T73&gt;55,("2"),IF(T73&gt;50,("1.66"),"1.33"))))))))</f>
        <v>1.33</v>
      </c>
      <c r="V73" s="2081" t="str">
        <f>IF(T73&gt;85,("A"),IF(T73&gt;80,("A-"),IF(T73&gt;75,("B+"),IF(T73&gt;70,("B"),IF(T73&gt;65,("B-"),IF(T73&gt;60,("C+"),IF(T73&gt;55,("C"),IF(T73&gt;50,("C-"),"D+"))))))))</f>
        <v>D+</v>
      </c>
      <c r="W73" s="2081" t="str">
        <f>IF(T73&gt;80,("SB"),IF(T73&gt;65,("B"),IF(T73&gt;50,("C"),IF(T73&gt;0,("K"),"0"))))</f>
        <v>0</v>
      </c>
      <c r="X73" s="1609"/>
      <c r="Y73" s="1609"/>
      <c r="Z73" s="1609"/>
      <c r="AA73" s="1609"/>
      <c r="AB73" s="1609"/>
      <c r="AC73" s="1610"/>
      <c r="AD73" s="1611"/>
      <c r="AE73" s="1611"/>
      <c r="AF73" s="1611"/>
      <c r="AG73" s="1611"/>
      <c r="AH73" s="1929">
        <f>AVERAGE(T73:T77)</f>
        <v>0</v>
      </c>
      <c r="AI73" s="1945" t="str">
        <f>IF(AH73&gt;85,("A"),IF(AH73&gt;80,("A-"),IF(AH73&gt;75,("B+"),IF(AH73&gt;70,("B"),IF(AH73&gt;65,("B-"),IF(AH73&gt;60,("C+"),IF(AH73&gt;55,("C"),IF(AH73&gt;50,("C-"),"D+"))))))))</f>
        <v>D+</v>
      </c>
    </row>
    <row r="74" spans="1:35" ht="24.95" customHeight="1" x14ac:dyDescent="0.25">
      <c r="A74" s="1478"/>
      <c r="B74" s="1580"/>
      <c r="C74" s="1581"/>
      <c r="D74" s="1579" t="s">
        <v>9</v>
      </c>
      <c r="E74" s="1385">
        <v>0</v>
      </c>
      <c r="F74" s="1385">
        <v>0</v>
      </c>
      <c r="G74" s="1385">
        <v>0</v>
      </c>
      <c r="H74" s="2101"/>
      <c r="I74" s="2101"/>
      <c r="J74" s="2101"/>
      <c r="K74" s="1385"/>
      <c r="L74" s="1385"/>
      <c r="M74" s="1385"/>
      <c r="N74" s="2100">
        <v>0</v>
      </c>
      <c r="O74" s="2100">
        <v>0</v>
      </c>
      <c r="P74" s="2100">
        <v>0</v>
      </c>
      <c r="Q74" s="1077">
        <f t="shared" ref="Q74:Q75" si="91">MAX(E74,H74,K74,N74)</f>
        <v>0</v>
      </c>
      <c r="R74" s="2126">
        <f t="shared" si="89"/>
        <v>0</v>
      </c>
      <c r="S74" s="2127">
        <f t="shared" si="90"/>
        <v>0</v>
      </c>
      <c r="T74" s="853">
        <f t="shared" ref="T74:T75" si="92">IFERROR(AVERAGE(Q74:S74),"")</f>
        <v>0</v>
      </c>
      <c r="U74" s="2081" t="str">
        <f t="shared" ref="U74:U77" si="93">IF(T74&gt;85,("4"),IF(T74&gt;80,("3.66"),IF(T74&gt;75,("3.33"),IF(T74&gt;70,("3.00"),IF(T74&gt;65,("2.66"),IF(T74&gt;60,("2.33"),IF(T74&gt;55,("2"),IF(T74&gt;50,("1.66"),"1.33"))))))))</f>
        <v>1.33</v>
      </c>
      <c r="V74" s="2081" t="str">
        <f t="shared" ref="V74:V77" si="94">IF(T74&gt;85,("A"),IF(T74&gt;80,("A-"),IF(T74&gt;75,("B+"),IF(T74&gt;70,("B"),IF(T74&gt;65,("B-"),IF(T74&gt;60,("C+"),IF(T74&gt;55,("C"),IF(T74&gt;50,("C-"),"D+"))))))))</f>
        <v>D+</v>
      </c>
      <c r="W74" s="2081" t="str">
        <f t="shared" ref="W74:W77" si="95">IF(T74&gt;80,("SB"),IF(T74&gt;65,("B"),IF(T74&gt;50,("C"),IF(T74&gt;0,("K"),"0"))))</f>
        <v>0</v>
      </c>
      <c r="X74" s="1582"/>
      <c r="Y74" s="1583"/>
      <c r="Z74" s="1583"/>
      <c r="AA74" s="1583"/>
      <c r="AB74" s="1583"/>
      <c r="AC74" s="1584"/>
      <c r="AD74" s="1585"/>
      <c r="AE74" s="1585"/>
      <c r="AF74" s="1585"/>
      <c r="AG74" s="1586"/>
      <c r="AH74" s="1411"/>
      <c r="AI74" s="1412"/>
    </row>
    <row r="75" spans="1:35" ht="24.95" customHeight="1" x14ac:dyDescent="0.25">
      <c r="A75" s="1478"/>
      <c r="B75" s="1580"/>
      <c r="C75" s="1581"/>
      <c r="D75" s="1579" t="s">
        <v>11</v>
      </c>
      <c r="E75" s="1385"/>
      <c r="F75" s="1385"/>
      <c r="G75" s="1385"/>
      <c r="H75" s="2101">
        <v>0</v>
      </c>
      <c r="I75" s="2101">
        <v>0</v>
      </c>
      <c r="J75" s="2101">
        <v>0</v>
      </c>
      <c r="K75" s="1385">
        <v>0</v>
      </c>
      <c r="L75" s="1385">
        <v>0</v>
      </c>
      <c r="M75" s="1385">
        <v>0</v>
      </c>
      <c r="N75" s="2100">
        <v>0</v>
      </c>
      <c r="O75" s="2100">
        <v>0</v>
      </c>
      <c r="P75" s="2100">
        <v>0</v>
      </c>
      <c r="Q75" s="1077">
        <f t="shared" si="91"/>
        <v>0</v>
      </c>
      <c r="R75" s="2126">
        <f t="shared" si="89"/>
        <v>0</v>
      </c>
      <c r="S75" s="2127">
        <f t="shared" si="90"/>
        <v>0</v>
      </c>
      <c r="T75" s="853">
        <f t="shared" si="92"/>
        <v>0</v>
      </c>
      <c r="U75" s="2081" t="str">
        <f t="shared" si="93"/>
        <v>1.33</v>
      </c>
      <c r="V75" s="2081" t="str">
        <f t="shared" si="94"/>
        <v>D+</v>
      </c>
      <c r="W75" s="2081" t="str">
        <f t="shared" si="95"/>
        <v>0</v>
      </c>
      <c r="X75" s="1587"/>
      <c r="Y75" s="1588"/>
      <c r="Z75" s="1588"/>
      <c r="AA75" s="1588"/>
      <c r="AB75" s="1588"/>
      <c r="AC75" s="1589"/>
      <c r="AD75" s="1590"/>
      <c r="AE75" s="1590"/>
      <c r="AF75" s="1590"/>
      <c r="AG75" s="1591"/>
      <c r="AH75" s="1413"/>
      <c r="AI75" s="1414"/>
    </row>
    <row r="76" spans="1:35" ht="24.95" customHeight="1" x14ac:dyDescent="0.25">
      <c r="A76" s="1478"/>
      <c r="B76" s="1580"/>
      <c r="C76" s="1581"/>
      <c r="D76" s="1579" t="s">
        <v>16</v>
      </c>
      <c r="E76" s="1385"/>
      <c r="F76" s="1385"/>
      <c r="G76" s="1385"/>
      <c r="H76" s="2101">
        <v>0</v>
      </c>
      <c r="I76" s="2101">
        <v>0</v>
      </c>
      <c r="J76" s="2101">
        <v>0</v>
      </c>
      <c r="K76" s="1385"/>
      <c r="L76" s="1385"/>
      <c r="M76" s="1385"/>
      <c r="N76" s="2100"/>
      <c r="O76" s="2100"/>
      <c r="P76" s="2100"/>
      <c r="Q76" s="1077">
        <f>MAX(E76,H76,K76,N76)</f>
        <v>0</v>
      </c>
      <c r="R76" s="2126">
        <f t="shared" si="89"/>
        <v>0</v>
      </c>
      <c r="S76" s="2127">
        <f t="shared" si="90"/>
        <v>0</v>
      </c>
      <c r="T76" s="853">
        <f>IFERROR(AVERAGE(Q76:S76),"")</f>
        <v>0</v>
      </c>
      <c r="U76" s="2081" t="str">
        <f t="shared" si="93"/>
        <v>1.33</v>
      </c>
      <c r="V76" s="2081" t="str">
        <f t="shared" si="94"/>
        <v>D+</v>
      </c>
      <c r="W76" s="2081" t="str">
        <f t="shared" si="95"/>
        <v>0</v>
      </c>
      <c r="X76" s="1587"/>
      <c r="Y76" s="1588"/>
      <c r="Z76" s="1588"/>
      <c r="AA76" s="1588"/>
      <c r="AB76" s="1588"/>
      <c r="AC76" s="1589"/>
      <c r="AD76" s="1590"/>
      <c r="AE76" s="1590"/>
      <c r="AF76" s="1590"/>
      <c r="AG76" s="1591"/>
      <c r="AH76" s="1413"/>
      <c r="AI76" s="1414"/>
    </row>
    <row r="77" spans="1:35" ht="24.95" customHeight="1" x14ac:dyDescent="0.25">
      <c r="A77" s="1478"/>
      <c r="B77" s="1580"/>
      <c r="C77" s="1581"/>
      <c r="D77" s="1579" t="s">
        <v>189</v>
      </c>
      <c r="E77" s="1385">
        <v>0</v>
      </c>
      <c r="F77" s="1385">
        <v>0</v>
      </c>
      <c r="G77" s="1385">
        <v>0</v>
      </c>
      <c r="H77" s="2101"/>
      <c r="I77" s="2101"/>
      <c r="J77" s="2101"/>
      <c r="K77" s="1385">
        <v>0</v>
      </c>
      <c r="L77" s="1385">
        <v>0</v>
      </c>
      <c r="M77" s="1385">
        <v>0</v>
      </c>
      <c r="N77" s="2100"/>
      <c r="O77" s="2100"/>
      <c r="P77" s="2100"/>
      <c r="Q77" s="1077">
        <f t="shared" ref="Q77" si="96">MAX(E77,H77,K77,N77)</f>
        <v>0</v>
      </c>
      <c r="R77" s="2126">
        <f t="shared" si="89"/>
        <v>0</v>
      </c>
      <c r="S77" s="2127">
        <f t="shared" si="90"/>
        <v>0</v>
      </c>
      <c r="T77" s="853">
        <f>IFERROR(AVERAGE(Q77:S77),"")</f>
        <v>0</v>
      </c>
      <c r="U77" s="2081" t="str">
        <f t="shared" si="93"/>
        <v>1.33</v>
      </c>
      <c r="V77" s="2081" t="str">
        <f t="shared" si="94"/>
        <v>D+</v>
      </c>
      <c r="W77" s="2081" t="str">
        <f t="shared" si="95"/>
        <v>0</v>
      </c>
      <c r="X77" s="1587"/>
      <c r="Y77" s="1588"/>
      <c r="Z77" s="1588"/>
      <c r="AA77" s="1588"/>
      <c r="AB77" s="1588"/>
      <c r="AC77" s="1589"/>
      <c r="AD77" s="1590"/>
      <c r="AE77" s="1590"/>
      <c r="AF77" s="1590"/>
      <c r="AG77" s="1591"/>
      <c r="AH77" s="1413"/>
      <c r="AI77" s="1414"/>
    </row>
    <row r="78" spans="1:35" ht="24.95" customHeight="1" x14ac:dyDescent="0.25">
      <c r="A78" s="1592"/>
      <c r="B78" s="1592">
        <v>12</v>
      </c>
      <c r="C78" s="1593" t="s">
        <v>167</v>
      </c>
      <c r="D78" s="1594"/>
      <c r="E78" s="2878"/>
      <c r="F78" s="2879"/>
      <c r="G78" s="2879"/>
      <c r="H78" s="2879"/>
      <c r="I78" s="2079"/>
      <c r="J78" s="2079"/>
      <c r="K78" s="2079"/>
      <c r="L78" s="2079"/>
      <c r="M78" s="2079"/>
      <c r="N78" s="2079"/>
      <c r="O78" s="2079"/>
      <c r="P78" s="2079"/>
      <c r="Q78" s="2162"/>
      <c r="R78" s="2162"/>
      <c r="S78" s="2162"/>
      <c r="T78" s="1942">
        <f>IFERROR(AVERAGE(T73:T77),"  ")</f>
        <v>0</v>
      </c>
      <c r="U78" s="1619" t="str">
        <f>IF(T78&gt;85,("4"),IF(T78&gt;80,("3.66"),IF(T78&gt;75,("3.33"),IF(T78&gt;70,("3.00"),IF(T78&gt;65,("2.66"),IF(T78&gt;60,("2.33"),IF(T78&gt;55,("2"),IF(T78&gt;50,("1.66"),"1.33"))))))))</f>
        <v>1.33</v>
      </c>
      <c r="V78" s="1619" t="str">
        <f>IF(T78&gt;85,("A"),IF(T78&gt;80,("A-"),IF(T78&gt;75,("B+"),IF(T78&gt;70,("B"),IF(T78&gt;65,("B-"),IF(T78&gt;60,("C+"),IF(T78&gt;55,("C"),IF(T78&gt;50,("C-"),"D+"))))))))</f>
        <v>D+</v>
      </c>
      <c r="W78" s="1619"/>
      <c r="X78" s="1605"/>
      <c r="Y78" s="1606"/>
      <c r="Z78" s="1606"/>
      <c r="AA78" s="1606"/>
      <c r="AB78" s="1606"/>
      <c r="AC78" s="1607"/>
      <c r="AD78" s="1606"/>
      <c r="AE78" s="1606"/>
      <c r="AF78" s="1606"/>
      <c r="AG78" s="1608"/>
      <c r="AH78" s="1841"/>
      <c r="AI78" s="1620"/>
    </row>
    <row r="79" spans="1:35" ht="24.95" customHeight="1" x14ac:dyDescent="0.25">
      <c r="A79" s="1477">
        <v>13</v>
      </c>
      <c r="B79" s="1577"/>
      <c r="C79" s="1578" t="str">
        <f>VLOOKUP(A79,data_siswa,4,FALSE)</f>
        <v>Misyanita Nurfitri S</v>
      </c>
      <c r="D79" s="1579" t="s">
        <v>155</v>
      </c>
      <c r="E79" s="1672">
        <v>0</v>
      </c>
      <c r="F79" s="1672">
        <v>0</v>
      </c>
      <c r="G79" s="1672">
        <v>0</v>
      </c>
      <c r="H79" s="2027"/>
      <c r="I79" s="2027"/>
      <c r="J79" s="2027"/>
      <c r="K79" s="1672"/>
      <c r="L79" s="1672"/>
      <c r="M79" s="1672"/>
      <c r="N79" s="2103"/>
      <c r="O79" s="2103"/>
      <c r="P79" s="2103"/>
      <c r="Q79" s="1077">
        <f>MAX(E79,H79,K79,N79)</f>
        <v>0</v>
      </c>
      <c r="R79" s="2126">
        <f t="shared" ref="R79:R83" si="97">MAX(F79,I79,L79,O79)</f>
        <v>0</v>
      </c>
      <c r="S79" s="2127">
        <f t="shared" ref="S79:S83" si="98">MAX(G79,J79,M79,P79)</f>
        <v>0</v>
      </c>
      <c r="T79" s="853">
        <f>IFERROR(AVERAGE(Q79:S79),"")</f>
        <v>0</v>
      </c>
      <c r="U79" s="2081" t="str">
        <f>IF(T79&gt;85,("4"),IF(T79&gt;80,("3.66"),IF(T79&gt;75,("3.33"),IF(T79&gt;70,("3.00"),IF(T79&gt;65,("2.66"),IF(T79&gt;60,("2.33"),IF(T79&gt;55,("2"),IF(T79&gt;50,("1.66"),"1.33"))))))))</f>
        <v>1.33</v>
      </c>
      <c r="V79" s="2081" t="str">
        <f>IF(T79&gt;85,("A"),IF(T79&gt;80,("A-"),IF(T79&gt;75,("B+"),IF(T79&gt;70,("B"),IF(T79&gt;65,("B-"),IF(T79&gt;60,("C+"),IF(T79&gt;55,("C"),IF(T79&gt;50,("C-"),"D+"))))))))</f>
        <v>D+</v>
      </c>
      <c r="W79" s="2081" t="str">
        <f>IF(T79&gt;80,("SB"),IF(T79&gt;65,("B"),IF(T79&gt;50,("C"),IF(T79&gt;0,("K"),"0"))))</f>
        <v>0</v>
      </c>
      <c r="X79" s="1609"/>
      <c r="Y79" s="1609"/>
      <c r="Z79" s="1609"/>
      <c r="AA79" s="1609"/>
      <c r="AB79" s="1609"/>
      <c r="AC79" s="1610"/>
      <c r="AD79" s="1611"/>
      <c r="AE79" s="1611"/>
      <c r="AF79" s="1611"/>
      <c r="AG79" s="1611"/>
      <c r="AH79" s="1929">
        <f>AVERAGE(T79:T83)</f>
        <v>0</v>
      </c>
      <c r="AI79" s="1945" t="str">
        <f>IF(AH79&gt;85,("A"),IF(AH79&gt;80,("A-"),IF(AH79&gt;75,("B+"),IF(AH79&gt;70,("B"),IF(AH79&gt;65,("B-"),IF(AH79&gt;60,("C+"),IF(AH79&gt;55,("C"),IF(AH79&gt;50,("C-"),"D+"))))))))</f>
        <v>D+</v>
      </c>
    </row>
    <row r="80" spans="1:35" ht="24.95" customHeight="1" x14ac:dyDescent="0.25">
      <c r="A80" s="1478"/>
      <c r="B80" s="1580"/>
      <c r="C80" s="1581"/>
      <c r="D80" s="1579" t="s">
        <v>9</v>
      </c>
      <c r="E80" s="1385">
        <v>0</v>
      </c>
      <c r="F80" s="1385">
        <v>0</v>
      </c>
      <c r="G80" s="1385">
        <v>0</v>
      </c>
      <c r="H80" s="2101"/>
      <c r="I80" s="2101"/>
      <c r="J80" s="2101"/>
      <c r="K80" s="1385"/>
      <c r="L80" s="1385"/>
      <c r="M80" s="1385"/>
      <c r="N80" s="2100">
        <v>0</v>
      </c>
      <c r="O80" s="2100">
        <v>0</v>
      </c>
      <c r="P80" s="2100">
        <v>0</v>
      </c>
      <c r="Q80" s="1077">
        <f t="shared" ref="Q80:Q81" si="99">MAX(E80,H80,K80,N80)</f>
        <v>0</v>
      </c>
      <c r="R80" s="2126">
        <f t="shared" si="97"/>
        <v>0</v>
      </c>
      <c r="S80" s="2127">
        <f t="shared" si="98"/>
        <v>0</v>
      </c>
      <c r="T80" s="853">
        <f t="shared" ref="T80:T81" si="100">IFERROR(AVERAGE(Q80:S80),"")</f>
        <v>0</v>
      </c>
      <c r="U80" s="2081" t="str">
        <f t="shared" ref="U80:U83" si="101">IF(T80&gt;85,("4"),IF(T80&gt;80,("3.66"),IF(T80&gt;75,("3.33"),IF(T80&gt;70,("3.00"),IF(T80&gt;65,("2.66"),IF(T80&gt;60,("2.33"),IF(T80&gt;55,("2"),IF(T80&gt;50,("1.66"),"1.33"))))))))</f>
        <v>1.33</v>
      </c>
      <c r="V80" s="2081" t="str">
        <f t="shared" ref="V80:V83" si="102">IF(T80&gt;85,("A"),IF(T80&gt;80,("A-"),IF(T80&gt;75,("B+"),IF(T80&gt;70,("B"),IF(T80&gt;65,("B-"),IF(T80&gt;60,("C+"),IF(T80&gt;55,("C"),IF(T80&gt;50,("C-"),"D+"))))))))</f>
        <v>D+</v>
      </c>
      <c r="W80" s="2081" t="str">
        <f t="shared" ref="W80:W83" si="103">IF(T80&gt;80,("SB"),IF(T80&gt;65,("B"),IF(T80&gt;50,("C"),IF(T80&gt;0,("K"),"0"))))</f>
        <v>0</v>
      </c>
      <c r="X80" s="1582"/>
      <c r="Y80" s="1583"/>
      <c r="Z80" s="1583"/>
      <c r="AA80" s="1583"/>
      <c r="AB80" s="1583"/>
      <c r="AC80" s="1584"/>
      <c r="AD80" s="1585"/>
      <c r="AE80" s="1585"/>
      <c r="AF80" s="1585"/>
      <c r="AG80" s="1586"/>
      <c r="AH80" s="1411"/>
      <c r="AI80" s="1412"/>
    </row>
    <row r="81" spans="1:35" ht="24.95" customHeight="1" x14ac:dyDescent="0.25">
      <c r="A81" s="1478"/>
      <c r="B81" s="1580"/>
      <c r="C81" s="1581"/>
      <c r="D81" s="1579" t="s">
        <v>11</v>
      </c>
      <c r="E81" s="1385"/>
      <c r="F81" s="1385"/>
      <c r="G81" s="1385"/>
      <c r="H81" s="2101">
        <v>0</v>
      </c>
      <c r="I81" s="2101">
        <v>0</v>
      </c>
      <c r="J81" s="2101">
        <v>0</v>
      </c>
      <c r="K81" s="1385">
        <v>0</v>
      </c>
      <c r="L81" s="1385">
        <v>0</v>
      </c>
      <c r="M81" s="1385">
        <v>0</v>
      </c>
      <c r="N81" s="2100">
        <v>0</v>
      </c>
      <c r="O81" s="2100">
        <v>0</v>
      </c>
      <c r="P81" s="2100">
        <v>0</v>
      </c>
      <c r="Q81" s="1077">
        <f t="shared" si="99"/>
        <v>0</v>
      </c>
      <c r="R81" s="2126">
        <f t="shared" si="97"/>
        <v>0</v>
      </c>
      <c r="S81" s="2127">
        <f t="shared" si="98"/>
        <v>0</v>
      </c>
      <c r="T81" s="853">
        <f t="shared" si="100"/>
        <v>0</v>
      </c>
      <c r="U81" s="2081" t="str">
        <f t="shared" si="101"/>
        <v>1.33</v>
      </c>
      <c r="V81" s="2081" t="str">
        <f t="shared" si="102"/>
        <v>D+</v>
      </c>
      <c r="W81" s="2081" t="str">
        <f t="shared" si="103"/>
        <v>0</v>
      </c>
      <c r="X81" s="1587"/>
      <c r="Y81" s="1588"/>
      <c r="Z81" s="1588"/>
      <c r="AA81" s="1588"/>
      <c r="AB81" s="1588"/>
      <c r="AC81" s="1589"/>
      <c r="AD81" s="1590"/>
      <c r="AE81" s="1590"/>
      <c r="AF81" s="1590"/>
      <c r="AG81" s="1591"/>
      <c r="AH81" s="1413"/>
      <c r="AI81" s="1414"/>
    </row>
    <row r="82" spans="1:35" ht="24.95" customHeight="1" x14ac:dyDescent="0.25">
      <c r="A82" s="1478"/>
      <c r="B82" s="1580"/>
      <c r="C82" s="1581"/>
      <c r="D82" s="1579" t="s">
        <v>16</v>
      </c>
      <c r="E82" s="1385"/>
      <c r="F82" s="1385"/>
      <c r="G82" s="1385"/>
      <c r="H82" s="2101">
        <v>0</v>
      </c>
      <c r="I82" s="2101">
        <v>0</v>
      </c>
      <c r="J82" s="2101">
        <v>0</v>
      </c>
      <c r="K82" s="1385"/>
      <c r="L82" s="1385"/>
      <c r="M82" s="1385"/>
      <c r="N82" s="2100"/>
      <c r="O82" s="2100"/>
      <c r="P82" s="2100"/>
      <c r="Q82" s="1077">
        <f>MAX(E82,H82,K82,N82)</f>
        <v>0</v>
      </c>
      <c r="R82" s="2126">
        <f t="shared" si="97"/>
        <v>0</v>
      </c>
      <c r="S82" s="2127">
        <f t="shared" si="98"/>
        <v>0</v>
      </c>
      <c r="T82" s="853">
        <f>IFERROR(AVERAGE(Q82:S82),"")</f>
        <v>0</v>
      </c>
      <c r="U82" s="2081" t="str">
        <f t="shared" si="101"/>
        <v>1.33</v>
      </c>
      <c r="V82" s="2081" t="str">
        <f t="shared" si="102"/>
        <v>D+</v>
      </c>
      <c r="W82" s="2081" t="str">
        <f t="shared" si="103"/>
        <v>0</v>
      </c>
      <c r="X82" s="1587"/>
      <c r="Y82" s="1588"/>
      <c r="Z82" s="1588"/>
      <c r="AA82" s="1588"/>
      <c r="AB82" s="1588"/>
      <c r="AC82" s="1589"/>
      <c r="AD82" s="1590"/>
      <c r="AE82" s="1590"/>
      <c r="AF82" s="1590"/>
      <c r="AG82" s="1591"/>
      <c r="AH82" s="1413"/>
      <c r="AI82" s="1414"/>
    </row>
    <row r="83" spans="1:35" ht="24.95" customHeight="1" x14ac:dyDescent="0.25">
      <c r="A83" s="1478"/>
      <c r="B83" s="1580"/>
      <c r="C83" s="1581"/>
      <c r="D83" s="1579" t="s">
        <v>189</v>
      </c>
      <c r="E83" s="1385">
        <v>0</v>
      </c>
      <c r="F83" s="1385">
        <v>0</v>
      </c>
      <c r="G83" s="1385">
        <v>0</v>
      </c>
      <c r="H83" s="2101"/>
      <c r="I83" s="2101"/>
      <c r="J83" s="2101"/>
      <c r="K83" s="1385">
        <v>0</v>
      </c>
      <c r="L83" s="1385">
        <v>0</v>
      </c>
      <c r="M83" s="1385">
        <v>0</v>
      </c>
      <c r="N83" s="2100"/>
      <c r="O83" s="2100"/>
      <c r="P83" s="2100"/>
      <c r="Q83" s="1077">
        <f t="shared" ref="Q83" si="104">MAX(E83,H83,K83,N83)</f>
        <v>0</v>
      </c>
      <c r="R83" s="2126">
        <f t="shared" si="97"/>
        <v>0</v>
      </c>
      <c r="S83" s="2127">
        <f t="shared" si="98"/>
        <v>0</v>
      </c>
      <c r="T83" s="853">
        <f>IFERROR(AVERAGE(Q83:S83),"")</f>
        <v>0</v>
      </c>
      <c r="U83" s="2081" t="str">
        <f t="shared" si="101"/>
        <v>1.33</v>
      </c>
      <c r="V83" s="2081" t="str">
        <f t="shared" si="102"/>
        <v>D+</v>
      </c>
      <c r="W83" s="2081" t="str">
        <f t="shared" si="103"/>
        <v>0</v>
      </c>
      <c r="X83" s="1587"/>
      <c r="Y83" s="1588"/>
      <c r="Z83" s="1588"/>
      <c r="AA83" s="1588"/>
      <c r="AB83" s="1588"/>
      <c r="AC83" s="1589"/>
      <c r="AD83" s="1590"/>
      <c r="AE83" s="1590"/>
      <c r="AF83" s="1590"/>
      <c r="AG83" s="1591"/>
      <c r="AH83" s="1413"/>
      <c r="AI83" s="1414"/>
    </row>
    <row r="84" spans="1:35" ht="24.95" customHeight="1" x14ac:dyDescent="0.25">
      <c r="A84" s="1592"/>
      <c r="B84" s="1592">
        <v>13</v>
      </c>
      <c r="C84" s="1593" t="s">
        <v>167</v>
      </c>
      <c r="D84" s="1594"/>
      <c r="E84" s="2878"/>
      <c r="F84" s="2879"/>
      <c r="G84" s="2879"/>
      <c r="H84" s="2879"/>
      <c r="I84" s="2079"/>
      <c r="J84" s="2079"/>
      <c r="K84" s="2079"/>
      <c r="L84" s="2079"/>
      <c r="M84" s="2079"/>
      <c r="N84" s="2079"/>
      <c r="O84" s="2079"/>
      <c r="P84" s="2079"/>
      <c r="Q84" s="2162"/>
      <c r="R84" s="2162"/>
      <c r="S84" s="2162"/>
      <c r="T84" s="1942">
        <f>IFERROR(AVERAGE(T79:T83),"  ")</f>
        <v>0</v>
      </c>
      <c r="U84" s="1619" t="str">
        <f>IF(T84&gt;85,("4"),IF(T84&gt;80,("3.66"),IF(T84&gt;75,("3.33"),IF(T84&gt;70,("3.00"),IF(T84&gt;65,("2.66"),IF(T84&gt;60,("2.33"),IF(T84&gt;55,("2"),IF(T84&gt;50,("1.66"),"1.33"))))))))</f>
        <v>1.33</v>
      </c>
      <c r="V84" s="1619" t="str">
        <f>IF(T84&gt;85,("A"),IF(T84&gt;80,("A-"),IF(T84&gt;75,("B+"),IF(T84&gt;70,("B"),IF(T84&gt;65,("B-"),IF(T84&gt;60,("C+"),IF(T84&gt;55,("C"),IF(T84&gt;50,("C-"),"D+"))))))))</f>
        <v>D+</v>
      </c>
      <c r="W84" s="1619"/>
      <c r="X84" s="1605"/>
      <c r="Y84" s="1606"/>
      <c r="Z84" s="1606"/>
      <c r="AA84" s="1606"/>
      <c r="AB84" s="1606"/>
      <c r="AC84" s="1607"/>
      <c r="AD84" s="1606"/>
      <c r="AE84" s="1606"/>
      <c r="AF84" s="1606"/>
      <c r="AG84" s="1608"/>
      <c r="AH84" s="1841"/>
      <c r="AI84" s="1620"/>
    </row>
    <row r="85" spans="1:35" ht="24.95" customHeight="1" x14ac:dyDescent="0.25">
      <c r="A85" s="1477">
        <v>14</v>
      </c>
      <c r="B85" s="1577"/>
      <c r="C85" s="1578" t="str">
        <f>VLOOKUP(A85,data_siswa,4,FALSE)</f>
        <v>Moch Zidane Hita L. U</v>
      </c>
      <c r="D85" s="1579" t="s">
        <v>155</v>
      </c>
      <c r="E85" s="1672">
        <v>0</v>
      </c>
      <c r="F85" s="1672">
        <v>0</v>
      </c>
      <c r="G85" s="1672">
        <v>0</v>
      </c>
      <c r="H85" s="2027"/>
      <c r="I85" s="2027"/>
      <c r="J85" s="2027"/>
      <c r="K85" s="1672"/>
      <c r="L85" s="1672"/>
      <c r="M85" s="1672"/>
      <c r="N85" s="2103"/>
      <c r="O85" s="2103"/>
      <c r="P85" s="2103"/>
      <c r="Q85" s="1077">
        <f>MAX(E85,H85,K85,N85)</f>
        <v>0</v>
      </c>
      <c r="R85" s="2126">
        <f t="shared" ref="R85:R89" si="105">MAX(F85,I85,L85,O85)</f>
        <v>0</v>
      </c>
      <c r="S85" s="2127">
        <f t="shared" ref="S85:S89" si="106">MAX(G85,J85,M85,P85)</f>
        <v>0</v>
      </c>
      <c r="T85" s="853">
        <f>IFERROR(AVERAGE(Q85:S85),"")</f>
        <v>0</v>
      </c>
      <c r="U85" s="2081" t="str">
        <f>IF(T85&gt;85,("4"),IF(T85&gt;80,("3.66"),IF(T85&gt;75,("3.33"),IF(T85&gt;70,("3.00"),IF(T85&gt;65,("2.66"),IF(T85&gt;60,("2.33"),IF(T85&gt;55,("2"),IF(T85&gt;50,("1.66"),"1.33"))))))))</f>
        <v>1.33</v>
      </c>
      <c r="V85" s="2081" t="str">
        <f>IF(T85&gt;85,("A"),IF(T85&gt;80,("A-"),IF(T85&gt;75,("B+"),IF(T85&gt;70,("B"),IF(T85&gt;65,("B-"),IF(T85&gt;60,("C+"),IF(T85&gt;55,("C"),IF(T85&gt;50,("C-"),"D+"))))))))</f>
        <v>D+</v>
      </c>
      <c r="W85" s="2081" t="str">
        <f>IF(T85&gt;80,("SB"),IF(T85&gt;65,("B"),IF(T85&gt;50,("C"),IF(T85&gt;0,("K"),"0"))))</f>
        <v>0</v>
      </c>
      <c r="X85" s="1609"/>
      <c r="Y85" s="1609"/>
      <c r="Z85" s="1609"/>
      <c r="AA85" s="1609"/>
      <c r="AB85" s="1609"/>
      <c r="AC85" s="1610"/>
      <c r="AD85" s="1611"/>
      <c r="AE85" s="1611"/>
      <c r="AF85" s="1611"/>
      <c r="AG85" s="1611"/>
      <c r="AH85" s="1929">
        <f>AVERAGE(T85:T89)</f>
        <v>0</v>
      </c>
      <c r="AI85" s="1945" t="str">
        <f>IF(AH85&gt;85,("A"),IF(AH85&gt;80,("A-"),IF(AH85&gt;75,("B+"),IF(AH85&gt;70,("B"),IF(AH85&gt;65,("B-"),IF(AH85&gt;60,("C+"),IF(AH85&gt;55,("C"),IF(AH85&gt;50,("C-"),"D+"))))))))</f>
        <v>D+</v>
      </c>
    </row>
    <row r="86" spans="1:35" ht="24.95" customHeight="1" x14ac:dyDescent="0.25">
      <c r="A86" s="1478"/>
      <c r="B86" s="1580"/>
      <c r="C86" s="1581"/>
      <c r="D86" s="1579" t="s">
        <v>9</v>
      </c>
      <c r="E86" s="1385">
        <v>0</v>
      </c>
      <c r="F86" s="1385">
        <v>0</v>
      </c>
      <c r="G86" s="1385">
        <v>0</v>
      </c>
      <c r="H86" s="2101"/>
      <c r="I86" s="2101"/>
      <c r="J86" s="2101"/>
      <c r="K86" s="1385"/>
      <c r="L86" s="1385"/>
      <c r="M86" s="1385"/>
      <c r="N86" s="2100">
        <v>0</v>
      </c>
      <c r="O86" s="2100">
        <v>0</v>
      </c>
      <c r="P86" s="2100">
        <v>0</v>
      </c>
      <c r="Q86" s="1077">
        <f t="shared" ref="Q86:Q87" si="107">MAX(E86,H86,K86,N86)</f>
        <v>0</v>
      </c>
      <c r="R86" s="2126">
        <f t="shared" si="105"/>
        <v>0</v>
      </c>
      <c r="S86" s="2127">
        <f t="shared" si="106"/>
        <v>0</v>
      </c>
      <c r="T86" s="853">
        <f t="shared" ref="T86:T87" si="108">IFERROR(AVERAGE(Q86:S86),"")</f>
        <v>0</v>
      </c>
      <c r="U86" s="2081" t="str">
        <f t="shared" ref="U86:U89" si="109">IF(T86&gt;85,("4"),IF(T86&gt;80,("3.66"),IF(T86&gt;75,("3.33"),IF(T86&gt;70,("3.00"),IF(T86&gt;65,("2.66"),IF(T86&gt;60,("2.33"),IF(T86&gt;55,("2"),IF(T86&gt;50,("1.66"),"1.33"))))))))</f>
        <v>1.33</v>
      </c>
      <c r="V86" s="2081" t="str">
        <f t="shared" ref="V86:V89" si="110">IF(T86&gt;85,("A"),IF(T86&gt;80,("A-"),IF(T86&gt;75,("B+"),IF(T86&gt;70,("B"),IF(T86&gt;65,("B-"),IF(T86&gt;60,("C+"),IF(T86&gt;55,("C"),IF(T86&gt;50,("C-"),"D+"))))))))</f>
        <v>D+</v>
      </c>
      <c r="W86" s="2081" t="str">
        <f t="shared" ref="W86:W89" si="111">IF(T86&gt;80,("SB"),IF(T86&gt;65,("B"),IF(T86&gt;50,("C"),IF(T86&gt;0,("K"),"0"))))</f>
        <v>0</v>
      </c>
      <c r="X86" s="1582"/>
      <c r="Y86" s="1583"/>
      <c r="Z86" s="1583"/>
      <c r="AA86" s="1583"/>
      <c r="AB86" s="1583"/>
      <c r="AC86" s="1584"/>
      <c r="AD86" s="1585"/>
      <c r="AE86" s="1585"/>
      <c r="AF86" s="1585"/>
      <c r="AG86" s="1586"/>
      <c r="AH86" s="1411"/>
      <c r="AI86" s="1412"/>
    </row>
    <row r="87" spans="1:35" ht="24.95" customHeight="1" x14ac:dyDescent="0.25">
      <c r="A87" s="1478"/>
      <c r="B87" s="1580"/>
      <c r="C87" s="1581"/>
      <c r="D87" s="1579" t="s">
        <v>11</v>
      </c>
      <c r="E87" s="1385"/>
      <c r="F87" s="1385"/>
      <c r="G87" s="1385"/>
      <c r="H87" s="2101">
        <v>0</v>
      </c>
      <c r="I87" s="2101">
        <v>0</v>
      </c>
      <c r="J87" s="2101">
        <v>0</v>
      </c>
      <c r="K87" s="1385">
        <v>0</v>
      </c>
      <c r="L87" s="1385">
        <v>0</v>
      </c>
      <c r="M87" s="1385">
        <v>0</v>
      </c>
      <c r="N87" s="2100">
        <v>0</v>
      </c>
      <c r="O87" s="2100">
        <v>0</v>
      </c>
      <c r="P87" s="2100">
        <v>0</v>
      </c>
      <c r="Q87" s="1077">
        <f t="shared" si="107"/>
        <v>0</v>
      </c>
      <c r="R87" s="2126">
        <f t="shared" si="105"/>
        <v>0</v>
      </c>
      <c r="S87" s="2127">
        <f t="shared" si="106"/>
        <v>0</v>
      </c>
      <c r="T87" s="853">
        <f t="shared" si="108"/>
        <v>0</v>
      </c>
      <c r="U87" s="2081" t="str">
        <f t="shared" si="109"/>
        <v>1.33</v>
      </c>
      <c r="V87" s="2081" t="str">
        <f t="shared" si="110"/>
        <v>D+</v>
      </c>
      <c r="W87" s="2081" t="str">
        <f t="shared" si="111"/>
        <v>0</v>
      </c>
      <c r="X87" s="1587"/>
      <c r="Y87" s="1588"/>
      <c r="Z87" s="1588"/>
      <c r="AA87" s="1588"/>
      <c r="AB87" s="1588"/>
      <c r="AC87" s="1589"/>
      <c r="AD87" s="1590"/>
      <c r="AE87" s="1590"/>
      <c r="AF87" s="1590"/>
      <c r="AG87" s="1591"/>
      <c r="AH87" s="1413"/>
      <c r="AI87" s="1414"/>
    </row>
    <row r="88" spans="1:35" ht="24.95" customHeight="1" x14ac:dyDescent="0.25">
      <c r="A88" s="1478"/>
      <c r="B88" s="1580"/>
      <c r="C88" s="1581"/>
      <c r="D88" s="1579" t="s">
        <v>16</v>
      </c>
      <c r="E88" s="1385"/>
      <c r="F88" s="1385"/>
      <c r="G88" s="1385"/>
      <c r="H88" s="2101">
        <v>0</v>
      </c>
      <c r="I88" s="2101">
        <v>0</v>
      </c>
      <c r="J88" s="2101">
        <v>0</v>
      </c>
      <c r="K88" s="1385"/>
      <c r="L88" s="1385"/>
      <c r="M88" s="1385"/>
      <c r="N88" s="2100"/>
      <c r="O88" s="2100"/>
      <c r="P88" s="2100"/>
      <c r="Q88" s="1077">
        <f>MAX(E88,H88,K88,N88)</f>
        <v>0</v>
      </c>
      <c r="R88" s="2126">
        <f t="shared" si="105"/>
        <v>0</v>
      </c>
      <c r="S88" s="2127">
        <f t="shared" si="106"/>
        <v>0</v>
      </c>
      <c r="T88" s="853">
        <f>IFERROR(AVERAGE(Q88:S88),"")</f>
        <v>0</v>
      </c>
      <c r="U88" s="2081" t="str">
        <f t="shared" si="109"/>
        <v>1.33</v>
      </c>
      <c r="V88" s="2081" t="str">
        <f t="shared" si="110"/>
        <v>D+</v>
      </c>
      <c r="W88" s="2081" t="str">
        <f t="shared" si="111"/>
        <v>0</v>
      </c>
      <c r="X88" s="1587"/>
      <c r="Y88" s="1588"/>
      <c r="Z88" s="1588"/>
      <c r="AA88" s="1588"/>
      <c r="AB88" s="1588"/>
      <c r="AC88" s="1589"/>
      <c r="AD88" s="1590"/>
      <c r="AE88" s="1590"/>
      <c r="AF88" s="1590"/>
      <c r="AG88" s="1591"/>
      <c r="AH88" s="1413"/>
      <c r="AI88" s="1414"/>
    </row>
    <row r="89" spans="1:35" ht="24.95" customHeight="1" x14ac:dyDescent="0.25">
      <c r="A89" s="1478"/>
      <c r="B89" s="1580"/>
      <c r="C89" s="1581"/>
      <c r="D89" s="1579" t="s">
        <v>189</v>
      </c>
      <c r="E89" s="1385">
        <v>0</v>
      </c>
      <c r="F89" s="1385">
        <v>0</v>
      </c>
      <c r="G89" s="1385">
        <v>0</v>
      </c>
      <c r="H89" s="2101"/>
      <c r="I89" s="2101"/>
      <c r="J89" s="2101"/>
      <c r="K89" s="1385">
        <v>0</v>
      </c>
      <c r="L89" s="1385">
        <v>0</v>
      </c>
      <c r="M89" s="1385">
        <v>0</v>
      </c>
      <c r="N89" s="2100"/>
      <c r="O89" s="2100"/>
      <c r="P89" s="2100"/>
      <c r="Q89" s="1077">
        <f t="shared" ref="Q89" si="112">MAX(E89,H89,K89,N89)</f>
        <v>0</v>
      </c>
      <c r="R89" s="2126">
        <f t="shared" si="105"/>
        <v>0</v>
      </c>
      <c r="S89" s="2127">
        <f t="shared" si="106"/>
        <v>0</v>
      </c>
      <c r="T89" s="853">
        <f>IFERROR(AVERAGE(Q89:S89),"")</f>
        <v>0</v>
      </c>
      <c r="U89" s="2081" t="str">
        <f t="shared" si="109"/>
        <v>1.33</v>
      </c>
      <c r="V89" s="2081" t="str">
        <f t="shared" si="110"/>
        <v>D+</v>
      </c>
      <c r="W89" s="2081" t="str">
        <f t="shared" si="111"/>
        <v>0</v>
      </c>
      <c r="X89" s="1587"/>
      <c r="Y89" s="1588"/>
      <c r="Z89" s="1588"/>
      <c r="AA89" s="1588"/>
      <c r="AB89" s="1588"/>
      <c r="AC89" s="1589"/>
      <c r="AD89" s="1590"/>
      <c r="AE89" s="1590"/>
      <c r="AF89" s="1590"/>
      <c r="AG89" s="1591"/>
      <c r="AH89" s="1413"/>
      <c r="AI89" s="1414"/>
    </row>
    <row r="90" spans="1:35" ht="24.95" customHeight="1" x14ac:dyDescent="0.25">
      <c r="A90" s="1592"/>
      <c r="B90" s="1592">
        <v>14</v>
      </c>
      <c r="C90" s="1593" t="s">
        <v>167</v>
      </c>
      <c r="D90" s="1594"/>
      <c r="E90" s="2878"/>
      <c r="F90" s="2879"/>
      <c r="G90" s="2879"/>
      <c r="H90" s="2879"/>
      <c r="I90" s="2079"/>
      <c r="J90" s="2079"/>
      <c r="K90" s="2079"/>
      <c r="L90" s="2079"/>
      <c r="M90" s="2079"/>
      <c r="N90" s="2079"/>
      <c r="O90" s="2079"/>
      <c r="P90" s="2079"/>
      <c r="Q90" s="2162"/>
      <c r="R90" s="2162"/>
      <c r="S90" s="2162"/>
      <c r="T90" s="1942">
        <f>IFERROR(AVERAGE(T85:T89),"  ")</f>
        <v>0</v>
      </c>
      <c r="U90" s="1619" t="str">
        <f>IF(T90&gt;85,("4"),IF(T90&gt;80,("3.66"),IF(T90&gt;75,("3.33"),IF(T90&gt;70,("3.00"),IF(T90&gt;65,("2.66"),IF(T90&gt;60,("2.33"),IF(T90&gt;55,("2"),IF(T90&gt;50,("1.66"),"1.33"))))))))</f>
        <v>1.33</v>
      </c>
      <c r="V90" s="1619" t="str">
        <f>IF(T90&gt;85,("A"),IF(T90&gt;80,("A-"),IF(T90&gt;75,("B+"),IF(T90&gt;70,("B"),IF(T90&gt;65,("B-"),IF(T90&gt;60,("C+"),IF(T90&gt;55,("C"),IF(T90&gt;50,("C-"),"D+"))))))))</f>
        <v>D+</v>
      </c>
      <c r="W90" s="1619"/>
      <c r="X90" s="1605"/>
      <c r="Y90" s="1606"/>
      <c r="Z90" s="1606"/>
      <c r="AA90" s="1606"/>
      <c r="AB90" s="1606"/>
      <c r="AC90" s="1607"/>
      <c r="AD90" s="1606"/>
      <c r="AE90" s="1606"/>
      <c r="AF90" s="1606"/>
      <c r="AG90" s="1608"/>
      <c r="AH90" s="1841"/>
      <c r="AI90" s="1620"/>
    </row>
    <row r="91" spans="1:35" ht="24.95" customHeight="1" x14ac:dyDescent="0.25">
      <c r="A91" s="1477">
        <v>15</v>
      </c>
      <c r="B91" s="1577"/>
      <c r="C91" s="1578" t="str">
        <f>VLOOKUP(A91,data_siswa,4,FALSE)</f>
        <v>Muhammad Ibra Maulana</v>
      </c>
      <c r="D91" s="1579" t="s">
        <v>155</v>
      </c>
      <c r="E91" s="1672">
        <v>0</v>
      </c>
      <c r="F91" s="1672">
        <v>0</v>
      </c>
      <c r="G91" s="1672">
        <v>0</v>
      </c>
      <c r="H91" s="2027"/>
      <c r="I91" s="2027"/>
      <c r="J91" s="2027"/>
      <c r="K91" s="1672"/>
      <c r="L91" s="1672"/>
      <c r="M91" s="1672"/>
      <c r="N91" s="2103"/>
      <c r="O91" s="2103"/>
      <c r="P91" s="2103"/>
      <c r="Q91" s="1077">
        <f>MAX(E91,H91,K91,N91)</f>
        <v>0</v>
      </c>
      <c r="R91" s="2126">
        <f t="shared" ref="R91:R95" si="113">MAX(F91,I91,L91,O91)</f>
        <v>0</v>
      </c>
      <c r="S91" s="2127">
        <f t="shared" ref="S91:S95" si="114">MAX(G91,J91,M91,P91)</f>
        <v>0</v>
      </c>
      <c r="T91" s="853">
        <f>IFERROR(AVERAGE(Q91:S91),"")</f>
        <v>0</v>
      </c>
      <c r="U91" s="2081" t="str">
        <f>IF(T91&gt;85,("4"),IF(T91&gt;80,("3.66"),IF(T91&gt;75,("3.33"),IF(T91&gt;70,("3.00"),IF(T91&gt;65,("2.66"),IF(T91&gt;60,("2.33"),IF(T91&gt;55,("2"),IF(T91&gt;50,("1.66"),"1.33"))))))))</f>
        <v>1.33</v>
      </c>
      <c r="V91" s="2081" t="str">
        <f>IF(T91&gt;85,("A"),IF(T91&gt;80,("A-"),IF(T91&gt;75,("B+"),IF(T91&gt;70,("B"),IF(T91&gt;65,("B-"),IF(T91&gt;60,("C+"),IF(T91&gt;55,("C"),IF(T91&gt;50,("C-"),"D+"))))))))</f>
        <v>D+</v>
      </c>
      <c r="W91" s="2081" t="str">
        <f>IF(T91&gt;80,("SB"),IF(T91&gt;65,("B"),IF(T91&gt;50,("C"),IF(T91&gt;0,("K"),"0"))))</f>
        <v>0</v>
      </c>
      <c r="X91" s="1609"/>
      <c r="Y91" s="1609"/>
      <c r="Z91" s="1609"/>
      <c r="AA91" s="1609"/>
      <c r="AB91" s="1609"/>
      <c r="AC91" s="1610"/>
      <c r="AD91" s="1611"/>
      <c r="AE91" s="1611"/>
      <c r="AF91" s="1611"/>
      <c r="AG91" s="1611"/>
      <c r="AH91" s="1929">
        <f>AVERAGE(T91:T95)</f>
        <v>0</v>
      </c>
      <c r="AI91" s="1945" t="str">
        <f>IF(AH91&gt;85,("A"),IF(AH91&gt;80,("A-"),IF(AH91&gt;75,("B+"),IF(AH91&gt;70,("B"),IF(AH91&gt;65,("B-"),IF(AH91&gt;60,("C+"),IF(AH91&gt;55,("C"),IF(AH91&gt;50,("C-"),"D+"))))))))</f>
        <v>D+</v>
      </c>
    </row>
    <row r="92" spans="1:35" ht="24.95" customHeight="1" x14ac:dyDescent="0.25">
      <c r="A92" s="1478"/>
      <c r="B92" s="1580"/>
      <c r="C92" s="1581"/>
      <c r="D92" s="1579" t="s">
        <v>9</v>
      </c>
      <c r="E92" s="1385">
        <v>0</v>
      </c>
      <c r="F92" s="1385">
        <v>0</v>
      </c>
      <c r="G92" s="1385">
        <v>0</v>
      </c>
      <c r="H92" s="2101"/>
      <c r="I92" s="2101"/>
      <c r="J92" s="2101"/>
      <c r="K92" s="1385"/>
      <c r="L92" s="1385"/>
      <c r="M92" s="1385"/>
      <c r="N92" s="2100">
        <v>0</v>
      </c>
      <c r="O92" s="2100">
        <v>0</v>
      </c>
      <c r="P92" s="2100">
        <v>0</v>
      </c>
      <c r="Q92" s="1077">
        <f t="shared" ref="Q92:Q93" si="115">MAX(E92,H92,K92,N92)</f>
        <v>0</v>
      </c>
      <c r="R92" s="2126">
        <f t="shared" si="113"/>
        <v>0</v>
      </c>
      <c r="S92" s="2127">
        <f t="shared" si="114"/>
        <v>0</v>
      </c>
      <c r="T92" s="853">
        <f t="shared" ref="T92:T93" si="116">IFERROR(AVERAGE(Q92:S92),"")</f>
        <v>0</v>
      </c>
      <c r="U92" s="2081" t="str">
        <f t="shared" ref="U92:U95" si="117">IF(T92&gt;85,("4"),IF(T92&gt;80,("3.66"),IF(T92&gt;75,("3.33"),IF(T92&gt;70,("3.00"),IF(T92&gt;65,("2.66"),IF(T92&gt;60,("2.33"),IF(T92&gt;55,("2"),IF(T92&gt;50,("1.66"),"1.33"))))))))</f>
        <v>1.33</v>
      </c>
      <c r="V92" s="2081" t="str">
        <f t="shared" ref="V92:V95" si="118">IF(T92&gt;85,("A"),IF(T92&gt;80,("A-"),IF(T92&gt;75,("B+"),IF(T92&gt;70,("B"),IF(T92&gt;65,("B-"),IF(T92&gt;60,("C+"),IF(T92&gt;55,("C"),IF(T92&gt;50,("C-"),"D+"))))))))</f>
        <v>D+</v>
      </c>
      <c r="W92" s="2081" t="str">
        <f t="shared" ref="W92:W95" si="119">IF(T92&gt;80,("SB"),IF(T92&gt;65,("B"),IF(T92&gt;50,("C"),IF(T92&gt;0,("K"),"0"))))</f>
        <v>0</v>
      </c>
      <c r="X92" s="1582"/>
      <c r="Y92" s="1583"/>
      <c r="Z92" s="1583"/>
      <c r="AA92" s="1583"/>
      <c r="AB92" s="1583"/>
      <c r="AC92" s="1584"/>
      <c r="AD92" s="1585"/>
      <c r="AE92" s="1585"/>
      <c r="AF92" s="1585"/>
      <c r="AG92" s="1586"/>
      <c r="AH92" s="1411"/>
      <c r="AI92" s="1412"/>
    </row>
    <row r="93" spans="1:35" ht="24.95" customHeight="1" x14ac:dyDescent="0.25">
      <c r="A93" s="1478"/>
      <c r="B93" s="1580"/>
      <c r="C93" s="1581"/>
      <c r="D93" s="1579" t="s">
        <v>11</v>
      </c>
      <c r="E93" s="1385"/>
      <c r="F93" s="1385"/>
      <c r="G93" s="1385"/>
      <c r="H93" s="2101">
        <v>0</v>
      </c>
      <c r="I93" s="2101">
        <v>0</v>
      </c>
      <c r="J93" s="2101">
        <v>0</v>
      </c>
      <c r="K93" s="1385">
        <v>0</v>
      </c>
      <c r="L93" s="1385">
        <v>0</v>
      </c>
      <c r="M93" s="1385">
        <v>0</v>
      </c>
      <c r="N93" s="2100">
        <v>0</v>
      </c>
      <c r="O93" s="2100">
        <v>0</v>
      </c>
      <c r="P93" s="2100">
        <v>0</v>
      </c>
      <c r="Q93" s="1077">
        <f t="shared" si="115"/>
        <v>0</v>
      </c>
      <c r="R93" s="2126">
        <f t="shared" si="113"/>
        <v>0</v>
      </c>
      <c r="S93" s="2127">
        <f t="shared" si="114"/>
        <v>0</v>
      </c>
      <c r="T93" s="853">
        <f t="shared" si="116"/>
        <v>0</v>
      </c>
      <c r="U93" s="2081" t="str">
        <f t="shared" si="117"/>
        <v>1.33</v>
      </c>
      <c r="V93" s="2081" t="str">
        <f t="shared" si="118"/>
        <v>D+</v>
      </c>
      <c r="W93" s="2081" t="str">
        <f t="shared" si="119"/>
        <v>0</v>
      </c>
      <c r="X93" s="1587"/>
      <c r="Y93" s="1588"/>
      <c r="Z93" s="1588"/>
      <c r="AA93" s="1588"/>
      <c r="AB93" s="1588"/>
      <c r="AC93" s="1589"/>
      <c r="AD93" s="1590"/>
      <c r="AE93" s="1590"/>
      <c r="AF93" s="1590"/>
      <c r="AG93" s="1591"/>
      <c r="AH93" s="1413"/>
      <c r="AI93" s="1414"/>
    </row>
    <row r="94" spans="1:35" ht="24.95" customHeight="1" x14ac:dyDescent="0.25">
      <c r="A94" s="1478"/>
      <c r="B94" s="1580"/>
      <c r="C94" s="1581"/>
      <c r="D94" s="1579" t="s">
        <v>16</v>
      </c>
      <c r="E94" s="1385"/>
      <c r="F94" s="1385"/>
      <c r="G94" s="1385"/>
      <c r="H94" s="2101">
        <v>0</v>
      </c>
      <c r="I94" s="2101">
        <v>0</v>
      </c>
      <c r="J94" s="2101">
        <v>0</v>
      </c>
      <c r="K94" s="1385"/>
      <c r="L94" s="1385"/>
      <c r="M94" s="1385"/>
      <c r="N94" s="2100"/>
      <c r="O94" s="2100"/>
      <c r="P94" s="2100"/>
      <c r="Q94" s="1077">
        <f>MAX(E94,H94,K94,N94)</f>
        <v>0</v>
      </c>
      <c r="R94" s="2126">
        <f t="shared" si="113"/>
        <v>0</v>
      </c>
      <c r="S94" s="2127">
        <f t="shared" si="114"/>
        <v>0</v>
      </c>
      <c r="T94" s="853">
        <f>IFERROR(AVERAGE(Q94:S94),"")</f>
        <v>0</v>
      </c>
      <c r="U94" s="2081" t="str">
        <f t="shared" si="117"/>
        <v>1.33</v>
      </c>
      <c r="V94" s="2081" t="str">
        <f t="shared" si="118"/>
        <v>D+</v>
      </c>
      <c r="W94" s="2081" t="str">
        <f t="shared" si="119"/>
        <v>0</v>
      </c>
      <c r="X94" s="1587"/>
      <c r="Y94" s="1588"/>
      <c r="Z94" s="1588"/>
      <c r="AA94" s="1588"/>
      <c r="AB94" s="1588"/>
      <c r="AC94" s="1589"/>
      <c r="AD94" s="1590"/>
      <c r="AE94" s="1590"/>
      <c r="AF94" s="1590"/>
      <c r="AG94" s="1591"/>
      <c r="AH94" s="1413"/>
      <c r="AI94" s="1414"/>
    </row>
    <row r="95" spans="1:35" ht="24.95" customHeight="1" x14ac:dyDescent="0.25">
      <c r="A95" s="1478"/>
      <c r="B95" s="1580"/>
      <c r="C95" s="1581"/>
      <c r="D95" s="1579" t="s">
        <v>189</v>
      </c>
      <c r="E95" s="1385">
        <v>0</v>
      </c>
      <c r="F95" s="1385">
        <v>0</v>
      </c>
      <c r="G95" s="1385">
        <v>0</v>
      </c>
      <c r="H95" s="2101"/>
      <c r="I95" s="2101"/>
      <c r="J95" s="2101"/>
      <c r="K95" s="1385">
        <v>0</v>
      </c>
      <c r="L95" s="1385">
        <v>0</v>
      </c>
      <c r="M95" s="1385">
        <v>0</v>
      </c>
      <c r="N95" s="2100"/>
      <c r="O95" s="2100"/>
      <c r="P95" s="2100"/>
      <c r="Q95" s="1077">
        <f t="shared" ref="Q95" si="120">MAX(E95,H95,K95,N95)</f>
        <v>0</v>
      </c>
      <c r="R95" s="2126">
        <f t="shared" si="113"/>
        <v>0</v>
      </c>
      <c r="S95" s="2127">
        <f t="shared" si="114"/>
        <v>0</v>
      </c>
      <c r="T95" s="853">
        <f>IFERROR(AVERAGE(Q95:S95),"")</f>
        <v>0</v>
      </c>
      <c r="U95" s="2081" t="str">
        <f t="shared" si="117"/>
        <v>1.33</v>
      </c>
      <c r="V95" s="2081" t="str">
        <f t="shared" si="118"/>
        <v>D+</v>
      </c>
      <c r="W95" s="2081" t="str">
        <f t="shared" si="119"/>
        <v>0</v>
      </c>
      <c r="X95" s="1587"/>
      <c r="Y95" s="1588"/>
      <c r="Z95" s="1588"/>
      <c r="AA95" s="1588"/>
      <c r="AB95" s="1588"/>
      <c r="AC95" s="1589"/>
      <c r="AD95" s="1590"/>
      <c r="AE95" s="1590"/>
      <c r="AF95" s="1590"/>
      <c r="AG95" s="1591"/>
      <c r="AH95" s="1413"/>
      <c r="AI95" s="1414"/>
    </row>
    <row r="96" spans="1:35" ht="24.95" customHeight="1" x14ac:dyDescent="0.25">
      <c r="A96" s="1592"/>
      <c r="B96" s="1592">
        <v>15</v>
      </c>
      <c r="C96" s="1593" t="s">
        <v>167</v>
      </c>
      <c r="D96" s="1594"/>
      <c r="E96" s="2878"/>
      <c r="F96" s="2879"/>
      <c r="G96" s="2879"/>
      <c r="H96" s="2879"/>
      <c r="I96" s="2079"/>
      <c r="J96" s="2079"/>
      <c r="K96" s="2079"/>
      <c r="L96" s="2079"/>
      <c r="M96" s="2079"/>
      <c r="N96" s="2079"/>
      <c r="O96" s="2079"/>
      <c r="P96" s="2079"/>
      <c r="Q96" s="2162"/>
      <c r="R96" s="2162"/>
      <c r="S96" s="2162"/>
      <c r="T96" s="1942">
        <f>IFERROR(AVERAGE(T91:T95),"  ")</f>
        <v>0</v>
      </c>
      <c r="U96" s="1619" t="str">
        <f>IF(T96&gt;85,("4"),IF(T96&gt;80,("3.66"),IF(T96&gt;75,("3.33"),IF(T96&gt;70,("3.00"),IF(T96&gt;65,("2.66"),IF(T96&gt;60,("2.33"),IF(T96&gt;55,("2"),IF(T96&gt;50,("1.66"),"1.33"))))))))</f>
        <v>1.33</v>
      </c>
      <c r="V96" s="1619" t="str">
        <f>IF(T96&gt;85,("A"),IF(T96&gt;80,("A-"),IF(T96&gt;75,("B+"),IF(T96&gt;70,("B"),IF(T96&gt;65,("B-"),IF(T96&gt;60,("C+"),IF(T96&gt;55,("C"),IF(T96&gt;50,("C-"),"D+"))))))))</f>
        <v>D+</v>
      </c>
      <c r="W96" s="1619"/>
      <c r="X96" s="1605"/>
      <c r="Y96" s="1606"/>
      <c r="Z96" s="1606"/>
      <c r="AA96" s="1606"/>
      <c r="AB96" s="1606"/>
      <c r="AC96" s="1607"/>
      <c r="AD96" s="1606"/>
      <c r="AE96" s="1606"/>
      <c r="AF96" s="1606"/>
      <c r="AG96" s="1608"/>
      <c r="AH96" s="1841"/>
      <c r="AI96" s="1620"/>
    </row>
    <row r="97" spans="1:35" ht="24.95" customHeight="1" x14ac:dyDescent="0.25">
      <c r="A97" s="1477">
        <v>16</v>
      </c>
      <c r="B97" s="1577"/>
      <c r="C97" s="1578" t="str">
        <f>VLOOKUP(A97,data_siswa,4,FALSE)</f>
        <v>Nabilla Shiva Putri</v>
      </c>
      <c r="D97" s="1579" t="s">
        <v>155</v>
      </c>
      <c r="E97" s="1672">
        <v>0</v>
      </c>
      <c r="F97" s="1672">
        <v>0</v>
      </c>
      <c r="G97" s="1672">
        <v>0</v>
      </c>
      <c r="H97" s="2027"/>
      <c r="I97" s="2027"/>
      <c r="J97" s="2027"/>
      <c r="K97" s="1672"/>
      <c r="L97" s="1672"/>
      <c r="M97" s="1672"/>
      <c r="N97" s="2103"/>
      <c r="O97" s="2103"/>
      <c r="P97" s="2103"/>
      <c r="Q97" s="1077">
        <f>MAX(E97,H97,K97,N97)</f>
        <v>0</v>
      </c>
      <c r="R97" s="2126">
        <f t="shared" ref="R97:R101" si="121">MAX(F97,I97,L97,O97)</f>
        <v>0</v>
      </c>
      <c r="S97" s="2127">
        <f t="shared" ref="S97:S101" si="122">MAX(G97,J97,M97,P97)</f>
        <v>0</v>
      </c>
      <c r="T97" s="853">
        <f>IFERROR(AVERAGE(Q97:S97),"")</f>
        <v>0</v>
      </c>
      <c r="U97" s="2081" t="str">
        <f>IF(T97&gt;85,("4"),IF(T97&gt;80,("3.66"),IF(T97&gt;75,("3.33"),IF(T97&gt;70,("3.00"),IF(T97&gt;65,("2.66"),IF(T97&gt;60,("2.33"),IF(T97&gt;55,("2"),IF(T97&gt;50,("1.66"),"1.33"))))))))</f>
        <v>1.33</v>
      </c>
      <c r="V97" s="2081" t="str">
        <f>IF(T97&gt;85,("A"),IF(T97&gt;80,("A-"),IF(T97&gt;75,("B+"),IF(T97&gt;70,("B"),IF(T97&gt;65,("B-"),IF(T97&gt;60,("C+"),IF(T97&gt;55,("C"),IF(T97&gt;50,("C-"),"D+"))))))))</f>
        <v>D+</v>
      </c>
      <c r="W97" s="2081" t="str">
        <f>IF(T97&gt;80,("SB"),IF(T97&gt;65,("B"),IF(T97&gt;50,("C"),IF(T97&gt;0,("K"),"0"))))</f>
        <v>0</v>
      </c>
      <c r="X97" s="1609"/>
      <c r="Y97" s="1609"/>
      <c r="Z97" s="1609"/>
      <c r="AA97" s="1609"/>
      <c r="AB97" s="1609"/>
      <c r="AC97" s="1610"/>
      <c r="AD97" s="1611"/>
      <c r="AE97" s="1611"/>
      <c r="AF97" s="1611"/>
      <c r="AG97" s="1611"/>
      <c r="AH97" s="1929">
        <f>AVERAGE(T97:T101)</f>
        <v>0</v>
      </c>
      <c r="AI97" s="1945" t="str">
        <f>IF(AH97&gt;85,("A"),IF(AH97&gt;80,("A-"),IF(AH97&gt;75,("B+"),IF(AH97&gt;70,("B"),IF(AH97&gt;65,("B-"),IF(AH97&gt;60,("C+"),IF(AH97&gt;55,("C"),IF(AH97&gt;50,("C-"),"D+"))))))))</f>
        <v>D+</v>
      </c>
    </row>
    <row r="98" spans="1:35" ht="24.95" customHeight="1" x14ac:dyDescent="0.25">
      <c r="A98" s="1478"/>
      <c r="B98" s="1580"/>
      <c r="C98" s="1581"/>
      <c r="D98" s="1579" t="s">
        <v>9</v>
      </c>
      <c r="E98" s="1385">
        <v>0</v>
      </c>
      <c r="F98" s="1385">
        <v>0</v>
      </c>
      <c r="G98" s="1385">
        <v>0</v>
      </c>
      <c r="H98" s="2101"/>
      <c r="I98" s="2101"/>
      <c r="J98" s="2101"/>
      <c r="K98" s="1385"/>
      <c r="L98" s="1385"/>
      <c r="M98" s="1385"/>
      <c r="N98" s="2100">
        <v>0</v>
      </c>
      <c r="O98" s="2100">
        <v>0</v>
      </c>
      <c r="P98" s="2100">
        <v>0</v>
      </c>
      <c r="Q98" s="1077">
        <f t="shared" ref="Q98:Q99" si="123">MAX(E98,H98,K98,N98)</f>
        <v>0</v>
      </c>
      <c r="R98" s="2126">
        <f t="shared" si="121"/>
        <v>0</v>
      </c>
      <c r="S98" s="2127">
        <f t="shared" si="122"/>
        <v>0</v>
      </c>
      <c r="T98" s="853">
        <f t="shared" ref="T98:T99" si="124">IFERROR(AVERAGE(Q98:S98),"")</f>
        <v>0</v>
      </c>
      <c r="U98" s="2081" t="str">
        <f t="shared" ref="U98:U101" si="125">IF(T98&gt;85,("4"),IF(T98&gt;80,("3.66"),IF(T98&gt;75,("3.33"),IF(T98&gt;70,("3.00"),IF(T98&gt;65,("2.66"),IF(T98&gt;60,("2.33"),IF(T98&gt;55,("2"),IF(T98&gt;50,("1.66"),"1.33"))))))))</f>
        <v>1.33</v>
      </c>
      <c r="V98" s="2081" t="str">
        <f t="shared" ref="V98:V101" si="126">IF(T98&gt;85,("A"),IF(T98&gt;80,("A-"),IF(T98&gt;75,("B+"),IF(T98&gt;70,("B"),IF(T98&gt;65,("B-"),IF(T98&gt;60,("C+"),IF(T98&gt;55,("C"),IF(T98&gt;50,("C-"),"D+"))))))))</f>
        <v>D+</v>
      </c>
      <c r="W98" s="2081" t="str">
        <f t="shared" ref="W98:W101" si="127">IF(T98&gt;80,("SB"),IF(T98&gt;65,("B"),IF(T98&gt;50,("C"),IF(T98&gt;0,("K"),"0"))))</f>
        <v>0</v>
      </c>
      <c r="X98" s="1582"/>
      <c r="Y98" s="1583"/>
      <c r="Z98" s="1583"/>
      <c r="AA98" s="1583"/>
      <c r="AB98" s="1583"/>
      <c r="AC98" s="1584"/>
      <c r="AD98" s="1585"/>
      <c r="AE98" s="1585"/>
      <c r="AF98" s="1585"/>
      <c r="AG98" s="1586"/>
      <c r="AH98" s="1411"/>
      <c r="AI98" s="1412"/>
    </row>
    <row r="99" spans="1:35" ht="24.95" customHeight="1" x14ac:dyDescent="0.25">
      <c r="A99" s="1478"/>
      <c r="B99" s="1580"/>
      <c r="C99" s="1581"/>
      <c r="D99" s="1579" t="s">
        <v>11</v>
      </c>
      <c r="E99" s="1385"/>
      <c r="F99" s="1385"/>
      <c r="G99" s="1385"/>
      <c r="H99" s="2101">
        <v>0</v>
      </c>
      <c r="I99" s="2101">
        <v>0</v>
      </c>
      <c r="J99" s="2101">
        <v>0</v>
      </c>
      <c r="K99" s="1385">
        <v>0</v>
      </c>
      <c r="L99" s="1385">
        <v>0</v>
      </c>
      <c r="M99" s="1385">
        <v>0</v>
      </c>
      <c r="N99" s="2100">
        <v>0</v>
      </c>
      <c r="O99" s="2100">
        <v>0</v>
      </c>
      <c r="P99" s="2100">
        <v>0</v>
      </c>
      <c r="Q99" s="1077">
        <f t="shared" si="123"/>
        <v>0</v>
      </c>
      <c r="R99" s="2126">
        <f t="shared" si="121"/>
        <v>0</v>
      </c>
      <c r="S99" s="2127">
        <f t="shared" si="122"/>
        <v>0</v>
      </c>
      <c r="T99" s="853">
        <f t="shared" si="124"/>
        <v>0</v>
      </c>
      <c r="U99" s="2081" t="str">
        <f t="shared" si="125"/>
        <v>1.33</v>
      </c>
      <c r="V99" s="2081" t="str">
        <f t="shared" si="126"/>
        <v>D+</v>
      </c>
      <c r="W99" s="2081" t="str">
        <f t="shared" si="127"/>
        <v>0</v>
      </c>
      <c r="X99" s="1587"/>
      <c r="Y99" s="1588"/>
      <c r="Z99" s="1588"/>
      <c r="AA99" s="1588"/>
      <c r="AB99" s="1588"/>
      <c r="AC99" s="1589"/>
      <c r="AD99" s="1590"/>
      <c r="AE99" s="1590"/>
      <c r="AF99" s="1590"/>
      <c r="AG99" s="1591"/>
      <c r="AH99" s="1413"/>
      <c r="AI99" s="1414"/>
    </row>
    <row r="100" spans="1:35" ht="24.95" customHeight="1" x14ac:dyDescent="0.25">
      <c r="A100" s="1478"/>
      <c r="B100" s="1580"/>
      <c r="C100" s="1581"/>
      <c r="D100" s="1579" t="s">
        <v>16</v>
      </c>
      <c r="E100" s="1385"/>
      <c r="F100" s="1385"/>
      <c r="G100" s="1385"/>
      <c r="H100" s="2101">
        <v>0</v>
      </c>
      <c r="I100" s="2101">
        <v>0</v>
      </c>
      <c r="J100" s="2101">
        <v>0</v>
      </c>
      <c r="K100" s="1385"/>
      <c r="L100" s="1385"/>
      <c r="M100" s="1385"/>
      <c r="N100" s="2100"/>
      <c r="O100" s="2100"/>
      <c r="P100" s="2100"/>
      <c r="Q100" s="1077">
        <f>MAX(E100,H100,K100,N100)</f>
        <v>0</v>
      </c>
      <c r="R100" s="2126">
        <f t="shared" si="121"/>
        <v>0</v>
      </c>
      <c r="S100" s="2127">
        <f t="shared" si="122"/>
        <v>0</v>
      </c>
      <c r="T100" s="853">
        <f>IFERROR(AVERAGE(Q100:S100),"")</f>
        <v>0</v>
      </c>
      <c r="U100" s="2081" t="str">
        <f t="shared" si="125"/>
        <v>1.33</v>
      </c>
      <c r="V100" s="2081" t="str">
        <f t="shared" si="126"/>
        <v>D+</v>
      </c>
      <c r="W100" s="2081" t="str">
        <f t="shared" si="127"/>
        <v>0</v>
      </c>
      <c r="X100" s="1587"/>
      <c r="Y100" s="1588"/>
      <c r="Z100" s="1588"/>
      <c r="AA100" s="1588"/>
      <c r="AB100" s="1588"/>
      <c r="AC100" s="1589"/>
      <c r="AD100" s="1590"/>
      <c r="AE100" s="1590"/>
      <c r="AF100" s="1590"/>
      <c r="AG100" s="1591"/>
      <c r="AH100" s="1413"/>
      <c r="AI100" s="1414"/>
    </row>
    <row r="101" spans="1:35" ht="24.95" customHeight="1" x14ac:dyDescent="0.25">
      <c r="A101" s="1478"/>
      <c r="B101" s="1580"/>
      <c r="C101" s="1581"/>
      <c r="D101" s="1579" t="s">
        <v>189</v>
      </c>
      <c r="E101" s="1385">
        <v>0</v>
      </c>
      <c r="F101" s="1385">
        <v>0</v>
      </c>
      <c r="G101" s="1385">
        <v>0</v>
      </c>
      <c r="H101" s="2101"/>
      <c r="I101" s="2101"/>
      <c r="J101" s="2101"/>
      <c r="K101" s="1385">
        <v>0</v>
      </c>
      <c r="L101" s="1385">
        <v>0</v>
      </c>
      <c r="M101" s="1385">
        <v>0</v>
      </c>
      <c r="N101" s="2100"/>
      <c r="O101" s="2100"/>
      <c r="P101" s="2100"/>
      <c r="Q101" s="1077">
        <f t="shared" ref="Q101" si="128">MAX(E101,H101,K101,N101)</f>
        <v>0</v>
      </c>
      <c r="R101" s="2126">
        <f t="shared" si="121"/>
        <v>0</v>
      </c>
      <c r="S101" s="2127">
        <f t="shared" si="122"/>
        <v>0</v>
      </c>
      <c r="T101" s="853">
        <f>IFERROR(AVERAGE(Q101:S101),"")</f>
        <v>0</v>
      </c>
      <c r="U101" s="2081" t="str">
        <f t="shared" si="125"/>
        <v>1.33</v>
      </c>
      <c r="V101" s="2081" t="str">
        <f t="shared" si="126"/>
        <v>D+</v>
      </c>
      <c r="W101" s="2081" t="str">
        <f t="shared" si="127"/>
        <v>0</v>
      </c>
      <c r="X101" s="1587"/>
      <c r="Y101" s="1588"/>
      <c r="Z101" s="1588"/>
      <c r="AA101" s="1588"/>
      <c r="AB101" s="1588"/>
      <c r="AC101" s="1589"/>
      <c r="AD101" s="1590"/>
      <c r="AE101" s="1590"/>
      <c r="AF101" s="1590"/>
      <c r="AG101" s="1591"/>
      <c r="AH101" s="1413"/>
      <c r="AI101" s="1414"/>
    </row>
    <row r="102" spans="1:35" ht="24.95" customHeight="1" x14ac:dyDescent="0.25">
      <c r="A102" s="1592"/>
      <c r="B102" s="1592">
        <v>16</v>
      </c>
      <c r="C102" s="1593" t="s">
        <v>167</v>
      </c>
      <c r="D102" s="1594"/>
      <c r="E102" s="2878"/>
      <c r="F102" s="2879"/>
      <c r="G102" s="2879"/>
      <c r="H102" s="2879"/>
      <c r="I102" s="2079"/>
      <c r="J102" s="2079"/>
      <c r="K102" s="2079"/>
      <c r="L102" s="2079"/>
      <c r="M102" s="2079"/>
      <c r="N102" s="2079"/>
      <c r="O102" s="2079"/>
      <c r="P102" s="2079"/>
      <c r="Q102" s="2162"/>
      <c r="R102" s="2162"/>
      <c r="S102" s="2162"/>
      <c r="T102" s="1942">
        <f>IFERROR(AVERAGE(T97:T101),"  ")</f>
        <v>0</v>
      </c>
      <c r="U102" s="1619" t="str">
        <f>IF(T102&gt;85,("4"),IF(T102&gt;80,("3.66"),IF(T102&gt;75,("3.33"),IF(T102&gt;70,("3.00"),IF(T102&gt;65,("2.66"),IF(T102&gt;60,("2.33"),IF(T102&gt;55,("2"),IF(T102&gt;50,("1.66"),"1.33"))))))))</f>
        <v>1.33</v>
      </c>
      <c r="V102" s="1619" t="str">
        <f>IF(T102&gt;85,("A"),IF(T102&gt;80,("A-"),IF(T102&gt;75,("B+"),IF(T102&gt;70,("B"),IF(T102&gt;65,("B-"),IF(T102&gt;60,("C+"),IF(T102&gt;55,("C"),IF(T102&gt;50,("C-"),"D+"))))))))</f>
        <v>D+</v>
      </c>
      <c r="W102" s="1619"/>
      <c r="X102" s="1605"/>
      <c r="Y102" s="1606"/>
      <c r="Z102" s="1606"/>
      <c r="AA102" s="1606"/>
      <c r="AB102" s="1606"/>
      <c r="AC102" s="1607"/>
      <c r="AD102" s="1606"/>
      <c r="AE102" s="1606"/>
      <c r="AF102" s="1606"/>
      <c r="AG102" s="1608"/>
      <c r="AH102" s="1841"/>
      <c r="AI102" s="1620"/>
    </row>
    <row r="103" spans="1:35" ht="24.95" customHeight="1" x14ac:dyDescent="0.25">
      <c r="A103" s="1477">
        <v>17</v>
      </c>
      <c r="B103" s="1577"/>
      <c r="C103" s="1578" t="str">
        <f>VLOOKUP(A103,data_siswa,4,FALSE)</f>
        <v>Naufal Falih F</v>
      </c>
      <c r="D103" s="1579" t="s">
        <v>155</v>
      </c>
      <c r="E103" s="1672">
        <v>0</v>
      </c>
      <c r="F103" s="1672">
        <v>0</v>
      </c>
      <c r="G103" s="1672">
        <v>0</v>
      </c>
      <c r="H103" s="2027"/>
      <c r="I103" s="2027"/>
      <c r="J103" s="2027"/>
      <c r="K103" s="1672"/>
      <c r="L103" s="1672"/>
      <c r="M103" s="1672"/>
      <c r="N103" s="2103"/>
      <c r="O103" s="2103"/>
      <c r="P103" s="2103"/>
      <c r="Q103" s="1077">
        <f>MAX(E103,H103,K103,N103)</f>
        <v>0</v>
      </c>
      <c r="R103" s="2126">
        <f t="shared" ref="R103:R107" si="129">MAX(F103,I103,L103,O103)</f>
        <v>0</v>
      </c>
      <c r="S103" s="2127">
        <f t="shared" ref="S103:S107" si="130">MAX(G103,J103,M103,P103)</f>
        <v>0</v>
      </c>
      <c r="T103" s="853">
        <f>IFERROR(AVERAGE(Q103:S103),"")</f>
        <v>0</v>
      </c>
      <c r="U103" s="2081" t="str">
        <f>IF(T103&gt;85,("4"),IF(T103&gt;80,("3.66"),IF(T103&gt;75,("3.33"),IF(T103&gt;70,("3.00"),IF(T103&gt;65,("2.66"),IF(T103&gt;60,("2.33"),IF(T103&gt;55,("2"),IF(T103&gt;50,("1.66"),"1.33"))))))))</f>
        <v>1.33</v>
      </c>
      <c r="V103" s="2081" t="str">
        <f>IF(T103&gt;85,("A"),IF(T103&gt;80,("A-"),IF(T103&gt;75,("B+"),IF(T103&gt;70,("B"),IF(T103&gt;65,("B-"),IF(T103&gt;60,("C+"),IF(T103&gt;55,("C"),IF(T103&gt;50,("C-"),"D+"))))))))</f>
        <v>D+</v>
      </c>
      <c r="W103" s="2081" t="str">
        <f>IF(T103&gt;80,("SB"),IF(T103&gt;65,("B"),IF(T103&gt;50,("C"),IF(T103&gt;0,("K"),"0"))))</f>
        <v>0</v>
      </c>
      <c r="X103" s="1609"/>
      <c r="Y103" s="1609"/>
      <c r="Z103" s="1609"/>
      <c r="AA103" s="1609"/>
      <c r="AB103" s="1609"/>
      <c r="AC103" s="1610"/>
      <c r="AD103" s="1611"/>
      <c r="AE103" s="1611"/>
      <c r="AF103" s="1611"/>
      <c r="AG103" s="1611"/>
      <c r="AH103" s="1929">
        <f>AVERAGE(T103:T107)</f>
        <v>0</v>
      </c>
      <c r="AI103" s="1945" t="str">
        <f>IF(AH103&gt;85,("A"),IF(AH103&gt;80,("A-"),IF(AH103&gt;75,("B+"),IF(AH103&gt;70,("B"),IF(AH103&gt;65,("B-"),IF(AH103&gt;60,("C+"),IF(AH103&gt;55,("C"),IF(AH103&gt;50,("C-"),"D+"))))))))</f>
        <v>D+</v>
      </c>
    </row>
    <row r="104" spans="1:35" ht="24.95" customHeight="1" x14ac:dyDescent="0.25">
      <c r="A104" s="1478"/>
      <c r="B104" s="1580"/>
      <c r="C104" s="1581"/>
      <c r="D104" s="1579" t="s">
        <v>9</v>
      </c>
      <c r="E104" s="1385">
        <v>0</v>
      </c>
      <c r="F104" s="1385">
        <v>0</v>
      </c>
      <c r="G104" s="1385">
        <v>0</v>
      </c>
      <c r="H104" s="2101"/>
      <c r="I104" s="2101"/>
      <c r="J104" s="2101"/>
      <c r="K104" s="1385"/>
      <c r="L104" s="1385"/>
      <c r="M104" s="1385"/>
      <c r="N104" s="2100">
        <v>0</v>
      </c>
      <c r="O104" s="2100">
        <v>0</v>
      </c>
      <c r="P104" s="2100">
        <v>0</v>
      </c>
      <c r="Q104" s="1077">
        <f t="shared" ref="Q104:Q105" si="131">MAX(E104,H104,K104,N104)</f>
        <v>0</v>
      </c>
      <c r="R104" s="2126">
        <f t="shared" si="129"/>
        <v>0</v>
      </c>
      <c r="S104" s="2127">
        <f t="shared" si="130"/>
        <v>0</v>
      </c>
      <c r="T104" s="853">
        <f t="shared" ref="T104:T105" si="132">IFERROR(AVERAGE(Q104:S104),"")</f>
        <v>0</v>
      </c>
      <c r="U104" s="2081" t="str">
        <f t="shared" ref="U104:U107" si="133">IF(T104&gt;85,("4"),IF(T104&gt;80,("3.66"),IF(T104&gt;75,("3.33"),IF(T104&gt;70,("3.00"),IF(T104&gt;65,("2.66"),IF(T104&gt;60,("2.33"),IF(T104&gt;55,("2"),IF(T104&gt;50,("1.66"),"1.33"))))))))</f>
        <v>1.33</v>
      </c>
      <c r="V104" s="2081" t="str">
        <f t="shared" ref="V104:V107" si="134">IF(T104&gt;85,("A"),IF(T104&gt;80,("A-"),IF(T104&gt;75,("B+"),IF(T104&gt;70,("B"),IF(T104&gt;65,("B-"),IF(T104&gt;60,("C+"),IF(T104&gt;55,("C"),IF(T104&gt;50,("C-"),"D+"))))))))</f>
        <v>D+</v>
      </c>
      <c r="W104" s="2081" t="str">
        <f t="shared" ref="W104:W107" si="135">IF(T104&gt;80,("SB"),IF(T104&gt;65,("B"),IF(T104&gt;50,("C"),IF(T104&gt;0,("K"),"0"))))</f>
        <v>0</v>
      </c>
      <c r="X104" s="1582"/>
      <c r="Y104" s="1583"/>
      <c r="Z104" s="1583"/>
      <c r="AA104" s="1583"/>
      <c r="AB104" s="1583"/>
      <c r="AC104" s="1584"/>
      <c r="AD104" s="1585"/>
      <c r="AE104" s="1585"/>
      <c r="AF104" s="1585"/>
      <c r="AG104" s="1586"/>
      <c r="AH104" s="1411"/>
      <c r="AI104" s="1412"/>
    </row>
    <row r="105" spans="1:35" ht="24.95" customHeight="1" x14ac:dyDescent="0.25">
      <c r="A105" s="1478"/>
      <c r="B105" s="1580"/>
      <c r="C105" s="1581"/>
      <c r="D105" s="1579" t="s">
        <v>11</v>
      </c>
      <c r="E105" s="1385"/>
      <c r="F105" s="1385"/>
      <c r="G105" s="1385"/>
      <c r="H105" s="2101">
        <v>0</v>
      </c>
      <c r="I105" s="2101">
        <v>0</v>
      </c>
      <c r="J105" s="2101">
        <v>0</v>
      </c>
      <c r="K105" s="1385">
        <v>0</v>
      </c>
      <c r="L105" s="1385">
        <v>0</v>
      </c>
      <c r="M105" s="1385">
        <v>0</v>
      </c>
      <c r="N105" s="2100">
        <v>0</v>
      </c>
      <c r="O105" s="2100">
        <v>0</v>
      </c>
      <c r="P105" s="2100">
        <v>0</v>
      </c>
      <c r="Q105" s="1077">
        <f t="shared" si="131"/>
        <v>0</v>
      </c>
      <c r="R105" s="2126">
        <f t="shared" si="129"/>
        <v>0</v>
      </c>
      <c r="S105" s="2127">
        <f t="shared" si="130"/>
        <v>0</v>
      </c>
      <c r="T105" s="853">
        <f t="shared" si="132"/>
        <v>0</v>
      </c>
      <c r="U105" s="2081" t="str">
        <f t="shared" si="133"/>
        <v>1.33</v>
      </c>
      <c r="V105" s="2081" t="str">
        <f t="shared" si="134"/>
        <v>D+</v>
      </c>
      <c r="W105" s="2081" t="str">
        <f t="shared" si="135"/>
        <v>0</v>
      </c>
      <c r="X105" s="1587"/>
      <c r="Y105" s="1588"/>
      <c r="Z105" s="1588"/>
      <c r="AA105" s="1588"/>
      <c r="AB105" s="1588"/>
      <c r="AC105" s="1589"/>
      <c r="AD105" s="1590"/>
      <c r="AE105" s="1590"/>
      <c r="AF105" s="1590"/>
      <c r="AG105" s="1591"/>
      <c r="AH105" s="1413"/>
      <c r="AI105" s="1414"/>
    </row>
    <row r="106" spans="1:35" ht="24.95" customHeight="1" x14ac:dyDescent="0.25">
      <c r="A106" s="1478"/>
      <c r="B106" s="1580"/>
      <c r="C106" s="1581"/>
      <c r="D106" s="1579" t="s">
        <v>16</v>
      </c>
      <c r="E106" s="1385"/>
      <c r="F106" s="1385"/>
      <c r="G106" s="1385"/>
      <c r="H106" s="2101">
        <v>0</v>
      </c>
      <c r="I106" s="2101">
        <v>0</v>
      </c>
      <c r="J106" s="2101">
        <v>0</v>
      </c>
      <c r="K106" s="1385"/>
      <c r="L106" s="1385"/>
      <c r="M106" s="1385"/>
      <c r="N106" s="2100"/>
      <c r="O106" s="2100"/>
      <c r="P106" s="2100"/>
      <c r="Q106" s="1077">
        <f>MAX(E106,H106,K106,N106)</f>
        <v>0</v>
      </c>
      <c r="R106" s="2126">
        <f t="shared" si="129"/>
        <v>0</v>
      </c>
      <c r="S106" s="2127">
        <f t="shared" si="130"/>
        <v>0</v>
      </c>
      <c r="T106" s="853">
        <f>IFERROR(AVERAGE(Q106:S106),"")</f>
        <v>0</v>
      </c>
      <c r="U106" s="2081" t="str">
        <f t="shared" si="133"/>
        <v>1.33</v>
      </c>
      <c r="V106" s="2081" t="str">
        <f t="shared" si="134"/>
        <v>D+</v>
      </c>
      <c r="W106" s="2081" t="str">
        <f t="shared" si="135"/>
        <v>0</v>
      </c>
      <c r="X106" s="1587"/>
      <c r="Y106" s="1588"/>
      <c r="Z106" s="1588"/>
      <c r="AA106" s="1588"/>
      <c r="AB106" s="1588"/>
      <c r="AC106" s="1589"/>
      <c r="AD106" s="1590"/>
      <c r="AE106" s="1590"/>
      <c r="AF106" s="1590"/>
      <c r="AG106" s="1591"/>
      <c r="AH106" s="1413"/>
      <c r="AI106" s="1414"/>
    </row>
    <row r="107" spans="1:35" ht="24.95" customHeight="1" x14ac:dyDescent="0.25">
      <c r="A107" s="1478"/>
      <c r="B107" s="1580"/>
      <c r="C107" s="1581"/>
      <c r="D107" s="1579" t="s">
        <v>189</v>
      </c>
      <c r="E107" s="1385">
        <v>0</v>
      </c>
      <c r="F107" s="1385">
        <v>0</v>
      </c>
      <c r="G107" s="1385">
        <v>0</v>
      </c>
      <c r="H107" s="2101"/>
      <c r="I107" s="2101"/>
      <c r="J107" s="2101"/>
      <c r="K107" s="1385">
        <v>0</v>
      </c>
      <c r="L107" s="1385">
        <v>0</v>
      </c>
      <c r="M107" s="1385">
        <v>0</v>
      </c>
      <c r="N107" s="2100"/>
      <c r="O107" s="2100"/>
      <c r="P107" s="2100"/>
      <c r="Q107" s="1077">
        <f t="shared" ref="Q107" si="136">MAX(E107,H107,K107,N107)</f>
        <v>0</v>
      </c>
      <c r="R107" s="2126">
        <f t="shared" si="129"/>
        <v>0</v>
      </c>
      <c r="S107" s="2127">
        <f t="shared" si="130"/>
        <v>0</v>
      </c>
      <c r="T107" s="853">
        <f>IFERROR(AVERAGE(Q107:S107),"")</f>
        <v>0</v>
      </c>
      <c r="U107" s="2081" t="str">
        <f t="shared" si="133"/>
        <v>1.33</v>
      </c>
      <c r="V107" s="2081" t="str">
        <f t="shared" si="134"/>
        <v>D+</v>
      </c>
      <c r="W107" s="2081" t="str">
        <f t="shared" si="135"/>
        <v>0</v>
      </c>
      <c r="X107" s="1587"/>
      <c r="Y107" s="1588"/>
      <c r="Z107" s="1588"/>
      <c r="AA107" s="1588"/>
      <c r="AB107" s="1588"/>
      <c r="AC107" s="1589"/>
      <c r="AD107" s="1590"/>
      <c r="AE107" s="1590"/>
      <c r="AF107" s="1590"/>
      <c r="AG107" s="1591"/>
      <c r="AH107" s="1413"/>
      <c r="AI107" s="1414"/>
    </row>
    <row r="108" spans="1:35" ht="24.95" customHeight="1" x14ac:dyDescent="0.25">
      <c r="A108" s="1592"/>
      <c r="B108" s="1592">
        <v>17</v>
      </c>
      <c r="C108" s="1593" t="s">
        <v>167</v>
      </c>
      <c r="D108" s="1594"/>
      <c r="E108" s="2878"/>
      <c r="F108" s="2879"/>
      <c r="G108" s="2879"/>
      <c r="H108" s="2879"/>
      <c r="I108" s="2079"/>
      <c r="J108" s="2079"/>
      <c r="K108" s="2079"/>
      <c r="L108" s="2079"/>
      <c r="M108" s="2079"/>
      <c r="N108" s="2079"/>
      <c r="O108" s="2079"/>
      <c r="P108" s="2079"/>
      <c r="Q108" s="2162"/>
      <c r="R108" s="2162"/>
      <c r="S108" s="2162"/>
      <c r="T108" s="1942">
        <f>IFERROR(AVERAGE(T103:T107),"  ")</f>
        <v>0</v>
      </c>
      <c r="U108" s="1619" t="str">
        <f>IF(T108&gt;85,("4"),IF(T108&gt;80,("3.66"),IF(T108&gt;75,("3.33"),IF(T108&gt;70,("3.00"),IF(T108&gt;65,("2.66"),IF(T108&gt;60,("2.33"),IF(T108&gt;55,("2"),IF(T108&gt;50,("1.66"),"1.33"))))))))</f>
        <v>1.33</v>
      </c>
      <c r="V108" s="1619" t="str">
        <f>IF(T108&gt;85,("A"),IF(T108&gt;80,("A-"),IF(T108&gt;75,("B+"),IF(T108&gt;70,("B"),IF(T108&gt;65,("B-"),IF(T108&gt;60,("C+"),IF(T108&gt;55,("C"),IF(T108&gt;50,("C-"),"D+"))))))))</f>
        <v>D+</v>
      </c>
      <c r="W108" s="1619"/>
      <c r="X108" s="1605"/>
      <c r="Y108" s="1606"/>
      <c r="Z108" s="1606"/>
      <c r="AA108" s="1606"/>
      <c r="AB108" s="1606"/>
      <c r="AC108" s="1607"/>
      <c r="AD108" s="1606"/>
      <c r="AE108" s="1606"/>
      <c r="AF108" s="1606"/>
      <c r="AG108" s="1608"/>
      <c r="AH108" s="1841"/>
      <c r="AI108" s="1620"/>
    </row>
    <row r="109" spans="1:35" ht="24.95" customHeight="1" x14ac:dyDescent="0.25">
      <c r="A109" s="1477">
        <v>18</v>
      </c>
      <c r="B109" s="1577"/>
      <c r="C109" s="1578" t="str">
        <f>VLOOKUP(A109,data_siswa,4,FALSE)</f>
        <v>Nayla Annora Nobel W</v>
      </c>
      <c r="D109" s="1579" t="s">
        <v>155</v>
      </c>
      <c r="E109" s="1672">
        <v>0</v>
      </c>
      <c r="F109" s="1672">
        <v>0</v>
      </c>
      <c r="G109" s="1672">
        <v>0</v>
      </c>
      <c r="H109" s="2027"/>
      <c r="I109" s="2027"/>
      <c r="J109" s="2027"/>
      <c r="K109" s="1672"/>
      <c r="L109" s="1672"/>
      <c r="M109" s="1672"/>
      <c r="N109" s="2103"/>
      <c r="O109" s="2103"/>
      <c r="P109" s="2103"/>
      <c r="Q109" s="1077">
        <f>MAX(E109,H109,K109,N109)</f>
        <v>0</v>
      </c>
      <c r="R109" s="2126">
        <f t="shared" ref="R109:R113" si="137">MAX(F109,I109,L109,O109)</f>
        <v>0</v>
      </c>
      <c r="S109" s="2127">
        <f t="shared" ref="S109:S113" si="138">MAX(G109,J109,M109,P109)</f>
        <v>0</v>
      </c>
      <c r="T109" s="853">
        <f>IFERROR(AVERAGE(Q109:S109),"")</f>
        <v>0</v>
      </c>
      <c r="U109" s="2081" t="str">
        <f>IF(T109&gt;85,("4"),IF(T109&gt;80,("3.66"),IF(T109&gt;75,("3.33"),IF(T109&gt;70,("3.00"),IF(T109&gt;65,("2.66"),IF(T109&gt;60,("2.33"),IF(T109&gt;55,("2"),IF(T109&gt;50,("1.66"),"1.33"))))))))</f>
        <v>1.33</v>
      </c>
      <c r="V109" s="2081" t="str">
        <f>IF(T109&gt;85,("A"),IF(T109&gt;80,("A-"),IF(T109&gt;75,("B+"),IF(T109&gt;70,("B"),IF(T109&gt;65,("B-"),IF(T109&gt;60,("C+"),IF(T109&gt;55,("C"),IF(T109&gt;50,("C-"),"D+"))))))))</f>
        <v>D+</v>
      </c>
      <c r="W109" s="2081" t="str">
        <f>IF(T109&gt;80,("SB"),IF(T109&gt;65,("B"),IF(T109&gt;50,("C"),IF(T109&gt;0,("K"),"0"))))</f>
        <v>0</v>
      </c>
      <c r="X109" s="1609"/>
      <c r="Y109" s="1609"/>
      <c r="Z109" s="1609"/>
      <c r="AA109" s="1609"/>
      <c r="AB109" s="1609"/>
      <c r="AC109" s="1610"/>
      <c r="AD109" s="1611"/>
      <c r="AE109" s="1611"/>
      <c r="AF109" s="1611"/>
      <c r="AG109" s="1611"/>
      <c r="AH109" s="1929">
        <f>AVERAGE(T109:T113)</f>
        <v>0</v>
      </c>
      <c r="AI109" s="1945" t="str">
        <f>IF(AH109&gt;85,("A"),IF(AH109&gt;80,("A-"),IF(AH109&gt;75,("B+"),IF(AH109&gt;70,("B"),IF(AH109&gt;65,("B-"),IF(AH109&gt;60,("C+"),IF(AH109&gt;55,("C"),IF(AH109&gt;50,("C-"),"D+"))))))))</f>
        <v>D+</v>
      </c>
    </row>
    <row r="110" spans="1:35" ht="24.95" customHeight="1" x14ac:dyDescent="0.25">
      <c r="A110" s="1478"/>
      <c r="B110" s="1580"/>
      <c r="C110" s="1581"/>
      <c r="D110" s="1579" t="s">
        <v>9</v>
      </c>
      <c r="E110" s="1385">
        <v>0</v>
      </c>
      <c r="F110" s="1385">
        <v>0</v>
      </c>
      <c r="G110" s="1385">
        <v>0</v>
      </c>
      <c r="H110" s="2101"/>
      <c r="I110" s="2101"/>
      <c r="J110" s="2101"/>
      <c r="K110" s="1385"/>
      <c r="L110" s="1385"/>
      <c r="M110" s="1385"/>
      <c r="N110" s="2100">
        <v>0</v>
      </c>
      <c r="O110" s="2100">
        <v>0</v>
      </c>
      <c r="P110" s="2100">
        <v>0</v>
      </c>
      <c r="Q110" s="1077">
        <f t="shared" ref="Q110:Q111" si="139">MAX(E110,H110,K110,N110)</f>
        <v>0</v>
      </c>
      <c r="R110" s="2126">
        <f t="shared" si="137"/>
        <v>0</v>
      </c>
      <c r="S110" s="2127">
        <f t="shared" si="138"/>
        <v>0</v>
      </c>
      <c r="T110" s="853">
        <f t="shared" ref="T110:T111" si="140">IFERROR(AVERAGE(Q110:S110),"")</f>
        <v>0</v>
      </c>
      <c r="U110" s="2081" t="str">
        <f t="shared" ref="U110:U113" si="141">IF(T110&gt;85,("4"),IF(T110&gt;80,("3.66"),IF(T110&gt;75,("3.33"),IF(T110&gt;70,("3.00"),IF(T110&gt;65,("2.66"),IF(T110&gt;60,("2.33"),IF(T110&gt;55,("2"),IF(T110&gt;50,("1.66"),"1.33"))))))))</f>
        <v>1.33</v>
      </c>
      <c r="V110" s="2081" t="str">
        <f t="shared" ref="V110:V113" si="142">IF(T110&gt;85,("A"),IF(T110&gt;80,("A-"),IF(T110&gt;75,("B+"),IF(T110&gt;70,("B"),IF(T110&gt;65,("B-"),IF(T110&gt;60,("C+"),IF(T110&gt;55,("C"),IF(T110&gt;50,("C-"),"D+"))))))))</f>
        <v>D+</v>
      </c>
      <c r="W110" s="2081" t="str">
        <f t="shared" ref="W110:W113" si="143">IF(T110&gt;80,("SB"),IF(T110&gt;65,("B"),IF(T110&gt;50,("C"),IF(T110&gt;0,("K"),"0"))))</f>
        <v>0</v>
      </c>
      <c r="X110" s="1582"/>
      <c r="Y110" s="1583"/>
      <c r="Z110" s="1583"/>
      <c r="AA110" s="1583"/>
      <c r="AB110" s="1583"/>
      <c r="AC110" s="1584"/>
      <c r="AD110" s="1585"/>
      <c r="AE110" s="1585"/>
      <c r="AF110" s="1585"/>
      <c r="AG110" s="1586"/>
      <c r="AH110" s="1411"/>
      <c r="AI110" s="1412"/>
    </row>
    <row r="111" spans="1:35" ht="24.95" customHeight="1" x14ac:dyDescent="0.25">
      <c r="A111" s="1478"/>
      <c r="B111" s="1580"/>
      <c r="C111" s="1581"/>
      <c r="D111" s="1579" t="s">
        <v>11</v>
      </c>
      <c r="E111" s="1385"/>
      <c r="F111" s="1385"/>
      <c r="G111" s="1385"/>
      <c r="H111" s="2101">
        <v>0</v>
      </c>
      <c r="I111" s="2101">
        <v>0</v>
      </c>
      <c r="J111" s="2101">
        <v>0</v>
      </c>
      <c r="K111" s="1385">
        <v>0</v>
      </c>
      <c r="L111" s="1385">
        <v>0</v>
      </c>
      <c r="M111" s="1385">
        <v>0</v>
      </c>
      <c r="N111" s="2100">
        <v>0</v>
      </c>
      <c r="O111" s="2100">
        <v>0</v>
      </c>
      <c r="P111" s="2100">
        <v>0</v>
      </c>
      <c r="Q111" s="1077">
        <f t="shared" si="139"/>
        <v>0</v>
      </c>
      <c r="R111" s="2126">
        <f t="shared" si="137"/>
        <v>0</v>
      </c>
      <c r="S111" s="2127">
        <f t="shared" si="138"/>
        <v>0</v>
      </c>
      <c r="T111" s="853">
        <f t="shared" si="140"/>
        <v>0</v>
      </c>
      <c r="U111" s="2081" t="str">
        <f t="shared" si="141"/>
        <v>1.33</v>
      </c>
      <c r="V111" s="2081" t="str">
        <f t="shared" si="142"/>
        <v>D+</v>
      </c>
      <c r="W111" s="2081" t="str">
        <f t="shared" si="143"/>
        <v>0</v>
      </c>
      <c r="X111" s="1587"/>
      <c r="Y111" s="1588"/>
      <c r="Z111" s="1588"/>
      <c r="AA111" s="1588"/>
      <c r="AB111" s="1588"/>
      <c r="AC111" s="1589"/>
      <c r="AD111" s="1590"/>
      <c r="AE111" s="1590"/>
      <c r="AF111" s="1590"/>
      <c r="AG111" s="1591"/>
      <c r="AH111" s="1413"/>
      <c r="AI111" s="1414"/>
    </row>
    <row r="112" spans="1:35" ht="24.95" customHeight="1" x14ac:dyDescent="0.25">
      <c r="A112" s="1478"/>
      <c r="B112" s="1580"/>
      <c r="C112" s="1581"/>
      <c r="D112" s="1579" t="s">
        <v>16</v>
      </c>
      <c r="E112" s="1385"/>
      <c r="F112" s="1385"/>
      <c r="G112" s="1385"/>
      <c r="H112" s="2101">
        <v>0</v>
      </c>
      <c r="I112" s="2101">
        <v>0</v>
      </c>
      <c r="J112" s="2101">
        <v>0</v>
      </c>
      <c r="K112" s="1385"/>
      <c r="L112" s="1385"/>
      <c r="M112" s="1385"/>
      <c r="N112" s="2100"/>
      <c r="O112" s="2100"/>
      <c r="P112" s="2100"/>
      <c r="Q112" s="1077">
        <f>MAX(E112,H112,K112,N112)</f>
        <v>0</v>
      </c>
      <c r="R112" s="2126">
        <f t="shared" si="137"/>
        <v>0</v>
      </c>
      <c r="S112" s="2127">
        <f t="shared" si="138"/>
        <v>0</v>
      </c>
      <c r="T112" s="853">
        <f>IFERROR(AVERAGE(Q112:S112),"")</f>
        <v>0</v>
      </c>
      <c r="U112" s="2081" t="str">
        <f t="shared" si="141"/>
        <v>1.33</v>
      </c>
      <c r="V112" s="2081" t="str">
        <f t="shared" si="142"/>
        <v>D+</v>
      </c>
      <c r="W112" s="2081" t="str">
        <f t="shared" si="143"/>
        <v>0</v>
      </c>
      <c r="X112" s="1587"/>
      <c r="Y112" s="1588"/>
      <c r="Z112" s="1588"/>
      <c r="AA112" s="1588"/>
      <c r="AB112" s="1588"/>
      <c r="AC112" s="1589"/>
      <c r="AD112" s="1590"/>
      <c r="AE112" s="1590"/>
      <c r="AF112" s="1590"/>
      <c r="AG112" s="1591"/>
      <c r="AH112" s="1413"/>
      <c r="AI112" s="1414"/>
    </row>
    <row r="113" spans="1:35" ht="24.95" customHeight="1" x14ac:dyDescent="0.25">
      <c r="A113" s="1478"/>
      <c r="B113" s="1580"/>
      <c r="C113" s="1581"/>
      <c r="D113" s="1579" t="s">
        <v>189</v>
      </c>
      <c r="E113" s="1385">
        <v>0</v>
      </c>
      <c r="F113" s="1385">
        <v>0</v>
      </c>
      <c r="G113" s="1385">
        <v>0</v>
      </c>
      <c r="H113" s="2101"/>
      <c r="I113" s="2101"/>
      <c r="J113" s="2101"/>
      <c r="K113" s="1385">
        <v>0</v>
      </c>
      <c r="L113" s="1385">
        <v>0</v>
      </c>
      <c r="M113" s="1385">
        <v>0</v>
      </c>
      <c r="N113" s="2100"/>
      <c r="O113" s="2100"/>
      <c r="P113" s="2100"/>
      <c r="Q113" s="1077">
        <f t="shared" ref="Q113" si="144">MAX(E113,H113,K113,N113)</f>
        <v>0</v>
      </c>
      <c r="R113" s="2126">
        <f t="shared" si="137"/>
        <v>0</v>
      </c>
      <c r="S113" s="2127">
        <f t="shared" si="138"/>
        <v>0</v>
      </c>
      <c r="T113" s="853">
        <f>IFERROR(AVERAGE(Q113:S113),"")</f>
        <v>0</v>
      </c>
      <c r="U113" s="2081" t="str">
        <f t="shared" si="141"/>
        <v>1.33</v>
      </c>
      <c r="V113" s="2081" t="str">
        <f t="shared" si="142"/>
        <v>D+</v>
      </c>
      <c r="W113" s="2081" t="str">
        <f t="shared" si="143"/>
        <v>0</v>
      </c>
      <c r="X113" s="1587"/>
      <c r="Y113" s="1588"/>
      <c r="Z113" s="1588"/>
      <c r="AA113" s="1588"/>
      <c r="AB113" s="1588"/>
      <c r="AC113" s="1589"/>
      <c r="AD113" s="1590"/>
      <c r="AE113" s="1590"/>
      <c r="AF113" s="1590"/>
      <c r="AG113" s="1591"/>
      <c r="AH113" s="1413"/>
      <c r="AI113" s="1414"/>
    </row>
    <row r="114" spans="1:35" ht="24.95" customHeight="1" x14ac:dyDescent="0.25">
      <c r="A114" s="1592"/>
      <c r="B114" s="1592">
        <v>18</v>
      </c>
      <c r="C114" s="1593" t="s">
        <v>167</v>
      </c>
      <c r="D114" s="1594"/>
      <c r="E114" s="2878"/>
      <c r="F114" s="2879"/>
      <c r="G114" s="2879"/>
      <c r="H114" s="2879"/>
      <c r="I114" s="2079"/>
      <c r="J114" s="2079"/>
      <c r="K114" s="2079"/>
      <c r="L114" s="2079"/>
      <c r="M114" s="2079"/>
      <c r="N114" s="2079"/>
      <c r="O114" s="2079"/>
      <c r="P114" s="2079"/>
      <c r="Q114" s="2162"/>
      <c r="R114" s="2162"/>
      <c r="S114" s="2162"/>
      <c r="T114" s="1942">
        <f>IFERROR(AVERAGE(T109:T113),"  ")</f>
        <v>0</v>
      </c>
      <c r="U114" s="1619" t="str">
        <f>IF(T114&gt;85,("4"),IF(T114&gt;80,("3.66"),IF(T114&gt;75,("3.33"),IF(T114&gt;70,("3.00"),IF(T114&gt;65,("2.66"),IF(T114&gt;60,("2.33"),IF(T114&gt;55,("2"),IF(T114&gt;50,("1.66"),"1.33"))))))))</f>
        <v>1.33</v>
      </c>
      <c r="V114" s="1619" t="str">
        <f>IF(T114&gt;85,("A"),IF(T114&gt;80,("A-"),IF(T114&gt;75,("B+"),IF(T114&gt;70,("B"),IF(T114&gt;65,("B-"),IF(T114&gt;60,("C+"),IF(T114&gt;55,("C"),IF(T114&gt;50,("C-"),"D+"))))))))</f>
        <v>D+</v>
      </c>
      <c r="W114" s="1619"/>
      <c r="X114" s="1605"/>
      <c r="Y114" s="1606"/>
      <c r="Z114" s="1606"/>
      <c r="AA114" s="1606"/>
      <c r="AB114" s="1606"/>
      <c r="AC114" s="1607"/>
      <c r="AD114" s="1606"/>
      <c r="AE114" s="1606"/>
      <c r="AF114" s="1606"/>
      <c r="AG114" s="1608"/>
      <c r="AH114" s="1841"/>
      <c r="AI114" s="1620"/>
    </row>
    <row r="115" spans="1:35" ht="24.95" customHeight="1" x14ac:dyDescent="0.25">
      <c r="A115" s="1477">
        <v>19</v>
      </c>
      <c r="B115" s="1577"/>
      <c r="C115" s="1578" t="str">
        <f>VLOOKUP(A115,data_siswa,4,FALSE)</f>
        <v>Raihan Danang P</v>
      </c>
      <c r="D115" s="1579" t="s">
        <v>155</v>
      </c>
      <c r="E115" s="1672">
        <v>0</v>
      </c>
      <c r="F115" s="1672">
        <v>0</v>
      </c>
      <c r="G115" s="1672">
        <v>0</v>
      </c>
      <c r="H115" s="2027"/>
      <c r="I115" s="2027"/>
      <c r="J115" s="2027"/>
      <c r="K115" s="1672"/>
      <c r="L115" s="1672"/>
      <c r="M115" s="1672"/>
      <c r="N115" s="2103"/>
      <c r="O115" s="2103"/>
      <c r="P115" s="2103"/>
      <c r="Q115" s="1077">
        <f>MAX(E115,H115,K115,N115)</f>
        <v>0</v>
      </c>
      <c r="R115" s="2126">
        <f t="shared" ref="R115:R119" si="145">MAX(F115,I115,L115,O115)</f>
        <v>0</v>
      </c>
      <c r="S115" s="2127">
        <f t="shared" ref="S115:S119" si="146">MAX(G115,J115,M115,P115)</f>
        <v>0</v>
      </c>
      <c r="T115" s="853">
        <f>IFERROR(AVERAGE(Q115:S115),"")</f>
        <v>0</v>
      </c>
      <c r="U115" s="2081" t="str">
        <f>IF(T115&gt;85,("4"),IF(T115&gt;80,("3.66"),IF(T115&gt;75,("3.33"),IF(T115&gt;70,("3.00"),IF(T115&gt;65,("2.66"),IF(T115&gt;60,("2.33"),IF(T115&gt;55,("2"),IF(T115&gt;50,("1.66"),"1.33"))))))))</f>
        <v>1.33</v>
      </c>
      <c r="V115" s="2081" t="str">
        <f>IF(T115&gt;85,("A"),IF(T115&gt;80,("A-"),IF(T115&gt;75,("B+"),IF(T115&gt;70,("B"),IF(T115&gt;65,("B-"),IF(T115&gt;60,("C+"),IF(T115&gt;55,("C"),IF(T115&gt;50,("C-"),"D+"))))))))</f>
        <v>D+</v>
      </c>
      <c r="W115" s="2081" t="str">
        <f>IF(T115&gt;80,("SB"),IF(T115&gt;65,("B"),IF(T115&gt;50,("C"),IF(T115&gt;0,("K"),"0"))))</f>
        <v>0</v>
      </c>
      <c r="X115" s="1609"/>
      <c r="Y115" s="1609"/>
      <c r="Z115" s="1609"/>
      <c r="AA115" s="1609"/>
      <c r="AB115" s="1609"/>
      <c r="AC115" s="1610"/>
      <c r="AD115" s="1611"/>
      <c r="AE115" s="1611"/>
      <c r="AF115" s="1611"/>
      <c r="AG115" s="1611"/>
      <c r="AH115" s="1929">
        <f>AVERAGE(T115:T119)</f>
        <v>0</v>
      </c>
      <c r="AI115" s="1945" t="str">
        <f>IF(AH115&gt;85,("A"),IF(AH115&gt;80,("A-"),IF(AH115&gt;75,("B+"),IF(AH115&gt;70,("B"),IF(AH115&gt;65,("B-"),IF(AH115&gt;60,("C+"),IF(AH115&gt;55,("C"),IF(AH115&gt;50,("C-"),"D+"))))))))</f>
        <v>D+</v>
      </c>
    </row>
    <row r="116" spans="1:35" ht="24.95" customHeight="1" x14ac:dyDescent="0.25">
      <c r="A116" s="1478"/>
      <c r="B116" s="1580"/>
      <c r="C116" s="1581"/>
      <c r="D116" s="1579" t="s">
        <v>9</v>
      </c>
      <c r="E116" s="1385">
        <v>0</v>
      </c>
      <c r="F116" s="1385">
        <v>0</v>
      </c>
      <c r="G116" s="1385">
        <v>0</v>
      </c>
      <c r="H116" s="2101"/>
      <c r="I116" s="2101"/>
      <c r="J116" s="2101"/>
      <c r="K116" s="1385"/>
      <c r="L116" s="1385"/>
      <c r="M116" s="1385"/>
      <c r="N116" s="2100">
        <v>0</v>
      </c>
      <c r="O116" s="2100">
        <v>0</v>
      </c>
      <c r="P116" s="2100">
        <v>0</v>
      </c>
      <c r="Q116" s="1077">
        <f t="shared" ref="Q116:Q117" si="147">MAX(E116,H116,K116,N116)</f>
        <v>0</v>
      </c>
      <c r="R116" s="2126">
        <f t="shared" si="145"/>
        <v>0</v>
      </c>
      <c r="S116" s="2127">
        <f t="shared" si="146"/>
        <v>0</v>
      </c>
      <c r="T116" s="853">
        <f t="shared" ref="T116:T117" si="148">IFERROR(AVERAGE(Q116:S116),"")</f>
        <v>0</v>
      </c>
      <c r="U116" s="2081" t="str">
        <f t="shared" ref="U116:U119" si="149">IF(T116&gt;85,("4"),IF(T116&gt;80,("3.66"),IF(T116&gt;75,("3.33"),IF(T116&gt;70,("3.00"),IF(T116&gt;65,("2.66"),IF(T116&gt;60,("2.33"),IF(T116&gt;55,("2"),IF(T116&gt;50,("1.66"),"1.33"))))))))</f>
        <v>1.33</v>
      </c>
      <c r="V116" s="2081" t="str">
        <f t="shared" ref="V116:V119" si="150">IF(T116&gt;85,("A"),IF(T116&gt;80,("A-"),IF(T116&gt;75,("B+"),IF(T116&gt;70,("B"),IF(T116&gt;65,("B-"),IF(T116&gt;60,("C+"),IF(T116&gt;55,("C"),IF(T116&gt;50,("C-"),"D+"))))))))</f>
        <v>D+</v>
      </c>
      <c r="W116" s="2081" t="str">
        <f t="shared" ref="W116:W119" si="151">IF(T116&gt;80,("SB"),IF(T116&gt;65,("B"),IF(T116&gt;50,("C"),IF(T116&gt;0,("K"),"0"))))</f>
        <v>0</v>
      </c>
      <c r="X116" s="1582"/>
      <c r="Y116" s="1583"/>
      <c r="Z116" s="1583"/>
      <c r="AA116" s="1583"/>
      <c r="AB116" s="1583"/>
      <c r="AC116" s="1584"/>
      <c r="AD116" s="1585"/>
      <c r="AE116" s="1585"/>
      <c r="AF116" s="1585"/>
      <c r="AG116" s="1586"/>
      <c r="AH116" s="1411"/>
      <c r="AI116" s="1412"/>
    </row>
    <row r="117" spans="1:35" ht="24.95" customHeight="1" x14ac:dyDescent="0.25">
      <c r="A117" s="1478"/>
      <c r="B117" s="1580"/>
      <c r="C117" s="1581"/>
      <c r="D117" s="1579" t="s">
        <v>11</v>
      </c>
      <c r="E117" s="1385"/>
      <c r="F117" s="1385"/>
      <c r="G117" s="1385"/>
      <c r="H117" s="2101">
        <v>0</v>
      </c>
      <c r="I117" s="2101">
        <v>0</v>
      </c>
      <c r="J117" s="2101">
        <v>0</v>
      </c>
      <c r="K117" s="1385">
        <v>0</v>
      </c>
      <c r="L117" s="1385">
        <v>0</v>
      </c>
      <c r="M117" s="1385">
        <v>0</v>
      </c>
      <c r="N117" s="2100">
        <v>0</v>
      </c>
      <c r="O117" s="2100">
        <v>0</v>
      </c>
      <c r="P117" s="2100">
        <v>0</v>
      </c>
      <c r="Q117" s="1077">
        <f t="shared" si="147"/>
        <v>0</v>
      </c>
      <c r="R117" s="2126">
        <f t="shared" si="145"/>
        <v>0</v>
      </c>
      <c r="S117" s="2127">
        <f t="shared" si="146"/>
        <v>0</v>
      </c>
      <c r="T117" s="853">
        <f t="shared" si="148"/>
        <v>0</v>
      </c>
      <c r="U117" s="2081" t="str">
        <f t="shared" si="149"/>
        <v>1.33</v>
      </c>
      <c r="V117" s="2081" t="str">
        <f t="shared" si="150"/>
        <v>D+</v>
      </c>
      <c r="W117" s="2081" t="str">
        <f t="shared" si="151"/>
        <v>0</v>
      </c>
      <c r="X117" s="1587"/>
      <c r="Y117" s="1588"/>
      <c r="Z117" s="1588"/>
      <c r="AA117" s="1588"/>
      <c r="AB117" s="1588"/>
      <c r="AC117" s="1589"/>
      <c r="AD117" s="1590"/>
      <c r="AE117" s="1590"/>
      <c r="AF117" s="1590"/>
      <c r="AG117" s="1591"/>
      <c r="AH117" s="1413"/>
      <c r="AI117" s="1414"/>
    </row>
    <row r="118" spans="1:35" ht="24.95" customHeight="1" x14ac:dyDescent="0.25">
      <c r="A118" s="1478"/>
      <c r="B118" s="1580"/>
      <c r="C118" s="1581"/>
      <c r="D118" s="1579" t="s">
        <v>16</v>
      </c>
      <c r="E118" s="1385"/>
      <c r="F118" s="1385"/>
      <c r="G118" s="1385"/>
      <c r="H118" s="2101">
        <v>0</v>
      </c>
      <c r="I118" s="2101">
        <v>0</v>
      </c>
      <c r="J118" s="2101">
        <v>0</v>
      </c>
      <c r="K118" s="1385"/>
      <c r="L118" s="1385"/>
      <c r="M118" s="1385"/>
      <c r="N118" s="2100"/>
      <c r="O118" s="2100"/>
      <c r="P118" s="2100"/>
      <c r="Q118" s="1077">
        <f>MAX(E118,H118,K118,N118)</f>
        <v>0</v>
      </c>
      <c r="R118" s="2126">
        <f t="shared" si="145"/>
        <v>0</v>
      </c>
      <c r="S118" s="2127">
        <f t="shared" si="146"/>
        <v>0</v>
      </c>
      <c r="T118" s="853">
        <f>IFERROR(AVERAGE(Q118:S118),"")</f>
        <v>0</v>
      </c>
      <c r="U118" s="2081" t="str">
        <f t="shared" si="149"/>
        <v>1.33</v>
      </c>
      <c r="V118" s="2081" t="str">
        <f t="shared" si="150"/>
        <v>D+</v>
      </c>
      <c r="W118" s="2081" t="str">
        <f t="shared" si="151"/>
        <v>0</v>
      </c>
      <c r="X118" s="1587"/>
      <c r="Y118" s="1588"/>
      <c r="Z118" s="1588"/>
      <c r="AA118" s="1588"/>
      <c r="AB118" s="1588"/>
      <c r="AC118" s="1589"/>
      <c r="AD118" s="1590"/>
      <c r="AE118" s="1590"/>
      <c r="AF118" s="1590"/>
      <c r="AG118" s="1591"/>
      <c r="AH118" s="1413"/>
      <c r="AI118" s="1414"/>
    </row>
    <row r="119" spans="1:35" ht="24.95" customHeight="1" x14ac:dyDescent="0.25">
      <c r="A119" s="1478"/>
      <c r="B119" s="1580"/>
      <c r="C119" s="1581"/>
      <c r="D119" s="1579" t="s">
        <v>189</v>
      </c>
      <c r="E119" s="1385">
        <v>0</v>
      </c>
      <c r="F119" s="1385">
        <v>0</v>
      </c>
      <c r="G119" s="1385">
        <v>0</v>
      </c>
      <c r="H119" s="2101"/>
      <c r="I119" s="2101"/>
      <c r="J119" s="2101"/>
      <c r="K119" s="1385">
        <v>0</v>
      </c>
      <c r="L119" s="1385">
        <v>0</v>
      </c>
      <c r="M119" s="1385">
        <v>0</v>
      </c>
      <c r="N119" s="2100"/>
      <c r="O119" s="2100"/>
      <c r="P119" s="2100"/>
      <c r="Q119" s="1077">
        <f t="shared" ref="Q119" si="152">MAX(E119,H119,K119,N119)</f>
        <v>0</v>
      </c>
      <c r="R119" s="2126">
        <f t="shared" si="145"/>
        <v>0</v>
      </c>
      <c r="S119" s="2127">
        <f t="shared" si="146"/>
        <v>0</v>
      </c>
      <c r="T119" s="853">
        <f>IFERROR(AVERAGE(Q119:S119),"")</f>
        <v>0</v>
      </c>
      <c r="U119" s="2081" t="str">
        <f t="shared" si="149"/>
        <v>1.33</v>
      </c>
      <c r="V119" s="2081" t="str">
        <f t="shared" si="150"/>
        <v>D+</v>
      </c>
      <c r="W119" s="2081" t="str">
        <f t="shared" si="151"/>
        <v>0</v>
      </c>
      <c r="X119" s="1587"/>
      <c r="Y119" s="1588"/>
      <c r="Z119" s="1588"/>
      <c r="AA119" s="1588"/>
      <c r="AB119" s="1588"/>
      <c r="AC119" s="1589"/>
      <c r="AD119" s="1590"/>
      <c r="AE119" s="1590"/>
      <c r="AF119" s="1590"/>
      <c r="AG119" s="1591"/>
      <c r="AH119" s="1413"/>
      <c r="AI119" s="1414"/>
    </row>
    <row r="120" spans="1:35" ht="24.95" customHeight="1" x14ac:dyDescent="0.25">
      <c r="A120" s="1592"/>
      <c r="B120" s="1592">
        <v>19</v>
      </c>
      <c r="C120" s="1593" t="s">
        <v>167</v>
      </c>
      <c r="D120" s="1594"/>
      <c r="E120" s="2878"/>
      <c r="F120" s="2879"/>
      <c r="G120" s="2879"/>
      <c r="H120" s="2879"/>
      <c r="I120" s="2079"/>
      <c r="J120" s="2079"/>
      <c r="K120" s="2079"/>
      <c r="L120" s="2079"/>
      <c r="M120" s="2079"/>
      <c r="N120" s="2079"/>
      <c r="O120" s="2079"/>
      <c r="P120" s="2079"/>
      <c r="Q120" s="2162"/>
      <c r="R120" s="2162"/>
      <c r="S120" s="2162"/>
      <c r="T120" s="1942">
        <f>IFERROR(AVERAGE(T115:T119),"  ")</f>
        <v>0</v>
      </c>
      <c r="U120" s="1619" t="str">
        <f>IF(T120&gt;85,("4"),IF(T120&gt;80,("3.66"),IF(T120&gt;75,("3.33"),IF(T120&gt;70,("3.00"),IF(T120&gt;65,("2.66"),IF(T120&gt;60,("2.33"),IF(T120&gt;55,("2"),IF(T120&gt;50,("1.66"),"1.33"))))))))</f>
        <v>1.33</v>
      </c>
      <c r="V120" s="1619" t="str">
        <f>IF(T120&gt;85,("A"),IF(T120&gt;80,("A-"),IF(T120&gt;75,("B+"),IF(T120&gt;70,("B"),IF(T120&gt;65,("B-"),IF(T120&gt;60,("C+"),IF(T120&gt;55,("C"),IF(T120&gt;50,("C-"),"D+"))))))))</f>
        <v>D+</v>
      </c>
      <c r="W120" s="1619"/>
      <c r="X120" s="1605"/>
      <c r="Y120" s="1606"/>
      <c r="Z120" s="1606"/>
      <c r="AA120" s="1606"/>
      <c r="AB120" s="1606"/>
      <c r="AC120" s="1607"/>
      <c r="AD120" s="1606"/>
      <c r="AE120" s="1606"/>
      <c r="AF120" s="1606"/>
      <c r="AG120" s="1608"/>
      <c r="AH120" s="1841"/>
      <c r="AI120" s="1620"/>
    </row>
    <row r="121" spans="1:35" ht="24.95" customHeight="1" x14ac:dyDescent="0.25">
      <c r="A121" s="1477">
        <v>20</v>
      </c>
      <c r="B121" s="1577"/>
      <c r="C121" s="1578" t="str">
        <f>VLOOKUP(A121,data_siswa,4,FALSE)</f>
        <v>Roby Ardiyansyah</v>
      </c>
      <c r="D121" s="1579" t="s">
        <v>155</v>
      </c>
      <c r="E121" s="1672">
        <v>0</v>
      </c>
      <c r="F121" s="1672">
        <v>0</v>
      </c>
      <c r="G121" s="1672">
        <v>0</v>
      </c>
      <c r="H121" s="2027"/>
      <c r="I121" s="2027"/>
      <c r="J121" s="2027"/>
      <c r="K121" s="1672"/>
      <c r="L121" s="1672"/>
      <c r="M121" s="1672"/>
      <c r="N121" s="2103"/>
      <c r="O121" s="2103"/>
      <c r="P121" s="2103"/>
      <c r="Q121" s="1077">
        <f>MAX(E121,H121,K121,N121)</f>
        <v>0</v>
      </c>
      <c r="R121" s="2126">
        <f t="shared" ref="R121:R125" si="153">MAX(F121,I121,L121,O121)</f>
        <v>0</v>
      </c>
      <c r="S121" s="2127">
        <f t="shared" ref="S121:S125" si="154">MAX(G121,J121,M121,P121)</f>
        <v>0</v>
      </c>
      <c r="T121" s="853">
        <f>IFERROR(AVERAGE(Q121:S121),"")</f>
        <v>0</v>
      </c>
      <c r="U121" s="2081" t="str">
        <f>IF(T121&gt;85,("4"),IF(T121&gt;80,("3.66"),IF(T121&gt;75,("3.33"),IF(T121&gt;70,("3.00"),IF(T121&gt;65,("2.66"),IF(T121&gt;60,("2.33"),IF(T121&gt;55,("2"),IF(T121&gt;50,("1.66"),"1.33"))))))))</f>
        <v>1.33</v>
      </c>
      <c r="V121" s="2081" t="str">
        <f>IF(T121&gt;85,("A"),IF(T121&gt;80,("A-"),IF(T121&gt;75,("B+"),IF(T121&gt;70,("B"),IF(T121&gt;65,("B-"),IF(T121&gt;60,("C+"),IF(T121&gt;55,("C"),IF(T121&gt;50,("C-"),"D+"))))))))</f>
        <v>D+</v>
      </c>
      <c r="W121" s="2081" t="str">
        <f>IF(T121&gt;80,("SB"),IF(T121&gt;65,("B"),IF(T121&gt;50,("C"),IF(T121&gt;0,("K"),"0"))))</f>
        <v>0</v>
      </c>
      <c r="X121" s="1609"/>
      <c r="Y121" s="1609"/>
      <c r="Z121" s="1609"/>
      <c r="AA121" s="1609"/>
      <c r="AB121" s="1609"/>
      <c r="AC121" s="1610"/>
      <c r="AD121" s="1611"/>
      <c r="AE121" s="1611"/>
      <c r="AF121" s="1611"/>
      <c r="AG121" s="1611"/>
      <c r="AH121" s="1929">
        <f>AVERAGE(T121:T125)</f>
        <v>0</v>
      </c>
      <c r="AI121" s="1945" t="str">
        <f>IF(AH121&gt;85,("A"),IF(AH121&gt;80,("A-"),IF(AH121&gt;75,("B+"),IF(AH121&gt;70,("B"),IF(AH121&gt;65,("B-"),IF(AH121&gt;60,("C+"),IF(AH121&gt;55,("C"),IF(AH121&gt;50,("C-"),"D+"))))))))</f>
        <v>D+</v>
      </c>
    </row>
    <row r="122" spans="1:35" ht="24.95" customHeight="1" x14ac:dyDescent="0.25">
      <c r="A122" s="1478"/>
      <c r="B122" s="1580"/>
      <c r="C122" s="1581"/>
      <c r="D122" s="1579" t="s">
        <v>9</v>
      </c>
      <c r="E122" s="1385">
        <v>0</v>
      </c>
      <c r="F122" s="1385">
        <v>0</v>
      </c>
      <c r="G122" s="1385">
        <v>0</v>
      </c>
      <c r="H122" s="2101"/>
      <c r="I122" s="2101"/>
      <c r="J122" s="2101"/>
      <c r="K122" s="1385"/>
      <c r="L122" s="1385"/>
      <c r="M122" s="1385"/>
      <c r="N122" s="2100">
        <v>0</v>
      </c>
      <c r="O122" s="2100">
        <v>0</v>
      </c>
      <c r="P122" s="2100">
        <v>0</v>
      </c>
      <c r="Q122" s="1077">
        <f t="shared" ref="Q122:Q123" si="155">MAX(E122,H122,K122,N122)</f>
        <v>0</v>
      </c>
      <c r="R122" s="2126">
        <f t="shared" si="153"/>
        <v>0</v>
      </c>
      <c r="S122" s="2127">
        <f t="shared" si="154"/>
        <v>0</v>
      </c>
      <c r="T122" s="853">
        <f t="shared" ref="T122:T123" si="156">IFERROR(AVERAGE(Q122:S122),"")</f>
        <v>0</v>
      </c>
      <c r="U122" s="2081" t="str">
        <f t="shared" ref="U122:U125" si="157">IF(T122&gt;85,("4"),IF(T122&gt;80,("3.66"),IF(T122&gt;75,("3.33"),IF(T122&gt;70,("3.00"),IF(T122&gt;65,("2.66"),IF(T122&gt;60,("2.33"),IF(T122&gt;55,("2"),IF(T122&gt;50,("1.66"),"1.33"))))))))</f>
        <v>1.33</v>
      </c>
      <c r="V122" s="2081" t="str">
        <f t="shared" ref="V122:V125" si="158">IF(T122&gt;85,("A"),IF(T122&gt;80,("A-"),IF(T122&gt;75,("B+"),IF(T122&gt;70,("B"),IF(T122&gt;65,("B-"),IF(T122&gt;60,("C+"),IF(T122&gt;55,("C"),IF(T122&gt;50,("C-"),"D+"))))))))</f>
        <v>D+</v>
      </c>
      <c r="W122" s="2081" t="str">
        <f t="shared" ref="W122:W125" si="159">IF(T122&gt;80,("SB"),IF(T122&gt;65,("B"),IF(T122&gt;50,("C"),IF(T122&gt;0,("K"),"0"))))</f>
        <v>0</v>
      </c>
      <c r="X122" s="1582"/>
      <c r="Y122" s="1583"/>
      <c r="Z122" s="1583"/>
      <c r="AA122" s="1583"/>
      <c r="AB122" s="1583"/>
      <c r="AC122" s="1584"/>
      <c r="AD122" s="1585"/>
      <c r="AE122" s="1585"/>
      <c r="AF122" s="1585"/>
      <c r="AG122" s="1586"/>
      <c r="AH122" s="1411"/>
      <c r="AI122" s="1412"/>
    </row>
    <row r="123" spans="1:35" ht="24.95" customHeight="1" x14ac:dyDescent="0.25">
      <c r="A123" s="1478"/>
      <c r="B123" s="1580"/>
      <c r="C123" s="1581"/>
      <c r="D123" s="1579" t="s">
        <v>11</v>
      </c>
      <c r="E123" s="1385"/>
      <c r="F123" s="1385"/>
      <c r="G123" s="1385"/>
      <c r="H123" s="2101">
        <v>0</v>
      </c>
      <c r="I123" s="2101">
        <v>0</v>
      </c>
      <c r="J123" s="2101">
        <v>0</v>
      </c>
      <c r="K123" s="1385">
        <v>0</v>
      </c>
      <c r="L123" s="1385">
        <v>0</v>
      </c>
      <c r="M123" s="1385">
        <v>0</v>
      </c>
      <c r="N123" s="2100">
        <v>0</v>
      </c>
      <c r="O123" s="2100">
        <v>0</v>
      </c>
      <c r="P123" s="2100">
        <v>0</v>
      </c>
      <c r="Q123" s="1077">
        <f t="shared" si="155"/>
        <v>0</v>
      </c>
      <c r="R123" s="2126">
        <f t="shared" si="153"/>
        <v>0</v>
      </c>
      <c r="S123" s="2127">
        <f t="shared" si="154"/>
        <v>0</v>
      </c>
      <c r="T123" s="853">
        <f t="shared" si="156"/>
        <v>0</v>
      </c>
      <c r="U123" s="2081" t="str">
        <f t="shared" si="157"/>
        <v>1.33</v>
      </c>
      <c r="V123" s="2081" t="str">
        <f t="shared" si="158"/>
        <v>D+</v>
      </c>
      <c r="W123" s="2081" t="str">
        <f t="shared" si="159"/>
        <v>0</v>
      </c>
      <c r="X123" s="1587"/>
      <c r="Y123" s="1588"/>
      <c r="Z123" s="1588"/>
      <c r="AA123" s="1588"/>
      <c r="AB123" s="1588"/>
      <c r="AC123" s="1589"/>
      <c r="AD123" s="1590"/>
      <c r="AE123" s="1590"/>
      <c r="AF123" s="1590"/>
      <c r="AG123" s="1591"/>
      <c r="AH123" s="1413"/>
      <c r="AI123" s="1414"/>
    </row>
    <row r="124" spans="1:35" ht="24.95" customHeight="1" x14ac:dyDescent="0.25">
      <c r="A124" s="1478"/>
      <c r="B124" s="1580"/>
      <c r="C124" s="1581"/>
      <c r="D124" s="1579" t="s">
        <v>16</v>
      </c>
      <c r="E124" s="1385"/>
      <c r="F124" s="1385"/>
      <c r="G124" s="1385"/>
      <c r="H124" s="2101">
        <v>0</v>
      </c>
      <c r="I124" s="2101">
        <v>0</v>
      </c>
      <c r="J124" s="2101">
        <v>0</v>
      </c>
      <c r="K124" s="1385"/>
      <c r="L124" s="1385"/>
      <c r="M124" s="1385"/>
      <c r="N124" s="2100"/>
      <c r="O124" s="2100"/>
      <c r="P124" s="2100"/>
      <c r="Q124" s="1077">
        <f>MAX(E124,H124,K124,N124)</f>
        <v>0</v>
      </c>
      <c r="R124" s="2126">
        <f t="shared" si="153"/>
        <v>0</v>
      </c>
      <c r="S124" s="2127">
        <f t="shared" si="154"/>
        <v>0</v>
      </c>
      <c r="T124" s="853">
        <f>IFERROR(AVERAGE(Q124:S124),"")</f>
        <v>0</v>
      </c>
      <c r="U124" s="2081" t="str">
        <f t="shared" si="157"/>
        <v>1.33</v>
      </c>
      <c r="V124" s="2081" t="str">
        <f t="shared" si="158"/>
        <v>D+</v>
      </c>
      <c r="W124" s="2081" t="str">
        <f t="shared" si="159"/>
        <v>0</v>
      </c>
      <c r="X124" s="1587"/>
      <c r="Y124" s="1588"/>
      <c r="Z124" s="1588"/>
      <c r="AA124" s="1588"/>
      <c r="AB124" s="1588"/>
      <c r="AC124" s="1589"/>
      <c r="AD124" s="1590"/>
      <c r="AE124" s="1590"/>
      <c r="AF124" s="1590"/>
      <c r="AG124" s="1591"/>
      <c r="AH124" s="1413"/>
      <c r="AI124" s="1414"/>
    </row>
    <row r="125" spans="1:35" ht="24.95" customHeight="1" x14ac:dyDescent="0.25">
      <c r="A125" s="1478"/>
      <c r="B125" s="1580"/>
      <c r="C125" s="1581"/>
      <c r="D125" s="1579" t="s">
        <v>189</v>
      </c>
      <c r="E125" s="1385">
        <v>0</v>
      </c>
      <c r="F125" s="1385">
        <v>0</v>
      </c>
      <c r="G125" s="1385">
        <v>0</v>
      </c>
      <c r="H125" s="2101"/>
      <c r="I125" s="2101"/>
      <c r="J125" s="2101"/>
      <c r="K125" s="1385">
        <v>0</v>
      </c>
      <c r="L125" s="1385">
        <v>0</v>
      </c>
      <c r="M125" s="1385">
        <v>0</v>
      </c>
      <c r="N125" s="2100"/>
      <c r="O125" s="2100"/>
      <c r="P125" s="2100"/>
      <c r="Q125" s="1077">
        <f t="shared" ref="Q125" si="160">MAX(E125,H125,K125,N125)</f>
        <v>0</v>
      </c>
      <c r="R125" s="2126">
        <f t="shared" si="153"/>
        <v>0</v>
      </c>
      <c r="S125" s="2127">
        <f t="shared" si="154"/>
        <v>0</v>
      </c>
      <c r="T125" s="853">
        <f>IFERROR(AVERAGE(Q125:S125),"")</f>
        <v>0</v>
      </c>
      <c r="U125" s="2081" t="str">
        <f t="shared" si="157"/>
        <v>1.33</v>
      </c>
      <c r="V125" s="2081" t="str">
        <f t="shared" si="158"/>
        <v>D+</v>
      </c>
      <c r="W125" s="2081" t="str">
        <f t="shared" si="159"/>
        <v>0</v>
      </c>
      <c r="X125" s="1587"/>
      <c r="Y125" s="1588"/>
      <c r="Z125" s="1588"/>
      <c r="AA125" s="1588"/>
      <c r="AB125" s="1588"/>
      <c r="AC125" s="1589"/>
      <c r="AD125" s="1590"/>
      <c r="AE125" s="1590"/>
      <c r="AF125" s="1590"/>
      <c r="AG125" s="1591"/>
      <c r="AH125" s="1413"/>
      <c r="AI125" s="1414"/>
    </row>
    <row r="126" spans="1:35" ht="24.95" customHeight="1" x14ac:dyDescent="0.25">
      <c r="A126" s="1592"/>
      <c r="B126" s="1592">
        <v>20</v>
      </c>
      <c r="C126" s="1593" t="s">
        <v>167</v>
      </c>
      <c r="D126" s="1594"/>
      <c r="E126" s="2878"/>
      <c r="F126" s="2879"/>
      <c r="G126" s="2879"/>
      <c r="H126" s="2879"/>
      <c r="I126" s="2079"/>
      <c r="J126" s="2079"/>
      <c r="K126" s="2079"/>
      <c r="L126" s="2079"/>
      <c r="M126" s="2079"/>
      <c r="N126" s="2079"/>
      <c r="O126" s="2079"/>
      <c r="P126" s="2079"/>
      <c r="Q126" s="2162"/>
      <c r="R126" s="2162"/>
      <c r="S126" s="2162"/>
      <c r="T126" s="1942">
        <f>IFERROR(AVERAGE(T121:T125),"  ")</f>
        <v>0</v>
      </c>
      <c r="U126" s="1619" t="str">
        <f>IF(T126&gt;85,("4"),IF(T126&gt;80,("3.66"),IF(T126&gt;75,("3.33"),IF(T126&gt;70,("3.00"),IF(T126&gt;65,("2.66"),IF(T126&gt;60,("2.33"),IF(T126&gt;55,("2"),IF(T126&gt;50,("1.66"),"1.33"))))))))</f>
        <v>1.33</v>
      </c>
      <c r="V126" s="1619" t="str">
        <f>IF(T126&gt;85,("A"),IF(T126&gt;80,("A-"),IF(T126&gt;75,("B+"),IF(T126&gt;70,("B"),IF(T126&gt;65,("B-"),IF(T126&gt;60,("C+"),IF(T126&gt;55,("C"),IF(T126&gt;50,("C-"),"D+"))))))))</f>
        <v>D+</v>
      </c>
      <c r="W126" s="1619"/>
      <c r="X126" s="1605"/>
      <c r="Y126" s="1606"/>
      <c r="Z126" s="1606"/>
      <c r="AA126" s="1606"/>
      <c r="AB126" s="1606"/>
      <c r="AC126" s="1607"/>
      <c r="AD126" s="1606"/>
      <c r="AE126" s="1606"/>
      <c r="AF126" s="1606"/>
      <c r="AG126" s="1608"/>
      <c r="AH126" s="1841"/>
      <c r="AI126" s="1620"/>
    </row>
    <row r="127" spans="1:35" ht="24.95" customHeight="1" x14ac:dyDescent="0.25">
      <c r="A127" s="1477">
        <v>21</v>
      </c>
      <c r="B127" s="1577"/>
      <c r="C127" s="1578" t="str">
        <f>VLOOKUP(A127,data_siswa,4,FALSE)</f>
        <v>Rojalingga Prana A</v>
      </c>
      <c r="D127" s="1579" t="s">
        <v>155</v>
      </c>
      <c r="E127" s="1672">
        <v>0</v>
      </c>
      <c r="F127" s="1672">
        <v>0</v>
      </c>
      <c r="G127" s="1672">
        <v>0</v>
      </c>
      <c r="H127" s="2027"/>
      <c r="I127" s="2027"/>
      <c r="J127" s="2027"/>
      <c r="K127" s="1672"/>
      <c r="L127" s="1672"/>
      <c r="M127" s="1672"/>
      <c r="N127" s="2103"/>
      <c r="O127" s="2103"/>
      <c r="P127" s="2103"/>
      <c r="Q127" s="1077">
        <f>MAX(E127,H127,K127,N127)</f>
        <v>0</v>
      </c>
      <c r="R127" s="2126">
        <f t="shared" ref="R127:R131" si="161">MAX(F127,I127,L127,O127)</f>
        <v>0</v>
      </c>
      <c r="S127" s="2127">
        <f t="shared" ref="S127:S131" si="162">MAX(G127,J127,M127,P127)</f>
        <v>0</v>
      </c>
      <c r="T127" s="853">
        <f>IFERROR(AVERAGE(Q127:S127),"")</f>
        <v>0</v>
      </c>
      <c r="U127" s="2081" t="str">
        <f>IF(T127&gt;85,("4"),IF(T127&gt;80,("3.66"),IF(T127&gt;75,("3.33"),IF(T127&gt;70,("3.00"),IF(T127&gt;65,("2.66"),IF(T127&gt;60,("2.33"),IF(T127&gt;55,("2"),IF(T127&gt;50,("1.66"),"1.33"))))))))</f>
        <v>1.33</v>
      </c>
      <c r="V127" s="2081" t="str">
        <f>IF(T127&gt;85,("A"),IF(T127&gt;80,("A-"),IF(T127&gt;75,("B+"),IF(T127&gt;70,("B"),IF(T127&gt;65,("B-"),IF(T127&gt;60,("C+"),IF(T127&gt;55,("C"),IF(T127&gt;50,("C-"),"D+"))))))))</f>
        <v>D+</v>
      </c>
      <c r="W127" s="2081" t="str">
        <f>IF(T127&gt;80,("SB"),IF(T127&gt;65,("B"),IF(T127&gt;50,("C"),IF(T127&gt;0,("K"),"0"))))</f>
        <v>0</v>
      </c>
      <c r="X127" s="1609"/>
      <c r="Y127" s="1609"/>
      <c r="Z127" s="1609"/>
      <c r="AA127" s="1609"/>
      <c r="AB127" s="1609"/>
      <c r="AC127" s="1610"/>
      <c r="AD127" s="1611"/>
      <c r="AE127" s="1611"/>
      <c r="AF127" s="1611"/>
      <c r="AG127" s="1611"/>
      <c r="AH127" s="1929">
        <f>AVERAGE(T127:T131)</f>
        <v>0</v>
      </c>
      <c r="AI127" s="1945" t="str">
        <f>IF(AH127&gt;85,("A"),IF(AH127&gt;80,("A-"),IF(AH127&gt;75,("B+"),IF(AH127&gt;70,("B"),IF(AH127&gt;65,("B-"),IF(AH127&gt;60,("C+"),IF(AH127&gt;55,("C"),IF(AH127&gt;50,("C-"),"D+"))))))))</f>
        <v>D+</v>
      </c>
    </row>
    <row r="128" spans="1:35" ht="24.95" customHeight="1" x14ac:dyDescent="0.25">
      <c r="A128" s="1478"/>
      <c r="B128" s="1580"/>
      <c r="C128" s="1581"/>
      <c r="D128" s="1579" t="s">
        <v>9</v>
      </c>
      <c r="E128" s="1385">
        <v>0</v>
      </c>
      <c r="F128" s="1385">
        <v>0</v>
      </c>
      <c r="G128" s="1385">
        <v>0</v>
      </c>
      <c r="H128" s="2101"/>
      <c r="I128" s="2101"/>
      <c r="J128" s="2101"/>
      <c r="K128" s="1385"/>
      <c r="L128" s="1385"/>
      <c r="M128" s="1385"/>
      <c r="N128" s="2100">
        <v>0</v>
      </c>
      <c r="O128" s="2100">
        <v>0</v>
      </c>
      <c r="P128" s="2100">
        <v>0</v>
      </c>
      <c r="Q128" s="1077">
        <f t="shared" ref="Q128:Q129" si="163">MAX(E128,H128,K128,N128)</f>
        <v>0</v>
      </c>
      <c r="R128" s="2126">
        <f t="shared" si="161"/>
        <v>0</v>
      </c>
      <c r="S128" s="2127">
        <f t="shared" si="162"/>
        <v>0</v>
      </c>
      <c r="T128" s="853">
        <f t="shared" ref="T128:T129" si="164">IFERROR(AVERAGE(Q128:S128),"")</f>
        <v>0</v>
      </c>
      <c r="U128" s="2081" t="str">
        <f t="shared" ref="U128:U131" si="165">IF(T128&gt;85,("4"),IF(T128&gt;80,("3.66"),IF(T128&gt;75,("3.33"),IF(T128&gt;70,("3.00"),IF(T128&gt;65,("2.66"),IF(T128&gt;60,("2.33"),IF(T128&gt;55,("2"),IF(T128&gt;50,("1.66"),"1.33"))))))))</f>
        <v>1.33</v>
      </c>
      <c r="V128" s="2081" t="str">
        <f t="shared" ref="V128:V131" si="166">IF(T128&gt;85,("A"),IF(T128&gt;80,("A-"),IF(T128&gt;75,("B+"),IF(T128&gt;70,("B"),IF(T128&gt;65,("B-"),IF(T128&gt;60,("C+"),IF(T128&gt;55,("C"),IF(T128&gt;50,("C-"),"D+"))))))))</f>
        <v>D+</v>
      </c>
      <c r="W128" s="2081" t="str">
        <f t="shared" ref="W128:W131" si="167">IF(T128&gt;80,("SB"),IF(T128&gt;65,("B"),IF(T128&gt;50,("C"),IF(T128&gt;0,("K"),"0"))))</f>
        <v>0</v>
      </c>
      <c r="X128" s="1582"/>
      <c r="Y128" s="1583"/>
      <c r="Z128" s="1583"/>
      <c r="AA128" s="1583"/>
      <c r="AB128" s="1583"/>
      <c r="AC128" s="1584"/>
      <c r="AD128" s="1585"/>
      <c r="AE128" s="1585"/>
      <c r="AF128" s="1585"/>
      <c r="AG128" s="1586"/>
      <c r="AH128" s="1411"/>
      <c r="AI128" s="1412"/>
    </row>
    <row r="129" spans="1:35" ht="24.95" customHeight="1" x14ac:dyDescent="0.25">
      <c r="A129" s="1478"/>
      <c r="B129" s="1580"/>
      <c r="C129" s="1581"/>
      <c r="D129" s="1579" t="s">
        <v>11</v>
      </c>
      <c r="E129" s="1385"/>
      <c r="F129" s="1385"/>
      <c r="G129" s="1385"/>
      <c r="H129" s="2101">
        <v>0</v>
      </c>
      <c r="I129" s="2101">
        <v>0</v>
      </c>
      <c r="J129" s="2101">
        <v>0</v>
      </c>
      <c r="K129" s="1385">
        <v>0</v>
      </c>
      <c r="L129" s="1385">
        <v>0</v>
      </c>
      <c r="M129" s="1385">
        <v>0</v>
      </c>
      <c r="N129" s="2100">
        <v>0</v>
      </c>
      <c r="O129" s="2100">
        <v>0</v>
      </c>
      <c r="P129" s="2100">
        <v>0</v>
      </c>
      <c r="Q129" s="1077">
        <f t="shared" si="163"/>
        <v>0</v>
      </c>
      <c r="R129" s="2126">
        <f t="shared" si="161"/>
        <v>0</v>
      </c>
      <c r="S129" s="2127">
        <f t="shared" si="162"/>
        <v>0</v>
      </c>
      <c r="T129" s="853">
        <f t="shared" si="164"/>
        <v>0</v>
      </c>
      <c r="U129" s="2081" t="str">
        <f t="shared" si="165"/>
        <v>1.33</v>
      </c>
      <c r="V129" s="2081" t="str">
        <f t="shared" si="166"/>
        <v>D+</v>
      </c>
      <c r="W129" s="2081" t="str">
        <f t="shared" si="167"/>
        <v>0</v>
      </c>
      <c r="X129" s="1587"/>
      <c r="Y129" s="1588"/>
      <c r="Z129" s="1588"/>
      <c r="AA129" s="1588"/>
      <c r="AB129" s="1588"/>
      <c r="AC129" s="1589"/>
      <c r="AD129" s="1590"/>
      <c r="AE129" s="1590"/>
      <c r="AF129" s="1590"/>
      <c r="AG129" s="1591"/>
      <c r="AH129" s="1413"/>
      <c r="AI129" s="1414"/>
    </row>
    <row r="130" spans="1:35" ht="24.95" customHeight="1" x14ac:dyDescent="0.25">
      <c r="A130" s="1478"/>
      <c r="B130" s="1580"/>
      <c r="C130" s="1581"/>
      <c r="D130" s="1579" t="s">
        <v>16</v>
      </c>
      <c r="E130" s="1385"/>
      <c r="F130" s="1385"/>
      <c r="G130" s="1385"/>
      <c r="H130" s="2101">
        <v>0</v>
      </c>
      <c r="I130" s="2101">
        <v>0</v>
      </c>
      <c r="J130" s="2101">
        <v>0</v>
      </c>
      <c r="K130" s="1385"/>
      <c r="L130" s="1385"/>
      <c r="M130" s="1385"/>
      <c r="N130" s="2100"/>
      <c r="O130" s="2100"/>
      <c r="P130" s="2100"/>
      <c r="Q130" s="1077">
        <f>MAX(E130,H130,K130,N130)</f>
        <v>0</v>
      </c>
      <c r="R130" s="2126">
        <f t="shared" si="161"/>
        <v>0</v>
      </c>
      <c r="S130" s="2127">
        <f t="shared" si="162"/>
        <v>0</v>
      </c>
      <c r="T130" s="853">
        <f>IFERROR(AVERAGE(Q130:S130),"")</f>
        <v>0</v>
      </c>
      <c r="U130" s="2081" t="str">
        <f t="shared" si="165"/>
        <v>1.33</v>
      </c>
      <c r="V130" s="2081" t="str">
        <f t="shared" si="166"/>
        <v>D+</v>
      </c>
      <c r="W130" s="2081" t="str">
        <f t="shared" si="167"/>
        <v>0</v>
      </c>
      <c r="X130" s="1587"/>
      <c r="Y130" s="1588"/>
      <c r="Z130" s="1588"/>
      <c r="AA130" s="1588"/>
      <c r="AB130" s="1588"/>
      <c r="AC130" s="1589"/>
      <c r="AD130" s="1590"/>
      <c r="AE130" s="1590"/>
      <c r="AF130" s="1590"/>
      <c r="AG130" s="1591"/>
      <c r="AH130" s="1413"/>
      <c r="AI130" s="1414"/>
    </row>
    <row r="131" spans="1:35" ht="24.95" customHeight="1" x14ac:dyDescent="0.25">
      <c r="A131" s="1478"/>
      <c r="B131" s="1580"/>
      <c r="C131" s="1581"/>
      <c r="D131" s="1579" t="s">
        <v>189</v>
      </c>
      <c r="E131" s="1385">
        <v>0</v>
      </c>
      <c r="F131" s="1385">
        <v>0</v>
      </c>
      <c r="G131" s="1385">
        <v>0</v>
      </c>
      <c r="H131" s="2101"/>
      <c r="I131" s="2101"/>
      <c r="J131" s="2101"/>
      <c r="K131" s="1385">
        <v>0</v>
      </c>
      <c r="L131" s="1385">
        <v>0</v>
      </c>
      <c r="M131" s="1385">
        <v>0</v>
      </c>
      <c r="N131" s="2100"/>
      <c r="O131" s="2100"/>
      <c r="P131" s="2100"/>
      <c r="Q131" s="1077">
        <f t="shared" ref="Q131" si="168">MAX(E131,H131,K131,N131)</f>
        <v>0</v>
      </c>
      <c r="R131" s="2126">
        <f t="shared" si="161"/>
        <v>0</v>
      </c>
      <c r="S131" s="2127">
        <f t="shared" si="162"/>
        <v>0</v>
      </c>
      <c r="T131" s="853">
        <f>IFERROR(AVERAGE(Q131:S131),"")</f>
        <v>0</v>
      </c>
      <c r="U131" s="2081" t="str">
        <f t="shared" si="165"/>
        <v>1.33</v>
      </c>
      <c r="V131" s="2081" t="str">
        <f t="shared" si="166"/>
        <v>D+</v>
      </c>
      <c r="W131" s="2081" t="str">
        <f t="shared" si="167"/>
        <v>0</v>
      </c>
      <c r="X131" s="1587"/>
      <c r="Y131" s="1588"/>
      <c r="Z131" s="1588"/>
      <c r="AA131" s="1588"/>
      <c r="AB131" s="1588"/>
      <c r="AC131" s="1589"/>
      <c r="AD131" s="1590"/>
      <c r="AE131" s="1590"/>
      <c r="AF131" s="1590"/>
      <c r="AG131" s="1591"/>
      <c r="AH131" s="1413"/>
      <c r="AI131" s="1414"/>
    </row>
    <row r="132" spans="1:35" ht="24.95" customHeight="1" x14ac:dyDescent="0.25">
      <c r="A132" s="1592"/>
      <c r="B132" s="1592">
        <v>21</v>
      </c>
      <c r="C132" s="1593" t="s">
        <v>167</v>
      </c>
      <c r="D132" s="1594"/>
      <c r="E132" s="2878"/>
      <c r="F132" s="2879"/>
      <c r="G132" s="2879"/>
      <c r="H132" s="2879"/>
      <c r="I132" s="2079"/>
      <c r="J132" s="2079"/>
      <c r="K132" s="2079"/>
      <c r="L132" s="2079"/>
      <c r="M132" s="2079"/>
      <c r="N132" s="2079"/>
      <c r="O132" s="2079"/>
      <c r="P132" s="2079"/>
      <c r="Q132" s="2162"/>
      <c r="R132" s="2162"/>
      <c r="S132" s="2162"/>
      <c r="T132" s="1942">
        <f>IFERROR(AVERAGE(T127:T131),"  ")</f>
        <v>0</v>
      </c>
      <c r="U132" s="1619" t="str">
        <f>IF(T132&gt;85,("4"),IF(T132&gt;80,("3.66"),IF(T132&gt;75,("3.33"),IF(T132&gt;70,("3.00"),IF(T132&gt;65,("2.66"),IF(T132&gt;60,("2.33"),IF(T132&gt;55,("2"),IF(T132&gt;50,("1.66"),"1.33"))))))))</f>
        <v>1.33</v>
      </c>
      <c r="V132" s="1619" t="str">
        <f>IF(T132&gt;85,("A"),IF(T132&gt;80,("A-"),IF(T132&gt;75,("B+"),IF(T132&gt;70,("B"),IF(T132&gt;65,("B-"),IF(T132&gt;60,("C+"),IF(T132&gt;55,("C"),IF(T132&gt;50,("C-"),"D+"))))))))</f>
        <v>D+</v>
      </c>
      <c r="W132" s="1619"/>
      <c r="X132" s="1605"/>
      <c r="Y132" s="1606"/>
      <c r="Z132" s="1606"/>
      <c r="AA132" s="1606"/>
      <c r="AB132" s="1606"/>
      <c r="AC132" s="1607"/>
      <c r="AD132" s="1606"/>
      <c r="AE132" s="1606"/>
      <c r="AF132" s="1606"/>
      <c r="AG132" s="1608"/>
      <c r="AH132" s="1841"/>
      <c r="AI132" s="1620"/>
    </row>
    <row r="133" spans="1:35" ht="24.95" customHeight="1" x14ac:dyDescent="0.25">
      <c r="A133" s="1477">
        <v>22</v>
      </c>
      <c r="B133" s="1577"/>
      <c r="C133" s="1578" t="str">
        <f>VLOOKUP(A133,data_siswa,4,FALSE)</f>
        <v>Sally Savista A</v>
      </c>
      <c r="D133" s="1579" t="s">
        <v>155</v>
      </c>
      <c r="E133" s="1672">
        <v>0</v>
      </c>
      <c r="F133" s="1672">
        <v>0</v>
      </c>
      <c r="G133" s="1672">
        <v>0</v>
      </c>
      <c r="H133" s="2027"/>
      <c r="I133" s="2027"/>
      <c r="J133" s="2027"/>
      <c r="K133" s="1672"/>
      <c r="L133" s="1672"/>
      <c r="M133" s="1672"/>
      <c r="N133" s="2103"/>
      <c r="O133" s="2103"/>
      <c r="P133" s="2103"/>
      <c r="Q133" s="1077">
        <f>MAX(E133,H133,K133,N133)</f>
        <v>0</v>
      </c>
      <c r="R133" s="2126">
        <f t="shared" ref="R133:R137" si="169">MAX(F133,I133,L133,O133)</f>
        <v>0</v>
      </c>
      <c r="S133" s="2127">
        <f t="shared" ref="S133:S137" si="170">MAX(G133,J133,M133,P133)</f>
        <v>0</v>
      </c>
      <c r="T133" s="853">
        <f>IFERROR(AVERAGE(Q133:S133),"")</f>
        <v>0</v>
      </c>
      <c r="U133" s="2081" t="str">
        <f>IF(T133&gt;85,("4"),IF(T133&gt;80,("3.66"),IF(T133&gt;75,("3.33"),IF(T133&gt;70,("3.00"),IF(T133&gt;65,("2.66"),IF(T133&gt;60,("2.33"),IF(T133&gt;55,("2"),IF(T133&gt;50,("1.66"),"1.33"))))))))</f>
        <v>1.33</v>
      </c>
      <c r="V133" s="2081" t="str">
        <f>IF(T133&gt;85,("A"),IF(T133&gt;80,("A-"),IF(T133&gt;75,("B+"),IF(T133&gt;70,("B"),IF(T133&gt;65,("B-"),IF(T133&gt;60,("C+"),IF(T133&gt;55,("C"),IF(T133&gt;50,("C-"),"D+"))))))))</f>
        <v>D+</v>
      </c>
      <c r="W133" s="2081" t="str">
        <f>IF(T133&gt;80,("SB"),IF(T133&gt;65,("B"),IF(T133&gt;50,("C"),IF(T133&gt;0,("K"),"0"))))</f>
        <v>0</v>
      </c>
      <c r="X133" s="1609"/>
      <c r="Y133" s="1609"/>
      <c r="Z133" s="1609"/>
      <c r="AA133" s="1609"/>
      <c r="AB133" s="1609"/>
      <c r="AC133" s="1610"/>
      <c r="AD133" s="1611"/>
      <c r="AE133" s="1611"/>
      <c r="AF133" s="1611"/>
      <c r="AG133" s="1611"/>
      <c r="AH133" s="1929">
        <f>AVERAGE(T133:T137)</f>
        <v>0</v>
      </c>
      <c r="AI133" s="1945" t="str">
        <f>IF(AH133&gt;85,("A"),IF(AH133&gt;80,("A-"),IF(AH133&gt;75,("B+"),IF(AH133&gt;70,("B"),IF(AH133&gt;65,("B-"),IF(AH133&gt;60,("C+"),IF(AH133&gt;55,("C"),IF(AH133&gt;50,("C-"),"D+"))))))))</f>
        <v>D+</v>
      </c>
    </row>
    <row r="134" spans="1:35" ht="24.95" customHeight="1" x14ac:dyDescent="0.25">
      <c r="A134" s="1478"/>
      <c r="B134" s="1580"/>
      <c r="C134" s="1581"/>
      <c r="D134" s="1579" t="s">
        <v>9</v>
      </c>
      <c r="E134" s="1385">
        <v>0</v>
      </c>
      <c r="F134" s="1385">
        <v>0</v>
      </c>
      <c r="G134" s="1385">
        <v>0</v>
      </c>
      <c r="H134" s="2101"/>
      <c r="I134" s="2101"/>
      <c r="J134" s="2101"/>
      <c r="K134" s="1385"/>
      <c r="L134" s="1385"/>
      <c r="M134" s="1385"/>
      <c r="N134" s="2100">
        <v>0</v>
      </c>
      <c r="O134" s="2100">
        <v>0</v>
      </c>
      <c r="P134" s="2100">
        <v>0</v>
      </c>
      <c r="Q134" s="1077">
        <f t="shared" ref="Q134:Q135" si="171">MAX(E134,H134,K134,N134)</f>
        <v>0</v>
      </c>
      <c r="R134" s="2126">
        <f t="shared" si="169"/>
        <v>0</v>
      </c>
      <c r="S134" s="2127">
        <f t="shared" si="170"/>
        <v>0</v>
      </c>
      <c r="T134" s="853">
        <f t="shared" ref="T134:T135" si="172">IFERROR(AVERAGE(Q134:S134),"")</f>
        <v>0</v>
      </c>
      <c r="U134" s="2081" t="str">
        <f t="shared" ref="U134:U137" si="173">IF(T134&gt;85,("4"),IF(T134&gt;80,("3.66"),IF(T134&gt;75,("3.33"),IF(T134&gt;70,("3.00"),IF(T134&gt;65,("2.66"),IF(T134&gt;60,("2.33"),IF(T134&gt;55,("2"),IF(T134&gt;50,("1.66"),"1.33"))))))))</f>
        <v>1.33</v>
      </c>
      <c r="V134" s="2081" t="str">
        <f t="shared" ref="V134:V137" si="174">IF(T134&gt;85,("A"),IF(T134&gt;80,("A-"),IF(T134&gt;75,("B+"),IF(T134&gt;70,("B"),IF(T134&gt;65,("B-"),IF(T134&gt;60,("C+"),IF(T134&gt;55,("C"),IF(T134&gt;50,("C-"),"D+"))))))))</f>
        <v>D+</v>
      </c>
      <c r="W134" s="2081" t="str">
        <f t="shared" ref="W134:W137" si="175">IF(T134&gt;80,("SB"),IF(T134&gt;65,("B"),IF(T134&gt;50,("C"),IF(T134&gt;0,("K"),"0"))))</f>
        <v>0</v>
      </c>
      <c r="X134" s="1582"/>
      <c r="Y134" s="1583"/>
      <c r="Z134" s="1583"/>
      <c r="AA134" s="1583"/>
      <c r="AB134" s="1583"/>
      <c r="AC134" s="1584"/>
      <c r="AD134" s="1585"/>
      <c r="AE134" s="1585"/>
      <c r="AF134" s="1585"/>
      <c r="AG134" s="1586"/>
      <c r="AH134" s="1411"/>
      <c r="AI134" s="1412"/>
    </row>
    <row r="135" spans="1:35" ht="24.95" customHeight="1" x14ac:dyDescent="0.25">
      <c r="A135" s="1478"/>
      <c r="B135" s="1580"/>
      <c r="C135" s="1581"/>
      <c r="D135" s="1579" t="s">
        <v>11</v>
      </c>
      <c r="E135" s="1385"/>
      <c r="F135" s="1385"/>
      <c r="G135" s="1385"/>
      <c r="H135" s="2101">
        <v>0</v>
      </c>
      <c r="I135" s="2101">
        <v>0</v>
      </c>
      <c r="J135" s="2101">
        <v>0</v>
      </c>
      <c r="K135" s="1385">
        <v>0</v>
      </c>
      <c r="L135" s="1385">
        <v>0</v>
      </c>
      <c r="M135" s="1385">
        <v>0</v>
      </c>
      <c r="N135" s="2100">
        <v>0</v>
      </c>
      <c r="O135" s="2100">
        <v>0</v>
      </c>
      <c r="P135" s="2100">
        <v>0</v>
      </c>
      <c r="Q135" s="1077">
        <f t="shared" si="171"/>
        <v>0</v>
      </c>
      <c r="R135" s="2126">
        <f t="shared" si="169"/>
        <v>0</v>
      </c>
      <c r="S135" s="2127">
        <f t="shared" si="170"/>
        <v>0</v>
      </c>
      <c r="T135" s="853">
        <f t="shared" si="172"/>
        <v>0</v>
      </c>
      <c r="U135" s="2081" t="str">
        <f t="shared" si="173"/>
        <v>1.33</v>
      </c>
      <c r="V135" s="2081" t="str">
        <f t="shared" si="174"/>
        <v>D+</v>
      </c>
      <c r="W135" s="2081" t="str">
        <f t="shared" si="175"/>
        <v>0</v>
      </c>
      <c r="X135" s="1587"/>
      <c r="Y135" s="1588"/>
      <c r="Z135" s="1588"/>
      <c r="AA135" s="1588"/>
      <c r="AB135" s="1588"/>
      <c r="AC135" s="1589"/>
      <c r="AD135" s="1590"/>
      <c r="AE135" s="1590"/>
      <c r="AF135" s="1590"/>
      <c r="AG135" s="1591"/>
      <c r="AH135" s="1413"/>
      <c r="AI135" s="1414"/>
    </row>
    <row r="136" spans="1:35" ht="24.95" customHeight="1" x14ac:dyDescent="0.25">
      <c r="A136" s="1478"/>
      <c r="B136" s="1580"/>
      <c r="C136" s="1581"/>
      <c r="D136" s="1579" t="s">
        <v>16</v>
      </c>
      <c r="E136" s="1385"/>
      <c r="F136" s="1385"/>
      <c r="G136" s="1385"/>
      <c r="H136" s="2101">
        <v>0</v>
      </c>
      <c r="I136" s="2101">
        <v>0</v>
      </c>
      <c r="J136" s="2101">
        <v>0</v>
      </c>
      <c r="K136" s="1385"/>
      <c r="L136" s="1385"/>
      <c r="M136" s="1385"/>
      <c r="N136" s="2100"/>
      <c r="O136" s="2100"/>
      <c r="P136" s="2100"/>
      <c r="Q136" s="1077">
        <f>MAX(E136,H136,K136,N136)</f>
        <v>0</v>
      </c>
      <c r="R136" s="2126">
        <f t="shared" si="169"/>
        <v>0</v>
      </c>
      <c r="S136" s="2127">
        <f t="shared" si="170"/>
        <v>0</v>
      </c>
      <c r="T136" s="853">
        <f>IFERROR(AVERAGE(Q136:S136),"")</f>
        <v>0</v>
      </c>
      <c r="U136" s="2081" t="str">
        <f t="shared" si="173"/>
        <v>1.33</v>
      </c>
      <c r="V136" s="2081" t="str">
        <f t="shared" si="174"/>
        <v>D+</v>
      </c>
      <c r="W136" s="2081" t="str">
        <f t="shared" si="175"/>
        <v>0</v>
      </c>
      <c r="X136" s="1587"/>
      <c r="Y136" s="1588"/>
      <c r="Z136" s="1588"/>
      <c r="AA136" s="1588"/>
      <c r="AB136" s="1588"/>
      <c r="AC136" s="1589"/>
      <c r="AD136" s="1590"/>
      <c r="AE136" s="1590"/>
      <c r="AF136" s="1590"/>
      <c r="AG136" s="1591"/>
      <c r="AH136" s="1413"/>
      <c r="AI136" s="1414"/>
    </row>
    <row r="137" spans="1:35" ht="24.95" customHeight="1" x14ac:dyDescent="0.25">
      <c r="A137" s="1478"/>
      <c r="B137" s="1580"/>
      <c r="C137" s="1581"/>
      <c r="D137" s="1579" t="s">
        <v>189</v>
      </c>
      <c r="E137" s="1385">
        <v>0</v>
      </c>
      <c r="F137" s="1385">
        <v>0</v>
      </c>
      <c r="G137" s="1385">
        <v>0</v>
      </c>
      <c r="H137" s="2101"/>
      <c r="I137" s="2101"/>
      <c r="J137" s="2101"/>
      <c r="K137" s="1385">
        <v>0</v>
      </c>
      <c r="L137" s="1385">
        <v>0</v>
      </c>
      <c r="M137" s="1385">
        <v>0</v>
      </c>
      <c r="N137" s="2100"/>
      <c r="O137" s="2100"/>
      <c r="P137" s="2100"/>
      <c r="Q137" s="1077">
        <f t="shared" ref="Q137" si="176">MAX(E137,H137,K137,N137)</f>
        <v>0</v>
      </c>
      <c r="R137" s="2126">
        <f t="shared" si="169"/>
        <v>0</v>
      </c>
      <c r="S137" s="2127">
        <f t="shared" si="170"/>
        <v>0</v>
      </c>
      <c r="T137" s="853">
        <f>IFERROR(AVERAGE(Q137:S137),"")</f>
        <v>0</v>
      </c>
      <c r="U137" s="2081" t="str">
        <f t="shared" si="173"/>
        <v>1.33</v>
      </c>
      <c r="V137" s="2081" t="str">
        <f t="shared" si="174"/>
        <v>D+</v>
      </c>
      <c r="W137" s="2081" t="str">
        <f t="shared" si="175"/>
        <v>0</v>
      </c>
      <c r="X137" s="1587"/>
      <c r="Y137" s="1588"/>
      <c r="Z137" s="1588"/>
      <c r="AA137" s="1588"/>
      <c r="AB137" s="1588"/>
      <c r="AC137" s="1589"/>
      <c r="AD137" s="1590"/>
      <c r="AE137" s="1590"/>
      <c r="AF137" s="1590"/>
      <c r="AG137" s="1591"/>
      <c r="AH137" s="1413"/>
      <c r="AI137" s="1414"/>
    </row>
    <row r="138" spans="1:35" ht="24.95" customHeight="1" x14ac:dyDescent="0.25">
      <c r="A138" s="1592"/>
      <c r="B138" s="1592">
        <v>22</v>
      </c>
      <c r="C138" s="1593" t="s">
        <v>167</v>
      </c>
      <c r="D138" s="1594"/>
      <c r="E138" s="2878"/>
      <c r="F138" s="2879"/>
      <c r="G138" s="2879"/>
      <c r="H138" s="2879"/>
      <c r="I138" s="2079"/>
      <c r="J138" s="2079"/>
      <c r="K138" s="2079"/>
      <c r="L138" s="2079"/>
      <c r="M138" s="2079"/>
      <c r="N138" s="2079"/>
      <c r="O138" s="2079"/>
      <c r="P138" s="2079"/>
      <c r="Q138" s="2162"/>
      <c r="R138" s="2162"/>
      <c r="S138" s="2162"/>
      <c r="T138" s="1942">
        <f>IFERROR(AVERAGE(T133:T137),"  ")</f>
        <v>0</v>
      </c>
      <c r="U138" s="1619" t="str">
        <f>IF(T138&gt;85,("4"),IF(T138&gt;80,("3.66"),IF(T138&gt;75,("3.33"),IF(T138&gt;70,("3.00"),IF(T138&gt;65,("2.66"),IF(T138&gt;60,("2.33"),IF(T138&gt;55,("2"),IF(T138&gt;50,("1.66"),"1.33"))))))))</f>
        <v>1.33</v>
      </c>
      <c r="V138" s="1619" t="str">
        <f>IF(T138&gt;85,("A"),IF(T138&gt;80,("A-"),IF(T138&gt;75,("B+"),IF(T138&gt;70,("B"),IF(T138&gt;65,("B-"),IF(T138&gt;60,("C+"),IF(T138&gt;55,("C"),IF(T138&gt;50,("C-"),"D+"))))))))</f>
        <v>D+</v>
      </c>
      <c r="W138" s="1619"/>
      <c r="X138" s="1605"/>
      <c r="Y138" s="1606"/>
      <c r="Z138" s="1606"/>
      <c r="AA138" s="1606"/>
      <c r="AB138" s="1606"/>
      <c r="AC138" s="1607"/>
      <c r="AD138" s="1606"/>
      <c r="AE138" s="1606"/>
      <c r="AF138" s="1606"/>
      <c r="AG138" s="1608"/>
      <c r="AH138" s="1841"/>
      <c r="AI138" s="1620"/>
    </row>
    <row r="139" spans="1:35" ht="24.95" customHeight="1" x14ac:dyDescent="0.25">
      <c r="A139" s="1477">
        <v>23</v>
      </c>
      <c r="B139" s="1577"/>
      <c r="C139" s="1578" t="str">
        <f>VLOOKUP(A139,data_siswa,4,FALSE)</f>
        <v xml:space="preserve">Tania Kaori Angelita </v>
      </c>
      <c r="D139" s="1579" t="s">
        <v>155</v>
      </c>
      <c r="E139" s="1672">
        <v>0</v>
      </c>
      <c r="F139" s="1672">
        <v>0</v>
      </c>
      <c r="G139" s="1672">
        <v>0</v>
      </c>
      <c r="H139" s="2027"/>
      <c r="I139" s="2027"/>
      <c r="J139" s="2027"/>
      <c r="K139" s="1672"/>
      <c r="L139" s="1672"/>
      <c r="M139" s="1672"/>
      <c r="N139" s="2103"/>
      <c r="O139" s="2103"/>
      <c r="P139" s="2103"/>
      <c r="Q139" s="1077">
        <f>MAX(E139,H139,K139,N139)</f>
        <v>0</v>
      </c>
      <c r="R139" s="2126">
        <f t="shared" ref="R139:R143" si="177">MAX(F139,I139,L139,O139)</f>
        <v>0</v>
      </c>
      <c r="S139" s="2127">
        <f t="shared" ref="S139:S143" si="178">MAX(G139,J139,M139,P139)</f>
        <v>0</v>
      </c>
      <c r="T139" s="853">
        <f>IFERROR(AVERAGE(Q139:S139),"")</f>
        <v>0</v>
      </c>
      <c r="U139" s="2081" t="str">
        <f>IF(T139&gt;85,("4"),IF(T139&gt;80,("3.66"),IF(T139&gt;75,("3.33"),IF(T139&gt;70,("3.00"),IF(T139&gt;65,("2.66"),IF(T139&gt;60,("2.33"),IF(T139&gt;55,("2"),IF(T139&gt;50,("1.66"),"1.33"))))))))</f>
        <v>1.33</v>
      </c>
      <c r="V139" s="2081" t="str">
        <f>IF(T139&gt;85,("A"),IF(T139&gt;80,("A-"),IF(T139&gt;75,("B+"),IF(T139&gt;70,("B"),IF(T139&gt;65,("B-"),IF(T139&gt;60,("C+"),IF(T139&gt;55,("C"),IF(T139&gt;50,("C-"),"D+"))))))))</f>
        <v>D+</v>
      </c>
      <c r="W139" s="2081" t="str">
        <f>IF(T139&gt;80,("SB"),IF(T139&gt;65,("B"),IF(T139&gt;50,("C"),IF(T139&gt;0,("K"),"0"))))</f>
        <v>0</v>
      </c>
      <c r="X139" s="1609"/>
      <c r="Y139" s="1609"/>
      <c r="Z139" s="1609"/>
      <c r="AA139" s="1609"/>
      <c r="AB139" s="1609"/>
      <c r="AC139" s="1610"/>
      <c r="AD139" s="1611"/>
      <c r="AE139" s="1611"/>
      <c r="AF139" s="1611"/>
      <c r="AG139" s="1611"/>
      <c r="AH139" s="1929">
        <f>AVERAGE(T139:T143)</f>
        <v>0</v>
      </c>
      <c r="AI139" s="1945" t="str">
        <f>IF(AH139&gt;85,("A"),IF(AH139&gt;80,("A-"),IF(AH139&gt;75,("B+"),IF(AH139&gt;70,("B"),IF(AH139&gt;65,("B-"),IF(AH139&gt;60,("C+"),IF(AH139&gt;55,("C"),IF(AH139&gt;50,("C-"),"D+"))))))))</f>
        <v>D+</v>
      </c>
    </row>
    <row r="140" spans="1:35" ht="24.95" customHeight="1" x14ac:dyDescent="0.25">
      <c r="A140" s="1478"/>
      <c r="B140" s="1580"/>
      <c r="C140" s="1581"/>
      <c r="D140" s="1579" t="s">
        <v>9</v>
      </c>
      <c r="E140" s="1385">
        <v>0</v>
      </c>
      <c r="F140" s="1385">
        <v>0</v>
      </c>
      <c r="G140" s="1385">
        <v>0</v>
      </c>
      <c r="H140" s="2101"/>
      <c r="I140" s="2101"/>
      <c r="J140" s="2101"/>
      <c r="K140" s="1385"/>
      <c r="L140" s="1385"/>
      <c r="M140" s="1385"/>
      <c r="N140" s="2100">
        <v>0</v>
      </c>
      <c r="O140" s="2100">
        <v>0</v>
      </c>
      <c r="P140" s="2100">
        <v>0</v>
      </c>
      <c r="Q140" s="1077">
        <f t="shared" ref="Q140:Q141" si="179">MAX(E140,H140,K140,N140)</f>
        <v>0</v>
      </c>
      <c r="R140" s="2126">
        <f t="shared" si="177"/>
        <v>0</v>
      </c>
      <c r="S140" s="2127">
        <f t="shared" si="178"/>
        <v>0</v>
      </c>
      <c r="T140" s="853">
        <f t="shared" ref="T140:T141" si="180">IFERROR(AVERAGE(Q140:S140),"")</f>
        <v>0</v>
      </c>
      <c r="U140" s="2081" t="str">
        <f t="shared" ref="U140:U143" si="181">IF(T140&gt;85,("4"),IF(T140&gt;80,("3.66"),IF(T140&gt;75,("3.33"),IF(T140&gt;70,("3.00"),IF(T140&gt;65,("2.66"),IF(T140&gt;60,("2.33"),IF(T140&gt;55,("2"),IF(T140&gt;50,("1.66"),"1.33"))))))))</f>
        <v>1.33</v>
      </c>
      <c r="V140" s="2081" t="str">
        <f t="shared" ref="V140:V143" si="182">IF(T140&gt;85,("A"),IF(T140&gt;80,("A-"),IF(T140&gt;75,("B+"),IF(T140&gt;70,("B"),IF(T140&gt;65,("B-"),IF(T140&gt;60,("C+"),IF(T140&gt;55,("C"),IF(T140&gt;50,("C-"),"D+"))))))))</f>
        <v>D+</v>
      </c>
      <c r="W140" s="2081" t="str">
        <f t="shared" ref="W140:W143" si="183">IF(T140&gt;80,("SB"),IF(T140&gt;65,("B"),IF(T140&gt;50,("C"),IF(T140&gt;0,("K"),"0"))))</f>
        <v>0</v>
      </c>
      <c r="X140" s="1582"/>
      <c r="Y140" s="1583"/>
      <c r="Z140" s="1583"/>
      <c r="AA140" s="1583"/>
      <c r="AB140" s="1583"/>
      <c r="AC140" s="1584"/>
      <c r="AD140" s="1585"/>
      <c r="AE140" s="1585"/>
      <c r="AF140" s="1585"/>
      <c r="AG140" s="1586"/>
      <c r="AH140" s="1411"/>
      <c r="AI140" s="1412"/>
    </row>
    <row r="141" spans="1:35" ht="24.95" customHeight="1" x14ac:dyDescent="0.25">
      <c r="A141" s="1478"/>
      <c r="B141" s="1580"/>
      <c r="C141" s="1581"/>
      <c r="D141" s="1579" t="s">
        <v>11</v>
      </c>
      <c r="E141" s="1385"/>
      <c r="F141" s="1385"/>
      <c r="G141" s="1385"/>
      <c r="H141" s="2101">
        <v>0</v>
      </c>
      <c r="I141" s="2101">
        <v>0</v>
      </c>
      <c r="J141" s="2101">
        <v>0</v>
      </c>
      <c r="K141" s="1385">
        <v>0</v>
      </c>
      <c r="L141" s="1385">
        <v>0</v>
      </c>
      <c r="M141" s="1385">
        <v>0</v>
      </c>
      <c r="N141" s="2100">
        <v>0</v>
      </c>
      <c r="O141" s="2100">
        <v>0</v>
      </c>
      <c r="P141" s="2100">
        <v>0</v>
      </c>
      <c r="Q141" s="1077">
        <f t="shared" si="179"/>
        <v>0</v>
      </c>
      <c r="R141" s="2126">
        <f t="shared" si="177"/>
        <v>0</v>
      </c>
      <c r="S141" s="2127">
        <f t="shared" si="178"/>
        <v>0</v>
      </c>
      <c r="T141" s="853">
        <f t="shared" si="180"/>
        <v>0</v>
      </c>
      <c r="U141" s="2081" t="str">
        <f t="shared" si="181"/>
        <v>1.33</v>
      </c>
      <c r="V141" s="2081" t="str">
        <f t="shared" si="182"/>
        <v>D+</v>
      </c>
      <c r="W141" s="2081" t="str">
        <f t="shared" si="183"/>
        <v>0</v>
      </c>
      <c r="X141" s="1587"/>
      <c r="Y141" s="1588"/>
      <c r="Z141" s="1588"/>
      <c r="AA141" s="1588"/>
      <c r="AB141" s="1588"/>
      <c r="AC141" s="1589"/>
      <c r="AD141" s="1590"/>
      <c r="AE141" s="1590"/>
      <c r="AF141" s="1590"/>
      <c r="AG141" s="1591"/>
      <c r="AH141" s="1413"/>
      <c r="AI141" s="1414"/>
    </row>
    <row r="142" spans="1:35" ht="24.95" customHeight="1" x14ac:dyDescent="0.25">
      <c r="A142" s="1478"/>
      <c r="B142" s="1580"/>
      <c r="C142" s="1581"/>
      <c r="D142" s="1579" t="s">
        <v>16</v>
      </c>
      <c r="E142" s="1385"/>
      <c r="F142" s="1385"/>
      <c r="G142" s="1385"/>
      <c r="H142" s="2101">
        <v>0</v>
      </c>
      <c r="I142" s="2101">
        <v>0</v>
      </c>
      <c r="J142" s="2101">
        <v>0</v>
      </c>
      <c r="K142" s="1385"/>
      <c r="L142" s="1385"/>
      <c r="M142" s="1385"/>
      <c r="N142" s="2100"/>
      <c r="O142" s="2100"/>
      <c r="P142" s="2100"/>
      <c r="Q142" s="1077">
        <f>MAX(E142,H142,K142,N142)</f>
        <v>0</v>
      </c>
      <c r="R142" s="2126">
        <f t="shared" si="177"/>
        <v>0</v>
      </c>
      <c r="S142" s="2127">
        <f t="shared" si="178"/>
        <v>0</v>
      </c>
      <c r="T142" s="853">
        <f>IFERROR(AVERAGE(Q142:S142),"")</f>
        <v>0</v>
      </c>
      <c r="U142" s="2081" t="str">
        <f t="shared" si="181"/>
        <v>1.33</v>
      </c>
      <c r="V142" s="2081" t="str">
        <f t="shared" si="182"/>
        <v>D+</v>
      </c>
      <c r="W142" s="2081" t="str">
        <f t="shared" si="183"/>
        <v>0</v>
      </c>
      <c r="X142" s="1587"/>
      <c r="Y142" s="1588"/>
      <c r="Z142" s="1588"/>
      <c r="AA142" s="1588"/>
      <c r="AB142" s="1588"/>
      <c r="AC142" s="1589"/>
      <c r="AD142" s="1590"/>
      <c r="AE142" s="1590"/>
      <c r="AF142" s="1590"/>
      <c r="AG142" s="1591"/>
      <c r="AH142" s="1413"/>
      <c r="AI142" s="1414"/>
    </row>
    <row r="143" spans="1:35" ht="24.95" customHeight="1" x14ac:dyDescent="0.25">
      <c r="A143" s="1478"/>
      <c r="B143" s="1580"/>
      <c r="C143" s="1581"/>
      <c r="D143" s="1579" t="s">
        <v>189</v>
      </c>
      <c r="E143" s="1385">
        <v>0</v>
      </c>
      <c r="F143" s="1385">
        <v>0</v>
      </c>
      <c r="G143" s="1385">
        <v>0</v>
      </c>
      <c r="H143" s="2101"/>
      <c r="I143" s="2101"/>
      <c r="J143" s="2101"/>
      <c r="K143" s="1385">
        <v>0</v>
      </c>
      <c r="L143" s="1385">
        <v>0</v>
      </c>
      <c r="M143" s="1385">
        <v>0</v>
      </c>
      <c r="N143" s="2100"/>
      <c r="O143" s="2100"/>
      <c r="P143" s="2100"/>
      <c r="Q143" s="1077">
        <f t="shared" ref="Q143" si="184">MAX(E143,H143,K143,N143)</f>
        <v>0</v>
      </c>
      <c r="R143" s="2126">
        <f t="shared" si="177"/>
        <v>0</v>
      </c>
      <c r="S143" s="2127">
        <f t="shared" si="178"/>
        <v>0</v>
      </c>
      <c r="T143" s="853">
        <f>IFERROR(AVERAGE(Q143:S143),"")</f>
        <v>0</v>
      </c>
      <c r="U143" s="2081" t="str">
        <f t="shared" si="181"/>
        <v>1.33</v>
      </c>
      <c r="V143" s="2081" t="str">
        <f t="shared" si="182"/>
        <v>D+</v>
      </c>
      <c r="W143" s="2081" t="str">
        <f t="shared" si="183"/>
        <v>0</v>
      </c>
      <c r="X143" s="1587"/>
      <c r="Y143" s="1588"/>
      <c r="Z143" s="1588"/>
      <c r="AA143" s="1588"/>
      <c r="AB143" s="1588"/>
      <c r="AC143" s="1589"/>
      <c r="AD143" s="1590"/>
      <c r="AE143" s="1590"/>
      <c r="AF143" s="1590"/>
      <c r="AG143" s="1591"/>
      <c r="AH143" s="1413"/>
      <c r="AI143" s="1414"/>
    </row>
    <row r="144" spans="1:35" ht="24.95" customHeight="1" x14ac:dyDescent="0.25">
      <c r="A144" s="1592"/>
      <c r="B144" s="1592">
        <v>23</v>
      </c>
      <c r="C144" s="1593" t="s">
        <v>167</v>
      </c>
      <c r="D144" s="1594"/>
      <c r="E144" s="2878"/>
      <c r="F144" s="2879"/>
      <c r="G144" s="2879"/>
      <c r="H144" s="2879"/>
      <c r="I144" s="2079"/>
      <c r="J144" s="2079"/>
      <c r="K144" s="2079"/>
      <c r="L144" s="2079"/>
      <c r="M144" s="2079"/>
      <c r="N144" s="2079"/>
      <c r="O144" s="2079"/>
      <c r="P144" s="2079"/>
      <c r="Q144" s="2162"/>
      <c r="R144" s="2162"/>
      <c r="S144" s="2162"/>
      <c r="T144" s="1942">
        <f>IFERROR(AVERAGE(T139:T143),"  ")</f>
        <v>0</v>
      </c>
      <c r="U144" s="1619" t="str">
        <f>IF(T144&gt;85,("4"),IF(T144&gt;80,("3.66"),IF(T144&gt;75,("3.33"),IF(T144&gt;70,("3.00"),IF(T144&gt;65,("2.66"),IF(T144&gt;60,("2.33"),IF(T144&gt;55,("2"),IF(T144&gt;50,("1.66"),"1.33"))))))))</f>
        <v>1.33</v>
      </c>
      <c r="V144" s="1619" t="str">
        <f>IF(T144&gt;85,("A"),IF(T144&gt;80,("A-"),IF(T144&gt;75,("B+"),IF(T144&gt;70,("B"),IF(T144&gt;65,("B-"),IF(T144&gt;60,("C+"),IF(T144&gt;55,("C"),IF(T144&gt;50,("C-"),"D+"))))))))</f>
        <v>D+</v>
      </c>
      <c r="W144" s="1619"/>
      <c r="X144" s="1605"/>
      <c r="Y144" s="1606"/>
      <c r="Z144" s="1606"/>
      <c r="AA144" s="1606"/>
      <c r="AB144" s="1606"/>
      <c r="AC144" s="1607"/>
      <c r="AD144" s="1606"/>
      <c r="AE144" s="1606"/>
      <c r="AF144" s="1606"/>
      <c r="AG144" s="1608"/>
      <c r="AH144" s="1841"/>
      <c r="AI144" s="1620"/>
    </row>
    <row r="145" spans="1:35" ht="24.95" customHeight="1" x14ac:dyDescent="0.25">
      <c r="A145" s="1477">
        <v>24</v>
      </c>
      <c r="B145" s="1577"/>
      <c r="C145" s="1578" t="str">
        <f>VLOOKUP(A145,data_siswa,4,FALSE)</f>
        <v>Romzy Oka Ramadhani P</v>
      </c>
      <c r="D145" s="1579" t="s">
        <v>155</v>
      </c>
      <c r="E145" s="1672">
        <v>0</v>
      </c>
      <c r="F145" s="1672">
        <v>0</v>
      </c>
      <c r="G145" s="1672">
        <v>0</v>
      </c>
      <c r="H145" s="2027"/>
      <c r="I145" s="2027"/>
      <c r="J145" s="2027"/>
      <c r="K145" s="1672"/>
      <c r="L145" s="1672"/>
      <c r="M145" s="1672"/>
      <c r="N145" s="2103"/>
      <c r="O145" s="2103"/>
      <c r="P145" s="2103"/>
      <c r="Q145" s="1077">
        <f>MAX(E145,H145,K145,N145)</f>
        <v>0</v>
      </c>
      <c r="R145" s="2126">
        <f t="shared" ref="R145:R149" si="185">MAX(F145,I145,L145,O145)</f>
        <v>0</v>
      </c>
      <c r="S145" s="2127">
        <f t="shared" ref="S145:S149" si="186">MAX(G145,J145,M145,P145)</f>
        <v>0</v>
      </c>
      <c r="T145" s="853">
        <f>IFERROR(AVERAGE(Q145:S145),"")</f>
        <v>0</v>
      </c>
      <c r="U145" s="2081" t="str">
        <f>IF(T145&gt;85,("4"),IF(T145&gt;80,("3.66"),IF(T145&gt;75,("3.33"),IF(T145&gt;70,("3.00"),IF(T145&gt;65,("2.66"),IF(T145&gt;60,("2.33"),IF(T145&gt;55,("2"),IF(T145&gt;50,("1.66"),"1.33"))))))))</f>
        <v>1.33</v>
      </c>
      <c r="V145" s="2081" t="str">
        <f>IF(T145&gt;85,("A"),IF(T145&gt;80,("A-"),IF(T145&gt;75,("B+"),IF(T145&gt;70,("B"),IF(T145&gt;65,("B-"),IF(T145&gt;60,("C+"),IF(T145&gt;55,("C"),IF(T145&gt;50,("C-"),"D+"))))))))</f>
        <v>D+</v>
      </c>
      <c r="W145" s="2081" t="str">
        <f>IF(T145&gt;80,("SB"),IF(T145&gt;65,("B"),IF(T145&gt;50,("C"),IF(T145&gt;0,("K"),"0"))))</f>
        <v>0</v>
      </c>
      <c r="X145" s="1609"/>
      <c r="Y145" s="1609"/>
      <c r="Z145" s="1609"/>
      <c r="AA145" s="1609"/>
      <c r="AB145" s="1609"/>
      <c r="AC145" s="1610"/>
      <c r="AD145" s="1611"/>
      <c r="AE145" s="1611"/>
      <c r="AF145" s="1611"/>
      <c r="AG145" s="1611"/>
      <c r="AH145" s="1929">
        <f>AVERAGE(T145:T149)</f>
        <v>0</v>
      </c>
      <c r="AI145" s="1945" t="str">
        <f>IF(AH145&gt;85,("A"),IF(AH145&gt;80,("A-"),IF(AH145&gt;75,("B+"),IF(AH145&gt;70,("B"),IF(AH145&gt;65,("B-"),IF(AH145&gt;60,("C+"),IF(AH145&gt;55,("C"),IF(AH145&gt;50,("C-"),"D+"))))))))</f>
        <v>D+</v>
      </c>
    </row>
    <row r="146" spans="1:35" ht="24.95" customHeight="1" x14ac:dyDescent="0.25">
      <c r="A146" s="1478"/>
      <c r="B146" s="1580"/>
      <c r="C146" s="1581"/>
      <c r="D146" s="1579" t="s">
        <v>9</v>
      </c>
      <c r="E146" s="1385">
        <v>0</v>
      </c>
      <c r="F146" s="1385">
        <v>0</v>
      </c>
      <c r="G146" s="1385">
        <v>0</v>
      </c>
      <c r="H146" s="2101"/>
      <c r="I146" s="2101"/>
      <c r="J146" s="2101"/>
      <c r="K146" s="1385"/>
      <c r="L146" s="1385"/>
      <c r="M146" s="1385"/>
      <c r="N146" s="2100">
        <v>0</v>
      </c>
      <c r="O146" s="2100">
        <v>0</v>
      </c>
      <c r="P146" s="2100">
        <v>0</v>
      </c>
      <c r="Q146" s="1077">
        <f t="shared" ref="Q146:Q147" si="187">MAX(E146,H146,K146,N146)</f>
        <v>0</v>
      </c>
      <c r="R146" s="2126">
        <f t="shared" si="185"/>
        <v>0</v>
      </c>
      <c r="S146" s="2127">
        <f t="shared" si="186"/>
        <v>0</v>
      </c>
      <c r="T146" s="853">
        <f t="shared" ref="T146:T147" si="188">IFERROR(AVERAGE(Q146:S146),"")</f>
        <v>0</v>
      </c>
      <c r="U146" s="2081" t="str">
        <f t="shared" ref="U146:U149" si="189">IF(T146&gt;85,("4"),IF(T146&gt;80,("3.66"),IF(T146&gt;75,("3.33"),IF(T146&gt;70,("3.00"),IF(T146&gt;65,("2.66"),IF(T146&gt;60,("2.33"),IF(T146&gt;55,("2"),IF(T146&gt;50,("1.66"),"1.33"))))))))</f>
        <v>1.33</v>
      </c>
      <c r="V146" s="2081" t="str">
        <f t="shared" ref="V146:V149" si="190">IF(T146&gt;85,("A"),IF(T146&gt;80,("A-"),IF(T146&gt;75,("B+"),IF(T146&gt;70,("B"),IF(T146&gt;65,("B-"),IF(T146&gt;60,("C+"),IF(T146&gt;55,("C"),IF(T146&gt;50,("C-"),"D+"))))))))</f>
        <v>D+</v>
      </c>
      <c r="W146" s="2081" t="str">
        <f t="shared" ref="W146:W149" si="191">IF(T146&gt;80,("SB"),IF(T146&gt;65,("B"),IF(T146&gt;50,("C"),IF(T146&gt;0,("K"),"0"))))</f>
        <v>0</v>
      </c>
      <c r="X146" s="1582"/>
      <c r="Y146" s="1583"/>
      <c r="Z146" s="1583"/>
      <c r="AA146" s="1583"/>
      <c r="AB146" s="1583"/>
      <c r="AC146" s="1584"/>
      <c r="AD146" s="1585"/>
      <c r="AE146" s="1585"/>
      <c r="AF146" s="1585"/>
      <c r="AG146" s="1586"/>
      <c r="AH146" s="1411"/>
      <c r="AI146" s="1412"/>
    </row>
    <row r="147" spans="1:35" ht="24.95" customHeight="1" x14ac:dyDescent="0.25">
      <c r="A147" s="1478"/>
      <c r="B147" s="1580"/>
      <c r="C147" s="1581"/>
      <c r="D147" s="1579" t="s">
        <v>11</v>
      </c>
      <c r="E147" s="1385"/>
      <c r="F147" s="1385"/>
      <c r="G147" s="1385"/>
      <c r="H147" s="2101">
        <v>0</v>
      </c>
      <c r="I147" s="2101">
        <v>0</v>
      </c>
      <c r="J147" s="2101">
        <v>0</v>
      </c>
      <c r="K147" s="1385">
        <v>0</v>
      </c>
      <c r="L147" s="1385">
        <v>0</v>
      </c>
      <c r="M147" s="1385">
        <v>0</v>
      </c>
      <c r="N147" s="2100">
        <v>0</v>
      </c>
      <c r="O147" s="2100">
        <v>0</v>
      </c>
      <c r="P147" s="2100">
        <v>0</v>
      </c>
      <c r="Q147" s="1077">
        <f t="shared" si="187"/>
        <v>0</v>
      </c>
      <c r="R147" s="2126">
        <f t="shared" si="185"/>
        <v>0</v>
      </c>
      <c r="S147" s="2127">
        <f t="shared" si="186"/>
        <v>0</v>
      </c>
      <c r="T147" s="853">
        <f t="shared" si="188"/>
        <v>0</v>
      </c>
      <c r="U147" s="2081" t="str">
        <f t="shared" si="189"/>
        <v>1.33</v>
      </c>
      <c r="V147" s="2081" t="str">
        <f t="shared" si="190"/>
        <v>D+</v>
      </c>
      <c r="W147" s="2081" t="str">
        <f t="shared" si="191"/>
        <v>0</v>
      </c>
      <c r="X147" s="1587"/>
      <c r="Y147" s="1588"/>
      <c r="Z147" s="1588"/>
      <c r="AA147" s="1588"/>
      <c r="AB147" s="1588"/>
      <c r="AC147" s="1589"/>
      <c r="AD147" s="1590"/>
      <c r="AE147" s="1590"/>
      <c r="AF147" s="1590"/>
      <c r="AG147" s="1591"/>
      <c r="AH147" s="1413"/>
      <c r="AI147" s="1414"/>
    </row>
    <row r="148" spans="1:35" ht="24.95" customHeight="1" x14ac:dyDescent="0.25">
      <c r="A148" s="1478"/>
      <c r="B148" s="1580"/>
      <c r="C148" s="1581"/>
      <c r="D148" s="1579" t="s">
        <v>16</v>
      </c>
      <c r="E148" s="1385"/>
      <c r="F148" s="1385"/>
      <c r="G148" s="1385"/>
      <c r="H148" s="2101">
        <v>0</v>
      </c>
      <c r="I148" s="2101">
        <v>0</v>
      </c>
      <c r="J148" s="2101">
        <v>0</v>
      </c>
      <c r="K148" s="1385"/>
      <c r="L148" s="1385"/>
      <c r="M148" s="1385"/>
      <c r="N148" s="2100"/>
      <c r="O148" s="2100"/>
      <c r="P148" s="2100"/>
      <c r="Q148" s="1077">
        <f>MAX(E148,H148,K148,N148)</f>
        <v>0</v>
      </c>
      <c r="R148" s="2126">
        <f t="shared" si="185"/>
        <v>0</v>
      </c>
      <c r="S148" s="2127">
        <f t="shared" si="186"/>
        <v>0</v>
      </c>
      <c r="T148" s="853">
        <f>IFERROR(AVERAGE(Q148:S148),"")</f>
        <v>0</v>
      </c>
      <c r="U148" s="2081" t="str">
        <f t="shared" si="189"/>
        <v>1.33</v>
      </c>
      <c r="V148" s="2081" t="str">
        <f t="shared" si="190"/>
        <v>D+</v>
      </c>
      <c r="W148" s="2081" t="str">
        <f t="shared" si="191"/>
        <v>0</v>
      </c>
      <c r="X148" s="1587"/>
      <c r="Y148" s="1588"/>
      <c r="Z148" s="1588"/>
      <c r="AA148" s="1588"/>
      <c r="AB148" s="1588"/>
      <c r="AC148" s="1589"/>
      <c r="AD148" s="1590"/>
      <c r="AE148" s="1590"/>
      <c r="AF148" s="1590"/>
      <c r="AG148" s="1591"/>
      <c r="AH148" s="1413"/>
      <c r="AI148" s="1414"/>
    </row>
    <row r="149" spans="1:35" ht="24.95" customHeight="1" x14ac:dyDescent="0.25">
      <c r="A149" s="1478"/>
      <c r="B149" s="1580"/>
      <c r="C149" s="1581"/>
      <c r="D149" s="1579" t="s">
        <v>189</v>
      </c>
      <c r="E149" s="1385">
        <v>0</v>
      </c>
      <c r="F149" s="1385">
        <v>0</v>
      </c>
      <c r="G149" s="1385">
        <v>0</v>
      </c>
      <c r="H149" s="2101"/>
      <c r="I149" s="2101"/>
      <c r="J149" s="2101"/>
      <c r="K149" s="1385">
        <v>0</v>
      </c>
      <c r="L149" s="1385">
        <v>0</v>
      </c>
      <c r="M149" s="1385">
        <v>0</v>
      </c>
      <c r="N149" s="2100"/>
      <c r="O149" s="2100"/>
      <c r="P149" s="2100"/>
      <c r="Q149" s="1077">
        <f t="shared" ref="Q149" si="192">MAX(E149,H149,K149,N149)</f>
        <v>0</v>
      </c>
      <c r="R149" s="2126">
        <f t="shared" si="185"/>
        <v>0</v>
      </c>
      <c r="S149" s="2127">
        <f t="shared" si="186"/>
        <v>0</v>
      </c>
      <c r="T149" s="853">
        <f>IFERROR(AVERAGE(Q149:S149),"")</f>
        <v>0</v>
      </c>
      <c r="U149" s="2081" t="str">
        <f t="shared" si="189"/>
        <v>1.33</v>
      </c>
      <c r="V149" s="2081" t="str">
        <f t="shared" si="190"/>
        <v>D+</v>
      </c>
      <c r="W149" s="2081" t="str">
        <f t="shared" si="191"/>
        <v>0</v>
      </c>
      <c r="X149" s="1587"/>
      <c r="Y149" s="1588"/>
      <c r="Z149" s="1588"/>
      <c r="AA149" s="1588"/>
      <c r="AB149" s="1588"/>
      <c r="AC149" s="1589"/>
      <c r="AD149" s="1590"/>
      <c r="AE149" s="1590"/>
      <c r="AF149" s="1590"/>
      <c r="AG149" s="1591"/>
      <c r="AH149" s="1413"/>
      <c r="AI149" s="1414"/>
    </row>
    <row r="150" spans="1:35" ht="24.95" customHeight="1" x14ac:dyDescent="0.25">
      <c r="A150" s="1592"/>
      <c r="B150" s="1592">
        <v>24</v>
      </c>
      <c r="C150" s="1593" t="s">
        <v>167</v>
      </c>
      <c r="D150" s="1594"/>
      <c r="E150" s="2878"/>
      <c r="F150" s="2879"/>
      <c r="G150" s="2879"/>
      <c r="H150" s="2879"/>
      <c r="I150" s="2079"/>
      <c r="J150" s="2079"/>
      <c r="K150" s="2079"/>
      <c r="L150" s="2079"/>
      <c r="M150" s="2079"/>
      <c r="N150" s="2079"/>
      <c r="O150" s="2079"/>
      <c r="P150" s="2079"/>
      <c r="Q150" s="2162"/>
      <c r="R150" s="2162"/>
      <c r="S150" s="2162"/>
      <c r="T150" s="1942">
        <f>IFERROR(AVERAGE(T145:T149),"  ")</f>
        <v>0</v>
      </c>
      <c r="U150" s="1619" t="str">
        <f>IF(T150&gt;85,("4"),IF(T150&gt;80,("3.66"),IF(T150&gt;75,("3.33"),IF(T150&gt;70,("3.00"),IF(T150&gt;65,("2.66"),IF(T150&gt;60,("2.33"),IF(T150&gt;55,("2"),IF(T150&gt;50,("1.66"),"1.33"))))))))</f>
        <v>1.33</v>
      </c>
      <c r="V150" s="1619" t="str">
        <f>IF(T150&gt;85,("A"),IF(T150&gt;80,("A-"),IF(T150&gt;75,("B+"),IF(T150&gt;70,("B"),IF(T150&gt;65,("B-"),IF(T150&gt;60,("C+"),IF(T150&gt;55,("C"),IF(T150&gt;50,("C-"),"D+"))))))))</f>
        <v>D+</v>
      </c>
      <c r="W150" s="1619"/>
      <c r="X150" s="1605"/>
      <c r="Y150" s="1606"/>
      <c r="Z150" s="1606"/>
      <c r="AA150" s="1606"/>
      <c r="AB150" s="1606"/>
      <c r="AC150" s="1607"/>
      <c r="AD150" s="1606"/>
      <c r="AE150" s="1606"/>
      <c r="AF150" s="1606"/>
      <c r="AG150" s="1608"/>
      <c r="AH150" s="1841"/>
      <c r="AI150" s="1620"/>
    </row>
    <row r="151" spans="1:35" ht="24.95" customHeight="1" x14ac:dyDescent="0.25">
      <c r="A151" s="1477">
        <v>25</v>
      </c>
      <c r="B151" s="1577"/>
      <c r="C151" s="1578" t="str">
        <f>VLOOKUP(A151,data_siswa,4,FALSE)</f>
        <v>Larasati Jagadhita P</v>
      </c>
      <c r="D151" s="1579" t="s">
        <v>155</v>
      </c>
      <c r="E151" s="1672">
        <v>0</v>
      </c>
      <c r="F151" s="1672">
        <v>0</v>
      </c>
      <c r="G151" s="1672">
        <v>0</v>
      </c>
      <c r="H151" s="2027"/>
      <c r="I151" s="2027"/>
      <c r="J151" s="2027"/>
      <c r="K151" s="1672"/>
      <c r="L151" s="1672"/>
      <c r="M151" s="1672"/>
      <c r="N151" s="2103"/>
      <c r="O151" s="2103"/>
      <c r="P151" s="2103"/>
      <c r="Q151" s="1077">
        <f>MAX(E151,H151,K151,N151)</f>
        <v>0</v>
      </c>
      <c r="R151" s="2126">
        <f t="shared" ref="R151:R155" si="193">MAX(F151,I151,L151,O151)</f>
        <v>0</v>
      </c>
      <c r="S151" s="2127">
        <f t="shared" ref="S151:S155" si="194">MAX(G151,J151,M151,P151)</f>
        <v>0</v>
      </c>
      <c r="T151" s="853">
        <f>IFERROR(AVERAGE(Q151:S151),"")</f>
        <v>0</v>
      </c>
      <c r="U151" s="2081" t="str">
        <f>IF(T151&gt;85,("4"),IF(T151&gt;80,("3.66"),IF(T151&gt;75,("3.33"),IF(T151&gt;70,("3.00"),IF(T151&gt;65,("2.66"),IF(T151&gt;60,("2.33"),IF(T151&gt;55,("2"),IF(T151&gt;50,("1.66"),"1.33"))))))))</f>
        <v>1.33</v>
      </c>
      <c r="V151" s="2081" t="str">
        <f>IF(T151&gt;85,("A"),IF(T151&gt;80,("A-"),IF(T151&gt;75,("B+"),IF(T151&gt;70,("B"),IF(T151&gt;65,("B-"),IF(T151&gt;60,("C+"),IF(T151&gt;55,("C"),IF(T151&gt;50,("C-"),"D+"))))))))</f>
        <v>D+</v>
      </c>
      <c r="W151" s="2081" t="str">
        <f>IF(T151&gt;80,("SB"),IF(T151&gt;65,("B"),IF(T151&gt;50,("C"),IF(T151&gt;0,("K"),"0"))))</f>
        <v>0</v>
      </c>
      <c r="X151" s="1609"/>
      <c r="Y151" s="1609"/>
      <c r="Z151" s="1609"/>
      <c r="AA151" s="1609"/>
      <c r="AB151" s="1609"/>
      <c r="AC151" s="1610"/>
      <c r="AD151" s="1611"/>
      <c r="AE151" s="1611"/>
      <c r="AF151" s="1611"/>
      <c r="AG151" s="1611"/>
      <c r="AH151" s="1929">
        <f>AVERAGE(T151:T155)</f>
        <v>0</v>
      </c>
      <c r="AI151" s="1945" t="str">
        <f>IF(AH151&gt;85,("A"),IF(AH151&gt;80,("A-"),IF(AH151&gt;75,("B+"),IF(AH151&gt;70,("B"),IF(AH151&gt;65,("B-"),IF(AH151&gt;60,("C+"),IF(AH151&gt;55,("C"),IF(AH151&gt;50,("C-"),"D+"))))))))</f>
        <v>D+</v>
      </c>
    </row>
    <row r="152" spans="1:35" ht="24.95" customHeight="1" x14ac:dyDescent="0.25">
      <c r="A152" s="1478"/>
      <c r="B152" s="1580"/>
      <c r="C152" s="1581"/>
      <c r="D152" s="1579" t="s">
        <v>9</v>
      </c>
      <c r="E152" s="1385">
        <v>0</v>
      </c>
      <c r="F152" s="1385">
        <v>0</v>
      </c>
      <c r="G152" s="1385">
        <v>0</v>
      </c>
      <c r="H152" s="2101"/>
      <c r="I152" s="2101"/>
      <c r="J152" s="2101"/>
      <c r="K152" s="1385"/>
      <c r="L152" s="1385"/>
      <c r="M152" s="1385"/>
      <c r="N152" s="2100">
        <v>0</v>
      </c>
      <c r="O152" s="2100">
        <v>0</v>
      </c>
      <c r="P152" s="2100">
        <v>0</v>
      </c>
      <c r="Q152" s="1077">
        <f t="shared" ref="Q152:Q153" si="195">MAX(E152,H152,K152,N152)</f>
        <v>0</v>
      </c>
      <c r="R152" s="2126">
        <f t="shared" si="193"/>
        <v>0</v>
      </c>
      <c r="S152" s="2127">
        <f t="shared" si="194"/>
        <v>0</v>
      </c>
      <c r="T152" s="853">
        <f t="shared" ref="T152:T153" si="196">IFERROR(AVERAGE(Q152:S152),"")</f>
        <v>0</v>
      </c>
      <c r="U152" s="2081" t="str">
        <f t="shared" ref="U152:U155" si="197">IF(T152&gt;85,("4"),IF(T152&gt;80,("3.66"),IF(T152&gt;75,("3.33"),IF(T152&gt;70,("3.00"),IF(T152&gt;65,("2.66"),IF(T152&gt;60,("2.33"),IF(T152&gt;55,("2"),IF(T152&gt;50,("1.66"),"1.33"))))))))</f>
        <v>1.33</v>
      </c>
      <c r="V152" s="2081" t="str">
        <f t="shared" ref="V152:V155" si="198">IF(T152&gt;85,("A"),IF(T152&gt;80,("A-"),IF(T152&gt;75,("B+"),IF(T152&gt;70,("B"),IF(T152&gt;65,("B-"),IF(T152&gt;60,("C+"),IF(T152&gt;55,("C"),IF(T152&gt;50,("C-"),"D+"))))))))</f>
        <v>D+</v>
      </c>
      <c r="W152" s="2081" t="str">
        <f t="shared" ref="W152:W155" si="199">IF(T152&gt;80,("SB"),IF(T152&gt;65,("B"),IF(T152&gt;50,("C"),IF(T152&gt;0,("K"),"0"))))</f>
        <v>0</v>
      </c>
      <c r="X152" s="1582"/>
      <c r="Y152" s="1583"/>
      <c r="Z152" s="1583"/>
      <c r="AA152" s="1583"/>
      <c r="AB152" s="1583"/>
      <c r="AC152" s="1584"/>
      <c r="AD152" s="1585"/>
      <c r="AE152" s="1585"/>
      <c r="AF152" s="1585"/>
      <c r="AG152" s="1586"/>
      <c r="AH152" s="1411"/>
      <c r="AI152" s="1412"/>
    </row>
    <row r="153" spans="1:35" ht="24.95" customHeight="1" x14ac:dyDescent="0.25">
      <c r="A153" s="1478"/>
      <c r="B153" s="1580"/>
      <c r="C153" s="1581"/>
      <c r="D153" s="1579" t="s">
        <v>11</v>
      </c>
      <c r="E153" s="1385"/>
      <c r="F153" s="1385"/>
      <c r="G153" s="1385"/>
      <c r="H153" s="2101">
        <v>0</v>
      </c>
      <c r="I153" s="2101">
        <v>0</v>
      </c>
      <c r="J153" s="2101">
        <v>0</v>
      </c>
      <c r="K153" s="1385">
        <v>0</v>
      </c>
      <c r="L153" s="1385">
        <v>0</v>
      </c>
      <c r="M153" s="1385">
        <v>0</v>
      </c>
      <c r="N153" s="2100">
        <v>0</v>
      </c>
      <c r="O153" s="2100">
        <v>0</v>
      </c>
      <c r="P153" s="2100">
        <v>0</v>
      </c>
      <c r="Q153" s="1077">
        <f t="shared" si="195"/>
        <v>0</v>
      </c>
      <c r="R153" s="2126">
        <f t="shared" si="193"/>
        <v>0</v>
      </c>
      <c r="S153" s="2127">
        <f t="shared" si="194"/>
        <v>0</v>
      </c>
      <c r="T153" s="853">
        <f t="shared" si="196"/>
        <v>0</v>
      </c>
      <c r="U153" s="2081" t="str">
        <f t="shared" si="197"/>
        <v>1.33</v>
      </c>
      <c r="V153" s="2081" t="str">
        <f t="shared" si="198"/>
        <v>D+</v>
      </c>
      <c r="W153" s="2081" t="str">
        <f t="shared" si="199"/>
        <v>0</v>
      </c>
      <c r="X153" s="1587"/>
      <c r="Y153" s="1588"/>
      <c r="Z153" s="1588"/>
      <c r="AA153" s="1588"/>
      <c r="AB153" s="1588"/>
      <c r="AC153" s="1589"/>
      <c r="AD153" s="1590"/>
      <c r="AE153" s="1590"/>
      <c r="AF153" s="1590"/>
      <c r="AG153" s="1591"/>
      <c r="AH153" s="1413"/>
      <c r="AI153" s="1414"/>
    </row>
    <row r="154" spans="1:35" ht="24.95" customHeight="1" x14ac:dyDescent="0.25">
      <c r="A154" s="1478"/>
      <c r="B154" s="1580"/>
      <c r="C154" s="1581"/>
      <c r="D154" s="1579" t="s">
        <v>16</v>
      </c>
      <c r="E154" s="1385"/>
      <c r="F154" s="1385"/>
      <c r="G154" s="1385"/>
      <c r="H154" s="2101">
        <v>0</v>
      </c>
      <c r="I154" s="2101">
        <v>0</v>
      </c>
      <c r="J154" s="2101">
        <v>0</v>
      </c>
      <c r="K154" s="1385"/>
      <c r="L154" s="1385"/>
      <c r="M154" s="1385"/>
      <c r="N154" s="2100"/>
      <c r="O154" s="2100"/>
      <c r="P154" s="2100"/>
      <c r="Q154" s="1077">
        <f>MAX(E154,H154,K154,N154)</f>
        <v>0</v>
      </c>
      <c r="R154" s="2126">
        <f t="shared" si="193"/>
        <v>0</v>
      </c>
      <c r="S154" s="2127">
        <f t="shared" si="194"/>
        <v>0</v>
      </c>
      <c r="T154" s="853">
        <f>IFERROR(AVERAGE(Q154:S154),"")</f>
        <v>0</v>
      </c>
      <c r="U154" s="2081" t="str">
        <f t="shared" si="197"/>
        <v>1.33</v>
      </c>
      <c r="V154" s="2081" t="str">
        <f t="shared" si="198"/>
        <v>D+</v>
      </c>
      <c r="W154" s="2081" t="str">
        <f t="shared" si="199"/>
        <v>0</v>
      </c>
      <c r="X154" s="1587"/>
      <c r="Y154" s="1588"/>
      <c r="Z154" s="1588"/>
      <c r="AA154" s="1588"/>
      <c r="AB154" s="1588"/>
      <c r="AC154" s="1589"/>
      <c r="AD154" s="1590"/>
      <c r="AE154" s="1590"/>
      <c r="AF154" s="1590"/>
      <c r="AG154" s="1591"/>
      <c r="AH154" s="1413"/>
      <c r="AI154" s="1414"/>
    </row>
    <row r="155" spans="1:35" ht="24.95" customHeight="1" x14ac:dyDescent="0.25">
      <c r="A155" s="1478"/>
      <c r="B155" s="1580"/>
      <c r="C155" s="1581"/>
      <c r="D155" s="1579" t="s">
        <v>189</v>
      </c>
      <c r="E155" s="1385">
        <v>0</v>
      </c>
      <c r="F155" s="1385">
        <v>0</v>
      </c>
      <c r="G155" s="1385">
        <v>0</v>
      </c>
      <c r="H155" s="2101"/>
      <c r="I155" s="2101"/>
      <c r="J155" s="2101"/>
      <c r="K155" s="1385">
        <v>0</v>
      </c>
      <c r="L155" s="1385">
        <v>0</v>
      </c>
      <c r="M155" s="1385">
        <v>0</v>
      </c>
      <c r="N155" s="2100"/>
      <c r="O155" s="2100"/>
      <c r="P155" s="2100"/>
      <c r="Q155" s="1077">
        <f t="shared" ref="Q155" si="200">MAX(E155,H155,K155,N155)</f>
        <v>0</v>
      </c>
      <c r="R155" s="2126">
        <f t="shared" si="193"/>
        <v>0</v>
      </c>
      <c r="S155" s="2127">
        <f t="shared" si="194"/>
        <v>0</v>
      </c>
      <c r="T155" s="853">
        <f>IFERROR(AVERAGE(Q155:S155),"")</f>
        <v>0</v>
      </c>
      <c r="U155" s="2081" t="str">
        <f t="shared" si="197"/>
        <v>1.33</v>
      </c>
      <c r="V155" s="2081" t="str">
        <f t="shared" si="198"/>
        <v>D+</v>
      </c>
      <c r="W155" s="2081" t="str">
        <f t="shared" si="199"/>
        <v>0</v>
      </c>
      <c r="X155" s="1587"/>
      <c r="Y155" s="1588"/>
      <c r="Z155" s="1588"/>
      <c r="AA155" s="1588"/>
      <c r="AB155" s="1588"/>
      <c r="AC155" s="1589"/>
      <c r="AD155" s="1590"/>
      <c r="AE155" s="1590"/>
      <c r="AF155" s="1590"/>
      <c r="AG155" s="1591"/>
      <c r="AH155" s="1413"/>
      <c r="AI155" s="1414"/>
    </row>
    <row r="156" spans="1:35" ht="24.95" customHeight="1" x14ac:dyDescent="0.25">
      <c r="A156" s="1592"/>
      <c r="B156" s="1592">
        <v>25</v>
      </c>
      <c r="C156" s="1593" t="s">
        <v>167</v>
      </c>
      <c r="D156" s="1594"/>
      <c r="E156" s="2878"/>
      <c r="F156" s="2879"/>
      <c r="G156" s="2879"/>
      <c r="H156" s="2879"/>
      <c r="I156" s="2079"/>
      <c r="J156" s="2079"/>
      <c r="K156" s="2079"/>
      <c r="L156" s="2079"/>
      <c r="M156" s="2079"/>
      <c r="N156" s="2079"/>
      <c r="O156" s="2079"/>
      <c r="P156" s="2079"/>
      <c r="Q156" s="2162"/>
      <c r="R156" s="2162"/>
      <c r="S156" s="2162"/>
      <c r="T156" s="1942">
        <f>IFERROR(AVERAGE(T151:T155),"  ")</f>
        <v>0</v>
      </c>
      <c r="U156" s="1619" t="str">
        <f>IF(T156&gt;85,("4"),IF(T156&gt;80,("3.66"),IF(T156&gt;75,("3.33"),IF(T156&gt;70,("3.00"),IF(T156&gt;65,("2.66"),IF(T156&gt;60,("2.33"),IF(T156&gt;55,("2"),IF(T156&gt;50,("1.66"),"1.33"))))))))</f>
        <v>1.33</v>
      </c>
      <c r="V156" s="1619" t="str">
        <f>IF(T156&gt;85,("A"),IF(T156&gt;80,("A-"),IF(T156&gt;75,("B+"),IF(T156&gt;70,("B"),IF(T156&gt;65,("B-"),IF(T156&gt;60,("C+"),IF(T156&gt;55,("C"),IF(T156&gt;50,("C-"),"D+"))))))))</f>
        <v>D+</v>
      </c>
      <c r="W156" s="1619"/>
      <c r="X156" s="1605"/>
      <c r="Y156" s="1606"/>
      <c r="Z156" s="1606"/>
      <c r="AA156" s="1606"/>
      <c r="AB156" s="1606"/>
      <c r="AC156" s="1607"/>
      <c r="AD156" s="1606"/>
      <c r="AE156" s="1606"/>
      <c r="AF156" s="1606"/>
      <c r="AG156" s="1608"/>
      <c r="AH156" s="1841"/>
      <c r="AI156" s="1620"/>
    </row>
    <row r="157" spans="1:35" ht="24.95" customHeight="1" x14ac:dyDescent="0.25">
      <c r="A157" s="1477">
        <v>26</v>
      </c>
      <c r="B157" s="1577"/>
      <c r="C157" s="1578" t="str">
        <f>VLOOKUP(A157,data_siswa,4,FALSE)</f>
        <v>Meliana Citra A</v>
      </c>
      <c r="D157" s="1579" t="s">
        <v>155</v>
      </c>
      <c r="E157" s="1672">
        <v>0</v>
      </c>
      <c r="F157" s="1672">
        <v>0</v>
      </c>
      <c r="G157" s="1672">
        <v>0</v>
      </c>
      <c r="H157" s="2027"/>
      <c r="I157" s="2027"/>
      <c r="J157" s="2027"/>
      <c r="K157" s="1672"/>
      <c r="L157" s="1672"/>
      <c r="M157" s="1672"/>
      <c r="N157" s="2103"/>
      <c r="O157" s="2103"/>
      <c r="P157" s="2103"/>
      <c r="Q157" s="1077">
        <f>MAX(E157,H157,K157,N157)</f>
        <v>0</v>
      </c>
      <c r="R157" s="2126">
        <f t="shared" ref="R157:R161" si="201">MAX(F157,I157,L157,O157)</f>
        <v>0</v>
      </c>
      <c r="S157" s="2127">
        <f t="shared" ref="S157:S161" si="202">MAX(G157,J157,M157,P157)</f>
        <v>0</v>
      </c>
      <c r="T157" s="853">
        <f>IFERROR(AVERAGE(Q157:S157),"")</f>
        <v>0</v>
      </c>
      <c r="U157" s="2081" t="str">
        <f>IF(T157&gt;85,("4"),IF(T157&gt;80,("3.66"),IF(T157&gt;75,("3.33"),IF(T157&gt;70,("3.00"),IF(T157&gt;65,("2.66"),IF(T157&gt;60,("2.33"),IF(T157&gt;55,("2"),IF(T157&gt;50,("1.66"),"1.33"))))))))</f>
        <v>1.33</v>
      </c>
      <c r="V157" s="2081" t="str">
        <f>IF(T157&gt;85,("A"),IF(T157&gt;80,("A-"),IF(T157&gt;75,("B+"),IF(T157&gt;70,("B"),IF(T157&gt;65,("B-"),IF(T157&gt;60,("C+"),IF(T157&gt;55,("C"),IF(T157&gt;50,("C-"),"D+"))))))))</f>
        <v>D+</v>
      </c>
      <c r="W157" s="2081" t="str">
        <f>IF(T157&gt;80,("SB"),IF(T157&gt;65,("B"),IF(T157&gt;50,("C"),IF(T157&gt;0,("K"),"0"))))</f>
        <v>0</v>
      </c>
      <c r="X157" s="1609"/>
      <c r="Y157" s="1609"/>
      <c r="Z157" s="1609"/>
      <c r="AA157" s="1609"/>
      <c r="AB157" s="1609"/>
      <c r="AC157" s="1610"/>
      <c r="AD157" s="1611"/>
      <c r="AE157" s="1611"/>
      <c r="AF157" s="1611"/>
      <c r="AG157" s="1611"/>
      <c r="AH157" s="1929">
        <f>AVERAGE(T157:T161)</f>
        <v>0</v>
      </c>
      <c r="AI157" s="1945" t="str">
        <f>IF(AH157&gt;85,("A"),IF(AH157&gt;80,("A-"),IF(AH157&gt;75,("B+"),IF(AH157&gt;70,("B"),IF(AH157&gt;65,("B-"),IF(AH157&gt;60,("C+"),IF(AH157&gt;55,("C"),IF(AH157&gt;50,("C-"),"D+"))))))))</f>
        <v>D+</v>
      </c>
    </row>
    <row r="158" spans="1:35" ht="24.95" customHeight="1" x14ac:dyDescent="0.25">
      <c r="A158" s="1478"/>
      <c r="B158" s="1580"/>
      <c r="C158" s="1581"/>
      <c r="D158" s="1579" t="s">
        <v>9</v>
      </c>
      <c r="E158" s="1385">
        <v>0</v>
      </c>
      <c r="F158" s="1385">
        <v>0</v>
      </c>
      <c r="G158" s="1385">
        <v>0</v>
      </c>
      <c r="H158" s="2101"/>
      <c r="I158" s="2101"/>
      <c r="J158" s="2101"/>
      <c r="K158" s="1385"/>
      <c r="L158" s="1385"/>
      <c r="M158" s="1385"/>
      <c r="N158" s="2100">
        <v>0</v>
      </c>
      <c r="O158" s="2100">
        <v>0</v>
      </c>
      <c r="P158" s="2100">
        <v>0</v>
      </c>
      <c r="Q158" s="1077">
        <f t="shared" ref="Q158:Q159" si="203">MAX(E158,H158,K158,N158)</f>
        <v>0</v>
      </c>
      <c r="R158" s="2126">
        <f t="shared" si="201"/>
        <v>0</v>
      </c>
      <c r="S158" s="2127">
        <f t="shared" si="202"/>
        <v>0</v>
      </c>
      <c r="T158" s="853">
        <f t="shared" ref="T158:T159" si="204">IFERROR(AVERAGE(Q158:S158),"")</f>
        <v>0</v>
      </c>
      <c r="U158" s="2081" t="str">
        <f t="shared" ref="U158:U161" si="205">IF(T158&gt;85,("4"),IF(T158&gt;80,("3.66"),IF(T158&gt;75,("3.33"),IF(T158&gt;70,("3.00"),IF(T158&gt;65,("2.66"),IF(T158&gt;60,("2.33"),IF(T158&gt;55,("2"),IF(T158&gt;50,("1.66"),"1.33"))))))))</f>
        <v>1.33</v>
      </c>
      <c r="V158" s="2081" t="str">
        <f t="shared" ref="V158:V161" si="206">IF(T158&gt;85,("A"),IF(T158&gt;80,("A-"),IF(T158&gt;75,("B+"),IF(T158&gt;70,("B"),IF(T158&gt;65,("B-"),IF(T158&gt;60,("C+"),IF(T158&gt;55,("C"),IF(T158&gt;50,("C-"),"D+"))))))))</f>
        <v>D+</v>
      </c>
      <c r="W158" s="2081" t="str">
        <f t="shared" ref="W158:W161" si="207">IF(T158&gt;80,("SB"),IF(T158&gt;65,("B"),IF(T158&gt;50,("C"),IF(T158&gt;0,("K"),"0"))))</f>
        <v>0</v>
      </c>
      <c r="X158" s="1582"/>
      <c r="Y158" s="1583"/>
      <c r="Z158" s="1583"/>
      <c r="AA158" s="1583"/>
      <c r="AB158" s="1583"/>
      <c r="AC158" s="1584"/>
      <c r="AD158" s="1585"/>
      <c r="AE158" s="1585"/>
      <c r="AF158" s="1585"/>
      <c r="AG158" s="1586"/>
      <c r="AH158" s="1411"/>
      <c r="AI158" s="1412"/>
    </row>
    <row r="159" spans="1:35" ht="24.95" customHeight="1" x14ac:dyDescent="0.25">
      <c r="A159" s="1478"/>
      <c r="B159" s="1580"/>
      <c r="C159" s="1581"/>
      <c r="D159" s="1579" t="s">
        <v>11</v>
      </c>
      <c r="E159" s="1385"/>
      <c r="F159" s="1385"/>
      <c r="G159" s="1385"/>
      <c r="H159" s="2101">
        <v>0</v>
      </c>
      <c r="I159" s="2101">
        <v>0</v>
      </c>
      <c r="J159" s="2101">
        <v>0</v>
      </c>
      <c r="K159" s="1385">
        <v>0</v>
      </c>
      <c r="L159" s="1385">
        <v>0</v>
      </c>
      <c r="M159" s="1385">
        <v>0</v>
      </c>
      <c r="N159" s="2100">
        <v>0</v>
      </c>
      <c r="O159" s="2100">
        <v>0</v>
      </c>
      <c r="P159" s="2100">
        <v>0</v>
      </c>
      <c r="Q159" s="1077">
        <f t="shared" si="203"/>
        <v>0</v>
      </c>
      <c r="R159" s="2126">
        <f t="shared" si="201"/>
        <v>0</v>
      </c>
      <c r="S159" s="2127">
        <f t="shared" si="202"/>
        <v>0</v>
      </c>
      <c r="T159" s="853">
        <f t="shared" si="204"/>
        <v>0</v>
      </c>
      <c r="U159" s="2081" t="str">
        <f t="shared" si="205"/>
        <v>1.33</v>
      </c>
      <c r="V159" s="2081" t="str">
        <f t="shared" si="206"/>
        <v>D+</v>
      </c>
      <c r="W159" s="2081" t="str">
        <f t="shared" si="207"/>
        <v>0</v>
      </c>
      <c r="X159" s="1587"/>
      <c r="Y159" s="1588"/>
      <c r="Z159" s="1588"/>
      <c r="AA159" s="1588"/>
      <c r="AB159" s="1588"/>
      <c r="AC159" s="1589"/>
      <c r="AD159" s="1590"/>
      <c r="AE159" s="1590"/>
      <c r="AF159" s="1590"/>
      <c r="AG159" s="1591"/>
      <c r="AH159" s="1413"/>
      <c r="AI159" s="1414"/>
    </row>
    <row r="160" spans="1:35" ht="24.95" customHeight="1" x14ac:dyDescent="0.25">
      <c r="A160" s="1478"/>
      <c r="B160" s="1580"/>
      <c r="C160" s="1581"/>
      <c r="D160" s="1579" t="s">
        <v>16</v>
      </c>
      <c r="E160" s="1385"/>
      <c r="F160" s="1385"/>
      <c r="G160" s="1385"/>
      <c r="H160" s="2101">
        <v>0</v>
      </c>
      <c r="I160" s="2101">
        <v>0</v>
      </c>
      <c r="J160" s="2101">
        <v>0</v>
      </c>
      <c r="K160" s="1385"/>
      <c r="L160" s="1385"/>
      <c r="M160" s="1385"/>
      <c r="N160" s="2100"/>
      <c r="O160" s="2100"/>
      <c r="P160" s="2100"/>
      <c r="Q160" s="1077">
        <f>MAX(E160,H160,K160,N160)</f>
        <v>0</v>
      </c>
      <c r="R160" s="2126">
        <f t="shared" si="201"/>
        <v>0</v>
      </c>
      <c r="S160" s="2127">
        <f t="shared" si="202"/>
        <v>0</v>
      </c>
      <c r="T160" s="853">
        <f>IFERROR(AVERAGE(Q160:S160),"")</f>
        <v>0</v>
      </c>
      <c r="U160" s="2081" t="str">
        <f t="shared" si="205"/>
        <v>1.33</v>
      </c>
      <c r="V160" s="2081" t="str">
        <f t="shared" si="206"/>
        <v>D+</v>
      </c>
      <c r="W160" s="2081" t="str">
        <f t="shared" si="207"/>
        <v>0</v>
      </c>
      <c r="X160" s="1587"/>
      <c r="Y160" s="1588"/>
      <c r="Z160" s="1588"/>
      <c r="AA160" s="1588"/>
      <c r="AB160" s="1588"/>
      <c r="AC160" s="1589"/>
      <c r="AD160" s="1590"/>
      <c r="AE160" s="1590"/>
      <c r="AF160" s="1590"/>
      <c r="AG160" s="1591"/>
      <c r="AH160" s="1413"/>
      <c r="AI160" s="1414"/>
    </row>
    <row r="161" spans="1:35" ht="24.95" customHeight="1" x14ac:dyDescent="0.25">
      <c r="A161" s="1478"/>
      <c r="B161" s="1580"/>
      <c r="C161" s="1581"/>
      <c r="D161" s="1579" t="s">
        <v>189</v>
      </c>
      <c r="E161" s="1385">
        <v>0</v>
      </c>
      <c r="F161" s="1385">
        <v>0</v>
      </c>
      <c r="G161" s="1385">
        <v>0</v>
      </c>
      <c r="H161" s="2101"/>
      <c r="I161" s="2101"/>
      <c r="J161" s="2101"/>
      <c r="K161" s="1385">
        <v>0</v>
      </c>
      <c r="L161" s="1385">
        <v>0</v>
      </c>
      <c r="M161" s="1385">
        <v>0</v>
      </c>
      <c r="N161" s="2100"/>
      <c r="O161" s="2100"/>
      <c r="P161" s="2100"/>
      <c r="Q161" s="1077">
        <f t="shared" ref="Q161" si="208">MAX(E161,H161,K161,N161)</f>
        <v>0</v>
      </c>
      <c r="R161" s="2126">
        <f t="shared" si="201"/>
        <v>0</v>
      </c>
      <c r="S161" s="2127">
        <f t="shared" si="202"/>
        <v>0</v>
      </c>
      <c r="T161" s="853">
        <f>IFERROR(AVERAGE(Q161:S161),"")</f>
        <v>0</v>
      </c>
      <c r="U161" s="2081" t="str">
        <f t="shared" si="205"/>
        <v>1.33</v>
      </c>
      <c r="V161" s="2081" t="str">
        <f t="shared" si="206"/>
        <v>D+</v>
      </c>
      <c r="W161" s="2081" t="str">
        <f t="shared" si="207"/>
        <v>0</v>
      </c>
      <c r="X161" s="1587"/>
      <c r="Y161" s="1588"/>
      <c r="Z161" s="1588"/>
      <c r="AA161" s="1588"/>
      <c r="AB161" s="1588"/>
      <c r="AC161" s="1589"/>
      <c r="AD161" s="1590"/>
      <c r="AE161" s="1590"/>
      <c r="AF161" s="1590"/>
      <c r="AG161" s="1591"/>
      <c r="AH161" s="1413"/>
      <c r="AI161" s="1414"/>
    </row>
    <row r="162" spans="1:35" ht="24.95" customHeight="1" x14ac:dyDescent="0.25">
      <c r="A162" s="1592"/>
      <c r="B162" s="1592">
        <v>26</v>
      </c>
      <c r="C162" s="1593" t="s">
        <v>167</v>
      </c>
      <c r="D162" s="1594"/>
      <c r="E162" s="2878"/>
      <c r="F162" s="2879"/>
      <c r="G162" s="2879"/>
      <c r="H162" s="2879"/>
      <c r="I162" s="2079"/>
      <c r="J162" s="2079"/>
      <c r="K162" s="2079"/>
      <c r="L162" s="2079"/>
      <c r="M162" s="2079"/>
      <c r="N162" s="2079"/>
      <c r="O162" s="2079"/>
      <c r="P162" s="2079"/>
      <c r="Q162" s="2162"/>
      <c r="R162" s="2162"/>
      <c r="S162" s="2162"/>
      <c r="T162" s="1942">
        <f>IFERROR(AVERAGE(T157:T161),"  ")</f>
        <v>0</v>
      </c>
      <c r="U162" s="1619" t="str">
        <f>IF(T162&gt;85,("4"),IF(T162&gt;80,("3.66"),IF(T162&gt;75,("3.33"),IF(T162&gt;70,("3.00"),IF(T162&gt;65,("2.66"),IF(T162&gt;60,("2.33"),IF(T162&gt;55,("2"),IF(T162&gt;50,("1.66"),"1.33"))))))))</f>
        <v>1.33</v>
      </c>
      <c r="V162" s="1619" t="str">
        <f>IF(T162&gt;85,("A"),IF(T162&gt;80,("A-"),IF(T162&gt;75,("B+"),IF(T162&gt;70,("B"),IF(T162&gt;65,("B-"),IF(T162&gt;60,("C+"),IF(T162&gt;55,("C"),IF(T162&gt;50,("C-"),"D+"))))))))</f>
        <v>D+</v>
      </c>
      <c r="W162" s="1619"/>
      <c r="X162" s="1605"/>
      <c r="Y162" s="1606"/>
      <c r="Z162" s="1606"/>
      <c r="AA162" s="1606"/>
      <c r="AB162" s="1606"/>
      <c r="AC162" s="1607"/>
      <c r="AD162" s="1606"/>
      <c r="AE162" s="1606"/>
      <c r="AF162" s="1606"/>
      <c r="AG162" s="1608"/>
      <c r="AH162" s="1841"/>
      <c r="AI162" s="1620"/>
    </row>
    <row r="163" spans="1:35" ht="24.95" customHeight="1" x14ac:dyDescent="0.25">
      <c r="A163" s="1477">
        <v>27</v>
      </c>
      <c r="B163" s="1577"/>
      <c r="C163" s="1578" t="str">
        <f>VLOOKUP(A163,data_siswa,4,FALSE)</f>
        <v>Mohammad Rizky</v>
      </c>
      <c r="D163" s="1579" t="s">
        <v>155</v>
      </c>
      <c r="E163" s="1672">
        <v>0</v>
      </c>
      <c r="F163" s="1672">
        <v>0</v>
      </c>
      <c r="G163" s="1672">
        <v>0</v>
      </c>
      <c r="H163" s="2027"/>
      <c r="I163" s="2027"/>
      <c r="J163" s="2027"/>
      <c r="K163" s="1672"/>
      <c r="L163" s="1672"/>
      <c r="M163" s="1672"/>
      <c r="N163" s="2103"/>
      <c r="O163" s="2103"/>
      <c r="P163" s="2103"/>
      <c r="Q163" s="1077">
        <f>MAX(E163,H163,K163,N163)</f>
        <v>0</v>
      </c>
      <c r="R163" s="2126">
        <f t="shared" ref="R163:R167" si="209">MAX(F163,I163,L163,O163)</f>
        <v>0</v>
      </c>
      <c r="S163" s="2127">
        <f t="shared" ref="S163:S167" si="210">MAX(G163,J163,M163,P163)</f>
        <v>0</v>
      </c>
      <c r="T163" s="853">
        <f>IFERROR(AVERAGE(Q163:S163),"")</f>
        <v>0</v>
      </c>
      <c r="U163" s="2081" t="str">
        <f>IF(T163&gt;85,("4"),IF(T163&gt;80,("3.66"),IF(T163&gt;75,("3.33"),IF(T163&gt;70,("3.00"),IF(T163&gt;65,("2.66"),IF(T163&gt;60,("2.33"),IF(T163&gt;55,("2"),IF(T163&gt;50,("1.66"),"1.33"))))))))</f>
        <v>1.33</v>
      </c>
      <c r="V163" s="2081" t="str">
        <f>IF(T163&gt;85,("A"),IF(T163&gt;80,("A-"),IF(T163&gt;75,("B+"),IF(T163&gt;70,("B"),IF(T163&gt;65,("B-"),IF(T163&gt;60,("C+"),IF(T163&gt;55,("C"),IF(T163&gt;50,("C-"),"D+"))))))))</f>
        <v>D+</v>
      </c>
      <c r="W163" s="2081" t="str">
        <f>IF(T163&gt;80,("SB"),IF(T163&gt;65,("B"),IF(T163&gt;50,("C"),IF(T163&gt;0,("K"),"0"))))</f>
        <v>0</v>
      </c>
      <c r="X163" s="1609"/>
      <c r="Y163" s="1609"/>
      <c r="Z163" s="1609"/>
      <c r="AA163" s="1609"/>
      <c r="AB163" s="1609"/>
      <c r="AC163" s="1610"/>
      <c r="AD163" s="1611"/>
      <c r="AE163" s="1611"/>
      <c r="AF163" s="1611"/>
      <c r="AG163" s="1611"/>
      <c r="AH163" s="1929">
        <f>AVERAGE(T163:T167)</f>
        <v>0</v>
      </c>
      <c r="AI163" s="1945" t="str">
        <f>IF(AH163&gt;85,("A"),IF(AH163&gt;80,("A-"),IF(AH163&gt;75,("B+"),IF(AH163&gt;70,("B"),IF(AH163&gt;65,("B-"),IF(AH163&gt;60,("C+"),IF(AH163&gt;55,("C"),IF(AH163&gt;50,("C-"),"D+"))))))))</f>
        <v>D+</v>
      </c>
    </row>
    <row r="164" spans="1:35" ht="24.95" customHeight="1" x14ac:dyDescent="0.25">
      <c r="A164" s="1478"/>
      <c r="B164" s="1580"/>
      <c r="C164" s="1581"/>
      <c r="D164" s="1579" t="s">
        <v>9</v>
      </c>
      <c r="E164" s="1385">
        <v>0</v>
      </c>
      <c r="F164" s="1385">
        <v>0</v>
      </c>
      <c r="G164" s="1385">
        <v>0</v>
      </c>
      <c r="H164" s="2101"/>
      <c r="I164" s="2101"/>
      <c r="J164" s="2101"/>
      <c r="K164" s="1385"/>
      <c r="L164" s="1385"/>
      <c r="M164" s="1385"/>
      <c r="N164" s="2100">
        <v>0</v>
      </c>
      <c r="O164" s="2100">
        <v>0</v>
      </c>
      <c r="P164" s="2100">
        <v>0</v>
      </c>
      <c r="Q164" s="1077">
        <f t="shared" ref="Q164:Q165" si="211">MAX(E164,H164,K164,N164)</f>
        <v>0</v>
      </c>
      <c r="R164" s="2126">
        <f t="shared" si="209"/>
        <v>0</v>
      </c>
      <c r="S164" s="2127">
        <f t="shared" si="210"/>
        <v>0</v>
      </c>
      <c r="T164" s="853">
        <f t="shared" ref="T164:T165" si="212">IFERROR(AVERAGE(Q164:S164),"")</f>
        <v>0</v>
      </c>
      <c r="U164" s="2081" t="str">
        <f t="shared" ref="U164:U167" si="213">IF(T164&gt;85,("4"),IF(T164&gt;80,("3.66"),IF(T164&gt;75,("3.33"),IF(T164&gt;70,("3.00"),IF(T164&gt;65,("2.66"),IF(T164&gt;60,("2.33"),IF(T164&gt;55,("2"),IF(T164&gt;50,("1.66"),"1.33"))))))))</f>
        <v>1.33</v>
      </c>
      <c r="V164" s="2081" t="str">
        <f t="shared" ref="V164:V167" si="214">IF(T164&gt;85,("A"),IF(T164&gt;80,("A-"),IF(T164&gt;75,("B+"),IF(T164&gt;70,("B"),IF(T164&gt;65,("B-"),IF(T164&gt;60,("C+"),IF(T164&gt;55,("C"),IF(T164&gt;50,("C-"),"D+"))))))))</f>
        <v>D+</v>
      </c>
      <c r="W164" s="2081" t="str">
        <f t="shared" ref="W164:W167" si="215">IF(T164&gt;80,("SB"),IF(T164&gt;65,("B"),IF(T164&gt;50,("C"),IF(T164&gt;0,("K"),"0"))))</f>
        <v>0</v>
      </c>
      <c r="X164" s="1582"/>
      <c r="Y164" s="1583"/>
      <c r="Z164" s="1583"/>
      <c r="AA164" s="1583"/>
      <c r="AB164" s="1583"/>
      <c r="AC164" s="1584"/>
      <c r="AD164" s="1585"/>
      <c r="AE164" s="1585"/>
      <c r="AF164" s="1585"/>
      <c r="AG164" s="1586"/>
      <c r="AH164" s="1411"/>
      <c r="AI164" s="1412"/>
    </row>
    <row r="165" spans="1:35" ht="24.95" customHeight="1" x14ac:dyDescent="0.25">
      <c r="A165" s="1478"/>
      <c r="B165" s="1580"/>
      <c r="C165" s="1581"/>
      <c r="D165" s="1579" t="s">
        <v>11</v>
      </c>
      <c r="E165" s="1385"/>
      <c r="F165" s="1385"/>
      <c r="G165" s="1385"/>
      <c r="H165" s="2101">
        <v>0</v>
      </c>
      <c r="I165" s="2101">
        <v>0</v>
      </c>
      <c r="J165" s="2101">
        <v>0</v>
      </c>
      <c r="K165" s="1385">
        <v>0</v>
      </c>
      <c r="L165" s="1385">
        <v>0</v>
      </c>
      <c r="M165" s="1385">
        <v>0</v>
      </c>
      <c r="N165" s="2100">
        <v>0</v>
      </c>
      <c r="O165" s="2100">
        <v>0</v>
      </c>
      <c r="P165" s="2100">
        <v>0</v>
      </c>
      <c r="Q165" s="1077">
        <f t="shared" si="211"/>
        <v>0</v>
      </c>
      <c r="R165" s="2126">
        <f t="shared" si="209"/>
        <v>0</v>
      </c>
      <c r="S165" s="2127">
        <f t="shared" si="210"/>
        <v>0</v>
      </c>
      <c r="T165" s="853">
        <f t="shared" si="212"/>
        <v>0</v>
      </c>
      <c r="U165" s="2081" t="str">
        <f t="shared" si="213"/>
        <v>1.33</v>
      </c>
      <c r="V165" s="2081" t="str">
        <f t="shared" si="214"/>
        <v>D+</v>
      </c>
      <c r="W165" s="2081" t="str">
        <f t="shared" si="215"/>
        <v>0</v>
      </c>
      <c r="X165" s="1587"/>
      <c r="Y165" s="1588"/>
      <c r="Z165" s="1588"/>
      <c r="AA165" s="1588"/>
      <c r="AB165" s="1588"/>
      <c r="AC165" s="1589"/>
      <c r="AD165" s="1590"/>
      <c r="AE165" s="1590"/>
      <c r="AF165" s="1590"/>
      <c r="AG165" s="1591"/>
      <c r="AH165" s="1413"/>
      <c r="AI165" s="1414"/>
    </row>
    <row r="166" spans="1:35" ht="24.95" customHeight="1" x14ac:dyDescent="0.25">
      <c r="A166" s="1478"/>
      <c r="B166" s="1580"/>
      <c r="C166" s="1581"/>
      <c r="D166" s="1579" t="s">
        <v>16</v>
      </c>
      <c r="E166" s="1385"/>
      <c r="F166" s="1385"/>
      <c r="G166" s="1385"/>
      <c r="H166" s="2101">
        <v>0</v>
      </c>
      <c r="I166" s="2101">
        <v>0</v>
      </c>
      <c r="J166" s="2101">
        <v>0</v>
      </c>
      <c r="K166" s="1385"/>
      <c r="L166" s="1385"/>
      <c r="M166" s="1385"/>
      <c r="N166" s="2100"/>
      <c r="O166" s="2100"/>
      <c r="P166" s="2100"/>
      <c r="Q166" s="1077">
        <f>MAX(E166,H166,K166,N166)</f>
        <v>0</v>
      </c>
      <c r="R166" s="2126">
        <f t="shared" si="209"/>
        <v>0</v>
      </c>
      <c r="S166" s="2127">
        <f t="shared" si="210"/>
        <v>0</v>
      </c>
      <c r="T166" s="853">
        <f>IFERROR(AVERAGE(Q166:S166),"")</f>
        <v>0</v>
      </c>
      <c r="U166" s="2081" t="str">
        <f t="shared" si="213"/>
        <v>1.33</v>
      </c>
      <c r="V166" s="2081" t="str">
        <f t="shared" si="214"/>
        <v>D+</v>
      </c>
      <c r="W166" s="2081" t="str">
        <f t="shared" si="215"/>
        <v>0</v>
      </c>
      <c r="X166" s="1587"/>
      <c r="Y166" s="1588"/>
      <c r="Z166" s="1588"/>
      <c r="AA166" s="1588"/>
      <c r="AB166" s="1588"/>
      <c r="AC166" s="1589"/>
      <c r="AD166" s="1590"/>
      <c r="AE166" s="1590"/>
      <c r="AF166" s="1590"/>
      <c r="AG166" s="1591"/>
      <c r="AH166" s="1413"/>
      <c r="AI166" s="1414"/>
    </row>
    <row r="167" spans="1:35" ht="24.95" customHeight="1" x14ac:dyDescent="0.25">
      <c r="A167" s="1478"/>
      <c r="B167" s="1580"/>
      <c r="C167" s="1581"/>
      <c r="D167" s="1579" t="s">
        <v>189</v>
      </c>
      <c r="E167" s="1385">
        <v>0</v>
      </c>
      <c r="F167" s="1385">
        <v>0</v>
      </c>
      <c r="G167" s="1385">
        <v>0</v>
      </c>
      <c r="H167" s="2101"/>
      <c r="I167" s="2101"/>
      <c r="J167" s="2101"/>
      <c r="K167" s="1385">
        <v>0</v>
      </c>
      <c r="L167" s="1385">
        <v>0</v>
      </c>
      <c r="M167" s="1385">
        <v>0</v>
      </c>
      <c r="N167" s="2100"/>
      <c r="O167" s="2100"/>
      <c r="P167" s="2100"/>
      <c r="Q167" s="1077">
        <f t="shared" ref="Q167" si="216">MAX(E167,H167,K167,N167)</f>
        <v>0</v>
      </c>
      <c r="R167" s="2126">
        <f t="shared" si="209"/>
        <v>0</v>
      </c>
      <c r="S167" s="2127">
        <f t="shared" si="210"/>
        <v>0</v>
      </c>
      <c r="T167" s="853">
        <f>IFERROR(AVERAGE(Q167:S167),"")</f>
        <v>0</v>
      </c>
      <c r="U167" s="2081" t="str">
        <f t="shared" si="213"/>
        <v>1.33</v>
      </c>
      <c r="V167" s="2081" t="str">
        <f t="shared" si="214"/>
        <v>D+</v>
      </c>
      <c r="W167" s="2081" t="str">
        <f t="shared" si="215"/>
        <v>0</v>
      </c>
      <c r="X167" s="1587"/>
      <c r="Y167" s="1588"/>
      <c r="Z167" s="1588"/>
      <c r="AA167" s="1588"/>
      <c r="AB167" s="1588"/>
      <c r="AC167" s="1589"/>
      <c r="AD167" s="1590"/>
      <c r="AE167" s="1590"/>
      <c r="AF167" s="1590"/>
      <c r="AG167" s="1591"/>
      <c r="AH167" s="1413"/>
      <c r="AI167" s="1414"/>
    </row>
    <row r="168" spans="1:35" ht="24.95" customHeight="1" x14ac:dyDescent="0.25">
      <c r="A168" s="1592"/>
      <c r="B168" s="1592">
        <v>27</v>
      </c>
      <c r="C168" s="1593" t="s">
        <v>167</v>
      </c>
      <c r="D168" s="1594"/>
      <c r="E168" s="2878"/>
      <c r="F168" s="2879"/>
      <c r="G168" s="2879"/>
      <c r="H168" s="2879"/>
      <c r="I168" s="2079"/>
      <c r="J168" s="2079"/>
      <c r="K168" s="2079"/>
      <c r="L168" s="2079"/>
      <c r="M168" s="2079"/>
      <c r="N168" s="2079"/>
      <c r="O168" s="2079"/>
      <c r="P168" s="2079"/>
      <c r="Q168" s="2162"/>
      <c r="R168" s="2162"/>
      <c r="S168" s="2162"/>
      <c r="T168" s="1942">
        <f>IFERROR(AVERAGE(T163:T167),"  ")</f>
        <v>0</v>
      </c>
      <c r="U168" s="1619" t="str">
        <f>IF(T168&gt;85,("4"),IF(T168&gt;80,("3.66"),IF(T168&gt;75,("3.33"),IF(T168&gt;70,("3.00"),IF(T168&gt;65,("2.66"),IF(T168&gt;60,("2.33"),IF(T168&gt;55,("2"),IF(T168&gt;50,("1.66"),"1.33"))))))))</f>
        <v>1.33</v>
      </c>
      <c r="V168" s="1619" t="str">
        <f>IF(T168&gt;85,("A"),IF(T168&gt;80,("A-"),IF(T168&gt;75,("B+"),IF(T168&gt;70,("B"),IF(T168&gt;65,("B-"),IF(T168&gt;60,("C+"),IF(T168&gt;55,("C"),IF(T168&gt;50,("C-"),"D+"))))))))</f>
        <v>D+</v>
      </c>
      <c r="W168" s="1619"/>
      <c r="X168" s="1605"/>
      <c r="Y168" s="1606"/>
      <c r="Z168" s="1606"/>
      <c r="AA168" s="1606"/>
      <c r="AB168" s="1606"/>
      <c r="AC168" s="1607"/>
      <c r="AD168" s="1606"/>
      <c r="AE168" s="1606"/>
      <c r="AF168" s="1606"/>
      <c r="AG168" s="1608"/>
      <c r="AH168" s="1841"/>
      <c r="AI168" s="1620"/>
    </row>
    <row r="169" spans="1:35" ht="24.95" customHeight="1" x14ac:dyDescent="0.25">
      <c r="A169" s="1477">
        <v>28</v>
      </c>
      <c r="B169" s="1577"/>
      <c r="C169" s="1578" t="e">
        <f>VLOOKUP(A169,data_siswa,4,FALSE)</f>
        <v>#N/A</v>
      </c>
      <c r="D169" s="1579" t="s">
        <v>155</v>
      </c>
      <c r="E169" s="1672">
        <v>0</v>
      </c>
      <c r="F169" s="1672">
        <v>0</v>
      </c>
      <c r="G169" s="1672">
        <v>0</v>
      </c>
      <c r="H169" s="2027"/>
      <c r="I169" s="2027"/>
      <c r="J169" s="2027"/>
      <c r="K169" s="1672"/>
      <c r="L169" s="1672"/>
      <c r="M169" s="1672"/>
      <c r="N169" s="2103"/>
      <c r="O169" s="2103"/>
      <c r="P169" s="2103"/>
      <c r="Q169" s="1077">
        <f>MAX(E169,H169,K169,N169)</f>
        <v>0</v>
      </c>
      <c r="R169" s="2126">
        <f t="shared" ref="R169:R173" si="217">MAX(F169,I169,L169,O169)</f>
        <v>0</v>
      </c>
      <c r="S169" s="2127">
        <f t="shared" ref="S169:S173" si="218">MAX(G169,J169,M169,P169)</f>
        <v>0</v>
      </c>
      <c r="T169" s="853">
        <f>IFERROR(AVERAGE(Q169:S169),"")</f>
        <v>0</v>
      </c>
      <c r="U169" s="2081" t="str">
        <f>IF(T169&gt;85,("4"),IF(T169&gt;80,("3.66"),IF(T169&gt;75,("3.33"),IF(T169&gt;70,("3.00"),IF(T169&gt;65,("2.66"),IF(T169&gt;60,("2.33"),IF(T169&gt;55,("2"),IF(T169&gt;50,("1.66"),"1.33"))))))))</f>
        <v>1.33</v>
      </c>
      <c r="V169" s="2081" t="str">
        <f>IF(T169&gt;85,("A"),IF(T169&gt;80,("A-"),IF(T169&gt;75,("B+"),IF(T169&gt;70,("B"),IF(T169&gt;65,("B-"),IF(T169&gt;60,("C+"),IF(T169&gt;55,("C"),IF(T169&gt;50,("C-"),"D+"))))))))</f>
        <v>D+</v>
      </c>
      <c r="W169" s="2081" t="str">
        <f>IF(T169&gt;80,("SB"),IF(T169&gt;65,("B"),IF(T169&gt;50,("C"),IF(T169&gt;0,("K"),"0"))))</f>
        <v>0</v>
      </c>
      <c r="X169" s="1609"/>
      <c r="Y169" s="1609"/>
      <c r="Z169" s="1609"/>
      <c r="AA169" s="1609"/>
      <c r="AB169" s="1609"/>
      <c r="AC169" s="1610"/>
      <c r="AD169" s="1611"/>
      <c r="AE169" s="1611"/>
      <c r="AF169" s="1611"/>
      <c r="AG169" s="1611"/>
      <c r="AH169" s="1929">
        <f>AVERAGE(T169:T173)</f>
        <v>0</v>
      </c>
      <c r="AI169" s="1945" t="str">
        <f>IF(AH169&gt;85,("A"),IF(AH169&gt;80,("A-"),IF(AH169&gt;75,("B+"),IF(AH169&gt;70,("B"),IF(AH169&gt;65,("B-"),IF(AH169&gt;60,("C+"),IF(AH169&gt;55,("C"),IF(AH169&gt;50,("C-"),"D+"))))))))</f>
        <v>D+</v>
      </c>
    </row>
    <row r="170" spans="1:35" ht="24.95" customHeight="1" x14ac:dyDescent="0.25">
      <c r="A170" s="1478"/>
      <c r="B170" s="1580"/>
      <c r="C170" s="1581"/>
      <c r="D170" s="1579" t="s">
        <v>9</v>
      </c>
      <c r="E170" s="1385">
        <v>0</v>
      </c>
      <c r="F170" s="1385">
        <v>0</v>
      </c>
      <c r="G170" s="1385">
        <v>0</v>
      </c>
      <c r="H170" s="2101"/>
      <c r="I170" s="2101"/>
      <c r="J170" s="2101"/>
      <c r="K170" s="1385"/>
      <c r="L170" s="1385"/>
      <c r="M170" s="1385"/>
      <c r="N170" s="2100">
        <v>0</v>
      </c>
      <c r="O170" s="2100">
        <v>0</v>
      </c>
      <c r="P170" s="2100">
        <v>0</v>
      </c>
      <c r="Q170" s="1077">
        <f t="shared" ref="Q170:Q171" si="219">MAX(E170,H170,K170,N170)</f>
        <v>0</v>
      </c>
      <c r="R170" s="2126">
        <f t="shared" si="217"/>
        <v>0</v>
      </c>
      <c r="S170" s="2127">
        <f t="shared" si="218"/>
        <v>0</v>
      </c>
      <c r="T170" s="853">
        <f t="shared" ref="T170:T171" si="220">IFERROR(AVERAGE(Q170:S170),"")</f>
        <v>0</v>
      </c>
      <c r="U170" s="2081" t="str">
        <f t="shared" ref="U170:U173" si="221">IF(T170&gt;85,("4"),IF(T170&gt;80,("3.66"),IF(T170&gt;75,("3.33"),IF(T170&gt;70,("3.00"),IF(T170&gt;65,("2.66"),IF(T170&gt;60,("2.33"),IF(T170&gt;55,("2"),IF(T170&gt;50,("1.66"),"1.33"))))))))</f>
        <v>1.33</v>
      </c>
      <c r="V170" s="2081" t="str">
        <f t="shared" ref="V170:V173" si="222">IF(T170&gt;85,("A"),IF(T170&gt;80,("A-"),IF(T170&gt;75,("B+"),IF(T170&gt;70,("B"),IF(T170&gt;65,("B-"),IF(T170&gt;60,("C+"),IF(T170&gt;55,("C"),IF(T170&gt;50,("C-"),"D+"))))))))</f>
        <v>D+</v>
      </c>
      <c r="W170" s="2081" t="str">
        <f t="shared" ref="W170:W173" si="223">IF(T170&gt;80,("SB"),IF(T170&gt;65,("B"),IF(T170&gt;50,("C"),IF(T170&gt;0,("K"),"0"))))</f>
        <v>0</v>
      </c>
      <c r="X170" s="1582"/>
      <c r="Y170" s="1583"/>
      <c r="Z170" s="1583"/>
      <c r="AA170" s="1583"/>
      <c r="AB170" s="1583"/>
      <c r="AC170" s="1584"/>
      <c r="AD170" s="1585"/>
      <c r="AE170" s="1585"/>
      <c r="AF170" s="1585"/>
      <c r="AG170" s="1586"/>
      <c r="AH170" s="1411"/>
      <c r="AI170" s="1412"/>
    </row>
    <row r="171" spans="1:35" ht="24.95" customHeight="1" x14ac:dyDescent="0.25">
      <c r="A171" s="1478"/>
      <c r="B171" s="1580"/>
      <c r="C171" s="1581"/>
      <c r="D171" s="1579" t="s">
        <v>11</v>
      </c>
      <c r="E171" s="1385"/>
      <c r="F171" s="1385"/>
      <c r="G171" s="1385"/>
      <c r="H171" s="2101">
        <v>0</v>
      </c>
      <c r="I171" s="2101">
        <v>0</v>
      </c>
      <c r="J171" s="2101">
        <v>0</v>
      </c>
      <c r="K171" s="1385">
        <v>0</v>
      </c>
      <c r="L171" s="1385">
        <v>0</v>
      </c>
      <c r="M171" s="1385">
        <v>0</v>
      </c>
      <c r="N171" s="2100">
        <v>0</v>
      </c>
      <c r="O171" s="2100">
        <v>0</v>
      </c>
      <c r="P171" s="2100">
        <v>0</v>
      </c>
      <c r="Q171" s="1077">
        <f t="shared" si="219"/>
        <v>0</v>
      </c>
      <c r="R171" s="2126">
        <f t="shared" si="217"/>
        <v>0</v>
      </c>
      <c r="S171" s="2127">
        <f t="shared" si="218"/>
        <v>0</v>
      </c>
      <c r="T171" s="853">
        <f t="shared" si="220"/>
        <v>0</v>
      </c>
      <c r="U171" s="2081" t="str">
        <f t="shared" si="221"/>
        <v>1.33</v>
      </c>
      <c r="V171" s="2081" t="str">
        <f t="shared" si="222"/>
        <v>D+</v>
      </c>
      <c r="W171" s="2081" t="str">
        <f t="shared" si="223"/>
        <v>0</v>
      </c>
      <c r="X171" s="1587"/>
      <c r="Y171" s="1588"/>
      <c r="Z171" s="1588"/>
      <c r="AA171" s="1588"/>
      <c r="AB171" s="1588"/>
      <c r="AC171" s="1589"/>
      <c r="AD171" s="1590"/>
      <c r="AE171" s="1590"/>
      <c r="AF171" s="1590"/>
      <c r="AG171" s="1591"/>
      <c r="AH171" s="1413"/>
      <c r="AI171" s="1414"/>
    </row>
    <row r="172" spans="1:35" ht="24.95" customHeight="1" x14ac:dyDescent="0.25">
      <c r="A172" s="1478"/>
      <c r="B172" s="1580"/>
      <c r="C172" s="1581"/>
      <c r="D172" s="1579" t="s">
        <v>16</v>
      </c>
      <c r="E172" s="1385"/>
      <c r="F172" s="1385"/>
      <c r="G172" s="1385"/>
      <c r="H172" s="2101">
        <v>0</v>
      </c>
      <c r="I172" s="2101">
        <v>0</v>
      </c>
      <c r="J172" s="2101">
        <v>0</v>
      </c>
      <c r="K172" s="1385"/>
      <c r="L172" s="1385"/>
      <c r="M172" s="1385"/>
      <c r="N172" s="2100"/>
      <c r="O172" s="2100"/>
      <c r="P172" s="2100"/>
      <c r="Q172" s="1077">
        <f>MAX(E172,H172,K172,N172)</f>
        <v>0</v>
      </c>
      <c r="R172" s="2126">
        <f t="shared" si="217"/>
        <v>0</v>
      </c>
      <c r="S172" s="2127">
        <f t="shared" si="218"/>
        <v>0</v>
      </c>
      <c r="T172" s="853">
        <f>IFERROR(AVERAGE(Q172:S172),"")</f>
        <v>0</v>
      </c>
      <c r="U172" s="2081" t="str">
        <f t="shared" si="221"/>
        <v>1.33</v>
      </c>
      <c r="V172" s="2081" t="str">
        <f t="shared" si="222"/>
        <v>D+</v>
      </c>
      <c r="W172" s="2081" t="str">
        <f t="shared" si="223"/>
        <v>0</v>
      </c>
      <c r="X172" s="1587"/>
      <c r="Y172" s="1588"/>
      <c r="Z172" s="1588"/>
      <c r="AA172" s="1588"/>
      <c r="AB172" s="1588"/>
      <c r="AC172" s="1589"/>
      <c r="AD172" s="1590"/>
      <c r="AE172" s="1590"/>
      <c r="AF172" s="1590"/>
      <c r="AG172" s="1591"/>
      <c r="AH172" s="1413"/>
      <c r="AI172" s="1414"/>
    </row>
    <row r="173" spans="1:35" ht="24.95" customHeight="1" x14ac:dyDescent="0.25">
      <c r="A173" s="1478"/>
      <c r="B173" s="1580"/>
      <c r="C173" s="1581"/>
      <c r="D173" s="1579" t="s">
        <v>189</v>
      </c>
      <c r="E173" s="1385">
        <v>0</v>
      </c>
      <c r="F173" s="1385">
        <v>0</v>
      </c>
      <c r="G173" s="1385">
        <v>0</v>
      </c>
      <c r="H173" s="2101"/>
      <c r="I173" s="2101"/>
      <c r="J173" s="2101"/>
      <c r="K173" s="1385">
        <v>0</v>
      </c>
      <c r="L173" s="1385">
        <v>0</v>
      </c>
      <c r="M173" s="1385">
        <v>0</v>
      </c>
      <c r="N173" s="2100"/>
      <c r="O173" s="2100"/>
      <c r="P173" s="2100"/>
      <c r="Q173" s="1077">
        <f t="shared" ref="Q173" si="224">MAX(E173,H173,K173,N173)</f>
        <v>0</v>
      </c>
      <c r="R173" s="2126">
        <f t="shared" si="217"/>
        <v>0</v>
      </c>
      <c r="S173" s="2127">
        <f t="shared" si="218"/>
        <v>0</v>
      </c>
      <c r="T173" s="853">
        <f>IFERROR(AVERAGE(Q173:S173),"")</f>
        <v>0</v>
      </c>
      <c r="U173" s="2081" t="str">
        <f t="shared" si="221"/>
        <v>1.33</v>
      </c>
      <c r="V173" s="2081" t="str">
        <f t="shared" si="222"/>
        <v>D+</v>
      </c>
      <c r="W173" s="2081" t="str">
        <f t="shared" si="223"/>
        <v>0</v>
      </c>
      <c r="X173" s="1587"/>
      <c r="Y173" s="1588"/>
      <c r="Z173" s="1588"/>
      <c r="AA173" s="1588"/>
      <c r="AB173" s="1588"/>
      <c r="AC173" s="1589"/>
      <c r="AD173" s="1590"/>
      <c r="AE173" s="1590"/>
      <c r="AF173" s="1590"/>
      <c r="AG173" s="1591"/>
      <c r="AH173" s="1413"/>
      <c r="AI173" s="1414"/>
    </row>
    <row r="174" spans="1:35" ht="24.95" customHeight="1" x14ac:dyDescent="0.25">
      <c r="A174" s="1592"/>
      <c r="B174" s="1592">
        <v>28</v>
      </c>
      <c r="C174" s="1593" t="s">
        <v>167</v>
      </c>
      <c r="D174" s="1594"/>
      <c r="E174" s="2878"/>
      <c r="F174" s="2879"/>
      <c r="G174" s="2879"/>
      <c r="H174" s="2879"/>
      <c r="I174" s="2079"/>
      <c r="J174" s="2079"/>
      <c r="K174" s="2079"/>
      <c r="L174" s="2079"/>
      <c r="M174" s="2079"/>
      <c r="N174" s="2079"/>
      <c r="O174" s="2079"/>
      <c r="P174" s="2079"/>
      <c r="Q174" s="2162"/>
      <c r="R174" s="2162"/>
      <c r="S174" s="2162"/>
      <c r="T174" s="1942">
        <f>IFERROR(AVERAGE(T169:T173),"  ")</f>
        <v>0</v>
      </c>
      <c r="U174" s="1619" t="str">
        <f>IF(T174&gt;85,("4"),IF(T174&gt;80,("3.66"),IF(T174&gt;75,("3.33"),IF(T174&gt;70,("3.00"),IF(T174&gt;65,("2.66"),IF(T174&gt;60,("2.33"),IF(T174&gt;55,("2"),IF(T174&gt;50,("1.66"),"1.33"))))))))</f>
        <v>1.33</v>
      </c>
      <c r="V174" s="1619" t="str">
        <f>IF(T174&gt;85,("A"),IF(T174&gt;80,("A-"),IF(T174&gt;75,("B+"),IF(T174&gt;70,("B"),IF(T174&gt;65,("B-"),IF(T174&gt;60,("C+"),IF(T174&gt;55,("C"),IF(T174&gt;50,("C-"),"D+"))))))))</f>
        <v>D+</v>
      </c>
      <c r="W174" s="1619"/>
      <c r="X174" s="1605"/>
      <c r="Y174" s="1606"/>
      <c r="Z174" s="1606"/>
      <c r="AA174" s="1606"/>
      <c r="AB174" s="1606"/>
      <c r="AC174" s="1607"/>
      <c r="AD174" s="1606"/>
      <c r="AE174" s="1606"/>
      <c r="AF174" s="1606"/>
      <c r="AG174" s="1608"/>
      <c r="AH174" s="1841"/>
      <c r="AI174" s="1620"/>
    </row>
    <row r="175" spans="1:35" ht="24.95" customHeight="1" x14ac:dyDescent="0.25">
      <c r="A175" s="1477">
        <v>29</v>
      </c>
      <c r="B175" s="1577"/>
      <c r="C175" s="1578" t="e">
        <f>VLOOKUP(A175,data_siswa,4,FALSE)</f>
        <v>#N/A</v>
      </c>
      <c r="D175" s="1579" t="s">
        <v>155</v>
      </c>
      <c r="E175" s="1672">
        <v>0</v>
      </c>
      <c r="F175" s="1672">
        <v>0</v>
      </c>
      <c r="G175" s="1672">
        <v>0</v>
      </c>
      <c r="H175" s="2027"/>
      <c r="I175" s="2027"/>
      <c r="J175" s="2027"/>
      <c r="K175" s="1672"/>
      <c r="L175" s="1672"/>
      <c r="M175" s="1672"/>
      <c r="N175" s="2103"/>
      <c r="O175" s="2103"/>
      <c r="P175" s="2103"/>
      <c r="Q175" s="1077">
        <f>MAX(E175,H175,K175,N175)</f>
        <v>0</v>
      </c>
      <c r="R175" s="2126">
        <f t="shared" ref="R175:R179" si="225">MAX(F175,I175,L175,O175)</f>
        <v>0</v>
      </c>
      <c r="S175" s="2127">
        <f t="shared" ref="S175:S179" si="226">MAX(G175,J175,M175,P175)</f>
        <v>0</v>
      </c>
      <c r="T175" s="853">
        <f>IFERROR(AVERAGE(Q175:S175),"")</f>
        <v>0</v>
      </c>
      <c r="U175" s="2081" t="str">
        <f>IF(T175&gt;85,("4"),IF(T175&gt;80,("3.66"),IF(T175&gt;75,("3.33"),IF(T175&gt;70,("3.00"),IF(T175&gt;65,("2.66"),IF(T175&gt;60,("2.33"),IF(T175&gt;55,("2"),IF(T175&gt;50,("1.66"),"1.33"))))))))</f>
        <v>1.33</v>
      </c>
      <c r="V175" s="2081" t="str">
        <f>IF(T175&gt;85,("A"),IF(T175&gt;80,("A-"),IF(T175&gt;75,("B+"),IF(T175&gt;70,("B"),IF(T175&gt;65,("B-"),IF(T175&gt;60,("C+"),IF(T175&gt;55,("C"),IF(T175&gt;50,("C-"),"D+"))))))))</f>
        <v>D+</v>
      </c>
      <c r="W175" s="2081" t="str">
        <f>IF(T175&gt;80,("SB"),IF(T175&gt;65,("B"),IF(T175&gt;50,("C"),IF(T175&gt;0,("K"),"0"))))</f>
        <v>0</v>
      </c>
      <c r="X175" s="1609"/>
      <c r="Y175" s="1609"/>
      <c r="Z175" s="1609"/>
      <c r="AA175" s="1609"/>
      <c r="AB175" s="1609"/>
      <c r="AC175" s="1610"/>
      <c r="AD175" s="1611"/>
      <c r="AE175" s="1611"/>
      <c r="AF175" s="1611"/>
      <c r="AG175" s="1611"/>
      <c r="AH175" s="1929">
        <f>AVERAGE(T175:T179)</f>
        <v>0</v>
      </c>
      <c r="AI175" s="1945" t="str">
        <f>IF(AH175&gt;85,("A"),IF(AH175&gt;80,("A-"),IF(AH175&gt;75,("B+"),IF(AH175&gt;70,("B"),IF(AH175&gt;65,("B-"),IF(AH175&gt;60,("C+"),IF(AH175&gt;55,("C"),IF(AH175&gt;50,("C-"),"D+"))))))))</f>
        <v>D+</v>
      </c>
    </row>
    <row r="176" spans="1:35" ht="24.95" customHeight="1" x14ac:dyDescent="0.25">
      <c r="A176" s="1478"/>
      <c r="B176" s="1580"/>
      <c r="C176" s="1581"/>
      <c r="D176" s="1579" t="s">
        <v>9</v>
      </c>
      <c r="E176" s="1385">
        <v>0</v>
      </c>
      <c r="F176" s="1385">
        <v>0</v>
      </c>
      <c r="G176" s="1385">
        <v>0</v>
      </c>
      <c r="H176" s="2101"/>
      <c r="I176" s="2101"/>
      <c r="J176" s="2101"/>
      <c r="K176" s="1385"/>
      <c r="L176" s="1385"/>
      <c r="M176" s="1385"/>
      <c r="N176" s="2100">
        <v>0</v>
      </c>
      <c r="O176" s="2100">
        <v>0</v>
      </c>
      <c r="P176" s="2100">
        <v>0</v>
      </c>
      <c r="Q176" s="1077">
        <f t="shared" ref="Q176:Q177" si="227">MAX(E176,H176,K176,N176)</f>
        <v>0</v>
      </c>
      <c r="R176" s="2126">
        <f t="shared" si="225"/>
        <v>0</v>
      </c>
      <c r="S176" s="2127">
        <f t="shared" si="226"/>
        <v>0</v>
      </c>
      <c r="T176" s="853">
        <f t="shared" ref="T176:T177" si="228">IFERROR(AVERAGE(Q176:S176),"")</f>
        <v>0</v>
      </c>
      <c r="U176" s="2081" t="str">
        <f t="shared" ref="U176:U179" si="229">IF(T176&gt;85,("4"),IF(T176&gt;80,("3.66"),IF(T176&gt;75,("3.33"),IF(T176&gt;70,("3.00"),IF(T176&gt;65,("2.66"),IF(T176&gt;60,("2.33"),IF(T176&gt;55,("2"),IF(T176&gt;50,("1.66"),"1.33"))))))))</f>
        <v>1.33</v>
      </c>
      <c r="V176" s="2081" t="str">
        <f t="shared" ref="V176:V179" si="230">IF(T176&gt;85,("A"),IF(T176&gt;80,("A-"),IF(T176&gt;75,("B+"),IF(T176&gt;70,("B"),IF(T176&gt;65,("B-"),IF(T176&gt;60,("C+"),IF(T176&gt;55,("C"),IF(T176&gt;50,("C-"),"D+"))))))))</f>
        <v>D+</v>
      </c>
      <c r="W176" s="2081" t="str">
        <f t="shared" ref="W176:W179" si="231">IF(T176&gt;80,("SB"),IF(T176&gt;65,("B"),IF(T176&gt;50,("C"),IF(T176&gt;0,("K"),"0"))))</f>
        <v>0</v>
      </c>
      <c r="X176" s="1582"/>
      <c r="Y176" s="1583"/>
      <c r="Z176" s="1583"/>
      <c r="AA176" s="1583"/>
      <c r="AB176" s="1583"/>
      <c r="AC176" s="1584"/>
      <c r="AD176" s="1585"/>
      <c r="AE176" s="1585"/>
      <c r="AF176" s="1585"/>
      <c r="AG176" s="1586"/>
      <c r="AH176" s="1411"/>
      <c r="AI176" s="1412"/>
    </row>
    <row r="177" spans="1:35" ht="24.95" customHeight="1" x14ac:dyDescent="0.25">
      <c r="A177" s="1478"/>
      <c r="B177" s="1580"/>
      <c r="C177" s="1581"/>
      <c r="D177" s="1579" t="s">
        <v>11</v>
      </c>
      <c r="E177" s="1385"/>
      <c r="F177" s="1385"/>
      <c r="G177" s="1385"/>
      <c r="H177" s="2101">
        <v>0</v>
      </c>
      <c r="I177" s="2101">
        <v>0</v>
      </c>
      <c r="J177" s="2101">
        <v>0</v>
      </c>
      <c r="K177" s="1385">
        <v>0</v>
      </c>
      <c r="L177" s="1385">
        <v>0</v>
      </c>
      <c r="M177" s="1385">
        <v>0</v>
      </c>
      <c r="N177" s="2100">
        <v>0</v>
      </c>
      <c r="O177" s="2100">
        <v>0</v>
      </c>
      <c r="P177" s="2100">
        <v>0</v>
      </c>
      <c r="Q177" s="1077">
        <f t="shared" si="227"/>
        <v>0</v>
      </c>
      <c r="R177" s="2126">
        <f t="shared" si="225"/>
        <v>0</v>
      </c>
      <c r="S177" s="2127">
        <f t="shared" si="226"/>
        <v>0</v>
      </c>
      <c r="T177" s="853">
        <f t="shared" si="228"/>
        <v>0</v>
      </c>
      <c r="U177" s="2081" t="str">
        <f t="shared" si="229"/>
        <v>1.33</v>
      </c>
      <c r="V177" s="2081" t="str">
        <f t="shared" si="230"/>
        <v>D+</v>
      </c>
      <c r="W177" s="2081" t="str">
        <f t="shared" si="231"/>
        <v>0</v>
      </c>
      <c r="X177" s="1587"/>
      <c r="Y177" s="1588"/>
      <c r="Z177" s="1588"/>
      <c r="AA177" s="1588"/>
      <c r="AB177" s="1588"/>
      <c r="AC177" s="1589"/>
      <c r="AD177" s="1590"/>
      <c r="AE177" s="1590"/>
      <c r="AF177" s="1590"/>
      <c r="AG177" s="1591"/>
      <c r="AH177" s="1413"/>
      <c r="AI177" s="1414"/>
    </row>
    <row r="178" spans="1:35" ht="24.95" customHeight="1" x14ac:dyDescent="0.25">
      <c r="A178" s="1478"/>
      <c r="B178" s="1580"/>
      <c r="C178" s="1581"/>
      <c r="D178" s="1579" t="s">
        <v>16</v>
      </c>
      <c r="E178" s="1385"/>
      <c r="F178" s="1385"/>
      <c r="G178" s="1385"/>
      <c r="H178" s="2101">
        <v>0</v>
      </c>
      <c r="I178" s="2101">
        <v>0</v>
      </c>
      <c r="J178" s="2101">
        <v>0</v>
      </c>
      <c r="K178" s="1385"/>
      <c r="L178" s="1385"/>
      <c r="M178" s="1385"/>
      <c r="N178" s="2100"/>
      <c r="O178" s="2100"/>
      <c r="P178" s="2100"/>
      <c r="Q178" s="1077">
        <f>MAX(E178,H178,K178,N178)</f>
        <v>0</v>
      </c>
      <c r="R178" s="2126">
        <f t="shared" si="225"/>
        <v>0</v>
      </c>
      <c r="S178" s="2127">
        <f t="shared" si="226"/>
        <v>0</v>
      </c>
      <c r="T178" s="853">
        <f>IFERROR(AVERAGE(Q178:S178),"")</f>
        <v>0</v>
      </c>
      <c r="U178" s="2081" t="str">
        <f t="shared" si="229"/>
        <v>1.33</v>
      </c>
      <c r="V178" s="2081" t="str">
        <f t="shared" si="230"/>
        <v>D+</v>
      </c>
      <c r="W178" s="2081" t="str">
        <f t="shared" si="231"/>
        <v>0</v>
      </c>
      <c r="X178" s="1587"/>
      <c r="Y178" s="1588"/>
      <c r="Z178" s="1588"/>
      <c r="AA178" s="1588"/>
      <c r="AB178" s="1588"/>
      <c r="AC178" s="1589"/>
      <c r="AD178" s="1590"/>
      <c r="AE178" s="1590"/>
      <c r="AF178" s="1590"/>
      <c r="AG178" s="1591"/>
      <c r="AH178" s="1413"/>
      <c r="AI178" s="1414"/>
    </row>
    <row r="179" spans="1:35" ht="24.95" customHeight="1" x14ac:dyDescent="0.25">
      <c r="A179" s="1478"/>
      <c r="B179" s="1580"/>
      <c r="C179" s="1581"/>
      <c r="D179" s="1579" t="s">
        <v>189</v>
      </c>
      <c r="E179" s="1385">
        <v>0</v>
      </c>
      <c r="F179" s="1385">
        <v>0</v>
      </c>
      <c r="G179" s="1385">
        <v>0</v>
      </c>
      <c r="H179" s="2101"/>
      <c r="I179" s="2101"/>
      <c r="J179" s="2101"/>
      <c r="K179" s="1385">
        <v>0</v>
      </c>
      <c r="L179" s="1385">
        <v>0</v>
      </c>
      <c r="M179" s="1385">
        <v>0</v>
      </c>
      <c r="N179" s="2100"/>
      <c r="O179" s="2100"/>
      <c r="P179" s="2100"/>
      <c r="Q179" s="1077">
        <f t="shared" ref="Q179" si="232">MAX(E179,H179,K179,N179)</f>
        <v>0</v>
      </c>
      <c r="R179" s="2126">
        <f t="shared" si="225"/>
        <v>0</v>
      </c>
      <c r="S179" s="2127">
        <f t="shared" si="226"/>
        <v>0</v>
      </c>
      <c r="T179" s="853">
        <f>IFERROR(AVERAGE(Q179:S179),"")</f>
        <v>0</v>
      </c>
      <c r="U179" s="2081" t="str">
        <f t="shared" si="229"/>
        <v>1.33</v>
      </c>
      <c r="V179" s="2081" t="str">
        <f t="shared" si="230"/>
        <v>D+</v>
      </c>
      <c r="W179" s="2081" t="str">
        <f t="shared" si="231"/>
        <v>0</v>
      </c>
      <c r="X179" s="1587"/>
      <c r="Y179" s="1588"/>
      <c r="Z179" s="1588"/>
      <c r="AA179" s="1588"/>
      <c r="AB179" s="1588"/>
      <c r="AC179" s="1589"/>
      <c r="AD179" s="1590"/>
      <c r="AE179" s="1590"/>
      <c r="AF179" s="1590"/>
      <c r="AG179" s="1591"/>
      <c r="AH179" s="1413"/>
      <c r="AI179" s="1414"/>
    </row>
    <row r="180" spans="1:35" ht="24.95" customHeight="1" x14ac:dyDescent="0.25">
      <c r="A180" s="1592"/>
      <c r="B180" s="1592">
        <v>29</v>
      </c>
      <c r="C180" s="1593" t="s">
        <v>167</v>
      </c>
      <c r="D180" s="1594"/>
      <c r="E180" s="2878"/>
      <c r="F180" s="2879"/>
      <c r="G180" s="2879"/>
      <c r="H180" s="2879"/>
      <c r="I180" s="2079"/>
      <c r="J180" s="2079"/>
      <c r="K180" s="2079"/>
      <c r="L180" s="2079"/>
      <c r="M180" s="2079"/>
      <c r="N180" s="2079"/>
      <c r="O180" s="2079"/>
      <c r="P180" s="2079"/>
      <c r="Q180" s="2162"/>
      <c r="R180" s="2162"/>
      <c r="S180" s="2162"/>
      <c r="T180" s="1942">
        <f>IFERROR(AVERAGE(T175:T179),"  ")</f>
        <v>0</v>
      </c>
      <c r="U180" s="1619" t="str">
        <f>IF(T180&gt;85,("4"),IF(T180&gt;80,("3.66"),IF(T180&gt;75,("3.33"),IF(T180&gt;70,("3.00"),IF(T180&gt;65,("2.66"),IF(T180&gt;60,("2.33"),IF(T180&gt;55,("2"),IF(T180&gt;50,("1.66"),"1.33"))))))))</f>
        <v>1.33</v>
      </c>
      <c r="V180" s="1619" t="str">
        <f>IF(T180&gt;85,("A"),IF(T180&gt;80,("A-"),IF(T180&gt;75,("B+"),IF(T180&gt;70,("B"),IF(T180&gt;65,("B-"),IF(T180&gt;60,("C+"),IF(T180&gt;55,("C"),IF(T180&gt;50,("C-"),"D+"))))))))</f>
        <v>D+</v>
      </c>
      <c r="W180" s="1619"/>
      <c r="X180" s="1605"/>
      <c r="Y180" s="1606"/>
      <c r="Z180" s="1606"/>
      <c r="AA180" s="1606"/>
      <c r="AB180" s="1606"/>
      <c r="AC180" s="1607"/>
      <c r="AD180" s="1606"/>
      <c r="AE180" s="1606"/>
      <c r="AF180" s="1606"/>
      <c r="AG180" s="1608"/>
      <c r="AH180" s="1841"/>
      <c r="AI180" s="1620"/>
    </row>
    <row r="181" spans="1:35" ht="24.95" customHeight="1" x14ac:dyDescent="0.25">
      <c r="A181" s="1477">
        <v>30</v>
      </c>
      <c r="B181" s="1577"/>
      <c r="C181" s="1578" t="e">
        <f>VLOOKUP(A181,data_siswa,4,FALSE)</f>
        <v>#N/A</v>
      </c>
      <c r="D181" s="1579" t="s">
        <v>155</v>
      </c>
      <c r="E181" s="1672">
        <v>0</v>
      </c>
      <c r="F181" s="1672">
        <v>0</v>
      </c>
      <c r="G181" s="1672">
        <v>0</v>
      </c>
      <c r="H181" s="2027"/>
      <c r="I181" s="2027"/>
      <c r="J181" s="2027"/>
      <c r="K181" s="1672"/>
      <c r="L181" s="1672"/>
      <c r="M181" s="1672"/>
      <c r="N181" s="2103"/>
      <c r="O181" s="2103"/>
      <c r="P181" s="2103"/>
      <c r="Q181" s="1077">
        <f>MAX(E181,H181,K181,N181)</f>
        <v>0</v>
      </c>
      <c r="R181" s="2126">
        <f t="shared" ref="R181:R185" si="233">MAX(F181,I181,L181,O181)</f>
        <v>0</v>
      </c>
      <c r="S181" s="2127">
        <f t="shared" ref="S181:S185" si="234">MAX(G181,J181,M181,P181)</f>
        <v>0</v>
      </c>
      <c r="T181" s="853">
        <f>IFERROR(AVERAGE(Q181:S181),"")</f>
        <v>0</v>
      </c>
      <c r="U181" s="2081" t="str">
        <f>IF(T181&gt;85,("4"),IF(T181&gt;80,("3.66"),IF(T181&gt;75,("3.33"),IF(T181&gt;70,("3.00"),IF(T181&gt;65,("2.66"),IF(T181&gt;60,("2.33"),IF(T181&gt;55,("2"),IF(T181&gt;50,("1.66"),"1.33"))))))))</f>
        <v>1.33</v>
      </c>
      <c r="V181" s="2081" t="str">
        <f>IF(T181&gt;85,("A"),IF(T181&gt;80,("A-"),IF(T181&gt;75,("B+"),IF(T181&gt;70,("B"),IF(T181&gt;65,("B-"),IF(T181&gt;60,("C+"),IF(T181&gt;55,("C"),IF(T181&gt;50,("C-"),"D+"))))))))</f>
        <v>D+</v>
      </c>
      <c r="W181" s="2081" t="str">
        <f>IF(T181&gt;80,("SB"),IF(T181&gt;65,("B"),IF(T181&gt;50,("C"),IF(T181&gt;0,("K"),"0"))))</f>
        <v>0</v>
      </c>
      <c r="X181" s="1609"/>
      <c r="Y181" s="1609"/>
      <c r="Z181" s="1609"/>
      <c r="AA181" s="1609"/>
      <c r="AB181" s="1609"/>
      <c r="AC181" s="1610"/>
      <c r="AD181" s="1611"/>
      <c r="AE181" s="1611"/>
      <c r="AF181" s="1611"/>
      <c r="AG181" s="1611"/>
      <c r="AH181" s="1929">
        <f>AVERAGE(T181:T185)</f>
        <v>0</v>
      </c>
      <c r="AI181" s="1945" t="str">
        <f>IF(AH181&gt;85,("A"),IF(AH181&gt;80,("A-"),IF(AH181&gt;75,("B+"),IF(AH181&gt;70,("B"),IF(AH181&gt;65,("B-"),IF(AH181&gt;60,("C+"),IF(AH181&gt;55,("C"),IF(AH181&gt;50,("C-"),"D+"))))))))</f>
        <v>D+</v>
      </c>
    </row>
    <row r="182" spans="1:35" ht="24.95" customHeight="1" x14ac:dyDescent="0.25">
      <c r="A182" s="1478"/>
      <c r="B182" s="1580"/>
      <c r="C182" s="1581"/>
      <c r="D182" s="1579" t="s">
        <v>9</v>
      </c>
      <c r="E182" s="1385">
        <v>0</v>
      </c>
      <c r="F182" s="1385">
        <v>0</v>
      </c>
      <c r="G182" s="1385">
        <v>0</v>
      </c>
      <c r="H182" s="2101"/>
      <c r="I182" s="2101"/>
      <c r="J182" s="2101"/>
      <c r="K182" s="1385"/>
      <c r="L182" s="1385"/>
      <c r="M182" s="1385"/>
      <c r="N182" s="2100">
        <v>0</v>
      </c>
      <c r="O182" s="2100">
        <v>0</v>
      </c>
      <c r="P182" s="2100">
        <v>0</v>
      </c>
      <c r="Q182" s="1077">
        <f t="shared" ref="Q182:Q183" si="235">MAX(E182,H182,K182,N182)</f>
        <v>0</v>
      </c>
      <c r="R182" s="2126">
        <f t="shared" si="233"/>
        <v>0</v>
      </c>
      <c r="S182" s="2127">
        <f t="shared" si="234"/>
        <v>0</v>
      </c>
      <c r="T182" s="853">
        <f t="shared" ref="T182:T183" si="236">IFERROR(AVERAGE(Q182:S182),"")</f>
        <v>0</v>
      </c>
      <c r="U182" s="2081" t="str">
        <f t="shared" ref="U182:U185" si="237">IF(T182&gt;85,("4"),IF(T182&gt;80,("3.66"),IF(T182&gt;75,("3.33"),IF(T182&gt;70,("3.00"),IF(T182&gt;65,("2.66"),IF(T182&gt;60,("2.33"),IF(T182&gt;55,("2"),IF(T182&gt;50,("1.66"),"1.33"))))))))</f>
        <v>1.33</v>
      </c>
      <c r="V182" s="2081" t="str">
        <f t="shared" ref="V182:V185" si="238">IF(T182&gt;85,("A"),IF(T182&gt;80,("A-"),IF(T182&gt;75,("B+"),IF(T182&gt;70,("B"),IF(T182&gt;65,("B-"),IF(T182&gt;60,("C+"),IF(T182&gt;55,("C"),IF(T182&gt;50,("C-"),"D+"))))))))</f>
        <v>D+</v>
      </c>
      <c r="W182" s="2081" t="str">
        <f t="shared" ref="W182:W185" si="239">IF(T182&gt;80,("SB"),IF(T182&gt;65,("B"),IF(T182&gt;50,("C"),IF(T182&gt;0,("K"),"0"))))</f>
        <v>0</v>
      </c>
      <c r="X182" s="1582"/>
      <c r="Y182" s="1583"/>
      <c r="Z182" s="1583"/>
      <c r="AA182" s="1583"/>
      <c r="AB182" s="1583"/>
      <c r="AC182" s="1584"/>
      <c r="AD182" s="1585"/>
      <c r="AE182" s="1585"/>
      <c r="AF182" s="1585"/>
      <c r="AG182" s="1586"/>
      <c r="AH182" s="1411"/>
      <c r="AI182" s="1412"/>
    </row>
    <row r="183" spans="1:35" ht="24.95" customHeight="1" x14ac:dyDescent="0.25">
      <c r="A183" s="1478"/>
      <c r="B183" s="1580"/>
      <c r="C183" s="1581"/>
      <c r="D183" s="1579" t="s">
        <v>11</v>
      </c>
      <c r="E183" s="1385"/>
      <c r="F183" s="1385"/>
      <c r="G183" s="1385"/>
      <c r="H183" s="2101">
        <v>0</v>
      </c>
      <c r="I183" s="2101">
        <v>0</v>
      </c>
      <c r="J183" s="2101">
        <v>0</v>
      </c>
      <c r="K183" s="1385">
        <v>0</v>
      </c>
      <c r="L183" s="1385">
        <v>0</v>
      </c>
      <c r="M183" s="1385">
        <v>0</v>
      </c>
      <c r="N183" s="2100">
        <v>0</v>
      </c>
      <c r="O183" s="2100">
        <v>0</v>
      </c>
      <c r="P183" s="2100">
        <v>0</v>
      </c>
      <c r="Q183" s="1077">
        <f t="shared" si="235"/>
        <v>0</v>
      </c>
      <c r="R183" s="2126">
        <f t="shared" si="233"/>
        <v>0</v>
      </c>
      <c r="S183" s="2127">
        <f t="shared" si="234"/>
        <v>0</v>
      </c>
      <c r="T183" s="853">
        <f t="shared" si="236"/>
        <v>0</v>
      </c>
      <c r="U183" s="2081" t="str">
        <f t="shared" si="237"/>
        <v>1.33</v>
      </c>
      <c r="V183" s="2081" t="str">
        <f t="shared" si="238"/>
        <v>D+</v>
      </c>
      <c r="W183" s="2081" t="str">
        <f t="shared" si="239"/>
        <v>0</v>
      </c>
      <c r="X183" s="1587"/>
      <c r="Y183" s="1588"/>
      <c r="Z183" s="1588"/>
      <c r="AA183" s="1588"/>
      <c r="AB183" s="1588"/>
      <c r="AC183" s="1589"/>
      <c r="AD183" s="1590"/>
      <c r="AE183" s="1590"/>
      <c r="AF183" s="1590"/>
      <c r="AG183" s="1591"/>
      <c r="AH183" s="1413"/>
      <c r="AI183" s="1414"/>
    </row>
    <row r="184" spans="1:35" ht="24.95" customHeight="1" x14ac:dyDescent="0.25">
      <c r="A184" s="1478"/>
      <c r="B184" s="1580"/>
      <c r="C184" s="1581"/>
      <c r="D184" s="1579" t="s">
        <v>16</v>
      </c>
      <c r="E184" s="1385"/>
      <c r="F184" s="1385"/>
      <c r="G184" s="1385"/>
      <c r="H184" s="2101">
        <v>0</v>
      </c>
      <c r="I184" s="2101">
        <v>0</v>
      </c>
      <c r="J184" s="2101">
        <v>0</v>
      </c>
      <c r="K184" s="1385"/>
      <c r="L184" s="1385"/>
      <c r="M184" s="1385"/>
      <c r="N184" s="2100"/>
      <c r="O184" s="2100"/>
      <c r="P184" s="2100"/>
      <c r="Q184" s="1077">
        <f>MAX(E184,H184,K184,N184)</f>
        <v>0</v>
      </c>
      <c r="R184" s="2126">
        <f t="shared" si="233"/>
        <v>0</v>
      </c>
      <c r="S184" s="2127">
        <f t="shared" si="234"/>
        <v>0</v>
      </c>
      <c r="T184" s="853">
        <f>IFERROR(AVERAGE(Q184:S184),"")</f>
        <v>0</v>
      </c>
      <c r="U184" s="2081" t="str">
        <f t="shared" si="237"/>
        <v>1.33</v>
      </c>
      <c r="V184" s="2081" t="str">
        <f t="shared" si="238"/>
        <v>D+</v>
      </c>
      <c r="W184" s="2081" t="str">
        <f t="shared" si="239"/>
        <v>0</v>
      </c>
      <c r="X184" s="1587"/>
      <c r="Y184" s="1588"/>
      <c r="Z184" s="1588"/>
      <c r="AA184" s="1588"/>
      <c r="AB184" s="1588"/>
      <c r="AC184" s="1589"/>
      <c r="AD184" s="1590"/>
      <c r="AE184" s="1590"/>
      <c r="AF184" s="1590"/>
      <c r="AG184" s="1591"/>
      <c r="AH184" s="1413"/>
      <c r="AI184" s="1414"/>
    </row>
    <row r="185" spans="1:35" ht="24.95" customHeight="1" x14ac:dyDescent="0.25">
      <c r="A185" s="1478"/>
      <c r="B185" s="1580"/>
      <c r="C185" s="1581"/>
      <c r="D185" s="1579" t="s">
        <v>189</v>
      </c>
      <c r="E185" s="1385">
        <v>0</v>
      </c>
      <c r="F185" s="1385">
        <v>0</v>
      </c>
      <c r="G185" s="1385">
        <v>0</v>
      </c>
      <c r="H185" s="2101"/>
      <c r="I185" s="2101"/>
      <c r="J185" s="2101"/>
      <c r="K185" s="1385">
        <v>0</v>
      </c>
      <c r="L185" s="1385">
        <v>0</v>
      </c>
      <c r="M185" s="1385">
        <v>0</v>
      </c>
      <c r="N185" s="2100"/>
      <c r="O185" s="2100"/>
      <c r="P185" s="2100"/>
      <c r="Q185" s="1077">
        <f t="shared" ref="Q185" si="240">MAX(E185,H185,K185,N185)</f>
        <v>0</v>
      </c>
      <c r="R185" s="2126">
        <f t="shared" si="233"/>
        <v>0</v>
      </c>
      <c r="S185" s="2127">
        <f t="shared" si="234"/>
        <v>0</v>
      </c>
      <c r="T185" s="853">
        <f>IFERROR(AVERAGE(Q185:S185),"")</f>
        <v>0</v>
      </c>
      <c r="U185" s="2081" t="str">
        <f t="shared" si="237"/>
        <v>1.33</v>
      </c>
      <c r="V185" s="2081" t="str">
        <f t="shared" si="238"/>
        <v>D+</v>
      </c>
      <c r="W185" s="2081" t="str">
        <f t="shared" si="239"/>
        <v>0</v>
      </c>
      <c r="X185" s="1587"/>
      <c r="Y185" s="1588"/>
      <c r="Z185" s="1588"/>
      <c r="AA185" s="1588"/>
      <c r="AB185" s="1588"/>
      <c r="AC185" s="1589"/>
      <c r="AD185" s="1590"/>
      <c r="AE185" s="1590"/>
      <c r="AF185" s="1590"/>
      <c r="AG185" s="1591"/>
      <c r="AH185" s="1413"/>
      <c r="AI185" s="1414"/>
    </row>
    <row r="186" spans="1:35" ht="24.95" customHeight="1" x14ac:dyDescent="0.25">
      <c r="A186" s="1592"/>
      <c r="B186" s="1592">
        <v>30</v>
      </c>
      <c r="C186" s="1593" t="s">
        <v>167</v>
      </c>
      <c r="D186" s="1594"/>
      <c r="E186" s="2878"/>
      <c r="F186" s="2879"/>
      <c r="G186" s="2879"/>
      <c r="H186" s="2879"/>
      <c r="I186" s="2079"/>
      <c r="J186" s="2079"/>
      <c r="K186" s="2079"/>
      <c r="L186" s="2079"/>
      <c r="M186" s="2079"/>
      <c r="N186" s="2079"/>
      <c r="O186" s="2079"/>
      <c r="P186" s="2079"/>
      <c r="Q186" s="2162"/>
      <c r="R186" s="2162"/>
      <c r="S186" s="2162"/>
      <c r="T186" s="1942">
        <f>IFERROR(AVERAGE(T181:T185),"  ")</f>
        <v>0</v>
      </c>
      <c r="U186" s="1619" t="str">
        <f>IF(T186&gt;85,("4"),IF(T186&gt;80,("3.66"),IF(T186&gt;75,("3.33"),IF(T186&gt;70,("3.00"),IF(T186&gt;65,("2.66"),IF(T186&gt;60,("2.33"),IF(T186&gt;55,("2"),IF(T186&gt;50,("1.66"),"1.33"))))))))</f>
        <v>1.33</v>
      </c>
      <c r="V186" s="1619" t="str">
        <f>IF(T186&gt;85,("A"),IF(T186&gt;80,("A-"),IF(T186&gt;75,("B+"),IF(T186&gt;70,("B"),IF(T186&gt;65,("B-"),IF(T186&gt;60,("C+"),IF(T186&gt;55,("C"),IF(T186&gt;50,("C-"),"D+"))))))))</f>
        <v>D+</v>
      </c>
      <c r="W186" s="1619"/>
      <c r="X186" s="1605"/>
      <c r="Y186" s="1606"/>
      <c r="Z186" s="1606"/>
      <c r="AA186" s="1606"/>
      <c r="AB186" s="1606"/>
      <c r="AC186" s="1607"/>
      <c r="AD186" s="1606"/>
      <c r="AE186" s="1606"/>
      <c r="AF186" s="1606"/>
      <c r="AG186" s="1608"/>
      <c r="AH186" s="1841"/>
      <c r="AI186" s="1620"/>
    </row>
    <row r="187" spans="1:35" ht="24.95" customHeight="1" x14ac:dyDescent="0.25">
      <c r="A187" s="1477">
        <v>31</v>
      </c>
      <c r="B187" s="1577"/>
      <c r="C187" s="1578" t="e">
        <f>VLOOKUP(A187,data_siswa,4,FALSE)</f>
        <v>#N/A</v>
      </c>
      <c r="D187" s="1579" t="s">
        <v>155</v>
      </c>
      <c r="E187" s="1672">
        <v>0</v>
      </c>
      <c r="F187" s="1672">
        <v>0</v>
      </c>
      <c r="G187" s="1672">
        <v>0</v>
      </c>
      <c r="H187" s="2027"/>
      <c r="I187" s="2027"/>
      <c r="J187" s="2027"/>
      <c r="K187" s="1672"/>
      <c r="L187" s="1672"/>
      <c r="M187" s="1672"/>
      <c r="N187" s="2103"/>
      <c r="O187" s="2103"/>
      <c r="P187" s="2103"/>
      <c r="Q187" s="1077">
        <f>MAX(E187,H187,K187,N187)</f>
        <v>0</v>
      </c>
      <c r="R187" s="2126">
        <f t="shared" ref="R187:R191" si="241">MAX(F187,I187,L187,O187)</f>
        <v>0</v>
      </c>
      <c r="S187" s="2127">
        <f t="shared" ref="S187:S191" si="242">MAX(G187,J187,M187,P187)</f>
        <v>0</v>
      </c>
      <c r="T187" s="853">
        <f>IFERROR(AVERAGE(Q187:S187),"")</f>
        <v>0</v>
      </c>
      <c r="U187" s="2081" t="str">
        <f>IF(T187&gt;85,("4"),IF(T187&gt;80,("3.66"),IF(T187&gt;75,("3.33"),IF(T187&gt;70,("3.00"),IF(T187&gt;65,("2.66"),IF(T187&gt;60,("2.33"),IF(T187&gt;55,("2"),IF(T187&gt;50,("1.66"),"1.33"))))))))</f>
        <v>1.33</v>
      </c>
      <c r="V187" s="2081" t="str">
        <f>IF(T187&gt;85,("A"),IF(T187&gt;80,("A-"),IF(T187&gt;75,("B+"),IF(T187&gt;70,("B"),IF(T187&gt;65,("B-"),IF(T187&gt;60,("C+"),IF(T187&gt;55,("C"),IF(T187&gt;50,("C-"),"D+"))))))))</f>
        <v>D+</v>
      </c>
      <c r="W187" s="2081" t="str">
        <f>IF(T187&gt;80,("SB"),IF(T187&gt;65,("B"),IF(T187&gt;50,("C"),IF(T187&gt;0,("K"),"0"))))</f>
        <v>0</v>
      </c>
      <c r="X187" s="1609"/>
      <c r="Y187" s="1609"/>
      <c r="Z187" s="1609"/>
      <c r="AA187" s="1609"/>
      <c r="AB187" s="1609"/>
      <c r="AC187" s="1610"/>
      <c r="AD187" s="1611"/>
      <c r="AE187" s="1611"/>
      <c r="AF187" s="1611"/>
      <c r="AG187" s="1611"/>
      <c r="AH187" s="1929">
        <f>AVERAGE(T187:T191)</f>
        <v>0</v>
      </c>
      <c r="AI187" s="1945" t="str">
        <f>IF(AH187&gt;85,("A"),IF(AH187&gt;80,("A-"),IF(AH187&gt;75,("B+"),IF(AH187&gt;70,("B"),IF(AH187&gt;65,("B-"),IF(AH187&gt;60,("C+"),IF(AH187&gt;55,("C"),IF(AH187&gt;50,("C-"),"D+"))))))))</f>
        <v>D+</v>
      </c>
    </row>
    <row r="188" spans="1:35" ht="24.95" customHeight="1" x14ac:dyDescent="0.25">
      <c r="A188" s="1478"/>
      <c r="B188" s="1580"/>
      <c r="C188" s="1581"/>
      <c r="D188" s="1579" t="s">
        <v>9</v>
      </c>
      <c r="E188" s="1385">
        <v>0</v>
      </c>
      <c r="F188" s="1385">
        <v>0</v>
      </c>
      <c r="G188" s="1385">
        <v>0</v>
      </c>
      <c r="H188" s="2101"/>
      <c r="I188" s="2101"/>
      <c r="J188" s="2101"/>
      <c r="K188" s="1385"/>
      <c r="L188" s="1385"/>
      <c r="M188" s="1385"/>
      <c r="N188" s="2100">
        <v>0</v>
      </c>
      <c r="O188" s="2100">
        <v>0</v>
      </c>
      <c r="P188" s="2100">
        <v>0</v>
      </c>
      <c r="Q188" s="1077">
        <f t="shared" ref="Q188:Q189" si="243">MAX(E188,H188,K188,N188)</f>
        <v>0</v>
      </c>
      <c r="R188" s="2126">
        <f t="shared" si="241"/>
        <v>0</v>
      </c>
      <c r="S188" s="2127">
        <f t="shared" si="242"/>
        <v>0</v>
      </c>
      <c r="T188" s="853">
        <f t="shared" ref="T188:T189" si="244">IFERROR(AVERAGE(Q188:S188),"")</f>
        <v>0</v>
      </c>
      <c r="U188" s="2081" t="str">
        <f t="shared" ref="U188:U191" si="245">IF(T188&gt;85,("4"),IF(T188&gt;80,("3.66"),IF(T188&gt;75,("3.33"),IF(T188&gt;70,("3.00"),IF(T188&gt;65,("2.66"),IF(T188&gt;60,("2.33"),IF(T188&gt;55,("2"),IF(T188&gt;50,("1.66"),"1.33"))))))))</f>
        <v>1.33</v>
      </c>
      <c r="V188" s="2081" t="str">
        <f t="shared" ref="V188:V191" si="246">IF(T188&gt;85,("A"),IF(T188&gt;80,("A-"),IF(T188&gt;75,("B+"),IF(T188&gt;70,("B"),IF(T188&gt;65,("B-"),IF(T188&gt;60,("C+"),IF(T188&gt;55,("C"),IF(T188&gt;50,("C-"),"D+"))))))))</f>
        <v>D+</v>
      </c>
      <c r="W188" s="2081" t="str">
        <f t="shared" ref="W188:W191" si="247">IF(T188&gt;80,("SB"),IF(T188&gt;65,("B"),IF(T188&gt;50,("C"),IF(T188&gt;0,("K"),"0"))))</f>
        <v>0</v>
      </c>
      <c r="X188" s="1582"/>
      <c r="Y188" s="1583"/>
      <c r="Z188" s="1583"/>
      <c r="AA188" s="1583"/>
      <c r="AB188" s="1583"/>
      <c r="AC188" s="1584"/>
      <c r="AD188" s="1585"/>
      <c r="AE188" s="1585"/>
      <c r="AF188" s="1585"/>
      <c r="AG188" s="1586"/>
      <c r="AH188" s="1411"/>
      <c r="AI188" s="1412"/>
    </row>
    <row r="189" spans="1:35" ht="24.95" customHeight="1" x14ac:dyDescent="0.25">
      <c r="A189" s="1478"/>
      <c r="B189" s="1580"/>
      <c r="C189" s="1581"/>
      <c r="D189" s="1579" t="s">
        <v>11</v>
      </c>
      <c r="E189" s="1385"/>
      <c r="F189" s="1385"/>
      <c r="G189" s="1385"/>
      <c r="H189" s="2101">
        <v>0</v>
      </c>
      <c r="I189" s="2101">
        <v>0</v>
      </c>
      <c r="J189" s="2101">
        <v>0</v>
      </c>
      <c r="K189" s="1385">
        <v>0</v>
      </c>
      <c r="L189" s="1385">
        <v>0</v>
      </c>
      <c r="M189" s="1385">
        <v>0</v>
      </c>
      <c r="N189" s="2100">
        <v>0</v>
      </c>
      <c r="O189" s="2100">
        <v>0</v>
      </c>
      <c r="P189" s="2100">
        <v>0</v>
      </c>
      <c r="Q189" s="1077">
        <f t="shared" si="243"/>
        <v>0</v>
      </c>
      <c r="R189" s="2126">
        <f t="shared" si="241"/>
        <v>0</v>
      </c>
      <c r="S189" s="2127">
        <f t="shared" si="242"/>
        <v>0</v>
      </c>
      <c r="T189" s="853">
        <f t="shared" si="244"/>
        <v>0</v>
      </c>
      <c r="U189" s="2081" t="str">
        <f t="shared" si="245"/>
        <v>1.33</v>
      </c>
      <c r="V189" s="2081" t="str">
        <f t="shared" si="246"/>
        <v>D+</v>
      </c>
      <c r="W189" s="2081" t="str">
        <f t="shared" si="247"/>
        <v>0</v>
      </c>
      <c r="X189" s="1587"/>
      <c r="Y189" s="1588"/>
      <c r="Z189" s="1588"/>
      <c r="AA189" s="1588"/>
      <c r="AB189" s="1588"/>
      <c r="AC189" s="1589"/>
      <c r="AD189" s="1590"/>
      <c r="AE189" s="1590"/>
      <c r="AF189" s="1590"/>
      <c r="AG189" s="1591"/>
      <c r="AH189" s="1413"/>
      <c r="AI189" s="1414"/>
    </row>
    <row r="190" spans="1:35" ht="24.95" customHeight="1" x14ac:dyDescent="0.25">
      <c r="A190" s="1478"/>
      <c r="B190" s="1580"/>
      <c r="C190" s="1581"/>
      <c r="D190" s="1579" t="s">
        <v>16</v>
      </c>
      <c r="E190" s="1385"/>
      <c r="F190" s="1385"/>
      <c r="G190" s="1385"/>
      <c r="H190" s="2101">
        <v>0</v>
      </c>
      <c r="I190" s="2101">
        <v>0</v>
      </c>
      <c r="J190" s="2101">
        <v>0</v>
      </c>
      <c r="K190" s="1385"/>
      <c r="L190" s="1385"/>
      <c r="M190" s="1385"/>
      <c r="N190" s="2100"/>
      <c r="O190" s="2100"/>
      <c r="P190" s="2100"/>
      <c r="Q190" s="1077">
        <f>MAX(E190,H190,K190,N190)</f>
        <v>0</v>
      </c>
      <c r="R190" s="2126">
        <f t="shared" si="241"/>
        <v>0</v>
      </c>
      <c r="S190" s="2127">
        <f t="shared" si="242"/>
        <v>0</v>
      </c>
      <c r="T190" s="853">
        <f>IFERROR(AVERAGE(Q190:S190),"")</f>
        <v>0</v>
      </c>
      <c r="U190" s="2081" t="str">
        <f t="shared" si="245"/>
        <v>1.33</v>
      </c>
      <c r="V190" s="2081" t="str">
        <f t="shared" si="246"/>
        <v>D+</v>
      </c>
      <c r="W190" s="2081" t="str">
        <f t="shared" si="247"/>
        <v>0</v>
      </c>
      <c r="X190" s="1587"/>
      <c r="Y190" s="1588"/>
      <c r="Z190" s="1588"/>
      <c r="AA190" s="1588"/>
      <c r="AB190" s="1588"/>
      <c r="AC190" s="1589"/>
      <c r="AD190" s="1590"/>
      <c r="AE190" s="1590"/>
      <c r="AF190" s="1590"/>
      <c r="AG190" s="1591"/>
      <c r="AH190" s="1413"/>
      <c r="AI190" s="1414"/>
    </row>
    <row r="191" spans="1:35" ht="24.95" customHeight="1" x14ac:dyDescent="0.25">
      <c r="A191" s="1478"/>
      <c r="B191" s="1580"/>
      <c r="C191" s="1581"/>
      <c r="D191" s="1579" t="s">
        <v>189</v>
      </c>
      <c r="E191" s="1385">
        <v>0</v>
      </c>
      <c r="F191" s="1385">
        <v>0</v>
      </c>
      <c r="G191" s="1385">
        <v>0</v>
      </c>
      <c r="H191" s="2101"/>
      <c r="I191" s="2101"/>
      <c r="J191" s="2101"/>
      <c r="K191" s="1385">
        <v>0</v>
      </c>
      <c r="L191" s="1385">
        <v>0</v>
      </c>
      <c r="M191" s="1385">
        <v>0</v>
      </c>
      <c r="N191" s="2100"/>
      <c r="O191" s="2100"/>
      <c r="P191" s="2100"/>
      <c r="Q191" s="1077">
        <f t="shared" ref="Q191" si="248">MAX(E191,H191,K191,N191)</f>
        <v>0</v>
      </c>
      <c r="R191" s="2126">
        <f t="shared" si="241"/>
        <v>0</v>
      </c>
      <c r="S191" s="2127">
        <f t="shared" si="242"/>
        <v>0</v>
      </c>
      <c r="T191" s="853">
        <f>IFERROR(AVERAGE(Q191:S191),"")</f>
        <v>0</v>
      </c>
      <c r="U191" s="2081" t="str">
        <f t="shared" si="245"/>
        <v>1.33</v>
      </c>
      <c r="V191" s="2081" t="str">
        <f t="shared" si="246"/>
        <v>D+</v>
      </c>
      <c r="W191" s="2081" t="str">
        <f t="shared" si="247"/>
        <v>0</v>
      </c>
      <c r="X191" s="1587"/>
      <c r="Y191" s="1588"/>
      <c r="Z191" s="1588"/>
      <c r="AA191" s="1588"/>
      <c r="AB191" s="1588"/>
      <c r="AC191" s="1589"/>
      <c r="AD191" s="1590"/>
      <c r="AE191" s="1590"/>
      <c r="AF191" s="1590"/>
      <c r="AG191" s="1591"/>
      <c r="AH191" s="1413"/>
      <c r="AI191" s="1414"/>
    </row>
    <row r="192" spans="1:35" ht="24.95" customHeight="1" x14ac:dyDescent="0.25">
      <c r="A192" s="1592"/>
      <c r="B192" s="1592">
        <v>31</v>
      </c>
      <c r="C192" s="1593" t="s">
        <v>167</v>
      </c>
      <c r="D192" s="1594"/>
      <c r="E192" s="2878"/>
      <c r="F192" s="2879"/>
      <c r="G192" s="2879"/>
      <c r="H192" s="2879"/>
      <c r="I192" s="2079"/>
      <c r="J192" s="2079"/>
      <c r="K192" s="2079"/>
      <c r="L192" s="2079"/>
      <c r="M192" s="2079"/>
      <c r="N192" s="2079"/>
      <c r="O192" s="2079"/>
      <c r="P192" s="2079"/>
      <c r="Q192" s="2162"/>
      <c r="R192" s="2162"/>
      <c r="S192" s="2162"/>
      <c r="T192" s="1942">
        <f>IFERROR(AVERAGE(T187:T191),"  ")</f>
        <v>0</v>
      </c>
      <c r="U192" s="1619" t="str">
        <f>IF(T192&gt;85,("4"),IF(T192&gt;80,("3.66"),IF(T192&gt;75,("3.33"),IF(T192&gt;70,("3.00"),IF(T192&gt;65,("2.66"),IF(T192&gt;60,("2.33"),IF(T192&gt;55,("2"),IF(T192&gt;50,("1.66"),"1.33"))))))))</f>
        <v>1.33</v>
      </c>
      <c r="V192" s="1619" t="str">
        <f>IF(T192&gt;85,("A"),IF(T192&gt;80,("A-"),IF(T192&gt;75,("B+"),IF(T192&gt;70,("B"),IF(T192&gt;65,("B-"),IF(T192&gt;60,("C+"),IF(T192&gt;55,("C"),IF(T192&gt;50,("C-"),"D+"))))))))</f>
        <v>D+</v>
      </c>
      <c r="W192" s="1619"/>
      <c r="X192" s="1605"/>
      <c r="Y192" s="1606"/>
      <c r="Z192" s="1606"/>
      <c r="AA192" s="1606"/>
      <c r="AB192" s="1606"/>
      <c r="AC192" s="1607"/>
      <c r="AD192" s="1606"/>
      <c r="AE192" s="1606"/>
      <c r="AF192" s="1606"/>
      <c r="AG192" s="1608"/>
      <c r="AH192" s="1841"/>
      <c r="AI192" s="1620"/>
    </row>
    <row r="193" spans="1:35" ht="24.95" customHeight="1" x14ac:dyDescent="0.25">
      <c r="A193" s="1477">
        <v>32</v>
      </c>
      <c r="B193" s="1577"/>
      <c r="C193" s="1578" t="e">
        <f>VLOOKUP(A193,data_siswa,4,FALSE)</f>
        <v>#N/A</v>
      </c>
      <c r="D193" s="1579" t="s">
        <v>155</v>
      </c>
      <c r="E193" s="1672">
        <v>0</v>
      </c>
      <c r="F193" s="1672">
        <v>0</v>
      </c>
      <c r="G193" s="1672">
        <v>0</v>
      </c>
      <c r="H193" s="2027"/>
      <c r="I193" s="2027"/>
      <c r="J193" s="2027"/>
      <c r="K193" s="1672"/>
      <c r="L193" s="1672"/>
      <c r="M193" s="1672"/>
      <c r="N193" s="2103"/>
      <c r="O193" s="2103"/>
      <c r="P193" s="2103"/>
      <c r="Q193" s="1077">
        <f>MAX(E193,H193,K193,N193)</f>
        <v>0</v>
      </c>
      <c r="R193" s="2126">
        <f t="shared" ref="R193:R197" si="249">MAX(F193,I193,L193,O193)</f>
        <v>0</v>
      </c>
      <c r="S193" s="2127">
        <f t="shared" ref="S193:S197" si="250">MAX(G193,J193,M193,P193)</f>
        <v>0</v>
      </c>
      <c r="T193" s="853">
        <f>IFERROR(AVERAGE(Q193:S193),"")</f>
        <v>0</v>
      </c>
      <c r="U193" s="2081" t="str">
        <f>IF(T193&gt;85,("4"),IF(T193&gt;80,("3.66"),IF(T193&gt;75,("3.33"),IF(T193&gt;70,("3.00"),IF(T193&gt;65,("2.66"),IF(T193&gt;60,("2.33"),IF(T193&gt;55,("2"),IF(T193&gt;50,("1.66"),"1.33"))))))))</f>
        <v>1.33</v>
      </c>
      <c r="V193" s="2081" t="str">
        <f>IF(T193&gt;85,("A"),IF(T193&gt;80,("A-"),IF(T193&gt;75,("B+"),IF(T193&gt;70,("B"),IF(T193&gt;65,("B-"),IF(T193&gt;60,("C+"),IF(T193&gt;55,("C"),IF(T193&gt;50,("C-"),"D+"))))))))</f>
        <v>D+</v>
      </c>
      <c r="W193" s="2081" t="str">
        <f>IF(T193&gt;80,("SB"),IF(T193&gt;65,("B"),IF(T193&gt;50,("C"),IF(T193&gt;0,("K"),"0"))))</f>
        <v>0</v>
      </c>
      <c r="X193" s="1609"/>
      <c r="Y193" s="1609"/>
      <c r="Z193" s="1609"/>
      <c r="AA193" s="1609"/>
      <c r="AB193" s="1609"/>
      <c r="AC193" s="1610"/>
      <c r="AD193" s="1611"/>
      <c r="AE193" s="1611"/>
      <c r="AF193" s="1611"/>
      <c r="AG193" s="1611"/>
      <c r="AH193" s="1929">
        <f>AVERAGE(T193:T197)</f>
        <v>0</v>
      </c>
      <c r="AI193" s="1945" t="str">
        <f>IF(AH193&gt;85,("A"),IF(AH193&gt;80,("A-"),IF(AH193&gt;75,("B+"),IF(AH193&gt;70,("B"),IF(AH193&gt;65,("B-"),IF(AH193&gt;60,("C+"),IF(AH193&gt;55,("C"),IF(AH193&gt;50,("C-"),"D+"))))))))</f>
        <v>D+</v>
      </c>
    </row>
    <row r="194" spans="1:35" ht="24.95" customHeight="1" x14ac:dyDescent="0.25">
      <c r="A194" s="1478"/>
      <c r="B194" s="1580"/>
      <c r="C194" s="1581"/>
      <c r="D194" s="1579" t="s">
        <v>9</v>
      </c>
      <c r="E194" s="1385">
        <v>0</v>
      </c>
      <c r="F194" s="1385">
        <v>0</v>
      </c>
      <c r="G194" s="1385">
        <v>0</v>
      </c>
      <c r="H194" s="2101"/>
      <c r="I194" s="2101"/>
      <c r="J194" s="2101"/>
      <c r="K194" s="1385"/>
      <c r="L194" s="1385"/>
      <c r="M194" s="1385"/>
      <c r="N194" s="2100">
        <v>0</v>
      </c>
      <c r="O194" s="2100">
        <v>0</v>
      </c>
      <c r="P194" s="2100">
        <v>0</v>
      </c>
      <c r="Q194" s="1077">
        <f t="shared" ref="Q194:Q195" si="251">MAX(E194,H194,K194,N194)</f>
        <v>0</v>
      </c>
      <c r="R194" s="2126">
        <f t="shared" si="249"/>
        <v>0</v>
      </c>
      <c r="S194" s="2127">
        <f t="shared" si="250"/>
        <v>0</v>
      </c>
      <c r="T194" s="853">
        <f t="shared" ref="T194:T195" si="252">IFERROR(AVERAGE(Q194:S194),"")</f>
        <v>0</v>
      </c>
      <c r="U194" s="2081" t="str">
        <f t="shared" ref="U194:U197" si="253">IF(T194&gt;85,("4"),IF(T194&gt;80,("3.66"),IF(T194&gt;75,("3.33"),IF(T194&gt;70,("3.00"),IF(T194&gt;65,("2.66"),IF(T194&gt;60,("2.33"),IF(T194&gt;55,("2"),IF(T194&gt;50,("1.66"),"1.33"))))))))</f>
        <v>1.33</v>
      </c>
      <c r="V194" s="2081" t="str">
        <f t="shared" ref="V194:V197" si="254">IF(T194&gt;85,("A"),IF(T194&gt;80,("A-"),IF(T194&gt;75,("B+"),IF(T194&gt;70,("B"),IF(T194&gt;65,("B-"),IF(T194&gt;60,("C+"),IF(T194&gt;55,("C"),IF(T194&gt;50,("C-"),"D+"))))))))</f>
        <v>D+</v>
      </c>
      <c r="W194" s="2081" t="str">
        <f t="shared" ref="W194:W197" si="255">IF(T194&gt;80,("SB"),IF(T194&gt;65,("B"),IF(T194&gt;50,("C"),IF(T194&gt;0,("K"),"0"))))</f>
        <v>0</v>
      </c>
      <c r="X194" s="1582"/>
      <c r="Y194" s="1583"/>
      <c r="Z194" s="1583"/>
      <c r="AA194" s="1583"/>
      <c r="AB194" s="1583"/>
      <c r="AC194" s="1584"/>
      <c r="AD194" s="1585"/>
      <c r="AE194" s="1585"/>
      <c r="AF194" s="1585"/>
      <c r="AG194" s="1586"/>
      <c r="AH194" s="1411"/>
      <c r="AI194" s="1412"/>
    </row>
    <row r="195" spans="1:35" ht="24.95" customHeight="1" x14ac:dyDescent="0.25">
      <c r="A195" s="1478"/>
      <c r="B195" s="1580"/>
      <c r="C195" s="1581"/>
      <c r="D195" s="1579" t="s">
        <v>11</v>
      </c>
      <c r="E195" s="1385"/>
      <c r="F195" s="1385"/>
      <c r="G195" s="1385"/>
      <c r="H195" s="2101">
        <v>0</v>
      </c>
      <c r="I195" s="2101">
        <v>0</v>
      </c>
      <c r="J195" s="2101">
        <v>0</v>
      </c>
      <c r="K195" s="1385">
        <v>0</v>
      </c>
      <c r="L195" s="1385">
        <v>0</v>
      </c>
      <c r="M195" s="1385">
        <v>0</v>
      </c>
      <c r="N195" s="2100">
        <v>0</v>
      </c>
      <c r="O195" s="2100">
        <v>0</v>
      </c>
      <c r="P195" s="2100">
        <v>0</v>
      </c>
      <c r="Q195" s="1077">
        <f t="shared" si="251"/>
        <v>0</v>
      </c>
      <c r="R195" s="2126">
        <f t="shared" si="249"/>
        <v>0</v>
      </c>
      <c r="S195" s="2127">
        <f t="shared" si="250"/>
        <v>0</v>
      </c>
      <c r="T195" s="853">
        <f t="shared" si="252"/>
        <v>0</v>
      </c>
      <c r="U195" s="2081" t="str">
        <f t="shared" si="253"/>
        <v>1.33</v>
      </c>
      <c r="V195" s="2081" t="str">
        <f t="shared" si="254"/>
        <v>D+</v>
      </c>
      <c r="W195" s="2081" t="str">
        <f t="shared" si="255"/>
        <v>0</v>
      </c>
      <c r="X195" s="1587"/>
      <c r="Y195" s="1588"/>
      <c r="Z195" s="1588"/>
      <c r="AA195" s="1588"/>
      <c r="AB195" s="1588"/>
      <c r="AC195" s="1589"/>
      <c r="AD195" s="1590"/>
      <c r="AE195" s="1590"/>
      <c r="AF195" s="1590"/>
      <c r="AG195" s="1591"/>
      <c r="AH195" s="1413"/>
      <c r="AI195" s="1414"/>
    </row>
    <row r="196" spans="1:35" ht="24.95" customHeight="1" x14ac:dyDescent="0.25">
      <c r="A196" s="1478"/>
      <c r="B196" s="1580"/>
      <c r="C196" s="1581"/>
      <c r="D196" s="1579" t="s">
        <v>16</v>
      </c>
      <c r="E196" s="1385"/>
      <c r="F196" s="1385"/>
      <c r="G196" s="1385"/>
      <c r="H196" s="2101">
        <v>0</v>
      </c>
      <c r="I196" s="2101">
        <v>0</v>
      </c>
      <c r="J196" s="2101">
        <v>0</v>
      </c>
      <c r="K196" s="1385"/>
      <c r="L196" s="1385"/>
      <c r="M196" s="1385"/>
      <c r="N196" s="2100"/>
      <c r="O196" s="2100"/>
      <c r="P196" s="2100"/>
      <c r="Q196" s="1077">
        <f>MAX(E196,H196,K196,N196)</f>
        <v>0</v>
      </c>
      <c r="R196" s="2126">
        <f t="shared" si="249"/>
        <v>0</v>
      </c>
      <c r="S196" s="2127">
        <f t="shared" si="250"/>
        <v>0</v>
      </c>
      <c r="T196" s="853">
        <f>IFERROR(AVERAGE(Q196:S196),"")</f>
        <v>0</v>
      </c>
      <c r="U196" s="2081" t="str">
        <f t="shared" si="253"/>
        <v>1.33</v>
      </c>
      <c r="V196" s="2081" t="str">
        <f t="shared" si="254"/>
        <v>D+</v>
      </c>
      <c r="W196" s="2081" t="str">
        <f t="shared" si="255"/>
        <v>0</v>
      </c>
      <c r="X196" s="1587"/>
      <c r="Y196" s="1588"/>
      <c r="Z196" s="1588"/>
      <c r="AA196" s="1588"/>
      <c r="AB196" s="1588"/>
      <c r="AC196" s="1589"/>
      <c r="AD196" s="1590"/>
      <c r="AE196" s="1590"/>
      <c r="AF196" s="1590"/>
      <c r="AG196" s="1591"/>
      <c r="AH196" s="1413"/>
      <c r="AI196" s="1414"/>
    </row>
    <row r="197" spans="1:35" ht="24.95" customHeight="1" x14ac:dyDescent="0.25">
      <c r="A197" s="1478"/>
      <c r="B197" s="1580"/>
      <c r="C197" s="1581"/>
      <c r="D197" s="1579" t="s">
        <v>189</v>
      </c>
      <c r="E197" s="1385">
        <v>0</v>
      </c>
      <c r="F197" s="1385">
        <v>0</v>
      </c>
      <c r="G197" s="1385">
        <v>0</v>
      </c>
      <c r="H197" s="2101"/>
      <c r="I197" s="2101"/>
      <c r="J197" s="2101"/>
      <c r="K197" s="1385">
        <v>0</v>
      </c>
      <c r="L197" s="1385">
        <v>0</v>
      </c>
      <c r="M197" s="1385">
        <v>0</v>
      </c>
      <c r="N197" s="2100"/>
      <c r="O197" s="2100"/>
      <c r="P197" s="2100"/>
      <c r="Q197" s="1077">
        <f t="shared" ref="Q197" si="256">MAX(E197,H197,K197,N197)</f>
        <v>0</v>
      </c>
      <c r="R197" s="2126">
        <f t="shared" si="249"/>
        <v>0</v>
      </c>
      <c r="S197" s="2127">
        <f t="shared" si="250"/>
        <v>0</v>
      </c>
      <c r="T197" s="853">
        <f>IFERROR(AVERAGE(Q197:S197),"")</f>
        <v>0</v>
      </c>
      <c r="U197" s="2081" t="str">
        <f t="shared" si="253"/>
        <v>1.33</v>
      </c>
      <c r="V197" s="2081" t="str">
        <f t="shared" si="254"/>
        <v>D+</v>
      </c>
      <c r="W197" s="2081" t="str">
        <f t="shared" si="255"/>
        <v>0</v>
      </c>
      <c r="X197" s="1587"/>
      <c r="Y197" s="1588"/>
      <c r="Z197" s="1588"/>
      <c r="AA197" s="1588"/>
      <c r="AB197" s="1588"/>
      <c r="AC197" s="1589"/>
      <c r="AD197" s="1590"/>
      <c r="AE197" s="1590"/>
      <c r="AF197" s="1590"/>
      <c r="AG197" s="1591"/>
      <c r="AH197" s="1413"/>
      <c r="AI197" s="1414"/>
    </row>
    <row r="198" spans="1:35" ht="24.95" customHeight="1" x14ac:dyDescent="0.25">
      <c r="A198" s="1592"/>
      <c r="B198" s="1592">
        <v>32</v>
      </c>
      <c r="C198" s="1593" t="s">
        <v>167</v>
      </c>
      <c r="D198" s="1594"/>
      <c r="E198" s="2878"/>
      <c r="F198" s="2879"/>
      <c r="G198" s="2879"/>
      <c r="H198" s="2879"/>
      <c r="I198" s="2079"/>
      <c r="J198" s="2079"/>
      <c r="K198" s="2079"/>
      <c r="L198" s="2079"/>
      <c r="M198" s="2079"/>
      <c r="N198" s="2079"/>
      <c r="O198" s="2079"/>
      <c r="P198" s="2079"/>
      <c r="Q198" s="2162"/>
      <c r="R198" s="2162"/>
      <c r="S198" s="2162"/>
      <c r="T198" s="1942">
        <f>IFERROR(AVERAGE(T193:T197),"  ")</f>
        <v>0</v>
      </c>
      <c r="U198" s="1619" t="str">
        <f>IF(T198&gt;85,("4"),IF(T198&gt;80,("3.66"),IF(T198&gt;75,("3.33"),IF(T198&gt;70,("3.00"),IF(T198&gt;65,("2.66"),IF(T198&gt;60,("2.33"),IF(T198&gt;55,("2"),IF(T198&gt;50,("1.66"),"1.33"))))))))</f>
        <v>1.33</v>
      </c>
      <c r="V198" s="1619" t="str">
        <f>IF(T198&gt;85,("A"),IF(T198&gt;80,("A-"),IF(T198&gt;75,("B+"),IF(T198&gt;70,("B"),IF(T198&gt;65,("B-"),IF(T198&gt;60,("C+"),IF(T198&gt;55,("C"),IF(T198&gt;50,("C-"),"D+"))))))))</f>
        <v>D+</v>
      </c>
      <c r="W198" s="1619"/>
      <c r="X198" s="1605"/>
      <c r="Y198" s="1606"/>
      <c r="Z198" s="1606"/>
      <c r="AA198" s="1606"/>
      <c r="AB198" s="1606"/>
      <c r="AC198" s="1607"/>
      <c r="AD198" s="1606"/>
      <c r="AE198" s="1606"/>
      <c r="AF198" s="1606"/>
      <c r="AG198" s="1608"/>
      <c r="AH198" s="1841"/>
      <c r="AI198" s="1620"/>
    </row>
    <row r="199" spans="1:35" ht="24.95" customHeight="1" x14ac:dyDescent="0.25">
      <c r="A199" s="1477">
        <v>33</v>
      </c>
      <c r="B199" s="1577"/>
      <c r="C199" s="1578" t="e">
        <f>VLOOKUP(A199,data_siswa,4,FALSE)</f>
        <v>#N/A</v>
      </c>
      <c r="D199" s="1579" t="s">
        <v>155</v>
      </c>
      <c r="E199" s="1672">
        <v>0</v>
      </c>
      <c r="F199" s="1672">
        <v>0</v>
      </c>
      <c r="G199" s="1672">
        <v>0</v>
      </c>
      <c r="H199" s="2027"/>
      <c r="I199" s="2027"/>
      <c r="J199" s="2027"/>
      <c r="K199" s="1672"/>
      <c r="L199" s="1672"/>
      <c r="M199" s="1672"/>
      <c r="N199" s="2103"/>
      <c r="O199" s="2103"/>
      <c r="P199" s="2103"/>
      <c r="Q199" s="1077">
        <f>MAX(E199,H199,K199,N199)</f>
        <v>0</v>
      </c>
      <c r="R199" s="2126">
        <f t="shared" ref="R199:R203" si="257">MAX(F199,I199,L199,O199)</f>
        <v>0</v>
      </c>
      <c r="S199" s="2127">
        <f t="shared" ref="S199:S203" si="258">MAX(G199,J199,M199,P199)</f>
        <v>0</v>
      </c>
      <c r="T199" s="853">
        <f>IFERROR(AVERAGE(Q199:S199),"")</f>
        <v>0</v>
      </c>
      <c r="U199" s="2081" t="str">
        <f>IF(T199&gt;85,("4"),IF(T199&gt;80,("3.66"),IF(T199&gt;75,("3.33"),IF(T199&gt;70,("3.00"),IF(T199&gt;65,("2.66"),IF(T199&gt;60,("2.33"),IF(T199&gt;55,("2"),IF(T199&gt;50,("1.66"),"1.33"))))))))</f>
        <v>1.33</v>
      </c>
      <c r="V199" s="2081" t="str">
        <f>IF(T199&gt;85,("A"),IF(T199&gt;80,("A-"),IF(T199&gt;75,("B+"),IF(T199&gt;70,("B"),IF(T199&gt;65,("B-"),IF(T199&gt;60,("C+"),IF(T199&gt;55,("C"),IF(T199&gt;50,("C-"),"D+"))))))))</f>
        <v>D+</v>
      </c>
      <c r="W199" s="2081" t="str">
        <f>IF(T199&gt;80,("SB"),IF(T199&gt;65,("B"),IF(T199&gt;50,("C"),IF(T199&gt;0,("K"),"0"))))</f>
        <v>0</v>
      </c>
      <c r="X199" s="1609"/>
      <c r="Y199" s="1609"/>
      <c r="Z199" s="1609"/>
      <c r="AA199" s="1609"/>
      <c r="AB199" s="1609"/>
      <c r="AC199" s="1610"/>
      <c r="AD199" s="1611"/>
      <c r="AE199" s="1611"/>
      <c r="AF199" s="1611"/>
      <c r="AG199" s="1611"/>
      <c r="AH199" s="1929">
        <f>AVERAGE(T199:T203)</f>
        <v>0</v>
      </c>
      <c r="AI199" s="1945" t="str">
        <f>IF(AH199&gt;85,("A"),IF(AH199&gt;80,("A-"),IF(AH199&gt;75,("B+"),IF(AH199&gt;70,("B"),IF(AH199&gt;65,("B-"),IF(AH199&gt;60,("C+"),IF(AH199&gt;55,("C"),IF(AH199&gt;50,("C-"),"D+"))))))))</f>
        <v>D+</v>
      </c>
    </row>
    <row r="200" spans="1:35" ht="24.95" customHeight="1" x14ac:dyDescent="0.25">
      <c r="A200" s="1478"/>
      <c r="B200" s="1580"/>
      <c r="C200" s="1581"/>
      <c r="D200" s="1579" t="s">
        <v>9</v>
      </c>
      <c r="E200" s="1385">
        <v>0</v>
      </c>
      <c r="F200" s="1385">
        <v>0</v>
      </c>
      <c r="G200" s="1385">
        <v>0</v>
      </c>
      <c r="H200" s="2101"/>
      <c r="I200" s="2101"/>
      <c r="J200" s="2101"/>
      <c r="K200" s="1385"/>
      <c r="L200" s="1385"/>
      <c r="M200" s="1385"/>
      <c r="N200" s="2100">
        <v>0</v>
      </c>
      <c r="O200" s="2100">
        <v>0</v>
      </c>
      <c r="P200" s="2100">
        <v>0</v>
      </c>
      <c r="Q200" s="1077">
        <f t="shared" ref="Q200:Q201" si="259">MAX(E200,H200,K200,N200)</f>
        <v>0</v>
      </c>
      <c r="R200" s="2126">
        <f t="shared" si="257"/>
        <v>0</v>
      </c>
      <c r="S200" s="2127">
        <f t="shared" si="258"/>
        <v>0</v>
      </c>
      <c r="T200" s="853">
        <f t="shared" ref="T200:T201" si="260">IFERROR(AVERAGE(Q200:S200),"")</f>
        <v>0</v>
      </c>
      <c r="U200" s="2081" t="str">
        <f t="shared" ref="U200:U203" si="261">IF(T200&gt;85,("4"),IF(T200&gt;80,("3.66"),IF(T200&gt;75,("3.33"),IF(T200&gt;70,("3.00"),IF(T200&gt;65,("2.66"),IF(T200&gt;60,("2.33"),IF(T200&gt;55,("2"),IF(T200&gt;50,("1.66"),"1.33"))))))))</f>
        <v>1.33</v>
      </c>
      <c r="V200" s="2081" t="str">
        <f t="shared" ref="V200:V203" si="262">IF(T200&gt;85,("A"),IF(T200&gt;80,("A-"),IF(T200&gt;75,("B+"),IF(T200&gt;70,("B"),IF(T200&gt;65,("B-"),IF(T200&gt;60,("C+"),IF(T200&gt;55,("C"),IF(T200&gt;50,("C-"),"D+"))))))))</f>
        <v>D+</v>
      </c>
      <c r="W200" s="2081" t="str">
        <f t="shared" ref="W200:W203" si="263">IF(T200&gt;80,("SB"),IF(T200&gt;65,("B"),IF(T200&gt;50,("C"),IF(T200&gt;0,("K"),"0"))))</f>
        <v>0</v>
      </c>
      <c r="X200" s="1582"/>
      <c r="Y200" s="1583"/>
      <c r="Z200" s="1583"/>
      <c r="AA200" s="1583"/>
      <c r="AB200" s="1583"/>
      <c r="AC200" s="1584"/>
      <c r="AD200" s="1585"/>
      <c r="AE200" s="1585"/>
      <c r="AF200" s="1585"/>
      <c r="AG200" s="1586"/>
      <c r="AH200" s="1411"/>
      <c r="AI200" s="1412"/>
    </row>
    <row r="201" spans="1:35" ht="24.95" customHeight="1" x14ac:dyDescent="0.25">
      <c r="A201" s="1478"/>
      <c r="B201" s="1580"/>
      <c r="C201" s="1581"/>
      <c r="D201" s="1579" t="s">
        <v>11</v>
      </c>
      <c r="E201" s="1385"/>
      <c r="F201" s="1385"/>
      <c r="G201" s="1385"/>
      <c r="H201" s="2101">
        <v>0</v>
      </c>
      <c r="I201" s="2101">
        <v>0</v>
      </c>
      <c r="J201" s="2101">
        <v>0</v>
      </c>
      <c r="K201" s="1385">
        <v>0</v>
      </c>
      <c r="L201" s="1385">
        <v>0</v>
      </c>
      <c r="M201" s="1385">
        <v>0</v>
      </c>
      <c r="N201" s="2100">
        <v>0</v>
      </c>
      <c r="O201" s="2100">
        <v>0</v>
      </c>
      <c r="P201" s="2100">
        <v>0</v>
      </c>
      <c r="Q201" s="1077">
        <f t="shared" si="259"/>
        <v>0</v>
      </c>
      <c r="R201" s="2126">
        <f t="shared" si="257"/>
        <v>0</v>
      </c>
      <c r="S201" s="2127">
        <f t="shared" si="258"/>
        <v>0</v>
      </c>
      <c r="T201" s="853">
        <f t="shared" si="260"/>
        <v>0</v>
      </c>
      <c r="U201" s="2081" t="str">
        <f t="shared" si="261"/>
        <v>1.33</v>
      </c>
      <c r="V201" s="2081" t="str">
        <f t="shared" si="262"/>
        <v>D+</v>
      </c>
      <c r="W201" s="2081" t="str">
        <f t="shared" si="263"/>
        <v>0</v>
      </c>
      <c r="X201" s="1587"/>
      <c r="Y201" s="1588"/>
      <c r="Z201" s="1588"/>
      <c r="AA201" s="1588"/>
      <c r="AB201" s="1588"/>
      <c r="AC201" s="1589"/>
      <c r="AD201" s="1590"/>
      <c r="AE201" s="1590"/>
      <c r="AF201" s="1590"/>
      <c r="AG201" s="1591"/>
      <c r="AH201" s="1413"/>
      <c r="AI201" s="1414"/>
    </row>
    <row r="202" spans="1:35" ht="24.95" customHeight="1" x14ac:dyDescent="0.25">
      <c r="A202" s="1478"/>
      <c r="B202" s="1580"/>
      <c r="C202" s="1581"/>
      <c r="D202" s="1579" t="s">
        <v>16</v>
      </c>
      <c r="E202" s="1385"/>
      <c r="F202" s="1385"/>
      <c r="G202" s="1385"/>
      <c r="H202" s="2101">
        <v>0</v>
      </c>
      <c r="I202" s="2101">
        <v>0</v>
      </c>
      <c r="J202" s="2101">
        <v>0</v>
      </c>
      <c r="K202" s="1385"/>
      <c r="L202" s="1385"/>
      <c r="M202" s="1385"/>
      <c r="N202" s="2100"/>
      <c r="O202" s="2100"/>
      <c r="P202" s="2100"/>
      <c r="Q202" s="1077">
        <f>MAX(E202,H202,K202,N202)</f>
        <v>0</v>
      </c>
      <c r="R202" s="2126">
        <f t="shared" si="257"/>
        <v>0</v>
      </c>
      <c r="S202" s="2127">
        <f t="shared" si="258"/>
        <v>0</v>
      </c>
      <c r="T202" s="853">
        <f>IFERROR(AVERAGE(Q202:S202),"")</f>
        <v>0</v>
      </c>
      <c r="U202" s="2081" t="str">
        <f t="shared" si="261"/>
        <v>1.33</v>
      </c>
      <c r="V202" s="2081" t="str">
        <f t="shared" si="262"/>
        <v>D+</v>
      </c>
      <c r="W202" s="2081" t="str">
        <f t="shared" si="263"/>
        <v>0</v>
      </c>
      <c r="X202" s="1587"/>
      <c r="Y202" s="1588"/>
      <c r="Z202" s="1588"/>
      <c r="AA202" s="1588"/>
      <c r="AB202" s="1588"/>
      <c r="AC202" s="1589"/>
      <c r="AD202" s="1590"/>
      <c r="AE202" s="1590"/>
      <c r="AF202" s="1590"/>
      <c r="AG202" s="1591"/>
      <c r="AH202" s="1413"/>
      <c r="AI202" s="1414"/>
    </row>
    <row r="203" spans="1:35" ht="24.95" customHeight="1" x14ac:dyDescent="0.25">
      <c r="A203" s="1478"/>
      <c r="B203" s="1580"/>
      <c r="C203" s="1581"/>
      <c r="D203" s="1579" t="s">
        <v>189</v>
      </c>
      <c r="E203" s="1385">
        <v>0</v>
      </c>
      <c r="F203" s="1385">
        <v>0</v>
      </c>
      <c r="G203" s="1385">
        <v>0</v>
      </c>
      <c r="H203" s="2101"/>
      <c r="I203" s="2101"/>
      <c r="J203" s="2101"/>
      <c r="K203" s="1385">
        <v>0</v>
      </c>
      <c r="L203" s="1385">
        <v>0</v>
      </c>
      <c r="M203" s="1385">
        <v>0</v>
      </c>
      <c r="N203" s="2100"/>
      <c r="O203" s="2100"/>
      <c r="P203" s="2100"/>
      <c r="Q203" s="1077">
        <f t="shared" ref="Q203" si="264">MAX(E203,H203,K203,N203)</f>
        <v>0</v>
      </c>
      <c r="R203" s="2126">
        <f t="shared" si="257"/>
        <v>0</v>
      </c>
      <c r="S203" s="2127">
        <f t="shared" si="258"/>
        <v>0</v>
      </c>
      <c r="T203" s="853">
        <f>IFERROR(AVERAGE(Q203:S203),"")</f>
        <v>0</v>
      </c>
      <c r="U203" s="2081" t="str">
        <f t="shared" si="261"/>
        <v>1.33</v>
      </c>
      <c r="V203" s="2081" t="str">
        <f t="shared" si="262"/>
        <v>D+</v>
      </c>
      <c r="W203" s="2081" t="str">
        <f t="shared" si="263"/>
        <v>0</v>
      </c>
      <c r="X203" s="1587"/>
      <c r="Y203" s="1588"/>
      <c r="Z203" s="1588"/>
      <c r="AA203" s="1588"/>
      <c r="AB203" s="1588"/>
      <c r="AC203" s="1589"/>
      <c r="AD203" s="1590"/>
      <c r="AE203" s="1590"/>
      <c r="AF203" s="1590"/>
      <c r="AG203" s="1591"/>
      <c r="AH203" s="1413"/>
      <c r="AI203" s="1414"/>
    </row>
    <row r="204" spans="1:35" ht="24.95" customHeight="1" x14ac:dyDescent="0.25">
      <c r="A204" s="1592"/>
      <c r="B204" s="1592">
        <v>33</v>
      </c>
      <c r="C204" s="1593" t="s">
        <v>167</v>
      </c>
      <c r="D204" s="1594"/>
      <c r="E204" s="2878"/>
      <c r="F204" s="2879"/>
      <c r="G204" s="2879"/>
      <c r="H204" s="2879"/>
      <c r="I204" s="2079"/>
      <c r="J204" s="2079"/>
      <c r="K204" s="2079"/>
      <c r="L204" s="2079"/>
      <c r="M204" s="2079"/>
      <c r="N204" s="2079"/>
      <c r="O204" s="2079"/>
      <c r="P204" s="2079"/>
      <c r="Q204" s="2162"/>
      <c r="R204" s="2162"/>
      <c r="S204" s="2162"/>
      <c r="T204" s="1942">
        <f>IFERROR(AVERAGE(T199:T203),"  ")</f>
        <v>0</v>
      </c>
      <c r="U204" s="1619" t="str">
        <f>IF(T204&gt;85,("4"),IF(T204&gt;80,("3.66"),IF(T204&gt;75,("3.33"),IF(T204&gt;70,("3.00"),IF(T204&gt;65,("2.66"),IF(T204&gt;60,("2.33"),IF(T204&gt;55,("2"),IF(T204&gt;50,("1.66"),"1.33"))))))))</f>
        <v>1.33</v>
      </c>
      <c r="V204" s="1619" t="str">
        <f>IF(T204&gt;85,("A"),IF(T204&gt;80,("A-"),IF(T204&gt;75,("B+"),IF(T204&gt;70,("B"),IF(T204&gt;65,("B-"),IF(T204&gt;60,("C+"),IF(T204&gt;55,("C"),IF(T204&gt;50,("C-"),"D+"))))))))</f>
        <v>D+</v>
      </c>
      <c r="W204" s="1619"/>
      <c r="X204" s="1612"/>
      <c r="Y204" s="1599"/>
      <c r="Z204" s="1599"/>
      <c r="AA204" s="1599"/>
      <c r="AB204" s="1599"/>
      <c r="AC204" s="1613"/>
      <c r="AD204" s="1599"/>
      <c r="AE204" s="1599"/>
      <c r="AF204" s="1599"/>
      <c r="AG204" s="1600"/>
      <c r="AH204" s="1841"/>
      <c r="AI204" s="1620"/>
    </row>
    <row r="205" spans="1:35" ht="24.95" customHeight="1" x14ac:dyDescent="0.25">
      <c r="A205" s="1477">
        <v>34</v>
      </c>
      <c r="B205" s="1577"/>
      <c r="C205" s="1578" t="e">
        <f>VLOOKUP(A205,data_siswa,4,FALSE)</f>
        <v>#N/A</v>
      </c>
      <c r="D205" s="1579" t="s">
        <v>155</v>
      </c>
      <c r="E205" s="1672">
        <v>0</v>
      </c>
      <c r="F205" s="1672">
        <v>0</v>
      </c>
      <c r="G205" s="1672">
        <v>0</v>
      </c>
      <c r="H205" s="2027"/>
      <c r="I205" s="2027"/>
      <c r="J205" s="2027"/>
      <c r="K205" s="1672"/>
      <c r="L205" s="1672"/>
      <c r="M205" s="1672"/>
      <c r="N205" s="2103"/>
      <c r="O205" s="2103"/>
      <c r="P205" s="2103"/>
      <c r="Q205" s="1077">
        <f>MAX(E205,H205,K205,N205)</f>
        <v>0</v>
      </c>
      <c r="R205" s="2126">
        <f t="shared" ref="R205:R209" si="265">MAX(F205,I205,L205,O205)</f>
        <v>0</v>
      </c>
      <c r="S205" s="2127">
        <f t="shared" ref="S205:S209" si="266">MAX(G205,J205,M205,P205)</f>
        <v>0</v>
      </c>
      <c r="T205" s="853">
        <f>IFERROR(AVERAGE(Q205:S205),"")</f>
        <v>0</v>
      </c>
      <c r="U205" s="2081" t="str">
        <f>IF(T205&gt;85,("4"),IF(T205&gt;80,("3.66"),IF(T205&gt;75,("3.33"),IF(T205&gt;70,("3.00"),IF(T205&gt;65,("2.66"),IF(T205&gt;60,("2.33"),IF(T205&gt;55,("2"),IF(T205&gt;50,("1.66"),"1.33"))))))))</f>
        <v>1.33</v>
      </c>
      <c r="V205" s="2081" t="str">
        <f>IF(T205&gt;85,("A"),IF(T205&gt;80,("A-"),IF(T205&gt;75,("B+"),IF(T205&gt;70,("B"),IF(T205&gt;65,("B-"),IF(T205&gt;60,("C+"),IF(T205&gt;55,("C"),IF(T205&gt;50,("C-"),"D+"))))))))</f>
        <v>D+</v>
      </c>
      <c r="W205" s="2081" t="str">
        <f>IF(T205&gt;80,("SB"),IF(T205&gt;65,("B"),IF(T205&gt;50,("C"),IF(T205&gt;0,("K"),"0"))))</f>
        <v>0</v>
      </c>
      <c r="X205" s="1609"/>
      <c r="Y205" s="1609"/>
      <c r="Z205" s="1609"/>
      <c r="AA205" s="1609"/>
      <c r="AB205" s="1609"/>
      <c r="AC205" s="1610"/>
      <c r="AD205" s="1611"/>
      <c r="AE205" s="1611"/>
      <c r="AF205" s="1611"/>
      <c r="AG205" s="1611"/>
      <c r="AH205" s="1929">
        <f>AVERAGE(T205:T209)</f>
        <v>0</v>
      </c>
      <c r="AI205" s="1945" t="str">
        <f>IF(AH205&gt;85,("A"),IF(AH205&gt;80,("A-"),IF(AH205&gt;75,("B+"),IF(AH205&gt;70,("B"),IF(AH205&gt;65,("B-"),IF(AH205&gt;60,("C+"),IF(AH205&gt;55,("C"),IF(AH205&gt;50,("C-"),"D+"))))))))</f>
        <v>D+</v>
      </c>
    </row>
    <row r="206" spans="1:35" ht="24.95" customHeight="1" x14ac:dyDescent="0.25">
      <c r="A206" s="1478"/>
      <c r="B206" s="1580"/>
      <c r="C206" s="1581"/>
      <c r="D206" s="1579" t="s">
        <v>9</v>
      </c>
      <c r="E206" s="1385">
        <v>0</v>
      </c>
      <c r="F206" s="1385">
        <v>0</v>
      </c>
      <c r="G206" s="1385">
        <v>0</v>
      </c>
      <c r="H206" s="2101"/>
      <c r="I206" s="2101"/>
      <c r="J206" s="2101"/>
      <c r="K206" s="1385"/>
      <c r="L206" s="1385"/>
      <c r="M206" s="1385"/>
      <c r="N206" s="2100">
        <v>0</v>
      </c>
      <c r="O206" s="2100">
        <v>0</v>
      </c>
      <c r="P206" s="2100">
        <v>0</v>
      </c>
      <c r="Q206" s="1077">
        <f t="shared" ref="Q206:Q207" si="267">MAX(E206,H206,K206,N206)</f>
        <v>0</v>
      </c>
      <c r="R206" s="2126">
        <f t="shared" si="265"/>
        <v>0</v>
      </c>
      <c r="S206" s="2127">
        <f t="shared" si="266"/>
        <v>0</v>
      </c>
      <c r="T206" s="853">
        <f t="shared" ref="T206:T207" si="268">IFERROR(AVERAGE(Q206:S206),"")</f>
        <v>0</v>
      </c>
      <c r="U206" s="2081" t="str">
        <f t="shared" ref="U206:U209" si="269">IF(T206&gt;85,("4"),IF(T206&gt;80,("3.66"),IF(T206&gt;75,("3.33"),IF(T206&gt;70,("3.00"),IF(T206&gt;65,("2.66"),IF(T206&gt;60,("2.33"),IF(T206&gt;55,("2"),IF(T206&gt;50,("1.66"),"1.33"))))))))</f>
        <v>1.33</v>
      </c>
      <c r="V206" s="2081" t="str">
        <f t="shared" ref="V206:V209" si="270">IF(T206&gt;85,("A"),IF(T206&gt;80,("A-"),IF(T206&gt;75,("B+"),IF(T206&gt;70,("B"),IF(T206&gt;65,("B-"),IF(T206&gt;60,("C+"),IF(T206&gt;55,("C"),IF(T206&gt;50,("C-"),"D+"))))))))</f>
        <v>D+</v>
      </c>
      <c r="W206" s="2081" t="str">
        <f t="shared" ref="W206:W209" si="271">IF(T206&gt;80,("SB"),IF(T206&gt;65,("B"),IF(T206&gt;50,("C"),IF(T206&gt;0,("K"),"0"))))</f>
        <v>0</v>
      </c>
      <c r="X206" s="1582"/>
      <c r="Y206" s="1583"/>
      <c r="Z206" s="1583"/>
      <c r="AA206" s="1583"/>
      <c r="AB206" s="1583"/>
      <c r="AC206" s="1584"/>
      <c r="AD206" s="1585"/>
      <c r="AE206" s="1585"/>
      <c r="AF206" s="1585"/>
      <c r="AG206" s="1586"/>
      <c r="AH206" s="1411"/>
      <c r="AI206" s="1412"/>
    </row>
    <row r="207" spans="1:35" ht="24.95" customHeight="1" x14ac:dyDescent="0.25">
      <c r="A207" s="1478"/>
      <c r="B207" s="1580"/>
      <c r="C207" s="1581"/>
      <c r="D207" s="1579" t="s">
        <v>11</v>
      </c>
      <c r="E207" s="1385"/>
      <c r="F207" s="1385"/>
      <c r="G207" s="1385"/>
      <c r="H207" s="2101">
        <v>0</v>
      </c>
      <c r="I207" s="2101">
        <v>0</v>
      </c>
      <c r="J207" s="2101">
        <v>0</v>
      </c>
      <c r="K207" s="1385">
        <v>0</v>
      </c>
      <c r="L207" s="1385">
        <v>0</v>
      </c>
      <c r="M207" s="1385">
        <v>0</v>
      </c>
      <c r="N207" s="2100">
        <v>0</v>
      </c>
      <c r="O207" s="2100">
        <v>0</v>
      </c>
      <c r="P207" s="2100">
        <v>0</v>
      </c>
      <c r="Q207" s="1077">
        <f t="shared" si="267"/>
        <v>0</v>
      </c>
      <c r="R207" s="2126">
        <f t="shared" si="265"/>
        <v>0</v>
      </c>
      <c r="S207" s="2127">
        <f t="shared" si="266"/>
        <v>0</v>
      </c>
      <c r="T207" s="853">
        <f t="shared" si="268"/>
        <v>0</v>
      </c>
      <c r="U207" s="2081" t="str">
        <f t="shared" si="269"/>
        <v>1.33</v>
      </c>
      <c r="V207" s="2081" t="str">
        <f t="shared" si="270"/>
        <v>D+</v>
      </c>
      <c r="W207" s="2081" t="str">
        <f t="shared" si="271"/>
        <v>0</v>
      </c>
      <c r="X207" s="1587"/>
      <c r="Y207" s="1588"/>
      <c r="Z207" s="1588"/>
      <c r="AA207" s="1588"/>
      <c r="AB207" s="1588"/>
      <c r="AC207" s="1589"/>
      <c r="AD207" s="1590"/>
      <c r="AE207" s="1590"/>
      <c r="AF207" s="1590"/>
      <c r="AG207" s="1591"/>
      <c r="AH207" s="1413"/>
      <c r="AI207" s="1414"/>
    </row>
    <row r="208" spans="1:35" ht="24.95" customHeight="1" x14ac:dyDescent="0.25">
      <c r="A208" s="1478"/>
      <c r="B208" s="1580"/>
      <c r="C208" s="1581"/>
      <c r="D208" s="1579" t="s">
        <v>16</v>
      </c>
      <c r="E208" s="1385"/>
      <c r="F208" s="1385"/>
      <c r="G208" s="1385"/>
      <c r="H208" s="2101">
        <v>0</v>
      </c>
      <c r="I208" s="2101">
        <v>0</v>
      </c>
      <c r="J208" s="2101">
        <v>0</v>
      </c>
      <c r="K208" s="1385"/>
      <c r="L208" s="1385"/>
      <c r="M208" s="1385"/>
      <c r="N208" s="2100"/>
      <c r="O208" s="2100"/>
      <c r="P208" s="2100"/>
      <c r="Q208" s="1077">
        <f>MAX(E208,H208,K208,N208)</f>
        <v>0</v>
      </c>
      <c r="R208" s="2126">
        <f t="shared" si="265"/>
        <v>0</v>
      </c>
      <c r="S208" s="2127">
        <f t="shared" si="266"/>
        <v>0</v>
      </c>
      <c r="T208" s="853">
        <f>IFERROR(AVERAGE(Q208:S208),"")</f>
        <v>0</v>
      </c>
      <c r="U208" s="2081" t="str">
        <f t="shared" si="269"/>
        <v>1.33</v>
      </c>
      <c r="V208" s="2081" t="str">
        <f t="shared" si="270"/>
        <v>D+</v>
      </c>
      <c r="W208" s="2081" t="str">
        <f t="shared" si="271"/>
        <v>0</v>
      </c>
      <c r="X208" s="1587"/>
      <c r="Y208" s="1588"/>
      <c r="Z208" s="1588"/>
      <c r="AA208" s="1588"/>
      <c r="AB208" s="1588"/>
      <c r="AC208" s="1589"/>
      <c r="AD208" s="1590"/>
      <c r="AE208" s="1590"/>
      <c r="AF208" s="1590"/>
      <c r="AG208" s="1591"/>
      <c r="AH208" s="1413"/>
      <c r="AI208" s="1414"/>
    </row>
    <row r="209" spans="1:35" ht="24.95" customHeight="1" x14ac:dyDescent="0.25">
      <c r="A209" s="1478"/>
      <c r="B209" s="1580"/>
      <c r="C209" s="1581"/>
      <c r="D209" s="1579" t="s">
        <v>189</v>
      </c>
      <c r="E209" s="1385">
        <v>0</v>
      </c>
      <c r="F209" s="1385">
        <v>0</v>
      </c>
      <c r="G209" s="1385">
        <v>0</v>
      </c>
      <c r="H209" s="2101"/>
      <c r="I209" s="2101"/>
      <c r="J209" s="2101"/>
      <c r="K209" s="1385">
        <v>0</v>
      </c>
      <c r="L209" s="1385">
        <v>0</v>
      </c>
      <c r="M209" s="1385">
        <v>0</v>
      </c>
      <c r="N209" s="2100"/>
      <c r="O209" s="2100"/>
      <c r="P209" s="2100"/>
      <c r="Q209" s="1077">
        <f t="shared" ref="Q209" si="272">MAX(E209,H209,K209,N209)</f>
        <v>0</v>
      </c>
      <c r="R209" s="2126">
        <f t="shared" si="265"/>
        <v>0</v>
      </c>
      <c r="S209" s="2127">
        <f t="shared" si="266"/>
        <v>0</v>
      </c>
      <c r="T209" s="853">
        <f>IFERROR(AVERAGE(Q209:S209),"")</f>
        <v>0</v>
      </c>
      <c r="U209" s="2081" t="str">
        <f t="shared" si="269"/>
        <v>1.33</v>
      </c>
      <c r="V209" s="2081" t="str">
        <f t="shared" si="270"/>
        <v>D+</v>
      </c>
      <c r="W209" s="2081" t="str">
        <f t="shared" si="271"/>
        <v>0</v>
      </c>
      <c r="X209" s="1587"/>
      <c r="Y209" s="1588"/>
      <c r="Z209" s="1588"/>
      <c r="AA209" s="1588"/>
      <c r="AB209" s="1588"/>
      <c r="AC209" s="1589"/>
      <c r="AD209" s="1590"/>
      <c r="AE209" s="1590"/>
      <c r="AF209" s="1590"/>
      <c r="AG209" s="1591"/>
      <c r="AH209" s="1413"/>
      <c r="AI209" s="1414"/>
    </row>
    <row r="210" spans="1:35" ht="24.95" customHeight="1" x14ac:dyDescent="0.25">
      <c r="A210" s="1592"/>
      <c r="B210" s="1592">
        <v>34</v>
      </c>
      <c r="C210" s="1593" t="s">
        <v>167</v>
      </c>
      <c r="D210" s="1594"/>
      <c r="E210" s="2878"/>
      <c r="F210" s="2879"/>
      <c r="G210" s="2879"/>
      <c r="H210" s="2879"/>
      <c r="I210" s="2079"/>
      <c r="J210" s="2079"/>
      <c r="K210" s="2079"/>
      <c r="L210" s="2079"/>
      <c r="M210" s="2079"/>
      <c r="N210" s="2079"/>
      <c r="O210" s="2079"/>
      <c r="P210" s="2079"/>
      <c r="Q210" s="2162"/>
      <c r="R210" s="2162"/>
      <c r="S210" s="2162"/>
      <c r="T210" s="1942">
        <f>IFERROR(AVERAGE(T205:T209),"  ")</f>
        <v>0</v>
      </c>
      <c r="U210" s="1619" t="str">
        <f>IF(T210&gt;85,("4"),IF(T210&gt;80,("3.66"),IF(T210&gt;75,("3.33"),IF(T210&gt;70,("3.00"),IF(T210&gt;65,("2.66"),IF(T210&gt;60,("2.33"),IF(T210&gt;55,("2"),IF(T210&gt;50,("1.66"),"1.33"))))))))</f>
        <v>1.33</v>
      </c>
      <c r="V210" s="1619" t="str">
        <f>IF(T210&gt;85,("A"),IF(T210&gt;80,("A-"),IF(T210&gt;75,("B+"),IF(T210&gt;70,("B"),IF(T210&gt;65,("B-"),IF(T210&gt;60,("C+"),IF(T210&gt;55,("C"),IF(T210&gt;50,("C-"),"D+"))))))))</f>
        <v>D+</v>
      </c>
      <c r="W210" s="1619"/>
      <c r="X210" s="1612"/>
      <c r="Y210" s="1599"/>
      <c r="Z210" s="1599"/>
      <c r="AA210" s="1599"/>
      <c r="AB210" s="1599"/>
      <c r="AC210" s="1613"/>
      <c r="AD210" s="1599"/>
      <c r="AE210" s="1599"/>
      <c r="AF210" s="1599"/>
      <c r="AG210" s="1600"/>
      <c r="AH210" s="1841"/>
      <c r="AI210" s="1620"/>
    </row>
    <row r="211" spans="1:35" ht="24.95" customHeight="1" x14ac:dyDescent="0.25">
      <c r="A211" s="1477">
        <v>35</v>
      </c>
      <c r="B211" s="1577"/>
      <c r="C211" s="1578" t="e">
        <f>VLOOKUP(A211,data_siswa,4,FALSE)</f>
        <v>#N/A</v>
      </c>
      <c r="D211" s="1579" t="s">
        <v>155</v>
      </c>
      <c r="E211" s="1672">
        <v>0</v>
      </c>
      <c r="F211" s="1672">
        <v>0</v>
      </c>
      <c r="G211" s="1672">
        <v>0</v>
      </c>
      <c r="H211" s="2027"/>
      <c r="I211" s="2027"/>
      <c r="J211" s="2027"/>
      <c r="K211" s="1672"/>
      <c r="L211" s="1672"/>
      <c r="M211" s="1672"/>
      <c r="N211" s="2103"/>
      <c r="O211" s="2103"/>
      <c r="P211" s="2103"/>
      <c r="Q211" s="1077">
        <f>MAX(E211,H211,K211,N211)</f>
        <v>0</v>
      </c>
      <c r="R211" s="2126">
        <f t="shared" ref="R211:R215" si="273">MAX(F211,I211,L211,O211)</f>
        <v>0</v>
      </c>
      <c r="S211" s="2127">
        <f t="shared" ref="S211:S215" si="274">MAX(G211,J211,M211,P211)</f>
        <v>0</v>
      </c>
      <c r="T211" s="853">
        <f>IFERROR(AVERAGE(Q211:S211),"")</f>
        <v>0</v>
      </c>
      <c r="U211" s="2081" t="str">
        <f>IF(T211&gt;85,("4"),IF(T211&gt;80,("3.66"),IF(T211&gt;75,("3.33"),IF(T211&gt;70,("3.00"),IF(T211&gt;65,("2.66"),IF(T211&gt;60,("2.33"),IF(T211&gt;55,("2"),IF(T211&gt;50,("1.66"),"1.33"))))))))</f>
        <v>1.33</v>
      </c>
      <c r="V211" s="2081" t="str">
        <f>IF(T211&gt;85,("A"),IF(T211&gt;80,("A-"),IF(T211&gt;75,("B+"),IF(T211&gt;70,("B"),IF(T211&gt;65,("B-"),IF(T211&gt;60,("C+"),IF(T211&gt;55,("C"),IF(T211&gt;50,("C-"),"D+"))))))))</f>
        <v>D+</v>
      </c>
      <c r="W211" s="2081" t="str">
        <f>IF(T211&gt;80,("SB"),IF(T211&gt;65,("B"),IF(T211&gt;50,("C"),IF(T211&gt;0,("K"),"0"))))</f>
        <v>0</v>
      </c>
      <c r="X211" s="1609"/>
      <c r="Y211" s="1609"/>
      <c r="Z211" s="1609"/>
      <c r="AA211" s="1609"/>
      <c r="AB211" s="1609"/>
      <c r="AC211" s="1610"/>
      <c r="AD211" s="1611"/>
      <c r="AE211" s="1611"/>
      <c r="AF211" s="1611"/>
      <c r="AG211" s="1611"/>
      <c r="AH211" s="1929">
        <f>AVERAGE(T211:T215)</f>
        <v>0</v>
      </c>
      <c r="AI211" s="1945" t="str">
        <f>IF(AH211&gt;85,("A"),IF(AH211&gt;80,("A-"),IF(AH211&gt;75,("B+"),IF(AH211&gt;70,("B"),IF(AH211&gt;65,("B-"),IF(AH211&gt;60,("C+"),IF(AH211&gt;55,("C"),IF(AH211&gt;50,("C-"),"D+"))))))))</f>
        <v>D+</v>
      </c>
    </row>
    <row r="212" spans="1:35" ht="24.95" customHeight="1" x14ac:dyDescent="0.25">
      <c r="A212" s="1478"/>
      <c r="B212" s="1580"/>
      <c r="C212" s="1581"/>
      <c r="D212" s="1579" t="s">
        <v>9</v>
      </c>
      <c r="E212" s="1385">
        <v>0</v>
      </c>
      <c r="F212" s="1385">
        <v>0</v>
      </c>
      <c r="G212" s="1385">
        <v>0</v>
      </c>
      <c r="H212" s="2101"/>
      <c r="I212" s="2101"/>
      <c r="J212" s="2101"/>
      <c r="K212" s="1385"/>
      <c r="L212" s="1385"/>
      <c r="M212" s="1385"/>
      <c r="N212" s="2100">
        <v>0</v>
      </c>
      <c r="O212" s="2100">
        <v>0</v>
      </c>
      <c r="P212" s="2100">
        <v>0</v>
      </c>
      <c r="Q212" s="1077">
        <f t="shared" ref="Q212:Q213" si="275">MAX(E212,H212,K212,N212)</f>
        <v>0</v>
      </c>
      <c r="R212" s="2126">
        <f t="shared" si="273"/>
        <v>0</v>
      </c>
      <c r="S212" s="2127">
        <f t="shared" si="274"/>
        <v>0</v>
      </c>
      <c r="T212" s="853">
        <f t="shared" ref="T212:T213" si="276">IFERROR(AVERAGE(Q212:S212),"")</f>
        <v>0</v>
      </c>
      <c r="U212" s="2081" t="str">
        <f t="shared" ref="U212:U215" si="277">IF(T212&gt;85,("4"),IF(T212&gt;80,("3.66"),IF(T212&gt;75,("3.33"),IF(T212&gt;70,("3.00"),IF(T212&gt;65,("2.66"),IF(T212&gt;60,("2.33"),IF(T212&gt;55,("2"),IF(T212&gt;50,("1.66"),"1.33"))))))))</f>
        <v>1.33</v>
      </c>
      <c r="V212" s="2081" t="str">
        <f t="shared" ref="V212:V215" si="278">IF(T212&gt;85,("A"),IF(T212&gt;80,("A-"),IF(T212&gt;75,("B+"),IF(T212&gt;70,("B"),IF(T212&gt;65,("B-"),IF(T212&gt;60,("C+"),IF(T212&gt;55,("C"),IF(T212&gt;50,("C-"),"D+"))))))))</f>
        <v>D+</v>
      </c>
      <c r="W212" s="2081" t="str">
        <f t="shared" ref="W212:W215" si="279">IF(T212&gt;80,("SB"),IF(T212&gt;65,("B"),IF(T212&gt;50,("C"),IF(T212&gt;0,("K"),"0"))))</f>
        <v>0</v>
      </c>
      <c r="X212" s="1582"/>
      <c r="Y212" s="1583"/>
      <c r="Z212" s="1583"/>
      <c r="AA212" s="1583"/>
      <c r="AB212" s="1583"/>
      <c r="AC212" s="1584"/>
      <c r="AD212" s="1585"/>
      <c r="AE212" s="1585"/>
      <c r="AF212" s="1585"/>
      <c r="AG212" s="1586"/>
      <c r="AH212" s="1411"/>
      <c r="AI212" s="1412"/>
    </row>
    <row r="213" spans="1:35" ht="24.95" customHeight="1" x14ac:dyDescent="0.25">
      <c r="A213" s="1478"/>
      <c r="B213" s="1580"/>
      <c r="C213" s="1581"/>
      <c r="D213" s="1579" t="s">
        <v>11</v>
      </c>
      <c r="E213" s="1385"/>
      <c r="F213" s="1385"/>
      <c r="G213" s="1385"/>
      <c r="H213" s="2101">
        <v>0</v>
      </c>
      <c r="I213" s="2101">
        <v>0</v>
      </c>
      <c r="J213" s="2101">
        <v>0</v>
      </c>
      <c r="K213" s="1385">
        <v>0</v>
      </c>
      <c r="L213" s="1385">
        <v>0</v>
      </c>
      <c r="M213" s="1385">
        <v>0</v>
      </c>
      <c r="N213" s="2100">
        <v>0</v>
      </c>
      <c r="O213" s="2100">
        <v>0</v>
      </c>
      <c r="P213" s="2100">
        <v>0</v>
      </c>
      <c r="Q213" s="1077">
        <f t="shared" si="275"/>
        <v>0</v>
      </c>
      <c r="R213" s="2126">
        <f t="shared" si="273"/>
        <v>0</v>
      </c>
      <c r="S213" s="2127">
        <f t="shared" si="274"/>
        <v>0</v>
      </c>
      <c r="T213" s="853">
        <f t="shared" si="276"/>
        <v>0</v>
      </c>
      <c r="U213" s="2081" t="str">
        <f t="shared" si="277"/>
        <v>1.33</v>
      </c>
      <c r="V213" s="2081" t="str">
        <f t="shared" si="278"/>
        <v>D+</v>
      </c>
      <c r="W213" s="2081" t="str">
        <f t="shared" si="279"/>
        <v>0</v>
      </c>
      <c r="X213" s="1587"/>
      <c r="Y213" s="1588"/>
      <c r="Z213" s="1588"/>
      <c r="AA213" s="1588"/>
      <c r="AB213" s="1588"/>
      <c r="AC213" s="1589"/>
      <c r="AD213" s="1590"/>
      <c r="AE213" s="1590"/>
      <c r="AF213" s="1590"/>
      <c r="AG213" s="1591"/>
      <c r="AH213" s="1413"/>
      <c r="AI213" s="1414"/>
    </row>
    <row r="214" spans="1:35" ht="24.95" customHeight="1" x14ac:dyDescent="0.25">
      <c r="A214" s="1478"/>
      <c r="B214" s="1580"/>
      <c r="C214" s="1581"/>
      <c r="D214" s="1579" t="s">
        <v>16</v>
      </c>
      <c r="E214" s="1385"/>
      <c r="F214" s="1385"/>
      <c r="G214" s="1385"/>
      <c r="H214" s="2101">
        <v>0</v>
      </c>
      <c r="I214" s="2101">
        <v>0</v>
      </c>
      <c r="J214" s="2101">
        <v>0</v>
      </c>
      <c r="K214" s="1385"/>
      <c r="L214" s="1385"/>
      <c r="M214" s="1385"/>
      <c r="N214" s="2100"/>
      <c r="O214" s="2100"/>
      <c r="P214" s="2100"/>
      <c r="Q214" s="1077">
        <f>MAX(E214,H214,K214,N214)</f>
        <v>0</v>
      </c>
      <c r="R214" s="2126">
        <f t="shared" si="273"/>
        <v>0</v>
      </c>
      <c r="S214" s="2127">
        <f t="shared" si="274"/>
        <v>0</v>
      </c>
      <c r="T214" s="853">
        <f>IFERROR(AVERAGE(Q214:S214),"")</f>
        <v>0</v>
      </c>
      <c r="U214" s="2081" t="str">
        <f t="shared" si="277"/>
        <v>1.33</v>
      </c>
      <c r="V214" s="2081" t="str">
        <f t="shared" si="278"/>
        <v>D+</v>
      </c>
      <c r="W214" s="2081" t="str">
        <f t="shared" si="279"/>
        <v>0</v>
      </c>
      <c r="X214" s="1587"/>
      <c r="Y214" s="1588"/>
      <c r="Z214" s="1588"/>
      <c r="AA214" s="1588"/>
      <c r="AB214" s="1588"/>
      <c r="AC214" s="1589"/>
      <c r="AD214" s="1590"/>
      <c r="AE214" s="1590"/>
      <c r="AF214" s="1590"/>
      <c r="AG214" s="1591"/>
      <c r="AH214" s="1413"/>
      <c r="AI214" s="1414"/>
    </row>
    <row r="215" spans="1:35" ht="24.95" customHeight="1" x14ac:dyDescent="0.25">
      <c r="A215" s="1478"/>
      <c r="B215" s="1580"/>
      <c r="C215" s="1581"/>
      <c r="D215" s="1579" t="s">
        <v>189</v>
      </c>
      <c r="E215" s="1385">
        <v>0</v>
      </c>
      <c r="F215" s="1385">
        <v>0</v>
      </c>
      <c r="G215" s="1385">
        <v>0</v>
      </c>
      <c r="H215" s="2101"/>
      <c r="I215" s="2101"/>
      <c r="J215" s="2101"/>
      <c r="K215" s="1385">
        <v>0</v>
      </c>
      <c r="L215" s="1385">
        <v>0</v>
      </c>
      <c r="M215" s="1385">
        <v>0</v>
      </c>
      <c r="N215" s="2100"/>
      <c r="O215" s="2100"/>
      <c r="P215" s="2100"/>
      <c r="Q215" s="1077">
        <f t="shared" ref="Q215" si="280">MAX(E215,H215,K215,N215)</f>
        <v>0</v>
      </c>
      <c r="R215" s="2126">
        <f t="shared" si="273"/>
        <v>0</v>
      </c>
      <c r="S215" s="2127">
        <f t="shared" si="274"/>
        <v>0</v>
      </c>
      <c r="T215" s="853">
        <f>IFERROR(AVERAGE(Q215:S215),"")</f>
        <v>0</v>
      </c>
      <c r="U215" s="2081" t="str">
        <f t="shared" si="277"/>
        <v>1.33</v>
      </c>
      <c r="V215" s="2081" t="str">
        <f t="shared" si="278"/>
        <v>D+</v>
      </c>
      <c r="W215" s="2081" t="str">
        <f t="shared" si="279"/>
        <v>0</v>
      </c>
      <c r="X215" s="1587"/>
      <c r="Y215" s="1588"/>
      <c r="Z215" s="1588"/>
      <c r="AA215" s="1588"/>
      <c r="AB215" s="1588"/>
      <c r="AC215" s="1589"/>
      <c r="AD215" s="1590"/>
      <c r="AE215" s="1590"/>
      <c r="AF215" s="1590"/>
      <c r="AG215" s="1591"/>
      <c r="AH215" s="1413"/>
      <c r="AI215" s="1414"/>
    </row>
    <row r="216" spans="1:35" ht="24.95" customHeight="1" x14ac:dyDescent="0.25">
      <c r="A216" s="1592"/>
      <c r="B216" s="1592">
        <v>35</v>
      </c>
      <c r="C216" s="1593" t="s">
        <v>167</v>
      </c>
      <c r="D216" s="1594"/>
      <c r="E216" s="2878"/>
      <c r="F216" s="2879"/>
      <c r="G216" s="2879"/>
      <c r="H216" s="2879"/>
      <c r="I216" s="2079"/>
      <c r="J216" s="2079"/>
      <c r="K216" s="2079"/>
      <c r="L216" s="2079"/>
      <c r="M216" s="2079"/>
      <c r="N216" s="2079"/>
      <c r="O216" s="2079"/>
      <c r="P216" s="2079"/>
      <c r="Q216" s="2162"/>
      <c r="R216" s="2162"/>
      <c r="S216" s="2162"/>
      <c r="T216" s="1942">
        <f>IFERROR(AVERAGE(T211:T215),"  ")</f>
        <v>0</v>
      </c>
      <c r="U216" s="1619" t="str">
        <f>IF(T216&gt;85,("4"),IF(T216&gt;80,("3.66"),IF(T216&gt;75,("3.33"),IF(T216&gt;70,("3.00"),IF(T216&gt;65,("2.66"),IF(T216&gt;60,("2.33"),IF(T216&gt;55,("2"),IF(T216&gt;50,("1.66"),"1.33"))))))))</f>
        <v>1.33</v>
      </c>
      <c r="V216" s="1619" t="str">
        <f>IF(T216&gt;85,("A"),IF(T216&gt;80,("A-"),IF(T216&gt;75,("B+"),IF(T216&gt;70,("B"),IF(T216&gt;65,("B-"),IF(T216&gt;60,("C+"),IF(T216&gt;55,("C"),IF(T216&gt;50,("C-"),"D+"))))))))</f>
        <v>D+</v>
      </c>
      <c r="W216" s="1619"/>
      <c r="X216" s="1612"/>
      <c r="Y216" s="1599"/>
      <c r="Z216" s="1599"/>
      <c r="AA216" s="1599"/>
      <c r="AB216" s="1599"/>
      <c r="AC216" s="1613"/>
      <c r="AD216" s="1599"/>
      <c r="AE216" s="1599"/>
      <c r="AF216" s="1599"/>
      <c r="AG216" s="1600"/>
      <c r="AH216" s="1841"/>
      <c r="AI216" s="1620"/>
    </row>
    <row r="217" spans="1:35" ht="24.95" customHeight="1" x14ac:dyDescent="0.25">
      <c r="A217" s="1477">
        <v>36</v>
      </c>
      <c r="B217" s="1577"/>
      <c r="C217" s="1578" t="e">
        <f>VLOOKUP(A217,data_siswa,4,FALSE)</f>
        <v>#N/A</v>
      </c>
      <c r="D217" s="1579" t="s">
        <v>155</v>
      </c>
      <c r="E217" s="1672">
        <v>0</v>
      </c>
      <c r="F217" s="1672">
        <v>0</v>
      </c>
      <c r="G217" s="1672">
        <v>0</v>
      </c>
      <c r="H217" s="2027"/>
      <c r="I217" s="2027"/>
      <c r="J217" s="2027"/>
      <c r="K217" s="1672"/>
      <c r="L217" s="1672"/>
      <c r="M217" s="1672"/>
      <c r="N217" s="2103"/>
      <c r="O217" s="2103"/>
      <c r="P217" s="2103"/>
      <c r="Q217" s="1077">
        <f>MAX(E217,H217,K217,N217)</f>
        <v>0</v>
      </c>
      <c r="R217" s="2126">
        <f t="shared" ref="R217:R221" si="281">MAX(F217,I217,L217,O217)</f>
        <v>0</v>
      </c>
      <c r="S217" s="2127">
        <f t="shared" ref="S217:S221" si="282">MAX(G217,J217,M217,P217)</f>
        <v>0</v>
      </c>
      <c r="T217" s="853">
        <f>IFERROR(AVERAGE(Q217:S217),"")</f>
        <v>0</v>
      </c>
      <c r="U217" s="2081" t="str">
        <f>IF(T217&gt;85,("4"),IF(T217&gt;80,("3.66"),IF(T217&gt;75,("3.33"),IF(T217&gt;70,("3.00"),IF(T217&gt;65,("2.66"),IF(T217&gt;60,("2.33"),IF(T217&gt;55,("2"),IF(T217&gt;50,("1.66"),"1.33"))))))))</f>
        <v>1.33</v>
      </c>
      <c r="V217" s="2081" t="str">
        <f>IF(T217&gt;85,("A"),IF(T217&gt;80,("A-"),IF(T217&gt;75,("B+"),IF(T217&gt;70,("B"),IF(T217&gt;65,("B-"),IF(T217&gt;60,("C+"),IF(T217&gt;55,("C"),IF(T217&gt;50,("C-"),"D+"))))))))</f>
        <v>D+</v>
      </c>
      <c r="W217" s="2081" t="str">
        <f>IF(T217&gt;80,("SB"),IF(T217&gt;65,("B"),IF(T217&gt;50,("C"),IF(T217&gt;0,("K"),"0"))))</f>
        <v>0</v>
      </c>
      <c r="X217" s="1609"/>
      <c r="Y217" s="1609"/>
      <c r="Z217" s="1609"/>
      <c r="AA217" s="1609"/>
      <c r="AB217" s="1609"/>
      <c r="AC217" s="1610"/>
      <c r="AD217" s="1611"/>
      <c r="AE217" s="1611"/>
      <c r="AF217" s="1611"/>
      <c r="AG217" s="1611"/>
      <c r="AH217" s="1929">
        <f>AVERAGE(T217:T221)</f>
        <v>0</v>
      </c>
      <c r="AI217" s="1945" t="str">
        <f>IF(AH217&gt;85,("A"),IF(AH217&gt;80,("A-"),IF(AH217&gt;75,("B+"),IF(AH217&gt;70,("B"),IF(AH217&gt;65,("B-"),IF(AH217&gt;60,("C+"),IF(AH217&gt;55,("C"),IF(AH217&gt;50,("C-"),"D+"))))))))</f>
        <v>D+</v>
      </c>
    </row>
    <row r="218" spans="1:35" ht="24.95" customHeight="1" x14ac:dyDescent="0.25">
      <c r="A218" s="1478"/>
      <c r="B218" s="1580"/>
      <c r="C218" s="1581"/>
      <c r="D218" s="1579" t="s">
        <v>9</v>
      </c>
      <c r="E218" s="1385">
        <v>0</v>
      </c>
      <c r="F218" s="1385">
        <v>0</v>
      </c>
      <c r="G218" s="1385">
        <v>0</v>
      </c>
      <c r="H218" s="2101"/>
      <c r="I218" s="2101"/>
      <c r="J218" s="2101"/>
      <c r="K218" s="1385"/>
      <c r="L218" s="1385"/>
      <c r="M218" s="1385"/>
      <c r="N218" s="2100">
        <v>0</v>
      </c>
      <c r="O218" s="2100">
        <v>0</v>
      </c>
      <c r="P218" s="2100">
        <v>0</v>
      </c>
      <c r="Q218" s="1077">
        <f t="shared" ref="Q218:Q219" si="283">MAX(E218,H218,K218,N218)</f>
        <v>0</v>
      </c>
      <c r="R218" s="2126">
        <f t="shared" si="281"/>
        <v>0</v>
      </c>
      <c r="S218" s="2127">
        <f t="shared" si="282"/>
        <v>0</v>
      </c>
      <c r="T218" s="853">
        <f t="shared" ref="T218:T219" si="284">IFERROR(AVERAGE(Q218:S218),"")</f>
        <v>0</v>
      </c>
      <c r="U218" s="2081" t="str">
        <f t="shared" ref="U218:U221" si="285">IF(T218&gt;85,("4"),IF(T218&gt;80,("3.66"),IF(T218&gt;75,("3.33"),IF(T218&gt;70,("3.00"),IF(T218&gt;65,("2.66"),IF(T218&gt;60,("2.33"),IF(T218&gt;55,("2"),IF(T218&gt;50,("1.66"),"1.33"))))))))</f>
        <v>1.33</v>
      </c>
      <c r="V218" s="2081" t="str">
        <f t="shared" ref="V218:V221" si="286">IF(T218&gt;85,("A"),IF(T218&gt;80,("A-"),IF(T218&gt;75,("B+"),IF(T218&gt;70,("B"),IF(T218&gt;65,("B-"),IF(T218&gt;60,("C+"),IF(T218&gt;55,("C"),IF(T218&gt;50,("C-"),"D+"))))))))</f>
        <v>D+</v>
      </c>
      <c r="W218" s="2081" t="str">
        <f t="shared" ref="W218:W221" si="287">IF(T218&gt;80,("SB"),IF(T218&gt;65,("B"),IF(T218&gt;50,("C"),IF(T218&gt;0,("K"),"0"))))</f>
        <v>0</v>
      </c>
      <c r="X218" s="1582"/>
      <c r="Y218" s="1583"/>
      <c r="Z218" s="1583"/>
      <c r="AA218" s="1583"/>
      <c r="AB218" s="1583"/>
      <c r="AC218" s="1584"/>
      <c r="AD218" s="1585"/>
      <c r="AE218" s="1585"/>
      <c r="AF218" s="1585"/>
      <c r="AG218" s="1586"/>
      <c r="AH218" s="1411"/>
      <c r="AI218" s="1412"/>
    </row>
    <row r="219" spans="1:35" ht="24.95" customHeight="1" x14ac:dyDescent="0.25">
      <c r="A219" s="1478"/>
      <c r="B219" s="1580"/>
      <c r="C219" s="1581"/>
      <c r="D219" s="1579" t="s">
        <v>11</v>
      </c>
      <c r="E219" s="1385"/>
      <c r="F219" s="1385"/>
      <c r="G219" s="1385"/>
      <c r="H219" s="2101">
        <v>0</v>
      </c>
      <c r="I219" s="2101">
        <v>0</v>
      </c>
      <c r="J219" s="2101">
        <v>0</v>
      </c>
      <c r="K219" s="1385">
        <v>0</v>
      </c>
      <c r="L219" s="1385">
        <v>0</v>
      </c>
      <c r="M219" s="1385">
        <v>0</v>
      </c>
      <c r="N219" s="2100">
        <v>0</v>
      </c>
      <c r="O219" s="2100">
        <v>0</v>
      </c>
      <c r="P219" s="2100">
        <v>0</v>
      </c>
      <c r="Q219" s="1077">
        <f t="shared" si="283"/>
        <v>0</v>
      </c>
      <c r="R219" s="2126">
        <f t="shared" si="281"/>
        <v>0</v>
      </c>
      <c r="S219" s="2127">
        <f t="shared" si="282"/>
        <v>0</v>
      </c>
      <c r="T219" s="853">
        <f t="shared" si="284"/>
        <v>0</v>
      </c>
      <c r="U219" s="2081" t="str">
        <f t="shared" si="285"/>
        <v>1.33</v>
      </c>
      <c r="V219" s="2081" t="str">
        <f t="shared" si="286"/>
        <v>D+</v>
      </c>
      <c r="W219" s="2081" t="str">
        <f t="shared" si="287"/>
        <v>0</v>
      </c>
      <c r="X219" s="1587"/>
      <c r="Y219" s="1588"/>
      <c r="Z219" s="1588"/>
      <c r="AA219" s="1588"/>
      <c r="AB219" s="1588"/>
      <c r="AC219" s="1589"/>
      <c r="AD219" s="1590"/>
      <c r="AE219" s="1590"/>
      <c r="AF219" s="1590"/>
      <c r="AG219" s="1591"/>
      <c r="AH219" s="1413"/>
      <c r="AI219" s="1414"/>
    </row>
    <row r="220" spans="1:35" ht="24.95" customHeight="1" x14ac:dyDescent="0.25">
      <c r="A220" s="1478"/>
      <c r="B220" s="1580"/>
      <c r="C220" s="1581"/>
      <c r="D220" s="1579" t="s">
        <v>16</v>
      </c>
      <c r="E220" s="1385"/>
      <c r="F220" s="1385"/>
      <c r="G220" s="1385"/>
      <c r="H220" s="2101">
        <v>0</v>
      </c>
      <c r="I220" s="2101">
        <v>0</v>
      </c>
      <c r="J220" s="2101">
        <v>0</v>
      </c>
      <c r="K220" s="1385"/>
      <c r="L220" s="1385"/>
      <c r="M220" s="1385"/>
      <c r="N220" s="2100"/>
      <c r="O220" s="2100"/>
      <c r="P220" s="2100"/>
      <c r="Q220" s="1077">
        <f>MAX(E220,H220,K220,N220)</f>
        <v>0</v>
      </c>
      <c r="R220" s="2126">
        <f t="shared" si="281"/>
        <v>0</v>
      </c>
      <c r="S220" s="2127">
        <f t="shared" si="282"/>
        <v>0</v>
      </c>
      <c r="T220" s="853">
        <f>IFERROR(AVERAGE(Q220:S220),"")</f>
        <v>0</v>
      </c>
      <c r="U220" s="2081" t="str">
        <f t="shared" si="285"/>
        <v>1.33</v>
      </c>
      <c r="V220" s="2081" t="str">
        <f t="shared" si="286"/>
        <v>D+</v>
      </c>
      <c r="W220" s="2081" t="str">
        <f t="shared" si="287"/>
        <v>0</v>
      </c>
      <c r="X220" s="1587"/>
      <c r="Y220" s="1588"/>
      <c r="Z220" s="1588"/>
      <c r="AA220" s="1588"/>
      <c r="AB220" s="1588"/>
      <c r="AC220" s="1589"/>
      <c r="AD220" s="1590"/>
      <c r="AE220" s="1590"/>
      <c r="AF220" s="1590"/>
      <c r="AG220" s="1591"/>
      <c r="AH220" s="1413"/>
      <c r="AI220" s="1414"/>
    </row>
    <row r="221" spans="1:35" ht="24.95" customHeight="1" x14ac:dyDescent="0.25">
      <c r="A221" s="1478"/>
      <c r="B221" s="1580"/>
      <c r="C221" s="1581"/>
      <c r="D221" s="1579" t="s">
        <v>189</v>
      </c>
      <c r="E221" s="1385">
        <v>0</v>
      </c>
      <c r="F221" s="1385">
        <v>0</v>
      </c>
      <c r="G221" s="1385">
        <v>0</v>
      </c>
      <c r="H221" s="2101"/>
      <c r="I221" s="2101"/>
      <c r="J221" s="2101"/>
      <c r="K221" s="1385">
        <v>0</v>
      </c>
      <c r="L221" s="1385">
        <v>0</v>
      </c>
      <c r="M221" s="1385">
        <v>0</v>
      </c>
      <c r="N221" s="2100"/>
      <c r="O221" s="2100"/>
      <c r="P221" s="2100"/>
      <c r="Q221" s="1077">
        <f t="shared" ref="Q221" si="288">MAX(E221,H221,K221,N221)</f>
        <v>0</v>
      </c>
      <c r="R221" s="2126">
        <f t="shared" si="281"/>
        <v>0</v>
      </c>
      <c r="S221" s="2127">
        <f t="shared" si="282"/>
        <v>0</v>
      </c>
      <c r="T221" s="853">
        <f>IFERROR(AVERAGE(Q221:S221),"")</f>
        <v>0</v>
      </c>
      <c r="U221" s="2081" t="str">
        <f t="shared" si="285"/>
        <v>1.33</v>
      </c>
      <c r="V221" s="2081" t="str">
        <f t="shared" si="286"/>
        <v>D+</v>
      </c>
      <c r="W221" s="2081" t="str">
        <f t="shared" si="287"/>
        <v>0</v>
      </c>
      <c r="X221" s="1587"/>
      <c r="Y221" s="1588"/>
      <c r="Z221" s="1588"/>
      <c r="AA221" s="1588"/>
      <c r="AB221" s="1588"/>
      <c r="AC221" s="1589"/>
      <c r="AD221" s="1590"/>
      <c r="AE221" s="1590"/>
      <c r="AF221" s="1590"/>
      <c r="AG221" s="1591"/>
      <c r="AH221" s="1413"/>
      <c r="AI221" s="1414"/>
    </row>
    <row r="222" spans="1:35" ht="24.95" customHeight="1" x14ac:dyDescent="0.25">
      <c r="A222" s="1592"/>
      <c r="B222" s="1592">
        <v>36</v>
      </c>
      <c r="C222" s="1593" t="s">
        <v>167</v>
      </c>
      <c r="D222" s="1594"/>
      <c r="E222" s="2878"/>
      <c r="F222" s="2879"/>
      <c r="G222" s="2879"/>
      <c r="H222" s="2879"/>
      <c r="I222" s="2079"/>
      <c r="J222" s="2079"/>
      <c r="K222" s="2079"/>
      <c r="L222" s="2079"/>
      <c r="M222" s="2079"/>
      <c r="N222" s="2079"/>
      <c r="O222" s="2079"/>
      <c r="P222" s="2079"/>
      <c r="Q222" s="2162"/>
      <c r="R222" s="2162"/>
      <c r="S222" s="2162"/>
      <c r="T222" s="1942">
        <f>IFERROR(AVERAGE(T217:T221),"  ")</f>
        <v>0</v>
      </c>
      <c r="U222" s="1619" t="str">
        <f>IF(T222&gt;85,("4"),IF(T222&gt;80,("3.66"),IF(T222&gt;75,("3.33"),IF(T222&gt;70,("3.00"),IF(T222&gt;65,("2.66"),IF(T222&gt;60,("2.33"),IF(T222&gt;55,("2"),IF(T222&gt;50,("1.66"),"1.33"))))))))</f>
        <v>1.33</v>
      </c>
      <c r="V222" s="1619" t="str">
        <f>IF(T222&gt;85,("A"),IF(T222&gt;80,("A-"),IF(T222&gt;75,("B+"),IF(T222&gt;70,("B"),IF(T222&gt;65,("B-"),IF(T222&gt;60,("C+"),IF(T222&gt;55,("C"),IF(T222&gt;50,("C-"),"D+"))))))))</f>
        <v>D+</v>
      </c>
      <c r="W222" s="1619"/>
      <c r="X222" s="1612"/>
      <c r="Y222" s="1599"/>
      <c r="Z222" s="1599"/>
      <c r="AA222" s="1599"/>
      <c r="AB222" s="1599"/>
      <c r="AC222" s="1613"/>
      <c r="AD222" s="1599"/>
      <c r="AE222" s="1599"/>
      <c r="AF222" s="1599"/>
      <c r="AG222" s="1600"/>
      <c r="AH222" s="1841"/>
      <c r="AI222" s="1620"/>
    </row>
    <row r="223" spans="1:35" ht="24.95" customHeight="1" x14ac:dyDescent="0.25">
      <c r="A223" s="1477">
        <v>37</v>
      </c>
      <c r="B223" s="1577"/>
      <c r="C223" s="1578" t="e">
        <f>VLOOKUP(A223,data_siswa,4,FALSE)</f>
        <v>#N/A</v>
      </c>
      <c r="D223" s="1579" t="s">
        <v>155</v>
      </c>
      <c r="E223" s="1672">
        <v>0</v>
      </c>
      <c r="F223" s="1672">
        <v>0</v>
      </c>
      <c r="G223" s="1672">
        <v>0</v>
      </c>
      <c r="H223" s="2027"/>
      <c r="I223" s="2027"/>
      <c r="J223" s="2027"/>
      <c r="K223" s="1672"/>
      <c r="L223" s="1672"/>
      <c r="M223" s="1672"/>
      <c r="N223" s="2103"/>
      <c r="O223" s="2103"/>
      <c r="P223" s="2103"/>
      <c r="Q223" s="1077">
        <f>MAX(E223,H223,K223,N223)</f>
        <v>0</v>
      </c>
      <c r="R223" s="2126">
        <f t="shared" ref="R223:R227" si="289">MAX(F223,I223,L223,O223)</f>
        <v>0</v>
      </c>
      <c r="S223" s="2127">
        <f t="shared" ref="S223:S227" si="290">MAX(G223,J223,M223,P223)</f>
        <v>0</v>
      </c>
      <c r="T223" s="853">
        <f>IFERROR(AVERAGE(Q223:S223),"")</f>
        <v>0</v>
      </c>
      <c r="U223" s="2081" t="str">
        <f>IF(T223&gt;85,("4"),IF(T223&gt;80,("3.66"),IF(T223&gt;75,("3.33"),IF(T223&gt;70,("3.00"),IF(T223&gt;65,("2.66"),IF(T223&gt;60,("2.33"),IF(T223&gt;55,("2"),IF(T223&gt;50,("1.66"),"1.33"))))))))</f>
        <v>1.33</v>
      </c>
      <c r="V223" s="2081" t="str">
        <f>IF(T223&gt;85,("A"),IF(T223&gt;80,("A-"),IF(T223&gt;75,("B+"),IF(T223&gt;70,("B"),IF(T223&gt;65,("B-"),IF(T223&gt;60,("C+"),IF(T223&gt;55,("C"),IF(T223&gt;50,("C-"),"D+"))))))))</f>
        <v>D+</v>
      </c>
      <c r="W223" s="2081" t="str">
        <f>IF(T223&gt;80,("SB"),IF(T223&gt;65,("B"),IF(T223&gt;50,("C"),IF(T223&gt;0,("K"),"0"))))</f>
        <v>0</v>
      </c>
      <c r="X223" s="1609"/>
      <c r="Y223" s="1609"/>
      <c r="Z223" s="1609"/>
      <c r="AA223" s="1609"/>
      <c r="AB223" s="1609"/>
      <c r="AC223" s="1610"/>
      <c r="AD223" s="1611"/>
      <c r="AE223" s="1611"/>
      <c r="AF223" s="1611"/>
      <c r="AG223" s="1611"/>
      <c r="AH223" s="1929">
        <f>AVERAGE(T223:T227)</f>
        <v>0</v>
      </c>
      <c r="AI223" s="1945" t="str">
        <f>IF(AH223&gt;85,("A"),IF(AH223&gt;80,("A-"),IF(AH223&gt;75,("B+"),IF(AH223&gt;70,("B"),IF(AH223&gt;65,("B-"),IF(AH223&gt;60,("C+"),IF(AH223&gt;55,("C"),IF(AH223&gt;50,("C-"),"D+"))))))))</f>
        <v>D+</v>
      </c>
    </row>
    <row r="224" spans="1:35" ht="24.95" customHeight="1" x14ac:dyDescent="0.25">
      <c r="A224" s="1478"/>
      <c r="B224" s="1580"/>
      <c r="C224" s="1581"/>
      <c r="D224" s="1579" t="s">
        <v>9</v>
      </c>
      <c r="E224" s="1385">
        <v>0</v>
      </c>
      <c r="F224" s="1385">
        <v>0</v>
      </c>
      <c r="G224" s="1385">
        <v>0</v>
      </c>
      <c r="H224" s="2101"/>
      <c r="I224" s="2101"/>
      <c r="J224" s="2101"/>
      <c r="K224" s="1385"/>
      <c r="L224" s="1385"/>
      <c r="M224" s="1385"/>
      <c r="N224" s="2100">
        <v>0</v>
      </c>
      <c r="O224" s="2100">
        <v>0</v>
      </c>
      <c r="P224" s="2100">
        <v>0</v>
      </c>
      <c r="Q224" s="1077">
        <f t="shared" ref="Q224:Q225" si="291">MAX(E224,H224,K224,N224)</f>
        <v>0</v>
      </c>
      <c r="R224" s="2126">
        <f t="shared" si="289"/>
        <v>0</v>
      </c>
      <c r="S224" s="2127">
        <f t="shared" si="290"/>
        <v>0</v>
      </c>
      <c r="T224" s="853">
        <f t="shared" ref="T224:T225" si="292">IFERROR(AVERAGE(Q224:S224),"")</f>
        <v>0</v>
      </c>
      <c r="U224" s="2081" t="str">
        <f t="shared" ref="U224:U227" si="293">IF(T224&gt;85,("4"),IF(T224&gt;80,("3.66"),IF(T224&gt;75,("3.33"),IF(T224&gt;70,("3.00"),IF(T224&gt;65,("2.66"),IF(T224&gt;60,("2.33"),IF(T224&gt;55,("2"),IF(T224&gt;50,("1.66"),"1.33"))))))))</f>
        <v>1.33</v>
      </c>
      <c r="V224" s="2081" t="str">
        <f t="shared" ref="V224:V227" si="294">IF(T224&gt;85,("A"),IF(T224&gt;80,("A-"),IF(T224&gt;75,("B+"),IF(T224&gt;70,("B"),IF(T224&gt;65,("B-"),IF(T224&gt;60,("C+"),IF(T224&gt;55,("C"),IF(T224&gt;50,("C-"),"D+"))))))))</f>
        <v>D+</v>
      </c>
      <c r="W224" s="2081" t="str">
        <f t="shared" ref="W224:W227" si="295">IF(T224&gt;80,("SB"),IF(T224&gt;65,("B"),IF(T224&gt;50,("C"),IF(T224&gt;0,("K"),"0"))))</f>
        <v>0</v>
      </c>
      <c r="X224" s="1582"/>
      <c r="Y224" s="1583"/>
      <c r="Z224" s="1583"/>
      <c r="AA224" s="1583"/>
      <c r="AB224" s="1583"/>
      <c r="AC224" s="1584"/>
      <c r="AD224" s="1585"/>
      <c r="AE224" s="1585"/>
      <c r="AF224" s="1585"/>
      <c r="AG224" s="1586"/>
      <c r="AH224" s="1411"/>
      <c r="AI224" s="1412"/>
    </row>
    <row r="225" spans="1:35" ht="24.95" customHeight="1" x14ac:dyDescent="0.25">
      <c r="A225" s="1478"/>
      <c r="B225" s="1580"/>
      <c r="C225" s="1581"/>
      <c r="D225" s="1579" t="s">
        <v>11</v>
      </c>
      <c r="E225" s="1385"/>
      <c r="F225" s="1385"/>
      <c r="G225" s="1385"/>
      <c r="H225" s="2101">
        <v>0</v>
      </c>
      <c r="I225" s="2101">
        <v>0</v>
      </c>
      <c r="J225" s="2101">
        <v>0</v>
      </c>
      <c r="K225" s="1385">
        <v>0</v>
      </c>
      <c r="L225" s="1385">
        <v>0</v>
      </c>
      <c r="M225" s="1385">
        <v>0</v>
      </c>
      <c r="N225" s="2100">
        <v>0</v>
      </c>
      <c r="O225" s="2100">
        <v>0</v>
      </c>
      <c r="P225" s="2100">
        <v>0</v>
      </c>
      <c r="Q225" s="1077">
        <f t="shared" si="291"/>
        <v>0</v>
      </c>
      <c r="R225" s="2126">
        <f t="shared" si="289"/>
        <v>0</v>
      </c>
      <c r="S225" s="2127">
        <f t="shared" si="290"/>
        <v>0</v>
      </c>
      <c r="T225" s="853">
        <f t="shared" si="292"/>
        <v>0</v>
      </c>
      <c r="U225" s="2081" t="str">
        <f t="shared" si="293"/>
        <v>1.33</v>
      </c>
      <c r="V225" s="2081" t="str">
        <f t="shared" si="294"/>
        <v>D+</v>
      </c>
      <c r="W225" s="2081" t="str">
        <f t="shared" si="295"/>
        <v>0</v>
      </c>
      <c r="X225" s="1587"/>
      <c r="Y225" s="1588"/>
      <c r="Z225" s="1588"/>
      <c r="AA225" s="1588"/>
      <c r="AB225" s="1588"/>
      <c r="AC225" s="1589"/>
      <c r="AD225" s="1590"/>
      <c r="AE225" s="1590"/>
      <c r="AF225" s="1590"/>
      <c r="AG225" s="1591"/>
      <c r="AH225" s="1413"/>
      <c r="AI225" s="1414"/>
    </row>
    <row r="226" spans="1:35" ht="24.95" customHeight="1" x14ac:dyDescent="0.25">
      <c r="A226" s="1478"/>
      <c r="B226" s="1580"/>
      <c r="C226" s="1581"/>
      <c r="D226" s="1579" t="s">
        <v>16</v>
      </c>
      <c r="E226" s="1385"/>
      <c r="F226" s="1385"/>
      <c r="G226" s="1385"/>
      <c r="H226" s="2101">
        <v>0</v>
      </c>
      <c r="I226" s="2101">
        <v>0</v>
      </c>
      <c r="J226" s="2101">
        <v>0</v>
      </c>
      <c r="K226" s="1385"/>
      <c r="L226" s="1385"/>
      <c r="M226" s="1385"/>
      <c r="N226" s="2100"/>
      <c r="O226" s="2100"/>
      <c r="P226" s="2100"/>
      <c r="Q226" s="1077">
        <f>MAX(E226,H226,K226,N226)</f>
        <v>0</v>
      </c>
      <c r="R226" s="2126">
        <f t="shared" si="289"/>
        <v>0</v>
      </c>
      <c r="S226" s="2127">
        <f t="shared" si="290"/>
        <v>0</v>
      </c>
      <c r="T226" s="853">
        <f>IFERROR(AVERAGE(Q226:S226),"")</f>
        <v>0</v>
      </c>
      <c r="U226" s="2081" t="str">
        <f t="shared" si="293"/>
        <v>1.33</v>
      </c>
      <c r="V226" s="2081" t="str">
        <f t="shared" si="294"/>
        <v>D+</v>
      </c>
      <c r="W226" s="2081" t="str">
        <f t="shared" si="295"/>
        <v>0</v>
      </c>
      <c r="X226" s="1587"/>
      <c r="Y226" s="1588"/>
      <c r="Z226" s="1588"/>
      <c r="AA226" s="1588"/>
      <c r="AB226" s="1588"/>
      <c r="AC226" s="1589"/>
      <c r="AD226" s="1590"/>
      <c r="AE226" s="1590"/>
      <c r="AF226" s="1590"/>
      <c r="AG226" s="1591"/>
      <c r="AH226" s="1413"/>
      <c r="AI226" s="1414"/>
    </row>
    <row r="227" spans="1:35" ht="24.95" customHeight="1" x14ac:dyDescent="0.25">
      <c r="A227" s="1478"/>
      <c r="B227" s="1580"/>
      <c r="C227" s="1581"/>
      <c r="D227" s="1579" t="s">
        <v>189</v>
      </c>
      <c r="E227" s="1385">
        <v>0</v>
      </c>
      <c r="F227" s="1385">
        <v>0</v>
      </c>
      <c r="G227" s="1385">
        <v>0</v>
      </c>
      <c r="H227" s="2101"/>
      <c r="I227" s="2101"/>
      <c r="J227" s="2101"/>
      <c r="K227" s="1385">
        <v>0</v>
      </c>
      <c r="L227" s="1385">
        <v>0</v>
      </c>
      <c r="M227" s="1385">
        <v>0</v>
      </c>
      <c r="N227" s="2100"/>
      <c r="O227" s="2100"/>
      <c r="P227" s="2100"/>
      <c r="Q227" s="1077">
        <f t="shared" ref="Q227" si="296">MAX(E227,H227,K227,N227)</f>
        <v>0</v>
      </c>
      <c r="R227" s="2126">
        <f t="shared" si="289"/>
        <v>0</v>
      </c>
      <c r="S227" s="2127">
        <f t="shared" si="290"/>
        <v>0</v>
      </c>
      <c r="T227" s="853">
        <f>IFERROR(AVERAGE(Q227:S227),"")</f>
        <v>0</v>
      </c>
      <c r="U227" s="2081" t="str">
        <f t="shared" si="293"/>
        <v>1.33</v>
      </c>
      <c r="V227" s="2081" t="str">
        <f t="shared" si="294"/>
        <v>D+</v>
      </c>
      <c r="W227" s="2081" t="str">
        <f t="shared" si="295"/>
        <v>0</v>
      </c>
      <c r="X227" s="1587"/>
      <c r="Y227" s="1588"/>
      <c r="Z227" s="1588"/>
      <c r="AA227" s="1588"/>
      <c r="AB227" s="1588"/>
      <c r="AC227" s="1589"/>
      <c r="AD227" s="1590"/>
      <c r="AE227" s="1590"/>
      <c r="AF227" s="1590"/>
      <c r="AG227" s="1591"/>
      <c r="AH227" s="1413"/>
      <c r="AI227" s="1414"/>
    </row>
    <row r="228" spans="1:35" ht="24.95" customHeight="1" x14ac:dyDescent="0.25">
      <c r="A228" s="1592"/>
      <c r="B228" s="1592">
        <v>37</v>
      </c>
      <c r="C228" s="1593" t="s">
        <v>167</v>
      </c>
      <c r="D228" s="1594"/>
      <c r="E228" s="2878"/>
      <c r="F228" s="2879"/>
      <c r="G228" s="2879"/>
      <c r="H228" s="2879"/>
      <c r="I228" s="2079"/>
      <c r="J228" s="2079"/>
      <c r="K228" s="2079"/>
      <c r="L228" s="2079"/>
      <c r="M228" s="2079"/>
      <c r="N228" s="2079"/>
      <c r="O228" s="2079"/>
      <c r="P228" s="2079"/>
      <c r="Q228" s="2162"/>
      <c r="R228" s="2162"/>
      <c r="S228" s="2162"/>
      <c r="T228" s="1942">
        <f>IFERROR(AVERAGE(T223:T227),"  ")</f>
        <v>0</v>
      </c>
      <c r="U228" s="1619" t="str">
        <f>IF(T228&gt;85,("4"),IF(T228&gt;80,("3.66"),IF(T228&gt;75,("3.33"),IF(T228&gt;70,("3.00"),IF(T228&gt;65,("2.66"),IF(T228&gt;60,("2.33"),IF(T228&gt;55,("2"),IF(T228&gt;50,("1.66"),"1.33"))))))))</f>
        <v>1.33</v>
      </c>
      <c r="V228" s="1619" t="str">
        <f>IF(T228&gt;85,("A"),IF(T228&gt;80,("A-"),IF(T228&gt;75,("B+"),IF(T228&gt;70,("B"),IF(T228&gt;65,("B-"),IF(T228&gt;60,("C+"),IF(T228&gt;55,("C"),IF(T228&gt;50,("C-"),"D+"))))))))</f>
        <v>D+</v>
      </c>
      <c r="W228" s="1619"/>
      <c r="X228" s="1612"/>
      <c r="Y228" s="1599"/>
      <c r="Z228" s="1599"/>
      <c r="AA228" s="1599"/>
      <c r="AB228" s="1599"/>
      <c r="AC228" s="1613"/>
      <c r="AD228" s="1599"/>
      <c r="AE228" s="1599"/>
      <c r="AF228" s="1599"/>
      <c r="AG228" s="1600"/>
      <c r="AH228" s="1841"/>
      <c r="AI228" s="1620"/>
    </row>
    <row r="229" spans="1:35" ht="24.95" customHeight="1" x14ac:dyDescent="0.25">
      <c r="A229" s="1477">
        <v>38</v>
      </c>
      <c r="B229" s="1577"/>
      <c r="C229" s="1578" t="e">
        <f>VLOOKUP(A229,data_siswa,4,FALSE)</f>
        <v>#N/A</v>
      </c>
      <c r="D229" s="1579" t="s">
        <v>155</v>
      </c>
      <c r="E229" s="1672">
        <v>0</v>
      </c>
      <c r="F229" s="1672">
        <v>0</v>
      </c>
      <c r="G229" s="1672">
        <v>0</v>
      </c>
      <c r="H229" s="2027"/>
      <c r="I229" s="2027"/>
      <c r="J229" s="2027"/>
      <c r="K229" s="1672"/>
      <c r="L229" s="1672"/>
      <c r="M229" s="1672"/>
      <c r="N229" s="2103"/>
      <c r="O229" s="2103"/>
      <c r="P229" s="2103"/>
      <c r="Q229" s="1077">
        <f>MAX(E229,H229,K229,N229)</f>
        <v>0</v>
      </c>
      <c r="R229" s="2126">
        <f t="shared" ref="R229:R233" si="297">MAX(F229,I229,L229,O229)</f>
        <v>0</v>
      </c>
      <c r="S229" s="2127">
        <f t="shared" ref="S229:S233" si="298">MAX(G229,J229,M229,P229)</f>
        <v>0</v>
      </c>
      <c r="T229" s="853">
        <f>IFERROR(AVERAGE(Q229:S229),"")</f>
        <v>0</v>
      </c>
      <c r="U229" s="2081" t="str">
        <f>IF(T229&gt;85,("4"),IF(T229&gt;80,("3.66"),IF(T229&gt;75,("3.33"),IF(T229&gt;70,("3.00"),IF(T229&gt;65,("2.66"),IF(T229&gt;60,("2.33"),IF(T229&gt;55,("2"),IF(T229&gt;50,("1.66"),"1.33"))))))))</f>
        <v>1.33</v>
      </c>
      <c r="V229" s="2081" t="str">
        <f>IF(T229&gt;85,("A"),IF(T229&gt;80,("A-"),IF(T229&gt;75,("B+"),IF(T229&gt;70,("B"),IF(T229&gt;65,("B-"),IF(T229&gt;60,("C+"),IF(T229&gt;55,("C"),IF(T229&gt;50,("C-"),"D+"))))))))</f>
        <v>D+</v>
      </c>
      <c r="W229" s="2081" t="str">
        <f>IF(T229&gt;80,("SB"),IF(T229&gt;65,("B"),IF(T229&gt;50,("C"),IF(T229&gt;0,("K"),"0"))))</f>
        <v>0</v>
      </c>
      <c r="X229" s="1609"/>
      <c r="Y229" s="1609"/>
      <c r="Z229" s="1609"/>
      <c r="AA229" s="1609"/>
      <c r="AB229" s="1609"/>
      <c r="AC229" s="1610"/>
      <c r="AD229" s="1611"/>
      <c r="AE229" s="1611"/>
      <c r="AF229" s="1611"/>
      <c r="AG229" s="1611"/>
      <c r="AH229" s="1929">
        <f>AVERAGE(T229:T233)</f>
        <v>0</v>
      </c>
      <c r="AI229" s="1945" t="str">
        <f>IF(AH229&gt;85,("A"),IF(AH229&gt;80,("A-"),IF(AH229&gt;75,("B+"),IF(AH229&gt;70,("B"),IF(AH229&gt;65,("B-"),IF(AH229&gt;60,("C+"),IF(AH229&gt;55,("C"),IF(AH229&gt;50,("C-"),"D+"))))))))</f>
        <v>D+</v>
      </c>
    </row>
    <row r="230" spans="1:35" ht="24.95" customHeight="1" x14ac:dyDescent="0.25">
      <c r="A230" s="1478"/>
      <c r="B230" s="1580"/>
      <c r="C230" s="1581"/>
      <c r="D230" s="1579" t="s">
        <v>9</v>
      </c>
      <c r="E230" s="1385">
        <v>0</v>
      </c>
      <c r="F230" s="1385">
        <v>0</v>
      </c>
      <c r="G230" s="1385">
        <v>0</v>
      </c>
      <c r="H230" s="2101"/>
      <c r="I230" s="2101"/>
      <c r="J230" s="2101"/>
      <c r="K230" s="1385"/>
      <c r="L230" s="1385"/>
      <c r="M230" s="1385"/>
      <c r="N230" s="2100">
        <v>0</v>
      </c>
      <c r="O230" s="2100">
        <v>0</v>
      </c>
      <c r="P230" s="2100">
        <v>0</v>
      </c>
      <c r="Q230" s="1077">
        <f t="shared" ref="Q230:Q231" si="299">MAX(E230,H230,K230,N230)</f>
        <v>0</v>
      </c>
      <c r="R230" s="2126">
        <f t="shared" si="297"/>
        <v>0</v>
      </c>
      <c r="S230" s="2127">
        <f t="shared" si="298"/>
        <v>0</v>
      </c>
      <c r="T230" s="853">
        <f t="shared" ref="T230:T231" si="300">IFERROR(AVERAGE(Q230:S230),"")</f>
        <v>0</v>
      </c>
      <c r="U230" s="2081" t="str">
        <f t="shared" ref="U230:U233" si="301">IF(T230&gt;85,("4"),IF(T230&gt;80,("3.66"),IF(T230&gt;75,("3.33"),IF(T230&gt;70,("3.00"),IF(T230&gt;65,("2.66"),IF(T230&gt;60,("2.33"),IF(T230&gt;55,("2"),IF(T230&gt;50,("1.66"),"1.33"))))))))</f>
        <v>1.33</v>
      </c>
      <c r="V230" s="2081" t="str">
        <f t="shared" ref="V230:V233" si="302">IF(T230&gt;85,("A"),IF(T230&gt;80,("A-"),IF(T230&gt;75,("B+"),IF(T230&gt;70,("B"),IF(T230&gt;65,("B-"),IF(T230&gt;60,("C+"),IF(T230&gt;55,("C"),IF(T230&gt;50,("C-"),"D+"))))))))</f>
        <v>D+</v>
      </c>
      <c r="W230" s="2081" t="str">
        <f t="shared" ref="W230:W233" si="303">IF(T230&gt;80,("SB"),IF(T230&gt;65,("B"),IF(T230&gt;50,("C"),IF(T230&gt;0,("K"),"0"))))</f>
        <v>0</v>
      </c>
      <c r="X230" s="1582"/>
      <c r="Y230" s="1583"/>
      <c r="Z230" s="1583"/>
      <c r="AA230" s="1583"/>
      <c r="AB230" s="1583"/>
      <c r="AC230" s="1584"/>
      <c r="AD230" s="1585"/>
      <c r="AE230" s="1585"/>
      <c r="AF230" s="1585"/>
      <c r="AG230" s="1586"/>
      <c r="AH230" s="1411"/>
      <c r="AI230" s="1412"/>
    </row>
    <row r="231" spans="1:35" ht="24.95" customHeight="1" x14ac:dyDescent="0.25">
      <c r="A231" s="1478"/>
      <c r="B231" s="1580"/>
      <c r="C231" s="1581"/>
      <c r="D231" s="1579" t="s">
        <v>11</v>
      </c>
      <c r="E231" s="1385"/>
      <c r="F231" s="1385"/>
      <c r="G231" s="1385"/>
      <c r="H231" s="2101">
        <v>0</v>
      </c>
      <c r="I231" s="2101">
        <v>0</v>
      </c>
      <c r="J231" s="2101">
        <v>0</v>
      </c>
      <c r="K231" s="1385">
        <v>0</v>
      </c>
      <c r="L231" s="1385">
        <v>0</v>
      </c>
      <c r="M231" s="1385">
        <v>0</v>
      </c>
      <c r="N231" s="2100">
        <v>0</v>
      </c>
      <c r="O231" s="2100">
        <v>0</v>
      </c>
      <c r="P231" s="2100">
        <v>0</v>
      </c>
      <c r="Q231" s="1077">
        <f t="shared" si="299"/>
        <v>0</v>
      </c>
      <c r="R231" s="2126">
        <f t="shared" si="297"/>
        <v>0</v>
      </c>
      <c r="S231" s="2127">
        <f t="shared" si="298"/>
        <v>0</v>
      </c>
      <c r="T231" s="853">
        <f t="shared" si="300"/>
        <v>0</v>
      </c>
      <c r="U231" s="2081" t="str">
        <f t="shared" si="301"/>
        <v>1.33</v>
      </c>
      <c r="V231" s="2081" t="str">
        <f t="shared" si="302"/>
        <v>D+</v>
      </c>
      <c r="W231" s="2081" t="str">
        <f t="shared" si="303"/>
        <v>0</v>
      </c>
      <c r="X231" s="1587"/>
      <c r="Y231" s="1588"/>
      <c r="Z231" s="1588"/>
      <c r="AA231" s="1588"/>
      <c r="AB231" s="1588"/>
      <c r="AC231" s="1589"/>
      <c r="AD231" s="1590"/>
      <c r="AE231" s="1590"/>
      <c r="AF231" s="1590"/>
      <c r="AG231" s="1591"/>
      <c r="AH231" s="1413"/>
      <c r="AI231" s="1414"/>
    </row>
    <row r="232" spans="1:35" ht="24.95" customHeight="1" x14ac:dyDescent="0.25">
      <c r="A232" s="1478"/>
      <c r="B232" s="1580"/>
      <c r="C232" s="1581"/>
      <c r="D232" s="1579" t="s">
        <v>16</v>
      </c>
      <c r="E232" s="1385"/>
      <c r="F232" s="1385"/>
      <c r="G232" s="1385"/>
      <c r="H232" s="2101">
        <v>0</v>
      </c>
      <c r="I232" s="2101">
        <v>0</v>
      </c>
      <c r="J232" s="2101">
        <v>0</v>
      </c>
      <c r="K232" s="1385"/>
      <c r="L232" s="1385"/>
      <c r="M232" s="1385"/>
      <c r="N232" s="2100"/>
      <c r="O232" s="2100"/>
      <c r="P232" s="2100"/>
      <c r="Q232" s="1077">
        <f>MAX(E232,H232,K232,N232)</f>
        <v>0</v>
      </c>
      <c r="R232" s="2126">
        <f t="shared" si="297"/>
        <v>0</v>
      </c>
      <c r="S232" s="2127">
        <f t="shared" si="298"/>
        <v>0</v>
      </c>
      <c r="T232" s="853">
        <f>IFERROR(AVERAGE(Q232:S232),"")</f>
        <v>0</v>
      </c>
      <c r="U232" s="2081" t="str">
        <f t="shared" si="301"/>
        <v>1.33</v>
      </c>
      <c r="V232" s="2081" t="str">
        <f t="shared" si="302"/>
        <v>D+</v>
      </c>
      <c r="W232" s="2081" t="str">
        <f t="shared" si="303"/>
        <v>0</v>
      </c>
      <c r="X232" s="1587"/>
      <c r="Y232" s="1588"/>
      <c r="Z232" s="1588"/>
      <c r="AA232" s="1588"/>
      <c r="AB232" s="1588"/>
      <c r="AC232" s="1589"/>
      <c r="AD232" s="1590"/>
      <c r="AE232" s="1590"/>
      <c r="AF232" s="1590"/>
      <c r="AG232" s="1591"/>
      <c r="AH232" s="1413"/>
      <c r="AI232" s="1414"/>
    </row>
    <row r="233" spans="1:35" ht="24.95" customHeight="1" x14ac:dyDescent="0.25">
      <c r="A233" s="1478"/>
      <c r="B233" s="1580"/>
      <c r="C233" s="1581"/>
      <c r="D233" s="1579" t="s">
        <v>189</v>
      </c>
      <c r="E233" s="1385">
        <v>0</v>
      </c>
      <c r="F233" s="1385">
        <v>0</v>
      </c>
      <c r="G233" s="1385">
        <v>0</v>
      </c>
      <c r="H233" s="2101"/>
      <c r="I233" s="2101"/>
      <c r="J233" s="2101"/>
      <c r="K233" s="1385">
        <v>0</v>
      </c>
      <c r="L233" s="1385">
        <v>0</v>
      </c>
      <c r="M233" s="1385">
        <v>0</v>
      </c>
      <c r="N233" s="2100"/>
      <c r="O233" s="2100"/>
      <c r="P233" s="2100"/>
      <c r="Q233" s="1077">
        <f t="shared" ref="Q233" si="304">MAX(E233,H233,K233,N233)</f>
        <v>0</v>
      </c>
      <c r="R233" s="2126">
        <f t="shared" si="297"/>
        <v>0</v>
      </c>
      <c r="S233" s="2127">
        <f t="shared" si="298"/>
        <v>0</v>
      </c>
      <c r="T233" s="853">
        <f>IFERROR(AVERAGE(Q233:S233),"")</f>
        <v>0</v>
      </c>
      <c r="U233" s="2081" t="str">
        <f t="shared" si="301"/>
        <v>1.33</v>
      </c>
      <c r="V233" s="2081" t="str">
        <f t="shared" si="302"/>
        <v>D+</v>
      </c>
      <c r="W233" s="2081" t="str">
        <f t="shared" si="303"/>
        <v>0</v>
      </c>
      <c r="X233" s="1587"/>
      <c r="Y233" s="1588"/>
      <c r="Z233" s="1588"/>
      <c r="AA233" s="1588"/>
      <c r="AB233" s="1588"/>
      <c r="AC233" s="1589"/>
      <c r="AD233" s="1590"/>
      <c r="AE233" s="1590"/>
      <c r="AF233" s="1590"/>
      <c r="AG233" s="1591"/>
      <c r="AH233" s="1413"/>
      <c r="AI233" s="1414"/>
    </row>
    <row r="234" spans="1:35" ht="24.95" customHeight="1" x14ac:dyDescent="0.25">
      <c r="A234" s="1592"/>
      <c r="B234" s="1592">
        <v>38</v>
      </c>
      <c r="C234" s="1593" t="s">
        <v>167</v>
      </c>
      <c r="D234" s="1594"/>
      <c r="E234" s="2878"/>
      <c r="F234" s="2879"/>
      <c r="G234" s="2879"/>
      <c r="H234" s="2879"/>
      <c r="I234" s="2079"/>
      <c r="J234" s="2079"/>
      <c r="K234" s="2079"/>
      <c r="L234" s="2079"/>
      <c r="M234" s="2079"/>
      <c r="N234" s="2079"/>
      <c r="O234" s="2079"/>
      <c r="P234" s="2079"/>
      <c r="Q234" s="2162"/>
      <c r="R234" s="2162"/>
      <c r="S234" s="2162"/>
      <c r="T234" s="1942">
        <f>IFERROR(AVERAGE(T229:T233),"  ")</f>
        <v>0</v>
      </c>
      <c r="U234" s="1619" t="str">
        <f>IF(T234&gt;85,("4"),IF(T234&gt;80,("3.66"),IF(T234&gt;75,("3.33"),IF(T234&gt;70,("3.00"),IF(T234&gt;65,("2.66"),IF(T234&gt;60,("2.33"),IF(T234&gt;55,("2"),IF(T234&gt;50,("1.66"),"1.33"))))))))</f>
        <v>1.33</v>
      </c>
      <c r="V234" s="1619" t="str">
        <f>IF(T234&gt;85,("A"),IF(T234&gt;80,("A-"),IF(T234&gt;75,("B+"),IF(T234&gt;70,("B"),IF(T234&gt;65,("B-"),IF(T234&gt;60,("C+"),IF(T234&gt;55,("C"),IF(T234&gt;50,("C-"),"D+"))))))))</f>
        <v>D+</v>
      </c>
      <c r="W234" s="1619"/>
      <c r="X234" s="1612"/>
      <c r="Y234" s="1599"/>
      <c r="Z234" s="1599"/>
      <c r="AA234" s="1599"/>
      <c r="AB234" s="1599"/>
      <c r="AC234" s="1613"/>
      <c r="AD234" s="1599"/>
      <c r="AE234" s="1599"/>
      <c r="AF234" s="1599"/>
      <c r="AG234" s="1600"/>
      <c r="AH234" s="1841"/>
      <c r="AI234" s="1620"/>
    </row>
    <row r="235" spans="1:35" ht="24.95" customHeight="1" x14ac:dyDescent="0.25">
      <c r="A235" s="1477">
        <v>39</v>
      </c>
      <c r="B235" s="1577"/>
      <c r="C235" s="1578" t="e">
        <f>VLOOKUP(A235,data_siswa,4,FALSE)</f>
        <v>#N/A</v>
      </c>
      <c r="D235" s="1579" t="s">
        <v>155</v>
      </c>
      <c r="E235" s="1672">
        <v>0</v>
      </c>
      <c r="F235" s="1672">
        <v>0</v>
      </c>
      <c r="G235" s="1672">
        <v>0</v>
      </c>
      <c r="H235" s="2027"/>
      <c r="I235" s="2027"/>
      <c r="J235" s="2027"/>
      <c r="K235" s="1672"/>
      <c r="L235" s="1672"/>
      <c r="M235" s="1672"/>
      <c r="N235" s="2103"/>
      <c r="O235" s="2103"/>
      <c r="P235" s="2103"/>
      <c r="Q235" s="1077">
        <f>MAX(E235,H235,K235,N235)</f>
        <v>0</v>
      </c>
      <c r="R235" s="2126">
        <f t="shared" ref="R235:R239" si="305">MAX(F235,I235,L235,O235)</f>
        <v>0</v>
      </c>
      <c r="S235" s="2127">
        <f t="shared" ref="S235:S239" si="306">MAX(G235,J235,M235,P235)</f>
        <v>0</v>
      </c>
      <c r="T235" s="853">
        <f>IFERROR(AVERAGE(Q235:S235),"")</f>
        <v>0</v>
      </c>
      <c r="U235" s="2081" t="str">
        <f>IF(T235&gt;85,("4"),IF(T235&gt;80,("3.66"),IF(T235&gt;75,("3.33"),IF(T235&gt;70,("3.00"),IF(T235&gt;65,("2.66"),IF(T235&gt;60,("2.33"),IF(T235&gt;55,("2"),IF(T235&gt;50,("1.66"),"1.33"))))))))</f>
        <v>1.33</v>
      </c>
      <c r="V235" s="2081" t="str">
        <f>IF(T235&gt;85,("A"),IF(T235&gt;80,("A-"),IF(T235&gt;75,("B+"),IF(T235&gt;70,("B"),IF(T235&gt;65,("B-"),IF(T235&gt;60,("C+"),IF(T235&gt;55,("C"),IF(T235&gt;50,("C-"),"D+"))))))))</f>
        <v>D+</v>
      </c>
      <c r="W235" s="2081" t="str">
        <f>IF(T235&gt;80,("SB"),IF(T235&gt;65,("B"),IF(T235&gt;50,("C"),IF(T235&gt;0,("K"),"0"))))</f>
        <v>0</v>
      </c>
      <c r="X235" s="1609"/>
      <c r="Y235" s="1609"/>
      <c r="Z235" s="1609"/>
      <c r="AA235" s="1609"/>
      <c r="AB235" s="1609"/>
      <c r="AC235" s="1610"/>
      <c r="AD235" s="1611"/>
      <c r="AE235" s="1611"/>
      <c r="AF235" s="1611"/>
      <c r="AG235" s="1611"/>
      <c r="AH235" s="1929">
        <f>AVERAGE(T235:T239)</f>
        <v>0</v>
      </c>
      <c r="AI235" s="1945" t="str">
        <f>IF(AH235&gt;85,("A"),IF(AH235&gt;80,("A-"),IF(AH235&gt;75,("B+"),IF(AH235&gt;70,("B"),IF(AH235&gt;65,("B-"),IF(AH235&gt;60,("C+"),IF(AH235&gt;55,("C"),IF(AH235&gt;50,("C-"),"D+"))))))))</f>
        <v>D+</v>
      </c>
    </row>
    <row r="236" spans="1:35" ht="24.95" customHeight="1" x14ac:dyDescent="0.25">
      <c r="A236" s="1478"/>
      <c r="B236" s="1580"/>
      <c r="C236" s="1581"/>
      <c r="D236" s="1579" t="s">
        <v>9</v>
      </c>
      <c r="E236" s="1385">
        <v>0</v>
      </c>
      <c r="F236" s="1385">
        <v>0</v>
      </c>
      <c r="G236" s="1385">
        <v>0</v>
      </c>
      <c r="H236" s="2101"/>
      <c r="I236" s="2101"/>
      <c r="J236" s="2101"/>
      <c r="K236" s="1385"/>
      <c r="L236" s="1385"/>
      <c r="M236" s="1385"/>
      <c r="N236" s="2100">
        <v>0</v>
      </c>
      <c r="O236" s="2100">
        <v>0</v>
      </c>
      <c r="P236" s="2100">
        <v>0</v>
      </c>
      <c r="Q236" s="1077">
        <f t="shared" ref="Q236:Q237" si="307">MAX(E236,H236,K236,N236)</f>
        <v>0</v>
      </c>
      <c r="R236" s="2126">
        <f t="shared" si="305"/>
        <v>0</v>
      </c>
      <c r="S236" s="2127">
        <f t="shared" si="306"/>
        <v>0</v>
      </c>
      <c r="T236" s="853">
        <f t="shared" ref="T236:T237" si="308">IFERROR(AVERAGE(Q236:S236),"")</f>
        <v>0</v>
      </c>
      <c r="U236" s="2081" t="str">
        <f t="shared" ref="U236:U239" si="309">IF(T236&gt;85,("4"),IF(T236&gt;80,("3.66"),IF(T236&gt;75,("3.33"),IF(T236&gt;70,("3.00"),IF(T236&gt;65,("2.66"),IF(T236&gt;60,("2.33"),IF(T236&gt;55,("2"),IF(T236&gt;50,("1.66"),"1.33"))))))))</f>
        <v>1.33</v>
      </c>
      <c r="V236" s="2081" t="str">
        <f t="shared" ref="V236:V239" si="310">IF(T236&gt;85,("A"),IF(T236&gt;80,("A-"),IF(T236&gt;75,("B+"),IF(T236&gt;70,("B"),IF(T236&gt;65,("B-"),IF(T236&gt;60,("C+"),IF(T236&gt;55,("C"),IF(T236&gt;50,("C-"),"D+"))))))))</f>
        <v>D+</v>
      </c>
      <c r="W236" s="2081" t="str">
        <f t="shared" ref="W236:W239" si="311">IF(T236&gt;80,("SB"),IF(T236&gt;65,("B"),IF(T236&gt;50,("C"),IF(T236&gt;0,("K"),"0"))))</f>
        <v>0</v>
      </c>
      <c r="X236" s="1582"/>
      <c r="Y236" s="1583"/>
      <c r="Z236" s="1583"/>
      <c r="AA236" s="1583"/>
      <c r="AB236" s="1583"/>
      <c r="AC236" s="1584"/>
      <c r="AD236" s="1585"/>
      <c r="AE236" s="1585"/>
      <c r="AF236" s="1585"/>
      <c r="AG236" s="1586"/>
      <c r="AH236" s="1411"/>
      <c r="AI236" s="1412"/>
    </row>
    <row r="237" spans="1:35" ht="24.95" customHeight="1" x14ac:dyDescent="0.25">
      <c r="A237" s="1478"/>
      <c r="B237" s="1580"/>
      <c r="C237" s="1581"/>
      <c r="D237" s="1579" t="s">
        <v>11</v>
      </c>
      <c r="E237" s="1385"/>
      <c r="F237" s="1385"/>
      <c r="G237" s="1385"/>
      <c r="H237" s="2101">
        <v>0</v>
      </c>
      <c r="I237" s="2101">
        <v>0</v>
      </c>
      <c r="J237" s="2101">
        <v>0</v>
      </c>
      <c r="K237" s="1385">
        <v>0</v>
      </c>
      <c r="L237" s="1385">
        <v>0</v>
      </c>
      <c r="M237" s="1385">
        <v>0</v>
      </c>
      <c r="N237" s="2100">
        <v>0</v>
      </c>
      <c r="O237" s="2100">
        <v>0</v>
      </c>
      <c r="P237" s="2100">
        <v>0</v>
      </c>
      <c r="Q237" s="1077">
        <f t="shared" si="307"/>
        <v>0</v>
      </c>
      <c r="R237" s="2126">
        <f t="shared" si="305"/>
        <v>0</v>
      </c>
      <c r="S237" s="2127">
        <f t="shared" si="306"/>
        <v>0</v>
      </c>
      <c r="T237" s="853">
        <f t="shared" si="308"/>
        <v>0</v>
      </c>
      <c r="U237" s="2081" t="str">
        <f t="shared" si="309"/>
        <v>1.33</v>
      </c>
      <c r="V237" s="2081" t="str">
        <f t="shared" si="310"/>
        <v>D+</v>
      </c>
      <c r="W237" s="2081" t="str">
        <f t="shared" si="311"/>
        <v>0</v>
      </c>
      <c r="X237" s="1587"/>
      <c r="Y237" s="1588"/>
      <c r="Z237" s="1588"/>
      <c r="AA237" s="1588"/>
      <c r="AB237" s="1588"/>
      <c r="AC237" s="1589"/>
      <c r="AD237" s="1590"/>
      <c r="AE237" s="1590"/>
      <c r="AF237" s="1590"/>
      <c r="AG237" s="1591"/>
      <c r="AH237" s="1413"/>
      <c r="AI237" s="1414"/>
    </row>
    <row r="238" spans="1:35" ht="24.95" customHeight="1" x14ac:dyDescent="0.25">
      <c r="A238" s="1478"/>
      <c r="B238" s="1580"/>
      <c r="C238" s="1581"/>
      <c r="D238" s="1579" t="s">
        <v>16</v>
      </c>
      <c r="E238" s="1385"/>
      <c r="F238" s="1385"/>
      <c r="G238" s="1385"/>
      <c r="H238" s="2101">
        <v>0</v>
      </c>
      <c r="I238" s="2101">
        <v>0</v>
      </c>
      <c r="J238" s="2101">
        <v>0</v>
      </c>
      <c r="K238" s="1385"/>
      <c r="L238" s="1385"/>
      <c r="M238" s="1385"/>
      <c r="N238" s="2100"/>
      <c r="O238" s="2100"/>
      <c r="P238" s="2100"/>
      <c r="Q238" s="1077">
        <f>MAX(E238,H238,K238,N238)</f>
        <v>0</v>
      </c>
      <c r="R238" s="2126">
        <f t="shared" si="305"/>
        <v>0</v>
      </c>
      <c r="S238" s="2127">
        <f t="shared" si="306"/>
        <v>0</v>
      </c>
      <c r="T238" s="853">
        <f>IFERROR(AVERAGE(Q238:S238),"")</f>
        <v>0</v>
      </c>
      <c r="U238" s="2081" t="str">
        <f t="shared" si="309"/>
        <v>1.33</v>
      </c>
      <c r="V238" s="2081" t="str">
        <f t="shared" si="310"/>
        <v>D+</v>
      </c>
      <c r="W238" s="2081" t="str">
        <f t="shared" si="311"/>
        <v>0</v>
      </c>
      <c r="X238" s="1587"/>
      <c r="Y238" s="1588"/>
      <c r="Z238" s="1588"/>
      <c r="AA238" s="1588"/>
      <c r="AB238" s="1588"/>
      <c r="AC238" s="1589"/>
      <c r="AD238" s="1590"/>
      <c r="AE238" s="1590"/>
      <c r="AF238" s="1590"/>
      <c r="AG238" s="1591"/>
      <c r="AH238" s="1413"/>
      <c r="AI238" s="1414"/>
    </row>
    <row r="239" spans="1:35" ht="24.95" customHeight="1" x14ac:dyDescent="0.25">
      <c r="A239" s="1478"/>
      <c r="B239" s="1580"/>
      <c r="C239" s="1581"/>
      <c r="D239" s="1579" t="s">
        <v>189</v>
      </c>
      <c r="E239" s="1385">
        <v>0</v>
      </c>
      <c r="F239" s="1385">
        <v>0</v>
      </c>
      <c r="G239" s="1385">
        <v>0</v>
      </c>
      <c r="H239" s="2101"/>
      <c r="I239" s="2101"/>
      <c r="J239" s="2101"/>
      <c r="K239" s="1385">
        <v>0</v>
      </c>
      <c r="L239" s="1385">
        <v>0</v>
      </c>
      <c r="M239" s="1385">
        <v>0</v>
      </c>
      <c r="N239" s="2100"/>
      <c r="O239" s="2100"/>
      <c r="P239" s="2100"/>
      <c r="Q239" s="1077">
        <f t="shared" ref="Q239" si="312">MAX(E239,H239,K239,N239)</f>
        <v>0</v>
      </c>
      <c r="R239" s="2126">
        <f t="shared" si="305"/>
        <v>0</v>
      </c>
      <c r="S239" s="2127">
        <f t="shared" si="306"/>
        <v>0</v>
      </c>
      <c r="T239" s="853">
        <f>IFERROR(AVERAGE(Q239:S239),"")</f>
        <v>0</v>
      </c>
      <c r="U239" s="2081" t="str">
        <f t="shared" si="309"/>
        <v>1.33</v>
      </c>
      <c r="V239" s="2081" t="str">
        <f t="shared" si="310"/>
        <v>D+</v>
      </c>
      <c r="W239" s="2081" t="str">
        <f t="shared" si="311"/>
        <v>0</v>
      </c>
      <c r="X239" s="1587"/>
      <c r="Y239" s="1588"/>
      <c r="Z239" s="1588"/>
      <c r="AA239" s="1588"/>
      <c r="AB239" s="1588"/>
      <c r="AC239" s="1589"/>
      <c r="AD239" s="1590"/>
      <c r="AE239" s="1590"/>
      <c r="AF239" s="1590"/>
      <c r="AG239" s="1591"/>
      <c r="AH239" s="1413"/>
      <c r="AI239" s="1414"/>
    </row>
    <row r="240" spans="1:35" ht="24.95" customHeight="1" x14ac:dyDescent="0.25">
      <c r="A240" s="1592"/>
      <c r="B240" s="1592">
        <v>39</v>
      </c>
      <c r="C240" s="1593" t="s">
        <v>167</v>
      </c>
      <c r="D240" s="1594"/>
      <c r="E240" s="2878"/>
      <c r="F240" s="2879"/>
      <c r="G240" s="2879"/>
      <c r="H240" s="2879"/>
      <c r="I240" s="2079"/>
      <c r="J240" s="2079"/>
      <c r="K240" s="2079"/>
      <c r="L240" s="2079"/>
      <c r="M240" s="2079"/>
      <c r="N240" s="2079"/>
      <c r="O240" s="2079"/>
      <c r="P240" s="2079"/>
      <c r="Q240" s="2162"/>
      <c r="R240" s="2162"/>
      <c r="S240" s="2162"/>
      <c r="T240" s="1942">
        <f>IFERROR(AVERAGE(T235:T239),"  ")</f>
        <v>0</v>
      </c>
      <c r="U240" s="1619" t="str">
        <f>IF(T240&gt;85,("4"),IF(T240&gt;80,("3.66"),IF(T240&gt;75,("3.33"),IF(T240&gt;70,("3.00"),IF(T240&gt;65,("2.66"),IF(T240&gt;60,("2.33"),IF(T240&gt;55,("2"),IF(T240&gt;50,("1.66"),"1.33"))))))))</f>
        <v>1.33</v>
      </c>
      <c r="V240" s="1619" t="str">
        <f>IF(T240&gt;85,("A"),IF(T240&gt;80,("A-"),IF(T240&gt;75,("B+"),IF(T240&gt;70,("B"),IF(T240&gt;65,("B-"),IF(T240&gt;60,("C+"),IF(T240&gt;55,("C"),IF(T240&gt;50,("C-"),"D+"))))))))</f>
        <v>D+</v>
      </c>
      <c r="W240" s="1619"/>
      <c r="X240" s="1612"/>
      <c r="Y240" s="1599"/>
      <c r="Z240" s="1599"/>
      <c r="AA240" s="1599"/>
      <c r="AB240" s="1599"/>
      <c r="AC240" s="1613"/>
      <c r="AD240" s="1599"/>
      <c r="AE240" s="1599"/>
      <c r="AF240" s="1599"/>
      <c r="AG240" s="1600"/>
      <c r="AH240" s="1841"/>
      <c r="AI240" s="1620"/>
    </row>
    <row r="241" spans="1:35" ht="24.95" customHeight="1" x14ac:dyDescent="0.25">
      <c r="A241" s="1477">
        <v>40</v>
      </c>
      <c r="B241" s="1577"/>
      <c r="C241" s="1578" t="e">
        <f>VLOOKUP(A241,data_siswa,4,FALSE)</f>
        <v>#N/A</v>
      </c>
      <c r="D241" s="1579" t="s">
        <v>155</v>
      </c>
      <c r="E241" s="1672">
        <v>0</v>
      </c>
      <c r="F241" s="1672">
        <v>0</v>
      </c>
      <c r="G241" s="1672">
        <v>0</v>
      </c>
      <c r="H241" s="2027"/>
      <c r="I241" s="2027"/>
      <c r="J241" s="2027"/>
      <c r="K241" s="1672"/>
      <c r="L241" s="1672"/>
      <c r="M241" s="1672"/>
      <c r="N241" s="2103"/>
      <c r="O241" s="2103"/>
      <c r="P241" s="2103"/>
      <c r="Q241" s="1077">
        <f>MAX(E241,H241,K241,N241)</f>
        <v>0</v>
      </c>
      <c r="R241" s="2126">
        <f t="shared" ref="R241:R245" si="313">MAX(F241,I241,L241,O241)</f>
        <v>0</v>
      </c>
      <c r="S241" s="2127">
        <f t="shared" ref="S241:S245" si="314">MAX(G241,J241,M241,P241)</f>
        <v>0</v>
      </c>
      <c r="T241" s="853">
        <f>IFERROR(AVERAGE(Q241:S241),"")</f>
        <v>0</v>
      </c>
      <c r="U241" s="2081" t="str">
        <f>IF(T241&gt;85,("4"),IF(T241&gt;80,("3.66"),IF(T241&gt;75,("3.33"),IF(T241&gt;70,("3.00"),IF(T241&gt;65,("2.66"),IF(T241&gt;60,("2.33"),IF(T241&gt;55,("2"),IF(T241&gt;50,("1.66"),"1.33"))))))))</f>
        <v>1.33</v>
      </c>
      <c r="V241" s="2081" t="str">
        <f>IF(T241&gt;85,("A"),IF(T241&gt;80,("A-"),IF(T241&gt;75,("B+"),IF(T241&gt;70,("B"),IF(T241&gt;65,("B-"),IF(T241&gt;60,("C+"),IF(T241&gt;55,("C"),IF(T241&gt;50,("C-"),"D+"))))))))</f>
        <v>D+</v>
      </c>
      <c r="W241" s="2081" t="str">
        <f>IF(T241&gt;80,("SB"),IF(T241&gt;65,("B"),IF(T241&gt;50,("C"),IF(T241&gt;0,("K"),"0"))))</f>
        <v>0</v>
      </c>
      <c r="X241" s="1609"/>
      <c r="Y241" s="1609"/>
      <c r="Z241" s="1609"/>
      <c r="AA241" s="1609"/>
      <c r="AB241" s="1609"/>
      <c r="AC241" s="1610"/>
      <c r="AD241" s="1611"/>
      <c r="AE241" s="1611"/>
      <c r="AF241" s="1611"/>
      <c r="AG241" s="1611"/>
      <c r="AH241" s="1929">
        <f>AVERAGE(T241:T245)</f>
        <v>0</v>
      </c>
      <c r="AI241" s="1945" t="str">
        <f>IF(AH241&gt;85,("A"),IF(AH241&gt;80,("A-"),IF(AH241&gt;75,("B+"),IF(AH241&gt;70,("B"),IF(AH241&gt;65,("B-"),IF(AH241&gt;60,("C+"),IF(AH241&gt;55,("C"),IF(AH241&gt;50,("C-"),"D+"))))))))</f>
        <v>D+</v>
      </c>
    </row>
    <row r="242" spans="1:35" ht="24.95" customHeight="1" x14ac:dyDescent="0.25">
      <c r="A242" s="1478"/>
      <c r="B242" s="1580"/>
      <c r="C242" s="1581"/>
      <c r="D242" s="1579" t="s">
        <v>9</v>
      </c>
      <c r="E242" s="1385">
        <v>0</v>
      </c>
      <c r="F242" s="1385">
        <v>0</v>
      </c>
      <c r="G242" s="1385">
        <v>0</v>
      </c>
      <c r="H242" s="2101"/>
      <c r="I242" s="2101"/>
      <c r="J242" s="2101"/>
      <c r="K242" s="1385"/>
      <c r="L242" s="1385"/>
      <c r="M242" s="1385"/>
      <c r="N242" s="2100">
        <v>0</v>
      </c>
      <c r="O242" s="2100">
        <v>0</v>
      </c>
      <c r="P242" s="2100">
        <v>0</v>
      </c>
      <c r="Q242" s="1077">
        <f t="shared" ref="Q242:Q243" si="315">MAX(E242,H242,K242,N242)</f>
        <v>0</v>
      </c>
      <c r="R242" s="2126">
        <f t="shared" si="313"/>
        <v>0</v>
      </c>
      <c r="S242" s="2127">
        <f t="shared" si="314"/>
        <v>0</v>
      </c>
      <c r="T242" s="853">
        <f t="shared" ref="T242:T243" si="316">IFERROR(AVERAGE(Q242:S242),"")</f>
        <v>0</v>
      </c>
      <c r="U242" s="2081" t="str">
        <f t="shared" ref="U242:U245" si="317">IF(T242&gt;85,("4"),IF(T242&gt;80,("3.66"),IF(T242&gt;75,("3.33"),IF(T242&gt;70,("3.00"),IF(T242&gt;65,("2.66"),IF(T242&gt;60,("2.33"),IF(T242&gt;55,("2"),IF(T242&gt;50,("1.66"),"1.33"))))))))</f>
        <v>1.33</v>
      </c>
      <c r="V242" s="2081" t="str">
        <f t="shared" ref="V242:V245" si="318">IF(T242&gt;85,("A"),IF(T242&gt;80,("A-"),IF(T242&gt;75,("B+"),IF(T242&gt;70,("B"),IF(T242&gt;65,("B-"),IF(T242&gt;60,("C+"),IF(T242&gt;55,("C"),IF(T242&gt;50,("C-"),"D+"))))))))</f>
        <v>D+</v>
      </c>
      <c r="W242" s="2081" t="str">
        <f t="shared" ref="W242:W245" si="319">IF(T242&gt;80,("SB"),IF(T242&gt;65,("B"),IF(T242&gt;50,("C"),IF(T242&gt;0,("K"),"0"))))</f>
        <v>0</v>
      </c>
      <c r="X242" s="1582"/>
      <c r="Y242" s="1583"/>
      <c r="Z242" s="1583"/>
      <c r="AA242" s="1583"/>
      <c r="AB242" s="1583"/>
      <c r="AC242" s="1584"/>
      <c r="AD242" s="1585"/>
      <c r="AE242" s="1585"/>
      <c r="AF242" s="1585"/>
      <c r="AG242" s="1586"/>
      <c r="AH242" s="1411"/>
      <c r="AI242" s="1412"/>
    </row>
    <row r="243" spans="1:35" ht="24.95" customHeight="1" x14ac:dyDescent="0.25">
      <c r="A243" s="1478"/>
      <c r="B243" s="1580"/>
      <c r="C243" s="1581"/>
      <c r="D243" s="1579" t="s">
        <v>11</v>
      </c>
      <c r="E243" s="1385"/>
      <c r="F243" s="1385"/>
      <c r="G243" s="1385"/>
      <c r="H243" s="2101">
        <v>0</v>
      </c>
      <c r="I243" s="2101">
        <v>0</v>
      </c>
      <c r="J243" s="2101">
        <v>0</v>
      </c>
      <c r="K243" s="1385">
        <v>0</v>
      </c>
      <c r="L243" s="1385">
        <v>0</v>
      </c>
      <c r="M243" s="1385">
        <v>0</v>
      </c>
      <c r="N243" s="2100">
        <v>0</v>
      </c>
      <c r="O243" s="2100">
        <v>0</v>
      </c>
      <c r="P243" s="2100">
        <v>0</v>
      </c>
      <c r="Q243" s="1077">
        <f t="shared" si="315"/>
        <v>0</v>
      </c>
      <c r="R243" s="2126">
        <f t="shared" si="313"/>
        <v>0</v>
      </c>
      <c r="S243" s="2127">
        <f t="shared" si="314"/>
        <v>0</v>
      </c>
      <c r="T243" s="853">
        <f t="shared" si="316"/>
        <v>0</v>
      </c>
      <c r="U243" s="2081" t="str">
        <f t="shared" si="317"/>
        <v>1.33</v>
      </c>
      <c r="V243" s="2081" t="str">
        <f t="shared" si="318"/>
        <v>D+</v>
      </c>
      <c r="W243" s="2081" t="str">
        <f t="shared" si="319"/>
        <v>0</v>
      </c>
      <c r="X243" s="1587"/>
      <c r="Y243" s="1588"/>
      <c r="Z243" s="1588"/>
      <c r="AA243" s="1588"/>
      <c r="AB243" s="1588"/>
      <c r="AC243" s="1589"/>
      <c r="AD243" s="1590"/>
      <c r="AE243" s="1590"/>
      <c r="AF243" s="1590"/>
      <c r="AG243" s="1591"/>
      <c r="AH243" s="1413"/>
      <c r="AI243" s="1414"/>
    </row>
    <row r="244" spans="1:35" ht="24.95" customHeight="1" x14ac:dyDescent="0.25">
      <c r="A244" s="1478"/>
      <c r="B244" s="1580"/>
      <c r="C244" s="1581"/>
      <c r="D244" s="1579" t="s">
        <v>16</v>
      </c>
      <c r="E244" s="1385"/>
      <c r="F244" s="1385"/>
      <c r="G244" s="1385"/>
      <c r="H244" s="2101">
        <v>0</v>
      </c>
      <c r="I244" s="2101">
        <v>0</v>
      </c>
      <c r="J244" s="2101">
        <v>0</v>
      </c>
      <c r="K244" s="1385"/>
      <c r="L244" s="1385"/>
      <c r="M244" s="1385"/>
      <c r="N244" s="2100"/>
      <c r="O244" s="2100"/>
      <c r="P244" s="2100"/>
      <c r="Q244" s="1077">
        <f>MAX(E244,H244,K244,N244)</f>
        <v>0</v>
      </c>
      <c r="R244" s="2126">
        <f t="shared" si="313"/>
        <v>0</v>
      </c>
      <c r="S244" s="2127">
        <f t="shared" si="314"/>
        <v>0</v>
      </c>
      <c r="T244" s="853">
        <f>IFERROR(AVERAGE(Q244:S244),"")</f>
        <v>0</v>
      </c>
      <c r="U244" s="2081" t="str">
        <f t="shared" si="317"/>
        <v>1.33</v>
      </c>
      <c r="V244" s="2081" t="str">
        <f t="shared" si="318"/>
        <v>D+</v>
      </c>
      <c r="W244" s="2081" t="str">
        <f t="shared" si="319"/>
        <v>0</v>
      </c>
      <c r="X244" s="1587"/>
      <c r="Y244" s="1588"/>
      <c r="Z244" s="1588"/>
      <c r="AA244" s="1588"/>
      <c r="AB244" s="1588"/>
      <c r="AC244" s="1589"/>
      <c r="AD244" s="1590"/>
      <c r="AE244" s="1590"/>
      <c r="AF244" s="1590"/>
      <c r="AG244" s="1591"/>
      <c r="AH244" s="1413"/>
      <c r="AI244" s="1414"/>
    </row>
    <row r="245" spans="1:35" ht="24.95" customHeight="1" x14ac:dyDescent="0.25">
      <c r="A245" s="1478"/>
      <c r="B245" s="1580"/>
      <c r="C245" s="1581"/>
      <c r="D245" s="1579" t="s">
        <v>189</v>
      </c>
      <c r="E245" s="1385">
        <v>0</v>
      </c>
      <c r="F245" s="1385">
        <v>0</v>
      </c>
      <c r="G245" s="1385">
        <v>0</v>
      </c>
      <c r="H245" s="2101"/>
      <c r="I245" s="2101"/>
      <c r="J245" s="2101"/>
      <c r="K245" s="1385">
        <v>0</v>
      </c>
      <c r="L245" s="1385">
        <v>0</v>
      </c>
      <c r="M245" s="1385">
        <v>0</v>
      </c>
      <c r="N245" s="2100"/>
      <c r="O245" s="2100"/>
      <c r="P245" s="2100"/>
      <c r="Q245" s="1077">
        <f t="shared" ref="Q245" si="320">MAX(E245,H245,K245,N245)</f>
        <v>0</v>
      </c>
      <c r="R245" s="2126">
        <f t="shared" si="313"/>
        <v>0</v>
      </c>
      <c r="S245" s="2127">
        <f t="shared" si="314"/>
        <v>0</v>
      </c>
      <c r="T245" s="853">
        <f>IFERROR(AVERAGE(Q245:S245),"")</f>
        <v>0</v>
      </c>
      <c r="U245" s="2081" t="str">
        <f t="shared" si="317"/>
        <v>1.33</v>
      </c>
      <c r="V245" s="2081" t="str">
        <f t="shared" si="318"/>
        <v>D+</v>
      </c>
      <c r="W245" s="2081" t="str">
        <f t="shared" si="319"/>
        <v>0</v>
      </c>
      <c r="X245" s="1587"/>
      <c r="Y245" s="1588"/>
      <c r="Z245" s="1588"/>
      <c r="AA245" s="1588"/>
      <c r="AB245" s="1588"/>
      <c r="AC245" s="1589"/>
      <c r="AD245" s="1590"/>
      <c r="AE245" s="1590"/>
      <c r="AF245" s="1590"/>
      <c r="AG245" s="1591"/>
      <c r="AH245" s="1413"/>
      <c r="AI245" s="1414"/>
    </row>
    <row r="246" spans="1:35" ht="24.95" customHeight="1" x14ac:dyDescent="0.25">
      <c r="A246" s="1592"/>
      <c r="B246" s="1592">
        <v>40</v>
      </c>
      <c r="C246" s="1593" t="s">
        <v>167</v>
      </c>
      <c r="D246" s="1594"/>
      <c r="E246" s="2878"/>
      <c r="F246" s="2879"/>
      <c r="G246" s="2879"/>
      <c r="H246" s="2879"/>
      <c r="I246" s="2079"/>
      <c r="J246" s="2079"/>
      <c r="K246" s="2079"/>
      <c r="L246" s="2079"/>
      <c r="M246" s="2079"/>
      <c r="N246" s="2079"/>
      <c r="O246" s="2079"/>
      <c r="P246" s="2079"/>
      <c r="Q246" s="2162"/>
      <c r="R246" s="2162"/>
      <c r="S246" s="2162"/>
      <c r="T246" s="1942">
        <f>IFERROR(AVERAGE(T241:T245),"  ")</f>
        <v>0</v>
      </c>
      <c r="U246" s="1619" t="str">
        <f>IF(T246&gt;85,("4"),IF(T246&gt;80,("3.66"),IF(T246&gt;75,("3.33"),IF(T246&gt;70,("3.00"),IF(T246&gt;65,("2.66"),IF(T246&gt;60,("2.33"),IF(T246&gt;55,("2"),IF(T246&gt;50,("1.66"),"1.33"))))))))</f>
        <v>1.33</v>
      </c>
      <c r="V246" s="1619" t="str">
        <f>IF(T246&gt;85,("A"),IF(T246&gt;80,("A-"),IF(T246&gt;75,("B+"),IF(T246&gt;70,("B"),IF(T246&gt;65,("B-"),IF(T246&gt;60,("C+"),IF(T246&gt;55,("C"),IF(T246&gt;50,("C-"),"D+"))))))))</f>
        <v>D+</v>
      </c>
      <c r="W246" s="1619"/>
      <c r="X246" s="1614"/>
      <c r="Y246" s="1615"/>
      <c r="Z246" s="1615"/>
      <c r="AA246" s="1615"/>
      <c r="AB246" s="1615"/>
      <c r="AC246" s="1615"/>
      <c r="AD246" s="1615"/>
      <c r="AE246" s="1615"/>
      <c r="AF246" s="1615"/>
      <c r="AG246" s="1616"/>
      <c r="AH246" s="1841"/>
      <c r="AI246" s="1620"/>
    </row>
    <row r="247" spans="1:35" s="1365" customFormat="1" x14ac:dyDescent="0.3">
      <c r="C247" s="1617"/>
      <c r="D247" s="1618"/>
      <c r="T247" s="1943"/>
    </row>
  </sheetData>
  <sheetProtection password="C6F9" sheet="1" objects="1" scenarios="1"/>
  <mergeCells count="58">
    <mergeCell ref="E186:H186"/>
    <mergeCell ref="E120:H120"/>
    <mergeCell ref="E126:H126"/>
    <mergeCell ref="E132:H132"/>
    <mergeCell ref="E138:H138"/>
    <mergeCell ref="E144:H144"/>
    <mergeCell ref="E150:H150"/>
    <mergeCell ref="E156:H156"/>
    <mergeCell ref="E162:H162"/>
    <mergeCell ref="E168:H168"/>
    <mergeCell ref="E174:H174"/>
    <mergeCell ref="E180:H180"/>
    <mergeCell ref="E234:H234"/>
    <mergeCell ref="E240:H240"/>
    <mergeCell ref="E246:H246"/>
    <mergeCell ref="E192:H192"/>
    <mergeCell ref="E198:H198"/>
    <mergeCell ref="E204:H204"/>
    <mergeCell ref="E210:H210"/>
    <mergeCell ref="E216:H216"/>
    <mergeCell ref="E222:H222"/>
    <mergeCell ref="E228:H228"/>
    <mergeCell ref="E114:H114"/>
    <mergeCell ref="E48:H48"/>
    <mergeCell ref="E54:H54"/>
    <mergeCell ref="E60:H60"/>
    <mergeCell ref="E66:H66"/>
    <mergeCell ref="E72:H72"/>
    <mergeCell ref="E78:H78"/>
    <mergeCell ref="E84:H84"/>
    <mergeCell ref="E90:H90"/>
    <mergeCell ref="E96:H96"/>
    <mergeCell ref="E102:H102"/>
    <mergeCell ref="E108:H108"/>
    <mergeCell ref="E42:H42"/>
    <mergeCell ref="U4:U6"/>
    <mergeCell ref="V4:V6"/>
    <mergeCell ref="W4:W6"/>
    <mergeCell ref="E12:H12"/>
    <mergeCell ref="E18:H18"/>
    <mergeCell ref="E24:H24"/>
    <mergeCell ref="E30:H30"/>
    <mergeCell ref="E36:H36"/>
    <mergeCell ref="AC4:AG5"/>
    <mergeCell ref="AI4:AI6"/>
    <mergeCell ref="A4:A6"/>
    <mergeCell ref="B4:B6"/>
    <mergeCell ref="C4:C6"/>
    <mergeCell ref="D4:D6"/>
    <mergeCell ref="E4:H4"/>
    <mergeCell ref="T4:T6"/>
    <mergeCell ref="AH4:AH6"/>
    <mergeCell ref="E5:G5"/>
    <mergeCell ref="H5:J5"/>
    <mergeCell ref="K5:M5"/>
    <mergeCell ref="N5:P5"/>
    <mergeCell ref="Q4:S5"/>
    <mergeCell ref="X4:AB5"/>
  </mergeCells>
  <conditionalFormatting sqref="T7:T11">
    <cfRule type="top10" dxfId="805" priority="79" bottom="1" rank="1"/>
    <cfRule type="top10" dxfId="804" priority="80" rank="1"/>
  </conditionalFormatting>
  <conditionalFormatting sqref="T13:T17">
    <cfRule type="top10" dxfId="803" priority="77" bottom="1" rank="1"/>
    <cfRule type="top10" dxfId="802" priority="78" rank="1"/>
  </conditionalFormatting>
  <conditionalFormatting sqref="T19:T23">
    <cfRule type="top10" dxfId="801" priority="75" bottom="1" rank="1"/>
    <cfRule type="top10" dxfId="800" priority="76" rank="1"/>
  </conditionalFormatting>
  <conditionalFormatting sqref="T25:T29">
    <cfRule type="top10" dxfId="799" priority="73" bottom="1" rank="1"/>
    <cfRule type="top10" dxfId="798" priority="74" rank="1"/>
  </conditionalFormatting>
  <conditionalFormatting sqref="T31:T35">
    <cfRule type="top10" dxfId="797" priority="71" bottom="1" rank="1"/>
    <cfRule type="top10" dxfId="796" priority="72" rank="1"/>
  </conditionalFormatting>
  <conditionalFormatting sqref="T37:T41">
    <cfRule type="top10" dxfId="795" priority="69" bottom="1" rank="1"/>
    <cfRule type="top10" dxfId="794" priority="70" rank="1"/>
  </conditionalFormatting>
  <conditionalFormatting sqref="T43:T47">
    <cfRule type="top10" dxfId="793" priority="67" bottom="1" rank="1"/>
    <cfRule type="top10" dxfId="792" priority="68" rank="1"/>
  </conditionalFormatting>
  <conditionalFormatting sqref="T49:T53">
    <cfRule type="top10" dxfId="791" priority="65" bottom="1" rank="1"/>
    <cfRule type="top10" dxfId="790" priority="66" rank="1"/>
  </conditionalFormatting>
  <conditionalFormatting sqref="T55:T59">
    <cfRule type="top10" dxfId="789" priority="63" bottom="1" rank="1"/>
    <cfRule type="top10" dxfId="788" priority="64" rank="1"/>
  </conditionalFormatting>
  <conditionalFormatting sqref="T61:T65">
    <cfRule type="top10" dxfId="787" priority="61" bottom="1" rank="1"/>
    <cfRule type="top10" dxfId="786" priority="62" rank="1"/>
  </conditionalFormatting>
  <conditionalFormatting sqref="T67:T71">
    <cfRule type="top10" dxfId="785" priority="59" bottom="1" rank="1"/>
    <cfRule type="top10" dxfId="784" priority="60" rank="1"/>
  </conditionalFormatting>
  <conditionalFormatting sqref="T73:T77">
    <cfRule type="top10" dxfId="783" priority="57" bottom="1" rank="1"/>
    <cfRule type="top10" dxfId="782" priority="58" rank="1"/>
  </conditionalFormatting>
  <conditionalFormatting sqref="T79:T83">
    <cfRule type="top10" dxfId="781" priority="55" bottom="1" rank="1"/>
    <cfRule type="top10" dxfId="780" priority="56" rank="1"/>
  </conditionalFormatting>
  <conditionalFormatting sqref="T85:T89">
    <cfRule type="top10" dxfId="779" priority="53" bottom="1" rank="1"/>
    <cfRule type="top10" dxfId="778" priority="54" rank="1"/>
  </conditionalFormatting>
  <conditionalFormatting sqref="T91:T95">
    <cfRule type="top10" dxfId="777" priority="51" bottom="1" rank="1"/>
    <cfRule type="top10" dxfId="776" priority="52" rank="1"/>
  </conditionalFormatting>
  <conditionalFormatting sqref="T97:T101">
    <cfRule type="top10" dxfId="775" priority="49" bottom="1" rank="1"/>
    <cfRule type="top10" dxfId="774" priority="50" rank="1"/>
  </conditionalFormatting>
  <conditionalFormatting sqref="T103:T107">
    <cfRule type="top10" dxfId="773" priority="47" bottom="1" rank="1"/>
    <cfRule type="top10" dxfId="772" priority="48" rank="1"/>
  </conditionalFormatting>
  <conditionalFormatting sqref="T109:T113">
    <cfRule type="top10" dxfId="771" priority="45" bottom="1" rank="1"/>
    <cfRule type="top10" dxfId="770" priority="46" rank="1"/>
  </conditionalFormatting>
  <conditionalFormatting sqref="T115:T119">
    <cfRule type="top10" dxfId="769" priority="43" bottom="1" rank="1"/>
    <cfRule type="top10" dxfId="768" priority="44" rank="1"/>
  </conditionalFormatting>
  <conditionalFormatting sqref="T121:T125">
    <cfRule type="top10" dxfId="767" priority="41" bottom="1" rank="1"/>
    <cfRule type="top10" dxfId="766" priority="42" rank="1"/>
  </conditionalFormatting>
  <conditionalFormatting sqref="T127:T131">
    <cfRule type="top10" dxfId="765" priority="39" bottom="1" rank="1"/>
    <cfRule type="top10" dxfId="764" priority="40" rank="1"/>
  </conditionalFormatting>
  <conditionalFormatting sqref="T133:T137">
    <cfRule type="top10" dxfId="763" priority="37" bottom="1" rank="1"/>
    <cfRule type="top10" dxfId="762" priority="38" rank="1"/>
  </conditionalFormatting>
  <conditionalFormatting sqref="T139:T143">
    <cfRule type="top10" dxfId="761" priority="35" bottom="1" rank="1"/>
    <cfRule type="top10" dxfId="760" priority="36" rank="1"/>
  </conditionalFormatting>
  <conditionalFormatting sqref="T145:T149">
    <cfRule type="top10" dxfId="759" priority="33" bottom="1" rank="1"/>
    <cfRule type="top10" dxfId="758" priority="34" rank="1"/>
  </conditionalFormatting>
  <conditionalFormatting sqref="T151:T155">
    <cfRule type="top10" dxfId="757" priority="31" bottom="1" rank="1"/>
    <cfRule type="top10" dxfId="756" priority="32" rank="1"/>
  </conditionalFormatting>
  <conditionalFormatting sqref="T157:T161">
    <cfRule type="top10" dxfId="755" priority="29" bottom="1" rank="1"/>
    <cfRule type="top10" dxfId="754" priority="30" rank="1"/>
  </conditionalFormatting>
  <conditionalFormatting sqref="T163:T167">
    <cfRule type="top10" dxfId="753" priority="27" bottom="1" rank="1"/>
    <cfRule type="top10" dxfId="752" priority="28" rank="1"/>
  </conditionalFormatting>
  <conditionalFormatting sqref="T169:T173">
    <cfRule type="top10" dxfId="751" priority="25" bottom="1" rank="1"/>
    <cfRule type="top10" dxfId="750" priority="26" rank="1"/>
  </conditionalFormatting>
  <conditionalFormatting sqref="T175:T179">
    <cfRule type="top10" dxfId="749" priority="23" bottom="1" rank="1"/>
    <cfRule type="top10" dxfId="748" priority="24" rank="1"/>
  </conditionalFormatting>
  <conditionalFormatting sqref="T181:T185">
    <cfRule type="top10" dxfId="747" priority="21" bottom="1" rank="1"/>
    <cfRule type="top10" dxfId="746" priority="22" rank="1"/>
  </conditionalFormatting>
  <conditionalFormatting sqref="T187:T191">
    <cfRule type="top10" dxfId="745" priority="19" bottom="1" rank="1"/>
    <cfRule type="top10" dxfId="744" priority="20" rank="1"/>
  </conditionalFormatting>
  <conditionalFormatting sqref="T193:T197">
    <cfRule type="top10" dxfId="743" priority="17" bottom="1" rank="1"/>
    <cfRule type="top10" dxfId="742" priority="18" rank="1"/>
  </conditionalFormatting>
  <conditionalFormatting sqref="T199:T203">
    <cfRule type="top10" dxfId="741" priority="15" bottom="1" rank="1"/>
    <cfRule type="top10" dxfId="740" priority="16" rank="1"/>
  </conditionalFormatting>
  <conditionalFormatting sqref="T205:T209">
    <cfRule type="top10" dxfId="739" priority="13" bottom="1" rank="1"/>
    <cfRule type="top10" dxfId="738" priority="14" rank="1"/>
  </conditionalFormatting>
  <conditionalFormatting sqref="T211:T215">
    <cfRule type="top10" dxfId="737" priority="11" bottom="1" rank="1"/>
    <cfRule type="top10" dxfId="736" priority="12" rank="1"/>
  </conditionalFormatting>
  <conditionalFormatting sqref="T217:T221">
    <cfRule type="top10" dxfId="735" priority="9" bottom="1" rank="1"/>
    <cfRule type="top10" dxfId="734" priority="10" rank="1"/>
  </conditionalFormatting>
  <conditionalFormatting sqref="T223:T227">
    <cfRule type="top10" dxfId="733" priority="7" bottom="1" rank="1"/>
    <cfRule type="top10" dxfId="732" priority="8" rank="1"/>
  </conditionalFormatting>
  <conditionalFormatting sqref="T229:T233">
    <cfRule type="top10" dxfId="731" priority="5" bottom="1" rank="1"/>
    <cfRule type="top10" dxfId="730" priority="6" rank="1"/>
  </conditionalFormatting>
  <conditionalFormatting sqref="T235:T239">
    <cfRule type="top10" dxfId="729" priority="3" bottom="1" rank="1"/>
    <cfRule type="top10" dxfId="728" priority="4" rank="1"/>
  </conditionalFormatting>
  <conditionalFormatting sqref="T241:T245">
    <cfRule type="top10" dxfId="727" priority="1" bottom="1" rank="1"/>
    <cfRule type="top10" dxfId="726" priority="2" rank="1"/>
  </conditionalFormatting>
  <pageMargins left="0.7" right="0.7" top="0.75" bottom="0.75" header="0.3" footer="0.3"/>
  <pageSetup paperSize="9"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C000"/>
  </sheetPr>
  <dimension ref="A1:AB449"/>
  <sheetViews>
    <sheetView showGridLines="0" workbookViewId="0">
      <pane xSplit="4" ySplit="8" topLeftCell="E9" activePane="bottomRight" state="frozen"/>
      <selection pane="topRight" activeCell="E1" sqref="E1"/>
      <selection pane="bottomLeft" activeCell="A8" sqref="A8"/>
      <selection pane="bottomRight" activeCell="N10" sqref="N10"/>
    </sheetView>
  </sheetViews>
  <sheetFormatPr defaultRowHeight="15.75" x14ac:dyDescent="0.25"/>
  <cols>
    <col min="1" max="1" width="4.85546875" style="352" customWidth="1"/>
    <col min="2" max="2" width="7.85546875" style="716" customWidth="1"/>
    <col min="3" max="3" width="32.7109375" style="352" customWidth="1"/>
    <col min="4" max="4" width="5.7109375" style="352" customWidth="1"/>
    <col min="5" max="16" width="7.28515625" style="352" customWidth="1"/>
    <col min="17" max="17" width="7.42578125" style="2117" customWidth="1"/>
    <col min="18" max="18" width="10.7109375" style="352" customWidth="1"/>
    <col min="19" max="19" width="8.85546875" style="717" customWidth="1"/>
    <col min="20" max="20" width="7.85546875" style="717" customWidth="1"/>
    <col min="21" max="26" width="5.7109375" style="352" customWidth="1"/>
    <col min="27" max="27" width="9.28515625" style="352" customWidth="1"/>
    <col min="28" max="16384" width="9.140625" style="352"/>
  </cols>
  <sheetData>
    <row r="1" spans="1:28" ht="32.25" customHeight="1" x14ac:dyDescent="0.25"/>
    <row r="2" spans="1:28" ht="21" customHeight="1" x14ac:dyDescent="0.35">
      <c r="A2" s="715" t="s">
        <v>611</v>
      </c>
      <c r="D2" s="69"/>
      <c r="E2" s="69"/>
      <c r="F2" s="74"/>
      <c r="G2" s="74"/>
      <c r="H2" s="74"/>
      <c r="I2" s="74"/>
      <c r="J2" s="74"/>
      <c r="K2" s="74"/>
      <c r="L2" s="74"/>
      <c r="M2" s="74"/>
      <c r="N2" s="74"/>
      <c r="O2" s="74"/>
      <c r="P2" s="74"/>
      <c r="Q2" s="660"/>
      <c r="R2" s="74"/>
      <c r="S2" s="62"/>
      <c r="T2" s="62"/>
    </row>
    <row r="3" spans="1:28" ht="21" x14ac:dyDescent="0.35">
      <c r="A3" s="351" t="s">
        <v>54</v>
      </c>
    </row>
    <row r="4" spans="1:28" ht="18.75" x14ac:dyDescent="0.3">
      <c r="A4" s="354" t="s">
        <v>562</v>
      </c>
    </row>
    <row r="5" spans="1:28" s="889" customFormat="1" ht="16.5" thickBot="1" x14ac:dyDescent="0.3">
      <c r="A5" s="2116">
        <v>1</v>
      </c>
      <c r="B5" s="2116">
        <v>2</v>
      </c>
      <c r="C5" s="2116">
        <v>3</v>
      </c>
      <c r="D5" s="2116">
        <v>4</v>
      </c>
      <c r="E5" s="2116">
        <v>5</v>
      </c>
      <c r="F5" s="2116">
        <v>6</v>
      </c>
      <c r="G5" s="2116">
        <v>7</v>
      </c>
      <c r="H5" s="2116">
        <v>8</v>
      </c>
      <c r="I5" s="2116">
        <v>9</v>
      </c>
      <c r="J5" s="2116">
        <v>10</v>
      </c>
      <c r="K5" s="2116">
        <v>11</v>
      </c>
      <c r="L5" s="2116">
        <v>12</v>
      </c>
      <c r="M5" s="2116">
        <v>13</v>
      </c>
      <c r="N5" s="2116">
        <v>14</v>
      </c>
      <c r="O5" s="2116">
        <v>15</v>
      </c>
      <c r="P5" s="2116">
        <v>16</v>
      </c>
      <c r="Q5" s="2118">
        <v>17</v>
      </c>
      <c r="R5" s="2116">
        <v>18</v>
      </c>
      <c r="S5" s="2116">
        <v>19</v>
      </c>
      <c r="T5" s="2116">
        <v>20</v>
      </c>
      <c r="U5" s="2116">
        <v>21</v>
      </c>
      <c r="V5" s="2116">
        <v>22</v>
      </c>
      <c r="W5" s="2116">
        <v>23</v>
      </c>
      <c r="X5" s="2116">
        <v>24</v>
      </c>
      <c r="Y5" s="2116">
        <v>25</v>
      </c>
      <c r="Z5" s="2116">
        <v>26</v>
      </c>
      <c r="AA5" s="2116">
        <v>27</v>
      </c>
      <c r="AB5" s="2116">
        <v>28</v>
      </c>
    </row>
    <row r="6" spans="1:28" ht="16.5" customHeight="1" x14ac:dyDescent="0.25">
      <c r="A6" s="2522" t="s">
        <v>0</v>
      </c>
      <c r="B6" s="2904" t="s">
        <v>55</v>
      </c>
      <c r="C6" s="2520" t="s">
        <v>1</v>
      </c>
      <c r="D6" s="2524" t="s">
        <v>56</v>
      </c>
      <c r="E6" s="2810" t="s">
        <v>32</v>
      </c>
      <c r="F6" s="2811"/>
      <c r="G6" s="2811"/>
      <c r="H6" s="2811"/>
      <c r="I6" s="2811"/>
      <c r="J6" s="2811"/>
      <c r="K6" s="2811"/>
      <c r="L6" s="2811"/>
      <c r="M6" s="2811"/>
      <c r="N6" s="2735" t="s">
        <v>1004</v>
      </c>
      <c r="O6" s="2736"/>
      <c r="P6" s="2737"/>
      <c r="Q6" s="2884" t="s">
        <v>64</v>
      </c>
      <c r="R6" s="2548" t="s">
        <v>61</v>
      </c>
      <c r="S6" s="2782" t="s">
        <v>1006</v>
      </c>
      <c r="T6" s="2887" t="s">
        <v>465</v>
      </c>
      <c r="U6" s="2889" t="s">
        <v>797</v>
      </c>
      <c r="V6" s="2890"/>
      <c r="W6" s="2891"/>
      <c r="X6" s="2895" t="s">
        <v>798</v>
      </c>
      <c r="Y6" s="2896"/>
      <c r="Z6" s="2897"/>
      <c r="AA6" s="2541" t="s">
        <v>60</v>
      </c>
      <c r="AB6" s="2629" t="s">
        <v>5</v>
      </c>
    </row>
    <row r="7" spans="1:28" ht="15.75" customHeight="1" x14ac:dyDescent="0.25">
      <c r="A7" s="2903"/>
      <c r="B7" s="2905"/>
      <c r="C7" s="2763"/>
      <c r="D7" s="2615"/>
      <c r="E7" s="2791" t="s">
        <v>1007</v>
      </c>
      <c r="F7" s="2792"/>
      <c r="G7" s="2793"/>
      <c r="H7" s="2794" t="s">
        <v>443</v>
      </c>
      <c r="I7" s="2795"/>
      <c r="J7" s="2796"/>
      <c r="K7" s="2768" t="s">
        <v>442</v>
      </c>
      <c r="L7" s="2769"/>
      <c r="M7" s="2770"/>
      <c r="N7" s="2738"/>
      <c r="O7" s="2739"/>
      <c r="P7" s="2740"/>
      <c r="Q7" s="2885"/>
      <c r="R7" s="2616"/>
      <c r="S7" s="2783"/>
      <c r="T7" s="2815"/>
      <c r="U7" s="2892"/>
      <c r="V7" s="2893"/>
      <c r="W7" s="2894"/>
      <c r="X7" s="2898"/>
      <c r="Y7" s="2899"/>
      <c r="Z7" s="2900"/>
      <c r="AA7" s="2767"/>
      <c r="AB7" s="2753"/>
    </row>
    <row r="8" spans="1:28" ht="24" customHeight="1" thickBot="1" x14ac:dyDescent="0.3">
      <c r="A8" s="2523"/>
      <c r="B8" s="2906"/>
      <c r="C8" s="2521"/>
      <c r="D8" s="2525"/>
      <c r="E8" s="2034" t="s">
        <v>1001</v>
      </c>
      <c r="F8" s="2034" t="s">
        <v>1002</v>
      </c>
      <c r="G8" s="2034" t="s">
        <v>1003</v>
      </c>
      <c r="H8" s="2035" t="s">
        <v>1001</v>
      </c>
      <c r="I8" s="2035" t="s">
        <v>1002</v>
      </c>
      <c r="J8" s="2035" t="s">
        <v>1003</v>
      </c>
      <c r="K8" s="2036" t="s">
        <v>1001</v>
      </c>
      <c r="L8" s="2036" t="s">
        <v>1002</v>
      </c>
      <c r="M8" s="2036" t="s">
        <v>1003</v>
      </c>
      <c r="N8" s="2047" t="s">
        <v>1001</v>
      </c>
      <c r="O8" s="2047" t="s">
        <v>1002</v>
      </c>
      <c r="P8" s="2047" t="s">
        <v>1003</v>
      </c>
      <c r="Q8" s="2886"/>
      <c r="R8" s="2549"/>
      <c r="S8" s="2784"/>
      <c r="T8" s="2888"/>
      <c r="U8" s="2070" t="s">
        <v>16</v>
      </c>
      <c r="V8" s="2070" t="s">
        <v>189</v>
      </c>
      <c r="W8" s="2070" t="s">
        <v>186</v>
      </c>
      <c r="X8" s="2115" t="s">
        <v>16</v>
      </c>
      <c r="Y8" s="2115" t="s">
        <v>189</v>
      </c>
      <c r="Z8" s="2115" t="s">
        <v>186</v>
      </c>
      <c r="AA8" s="2542"/>
      <c r="AB8" s="2630"/>
    </row>
    <row r="9" spans="1:28" ht="24.95" customHeight="1" x14ac:dyDescent="0.25">
      <c r="A9" s="360">
        <v>1</v>
      </c>
      <c r="B9" s="719"/>
      <c r="C9" s="1671" t="str">
        <f>VLOOKUP(A9,data_siswa,4,FALSE)</f>
        <v>Achmad Zacky</v>
      </c>
      <c r="D9" s="1862" t="s">
        <v>16</v>
      </c>
      <c r="E9" s="1497">
        <v>78</v>
      </c>
      <c r="F9" s="1497">
        <v>67</v>
      </c>
      <c r="G9" s="1497">
        <v>79</v>
      </c>
      <c r="H9" s="1497"/>
      <c r="I9" s="1497"/>
      <c r="J9" s="1497"/>
      <c r="K9" s="1497"/>
      <c r="L9" s="1497"/>
      <c r="M9" s="1497"/>
      <c r="N9" s="1077">
        <f>MAX(E9,H9,K9)</f>
        <v>78</v>
      </c>
      <c r="O9" s="2126">
        <f t="shared" ref="O9:P11" si="0">MAX(F9,I9,L9)</f>
        <v>67</v>
      </c>
      <c r="P9" s="2127">
        <f t="shared" si="0"/>
        <v>79</v>
      </c>
      <c r="Q9" s="853">
        <f>IFERROR(AVERAGE(N9:P9),"")</f>
        <v>74.666666666666671</v>
      </c>
      <c r="R9" s="1519" t="str">
        <f>IF(Q9&gt;85,("4"),IF(Q9&gt;80,("3.66"),IF(Q9&gt;75,("3.33"),IF(Q9&gt;70,("3.00"),IF(Q9&gt;65,("2.66"),IF(Q9&gt;60,("2.33"),IF(Q9&gt;55,("2"),IF(Q9&gt;50,("1.66"),"1.33"))))))))</f>
        <v>3.00</v>
      </c>
      <c r="S9" s="1519" t="str">
        <f>IF(Q9&gt;85,("A"),IF(Q9&gt;80,("A-"),IF(Q9&gt;75,("B+"),IF(Q9&gt;70,("B"),IF(Q9&gt;65,("B-"),IF(Q9&gt;60,("C+"),IF(Q9&gt;55,("C"),IF(Q9&gt;50,("C-"),"D+"))))))))</f>
        <v>B</v>
      </c>
      <c r="T9" s="1519" t="str">
        <f>IF(Q9&gt;80,("SB"),IF(Q9&gt;65,("B"),IF(Q9&gt;50,("C"),IF(Q9&gt;0,("K"),"0"))))</f>
        <v>B</v>
      </c>
      <c r="U9" s="2112"/>
      <c r="V9" s="2112">
        <v>4</v>
      </c>
      <c r="W9" s="2112"/>
      <c r="X9" s="1882"/>
      <c r="Y9" s="1882">
        <v>2</v>
      </c>
      <c r="Z9" s="1882"/>
      <c r="AA9" s="2113">
        <f>MAX(Q9:Q11)</f>
        <v>77</v>
      </c>
      <c r="AB9" s="2114" t="str">
        <f>IF(AA9&gt;85,("A"),IF(AA9&gt;80,("A-"),IF(AA9&gt;75,("B+"),IF(AA9&gt;70,("B"),IF(AA9&gt;65,("B-"),IF(AA9&gt;60,("C+"),IF(AA9&gt;55,("C"),IF(AA9&gt;50,("C-"),"D+"))))))))</f>
        <v>B+</v>
      </c>
    </row>
    <row r="10" spans="1:28" ht="24.95" customHeight="1" x14ac:dyDescent="0.25">
      <c r="A10" s="360"/>
      <c r="B10" s="719"/>
      <c r="C10" s="1673"/>
      <c r="D10" s="1862" t="s">
        <v>189</v>
      </c>
      <c r="E10" s="1497"/>
      <c r="F10" s="1493"/>
      <c r="G10" s="1493"/>
      <c r="H10" s="1493">
        <v>80</v>
      </c>
      <c r="I10" s="1493">
        <v>65</v>
      </c>
      <c r="J10" s="1493">
        <v>86</v>
      </c>
      <c r="K10" s="1493"/>
      <c r="L10" s="1493"/>
      <c r="M10" s="1493"/>
      <c r="N10" s="1077">
        <f t="shared" ref="N10:N11" si="1">MAX(E10,H10,K10)</f>
        <v>80</v>
      </c>
      <c r="O10" s="2126">
        <f t="shared" si="0"/>
        <v>65</v>
      </c>
      <c r="P10" s="2127">
        <f t="shared" si="0"/>
        <v>86</v>
      </c>
      <c r="Q10" s="853">
        <f t="shared" ref="Q10:Q11" si="2">IFERROR(AVERAGE(N10:P10),"")</f>
        <v>77</v>
      </c>
      <c r="R10" s="1518" t="str">
        <f t="shared" ref="R10:R11" si="3">IF(Q10&gt;85,("4"),IF(Q10&gt;80,("3.66"),IF(Q10&gt;75,("3.33"),IF(Q10&gt;70,("3.00"),IF(Q10&gt;65,("2.66"),IF(Q10&gt;60,("2.33"),IF(Q10&gt;55,("2"),IF(Q10&gt;50,("1.66"),"1.33"))))))))</f>
        <v>3.33</v>
      </c>
      <c r="S10" s="1518" t="str">
        <f t="shared" ref="S10:S11" si="4">IF(Q10&gt;85,("A"),IF(Q10&gt;80,("A-"),IF(Q10&gt;75,("B+"),IF(Q10&gt;70,("B"),IF(Q10&gt;65,("B-"),IF(Q10&gt;60,("C+"),IF(Q10&gt;55,("C"),IF(Q10&gt;50,("C-"),"D+"))))))))</f>
        <v>B+</v>
      </c>
      <c r="T10" s="1518" t="str">
        <f t="shared" ref="T10:T11" si="5">IF(Q10&gt;80,("SB"),IF(Q10&gt;65,("B"),IF(Q10&gt;50,("C"),IF(Q10&gt;0,("K"),"0"))))</f>
        <v>B</v>
      </c>
      <c r="U10" s="1863"/>
      <c r="V10" s="1864"/>
      <c r="W10" s="1864"/>
      <c r="X10" s="1865"/>
      <c r="Y10" s="1865"/>
      <c r="Z10" s="1866"/>
      <c r="AA10" s="1867"/>
      <c r="AB10" s="1868"/>
    </row>
    <row r="11" spans="1:28" ht="24.95" customHeight="1" x14ac:dyDescent="0.25">
      <c r="A11" s="360"/>
      <c r="B11" s="719"/>
      <c r="C11" s="1673"/>
      <c r="D11" s="1862" t="s">
        <v>186</v>
      </c>
      <c r="E11" s="1493"/>
      <c r="F11" s="1493"/>
      <c r="G11" s="1493"/>
      <c r="H11" s="1493"/>
      <c r="I11" s="1493"/>
      <c r="J11" s="1493"/>
      <c r="K11" s="1493">
        <v>78</v>
      </c>
      <c r="L11" s="1493">
        <v>61</v>
      </c>
      <c r="M11" s="1493">
        <v>65</v>
      </c>
      <c r="N11" s="1077">
        <f t="shared" si="1"/>
        <v>78</v>
      </c>
      <c r="O11" s="2126">
        <f t="shared" si="0"/>
        <v>61</v>
      </c>
      <c r="P11" s="2127">
        <f t="shared" si="0"/>
        <v>65</v>
      </c>
      <c r="Q11" s="853">
        <f t="shared" si="2"/>
        <v>68</v>
      </c>
      <c r="R11" s="1518" t="str">
        <f t="shared" si="3"/>
        <v>2.66</v>
      </c>
      <c r="S11" s="1518" t="str">
        <f t="shared" si="4"/>
        <v>B-</v>
      </c>
      <c r="T11" s="1518" t="str">
        <f t="shared" si="5"/>
        <v>B</v>
      </c>
      <c r="U11" s="1869"/>
      <c r="V11" s="1870"/>
      <c r="W11" s="1870"/>
      <c r="X11" s="1871"/>
      <c r="Y11" s="1871"/>
      <c r="Z11" s="1872"/>
      <c r="AA11" s="1873"/>
      <c r="AB11" s="1874"/>
    </row>
    <row r="12" spans="1:28" s="723" customFormat="1" ht="24.95" customHeight="1" x14ac:dyDescent="0.25">
      <c r="A12" s="721"/>
      <c r="B12" s="722">
        <v>1</v>
      </c>
      <c r="C12" s="1674" t="s">
        <v>167</v>
      </c>
      <c r="D12" s="1875"/>
      <c r="E12" s="2901"/>
      <c r="F12" s="2902"/>
      <c r="G12" s="2902"/>
      <c r="H12" s="2024"/>
      <c r="I12" s="2024"/>
      <c r="J12" s="2024"/>
      <c r="K12" s="2024"/>
      <c r="L12" s="2024"/>
      <c r="M12" s="2024"/>
      <c r="N12" s="2163"/>
      <c r="O12" s="2163"/>
      <c r="P12" s="2163"/>
      <c r="Q12" s="2119">
        <f>IFERROR(MAX(Q9:Q11),"  ")</f>
        <v>77</v>
      </c>
      <c r="R12" s="1876" t="str">
        <f>IF(Q12&gt;85,("4"),IF(Q12&gt;80,("3.66"),IF(Q12&gt;75,("3.33"),IF(Q12&gt;70,("3.00"),IF(Q12&gt;65,("2.66"),IF(Q12&gt;60,("2.33"),IF(Q12&gt;55,("2"),IF(Q12&gt;50,("1.66"),"1.33"))))))))</f>
        <v>3.33</v>
      </c>
      <c r="S12" s="1876" t="str">
        <f>IF(Q12&gt;85,("A"),IF(Q12&gt;80,("A-"),IF(Q12&gt;75,("B+"),IF(Q12&gt;70,("B"),IF(Q12&gt;65,("B-"),IF(Q12&gt;60,("C+"),IF(Q12&gt;55,("C"),IF(Q12&gt;50,("C-"),"D+"))))))))</f>
        <v>B+</v>
      </c>
      <c r="T12" s="1876"/>
      <c r="U12" s="1877"/>
      <c r="V12" s="1878"/>
      <c r="W12" s="1878"/>
      <c r="X12" s="1878"/>
      <c r="Y12" s="1878"/>
      <c r="Z12" s="1879"/>
      <c r="AA12" s="1880"/>
      <c r="AB12" s="1881"/>
    </row>
    <row r="13" spans="1:28" ht="24.95" customHeight="1" x14ac:dyDescent="0.25">
      <c r="A13" s="724">
        <v>2</v>
      </c>
      <c r="B13" s="725"/>
      <c r="C13" s="1671" t="str">
        <f>VLOOKUP(A13,data_siswa,4,FALSE)</f>
        <v>Angelia Vabel R</v>
      </c>
      <c r="D13" s="1862" t="s">
        <v>16</v>
      </c>
      <c r="E13" s="1493">
        <v>0</v>
      </c>
      <c r="F13" s="1493">
        <v>0</v>
      </c>
      <c r="G13" s="1493">
        <v>0</v>
      </c>
      <c r="H13" s="1493"/>
      <c r="I13" s="1493"/>
      <c r="J13" s="1493"/>
      <c r="K13" s="1493"/>
      <c r="L13" s="1493"/>
      <c r="M13" s="1493"/>
      <c r="N13" s="1077">
        <f>MAX(E13,H13,K13)</f>
        <v>0</v>
      </c>
      <c r="O13" s="2126">
        <f t="shared" ref="O13:O15" si="6">MAX(F13,I13,L13)</f>
        <v>0</v>
      </c>
      <c r="P13" s="2127">
        <f t="shared" ref="P13:P15" si="7">MAX(G13,J13,M13)</f>
        <v>0</v>
      </c>
      <c r="Q13" s="853">
        <f>IFERROR(AVERAGE(N13:P13),"")</f>
        <v>0</v>
      </c>
      <c r="R13" s="1519" t="str">
        <f>IF(Q13&gt;85,("4"),IF(Q13&gt;80,("3.66"),IF(Q13&gt;75,("3.33"),IF(Q13&gt;70,("3.00"),IF(Q13&gt;65,("2.66"),IF(Q13&gt;60,("2.33"),IF(Q13&gt;55,("2"),IF(Q13&gt;50,("1.66"),"1.33"))))))))</f>
        <v>1.33</v>
      </c>
      <c r="S13" s="1519" t="str">
        <f>IF(Q13&gt;85,("A"),IF(Q13&gt;80,("A-"),IF(Q13&gt;75,("B+"),IF(Q13&gt;70,("B"),IF(Q13&gt;65,("B-"),IF(Q13&gt;60,("C+"),IF(Q13&gt;55,("C"),IF(Q13&gt;50,("C-"),"D+"))))))))</f>
        <v>D+</v>
      </c>
      <c r="T13" s="1519" t="str">
        <f>IF(Q13&gt;80,("SB"),IF(Q13&gt;65,("B"),IF(Q13&gt;50,("C"),IF(Q13&gt;0,("K"),"0"))))</f>
        <v>0</v>
      </c>
      <c r="U13" s="1796"/>
      <c r="V13" s="1796"/>
      <c r="W13" s="1796"/>
      <c r="X13" s="1859"/>
      <c r="Y13" s="1859">
        <v>3</v>
      </c>
      <c r="Z13" s="1859"/>
      <c r="AA13" s="1860">
        <f>MAX(Q13:Q15)</f>
        <v>0</v>
      </c>
      <c r="AB13" s="1861" t="str">
        <f>IF(AA13&gt;85,("A"),IF(AA13&gt;80,("A-"),IF(AA13&gt;75,("B+"),IF(AA13&gt;70,("B"),IF(AA13&gt;65,("B-"),IF(AA13&gt;60,("C+"),IF(AA13&gt;55,("C"),IF(AA13&gt;50,("C-"),"D+"))))))))</f>
        <v>D+</v>
      </c>
    </row>
    <row r="14" spans="1:28" ht="24.95" customHeight="1" x14ac:dyDescent="0.25">
      <c r="A14" s="360"/>
      <c r="B14" s="719"/>
      <c r="C14" s="1673"/>
      <c r="D14" s="1862" t="s">
        <v>189</v>
      </c>
      <c r="E14" s="1497"/>
      <c r="F14" s="1493"/>
      <c r="G14" s="1493"/>
      <c r="H14" s="1493">
        <v>0</v>
      </c>
      <c r="I14" s="1493">
        <v>0</v>
      </c>
      <c r="J14" s="1493">
        <v>0</v>
      </c>
      <c r="K14" s="1493"/>
      <c r="L14" s="1493"/>
      <c r="M14" s="1493"/>
      <c r="N14" s="1077">
        <f t="shared" ref="N14:N15" si="8">MAX(E14,H14,K14)</f>
        <v>0</v>
      </c>
      <c r="O14" s="2126">
        <f t="shared" si="6"/>
        <v>0</v>
      </c>
      <c r="P14" s="2127">
        <f t="shared" si="7"/>
        <v>0</v>
      </c>
      <c r="Q14" s="853">
        <f t="shared" ref="Q14:Q15" si="9">IFERROR(AVERAGE(N14:P14),"")</f>
        <v>0</v>
      </c>
      <c r="R14" s="1518" t="str">
        <f t="shared" ref="R14:R15" si="10">IF(Q14&gt;85,("4"),IF(Q14&gt;80,("3.66"),IF(Q14&gt;75,("3.33"),IF(Q14&gt;70,("3.00"),IF(Q14&gt;65,("2.66"),IF(Q14&gt;60,("2.33"),IF(Q14&gt;55,("2"),IF(Q14&gt;50,("1.66"),"1.33"))))))))</f>
        <v>1.33</v>
      </c>
      <c r="S14" s="1518" t="str">
        <f t="shared" ref="S14:S15" si="11">IF(Q14&gt;85,("A"),IF(Q14&gt;80,("A-"),IF(Q14&gt;75,("B+"),IF(Q14&gt;70,("B"),IF(Q14&gt;65,("B-"),IF(Q14&gt;60,("C+"),IF(Q14&gt;55,("C"),IF(Q14&gt;50,("C-"),"D+"))))))))</f>
        <v>D+</v>
      </c>
      <c r="T14" s="1518" t="str">
        <f t="shared" ref="T14:T15" si="12">IF(Q14&gt;80,("SB"),IF(Q14&gt;65,("B"),IF(Q14&gt;50,("C"),IF(Q14&gt;0,("K"),"0"))))</f>
        <v>0</v>
      </c>
      <c r="U14" s="1863"/>
      <c r="V14" s="1864"/>
      <c r="W14" s="1864"/>
      <c r="X14" s="1865"/>
      <c r="Y14" s="1865"/>
      <c r="Z14" s="1866"/>
      <c r="AA14" s="1867"/>
      <c r="AB14" s="1868"/>
    </row>
    <row r="15" spans="1:28" ht="24.95" customHeight="1" x14ac:dyDescent="0.25">
      <c r="A15" s="360"/>
      <c r="B15" s="719"/>
      <c r="C15" s="1673"/>
      <c r="D15" s="1862" t="s">
        <v>186</v>
      </c>
      <c r="E15" s="1493"/>
      <c r="F15" s="1493"/>
      <c r="G15" s="1493"/>
      <c r="H15" s="1493"/>
      <c r="I15" s="1493"/>
      <c r="J15" s="1493"/>
      <c r="K15" s="1493">
        <v>0</v>
      </c>
      <c r="L15" s="1493">
        <v>0</v>
      </c>
      <c r="M15" s="1493">
        <v>0</v>
      </c>
      <c r="N15" s="1077">
        <f t="shared" si="8"/>
        <v>0</v>
      </c>
      <c r="O15" s="2126">
        <f t="shared" si="6"/>
        <v>0</v>
      </c>
      <c r="P15" s="2127">
        <f t="shared" si="7"/>
        <v>0</v>
      </c>
      <c r="Q15" s="853">
        <f t="shared" si="9"/>
        <v>0</v>
      </c>
      <c r="R15" s="1518" t="str">
        <f t="shared" si="10"/>
        <v>1.33</v>
      </c>
      <c r="S15" s="1518" t="str">
        <f t="shared" si="11"/>
        <v>D+</v>
      </c>
      <c r="T15" s="1518" t="str">
        <f t="shared" si="12"/>
        <v>0</v>
      </c>
      <c r="U15" s="1869"/>
      <c r="V15" s="1870"/>
      <c r="W15" s="1870"/>
      <c r="X15" s="1871"/>
      <c r="Y15" s="1871"/>
      <c r="Z15" s="1872"/>
      <c r="AA15" s="1873"/>
      <c r="AB15" s="1874"/>
    </row>
    <row r="16" spans="1:28" ht="24.95" customHeight="1" x14ac:dyDescent="0.25">
      <c r="A16" s="727"/>
      <c r="B16" s="722">
        <v>2</v>
      </c>
      <c r="C16" s="1674" t="s">
        <v>167</v>
      </c>
      <c r="D16" s="1797"/>
      <c r="E16" s="2901"/>
      <c r="F16" s="2902"/>
      <c r="G16" s="2902"/>
      <c r="H16" s="2024"/>
      <c r="I16" s="2024"/>
      <c r="J16" s="2024"/>
      <c r="K16" s="2024"/>
      <c r="L16" s="2024"/>
      <c r="M16" s="2024"/>
      <c r="N16" s="2163"/>
      <c r="O16" s="2163"/>
      <c r="P16" s="2163"/>
      <c r="Q16" s="1520">
        <f>IFERROR(MAX(Q13:Q15),"  ")</f>
        <v>0</v>
      </c>
      <c r="R16" s="1876" t="str">
        <f>IF(Q16&gt;85,("4"),IF(Q16&gt;80,("3.66"),IF(Q16&gt;75,("3.33"),IF(Q16&gt;70,("3.00"),IF(Q16&gt;65,("2.66"),IF(Q16&gt;60,("2.33"),IF(Q16&gt;55,("2"),IF(Q16&gt;50,("1.66"),"1.33"))))))))</f>
        <v>1.33</v>
      </c>
      <c r="S16" s="1876" t="str">
        <f>IF(Q16&gt;85,("A"),IF(Q16&gt;80,("A-"),IF(Q16&gt;75,("B+"),IF(Q16&gt;70,("B"),IF(Q16&gt;65,("B-"),IF(Q16&gt;60,("C+"),IF(Q16&gt;55,("C"),IF(Q16&gt;50,("C-"),"D+"))))))))</f>
        <v>D+</v>
      </c>
      <c r="T16" s="1876"/>
      <c r="U16" s="1877"/>
      <c r="V16" s="1878"/>
      <c r="W16" s="1878"/>
      <c r="X16" s="1878"/>
      <c r="Y16" s="1878"/>
      <c r="Z16" s="1879"/>
      <c r="AA16" s="1880"/>
      <c r="AB16" s="1881"/>
    </row>
    <row r="17" spans="1:28" ht="24.95" customHeight="1" x14ac:dyDescent="0.25">
      <c r="A17" s="724">
        <v>3</v>
      </c>
      <c r="B17" s="725"/>
      <c r="C17" s="1671" t="str">
        <f>VLOOKUP(A17,data_siswa,4,FALSE)</f>
        <v>Anggun Dwi P.I</v>
      </c>
      <c r="D17" s="1862" t="s">
        <v>16</v>
      </c>
      <c r="E17" s="1493">
        <v>0</v>
      </c>
      <c r="F17" s="1493">
        <v>0</v>
      </c>
      <c r="G17" s="1493">
        <v>0</v>
      </c>
      <c r="H17" s="1493"/>
      <c r="I17" s="1493"/>
      <c r="J17" s="1493"/>
      <c r="K17" s="1493"/>
      <c r="L17" s="1493"/>
      <c r="M17" s="1493"/>
      <c r="N17" s="1077">
        <f>MAX(E17,H17,K17)</f>
        <v>0</v>
      </c>
      <c r="O17" s="2126">
        <f t="shared" ref="O17:O19" si="13">MAX(F17,I17,L17)</f>
        <v>0</v>
      </c>
      <c r="P17" s="2127">
        <f t="shared" ref="P17:P19" si="14">MAX(G17,J17,M17)</f>
        <v>0</v>
      </c>
      <c r="Q17" s="853">
        <f>IFERROR(AVERAGE(N17:P17),"")</f>
        <v>0</v>
      </c>
      <c r="R17" s="1519" t="str">
        <f>IF(Q17&gt;85,("4"),IF(Q17&gt;80,("3.66"),IF(Q17&gt;75,("3.33"),IF(Q17&gt;70,("3.00"),IF(Q17&gt;65,("2.66"),IF(Q17&gt;60,("2.33"),IF(Q17&gt;55,("2"),IF(Q17&gt;50,("1.66"),"1.33"))))))))</f>
        <v>1.33</v>
      </c>
      <c r="S17" s="1519" t="str">
        <f>IF(Q17&gt;85,("A"),IF(Q17&gt;80,("A-"),IF(Q17&gt;75,("B+"),IF(Q17&gt;70,("B"),IF(Q17&gt;65,("B-"),IF(Q17&gt;60,("C+"),IF(Q17&gt;55,("C"),IF(Q17&gt;50,("C-"),"D+"))))))))</f>
        <v>D+</v>
      </c>
      <c r="T17" s="1519" t="str">
        <f>IF(Q17&gt;80,("SB"),IF(Q17&gt;65,("B"),IF(Q17&gt;50,("C"),IF(Q17&gt;0,("K"),"0"))))</f>
        <v>0</v>
      </c>
      <c r="U17" s="1796"/>
      <c r="V17" s="1796"/>
      <c r="W17" s="1796"/>
      <c r="X17" s="1859"/>
      <c r="Y17" s="1859"/>
      <c r="Z17" s="1859"/>
      <c r="AA17" s="1860">
        <f>MAX(Q17:Q19)</f>
        <v>0</v>
      </c>
      <c r="AB17" s="1861" t="str">
        <f>IF(AA17&gt;85,("A"),IF(AA17&gt;80,("A-"),IF(AA17&gt;75,("B+"),IF(AA17&gt;70,("B"),IF(AA17&gt;65,("B-"),IF(AA17&gt;60,("C+"),IF(AA17&gt;55,("C"),IF(AA17&gt;50,("C-"),"D+"))))))))</f>
        <v>D+</v>
      </c>
    </row>
    <row r="18" spans="1:28" ht="24.95" customHeight="1" x14ac:dyDescent="0.25">
      <c r="A18" s="360"/>
      <c r="B18" s="719"/>
      <c r="C18" s="1673"/>
      <c r="D18" s="1862" t="s">
        <v>189</v>
      </c>
      <c r="E18" s="1497"/>
      <c r="F18" s="1493"/>
      <c r="G18" s="1493"/>
      <c r="H18" s="1493">
        <v>0</v>
      </c>
      <c r="I18" s="1493">
        <v>0</v>
      </c>
      <c r="J18" s="1493">
        <v>0</v>
      </c>
      <c r="K18" s="1493"/>
      <c r="L18" s="1493"/>
      <c r="M18" s="1493"/>
      <c r="N18" s="1077">
        <f t="shared" ref="N18:N19" si="15">MAX(E18,H18,K18)</f>
        <v>0</v>
      </c>
      <c r="O18" s="2126">
        <f t="shared" si="13"/>
        <v>0</v>
      </c>
      <c r="P18" s="2127">
        <f t="shared" si="14"/>
        <v>0</v>
      </c>
      <c r="Q18" s="853">
        <f t="shared" ref="Q18:Q19" si="16">IFERROR(AVERAGE(N18:P18),"")</f>
        <v>0</v>
      </c>
      <c r="R18" s="1518" t="str">
        <f t="shared" ref="R18:R19" si="17">IF(Q18&gt;85,("4"),IF(Q18&gt;80,("3.66"),IF(Q18&gt;75,("3.33"),IF(Q18&gt;70,("3.00"),IF(Q18&gt;65,("2.66"),IF(Q18&gt;60,("2.33"),IF(Q18&gt;55,("2"),IF(Q18&gt;50,("1.66"),"1.33"))))))))</f>
        <v>1.33</v>
      </c>
      <c r="S18" s="1518" t="str">
        <f t="shared" ref="S18:S19" si="18">IF(Q18&gt;85,("A"),IF(Q18&gt;80,("A-"),IF(Q18&gt;75,("B+"),IF(Q18&gt;70,("B"),IF(Q18&gt;65,("B-"),IF(Q18&gt;60,("C+"),IF(Q18&gt;55,("C"),IF(Q18&gt;50,("C-"),"D+"))))))))</f>
        <v>D+</v>
      </c>
      <c r="T18" s="1518" t="str">
        <f t="shared" ref="T18:T19" si="19">IF(Q18&gt;80,("SB"),IF(Q18&gt;65,("B"),IF(Q18&gt;50,("C"),IF(Q18&gt;0,("K"),"0"))))</f>
        <v>0</v>
      </c>
      <c r="U18" s="1863"/>
      <c r="V18" s="1864"/>
      <c r="W18" s="1864"/>
      <c r="X18" s="1865"/>
      <c r="Y18" s="1865"/>
      <c r="Z18" s="1866"/>
      <c r="AA18" s="1867"/>
      <c r="AB18" s="1868"/>
    </row>
    <row r="19" spans="1:28" ht="24.95" customHeight="1" x14ac:dyDescent="0.25">
      <c r="A19" s="360"/>
      <c r="B19" s="719"/>
      <c r="C19" s="1673"/>
      <c r="D19" s="1862" t="s">
        <v>186</v>
      </c>
      <c r="E19" s="1493"/>
      <c r="F19" s="1493"/>
      <c r="G19" s="1493"/>
      <c r="H19" s="1493"/>
      <c r="I19" s="1493"/>
      <c r="J19" s="1493"/>
      <c r="K19" s="1493">
        <v>0</v>
      </c>
      <c r="L19" s="1493">
        <v>0</v>
      </c>
      <c r="M19" s="1493">
        <v>0</v>
      </c>
      <c r="N19" s="1077">
        <f t="shared" si="15"/>
        <v>0</v>
      </c>
      <c r="O19" s="2126">
        <f t="shared" si="13"/>
        <v>0</v>
      </c>
      <c r="P19" s="2127">
        <f t="shared" si="14"/>
        <v>0</v>
      </c>
      <c r="Q19" s="853">
        <f t="shared" si="16"/>
        <v>0</v>
      </c>
      <c r="R19" s="1518" t="str">
        <f t="shared" si="17"/>
        <v>1.33</v>
      </c>
      <c r="S19" s="1518" t="str">
        <f t="shared" si="18"/>
        <v>D+</v>
      </c>
      <c r="T19" s="1518" t="str">
        <f t="shared" si="19"/>
        <v>0</v>
      </c>
      <c r="U19" s="1869"/>
      <c r="V19" s="1870"/>
      <c r="W19" s="1870"/>
      <c r="X19" s="1871"/>
      <c r="Y19" s="1871"/>
      <c r="Z19" s="1872"/>
      <c r="AA19" s="1873"/>
      <c r="AB19" s="1874"/>
    </row>
    <row r="20" spans="1:28" ht="24.95" customHeight="1" x14ac:dyDescent="0.25">
      <c r="A20" s="727"/>
      <c r="B20" s="731">
        <v>3</v>
      </c>
      <c r="C20" s="1674" t="s">
        <v>167</v>
      </c>
      <c r="D20" s="1797"/>
      <c r="E20" s="2901"/>
      <c r="F20" s="2902"/>
      <c r="G20" s="2902"/>
      <c r="H20" s="2024"/>
      <c r="I20" s="2024"/>
      <c r="J20" s="2024"/>
      <c r="K20" s="2024"/>
      <c r="L20" s="2024"/>
      <c r="M20" s="2024"/>
      <c r="N20" s="2163"/>
      <c r="O20" s="2163"/>
      <c r="P20" s="2163"/>
      <c r="Q20" s="1520">
        <f>IFERROR(MAX(Q17:Q19),"  ")</f>
        <v>0</v>
      </c>
      <c r="R20" s="1876" t="str">
        <f>IF(Q20&gt;85,("4"),IF(Q20&gt;80,("3.66"),IF(Q20&gt;75,("3.33"),IF(Q20&gt;70,("3.00"),IF(Q20&gt;65,("2.66"),IF(Q20&gt;60,("2.33"),IF(Q20&gt;55,("2"),IF(Q20&gt;50,("1.66"),"1.33"))))))))</f>
        <v>1.33</v>
      </c>
      <c r="S20" s="1876" t="str">
        <f>IF(Q20&gt;85,("A"),IF(Q20&gt;80,("A-"),IF(Q20&gt;75,("B+"),IF(Q20&gt;70,("B"),IF(Q20&gt;65,("B-"),IF(Q20&gt;60,("C+"),IF(Q20&gt;55,("C"),IF(Q20&gt;50,("C-"),"D+"))))))))</f>
        <v>D+</v>
      </c>
      <c r="T20" s="1876"/>
      <c r="U20" s="1877"/>
      <c r="V20" s="1878"/>
      <c r="W20" s="1878"/>
      <c r="X20" s="1878"/>
      <c r="Y20" s="1878"/>
      <c r="Z20" s="1879"/>
      <c r="AA20" s="1880"/>
      <c r="AB20" s="1881"/>
    </row>
    <row r="21" spans="1:28" ht="24.95" customHeight="1" x14ac:dyDescent="0.25">
      <c r="A21" s="724">
        <v>4</v>
      </c>
      <c r="B21" s="725"/>
      <c r="C21" s="1671" t="str">
        <f>VLOOKUP(A21,data_siswa,4,FALSE)</f>
        <v>Antonio Permata A</v>
      </c>
      <c r="D21" s="1862" t="s">
        <v>16</v>
      </c>
      <c r="E21" s="1493">
        <v>0</v>
      </c>
      <c r="F21" s="1493">
        <v>0</v>
      </c>
      <c r="G21" s="1493">
        <v>0</v>
      </c>
      <c r="H21" s="1493"/>
      <c r="I21" s="1493"/>
      <c r="J21" s="1493"/>
      <c r="K21" s="1493"/>
      <c r="L21" s="1493"/>
      <c r="M21" s="1493"/>
      <c r="N21" s="1077">
        <f>MAX(E21,H21,K21)</f>
        <v>0</v>
      </c>
      <c r="O21" s="2126">
        <f t="shared" ref="O21:O23" si="20">MAX(F21,I21,L21)</f>
        <v>0</v>
      </c>
      <c r="P21" s="2127">
        <f t="shared" ref="P21:P23" si="21">MAX(G21,J21,M21)</f>
        <v>0</v>
      </c>
      <c r="Q21" s="853">
        <f>IFERROR(AVERAGE(N21:P21),"")</f>
        <v>0</v>
      </c>
      <c r="R21" s="1519" t="str">
        <f>IF(Q21&gt;85,("4"),IF(Q21&gt;80,("3.66"),IF(Q21&gt;75,("3.33"),IF(Q21&gt;70,("3.00"),IF(Q21&gt;65,("2.66"),IF(Q21&gt;60,("2.33"),IF(Q21&gt;55,("2"),IF(Q21&gt;50,("1.66"),"1.33"))))))))</f>
        <v>1.33</v>
      </c>
      <c r="S21" s="1519" t="str">
        <f>IF(Q21&gt;85,("A"),IF(Q21&gt;80,("A-"),IF(Q21&gt;75,("B+"),IF(Q21&gt;70,("B"),IF(Q21&gt;65,("B-"),IF(Q21&gt;60,("C+"),IF(Q21&gt;55,("C"),IF(Q21&gt;50,("C-"),"D+"))))))))</f>
        <v>D+</v>
      </c>
      <c r="T21" s="1519" t="str">
        <f>IF(Q21&gt;80,("SB"),IF(Q21&gt;65,("B"),IF(Q21&gt;50,("C"),IF(Q21&gt;0,("K"),"0"))))</f>
        <v>0</v>
      </c>
      <c r="U21" s="1796"/>
      <c r="V21" s="1796"/>
      <c r="W21" s="1796"/>
      <c r="X21" s="1859"/>
      <c r="Y21" s="1859"/>
      <c r="Z21" s="1859"/>
      <c r="AA21" s="1860">
        <f>MAX(Q21:Q23)</f>
        <v>0</v>
      </c>
      <c r="AB21" s="1861" t="str">
        <f>IF(AA21&gt;85,("A"),IF(AA21&gt;80,("A-"),IF(AA21&gt;75,("B+"),IF(AA21&gt;70,("B"),IF(AA21&gt;65,("B-"),IF(AA21&gt;60,("C+"),IF(AA21&gt;55,("C"),IF(AA21&gt;50,("C-"),"D+"))))))))</f>
        <v>D+</v>
      </c>
    </row>
    <row r="22" spans="1:28" ht="24.95" customHeight="1" x14ac:dyDescent="0.25">
      <c r="A22" s="360"/>
      <c r="B22" s="719"/>
      <c r="C22" s="1673"/>
      <c r="D22" s="1862" t="s">
        <v>189</v>
      </c>
      <c r="E22" s="1497"/>
      <c r="F22" s="1493"/>
      <c r="G22" s="1493"/>
      <c r="H22" s="1493">
        <v>0</v>
      </c>
      <c r="I22" s="1493">
        <v>0</v>
      </c>
      <c r="J22" s="1493">
        <v>0</v>
      </c>
      <c r="K22" s="1493"/>
      <c r="L22" s="1493"/>
      <c r="M22" s="1493"/>
      <c r="N22" s="1077">
        <f t="shared" ref="N22:N23" si="22">MAX(E22,H22,K22)</f>
        <v>0</v>
      </c>
      <c r="O22" s="2126">
        <f t="shared" si="20"/>
        <v>0</v>
      </c>
      <c r="P22" s="2127">
        <f t="shared" si="21"/>
        <v>0</v>
      </c>
      <c r="Q22" s="853">
        <f t="shared" ref="Q22:Q23" si="23">IFERROR(AVERAGE(N22:P22),"")</f>
        <v>0</v>
      </c>
      <c r="R22" s="1518" t="str">
        <f t="shared" ref="R22:R23" si="24">IF(Q22&gt;85,("4"),IF(Q22&gt;80,("3.66"),IF(Q22&gt;75,("3.33"),IF(Q22&gt;70,("3.00"),IF(Q22&gt;65,("2.66"),IF(Q22&gt;60,("2.33"),IF(Q22&gt;55,("2"),IF(Q22&gt;50,("1.66"),"1.33"))))))))</f>
        <v>1.33</v>
      </c>
      <c r="S22" s="1518" t="str">
        <f t="shared" ref="S22:S23" si="25">IF(Q22&gt;85,("A"),IF(Q22&gt;80,("A-"),IF(Q22&gt;75,("B+"),IF(Q22&gt;70,("B"),IF(Q22&gt;65,("B-"),IF(Q22&gt;60,("C+"),IF(Q22&gt;55,("C"),IF(Q22&gt;50,("C-"),"D+"))))))))</f>
        <v>D+</v>
      </c>
      <c r="T22" s="1518" t="str">
        <f t="shared" ref="T22:T23" si="26">IF(Q22&gt;80,("SB"),IF(Q22&gt;65,("B"),IF(Q22&gt;50,("C"),IF(Q22&gt;0,("K"),"0"))))</f>
        <v>0</v>
      </c>
      <c r="U22" s="1863"/>
      <c r="V22" s="1864"/>
      <c r="W22" s="1864"/>
      <c r="X22" s="1865"/>
      <c r="Y22" s="1865"/>
      <c r="Z22" s="1866"/>
      <c r="AA22" s="1867"/>
      <c r="AB22" s="1868"/>
    </row>
    <row r="23" spans="1:28" ht="24.95" customHeight="1" x14ac:dyDescent="0.25">
      <c r="A23" s="360"/>
      <c r="B23" s="719"/>
      <c r="C23" s="1673"/>
      <c r="D23" s="1862" t="s">
        <v>186</v>
      </c>
      <c r="E23" s="1493"/>
      <c r="F23" s="1493"/>
      <c r="G23" s="1493"/>
      <c r="H23" s="1493"/>
      <c r="I23" s="1493"/>
      <c r="J23" s="1493"/>
      <c r="K23" s="1493">
        <v>0</v>
      </c>
      <c r="L23" s="1493">
        <v>0</v>
      </c>
      <c r="M23" s="1493">
        <v>0</v>
      </c>
      <c r="N23" s="1077">
        <f t="shared" si="22"/>
        <v>0</v>
      </c>
      <c r="O23" s="2126">
        <f t="shared" si="20"/>
        <v>0</v>
      </c>
      <c r="P23" s="2127">
        <f t="shared" si="21"/>
        <v>0</v>
      </c>
      <c r="Q23" s="853">
        <f t="shared" si="23"/>
        <v>0</v>
      </c>
      <c r="R23" s="1518" t="str">
        <f t="shared" si="24"/>
        <v>1.33</v>
      </c>
      <c r="S23" s="1518" t="str">
        <f t="shared" si="25"/>
        <v>D+</v>
      </c>
      <c r="T23" s="1518" t="str">
        <f t="shared" si="26"/>
        <v>0</v>
      </c>
      <c r="U23" s="1869"/>
      <c r="V23" s="1870"/>
      <c r="W23" s="1870"/>
      <c r="X23" s="1871"/>
      <c r="Y23" s="1871"/>
      <c r="Z23" s="1872"/>
      <c r="AA23" s="1873"/>
      <c r="AB23" s="1874"/>
    </row>
    <row r="24" spans="1:28" ht="24.95" customHeight="1" x14ac:dyDescent="0.25">
      <c r="A24" s="727"/>
      <c r="B24" s="731">
        <v>4</v>
      </c>
      <c r="C24" s="1674" t="s">
        <v>167</v>
      </c>
      <c r="D24" s="1797"/>
      <c r="E24" s="2901"/>
      <c r="F24" s="2902"/>
      <c r="G24" s="2902"/>
      <c r="H24" s="2024"/>
      <c r="I24" s="2024"/>
      <c r="J24" s="2024"/>
      <c r="K24" s="2024"/>
      <c r="L24" s="2024"/>
      <c r="M24" s="2024"/>
      <c r="N24" s="2163"/>
      <c r="O24" s="2163"/>
      <c r="P24" s="2163"/>
      <c r="Q24" s="1520">
        <f>IFERROR(MAX(Q21:Q23),"  ")</f>
        <v>0</v>
      </c>
      <c r="R24" s="1876" t="str">
        <f>IF(Q24&gt;85,("4"),IF(Q24&gt;80,("3.66"),IF(Q24&gt;75,("3.33"),IF(Q24&gt;70,("3.00"),IF(Q24&gt;65,("2.66"),IF(Q24&gt;60,("2.33"),IF(Q24&gt;55,("2"),IF(Q24&gt;50,("1.66"),"1.33"))))))))</f>
        <v>1.33</v>
      </c>
      <c r="S24" s="1876" t="str">
        <f>IF(Q24&gt;85,("A"),IF(Q24&gt;80,("A-"),IF(Q24&gt;75,("B+"),IF(Q24&gt;70,("B"),IF(Q24&gt;65,("B-"),IF(Q24&gt;60,("C+"),IF(Q24&gt;55,("C"),IF(Q24&gt;50,("C-"),"D+"))))))))</f>
        <v>D+</v>
      </c>
      <c r="T24" s="1876"/>
      <c r="U24" s="1877"/>
      <c r="V24" s="1878"/>
      <c r="W24" s="1878"/>
      <c r="X24" s="1878"/>
      <c r="Y24" s="1878"/>
      <c r="Z24" s="1879"/>
      <c r="AA24" s="1880"/>
      <c r="AB24" s="1881"/>
    </row>
    <row r="25" spans="1:28" ht="24.95" customHeight="1" x14ac:dyDescent="0.25">
      <c r="A25" s="724">
        <v>5</v>
      </c>
      <c r="B25" s="725"/>
      <c r="C25" s="1671" t="str">
        <f>VLOOKUP(A25,data_siswa,4,FALSE)</f>
        <v>Arya Pratama G</v>
      </c>
      <c r="D25" s="1862" t="s">
        <v>16</v>
      </c>
      <c r="E25" s="1493">
        <v>0</v>
      </c>
      <c r="F25" s="1493">
        <v>0</v>
      </c>
      <c r="G25" s="1493">
        <v>0</v>
      </c>
      <c r="H25" s="1493"/>
      <c r="I25" s="1493"/>
      <c r="J25" s="1493"/>
      <c r="K25" s="1493"/>
      <c r="L25" s="1493"/>
      <c r="M25" s="1493"/>
      <c r="N25" s="1077">
        <f>MAX(E25,H25,K25)</f>
        <v>0</v>
      </c>
      <c r="O25" s="2126">
        <f t="shared" ref="O25:O27" si="27">MAX(F25,I25,L25)</f>
        <v>0</v>
      </c>
      <c r="P25" s="2127">
        <f t="shared" ref="P25:P27" si="28">MAX(G25,J25,M25)</f>
        <v>0</v>
      </c>
      <c r="Q25" s="853">
        <f>IFERROR(AVERAGE(N25:P25),"")</f>
        <v>0</v>
      </c>
      <c r="R25" s="1519" t="str">
        <f>IF(Q25&gt;85,("4"),IF(Q25&gt;80,("3.66"),IF(Q25&gt;75,("3.33"),IF(Q25&gt;70,("3.00"),IF(Q25&gt;65,("2.66"),IF(Q25&gt;60,("2.33"),IF(Q25&gt;55,("2"),IF(Q25&gt;50,("1.66"),"1.33"))))))))</f>
        <v>1.33</v>
      </c>
      <c r="S25" s="1519" t="str">
        <f>IF(Q25&gt;85,("A"),IF(Q25&gt;80,("A-"),IF(Q25&gt;75,("B+"),IF(Q25&gt;70,("B"),IF(Q25&gt;65,("B-"),IF(Q25&gt;60,("C+"),IF(Q25&gt;55,("C"),IF(Q25&gt;50,("C-"),"D+"))))))))</f>
        <v>D+</v>
      </c>
      <c r="T25" s="1519" t="str">
        <f>IF(Q25&gt;80,("SB"),IF(Q25&gt;65,("B"),IF(Q25&gt;50,("C"),IF(Q25&gt;0,("K"),"0"))))</f>
        <v>0</v>
      </c>
      <c r="U25" s="1796"/>
      <c r="V25" s="1796"/>
      <c r="W25" s="1796"/>
      <c r="X25" s="1859"/>
      <c r="Y25" s="1859"/>
      <c r="Z25" s="1859"/>
      <c r="AA25" s="1860">
        <f>MAX(Q25:Q27)</f>
        <v>0</v>
      </c>
      <c r="AB25" s="1861" t="str">
        <f>IF(AA25&gt;85,("A"),IF(AA25&gt;80,("A-"),IF(AA25&gt;75,("B+"),IF(AA25&gt;70,("B"),IF(AA25&gt;65,("B-"),IF(AA25&gt;60,("C+"),IF(AA25&gt;55,("C"),IF(AA25&gt;50,("C-"),"D+"))))))))</f>
        <v>D+</v>
      </c>
    </row>
    <row r="26" spans="1:28" ht="24.95" customHeight="1" x14ac:dyDescent="0.25">
      <c r="A26" s="360"/>
      <c r="B26" s="719"/>
      <c r="C26" s="1673"/>
      <c r="D26" s="1862" t="s">
        <v>189</v>
      </c>
      <c r="E26" s="1497"/>
      <c r="F26" s="1493"/>
      <c r="G26" s="1493"/>
      <c r="H26" s="1493">
        <v>0</v>
      </c>
      <c r="I26" s="1493">
        <v>0</v>
      </c>
      <c r="J26" s="1493">
        <v>0</v>
      </c>
      <c r="K26" s="1493"/>
      <c r="L26" s="1493"/>
      <c r="M26" s="1493"/>
      <c r="N26" s="1077">
        <f t="shared" ref="N26:N27" si="29">MAX(E26,H26,K26)</f>
        <v>0</v>
      </c>
      <c r="O26" s="2126">
        <f t="shared" si="27"/>
        <v>0</v>
      </c>
      <c r="P26" s="2127">
        <f t="shared" si="28"/>
        <v>0</v>
      </c>
      <c r="Q26" s="853">
        <f t="shared" ref="Q26:Q27" si="30">IFERROR(AVERAGE(N26:P26),"")</f>
        <v>0</v>
      </c>
      <c r="R26" s="1518" t="str">
        <f t="shared" ref="R26:R27" si="31">IF(Q26&gt;85,("4"),IF(Q26&gt;80,("3.66"),IF(Q26&gt;75,("3.33"),IF(Q26&gt;70,("3.00"),IF(Q26&gt;65,("2.66"),IF(Q26&gt;60,("2.33"),IF(Q26&gt;55,("2"),IF(Q26&gt;50,("1.66"),"1.33"))))))))</f>
        <v>1.33</v>
      </c>
      <c r="S26" s="1518" t="str">
        <f t="shared" ref="S26:S27" si="32">IF(Q26&gt;85,("A"),IF(Q26&gt;80,("A-"),IF(Q26&gt;75,("B+"),IF(Q26&gt;70,("B"),IF(Q26&gt;65,("B-"),IF(Q26&gt;60,("C+"),IF(Q26&gt;55,("C"),IF(Q26&gt;50,("C-"),"D+"))))))))</f>
        <v>D+</v>
      </c>
      <c r="T26" s="1518" t="str">
        <f t="shared" ref="T26:T27" si="33">IF(Q26&gt;80,("SB"),IF(Q26&gt;65,("B"),IF(Q26&gt;50,("C"),IF(Q26&gt;0,("K"),"0"))))</f>
        <v>0</v>
      </c>
      <c r="U26" s="1863"/>
      <c r="V26" s="1864"/>
      <c r="W26" s="1864"/>
      <c r="X26" s="1865"/>
      <c r="Y26" s="1865"/>
      <c r="Z26" s="1866"/>
      <c r="AA26" s="1867"/>
      <c r="AB26" s="1868"/>
    </row>
    <row r="27" spans="1:28" ht="24.95" customHeight="1" x14ac:dyDescent="0.25">
      <c r="A27" s="360"/>
      <c r="B27" s="719"/>
      <c r="C27" s="1673"/>
      <c r="D27" s="1862" t="s">
        <v>186</v>
      </c>
      <c r="E27" s="1493"/>
      <c r="F27" s="1493"/>
      <c r="G27" s="1493"/>
      <c r="H27" s="1493"/>
      <c r="I27" s="1493"/>
      <c r="J27" s="1493"/>
      <c r="K27" s="1493">
        <v>0</v>
      </c>
      <c r="L27" s="1493">
        <v>0</v>
      </c>
      <c r="M27" s="1493">
        <v>0</v>
      </c>
      <c r="N27" s="1077">
        <f t="shared" si="29"/>
        <v>0</v>
      </c>
      <c r="O27" s="2126">
        <f t="shared" si="27"/>
        <v>0</v>
      </c>
      <c r="P27" s="2127">
        <f t="shared" si="28"/>
        <v>0</v>
      </c>
      <c r="Q27" s="853">
        <f t="shared" si="30"/>
        <v>0</v>
      </c>
      <c r="R27" s="1518" t="str">
        <f t="shared" si="31"/>
        <v>1.33</v>
      </c>
      <c r="S27" s="1518" t="str">
        <f t="shared" si="32"/>
        <v>D+</v>
      </c>
      <c r="T27" s="1518" t="str">
        <f t="shared" si="33"/>
        <v>0</v>
      </c>
      <c r="U27" s="1869"/>
      <c r="V27" s="1870"/>
      <c r="W27" s="1870"/>
      <c r="X27" s="1871"/>
      <c r="Y27" s="1871"/>
      <c r="Z27" s="1872"/>
      <c r="AA27" s="1873"/>
      <c r="AB27" s="1874"/>
    </row>
    <row r="28" spans="1:28" ht="24.95" customHeight="1" x14ac:dyDescent="0.25">
      <c r="A28" s="727"/>
      <c r="B28" s="731">
        <v>5</v>
      </c>
      <c r="C28" s="1674" t="s">
        <v>167</v>
      </c>
      <c r="D28" s="1797"/>
      <c r="E28" s="2901"/>
      <c r="F28" s="2902"/>
      <c r="G28" s="2902"/>
      <c r="H28" s="2024"/>
      <c r="I28" s="2024"/>
      <c r="J28" s="2024"/>
      <c r="K28" s="2024"/>
      <c r="L28" s="2024"/>
      <c r="M28" s="2024"/>
      <c r="N28" s="2163"/>
      <c r="O28" s="2163"/>
      <c r="P28" s="2163"/>
      <c r="Q28" s="1520">
        <f>IFERROR(MAX(Q25:Q27),"  ")</f>
        <v>0</v>
      </c>
      <c r="R28" s="1876" t="str">
        <f>IF(Q28&gt;85,("4"),IF(Q28&gt;80,("3.66"),IF(Q28&gt;75,("3.33"),IF(Q28&gt;70,("3.00"),IF(Q28&gt;65,("2.66"),IF(Q28&gt;60,("2.33"),IF(Q28&gt;55,("2"),IF(Q28&gt;50,("1.66"),"1.33"))))))))</f>
        <v>1.33</v>
      </c>
      <c r="S28" s="1876" t="str">
        <f>IF(Q28&gt;85,("A"),IF(Q28&gt;80,("A-"),IF(Q28&gt;75,("B+"),IF(Q28&gt;70,("B"),IF(Q28&gt;65,("B-"),IF(Q28&gt;60,("C+"),IF(Q28&gt;55,("C"),IF(Q28&gt;50,("C-"),"D+"))))))))</f>
        <v>D+</v>
      </c>
      <c r="T28" s="1876"/>
      <c r="U28" s="1877"/>
      <c r="V28" s="1878"/>
      <c r="W28" s="1878"/>
      <c r="X28" s="1878"/>
      <c r="Y28" s="1878"/>
      <c r="Z28" s="1879"/>
      <c r="AA28" s="1880"/>
      <c r="AB28" s="1881"/>
    </row>
    <row r="29" spans="1:28" ht="24.95" customHeight="1" x14ac:dyDescent="0.25">
      <c r="A29" s="724">
        <v>6</v>
      </c>
      <c r="B29" s="725"/>
      <c r="C29" s="1671" t="str">
        <f>VLOOKUP(A29,data_siswa,4,FALSE)</f>
        <v>Asyam Hanif Ihsan H</v>
      </c>
      <c r="D29" s="1862" t="s">
        <v>16</v>
      </c>
      <c r="E29" s="1493">
        <v>0</v>
      </c>
      <c r="F29" s="1493">
        <v>0</v>
      </c>
      <c r="G29" s="1493">
        <v>0</v>
      </c>
      <c r="H29" s="1493"/>
      <c r="I29" s="1493"/>
      <c r="J29" s="1493"/>
      <c r="K29" s="1493"/>
      <c r="L29" s="1493"/>
      <c r="M29" s="1493"/>
      <c r="N29" s="1077">
        <f>MAX(E29,H29,K29)</f>
        <v>0</v>
      </c>
      <c r="O29" s="2126">
        <f t="shared" ref="O29:O31" si="34">MAX(F29,I29,L29)</f>
        <v>0</v>
      </c>
      <c r="P29" s="2127">
        <f t="shared" ref="P29:P31" si="35">MAX(G29,J29,M29)</f>
        <v>0</v>
      </c>
      <c r="Q29" s="853">
        <f>IFERROR(AVERAGE(N29:P29),"")</f>
        <v>0</v>
      </c>
      <c r="R29" s="1519" t="str">
        <f>IF(Q29&gt;85,("4"),IF(Q29&gt;80,("3.66"),IF(Q29&gt;75,("3.33"),IF(Q29&gt;70,("3.00"),IF(Q29&gt;65,("2.66"),IF(Q29&gt;60,("2.33"),IF(Q29&gt;55,("2"),IF(Q29&gt;50,("1.66"),"1.33"))))))))</f>
        <v>1.33</v>
      </c>
      <c r="S29" s="1519" t="str">
        <f>IF(Q29&gt;85,("A"),IF(Q29&gt;80,("A-"),IF(Q29&gt;75,("B+"),IF(Q29&gt;70,("B"),IF(Q29&gt;65,("B-"),IF(Q29&gt;60,("C+"),IF(Q29&gt;55,("C"),IF(Q29&gt;50,("C-"),"D+"))))))))</f>
        <v>D+</v>
      </c>
      <c r="T29" s="1519" t="str">
        <f>IF(Q29&gt;80,("SB"),IF(Q29&gt;65,("B"),IF(Q29&gt;50,("C"),IF(Q29&gt;0,("K"),"0"))))</f>
        <v>0</v>
      </c>
      <c r="U29" s="1796"/>
      <c r="V29" s="1796"/>
      <c r="W29" s="1796"/>
      <c r="X29" s="1859"/>
      <c r="Y29" s="1859"/>
      <c r="Z29" s="1859"/>
      <c r="AA29" s="1860">
        <f>MAX(Q29:Q31)</f>
        <v>0</v>
      </c>
      <c r="AB29" s="1861" t="str">
        <f>IF(AA29&gt;85,("A"),IF(AA29&gt;80,("A-"),IF(AA29&gt;75,("B+"),IF(AA29&gt;70,("B"),IF(AA29&gt;65,("B-"),IF(AA29&gt;60,("C+"),IF(AA29&gt;55,("C"),IF(AA29&gt;50,("C-"),"D+"))))))))</f>
        <v>D+</v>
      </c>
    </row>
    <row r="30" spans="1:28" ht="24.95" customHeight="1" x14ac:dyDescent="0.25">
      <c r="A30" s="360"/>
      <c r="B30" s="719"/>
      <c r="C30" s="1673"/>
      <c r="D30" s="1862" t="s">
        <v>189</v>
      </c>
      <c r="E30" s="1497"/>
      <c r="F30" s="1493"/>
      <c r="G30" s="1493"/>
      <c r="H30" s="1493">
        <v>0</v>
      </c>
      <c r="I30" s="1493">
        <v>0</v>
      </c>
      <c r="J30" s="1493">
        <v>0</v>
      </c>
      <c r="K30" s="1493"/>
      <c r="L30" s="1493"/>
      <c r="M30" s="1493"/>
      <c r="N30" s="1077">
        <f t="shared" ref="N30:N31" si="36">MAX(E30,H30,K30)</f>
        <v>0</v>
      </c>
      <c r="O30" s="2126">
        <f t="shared" si="34"/>
        <v>0</v>
      </c>
      <c r="P30" s="2127">
        <f t="shared" si="35"/>
        <v>0</v>
      </c>
      <c r="Q30" s="853">
        <f t="shared" ref="Q30:Q31" si="37">IFERROR(AVERAGE(N30:P30),"")</f>
        <v>0</v>
      </c>
      <c r="R30" s="1518" t="str">
        <f t="shared" ref="R30:R31" si="38">IF(Q30&gt;85,("4"),IF(Q30&gt;80,("3.66"),IF(Q30&gt;75,("3.33"),IF(Q30&gt;70,("3.00"),IF(Q30&gt;65,("2.66"),IF(Q30&gt;60,("2.33"),IF(Q30&gt;55,("2"),IF(Q30&gt;50,("1.66"),"1.33"))))))))</f>
        <v>1.33</v>
      </c>
      <c r="S30" s="1518" t="str">
        <f t="shared" ref="S30:S31" si="39">IF(Q30&gt;85,("A"),IF(Q30&gt;80,("A-"),IF(Q30&gt;75,("B+"),IF(Q30&gt;70,("B"),IF(Q30&gt;65,("B-"),IF(Q30&gt;60,("C+"),IF(Q30&gt;55,("C"),IF(Q30&gt;50,("C-"),"D+"))))))))</f>
        <v>D+</v>
      </c>
      <c r="T30" s="1518" t="str">
        <f t="shared" ref="T30:T31" si="40">IF(Q30&gt;80,("SB"),IF(Q30&gt;65,("B"),IF(Q30&gt;50,("C"),IF(Q30&gt;0,("K"),"0"))))</f>
        <v>0</v>
      </c>
      <c r="U30" s="1863"/>
      <c r="V30" s="1864"/>
      <c r="W30" s="1864"/>
      <c r="X30" s="1865"/>
      <c r="Y30" s="1865"/>
      <c r="Z30" s="1866"/>
      <c r="AA30" s="1867"/>
      <c r="AB30" s="1868"/>
    </row>
    <row r="31" spans="1:28" ht="24.95" customHeight="1" x14ac:dyDescent="0.25">
      <c r="A31" s="360"/>
      <c r="B31" s="719"/>
      <c r="C31" s="1673"/>
      <c r="D31" s="1862" t="s">
        <v>186</v>
      </c>
      <c r="E31" s="1493"/>
      <c r="F31" s="1493"/>
      <c r="G31" s="1493"/>
      <c r="H31" s="1493"/>
      <c r="I31" s="1493"/>
      <c r="J31" s="1493"/>
      <c r="K31" s="1493">
        <v>0</v>
      </c>
      <c r="L31" s="1493">
        <v>0</v>
      </c>
      <c r="M31" s="1493">
        <v>0</v>
      </c>
      <c r="N31" s="1077">
        <f t="shared" si="36"/>
        <v>0</v>
      </c>
      <c r="O31" s="2126">
        <f t="shared" si="34"/>
        <v>0</v>
      </c>
      <c r="P31" s="2127">
        <f t="shared" si="35"/>
        <v>0</v>
      </c>
      <c r="Q31" s="853">
        <f t="shared" si="37"/>
        <v>0</v>
      </c>
      <c r="R31" s="1518" t="str">
        <f t="shared" si="38"/>
        <v>1.33</v>
      </c>
      <c r="S31" s="1518" t="str">
        <f t="shared" si="39"/>
        <v>D+</v>
      </c>
      <c r="T31" s="1518" t="str">
        <f t="shared" si="40"/>
        <v>0</v>
      </c>
      <c r="U31" s="1869"/>
      <c r="V31" s="1870"/>
      <c r="W31" s="1870"/>
      <c r="X31" s="1871"/>
      <c r="Y31" s="1871"/>
      <c r="Z31" s="1872"/>
      <c r="AA31" s="1873"/>
      <c r="AB31" s="1874"/>
    </row>
    <row r="32" spans="1:28" ht="24.95" customHeight="1" x14ac:dyDescent="0.25">
      <c r="A32" s="727"/>
      <c r="B32" s="731">
        <v>6</v>
      </c>
      <c r="C32" s="1674" t="s">
        <v>167</v>
      </c>
      <c r="D32" s="1797"/>
      <c r="E32" s="2901"/>
      <c r="F32" s="2902"/>
      <c r="G32" s="2902"/>
      <c r="H32" s="2080"/>
      <c r="I32" s="2080"/>
      <c r="J32" s="2080"/>
      <c r="K32" s="2080"/>
      <c r="L32" s="2080"/>
      <c r="M32" s="2080"/>
      <c r="N32" s="2163"/>
      <c r="O32" s="2163"/>
      <c r="P32" s="2163"/>
      <c r="Q32" s="1520">
        <f>IFERROR(MAX(Q29:Q31),"  ")</f>
        <v>0</v>
      </c>
      <c r="R32" s="1876" t="str">
        <f>IF(Q32&gt;85,("4"),IF(Q32&gt;80,("3.66"),IF(Q32&gt;75,("3.33"),IF(Q32&gt;70,("3.00"),IF(Q32&gt;65,("2.66"),IF(Q32&gt;60,("2.33"),IF(Q32&gt;55,("2"),IF(Q32&gt;50,("1.66"),"1.33"))))))))</f>
        <v>1.33</v>
      </c>
      <c r="S32" s="1876" t="str">
        <f>IF(Q32&gt;85,("A"),IF(Q32&gt;80,("A-"),IF(Q32&gt;75,("B+"),IF(Q32&gt;70,("B"),IF(Q32&gt;65,("B-"),IF(Q32&gt;60,("C+"),IF(Q32&gt;55,("C"),IF(Q32&gt;50,("C-"),"D+"))))))))</f>
        <v>D+</v>
      </c>
      <c r="T32" s="1876"/>
      <c r="U32" s="1877"/>
      <c r="V32" s="1878"/>
      <c r="W32" s="1878"/>
      <c r="X32" s="1878"/>
      <c r="Y32" s="1878"/>
      <c r="Z32" s="1879"/>
      <c r="AA32" s="1880"/>
      <c r="AB32" s="1881"/>
    </row>
    <row r="33" spans="1:28" ht="24.95" customHeight="1" x14ac:dyDescent="0.25">
      <c r="A33" s="724">
        <v>7</v>
      </c>
      <c r="B33" s="725"/>
      <c r="C33" s="1675" t="str">
        <f>UTagm!$B$15</f>
        <v>Athaya Salsabilla Z</v>
      </c>
      <c r="D33" s="1862" t="s">
        <v>16</v>
      </c>
      <c r="E33" s="1493">
        <v>0</v>
      </c>
      <c r="F33" s="1493">
        <v>0</v>
      </c>
      <c r="G33" s="1493">
        <v>0</v>
      </c>
      <c r="H33" s="1493"/>
      <c r="I33" s="1493"/>
      <c r="J33" s="1493"/>
      <c r="K33" s="1493"/>
      <c r="L33" s="1493"/>
      <c r="M33" s="1493"/>
      <c r="N33" s="1077">
        <f>MAX(E33,H33,K33)</f>
        <v>0</v>
      </c>
      <c r="O33" s="2126">
        <f t="shared" ref="O33:O35" si="41">MAX(F33,I33,L33)</f>
        <v>0</v>
      </c>
      <c r="P33" s="2127">
        <f t="shared" ref="P33:P35" si="42">MAX(G33,J33,M33)</f>
        <v>0</v>
      </c>
      <c r="Q33" s="853">
        <f>IFERROR(AVERAGE(N33:P33),"")</f>
        <v>0</v>
      </c>
      <c r="R33" s="1519" t="str">
        <f>IF(Q33&gt;85,("4"),IF(Q33&gt;80,("3.66"),IF(Q33&gt;75,("3.33"),IF(Q33&gt;70,("3.00"),IF(Q33&gt;65,("2.66"),IF(Q33&gt;60,("2.33"),IF(Q33&gt;55,("2"),IF(Q33&gt;50,("1.66"),"1.33"))))))))</f>
        <v>1.33</v>
      </c>
      <c r="S33" s="1519" t="str">
        <f>IF(Q33&gt;85,("A"),IF(Q33&gt;80,("A-"),IF(Q33&gt;75,("B+"),IF(Q33&gt;70,("B"),IF(Q33&gt;65,("B-"),IF(Q33&gt;60,("C+"),IF(Q33&gt;55,("C"),IF(Q33&gt;50,("C-"),"D+"))))))))</f>
        <v>D+</v>
      </c>
      <c r="T33" s="1519" t="str">
        <f>IF(Q33&gt;80,("SB"),IF(Q33&gt;65,("B"),IF(Q33&gt;50,("C"),IF(Q33&gt;0,("K"),"0"))))</f>
        <v>0</v>
      </c>
      <c r="U33" s="1796"/>
      <c r="V33" s="1796"/>
      <c r="W33" s="1796"/>
      <c r="X33" s="1859"/>
      <c r="Y33" s="1859"/>
      <c r="Z33" s="1859"/>
      <c r="AA33" s="1860">
        <f>MAX(Q33:Q35)</f>
        <v>0</v>
      </c>
      <c r="AB33" s="1861" t="str">
        <f>IF(AA33&gt;85,("A"),IF(AA33&gt;80,("A-"),IF(AA33&gt;75,("B+"),IF(AA33&gt;70,("B"),IF(AA33&gt;65,("B-"),IF(AA33&gt;60,("C+"),IF(AA33&gt;55,("C"),IF(AA33&gt;50,("C-"),"D+"))))))))</f>
        <v>D+</v>
      </c>
    </row>
    <row r="34" spans="1:28" ht="24.95" customHeight="1" x14ac:dyDescent="0.25">
      <c r="A34" s="360"/>
      <c r="B34" s="719"/>
      <c r="C34" s="1673"/>
      <c r="D34" s="1862" t="s">
        <v>189</v>
      </c>
      <c r="E34" s="1497"/>
      <c r="F34" s="1493"/>
      <c r="G34" s="1493"/>
      <c r="H34" s="1493">
        <v>0</v>
      </c>
      <c r="I34" s="1493">
        <v>0</v>
      </c>
      <c r="J34" s="1493">
        <v>0</v>
      </c>
      <c r="K34" s="1493"/>
      <c r="L34" s="1493"/>
      <c r="M34" s="1493"/>
      <c r="N34" s="1077">
        <f t="shared" ref="N34:N35" si="43">MAX(E34,H34,K34)</f>
        <v>0</v>
      </c>
      <c r="O34" s="2126">
        <f t="shared" si="41"/>
        <v>0</v>
      </c>
      <c r="P34" s="2127">
        <f t="shared" si="42"/>
        <v>0</v>
      </c>
      <c r="Q34" s="853">
        <f t="shared" ref="Q34:Q35" si="44">IFERROR(AVERAGE(N34:P34),"")</f>
        <v>0</v>
      </c>
      <c r="R34" s="1518" t="str">
        <f t="shared" ref="R34:R35" si="45">IF(Q34&gt;85,("4"),IF(Q34&gt;80,("3.66"),IF(Q34&gt;75,("3.33"),IF(Q34&gt;70,("3.00"),IF(Q34&gt;65,("2.66"),IF(Q34&gt;60,("2.33"),IF(Q34&gt;55,("2"),IF(Q34&gt;50,("1.66"),"1.33"))))))))</f>
        <v>1.33</v>
      </c>
      <c r="S34" s="1518" t="str">
        <f t="shared" ref="S34:S35" si="46">IF(Q34&gt;85,("A"),IF(Q34&gt;80,("A-"),IF(Q34&gt;75,("B+"),IF(Q34&gt;70,("B"),IF(Q34&gt;65,("B-"),IF(Q34&gt;60,("C+"),IF(Q34&gt;55,("C"),IF(Q34&gt;50,("C-"),"D+"))))))))</f>
        <v>D+</v>
      </c>
      <c r="T34" s="1518" t="str">
        <f t="shared" ref="T34:T35" si="47">IF(Q34&gt;80,("SB"),IF(Q34&gt;65,("B"),IF(Q34&gt;50,("C"),IF(Q34&gt;0,("K"),"0"))))</f>
        <v>0</v>
      </c>
      <c r="U34" s="1863"/>
      <c r="V34" s="1864"/>
      <c r="W34" s="1864"/>
      <c r="X34" s="1865"/>
      <c r="Y34" s="1865"/>
      <c r="Z34" s="1866"/>
      <c r="AA34" s="1867"/>
      <c r="AB34" s="1868"/>
    </row>
    <row r="35" spans="1:28" ht="24.95" customHeight="1" x14ac:dyDescent="0.25">
      <c r="A35" s="360"/>
      <c r="B35" s="719"/>
      <c r="C35" s="1673"/>
      <c r="D35" s="1862" t="s">
        <v>186</v>
      </c>
      <c r="E35" s="1493"/>
      <c r="F35" s="1493"/>
      <c r="G35" s="1493"/>
      <c r="H35" s="1493"/>
      <c r="I35" s="1493"/>
      <c r="J35" s="1493"/>
      <c r="K35" s="1493">
        <v>0</v>
      </c>
      <c r="L35" s="1493">
        <v>0</v>
      </c>
      <c r="M35" s="1493">
        <v>0</v>
      </c>
      <c r="N35" s="1077">
        <f t="shared" si="43"/>
        <v>0</v>
      </c>
      <c r="O35" s="2126">
        <f t="shared" si="41"/>
        <v>0</v>
      </c>
      <c r="P35" s="2127">
        <f t="shared" si="42"/>
        <v>0</v>
      </c>
      <c r="Q35" s="853">
        <f t="shared" si="44"/>
        <v>0</v>
      </c>
      <c r="R35" s="1518" t="str">
        <f t="shared" si="45"/>
        <v>1.33</v>
      </c>
      <c r="S35" s="1518" t="str">
        <f t="shared" si="46"/>
        <v>D+</v>
      </c>
      <c r="T35" s="1518" t="str">
        <f t="shared" si="47"/>
        <v>0</v>
      </c>
      <c r="U35" s="1869"/>
      <c r="V35" s="1870"/>
      <c r="W35" s="1870"/>
      <c r="X35" s="1871"/>
      <c r="Y35" s="1871"/>
      <c r="Z35" s="1872"/>
      <c r="AA35" s="1873"/>
      <c r="AB35" s="1874"/>
    </row>
    <row r="36" spans="1:28" ht="24.95" customHeight="1" x14ac:dyDescent="0.25">
      <c r="A36" s="727"/>
      <c r="B36" s="731">
        <v>7</v>
      </c>
      <c r="C36" s="1674" t="s">
        <v>167</v>
      </c>
      <c r="D36" s="1797"/>
      <c r="E36" s="2901"/>
      <c r="F36" s="2902"/>
      <c r="G36" s="2902"/>
      <c r="H36" s="2080"/>
      <c r="I36" s="2080"/>
      <c r="J36" s="2080"/>
      <c r="K36" s="2080"/>
      <c r="L36" s="2080"/>
      <c r="M36" s="2080"/>
      <c r="N36" s="2163"/>
      <c r="O36" s="2163"/>
      <c r="P36" s="2163"/>
      <c r="Q36" s="1520">
        <f>IFERROR(MAX(Q33:Q35),"  ")</f>
        <v>0</v>
      </c>
      <c r="R36" s="1876" t="str">
        <f>IF(Q36&gt;85,("4"),IF(Q36&gt;80,("3.66"),IF(Q36&gt;75,("3.33"),IF(Q36&gt;70,("3.00"),IF(Q36&gt;65,("2.66"),IF(Q36&gt;60,("2.33"),IF(Q36&gt;55,("2"),IF(Q36&gt;50,("1.66"),"1.33"))))))))</f>
        <v>1.33</v>
      </c>
      <c r="S36" s="1876" t="str">
        <f>IF(Q36&gt;85,("A"),IF(Q36&gt;80,("A-"),IF(Q36&gt;75,("B+"),IF(Q36&gt;70,("B"),IF(Q36&gt;65,("B-"),IF(Q36&gt;60,("C+"),IF(Q36&gt;55,("C"),IF(Q36&gt;50,("C-"),"D+"))))))))</f>
        <v>D+</v>
      </c>
      <c r="T36" s="1876"/>
      <c r="U36" s="1877"/>
      <c r="V36" s="1878"/>
      <c r="W36" s="1878"/>
      <c r="X36" s="1878"/>
      <c r="Y36" s="1878"/>
      <c r="Z36" s="1879"/>
      <c r="AA36" s="1880"/>
      <c r="AB36" s="1881"/>
    </row>
    <row r="37" spans="1:28" ht="24.95" customHeight="1" x14ac:dyDescent="0.25">
      <c r="A37" s="724">
        <v>8</v>
      </c>
      <c r="B37" s="725"/>
      <c r="C37" s="1671" t="str">
        <f>VLOOKUP(A37,data_siswa,4,FALSE)</f>
        <v>Aulia Dea Rosalinda</v>
      </c>
      <c r="D37" s="1862" t="s">
        <v>16</v>
      </c>
      <c r="E37" s="1493">
        <v>0</v>
      </c>
      <c r="F37" s="1493">
        <v>0</v>
      </c>
      <c r="G37" s="1493">
        <v>0</v>
      </c>
      <c r="H37" s="1493"/>
      <c r="I37" s="1493"/>
      <c r="J37" s="1493"/>
      <c r="K37" s="1493"/>
      <c r="L37" s="1493"/>
      <c r="M37" s="1493"/>
      <c r="N37" s="1077">
        <f>MAX(E37,H37,K37)</f>
        <v>0</v>
      </c>
      <c r="O37" s="2126">
        <f t="shared" ref="O37:O39" si="48">MAX(F37,I37,L37)</f>
        <v>0</v>
      </c>
      <c r="P37" s="2127">
        <f t="shared" ref="P37:P39" si="49">MAX(G37,J37,M37)</f>
        <v>0</v>
      </c>
      <c r="Q37" s="853">
        <f>IFERROR(AVERAGE(N37:P37),"")</f>
        <v>0</v>
      </c>
      <c r="R37" s="1519" t="str">
        <f>IF(Q37&gt;85,("4"),IF(Q37&gt;80,("3.66"),IF(Q37&gt;75,("3.33"),IF(Q37&gt;70,("3.00"),IF(Q37&gt;65,("2.66"),IF(Q37&gt;60,("2.33"),IF(Q37&gt;55,("2"),IF(Q37&gt;50,("1.66"),"1.33"))))))))</f>
        <v>1.33</v>
      </c>
      <c r="S37" s="1519" t="str">
        <f>IF(Q37&gt;85,("A"),IF(Q37&gt;80,("A-"),IF(Q37&gt;75,("B+"),IF(Q37&gt;70,("B"),IF(Q37&gt;65,("B-"),IF(Q37&gt;60,("C+"),IF(Q37&gt;55,("C"),IF(Q37&gt;50,("C-"),"D+"))))))))</f>
        <v>D+</v>
      </c>
      <c r="T37" s="1519" t="str">
        <f>IF(Q37&gt;80,("SB"),IF(Q37&gt;65,("B"),IF(Q37&gt;50,("C"),IF(Q37&gt;0,("K"),"0"))))</f>
        <v>0</v>
      </c>
      <c r="U37" s="1796"/>
      <c r="V37" s="1796"/>
      <c r="W37" s="1796"/>
      <c r="X37" s="1882"/>
      <c r="Y37" s="1882"/>
      <c r="Z37" s="1882"/>
      <c r="AA37" s="1860">
        <f>MAX(Q37:Q39)</f>
        <v>0</v>
      </c>
      <c r="AB37" s="1861" t="str">
        <f>IF(AA37&gt;85,("A"),IF(AA37&gt;80,("A-"),IF(AA37&gt;75,("B+"),IF(AA37&gt;70,("B"),IF(AA37&gt;65,("B-"),IF(AA37&gt;60,("C+"),IF(AA37&gt;55,("C"),IF(AA37&gt;50,("C-"),"D+"))))))))</f>
        <v>D+</v>
      </c>
    </row>
    <row r="38" spans="1:28" ht="24.95" customHeight="1" x14ac:dyDescent="0.25">
      <c r="A38" s="360"/>
      <c r="B38" s="719"/>
      <c r="C38" s="1673"/>
      <c r="D38" s="1862" t="s">
        <v>189</v>
      </c>
      <c r="E38" s="1497"/>
      <c r="F38" s="1493"/>
      <c r="G38" s="1493"/>
      <c r="H38" s="1493">
        <v>0</v>
      </c>
      <c r="I38" s="1493">
        <v>0</v>
      </c>
      <c r="J38" s="1493">
        <v>0</v>
      </c>
      <c r="K38" s="1493"/>
      <c r="L38" s="1493"/>
      <c r="M38" s="1493"/>
      <c r="N38" s="1077">
        <f t="shared" ref="N38:N39" si="50">MAX(E38,H38,K38)</f>
        <v>0</v>
      </c>
      <c r="O38" s="2126">
        <f t="shared" si="48"/>
        <v>0</v>
      </c>
      <c r="P38" s="2127">
        <f t="shared" si="49"/>
        <v>0</v>
      </c>
      <c r="Q38" s="853">
        <f t="shared" ref="Q38:Q39" si="51">IFERROR(AVERAGE(N38:P38),"")</f>
        <v>0</v>
      </c>
      <c r="R38" s="1518" t="str">
        <f t="shared" ref="R38:R39" si="52">IF(Q38&gt;85,("4"),IF(Q38&gt;80,("3.66"),IF(Q38&gt;75,("3.33"),IF(Q38&gt;70,("3.00"),IF(Q38&gt;65,("2.66"),IF(Q38&gt;60,("2.33"),IF(Q38&gt;55,("2"),IF(Q38&gt;50,("1.66"),"1.33"))))))))</f>
        <v>1.33</v>
      </c>
      <c r="S38" s="1518" t="str">
        <f t="shared" ref="S38:S39" si="53">IF(Q38&gt;85,("A"),IF(Q38&gt;80,("A-"),IF(Q38&gt;75,("B+"),IF(Q38&gt;70,("B"),IF(Q38&gt;65,("B-"),IF(Q38&gt;60,("C+"),IF(Q38&gt;55,("C"),IF(Q38&gt;50,("C-"),"D+"))))))))</f>
        <v>D+</v>
      </c>
      <c r="T38" s="1518" t="str">
        <f t="shared" ref="T38:T39" si="54">IF(Q38&gt;80,("SB"),IF(Q38&gt;65,("B"),IF(Q38&gt;50,("C"),IF(Q38&gt;0,("K"),"0"))))</f>
        <v>0</v>
      </c>
      <c r="U38" s="1863"/>
      <c r="V38" s="1864"/>
      <c r="W38" s="1864"/>
      <c r="X38" s="1865"/>
      <c r="Y38" s="1865"/>
      <c r="Z38" s="1866"/>
      <c r="AA38" s="1867"/>
      <c r="AB38" s="1868"/>
    </row>
    <row r="39" spans="1:28" ht="24.95" customHeight="1" x14ac:dyDescent="0.25">
      <c r="A39" s="360"/>
      <c r="B39" s="719"/>
      <c r="C39" s="1673"/>
      <c r="D39" s="1862" t="s">
        <v>186</v>
      </c>
      <c r="E39" s="1493"/>
      <c r="F39" s="1493"/>
      <c r="G39" s="1493"/>
      <c r="H39" s="1493"/>
      <c r="I39" s="1493"/>
      <c r="J39" s="1493"/>
      <c r="K39" s="1493">
        <v>0</v>
      </c>
      <c r="L39" s="1493">
        <v>0</v>
      </c>
      <c r="M39" s="1493">
        <v>0</v>
      </c>
      <c r="N39" s="1077">
        <f t="shared" si="50"/>
        <v>0</v>
      </c>
      <c r="O39" s="2126">
        <f t="shared" si="48"/>
        <v>0</v>
      </c>
      <c r="P39" s="2127">
        <f t="shared" si="49"/>
        <v>0</v>
      </c>
      <c r="Q39" s="853">
        <f t="shared" si="51"/>
        <v>0</v>
      </c>
      <c r="R39" s="1518" t="str">
        <f t="shared" si="52"/>
        <v>1.33</v>
      </c>
      <c r="S39" s="1518" t="str">
        <f t="shared" si="53"/>
        <v>D+</v>
      </c>
      <c r="T39" s="1518" t="str">
        <f t="shared" si="54"/>
        <v>0</v>
      </c>
      <c r="U39" s="1869"/>
      <c r="V39" s="1870"/>
      <c r="W39" s="1870"/>
      <c r="X39" s="1871"/>
      <c r="Y39" s="1871"/>
      <c r="Z39" s="1872"/>
      <c r="AA39" s="1873"/>
      <c r="AB39" s="1874"/>
    </row>
    <row r="40" spans="1:28" ht="24.95" customHeight="1" x14ac:dyDescent="0.25">
      <c r="A40" s="727"/>
      <c r="B40" s="731">
        <v>8</v>
      </c>
      <c r="C40" s="1674" t="s">
        <v>167</v>
      </c>
      <c r="D40" s="1875"/>
      <c r="E40" s="2901"/>
      <c r="F40" s="2902"/>
      <c r="G40" s="2902"/>
      <c r="H40" s="2080"/>
      <c r="I40" s="2080"/>
      <c r="J40" s="2080"/>
      <c r="K40" s="2080"/>
      <c r="L40" s="2080"/>
      <c r="M40" s="2080"/>
      <c r="N40" s="2163"/>
      <c r="O40" s="2163"/>
      <c r="P40" s="2163"/>
      <c r="Q40" s="1520">
        <f>IFERROR(MAX(Q37:Q39),"  ")</f>
        <v>0</v>
      </c>
      <c r="R40" s="1876" t="str">
        <f>IF(Q40&gt;85,("4"),IF(Q40&gt;80,("3.66"),IF(Q40&gt;75,("3.33"),IF(Q40&gt;70,("3.00"),IF(Q40&gt;65,("2.66"),IF(Q40&gt;60,("2.33"),IF(Q40&gt;55,("2"),IF(Q40&gt;50,("1.66"),"1.33"))))))))</f>
        <v>1.33</v>
      </c>
      <c r="S40" s="1876" t="str">
        <f>IF(Q40&gt;85,("A"),IF(Q40&gt;80,("A-"),IF(Q40&gt;75,("B+"),IF(Q40&gt;70,("B"),IF(Q40&gt;65,("B-"),IF(Q40&gt;60,("C+"),IF(Q40&gt;55,("C"),IF(Q40&gt;50,("C-"),"D+"))))))))</f>
        <v>D+</v>
      </c>
      <c r="T40" s="1876"/>
      <c r="U40" s="1877"/>
      <c r="V40" s="1878"/>
      <c r="W40" s="1878"/>
      <c r="X40" s="1883"/>
      <c r="Y40" s="1883"/>
      <c r="Z40" s="1884"/>
      <c r="AA40" s="1880"/>
      <c r="AB40" s="1881"/>
    </row>
    <row r="41" spans="1:28" ht="24.95" customHeight="1" x14ac:dyDescent="0.25">
      <c r="A41" s="724">
        <v>9</v>
      </c>
      <c r="B41" s="725"/>
      <c r="C41" s="1671" t="str">
        <f>VLOOKUP(A41,data_siswa,4,FALSE)</f>
        <v>Claudia Gabriella L</v>
      </c>
      <c r="D41" s="1862" t="s">
        <v>16</v>
      </c>
      <c r="E41" s="1493">
        <v>0</v>
      </c>
      <c r="F41" s="1493">
        <v>0</v>
      </c>
      <c r="G41" s="1493">
        <v>0</v>
      </c>
      <c r="H41" s="1493"/>
      <c r="I41" s="1493"/>
      <c r="J41" s="1493"/>
      <c r="K41" s="1493"/>
      <c r="L41" s="1493"/>
      <c r="M41" s="1493"/>
      <c r="N41" s="1077">
        <f>MAX(E41,H41,K41)</f>
        <v>0</v>
      </c>
      <c r="O41" s="2126">
        <f t="shared" ref="O41:O43" si="55">MAX(F41,I41,L41)</f>
        <v>0</v>
      </c>
      <c r="P41" s="2127">
        <f t="shared" ref="P41:P43" si="56">MAX(G41,J41,M41)</f>
        <v>0</v>
      </c>
      <c r="Q41" s="853">
        <f>IFERROR(AVERAGE(N41:P41),"")</f>
        <v>0</v>
      </c>
      <c r="R41" s="1519" t="str">
        <f>IF(Q41&gt;85,("4"),IF(Q41&gt;80,("3.66"),IF(Q41&gt;75,("3.33"),IF(Q41&gt;70,("3.00"),IF(Q41&gt;65,("2.66"),IF(Q41&gt;60,("2.33"),IF(Q41&gt;55,("2"),IF(Q41&gt;50,("1.66"),"1.33"))))))))</f>
        <v>1.33</v>
      </c>
      <c r="S41" s="1519" t="str">
        <f>IF(Q41&gt;85,("A"),IF(Q41&gt;80,("A-"),IF(Q41&gt;75,("B+"),IF(Q41&gt;70,("B"),IF(Q41&gt;65,("B-"),IF(Q41&gt;60,("C+"),IF(Q41&gt;55,("C"),IF(Q41&gt;50,("C-"),"D+"))))))))</f>
        <v>D+</v>
      </c>
      <c r="T41" s="1519" t="str">
        <f>IF(Q41&gt;80,("SB"),IF(Q41&gt;65,("B"),IF(Q41&gt;50,("C"),IF(Q41&gt;0,("K"),"0"))))</f>
        <v>0</v>
      </c>
      <c r="U41" s="1796"/>
      <c r="V41" s="1796"/>
      <c r="W41" s="1796"/>
      <c r="X41" s="1859"/>
      <c r="Y41" s="1859"/>
      <c r="Z41" s="1859"/>
      <c r="AA41" s="1860">
        <f>MAX(Q41:Q43)</f>
        <v>0</v>
      </c>
      <c r="AB41" s="1861" t="str">
        <f>IF(AA41&gt;85,("A"),IF(AA41&gt;80,("A-"),IF(AA41&gt;75,("B+"),IF(AA41&gt;70,("B"),IF(AA41&gt;65,("B-"),IF(AA41&gt;60,("C+"),IF(AA41&gt;55,("C"),IF(AA41&gt;50,("C-"),"D+"))))))))</f>
        <v>D+</v>
      </c>
    </row>
    <row r="42" spans="1:28" ht="24.95" customHeight="1" x14ac:dyDescent="0.25">
      <c r="A42" s="360"/>
      <c r="B42" s="719"/>
      <c r="C42" s="1673"/>
      <c r="D42" s="1862" t="s">
        <v>189</v>
      </c>
      <c r="E42" s="1497"/>
      <c r="F42" s="1493"/>
      <c r="G42" s="1493"/>
      <c r="H42" s="1493">
        <v>0</v>
      </c>
      <c r="I42" s="1493">
        <v>0</v>
      </c>
      <c r="J42" s="1493">
        <v>0</v>
      </c>
      <c r="K42" s="1493"/>
      <c r="L42" s="1493"/>
      <c r="M42" s="1493"/>
      <c r="N42" s="1077">
        <f t="shared" ref="N42:N43" si="57">MAX(E42,H42,K42)</f>
        <v>0</v>
      </c>
      <c r="O42" s="2126">
        <f t="shared" si="55"/>
        <v>0</v>
      </c>
      <c r="P42" s="2127">
        <f t="shared" si="56"/>
        <v>0</v>
      </c>
      <c r="Q42" s="853">
        <f t="shared" ref="Q42:Q43" si="58">IFERROR(AVERAGE(N42:P42),"")</f>
        <v>0</v>
      </c>
      <c r="R42" s="1518" t="str">
        <f t="shared" ref="R42:R43" si="59">IF(Q42&gt;85,("4"),IF(Q42&gt;80,("3.66"),IF(Q42&gt;75,("3.33"),IF(Q42&gt;70,("3.00"),IF(Q42&gt;65,("2.66"),IF(Q42&gt;60,("2.33"),IF(Q42&gt;55,("2"),IF(Q42&gt;50,("1.66"),"1.33"))))))))</f>
        <v>1.33</v>
      </c>
      <c r="S42" s="1518" t="str">
        <f t="shared" ref="S42:S43" si="60">IF(Q42&gt;85,("A"),IF(Q42&gt;80,("A-"),IF(Q42&gt;75,("B+"),IF(Q42&gt;70,("B"),IF(Q42&gt;65,("B-"),IF(Q42&gt;60,("C+"),IF(Q42&gt;55,("C"),IF(Q42&gt;50,("C-"),"D+"))))))))</f>
        <v>D+</v>
      </c>
      <c r="T42" s="1518" t="str">
        <f t="shared" ref="T42:T43" si="61">IF(Q42&gt;80,("SB"),IF(Q42&gt;65,("B"),IF(Q42&gt;50,("C"),IF(Q42&gt;0,("K"),"0"))))</f>
        <v>0</v>
      </c>
      <c r="U42" s="1863"/>
      <c r="V42" s="1864"/>
      <c r="W42" s="1864"/>
      <c r="X42" s="1865"/>
      <c r="Y42" s="1865"/>
      <c r="Z42" s="1866"/>
      <c r="AA42" s="1867"/>
      <c r="AB42" s="1868"/>
    </row>
    <row r="43" spans="1:28" ht="24.95" customHeight="1" x14ac:dyDescent="0.25">
      <c r="A43" s="360"/>
      <c r="B43" s="719"/>
      <c r="C43" s="1673"/>
      <c r="D43" s="1862" t="s">
        <v>186</v>
      </c>
      <c r="E43" s="1493"/>
      <c r="F43" s="1493"/>
      <c r="G43" s="1493"/>
      <c r="H43" s="1493"/>
      <c r="I43" s="1493"/>
      <c r="J43" s="1493"/>
      <c r="K43" s="1493">
        <v>0</v>
      </c>
      <c r="L43" s="1493">
        <v>0</v>
      </c>
      <c r="M43" s="1493">
        <v>0</v>
      </c>
      <c r="N43" s="1077">
        <f t="shared" si="57"/>
        <v>0</v>
      </c>
      <c r="O43" s="2126">
        <f t="shared" si="55"/>
        <v>0</v>
      </c>
      <c r="P43" s="2127">
        <f t="shared" si="56"/>
        <v>0</v>
      </c>
      <c r="Q43" s="853">
        <f t="shared" si="58"/>
        <v>0</v>
      </c>
      <c r="R43" s="1518" t="str">
        <f t="shared" si="59"/>
        <v>1.33</v>
      </c>
      <c r="S43" s="1518" t="str">
        <f t="shared" si="60"/>
        <v>D+</v>
      </c>
      <c r="T43" s="1518" t="str">
        <f t="shared" si="61"/>
        <v>0</v>
      </c>
      <c r="U43" s="1869"/>
      <c r="V43" s="1870"/>
      <c r="W43" s="1870"/>
      <c r="X43" s="1871"/>
      <c r="Y43" s="1871"/>
      <c r="Z43" s="1872"/>
      <c r="AA43" s="1873"/>
      <c r="AB43" s="1874"/>
    </row>
    <row r="44" spans="1:28" ht="24.95" customHeight="1" x14ac:dyDescent="0.25">
      <c r="A44" s="727"/>
      <c r="B44" s="731">
        <v>9</v>
      </c>
      <c r="C44" s="1674" t="s">
        <v>167</v>
      </c>
      <c r="D44" s="1797"/>
      <c r="E44" s="2901"/>
      <c r="F44" s="2902"/>
      <c r="G44" s="2902"/>
      <c r="H44" s="2080"/>
      <c r="I44" s="2080"/>
      <c r="J44" s="2080"/>
      <c r="K44" s="2080"/>
      <c r="L44" s="2080"/>
      <c r="M44" s="2080"/>
      <c r="N44" s="2163"/>
      <c r="O44" s="2163"/>
      <c r="P44" s="2163"/>
      <c r="Q44" s="1520">
        <f>IFERROR(MAX(Q41:Q43),"  ")</f>
        <v>0</v>
      </c>
      <c r="R44" s="1876" t="str">
        <f>IF(Q44&gt;85,("4"),IF(Q44&gt;80,("3.66"),IF(Q44&gt;75,("3.33"),IF(Q44&gt;70,("3.00"),IF(Q44&gt;65,("2.66"),IF(Q44&gt;60,("2.33"),IF(Q44&gt;55,("2"),IF(Q44&gt;50,("1.66"),"1.33"))))))))</f>
        <v>1.33</v>
      </c>
      <c r="S44" s="1876" t="str">
        <f>IF(Q44&gt;85,("A"),IF(Q44&gt;80,("A-"),IF(Q44&gt;75,("B+"),IF(Q44&gt;70,("B"),IF(Q44&gt;65,("B-"),IF(Q44&gt;60,("C+"),IF(Q44&gt;55,("C"),IF(Q44&gt;50,("C-"),"D+"))))))))</f>
        <v>D+</v>
      </c>
      <c r="T44" s="1876"/>
      <c r="U44" s="1877"/>
      <c r="V44" s="1878"/>
      <c r="W44" s="1878"/>
      <c r="X44" s="1878"/>
      <c r="Y44" s="1878"/>
      <c r="Z44" s="1879"/>
      <c r="AA44" s="1880"/>
      <c r="AB44" s="1881"/>
    </row>
    <row r="45" spans="1:28" ht="24.95" customHeight="1" x14ac:dyDescent="0.25">
      <c r="A45" s="724">
        <v>10</v>
      </c>
      <c r="B45" s="725"/>
      <c r="C45" s="1671" t="str">
        <f>VLOOKUP(A45,data_siswa,4,FALSE)</f>
        <v xml:space="preserve">Deco Badarus Zaman </v>
      </c>
      <c r="D45" s="1862" t="s">
        <v>16</v>
      </c>
      <c r="E45" s="1493">
        <v>0</v>
      </c>
      <c r="F45" s="1493">
        <v>0</v>
      </c>
      <c r="G45" s="1493">
        <v>0</v>
      </c>
      <c r="H45" s="1493"/>
      <c r="I45" s="1493"/>
      <c r="J45" s="1493"/>
      <c r="K45" s="1493"/>
      <c r="L45" s="1493"/>
      <c r="M45" s="1493"/>
      <c r="N45" s="1077">
        <f>MAX(E45,H45,K45)</f>
        <v>0</v>
      </c>
      <c r="O45" s="2126">
        <f t="shared" ref="O45:O47" si="62">MAX(F45,I45,L45)</f>
        <v>0</v>
      </c>
      <c r="P45" s="2127">
        <f t="shared" ref="P45:P47" si="63">MAX(G45,J45,M45)</f>
        <v>0</v>
      </c>
      <c r="Q45" s="853">
        <f>IFERROR(AVERAGE(N45:P45),"")</f>
        <v>0</v>
      </c>
      <c r="R45" s="1519" t="str">
        <f>IF(Q45&gt;85,("4"),IF(Q45&gt;80,("3.66"),IF(Q45&gt;75,("3.33"),IF(Q45&gt;70,("3.00"),IF(Q45&gt;65,("2.66"),IF(Q45&gt;60,("2.33"),IF(Q45&gt;55,("2"),IF(Q45&gt;50,("1.66"),"1.33"))))))))</f>
        <v>1.33</v>
      </c>
      <c r="S45" s="1519" t="str">
        <f>IF(Q45&gt;85,("A"),IF(Q45&gt;80,("A-"),IF(Q45&gt;75,("B+"),IF(Q45&gt;70,("B"),IF(Q45&gt;65,("B-"),IF(Q45&gt;60,("C+"),IF(Q45&gt;55,("C"),IF(Q45&gt;50,("C-"),"D+"))))))))</f>
        <v>D+</v>
      </c>
      <c r="T45" s="1519" t="str">
        <f>IF(Q45&gt;80,("SB"),IF(Q45&gt;65,("B"),IF(Q45&gt;50,("C"),IF(Q45&gt;0,("K"),"0"))))</f>
        <v>0</v>
      </c>
      <c r="U45" s="1796"/>
      <c r="V45" s="1796"/>
      <c r="W45" s="1796"/>
      <c r="X45" s="1859"/>
      <c r="Y45" s="1859"/>
      <c r="Z45" s="1859"/>
      <c r="AA45" s="1860">
        <f>MAX(Q45:Q47)</f>
        <v>0</v>
      </c>
      <c r="AB45" s="1861" t="str">
        <f>IF(AA45&gt;85,("A"),IF(AA45&gt;80,("A-"),IF(AA45&gt;75,("B+"),IF(AA45&gt;70,("B"),IF(AA45&gt;65,("B-"),IF(AA45&gt;60,("C+"),IF(AA45&gt;55,("C"),IF(AA45&gt;50,("C-"),"D+"))))))))</f>
        <v>D+</v>
      </c>
    </row>
    <row r="46" spans="1:28" ht="24.95" customHeight="1" x14ac:dyDescent="0.25">
      <c r="A46" s="360"/>
      <c r="B46" s="719"/>
      <c r="C46" s="1673"/>
      <c r="D46" s="1862" t="s">
        <v>189</v>
      </c>
      <c r="E46" s="1497"/>
      <c r="F46" s="1493"/>
      <c r="G46" s="1493"/>
      <c r="H46" s="1493">
        <v>0</v>
      </c>
      <c r="I46" s="1493">
        <v>0</v>
      </c>
      <c r="J46" s="1493">
        <v>0</v>
      </c>
      <c r="K46" s="1493"/>
      <c r="L46" s="1493"/>
      <c r="M46" s="1493"/>
      <c r="N46" s="1077">
        <f t="shared" ref="N46:N47" si="64">MAX(E46,H46,K46)</f>
        <v>0</v>
      </c>
      <c r="O46" s="2126">
        <f t="shared" si="62"/>
        <v>0</v>
      </c>
      <c r="P46" s="2127">
        <f t="shared" si="63"/>
        <v>0</v>
      </c>
      <c r="Q46" s="853">
        <f t="shared" ref="Q46:Q47" si="65">IFERROR(AVERAGE(N46:P46),"")</f>
        <v>0</v>
      </c>
      <c r="R46" s="1518" t="str">
        <f t="shared" ref="R46:R47" si="66">IF(Q46&gt;85,("4"),IF(Q46&gt;80,("3.66"),IF(Q46&gt;75,("3.33"),IF(Q46&gt;70,("3.00"),IF(Q46&gt;65,("2.66"),IF(Q46&gt;60,("2.33"),IF(Q46&gt;55,("2"),IF(Q46&gt;50,("1.66"),"1.33"))))))))</f>
        <v>1.33</v>
      </c>
      <c r="S46" s="1518" t="str">
        <f t="shared" ref="S46:S47" si="67">IF(Q46&gt;85,("A"),IF(Q46&gt;80,("A-"),IF(Q46&gt;75,("B+"),IF(Q46&gt;70,("B"),IF(Q46&gt;65,("B-"),IF(Q46&gt;60,("C+"),IF(Q46&gt;55,("C"),IF(Q46&gt;50,("C-"),"D+"))))))))</f>
        <v>D+</v>
      </c>
      <c r="T46" s="1518" t="str">
        <f t="shared" ref="T46:T47" si="68">IF(Q46&gt;80,("SB"),IF(Q46&gt;65,("B"),IF(Q46&gt;50,("C"),IF(Q46&gt;0,("K"),"0"))))</f>
        <v>0</v>
      </c>
      <c r="U46" s="1863"/>
      <c r="V46" s="1864"/>
      <c r="W46" s="1864"/>
      <c r="X46" s="1865"/>
      <c r="Y46" s="1865"/>
      <c r="Z46" s="1866"/>
      <c r="AA46" s="1867"/>
      <c r="AB46" s="1868"/>
    </row>
    <row r="47" spans="1:28" ht="24.95" customHeight="1" x14ac:dyDescent="0.25">
      <c r="A47" s="360"/>
      <c r="B47" s="719"/>
      <c r="C47" s="1673"/>
      <c r="D47" s="1862" t="s">
        <v>186</v>
      </c>
      <c r="E47" s="1493"/>
      <c r="F47" s="1493"/>
      <c r="G47" s="1493"/>
      <c r="H47" s="1493"/>
      <c r="I47" s="1493"/>
      <c r="J47" s="1493"/>
      <c r="K47" s="1493">
        <v>0</v>
      </c>
      <c r="L47" s="1493">
        <v>0</v>
      </c>
      <c r="M47" s="1493">
        <v>0</v>
      </c>
      <c r="N47" s="1077">
        <f t="shared" si="64"/>
        <v>0</v>
      </c>
      <c r="O47" s="2126">
        <f t="shared" si="62"/>
        <v>0</v>
      </c>
      <c r="P47" s="2127">
        <f t="shared" si="63"/>
        <v>0</v>
      </c>
      <c r="Q47" s="853">
        <f t="shared" si="65"/>
        <v>0</v>
      </c>
      <c r="R47" s="1518" t="str">
        <f t="shared" si="66"/>
        <v>1.33</v>
      </c>
      <c r="S47" s="1518" t="str">
        <f t="shared" si="67"/>
        <v>D+</v>
      </c>
      <c r="T47" s="1518" t="str">
        <f t="shared" si="68"/>
        <v>0</v>
      </c>
      <c r="U47" s="1869"/>
      <c r="V47" s="1870"/>
      <c r="W47" s="1870"/>
      <c r="X47" s="1871"/>
      <c r="Y47" s="1871"/>
      <c r="Z47" s="1872"/>
      <c r="AA47" s="1873"/>
      <c r="AB47" s="1874"/>
    </row>
    <row r="48" spans="1:28" ht="24.95" customHeight="1" x14ac:dyDescent="0.25">
      <c r="A48" s="727"/>
      <c r="B48" s="731">
        <v>10</v>
      </c>
      <c r="C48" s="1674" t="s">
        <v>167</v>
      </c>
      <c r="D48" s="1797"/>
      <c r="E48" s="2901"/>
      <c r="F48" s="2902"/>
      <c r="G48" s="2902"/>
      <c r="H48" s="2024"/>
      <c r="I48" s="2024"/>
      <c r="J48" s="2024"/>
      <c r="K48" s="2024"/>
      <c r="L48" s="2024"/>
      <c r="M48" s="2024"/>
      <c r="N48" s="2163"/>
      <c r="O48" s="2163"/>
      <c r="P48" s="2163"/>
      <c r="Q48" s="1520">
        <f>IFERROR(MAX(Q45:Q47),"  ")</f>
        <v>0</v>
      </c>
      <c r="R48" s="1876" t="str">
        <f>IF(Q48&gt;85,("4"),IF(Q48&gt;80,("3.66"),IF(Q48&gt;75,("3.33"),IF(Q48&gt;70,("3.00"),IF(Q48&gt;65,("2.66"),IF(Q48&gt;60,("2.33"),IF(Q48&gt;55,("2"),IF(Q48&gt;50,("1.66"),"1.33"))))))))</f>
        <v>1.33</v>
      </c>
      <c r="S48" s="1876" t="str">
        <f>IF(Q48&gt;85,("A"),IF(Q48&gt;80,("A-"),IF(Q48&gt;75,("B+"),IF(Q48&gt;70,("B"),IF(Q48&gt;65,("B-"),IF(Q48&gt;60,("C+"),IF(Q48&gt;55,("C"),IF(Q48&gt;50,("C-"),"D+"))))))))</f>
        <v>D+</v>
      </c>
      <c r="T48" s="1876"/>
      <c r="U48" s="1877"/>
      <c r="V48" s="1878"/>
      <c r="W48" s="1878"/>
      <c r="X48" s="1878"/>
      <c r="Y48" s="1878"/>
      <c r="Z48" s="1879"/>
      <c r="AA48" s="1880"/>
      <c r="AB48" s="1881"/>
    </row>
    <row r="49" spans="1:28" ht="24.95" customHeight="1" x14ac:dyDescent="0.25">
      <c r="A49" s="724">
        <v>11</v>
      </c>
      <c r="B49" s="725"/>
      <c r="C49" s="1671" t="str">
        <f>VLOOKUP(A49,data_siswa,4,FALSE)</f>
        <v>Fania Mutiara Felichia</v>
      </c>
      <c r="D49" s="1862" t="s">
        <v>16</v>
      </c>
      <c r="E49" s="1493">
        <v>0</v>
      </c>
      <c r="F49" s="1493">
        <v>0</v>
      </c>
      <c r="G49" s="1493">
        <v>0</v>
      </c>
      <c r="H49" s="1493"/>
      <c r="I49" s="1493"/>
      <c r="J49" s="1493"/>
      <c r="K49" s="1493"/>
      <c r="L49" s="1493"/>
      <c r="M49" s="1493"/>
      <c r="N49" s="1077">
        <f>MAX(E49,H49,K49)</f>
        <v>0</v>
      </c>
      <c r="O49" s="2126">
        <f t="shared" ref="O49:O51" si="69">MAX(F49,I49,L49)</f>
        <v>0</v>
      </c>
      <c r="P49" s="2127">
        <f t="shared" ref="P49:P51" si="70">MAX(G49,J49,M49)</f>
        <v>0</v>
      </c>
      <c r="Q49" s="853">
        <f>IFERROR(AVERAGE(N49:P49),"")</f>
        <v>0</v>
      </c>
      <c r="R49" s="1519" t="str">
        <f>IF(Q49&gt;85,("4"),IF(Q49&gt;80,("3.66"),IF(Q49&gt;75,("3.33"),IF(Q49&gt;70,("3.00"),IF(Q49&gt;65,("2.66"),IF(Q49&gt;60,("2.33"),IF(Q49&gt;55,("2"),IF(Q49&gt;50,("1.66"),"1.33"))))))))</f>
        <v>1.33</v>
      </c>
      <c r="S49" s="1519" t="str">
        <f>IF(Q49&gt;85,("A"),IF(Q49&gt;80,("A-"),IF(Q49&gt;75,("B+"),IF(Q49&gt;70,("B"),IF(Q49&gt;65,("B-"),IF(Q49&gt;60,("C+"),IF(Q49&gt;55,("C"),IF(Q49&gt;50,("C-"),"D+"))))))))</f>
        <v>D+</v>
      </c>
      <c r="T49" s="1519" t="str">
        <f>IF(Q49&gt;80,("SB"),IF(Q49&gt;65,("B"),IF(Q49&gt;50,("C"),IF(Q49&gt;0,("K"),"0"))))</f>
        <v>0</v>
      </c>
      <c r="U49" s="1796"/>
      <c r="V49" s="1796"/>
      <c r="W49" s="1796"/>
      <c r="X49" s="1859"/>
      <c r="Y49" s="1859"/>
      <c r="Z49" s="1859"/>
      <c r="AA49" s="1860">
        <f>MAX(Q49:Q51)</f>
        <v>0</v>
      </c>
      <c r="AB49" s="1861" t="str">
        <f>IF(AA49&gt;85,("A"),IF(AA49&gt;80,("A-"),IF(AA49&gt;75,("B+"),IF(AA49&gt;70,("B"),IF(AA49&gt;65,("B-"),IF(AA49&gt;60,("C+"),IF(AA49&gt;55,("C"),IF(AA49&gt;50,("C-"),"D+"))))))))</f>
        <v>D+</v>
      </c>
    </row>
    <row r="50" spans="1:28" ht="24.95" customHeight="1" x14ac:dyDescent="0.25">
      <c r="A50" s="360"/>
      <c r="B50" s="719"/>
      <c r="C50" s="1673"/>
      <c r="D50" s="1862" t="s">
        <v>189</v>
      </c>
      <c r="E50" s="1497"/>
      <c r="F50" s="1493"/>
      <c r="G50" s="1493"/>
      <c r="H50" s="1493">
        <v>0</v>
      </c>
      <c r="I50" s="1493">
        <v>0</v>
      </c>
      <c r="J50" s="1493">
        <v>0</v>
      </c>
      <c r="K50" s="1493"/>
      <c r="L50" s="1493"/>
      <c r="M50" s="1493"/>
      <c r="N50" s="1077">
        <f t="shared" ref="N50:N51" si="71">MAX(E50,H50,K50)</f>
        <v>0</v>
      </c>
      <c r="O50" s="2126">
        <f t="shared" si="69"/>
        <v>0</v>
      </c>
      <c r="P50" s="2127">
        <f t="shared" si="70"/>
        <v>0</v>
      </c>
      <c r="Q50" s="853">
        <f t="shared" ref="Q50:Q51" si="72">IFERROR(AVERAGE(N50:P50),"")</f>
        <v>0</v>
      </c>
      <c r="R50" s="1518" t="str">
        <f t="shared" ref="R50:R51" si="73">IF(Q50&gt;85,("4"),IF(Q50&gt;80,("3.66"),IF(Q50&gt;75,("3.33"),IF(Q50&gt;70,("3.00"),IF(Q50&gt;65,("2.66"),IF(Q50&gt;60,("2.33"),IF(Q50&gt;55,("2"),IF(Q50&gt;50,("1.66"),"1.33"))))))))</f>
        <v>1.33</v>
      </c>
      <c r="S50" s="1518" t="str">
        <f t="shared" ref="S50:S51" si="74">IF(Q50&gt;85,("A"),IF(Q50&gt;80,("A-"),IF(Q50&gt;75,("B+"),IF(Q50&gt;70,("B"),IF(Q50&gt;65,("B-"),IF(Q50&gt;60,("C+"),IF(Q50&gt;55,("C"),IF(Q50&gt;50,("C-"),"D+"))))))))</f>
        <v>D+</v>
      </c>
      <c r="T50" s="1518" t="str">
        <f t="shared" ref="T50:T51" si="75">IF(Q50&gt;80,("SB"),IF(Q50&gt;65,("B"),IF(Q50&gt;50,("C"),IF(Q50&gt;0,("K"),"0"))))</f>
        <v>0</v>
      </c>
      <c r="U50" s="1863"/>
      <c r="V50" s="1864"/>
      <c r="W50" s="1864"/>
      <c r="X50" s="1865"/>
      <c r="Y50" s="1865"/>
      <c r="Z50" s="1866"/>
      <c r="AA50" s="1867"/>
      <c r="AB50" s="1868"/>
    </row>
    <row r="51" spans="1:28" ht="24.95" customHeight="1" x14ac:dyDescent="0.25">
      <c r="A51" s="360"/>
      <c r="B51" s="719"/>
      <c r="C51" s="1673"/>
      <c r="D51" s="1862" t="s">
        <v>186</v>
      </c>
      <c r="E51" s="1493"/>
      <c r="F51" s="1493"/>
      <c r="G51" s="1493"/>
      <c r="H51" s="1493"/>
      <c r="I51" s="1493"/>
      <c r="J51" s="1493"/>
      <c r="K51" s="1493">
        <v>0</v>
      </c>
      <c r="L51" s="1493">
        <v>0</v>
      </c>
      <c r="M51" s="1493">
        <v>0</v>
      </c>
      <c r="N51" s="1077">
        <f t="shared" si="71"/>
        <v>0</v>
      </c>
      <c r="O51" s="2126">
        <f t="shared" si="69"/>
        <v>0</v>
      </c>
      <c r="P51" s="2127">
        <f t="shared" si="70"/>
        <v>0</v>
      </c>
      <c r="Q51" s="853">
        <f t="shared" si="72"/>
        <v>0</v>
      </c>
      <c r="R51" s="1518" t="str">
        <f t="shared" si="73"/>
        <v>1.33</v>
      </c>
      <c r="S51" s="1518" t="str">
        <f t="shared" si="74"/>
        <v>D+</v>
      </c>
      <c r="T51" s="1518" t="str">
        <f t="shared" si="75"/>
        <v>0</v>
      </c>
      <c r="U51" s="1869"/>
      <c r="V51" s="1870"/>
      <c r="W51" s="1870"/>
      <c r="X51" s="1871"/>
      <c r="Y51" s="1871"/>
      <c r="Z51" s="1872"/>
      <c r="AA51" s="1873"/>
      <c r="AB51" s="1874"/>
    </row>
    <row r="52" spans="1:28" ht="24.95" customHeight="1" x14ac:dyDescent="0.25">
      <c r="A52" s="727"/>
      <c r="B52" s="731">
        <v>11</v>
      </c>
      <c r="C52" s="1674" t="s">
        <v>167</v>
      </c>
      <c r="D52" s="1797"/>
      <c r="E52" s="2901"/>
      <c r="F52" s="2902"/>
      <c r="G52" s="2902"/>
      <c r="H52" s="2080"/>
      <c r="I52" s="2080"/>
      <c r="J52" s="2080"/>
      <c r="K52" s="2080"/>
      <c r="L52" s="2080"/>
      <c r="M52" s="2080"/>
      <c r="N52" s="2163"/>
      <c r="O52" s="2163"/>
      <c r="P52" s="2163"/>
      <c r="Q52" s="1520">
        <f>IFERROR(MAX(Q49:Q51),"  ")</f>
        <v>0</v>
      </c>
      <c r="R52" s="1876" t="str">
        <f>IF(Q52&gt;85,("4"),IF(Q52&gt;80,("3.66"),IF(Q52&gt;75,("3.33"),IF(Q52&gt;70,("3.00"),IF(Q52&gt;65,("2.66"),IF(Q52&gt;60,("2.33"),IF(Q52&gt;55,("2"),IF(Q52&gt;50,("1.66"),"1.33"))))))))</f>
        <v>1.33</v>
      </c>
      <c r="S52" s="1876" t="str">
        <f>IF(Q52&gt;85,("A"),IF(Q52&gt;80,("A-"),IF(Q52&gt;75,("B+"),IF(Q52&gt;70,("B"),IF(Q52&gt;65,("B-"),IF(Q52&gt;60,("C+"),IF(Q52&gt;55,("C"),IF(Q52&gt;50,("C-"),"D+"))))))))</f>
        <v>D+</v>
      </c>
      <c r="T52" s="1876"/>
      <c r="U52" s="1877"/>
      <c r="V52" s="1878"/>
      <c r="W52" s="1878"/>
      <c r="X52" s="1878"/>
      <c r="Y52" s="1878"/>
      <c r="Z52" s="1879"/>
      <c r="AA52" s="1880"/>
      <c r="AB52" s="1881"/>
    </row>
    <row r="53" spans="1:28" ht="24.95" customHeight="1" x14ac:dyDescent="0.25">
      <c r="A53" s="724">
        <v>12</v>
      </c>
      <c r="B53" s="725"/>
      <c r="C53" s="1671" t="str">
        <f>VLOOKUP(A53,data_siswa,4,FALSE)</f>
        <v>Intan Dyah Nowari</v>
      </c>
      <c r="D53" s="1862" t="s">
        <v>16</v>
      </c>
      <c r="E53" s="1493">
        <v>0</v>
      </c>
      <c r="F53" s="1493">
        <v>0</v>
      </c>
      <c r="G53" s="1493">
        <v>0</v>
      </c>
      <c r="H53" s="1493"/>
      <c r="I53" s="1493"/>
      <c r="J53" s="1493"/>
      <c r="K53" s="1493"/>
      <c r="L53" s="1493"/>
      <c r="M53" s="1493"/>
      <c r="N53" s="1077">
        <f>MAX(E53,H53,K53)</f>
        <v>0</v>
      </c>
      <c r="O53" s="2126">
        <f t="shared" ref="O53:O55" si="76">MAX(F53,I53,L53)</f>
        <v>0</v>
      </c>
      <c r="P53" s="2127">
        <f t="shared" ref="P53:P55" si="77">MAX(G53,J53,M53)</f>
        <v>0</v>
      </c>
      <c r="Q53" s="853">
        <f>IFERROR(AVERAGE(N53:P53),"")</f>
        <v>0</v>
      </c>
      <c r="R53" s="1519" t="str">
        <f>IF(Q53&gt;85,("4"),IF(Q53&gt;80,("3.66"),IF(Q53&gt;75,("3.33"),IF(Q53&gt;70,("3.00"),IF(Q53&gt;65,("2.66"),IF(Q53&gt;60,("2.33"),IF(Q53&gt;55,("2"),IF(Q53&gt;50,("1.66"),"1.33"))))))))</f>
        <v>1.33</v>
      </c>
      <c r="S53" s="1519" t="str">
        <f>IF(Q53&gt;85,("A"),IF(Q53&gt;80,("A-"),IF(Q53&gt;75,("B+"),IF(Q53&gt;70,("B"),IF(Q53&gt;65,("B-"),IF(Q53&gt;60,("C+"),IF(Q53&gt;55,("C"),IF(Q53&gt;50,("C-"),"D+"))))))))</f>
        <v>D+</v>
      </c>
      <c r="T53" s="1519" t="str">
        <f>IF(Q53&gt;80,("SB"),IF(Q53&gt;65,("B"),IF(Q53&gt;50,("C"),IF(Q53&gt;0,("K"),"0"))))</f>
        <v>0</v>
      </c>
      <c r="U53" s="1796"/>
      <c r="V53" s="1796"/>
      <c r="W53" s="1796"/>
      <c r="X53" s="1859"/>
      <c r="Y53" s="1859"/>
      <c r="Z53" s="1859"/>
      <c r="AA53" s="1860">
        <f>MAX(Q53:Q55)</f>
        <v>0</v>
      </c>
      <c r="AB53" s="1861" t="str">
        <f>IF(AA53&gt;85,("A"),IF(AA53&gt;80,("A-"),IF(AA53&gt;75,("B+"),IF(AA53&gt;70,("B"),IF(AA53&gt;65,("B-"),IF(AA53&gt;60,("C+"),IF(AA53&gt;55,("C"),IF(AA53&gt;50,("C-"),"D+"))))))))</f>
        <v>D+</v>
      </c>
    </row>
    <row r="54" spans="1:28" ht="24.95" customHeight="1" x14ac:dyDescent="0.25">
      <c r="A54" s="360"/>
      <c r="B54" s="719"/>
      <c r="C54" s="1673"/>
      <c r="D54" s="1862" t="s">
        <v>189</v>
      </c>
      <c r="E54" s="1497"/>
      <c r="F54" s="1493"/>
      <c r="G54" s="1493"/>
      <c r="H54" s="1493">
        <v>0</v>
      </c>
      <c r="I54" s="1493">
        <v>0</v>
      </c>
      <c r="J54" s="1493">
        <v>0</v>
      </c>
      <c r="K54" s="1493"/>
      <c r="L54" s="1493"/>
      <c r="M54" s="1493"/>
      <c r="N54" s="1077">
        <f t="shared" ref="N54:N55" si="78">MAX(E54,H54,K54)</f>
        <v>0</v>
      </c>
      <c r="O54" s="2126">
        <f t="shared" si="76"/>
        <v>0</v>
      </c>
      <c r="P54" s="2127">
        <f t="shared" si="77"/>
        <v>0</v>
      </c>
      <c r="Q54" s="853">
        <f t="shared" ref="Q54:Q55" si="79">IFERROR(AVERAGE(N54:P54),"")</f>
        <v>0</v>
      </c>
      <c r="R54" s="1518" t="str">
        <f t="shared" ref="R54:R55" si="80">IF(Q54&gt;85,("4"),IF(Q54&gt;80,("3.66"),IF(Q54&gt;75,("3.33"),IF(Q54&gt;70,("3.00"),IF(Q54&gt;65,("2.66"),IF(Q54&gt;60,("2.33"),IF(Q54&gt;55,("2"),IF(Q54&gt;50,("1.66"),"1.33"))))))))</f>
        <v>1.33</v>
      </c>
      <c r="S54" s="1518" t="str">
        <f t="shared" ref="S54:S55" si="81">IF(Q54&gt;85,("A"),IF(Q54&gt;80,("A-"),IF(Q54&gt;75,("B+"),IF(Q54&gt;70,("B"),IF(Q54&gt;65,("B-"),IF(Q54&gt;60,("C+"),IF(Q54&gt;55,("C"),IF(Q54&gt;50,("C-"),"D+"))))))))</f>
        <v>D+</v>
      </c>
      <c r="T54" s="1518" t="str">
        <f t="shared" ref="T54:T55" si="82">IF(Q54&gt;80,("SB"),IF(Q54&gt;65,("B"),IF(Q54&gt;50,("C"),IF(Q54&gt;0,("K"),"0"))))</f>
        <v>0</v>
      </c>
      <c r="U54" s="1863"/>
      <c r="V54" s="1864"/>
      <c r="W54" s="1864"/>
      <c r="X54" s="1865"/>
      <c r="Y54" s="1865"/>
      <c r="Z54" s="1866"/>
      <c r="AA54" s="1867"/>
      <c r="AB54" s="1868"/>
    </row>
    <row r="55" spans="1:28" ht="24.95" customHeight="1" x14ac:dyDescent="0.25">
      <c r="A55" s="360"/>
      <c r="B55" s="719"/>
      <c r="C55" s="1673"/>
      <c r="D55" s="1862" t="s">
        <v>186</v>
      </c>
      <c r="E55" s="1493"/>
      <c r="F55" s="1493"/>
      <c r="G55" s="1493"/>
      <c r="H55" s="1493"/>
      <c r="I55" s="1493"/>
      <c r="J55" s="1493"/>
      <c r="K55" s="1493">
        <v>0</v>
      </c>
      <c r="L55" s="1493">
        <v>0</v>
      </c>
      <c r="M55" s="1493">
        <v>0</v>
      </c>
      <c r="N55" s="1077">
        <f t="shared" si="78"/>
        <v>0</v>
      </c>
      <c r="O55" s="2126">
        <f t="shared" si="76"/>
        <v>0</v>
      </c>
      <c r="P55" s="2127">
        <f t="shared" si="77"/>
        <v>0</v>
      </c>
      <c r="Q55" s="853">
        <f t="shared" si="79"/>
        <v>0</v>
      </c>
      <c r="R55" s="1518" t="str">
        <f t="shared" si="80"/>
        <v>1.33</v>
      </c>
      <c r="S55" s="1518" t="str">
        <f t="shared" si="81"/>
        <v>D+</v>
      </c>
      <c r="T55" s="1518" t="str">
        <f t="shared" si="82"/>
        <v>0</v>
      </c>
      <c r="U55" s="1869"/>
      <c r="V55" s="1870"/>
      <c r="W55" s="1870"/>
      <c r="X55" s="1871"/>
      <c r="Y55" s="1871"/>
      <c r="Z55" s="1872"/>
      <c r="AA55" s="1873"/>
      <c r="AB55" s="1874"/>
    </row>
    <row r="56" spans="1:28" ht="24.95" customHeight="1" x14ac:dyDescent="0.25">
      <c r="A56" s="727"/>
      <c r="B56" s="731">
        <v>12</v>
      </c>
      <c r="C56" s="1674" t="s">
        <v>167</v>
      </c>
      <c r="D56" s="1797"/>
      <c r="E56" s="2901"/>
      <c r="F56" s="2902"/>
      <c r="G56" s="2902"/>
      <c r="H56" s="2080"/>
      <c r="I56" s="2080"/>
      <c r="J56" s="2080"/>
      <c r="K56" s="2080"/>
      <c r="L56" s="2080"/>
      <c r="M56" s="2080"/>
      <c r="N56" s="2163"/>
      <c r="O56" s="2163"/>
      <c r="P56" s="2163"/>
      <c r="Q56" s="1520">
        <f>IFERROR(MAX(Q53:Q55),"  ")</f>
        <v>0</v>
      </c>
      <c r="R56" s="1876" t="str">
        <f>IF(Q56&gt;85,("4"),IF(Q56&gt;80,("3.66"),IF(Q56&gt;75,("3.33"),IF(Q56&gt;70,("3.00"),IF(Q56&gt;65,("2.66"),IF(Q56&gt;60,("2.33"),IF(Q56&gt;55,("2"),IF(Q56&gt;50,("1.66"),"1.33"))))))))</f>
        <v>1.33</v>
      </c>
      <c r="S56" s="1876" t="str">
        <f>IF(Q56&gt;85,("A"),IF(Q56&gt;80,("A-"),IF(Q56&gt;75,("B+"),IF(Q56&gt;70,("B"),IF(Q56&gt;65,("B-"),IF(Q56&gt;60,("C+"),IF(Q56&gt;55,("C"),IF(Q56&gt;50,("C-"),"D+"))))))))</f>
        <v>D+</v>
      </c>
      <c r="T56" s="1876"/>
      <c r="U56" s="1877"/>
      <c r="V56" s="1878"/>
      <c r="W56" s="1878"/>
      <c r="X56" s="1878"/>
      <c r="Y56" s="1878"/>
      <c r="Z56" s="1879"/>
      <c r="AA56" s="1880"/>
      <c r="AB56" s="1881"/>
    </row>
    <row r="57" spans="1:28" ht="24.95" customHeight="1" x14ac:dyDescent="0.25">
      <c r="A57" s="724">
        <v>13</v>
      </c>
      <c r="B57" s="725"/>
      <c r="C57" s="1671" t="str">
        <f>VLOOKUP(A57,data_siswa,4,FALSE)</f>
        <v>Misyanita Nurfitri S</v>
      </c>
      <c r="D57" s="1862" t="s">
        <v>16</v>
      </c>
      <c r="E57" s="1493">
        <v>0</v>
      </c>
      <c r="F57" s="1493">
        <v>0</v>
      </c>
      <c r="G57" s="1493">
        <v>0</v>
      </c>
      <c r="H57" s="1493"/>
      <c r="I57" s="1493"/>
      <c r="J57" s="1493"/>
      <c r="K57" s="1493"/>
      <c r="L57" s="1493"/>
      <c r="M57" s="1493"/>
      <c r="N57" s="1077">
        <f>MAX(E57,H57,K57)</f>
        <v>0</v>
      </c>
      <c r="O57" s="2126">
        <f t="shared" ref="O57:O59" si="83">MAX(F57,I57,L57)</f>
        <v>0</v>
      </c>
      <c r="P57" s="2127">
        <f t="shared" ref="P57:P59" si="84">MAX(G57,J57,M57)</f>
        <v>0</v>
      </c>
      <c r="Q57" s="853">
        <f>IFERROR(AVERAGE(N57:P57),"")</f>
        <v>0</v>
      </c>
      <c r="R57" s="1519" t="str">
        <f>IF(Q57&gt;85,("4"),IF(Q57&gt;80,("3.66"),IF(Q57&gt;75,("3.33"),IF(Q57&gt;70,("3.00"),IF(Q57&gt;65,("2.66"),IF(Q57&gt;60,("2.33"),IF(Q57&gt;55,("2"),IF(Q57&gt;50,("1.66"),"1.33"))))))))</f>
        <v>1.33</v>
      </c>
      <c r="S57" s="1519" t="str">
        <f>IF(Q57&gt;85,("A"),IF(Q57&gt;80,("A-"),IF(Q57&gt;75,("B+"),IF(Q57&gt;70,("B"),IF(Q57&gt;65,("B-"),IF(Q57&gt;60,("C+"),IF(Q57&gt;55,("C"),IF(Q57&gt;50,("C-"),"D+"))))))))</f>
        <v>D+</v>
      </c>
      <c r="T57" s="1519" t="str">
        <f>IF(Q57&gt;80,("SB"),IF(Q57&gt;65,("B"),IF(Q57&gt;50,("C"),IF(Q57&gt;0,("K"),"0"))))</f>
        <v>0</v>
      </c>
      <c r="U57" s="1796"/>
      <c r="V57" s="1796"/>
      <c r="W57" s="1796"/>
      <c r="X57" s="1859"/>
      <c r="Y57" s="1859"/>
      <c r="Z57" s="1859"/>
      <c r="AA57" s="1860">
        <f>MAX(Q57:Q59)</f>
        <v>0</v>
      </c>
      <c r="AB57" s="1861" t="str">
        <f>IF(AA57&gt;85,("A"),IF(AA57&gt;80,("A-"),IF(AA57&gt;75,("B+"),IF(AA57&gt;70,("B"),IF(AA57&gt;65,("B-"),IF(AA57&gt;60,("C+"),IF(AA57&gt;55,("C"),IF(AA57&gt;50,("C-"),"D+"))))))))</f>
        <v>D+</v>
      </c>
    </row>
    <row r="58" spans="1:28" ht="24.95" customHeight="1" x14ac:dyDescent="0.25">
      <c r="A58" s="360"/>
      <c r="B58" s="719"/>
      <c r="C58" s="1673"/>
      <c r="D58" s="1862" t="s">
        <v>189</v>
      </c>
      <c r="E58" s="1497"/>
      <c r="F58" s="1493"/>
      <c r="G58" s="1493"/>
      <c r="H58" s="1493">
        <v>0</v>
      </c>
      <c r="I58" s="1493">
        <v>0</v>
      </c>
      <c r="J58" s="1493">
        <v>0</v>
      </c>
      <c r="K58" s="1493"/>
      <c r="L58" s="1493"/>
      <c r="M58" s="1493"/>
      <c r="N58" s="1077">
        <f t="shared" ref="N58:N59" si="85">MAX(E58,H58,K58)</f>
        <v>0</v>
      </c>
      <c r="O58" s="2126">
        <f t="shared" si="83"/>
        <v>0</v>
      </c>
      <c r="P58" s="2127">
        <f t="shared" si="84"/>
        <v>0</v>
      </c>
      <c r="Q58" s="853">
        <f t="shared" ref="Q58:Q59" si="86">IFERROR(AVERAGE(N58:P58),"")</f>
        <v>0</v>
      </c>
      <c r="R58" s="1518" t="str">
        <f t="shared" ref="R58:R59" si="87">IF(Q58&gt;85,("4"),IF(Q58&gt;80,("3.66"),IF(Q58&gt;75,("3.33"),IF(Q58&gt;70,("3.00"),IF(Q58&gt;65,("2.66"),IF(Q58&gt;60,("2.33"),IF(Q58&gt;55,("2"),IF(Q58&gt;50,("1.66"),"1.33"))))))))</f>
        <v>1.33</v>
      </c>
      <c r="S58" s="1518" t="str">
        <f t="shared" ref="S58:S59" si="88">IF(Q58&gt;85,("A"),IF(Q58&gt;80,("A-"),IF(Q58&gt;75,("B+"),IF(Q58&gt;70,("B"),IF(Q58&gt;65,("B-"),IF(Q58&gt;60,("C+"),IF(Q58&gt;55,("C"),IF(Q58&gt;50,("C-"),"D+"))))))))</f>
        <v>D+</v>
      </c>
      <c r="T58" s="1518" t="str">
        <f t="shared" ref="T58:T59" si="89">IF(Q58&gt;80,("SB"),IF(Q58&gt;65,("B"),IF(Q58&gt;50,("C"),IF(Q58&gt;0,("K"),"0"))))</f>
        <v>0</v>
      </c>
      <c r="U58" s="1863"/>
      <c r="V58" s="1864"/>
      <c r="W58" s="1864"/>
      <c r="X58" s="1865"/>
      <c r="Y58" s="1865"/>
      <c r="Z58" s="1866"/>
      <c r="AA58" s="1867"/>
      <c r="AB58" s="1868"/>
    </row>
    <row r="59" spans="1:28" ht="24.95" customHeight="1" x14ac:dyDescent="0.25">
      <c r="A59" s="360"/>
      <c r="B59" s="719"/>
      <c r="C59" s="1673"/>
      <c r="D59" s="1862" t="s">
        <v>186</v>
      </c>
      <c r="E59" s="1493"/>
      <c r="F59" s="1493"/>
      <c r="G59" s="1493"/>
      <c r="H59" s="1493"/>
      <c r="I59" s="1493"/>
      <c r="J59" s="1493"/>
      <c r="K59" s="1493">
        <v>0</v>
      </c>
      <c r="L59" s="1493">
        <v>0</v>
      </c>
      <c r="M59" s="1493">
        <v>0</v>
      </c>
      <c r="N59" s="1077">
        <f t="shared" si="85"/>
        <v>0</v>
      </c>
      <c r="O59" s="2126">
        <f t="shared" si="83"/>
        <v>0</v>
      </c>
      <c r="P59" s="2127">
        <f t="shared" si="84"/>
        <v>0</v>
      </c>
      <c r="Q59" s="853">
        <f t="shared" si="86"/>
        <v>0</v>
      </c>
      <c r="R59" s="1518" t="str">
        <f t="shared" si="87"/>
        <v>1.33</v>
      </c>
      <c r="S59" s="1518" t="str">
        <f t="shared" si="88"/>
        <v>D+</v>
      </c>
      <c r="T59" s="1518" t="str">
        <f t="shared" si="89"/>
        <v>0</v>
      </c>
      <c r="U59" s="1869"/>
      <c r="V59" s="1870"/>
      <c r="W59" s="1870"/>
      <c r="X59" s="1871"/>
      <c r="Y59" s="1871"/>
      <c r="Z59" s="1872"/>
      <c r="AA59" s="1873"/>
      <c r="AB59" s="1874"/>
    </row>
    <row r="60" spans="1:28" ht="24.95" customHeight="1" x14ac:dyDescent="0.25">
      <c r="A60" s="727"/>
      <c r="B60" s="731">
        <v>13</v>
      </c>
      <c r="C60" s="1674" t="s">
        <v>167</v>
      </c>
      <c r="D60" s="1797"/>
      <c r="E60" s="2901"/>
      <c r="F60" s="2902"/>
      <c r="G60" s="2902"/>
      <c r="H60" s="2080"/>
      <c r="I60" s="2080"/>
      <c r="J60" s="2080"/>
      <c r="K60" s="2080"/>
      <c r="L60" s="2080"/>
      <c r="M60" s="2080"/>
      <c r="N60" s="2163"/>
      <c r="O60" s="2163"/>
      <c r="P60" s="2163"/>
      <c r="Q60" s="1520">
        <f>IFERROR(MAX(Q57:Q59),"  ")</f>
        <v>0</v>
      </c>
      <c r="R60" s="1876" t="str">
        <f>IF(Q60&gt;85,("4"),IF(Q60&gt;80,("3.66"),IF(Q60&gt;75,("3.33"),IF(Q60&gt;70,("3.00"),IF(Q60&gt;65,("2.66"),IF(Q60&gt;60,("2.33"),IF(Q60&gt;55,("2"),IF(Q60&gt;50,("1.66"),"1.33"))))))))</f>
        <v>1.33</v>
      </c>
      <c r="S60" s="1876" t="str">
        <f>IF(Q60&gt;85,("A"),IF(Q60&gt;80,("A-"),IF(Q60&gt;75,("B+"),IF(Q60&gt;70,("B"),IF(Q60&gt;65,("B-"),IF(Q60&gt;60,("C+"),IF(Q60&gt;55,("C"),IF(Q60&gt;50,("C-"),"D+"))))))))</f>
        <v>D+</v>
      </c>
      <c r="T60" s="1876"/>
      <c r="U60" s="1877"/>
      <c r="V60" s="1878"/>
      <c r="W60" s="1878"/>
      <c r="X60" s="1878"/>
      <c r="Y60" s="1878"/>
      <c r="Z60" s="1879"/>
      <c r="AA60" s="1880"/>
      <c r="AB60" s="1881"/>
    </row>
    <row r="61" spans="1:28" ht="24.95" customHeight="1" x14ac:dyDescent="0.25">
      <c r="A61" s="724">
        <v>14</v>
      </c>
      <c r="B61" s="725"/>
      <c r="C61" s="1671" t="str">
        <f>VLOOKUP(A61,data_siswa,4,FALSE)</f>
        <v>Moch Zidane Hita L. U</v>
      </c>
      <c r="D61" s="1862" t="s">
        <v>16</v>
      </c>
      <c r="E61" s="1493">
        <v>0</v>
      </c>
      <c r="F61" s="1493">
        <v>0</v>
      </c>
      <c r="G61" s="1493">
        <v>0</v>
      </c>
      <c r="H61" s="1493"/>
      <c r="I61" s="1493"/>
      <c r="J61" s="1493"/>
      <c r="K61" s="1493"/>
      <c r="L61" s="1493"/>
      <c r="M61" s="1493"/>
      <c r="N61" s="1077">
        <f>MAX(E61,H61,K61)</f>
        <v>0</v>
      </c>
      <c r="O61" s="2126">
        <f t="shared" ref="O61:O63" si="90">MAX(F61,I61,L61)</f>
        <v>0</v>
      </c>
      <c r="P61" s="2127">
        <f t="shared" ref="P61:P63" si="91">MAX(G61,J61,M61)</f>
        <v>0</v>
      </c>
      <c r="Q61" s="853">
        <f>IFERROR(AVERAGE(N61:P61),"")</f>
        <v>0</v>
      </c>
      <c r="R61" s="1519" t="str">
        <f>IF(Q61&gt;85,("4"),IF(Q61&gt;80,("3.66"),IF(Q61&gt;75,("3.33"),IF(Q61&gt;70,("3.00"),IF(Q61&gt;65,("2.66"),IF(Q61&gt;60,("2.33"),IF(Q61&gt;55,("2"),IF(Q61&gt;50,("1.66"),"1.33"))))))))</f>
        <v>1.33</v>
      </c>
      <c r="S61" s="1519" t="str">
        <f>IF(Q61&gt;85,("A"),IF(Q61&gt;80,("A-"),IF(Q61&gt;75,("B+"),IF(Q61&gt;70,("B"),IF(Q61&gt;65,("B-"),IF(Q61&gt;60,("C+"),IF(Q61&gt;55,("C"),IF(Q61&gt;50,("C-"),"D+"))))))))</f>
        <v>D+</v>
      </c>
      <c r="T61" s="1519" t="str">
        <f>IF(Q61&gt;80,("SB"),IF(Q61&gt;65,("B"),IF(Q61&gt;50,("C"),IF(Q61&gt;0,("K"),"0"))))</f>
        <v>0</v>
      </c>
      <c r="U61" s="1796"/>
      <c r="V61" s="1796"/>
      <c r="W61" s="1796"/>
      <c r="X61" s="1859"/>
      <c r="Y61" s="1859"/>
      <c r="Z61" s="1859"/>
      <c r="AA61" s="1860">
        <f>MAX(Q61:Q63)</f>
        <v>0</v>
      </c>
      <c r="AB61" s="1861" t="str">
        <f>IF(AA61&gt;85,("A"),IF(AA61&gt;80,("A-"),IF(AA61&gt;75,("B+"),IF(AA61&gt;70,("B"),IF(AA61&gt;65,("B-"),IF(AA61&gt;60,("C+"),IF(AA61&gt;55,("C"),IF(AA61&gt;50,("C-"),"D+"))))))))</f>
        <v>D+</v>
      </c>
    </row>
    <row r="62" spans="1:28" ht="24.95" customHeight="1" x14ac:dyDescent="0.25">
      <c r="A62" s="360"/>
      <c r="B62" s="719"/>
      <c r="C62" s="1673"/>
      <c r="D62" s="1862" t="s">
        <v>189</v>
      </c>
      <c r="E62" s="1497"/>
      <c r="F62" s="1493"/>
      <c r="G62" s="1493"/>
      <c r="H62" s="1493">
        <v>0</v>
      </c>
      <c r="I62" s="1493">
        <v>0</v>
      </c>
      <c r="J62" s="1493">
        <v>0</v>
      </c>
      <c r="K62" s="1493"/>
      <c r="L62" s="1493"/>
      <c r="M62" s="1493"/>
      <c r="N62" s="1077">
        <f t="shared" ref="N62:N63" si="92">MAX(E62,H62,K62)</f>
        <v>0</v>
      </c>
      <c r="O62" s="2126">
        <f t="shared" si="90"/>
        <v>0</v>
      </c>
      <c r="P62" s="2127">
        <f t="shared" si="91"/>
        <v>0</v>
      </c>
      <c r="Q62" s="853">
        <f t="shared" ref="Q62:Q63" si="93">IFERROR(AVERAGE(N62:P62),"")</f>
        <v>0</v>
      </c>
      <c r="R62" s="1518" t="str">
        <f t="shared" ref="R62:R63" si="94">IF(Q62&gt;85,("4"),IF(Q62&gt;80,("3.66"),IF(Q62&gt;75,("3.33"),IF(Q62&gt;70,("3.00"),IF(Q62&gt;65,("2.66"),IF(Q62&gt;60,("2.33"),IF(Q62&gt;55,("2"),IF(Q62&gt;50,("1.66"),"1.33"))))))))</f>
        <v>1.33</v>
      </c>
      <c r="S62" s="1518" t="str">
        <f t="shared" ref="S62:S63" si="95">IF(Q62&gt;85,("A"),IF(Q62&gt;80,("A-"),IF(Q62&gt;75,("B+"),IF(Q62&gt;70,("B"),IF(Q62&gt;65,("B-"),IF(Q62&gt;60,("C+"),IF(Q62&gt;55,("C"),IF(Q62&gt;50,("C-"),"D+"))))))))</f>
        <v>D+</v>
      </c>
      <c r="T62" s="1518" t="str">
        <f t="shared" ref="T62:T63" si="96">IF(Q62&gt;80,("SB"),IF(Q62&gt;65,("B"),IF(Q62&gt;50,("C"),IF(Q62&gt;0,("K"),"0"))))</f>
        <v>0</v>
      </c>
      <c r="U62" s="1863"/>
      <c r="V62" s="1864"/>
      <c r="W62" s="1864"/>
      <c r="X62" s="1865"/>
      <c r="Y62" s="1865"/>
      <c r="Z62" s="1866"/>
      <c r="AA62" s="1867"/>
      <c r="AB62" s="1868"/>
    </row>
    <row r="63" spans="1:28" ht="24.95" customHeight="1" x14ac:dyDescent="0.25">
      <c r="A63" s="360"/>
      <c r="B63" s="719"/>
      <c r="C63" s="1673"/>
      <c r="D63" s="1862" t="s">
        <v>186</v>
      </c>
      <c r="E63" s="1493"/>
      <c r="F63" s="1493"/>
      <c r="G63" s="1493"/>
      <c r="H63" s="1493"/>
      <c r="I63" s="1493"/>
      <c r="J63" s="1493"/>
      <c r="K63" s="1493">
        <v>0</v>
      </c>
      <c r="L63" s="1493">
        <v>0</v>
      </c>
      <c r="M63" s="1493">
        <v>0</v>
      </c>
      <c r="N63" s="1077">
        <f t="shared" si="92"/>
        <v>0</v>
      </c>
      <c r="O63" s="2126">
        <f t="shared" si="90"/>
        <v>0</v>
      </c>
      <c r="P63" s="2127">
        <f t="shared" si="91"/>
        <v>0</v>
      </c>
      <c r="Q63" s="853">
        <f t="shared" si="93"/>
        <v>0</v>
      </c>
      <c r="R63" s="1518" t="str">
        <f t="shared" si="94"/>
        <v>1.33</v>
      </c>
      <c r="S63" s="1518" t="str">
        <f t="shared" si="95"/>
        <v>D+</v>
      </c>
      <c r="T63" s="1518" t="str">
        <f t="shared" si="96"/>
        <v>0</v>
      </c>
      <c r="U63" s="1869"/>
      <c r="V63" s="1870"/>
      <c r="W63" s="1870"/>
      <c r="X63" s="1871"/>
      <c r="Y63" s="1871"/>
      <c r="Z63" s="1872"/>
      <c r="AA63" s="1873"/>
      <c r="AB63" s="1874"/>
    </row>
    <row r="64" spans="1:28" ht="24.95" customHeight="1" x14ac:dyDescent="0.25">
      <c r="A64" s="727"/>
      <c r="B64" s="731">
        <v>14</v>
      </c>
      <c r="C64" s="1674" t="s">
        <v>167</v>
      </c>
      <c r="D64" s="1797"/>
      <c r="E64" s="2901"/>
      <c r="F64" s="2902"/>
      <c r="G64" s="2902"/>
      <c r="H64" s="2080"/>
      <c r="I64" s="2080"/>
      <c r="J64" s="2080"/>
      <c r="K64" s="2080"/>
      <c r="L64" s="2080"/>
      <c r="M64" s="2080"/>
      <c r="N64" s="2163"/>
      <c r="O64" s="2163"/>
      <c r="P64" s="2163"/>
      <c r="Q64" s="1520">
        <f>IFERROR(MAX(Q61:Q63),"  ")</f>
        <v>0</v>
      </c>
      <c r="R64" s="1876" t="str">
        <f>IF(Q64&gt;85,("4"),IF(Q64&gt;80,("3.66"),IF(Q64&gt;75,("3.33"),IF(Q64&gt;70,("3.00"),IF(Q64&gt;65,("2.66"),IF(Q64&gt;60,("2.33"),IF(Q64&gt;55,("2"),IF(Q64&gt;50,("1.66"),"1.33"))))))))</f>
        <v>1.33</v>
      </c>
      <c r="S64" s="1876" t="str">
        <f>IF(Q64&gt;85,("A"),IF(Q64&gt;80,("A-"),IF(Q64&gt;75,("B+"),IF(Q64&gt;70,("B"),IF(Q64&gt;65,("B-"),IF(Q64&gt;60,("C+"),IF(Q64&gt;55,("C"),IF(Q64&gt;50,("C-"),"D+"))))))))</f>
        <v>D+</v>
      </c>
      <c r="T64" s="1876"/>
      <c r="U64" s="1877"/>
      <c r="V64" s="1878"/>
      <c r="W64" s="1878"/>
      <c r="X64" s="1878"/>
      <c r="Y64" s="1878"/>
      <c r="Z64" s="1879"/>
      <c r="AA64" s="1880"/>
      <c r="AB64" s="1881"/>
    </row>
    <row r="65" spans="1:28" ht="24.95" customHeight="1" x14ac:dyDescent="0.25">
      <c r="A65" s="724">
        <v>15</v>
      </c>
      <c r="B65" s="725"/>
      <c r="C65" s="1671" t="str">
        <f>VLOOKUP(A65,data_siswa,4,FALSE)</f>
        <v>Muhammad Ibra Maulana</v>
      </c>
      <c r="D65" s="1862" t="s">
        <v>16</v>
      </c>
      <c r="E65" s="1493">
        <v>0</v>
      </c>
      <c r="F65" s="1493">
        <v>0</v>
      </c>
      <c r="G65" s="1493">
        <v>0</v>
      </c>
      <c r="H65" s="1493"/>
      <c r="I65" s="1493"/>
      <c r="J65" s="1493"/>
      <c r="K65" s="1493"/>
      <c r="L65" s="1493"/>
      <c r="M65" s="1493"/>
      <c r="N65" s="1077">
        <f>MAX(E65,H65,K65)</f>
        <v>0</v>
      </c>
      <c r="O65" s="2126">
        <f t="shared" ref="O65:O67" si="97">MAX(F65,I65,L65)</f>
        <v>0</v>
      </c>
      <c r="P65" s="2127">
        <f t="shared" ref="P65:P67" si="98">MAX(G65,J65,M65)</f>
        <v>0</v>
      </c>
      <c r="Q65" s="853">
        <f>IFERROR(AVERAGE(N65:P65),"")</f>
        <v>0</v>
      </c>
      <c r="R65" s="1519" t="str">
        <f>IF(Q65&gt;85,("4"),IF(Q65&gt;80,("3.66"),IF(Q65&gt;75,("3.33"),IF(Q65&gt;70,("3.00"),IF(Q65&gt;65,("2.66"),IF(Q65&gt;60,("2.33"),IF(Q65&gt;55,("2"),IF(Q65&gt;50,("1.66"),"1.33"))))))))</f>
        <v>1.33</v>
      </c>
      <c r="S65" s="1519" t="str">
        <f>IF(Q65&gt;85,("A"),IF(Q65&gt;80,("A-"),IF(Q65&gt;75,("B+"),IF(Q65&gt;70,("B"),IF(Q65&gt;65,("B-"),IF(Q65&gt;60,("C+"),IF(Q65&gt;55,("C"),IF(Q65&gt;50,("C-"),"D+"))))))))</f>
        <v>D+</v>
      </c>
      <c r="T65" s="1519" t="str">
        <f>IF(Q65&gt;80,("SB"),IF(Q65&gt;65,("B"),IF(Q65&gt;50,("C"),IF(Q65&gt;0,("K"),"0"))))</f>
        <v>0</v>
      </c>
      <c r="U65" s="1796"/>
      <c r="V65" s="1796"/>
      <c r="W65" s="1796"/>
      <c r="X65" s="1882"/>
      <c r="Y65" s="1882"/>
      <c r="Z65" s="1882"/>
      <c r="AA65" s="1860">
        <f>MAX(Q65:Q67)</f>
        <v>0</v>
      </c>
      <c r="AB65" s="1861" t="str">
        <f>IF(AA65&gt;85,("A"),IF(AA65&gt;80,("A-"),IF(AA65&gt;75,("B+"),IF(AA65&gt;70,("B"),IF(AA65&gt;65,("B-"),IF(AA65&gt;60,("C+"),IF(AA65&gt;55,("C"),IF(AA65&gt;50,("C-"),"D+"))))))))</f>
        <v>D+</v>
      </c>
    </row>
    <row r="66" spans="1:28" ht="24.95" customHeight="1" x14ac:dyDescent="0.25">
      <c r="A66" s="360"/>
      <c r="B66" s="719"/>
      <c r="C66" s="1673"/>
      <c r="D66" s="1862" t="s">
        <v>189</v>
      </c>
      <c r="E66" s="1497"/>
      <c r="F66" s="1493"/>
      <c r="G66" s="1493"/>
      <c r="H66" s="1493">
        <v>0</v>
      </c>
      <c r="I66" s="1493">
        <v>0</v>
      </c>
      <c r="J66" s="1493">
        <v>0</v>
      </c>
      <c r="K66" s="1493"/>
      <c r="L66" s="1493"/>
      <c r="M66" s="1493"/>
      <c r="N66" s="1077">
        <f t="shared" ref="N66:N67" si="99">MAX(E66,H66,K66)</f>
        <v>0</v>
      </c>
      <c r="O66" s="2126">
        <f t="shared" si="97"/>
        <v>0</v>
      </c>
      <c r="P66" s="2127">
        <f t="shared" si="98"/>
        <v>0</v>
      </c>
      <c r="Q66" s="853">
        <f t="shared" ref="Q66:Q67" si="100">IFERROR(AVERAGE(N66:P66),"")</f>
        <v>0</v>
      </c>
      <c r="R66" s="1518" t="str">
        <f t="shared" ref="R66:R67" si="101">IF(Q66&gt;85,("4"),IF(Q66&gt;80,("3.66"),IF(Q66&gt;75,("3.33"),IF(Q66&gt;70,("3.00"),IF(Q66&gt;65,("2.66"),IF(Q66&gt;60,("2.33"),IF(Q66&gt;55,("2"),IF(Q66&gt;50,("1.66"),"1.33"))))))))</f>
        <v>1.33</v>
      </c>
      <c r="S66" s="1518" t="str">
        <f t="shared" ref="S66:S67" si="102">IF(Q66&gt;85,("A"),IF(Q66&gt;80,("A-"),IF(Q66&gt;75,("B+"),IF(Q66&gt;70,("B"),IF(Q66&gt;65,("B-"),IF(Q66&gt;60,("C+"),IF(Q66&gt;55,("C"),IF(Q66&gt;50,("C-"),"D+"))))))))</f>
        <v>D+</v>
      </c>
      <c r="T66" s="1518" t="str">
        <f t="shared" ref="T66:T67" si="103">IF(Q66&gt;80,("SB"),IF(Q66&gt;65,("B"),IF(Q66&gt;50,("C"),IF(Q66&gt;0,("K"),"0"))))</f>
        <v>0</v>
      </c>
      <c r="U66" s="1863"/>
      <c r="V66" s="1864"/>
      <c r="W66" s="1864"/>
      <c r="X66" s="1865"/>
      <c r="Y66" s="1865"/>
      <c r="Z66" s="1866"/>
      <c r="AA66" s="1867"/>
      <c r="AB66" s="1868"/>
    </row>
    <row r="67" spans="1:28" ht="24.95" customHeight="1" x14ac:dyDescent="0.25">
      <c r="A67" s="360"/>
      <c r="B67" s="719"/>
      <c r="C67" s="1673"/>
      <c r="D67" s="1862" t="s">
        <v>186</v>
      </c>
      <c r="E67" s="1493"/>
      <c r="F67" s="1493"/>
      <c r="G67" s="1493"/>
      <c r="H67" s="1493"/>
      <c r="I67" s="1493"/>
      <c r="J67" s="1493"/>
      <c r="K67" s="1493">
        <v>0</v>
      </c>
      <c r="L67" s="1493">
        <v>0</v>
      </c>
      <c r="M67" s="1493">
        <v>0</v>
      </c>
      <c r="N67" s="1077">
        <f t="shared" si="99"/>
        <v>0</v>
      </c>
      <c r="O67" s="2126">
        <f t="shared" si="97"/>
        <v>0</v>
      </c>
      <c r="P67" s="2127">
        <f t="shared" si="98"/>
        <v>0</v>
      </c>
      <c r="Q67" s="853">
        <f t="shared" si="100"/>
        <v>0</v>
      </c>
      <c r="R67" s="1518" t="str">
        <f t="shared" si="101"/>
        <v>1.33</v>
      </c>
      <c r="S67" s="1518" t="str">
        <f t="shared" si="102"/>
        <v>D+</v>
      </c>
      <c r="T67" s="1518" t="str">
        <f t="shared" si="103"/>
        <v>0</v>
      </c>
      <c r="U67" s="1869"/>
      <c r="V67" s="1870"/>
      <c r="W67" s="1870"/>
      <c r="X67" s="1871"/>
      <c r="Y67" s="1871"/>
      <c r="Z67" s="1872"/>
      <c r="AA67" s="1873"/>
      <c r="AB67" s="1874"/>
    </row>
    <row r="68" spans="1:28" ht="24.95" customHeight="1" x14ac:dyDescent="0.25">
      <c r="A68" s="727"/>
      <c r="B68" s="731">
        <v>15</v>
      </c>
      <c r="C68" s="1674" t="s">
        <v>167</v>
      </c>
      <c r="D68" s="1875"/>
      <c r="E68" s="2901"/>
      <c r="F68" s="2902"/>
      <c r="G68" s="2902"/>
      <c r="H68" s="2024"/>
      <c r="I68" s="2024"/>
      <c r="J68" s="2024"/>
      <c r="K68" s="2024"/>
      <c r="L68" s="2024"/>
      <c r="M68" s="2024"/>
      <c r="N68" s="2163"/>
      <c r="O68" s="2163"/>
      <c r="P68" s="2163"/>
      <c r="Q68" s="1520">
        <f>IFERROR(MAX(Q65:Q67),"  ")</f>
        <v>0</v>
      </c>
      <c r="R68" s="1876" t="str">
        <f>IF(Q68&gt;85,("4"),IF(Q68&gt;80,("3.66"),IF(Q68&gt;75,("3.33"),IF(Q68&gt;70,("3.00"),IF(Q68&gt;65,("2.66"),IF(Q68&gt;60,("2.33"),IF(Q68&gt;55,("2"),IF(Q68&gt;50,("1.66"),"1.33"))))))))</f>
        <v>1.33</v>
      </c>
      <c r="S68" s="1876" t="str">
        <f>IF(Q68&gt;85,("A"),IF(Q68&gt;80,("A-"),IF(Q68&gt;75,("B+"),IF(Q68&gt;70,("B"),IF(Q68&gt;65,("B-"),IF(Q68&gt;60,("C+"),IF(Q68&gt;55,("C"),IF(Q68&gt;50,("C-"),"D+"))))))))</f>
        <v>D+</v>
      </c>
      <c r="T68" s="1876"/>
      <c r="U68" s="1877"/>
      <c r="V68" s="1878"/>
      <c r="W68" s="1878"/>
      <c r="X68" s="1883"/>
      <c r="Y68" s="1883"/>
      <c r="Z68" s="1884"/>
      <c r="AA68" s="1880"/>
      <c r="AB68" s="1881"/>
    </row>
    <row r="69" spans="1:28" ht="24.95" customHeight="1" x14ac:dyDescent="0.25">
      <c r="A69" s="724">
        <v>16</v>
      </c>
      <c r="B69" s="725"/>
      <c r="C69" s="1671" t="str">
        <f>VLOOKUP(A69,data_siswa,4,FALSE)</f>
        <v>Nabilla Shiva Putri</v>
      </c>
      <c r="D69" s="1862" t="s">
        <v>16</v>
      </c>
      <c r="E69" s="1493">
        <v>0</v>
      </c>
      <c r="F69" s="1493">
        <v>0</v>
      </c>
      <c r="G69" s="1493">
        <v>0</v>
      </c>
      <c r="H69" s="1493"/>
      <c r="I69" s="1493"/>
      <c r="J69" s="1493"/>
      <c r="K69" s="1493"/>
      <c r="L69" s="1493"/>
      <c r="M69" s="1493"/>
      <c r="N69" s="1077">
        <f>MAX(E69,H69,K69)</f>
        <v>0</v>
      </c>
      <c r="O69" s="2126">
        <f t="shared" ref="O69:O71" si="104">MAX(F69,I69,L69)</f>
        <v>0</v>
      </c>
      <c r="P69" s="2127">
        <f t="shared" ref="P69:P71" si="105">MAX(G69,J69,M69)</f>
        <v>0</v>
      </c>
      <c r="Q69" s="853">
        <f>IFERROR(AVERAGE(N69:P69),"")</f>
        <v>0</v>
      </c>
      <c r="R69" s="1519" t="str">
        <f>IF(Q69&gt;85,("4"),IF(Q69&gt;80,("3.66"),IF(Q69&gt;75,("3.33"),IF(Q69&gt;70,("3.00"),IF(Q69&gt;65,("2.66"),IF(Q69&gt;60,("2.33"),IF(Q69&gt;55,("2"),IF(Q69&gt;50,("1.66"),"1.33"))))))))</f>
        <v>1.33</v>
      </c>
      <c r="S69" s="1519" t="str">
        <f>IF(Q69&gt;85,("A"),IF(Q69&gt;80,("A-"),IF(Q69&gt;75,("B+"),IF(Q69&gt;70,("B"),IF(Q69&gt;65,("B-"),IF(Q69&gt;60,("C+"),IF(Q69&gt;55,("C"),IF(Q69&gt;50,("C-"),"D+"))))))))</f>
        <v>D+</v>
      </c>
      <c r="T69" s="1519" t="str">
        <f>IF(Q69&gt;80,("SB"),IF(Q69&gt;65,("B"),IF(Q69&gt;50,("C"),IF(Q69&gt;0,("K"),"0"))))</f>
        <v>0</v>
      </c>
      <c r="U69" s="1796"/>
      <c r="V69" s="1796"/>
      <c r="W69" s="1796"/>
      <c r="X69" s="1859"/>
      <c r="Y69" s="1859"/>
      <c r="Z69" s="1859"/>
      <c r="AA69" s="1860">
        <f>MAX(Q69:Q71)</f>
        <v>0</v>
      </c>
      <c r="AB69" s="1861" t="str">
        <f>IF(AA69&gt;85,("A"),IF(AA69&gt;80,("A-"),IF(AA69&gt;75,("B+"),IF(AA69&gt;70,("B"),IF(AA69&gt;65,("B-"),IF(AA69&gt;60,("C+"),IF(AA69&gt;55,("C"),IF(AA69&gt;50,("C-"),"D+"))))))))</f>
        <v>D+</v>
      </c>
    </row>
    <row r="70" spans="1:28" ht="24.95" customHeight="1" x14ac:dyDescent="0.25">
      <c r="A70" s="360"/>
      <c r="B70" s="719"/>
      <c r="C70" s="1673"/>
      <c r="D70" s="1862" t="s">
        <v>189</v>
      </c>
      <c r="E70" s="1497"/>
      <c r="F70" s="1493"/>
      <c r="G70" s="1493"/>
      <c r="H70" s="1493">
        <v>0</v>
      </c>
      <c r="I70" s="1493">
        <v>0</v>
      </c>
      <c r="J70" s="1493">
        <v>0</v>
      </c>
      <c r="K70" s="1493"/>
      <c r="L70" s="1493"/>
      <c r="M70" s="1493"/>
      <c r="N70" s="1077">
        <f t="shared" ref="N70:N71" si="106">MAX(E70,H70,K70)</f>
        <v>0</v>
      </c>
      <c r="O70" s="2126">
        <f t="shared" si="104"/>
        <v>0</v>
      </c>
      <c r="P70" s="2127">
        <f t="shared" si="105"/>
        <v>0</v>
      </c>
      <c r="Q70" s="853">
        <f t="shared" ref="Q70:Q71" si="107">IFERROR(AVERAGE(N70:P70),"")</f>
        <v>0</v>
      </c>
      <c r="R70" s="1518" t="str">
        <f t="shared" ref="R70:R71" si="108">IF(Q70&gt;85,("4"),IF(Q70&gt;80,("3.66"),IF(Q70&gt;75,("3.33"),IF(Q70&gt;70,("3.00"),IF(Q70&gt;65,("2.66"),IF(Q70&gt;60,("2.33"),IF(Q70&gt;55,("2"),IF(Q70&gt;50,("1.66"),"1.33"))))))))</f>
        <v>1.33</v>
      </c>
      <c r="S70" s="1518" t="str">
        <f t="shared" ref="S70:S71" si="109">IF(Q70&gt;85,("A"),IF(Q70&gt;80,("A-"),IF(Q70&gt;75,("B+"),IF(Q70&gt;70,("B"),IF(Q70&gt;65,("B-"),IF(Q70&gt;60,("C+"),IF(Q70&gt;55,("C"),IF(Q70&gt;50,("C-"),"D+"))))))))</f>
        <v>D+</v>
      </c>
      <c r="T70" s="1518" t="str">
        <f t="shared" ref="T70:T71" si="110">IF(Q70&gt;80,("SB"),IF(Q70&gt;65,("B"),IF(Q70&gt;50,("C"),IF(Q70&gt;0,("K"),"0"))))</f>
        <v>0</v>
      </c>
      <c r="U70" s="1863"/>
      <c r="V70" s="1864"/>
      <c r="W70" s="1864"/>
      <c r="X70" s="1865"/>
      <c r="Y70" s="1865"/>
      <c r="Z70" s="1866"/>
      <c r="AA70" s="1867"/>
      <c r="AB70" s="1868"/>
    </row>
    <row r="71" spans="1:28" ht="24.95" customHeight="1" x14ac:dyDescent="0.25">
      <c r="A71" s="360"/>
      <c r="B71" s="719"/>
      <c r="C71" s="1673"/>
      <c r="D71" s="1862" t="s">
        <v>186</v>
      </c>
      <c r="E71" s="1493"/>
      <c r="F71" s="1493"/>
      <c r="G71" s="1493"/>
      <c r="H71" s="1493"/>
      <c r="I71" s="1493"/>
      <c r="J71" s="1493"/>
      <c r="K71" s="1493">
        <v>0</v>
      </c>
      <c r="L71" s="1493">
        <v>0</v>
      </c>
      <c r="M71" s="1493">
        <v>0</v>
      </c>
      <c r="N71" s="1077">
        <f t="shared" si="106"/>
        <v>0</v>
      </c>
      <c r="O71" s="2126">
        <f t="shared" si="104"/>
        <v>0</v>
      </c>
      <c r="P71" s="2127">
        <f t="shared" si="105"/>
        <v>0</v>
      </c>
      <c r="Q71" s="853">
        <f t="shared" si="107"/>
        <v>0</v>
      </c>
      <c r="R71" s="1518" t="str">
        <f t="shared" si="108"/>
        <v>1.33</v>
      </c>
      <c r="S71" s="1518" t="str">
        <f t="shared" si="109"/>
        <v>D+</v>
      </c>
      <c r="T71" s="1518" t="str">
        <f t="shared" si="110"/>
        <v>0</v>
      </c>
      <c r="U71" s="1869"/>
      <c r="V71" s="1870"/>
      <c r="W71" s="1870"/>
      <c r="X71" s="1871"/>
      <c r="Y71" s="1871"/>
      <c r="Z71" s="1872"/>
      <c r="AA71" s="1873"/>
      <c r="AB71" s="1874"/>
    </row>
    <row r="72" spans="1:28" ht="24.95" customHeight="1" x14ac:dyDescent="0.25">
      <c r="A72" s="727"/>
      <c r="B72" s="731">
        <v>16</v>
      </c>
      <c r="C72" s="1674" t="s">
        <v>167</v>
      </c>
      <c r="D72" s="1797"/>
      <c r="E72" s="2901"/>
      <c r="F72" s="2902"/>
      <c r="G72" s="2902"/>
      <c r="H72" s="2080"/>
      <c r="I72" s="2080"/>
      <c r="J72" s="2080"/>
      <c r="K72" s="2080"/>
      <c r="L72" s="2080"/>
      <c r="M72" s="2080"/>
      <c r="N72" s="2163"/>
      <c r="O72" s="2163"/>
      <c r="P72" s="2163"/>
      <c r="Q72" s="1520">
        <f>IFERROR(MAX(Q69:Q71),"  ")</f>
        <v>0</v>
      </c>
      <c r="R72" s="1876" t="str">
        <f>IF(Q72&gt;85,("4"),IF(Q72&gt;80,("3.66"),IF(Q72&gt;75,("3.33"),IF(Q72&gt;70,("3.00"),IF(Q72&gt;65,("2.66"),IF(Q72&gt;60,("2.33"),IF(Q72&gt;55,("2"),IF(Q72&gt;50,("1.66"),"1.33"))))))))</f>
        <v>1.33</v>
      </c>
      <c r="S72" s="1876" t="str">
        <f>IF(Q72&gt;85,("A"),IF(Q72&gt;80,("A-"),IF(Q72&gt;75,("B+"),IF(Q72&gt;70,("B"),IF(Q72&gt;65,("B-"),IF(Q72&gt;60,("C+"),IF(Q72&gt;55,("C"),IF(Q72&gt;50,("C-"),"D+"))))))))</f>
        <v>D+</v>
      </c>
      <c r="T72" s="1876"/>
      <c r="U72" s="1877"/>
      <c r="V72" s="1878"/>
      <c r="W72" s="1878"/>
      <c r="X72" s="1878"/>
      <c r="Y72" s="1878"/>
      <c r="Z72" s="1879"/>
      <c r="AA72" s="1880"/>
      <c r="AB72" s="1881"/>
    </row>
    <row r="73" spans="1:28" ht="24.95" customHeight="1" x14ac:dyDescent="0.25">
      <c r="A73" s="724">
        <v>17</v>
      </c>
      <c r="B73" s="725"/>
      <c r="C73" s="1671" t="str">
        <f>VLOOKUP(A73,data_siswa,4,FALSE)</f>
        <v>Naufal Falih F</v>
      </c>
      <c r="D73" s="1862" t="s">
        <v>16</v>
      </c>
      <c r="E73" s="1493">
        <v>0</v>
      </c>
      <c r="F73" s="1493">
        <v>0</v>
      </c>
      <c r="G73" s="1493">
        <v>0</v>
      </c>
      <c r="H73" s="1493"/>
      <c r="I73" s="1493"/>
      <c r="J73" s="1493"/>
      <c r="K73" s="1493"/>
      <c r="L73" s="1493"/>
      <c r="M73" s="1493"/>
      <c r="N73" s="1077">
        <f>MAX(E73,H73,K73)</f>
        <v>0</v>
      </c>
      <c r="O73" s="2126">
        <f t="shared" ref="O73:O75" si="111">MAX(F73,I73,L73)</f>
        <v>0</v>
      </c>
      <c r="P73" s="2127">
        <f t="shared" ref="P73:P75" si="112">MAX(G73,J73,M73)</f>
        <v>0</v>
      </c>
      <c r="Q73" s="853">
        <f>IFERROR(AVERAGE(N73:P73),"")</f>
        <v>0</v>
      </c>
      <c r="R73" s="1519" t="str">
        <f>IF(Q73&gt;85,("4"),IF(Q73&gt;80,("3.66"),IF(Q73&gt;75,("3.33"),IF(Q73&gt;70,("3.00"),IF(Q73&gt;65,("2.66"),IF(Q73&gt;60,("2.33"),IF(Q73&gt;55,("2"),IF(Q73&gt;50,("1.66"),"1.33"))))))))</f>
        <v>1.33</v>
      </c>
      <c r="S73" s="1519" t="str">
        <f>IF(Q73&gt;85,("A"),IF(Q73&gt;80,("A-"),IF(Q73&gt;75,("B+"),IF(Q73&gt;70,("B"),IF(Q73&gt;65,("B-"),IF(Q73&gt;60,("C+"),IF(Q73&gt;55,("C"),IF(Q73&gt;50,("C-"),"D+"))))))))</f>
        <v>D+</v>
      </c>
      <c r="T73" s="1519" t="str">
        <f>IF(Q73&gt;80,("SB"),IF(Q73&gt;65,("B"),IF(Q73&gt;50,("C"),IF(Q73&gt;0,("K"),"0"))))</f>
        <v>0</v>
      </c>
      <c r="U73" s="1796"/>
      <c r="V73" s="1796"/>
      <c r="W73" s="1796"/>
      <c r="X73" s="1859"/>
      <c r="Y73" s="1859"/>
      <c r="Z73" s="1859"/>
      <c r="AA73" s="1860">
        <f>MAX(Q73:Q75)</f>
        <v>0</v>
      </c>
      <c r="AB73" s="1861" t="str">
        <f>IF(AA73&gt;85,("A"),IF(AA73&gt;80,("A-"),IF(AA73&gt;75,("B+"),IF(AA73&gt;70,("B"),IF(AA73&gt;65,("B-"),IF(AA73&gt;60,("C+"),IF(AA73&gt;55,("C"),IF(AA73&gt;50,("C-"),"D+"))))))))</f>
        <v>D+</v>
      </c>
    </row>
    <row r="74" spans="1:28" ht="24.95" customHeight="1" x14ac:dyDescent="0.25">
      <c r="A74" s="360"/>
      <c r="B74" s="719"/>
      <c r="C74" s="1673"/>
      <c r="D74" s="1862" t="s">
        <v>189</v>
      </c>
      <c r="E74" s="1497"/>
      <c r="F74" s="1493"/>
      <c r="G74" s="1493"/>
      <c r="H74" s="1493">
        <v>0</v>
      </c>
      <c r="I74" s="1493">
        <v>0</v>
      </c>
      <c r="J74" s="1493">
        <v>0</v>
      </c>
      <c r="K74" s="1493"/>
      <c r="L74" s="1493"/>
      <c r="M74" s="1493"/>
      <c r="N74" s="1077">
        <f t="shared" ref="N74:N75" si="113">MAX(E74,H74,K74)</f>
        <v>0</v>
      </c>
      <c r="O74" s="2126">
        <f t="shared" si="111"/>
        <v>0</v>
      </c>
      <c r="P74" s="2127">
        <f t="shared" si="112"/>
        <v>0</v>
      </c>
      <c r="Q74" s="853">
        <f t="shared" ref="Q74:Q75" si="114">IFERROR(AVERAGE(N74:P74),"")</f>
        <v>0</v>
      </c>
      <c r="R74" s="1518" t="str">
        <f t="shared" ref="R74:R75" si="115">IF(Q74&gt;85,("4"),IF(Q74&gt;80,("3.66"),IF(Q74&gt;75,("3.33"),IF(Q74&gt;70,("3.00"),IF(Q74&gt;65,("2.66"),IF(Q74&gt;60,("2.33"),IF(Q74&gt;55,("2"),IF(Q74&gt;50,("1.66"),"1.33"))))))))</f>
        <v>1.33</v>
      </c>
      <c r="S74" s="1518" t="str">
        <f t="shared" ref="S74:S75" si="116">IF(Q74&gt;85,("A"),IF(Q74&gt;80,("A-"),IF(Q74&gt;75,("B+"),IF(Q74&gt;70,("B"),IF(Q74&gt;65,("B-"),IF(Q74&gt;60,("C+"),IF(Q74&gt;55,("C"),IF(Q74&gt;50,("C-"),"D+"))))))))</f>
        <v>D+</v>
      </c>
      <c r="T74" s="1518" t="str">
        <f t="shared" ref="T74:T75" si="117">IF(Q74&gt;80,("SB"),IF(Q74&gt;65,("B"),IF(Q74&gt;50,("C"),IF(Q74&gt;0,("K"),"0"))))</f>
        <v>0</v>
      </c>
      <c r="U74" s="1863"/>
      <c r="V74" s="1864"/>
      <c r="W74" s="1864"/>
      <c r="X74" s="1865"/>
      <c r="Y74" s="1865"/>
      <c r="Z74" s="1866"/>
      <c r="AA74" s="1867"/>
      <c r="AB74" s="1868"/>
    </row>
    <row r="75" spans="1:28" ht="24.95" customHeight="1" x14ac:dyDescent="0.25">
      <c r="A75" s="360"/>
      <c r="B75" s="719"/>
      <c r="C75" s="1673"/>
      <c r="D75" s="1862" t="s">
        <v>186</v>
      </c>
      <c r="E75" s="1493"/>
      <c r="F75" s="1493"/>
      <c r="G75" s="1493"/>
      <c r="H75" s="1493"/>
      <c r="I75" s="1493"/>
      <c r="J75" s="1493"/>
      <c r="K75" s="1493">
        <v>0</v>
      </c>
      <c r="L75" s="1493">
        <v>0</v>
      </c>
      <c r="M75" s="1493">
        <v>0</v>
      </c>
      <c r="N75" s="1077">
        <f t="shared" si="113"/>
        <v>0</v>
      </c>
      <c r="O75" s="2126">
        <f t="shared" si="111"/>
        <v>0</v>
      </c>
      <c r="P75" s="2127">
        <f t="shared" si="112"/>
        <v>0</v>
      </c>
      <c r="Q75" s="853">
        <f t="shared" si="114"/>
        <v>0</v>
      </c>
      <c r="R75" s="1518" t="str">
        <f t="shared" si="115"/>
        <v>1.33</v>
      </c>
      <c r="S75" s="1518" t="str">
        <f t="shared" si="116"/>
        <v>D+</v>
      </c>
      <c r="T75" s="1518" t="str">
        <f t="shared" si="117"/>
        <v>0</v>
      </c>
      <c r="U75" s="1869"/>
      <c r="V75" s="1870"/>
      <c r="W75" s="1870"/>
      <c r="X75" s="1871"/>
      <c r="Y75" s="1871"/>
      <c r="Z75" s="1872"/>
      <c r="AA75" s="1873"/>
      <c r="AB75" s="1874"/>
    </row>
    <row r="76" spans="1:28" ht="24.95" customHeight="1" x14ac:dyDescent="0.25">
      <c r="A76" s="727"/>
      <c r="B76" s="731">
        <v>17</v>
      </c>
      <c r="C76" s="1674" t="s">
        <v>167</v>
      </c>
      <c r="D76" s="1797"/>
      <c r="E76" s="2901"/>
      <c r="F76" s="2902"/>
      <c r="G76" s="2902"/>
      <c r="H76" s="2080"/>
      <c r="I76" s="2080"/>
      <c r="J76" s="2080"/>
      <c r="K76" s="2080"/>
      <c r="L76" s="2080"/>
      <c r="M76" s="2080"/>
      <c r="N76" s="2163"/>
      <c r="O76" s="2163"/>
      <c r="P76" s="2163"/>
      <c r="Q76" s="1520">
        <f>IFERROR(MAX(Q73:Q75),"  ")</f>
        <v>0</v>
      </c>
      <c r="R76" s="1876" t="str">
        <f>IF(Q76&gt;85,("4"),IF(Q76&gt;80,("3.66"),IF(Q76&gt;75,("3.33"),IF(Q76&gt;70,("3.00"),IF(Q76&gt;65,("2.66"),IF(Q76&gt;60,("2.33"),IF(Q76&gt;55,("2"),IF(Q76&gt;50,("1.66"),"1.33"))))))))</f>
        <v>1.33</v>
      </c>
      <c r="S76" s="1876" t="str">
        <f>IF(Q76&gt;85,("A"),IF(Q76&gt;80,("A-"),IF(Q76&gt;75,("B+"),IF(Q76&gt;70,("B"),IF(Q76&gt;65,("B-"),IF(Q76&gt;60,("C+"),IF(Q76&gt;55,("C"),IF(Q76&gt;50,("C-"),"D+"))))))))</f>
        <v>D+</v>
      </c>
      <c r="T76" s="1876"/>
      <c r="U76" s="1877"/>
      <c r="V76" s="1878"/>
      <c r="W76" s="1878"/>
      <c r="X76" s="1878"/>
      <c r="Y76" s="1878"/>
      <c r="Z76" s="1879"/>
      <c r="AA76" s="1880"/>
      <c r="AB76" s="1881"/>
    </row>
    <row r="77" spans="1:28" ht="24.95" customHeight="1" x14ac:dyDescent="0.25">
      <c r="A77" s="724">
        <v>18</v>
      </c>
      <c r="B77" s="725"/>
      <c r="C77" s="1671" t="str">
        <f>VLOOKUP(A77,data_siswa,4,FALSE)</f>
        <v>Nayla Annora Nobel W</v>
      </c>
      <c r="D77" s="1862" t="s">
        <v>16</v>
      </c>
      <c r="E77" s="1493">
        <v>0</v>
      </c>
      <c r="F77" s="1493">
        <v>0</v>
      </c>
      <c r="G77" s="1493">
        <v>0</v>
      </c>
      <c r="H77" s="1493"/>
      <c r="I77" s="1493"/>
      <c r="J77" s="1493"/>
      <c r="K77" s="1493"/>
      <c r="L77" s="1493"/>
      <c r="M77" s="1493"/>
      <c r="N77" s="1077">
        <f>MAX(E77,H77,K77)</f>
        <v>0</v>
      </c>
      <c r="O77" s="2126">
        <f t="shared" ref="O77:O79" si="118">MAX(F77,I77,L77)</f>
        <v>0</v>
      </c>
      <c r="P77" s="2127">
        <f t="shared" ref="P77:P79" si="119">MAX(G77,J77,M77)</f>
        <v>0</v>
      </c>
      <c r="Q77" s="853">
        <f>IFERROR(AVERAGE(N77:P77),"")</f>
        <v>0</v>
      </c>
      <c r="R77" s="1519" t="str">
        <f>IF(Q77&gt;85,("4"),IF(Q77&gt;80,("3.66"),IF(Q77&gt;75,("3.33"),IF(Q77&gt;70,("3.00"),IF(Q77&gt;65,("2.66"),IF(Q77&gt;60,("2.33"),IF(Q77&gt;55,("2"),IF(Q77&gt;50,("1.66"),"1.33"))))))))</f>
        <v>1.33</v>
      </c>
      <c r="S77" s="1519" t="str">
        <f>IF(Q77&gt;85,("A"),IF(Q77&gt;80,("A-"),IF(Q77&gt;75,("B+"),IF(Q77&gt;70,("B"),IF(Q77&gt;65,("B-"),IF(Q77&gt;60,("C+"),IF(Q77&gt;55,("C"),IF(Q77&gt;50,("C-"),"D+"))))))))</f>
        <v>D+</v>
      </c>
      <c r="T77" s="1519" t="str">
        <f>IF(Q77&gt;80,("SB"),IF(Q77&gt;65,("B"),IF(Q77&gt;50,("C"),IF(Q77&gt;0,("K"),"0"))))</f>
        <v>0</v>
      </c>
      <c r="U77" s="1796"/>
      <c r="V77" s="1796"/>
      <c r="W77" s="1796"/>
      <c r="X77" s="1859"/>
      <c r="Y77" s="1859"/>
      <c r="Z77" s="1859"/>
      <c r="AA77" s="1860">
        <f>MAX(Q77:Q79)</f>
        <v>0</v>
      </c>
      <c r="AB77" s="1861" t="str">
        <f>IF(AA77&gt;85,("A"),IF(AA77&gt;80,("A-"),IF(AA77&gt;75,("B+"),IF(AA77&gt;70,("B"),IF(AA77&gt;65,("B-"),IF(AA77&gt;60,("C+"),IF(AA77&gt;55,("C"),IF(AA77&gt;50,("C-"),"D+"))))))))</f>
        <v>D+</v>
      </c>
    </row>
    <row r="78" spans="1:28" ht="24.95" customHeight="1" x14ac:dyDescent="0.25">
      <c r="A78" s="360"/>
      <c r="B78" s="719"/>
      <c r="C78" s="1673"/>
      <c r="D78" s="1862" t="s">
        <v>189</v>
      </c>
      <c r="E78" s="1497"/>
      <c r="F78" s="1493"/>
      <c r="G78" s="1493"/>
      <c r="H78" s="1493">
        <v>0</v>
      </c>
      <c r="I78" s="1493">
        <v>0</v>
      </c>
      <c r="J78" s="1493">
        <v>0</v>
      </c>
      <c r="K78" s="1493"/>
      <c r="L78" s="1493"/>
      <c r="M78" s="1493"/>
      <c r="N78" s="1077">
        <f t="shared" ref="N78:N79" si="120">MAX(E78,H78,K78)</f>
        <v>0</v>
      </c>
      <c r="O78" s="2126">
        <f t="shared" si="118"/>
        <v>0</v>
      </c>
      <c r="P78" s="2127">
        <f t="shared" si="119"/>
        <v>0</v>
      </c>
      <c r="Q78" s="853">
        <f t="shared" ref="Q78:Q79" si="121">IFERROR(AVERAGE(N78:P78),"")</f>
        <v>0</v>
      </c>
      <c r="R78" s="1518" t="str">
        <f t="shared" ref="R78:R79" si="122">IF(Q78&gt;85,("4"),IF(Q78&gt;80,("3.66"),IF(Q78&gt;75,("3.33"),IF(Q78&gt;70,("3.00"),IF(Q78&gt;65,("2.66"),IF(Q78&gt;60,("2.33"),IF(Q78&gt;55,("2"),IF(Q78&gt;50,("1.66"),"1.33"))))))))</f>
        <v>1.33</v>
      </c>
      <c r="S78" s="1518" t="str">
        <f t="shared" ref="S78:S79" si="123">IF(Q78&gt;85,("A"),IF(Q78&gt;80,("A-"),IF(Q78&gt;75,("B+"),IF(Q78&gt;70,("B"),IF(Q78&gt;65,("B-"),IF(Q78&gt;60,("C+"),IF(Q78&gt;55,("C"),IF(Q78&gt;50,("C-"),"D+"))))))))</f>
        <v>D+</v>
      </c>
      <c r="T78" s="1518" t="str">
        <f t="shared" ref="T78:T79" si="124">IF(Q78&gt;80,("SB"),IF(Q78&gt;65,("B"),IF(Q78&gt;50,("C"),IF(Q78&gt;0,("K"),"0"))))</f>
        <v>0</v>
      </c>
      <c r="U78" s="1863"/>
      <c r="V78" s="1864"/>
      <c r="W78" s="1864"/>
      <c r="X78" s="1865"/>
      <c r="Y78" s="1865"/>
      <c r="Z78" s="1866"/>
      <c r="AA78" s="1867"/>
      <c r="AB78" s="1868"/>
    </row>
    <row r="79" spans="1:28" ht="24.95" customHeight="1" x14ac:dyDescent="0.25">
      <c r="A79" s="360"/>
      <c r="B79" s="719"/>
      <c r="C79" s="1673"/>
      <c r="D79" s="1862" t="s">
        <v>186</v>
      </c>
      <c r="E79" s="1493"/>
      <c r="F79" s="1493"/>
      <c r="G79" s="1493"/>
      <c r="H79" s="1493"/>
      <c r="I79" s="1493"/>
      <c r="J79" s="1493"/>
      <c r="K79" s="1493">
        <v>0</v>
      </c>
      <c r="L79" s="1493">
        <v>0</v>
      </c>
      <c r="M79" s="1493">
        <v>0</v>
      </c>
      <c r="N79" s="1077">
        <f t="shared" si="120"/>
        <v>0</v>
      </c>
      <c r="O79" s="2126">
        <f t="shared" si="118"/>
        <v>0</v>
      </c>
      <c r="P79" s="2127">
        <f t="shared" si="119"/>
        <v>0</v>
      </c>
      <c r="Q79" s="853">
        <f t="shared" si="121"/>
        <v>0</v>
      </c>
      <c r="R79" s="1518" t="str">
        <f t="shared" si="122"/>
        <v>1.33</v>
      </c>
      <c r="S79" s="1518" t="str">
        <f t="shared" si="123"/>
        <v>D+</v>
      </c>
      <c r="T79" s="1518" t="str">
        <f t="shared" si="124"/>
        <v>0</v>
      </c>
      <c r="U79" s="1869"/>
      <c r="V79" s="1870"/>
      <c r="W79" s="1870"/>
      <c r="X79" s="1871"/>
      <c r="Y79" s="1871"/>
      <c r="Z79" s="1872"/>
      <c r="AA79" s="1873"/>
      <c r="AB79" s="1874"/>
    </row>
    <row r="80" spans="1:28" ht="24.95" customHeight="1" x14ac:dyDescent="0.25">
      <c r="A80" s="727"/>
      <c r="B80" s="731">
        <v>18</v>
      </c>
      <c r="C80" s="1674" t="s">
        <v>167</v>
      </c>
      <c r="D80" s="1797"/>
      <c r="E80" s="2901"/>
      <c r="F80" s="2902"/>
      <c r="G80" s="2902"/>
      <c r="H80" s="2080"/>
      <c r="I80" s="2080"/>
      <c r="J80" s="2080"/>
      <c r="K80" s="2080"/>
      <c r="L80" s="2080"/>
      <c r="M80" s="2080"/>
      <c r="N80" s="2163"/>
      <c r="O80" s="2163"/>
      <c r="P80" s="2163"/>
      <c r="Q80" s="1520">
        <f>IFERROR(MAX(Q77:Q79),"  ")</f>
        <v>0</v>
      </c>
      <c r="R80" s="1876" t="str">
        <f>IF(Q80&gt;85,("4"),IF(Q80&gt;80,("3.66"),IF(Q80&gt;75,("3.33"),IF(Q80&gt;70,("3.00"),IF(Q80&gt;65,("2.66"),IF(Q80&gt;60,("2.33"),IF(Q80&gt;55,("2"),IF(Q80&gt;50,("1.66"),"1.33"))))))))</f>
        <v>1.33</v>
      </c>
      <c r="S80" s="1876" t="str">
        <f>IF(Q80&gt;85,("A"),IF(Q80&gt;80,("A-"),IF(Q80&gt;75,("B+"),IF(Q80&gt;70,("B"),IF(Q80&gt;65,("B-"),IF(Q80&gt;60,("C+"),IF(Q80&gt;55,("C"),IF(Q80&gt;50,("C-"),"D+"))))))))</f>
        <v>D+</v>
      </c>
      <c r="T80" s="1876"/>
      <c r="U80" s="1877"/>
      <c r="V80" s="1878"/>
      <c r="W80" s="1878"/>
      <c r="X80" s="1878"/>
      <c r="Y80" s="1878"/>
      <c r="Z80" s="1879"/>
      <c r="AA80" s="1880"/>
      <c r="AB80" s="1881"/>
    </row>
    <row r="81" spans="1:28" ht="24.95" customHeight="1" x14ac:dyDescent="0.25">
      <c r="A81" s="724">
        <v>19</v>
      </c>
      <c r="B81" s="725"/>
      <c r="C81" s="1671" t="str">
        <f>VLOOKUP(A81,data_siswa,4,FALSE)</f>
        <v>Raihan Danang P</v>
      </c>
      <c r="D81" s="1862" t="s">
        <v>16</v>
      </c>
      <c r="E81" s="1493">
        <v>0</v>
      </c>
      <c r="F81" s="1493">
        <v>0</v>
      </c>
      <c r="G81" s="1493">
        <v>0</v>
      </c>
      <c r="H81" s="1493"/>
      <c r="I81" s="1493"/>
      <c r="J81" s="1493"/>
      <c r="K81" s="1493"/>
      <c r="L81" s="1493"/>
      <c r="M81" s="1493"/>
      <c r="N81" s="1077">
        <f>MAX(E81,H81,K81)</f>
        <v>0</v>
      </c>
      <c r="O81" s="2126">
        <f t="shared" ref="O81:O83" si="125">MAX(F81,I81,L81)</f>
        <v>0</v>
      </c>
      <c r="P81" s="2127">
        <f t="shared" ref="P81:P83" si="126">MAX(G81,J81,M81)</f>
        <v>0</v>
      </c>
      <c r="Q81" s="853">
        <f>IFERROR(AVERAGE(N81:P81),"")</f>
        <v>0</v>
      </c>
      <c r="R81" s="1519" t="str">
        <f>IF(Q81&gt;85,("4"),IF(Q81&gt;80,("3.66"),IF(Q81&gt;75,("3.33"),IF(Q81&gt;70,("3.00"),IF(Q81&gt;65,("2.66"),IF(Q81&gt;60,("2.33"),IF(Q81&gt;55,("2"),IF(Q81&gt;50,("1.66"),"1.33"))))))))</f>
        <v>1.33</v>
      </c>
      <c r="S81" s="1519" t="str">
        <f>IF(Q81&gt;85,("A"),IF(Q81&gt;80,("A-"),IF(Q81&gt;75,("B+"),IF(Q81&gt;70,("B"),IF(Q81&gt;65,("B-"),IF(Q81&gt;60,("C+"),IF(Q81&gt;55,("C"),IF(Q81&gt;50,("C-"),"D+"))))))))</f>
        <v>D+</v>
      </c>
      <c r="T81" s="1519" t="str">
        <f>IF(Q81&gt;80,("SB"),IF(Q81&gt;65,("B"),IF(Q81&gt;50,("C"),IF(Q81&gt;0,("K"),"0"))))</f>
        <v>0</v>
      </c>
      <c r="U81" s="1796"/>
      <c r="V81" s="1796"/>
      <c r="W81" s="1796"/>
      <c r="X81" s="1859"/>
      <c r="Y81" s="1859"/>
      <c r="Z81" s="1859"/>
      <c r="AA81" s="1860">
        <f>MAX(Q81:Q83)</f>
        <v>0</v>
      </c>
      <c r="AB81" s="1861" t="str">
        <f>IF(AA81&gt;85,("A"),IF(AA81&gt;80,("A-"),IF(AA81&gt;75,("B+"),IF(AA81&gt;70,("B"),IF(AA81&gt;65,("B-"),IF(AA81&gt;60,("C+"),IF(AA81&gt;55,("C"),IF(AA81&gt;50,("C-"),"D+"))))))))</f>
        <v>D+</v>
      </c>
    </row>
    <row r="82" spans="1:28" ht="24.95" customHeight="1" x14ac:dyDescent="0.25">
      <c r="A82" s="360"/>
      <c r="B82" s="719"/>
      <c r="C82" s="1673"/>
      <c r="D82" s="1862" t="s">
        <v>189</v>
      </c>
      <c r="E82" s="1497"/>
      <c r="F82" s="1493"/>
      <c r="G82" s="1493"/>
      <c r="H82" s="1493">
        <v>0</v>
      </c>
      <c r="I82" s="1493">
        <v>0</v>
      </c>
      <c r="J82" s="1493">
        <v>0</v>
      </c>
      <c r="K82" s="1493"/>
      <c r="L82" s="1493"/>
      <c r="M82" s="1493"/>
      <c r="N82" s="1077">
        <f t="shared" ref="N82:N83" si="127">MAX(E82,H82,K82)</f>
        <v>0</v>
      </c>
      <c r="O82" s="2126">
        <f t="shared" si="125"/>
        <v>0</v>
      </c>
      <c r="P82" s="2127">
        <f t="shared" si="126"/>
        <v>0</v>
      </c>
      <c r="Q82" s="853">
        <f t="shared" ref="Q82:Q83" si="128">IFERROR(AVERAGE(N82:P82),"")</f>
        <v>0</v>
      </c>
      <c r="R82" s="1518" t="str">
        <f t="shared" ref="R82:R83" si="129">IF(Q82&gt;85,("4"),IF(Q82&gt;80,("3.66"),IF(Q82&gt;75,("3.33"),IF(Q82&gt;70,("3.00"),IF(Q82&gt;65,("2.66"),IF(Q82&gt;60,("2.33"),IF(Q82&gt;55,("2"),IF(Q82&gt;50,("1.66"),"1.33"))))))))</f>
        <v>1.33</v>
      </c>
      <c r="S82" s="1518" t="str">
        <f t="shared" ref="S82:S83" si="130">IF(Q82&gt;85,("A"),IF(Q82&gt;80,("A-"),IF(Q82&gt;75,("B+"),IF(Q82&gt;70,("B"),IF(Q82&gt;65,("B-"),IF(Q82&gt;60,("C+"),IF(Q82&gt;55,("C"),IF(Q82&gt;50,("C-"),"D+"))))))))</f>
        <v>D+</v>
      </c>
      <c r="T82" s="1518" t="str">
        <f t="shared" ref="T82:T83" si="131">IF(Q82&gt;80,("SB"),IF(Q82&gt;65,("B"),IF(Q82&gt;50,("C"),IF(Q82&gt;0,("K"),"0"))))</f>
        <v>0</v>
      </c>
      <c r="U82" s="1863"/>
      <c r="V82" s="1864"/>
      <c r="W82" s="1864"/>
      <c r="X82" s="1865"/>
      <c r="Y82" s="1865"/>
      <c r="Z82" s="1866"/>
      <c r="AA82" s="1867"/>
      <c r="AB82" s="1868"/>
    </row>
    <row r="83" spans="1:28" ht="24.95" customHeight="1" x14ac:dyDescent="0.25">
      <c r="A83" s="360"/>
      <c r="B83" s="719"/>
      <c r="C83" s="1673"/>
      <c r="D83" s="1862" t="s">
        <v>186</v>
      </c>
      <c r="E83" s="1493"/>
      <c r="F83" s="1493"/>
      <c r="G83" s="1493"/>
      <c r="H83" s="1493"/>
      <c r="I83" s="1493"/>
      <c r="J83" s="1493"/>
      <c r="K83" s="1493">
        <v>0</v>
      </c>
      <c r="L83" s="1493">
        <v>0</v>
      </c>
      <c r="M83" s="1493">
        <v>0</v>
      </c>
      <c r="N83" s="1077">
        <f t="shared" si="127"/>
        <v>0</v>
      </c>
      <c r="O83" s="2126">
        <f t="shared" si="125"/>
        <v>0</v>
      </c>
      <c r="P83" s="2127">
        <f t="shared" si="126"/>
        <v>0</v>
      </c>
      <c r="Q83" s="853">
        <f t="shared" si="128"/>
        <v>0</v>
      </c>
      <c r="R83" s="1518" t="str">
        <f t="shared" si="129"/>
        <v>1.33</v>
      </c>
      <c r="S83" s="1518" t="str">
        <f t="shared" si="130"/>
        <v>D+</v>
      </c>
      <c r="T83" s="1518" t="str">
        <f t="shared" si="131"/>
        <v>0</v>
      </c>
      <c r="U83" s="1869"/>
      <c r="V83" s="1870"/>
      <c r="W83" s="1870"/>
      <c r="X83" s="1871"/>
      <c r="Y83" s="1871"/>
      <c r="Z83" s="1872"/>
      <c r="AA83" s="1873"/>
      <c r="AB83" s="1874"/>
    </row>
    <row r="84" spans="1:28" ht="24.95" customHeight="1" x14ac:dyDescent="0.25">
      <c r="A84" s="727"/>
      <c r="B84" s="731">
        <v>19</v>
      </c>
      <c r="C84" s="1674" t="s">
        <v>167</v>
      </c>
      <c r="D84" s="1797"/>
      <c r="E84" s="2901"/>
      <c r="F84" s="2902"/>
      <c r="G84" s="2902"/>
      <c r="H84" s="2080"/>
      <c r="I84" s="2080"/>
      <c r="J84" s="2080"/>
      <c r="K84" s="2080"/>
      <c r="L84" s="2080"/>
      <c r="M84" s="2080"/>
      <c r="N84" s="2163"/>
      <c r="O84" s="2163"/>
      <c r="P84" s="2163"/>
      <c r="Q84" s="1520">
        <f>IFERROR(MAX(Q81:Q83),"  ")</f>
        <v>0</v>
      </c>
      <c r="R84" s="1876" t="str">
        <f>IF(Q84&gt;85,("4"),IF(Q84&gt;80,("3.66"),IF(Q84&gt;75,("3.33"),IF(Q84&gt;70,("3.00"),IF(Q84&gt;65,("2.66"),IF(Q84&gt;60,("2.33"),IF(Q84&gt;55,("2"),IF(Q84&gt;50,("1.66"),"1.33"))))))))</f>
        <v>1.33</v>
      </c>
      <c r="S84" s="1876" t="str">
        <f>IF(Q84&gt;85,("A"),IF(Q84&gt;80,("A-"),IF(Q84&gt;75,("B+"),IF(Q84&gt;70,("B"),IF(Q84&gt;65,("B-"),IF(Q84&gt;60,("C+"),IF(Q84&gt;55,("C"),IF(Q84&gt;50,("C-"),"D+"))))))))</f>
        <v>D+</v>
      </c>
      <c r="T84" s="1876"/>
      <c r="U84" s="1877"/>
      <c r="V84" s="1878"/>
      <c r="W84" s="1878"/>
      <c r="X84" s="1878"/>
      <c r="Y84" s="1878"/>
      <c r="Z84" s="1879"/>
      <c r="AA84" s="1880"/>
      <c r="AB84" s="1881"/>
    </row>
    <row r="85" spans="1:28" ht="24.95" customHeight="1" x14ac:dyDescent="0.25">
      <c r="A85" s="724">
        <v>20</v>
      </c>
      <c r="B85" s="725"/>
      <c r="C85" s="1671" t="str">
        <f>VLOOKUP(A85,data_siswa,4,FALSE)</f>
        <v>Roby Ardiyansyah</v>
      </c>
      <c r="D85" s="1862" t="s">
        <v>16</v>
      </c>
      <c r="E85" s="1493">
        <v>0</v>
      </c>
      <c r="F85" s="1493">
        <v>0</v>
      </c>
      <c r="G85" s="1493">
        <v>0</v>
      </c>
      <c r="H85" s="1493"/>
      <c r="I85" s="1493"/>
      <c r="J85" s="1493"/>
      <c r="K85" s="1493"/>
      <c r="L85" s="1493"/>
      <c r="M85" s="1493"/>
      <c r="N85" s="1077">
        <f>MAX(E85,H85,K85)</f>
        <v>0</v>
      </c>
      <c r="O85" s="2126">
        <f t="shared" ref="O85:O87" si="132">MAX(F85,I85,L85)</f>
        <v>0</v>
      </c>
      <c r="P85" s="2127">
        <f t="shared" ref="P85:P87" si="133">MAX(G85,J85,M85)</f>
        <v>0</v>
      </c>
      <c r="Q85" s="853">
        <f>IFERROR(AVERAGE(N85:P85),"")</f>
        <v>0</v>
      </c>
      <c r="R85" s="1519" t="str">
        <f>IF(Q85&gt;85,("4"),IF(Q85&gt;80,("3.66"),IF(Q85&gt;75,("3.33"),IF(Q85&gt;70,("3.00"),IF(Q85&gt;65,("2.66"),IF(Q85&gt;60,("2.33"),IF(Q85&gt;55,("2"),IF(Q85&gt;50,("1.66"),"1.33"))))))))</f>
        <v>1.33</v>
      </c>
      <c r="S85" s="1519" t="str">
        <f>IF(Q85&gt;85,("A"),IF(Q85&gt;80,("A-"),IF(Q85&gt;75,("B+"),IF(Q85&gt;70,("B"),IF(Q85&gt;65,("B-"),IF(Q85&gt;60,("C+"),IF(Q85&gt;55,("C"),IF(Q85&gt;50,("C-"),"D+"))))))))</f>
        <v>D+</v>
      </c>
      <c r="T85" s="1519" t="str">
        <f>IF(Q85&gt;80,("SB"),IF(Q85&gt;65,("B"),IF(Q85&gt;50,("C"),IF(Q85&gt;0,("K"),"0"))))</f>
        <v>0</v>
      </c>
      <c r="U85" s="1796"/>
      <c r="V85" s="1796"/>
      <c r="W85" s="1796"/>
      <c r="X85" s="1859"/>
      <c r="Y85" s="1859"/>
      <c r="Z85" s="1859"/>
      <c r="AA85" s="1860">
        <f>MAX(Q85:Q87)</f>
        <v>0</v>
      </c>
      <c r="AB85" s="1861" t="str">
        <f>IF(AA85&gt;85,("A"),IF(AA85&gt;80,("A-"),IF(AA85&gt;75,("B+"),IF(AA85&gt;70,("B"),IF(AA85&gt;65,("B-"),IF(AA85&gt;60,("C+"),IF(AA85&gt;55,("C"),IF(AA85&gt;50,("C-"),"D+"))))))))</f>
        <v>D+</v>
      </c>
    </row>
    <row r="86" spans="1:28" ht="24.95" customHeight="1" x14ac:dyDescent="0.25">
      <c r="A86" s="360"/>
      <c r="B86" s="719"/>
      <c r="C86" s="1673"/>
      <c r="D86" s="1862" t="s">
        <v>189</v>
      </c>
      <c r="E86" s="1497"/>
      <c r="F86" s="1493"/>
      <c r="G86" s="1493"/>
      <c r="H86" s="1493">
        <v>0</v>
      </c>
      <c r="I86" s="1493">
        <v>0</v>
      </c>
      <c r="J86" s="1493">
        <v>0</v>
      </c>
      <c r="K86" s="1493"/>
      <c r="L86" s="1493"/>
      <c r="M86" s="1493"/>
      <c r="N86" s="1077">
        <f t="shared" ref="N86:N87" si="134">MAX(E86,H86,K86)</f>
        <v>0</v>
      </c>
      <c r="O86" s="2126">
        <f t="shared" si="132"/>
        <v>0</v>
      </c>
      <c r="P86" s="2127">
        <f t="shared" si="133"/>
        <v>0</v>
      </c>
      <c r="Q86" s="853">
        <f t="shared" ref="Q86:Q87" si="135">IFERROR(AVERAGE(N86:P86),"")</f>
        <v>0</v>
      </c>
      <c r="R86" s="1518" t="str">
        <f t="shared" ref="R86:R87" si="136">IF(Q86&gt;85,("4"),IF(Q86&gt;80,("3.66"),IF(Q86&gt;75,("3.33"),IF(Q86&gt;70,("3.00"),IF(Q86&gt;65,("2.66"),IF(Q86&gt;60,("2.33"),IF(Q86&gt;55,("2"),IF(Q86&gt;50,("1.66"),"1.33"))))))))</f>
        <v>1.33</v>
      </c>
      <c r="S86" s="1518" t="str">
        <f t="shared" ref="S86:S87" si="137">IF(Q86&gt;85,("A"),IF(Q86&gt;80,("A-"),IF(Q86&gt;75,("B+"),IF(Q86&gt;70,("B"),IF(Q86&gt;65,("B-"),IF(Q86&gt;60,("C+"),IF(Q86&gt;55,("C"),IF(Q86&gt;50,("C-"),"D+"))))))))</f>
        <v>D+</v>
      </c>
      <c r="T86" s="1518" t="str">
        <f t="shared" ref="T86:T87" si="138">IF(Q86&gt;80,("SB"),IF(Q86&gt;65,("B"),IF(Q86&gt;50,("C"),IF(Q86&gt;0,("K"),"0"))))</f>
        <v>0</v>
      </c>
      <c r="U86" s="1863"/>
      <c r="V86" s="1864"/>
      <c r="W86" s="1864"/>
      <c r="X86" s="1865"/>
      <c r="Y86" s="1865"/>
      <c r="Z86" s="1866"/>
      <c r="AA86" s="1867"/>
      <c r="AB86" s="1868"/>
    </row>
    <row r="87" spans="1:28" ht="24.95" customHeight="1" x14ac:dyDescent="0.25">
      <c r="A87" s="360"/>
      <c r="B87" s="719"/>
      <c r="C87" s="1673"/>
      <c r="D87" s="1862" t="s">
        <v>186</v>
      </c>
      <c r="E87" s="1493"/>
      <c r="F87" s="1493"/>
      <c r="G87" s="1493"/>
      <c r="H87" s="1493"/>
      <c r="I87" s="1493"/>
      <c r="J87" s="1493"/>
      <c r="K87" s="1493">
        <v>0</v>
      </c>
      <c r="L87" s="1493">
        <v>0</v>
      </c>
      <c r="M87" s="1493">
        <v>0</v>
      </c>
      <c r="N87" s="1077">
        <f t="shared" si="134"/>
        <v>0</v>
      </c>
      <c r="O87" s="2126">
        <f t="shared" si="132"/>
        <v>0</v>
      </c>
      <c r="P87" s="2127">
        <f t="shared" si="133"/>
        <v>0</v>
      </c>
      <c r="Q87" s="853">
        <f t="shared" si="135"/>
        <v>0</v>
      </c>
      <c r="R87" s="1518" t="str">
        <f t="shared" si="136"/>
        <v>1.33</v>
      </c>
      <c r="S87" s="1518" t="str">
        <f t="shared" si="137"/>
        <v>D+</v>
      </c>
      <c r="T87" s="1518" t="str">
        <f t="shared" si="138"/>
        <v>0</v>
      </c>
      <c r="U87" s="1869"/>
      <c r="V87" s="1870"/>
      <c r="W87" s="1870"/>
      <c r="X87" s="1871"/>
      <c r="Y87" s="1871"/>
      <c r="Z87" s="1872"/>
      <c r="AA87" s="1873"/>
      <c r="AB87" s="1874"/>
    </row>
    <row r="88" spans="1:28" ht="24.95" customHeight="1" x14ac:dyDescent="0.25">
      <c r="A88" s="727"/>
      <c r="B88" s="731">
        <v>20</v>
      </c>
      <c r="C88" s="1674" t="s">
        <v>167</v>
      </c>
      <c r="D88" s="1797"/>
      <c r="E88" s="2901"/>
      <c r="F88" s="2902"/>
      <c r="G88" s="2902"/>
      <c r="H88" s="2024"/>
      <c r="I88" s="2024"/>
      <c r="J88" s="2024"/>
      <c r="K88" s="2024"/>
      <c r="L88" s="2024"/>
      <c r="M88" s="2024"/>
      <c r="N88" s="2163"/>
      <c r="O88" s="2163"/>
      <c r="P88" s="2163"/>
      <c r="Q88" s="1520">
        <f>IFERROR(MAX(Q85:Q87),"  ")</f>
        <v>0</v>
      </c>
      <c r="R88" s="1876" t="str">
        <f>IF(Q88&gt;85,("4"),IF(Q88&gt;80,("3.66"),IF(Q88&gt;75,("3.33"),IF(Q88&gt;70,("3.00"),IF(Q88&gt;65,("2.66"),IF(Q88&gt;60,("2.33"),IF(Q88&gt;55,("2"),IF(Q88&gt;50,("1.66"),"1.33"))))))))</f>
        <v>1.33</v>
      </c>
      <c r="S88" s="1876" t="str">
        <f>IF(Q88&gt;85,("A"),IF(Q88&gt;80,("A-"),IF(Q88&gt;75,("B+"),IF(Q88&gt;70,("B"),IF(Q88&gt;65,("B-"),IF(Q88&gt;60,("C+"),IF(Q88&gt;55,("C"),IF(Q88&gt;50,("C-"),"D+"))))))))</f>
        <v>D+</v>
      </c>
      <c r="T88" s="1876"/>
      <c r="U88" s="1877"/>
      <c r="V88" s="1878"/>
      <c r="W88" s="1878"/>
      <c r="X88" s="1878"/>
      <c r="Y88" s="1878"/>
      <c r="Z88" s="1879"/>
      <c r="AA88" s="1880"/>
      <c r="AB88" s="1881"/>
    </row>
    <row r="89" spans="1:28" ht="24.95" customHeight="1" x14ac:dyDescent="0.25">
      <c r="A89" s="724">
        <v>21</v>
      </c>
      <c r="B89" s="725"/>
      <c r="C89" s="1671" t="str">
        <f>VLOOKUP(A89,data_siswa,4,FALSE)</f>
        <v>Rojalingga Prana A</v>
      </c>
      <c r="D89" s="1862" t="s">
        <v>16</v>
      </c>
      <c r="E89" s="1493">
        <v>0</v>
      </c>
      <c r="F89" s="1493">
        <v>0</v>
      </c>
      <c r="G89" s="1493">
        <v>0</v>
      </c>
      <c r="H89" s="1493"/>
      <c r="I89" s="1493"/>
      <c r="J89" s="1493"/>
      <c r="K89" s="1493"/>
      <c r="L89" s="1493"/>
      <c r="M89" s="1493"/>
      <c r="N89" s="1077">
        <f>MAX(E89,H89,K89)</f>
        <v>0</v>
      </c>
      <c r="O89" s="2126">
        <f t="shared" ref="O89:O91" si="139">MAX(F89,I89,L89)</f>
        <v>0</v>
      </c>
      <c r="P89" s="2127">
        <f t="shared" ref="P89:P91" si="140">MAX(G89,J89,M89)</f>
        <v>0</v>
      </c>
      <c r="Q89" s="853">
        <f>IFERROR(AVERAGE(N89:P89),"")</f>
        <v>0</v>
      </c>
      <c r="R89" s="1519" t="str">
        <f>IF(Q89&gt;85,("4"),IF(Q89&gt;80,("3.66"),IF(Q89&gt;75,("3.33"),IF(Q89&gt;70,("3.00"),IF(Q89&gt;65,("2.66"),IF(Q89&gt;60,("2.33"),IF(Q89&gt;55,("2"),IF(Q89&gt;50,("1.66"),"1.33"))))))))</f>
        <v>1.33</v>
      </c>
      <c r="S89" s="1519" t="str">
        <f>IF(Q89&gt;85,("A"),IF(Q89&gt;80,("A-"),IF(Q89&gt;75,("B+"),IF(Q89&gt;70,("B"),IF(Q89&gt;65,("B-"),IF(Q89&gt;60,("C+"),IF(Q89&gt;55,("C"),IF(Q89&gt;50,("C-"),"D+"))))))))</f>
        <v>D+</v>
      </c>
      <c r="T89" s="1519" t="str">
        <f>IF(Q89&gt;80,("SB"),IF(Q89&gt;65,("B"),IF(Q89&gt;50,("C"),IF(Q89&gt;0,("K"),"0"))))</f>
        <v>0</v>
      </c>
      <c r="U89" s="1796"/>
      <c r="V89" s="1796"/>
      <c r="W89" s="1796"/>
      <c r="X89" s="1859"/>
      <c r="Y89" s="1859"/>
      <c r="Z89" s="1859"/>
      <c r="AA89" s="1860">
        <f>MAX(Q89:Q91)</f>
        <v>0</v>
      </c>
      <c r="AB89" s="1861" t="str">
        <f>IF(AA89&gt;85,("A"),IF(AA89&gt;80,("A-"),IF(AA89&gt;75,("B+"),IF(AA89&gt;70,("B"),IF(AA89&gt;65,("B-"),IF(AA89&gt;60,("C+"),IF(AA89&gt;55,("C"),IF(AA89&gt;50,("C-"),"D+"))))))))</f>
        <v>D+</v>
      </c>
    </row>
    <row r="90" spans="1:28" ht="24.95" customHeight="1" x14ac:dyDescent="0.25">
      <c r="A90" s="360"/>
      <c r="B90" s="719"/>
      <c r="C90" s="1673"/>
      <c r="D90" s="1862" t="s">
        <v>189</v>
      </c>
      <c r="E90" s="1497"/>
      <c r="F90" s="1493"/>
      <c r="G90" s="1493"/>
      <c r="H90" s="1493">
        <v>0</v>
      </c>
      <c r="I90" s="1493">
        <v>0</v>
      </c>
      <c r="J90" s="1493">
        <v>0</v>
      </c>
      <c r="K90" s="1493"/>
      <c r="L90" s="1493"/>
      <c r="M90" s="1493"/>
      <c r="N90" s="1077">
        <f t="shared" ref="N90:N91" si="141">MAX(E90,H90,K90)</f>
        <v>0</v>
      </c>
      <c r="O90" s="2126">
        <f t="shared" si="139"/>
        <v>0</v>
      </c>
      <c r="P90" s="2127">
        <f t="shared" si="140"/>
        <v>0</v>
      </c>
      <c r="Q90" s="853">
        <f t="shared" ref="Q90:Q91" si="142">IFERROR(AVERAGE(N90:P90),"")</f>
        <v>0</v>
      </c>
      <c r="R90" s="1518" t="str">
        <f t="shared" ref="R90:R91" si="143">IF(Q90&gt;85,("4"),IF(Q90&gt;80,("3.66"),IF(Q90&gt;75,("3.33"),IF(Q90&gt;70,("3.00"),IF(Q90&gt;65,("2.66"),IF(Q90&gt;60,("2.33"),IF(Q90&gt;55,("2"),IF(Q90&gt;50,("1.66"),"1.33"))))))))</f>
        <v>1.33</v>
      </c>
      <c r="S90" s="1518" t="str">
        <f t="shared" ref="S90:S91" si="144">IF(Q90&gt;85,("A"),IF(Q90&gt;80,("A-"),IF(Q90&gt;75,("B+"),IF(Q90&gt;70,("B"),IF(Q90&gt;65,("B-"),IF(Q90&gt;60,("C+"),IF(Q90&gt;55,("C"),IF(Q90&gt;50,("C-"),"D+"))))))))</f>
        <v>D+</v>
      </c>
      <c r="T90" s="1518" t="str">
        <f t="shared" ref="T90:T91" si="145">IF(Q90&gt;80,("SB"),IF(Q90&gt;65,("B"),IF(Q90&gt;50,("C"),IF(Q90&gt;0,("K"),"0"))))</f>
        <v>0</v>
      </c>
      <c r="U90" s="1863"/>
      <c r="V90" s="1864"/>
      <c r="W90" s="1864"/>
      <c r="X90" s="1865"/>
      <c r="Y90" s="1865"/>
      <c r="Z90" s="1866"/>
      <c r="AA90" s="1867"/>
      <c r="AB90" s="1868"/>
    </row>
    <row r="91" spans="1:28" ht="24.95" customHeight="1" x14ac:dyDescent="0.25">
      <c r="A91" s="360"/>
      <c r="B91" s="719"/>
      <c r="C91" s="1673"/>
      <c r="D91" s="1862" t="s">
        <v>186</v>
      </c>
      <c r="E91" s="1493"/>
      <c r="F91" s="1493"/>
      <c r="G91" s="1493"/>
      <c r="H91" s="1493"/>
      <c r="I91" s="1493"/>
      <c r="J91" s="1493"/>
      <c r="K91" s="1493">
        <v>0</v>
      </c>
      <c r="L91" s="1493">
        <v>0</v>
      </c>
      <c r="M91" s="1493">
        <v>0</v>
      </c>
      <c r="N91" s="1077">
        <f t="shared" si="141"/>
        <v>0</v>
      </c>
      <c r="O91" s="2126">
        <f t="shared" si="139"/>
        <v>0</v>
      </c>
      <c r="P91" s="2127">
        <f t="shared" si="140"/>
        <v>0</v>
      </c>
      <c r="Q91" s="853">
        <f t="shared" si="142"/>
        <v>0</v>
      </c>
      <c r="R91" s="1518" t="str">
        <f t="shared" si="143"/>
        <v>1.33</v>
      </c>
      <c r="S91" s="1518" t="str">
        <f t="shared" si="144"/>
        <v>D+</v>
      </c>
      <c r="T91" s="1518" t="str">
        <f t="shared" si="145"/>
        <v>0</v>
      </c>
      <c r="U91" s="1869"/>
      <c r="V91" s="1870"/>
      <c r="W91" s="1870"/>
      <c r="X91" s="1871"/>
      <c r="Y91" s="1871"/>
      <c r="Z91" s="1872"/>
      <c r="AA91" s="1873"/>
      <c r="AB91" s="1874"/>
    </row>
    <row r="92" spans="1:28" ht="24.95" customHeight="1" x14ac:dyDescent="0.25">
      <c r="A92" s="727"/>
      <c r="B92" s="731">
        <v>21</v>
      </c>
      <c r="C92" s="1674" t="s">
        <v>167</v>
      </c>
      <c r="D92" s="1797"/>
      <c r="E92" s="2901"/>
      <c r="F92" s="2902"/>
      <c r="G92" s="2902"/>
      <c r="H92" s="2080"/>
      <c r="I92" s="2080"/>
      <c r="J92" s="2080"/>
      <c r="K92" s="2080"/>
      <c r="L92" s="2080"/>
      <c r="M92" s="2080"/>
      <c r="N92" s="2163"/>
      <c r="O92" s="2163"/>
      <c r="P92" s="2163"/>
      <c r="Q92" s="1520">
        <f>IFERROR(MAX(Q89:Q91),"  ")</f>
        <v>0</v>
      </c>
      <c r="R92" s="1876" t="str">
        <f>IF(Q92&gt;85,("4"),IF(Q92&gt;80,("3.66"),IF(Q92&gt;75,("3.33"),IF(Q92&gt;70,("3.00"),IF(Q92&gt;65,("2.66"),IF(Q92&gt;60,("2.33"),IF(Q92&gt;55,("2"),IF(Q92&gt;50,("1.66"),"1.33"))))))))</f>
        <v>1.33</v>
      </c>
      <c r="S92" s="1876" t="str">
        <f>IF(Q92&gt;85,("A"),IF(Q92&gt;80,("A-"),IF(Q92&gt;75,("B+"),IF(Q92&gt;70,("B"),IF(Q92&gt;65,("B-"),IF(Q92&gt;60,("C+"),IF(Q92&gt;55,("C"),IF(Q92&gt;50,("C-"),"D+"))))))))</f>
        <v>D+</v>
      </c>
      <c r="T92" s="1876"/>
      <c r="U92" s="1877"/>
      <c r="V92" s="1878"/>
      <c r="W92" s="1878"/>
      <c r="X92" s="1878"/>
      <c r="Y92" s="1878"/>
      <c r="Z92" s="1879"/>
      <c r="AA92" s="1880"/>
      <c r="AB92" s="1881"/>
    </row>
    <row r="93" spans="1:28" ht="24.95" customHeight="1" x14ac:dyDescent="0.25">
      <c r="A93" s="724">
        <v>22</v>
      </c>
      <c r="B93" s="725"/>
      <c r="C93" s="1671" t="str">
        <f>VLOOKUP(A93,data_siswa,4,FALSE)</f>
        <v>Sally Savista A</v>
      </c>
      <c r="D93" s="1862" t="s">
        <v>16</v>
      </c>
      <c r="E93" s="1493">
        <v>0</v>
      </c>
      <c r="F93" s="1493">
        <v>0</v>
      </c>
      <c r="G93" s="1493">
        <v>0</v>
      </c>
      <c r="H93" s="1493"/>
      <c r="I93" s="1493"/>
      <c r="J93" s="1493"/>
      <c r="K93" s="1493"/>
      <c r="L93" s="1493"/>
      <c r="M93" s="1493"/>
      <c r="N93" s="1077">
        <f>MAX(E93,H93,K93)</f>
        <v>0</v>
      </c>
      <c r="O93" s="2126">
        <f t="shared" ref="O93:O95" si="146">MAX(F93,I93,L93)</f>
        <v>0</v>
      </c>
      <c r="P93" s="2127">
        <f t="shared" ref="P93:P95" si="147">MAX(G93,J93,M93)</f>
        <v>0</v>
      </c>
      <c r="Q93" s="853">
        <f>IFERROR(AVERAGE(N93:P93),"")</f>
        <v>0</v>
      </c>
      <c r="R93" s="1519" t="str">
        <f>IF(Q93&gt;85,("4"),IF(Q93&gt;80,("3.66"),IF(Q93&gt;75,("3.33"),IF(Q93&gt;70,("3.00"),IF(Q93&gt;65,("2.66"),IF(Q93&gt;60,("2.33"),IF(Q93&gt;55,("2"),IF(Q93&gt;50,("1.66"),"1.33"))))))))</f>
        <v>1.33</v>
      </c>
      <c r="S93" s="1519" t="str">
        <f>IF(Q93&gt;85,("A"),IF(Q93&gt;80,("A-"),IF(Q93&gt;75,("B+"),IF(Q93&gt;70,("B"),IF(Q93&gt;65,("B-"),IF(Q93&gt;60,("C+"),IF(Q93&gt;55,("C"),IF(Q93&gt;50,("C-"),"D+"))))))))</f>
        <v>D+</v>
      </c>
      <c r="T93" s="1519" t="str">
        <f>IF(Q93&gt;80,("SB"),IF(Q93&gt;65,("B"),IF(Q93&gt;50,("C"),IF(Q93&gt;0,("K"),"0"))))</f>
        <v>0</v>
      </c>
      <c r="U93" s="1796"/>
      <c r="V93" s="1796"/>
      <c r="W93" s="1796"/>
      <c r="X93" s="1882"/>
      <c r="Y93" s="1882"/>
      <c r="Z93" s="1882"/>
      <c r="AA93" s="1860">
        <f>MAX(Q93:Q95)</f>
        <v>0</v>
      </c>
      <c r="AB93" s="1861" t="str">
        <f>IF(AA93&gt;85,("A"),IF(AA93&gt;80,("A-"),IF(AA93&gt;75,("B+"),IF(AA93&gt;70,("B"),IF(AA93&gt;65,("B-"),IF(AA93&gt;60,("C+"),IF(AA93&gt;55,("C"),IF(AA93&gt;50,("C-"),"D+"))))))))</f>
        <v>D+</v>
      </c>
    </row>
    <row r="94" spans="1:28" ht="24.95" customHeight="1" x14ac:dyDescent="0.25">
      <c r="A94" s="360"/>
      <c r="B94" s="719"/>
      <c r="C94" s="1673"/>
      <c r="D94" s="1862" t="s">
        <v>189</v>
      </c>
      <c r="E94" s="1497"/>
      <c r="F94" s="1493"/>
      <c r="G94" s="1493"/>
      <c r="H94" s="1493">
        <v>0</v>
      </c>
      <c r="I94" s="1493">
        <v>0</v>
      </c>
      <c r="J94" s="1493">
        <v>0</v>
      </c>
      <c r="K94" s="1493"/>
      <c r="L94" s="1493"/>
      <c r="M94" s="1493"/>
      <c r="N94" s="1077">
        <f t="shared" ref="N94:N95" si="148">MAX(E94,H94,K94)</f>
        <v>0</v>
      </c>
      <c r="O94" s="2126">
        <f t="shared" si="146"/>
        <v>0</v>
      </c>
      <c r="P94" s="2127">
        <f t="shared" si="147"/>
        <v>0</v>
      </c>
      <c r="Q94" s="853">
        <f t="shared" ref="Q94:Q95" si="149">IFERROR(AVERAGE(N94:P94),"")</f>
        <v>0</v>
      </c>
      <c r="R94" s="1518" t="str">
        <f t="shared" ref="R94:R95" si="150">IF(Q94&gt;85,("4"),IF(Q94&gt;80,("3.66"),IF(Q94&gt;75,("3.33"),IF(Q94&gt;70,("3.00"),IF(Q94&gt;65,("2.66"),IF(Q94&gt;60,("2.33"),IF(Q94&gt;55,("2"),IF(Q94&gt;50,("1.66"),"1.33"))))))))</f>
        <v>1.33</v>
      </c>
      <c r="S94" s="1518" t="str">
        <f t="shared" ref="S94:S95" si="151">IF(Q94&gt;85,("A"),IF(Q94&gt;80,("A-"),IF(Q94&gt;75,("B+"),IF(Q94&gt;70,("B"),IF(Q94&gt;65,("B-"),IF(Q94&gt;60,("C+"),IF(Q94&gt;55,("C"),IF(Q94&gt;50,("C-"),"D+"))))))))</f>
        <v>D+</v>
      </c>
      <c r="T94" s="1518" t="str">
        <f t="shared" ref="T94:T95" si="152">IF(Q94&gt;80,("SB"),IF(Q94&gt;65,("B"),IF(Q94&gt;50,("C"),IF(Q94&gt;0,("K"),"0"))))</f>
        <v>0</v>
      </c>
      <c r="U94" s="1863"/>
      <c r="V94" s="1864"/>
      <c r="W94" s="1864"/>
      <c r="X94" s="1865"/>
      <c r="Y94" s="1865"/>
      <c r="Z94" s="1866"/>
      <c r="AA94" s="1867"/>
      <c r="AB94" s="1868"/>
    </row>
    <row r="95" spans="1:28" ht="24.95" customHeight="1" x14ac:dyDescent="0.25">
      <c r="A95" s="360"/>
      <c r="B95" s="719"/>
      <c r="C95" s="1673"/>
      <c r="D95" s="1862" t="s">
        <v>186</v>
      </c>
      <c r="E95" s="1493"/>
      <c r="F95" s="1493"/>
      <c r="G95" s="1493"/>
      <c r="H95" s="1493"/>
      <c r="I95" s="1493"/>
      <c r="J95" s="1493"/>
      <c r="K95" s="1493">
        <v>0</v>
      </c>
      <c r="L95" s="1493">
        <v>0</v>
      </c>
      <c r="M95" s="1493">
        <v>0</v>
      </c>
      <c r="N95" s="1077">
        <f t="shared" si="148"/>
        <v>0</v>
      </c>
      <c r="O95" s="2126">
        <f t="shared" si="146"/>
        <v>0</v>
      </c>
      <c r="P95" s="2127">
        <f t="shared" si="147"/>
        <v>0</v>
      </c>
      <c r="Q95" s="853">
        <f t="shared" si="149"/>
        <v>0</v>
      </c>
      <c r="R95" s="1518" t="str">
        <f t="shared" si="150"/>
        <v>1.33</v>
      </c>
      <c r="S95" s="1518" t="str">
        <f t="shared" si="151"/>
        <v>D+</v>
      </c>
      <c r="T95" s="1518" t="str">
        <f t="shared" si="152"/>
        <v>0</v>
      </c>
      <c r="U95" s="1869"/>
      <c r="V95" s="1870"/>
      <c r="W95" s="1870"/>
      <c r="X95" s="1871"/>
      <c r="Y95" s="1871"/>
      <c r="Z95" s="1872"/>
      <c r="AA95" s="1873"/>
      <c r="AB95" s="1874"/>
    </row>
    <row r="96" spans="1:28" ht="24.95" customHeight="1" x14ac:dyDescent="0.25">
      <c r="A96" s="727"/>
      <c r="B96" s="731">
        <v>22</v>
      </c>
      <c r="C96" s="1674" t="s">
        <v>167</v>
      </c>
      <c r="D96" s="1875"/>
      <c r="E96" s="2901"/>
      <c r="F96" s="2902"/>
      <c r="G96" s="2902"/>
      <c r="H96" s="2080"/>
      <c r="I96" s="2080"/>
      <c r="J96" s="2080"/>
      <c r="K96" s="2080"/>
      <c r="L96" s="2080"/>
      <c r="M96" s="2080"/>
      <c r="N96" s="2163"/>
      <c r="O96" s="2163"/>
      <c r="P96" s="2163"/>
      <c r="Q96" s="1520">
        <f>IFERROR(MAX(Q93:Q95),"  ")</f>
        <v>0</v>
      </c>
      <c r="R96" s="1876" t="str">
        <f>IF(Q96&gt;85,("4"),IF(Q96&gt;80,("3.66"),IF(Q96&gt;75,("3.33"),IF(Q96&gt;70,("3.00"),IF(Q96&gt;65,("2.66"),IF(Q96&gt;60,("2.33"),IF(Q96&gt;55,("2"),IF(Q96&gt;50,("1.66"),"1.33"))))))))</f>
        <v>1.33</v>
      </c>
      <c r="S96" s="1876" t="str">
        <f>IF(Q96&gt;85,("A"),IF(Q96&gt;80,("A-"),IF(Q96&gt;75,("B+"),IF(Q96&gt;70,("B"),IF(Q96&gt;65,("B-"),IF(Q96&gt;60,("C+"),IF(Q96&gt;55,("C"),IF(Q96&gt;50,("C-"),"D+"))))))))</f>
        <v>D+</v>
      </c>
      <c r="T96" s="1876"/>
      <c r="U96" s="1877"/>
      <c r="V96" s="1878"/>
      <c r="W96" s="1878"/>
      <c r="X96" s="1883"/>
      <c r="Y96" s="1883"/>
      <c r="Z96" s="1884"/>
      <c r="AA96" s="1880"/>
      <c r="AB96" s="1881"/>
    </row>
    <row r="97" spans="1:28" ht="24.95" customHeight="1" x14ac:dyDescent="0.25">
      <c r="A97" s="724">
        <v>23</v>
      </c>
      <c r="B97" s="725"/>
      <c r="C97" s="1671" t="str">
        <f>VLOOKUP(A97,data_siswa,4,FALSE)</f>
        <v xml:space="preserve">Tania Kaori Angelita </v>
      </c>
      <c r="D97" s="1862" t="s">
        <v>16</v>
      </c>
      <c r="E97" s="1493">
        <v>0</v>
      </c>
      <c r="F97" s="1493">
        <v>0</v>
      </c>
      <c r="G97" s="1493">
        <v>0</v>
      </c>
      <c r="H97" s="1493"/>
      <c r="I97" s="1493"/>
      <c r="J97" s="1493"/>
      <c r="K97" s="1493"/>
      <c r="L97" s="1493"/>
      <c r="M97" s="1493"/>
      <c r="N97" s="1077">
        <f>MAX(E97,H97,K97)</f>
        <v>0</v>
      </c>
      <c r="O97" s="2126">
        <f t="shared" ref="O97:O99" si="153">MAX(F97,I97,L97)</f>
        <v>0</v>
      </c>
      <c r="P97" s="2127">
        <f t="shared" ref="P97:P99" si="154">MAX(G97,J97,M97)</f>
        <v>0</v>
      </c>
      <c r="Q97" s="853">
        <f>IFERROR(AVERAGE(N97:P97),"")</f>
        <v>0</v>
      </c>
      <c r="R97" s="1519" t="str">
        <f>IF(Q97&gt;85,("4"),IF(Q97&gt;80,("3.66"),IF(Q97&gt;75,("3.33"),IF(Q97&gt;70,("3.00"),IF(Q97&gt;65,("2.66"),IF(Q97&gt;60,("2.33"),IF(Q97&gt;55,("2"),IF(Q97&gt;50,("1.66"),"1.33"))))))))</f>
        <v>1.33</v>
      </c>
      <c r="S97" s="1519" t="str">
        <f>IF(Q97&gt;85,("A"),IF(Q97&gt;80,("A-"),IF(Q97&gt;75,("B+"),IF(Q97&gt;70,("B"),IF(Q97&gt;65,("B-"),IF(Q97&gt;60,("C+"),IF(Q97&gt;55,("C"),IF(Q97&gt;50,("C-"),"D+"))))))))</f>
        <v>D+</v>
      </c>
      <c r="T97" s="1519" t="str">
        <f>IF(Q97&gt;80,("SB"),IF(Q97&gt;65,("B"),IF(Q97&gt;50,("C"),IF(Q97&gt;0,("K"),"0"))))</f>
        <v>0</v>
      </c>
      <c r="U97" s="1796"/>
      <c r="V97" s="1796"/>
      <c r="W97" s="1796"/>
      <c r="X97" s="1859"/>
      <c r="Y97" s="1859"/>
      <c r="Z97" s="1859"/>
      <c r="AA97" s="1860">
        <f>MAX(Q97:Q99)</f>
        <v>0</v>
      </c>
      <c r="AB97" s="1861" t="str">
        <f>IF(AA97&gt;85,("A"),IF(AA97&gt;80,("A-"),IF(AA97&gt;75,("B+"),IF(AA97&gt;70,("B"),IF(AA97&gt;65,("B-"),IF(AA97&gt;60,("C+"),IF(AA97&gt;55,("C"),IF(AA97&gt;50,("C-"),"D+"))))))))</f>
        <v>D+</v>
      </c>
    </row>
    <row r="98" spans="1:28" ht="24.95" customHeight="1" x14ac:dyDescent="0.25">
      <c r="A98" s="360"/>
      <c r="B98" s="719"/>
      <c r="C98" s="1673"/>
      <c r="D98" s="1862" t="s">
        <v>189</v>
      </c>
      <c r="E98" s="1497"/>
      <c r="F98" s="1493"/>
      <c r="G98" s="1493"/>
      <c r="H98" s="1493">
        <v>0</v>
      </c>
      <c r="I98" s="1493">
        <v>0</v>
      </c>
      <c r="J98" s="1493">
        <v>0</v>
      </c>
      <c r="K98" s="1493"/>
      <c r="L98" s="1493"/>
      <c r="M98" s="1493"/>
      <c r="N98" s="1077">
        <f t="shared" ref="N98:N99" si="155">MAX(E98,H98,K98)</f>
        <v>0</v>
      </c>
      <c r="O98" s="2126">
        <f t="shared" si="153"/>
        <v>0</v>
      </c>
      <c r="P98" s="2127">
        <f t="shared" si="154"/>
        <v>0</v>
      </c>
      <c r="Q98" s="853">
        <f t="shared" ref="Q98:Q99" si="156">IFERROR(AVERAGE(N98:P98),"")</f>
        <v>0</v>
      </c>
      <c r="R98" s="1518" t="str">
        <f t="shared" ref="R98:R99" si="157">IF(Q98&gt;85,("4"),IF(Q98&gt;80,("3.66"),IF(Q98&gt;75,("3.33"),IF(Q98&gt;70,("3.00"),IF(Q98&gt;65,("2.66"),IF(Q98&gt;60,("2.33"),IF(Q98&gt;55,("2"),IF(Q98&gt;50,("1.66"),"1.33"))))))))</f>
        <v>1.33</v>
      </c>
      <c r="S98" s="1518" t="str">
        <f t="shared" ref="S98:S99" si="158">IF(Q98&gt;85,("A"),IF(Q98&gt;80,("A-"),IF(Q98&gt;75,("B+"),IF(Q98&gt;70,("B"),IF(Q98&gt;65,("B-"),IF(Q98&gt;60,("C+"),IF(Q98&gt;55,("C"),IF(Q98&gt;50,("C-"),"D+"))))))))</f>
        <v>D+</v>
      </c>
      <c r="T98" s="1518" t="str">
        <f t="shared" ref="T98:T99" si="159">IF(Q98&gt;80,("SB"),IF(Q98&gt;65,("B"),IF(Q98&gt;50,("C"),IF(Q98&gt;0,("K"),"0"))))</f>
        <v>0</v>
      </c>
      <c r="U98" s="1863"/>
      <c r="V98" s="1864"/>
      <c r="W98" s="1864"/>
      <c r="X98" s="1865"/>
      <c r="Y98" s="1865"/>
      <c r="Z98" s="1866"/>
      <c r="AA98" s="1867"/>
      <c r="AB98" s="1868"/>
    </row>
    <row r="99" spans="1:28" ht="24.95" customHeight="1" x14ac:dyDescent="0.25">
      <c r="A99" s="360"/>
      <c r="B99" s="719"/>
      <c r="C99" s="1673"/>
      <c r="D99" s="1862" t="s">
        <v>186</v>
      </c>
      <c r="E99" s="1493"/>
      <c r="F99" s="1493"/>
      <c r="G99" s="1493"/>
      <c r="H99" s="1493"/>
      <c r="I99" s="1493"/>
      <c r="J99" s="1493"/>
      <c r="K99" s="1493">
        <v>0</v>
      </c>
      <c r="L99" s="1493">
        <v>0</v>
      </c>
      <c r="M99" s="1493">
        <v>0</v>
      </c>
      <c r="N99" s="1077">
        <f t="shared" si="155"/>
        <v>0</v>
      </c>
      <c r="O99" s="2126">
        <f t="shared" si="153"/>
        <v>0</v>
      </c>
      <c r="P99" s="2127">
        <f t="shared" si="154"/>
        <v>0</v>
      </c>
      <c r="Q99" s="853">
        <f t="shared" si="156"/>
        <v>0</v>
      </c>
      <c r="R99" s="1518" t="str">
        <f t="shared" si="157"/>
        <v>1.33</v>
      </c>
      <c r="S99" s="1518" t="str">
        <f t="shared" si="158"/>
        <v>D+</v>
      </c>
      <c r="T99" s="1518" t="str">
        <f t="shared" si="159"/>
        <v>0</v>
      </c>
      <c r="U99" s="1869"/>
      <c r="V99" s="1870"/>
      <c r="W99" s="1870"/>
      <c r="X99" s="1871"/>
      <c r="Y99" s="1871"/>
      <c r="Z99" s="1872"/>
      <c r="AA99" s="1873"/>
      <c r="AB99" s="1874"/>
    </row>
    <row r="100" spans="1:28" ht="24.95" customHeight="1" x14ac:dyDescent="0.25">
      <c r="A100" s="727"/>
      <c r="B100" s="731">
        <v>23</v>
      </c>
      <c r="C100" s="1674" t="s">
        <v>167</v>
      </c>
      <c r="D100" s="1797"/>
      <c r="E100" s="2901"/>
      <c r="F100" s="2902"/>
      <c r="G100" s="2902"/>
      <c r="H100" s="2080"/>
      <c r="I100" s="2080"/>
      <c r="J100" s="2080"/>
      <c r="K100" s="2080"/>
      <c r="L100" s="2080"/>
      <c r="M100" s="2080"/>
      <c r="N100" s="2163"/>
      <c r="O100" s="2163"/>
      <c r="P100" s="2163"/>
      <c r="Q100" s="1520">
        <f>IFERROR(MAX(Q97:Q99),"  ")</f>
        <v>0</v>
      </c>
      <c r="R100" s="1876" t="str">
        <f>IF(Q100&gt;85,("4"),IF(Q100&gt;80,("3.66"),IF(Q100&gt;75,("3.33"),IF(Q100&gt;70,("3.00"),IF(Q100&gt;65,("2.66"),IF(Q100&gt;60,("2.33"),IF(Q100&gt;55,("2"),IF(Q100&gt;50,("1.66"),"1.33"))))))))</f>
        <v>1.33</v>
      </c>
      <c r="S100" s="1876" t="str">
        <f>IF(Q100&gt;85,("A"),IF(Q100&gt;80,("A-"),IF(Q100&gt;75,("B+"),IF(Q100&gt;70,("B"),IF(Q100&gt;65,("B-"),IF(Q100&gt;60,("C+"),IF(Q100&gt;55,("C"),IF(Q100&gt;50,("C-"),"D+"))))))))</f>
        <v>D+</v>
      </c>
      <c r="T100" s="1876"/>
      <c r="U100" s="1877"/>
      <c r="V100" s="1878"/>
      <c r="W100" s="1878"/>
      <c r="X100" s="1878"/>
      <c r="Y100" s="1878"/>
      <c r="Z100" s="1879"/>
      <c r="AA100" s="1880"/>
      <c r="AB100" s="1881"/>
    </row>
    <row r="101" spans="1:28" ht="24.95" customHeight="1" x14ac:dyDescent="0.25">
      <c r="A101" s="724">
        <v>24</v>
      </c>
      <c r="B101" s="725"/>
      <c r="C101" s="1671" t="str">
        <f>VLOOKUP(A101,data_siswa,4,FALSE)</f>
        <v>Romzy Oka Ramadhani P</v>
      </c>
      <c r="D101" s="1862" t="s">
        <v>16</v>
      </c>
      <c r="E101" s="1493">
        <v>0</v>
      </c>
      <c r="F101" s="1493">
        <v>0</v>
      </c>
      <c r="G101" s="1493">
        <v>0</v>
      </c>
      <c r="H101" s="1493"/>
      <c r="I101" s="1493"/>
      <c r="J101" s="1493"/>
      <c r="K101" s="1493"/>
      <c r="L101" s="1493"/>
      <c r="M101" s="1493"/>
      <c r="N101" s="1077">
        <f>MAX(E101,H101,K101)</f>
        <v>0</v>
      </c>
      <c r="O101" s="2126">
        <f t="shared" ref="O101:O103" si="160">MAX(F101,I101,L101)</f>
        <v>0</v>
      </c>
      <c r="P101" s="2127">
        <f t="shared" ref="P101:P103" si="161">MAX(G101,J101,M101)</f>
        <v>0</v>
      </c>
      <c r="Q101" s="853">
        <f>IFERROR(AVERAGE(N101:P101),"")</f>
        <v>0</v>
      </c>
      <c r="R101" s="1519" t="str">
        <f>IF(Q101&gt;85,("4"),IF(Q101&gt;80,("3.66"),IF(Q101&gt;75,("3.33"),IF(Q101&gt;70,("3.00"),IF(Q101&gt;65,("2.66"),IF(Q101&gt;60,("2.33"),IF(Q101&gt;55,("2"),IF(Q101&gt;50,("1.66"),"1.33"))))))))</f>
        <v>1.33</v>
      </c>
      <c r="S101" s="1519" t="str">
        <f>IF(Q101&gt;85,("A"),IF(Q101&gt;80,("A-"),IF(Q101&gt;75,("B+"),IF(Q101&gt;70,("B"),IF(Q101&gt;65,("B-"),IF(Q101&gt;60,("C+"),IF(Q101&gt;55,("C"),IF(Q101&gt;50,("C-"),"D+"))))))))</f>
        <v>D+</v>
      </c>
      <c r="T101" s="1519" t="str">
        <f>IF(Q101&gt;80,("SB"),IF(Q101&gt;65,("B"),IF(Q101&gt;50,("C"),IF(Q101&gt;0,("K"),"0"))))</f>
        <v>0</v>
      </c>
      <c r="U101" s="1796"/>
      <c r="V101" s="1796"/>
      <c r="W101" s="1796"/>
      <c r="X101" s="1859"/>
      <c r="Y101" s="1859"/>
      <c r="Z101" s="1859"/>
      <c r="AA101" s="1860">
        <f>MAX(Q101:Q103)</f>
        <v>0</v>
      </c>
      <c r="AB101" s="1861" t="str">
        <f>IF(AA101&gt;85,("A"),IF(AA101&gt;80,("A-"),IF(AA101&gt;75,("B+"),IF(AA101&gt;70,("B"),IF(AA101&gt;65,("B-"),IF(AA101&gt;60,("C+"),IF(AA101&gt;55,("C"),IF(AA101&gt;50,("C-"),"D+"))))))))</f>
        <v>D+</v>
      </c>
    </row>
    <row r="102" spans="1:28" ht="24.95" customHeight="1" x14ac:dyDescent="0.25">
      <c r="A102" s="360"/>
      <c r="B102" s="719"/>
      <c r="C102" s="1673"/>
      <c r="D102" s="1862" t="s">
        <v>189</v>
      </c>
      <c r="E102" s="1497"/>
      <c r="F102" s="1493"/>
      <c r="G102" s="1493"/>
      <c r="H102" s="1493">
        <v>0</v>
      </c>
      <c r="I102" s="1493">
        <v>0</v>
      </c>
      <c r="J102" s="1493">
        <v>0</v>
      </c>
      <c r="K102" s="1493"/>
      <c r="L102" s="1493"/>
      <c r="M102" s="1493"/>
      <c r="N102" s="1077">
        <f t="shared" ref="N102:N103" si="162">MAX(E102,H102,K102)</f>
        <v>0</v>
      </c>
      <c r="O102" s="2126">
        <f t="shared" si="160"/>
        <v>0</v>
      </c>
      <c r="P102" s="2127">
        <f t="shared" si="161"/>
        <v>0</v>
      </c>
      <c r="Q102" s="853">
        <f t="shared" ref="Q102:Q103" si="163">IFERROR(AVERAGE(N102:P102),"")</f>
        <v>0</v>
      </c>
      <c r="R102" s="1518" t="str">
        <f t="shared" ref="R102:R103" si="164">IF(Q102&gt;85,("4"),IF(Q102&gt;80,("3.66"),IF(Q102&gt;75,("3.33"),IF(Q102&gt;70,("3.00"),IF(Q102&gt;65,("2.66"),IF(Q102&gt;60,("2.33"),IF(Q102&gt;55,("2"),IF(Q102&gt;50,("1.66"),"1.33"))))))))</f>
        <v>1.33</v>
      </c>
      <c r="S102" s="1518" t="str">
        <f t="shared" ref="S102:S103" si="165">IF(Q102&gt;85,("A"),IF(Q102&gt;80,("A-"),IF(Q102&gt;75,("B+"),IF(Q102&gt;70,("B"),IF(Q102&gt;65,("B-"),IF(Q102&gt;60,("C+"),IF(Q102&gt;55,("C"),IF(Q102&gt;50,("C-"),"D+"))))))))</f>
        <v>D+</v>
      </c>
      <c r="T102" s="1518" t="str">
        <f t="shared" ref="T102:T103" si="166">IF(Q102&gt;80,("SB"),IF(Q102&gt;65,("B"),IF(Q102&gt;50,("C"),IF(Q102&gt;0,("K"),"0"))))</f>
        <v>0</v>
      </c>
      <c r="U102" s="1863"/>
      <c r="V102" s="1864"/>
      <c r="W102" s="1864"/>
      <c r="X102" s="1865"/>
      <c r="Y102" s="1865"/>
      <c r="Z102" s="1866"/>
      <c r="AA102" s="1867"/>
      <c r="AB102" s="1868"/>
    </row>
    <row r="103" spans="1:28" ht="24.95" customHeight="1" x14ac:dyDescent="0.25">
      <c r="A103" s="360"/>
      <c r="B103" s="719"/>
      <c r="C103" s="1673"/>
      <c r="D103" s="1862" t="s">
        <v>186</v>
      </c>
      <c r="E103" s="1493"/>
      <c r="F103" s="1493"/>
      <c r="G103" s="1493"/>
      <c r="H103" s="1493"/>
      <c r="I103" s="1493"/>
      <c r="J103" s="1493"/>
      <c r="K103" s="1493">
        <v>0</v>
      </c>
      <c r="L103" s="1493">
        <v>0</v>
      </c>
      <c r="M103" s="1493">
        <v>0</v>
      </c>
      <c r="N103" s="1077">
        <f t="shared" si="162"/>
        <v>0</v>
      </c>
      <c r="O103" s="2126">
        <f t="shared" si="160"/>
        <v>0</v>
      </c>
      <c r="P103" s="2127">
        <f t="shared" si="161"/>
        <v>0</v>
      </c>
      <c r="Q103" s="853">
        <f t="shared" si="163"/>
        <v>0</v>
      </c>
      <c r="R103" s="1518" t="str">
        <f t="shared" si="164"/>
        <v>1.33</v>
      </c>
      <c r="S103" s="1518" t="str">
        <f t="shared" si="165"/>
        <v>D+</v>
      </c>
      <c r="T103" s="1518" t="str">
        <f t="shared" si="166"/>
        <v>0</v>
      </c>
      <c r="U103" s="1869"/>
      <c r="V103" s="1870"/>
      <c r="W103" s="1870"/>
      <c r="X103" s="1871"/>
      <c r="Y103" s="1871"/>
      <c r="Z103" s="1872"/>
      <c r="AA103" s="1873"/>
      <c r="AB103" s="1874"/>
    </row>
    <row r="104" spans="1:28" ht="24.95" customHeight="1" x14ac:dyDescent="0.25">
      <c r="A104" s="727"/>
      <c r="B104" s="731">
        <v>24</v>
      </c>
      <c r="C104" s="1674" t="s">
        <v>167</v>
      </c>
      <c r="D104" s="1797"/>
      <c r="E104" s="2901"/>
      <c r="F104" s="2902"/>
      <c r="G104" s="2902"/>
      <c r="H104" s="2080"/>
      <c r="I104" s="2080"/>
      <c r="J104" s="2080"/>
      <c r="K104" s="2080"/>
      <c r="L104" s="2080"/>
      <c r="M104" s="2080"/>
      <c r="N104" s="2163"/>
      <c r="O104" s="2163"/>
      <c r="P104" s="2163"/>
      <c r="Q104" s="1520">
        <f>IFERROR(MAX(Q101:Q103),"  ")</f>
        <v>0</v>
      </c>
      <c r="R104" s="1876" t="str">
        <f>IF(Q104&gt;85,("4"),IF(Q104&gt;80,("3.66"),IF(Q104&gt;75,("3.33"),IF(Q104&gt;70,("3.00"),IF(Q104&gt;65,("2.66"),IF(Q104&gt;60,("2.33"),IF(Q104&gt;55,("2"),IF(Q104&gt;50,("1.66"),"1.33"))))))))</f>
        <v>1.33</v>
      </c>
      <c r="S104" s="1876" t="str">
        <f>IF(Q104&gt;85,("A"),IF(Q104&gt;80,("A-"),IF(Q104&gt;75,("B+"),IF(Q104&gt;70,("B"),IF(Q104&gt;65,("B-"),IF(Q104&gt;60,("C+"),IF(Q104&gt;55,("C"),IF(Q104&gt;50,("C-"),"D+"))))))))</f>
        <v>D+</v>
      </c>
      <c r="T104" s="1876"/>
      <c r="U104" s="1877"/>
      <c r="V104" s="1878"/>
      <c r="W104" s="1878"/>
      <c r="X104" s="1878"/>
      <c r="Y104" s="1878"/>
      <c r="Z104" s="1879"/>
      <c r="AA104" s="1880"/>
      <c r="AB104" s="1881"/>
    </row>
    <row r="105" spans="1:28" ht="24.95" customHeight="1" x14ac:dyDescent="0.25">
      <c r="A105" s="724">
        <v>25</v>
      </c>
      <c r="B105" s="725"/>
      <c r="C105" s="1671" t="str">
        <f>VLOOKUP(A105,data_siswa,4,FALSE)</f>
        <v>Larasati Jagadhita P</v>
      </c>
      <c r="D105" s="1862" t="s">
        <v>16</v>
      </c>
      <c r="E105" s="1493">
        <v>0</v>
      </c>
      <c r="F105" s="1493">
        <v>0</v>
      </c>
      <c r="G105" s="1493">
        <v>0</v>
      </c>
      <c r="H105" s="1493"/>
      <c r="I105" s="1493"/>
      <c r="J105" s="1493"/>
      <c r="K105" s="1493"/>
      <c r="L105" s="1493"/>
      <c r="M105" s="1493"/>
      <c r="N105" s="1077">
        <f>MAX(E105,H105,K105)</f>
        <v>0</v>
      </c>
      <c r="O105" s="2126">
        <f t="shared" ref="O105:O107" si="167">MAX(F105,I105,L105)</f>
        <v>0</v>
      </c>
      <c r="P105" s="2127">
        <f t="shared" ref="P105:P107" si="168">MAX(G105,J105,M105)</f>
        <v>0</v>
      </c>
      <c r="Q105" s="853">
        <f>IFERROR(AVERAGE(N105:P105),"")</f>
        <v>0</v>
      </c>
      <c r="R105" s="1519" t="str">
        <f>IF(Q105&gt;85,("4"),IF(Q105&gt;80,("3.66"),IF(Q105&gt;75,("3.33"),IF(Q105&gt;70,("3.00"),IF(Q105&gt;65,("2.66"),IF(Q105&gt;60,("2.33"),IF(Q105&gt;55,("2"),IF(Q105&gt;50,("1.66"),"1.33"))))))))</f>
        <v>1.33</v>
      </c>
      <c r="S105" s="1519" t="str">
        <f>IF(Q105&gt;85,("A"),IF(Q105&gt;80,("A-"),IF(Q105&gt;75,("B+"),IF(Q105&gt;70,("B"),IF(Q105&gt;65,("B-"),IF(Q105&gt;60,("C+"),IF(Q105&gt;55,("C"),IF(Q105&gt;50,("C-"),"D+"))))))))</f>
        <v>D+</v>
      </c>
      <c r="T105" s="1519" t="str">
        <f>IF(Q105&gt;80,("SB"),IF(Q105&gt;65,("B"),IF(Q105&gt;50,("C"),IF(Q105&gt;0,("K"),"0"))))</f>
        <v>0</v>
      </c>
      <c r="U105" s="1796"/>
      <c r="V105" s="1796"/>
      <c r="W105" s="1796"/>
      <c r="X105" s="1859"/>
      <c r="Y105" s="1859"/>
      <c r="Z105" s="1859"/>
      <c r="AA105" s="1860">
        <f>MAX(Q105:Q107)</f>
        <v>0</v>
      </c>
      <c r="AB105" s="1861" t="str">
        <f>IF(AA105&gt;85,("A"),IF(AA105&gt;80,("A-"),IF(AA105&gt;75,("B+"),IF(AA105&gt;70,("B"),IF(AA105&gt;65,("B-"),IF(AA105&gt;60,("C+"),IF(AA105&gt;55,("C"),IF(AA105&gt;50,("C-"),"D+"))))))))</f>
        <v>D+</v>
      </c>
    </row>
    <row r="106" spans="1:28" ht="24.95" customHeight="1" x14ac:dyDescent="0.25">
      <c r="A106" s="360"/>
      <c r="B106" s="719"/>
      <c r="C106" s="1673"/>
      <c r="D106" s="1862" t="s">
        <v>189</v>
      </c>
      <c r="E106" s="1497"/>
      <c r="F106" s="1493"/>
      <c r="G106" s="1493"/>
      <c r="H106" s="1493">
        <v>0</v>
      </c>
      <c r="I106" s="1493">
        <v>0</v>
      </c>
      <c r="J106" s="1493">
        <v>0</v>
      </c>
      <c r="K106" s="1493"/>
      <c r="L106" s="1493"/>
      <c r="M106" s="1493"/>
      <c r="N106" s="1077">
        <f t="shared" ref="N106:N107" si="169">MAX(E106,H106,K106)</f>
        <v>0</v>
      </c>
      <c r="O106" s="2126">
        <f t="shared" si="167"/>
        <v>0</v>
      </c>
      <c r="P106" s="2127">
        <f t="shared" si="168"/>
        <v>0</v>
      </c>
      <c r="Q106" s="853">
        <f t="shared" ref="Q106:Q107" si="170">IFERROR(AVERAGE(N106:P106),"")</f>
        <v>0</v>
      </c>
      <c r="R106" s="1518" t="str">
        <f t="shared" ref="R106:R107" si="171">IF(Q106&gt;85,("4"),IF(Q106&gt;80,("3.66"),IF(Q106&gt;75,("3.33"),IF(Q106&gt;70,("3.00"),IF(Q106&gt;65,("2.66"),IF(Q106&gt;60,("2.33"),IF(Q106&gt;55,("2"),IF(Q106&gt;50,("1.66"),"1.33"))))))))</f>
        <v>1.33</v>
      </c>
      <c r="S106" s="1518" t="str">
        <f t="shared" ref="S106:S107" si="172">IF(Q106&gt;85,("A"),IF(Q106&gt;80,("A-"),IF(Q106&gt;75,("B+"),IF(Q106&gt;70,("B"),IF(Q106&gt;65,("B-"),IF(Q106&gt;60,("C+"),IF(Q106&gt;55,("C"),IF(Q106&gt;50,("C-"),"D+"))))))))</f>
        <v>D+</v>
      </c>
      <c r="T106" s="1518" t="str">
        <f t="shared" ref="T106:T107" si="173">IF(Q106&gt;80,("SB"),IF(Q106&gt;65,("B"),IF(Q106&gt;50,("C"),IF(Q106&gt;0,("K"),"0"))))</f>
        <v>0</v>
      </c>
      <c r="U106" s="1863"/>
      <c r="V106" s="1864"/>
      <c r="W106" s="1864"/>
      <c r="X106" s="1865"/>
      <c r="Y106" s="1865"/>
      <c r="Z106" s="1866"/>
      <c r="AA106" s="1867"/>
      <c r="AB106" s="1868"/>
    </row>
    <row r="107" spans="1:28" ht="24.95" customHeight="1" x14ac:dyDescent="0.25">
      <c r="A107" s="360"/>
      <c r="B107" s="719"/>
      <c r="C107" s="1673"/>
      <c r="D107" s="1862" t="s">
        <v>186</v>
      </c>
      <c r="E107" s="1493"/>
      <c r="F107" s="1493"/>
      <c r="G107" s="1493"/>
      <c r="H107" s="1493"/>
      <c r="I107" s="1493"/>
      <c r="J107" s="1493"/>
      <c r="K107" s="1493">
        <v>0</v>
      </c>
      <c r="L107" s="1493">
        <v>0</v>
      </c>
      <c r="M107" s="1493">
        <v>0</v>
      </c>
      <c r="N107" s="1077">
        <f t="shared" si="169"/>
        <v>0</v>
      </c>
      <c r="O107" s="2126">
        <f t="shared" si="167"/>
        <v>0</v>
      </c>
      <c r="P107" s="2127">
        <f t="shared" si="168"/>
        <v>0</v>
      </c>
      <c r="Q107" s="853">
        <f t="shared" si="170"/>
        <v>0</v>
      </c>
      <c r="R107" s="1518" t="str">
        <f t="shared" si="171"/>
        <v>1.33</v>
      </c>
      <c r="S107" s="1518" t="str">
        <f t="shared" si="172"/>
        <v>D+</v>
      </c>
      <c r="T107" s="1518" t="str">
        <f t="shared" si="173"/>
        <v>0</v>
      </c>
      <c r="U107" s="1869"/>
      <c r="V107" s="1870"/>
      <c r="W107" s="1870"/>
      <c r="X107" s="1871"/>
      <c r="Y107" s="1871"/>
      <c r="Z107" s="1872"/>
      <c r="AA107" s="1873"/>
      <c r="AB107" s="1874"/>
    </row>
    <row r="108" spans="1:28" ht="24.95" customHeight="1" x14ac:dyDescent="0.25">
      <c r="A108" s="727"/>
      <c r="B108" s="731">
        <v>25</v>
      </c>
      <c r="C108" s="1674" t="s">
        <v>167</v>
      </c>
      <c r="D108" s="1797"/>
      <c r="E108" s="2901"/>
      <c r="F108" s="2902"/>
      <c r="G108" s="2902"/>
      <c r="H108" s="2024"/>
      <c r="I108" s="2024"/>
      <c r="J108" s="2024"/>
      <c r="K108" s="2024"/>
      <c r="L108" s="2024"/>
      <c r="M108" s="2024"/>
      <c r="N108" s="2163"/>
      <c r="O108" s="2163"/>
      <c r="P108" s="2163"/>
      <c r="Q108" s="1520">
        <f>IFERROR(MAX(Q105:Q107),"  ")</f>
        <v>0</v>
      </c>
      <c r="R108" s="1876" t="str">
        <f>IF(Q108&gt;85,("4"),IF(Q108&gt;80,("3.66"),IF(Q108&gt;75,("3.33"),IF(Q108&gt;70,("3.00"),IF(Q108&gt;65,("2.66"),IF(Q108&gt;60,("2.33"),IF(Q108&gt;55,("2"),IF(Q108&gt;50,("1.66"),"1.33"))))))))</f>
        <v>1.33</v>
      </c>
      <c r="S108" s="1876" t="str">
        <f>IF(Q108&gt;85,("A"),IF(Q108&gt;80,("A-"),IF(Q108&gt;75,("B+"),IF(Q108&gt;70,("B"),IF(Q108&gt;65,("B-"),IF(Q108&gt;60,("C+"),IF(Q108&gt;55,("C"),IF(Q108&gt;50,("C-"),"D+"))))))))</f>
        <v>D+</v>
      </c>
      <c r="T108" s="1876"/>
      <c r="U108" s="1877"/>
      <c r="V108" s="1878"/>
      <c r="W108" s="1878"/>
      <c r="X108" s="1878"/>
      <c r="Y108" s="1878"/>
      <c r="Z108" s="1879"/>
      <c r="AA108" s="1880"/>
      <c r="AB108" s="1881"/>
    </row>
    <row r="109" spans="1:28" ht="24.95" customHeight="1" x14ac:dyDescent="0.25">
      <c r="A109" s="724">
        <v>26</v>
      </c>
      <c r="B109" s="725"/>
      <c r="C109" s="1671" t="str">
        <f>VLOOKUP(A109,data_siswa,4,FALSE)</f>
        <v>Meliana Citra A</v>
      </c>
      <c r="D109" s="1862" t="s">
        <v>16</v>
      </c>
      <c r="E109" s="1493">
        <v>0</v>
      </c>
      <c r="F109" s="1493">
        <v>0</v>
      </c>
      <c r="G109" s="1493">
        <v>0</v>
      </c>
      <c r="H109" s="1493"/>
      <c r="I109" s="1493"/>
      <c r="J109" s="1493"/>
      <c r="K109" s="1493"/>
      <c r="L109" s="1493"/>
      <c r="M109" s="1493"/>
      <c r="N109" s="1077">
        <f>MAX(E109,H109,K109)</f>
        <v>0</v>
      </c>
      <c r="O109" s="2126">
        <f t="shared" ref="O109:O111" si="174">MAX(F109,I109,L109)</f>
        <v>0</v>
      </c>
      <c r="P109" s="2127">
        <f t="shared" ref="P109:P111" si="175">MAX(G109,J109,M109)</f>
        <v>0</v>
      </c>
      <c r="Q109" s="853">
        <f>IFERROR(AVERAGE(N109:P109),"")</f>
        <v>0</v>
      </c>
      <c r="R109" s="1519" t="str">
        <f>IF(Q109&gt;85,("4"),IF(Q109&gt;80,("3.66"),IF(Q109&gt;75,("3.33"),IF(Q109&gt;70,("3.00"),IF(Q109&gt;65,("2.66"),IF(Q109&gt;60,("2.33"),IF(Q109&gt;55,("2"),IF(Q109&gt;50,("1.66"),"1.33"))))))))</f>
        <v>1.33</v>
      </c>
      <c r="S109" s="1519" t="str">
        <f>IF(Q109&gt;85,("A"),IF(Q109&gt;80,("A-"),IF(Q109&gt;75,("B+"),IF(Q109&gt;70,("B"),IF(Q109&gt;65,("B-"),IF(Q109&gt;60,("C+"),IF(Q109&gt;55,("C"),IF(Q109&gt;50,("C-"),"D+"))))))))</f>
        <v>D+</v>
      </c>
      <c r="T109" s="1519" t="str">
        <f>IF(Q109&gt;80,("SB"),IF(Q109&gt;65,("B"),IF(Q109&gt;50,("C"),IF(Q109&gt;0,("K"),"0"))))</f>
        <v>0</v>
      </c>
      <c r="U109" s="1796"/>
      <c r="V109" s="1796"/>
      <c r="W109" s="1796"/>
      <c r="X109" s="1859"/>
      <c r="Y109" s="1859"/>
      <c r="Z109" s="1859"/>
      <c r="AA109" s="1860">
        <f>MAX(Q109:Q111)</f>
        <v>0</v>
      </c>
      <c r="AB109" s="1861" t="str">
        <f>IF(AA109&gt;85,("A"),IF(AA109&gt;80,("A-"),IF(AA109&gt;75,("B+"),IF(AA109&gt;70,("B"),IF(AA109&gt;65,("B-"),IF(AA109&gt;60,("C+"),IF(AA109&gt;55,("C"),IF(AA109&gt;50,("C-"),"D+"))))))))</f>
        <v>D+</v>
      </c>
    </row>
    <row r="110" spans="1:28" ht="24.95" customHeight="1" x14ac:dyDescent="0.25">
      <c r="A110" s="360"/>
      <c r="B110" s="719"/>
      <c r="C110" s="1673"/>
      <c r="D110" s="1862" t="s">
        <v>189</v>
      </c>
      <c r="E110" s="1497"/>
      <c r="F110" s="1493"/>
      <c r="G110" s="1493"/>
      <c r="H110" s="1493">
        <v>0</v>
      </c>
      <c r="I110" s="1493">
        <v>0</v>
      </c>
      <c r="J110" s="1493">
        <v>0</v>
      </c>
      <c r="K110" s="1493"/>
      <c r="L110" s="1493"/>
      <c r="M110" s="1493"/>
      <c r="N110" s="1077">
        <f t="shared" ref="N110:N111" si="176">MAX(E110,H110,K110)</f>
        <v>0</v>
      </c>
      <c r="O110" s="2126">
        <f t="shared" si="174"/>
        <v>0</v>
      </c>
      <c r="P110" s="2127">
        <f t="shared" si="175"/>
        <v>0</v>
      </c>
      <c r="Q110" s="853">
        <f t="shared" ref="Q110:Q111" si="177">IFERROR(AVERAGE(N110:P110),"")</f>
        <v>0</v>
      </c>
      <c r="R110" s="1518" t="str">
        <f t="shared" ref="R110:R111" si="178">IF(Q110&gt;85,("4"),IF(Q110&gt;80,("3.66"),IF(Q110&gt;75,("3.33"),IF(Q110&gt;70,("3.00"),IF(Q110&gt;65,("2.66"),IF(Q110&gt;60,("2.33"),IF(Q110&gt;55,("2"),IF(Q110&gt;50,("1.66"),"1.33"))))))))</f>
        <v>1.33</v>
      </c>
      <c r="S110" s="1518" t="str">
        <f t="shared" ref="S110:S111" si="179">IF(Q110&gt;85,("A"),IF(Q110&gt;80,("A-"),IF(Q110&gt;75,("B+"),IF(Q110&gt;70,("B"),IF(Q110&gt;65,("B-"),IF(Q110&gt;60,("C+"),IF(Q110&gt;55,("C"),IF(Q110&gt;50,("C-"),"D+"))))))))</f>
        <v>D+</v>
      </c>
      <c r="T110" s="1518" t="str">
        <f t="shared" ref="T110:T111" si="180">IF(Q110&gt;80,("SB"),IF(Q110&gt;65,("B"),IF(Q110&gt;50,("C"),IF(Q110&gt;0,("K"),"0"))))</f>
        <v>0</v>
      </c>
      <c r="U110" s="1863"/>
      <c r="V110" s="1864"/>
      <c r="W110" s="1864"/>
      <c r="X110" s="1865"/>
      <c r="Y110" s="1865"/>
      <c r="Z110" s="1866"/>
      <c r="AA110" s="1867"/>
      <c r="AB110" s="1868"/>
    </row>
    <row r="111" spans="1:28" ht="24.95" customHeight="1" x14ac:dyDescent="0.25">
      <c r="A111" s="360"/>
      <c r="B111" s="719"/>
      <c r="C111" s="1673"/>
      <c r="D111" s="1862" t="s">
        <v>186</v>
      </c>
      <c r="E111" s="1493"/>
      <c r="F111" s="1493"/>
      <c r="G111" s="1493"/>
      <c r="H111" s="1493"/>
      <c r="I111" s="1493"/>
      <c r="J111" s="1493"/>
      <c r="K111" s="1493">
        <v>0</v>
      </c>
      <c r="L111" s="1493">
        <v>0</v>
      </c>
      <c r="M111" s="1493">
        <v>0</v>
      </c>
      <c r="N111" s="1077">
        <f t="shared" si="176"/>
        <v>0</v>
      </c>
      <c r="O111" s="2126">
        <f t="shared" si="174"/>
        <v>0</v>
      </c>
      <c r="P111" s="2127">
        <f t="shared" si="175"/>
        <v>0</v>
      </c>
      <c r="Q111" s="853">
        <f t="shared" si="177"/>
        <v>0</v>
      </c>
      <c r="R111" s="1518" t="str">
        <f t="shared" si="178"/>
        <v>1.33</v>
      </c>
      <c r="S111" s="1518" t="str">
        <f t="shared" si="179"/>
        <v>D+</v>
      </c>
      <c r="T111" s="1518" t="str">
        <f t="shared" si="180"/>
        <v>0</v>
      </c>
      <c r="U111" s="1869"/>
      <c r="V111" s="1870"/>
      <c r="W111" s="1870"/>
      <c r="X111" s="1871"/>
      <c r="Y111" s="1871"/>
      <c r="Z111" s="1872"/>
      <c r="AA111" s="1873"/>
      <c r="AB111" s="1874"/>
    </row>
    <row r="112" spans="1:28" ht="24.95" customHeight="1" x14ac:dyDescent="0.25">
      <c r="A112" s="727"/>
      <c r="B112" s="731">
        <v>26</v>
      </c>
      <c r="C112" s="1674" t="s">
        <v>167</v>
      </c>
      <c r="D112" s="1797"/>
      <c r="E112" s="2901"/>
      <c r="F112" s="2902"/>
      <c r="G112" s="2902"/>
      <c r="H112" s="2080"/>
      <c r="I112" s="2080"/>
      <c r="J112" s="2080"/>
      <c r="K112" s="2080"/>
      <c r="L112" s="2080"/>
      <c r="M112" s="2080"/>
      <c r="N112" s="2163"/>
      <c r="O112" s="2163"/>
      <c r="P112" s="2163"/>
      <c r="Q112" s="1520">
        <f>IFERROR(MAX(Q109:Q111),"  ")</f>
        <v>0</v>
      </c>
      <c r="R112" s="1876" t="str">
        <f>IF(Q112&gt;85,("4"),IF(Q112&gt;80,("3.66"),IF(Q112&gt;75,("3.33"),IF(Q112&gt;70,("3.00"),IF(Q112&gt;65,("2.66"),IF(Q112&gt;60,("2.33"),IF(Q112&gt;55,("2"),IF(Q112&gt;50,("1.66"),"1.33"))))))))</f>
        <v>1.33</v>
      </c>
      <c r="S112" s="1876" t="str">
        <f>IF(Q112&gt;85,("A"),IF(Q112&gt;80,("A-"),IF(Q112&gt;75,("B+"),IF(Q112&gt;70,("B"),IF(Q112&gt;65,("B-"),IF(Q112&gt;60,("C+"),IF(Q112&gt;55,("C"),IF(Q112&gt;50,("C-"),"D+"))))))))</f>
        <v>D+</v>
      </c>
      <c r="T112" s="1876"/>
      <c r="U112" s="1877"/>
      <c r="V112" s="1878"/>
      <c r="W112" s="1878"/>
      <c r="X112" s="1878"/>
      <c r="Y112" s="1878"/>
      <c r="Z112" s="1879"/>
      <c r="AA112" s="1880"/>
      <c r="AB112" s="1881"/>
    </row>
    <row r="113" spans="1:28" ht="24.95" customHeight="1" x14ac:dyDescent="0.25">
      <c r="A113" s="724">
        <v>27</v>
      </c>
      <c r="B113" s="725"/>
      <c r="C113" s="1671" t="str">
        <f>VLOOKUP(A113,data_siswa,4,FALSE)</f>
        <v>Mohammad Rizky</v>
      </c>
      <c r="D113" s="1862" t="s">
        <v>16</v>
      </c>
      <c r="E113" s="1493">
        <v>0</v>
      </c>
      <c r="F113" s="1493">
        <v>0</v>
      </c>
      <c r="G113" s="1493">
        <v>0</v>
      </c>
      <c r="H113" s="1493"/>
      <c r="I113" s="1493"/>
      <c r="J113" s="1493"/>
      <c r="K113" s="1493"/>
      <c r="L113" s="1493"/>
      <c r="M113" s="1493"/>
      <c r="N113" s="1077">
        <f>MAX(E113,H113,K113)</f>
        <v>0</v>
      </c>
      <c r="O113" s="2126">
        <f t="shared" ref="O113:O115" si="181">MAX(F113,I113,L113)</f>
        <v>0</v>
      </c>
      <c r="P113" s="2127">
        <f t="shared" ref="P113:P115" si="182">MAX(G113,J113,M113)</f>
        <v>0</v>
      </c>
      <c r="Q113" s="853">
        <f>IFERROR(AVERAGE(N113:P113),"")</f>
        <v>0</v>
      </c>
      <c r="R113" s="1519" t="str">
        <f>IF(Q113&gt;85,("4"),IF(Q113&gt;80,("3.66"),IF(Q113&gt;75,("3.33"),IF(Q113&gt;70,("3.00"),IF(Q113&gt;65,("2.66"),IF(Q113&gt;60,("2.33"),IF(Q113&gt;55,("2"),IF(Q113&gt;50,("1.66"),"1.33"))))))))</f>
        <v>1.33</v>
      </c>
      <c r="S113" s="1519" t="str">
        <f>IF(Q113&gt;85,("A"),IF(Q113&gt;80,("A-"),IF(Q113&gt;75,("B+"),IF(Q113&gt;70,("B"),IF(Q113&gt;65,("B-"),IF(Q113&gt;60,("C+"),IF(Q113&gt;55,("C"),IF(Q113&gt;50,("C-"),"D+"))))))))</f>
        <v>D+</v>
      </c>
      <c r="T113" s="1519" t="str">
        <f>IF(Q113&gt;80,("SB"),IF(Q113&gt;65,("B"),IF(Q113&gt;50,("C"),IF(Q113&gt;0,("K"),"0"))))</f>
        <v>0</v>
      </c>
      <c r="U113" s="1796"/>
      <c r="V113" s="1796"/>
      <c r="W113" s="1796"/>
      <c r="X113" s="1859"/>
      <c r="Y113" s="1859"/>
      <c r="Z113" s="1859"/>
      <c r="AA113" s="1860">
        <f>MAX(Q113:Q115)</f>
        <v>0</v>
      </c>
      <c r="AB113" s="1861" t="str">
        <f>IF(AA113&gt;85,("A"),IF(AA113&gt;80,("A-"),IF(AA113&gt;75,("B+"),IF(AA113&gt;70,("B"),IF(AA113&gt;65,("B-"),IF(AA113&gt;60,("C+"),IF(AA113&gt;55,("C"),IF(AA113&gt;50,("C-"),"D+"))))))))</f>
        <v>D+</v>
      </c>
    </row>
    <row r="114" spans="1:28" ht="24.95" customHeight="1" x14ac:dyDescent="0.25">
      <c r="A114" s="360"/>
      <c r="B114" s="719"/>
      <c r="C114" s="1673"/>
      <c r="D114" s="1862" t="s">
        <v>189</v>
      </c>
      <c r="E114" s="1497"/>
      <c r="F114" s="1493"/>
      <c r="G114" s="1493"/>
      <c r="H114" s="1493">
        <v>0</v>
      </c>
      <c r="I114" s="1493">
        <v>0</v>
      </c>
      <c r="J114" s="1493">
        <v>0</v>
      </c>
      <c r="K114" s="1493"/>
      <c r="L114" s="1493"/>
      <c r="M114" s="1493"/>
      <c r="N114" s="1077">
        <f t="shared" ref="N114:N115" si="183">MAX(E114,H114,K114)</f>
        <v>0</v>
      </c>
      <c r="O114" s="2126">
        <f t="shared" si="181"/>
        <v>0</v>
      </c>
      <c r="P114" s="2127">
        <f t="shared" si="182"/>
        <v>0</v>
      </c>
      <c r="Q114" s="853">
        <f t="shared" ref="Q114:Q115" si="184">IFERROR(AVERAGE(N114:P114),"")</f>
        <v>0</v>
      </c>
      <c r="R114" s="1518" t="str">
        <f t="shared" ref="R114:R115" si="185">IF(Q114&gt;85,("4"),IF(Q114&gt;80,("3.66"),IF(Q114&gt;75,("3.33"),IF(Q114&gt;70,("3.00"),IF(Q114&gt;65,("2.66"),IF(Q114&gt;60,("2.33"),IF(Q114&gt;55,("2"),IF(Q114&gt;50,("1.66"),"1.33"))))))))</f>
        <v>1.33</v>
      </c>
      <c r="S114" s="1518" t="str">
        <f t="shared" ref="S114:S115" si="186">IF(Q114&gt;85,("A"),IF(Q114&gt;80,("A-"),IF(Q114&gt;75,("B+"),IF(Q114&gt;70,("B"),IF(Q114&gt;65,("B-"),IF(Q114&gt;60,("C+"),IF(Q114&gt;55,("C"),IF(Q114&gt;50,("C-"),"D+"))))))))</f>
        <v>D+</v>
      </c>
      <c r="T114" s="1518" t="str">
        <f t="shared" ref="T114:T115" si="187">IF(Q114&gt;80,("SB"),IF(Q114&gt;65,("B"),IF(Q114&gt;50,("C"),IF(Q114&gt;0,("K"),"0"))))</f>
        <v>0</v>
      </c>
      <c r="U114" s="1863"/>
      <c r="V114" s="1864"/>
      <c r="W114" s="1864"/>
      <c r="X114" s="1865"/>
      <c r="Y114" s="1865"/>
      <c r="Z114" s="1866"/>
      <c r="AA114" s="1867"/>
      <c r="AB114" s="1868"/>
    </row>
    <row r="115" spans="1:28" ht="24.95" customHeight="1" x14ac:dyDescent="0.25">
      <c r="A115" s="360"/>
      <c r="B115" s="719"/>
      <c r="C115" s="1673"/>
      <c r="D115" s="1862" t="s">
        <v>186</v>
      </c>
      <c r="E115" s="1493"/>
      <c r="F115" s="1493"/>
      <c r="G115" s="1493"/>
      <c r="H115" s="1493"/>
      <c r="I115" s="1493"/>
      <c r="J115" s="1493"/>
      <c r="K115" s="1493">
        <v>0</v>
      </c>
      <c r="L115" s="1493">
        <v>0</v>
      </c>
      <c r="M115" s="1493">
        <v>0</v>
      </c>
      <c r="N115" s="1077">
        <f t="shared" si="183"/>
        <v>0</v>
      </c>
      <c r="O115" s="2126">
        <f t="shared" si="181"/>
        <v>0</v>
      </c>
      <c r="P115" s="2127">
        <f t="shared" si="182"/>
        <v>0</v>
      </c>
      <c r="Q115" s="853">
        <f t="shared" si="184"/>
        <v>0</v>
      </c>
      <c r="R115" s="1518" t="str">
        <f t="shared" si="185"/>
        <v>1.33</v>
      </c>
      <c r="S115" s="1518" t="str">
        <f t="shared" si="186"/>
        <v>D+</v>
      </c>
      <c r="T115" s="1518" t="str">
        <f t="shared" si="187"/>
        <v>0</v>
      </c>
      <c r="U115" s="1869"/>
      <c r="V115" s="1870"/>
      <c r="W115" s="1870"/>
      <c r="X115" s="1871"/>
      <c r="Y115" s="1871"/>
      <c r="Z115" s="1872"/>
      <c r="AA115" s="1873"/>
      <c r="AB115" s="1874"/>
    </row>
    <row r="116" spans="1:28" ht="24.95" customHeight="1" x14ac:dyDescent="0.25">
      <c r="A116" s="727"/>
      <c r="B116" s="731">
        <v>27</v>
      </c>
      <c r="C116" s="1674" t="s">
        <v>167</v>
      </c>
      <c r="D116" s="1797"/>
      <c r="E116" s="2901"/>
      <c r="F116" s="2902"/>
      <c r="G116" s="2902"/>
      <c r="H116" s="2080"/>
      <c r="I116" s="2080"/>
      <c r="J116" s="2080"/>
      <c r="K116" s="2080"/>
      <c r="L116" s="2080"/>
      <c r="M116" s="2080"/>
      <c r="N116" s="2163"/>
      <c r="O116" s="2163"/>
      <c r="P116" s="2163"/>
      <c r="Q116" s="1520">
        <f>IFERROR(MAX(Q113:Q115),"  ")</f>
        <v>0</v>
      </c>
      <c r="R116" s="1876" t="str">
        <f>IF(Q116&gt;85,("4"),IF(Q116&gt;80,("3.66"),IF(Q116&gt;75,("3.33"),IF(Q116&gt;70,("3.00"),IF(Q116&gt;65,("2.66"),IF(Q116&gt;60,("2.33"),IF(Q116&gt;55,("2"),IF(Q116&gt;50,("1.66"),"1.33"))))))))</f>
        <v>1.33</v>
      </c>
      <c r="S116" s="1876" t="str">
        <f>IF(Q116&gt;85,("A"),IF(Q116&gt;80,("A-"),IF(Q116&gt;75,("B+"),IF(Q116&gt;70,("B"),IF(Q116&gt;65,("B-"),IF(Q116&gt;60,("C+"),IF(Q116&gt;55,("C"),IF(Q116&gt;50,("C-"),"D+"))))))))</f>
        <v>D+</v>
      </c>
      <c r="T116" s="1876"/>
      <c r="U116" s="1877"/>
      <c r="V116" s="1878"/>
      <c r="W116" s="1878"/>
      <c r="X116" s="1878"/>
      <c r="Y116" s="1878"/>
      <c r="Z116" s="1879"/>
      <c r="AA116" s="1880"/>
      <c r="AB116" s="1881"/>
    </row>
    <row r="117" spans="1:28" ht="24.95" customHeight="1" x14ac:dyDescent="0.25">
      <c r="A117" s="724">
        <v>28</v>
      </c>
      <c r="B117" s="725"/>
      <c r="C117" s="1671" t="e">
        <f>VLOOKUP(A117,data_siswa,4,FALSE)</f>
        <v>#N/A</v>
      </c>
      <c r="D117" s="1862" t="s">
        <v>16</v>
      </c>
      <c r="E117" s="1493">
        <v>0</v>
      </c>
      <c r="F117" s="1493">
        <v>0</v>
      </c>
      <c r="G117" s="1493">
        <v>0</v>
      </c>
      <c r="H117" s="1493"/>
      <c r="I117" s="1493"/>
      <c r="J117" s="1493"/>
      <c r="K117" s="1493"/>
      <c r="L117" s="1493"/>
      <c r="M117" s="1493"/>
      <c r="N117" s="1077">
        <f>MAX(E117,H117,K117)</f>
        <v>0</v>
      </c>
      <c r="O117" s="2126">
        <f t="shared" ref="O117:O119" si="188">MAX(F117,I117,L117)</f>
        <v>0</v>
      </c>
      <c r="P117" s="2127">
        <f t="shared" ref="P117:P119" si="189">MAX(G117,J117,M117)</f>
        <v>0</v>
      </c>
      <c r="Q117" s="853">
        <f>IFERROR(AVERAGE(N117:P117),"")</f>
        <v>0</v>
      </c>
      <c r="R117" s="1519" t="str">
        <f>IF(Q117&gt;85,("4"),IF(Q117&gt;80,("3.66"),IF(Q117&gt;75,("3.33"),IF(Q117&gt;70,("3.00"),IF(Q117&gt;65,("2.66"),IF(Q117&gt;60,("2.33"),IF(Q117&gt;55,("2"),IF(Q117&gt;50,("1.66"),"1.33"))))))))</f>
        <v>1.33</v>
      </c>
      <c r="S117" s="1519" t="str">
        <f>IF(Q117&gt;85,("A"),IF(Q117&gt;80,("A-"),IF(Q117&gt;75,("B+"),IF(Q117&gt;70,("B"),IF(Q117&gt;65,("B-"),IF(Q117&gt;60,("C+"),IF(Q117&gt;55,("C"),IF(Q117&gt;50,("C-"),"D+"))))))))</f>
        <v>D+</v>
      </c>
      <c r="T117" s="1519" t="str">
        <f>IF(Q117&gt;80,("SB"),IF(Q117&gt;65,("B"),IF(Q117&gt;50,("C"),IF(Q117&gt;0,("K"),"0"))))</f>
        <v>0</v>
      </c>
      <c r="U117" s="1796"/>
      <c r="V117" s="1796"/>
      <c r="W117" s="1796"/>
      <c r="X117" s="1859"/>
      <c r="Y117" s="1859"/>
      <c r="Z117" s="1859"/>
      <c r="AA117" s="1860">
        <f>MAX(Q117:Q119)</f>
        <v>0</v>
      </c>
      <c r="AB117" s="1861" t="str">
        <f>IF(AA117&gt;85,("A"),IF(AA117&gt;80,("A-"),IF(AA117&gt;75,("B+"),IF(AA117&gt;70,("B"),IF(AA117&gt;65,("B-"),IF(AA117&gt;60,("C+"),IF(AA117&gt;55,("C"),IF(AA117&gt;50,("C-"),"D+"))))))))</f>
        <v>D+</v>
      </c>
    </row>
    <row r="118" spans="1:28" ht="24.95" customHeight="1" x14ac:dyDescent="0.25">
      <c r="A118" s="360"/>
      <c r="B118" s="719"/>
      <c r="C118" s="1673"/>
      <c r="D118" s="1862" t="s">
        <v>189</v>
      </c>
      <c r="E118" s="1497"/>
      <c r="F118" s="1493"/>
      <c r="G118" s="1493"/>
      <c r="H118" s="1493">
        <v>0</v>
      </c>
      <c r="I118" s="1493">
        <v>0</v>
      </c>
      <c r="J118" s="1493">
        <v>0</v>
      </c>
      <c r="K118" s="1493"/>
      <c r="L118" s="1493"/>
      <c r="M118" s="1493"/>
      <c r="N118" s="1077">
        <f t="shared" ref="N118:N119" si="190">MAX(E118,H118,K118)</f>
        <v>0</v>
      </c>
      <c r="O118" s="2126">
        <f t="shared" si="188"/>
        <v>0</v>
      </c>
      <c r="P118" s="2127">
        <f t="shared" si="189"/>
        <v>0</v>
      </c>
      <c r="Q118" s="853">
        <f t="shared" ref="Q118:Q119" si="191">IFERROR(AVERAGE(N118:P118),"")</f>
        <v>0</v>
      </c>
      <c r="R118" s="1518" t="str">
        <f t="shared" ref="R118:R119" si="192">IF(Q118&gt;85,("4"),IF(Q118&gt;80,("3.66"),IF(Q118&gt;75,("3.33"),IF(Q118&gt;70,("3.00"),IF(Q118&gt;65,("2.66"),IF(Q118&gt;60,("2.33"),IF(Q118&gt;55,("2"),IF(Q118&gt;50,("1.66"),"1.33"))))))))</f>
        <v>1.33</v>
      </c>
      <c r="S118" s="1518" t="str">
        <f t="shared" ref="S118:S119" si="193">IF(Q118&gt;85,("A"),IF(Q118&gt;80,("A-"),IF(Q118&gt;75,("B+"),IF(Q118&gt;70,("B"),IF(Q118&gt;65,("B-"),IF(Q118&gt;60,("C+"),IF(Q118&gt;55,("C"),IF(Q118&gt;50,("C-"),"D+"))))))))</f>
        <v>D+</v>
      </c>
      <c r="T118" s="1518" t="str">
        <f t="shared" ref="T118:T119" si="194">IF(Q118&gt;80,("SB"),IF(Q118&gt;65,("B"),IF(Q118&gt;50,("C"),IF(Q118&gt;0,("K"),"0"))))</f>
        <v>0</v>
      </c>
      <c r="U118" s="1863"/>
      <c r="V118" s="1864"/>
      <c r="W118" s="1864"/>
      <c r="X118" s="1865"/>
      <c r="Y118" s="1865"/>
      <c r="Z118" s="1866"/>
      <c r="AA118" s="1867"/>
      <c r="AB118" s="1868"/>
    </row>
    <row r="119" spans="1:28" ht="24.95" customHeight="1" x14ac:dyDescent="0.25">
      <c r="A119" s="360"/>
      <c r="B119" s="719"/>
      <c r="C119" s="1673"/>
      <c r="D119" s="1862" t="s">
        <v>186</v>
      </c>
      <c r="E119" s="1493"/>
      <c r="F119" s="1493"/>
      <c r="G119" s="1493"/>
      <c r="H119" s="1493"/>
      <c r="I119" s="1493"/>
      <c r="J119" s="1493"/>
      <c r="K119" s="1493">
        <v>0</v>
      </c>
      <c r="L119" s="1493">
        <v>0</v>
      </c>
      <c r="M119" s="1493">
        <v>0</v>
      </c>
      <c r="N119" s="1077">
        <f t="shared" si="190"/>
        <v>0</v>
      </c>
      <c r="O119" s="2126">
        <f t="shared" si="188"/>
        <v>0</v>
      </c>
      <c r="P119" s="2127">
        <f t="shared" si="189"/>
        <v>0</v>
      </c>
      <c r="Q119" s="853">
        <f t="shared" si="191"/>
        <v>0</v>
      </c>
      <c r="R119" s="1518" t="str">
        <f t="shared" si="192"/>
        <v>1.33</v>
      </c>
      <c r="S119" s="1518" t="str">
        <f t="shared" si="193"/>
        <v>D+</v>
      </c>
      <c r="T119" s="1518" t="str">
        <f t="shared" si="194"/>
        <v>0</v>
      </c>
      <c r="U119" s="1869"/>
      <c r="V119" s="1870"/>
      <c r="W119" s="1870"/>
      <c r="X119" s="1871"/>
      <c r="Y119" s="1871"/>
      <c r="Z119" s="1872"/>
      <c r="AA119" s="1873"/>
      <c r="AB119" s="1874"/>
    </row>
    <row r="120" spans="1:28" ht="24.95" customHeight="1" x14ac:dyDescent="0.25">
      <c r="A120" s="727"/>
      <c r="B120" s="731">
        <v>28</v>
      </c>
      <c r="C120" s="1674" t="s">
        <v>167</v>
      </c>
      <c r="D120" s="1797"/>
      <c r="E120" s="2901"/>
      <c r="F120" s="2902"/>
      <c r="G120" s="2902"/>
      <c r="H120" s="2080"/>
      <c r="I120" s="2080"/>
      <c r="J120" s="2080"/>
      <c r="K120" s="2080"/>
      <c r="L120" s="2080"/>
      <c r="M120" s="2080"/>
      <c r="N120" s="2163"/>
      <c r="O120" s="2163"/>
      <c r="P120" s="2163"/>
      <c r="Q120" s="1520">
        <f>IFERROR(MAX(Q117:Q119),"  ")</f>
        <v>0</v>
      </c>
      <c r="R120" s="1876" t="str">
        <f>IF(Q120&gt;85,("4"),IF(Q120&gt;80,("3.66"),IF(Q120&gt;75,("3.33"),IF(Q120&gt;70,("3.00"),IF(Q120&gt;65,("2.66"),IF(Q120&gt;60,("2.33"),IF(Q120&gt;55,("2"),IF(Q120&gt;50,("1.66"),"1.33"))))))))</f>
        <v>1.33</v>
      </c>
      <c r="S120" s="1876" t="str">
        <f>IF(Q120&gt;85,("A"),IF(Q120&gt;80,("A-"),IF(Q120&gt;75,("B+"),IF(Q120&gt;70,("B"),IF(Q120&gt;65,("B-"),IF(Q120&gt;60,("C+"),IF(Q120&gt;55,("C"),IF(Q120&gt;50,("C-"),"D+"))))))))</f>
        <v>D+</v>
      </c>
      <c r="T120" s="1876"/>
      <c r="U120" s="1877"/>
      <c r="V120" s="1878"/>
      <c r="W120" s="1878"/>
      <c r="X120" s="1878"/>
      <c r="Y120" s="1878"/>
      <c r="Z120" s="1879"/>
      <c r="AA120" s="1880"/>
      <c r="AB120" s="1881"/>
    </row>
    <row r="121" spans="1:28" ht="24.95" customHeight="1" x14ac:dyDescent="0.25">
      <c r="A121" s="724">
        <v>29</v>
      </c>
      <c r="B121" s="725"/>
      <c r="C121" s="1671" t="e">
        <f>VLOOKUP(A121,data_siswa,4,FALSE)</f>
        <v>#N/A</v>
      </c>
      <c r="D121" s="1862" t="s">
        <v>16</v>
      </c>
      <c r="E121" s="1493">
        <v>0</v>
      </c>
      <c r="F121" s="1493">
        <v>0</v>
      </c>
      <c r="G121" s="1493">
        <v>0</v>
      </c>
      <c r="H121" s="1493"/>
      <c r="I121" s="1493"/>
      <c r="J121" s="1493"/>
      <c r="K121" s="1493"/>
      <c r="L121" s="1493"/>
      <c r="M121" s="1493"/>
      <c r="N121" s="1077">
        <f>MAX(E121,H121,K121)</f>
        <v>0</v>
      </c>
      <c r="O121" s="2126">
        <f t="shared" ref="O121:O123" si="195">MAX(F121,I121,L121)</f>
        <v>0</v>
      </c>
      <c r="P121" s="2127">
        <f t="shared" ref="P121:P123" si="196">MAX(G121,J121,M121)</f>
        <v>0</v>
      </c>
      <c r="Q121" s="853">
        <f>IFERROR(AVERAGE(N121:P121),"")</f>
        <v>0</v>
      </c>
      <c r="R121" s="1519" t="str">
        <f>IF(Q121&gt;85,("4"),IF(Q121&gt;80,("3.66"),IF(Q121&gt;75,("3.33"),IF(Q121&gt;70,("3.00"),IF(Q121&gt;65,("2.66"),IF(Q121&gt;60,("2.33"),IF(Q121&gt;55,("2"),IF(Q121&gt;50,("1.66"),"1.33"))))))))</f>
        <v>1.33</v>
      </c>
      <c r="S121" s="1519" t="str">
        <f>IF(Q121&gt;85,("A"),IF(Q121&gt;80,("A-"),IF(Q121&gt;75,("B+"),IF(Q121&gt;70,("B"),IF(Q121&gt;65,("B-"),IF(Q121&gt;60,("C+"),IF(Q121&gt;55,("C"),IF(Q121&gt;50,("C-"),"D+"))))))))</f>
        <v>D+</v>
      </c>
      <c r="T121" s="1519" t="str">
        <f>IF(Q121&gt;80,("SB"),IF(Q121&gt;65,("B"),IF(Q121&gt;50,("C"),IF(Q121&gt;0,("K"),"0"))))</f>
        <v>0</v>
      </c>
      <c r="U121" s="1796"/>
      <c r="V121" s="1796"/>
      <c r="W121" s="1796"/>
      <c r="X121" s="1882"/>
      <c r="Y121" s="1882"/>
      <c r="Z121" s="1882"/>
      <c r="AA121" s="1860">
        <f>MAX(Q121:Q123)</f>
        <v>0</v>
      </c>
      <c r="AB121" s="1861" t="str">
        <f>IF(AA121&gt;85,("A"),IF(AA121&gt;80,("A-"),IF(AA121&gt;75,("B+"),IF(AA121&gt;70,("B"),IF(AA121&gt;65,("B-"),IF(AA121&gt;60,("C+"),IF(AA121&gt;55,("C"),IF(AA121&gt;50,("C-"),"D+"))))))))</f>
        <v>D+</v>
      </c>
    </row>
    <row r="122" spans="1:28" ht="24.95" customHeight="1" x14ac:dyDescent="0.25">
      <c r="A122" s="360"/>
      <c r="B122" s="719"/>
      <c r="C122" s="1673"/>
      <c r="D122" s="1862" t="s">
        <v>189</v>
      </c>
      <c r="E122" s="1497"/>
      <c r="F122" s="1493"/>
      <c r="G122" s="1493"/>
      <c r="H122" s="1493">
        <v>0</v>
      </c>
      <c r="I122" s="1493">
        <v>0</v>
      </c>
      <c r="J122" s="1493">
        <v>0</v>
      </c>
      <c r="K122" s="1493"/>
      <c r="L122" s="1493"/>
      <c r="M122" s="1493"/>
      <c r="N122" s="1077">
        <f t="shared" ref="N122:N123" si="197">MAX(E122,H122,K122)</f>
        <v>0</v>
      </c>
      <c r="O122" s="2126">
        <f t="shared" si="195"/>
        <v>0</v>
      </c>
      <c r="P122" s="2127">
        <f t="shared" si="196"/>
        <v>0</v>
      </c>
      <c r="Q122" s="853">
        <f t="shared" ref="Q122:Q123" si="198">IFERROR(AVERAGE(N122:P122),"")</f>
        <v>0</v>
      </c>
      <c r="R122" s="1518" t="str">
        <f t="shared" ref="R122:R123" si="199">IF(Q122&gt;85,("4"),IF(Q122&gt;80,("3.66"),IF(Q122&gt;75,("3.33"),IF(Q122&gt;70,("3.00"),IF(Q122&gt;65,("2.66"),IF(Q122&gt;60,("2.33"),IF(Q122&gt;55,("2"),IF(Q122&gt;50,("1.66"),"1.33"))))))))</f>
        <v>1.33</v>
      </c>
      <c r="S122" s="1518" t="str">
        <f t="shared" ref="S122:S123" si="200">IF(Q122&gt;85,("A"),IF(Q122&gt;80,("A-"),IF(Q122&gt;75,("B+"),IF(Q122&gt;70,("B"),IF(Q122&gt;65,("B-"),IF(Q122&gt;60,("C+"),IF(Q122&gt;55,("C"),IF(Q122&gt;50,("C-"),"D+"))))))))</f>
        <v>D+</v>
      </c>
      <c r="T122" s="1518" t="str">
        <f t="shared" ref="T122:T123" si="201">IF(Q122&gt;80,("SB"),IF(Q122&gt;65,("B"),IF(Q122&gt;50,("C"),IF(Q122&gt;0,("K"),"0"))))</f>
        <v>0</v>
      </c>
      <c r="U122" s="1863"/>
      <c r="V122" s="1864"/>
      <c r="W122" s="1864"/>
      <c r="X122" s="1865"/>
      <c r="Y122" s="1865"/>
      <c r="Z122" s="1866"/>
      <c r="AA122" s="1867"/>
      <c r="AB122" s="1868"/>
    </row>
    <row r="123" spans="1:28" ht="24.95" customHeight="1" x14ac:dyDescent="0.25">
      <c r="A123" s="360"/>
      <c r="B123" s="719"/>
      <c r="C123" s="1673"/>
      <c r="D123" s="1862" t="s">
        <v>186</v>
      </c>
      <c r="E123" s="1493"/>
      <c r="F123" s="1493"/>
      <c r="G123" s="1493"/>
      <c r="H123" s="1493"/>
      <c r="I123" s="1493"/>
      <c r="J123" s="1493"/>
      <c r="K123" s="1493">
        <v>0</v>
      </c>
      <c r="L123" s="1493">
        <v>0</v>
      </c>
      <c r="M123" s="1493">
        <v>0</v>
      </c>
      <c r="N123" s="1077">
        <f t="shared" si="197"/>
        <v>0</v>
      </c>
      <c r="O123" s="2126">
        <f t="shared" si="195"/>
        <v>0</v>
      </c>
      <c r="P123" s="2127">
        <f t="shared" si="196"/>
        <v>0</v>
      </c>
      <c r="Q123" s="853">
        <f t="shared" si="198"/>
        <v>0</v>
      </c>
      <c r="R123" s="1518" t="str">
        <f t="shared" si="199"/>
        <v>1.33</v>
      </c>
      <c r="S123" s="1518" t="str">
        <f t="shared" si="200"/>
        <v>D+</v>
      </c>
      <c r="T123" s="1518" t="str">
        <f t="shared" si="201"/>
        <v>0</v>
      </c>
      <c r="U123" s="1869"/>
      <c r="V123" s="1870"/>
      <c r="W123" s="1870"/>
      <c r="X123" s="1871"/>
      <c r="Y123" s="1871"/>
      <c r="Z123" s="1872"/>
      <c r="AA123" s="1873"/>
      <c r="AB123" s="1874"/>
    </row>
    <row r="124" spans="1:28" ht="24.95" customHeight="1" x14ac:dyDescent="0.25">
      <c r="A124" s="727"/>
      <c r="B124" s="731">
        <v>29</v>
      </c>
      <c r="C124" s="1674" t="s">
        <v>167</v>
      </c>
      <c r="D124" s="1875"/>
      <c r="E124" s="2901"/>
      <c r="F124" s="2902"/>
      <c r="G124" s="2902"/>
      <c r="H124" s="2080"/>
      <c r="I124" s="2080"/>
      <c r="J124" s="2080"/>
      <c r="K124" s="2080"/>
      <c r="L124" s="2080"/>
      <c r="M124" s="2080"/>
      <c r="N124" s="2163"/>
      <c r="O124" s="2163"/>
      <c r="P124" s="2163"/>
      <c r="Q124" s="1520">
        <f>IFERROR(MAX(Q121:Q123),"  ")</f>
        <v>0</v>
      </c>
      <c r="R124" s="1876" t="str">
        <f>IF(Q124&gt;85,("4"),IF(Q124&gt;80,("3.66"),IF(Q124&gt;75,("3.33"),IF(Q124&gt;70,("3.00"),IF(Q124&gt;65,("2.66"),IF(Q124&gt;60,("2.33"),IF(Q124&gt;55,("2"),IF(Q124&gt;50,("1.66"),"1.33"))))))))</f>
        <v>1.33</v>
      </c>
      <c r="S124" s="1876" t="str">
        <f>IF(Q124&gt;85,("A"),IF(Q124&gt;80,("A-"),IF(Q124&gt;75,("B+"),IF(Q124&gt;70,("B"),IF(Q124&gt;65,("B-"),IF(Q124&gt;60,("C+"),IF(Q124&gt;55,("C"),IF(Q124&gt;50,("C-"),"D+"))))))))</f>
        <v>D+</v>
      </c>
      <c r="T124" s="1876"/>
      <c r="U124" s="1877"/>
      <c r="V124" s="1878"/>
      <c r="W124" s="1878"/>
      <c r="X124" s="1883"/>
      <c r="Y124" s="1883"/>
      <c r="Z124" s="1884"/>
      <c r="AA124" s="1880"/>
      <c r="AB124" s="1881"/>
    </row>
    <row r="125" spans="1:28" ht="24.95" customHeight="1" x14ac:dyDescent="0.25">
      <c r="A125" s="724">
        <v>30</v>
      </c>
      <c r="B125" s="725"/>
      <c r="C125" s="1671" t="e">
        <f>VLOOKUP(A125,data_siswa,4,FALSE)</f>
        <v>#N/A</v>
      </c>
      <c r="D125" s="1862" t="s">
        <v>16</v>
      </c>
      <c r="E125" s="1493">
        <v>0</v>
      </c>
      <c r="F125" s="1493">
        <v>0</v>
      </c>
      <c r="G125" s="1493">
        <v>0</v>
      </c>
      <c r="H125" s="1493"/>
      <c r="I125" s="1493"/>
      <c r="J125" s="1493"/>
      <c r="K125" s="1493"/>
      <c r="L125" s="1493"/>
      <c r="M125" s="1493"/>
      <c r="N125" s="1077">
        <f>MAX(E125,H125,K125)</f>
        <v>0</v>
      </c>
      <c r="O125" s="2126">
        <f t="shared" ref="O125:O127" si="202">MAX(F125,I125,L125)</f>
        <v>0</v>
      </c>
      <c r="P125" s="2127">
        <f t="shared" ref="P125:P127" si="203">MAX(G125,J125,M125)</f>
        <v>0</v>
      </c>
      <c r="Q125" s="853">
        <f>IFERROR(AVERAGE(N125:P125),"")</f>
        <v>0</v>
      </c>
      <c r="R125" s="1519" t="str">
        <f>IF(Q125&gt;85,("4"),IF(Q125&gt;80,("3.66"),IF(Q125&gt;75,("3.33"),IF(Q125&gt;70,("3.00"),IF(Q125&gt;65,("2.66"),IF(Q125&gt;60,("2.33"),IF(Q125&gt;55,("2"),IF(Q125&gt;50,("1.66"),"1.33"))))))))</f>
        <v>1.33</v>
      </c>
      <c r="S125" s="1519" t="str">
        <f>IF(Q125&gt;85,("A"),IF(Q125&gt;80,("A-"),IF(Q125&gt;75,("B+"),IF(Q125&gt;70,("B"),IF(Q125&gt;65,("B-"),IF(Q125&gt;60,("C+"),IF(Q125&gt;55,("C"),IF(Q125&gt;50,("C-"),"D+"))))))))</f>
        <v>D+</v>
      </c>
      <c r="T125" s="1519" t="str">
        <f>IF(Q125&gt;80,("SB"),IF(Q125&gt;65,("B"),IF(Q125&gt;50,("C"),IF(Q125&gt;0,("K"),"0"))))</f>
        <v>0</v>
      </c>
      <c r="U125" s="1796"/>
      <c r="V125" s="1796"/>
      <c r="W125" s="1796"/>
      <c r="X125" s="1859"/>
      <c r="Y125" s="1859"/>
      <c r="Z125" s="1859"/>
      <c r="AA125" s="1860">
        <f>MAX(Q125:Q127)</f>
        <v>0</v>
      </c>
      <c r="AB125" s="1861" t="str">
        <f>IF(AA125&gt;85,("A"),IF(AA125&gt;80,("A-"),IF(AA125&gt;75,("B+"),IF(AA125&gt;70,("B"),IF(AA125&gt;65,("B-"),IF(AA125&gt;60,("C+"),IF(AA125&gt;55,("C"),IF(AA125&gt;50,("C-"),"D+"))))))))</f>
        <v>D+</v>
      </c>
    </row>
    <row r="126" spans="1:28" ht="24.95" customHeight="1" x14ac:dyDescent="0.25">
      <c r="A126" s="360"/>
      <c r="B126" s="719"/>
      <c r="C126" s="1673"/>
      <c r="D126" s="1862" t="s">
        <v>189</v>
      </c>
      <c r="E126" s="1497"/>
      <c r="F126" s="1493"/>
      <c r="G126" s="1493"/>
      <c r="H126" s="1493">
        <v>0</v>
      </c>
      <c r="I126" s="1493">
        <v>0</v>
      </c>
      <c r="J126" s="1493">
        <v>0</v>
      </c>
      <c r="K126" s="1493"/>
      <c r="L126" s="1493"/>
      <c r="M126" s="1493"/>
      <c r="N126" s="1077">
        <f t="shared" ref="N126:N127" si="204">MAX(E126,H126,K126)</f>
        <v>0</v>
      </c>
      <c r="O126" s="2126">
        <f t="shared" si="202"/>
        <v>0</v>
      </c>
      <c r="P126" s="2127">
        <f t="shared" si="203"/>
        <v>0</v>
      </c>
      <c r="Q126" s="853">
        <f t="shared" ref="Q126:Q127" si="205">IFERROR(AVERAGE(N126:P126),"")</f>
        <v>0</v>
      </c>
      <c r="R126" s="1518" t="str">
        <f t="shared" ref="R126:R127" si="206">IF(Q126&gt;85,("4"),IF(Q126&gt;80,("3.66"),IF(Q126&gt;75,("3.33"),IF(Q126&gt;70,("3.00"),IF(Q126&gt;65,("2.66"),IF(Q126&gt;60,("2.33"),IF(Q126&gt;55,("2"),IF(Q126&gt;50,("1.66"),"1.33"))))))))</f>
        <v>1.33</v>
      </c>
      <c r="S126" s="1518" t="str">
        <f t="shared" ref="S126:S127" si="207">IF(Q126&gt;85,("A"),IF(Q126&gt;80,("A-"),IF(Q126&gt;75,("B+"),IF(Q126&gt;70,("B"),IF(Q126&gt;65,("B-"),IF(Q126&gt;60,("C+"),IF(Q126&gt;55,("C"),IF(Q126&gt;50,("C-"),"D+"))))))))</f>
        <v>D+</v>
      </c>
      <c r="T126" s="1518" t="str">
        <f t="shared" ref="T126:T127" si="208">IF(Q126&gt;80,("SB"),IF(Q126&gt;65,("B"),IF(Q126&gt;50,("C"),IF(Q126&gt;0,("K"),"0"))))</f>
        <v>0</v>
      </c>
      <c r="U126" s="1863"/>
      <c r="V126" s="1864"/>
      <c r="W126" s="1864"/>
      <c r="X126" s="1865"/>
      <c r="Y126" s="1865"/>
      <c r="Z126" s="1866"/>
      <c r="AA126" s="1867"/>
      <c r="AB126" s="1868"/>
    </row>
    <row r="127" spans="1:28" ht="24.95" customHeight="1" x14ac:dyDescent="0.25">
      <c r="A127" s="360"/>
      <c r="B127" s="719"/>
      <c r="C127" s="1673"/>
      <c r="D127" s="1862" t="s">
        <v>186</v>
      </c>
      <c r="E127" s="1493"/>
      <c r="F127" s="1493"/>
      <c r="G127" s="1493"/>
      <c r="H127" s="1493"/>
      <c r="I127" s="1493"/>
      <c r="J127" s="1493"/>
      <c r="K127" s="1493">
        <v>0</v>
      </c>
      <c r="L127" s="1493">
        <v>0</v>
      </c>
      <c r="M127" s="1493">
        <v>0</v>
      </c>
      <c r="N127" s="1077">
        <f t="shared" si="204"/>
        <v>0</v>
      </c>
      <c r="O127" s="2126">
        <f t="shared" si="202"/>
        <v>0</v>
      </c>
      <c r="P127" s="2127">
        <f t="shared" si="203"/>
        <v>0</v>
      </c>
      <c r="Q127" s="853">
        <f t="shared" si="205"/>
        <v>0</v>
      </c>
      <c r="R127" s="1518" t="str">
        <f t="shared" si="206"/>
        <v>1.33</v>
      </c>
      <c r="S127" s="1518" t="str">
        <f t="shared" si="207"/>
        <v>D+</v>
      </c>
      <c r="T127" s="1518" t="str">
        <f t="shared" si="208"/>
        <v>0</v>
      </c>
      <c r="U127" s="1869"/>
      <c r="V127" s="1870"/>
      <c r="W127" s="1870"/>
      <c r="X127" s="1871"/>
      <c r="Y127" s="1871"/>
      <c r="Z127" s="1872"/>
      <c r="AA127" s="1873"/>
      <c r="AB127" s="1874"/>
    </row>
    <row r="128" spans="1:28" ht="24.95" customHeight="1" x14ac:dyDescent="0.25">
      <c r="A128" s="727"/>
      <c r="B128" s="731">
        <v>30</v>
      </c>
      <c r="C128" s="1674" t="s">
        <v>167</v>
      </c>
      <c r="D128" s="1797"/>
      <c r="E128" s="2901"/>
      <c r="F128" s="2902"/>
      <c r="G128" s="2902"/>
      <c r="H128" s="2024"/>
      <c r="I128" s="2024"/>
      <c r="J128" s="2024"/>
      <c r="K128" s="2024"/>
      <c r="L128" s="2024"/>
      <c r="M128" s="2024"/>
      <c r="N128" s="2163"/>
      <c r="O128" s="2163"/>
      <c r="P128" s="2163"/>
      <c r="Q128" s="1520">
        <f>IFERROR(MAX(Q125:Q127),"  ")</f>
        <v>0</v>
      </c>
      <c r="R128" s="1876" t="str">
        <f>IF(Q128&gt;85,("4"),IF(Q128&gt;80,("3.66"),IF(Q128&gt;75,("3.33"),IF(Q128&gt;70,("3.00"),IF(Q128&gt;65,("2.66"),IF(Q128&gt;60,("2.33"),IF(Q128&gt;55,("2"),IF(Q128&gt;50,("1.66"),"1.33"))))))))</f>
        <v>1.33</v>
      </c>
      <c r="S128" s="1876" t="str">
        <f>IF(Q128&gt;85,("A"),IF(Q128&gt;80,("A-"),IF(Q128&gt;75,("B+"),IF(Q128&gt;70,("B"),IF(Q128&gt;65,("B-"),IF(Q128&gt;60,("C+"),IF(Q128&gt;55,("C"),IF(Q128&gt;50,("C-"),"D+"))))))))</f>
        <v>D+</v>
      </c>
      <c r="T128" s="1876"/>
      <c r="U128" s="1877"/>
      <c r="V128" s="1878"/>
      <c r="W128" s="1878"/>
      <c r="X128" s="1878"/>
      <c r="Y128" s="1878"/>
      <c r="Z128" s="1879"/>
      <c r="AA128" s="1880"/>
      <c r="AB128" s="1881"/>
    </row>
    <row r="129" spans="1:28" ht="24.95" customHeight="1" x14ac:dyDescent="0.25">
      <c r="A129" s="724">
        <v>31</v>
      </c>
      <c r="B129" s="725"/>
      <c r="C129" s="1671" t="e">
        <f>VLOOKUP(A129,data_siswa,4,FALSE)</f>
        <v>#N/A</v>
      </c>
      <c r="D129" s="1862" t="s">
        <v>16</v>
      </c>
      <c r="E129" s="1493">
        <v>0</v>
      </c>
      <c r="F129" s="1493">
        <v>0</v>
      </c>
      <c r="G129" s="1493">
        <v>0</v>
      </c>
      <c r="H129" s="1493"/>
      <c r="I129" s="1493"/>
      <c r="J129" s="1493"/>
      <c r="K129" s="1493"/>
      <c r="L129" s="1493"/>
      <c r="M129" s="1493"/>
      <c r="N129" s="1077">
        <f>MAX(E129,H129,K129)</f>
        <v>0</v>
      </c>
      <c r="O129" s="2126">
        <f t="shared" ref="O129:O131" si="209">MAX(F129,I129,L129)</f>
        <v>0</v>
      </c>
      <c r="P129" s="2127">
        <f t="shared" ref="P129:P131" si="210">MAX(G129,J129,M129)</f>
        <v>0</v>
      </c>
      <c r="Q129" s="853">
        <f>IFERROR(AVERAGE(N129:P129),"")</f>
        <v>0</v>
      </c>
      <c r="R129" s="1519" t="str">
        <f>IF(Q129&gt;85,("4"),IF(Q129&gt;80,("3.66"),IF(Q129&gt;75,("3.33"),IF(Q129&gt;70,("3.00"),IF(Q129&gt;65,("2.66"),IF(Q129&gt;60,("2.33"),IF(Q129&gt;55,("2"),IF(Q129&gt;50,("1.66"),"1.33"))))))))</f>
        <v>1.33</v>
      </c>
      <c r="S129" s="1519" t="str">
        <f>IF(Q129&gt;85,("A"),IF(Q129&gt;80,("A-"),IF(Q129&gt;75,("B+"),IF(Q129&gt;70,("B"),IF(Q129&gt;65,("B-"),IF(Q129&gt;60,("C+"),IF(Q129&gt;55,("C"),IF(Q129&gt;50,("C-"),"D+"))))))))</f>
        <v>D+</v>
      </c>
      <c r="T129" s="1519" t="str">
        <f>IF(Q129&gt;80,("SB"),IF(Q129&gt;65,("B"),IF(Q129&gt;50,("C"),IF(Q129&gt;0,("K"),"0"))))</f>
        <v>0</v>
      </c>
      <c r="U129" s="1796"/>
      <c r="V129" s="1796"/>
      <c r="W129" s="1796"/>
      <c r="X129" s="1859"/>
      <c r="Y129" s="1859"/>
      <c r="Z129" s="1859"/>
      <c r="AA129" s="1860">
        <f>MAX(Q129:Q131)</f>
        <v>0</v>
      </c>
      <c r="AB129" s="1861" t="str">
        <f>IF(AA129&gt;85,("A"),IF(AA129&gt;80,("A-"),IF(AA129&gt;75,("B+"),IF(AA129&gt;70,("B"),IF(AA129&gt;65,("B-"),IF(AA129&gt;60,("C+"),IF(AA129&gt;55,("C"),IF(AA129&gt;50,("C-"),"D+"))))))))</f>
        <v>D+</v>
      </c>
    </row>
    <row r="130" spans="1:28" ht="24.95" customHeight="1" x14ac:dyDescent="0.25">
      <c r="A130" s="360"/>
      <c r="B130" s="719"/>
      <c r="C130" s="1673"/>
      <c r="D130" s="1862" t="s">
        <v>189</v>
      </c>
      <c r="E130" s="1497"/>
      <c r="F130" s="1493"/>
      <c r="G130" s="1493"/>
      <c r="H130" s="1493">
        <v>0</v>
      </c>
      <c r="I130" s="1493">
        <v>0</v>
      </c>
      <c r="J130" s="1493">
        <v>0</v>
      </c>
      <c r="K130" s="1493"/>
      <c r="L130" s="1493"/>
      <c r="M130" s="1493"/>
      <c r="N130" s="1077">
        <f t="shared" ref="N130:N131" si="211">MAX(E130,H130,K130)</f>
        <v>0</v>
      </c>
      <c r="O130" s="2126">
        <f t="shared" si="209"/>
        <v>0</v>
      </c>
      <c r="P130" s="2127">
        <f t="shared" si="210"/>
        <v>0</v>
      </c>
      <c r="Q130" s="853">
        <f t="shared" ref="Q130:Q131" si="212">IFERROR(AVERAGE(N130:P130),"")</f>
        <v>0</v>
      </c>
      <c r="R130" s="1518" t="str">
        <f t="shared" ref="R130:R131" si="213">IF(Q130&gt;85,("4"),IF(Q130&gt;80,("3.66"),IF(Q130&gt;75,("3.33"),IF(Q130&gt;70,("3.00"),IF(Q130&gt;65,("2.66"),IF(Q130&gt;60,("2.33"),IF(Q130&gt;55,("2"),IF(Q130&gt;50,("1.66"),"1.33"))))))))</f>
        <v>1.33</v>
      </c>
      <c r="S130" s="1518" t="str">
        <f t="shared" ref="S130:S131" si="214">IF(Q130&gt;85,("A"),IF(Q130&gt;80,("A-"),IF(Q130&gt;75,("B+"),IF(Q130&gt;70,("B"),IF(Q130&gt;65,("B-"),IF(Q130&gt;60,("C+"),IF(Q130&gt;55,("C"),IF(Q130&gt;50,("C-"),"D+"))))))))</f>
        <v>D+</v>
      </c>
      <c r="T130" s="1518" t="str">
        <f t="shared" ref="T130:T131" si="215">IF(Q130&gt;80,("SB"),IF(Q130&gt;65,("B"),IF(Q130&gt;50,("C"),IF(Q130&gt;0,("K"),"0"))))</f>
        <v>0</v>
      </c>
      <c r="U130" s="1863"/>
      <c r="V130" s="1864"/>
      <c r="W130" s="1864"/>
      <c r="X130" s="1865"/>
      <c r="Y130" s="1865"/>
      <c r="Z130" s="1866"/>
      <c r="AA130" s="1867"/>
      <c r="AB130" s="1868"/>
    </row>
    <row r="131" spans="1:28" ht="24.95" customHeight="1" x14ac:dyDescent="0.25">
      <c r="A131" s="360"/>
      <c r="B131" s="719"/>
      <c r="C131" s="1673"/>
      <c r="D131" s="1862" t="s">
        <v>186</v>
      </c>
      <c r="E131" s="1493"/>
      <c r="F131" s="1493"/>
      <c r="G131" s="1493"/>
      <c r="H131" s="1493"/>
      <c r="I131" s="1493"/>
      <c r="J131" s="1493"/>
      <c r="K131" s="1493">
        <v>0</v>
      </c>
      <c r="L131" s="1493">
        <v>0</v>
      </c>
      <c r="M131" s="1493">
        <v>0</v>
      </c>
      <c r="N131" s="1077">
        <f t="shared" si="211"/>
        <v>0</v>
      </c>
      <c r="O131" s="2126">
        <f t="shared" si="209"/>
        <v>0</v>
      </c>
      <c r="P131" s="2127">
        <f t="shared" si="210"/>
        <v>0</v>
      </c>
      <c r="Q131" s="853">
        <f t="shared" si="212"/>
        <v>0</v>
      </c>
      <c r="R131" s="1518" t="str">
        <f t="shared" si="213"/>
        <v>1.33</v>
      </c>
      <c r="S131" s="1518" t="str">
        <f t="shared" si="214"/>
        <v>D+</v>
      </c>
      <c r="T131" s="1518" t="str">
        <f t="shared" si="215"/>
        <v>0</v>
      </c>
      <c r="U131" s="1869"/>
      <c r="V131" s="1870"/>
      <c r="W131" s="1870"/>
      <c r="X131" s="1871"/>
      <c r="Y131" s="1871"/>
      <c r="Z131" s="1872"/>
      <c r="AA131" s="1873"/>
      <c r="AB131" s="1874"/>
    </row>
    <row r="132" spans="1:28" ht="24.95" customHeight="1" x14ac:dyDescent="0.25">
      <c r="A132" s="727"/>
      <c r="B132" s="731">
        <v>31</v>
      </c>
      <c r="C132" s="1674" t="s">
        <v>167</v>
      </c>
      <c r="D132" s="1797"/>
      <c r="E132" s="2901"/>
      <c r="F132" s="2902"/>
      <c r="G132" s="2902"/>
      <c r="H132" s="2080"/>
      <c r="I132" s="2080"/>
      <c r="J132" s="2080"/>
      <c r="K132" s="2080"/>
      <c r="L132" s="2080"/>
      <c r="M132" s="2080"/>
      <c r="N132" s="2163"/>
      <c r="O132" s="2163"/>
      <c r="P132" s="2163"/>
      <c r="Q132" s="1520">
        <f>IFERROR(MAX(Q129:Q131),"  ")</f>
        <v>0</v>
      </c>
      <c r="R132" s="1876" t="str">
        <f>IF(Q132&gt;85,("4"),IF(Q132&gt;80,("3.66"),IF(Q132&gt;75,("3.33"),IF(Q132&gt;70,("3.00"),IF(Q132&gt;65,("2.66"),IF(Q132&gt;60,("2.33"),IF(Q132&gt;55,("2"),IF(Q132&gt;50,("1.66"),"1.33"))))))))</f>
        <v>1.33</v>
      </c>
      <c r="S132" s="1876" t="str">
        <f>IF(Q132&gt;85,("A"),IF(Q132&gt;80,("A-"),IF(Q132&gt;75,("B+"),IF(Q132&gt;70,("B"),IF(Q132&gt;65,("B-"),IF(Q132&gt;60,("C+"),IF(Q132&gt;55,("C"),IF(Q132&gt;50,("C-"),"D+"))))))))</f>
        <v>D+</v>
      </c>
      <c r="T132" s="1876"/>
      <c r="U132" s="1877"/>
      <c r="V132" s="1878"/>
      <c r="W132" s="1878"/>
      <c r="X132" s="1878"/>
      <c r="Y132" s="1878"/>
      <c r="Z132" s="1879"/>
      <c r="AA132" s="1880"/>
      <c r="AB132" s="1881"/>
    </row>
    <row r="133" spans="1:28" ht="24.95" customHeight="1" x14ac:dyDescent="0.25">
      <c r="A133" s="724">
        <v>32</v>
      </c>
      <c r="B133" s="725"/>
      <c r="C133" s="1671" t="e">
        <f>VLOOKUP(A133,data_siswa,4,FALSE)</f>
        <v>#N/A</v>
      </c>
      <c r="D133" s="1862" t="s">
        <v>16</v>
      </c>
      <c r="E133" s="1493">
        <v>0</v>
      </c>
      <c r="F133" s="1493">
        <v>0</v>
      </c>
      <c r="G133" s="1493">
        <v>0</v>
      </c>
      <c r="H133" s="1493"/>
      <c r="I133" s="1493"/>
      <c r="J133" s="1493"/>
      <c r="K133" s="1493"/>
      <c r="L133" s="1493"/>
      <c r="M133" s="1493"/>
      <c r="N133" s="1077">
        <f>MAX(E133,H133,K133)</f>
        <v>0</v>
      </c>
      <c r="O133" s="2126">
        <f t="shared" ref="O133:O135" si="216">MAX(F133,I133,L133)</f>
        <v>0</v>
      </c>
      <c r="P133" s="2127">
        <f t="shared" ref="P133:P135" si="217">MAX(G133,J133,M133)</f>
        <v>0</v>
      </c>
      <c r="Q133" s="853">
        <f>IFERROR(AVERAGE(N133:P133),"")</f>
        <v>0</v>
      </c>
      <c r="R133" s="1519" t="str">
        <f>IF(Q133&gt;85,("4"),IF(Q133&gt;80,("3.66"),IF(Q133&gt;75,("3.33"),IF(Q133&gt;70,("3.00"),IF(Q133&gt;65,("2.66"),IF(Q133&gt;60,("2.33"),IF(Q133&gt;55,("2"),IF(Q133&gt;50,("1.66"),"1.33"))))))))</f>
        <v>1.33</v>
      </c>
      <c r="S133" s="1519" t="str">
        <f>IF(Q133&gt;85,("A"),IF(Q133&gt;80,("A-"),IF(Q133&gt;75,("B+"),IF(Q133&gt;70,("B"),IF(Q133&gt;65,("B-"),IF(Q133&gt;60,("C+"),IF(Q133&gt;55,("C"),IF(Q133&gt;50,("C-"),"D+"))))))))</f>
        <v>D+</v>
      </c>
      <c r="T133" s="1519" t="str">
        <f>IF(Q133&gt;80,("SB"),IF(Q133&gt;65,("B"),IF(Q133&gt;50,("C"),IF(Q133&gt;0,("K"),"0"))))</f>
        <v>0</v>
      </c>
      <c r="U133" s="1796"/>
      <c r="V133" s="1796"/>
      <c r="W133" s="1796"/>
      <c r="X133" s="1859"/>
      <c r="Y133" s="1859"/>
      <c r="Z133" s="1859"/>
      <c r="AA133" s="1860">
        <f>MAX(Q133:Q135)</f>
        <v>0</v>
      </c>
      <c r="AB133" s="1861" t="str">
        <f>IF(AA133&gt;85,("A"),IF(AA133&gt;80,("A-"),IF(AA133&gt;75,("B+"),IF(AA133&gt;70,("B"),IF(AA133&gt;65,("B-"),IF(AA133&gt;60,("C+"),IF(AA133&gt;55,("C"),IF(AA133&gt;50,("C-"),"D+"))))))))</f>
        <v>D+</v>
      </c>
    </row>
    <row r="134" spans="1:28" ht="24.95" customHeight="1" x14ac:dyDescent="0.25">
      <c r="A134" s="360"/>
      <c r="B134" s="719"/>
      <c r="C134" s="1673"/>
      <c r="D134" s="1862" t="s">
        <v>189</v>
      </c>
      <c r="E134" s="1497"/>
      <c r="F134" s="1493"/>
      <c r="G134" s="1493"/>
      <c r="H134" s="1493">
        <v>0</v>
      </c>
      <c r="I134" s="1493">
        <v>0</v>
      </c>
      <c r="J134" s="1493">
        <v>0</v>
      </c>
      <c r="K134" s="1493"/>
      <c r="L134" s="1493"/>
      <c r="M134" s="1493"/>
      <c r="N134" s="1077">
        <f t="shared" ref="N134:N135" si="218">MAX(E134,H134,K134)</f>
        <v>0</v>
      </c>
      <c r="O134" s="2126">
        <f t="shared" si="216"/>
        <v>0</v>
      </c>
      <c r="P134" s="2127">
        <f t="shared" si="217"/>
        <v>0</v>
      </c>
      <c r="Q134" s="853">
        <f t="shared" ref="Q134:Q135" si="219">IFERROR(AVERAGE(N134:P134),"")</f>
        <v>0</v>
      </c>
      <c r="R134" s="1518" t="str">
        <f t="shared" ref="R134:R135" si="220">IF(Q134&gt;85,("4"),IF(Q134&gt;80,("3.66"),IF(Q134&gt;75,("3.33"),IF(Q134&gt;70,("3.00"),IF(Q134&gt;65,("2.66"),IF(Q134&gt;60,("2.33"),IF(Q134&gt;55,("2"),IF(Q134&gt;50,("1.66"),"1.33"))))))))</f>
        <v>1.33</v>
      </c>
      <c r="S134" s="1518" t="str">
        <f t="shared" ref="S134:S135" si="221">IF(Q134&gt;85,("A"),IF(Q134&gt;80,("A-"),IF(Q134&gt;75,("B+"),IF(Q134&gt;70,("B"),IF(Q134&gt;65,("B-"),IF(Q134&gt;60,("C+"),IF(Q134&gt;55,("C"),IF(Q134&gt;50,("C-"),"D+"))))))))</f>
        <v>D+</v>
      </c>
      <c r="T134" s="1518" t="str">
        <f t="shared" ref="T134:T135" si="222">IF(Q134&gt;80,("SB"),IF(Q134&gt;65,("B"),IF(Q134&gt;50,("C"),IF(Q134&gt;0,("K"),"0"))))</f>
        <v>0</v>
      </c>
      <c r="U134" s="1863"/>
      <c r="V134" s="1864"/>
      <c r="W134" s="1864"/>
      <c r="X134" s="1865"/>
      <c r="Y134" s="1865"/>
      <c r="Z134" s="1866"/>
      <c r="AA134" s="1867"/>
      <c r="AB134" s="1868"/>
    </row>
    <row r="135" spans="1:28" ht="24.95" customHeight="1" x14ac:dyDescent="0.25">
      <c r="A135" s="360"/>
      <c r="B135" s="719"/>
      <c r="C135" s="1673"/>
      <c r="D135" s="1862" t="s">
        <v>186</v>
      </c>
      <c r="E135" s="1493"/>
      <c r="F135" s="1493"/>
      <c r="G135" s="1493"/>
      <c r="H135" s="1493"/>
      <c r="I135" s="1493"/>
      <c r="J135" s="1493"/>
      <c r="K135" s="1493">
        <v>0</v>
      </c>
      <c r="L135" s="1493">
        <v>0</v>
      </c>
      <c r="M135" s="1493">
        <v>0</v>
      </c>
      <c r="N135" s="1077">
        <f t="shared" si="218"/>
        <v>0</v>
      </c>
      <c r="O135" s="2126">
        <f t="shared" si="216"/>
        <v>0</v>
      </c>
      <c r="P135" s="2127">
        <f t="shared" si="217"/>
        <v>0</v>
      </c>
      <c r="Q135" s="853">
        <f t="shared" si="219"/>
        <v>0</v>
      </c>
      <c r="R135" s="1518" t="str">
        <f t="shared" si="220"/>
        <v>1.33</v>
      </c>
      <c r="S135" s="1518" t="str">
        <f t="shared" si="221"/>
        <v>D+</v>
      </c>
      <c r="T135" s="1518" t="str">
        <f t="shared" si="222"/>
        <v>0</v>
      </c>
      <c r="U135" s="1869"/>
      <c r="V135" s="1870"/>
      <c r="W135" s="1870"/>
      <c r="X135" s="1871"/>
      <c r="Y135" s="1871"/>
      <c r="Z135" s="1872"/>
      <c r="AA135" s="1873"/>
      <c r="AB135" s="1874"/>
    </row>
    <row r="136" spans="1:28" ht="24.95" customHeight="1" x14ac:dyDescent="0.25">
      <c r="A136" s="727"/>
      <c r="B136" s="731">
        <v>32</v>
      </c>
      <c r="C136" s="1674" t="s">
        <v>167</v>
      </c>
      <c r="D136" s="1797"/>
      <c r="E136" s="2901"/>
      <c r="F136" s="2902"/>
      <c r="G136" s="2902"/>
      <c r="H136" s="2080"/>
      <c r="I136" s="2080"/>
      <c r="J136" s="2080"/>
      <c r="K136" s="2080"/>
      <c r="L136" s="2080"/>
      <c r="M136" s="2080"/>
      <c r="N136" s="2163"/>
      <c r="O136" s="2163"/>
      <c r="P136" s="2163"/>
      <c r="Q136" s="1520">
        <f>IFERROR(MAX(Q133:Q135),"  ")</f>
        <v>0</v>
      </c>
      <c r="R136" s="1876" t="str">
        <f>IF(Q136&gt;85,("4"),IF(Q136&gt;80,("3.66"),IF(Q136&gt;75,("3.33"),IF(Q136&gt;70,("3.00"),IF(Q136&gt;65,("2.66"),IF(Q136&gt;60,("2.33"),IF(Q136&gt;55,("2"),IF(Q136&gt;50,("1.66"),"1.33"))))))))</f>
        <v>1.33</v>
      </c>
      <c r="S136" s="1876" t="str">
        <f>IF(Q136&gt;85,("A"),IF(Q136&gt;80,("A-"),IF(Q136&gt;75,("B+"),IF(Q136&gt;70,("B"),IF(Q136&gt;65,("B-"),IF(Q136&gt;60,("C+"),IF(Q136&gt;55,("C"),IF(Q136&gt;50,("C-"),"D+"))))))))</f>
        <v>D+</v>
      </c>
      <c r="T136" s="1876"/>
      <c r="U136" s="1877"/>
      <c r="V136" s="1878"/>
      <c r="W136" s="1878"/>
      <c r="X136" s="1878"/>
      <c r="Y136" s="1878"/>
      <c r="Z136" s="1879"/>
      <c r="AA136" s="1880"/>
      <c r="AB136" s="1881"/>
    </row>
    <row r="137" spans="1:28" ht="24.95" customHeight="1" x14ac:dyDescent="0.25">
      <c r="A137" s="724">
        <v>33</v>
      </c>
      <c r="B137" s="725"/>
      <c r="C137" s="1671" t="e">
        <f>VLOOKUP(A137,data_siswa,4,FALSE)</f>
        <v>#N/A</v>
      </c>
      <c r="D137" s="1862" t="s">
        <v>16</v>
      </c>
      <c r="E137" s="1493">
        <v>0</v>
      </c>
      <c r="F137" s="1493">
        <v>0</v>
      </c>
      <c r="G137" s="1493">
        <v>0</v>
      </c>
      <c r="H137" s="1493"/>
      <c r="I137" s="1493"/>
      <c r="J137" s="1493"/>
      <c r="K137" s="1493"/>
      <c r="L137" s="1493"/>
      <c r="M137" s="1493"/>
      <c r="N137" s="1077">
        <f>MAX(E137,H137,K137)</f>
        <v>0</v>
      </c>
      <c r="O137" s="2126">
        <f t="shared" ref="O137:O139" si="223">MAX(F137,I137,L137)</f>
        <v>0</v>
      </c>
      <c r="P137" s="2127">
        <f t="shared" ref="P137:P139" si="224">MAX(G137,J137,M137)</f>
        <v>0</v>
      </c>
      <c r="Q137" s="853">
        <f>IFERROR(AVERAGE(N137:P137),"")</f>
        <v>0</v>
      </c>
      <c r="R137" s="1519" t="str">
        <f>IF(Q137&gt;85,("4"),IF(Q137&gt;80,("3.66"),IF(Q137&gt;75,("3.33"),IF(Q137&gt;70,("3.00"),IF(Q137&gt;65,("2.66"),IF(Q137&gt;60,("2.33"),IF(Q137&gt;55,("2"),IF(Q137&gt;50,("1.66"),"1.33"))))))))</f>
        <v>1.33</v>
      </c>
      <c r="S137" s="1519" t="str">
        <f>IF(Q137&gt;85,("A"),IF(Q137&gt;80,("A-"),IF(Q137&gt;75,("B+"),IF(Q137&gt;70,("B"),IF(Q137&gt;65,("B-"),IF(Q137&gt;60,("C+"),IF(Q137&gt;55,("C"),IF(Q137&gt;50,("C-"),"D+"))))))))</f>
        <v>D+</v>
      </c>
      <c r="T137" s="1519" t="str">
        <f>IF(Q137&gt;80,("SB"),IF(Q137&gt;65,("B"),IF(Q137&gt;50,("C"),IF(Q137&gt;0,("K"),"0"))))</f>
        <v>0</v>
      </c>
      <c r="U137" s="1796"/>
      <c r="V137" s="1796"/>
      <c r="W137" s="1796"/>
      <c r="X137" s="1859"/>
      <c r="Y137" s="1859"/>
      <c r="Z137" s="1859"/>
      <c r="AA137" s="1860">
        <f>MAX(Q137:Q139)</f>
        <v>0</v>
      </c>
      <c r="AB137" s="1861" t="str">
        <f>IF(AA137&gt;85,("A"),IF(AA137&gt;80,("A-"),IF(AA137&gt;75,("B+"),IF(AA137&gt;70,("B"),IF(AA137&gt;65,("B-"),IF(AA137&gt;60,("C+"),IF(AA137&gt;55,("C"),IF(AA137&gt;50,("C-"),"D+"))))))))</f>
        <v>D+</v>
      </c>
    </row>
    <row r="138" spans="1:28" ht="24.95" customHeight="1" x14ac:dyDescent="0.25">
      <c r="A138" s="360"/>
      <c r="B138" s="719"/>
      <c r="C138" s="1673"/>
      <c r="D138" s="1862" t="s">
        <v>189</v>
      </c>
      <c r="E138" s="1497"/>
      <c r="F138" s="1493"/>
      <c r="G138" s="1493"/>
      <c r="H138" s="1493">
        <v>0</v>
      </c>
      <c r="I138" s="1493">
        <v>0</v>
      </c>
      <c r="J138" s="1493">
        <v>0</v>
      </c>
      <c r="K138" s="1493"/>
      <c r="L138" s="1493"/>
      <c r="M138" s="1493"/>
      <c r="N138" s="1077">
        <f t="shared" ref="N138:N139" si="225">MAX(E138,H138,K138)</f>
        <v>0</v>
      </c>
      <c r="O138" s="2126">
        <f t="shared" si="223"/>
        <v>0</v>
      </c>
      <c r="P138" s="2127">
        <f t="shared" si="224"/>
        <v>0</v>
      </c>
      <c r="Q138" s="853">
        <f t="shared" ref="Q138:Q139" si="226">IFERROR(AVERAGE(N138:P138),"")</f>
        <v>0</v>
      </c>
      <c r="R138" s="1518" t="str">
        <f t="shared" ref="R138:R139" si="227">IF(Q138&gt;85,("4"),IF(Q138&gt;80,("3.66"),IF(Q138&gt;75,("3.33"),IF(Q138&gt;70,("3.00"),IF(Q138&gt;65,("2.66"),IF(Q138&gt;60,("2.33"),IF(Q138&gt;55,("2"),IF(Q138&gt;50,("1.66"),"1.33"))))))))</f>
        <v>1.33</v>
      </c>
      <c r="S138" s="1518" t="str">
        <f t="shared" ref="S138:S139" si="228">IF(Q138&gt;85,("A"),IF(Q138&gt;80,("A-"),IF(Q138&gt;75,("B+"),IF(Q138&gt;70,("B"),IF(Q138&gt;65,("B-"),IF(Q138&gt;60,("C+"),IF(Q138&gt;55,("C"),IF(Q138&gt;50,("C-"),"D+"))))))))</f>
        <v>D+</v>
      </c>
      <c r="T138" s="1518" t="str">
        <f t="shared" ref="T138:T139" si="229">IF(Q138&gt;80,("SB"),IF(Q138&gt;65,("B"),IF(Q138&gt;50,("C"),IF(Q138&gt;0,("K"),"0"))))</f>
        <v>0</v>
      </c>
      <c r="U138" s="1863"/>
      <c r="V138" s="1864"/>
      <c r="W138" s="1864"/>
      <c r="X138" s="1865"/>
      <c r="Y138" s="1865"/>
      <c r="Z138" s="1866"/>
      <c r="AA138" s="1867"/>
      <c r="AB138" s="1868"/>
    </row>
    <row r="139" spans="1:28" ht="24.95" customHeight="1" x14ac:dyDescent="0.25">
      <c r="A139" s="360"/>
      <c r="B139" s="719"/>
      <c r="C139" s="1673"/>
      <c r="D139" s="1862" t="s">
        <v>186</v>
      </c>
      <c r="E139" s="1493"/>
      <c r="F139" s="1493"/>
      <c r="G139" s="1493"/>
      <c r="H139" s="1493"/>
      <c r="I139" s="1493"/>
      <c r="J139" s="1493"/>
      <c r="K139" s="1493">
        <v>0</v>
      </c>
      <c r="L139" s="1493">
        <v>0</v>
      </c>
      <c r="M139" s="1493">
        <v>0</v>
      </c>
      <c r="N139" s="1077">
        <f t="shared" si="225"/>
        <v>0</v>
      </c>
      <c r="O139" s="2126">
        <f t="shared" si="223"/>
        <v>0</v>
      </c>
      <c r="P139" s="2127">
        <f t="shared" si="224"/>
        <v>0</v>
      </c>
      <c r="Q139" s="853">
        <f t="shared" si="226"/>
        <v>0</v>
      </c>
      <c r="R139" s="1518" t="str">
        <f t="shared" si="227"/>
        <v>1.33</v>
      </c>
      <c r="S139" s="1518" t="str">
        <f t="shared" si="228"/>
        <v>D+</v>
      </c>
      <c r="T139" s="1518" t="str">
        <f t="shared" si="229"/>
        <v>0</v>
      </c>
      <c r="U139" s="1869"/>
      <c r="V139" s="1870"/>
      <c r="W139" s="1870"/>
      <c r="X139" s="1871"/>
      <c r="Y139" s="1871"/>
      <c r="Z139" s="1872"/>
      <c r="AA139" s="1873"/>
      <c r="AB139" s="1874"/>
    </row>
    <row r="140" spans="1:28" ht="24.95" customHeight="1" x14ac:dyDescent="0.25">
      <c r="A140" s="727"/>
      <c r="B140" s="731">
        <v>33</v>
      </c>
      <c r="C140" s="1674" t="s">
        <v>167</v>
      </c>
      <c r="D140" s="1797"/>
      <c r="E140" s="2901"/>
      <c r="F140" s="2902"/>
      <c r="G140" s="2902"/>
      <c r="H140" s="2080"/>
      <c r="I140" s="2080"/>
      <c r="J140" s="2080"/>
      <c r="K140" s="2080"/>
      <c r="L140" s="2080"/>
      <c r="M140" s="2080"/>
      <c r="N140" s="2163"/>
      <c r="O140" s="2163"/>
      <c r="P140" s="2163"/>
      <c r="Q140" s="1520">
        <f>IFERROR(MAX(Q137:Q139),"  ")</f>
        <v>0</v>
      </c>
      <c r="R140" s="1876" t="str">
        <f>IF(Q140&gt;85,("4"),IF(Q140&gt;80,("3.66"),IF(Q140&gt;75,("3.33"),IF(Q140&gt;70,("3.00"),IF(Q140&gt;65,("2.66"),IF(Q140&gt;60,("2.33"),IF(Q140&gt;55,("2"),IF(Q140&gt;50,("1.66"),"1.33"))))))))</f>
        <v>1.33</v>
      </c>
      <c r="S140" s="1876" t="str">
        <f>IF(Q140&gt;85,("A"),IF(Q140&gt;80,("A-"),IF(Q140&gt;75,("B+"),IF(Q140&gt;70,("B"),IF(Q140&gt;65,("B-"),IF(Q140&gt;60,("C+"),IF(Q140&gt;55,("C"),IF(Q140&gt;50,("C-"),"D+"))))))))</f>
        <v>D+</v>
      </c>
      <c r="T140" s="1876"/>
      <c r="U140" s="1877"/>
      <c r="V140" s="1878"/>
      <c r="W140" s="1878"/>
      <c r="X140" s="1878"/>
      <c r="Y140" s="1878"/>
      <c r="Z140" s="1879"/>
      <c r="AA140" s="1880"/>
      <c r="AB140" s="1881"/>
    </row>
    <row r="141" spans="1:28" ht="24.95" customHeight="1" x14ac:dyDescent="0.25">
      <c r="A141" s="724">
        <v>34</v>
      </c>
      <c r="B141" s="725"/>
      <c r="C141" s="1671" t="e">
        <f>VLOOKUP(A141,data_siswa,4,FALSE)</f>
        <v>#N/A</v>
      </c>
      <c r="D141" s="1862" t="s">
        <v>16</v>
      </c>
      <c r="E141" s="1493">
        <v>0</v>
      </c>
      <c r="F141" s="1493">
        <v>0</v>
      </c>
      <c r="G141" s="1493">
        <v>0</v>
      </c>
      <c r="H141" s="1493"/>
      <c r="I141" s="1493"/>
      <c r="J141" s="1493"/>
      <c r="K141" s="1493"/>
      <c r="L141" s="1493"/>
      <c r="M141" s="1493"/>
      <c r="N141" s="1077">
        <f>MAX(E141,H141,K141)</f>
        <v>0</v>
      </c>
      <c r="O141" s="2126">
        <f t="shared" ref="O141:O143" si="230">MAX(F141,I141,L141)</f>
        <v>0</v>
      </c>
      <c r="P141" s="2127">
        <f t="shared" ref="P141:P143" si="231">MAX(G141,J141,M141)</f>
        <v>0</v>
      </c>
      <c r="Q141" s="853">
        <f>IFERROR(AVERAGE(N141:P141),"")</f>
        <v>0</v>
      </c>
      <c r="R141" s="1519" t="str">
        <f>IF(Q141&gt;85,("4"),IF(Q141&gt;80,("3.66"),IF(Q141&gt;75,("3.33"),IF(Q141&gt;70,("3.00"),IF(Q141&gt;65,("2.66"),IF(Q141&gt;60,("2.33"),IF(Q141&gt;55,("2"),IF(Q141&gt;50,("1.66"),"1.33"))))))))</f>
        <v>1.33</v>
      </c>
      <c r="S141" s="1519" t="str">
        <f>IF(Q141&gt;85,("A"),IF(Q141&gt;80,("A-"),IF(Q141&gt;75,("B+"),IF(Q141&gt;70,("B"),IF(Q141&gt;65,("B-"),IF(Q141&gt;60,("C+"),IF(Q141&gt;55,("C"),IF(Q141&gt;50,("C-"),"D+"))))))))</f>
        <v>D+</v>
      </c>
      <c r="T141" s="1519" t="str">
        <f>IF(Q141&gt;80,("SB"),IF(Q141&gt;65,("B"),IF(Q141&gt;50,("C"),IF(Q141&gt;0,("K"),"0"))))</f>
        <v>0</v>
      </c>
      <c r="U141" s="1796"/>
      <c r="V141" s="1796"/>
      <c r="W141" s="1796"/>
      <c r="X141" s="1859"/>
      <c r="Y141" s="1859"/>
      <c r="Z141" s="1859"/>
      <c r="AA141" s="1860">
        <f>MAX(Q141:Q143)</f>
        <v>0</v>
      </c>
      <c r="AB141" s="1861" t="str">
        <f>IF(AA141&gt;85,("A"),IF(AA141&gt;80,("A-"),IF(AA141&gt;75,("B+"),IF(AA141&gt;70,("B"),IF(AA141&gt;65,("B-"),IF(AA141&gt;60,("C+"),IF(AA141&gt;55,("C"),IF(AA141&gt;50,("C-"),"D+"))))))))</f>
        <v>D+</v>
      </c>
    </row>
    <row r="142" spans="1:28" ht="24.95" customHeight="1" x14ac:dyDescent="0.25">
      <c r="A142" s="360"/>
      <c r="B142" s="719"/>
      <c r="C142" s="1673"/>
      <c r="D142" s="1862" t="s">
        <v>189</v>
      </c>
      <c r="E142" s="1497"/>
      <c r="F142" s="1493"/>
      <c r="G142" s="1493"/>
      <c r="H142" s="1493">
        <v>0</v>
      </c>
      <c r="I142" s="1493">
        <v>0</v>
      </c>
      <c r="J142" s="1493">
        <v>0</v>
      </c>
      <c r="K142" s="1493"/>
      <c r="L142" s="1493"/>
      <c r="M142" s="1493"/>
      <c r="N142" s="1077">
        <f t="shared" ref="N142:N143" si="232">MAX(E142,H142,K142)</f>
        <v>0</v>
      </c>
      <c r="O142" s="2126">
        <f t="shared" si="230"/>
        <v>0</v>
      </c>
      <c r="P142" s="2127">
        <f t="shared" si="231"/>
        <v>0</v>
      </c>
      <c r="Q142" s="853">
        <f t="shared" ref="Q142:Q143" si="233">IFERROR(AVERAGE(N142:P142),"")</f>
        <v>0</v>
      </c>
      <c r="R142" s="1518" t="str">
        <f t="shared" ref="R142:R143" si="234">IF(Q142&gt;85,("4"),IF(Q142&gt;80,("3.66"),IF(Q142&gt;75,("3.33"),IF(Q142&gt;70,("3.00"),IF(Q142&gt;65,("2.66"),IF(Q142&gt;60,("2.33"),IF(Q142&gt;55,("2"),IF(Q142&gt;50,("1.66"),"1.33"))))))))</f>
        <v>1.33</v>
      </c>
      <c r="S142" s="1518" t="str">
        <f t="shared" ref="S142:S143" si="235">IF(Q142&gt;85,("A"),IF(Q142&gt;80,("A-"),IF(Q142&gt;75,("B+"),IF(Q142&gt;70,("B"),IF(Q142&gt;65,("B-"),IF(Q142&gt;60,("C+"),IF(Q142&gt;55,("C"),IF(Q142&gt;50,("C-"),"D+"))))))))</f>
        <v>D+</v>
      </c>
      <c r="T142" s="1518" t="str">
        <f t="shared" ref="T142:T143" si="236">IF(Q142&gt;80,("SB"),IF(Q142&gt;65,("B"),IF(Q142&gt;50,("C"),IF(Q142&gt;0,("K"),"0"))))</f>
        <v>0</v>
      </c>
      <c r="U142" s="1863"/>
      <c r="V142" s="1864"/>
      <c r="W142" s="1864"/>
      <c r="X142" s="1865"/>
      <c r="Y142" s="1865"/>
      <c r="Z142" s="1866"/>
      <c r="AA142" s="1867"/>
      <c r="AB142" s="1868"/>
    </row>
    <row r="143" spans="1:28" ht="24.95" customHeight="1" x14ac:dyDescent="0.25">
      <c r="A143" s="360"/>
      <c r="B143" s="719"/>
      <c r="C143" s="1673"/>
      <c r="D143" s="1862" t="s">
        <v>186</v>
      </c>
      <c r="E143" s="1493"/>
      <c r="F143" s="1493"/>
      <c r="G143" s="1493"/>
      <c r="H143" s="1493"/>
      <c r="I143" s="1493"/>
      <c r="J143" s="1493"/>
      <c r="K143" s="1493">
        <v>0</v>
      </c>
      <c r="L143" s="1493">
        <v>0</v>
      </c>
      <c r="M143" s="1493">
        <v>0</v>
      </c>
      <c r="N143" s="1077">
        <f t="shared" si="232"/>
        <v>0</v>
      </c>
      <c r="O143" s="2126">
        <f t="shared" si="230"/>
        <v>0</v>
      </c>
      <c r="P143" s="2127">
        <f t="shared" si="231"/>
        <v>0</v>
      </c>
      <c r="Q143" s="853">
        <f t="shared" si="233"/>
        <v>0</v>
      </c>
      <c r="R143" s="1518" t="str">
        <f t="shared" si="234"/>
        <v>1.33</v>
      </c>
      <c r="S143" s="1518" t="str">
        <f t="shared" si="235"/>
        <v>D+</v>
      </c>
      <c r="T143" s="1518" t="str">
        <f t="shared" si="236"/>
        <v>0</v>
      </c>
      <c r="U143" s="1869"/>
      <c r="V143" s="1870"/>
      <c r="W143" s="1870"/>
      <c r="X143" s="1871"/>
      <c r="Y143" s="1871"/>
      <c r="Z143" s="1872"/>
      <c r="AA143" s="1873"/>
      <c r="AB143" s="1874"/>
    </row>
    <row r="144" spans="1:28" ht="24.95" customHeight="1" x14ac:dyDescent="0.25">
      <c r="A144" s="727"/>
      <c r="B144" s="731">
        <v>34</v>
      </c>
      <c r="C144" s="1674" t="s">
        <v>167</v>
      </c>
      <c r="D144" s="1797"/>
      <c r="E144" s="2901"/>
      <c r="F144" s="2902"/>
      <c r="G144" s="2902"/>
      <c r="H144" s="2080"/>
      <c r="I144" s="2080"/>
      <c r="J144" s="2080"/>
      <c r="K144" s="2080"/>
      <c r="L144" s="2080"/>
      <c r="M144" s="2080"/>
      <c r="N144" s="2163"/>
      <c r="O144" s="2163"/>
      <c r="P144" s="2163"/>
      <c r="Q144" s="1520">
        <f>IFERROR(MAX(Q141:Q143),"  ")</f>
        <v>0</v>
      </c>
      <c r="R144" s="1876" t="str">
        <f>IF(Q144&gt;85,("4"),IF(Q144&gt;80,("3.66"),IF(Q144&gt;75,("3.33"),IF(Q144&gt;70,("3.00"),IF(Q144&gt;65,("2.66"),IF(Q144&gt;60,("2.33"),IF(Q144&gt;55,("2"),IF(Q144&gt;50,("1.66"),"1.33"))))))))</f>
        <v>1.33</v>
      </c>
      <c r="S144" s="1876" t="str">
        <f>IF(Q144&gt;85,("A"),IF(Q144&gt;80,("A-"),IF(Q144&gt;75,("B+"),IF(Q144&gt;70,("B"),IF(Q144&gt;65,("B-"),IF(Q144&gt;60,("C+"),IF(Q144&gt;55,("C"),IF(Q144&gt;50,("C-"),"D+"))))))))</f>
        <v>D+</v>
      </c>
      <c r="T144" s="1876"/>
      <c r="U144" s="1877"/>
      <c r="V144" s="1878"/>
      <c r="W144" s="1878"/>
      <c r="X144" s="1878"/>
      <c r="Y144" s="1878"/>
      <c r="Z144" s="1879"/>
      <c r="AA144" s="1880"/>
      <c r="AB144" s="1881"/>
    </row>
    <row r="145" spans="1:28" ht="24.95" customHeight="1" x14ac:dyDescent="0.25">
      <c r="A145" s="724">
        <v>35</v>
      </c>
      <c r="B145" s="725"/>
      <c r="C145" s="1671" t="e">
        <f>VLOOKUP(A145,data_siswa,4,FALSE)</f>
        <v>#N/A</v>
      </c>
      <c r="D145" s="1862" t="s">
        <v>16</v>
      </c>
      <c r="E145" s="1493">
        <v>0</v>
      </c>
      <c r="F145" s="1493">
        <v>0</v>
      </c>
      <c r="G145" s="1493">
        <v>0</v>
      </c>
      <c r="H145" s="1493"/>
      <c r="I145" s="1493"/>
      <c r="J145" s="1493"/>
      <c r="K145" s="1493"/>
      <c r="L145" s="1493"/>
      <c r="M145" s="1493"/>
      <c r="N145" s="1077">
        <f>MAX(E145,H145,K145)</f>
        <v>0</v>
      </c>
      <c r="O145" s="2126">
        <f t="shared" ref="O145:O147" si="237">MAX(F145,I145,L145)</f>
        <v>0</v>
      </c>
      <c r="P145" s="2127">
        <f t="shared" ref="P145:P147" si="238">MAX(G145,J145,M145)</f>
        <v>0</v>
      </c>
      <c r="Q145" s="853">
        <f>IFERROR(AVERAGE(N145:P145),"")</f>
        <v>0</v>
      </c>
      <c r="R145" s="1519" t="str">
        <f>IF(Q145&gt;85,("4"),IF(Q145&gt;80,("3.66"),IF(Q145&gt;75,("3.33"),IF(Q145&gt;70,("3.00"),IF(Q145&gt;65,("2.66"),IF(Q145&gt;60,("2.33"),IF(Q145&gt;55,("2"),IF(Q145&gt;50,("1.66"),"1.33"))))))))</f>
        <v>1.33</v>
      </c>
      <c r="S145" s="1519" t="str">
        <f>IF(Q145&gt;85,("A"),IF(Q145&gt;80,("A-"),IF(Q145&gt;75,("B+"),IF(Q145&gt;70,("B"),IF(Q145&gt;65,("B-"),IF(Q145&gt;60,("C+"),IF(Q145&gt;55,("C"),IF(Q145&gt;50,("C-"),"D+"))))))))</f>
        <v>D+</v>
      </c>
      <c r="T145" s="1519" t="str">
        <f>IF(Q145&gt;80,("SB"),IF(Q145&gt;65,("B"),IF(Q145&gt;50,("C"),IF(Q145&gt;0,("K"),"0"))))</f>
        <v>0</v>
      </c>
      <c r="U145" s="1796"/>
      <c r="V145" s="1796"/>
      <c r="W145" s="1796"/>
      <c r="X145" s="1859"/>
      <c r="Y145" s="1859"/>
      <c r="Z145" s="1859"/>
      <c r="AA145" s="1860">
        <f>MAX(Q145:Q147)</f>
        <v>0</v>
      </c>
      <c r="AB145" s="1861" t="str">
        <f>IF(AA145&gt;85,("A"),IF(AA145&gt;80,("A-"),IF(AA145&gt;75,("B+"),IF(AA145&gt;70,("B"),IF(AA145&gt;65,("B-"),IF(AA145&gt;60,("C+"),IF(AA145&gt;55,("C"),IF(AA145&gt;50,("C-"),"D+"))))))))</f>
        <v>D+</v>
      </c>
    </row>
    <row r="146" spans="1:28" ht="24.95" customHeight="1" x14ac:dyDescent="0.25">
      <c r="A146" s="360"/>
      <c r="B146" s="719"/>
      <c r="C146" s="1673"/>
      <c r="D146" s="1862" t="s">
        <v>189</v>
      </c>
      <c r="E146" s="1497"/>
      <c r="F146" s="1493"/>
      <c r="G146" s="1493"/>
      <c r="H146" s="1493">
        <v>0</v>
      </c>
      <c r="I146" s="1493">
        <v>0</v>
      </c>
      <c r="J146" s="1493">
        <v>0</v>
      </c>
      <c r="K146" s="1493"/>
      <c r="L146" s="1493"/>
      <c r="M146" s="1493"/>
      <c r="N146" s="1077">
        <f t="shared" ref="N146:N147" si="239">MAX(E146,H146,K146)</f>
        <v>0</v>
      </c>
      <c r="O146" s="2126">
        <f t="shared" si="237"/>
        <v>0</v>
      </c>
      <c r="P146" s="2127">
        <f t="shared" si="238"/>
        <v>0</v>
      </c>
      <c r="Q146" s="853">
        <f t="shared" ref="Q146:Q147" si="240">IFERROR(AVERAGE(N146:P146),"")</f>
        <v>0</v>
      </c>
      <c r="R146" s="1518" t="str">
        <f t="shared" ref="R146:R147" si="241">IF(Q146&gt;85,("4"),IF(Q146&gt;80,("3.66"),IF(Q146&gt;75,("3.33"),IF(Q146&gt;70,("3.00"),IF(Q146&gt;65,("2.66"),IF(Q146&gt;60,("2.33"),IF(Q146&gt;55,("2"),IF(Q146&gt;50,("1.66"),"1.33"))))))))</f>
        <v>1.33</v>
      </c>
      <c r="S146" s="1518" t="str">
        <f t="shared" ref="S146:S147" si="242">IF(Q146&gt;85,("A"),IF(Q146&gt;80,("A-"),IF(Q146&gt;75,("B+"),IF(Q146&gt;70,("B"),IF(Q146&gt;65,("B-"),IF(Q146&gt;60,("C+"),IF(Q146&gt;55,("C"),IF(Q146&gt;50,("C-"),"D+"))))))))</f>
        <v>D+</v>
      </c>
      <c r="T146" s="1518" t="str">
        <f t="shared" ref="T146:T147" si="243">IF(Q146&gt;80,("SB"),IF(Q146&gt;65,("B"),IF(Q146&gt;50,("C"),IF(Q146&gt;0,("K"),"0"))))</f>
        <v>0</v>
      </c>
      <c r="U146" s="1863"/>
      <c r="V146" s="1864"/>
      <c r="W146" s="1864"/>
      <c r="X146" s="1865"/>
      <c r="Y146" s="1865"/>
      <c r="Z146" s="1866"/>
      <c r="AA146" s="1867"/>
      <c r="AB146" s="1868"/>
    </row>
    <row r="147" spans="1:28" ht="24.95" customHeight="1" x14ac:dyDescent="0.25">
      <c r="A147" s="360"/>
      <c r="B147" s="719"/>
      <c r="C147" s="1673"/>
      <c r="D147" s="1862" t="s">
        <v>186</v>
      </c>
      <c r="E147" s="1493"/>
      <c r="F147" s="1493"/>
      <c r="G147" s="1493"/>
      <c r="H147" s="1493"/>
      <c r="I147" s="1493"/>
      <c r="J147" s="1493"/>
      <c r="K147" s="1493">
        <v>0</v>
      </c>
      <c r="L147" s="1493">
        <v>0</v>
      </c>
      <c r="M147" s="1493">
        <v>0</v>
      </c>
      <c r="N147" s="1077">
        <f t="shared" si="239"/>
        <v>0</v>
      </c>
      <c r="O147" s="2126">
        <f t="shared" si="237"/>
        <v>0</v>
      </c>
      <c r="P147" s="2127">
        <f t="shared" si="238"/>
        <v>0</v>
      </c>
      <c r="Q147" s="853">
        <f t="shared" si="240"/>
        <v>0</v>
      </c>
      <c r="R147" s="1518" t="str">
        <f t="shared" si="241"/>
        <v>1.33</v>
      </c>
      <c r="S147" s="1518" t="str">
        <f t="shared" si="242"/>
        <v>D+</v>
      </c>
      <c r="T147" s="1518" t="str">
        <f t="shared" si="243"/>
        <v>0</v>
      </c>
      <c r="U147" s="1869"/>
      <c r="V147" s="1870"/>
      <c r="W147" s="1870"/>
      <c r="X147" s="1871"/>
      <c r="Y147" s="1871"/>
      <c r="Z147" s="1872"/>
      <c r="AA147" s="1873"/>
      <c r="AB147" s="1874"/>
    </row>
    <row r="148" spans="1:28" ht="24.95" customHeight="1" x14ac:dyDescent="0.25">
      <c r="A148" s="727"/>
      <c r="B148" s="731">
        <v>35</v>
      </c>
      <c r="C148" s="1674" t="s">
        <v>167</v>
      </c>
      <c r="D148" s="1797"/>
      <c r="E148" s="2901"/>
      <c r="F148" s="2902"/>
      <c r="G148" s="2902"/>
      <c r="H148" s="2024"/>
      <c r="I148" s="2024"/>
      <c r="J148" s="2024"/>
      <c r="K148" s="2024"/>
      <c r="L148" s="2024"/>
      <c r="M148" s="2024"/>
      <c r="N148" s="2163"/>
      <c r="O148" s="2163"/>
      <c r="P148" s="2163"/>
      <c r="Q148" s="1520">
        <f>IFERROR(MAX(Q145:Q147),"  ")</f>
        <v>0</v>
      </c>
      <c r="R148" s="1876" t="str">
        <f>IF(Q148&gt;85,("4"),IF(Q148&gt;80,("3.66"),IF(Q148&gt;75,("3.33"),IF(Q148&gt;70,("3.00"),IF(Q148&gt;65,("2.66"),IF(Q148&gt;60,("2.33"),IF(Q148&gt;55,("2"),IF(Q148&gt;50,("1.66"),"1.33"))))))))</f>
        <v>1.33</v>
      </c>
      <c r="S148" s="1876" t="str">
        <f>IF(Q148&gt;85,("A"),IF(Q148&gt;80,("A-"),IF(Q148&gt;75,("B+"),IF(Q148&gt;70,("B"),IF(Q148&gt;65,("B-"),IF(Q148&gt;60,("C+"),IF(Q148&gt;55,("C"),IF(Q148&gt;50,("C-"),"D+"))))))))</f>
        <v>D+</v>
      </c>
      <c r="T148" s="1876"/>
      <c r="U148" s="1877"/>
      <c r="V148" s="1878"/>
      <c r="W148" s="1878"/>
      <c r="X148" s="1878"/>
      <c r="Y148" s="1878"/>
      <c r="Z148" s="1879"/>
      <c r="AA148" s="1880"/>
      <c r="AB148" s="1881"/>
    </row>
    <row r="149" spans="1:28" ht="24.95" customHeight="1" x14ac:dyDescent="0.25">
      <c r="A149" s="724">
        <v>36</v>
      </c>
      <c r="B149" s="725"/>
      <c r="C149" s="1671" t="e">
        <f>VLOOKUP(A149,data_siswa,4,FALSE)</f>
        <v>#N/A</v>
      </c>
      <c r="D149" s="1862" t="s">
        <v>16</v>
      </c>
      <c r="E149" s="1493">
        <v>0</v>
      </c>
      <c r="F149" s="1493">
        <v>0</v>
      </c>
      <c r="G149" s="1493">
        <v>0</v>
      </c>
      <c r="H149" s="1493"/>
      <c r="I149" s="1493"/>
      <c r="J149" s="1493"/>
      <c r="K149" s="1493"/>
      <c r="L149" s="1493"/>
      <c r="M149" s="1493"/>
      <c r="N149" s="1077">
        <f>MAX(E149,H149,K149)</f>
        <v>0</v>
      </c>
      <c r="O149" s="2126">
        <f t="shared" ref="O149:O151" si="244">MAX(F149,I149,L149)</f>
        <v>0</v>
      </c>
      <c r="P149" s="2127">
        <f t="shared" ref="P149:P151" si="245">MAX(G149,J149,M149)</f>
        <v>0</v>
      </c>
      <c r="Q149" s="853">
        <f>IFERROR(AVERAGE(N149:P149),"")</f>
        <v>0</v>
      </c>
      <c r="R149" s="1519" t="str">
        <f>IF(Q149&gt;85,("4"),IF(Q149&gt;80,("3.66"),IF(Q149&gt;75,("3.33"),IF(Q149&gt;70,("3.00"),IF(Q149&gt;65,("2.66"),IF(Q149&gt;60,("2.33"),IF(Q149&gt;55,("2"),IF(Q149&gt;50,("1.66"),"1.33"))))))))</f>
        <v>1.33</v>
      </c>
      <c r="S149" s="1519" t="str">
        <f>IF(Q149&gt;85,("A"),IF(Q149&gt;80,("A-"),IF(Q149&gt;75,("B+"),IF(Q149&gt;70,("B"),IF(Q149&gt;65,("B-"),IF(Q149&gt;60,("C+"),IF(Q149&gt;55,("C"),IF(Q149&gt;50,("C-"),"D+"))))))))</f>
        <v>D+</v>
      </c>
      <c r="T149" s="1519" t="str">
        <f>IF(Q149&gt;80,("SB"),IF(Q149&gt;65,("B"),IF(Q149&gt;50,("C"),IF(Q149&gt;0,("K"),"0"))))</f>
        <v>0</v>
      </c>
      <c r="U149" s="1796"/>
      <c r="V149" s="1796"/>
      <c r="W149" s="1796"/>
      <c r="X149" s="1882"/>
      <c r="Y149" s="1882"/>
      <c r="Z149" s="1882"/>
      <c r="AA149" s="1860">
        <f>MAX(Q149:Q151)</f>
        <v>0</v>
      </c>
      <c r="AB149" s="1861" t="str">
        <f>IF(AA149&gt;85,("A"),IF(AA149&gt;80,("A-"),IF(AA149&gt;75,("B+"),IF(AA149&gt;70,("B"),IF(AA149&gt;65,("B-"),IF(AA149&gt;60,("C+"),IF(AA149&gt;55,("C"),IF(AA149&gt;50,("C-"),"D+"))))))))</f>
        <v>D+</v>
      </c>
    </row>
    <row r="150" spans="1:28" ht="24.95" customHeight="1" x14ac:dyDescent="0.25">
      <c r="A150" s="360"/>
      <c r="B150" s="719"/>
      <c r="C150" s="1673"/>
      <c r="D150" s="1862" t="s">
        <v>189</v>
      </c>
      <c r="E150" s="1497"/>
      <c r="F150" s="1493"/>
      <c r="G150" s="1493"/>
      <c r="H150" s="1493">
        <v>0</v>
      </c>
      <c r="I150" s="1493">
        <v>0</v>
      </c>
      <c r="J150" s="1493">
        <v>0</v>
      </c>
      <c r="K150" s="1493"/>
      <c r="L150" s="1493"/>
      <c r="M150" s="1493"/>
      <c r="N150" s="1077">
        <f t="shared" ref="N150:N151" si="246">MAX(E150,H150,K150)</f>
        <v>0</v>
      </c>
      <c r="O150" s="2126">
        <f t="shared" si="244"/>
        <v>0</v>
      </c>
      <c r="P150" s="2127">
        <f t="shared" si="245"/>
        <v>0</v>
      </c>
      <c r="Q150" s="853">
        <f t="shared" ref="Q150:Q151" si="247">IFERROR(AVERAGE(N150:P150),"")</f>
        <v>0</v>
      </c>
      <c r="R150" s="1518" t="str">
        <f t="shared" ref="R150:R151" si="248">IF(Q150&gt;85,("4"),IF(Q150&gt;80,("3.66"),IF(Q150&gt;75,("3.33"),IF(Q150&gt;70,("3.00"),IF(Q150&gt;65,("2.66"),IF(Q150&gt;60,("2.33"),IF(Q150&gt;55,("2"),IF(Q150&gt;50,("1.66"),"1.33"))))))))</f>
        <v>1.33</v>
      </c>
      <c r="S150" s="1518" t="str">
        <f t="shared" ref="S150:S151" si="249">IF(Q150&gt;85,("A"),IF(Q150&gt;80,("A-"),IF(Q150&gt;75,("B+"),IF(Q150&gt;70,("B"),IF(Q150&gt;65,("B-"),IF(Q150&gt;60,("C+"),IF(Q150&gt;55,("C"),IF(Q150&gt;50,("C-"),"D+"))))))))</f>
        <v>D+</v>
      </c>
      <c r="T150" s="1518" t="str">
        <f t="shared" ref="T150:T151" si="250">IF(Q150&gt;80,("SB"),IF(Q150&gt;65,("B"),IF(Q150&gt;50,("C"),IF(Q150&gt;0,("K"),"0"))))</f>
        <v>0</v>
      </c>
      <c r="U150" s="1863"/>
      <c r="V150" s="1864"/>
      <c r="W150" s="1864"/>
      <c r="X150" s="1865"/>
      <c r="Y150" s="1865"/>
      <c r="Z150" s="1866"/>
      <c r="AA150" s="1867"/>
      <c r="AB150" s="1868"/>
    </row>
    <row r="151" spans="1:28" ht="24.95" customHeight="1" x14ac:dyDescent="0.25">
      <c r="A151" s="360"/>
      <c r="B151" s="719"/>
      <c r="C151" s="1673"/>
      <c r="D151" s="1862" t="s">
        <v>186</v>
      </c>
      <c r="E151" s="1493"/>
      <c r="F151" s="1493"/>
      <c r="G151" s="1493"/>
      <c r="H151" s="1493"/>
      <c r="I151" s="1493"/>
      <c r="J151" s="1493"/>
      <c r="K151" s="1493">
        <v>0</v>
      </c>
      <c r="L151" s="1493">
        <v>0</v>
      </c>
      <c r="M151" s="1493">
        <v>0</v>
      </c>
      <c r="N151" s="1077">
        <f t="shared" si="246"/>
        <v>0</v>
      </c>
      <c r="O151" s="2126">
        <f t="shared" si="244"/>
        <v>0</v>
      </c>
      <c r="P151" s="2127">
        <f t="shared" si="245"/>
        <v>0</v>
      </c>
      <c r="Q151" s="853">
        <f t="shared" si="247"/>
        <v>0</v>
      </c>
      <c r="R151" s="1518" t="str">
        <f t="shared" si="248"/>
        <v>1.33</v>
      </c>
      <c r="S151" s="1518" t="str">
        <f t="shared" si="249"/>
        <v>D+</v>
      </c>
      <c r="T151" s="1518" t="str">
        <f t="shared" si="250"/>
        <v>0</v>
      </c>
      <c r="U151" s="1869"/>
      <c r="V151" s="1870"/>
      <c r="W151" s="1870"/>
      <c r="X151" s="1871"/>
      <c r="Y151" s="1871"/>
      <c r="Z151" s="1872"/>
      <c r="AA151" s="1873"/>
      <c r="AB151" s="1874"/>
    </row>
    <row r="152" spans="1:28" ht="24.95" customHeight="1" x14ac:dyDescent="0.25">
      <c r="A152" s="727"/>
      <c r="B152" s="731">
        <v>36</v>
      </c>
      <c r="C152" s="1674" t="s">
        <v>167</v>
      </c>
      <c r="D152" s="1875"/>
      <c r="E152" s="2901"/>
      <c r="F152" s="2902"/>
      <c r="G152" s="2902"/>
      <c r="H152" s="2080"/>
      <c r="I152" s="2080"/>
      <c r="J152" s="2080"/>
      <c r="K152" s="2080"/>
      <c r="L152" s="2080"/>
      <c r="M152" s="2080"/>
      <c r="N152" s="2163"/>
      <c r="O152" s="2163"/>
      <c r="P152" s="2163"/>
      <c r="Q152" s="1520">
        <f>IFERROR(MAX(Q149:Q151),"  ")</f>
        <v>0</v>
      </c>
      <c r="R152" s="1876" t="str">
        <f>IF(Q152&gt;85,("4"),IF(Q152&gt;80,("3.66"),IF(Q152&gt;75,("3.33"),IF(Q152&gt;70,("3.00"),IF(Q152&gt;65,("2.66"),IF(Q152&gt;60,("2.33"),IF(Q152&gt;55,("2"),IF(Q152&gt;50,("1.66"),"1.33"))))))))</f>
        <v>1.33</v>
      </c>
      <c r="S152" s="1876" t="str">
        <f>IF(Q152&gt;85,("A"),IF(Q152&gt;80,("A-"),IF(Q152&gt;75,("B+"),IF(Q152&gt;70,("B"),IF(Q152&gt;65,("B-"),IF(Q152&gt;60,("C+"),IF(Q152&gt;55,("C"),IF(Q152&gt;50,("C-"),"D+"))))))))</f>
        <v>D+</v>
      </c>
      <c r="T152" s="1876"/>
      <c r="U152" s="1877"/>
      <c r="V152" s="1878"/>
      <c r="W152" s="1878"/>
      <c r="X152" s="1883"/>
      <c r="Y152" s="1883"/>
      <c r="Z152" s="1884"/>
      <c r="AA152" s="1880"/>
      <c r="AB152" s="1881"/>
    </row>
    <row r="153" spans="1:28" ht="24.95" customHeight="1" x14ac:dyDescent="0.25">
      <c r="A153" s="724">
        <v>37</v>
      </c>
      <c r="B153" s="725"/>
      <c r="C153" s="1671" t="e">
        <f>VLOOKUP(A153,data_siswa,4,FALSE)</f>
        <v>#N/A</v>
      </c>
      <c r="D153" s="1862" t="s">
        <v>16</v>
      </c>
      <c r="E153" s="1493">
        <v>0</v>
      </c>
      <c r="F153" s="1493">
        <v>0</v>
      </c>
      <c r="G153" s="1493">
        <v>0</v>
      </c>
      <c r="H153" s="1493"/>
      <c r="I153" s="1493"/>
      <c r="J153" s="1493"/>
      <c r="K153" s="1493"/>
      <c r="L153" s="1493"/>
      <c r="M153" s="1493"/>
      <c r="N153" s="1077">
        <f>MAX(E153,H153,K153)</f>
        <v>0</v>
      </c>
      <c r="O153" s="2126">
        <f t="shared" ref="O153:O155" si="251">MAX(F153,I153,L153)</f>
        <v>0</v>
      </c>
      <c r="P153" s="2127">
        <f t="shared" ref="P153:P155" si="252">MAX(G153,J153,M153)</f>
        <v>0</v>
      </c>
      <c r="Q153" s="853">
        <f>IFERROR(AVERAGE(N153:P153),"")</f>
        <v>0</v>
      </c>
      <c r="R153" s="1519" t="str">
        <f>IF(Q153&gt;85,("4"),IF(Q153&gt;80,("3.66"),IF(Q153&gt;75,("3.33"),IF(Q153&gt;70,("3.00"),IF(Q153&gt;65,("2.66"),IF(Q153&gt;60,("2.33"),IF(Q153&gt;55,("2"),IF(Q153&gt;50,("1.66"),"1.33"))))))))</f>
        <v>1.33</v>
      </c>
      <c r="S153" s="1519" t="str">
        <f>IF(Q153&gt;85,("A"),IF(Q153&gt;80,("A-"),IF(Q153&gt;75,("B+"),IF(Q153&gt;70,("B"),IF(Q153&gt;65,("B-"),IF(Q153&gt;60,("C+"),IF(Q153&gt;55,("C"),IF(Q153&gt;50,("C-"),"D+"))))))))</f>
        <v>D+</v>
      </c>
      <c r="T153" s="1519" t="str">
        <f>IF(Q153&gt;80,("SB"),IF(Q153&gt;65,("B"),IF(Q153&gt;50,("C"),IF(Q153&gt;0,("K"),"0"))))</f>
        <v>0</v>
      </c>
      <c r="U153" s="1796"/>
      <c r="V153" s="1796"/>
      <c r="W153" s="1796"/>
      <c r="X153" s="1859"/>
      <c r="Y153" s="1859"/>
      <c r="Z153" s="1859"/>
      <c r="AA153" s="1860">
        <f>MAX(Q153:Q155)</f>
        <v>0</v>
      </c>
      <c r="AB153" s="1861" t="str">
        <f>IF(AA153&gt;85,("A"),IF(AA153&gt;80,("A-"),IF(AA153&gt;75,("B+"),IF(AA153&gt;70,("B"),IF(AA153&gt;65,("B-"),IF(AA153&gt;60,("C+"),IF(AA153&gt;55,("C"),IF(AA153&gt;50,("C-"),"D+"))))))))</f>
        <v>D+</v>
      </c>
    </row>
    <row r="154" spans="1:28" ht="24.95" customHeight="1" x14ac:dyDescent="0.25">
      <c r="A154" s="360"/>
      <c r="B154" s="719"/>
      <c r="C154" s="1673"/>
      <c r="D154" s="1862" t="s">
        <v>189</v>
      </c>
      <c r="E154" s="1497"/>
      <c r="F154" s="1493"/>
      <c r="G154" s="1493"/>
      <c r="H154" s="1493">
        <v>0</v>
      </c>
      <c r="I154" s="1493">
        <v>0</v>
      </c>
      <c r="J154" s="1493">
        <v>0</v>
      </c>
      <c r="K154" s="1493"/>
      <c r="L154" s="1493"/>
      <c r="M154" s="1493"/>
      <c r="N154" s="1077">
        <f t="shared" ref="N154:N155" si="253">MAX(E154,H154,K154)</f>
        <v>0</v>
      </c>
      <c r="O154" s="2126">
        <f t="shared" si="251"/>
        <v>0</v>
      </c>
      <c r="P154" s="2127">
        <f t="shared" si="252"/>
        <v>0</v>
      </c>
      <c r="Q154" s="853">
        <f t="shared" ref="Q154:Q155" si="254">IFERROR(AVERAGE(N154:P154),"")</f>
        <v>0</v>
      </c>
      <c r="R154" s="1518" t="str">
        <f t="shared" ref="R154:R155" si="255">IF(Q154&gt;85,("4"),IF(Q154&gt;80,("3.66"),IF(Q154&gt;75,("3.33"),IF(Q154&gt;70,("3.00"),IF(Q154&gt;65,("2.66"),IF(Q154&gt;60,("2.33"),IF(Q154&gt;55,("2"),IF(Q154&gt;50,("1.66"),"1.33"))))))))</f>
        <v>1.33</v>
      </c>
      <c r="S154" s="1518" t="str">
        <f t="shared" ref="S154:S155" si="256">IF(Q154&gt;85,("A"),IF(Q154&gt;80,("A-"),IF(Q154&gt;75,("B+"),IF(Q154&gt;70,("B"),IF(Q154&gt;65,("B-"),IF(Q154&gt;60,("C+"),IF(Q154&gt;55,("C"),IF(Q154&gt;50,("C-"),"D+"))))))))</f>
        <v>D+</v>
      </c>
      <c r="T154" s="1518" t="str">
        <f t="shared" ref="T154:T155" si="257">IF(Q154&gt;80,("SB"),IF(Q154&gt;65,("B"),IF(Q154&gt;50,("C"),IF(Q154&gt;0,("K"),"0"))))</f>
        <v>0</v>
      </c>
      <c r="U154" s="1863"/>
      <c r="V154" s="1864"/>
      <c r="W154" s="1864"/>
      <c r="X154" s="1865"/>
      <c r="Y154" s="1865"/>
      <c r="Z154" s="1866"/>
      <c r="AA154" s="1867"/>
      <c r="AB154" s="1868"/>
    </row>
    <row r="155" spans="1:28" ht="24.95" customHeight="1" x14ac:dyDescent="0.25">
      <c r="A155" s="360"/>
      <c r="B155" s="719"/>
      <c r="C155" s="1673"/>
      <c r="D155" s="1862" t="s">
        <v>186</v>
      </c>
      <c r="E155" s="1493"/>
      <c r="F155" s="1493"/>
      <c r="G155" s="1493"/>
      <c r="H155" s="1493"/>
      <c r="I155" s="1493"/>
      <c r="J155" s="1493"/>
      <c r="K155" s="1493">
        <v>0</v>
      </c>
      <c r="L155" s="1493">
        <v>0</v>
      </c>
      <c r="M155" s="1493">
        <v>0</v>
      </c>
      <c r="N155" s="1077">
        <f t="shared" si="253"/>
        <v>0</v>
      </c>
      <c r="O155" s="2126">
        <f t="shared" si="251"/>
        <v>0</v>
      </c>
      <c r="P155" s="2127">
        <f t="shared" si="252"/>
        <v>0</v>
      </c>
      <c r="Q155" s="853">
        <f t="shared" si="254"/>
        <v>0</v>
      </c>
      <c r="R155" s="1518" t="str">
        <f t="shared" si="255"/>
        <v>1.33</v>
      </c>
      <c r="S155" s="1518" t="str">
        <f t="shared" si="256"/>
        <v>D+</v>
      </c>
      <c r="T155" s="1518" t="str">
        <f t="shared" si="257"/>
        <v>0</v>
      </c>
      <c r="U155" s="1869"/>
      <c r="V155" s="1870"/>
      <c r="W155" s="1870"/>
      <c r="X155" s="1871"/>
      <c r="Y155" s="1871"/>
      <c r="Z155" s="1872"/>
      <c r="AA155" s="1873"/>
      <c r="AB155" s="1874"/>
    </row>
    <row r="156" spans="1:28" ht="24.95" customHeight="1" x14ac:dyDescent="0.25">
      <c r="A156" s="727"/>
      <c r="B156" s="731">
        <v>37</v>
      </c>
      <c r="C156" s="1676"/>
      <c r="D156" s="1797"/>
      <c r="E156" s="2901"/>
      <c r="F156" s="2902"/>
      <c r="G156" s="2902"/>
      <c r="H156" s="2080"/>
      <c r="I156" s="2080"/>
      <c r="J156" s="2080"/>
      <c r="K156" s="2080"/>
      <c r="L156" s="2080"/>
      <c r="M156" s="2080"/>
      <c r="N156" s="2163"/>
      <c r="O156" s="2163"/>
      <c r="P156" s="2163"/>
      <c r="Q156" s="1520">
        <f>IFERROR(MAX(Q153:Q155),"  ")</f>
        <v>0</v>
      </c>
      <c r="R156" s="1876" t="str">
        <f>IF(Q156&gt;85,("4"),IF(Q156&gt;80,("3.66"),IF(Q156&gt;75,("3.33"),IF(Q156&gt;70,("3.00"),IF(Q156&gt;65,("2.66"),IF(Q156&gt;60,("2.33"),IF(Q156&gt;55,("2"),IF(Q156&gt;50,("1.66"),"1.33"))))))))</f>
        <v>1.33</v>
      </c>
      <c r="S156" s="1876" t="str">
        <f>IF(Q156&gt;85,("A"),IF(Q156&gt;80,("A-"),IF(Q156&gt;75,("B+"),IF(Q156&gt;70,("B"),IF(Q156&gt;65,("B-"),IF(Q156&gt;60,("C+"),IF(Q156&gt;55,("C"),IF(Q156&gt;50,("C-"),"D+"))))))))</f>
        <v>D+</v>
      </c>
      <c r="T156" s="1876"/>
      <c r="U156" s="1877"/>
      <c r="V156" s="1878"/>
      <c r="W156" s="1878"/>
      <c r="X156" s="1878"/>
      <c r="Y156" s="1878"/>
      <c r="Z156" s="1879"/>
      <c r="AA156" s="1880"/>
      <c r="AB156" s="1881"/>
    </row>
    <row r="157" spans="1:28" ht="24.95" customHeight="1" x14ac:dyDescent="0.25">
      <c r="A157" s="724">
        <v>38</v>
      </c>
      <c r="B157" s="725"/>
      <c r="C157" s="1671" t="e">
        <f>VLOOKUP(A157,data_siswa,4,FALSE)</f>
        <v>#N/A</v>
      </c>
      <c r="D157" s="1862" t="s">
        <v>16</v>
      </c>
      <c r="E157" s="1493">
        <v>0</v>
      </c>
      <c r="F157" s="1493">
        <v>0</v>
      </c>
      <c r="G157" s="1493">
        <v>0</v>
      </c>
      <c r="H157" s="1493"/>
      <c r="I157" s="1493"/>
      <c r="J157" s="1493"/>
      <c r="K157" s="1493"/>
      <c r="L157" s="1493"/>
      <c r="M157" s="1493"/>
      <c r="N157" s="1077">
        <f>MAX(E157,H157,K157)</f>
        <v>0</v>
      </c>
      <c r="O157" s="2126">
        <f t="shared" ref="O157:O159" si="258">MAX(F157,I157,L157)</f>
        <v>0</v>
      </c>
      <c r="P157" s="2127">
        <f t="shared" ref="P157:P159" si="259">MAX(G157,J157,M157)</f>
        <v>0</v>
      </c>
      <c r="Q157" s="853">
        <f>IFERROR(AVERAGE(N157:P157),"")</f>
        <v>0</v>
      </c>
      <c r="R157" s="1519" t="str">
        <f>IF(Q157&gt;85,("4"),IF(Q157&gt;80,("3.66"),IF(Q157&gt;75,("3.33"),IF(Q157&gt;70,("3.00"),IF(Q157&gt;65,("2.66"),IF(Q157&gt;60,("2.33"),IF(Q157&gt;55,("2"),IF(Q157&gt;50,("1.66"),"1.33"))))))))</f>
        <v>1.33</v>
      </c>
      <c r="S157" s="1519" t="str">
        <f>IF(Q157&gt;85,("A"),IF(Q157&gt;80,("A-"),IF(Q157&gt;75,("B+"),IF(Q157&gt;70,("B"),IF(Q157&gt;65,("B-"),IF(Q157&gt;60,("C+"),IF(Q157&gt;55,("C"),IF(Q157&gt;50,("C-"),"D+"))))))))</f>
        <v>D+</v>
      </c>
      <c r="T157" s="1519" t="str">
        <f>IF(Q157&gt;80,("SB"),IF(Q157&gt;65,("B"),IF(Q157&gt;50,("C"),IF(Q157&gt;0,("K"),"0"))))</f>
        <v>0</v>
      </c>
      <c r="U157" s="1796"/>
      <c r="V157" s="1796"/>
      <c r="W157" s="1796"/>
      <c r="X157" s="1859"/>
      <c r="Y157" s="1859"/>
      <c r="Z157" s="1859"/>
      <c r="AA157" s="1860">
        <f>MAX(Q157:Q159)</f>
        <v>0</v>
      </c>
      <c r="AB157" s="1861" t="str">
        <f>IF(AA157&gt;85,("A"),IF(AA157&gt;80,("A-"),IF(AA157&gt;75,("B+"),IF(AA157&gt;70,("B"),IF(AA157&gt;65,("B-"),IF(AA157&gt;60,("C+"),IF(AA157&gt;55,("C"),IF(AA157&gt;50,("C-"),"D+"))))))))</f>
        <v>D+</v>
      </c>
    </row>
    <row r="158" spans="1:28" ht="24.95" customHeight="1" x14ac:dyDescent="0.25">
      <c r="A158" s="360"/>
      <c r="B158" s="719"/>
      <c r="C158" s="1673"/>
      <c r="D158" s="1862" t="s">
        <v>189</v>
      </c>
      <c r="E158" s="1497"/>
      <c r="F158" s="1493"/>
      <c r="G158" s="1493"/>
      <c r="H158" s="1493">
        <v>0</v>
      </c>
      <c r="I158" s="1493">
        <v>0</v>
      </c>
      <c r="J158" s="1493">
        <v>0</v>
      </c>
      <c r="K158" s="1493"/>
      <c r="L158" s="1493"/>
      <c r="M158" s="1493"/>
      <c r="N158" s="1077">
        <f t="shared" ref="N158:N159" si="260">MAX(E158,H158,K158)</f>
        <v>0</v>
      </c>
      <c r="O158" s="2126">
        <f t="shared" si="258"/>
        <v>0</v>
      </c>
      <c r="P158" s="2127">
        <f t="shared" si="259"/>
        <v>0</v>
      </c>
      <c r="Q158" s="853">
        <f t="shared" ref="Q158:Q159" si="261">IFERROR(AVERAGE(N158:P158),"")</f>
        <v>0</v>
      </c>
      <c r="R158" s="1518" t="str">
        <f t="shared" ref="R158:R159" si="262">IF(Q158&gt;85,("4"),IF(Q158&gt;80,("3.66"),IF(Q158&gt;75,("3.33"),IF(Q158&gt;70,("3.00"),IF(Q158&gt;65,("2.66"),IF(Q158&gt;60,("2.33"),IF(Q158&gt;55,("2"),IF(Q158&gt;50,("1.66"),"1.33"))))))))</f>
        <v>1.33</v>
      </c>
      <c r="S158" s="1518" t="str">
        <f t="shared" ref="S158:S159" si="263">IF(Q158&gt;85,("A"),IF(Q158&gt;80,("A-"),IF(Q158&gt;75,("B+"),IF(Q158&gt;70,("B"),IF(Q158&gt;65,("B-"),IF(Q158&gt;60,("C+"),IF(Q158&gt;55,("C"),IF(Q158&gt;50,("C-"),"D+"))))))))</f>
        <v>D+</v>
      </c>
      <c r="T158" s="1518" t="str">
        <f t="shared" ref="T158:T159" si="264">IF(Q158&gt;80,("SB"),IF(Q158&gt;65,("B"),IF(Q158&gt;50,("C"),IF(Q158&gt;0,("K"),"0"))))</f>
        <v>0</v>
      </c>
      <c r="U158" s="1863"/>
      <c r="V158" s="1864"/>
      <c r="W158" s="1864"/>
      <c r="X158" s="1865"/>
      <c r="Y158" s="1865"/>
      <c r="Z158" s="1866"/>
      <c r="AA158" s="1867"/>
      <c r="AB158" s="1868"/>
    </row>
    <row r="159" spans="1:28" ht="24.95" customHeight="1" x14ac:dyDescent="0.25">
      <c r="A159" s="360"/>
      <c r="B159" s="719"/>
      <c r="C159" s="1673"/>
      <c r="D159" s="1862" t="s">
        <v>186</v>
      </c>
      <c r="E159" s="1493"/>
      <c r="F159" s="1493"/>
      <c r="G159" s="1493"/>
      <c r="H159" s="1493"/>
      <c r="I159" s="1493"/>
      <c r="J159" s="1493"/>
      <c r="K159" s="1493">
        <v>0</v>
      </c>
      <c r="L159" s="1493">
        <v>0</v>
      </c>
      <c r="M159" s="1493">
        <v>0</v>
      </c>
      <c r="N159" s="1077">
        <f t="shared" si="260"/>
        <v>0</v>
      </c>
      <c r="O159" s="2126">
        <f t="shared" si="258"/>
        <v>0</v>
      </c>
      <c r="P159" s="2127">
        <f t="shared" si="259"/>
        <v>0</v>
      </c>
      <c r="Q159" s="853">
        <f t="shared" si="261"/>
        <v>0</v>
      </c>
      <c r="R159" s="1518" t="str">
        <f t="shared" si="262"/>
        <v>1.33</v>
      </c>
      <c r="S159" s="1518" t="str">
        <f t="shared" si="263"/>
        <v>D+</v>
      </c>
      <c r="T159" s="1518" t="str">
        <f t="shared" si="264"/>
        <v>0</v>
      </c>
      <c r="U159" s="1869"/>
      <c r="V159" s="1870"/>
      <c r="W159" s="1870"/>
      <c r="X159" s="1871"/>
      <c r="Y159" s="1871"/>
      <c r="Z159" s="1872"/>
      <c r="AA159" s="1873"/>
      <c r="AB159" s="1874"/>
    </row>
    <row r="160" spans="1:28" ht="24.95" customHeight="1" x14ac:dyDescent="0.25">
      <c r="A160" s="727"/>
      <c r="B160" s="731">
        <v>38</v>
      </c>
      <c r="C160" s="1674" t="s">
        <v>167</v>
      </c>
      <c r="D160" s="1797"/>
      <c r="E160" s="2901"/>
      <c r="F160" s="2902"/>
      <c r="G160" s="2902"/>
      <c r="H160" s="2080"/>
      <c r="I160" s="2080"/>
      <c r="J160" s="2080"/>
      <c r="K160" s="2080"/>
      <c r="L160" s="2080"/>
      <c r="M160" s="2080"/>
      <c r="N160" s="2163"/>
      <c r="O160" s="2163"/>
      <c r="P160" s="2163"/>
      <c r="Q160" s="1520">
        <f>IFERROR(MAX(Q157:Q159),"  ")</f>
        <v>0</v>
      </c>
      <c r="R160" s="1876" t="str">
        <f>IF(Q160&gt;85,("4"),IF(Q160&gt;80,("3.66"),IF(Q160&gt;75,("3.33"),IF(Q160&gt;70,("3.00"),IF(Q160&gt;65,("2.66"),IF(Q160&gt;60,("2.33"),IF(Q160&gt;55,("2"),IF(Q160&gt;50,("1.66"),"1.33"))))))))</f>
        <v>1.33</v>
      </c>
      <c r="S160" s="1876" t="str">
        <f>IF(Q160&gt;85,("A"),IF(Q160&gt;80,("A-"),IF(Q160&gt;75,("B+"),IF(Q160&gt;70,("B"),IF(Q160&gt;65,("B-"),IF(Q160&gt;60,("C+"),IF(Q160&gt;55,("C"),IF(Q160&gt;50,("C-"),"D+"))))))))</f>
        <v>D+</v>
      </c>
      <c r="T160" s="1876"/>
      <c r="U160" s="1877"/>
      <c r="V160" s="1878"/>
      <c r="W160" s="1878"/>
      <c r="X160" s="1878"/>
      <c r="Y160" s="1878"/>
      <c r="Z160" s="1879"/>
      <c r="AA160" s="1880"/>
      <c r="AB160" s="1881"/>
    </row>
    <row r="161" spans="1:28" ht="24.95" customHeight="1" x14ac:dyDescent="0.25">
      <c r="A161" s="724">
        <v>39</v>
      </c>
      <c r="B161" s="725"/>
      <c r="C161" s="1671" t="e">
        <f>VLOOKUP(A161,data_siswa,4,FALSE)</f>
        <v>#N/A</v>
      </c>
      <c r="D161" s="1862" t="s">
        <v>16</v>
      </c>
      <c r="E161" s="1493">
        <v>0</v>
      </c>
      <c r="F161" s="1493">
        <v>0</v>
      </c>
      <c r="G161" s="1493">
        <v>0</v>
      </c>
      <c r="H161" s="1493"/>
      <c r="I161" s="1493"/>
      <c r="J161" s="1493"/>
      <c r="K161" s="1493"/>
      <c r="L161" s="1493"/>
      <c r="M161" s="1493"/>
      <c r="N161" s="1077">
        <f>MAX(E161,H161,K161)</f>
        <v>0</v>
      </c>
      <c r="O161" s="2126">
        <f t="shared" ref="O161:O163" si="265">MAX(F161,I161,L161)</f>
        <v>0</v>
      </c>
      <c r="P161" s="2127">
        <f t="shared" ref="P161:P163" si="266">MAX(G161,J161,M161)</f>
        <v>0</v>
      </c>
      <c r="Q161" s="853">
        <f>IFERROR(AVERAGE(N161:P161),"")</f>
        <v>0</v>
      </c>
      <c r="R161" s="1519" t="str">
        <f>IF(Q161&gt;85,("4"),IF(Q161&gt;80,("3.66"),IF(Q161&gt;75,("3.33"),IF(Q161&gt;70,("3.00"),IF(Q161&gt;65,("2.66"),IF(Q161&gt;60,("2.33"),IF(Q161&gt;55,("2"),IF(Q161&gt;50,("1.66"),"1.33"))))))))</f>
        <v>1.33</v>
      </c>
      <c r="S161" s="1519" t="str">
        <f>IF(Q161&gt;85,("A"),IF(Q161&gt;80,("A-"),IF(Q161&gt;75,("B+"),IF(Q161&gt;70,("B"),IF(Q161&gt;65,("B-"),IF(Q161&gt;60,("C+"),IF(Q161&gt;55,("C"),IF(Q161&gt;50,("C-"),"D+"))))))))</f>
        <v>D+</v>
      </c>
      <c r="T161" s="1519" t="str">
        <f>IF(Q161&gt;80,("SB"),IF(Q161&gt;65,("B"),IF(Q161&gt;50,("C"),IF(Q161&gt;0,("K"),"0"))))</f>
        <v>0</v>
      </c>
      <c r="U161" s="1796"/>
      <c r="V161" s="1796"/>
      <c r="W161" s="1796"/>
      <c r="X161" s="1859"/>
      <c r="Y161" s="1859"/>
      <c r="Z161" s="1859"/>
      <c r="AA161" s="1860">
        <f>MAX(Q161:Q163)</f>
        <v>0</v>
      </c>
      <c r="AB161" s="1861" t="str">
        <f>IF(AA161&gt;85,("A"),IF(AA161&gt;80,("A-"),IF(AA161&gt;75,("B+"),IF(AA161&gt;70,("B"),IF(AA161&gt;65,("B-"),IF(AA161&gt;60,("C+"),IF(AA161&gt;55,("C"),IF(AA161&gt;50,("C-"),"D+"))))))))</f>
        <v>D+</v>
      </c>
    </row>
    <row r="162" spans="1:28" ht="24.95" customHeight="1" x14ac:dyDescent="0.25">
      <c r="A162" s="360"/>
      <c r="B162" s="719"/>
      <c r="C162" s="1673"/>
      <c r="D162" s="1862" t="s">
        <v>189</v>
      </c>
      <c r="E162" s="1497"/>
      <c r="F162" s="1493"/>
      <c r="G162" s="1493"/>
      <c r="H162" s="1493">
        <v>0</v>
      </c>
      <c r="I162" s="1493">
        <v>0</v>
      </c>
      <c r="J162" s="1493">
        <v>0</v>
      </c>
      <c r="K162" s="1493"/>
      <c r="L162" s="1493"/>
      <c r="M162" s="1493"/>
      <c r="N162" s="1077">
        <f t="shared" ref="N162:N163" si="267">MAX(E162,H162,K162)</f>
        <v>0</v>
      </c>
      <c r="O162" s="2126">
        <f t="shared" si="265"/>
        <v>0</v>
      </c>
      <c r="P162" s="2127">
        <f t="shared" si="266"/>
        <v>0</v>
      </c>
      <c r="Q162" s="853">
        <f t="shared" ref="Q162:Q163" si="268">IFERROR(AVERAGE(N162:P162),"")</f>
        <v>0</v>
      </c>
      <c r="R162" s="1518" t="str">
        <f t="shared" ref="R162:R163" si="269">IF(Q162&gt;85,("4"),IF(Q162&gt;80,("3.66"),IF(Q162&gt;75,("3.33"),IF(Q162&gt;70,("3.00"),IF(Q162&gt;65,("2.66"),IF(Q162&gt;60,("2.33"),IF(Q162&gt;55,("2"),IF(Q162&gt;50,("1.66"),"1.33"))))))))</f>
        <v>1.33</v>
      </c>
      <c r="S162" s="1518" t="str">
        <f t="shared" ref="S162:S163" si="270">IF(Q162&gt;85,("A"),IF(Q162&gt;80,("A-"),IF(Q162&gt;75,("B+"),IF(Q162&gt;70,("B"),IF(Q162&gt;65,("B-"),IF(Q162&gt;60,("C+"),IF(Q162&gt;55,("C"),IF(Q162&gt;50,("C-"),"D+"))))))))</f>
        <v>D+</v>
      </c>
      <c r="T162" s="1518" t="str">
        <f t="shared" ref="T162:T163" si="271">IF(Q162&gt;80,("SB"),IF(Q162&gt;65,("B"),IF(Q162&gt;50,("C"),IF(Q162&gt;0,("K"),"0"))))</f>
        <v>0</v>
      </c>
      <c r="U162" s="1863"/>
      <c r="V162" s="1864"/>
      <c r="W162" s="1864"/>
      <c r="X162" s="1865"/>
      <c r="Y162" s="1865"/>
      <c r="Z162" s="1866"/>
      <c r="AA162" s="1867"/>
      <c r="AB162" s="1868"/>
    </row>
    <row r="163" spans="1:28" ht="24.95" customHeight="1" x14ac:dyDescent="0.25">
      <c r="A163" s="360"/>
      <c r="B163" s="719"/>
      <c r="C163" s="1673"/>
      <c r="D163" s="1862" t="s">
        <v>186</v>
      </c>
      <c r="E163" s="1493"/>
      <c r="F163" s="1493"/>
      <c r="G163" s="1493"/>
      <c r="H163" s="1493"/>
      <c r="I163" s="1493"/>
      <c r="J163" s="1493"/>
      <c r="K163" s="1493">
        <v>0</v>
      </c>
      <c r="L163" s="1493">
        <v>0</v>
      </c>
      <c r="M163" s="1493">
        <v>0</v>
      </c>
      <c r="N163" s="1077">
        <f t="shared" si="267"/>
        <v>0</v>
      </c>
      <c r="O163" s="2126">
        <f t="shared" si="265"/>
        <v>0</v>
      </c>
      <c r="P163" s="2127">
        <f t="shared" si="266"/>
        <v>0</v>
      </c>
      <c r="Q163" s="853">
        <f t="shared" si="268"/>
        <v>0</v>
      </c>
      <c r="R163" s="1518" t="str">
        <f t="shared" si="269"/>
        <v>1.33</v>
      </c>
      <c r="S163" s="1518" t="str">
        <f t="shared" si="270"/>
        <v>D+</v>
      </c>
      <c r="T163" s="1518" t="str">
        <f t="shared" si="271"/>
        <v>0</v>
      </c>
      <c r="U163" s="1869"/>
      <c r="V163" s="1870"/>
      <c r="W163" s="1870"/>
      <c r="X163" s="1871"/>
      <c r="Y163" s="1871"/>
      <c r="Z163" s="1872"/>
      <c r="AA163" s="1873"/>
      <c r="AB163" s="1874"/>
    </row>
    <row r="164" spans="1:28" ht="24.95" customHeight="1" x14ac:dyDescent="0.25">
      <c r="A164" s="727"/>
      <c r="B164" s="731">
        <v>39</v>
      </c>
      <c r="C164" s="1674" t="s">
        <v>167</v>
      </c>
      <c r="D164" s="1797"/>
      <c r="E164" s="2901"/>
      <c r="F164" s="2902"/>
      <c r="G164" s="2902"/>
      <c r="H164" s="2080"/>
      <c r="I164" s="2080"/>
      <c r="J164" s="2080"/>
      <c r="K164" s="2080"/>
      <c r="L164" s="2080"/>
      <c r="M164" s="2080"/>
      <c r="N164" s="2163"/>
      <c r="O164" s="2163"/>
      <c r="P164" s="2163"/>
      <c r="Q164" s="1520">
        <f>IFERROR(MAX(Q161:Q163),"  ")</f>
        <v>0</v>
      </c>
      <c r="R164" s="1876" t="str">
        <f>IF(Q164&gt;85,("4"),IF(Q164&gt;80,("3.66"),IF(Q164&gt;75,("3.33"),IF(Q164&gt;70,("3.00"),IF(Q164&gt;65,("2.66"),IF(Q164&gt;60,("2.33"),IF(Q164&gt;55,("2"),IF(Q164&gt;50,("1.66"),"1.33"))))))))</f>
        <v>1.33</v>
      </c>
      <c r="S164" s="1876" t="str">
        <f>IF(Q164&gt;85,("A"),IF(Q164&gt;80,("A-"),IF(Q164&gt;75,("B+"),IF(Q164&gt;70,("B"),IF(Q164&gt;65,("B-"),IF(Q164&gt;60,("C+"),IF(Q164&gt;55,("C"),IF(Q164&gt;50,("C-"),"D+"))))))))</f>
        <v>D+</v>
      </c>
      <c r="T164" s="1876"/>
      <c r="U164" s="1877"/>
      <c r="V164" s="1878"/>
      <c r="W164" s="1878"/>
      <c r="X164" s="1878"/>
      <c r="Y164" s="1878"/>
      <c r="Z164" s="1879"/>
      <c r="AA164" s="1880"/>
      <c r="AB164" s="1881"/>
    </row>
    <row r="165" spans="1:28" ht="24.95" customHeight="1" x14ac:dyDescent="0.25">
      <c r="A165" s="724">
        <v>40</v>
      </c>
      <c r="B165" s="725"/>
      <c r="C165" s="1671" t="e">
        <f>VLOOKUP(A165,data_siswa,4,FALSE)</f>
        <v>#N/A</v>
      </c>
      <c r="D165" s="1862" t="s">
        <v>16</v>
      </c>
      <c r="E165" s="1493">
        <v>0</v>
      </c>
      <c r="F165" s="1493">
        <v>0</v>
      </c>
      <c r="G165" s="1493">
        <v>0</v>
      </c>
      <c r="H165" s="1493"/>
      <c r="I165" s="1493"/>
      <c r="J165" s="1493"/>
      <c r="K165" s="1493"/>
      <c r="L165" s="1493"/>
      <c r="M165" s="1493"/>
      <c r="N165" s="1077">
        <f>MAX(E165,H165,K165)</f>
        <v>0</v>
      </c>
      <c r="O165" s="2126">
        <f t="shared" ref="O165:O167" si="272">MAX(F165,I165,L165)</f>
        <v>0</v>
      </c>
      <c r="P165" s="2127">
        <f t="shared" ref="P165:P167" si="273">MAX(G165,J165,M165)</f>
        <v>0</v>
      </c>
      <c r="Q165" s="853">
        <f>IFERROR(AVERAGE(N165:P165),"")</f>
        <v>0</v>
      </c>
      <c r="R165" s="1519" t="str">
        <f>IF(Q165&gt;85,("4"),IF(Q165&gt;80,("3.66"),IF(Q165&gt;75,("3.33"),IF(Q165&gt;70,("3.00"),IF(Q165&gt;65,("2.66"),IF(Q165&gt;60,("2.33"),IF(Q165&gt;55,("2"),IF(Q165&gt;50,("1.66"),"1.33"))))))))</f>
        <v>1.33</v>
      </c>
      <c r="S165" s="1519" t="str">
        <f>IF(Q165&gt;85,("A"),IF(Q165&gt;80,("A-"),IF(Q165&gt;75,("B+"),IF(Q165&gt;70,("B"),IF(Q165&gt;65,("B-"),IF(Q165&gt;60,("C+"),IF(Q165&gt;55,("C"),IF(Q165&gt;50,("C-"),"D+"))))))))</f>
        <v>D+</v>
      </c>
      <c r="T165" s="1519" t="str">
        <f>IF(Q165&gt;80,("SB"),IF(Q165&gt;65,("B"),IF(Q165&gt;50,("C"),IF(Q165&gt;0,("K"),"0"))))</f>
        <v>0</v>
      </c>
      <c r="U165" s="1796"/>
      <c r="V165" s="1796"/>
      <c r="W165" s="1796"/>
      <c r="X165" s="1859"/>
      <c r="Y165" s="1859"/>
      <c r="Z165" s="1859"/>
      <c r="AA165" s="1860">
        <f>MAX(Q165:Q167)</f>
        <v>0</v>
      </c>
      <c r="AB165" s="1861" t="str">
        <f>IF(AA165&gt;85,("A"),IF(AA165&gt;80,("A-"),IF(AA165&gt;75,("B+"),IF(AA165&gt;70,("B"),IF(AA165&gt;65,("B-"),IF(AA165&gt;60,("C+"),IF(AA165&gt;55,("C"),IF(AA165&gt;50,("C-"),"D+"))))))))</f>
        <v>D+</v>
      </c>
    </row>
    <row r="166" spans="1:28" ht="24.95" customHeight="1" x14ac:dyDescent="0.25">
      <c r="A166" s="360"/>
      <c r="B166" s="719"/>
      <c r="C166" s="1673"/>
      <c r="D166" s="1862" t="s">
        <v>189</v>
      </c>
      <c r="E166" s="1497"/>
      <c r="F166" s="1493"/>
      <c r="G166" s="1493"/>
      <c r="H166" s="1493">
        <v>0</v>
      </c>
      <c r="I166" s="1493">
        <v>0</v>
      </c>
      <c r="J166" s="1493">
        <v>0</v>
      </c>
      <c r="K166" s="1493"/>
      <c r="L166" s="1493"/>
      <c r="M166" s="1493"/>
      <c r="N166" s="1077">
        <f t="shared" ref="N166:N167" si="274">MAX(E166,H166,K166)</f>
        <v>0</v>
      </c>
      <c r="O166" s="2126">
        <f t="shared" si="272"/>
        <v>0</v>
      </c>
      <c r="P166" s="2127">
        <f t="shared" si="273"/>
        <v>0</v>
      </c>
      <c r="Q166" s="853">
        <f t="shared" ref="Q166:Q167" si="275">IFERROR(AVERAGE(N166:P166),"")</f>
        <v>0</v>
      </c>
      <c r="R166" s="1518" t="str">
        <f t="shared" ref="R166:R167" si="276">IF(Q166&gt;85,("4"),IF(Q166&gt;80,("3.66"),IF(Q166&gt;75,("3.33"),IF(Q166&gt;70,("3.00"),IF(Q166&gt;65,("2.66"),IF(Q166&gt;60,("2.33"),IF(Q166&gt;55,("2"),IF(Q166&gt;50,("1.66"),"1.33"))))))))</f>
        <v>1.33</v>
      </c>
      <c r="S166" s="1518" t="str">
        <f t="shared" ref="S166:S167" si="277">IF(Q166&gt;85,("A"),IF(Q166&gt;80,("A-"),IF(Q166&gt;75,("B+"),IF(Q166&gt;70,("B"),IF(Q166&gt;65,("B-"),IF(Q166&gt;60,("C+"),IF(Q166&gt;55,("C"),IF(Q166&gt;50,("C-"),"D+"))))))))</f>
        <v>D+</v>
      </c>
      <c r="T166" s="1518" t="str">
        <f t="shared" ref="T166:T167" si="278">IF(Q166&gt;80,("SB"),IF(Q166&gt;65,("B"),IF(Q166&gt;50,("C"),IF(Q166&gt;0,("K"),"0"))))</f>
        <v>0</v>
      </c>
      <c r="U166" s="1863"/>
      <c r="V166" s="1864"/>
      <c r="W166" s="1864"/>
      <c r="X166" s="1865"/>
      <c r="Y166" s="1865"/>
      <c r="Z166" s="1866"/>
      <c r="AA166" s="1867"/>
      <c r="AB166" s="1868"/>
    </row>
    <row r="167" spans="1:28" ht="24.95" customHeight="1" x14ac:dyDescent="0.25">
      <c r="A167" s="360"/>
      <c r="B167" s="719"/>
      <c r="C167" s="1673"/>
      <c r="D167" s="1862" t="s">
        <v>186</v>
      </c>
      <c r="E167" s="1493"/>
      <c r="F167" s="1493"/>
      <c r="G167" s="1493"/>
      <c r="H167" s="1493"/>
      <c r="I167" s="1493"/>
      <c r="J167" s="1493"/>
      <c r="K167" s="1493">
        <v>0</v>
      </c>
      <c r="L167" s="1493">
        <v>0</v>
      </c>
      <c r="M167" s="1493">
        <v>0</v>
      </c>
      <c r="N167" s="1077">
        <f t="shared" si="274"/>
        <v>0</v>
      </c>
      <c r="O167" s="2126">
        <f t="shared" si="272"/>
        <v>0</v>
      </c>
      <c r="P167" s="2127">
        <f t="shared" si="273"/>
        <v>0</v>
      </c>
      <c r="Q167" s="853">
        <f t="shared" si="275"/>
        <v>0</v>
      </c>
      <c r="R167" s="1518" t="str">
        <f t="shared" si="276"/>
        <v>1.33</v>
      </c>
      <c r="S167" s="1518" t="str">
        <f t="shared" si="277"/>
        <v>D+</v>
      </c>
      <c r="T167" s="1518" t="str">
        <f t="shared" si="278"/>
        <v>0</v>
      </c>
      <c r="U167" s="1869"/>
      <c r="V167" s="1870"/>
      <c r="W167" s="1870"/>
      <c r="X167" s="1871"/>
      <c r="Y167" s="1871"/>
      <c r="Z167" s="1872"/>
      <c r="AA167" s="1873"/>
      <c r="AB167" s="1874"/>
    </row>
    <row r="168" spans="1:28" ht="24.95" customHeight="1" x14ac:dyDescent="0.25">
      <c r="A168" s="727"/>
      <c r="B168" s="731">
        <v>40</v>
      </c>
      <c r="C168" s="1674" t="s">
        <v>167</v>
      </c>
      <c r="D168" s="1797"/>
      <c r="E168" s="2901"/>
      <c r="F168" s="2902"/>
      <c r="G168" s="2902"/>
      <c r="H168" s="2024"/>
      <c r="I168" s="2024"/>
      <c r="J168" s="2024"/>
      <c r="K168" s="2024"/>
      <c r="L168" s="2024"/>
      <c r="M168" s="2024"/>
      <c r="N168" s="2163"/>
      <c r="O168" s="2163"/>
      <c r="P168" s="2163"/>
      <c r="Q168" s="1520">
        <f>IFERROR(MAX(Q165:Q167),"  ")</f>
        <v>0</v>
      </c>
      <c r="R168" s="1876" t="str">
        <f>IF(Q168&gt;85,("4"),IF(Q168&gt;80,("3.66"),IF(Q168&gt;75,("3.33"),IF(Q168&gt;70,("3.00"),IF(Q168&gt;65,("2.66"),IF(Q168&gt;60,("2.33"),IF(Q168&gt;55,("2"),IF(Q168&gt;50,("1.66"),"1.33"))))))))</f>
        <v>1.33</v>
      </c>
      <c r="S168" s="1876" t="str">
        <f>IF(Q168&gt;85,("A"),IF(Q168&gt;80,("A-"),IF(Q168&gt;75,("B+"),IF(Q168&gt;70,("B"),IF(Q168&gt;65,("B-"),IF(Q168&gt;60,("C+"),IF(Q168&gt;55,("C"),IF(Q168&gt;50,("C-"),"D+"))))))))</f>
        <v>D+</v>
      </c>
      <c r="T168" s="1876"/>
      <c r="U168" s="1877"/>
      <c r="V168" s="1878"/>
      <c r="W168" s="1878"/>
      <c r="X168" s="1878"/>
      <c r="Y168" s="1878"/>
      <c r="Z168" s="1879"/>
      <c r="AA168" s="1880"/>
      <c r="AB168" s="1881"/>
    </row>
    <row r="169" spans="1:28" ht="15" x14ac:dyDescent="0.25">
      <c r="B169" s="352"/>
      <c r="Q169" s="2120"/>
      <c r="S169" s="352"/>
      <c r="T169" s="352"/>
    </row>
    <row r="170" spans="1:28" ht="15" x14ac:dyDescent="0.25">
      <c r="B170" s="352"/>
      <c r="Q170" s="2120"/>
      <c r="S170" s="352"/>
      <c r="T170" s="352"/>
    </row>
    <row r="171" spans="1:28" ht="15" x14ac:dyDescent="0.25">
      <c r="B171" s="352"/>
      <c r="Q171" s="2120"/>
      <c r="S171" s="352"/>
      <c r="T171" s="352"/>
    </row>
    <row r="172" spans="1:28" ht="15" x14ac:dyDescent="0.25">
      <c r="B172" s="352"/>
      <c r="Q172" s="2120"/>
      <c r="S172" s="352"/>
      <c r="T172" s="352"/>
    </row>
    <row r="173" spans="1:28" ht="15" x14ac:dyDescent="0.25">
      <c r="B173" s="352"/>
      <c r="Q173" s="2120"/>
      <c r="S173" s="352"/>
      <c r="T173" s="352"/>
    </row>
    <row r="174" spans="1:28" ht="15" x14ac:dyDescent="0.25">
      <c r="B174" s="352"/>
      <c r="Q174" s="2120"/>
      <c r="S174" s="352"/>
      <c r="T174" s="352"/>
    </row>
    <row r="175" spans="1:28" ht="15" x14ac:dyDescent="0.25">
      <c r="B175" s="352"/>
      <c r="Q175" s="2120"/>
      <c r="S175" s="352"/>
      <c r="T175" s="352"/>
    </row>
    <row r="176" spans="1:28" ht="15" x14ac:dyDescent="0.25">
      <c r="B176" s="352"/>
      <c r="Q176" s="2120"/>
      <c r="S176" s="352"/>
      <c r="T176" s="352"/>
    </row>
    <row r="177" spans="2:20" ht="15" x14ac:dyDescent="0.25">
      <c r="B177" s="352"/>
      <c r="Q177" s="2120"/>
      <c r="S177" s="352"/>
      <c r="T177" s="352"/>
    </row>
    <row r="178" spans="2:20" ht="15" x14ac:dyDescent="0.25">
      <c r="B178" s="352"/>
      <c r="Q178" s="2120"/>
      <c r="S178" s="352"/>
      <c r="T178" s="352"/>
    </row>
    <row r="179" spans="2:20" ht="15" x14ac:dyDescent="0.25">
      <c r="B179" s="352"/>
      <c r="Q179" s="2120"/>
      <c r="S179" s="352"/>
      <c r="T179" s="352"/>
    </row>
    <row r="180" spans="2:20" ht="15" x14ac:dyDescent="0.25">
      <c r="B180" s="352"/>
      <c r="Q180" s="2120"/>
      <c r="S180" s="352"/>
      <c r="T180" s="352"/>
    </row>
    <row r="181" spans="2:20" ht="15" x14ac:dyDescent="0.25">
      <c r="B181" s="352"/>
      <c r="Q181" s="2120"/>
      <c r="S181" s="352"/>
      <c r="T181" s="352"/>
    </row>
    <row r="182" spans="2:20" ht="15" x14ac:dyDescent="0.25">
      <c r="B182" s="352"/>
      <c r="Q182" s="2120"/>
      <c r="S182" s="352"/>
      <c r="T182" s="352"/>
    </row>
    <row r="183" spans="2:20" ht="15" x14ac:dyDescent="0.25">
      <c r="B183" s="352"/>
      <c r="Q183" s="2120"/>
      <c r="S183" s="352"/>
      <c r="T183" s="352"/>
    </row>
    <row r="184" spans="2:20" ht="15" x14ac:dyDescent="0.25">
      <c r="B184" s="352"/>
      <c r="Q184" s="2120"/>
      <c r="S184" s="352"/>
      <c r="T184" s="352"/>
    </row>
    <row r="185" spans="2:20" ht="15" x14ac:dyDescent="0.25">
      <c r="B185" s="352"/>
      <c r="Q185" s="2120"/>
      <c r="S185" s="352"/>
      <c r="T185" s="352"/>
    </row>
    <row r="186" spans="2:20" ht="15" x14ac:dyDescent="0.25">
      <c r="B186" s="352"/>
      <c r="Q186" s="2120"/>
      <c r="S186" s="352"/>
      <c r="T186" s="352"/>
    </row>
    <row r="187" spans="2:20" ht="15" x14ac:dyDescent="0.25">
      <c r="B187" s="352"/>
      <c r="Q187" s="2120"/>
      <c r="S187" s="352"/>
      <c r="T187" s="352"/>
    </row>
    <row r="188" spans="2:20" ht="15" x14ac:dyDescent="0.25">
      <c r="B188" s="352"/>
      <c r="Q188" s="2120"/>
      <c r="S188" s="352"/>
      <c r="T188" s="352"/>
    </row>
    <row r="189" spans="2:20" ht="15" x14ac:dyDescent="0.25">
      <c r="B189" s="352"/>
      <c r="Q189" s="2120"/>
      <c r="S189" s="352"/>
      <c r="T189" s="352"/>
    </row>
    <row r="190" spans="2:20" ht="15" x14ac:dyDescent="0.25">
      <c r="B190" s="352"/>
      <c r="Q190" s="2120"/>
      <c r="S190" s="352"/>
      <c r="T190" s="352"/>
    </row>
    <row r="191" spans="2:20" ht="15" x14ac:dyDescent="0.25">
      <c r="B191" s="352"/>
      <c r="Q191" s="2120"/>
      <c r="S191" s="352"/>
      <c r="T191" s="352"/>
    </row>
    <row r="192" spans="2:20" ht="15" x14ac:dyDescent="0.25">
      <c r="B192" s="352"/>
      <c r="Q192" s="2120"/>
      <c r="S192" s="352"/>
      <c r="T192" s="352"/>
    </row>
    <row r="193" spans="2:20" ht="15" x14ac:dyDescent="0.25">
      <c r="B193" s="352"/>
      <c r="Q193" s="2120"/>
      <c r="S193" s="352"/>
      <c r="T193" s="352"/>
    </row>
    <row r="194" spans="2:20" ht="15" x14ac:dyDescent="0.25">
      <c r="B194" s="352"/>
      <c r="Q194" s="2120"/>
      <c r="S194" s="352"/>
      <c r="T194" s="352"/>
    </row>
    <row r="195" spans="2:20" ht="15" x14ac:dyDescent="0.25">
      <c r="B195" s="352"/>
      <c r="Q195" s="2120"/>
      <c r="S195" s="352"/>
      <c r="T195" s="352"/>
    </row>
    <row r="196" spans="2:20" ht="15" x14ac:dyDescent="0.25">
      <c r="B196" s="352"/>
      <c r="Q196" s="2120"/>
      <c r="S196" s="352"/>
      <c r="T196" s="352"/>
    </row>
    <row r="197" spans="2:20" ht="15" x14ac:dyDescent="0.25">
      <c r="B197" s="352"/>
      <c r="Q197" s="2120"/>
      <c r="S197" s="352"/>
      <c r="T197" s="352"/>
    </row>
    <row r="198" spans="2:20" ht="15" x14ac:dyDescent="0.25">
      <c r="B198" s="352"/>
      <c r="Q198" s="2120"/>
      <c r="S198" s="352"/>
      <c r="T198" s="352"/>
    </row>
    <row r="199" spans="2:20" ht="15" x14ac:dyDescent="0.25">
      <c r="B199" s="352"/>
      <c r="Q199" s="2120"/>
      <c r="S199" s="352"/>
      <c r="T199" s="352"/>
    </row>
    <row r="200" spans="2:20" ht="15" x14ac:dyDescent="0.25">
      <c r="B200" s="352"/>
      <c r="Q200" s="2120"/>
      <c r="S200" s="352"/>
      <c r="T200" s="352"/>
    </row>
    <row r="201" spans="2:20" ht="15" x14ac:dyDescent="0.25">
      <c r="B201" s="352"/>
      <c r="Q201" s="2120"/>
      <c r="S201" s="352"/>
      <c r="T201" s="352"/>
    </row>
    <row r="202" spans="2:20" ht="15" x14ac:dyDescent="0.25">
      <c r="B202" s="352"/>
      <c r="Q202" s="2120"/>
      <c r="S202" s="352"/>
      <c r="T202" s="352"/>
    </row>
    <row r="203" spans="2:20" ht="15" x14ac:dyDescent="0.25">
      <c r="B203" s="352"/>
      <c r="Q203" s="2120"/>
      <c r="S203" s="352"/>
      <c r="T203" s="352"/>
    </row>
    <row r="204" spans="2:20" ht="15" x14ac:dyDescent="0.25">
      <c r="B204" s="352"/>
      <c r="Q204" s="2120"/>
      <c r="S204" s="352"/>
      <c r="T204" s="352"/>
    </row>
    <row r="205" spans="2:20" ht="15" x14ac:dyDescent="0.25">
      <c r="B205" s="352"/>
      <c r="Q205" s="2120"/>
      <c r="S205" s="352"/>
      <c r="T205" s="352"/>
    </row>
    <row r="206" spans="2:20" ht="15" x14ac:dyDescent="0.25">
      <c r="B206" s="352"/>
      <c r="Q206" s="2120"/>
      <c r="S206" s="352"/>
      <c r="T206" s="352"/>
    </row>
    <row r="207" spans="2:20" ht="15" x14ac:dyDescent="0.25">
      <c r="B207" s="352"/>
      <c r="Q207" s="2120"/>
      <c r="S207" s="352"/>
      <c r="T207" s="352"/>
    </row>
    <row r="208" spans="2:20" ht="15" x14ac:dyDescent="0.25">
      <c r="B208" s="352"/>
      <c r="Q208" s="2120"/>
      <c r="S208" s="352"/>
      <c r="T208" s="352"/>
    </row>
    <row r="209" spans="2:20" ht="15" x14ac:dyDescent="0.25">
      <c r="B209" s="352"/>
      <c r="Q209" s="2120"/>
      <c r="S209" s="352"/>
      <c r="T209" s="352"/>
    </row>
    <row r="210" spans="2:20" ht="15" x14ac:dyDescent="0.25">
      <c r="B210" s="352"/>
      <c r="Q210" s="2120"/>
      <c r="S210" s="352"/>
      <c r="T210" s="352"/>
    </row>
    <row r="211" spans="2:20" ht="15" x14ac:dyDescent="0.25">
      <c r="B211" s="352"/>
      <c r="Q211" s="2120"/>
      <c r="S211" s="352"/>
      <c r="T211" s="352"/>
    </row>
    <row r="212" spans="2:20" ht="15" x14ac:dyDescent="0.25">
      <c r="B212" s="352"/>
      <c r="Q212" s="2120"/>
      <c r="S212" s="352"/>
      <c r="T212" s="352"/>
    </row>
    <row r="213" spans="2:20" ht="15" x14ac:dyDescent="0.25">
      <c r="B213" s="352"/>
      <c r="Q213" s="2120"/>
      <c r="S213" s="352"/>
      <c r="T213" s="352"/>
    </row>
    <row r="214" spans="2:20" ht="15" x14ac:dyDescent="0.25">
      <c r="B214" s="352"/>
      <c r="Q214" s="2120"/>
      <c r="S214" s="352"/>
      <c r="T214" s="352"/>
    </row>
    <row r="215" spans="2:20" ht="15" x14ac:dyDescent="0.25">
      <c r="B215" s="352"/>
      <c r="Q215" s="2120"/>
      <c r="S215" s="352"/>
      <c r="T215" s="352"/>
    </row>
    <row r="216" spans="2:20" ht="15" x14ac:dyDescent="0.25">
      <c r="B216" s="352"/>
      <c r="Q216" s="2120"/>
      <c r="S216" s="352"/>
      <c r="T216" s="352"/>
    </row>
    <row r="217" spans="2:20" ht="15" x14ac:dyDescent="0.25">
      <c r="B217" s="352"/>
      <c r="Q217" s="2120"/>
      <c r="S217" s="352"/>
      <c r="T217" s="352"/>
    </row>
    <row r="218" spans="2:20" ht="15" x14ac:dyDescent="0.25">
      <c r="B218" s="352"/>
      <c r="Q218" s="2120"/>
      <c r="S218" s="352"/>
      <c r="T218" s="352"/>
    </row>
    <row r="219" spans="2:20" ht="15" x14ac:dyDescent="0.25">
      <c r="B219" s="352"/>
      <c r="Q219" s="2120"/>
      <c r="S219" s="352"/>
      <c r="T219" s="352"/>
    </row>
    <row r="220" spans="2:20" ht="15" x14ac:dyDescent="0.25">
      <c r="B220" s="352"/>
      <c r="Q220" s="2120"/>
      <c r="S220" s="352"/>
      <c r="T220" s="352"/>
    </row>
    <row r="221" spans="2:20" ht="15" x14ac:dyDescent="0.25">
      <c r="B221" s="352"/>
      <c r="Q221" s="2120"/>
      <c r="S221" s="352"/>
      <c r="T221" s="352"/>
    </row>
    <row r="222" spans="2:20" ht="15" x14ac:dyDescent="0.25">
      <c r="B222" s="352"/>
      <c r="Q222" s="2120"/>
      <c r="S222" s="352"/>
      <c r="T222" s="352"/>
    </row>
    <row r="223" spans="2:20" ht="15" x14ac:dyDescent="0.25">
      <c r="B223" s="352"/>
      <c r="Q223" s="2120"/>
      <c r="S223" s="352"/>
      <c r="T223" s="352"/>
    </row>
    <row r="224" spans="2:20" ht="15" x14ac:dyDescent="0.25">
      <c r="B224" s="352"/>
      <c r="Q224" s="2120"/>
      <c r="S224" s="352"/>
      <c r="T224" s="352"/>
    </row>
    <row r="225" spans="2:20" ht="15" x14ac:dyDescent="0.25">
      <c r="B225" s="352"/>
      <c r="Q225" s="2120"/>
      <c r="S225" s="352"/>
      <c r="T225" s="352"/>
    </row>
    <row r="226" spans="2:20" ht="15" x14ac:dyDescent="0.25">
      <c r="B226" s="352"/>
      <c r="Q226" s="2120"/>
      <c r="S226" s="352"/>
      <c r="T226" s="352"/>
    </row>
    <row r="227" spans="2:20" ht="15" x14ac:dyDescent="0.25">
      <c r="B227" s="352"/>
      <c r="Q227" s="2120"/>
      <c r="S227" s="352"/>
      <c r="T227" s="352"/>
    </row>
    <row r="228" spans="2:20" ht="15" x14ac:dyDescent="0.25">
      <c r="B228" s="352"/>
      <c r="Q228" s="2120"/>
      <c r="S228" s="352"/>
      <c r="T228" s="352"/>
    </row>
    <row r="229" spans="2:20" ht="15" x14ac:dyDescent="0.25">
      <c r="B229" s="352"/>
      <c r="Q229" s="2120"/>
      <c r="S229" s="352"/>
      <c r="T229" s="352"/>
    </row>
    <row r="230" spans="2:20" ht="15" x14ac:dyDescent="0.25">
      <c r="B230" s="352"/>
      <c r="Q230" s="2120"/>
      <c r="S230" s="352"/>
      <c r="T230" s="352"/>
    </row>
    <row r="231" spans="2:20" ht="15" x14ac:dyDescent="0.25">
      <c r="B231" s="352"/>
      <c r="Q231" s="2120"/>
      <c r="S231" s="352"/>
      <c r="T231" s="352"/>
    </row>
    <row r="232" spans="2:20" ht="15" x14ac:dyDescent="0.25">
      <c r="B232" s="352"/>
      <c r="Q232" s="2120"/>
      <c r="S232" s="352"/>
      <c r="T232" s="352"/>
    </row>
    <row r="233" spans="2:20" ht="15" x14ac:dyDescent="0.25">
      <c r="B233" s="352"/>
      <c r="Q233" s="2120"/>
      <c r="S233" s="352"/>
      <c r="T233" s="352"/>
    </row>
    <row r="234" spans="2:20" ht="15" x14ac:dyDescent="0.25">
      <c r="B234" s="352"/>
      <c r="Q234" s="2120"/>
      <c r="S234" s="352"/>
      <c r="T234" s="352"/>
    </row>
    <row r="235" spans="2:20" ht="15" x14ac:dyDescent="0.25">
      <c r="B235" s="352"/>
      <c r="Q235" s="2120"/>
      <c r="S235" s="352"/>
      <c r="T235" s="352"/>
    </row>
    <row r="236" spans="2:20" ht="15" x14ac:dyDescent="0.25">
      <c r="B236" s="352"/>
      <c r="Q236" s="2120"/>
      <c r="S236" s="352"/>
      <c r="T236" s="352"/>
    </row>
    <row r="237" spans="2:20" ht="15" x14ac:dyDescent="0.25">
      <c r="B237" s="352"/>
      <c r="Q237" s="2120"/>
      <c r="S237" s="352"/>
      <c r="T237" s="352"/>
    </row>
    <row r="238" spans="2:20" ht="15" x14ac:dyDescent="0.25">
      <c r="B238" s="352"/>
      <c r="Q238" s="2120"/>
      <c r="S238" s="352"/>
      <c r="T238" s="352"/>
    </row>
    <row r="239" spans="2:20" ht="15" x14ac:dyDescent="0.25">
      <c r="B239" s="352"/>
      <c r="Q239" s="2120"/>
      <c r="S239" s="352"/>
      <c r="T239" s="352"/>
    </row>
    <row r="240" spans="2:20" ht="15" x14ac:dyDescent="0.25">
      <c r="B240" s="352"/>
      <c r="Q240" s="2120"/>
      <c r="S240" s="352"/>
      <c r="T240" s="352"/>
    </row>
    <row r="241" spans="2:20" ht="15" x14ac:dyDescent="0.25">
      <c r="B241" s="352"/>
      <c r="Q241" s="2120"/>
      <c r="S241" s="352"/>
      <c r="T241" s="352"/>
    </row>
    <row r="242" spans="2:20" ht="15" x14ac:dyDescent="0.25">
      <c r="B242" s="352"/>
      <c r="Q242" s="2120"/>
      <c r="S242" s="352"/>
      <c r="T242" s="352"/>
    </row>
    <row r="243" spans="2:20" ht="15" x14ac:dyDescent="0.25">
      <c r="B243" s="352"/>
      <c r="Q243" s="2120"/>
      <c r="S243" s="352"/>
      <c r="T243" s="352"/>
    </row>
    <row r="244" spans="2:20" ht="15" x14ac:dyDescent="0.25">
      <c r="B244" s="352"/>
      <c r="Q244" s="2120"/>
      <c r="S244" s="352"/>
      <c r="T244" s="352"/>
    </row>
    <row r="245" spans="2:20" ht="15" x14ac:dyDescent="0.25">
      <c r="B245" s="352"/>
      <c r="Q245" s="2120"/>
      <c r="S245" s="352"/>
      <c r="T245" s="352"/>
    </row>
    <row r="246" spans="2:20" ht="15" x14ac:dyDescent="0.25">
      <c r="B246" s="352"/>
      <c r="Q246" s="2120"/>
      <c r="S246" s="352"/>
      <c r="T246" s="352"/>
    </row>
    <row r="247" spans="2:20" ht="15" x14ac:dyDescent="0.25">
      <c r="B247" s="352"/>
      <c r="Q247" s="2120"/>
      <c r="S247" s="352"/>
      <c r="T247" s="352"/>
    </row>
    <row r="248" spans="2:20" ht="15" x14ac:dyDescent="0.25">
      <c r="B248" s="352"/>
      <c r="Q248" s="2120"/>
      <c r="S248" s="352"/>
      <c r="T248" s="352"/>
    </row>
    <row r="249" spans="2:20" ht="15" x14ac:dyDescent="0.25">
      <c r="B249" s="352"/>
      <c r="Q249" s="2120"/>
      <c r="S249" s="352"/>
      <c r="T249" s="352"/>
    </row>
    <row r="250" spans="2:20" ht="15" x14ac:dyDescent="0.25">
      <c r="B250" s="352"/>
      <c r="Q250" s="2120"/>
      <c r="S250" s="352"/>
      <c r="T250" s="352"/>
    </row>
    <row r="251" spans="2:20" ht="15" x14ac:dyDescent="0.25">
      <c r="B251" s="352"/>
      <c r="Q251" s="2120"/>
      <c r="S251" s="352"/>
      <c r="T251" s="352"/>
    </row>
    <row r="252" spans="2:20" ht="15" x14ac:dyDescent="0.25">
      <c r="B252" s="352"/>
      <c r="Q252" s="2120"/>
      <c r="S252" s="352"/>
      <c r="T252" s="352"/>
    </row>
    <row r="253" spans="2:20" ht="15" x14ac:dyDescent="0.25">
      <c r="B253" s="352"/>
      <c r="Q253" s="2120"/>
      <c r="S253" s="352"/>
      <c r="T253" s="352"/>
    </row>
    <row r="254" spans="2:20" ht="15" x14ac:dyDescent="0.25">
      <c r="B254" s="352"/>
      <c r="Q254" s="2120"/>
      <c r="S254" s="352"/>
      <c r="T254" s="352"/>
    </row>
    <row r="255" spans="2:20" ht="15" x14ac:dyDescent="0.25">
      <c r="B255" s="352"/>
      <c r="Q255" s="2120"/>
      <c r="S255" s="352"/>
      <c r="T255" s="352"/>
    </row>
    <row r="256" spans="2:20" ht="15" x14ac:dyDescent="0.25">
      <c r="B256" s="352"/>
      <c r="Q256" s="2120"/>
      <c r="S256" s="352"/>
      <c r="T256" s="352"/>
    </row>
    <row r="257" spans="2:20" ht="15" x14ac:dyDescent="0.25">
      <c r="B257" s="352"/>
      <c r="Q257" s="2120"/>
      <c r="S257" s="352"/>
      <c r="T257" s="352"/>
    </row>
    <row r="258" spans="2:20" ht="15" x14ac:dyDescent="0.25">
      <c r="B258" s="352"/>
      <c r="Q258" s="2120"/>
      <c r="S258" s="352"/>
      <c r="T258" s="352"/>
    </row>
    <row r="259" spans="2:20" ht="15" x14ac:dyDescent="0.25">
      <c r="B259" s="352"/>
      <c r="Q259" s="2120"/>
      <c r="S259" s="352"/>
      <c r="T259" s="352"/>
    </row>
    <row r="260" spans="2:20" ht="15" x14ac:dyDescent="0.25">
      <c r="B260" s="352"/>
      <c r="Q260" s="2120"/>
      <c r="S260" s="352"/>
      <c r="T260" s="352"/>
    </row>
    <row r="261" spans="2:20" ht="15" x14ac:dyDescent="0.25">
      <c r="B261" s="352"/>
      <c r="Q261" s="2120"/>
      <c r="S261" s="352"/>
      <c r="T261" s="352"/>
    </row>
    <row r="262" spans="2:20" ht="15" x14ac:dyDescent="0.25">
      <c r="B262" s="352"/>
      <c r="Q262" s="2120"/>
      <c r="S262" s="352"/>
      <c r="T262" s="352"/>
    </row>
    <row r="263" spans="2:20" ht="15" x14ac:dyDescent="0.25">
      <c r="B263" s="352"/>
      <c r="Q263" s="2120"/>
      <c r="S263" s="352"/>
      <c r="T263" s="352"/>
    </row>
    <row r="264" spans="2:20" ht="15" x14ac:dyDescent="0.25">
      <c r="B264" s="352"/>
      <c r="Q264" s="2120"/>
      <c r="S264" s="352"/>
      <c r="T264" s="352"/>
    </row>
    <row r="265" spans="2:20" ht="15" x14ac:dyDescent="0.25">
      <c r="B265" s="352"/>
      <c r="Q265" s="2120"/>
      <c r="S265" s="352"/>
      <c r="T265" s="352"/>
    </row>
    <row r="266" spans="2:20" ht="15" x14ac:dyDescent="0.25">
      <c r="B266" s="352"/>
      <c r="Q266" s="2120"/>
      <c r="S266" s="352"/>
      <c r="T266" s="352"/>
    </row>
    <row r="267" spans="2:20" ht="15" x14ac:dyDescent="0.25">
      <c r="B267" s="352"/>
      <c r="Q267" s="2120"/>
      <c r="S267" s="352"/>
      <c r="T267" s="352"/>
    </row>
    <row r="268" spans="2:20" ht="15" x14ac:dyDescent="0.25">
      <c r="B268" s="352"/>
      <c r="Q268" s="2120"/>
      <c r="S268" s="352"/>
      <c r="T268" s="352"/>
    </row>
    <row r="269" spans="2:20" ht="15" x14ac:dyDescent="0.25">
      <c r="B269" s="352"/>
      <c r="Q269" s="2120"/>
      <c r="S269" s="352"/>
      <c r="T269" s="352"/>
    </row>
    <row r="270" spans="2:20" ht="15" x14ac:dyDescent="0.25">
      <c r="B270" s="352"/>
      <c r="Q270" s="2120"/>
      <c r="S270" s="352"/>
      <c r="T270" s="352"/>
    </row>
    <row r="271" spans="2:20" ht="15" x14ac:dyDescent="0.25">
      <c r="B271" s="352"/>
      <c r="Q271" s="2120"/>
      <c r="S271" s="352"/>
      <c r="T271" s="352"/>
    </row>
    <row r="272" spans="2:20" ht="15" x14ac:dyDescent="0.25">
      <c r="B272" s="352"/>
      <c r="Q272" s="2120"/>
      <c r="S272" s="352"/>
      <c r="T272" s="352"/>
    </row>
    <row r="273" spans="2:20" ht="15" x14ac:dyDescent="0.25">
      <c r="B273" s="352"/>
      <c r="Q273" s="2120"/>
      <c r="S273" s="352"/>
      <c r="T273" s="352"/>
    </row>
    <row r="274" spans="2:20" ht="15" x14ac:dyDescent="0.25">
      <c r="B274" s="352"/>
      <c r="Q274" s="2120"/>
      <c r="S274" s="352"/>
      <c r="T274" s="352"/>
    </row>
    <row r="275" spans="2:20" ht="15" x14ac:dyDescent="0.25">
      <c r="B275" s="352"/>
      <c r="Q275" s="2120"/>
      <c r="S275" s="352"/>
      <c r="T275" s="352"/>
    </row>
    <row r="276" spans="2:20" ht="15" x14ac:dyDescent="0.25">
      <c r="B276" s="352"/>
      <c r="Q276" s="2120"/>
      <c r="S276" s="352"/>
      <c r="T276" s="352"/>
    </row>
    <row r="277" spans="2:20" ht="15" x14ac:dyDescent="0.25">
      <c r="B277" s="352"/>
      <c r="Q277" s="2120"/>
      <c r="S277" s="352"/>
      <c r="T277" s="352"/>
    </row>
    <row r="278" spans="2:20" ht="15" x14ac:dyDescent="0.25">
      <c r="B278" s="352"/>
      <c r="Q278" s="2120"/>
      <c r="S278" s="352"/>
      <c r="T278" s="352"/>
    </row>
    <row r="279" spans="2:20" ht="15" x14ac:dyDescent="0.25">
      <c r="B279" s="352"/>
      <c r="Q279" s="2120"/>
      <c r="S279" s="352"/>
      <c r="T279" s="352"/>
    </row>
    <row r="280" spans="2:20" ht="15" x14ac:dyDescent="0.25">
      <c r="B280" s="352"/>
      <c r="Q280" s="2120"/>
      <c r="S280" s="352"/>
      <c r="T280" s="352"/>
    </row>
    <row r="281" spans="2:20" ht="15" x14ac:dyDescent="0.25">
      <c r="B281" s="352"/>
      <c r="Q281" s="2120"/>
      <c r="S281" s="352"/>
      <c r="T281" s="352"/>
    </row>
    <row r="282" spans="2:20" ht="15" x14ac:dyDescent="0.25">
      <c r="B282" s="352"/>
      <c r="Q282" s="2120"/>
      <c r="S282" s="352"/>
      <c r="T282" s="352"/>
    </row>
    <row r="283" spans="2:20" ht="15" x14ac:dyDescent="0.25">
      <c r="B283" s="352"/>
      <c r="Q283" s="2120"/>
      <c r="S283" s="352"/>
      <c r="T283" s="352"/>
    </row>
    <row r="284" spans="2:20" ht="15" x14ac:dyDescent="0.25">
      <c r="B284" s="352"/>
      <c r="Q284" s="2120"/>
      <c r="S284" s="352"/>
      <c r="T284" s="352"/>
    </row>
    <row r="285" spans="2:20" ht="15" x14ac:dyDescent="0.25">
      <c r="B285" s="352"/>
      <c r="Q285" s="2120"/>
      <c r="S285" s="352"/>
      <c r="T285" s="352"/>
    </row>
    <row r="286" spans="2:20" ht="15" x14ac:dyDescent="0.25">
      <c r="B286" s="352"/>
      <c r="Q286" s="2120"/>
      <c r="S286" s="352"/>
      <c r="T286" s="352"/>
    </row>
    <row r="287" spans="2:20" ht="15" x14ac:dyDescent="0.25">
      <c r="B287" s="352"/>
      <c r="Q287" s="2120"/>
      <c r="S287" s="352"/>
      <c r="T287" s="352"/>
    </row>
    <row r="288" spans="2:20" ht="15" x14ac:dyDescent="0.25">
      <c r="B288" s="352"/>
      <c r="Q288" s="2120"/>
      <c r="S288" s="352"/>
      <c r="T288" s="352"/>
    </row>
    <row r="289" spans="2:20" ht="15" x14ac:dyDescent="0.25">
      <c r="B289" s="352"/>
      <c r="Q289" s="2120"/>
      <c r="S289" s="352"/>
      <c r="T289" s="352"/>
    </row>
    <row r="290" spans="2:20" ht="15" x14ac:dyDescent="0.25">
      <c r="B290" s="352"/>
      <c r="Q290" s="2120"/>
      <c r="S290" s="352"/>
      <c r="T290" s="352"/>
    </row>
    <row r="291" spans="2:20" ht="15" x14ac:dyDescent="0.25">
      <c r="B291" s="352"/>
      <c r="Q291" s="2120"/>
      <c r="S291" s="352"/>
      <c r="T291" s="352"/>
    </row>
    <row r="292" spans="2:20" ht="15" x14ac:dyDescent="0.25">
      <c r="B292" s="352"/>
      <c r="Q292" s="2120"/>
      <c r="S292" s="352"/>
      <c r="T292" s="352"/>
    </row>
    <row r="293" spans="2:20" ht="15" x14ac:dyDescent="0.25">
      <c r="B293" s="352"/>
      <c r="Q293" s="2120"/>
      <c r="S293" s="352"/>
      <c r="T293" s="352"/>
    </row>
    <row r="294" spans="2:20" ht="15" x14ac:dyDescent="0.25">
      <c r="B294" s="352"/>
      <c r="Q294" s="2120"/>
      <c r="S294" s="352"/>
      <c r="T294" s="352"/>
    </row>
    <row r="295" spans="2:20" ht="15" x14ac:dyDescent="0.25">
      <c r="B295" s="352"/>
      <c r="Q295" s="2120"/>
      <c r="S295" s="352"/>
      <c r="T295" s="352"/>
    </row>
    <row r="296" spans="2:20" ht="15" x14ac:dyDescent="0.25">
      <c r="B296" s="352"/>
      <c r="Q296" s="2120"/>
      <c r="S296" s="352"/>
      <c r="T296" s="352"/>
    </row>
    <row r="297" spans="2:20" ht="15" x14ac:dyDescent="0.25">
      <c r="B297" s="352"/>
      <c r="Q297" s="2120"/>
      <c r="S297" s="352"/>
      <c r="T297" s="352"/>
    </row>
    <row r="298" spans="2:20" ht="15" x14ac:dyDescent="0.25">
      <c r="B298" s="352"/>
      <c r="Q298" s="2120"/>
      <c r="S298" s="352"/>
      <c r="T298" s="352"/>
    </row>
    <row r="299" spans="2:20" ht="15" x14ac:dyDescent="0.25">
      <c r="B299" s="352"/>
      <c r="Q299" s="2120"/>
      <c r="S299" s="352"/>
      <c r="T299" s="352"/>
    </row>
    <row r="300" spans="2:20" ht="15" x14ac:dyDescent="0.25">
      <c r="B300" s="352"/>
      <c r="Q300" s="2120"/>
      <c r="S300" s="352"/>
      <c r="T300" s="352"/>
    </row>
    <row r="301" spans="2:20" ht="15" x14ac:dyDescent="0.25">
      <c r="B301" s="352"/>
      <c r="Q301" s="2120"/>
      <c r="S301" s="352"/>
      <c r="T301" s="352"/>
    </row>
    <row r="302" spans="2:20" ht="15" x14ac:dyDescent="0.25">
      <c r="B302" s="352"/>
      <c r="Q302" s="2120"/>
      <c r="S302" s="352"/>
      <c r="T302" s="352"/>
    </row>
    <row r="303" spans="2:20" ht="15" x14ac:dyDescent="0.25">
      <c r="B303" s="352"/>
      <c r="Q303" s="2120"/>
      <c r="S303" s="352"/>
      <c r="T303" s="352"/>
    </row>
    <row r="304" spans="2:20" ht="15" x14ac:dyDescent="0.25">
      <c r="B304" s="352"/>
      <c r="Q304" s="2120"/>
      <c r="S304" s="352"/>
      <c r="T304" s="352"/>
    </row>
    <row r="305" spans="2:20" ht="15" x14ac:dyDescent="0.25">
      <c r="B305" s="352"/>
      <c r="Q305" s="2120"/>
      <c r="S305" s="352"/>
      <c r="T305" s="352"/>
    </row>
    <row r="306" spans="2:20" ht="15" x14ac:dyDescent="0.25">
      <c r="B306" s="352"/>
      <c r="Q306" s="2120"/>
      <c r="S306" s="352"/>
      <c r="T306" s="352"/>
    </row>
    <row r="307" spans="2:20" ht="15" x14ac:dyDescent="0.25">
      <c r="B307" s="352"/>
      <c r="Q307" s="2120"/>
      <c r="S307" s="352"/>
      <c r="T307" s="352"/>
    </row>
    <row r="308" spans="2:20" ht="15" x14ac:dyDescent="0.25">
      <c r="B308" s="352"/>
      <c r="Q308" s="2120"/>
      <c r="S308" s="352"/>
      <c r="T308" s="352"/>
    </row>
    <row r="309" spans="2:20" ht="15" x14ac:dyDescent="0.25">
      <c r="B309" s="352"/>
      <c r="Q309" s="2120"/>
      <c r="S309" s="352"/>
      <c r="T309" s="352"/>
    </row>
    <row r="310" spans="2:20" ht="15" x14ac:dyDescent="0.25">
      <c r="B310" s="352"/>
      <c r="Q310" s="2120"/>
      <c r="S310" s="352"/>
      <c r="T310" s="352"/>
    </row>
    <row r="311" spans="2:20" ht="15" x14ac:dyDescent="0.25">
      <c r="B311" s="352"/>
      <c r="Q311" s="2120"/>
      <c r="S311" s="352"/>
      <c r="T311" s="352"/>
    </row>
    <row r="312" spans="2:20" ht="15" x14ac:dyDescent="0.25">
      <c r="B312" s="352"/>
      <c r="Q312" s="2120"/>
      <c r="S312" s="352"/>
      <c r="T312" s="352"/>
    </row>
    <row r="313" spans="2:20" ht="15" x14ac:dyDescent="0.25">
      <c r="B313" s="352"/>
      <c r="Q313" s="2120"/>
      <c r="S313" s="352"/>
      <c r="T313" s="352"/>
    </row>
    <row r="314" spans="2:20" ht="15" x14ac:dyDescent="0.25">
      <c r="B314" s="352"/>
      <c r="Q314" s="2120"/>
      <c r="S314" s="352"/>
      <c r="T314" s="352"/>
    </row>
    <row r="315" spans="2:20" ht="15" x14ac:dyDescent="0.25">
      <c r="B315" s="352"/>
      <c r="Q315" s="2120"/>
      <c r="S315" s="352"/>
      <c r="T315" s="352"/>
    </row>
    <row r="316" spans="2:20" ht="15" x14ac:dyDescent="0.25">
      <c r="B316" s="352"/>
      <c r="Q316" s="2120"/>
      <c r="S316" s="352"/>
      <c r="T316" s="352"/>
    </row>
    <row r="317" spans="2:20" ht="15" x14ac:dyDescent="0.25">
      <c r="B317" s="352"/>
      <c r="Q317" s="2120"/>
      <c r="S317" s="352"/>
      <c r="T317" s="352"/>
    </row>
    <row r="318" spans="2:20" ht="15" x14ac:dyDescent="0.25">
      <c r="B318" s="352"/>
      <c r="Q318" s="2120"/>
      <c r="S318" s="352"/>
      <c r="T318" s="352"/>
    </row>
    <row r="319" spans="2:20" ht="15" x14ac:dyDescent="0.25">
      <c r="B319" s="352"/>
      <c r="Q319" s="2120"/>
      <c r="S319" s="352"/>
      <c r="T319" s="352"/>
    </row>
    <row r="320" spans="2:20" ht="15" x14ac:dyDescent="0.25">
      <c r="B320" s="352"/>
      <c r="Q320" s="2120"/>
      <c r="S320" s="352"/>
      <c r="T320" s="352"/>
    </row>
    <row r="321" spans="2:20" ht="15" x14ac:dyDescent="0.25">
      <c r="B321" s="352"/>
      <c r="Q321" s="2120"/>
      <c r="S321" s="352"/>
      <c r="T321" s="352"/>
    </row>
    <row r="322" spans="2:20" ht="15" x14ac:dyDescent="0.25">
      <c r="B322" s="352"/>
      <c r="Q322" s="2120"/>
      <c r="S322" s="352"/>
      <c r="T322" s="352"/>
    </row>
    <row r="323" spans="2:20" ht="15" x14ac:dyDescent="0.25">
      <c r="B323" s="352"/>
      <c r="Q323" s="2120"/>
      <c r="S323" s="352"/>
      <c r="T323" s="352"/>
    </row>
    <row r="324" spans="2:20" ht="15" x14ac:dyDescent="0.25">
      <c r="B324" s="352"/>
      <c r="Q324" s="2120"/>
      <c r="S324" s="352"/>
      <c r="T324" s="352"/>
    </row>
    <row r="325" spans="2:20" ht="15" x14ac:dyDescent="0.25">
      <c r="B325" s="352"/>
      <c r="Q325" s="2120"/>
      <c r="S325" s="352"/>
      <c r="T325" s="352"/>
    </row>
    <row r="326" spans="2:20" ht="15" x14ac:dyDescent="0.25">
      <c r="B326" s="352"/>
      <c r="Q326" s="2120"/>
      <c r="S326" s="352"/>
      <c r="T326" s="352"/>
    </row>
    <row r="327" spans="2:20" ht="15" x14ac:dyDescent="0.25">
      <c r="B327" s="352"/>
      <c r="Q327" s="2120"/>
      <c r="S327" s="352"/>
      <c r="T327" s="352"/>
    </row>
    <row r="328" spans="2:20" ht="15" x14ac:dyDescent="0.25">
      <c r="B328" s="352"/>
      <c r="Q328" s="2120"/>
      <c r="S328" s="352"/>
      <c r="T328" s="352"/>
    </row>
    <row r="329" spans="2:20" ht="15" x14ac:dyDescent="0.25">
      <c r="B329" s="352"/>
      <c r="Q329" s="2120"/>
      <c r="S329" s="352"/>
      <c r="T329" s="352"/>
    </row>
    <row r="330" spans="2:20" ht="15" x14ac:dyDescent="0.25">
      <c r="B330" s="352"/>
      <c r="Q330" s="2120"/>
      <c r="S330" s="352"/>
      <c r="T330" s="352"/>
    </row>
    <row r="331" spans="2:20" ht="15" x14ac:dyDescent="0.25">
      <c r="B331" s="352"/>
      <c r="Q331" s="2120"/>
      <c r="S331" s="352"/>
      <c r="T331" s="352"/>
    </row>
    <row r="332" spans="2:20" ht="15" x14ac:dyDescent="0.25">
      <c r="B332" s="352"/>
      <c r="Q332" s="2120"/>
      <c r="S332" s="352"/>
      <c r="T332" s="352"/>
    </row>
    <row r="333" spans="2:20" ht="15" x14ac:dyDescent="0.25">
      <c r="B333" s="352"/>
      <c r="Q333" s="2120"/>
      <c r="S333" s="352"/>
      <c r="T333" s="352"/>
    </row>
    <row r="334" spans="2:20" ht="15" x14ac:dyDescent="0.25">
      <c r="B334" s="352"/>
      <c r="Q334" s="2120"/>
      <c r="S334" s="352"/>
      <c r="T334" s="352"/>
    </row>
    <row r="335" spans="2:20" ht="15" x14ac:dyDescent="0.25">
      <c r="B335" s="352"/>
      <c r="Q335" s="2120"/>
      <c r="S335" s="352"/>
      <c r="T335" s="352"/>
    </row>
    <row r="336" spans="2:20" ht="15" x14ac:dyDescent="0.25">
      <c r="B336" s="352"/>
      <c r="Q336" s="2120"/>
      <c r="S336" s="352"/>
      <c r="T336" s="352"/>
    </row>
    <row r="337" spans="2:20" ht="15" x14ac:dyDescent="0.25">
      <c r="B337" s="352"/>
      <c r="Q337" s="2120"/>
      <c r="S337" s="352"/>
      <c r="T337" s="352"/>
    </row>
    <row r="338" spans="2:20" ht="15" x14ac:dyDescent="0.25">
      <c r="B338" s="352"/>
      <c r="Q338" s="2120"/>
      <c r="S338" s="352"/>
      <c r="T338" s="352"/>
    </row>
    <row r="339" spans="2:20" ht="15" x14ac:dyDescent="0.25">
      <c r="B339" s="352"/>
      <c r="Q339" s="2120"/>
      <c r="S339" s="352"/>
      <c r="T339" s="352"/>
    </row>
    <row r="340" spans="2:20" ht="15" x14ac:dyDescent="0.25">
      <c r="B340" s="352"/>
      <c r="Q340" s="2120"/>
      <c r="S340" s="352"/>
      <c r="T340" s="352"/>
    </row>
    <row r="341" spans="2:20" ht="15" x14ac:dyDescent="0.25">
      <c r="B341" s="352"/>
      <c r="Q341" s="2120"/>
      <c r="S341" s="352"/>
      <c r="T341" s="352"/>
    </row>
    <row r="342" spans="2:20" ht="15" x14ac:dyDescent="0.25">
      <c r="B342" s="352"/>
      <c r="Q342" s="2120"/>
      <c r="S342" s="352"/>
      <c r="T342" s="352"/>
    </row>
    <row r="343" spans="2:20" ht="15" x14ac:dyDescent="0.25">
      <c r="B343" s="352"/>
      <c r="Q343" s="2120"/>
      <c r="S343" s="352"/>
      <c r="T343" s="352"/>
    </row>
    <row r="344" spans="2:20" ht="15" x14ac:dyDescent="0.25">
      <c r="B344" s="352"/>
      <c r="Q344" s="2120"/>
      <c r="S344" s="352"/>
      <c r="T344" s="352"/>
    </row>
    <row r="345" spans="2:20" ht="15" x14ac:dyDescent="0.25">
      <c r="B345" s="352"/>
      <c r="Q345" s="2120"/>
      <c r="S345" s="352"/>
      <c r="T345" s="352"/>
    </row>
    <row r="346" spans="2:20" ht="15" x14ac:dyDescent="0.25">
      <c r="B346" s="352"/>
      <c r="Q346" s="2120"/>
      <c r="S346" s="352"/>
      <c r="T346" s="352"/>
    </row>
    <row r="347" spans="2:20" ht="15" x14ac:dyDescent="0.25">
      <c r="B347" s="352"/>
      <c r="Q347" s="2120"/>
      <c r="S347" s="352"/>
      <c r="T347" s="352"/>
    </row>
    <row r="348" spans="2:20" ht="15" x14ac:dyDescent="0.25">
      <c r="B348" s="352"/>
      <c r="Q348" s="2120"/>
      <c r="S348" s="352"/>
      <c r="T348" s="352"/>
    </row>
    <row r="349" spans="2:20" ht="15" x14ac:dyDescent="0.25">
      <c r="B349" s="352"/>
      <c r="Q349" s="2120"/>
      <c r="S349" s="352"/>
      <c r="T349" s="352"/>
    </row>
    <row r="350" spans="2:20" ht="15" x14ac:dyDescent="0.25">
      <c r="B350" s="352"/>
      <c r="Q350" s="2120"/>
      <c r="S350" s="352"/>
      <c r="T350" s="352"/>
    </row>
    <row r="351" spans="2:20" ht="15" x14ac:dyDescent="0.25">
      <c r="B351" s="352"/>
      <c r="Q351" s="2120"/>
      <c r="S351" s="352"/>
      <c r="T351" s="352"/>
    </row>
    <row r="352" spans="2:20" ht="15" x14ac:dyDescent="0.25">
      <c r="B352" s="352"/>
      <c r="Q352" s="2120"/>
      <c r="S352" s="352"/>
      <c r="T352" s="352"/>
    </row>
    <row r="353" spans="2:20" ht="15" x14ac:dyDescent="0.25">
      <c r="B353" s="352"/>
      <c r="Q353" s="2120"/>
      <c r="S353" s="352"/>
      <c r="T353" s="352"/>
    </row>
    <row r="354" spans="2:20" ht="15" x14ac:dyDescent="0.25">
      <c r="B354" s="352"/>
      <c r="Q354" s="2120"/>
      <c r="S354" s="352"/>
      <c r="T354" s="352"/>
    </row>
    <row r="355" spans="2:20" ht="15" x14ac:dyDescent="0.25">
      <c r="B355" s="352"/>
      <c r="Q355" s="2120"/>
      <c r="S355" s="352"/>
      <c r="T355" s="352"/>
    </row>
    <row r="356" spans="2:20" ht="15" x14ac:dyDescent="0.25">
      <c r="B356" s="352"/>
      <c r="Q356" s="2120"/>
      <c r="S356" s="352"/>
      <c r="T356" s="352"/>
    </row>
    <row r="357" spans="2:20" ht="15" x14ac:dyDescent="0.25">
      <c r="B357" s="352"/>
      <c r="Q357" s="2120"/>
      <c r="S357" s="352"/>
      <c r="T357" s="352"/>
    </row>
    <row r="358" spans="2:20" ht="15" x14ac:dyDescent="0.25">
      <c r="B358" s="352"/>
      <c r="Q358" s="2120"/>
      <c r="S358" s="352"/>
      <c r="T358" s="352"/>
    </row>
    <row r="359" spans="2:20" ht="15" x14ac:dyDescent="0.25">
      <c r="B359" s="352"/>
      <c r="Q359" s="2120"/>
      <c r="S359" s="352"/>
      <c r="T359" s="352"/>
    </row>
    <row r="360" spans="2:20" ht="15" x14ac:dyDescent="0.25">
      <c r="B360" s="352"/>
      <c r="Q360" s="2120"/>
      <c r="S360" s="352"/>
      <c r="T360" s="352"/>
    </row>
    <row r="361" spans="2:20" ht="15" x14ac:dyDescent="0.25">
      <c r="B361" s="352"/>
      <c r="Q361" s="2120"/>
      <c r="S361" s="352"/>
      <c r="T361" s="352"/>
    </row>
    <row r="362" spans="2:20" ht="15" x14ac:dyDescent="0.25">
      <c r="B362" s="352"/>
      <c r="Q362" s="2120"/>
      <c r="S362" s="352"/>
      <c r="T362" s="352"/>
    </row>
    <row r="363" spans="2:20" ht="15" x14ac:dyDescent="0.25">
      <c r="B363" s="352"/>
      <c r="Q363" s="2120"/>
      <c r="S363" s="352"/>
      <c r="T363" s="352"/>
    </row>
    <row r="364" spans="2:20" ht="15" x14ac:dyDescent="0.25">
      <c r="B364" s="352"/>
      <c r="Q364" s="2120"/>
      <c r="S364" s="352"/>
      <c r="T364" s="352"/>
    </row>
    <row r="365" spans="2:20" ht="15" x14ac:dyDescent="0.25">
      <c r="B365" s="352"/>
      <c r="Q365" s="2120"/>
      <c r="S365" s="352"/>
      <c r="T365" s="352"/>
    </row>
    <row r="366" spans="2:20" ht="15" x14ac:dyDescent="0.25">
      <c r="B366" s="352"/>
      <c r="Q366" s="2120"/>
      <c r="S366" s="352"/>
      <c r="T366" s="352"/>
    </row>
    <row r="367" spans="2:20" ht="15" x14ac:dyDescent="0.25">
      <c r="B367" s="352"/>
      <c r="Q367" s="2120"/>
      <c r="S367" s="352"/>
      <c r="T367" s="352"/>
    </row>
    <row r="368" spans="2:20" ht="15" x14ac:dyDescent="0.25">
      <c r="B368" s="352"/>
      <c r="Q368" s="2120"/>
      <c r="S368" s="352"/>
      <c r="T368" s="352"/>
    </row>
    <row r="369" spans="2:20" ht="15" x14ac:dyDescent="0.25">
      <c r="B369" s="352"/>
      <c r="Q369" s="2120"/>
      <c r="S369" s="352"/>
      <c r="T369" s="352"/>
    </row>
    <row r="370" spans="2:20" ht="15" x14ac:dyDescent="0.25">
      <c r="B370" s="352"/>
      <c r="Q370" s="2120"/>
      <c r="S370" s="352"/>
      <c r="T370" s="352"/>
    </row>
    <row r="371" spans="2:20" ht="15" x14ac:dyDescent="0.25">
      <c r="B371" s="352"/>
      <c r="Q371" s="2120"/>
      <c r="S371" s="352"/>
      <c r="T371" s="352"/>
    </row>
    <row r="372" spans="2:20" ht="15" x14ac:dyDescent="0.25">
      <c r="B372" s="352"/>
      <c r="Q372" s="2120"/>
      <c r="S372" s="352"/>
      <c r="T372" s="352"/>
    </row>
    <row r="373" spans="2:20" ht="15" x14ac:dyDescent="0.25">
      <c r="B373" s="352"/>
      <c r="Q373" s="2120"/>
      <c r="S373" s="352"/>
      <c r="T373" s="352"/>
    </row>
    <row r="374" spans="2:20" ht="15" x14ac:dyDescent="0.25">
      <c r="B374" s="352"/>
      <c r="Q374" s="2120"/>
      <c r="S374" s="352"/>
      <c r="T374" s="352"/>
    </row>
    <row r="375" spans="2:20" ht="15" x14ac:dyDescent="0.25">
      <c r="B375" s="352"/>
      <c r="Q375" s="2120"/>
      <c r="S375" s="352"/>
      <c r="T375" s="352"/>
    </row>
    <row r="376" spans="2:20" ht="15" x14ac:dyDescent="0.25">
      <c r="B376" s="352"/>
      <c r="Q376" s="2120"/>
      <c r="S376" s="352"/>
      <c r="T376" s="352"/>
    </row>
    <row r="377" spans="2:20" ht="15" x14ac:dyDescent="0.25">
      <c r="B377" s="352"/>
      <c r="Q377" s="2120"/>
      <c r="S377" s="352"/>
      <c r="T377" s="352"/>
    </row>
    <row r="378" spans="2:20" ht="15" x14ac:dyDescent="0.25">
      <c r="B378" s="352"/>
      <c r="Q378" s="2120"/>
      <c r="S378" s="352"/>
      <c r="T378" s="352"/>
    </row>
    <row r="379" spans="2:20" ht="15" x14ac:dyDescent="0.25">
      <c r="B379" s="352"/>
      <c r="Q379" s="2120"/>
      <c r="S379" s="352"/>
      <c r="T379" s="352"/>
    </row>
    <row r="380" spans="2:20" ht="15" x14ac:dyDescent="0.25">
      <c r="B380" s="352"/>
      <c r="Q380" s="2120"/>
      <c r="S380" s="352"/>
      <c r="T380" s="352"/>
    </row>
    <row r="381" spans="2:20" ht="15" x14ac:dyDescent="0.25">
      <c r="B381" s="352"/>
      <c r="Q381" s="2120"/>
      <c r="S381" s="352"/>
      <c r="T381" s="352"/>
    </row>
    <row r="382" spans="2:20" ht="15" x14ac:dyDescent="0.25">
      <c r="B382" s="352"/>
      <c r="Q382" s="2120"/>
      <c r="S382" s="352"/>
      <c r="T382" s="352"/>
    </row>
    <row r="383" spans="2:20" ht="15" x14ac:dyDescent="0.25">
      <c r="B383" s="352"/>
      <c r="Q383" s="2120"/>
      <c r="S383" s="352"/>
      <c r="T383" s="352"/>
    </row>
    <row r="384" spans="2:20" ht="15" x14ac:dyDescent="0.25">
      <c r="B384" s="352"/>
      <c r="Q384" s="2120"/>
      <c r="S384" s="352"/>
      <c r="T384" s="352"/>
    </row>
    <row r="385" spans="2:20" ht="15" x14ac:dyDescent="0.25">
      <c r="B385" s="352"/>
      <c r="Q385" s="2120"/>
      <c r="S385" s="352"/>
      <c r="T385" s="352"/>
    </row>
    <row r="386" spans="2:20" ht="15" x14ac:dyDescent="0.25">
      <c r="B386" s="352"/>
      <c r="Q386" s="2120"/>
      <c r="S386" s="352"/>
      <c r="T386" s="352"/>
    </row>
    <row r="387" spans="2:20" ht="15" x14ac:dyDescent="0.25">
      <c r="B387" s="352"/>
      <c r="Q387" s="2120"/>
      <c r="S387" s="352"/>
      <c r="T387" s="352"/>
    </row>
    <row r="388" spans="2:20" ht="15" x14ac:dyDescent="0.25">
      <c r="B388" s="352"/>
      <c r="Q388" s="2120"/>
      <c r="S388" s="352"/>
      <c r="T388" s="352"/>
    </row>
    <row r="389" spans="2:20" ht="15" x14ac:dyDescent="0.25">
      <c r="B389" s="352"/>
      <c r="Q389" s="2120"/>
      <c r="S389" s="352"/>
      <c r="T389" s="352"/>
    </row>
    <row r="390" spans="2:20" ht="15" x14ac:dyDescent="0.25">
      <c r="B390" s="352"/>
      <c r="Q390" s="2120"/>
      <c r="S390" s="352"/>
      <c r="T390" s="352"/>
    </row>
    <row r="391" spans="2:20" ht="15" x14ac:dyDescent="0.25">
      <c r="B391" s="352"/>
      <c r="Q391" s="2120"/>
      <c r="S391" s="352"/>
      <c r="T391" s="352"/>
    </row>
    <row r="392" spans="2:20" ht="15" x14ac:dyDescent="0.25">
      <c r="B392" s="352"/>
      <c r="Q392" s="2120"/>
      <c r="S392" s="352"/>
      <c r="T392" s="352"/>
    </row>
    <row r="393" spans="2:20" ht="15" x14ac:dyDescent="0.25">
      <c r="B393" s="352"/>
      <c r="Q393" s="2120"/>
      <c r="S393" s="352"/>
      <c r="T393" s="352"/>
    </row>
    <row r="394" spans="2:20" ht="15" x14ac:dyDescent="0.25">
      <c r="B394" s="352"/>
      <c r="Q394" s="2120"/>
      <c r="S394" s="352"/>
      <c r="T394" s="352"/>
    </row>
    <row r="395" spans="2:20" ht="15" x14ac:dyDescent="0.25">
      <c r="B395" s="352"/>
      <c r="Q395" s="2120"/>
      <c r="S395" s="352"/>
      <c r="T395" s="352"/>
    </row>
    <row r="396" spans="2:20" ht="15" x14ac:dyDescent="0.25">
      <c r="B396" s="352"/>
      <c r="Q396" s="2120"/>
      <c r="S396" s="352"/>
      <c r="T396" s="352"/>
    </row>
    <row r="397" spans="2:20" ht="15" x14ac:dyDescent="0.25">
      <c r="B397" s="352"/>
      <c r="Q397" s="2120"/>
      <c r="S397" s="352"/>
      <c r="T397" s="352"/>
    </row>
    <row r="398" spans="2:20" ht="15" x14ac:dyDescent="0.25">
      <c r="B398" s="352"/>
      <c r="Q398" s="2120"/>
      <c r="S398" s="352"/>
      <c r="T398" s="352"/>
    </row>
    <row r="399" spans="2:20" ht="15" x14ac:dyDescent="0.25">
      <c r="B399" s="352"/>
      <c r="Q399" s="2120"/>
      <c r="S399" s="352"/>
      <c r="T399" s="352"/>
    </row>
    <row r="400" spans="2:20" ht="15" x14ac:dyDescent="0.25">
      <c r="B400" s="352"/>
      <c r="Q400" s="2120"/>
      <c r="S400" s="352"/>
      <c r="T400" s="352"/>
    </row>
    <row r="401" spans="2:20" ht="15" x14ac:dyDescent="0.25">
      <c r="B401" s="352"/>
      <c r="Q401" s="2120"/>
      <c r="S401" s="352"/>
      <c r="T401" s="352"/>
    </row>
    <row r="402" spans="2:20" ht="15" x14ac:dyDescent="0.25">
      <c r="B402" s="352"/>
      <c r="Q402" s="2120"/>
      <c r="S402" s="352"/>
      <c r="T402" s="352"/>
    </row>
    <row r="403" spans="2:20" ht="15" x14ac:dyDescent="0.25">
      <c r="B403" s="352"/>
      <c r="Q403" s="2120"/>
      <c r="S403" s="352"/>
      <c r="T403" s="352"/>
    </row>
    <row r="404" spans="2:20" ht="15" x14ac:dyDescent="0.25">
      <c r="B404" s="352"/>
      <c r="Q404" s="2120"/>
      <c r="S404" s="352"/>
      <c r="T404" s="352"/>
    </row>
    <row r="405" spans="2:20" ht="15" x14ac:dyDescent="0.25">
      <c r="B405" s="352"/>
      <c r="Q405" s="2120"/>
      <c r="S405" s="352"/>
      <c r="T405" s="352"/>
    </row>
    <row r="406" spans="2:20" ht="15" x14ac:dyDescent="0.25">
      <c r="B406" s="352"/>
      <c r="Q406" s="2120"/>
      <c r="S406" s="352"/>
      <c r="T406" s="352"/>
    </row>
    <row r="407" spans="2:20" ht="15" x14ac:dyDescent="0.25">
      <c r="B407" s="352"/>
      <c r="Q407" s="2120"/>
      <c r="S407" s="352"/>
      <c r="T407" s="352"/>
    </row>
    <row r="408" spans="2:20" ht="15" x14ac:dyDescent="0.25">
      <c r="B408" s="352"/>
      <c r="Q408" s="2120"/>
      <c r="S408" s="352"/>
      <c r="T408" s="352"/>
    </row>
    <row r="409" spans="2:20" ht="15" x14ac:dyDescent="0.25">
      <c r="B409" s="352"/>
      <c r="Q409" s="2120"/>
      <c r="S409" s="352"/>
      <c r="T409" s="352"/>
    </row>
    <row r="410" spans="2:20" ht="15" x14ac:dyDescent="0.25">
      <c r="B410" s="352"/>
      <c r="Q410" s="2120"/>
      <c r="S410" s="352"/>
      <c r="T410" s="352"/>
    </row>
    <row r="411" spans="2:20" ht="15" x14ac:dyDescent="0.25">
      <c r="B411" s="352"/>
      <c r="Q411" s="2120"/>
      <c r="S411" s="352"/>
      <c r="T411" s="352"/>
    </row>
    <row r="412" spans="2:20" ht="15" x14ac:dyDescent="0.25">
      <c r="B412" s="352"/>
      <c r="Q412" s="2120"/>
      <c r="S412" s="352"/>
      <c r="T412" s="352"/>
    </row>
    <row r="413" spans="2:20" ht="15" x14ac:dyDescent="0.25">
      <c r="B413" s="352"/>
      <c r="Q413" s="2120"/>
      <c r="S413" s="352"/>
      <c r="T413" s="352"/>
    </row>
    <row r="414" spans="2:20" ht="15" x14ac:dyDescent="0.25">
      <c r="B414" s="352"/>
      <c r="Q414" s="2120"/>
      <c r="S414" s="352"/>
      <c r="T414" s="352"/>
    </row>
    <row r="415" spans="2:20" ht="15" x14ac:dyDescent="0.25">
      <c r="B415" s="352"/>
      <c r="Q415" s="2120"/>
      <c r="S415" s="352"/>
      <c r="T415" s="352"/>
    </row>
    <row r="416" spans="2:20" ht="15" x14ac:dyDescent="0.25">
      <c r="B416" s="352"/>
      <c r="Q416" s="2120"/>
      <c r="S416" s="352"/>
      <c r="T416" s="352"/>
    </row>
    <row r="417" spans="2:20" ht="15" x14ac:dyDescent="0.25">
      <c r="B417" s="352"/>
      <c r="Q417" s="2120"/>
      <c r="S417" s="352"/>
      <c r="T417" s="352"/>
    </row>
    <row r="418" spans="2:20" ht="15" x14ac:dyDescent="0.25">
      <c r="B418" s="352"/>
      <c r="Q418" s="2120"/>
      <c r="S418" s="352"/>
      <c r="T418" s="352"/>
    </row>
    <row r="419" spans="2:20" ht="15" x14ac:dyDescent="0.25">
      <c r="B419" s="352"/>
      <c r="Q419" s="2120"/>
      <c r="S419" s="352"/>
      <c r="T419" s="352"/>
    </row>
    <row r="420" spans="2:20" ht="15" x14ac:dyDescent="0.25">
      <c r="B420" s="352"/>
      <c r="Q420" s="2120"/>
      <c r="S420" s="352"/>
      <c r="T420" s="352"/>
    </row>
    <row r="421" spans="2:20" ht="15" x14ac:dyDescent="0.25">
      <c r="B421" s="352"/>
      <c r="Q421" s="2120"/>
      <c r="S421" s="352"/>
      <c r="T421" s="352"/>
    </row>
    <row r="422" spans="2:20" ht="15" x14ac:dyDescent="0.25">
      <c r="B422" s="352"/>
      <c r="Q422" s="2120"/>
      <c r="S422" s="352"/>
      <c r="T422" s="352"/>
    </row>
    <row r="423" spans="2:20" ht="15" x14ac:dyDescent="0.25">
      <c r="B423" s="352"/>
      <c r="Q423" s="2120"/>
      <c r="S423" s="352"/>
      <c r="T423" s="352"/>
    </row>
    <row r="424" spans="2:20" ht="15" x14ac:dyDescent="0.25">
      <c r="B424" s="352"/>
      <c r="Q424" s="2120"/>
      <c r="S424" s="352"/>
      <c r="T424" s="352"/>
    </row>
    <row r="425" spans="2:20" ht="15" x14ac:dyDescent="0.25">
      <c r="B425" s="352"/>
      <c r="Q425" s="2120"/>
      <c r="S425" s="352"/>
      <c r="T425" s="352"/>
    </row>
    <row r="426" spans="2:20" ht="15" x14ac:dyDescent="0.25">
      <c r="B426" s="352"/>
      <c r="Q426" s="2120"/>
      <c r="S426" s="352"/>
      <c r="T426" s="352"/>
    </row>
    <row r="427" spans="2:20" ht="15" x14ac:dyDescent="0.25">
      <c r="B427" s="352"/>
      <c r="Q427" s="2120"/>
      <c r="S427" s="352"/>
      <c r="T427" s="352"/>
    </row>
    <row r="428" spans="2:20" ht="15" x14ac:dyDescent="0.25">
      <c r="B428" s="352"/>
      <c r="Q428" s="2120"/>
      <c r="S428" s="352"/>
      <c r="T428" s="352"/>
    </row>
    <row r="429" spans="2:20" ht="15" x14ac:dyDescent="0.25">
      <c r="B429" s="352"/>
      <c r="Q429" s="2120"/>
      <c r="S429" s="352"/>
      <c r="T429" s="352"/>
    </row>
    <row r="430" spans="2:20" ht="15" x14ac:dyDescent="0.25">
      <c r="B430" s="352"/>
      <c r="Q430" s="2120"/>
      <c r="S430" s="352"/>
      <c r="T430" s="352"/>
    </row>
    <row r="431" spans="2:20" ht="15" x14ac:dyDescent="0.25">
      <c r="B431" s="352"/>
      <c r="Q431" s="2120"/>
      <c r="S431" s="352"/>
      <c r="T431" s="352"/>
    </row>
    <row r="432" spans="2:20" ht="15" x14ac:dyDescent="0.25">
      <c r="B432" s="352"/>
      <c r="Q432" s="2120"/>
      <c r="S432" s="352"/>
      <c r="T432" s="352"/>
    </row>
    <row r="433" spans="2:20" ht="15" x14ac:dyDescent="0.25">
      <c r="B433" s="352"/>
      <c r="Q433" s="2120"/>
      <c r="S433" s="352"/>
      <c r="T433" s="352"/>
    </row>
    <row r="434" spans="2:20" ht="15" x14ac:dyDescent="0.25">
      <c r="B434" s="352"/>
      <c r="Q434" s="2120"/>
      <c r="S434" s="352"/>
      <c r="T434" s="352"/>
    </row>
    <row r="435" spans="2:20" ht="15" x14ac:dyDescent="0.25">
      <c r="B435" s="352"/>
      <c r="Q435" s="2120"/>
      <c r="S435" s="352"/>
      <c r="T435" s="352"/>
    </row>
    <row r="436" spans="2:20" ht="15" x14ac:dyDescent="0.25">
      <c r="B436" s="352"/>
      <c r="Q436" s="2120"/>
      <c r="S436" s="352"/>
      <c r="T436" s="352"/>
    </row>
    <row r="437" spans="2:20" ht="15" x14ac:dyDescent="0.25">
      <c r="B437" s="352"/>
      <c r="Q437" s="2120"/>
      <c r="S437" s="352"/>
      <c r="T437" s="352"/>
    </row>
    <row r="438" spans="2:20" ht="15" x14ac:dyDescent="0.25">
      <c r="B438" s="352"/>
      <c r="Q438" s="2120"/>
      <c r="S438" s="352"/>
      <c r="T438" s="352"/>
    </row>
    <row r="439" spans="2:20" ht="15" x14ac:dyDescent="0.25">
      <c r="B439" s="352"/>
      <c r="Q439" s="2120"/>
      <c r="S439" s="352"/>
      <c r="T439" s="352"/>
    </row>
    <row r="440" spans="2:20" ht="15" x14ac:dyDescent="0.25">
      <c r="B440" s="352"/>
      <c r="Q440" s="2120"/>
      <c r="S440" s="352"/>
      <c r="T440" s="352"/>
    </row>
    <row r="441" spans="2:20" ht="15" x14ac:dyDescent="0.25">
      <c r="B441" s="352"/>
      <c r="Q441" s="2120"/>
      <c r="S441" s="352"/>
      <c r="T441" s="352"/>
    </row>
    <row r="442" spans="2:20" ht="15" x14ac:dyDescent="0.25">
      <c r="B442" s="352"/>
      <c r="Q442" s="2120"/>
      <c r="S442" s="352"/>
      <c r="T442" s="352"/>
    </row>
    <row r="443" spans="2:20" ht="15" x14ac:dyDescent="0.25">
      <c r="B443" s="352"/>
      <c r="Q443" s="2120"/>
      <c r="S443" s="352"/>
      <c r="T443" s="352"/>
    </row>
    <row r="444" spans="2:20" ht="15" x14ac:dyDescent="0.25">
      <c r="B444" s="352"/>
      <c r="Q444" s="2120"/>
      <c r="S444" s="352"/>
      <c r="T444" s="352"/>
    </row>
    <row r="445" spans="2:20" ht="15" x14ac:dyDescent="0.25">
      <c r="B445" s="352"/>
      <c r="Q445" s="2120"/>
      <c r="S445" s="352"/>
      <c r="T445" s="352"/>
    </row>
    <row r="446" spans="2:20" ht="15" x14ac:dyDescent="0.25">
      <c r="B446" s="352"/>
      <c r="Q446" s="2120"/>
      <c r="S446" s="352"/>
      <c r="T446" s="352"/>
    </row>
    <row r="447" spans="2:20" ht="15" x14ac:dyDescent="0.25">
      <c r="B447" s="352"/>
      <c r="Q447" s="2120"/>
      <c r="S447" s="352"/>
      <c r="T447" s="352"/>
    </row>
    <row r="448" spans="2:20" ht="15" x14ac:dyDescent="0.25">
      <c r="B448" s="352"/>
      <c r="Q448" s="2120"/>
      <c r="S448" s="352"/>
      <c r="T448" s="352"/>
    </row>
    <row r="449" spans="2:20" ht="15" x14ac:dyDescent="0.25">
      <c r="B449" s="352"/>
      <c r="Q449" s="2120"/>
      <c r="S449" s="352"/>
      <c r="T449" s="352"/>
    </row>
  </sheetData>
  <sheetProtection password="C6F9" sheet="1" objects="1" scenarios="1"/>
  <mergeCells count="57">
    <mergeCell ref="E60:G60"/>
    <mergeCell ref="E64:G64"/>
    <mergeCell ref="E68:G68"/>
    <mergeCell ref="E124:G124"/>
    <mergeCell ref="E108:G108"/>
    <mergeCell ref="E112:G112"/>
    <mergeCell ref="E116:G116"/>
    <mergeCell ref="E120:G120"/>
    <mergeCell ref="E76:G76"/>
    <mergeCell ref="E80:G80"/>
    <mergeCell ref="E84:G84"/>
    <mergeCell ref="E72:G72"/>
    <mergeCell ref="E88:G88"/>
    <mergeCell ref="E92:G92"/>
    <mergeCell ref="E96:G96"/>
    <mergeCell ref="E100:G100"/>
    <mergeCell ref="E40:G40"/>
    <mergeCell ref="E44:G44"/>
    <mergeCell ref="E48:G48"/>
    <mergeCell ref="E52:G52"/>
    <mergeCell ref="E56:G56"/>
    <mergeCell ref="A6:A8"/>
    <mergeCell ref="B6:B8"/>
    <mergeCell ref="C6:C8"/>
    <mergeCell ref="D6:D8"/>
    <mergeCell ref="E36:G36"/>
    <mergeCell ref="E28:G28"/>
    <mergeCell ref="E32:G32"/>
    <mergeCell ref="E12:G12"/>
    <mergeCell ref="E16:G16"/>
    <mergeCell ref="E24:G24"/>
    <mergeCell ref="E20:G20"/>
    <mergeCell ref="E7:G7"/>
    <mergeCell ref="E104:G104"/>
    <mergeCell ref="E128:G128"/>
    <mergeCell ref="E132:G132"/>
    <mergeCell ref="E136:G136"/>
    <mergeCell ref="E140:G140"/>
    <mergeCell ref="E144:G144"/>
    <mergeCell ref="E168:G168"/>
    <mergeCell ref="E148:G148"/>
    <mergeCell ref="E152:G152"/>
    <mergeCell ref="E156:G156"/>
    <mergeCell ref="E160:G160"/>
    <mergeCell ref="E164:G164"/>
    <mergeCell ref="H7:J7"/>
    <mergeCell ref="K7:M7"/>
    <mergeCell ref="N6:P7"/>
    <mergeCell ref="E6:M6"/>
    <mergeCell ref="AB6:AB8"/>
    <mergeCell ref="AA6:AA8"/>
    <mergeCell ref="Q6:Q8"/>
    <mergeCell ref="R6:R8"/>
    <mergeCell ref="S6:S8"/>
    <mergeCell ref="T6:T8"/>
    <mergeCell ref="U6:W7"/>
    <mergeCell ref="X6:Z7"/>
  </mergeCells>
  <conditionalFormatting sqref="Q9:Q11">
    <cfRule type="top10" dxfId="725" priority="79" bottom="1" rank="1"/>
    <cfRule type="top10" dxfId="724" priority="80" rank="1"/>
  </conditionalFormatting>
  <conditionalFormatting sqref="Q13:Q15">
    <cfRule type="top10" dxfId="723" priority="77" bottom="1" rank="1"/>
    <cfRule type="top10" dxfId="722" priority="78" rank="1"/>
  </conditionalFormatting>
  <conditionalFormatting sqref="Q17:Q19">
    <cfRule type="top10" dxfId="721" priority="75" bottom="1" rank="1"/>
    <cfRule type="top10" dxfId="720" priority="76" rank="1"/>
  </conditionalFormatting>
  <conditionalFormatting sqref="Q21:Q23">
    <cfRule type="top10" dxfId="719" priority="73" bottom="1" rank="1"/>
    <cfRule type="top10" dxfId="718" priority="74" rank="1"/>
  </conditionalFormatting>
  <conditionalFormatting sqref="Q25:Q27">
    <cfRule type="top10" dxfId="717" priority="71" bottom="1" rank="1"/>
    <cfRule type="top10" dxfId="716" priority="72" rank="1"/>
  </conditionalFormatting>
  <conditionalFormatting sqref="Q29:Q31">
    <cfRule type="top10" dxfId="715" priority="69" bottom="1" rank="1"/>
    <cfRule type="top10" dxfId="714" priority="70" rank="1"/>
  </conditionalFormatting>
  <conditionalFormatting sqref="Q33:Q35">
    <cfRule type="top10" dxfId="713" priority="67" bottom="1" rank="1"/>
    <cfRule type="top10" dxfId="712" priority="68" rank="1"/>
  </conditionalFormatting>
  <conditionalFormatting sqref="Q37:Q39">
    <cfRule type="top10" dxfId="711" priority="65" bottom="1" rank="1"/>
    <cfRule type="top10" dxfId="710" priority="66" rank="1"/>
  </conditionalFormatting>
  <conditionalFormatting sqref="Q41:Q43">
    <cfRule type="top10" dxfId="709" priority="63" bottom="1" rank="1"/>
    <cfRule type="top10" dxfId="708" priority="64" rank="1"/>
  </conditionalFormatting>
  <conditionalFormatting sqref="Q45:Q47">
    <cfRule type="top10" dxfId="707" priority="61" bottom="1" rank="1"/>
    <cfRule type="top10" dxfId="706" priority="62" rank="1"/>
  </conditionalFormatting>
  <conditionalFormatting sqref="Q49:Q51">
    <cfRule type="top10" dxfId="705" priority="59" bottom="1" rank="1"/>
    <cfRule type="top10" dxfId="704" priority="60" rank="1"/>
  </conditionalFormatting>
  <conditionalFormatting sqref="Q53:Q55">
    <cfRule type="top10" dxfId="703" priority="57" bottom="1" rank="1"/>
    <cfRule type="top10" dxfId="702" priority="58" rank="1"/>
  </conditionalFormatting>
  <conditionalFormatting sqref="Q57:Q59">
    <cfRule type="top10" dxfId="701" priority="55" bottom="1" rank="1"/>
    <cfRule type="top10" dxfId="700" priority="56" rank="1"/>
  </conditionalFormatting>
  <conditionalFormatting sqref="Q61:Q63">
    <cfRule type="top10" dxfId="699" priority="53" bottom="1" rank="1"/>
    <cfRule type="top10" dxfId="698" priority="54" rank="1"/>
  </conditionalFormatting>
  <conditionalFormatting sqref="Q65:Q67">
    <cfRule type="top10" dxfId="697" priority="51" bottom="1" rank="1"/>
    <cfRule type="top10" dxfId="696" priority="52" rank="1"/>
  </conditionalFormatting>
  <conditionalFormatting sqref="Q69:Q71">
    <cfRule type="top10" dxfId="695" priority="49" bottom="1" rank="1"/>
    <cfRule type="top10" dxfId="694" priority="50" rank="1"/>
  </conditionalFormatting>
  <conditionalFormatting sqref="Q73:Q75">
    <cfRule type="top10" dxfId="693" priority="47" bottom="1" rank="1"/>
    <cfRule type="top10" dxfId="692" priority="48" rank="1"/>
  </conditionalFormatting>
  <conditionalFormatting sqref="Q77:Q79">
    <cfRule type="top10" dxfId="691" priority="45" bottom="1" rank="1"/>
    <cfRule type="top10" dxfId="690" priority="46" rank="1"/>
  </conditionalFormatting>
  <conditionalFormatting sqref="Q81:Q83">
    <cfRule type="top10" dxfId="689" priority="43" bottom="1" rank="1"/>
    <cfRule type="top10" dxfId="688" priority="44" rank="1"/>
  </conditionalFormatting>
  <conditionalFormatting sqref="Q85:Q87">
    <cfRule type="top10" dxfId="687" priority="41" bottom="1" rank="1"/>
    <cfRule type="top10" dxfId="686" priority="42" rank="1"/>
  </conditionalFormatting>
  <conditionalFormatting sqref="Q89:Q91">
    <cfRule type="top10" dxfId="685" priority="39" bottom="1" rank="1"/>
    <cfRule type="top10" dxfId="684" priority="40" rank="1"/>
  </conditionalFormatting>
  <conditionalFormatting sqref="Q93:Q95">
    <cfRule type="top10" dxfId="683" priority="37" bottom="1" rank="1"/>
    <cfRule type="top10" dxfId="682" priority="38" rank="1"/>
  </conditionalFormatting>
  <conditionalFormatting sqref="Q97:Q99">
    <cfRule type="top10" dxfId="681" priority="35" bottom="1" rank="1"/>
    <cfRule type="top10" dxfId="680" priority="36" rank="1"/>
  </conditionalFormatting>
  <conditionalFormatting sqref="Q101:Q103">
    <cfRule type="top10" dxfId="679" priority="33" bottom="1" rank="1"/>
    <cfRule type="top10" dxfId="678" priority="34" rank="1"/>
  </conditionalFormatting>
  <conditionalFormatting sqref="Q105:Q107">
    <cfRule type="top10" dxfId="677" priority="31" bottom="1" rank="1"/>
    <cfRule type="top10" dxfId="676" priority="32" rank="1"/>
  </conditionalFormatting>
  <conditionalFormatting sqref="Q109:Q111">
    <cfRule type="top10" dxfId="675" priority="29" bottom="1" rank="1"/>
    <cfRule type="top10" dxfId="674" priority="30" rank="1"/>
  </conditionalFormatting>
  <conditionalFormatting sqref="Q113:Q115">
    <cfRule type="top10" dxfId="673" priority="27" bottom="1" rank="1"/>
    <cfRule type="top10" dxfId="672" priority="28" rank="1"/>
  </conditionalFormatting>
  <conditionalFormatting sqref="Q117:Q119">
    <cfRule type="top10" dxfId="671" priority="25" bottom="1" rank="1"/>
    <cfRule type="top10" dxfId="670" priority="26" rank="1"/>
  </conditionalFormatting>
  <conditionalFormatting sqref="Q121:Q123">
    <cfRule type="top10" dxfId="669" priority="23" bottom="1" rank="1"/>
    <cfRule type="top10" dxfId="668" priority="24" rank="1"/>
  </conditionalFormatting>
  <conditionalFormatting sqref="Q125:Q127">
    <cfRule type="top10" dxfId="667" priority="21" bottom="1" rank="1"/>
    <cfRule type="top10" dxfId="666" priority="22" rank="1"/>
  </conditionalFormatting>
  <conditionalFormatting sqref="Q129:Q131">
    <cfRule type="top10" dxfId="665" priority="19" bottom="1" rank="1"/>
    <cfRule type="top10" dxfId="664" priority="20" rank="1"/>
  </conditionalFormatting>
  <conditionalFormatting sqref="Q133:Q135">
    <cfRule type="top10" dxfId="663" priority="17" bottom="1" rank="1"/>
    <cfRule type="top10" dxfId="662" priority="18" rank="1"/>
  </conditionalFormatting>
  <conditionalFormatting sqref="Q137:Q139">
    <cfRule type="top10" dxfId="661" priority="15" bottom="1" rank="1"/>
    <cfRule type="top10" dxfId="660" priority="16" rank="1"/>
  </conditionalFormatting>
  <conditionalFormatting sqref="Q141:Q143">
    <cfRule type="top10" dxfId="659" priority="13" bottom="1" rank="1"/>
    <cfRule type="top10" dxfId="658" priority="14" rank="1"/>
  </conditionalFormatting>
  <conditionalFormatting sqref="Q145:Q147">
    <cfRule type="top10" dxfId="657" priority="11" bottom="1" rank="1"/>
    <cfRule type="top10" dxfId="656" priority="12" rank="1"/>
  </conditionalFormatting>
  <conditionalFormatting sqref="Q149:Q151">
    <cfRule type="top10" dxfId="655" priority="9" bottom="1" rank="1"/>
    <cfRule type="top10" dxfId="654" priority="10" rank="1"/>
  </conditionalFormatting>
  <conditionalFormatting sqref="Q153:Q155">
    <cfRule type="top10" dxfId="653" priority="7" bottom="1" rank="1"/>
    <cfRule type="top10" dxfId="652" priority="8" rank="1"/>
  </conditionalFormatting>
  <conditionalFormatting sqref="Q157:Q159">
    <cfRule type="top10" dxfId="651" priority="5" bottom="1" rank="1"/>
    <cfRule type="top10" dxfId="650" priority="6" rank="1"/>
  </conditionalFormatting>
  <conditionalFormatting sqref="Q161:Q163">
    <cfRule type="top10" dxfId="649" priority="3" bottom="1" rank="1"/>
    <cfRule type="top10" dxfId="648" priority="4" rank="1"/>
  </conditionalFormatting>
  <conditionalFormatting sqref="Q165:Q167">
    <cfRule type="top10" dxfId="647" priority="1" bottom="1" rank="1"/>
    <cfRule type="top10" dxfId="646" priority="2" rank="1"/>
  </conditionalFormatting>
  <pageMargins left="0.7" right="0.7" top="0.75" bottom="0.75" header="0.3" footer="0.3"/>
  <pageSetup paperSize="9"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Z90"/>
  <sheetViews>
    <sheetView topLeftCell="K1" workbookViewId="0">
      <selection activeCell="K1" sqref="K1:N1"/>
    </sheetView>
  </sheetViews>
  <sheetFormatPr defaultRowHeight="15" x14ac:dyDescent="0.25"/>
  <cols>
    <col min="1" max="1" width="4.7109375" style="352" customWidth="1"/>
    <col min="2" max="2" width="43.7109375" style="352" customWidth="1"/>
    <col min="3" max="8" width="4.7109375" style="352" customWidth="1"/>
    <col min="9" max="9" width="111.5703125" style="352" customWidth="1"/>
    <col min="10" max="10" width="0.28515625" style="352" customWidth="1"/>
    <col min="11" max="11" width="5.42578125" style="352" customWidth="1"/>
    <col min="12" max="12" width="37.7109375" style="352" customWidth="1"/>
    <col min="13" max="21" width="5.7109375" style="352" customWidth="1"/>
    <col min="22" max="22" width="93.28515625" style="352" customWidth="1"/>
    <col min="23" max="23" width="7.28515625" style="352" customWidth="1"/>
    <col min="24" max="24" width="37.5703125" style="352" customWidth="1"/>
    <col min="25" max="25" width="66.28515625" style="352" customWidth="1"/>
    <col min="26" max="26" width="75.42578125" style="352" customWidth="1"/>
    <col min="27" max="27" width="9.140625" style="352"/>
    <col min="28" max="28" width="6.42578125" style="352" customWidth="1"/>
    <col min="29" max="16384" width="9.140625" style="352"/>
  </cols>
  <sheetData>
    <row r="1" spans="1:26" ht="26.25" x14ac:dyDescent="0.4">
      <c r="A1" s="1062" t="s">
        <v>177</v>
      </c>
      <c r="B1" s="1062"/>
      <c r="C1" s="1062"/>
      <c r="D1" s="1062"/>
      <c r="E1" s="1062"/>
      <c r="F1" s="1062"/>
      <c r="G1" s="1062"/>
      <c r="H1" s="1062"/>
      <c r="I1" s="373"/>
      <c r="J1" s="364"/>
      <c r="K1" s="2907" t="s">
        <v>619</v>
      </c>
      <c r="L1" s="2907"/>
      <c r="M1" s="2907"/>
      <c r="N1" s="2907"/>
      <c r="O1" s="373"/>
      <c r="P1" s="373"/>
      <c r="Q1" s="373"/>
      <c r="R1" s="373"/>
      <c r="S1" s="373"/>
      <c r="T1" s="373"/>
      <c r="U1" s="162"/>
      <c r="V1" s="373"/>
      <c r="W1" s="374" t="s">
        <v>432</v>
      </c>
    </row>
    <row r="2" spans="1:26" ht="27" thickBot="1" x14ac:dyDescent="0.45">
      <c r="A2" s="375" t="s">
        <v>147</v>
      </c>
      <c r="B2" s="373"/>
      <c r="C2" s="373"/>
      <c r="D2" s="373"/>
      <c r="E2" s="373"/>
      <c r="F2" s="373"/>
      <c r="G2" s="373"/>
      <c r="H2" s="373"/>
      <c r="I2" s="373"/>
      <c r="J2" s="364"/>
      <c r="K2" s="376" t="s">
        <v>25</v>
      </c>
      <c r="L2" s="373"/>
      <c r="M2" s="373"/>
      <c r="N2" s="373"/>
      <c r="O2" s="373"/>
      <c r="P2" s="373"/>
      <c r="Q2" s="373"/>
      <c r="R2" s="373"/>
      <c r="S2" s="373"/>
      <c r="T2" s="373"/>
      <c r="U2" s="373"/>
      <c r="V2" s="373"/>
    </row>
    <row r="3" spans="1:26" ht="49.5" customHeight="1" x14ac:dyDescent="0.25">
      <c r="A3" s="377" t="s">
        <v>0</v>
      </c>
      <c r="B3" s="377" t="s">
        <v>1</v>
      </c>
      <c r="C3" s="970" t="s">
        <v>7</v>
      </c>
      <c r="D3" s="891" t="s">
        <v>18</v>
      </c>
      <c r="E3" s="891" t="s">
        <v>179</v>
      </c>
      <c r="F3" s="891" t="s">
        <v>180</v>
      </c>
      <c r="G3" s="891" t="s">
        <v>19</v>
      </c>
      <c r="H3" s="891" t="s">
        <v>181</v>
      </c>
      <c r="I3" s="152" t="s">
        <v>138</v>
      </c>
      <c r="K3" s="305" t="s">
        <v>0</v>
      </c>
      <c r="L3" s="305" t="s">
        <v>1</v>
      </c>
      <c r="M3" s="971" t="s">
        <v>155</v>
      </c>
      <c r="N3" s="972" t="s">
        <v>606</v>
      </c>
      <c r="O3" s="972" t="s">
        <v>607</v>
      </c>
      <c r="P3" s="972" t="s">
        <v>603</v>
      </c>
      <c r="Q3" s="972" t="s">
        <v>604</v>
      </c>
      <c r="R3" s="972" t="s">
        <v>605</v>
      </c>
      <c r="S3" s="972" t="s">
        <v>187</v>
      </c>
      <c r="T3" s="972" t="s">
        <v>17</v>
      </c>
      <c r="U3" s="971" t="s">
        <v>22</v>
      </c>
      <c r="V3" s="152" t="s">
        <v>138</v>
      </c>
      <c r="W3" s="378" t="s">
        <v>0</v>
      </c>
      <c r="X3" s="379" t="s">
        <v>1</v>
      </c>
      <c r="Y3" s="380" t="s">
        <v>145</v>
      </c>
      <c r="Z3" s="381" t="s">
        <v>146</v>
      </c>
    </row>
    <row r="4" spans="1:26" ht="18.75" customHeight="1" x14ac:dyDescent="0.25">
      <c r="A4" s="134">
        <v>1</v>
      </c>
      <c r="B4" s="382" t="str">
        <f>dtsiswa!D7</f>
        <v>Achmad Zacky</v>
      </c>
      <c r="C4" s="383">
        <f>agmki3!N9</f>
        <v>0</v>
      </c>
      <c r="D4" s="383">
        <f>agmki3!O9</f>
        <v>0</v>
      </c>
      <c r="E4" s="383">
        <f>agmki3!P9</f>
        <v>0</v>
      </c>
      <c r="F4" s="383">
        <f>agmki3!Q9</f>
        <v>4</v>
      </c>
      <c r="G4" s="383">
        <f>agmki3!R9</f>
        <v>0</v>
      </c>
      <c r="H4" s="383">
        <f>agmki3!S9</f>
        <v>0</v>
      </c>
      <c r="I4" s="467" t="str">
        <f t="shared" ref="I4:I42" si="0">IF(OR(C4=3,C4=4),VLOOKUP(C4,DEs_KI3_AGM,2,FALSE),IF(OR(D4=3,D4=4),VLOOKUP(D4,DEs_KI3_AGM,3,FALSE),IF(OR(E4=3,E4=4),VLOOKUP(E4,DEs_KI3_AGM,4,FALSE),IF(OR(F4=3,F4=4),VLOOKUP(F4,DEs_KI3_AGM,5,FALSE),IF(OR(G4=3,G4=4),VLOOKUP(G4,DEs_KI3_AGM,6,FALSE),IF(OR(H4=3,H4=4),VLOOKUP(H4,DEs_KI3_AGM,7,FALSE),"  "))))))</f>
        <v xml:space="preserve">Sangat baik dalam Memahami sikap rendah hati sebagai implementasidari pemahaman Q.S. al-Isra’/17:37. </v>
      </c>
      <c r="K4" s="134">
        <v>1</v>
      </c>
      <c r="L4" s="382" t="str">
        <f>dtsiswa!D7</f>
        <v>Achmad Zacky</v>
      </c>
      <c r="M4" s="383">
        <f>agki_4!AA10</f>
        <v>0</v>
      </c>
      <c r="N4" s="383">
        <f>agki_4!AB10</f>
        <v>3</v>
      </c>
      <c r="O4" s="383">
        <f>agki_4!AC10</f>
        <v>0</v>
      </c>
      <c r="P4" s="383">
        <f>agki_4!AD10</f>
        <v>0</v>
      </c>
      <c r="Q4" s="383">
        <f>agki_4!AE10</f>
        <v>0</v>
      </c>
      <c r="R4" s="383">
        <f>agki_4!AF10</f>
        <v>0</v>
      </c>
      <c r="S4" s="383">
        <f>agki_4!AG10</f>
        <v>0</v>
      </c>
      <c r="T4" s="383">
        <f>agki_4!AH10</f>
        <v>0</v>
      </c>
      <c r="U4" s="383">
        <f>agki_4!AI10</f>
        <v>0</v>
      </c>
      <c r="V4" s="744" t="str">
        <f>IF(OR(M4=3,M4=4),VLOOKUP(M4,des_KI4_agm,2,FALSE),IF(OR(N4=3,N4=4),VLOOKUP(N4,des_KI4_agm,3,FALSE),IF(OR(O4=3,O4=4),VLOOKUP(O4,des_KI4_agm,4,FALSE),IF(OR(P4=3,P4=4),VLOOKUP(P4,des_KI4_agm,5,FALSE),IF(OR(Q4=3,Q4=4),VLOOKUP(Q4,des_KI4_agm,6,FALSE),IF(OR(R4=3,R4=4),VLOOKUP(R4,des_KI4_agm,7,FALSE),IF(OR(S4=3,S4=4),VLOOKUP(S4,des_KI4_agm,8,FALSE),IF(OR(T4=3,T4=4),VLOOKUP(T4,des_KI4_agm,9,FALSE),IF(OR(U4=3,U4=4),VLOOKUP(U4,des_KI4_agm,10,FALSE),"  ")))))))))</f>
        <v xml:space="preserve">Baik dalam Memberikan contoh-contoh makna ibadah salat. </v>
      </c>
      <c r="W4" s="134">
        <v>1</v>
      </c>
      <c r="X4" s="384" t="str">
        <f>dtsiswa!D7</f>
        <v>Achmad Zacky</v>
      </c>
      <c r="Y4" s="385" t="str">
        <f>IFERROR(CONCATENATE(I4,I51),"  ")</f>
        <v xml:space="preserve">Sangat baik dalam Memahami sikap rendah hati sebagai implementasidari pemahaman Q.S. al-Isra’/17:37. Baik dalam Mengetahui Q.S. al-Falaq, al-Ma‘µn dan al-Fiil dengan baik dan benar. </v>
      </c>
      <c r="Z4" s="386" t="str">
        <f t="shared" ref="Z4:Z42" si="1">CONCATENATE(V4,V51)</f>
        <v xml:space="preserve">Baik dalam Memberikan contoh-contoh makna ibadah salat. Baik dalam Mencontohkan sikap rendah hati sebagai implementasi dari pemahaman al-Isra’/17:37. </v>
      </c>
    </row>
    <row r="5" spans="1:26" ht="15.75" customHeight="1" x14ac:dyDescent="0.25">
      <c r="A5" s="134">
        <v>2</v>
      </c>
      <c r="B5" s="382" t="str">
        <f>dtsiswa!D8</f>
        <v>Angelia Vabel R</v>
      </c>
      <c r="C5" s="383">
        <f>agmki3!N16</f>
        <v>0</v>
      </c>
      <c r="D5" s="383">
        <f>agmki3!O16</f>
        <v>0</v>
      </c>
      <c r="E5" s="383">
        <f>agmki3!P16</f>
        <v>0</v>
      </c>
      <c r="F5" s="383">
        <f>agmki3!Q16</f>
        <v>0</v>
      </c>
      <c r="G5" s="383">
        <f>agmki3!R16</f>
        <v>0</v>
      </c>
      <c r="H5" s="383">
        <f>agmki3!S16</f>
        <v>0</v>
      </c>
      <c r="I5" s="467" t="str">
        <f t="shared" si="0"/>
        <v xml:space="preserve">  </v>
      </c>
      <c r="K5" s="134">
        <v>2</v>
      </c>
      <c r="L5" s="382" t="str">
        <f>dtsiswa!D8</f>
        <v>Angelia Vabel R</v>
      </c>
      <c r="M5" s="383">
        <f>agki_4!AA20</f>
        <v>0</v>
      </c>
      <c r="N5" s="383">
        <f>agki_4!AB20</f>
        <v>0</v>
      </c>
      <c r="O5" s="383">
        <f>agki_4!AC20</f>
        <v>0</v>
      </c>
      <c r="P5" s="383">
        <f>agki_4!AD20</f>
        <v>0</v>
      </c>
      <c r="Q5" s="383">
        <f>agki_4!AE20</f>
        <v>0</v>
      </c>
      <c r="R5" s="383">
        <f>agki_4!AF20</f>
        <v>0</v>
      </c>
      <c r="S5" s="383">
        <f>agki_4!AG20</f>
        <v>0</v>
      </c>
      <c r="T5" s="383">
        <f>agki_4!AH20</f>
        <v>0</v>
      </c>
      <c r="U5" s="383">
        <f>agki_4!AI20</f>
        <v>0</v>
      </c>
      <c r="V5" s="744"/>
      <c r="W5" s="134">
        <v>2</v>
      </c>
      <c r="X5" s="384" t="str">
        <f>dtsiswa!D8</f>
        <v>Angelia Vabel R</v>
      </c>
      <c r="Y5" s="385" t="str">
        <f t="shared" ref="Y5:Y42" si="2">IFERROR(CONCATENATE(I5,I52),"  ")</f>
        <v xml:space="preserve">    </v>
      </c>
      <c r="Z5" s="386" t="str">
        <f t="shared" si="1"/>
        <v xml:space="preserve">  </v>
      </c>
    </row>
    <row r="6" spans="1:26" ht="15.95" customHeight="1" x14ac:dyDescent="0.25">
      <c r="A6" s="134">
        <v>3</v>
      </c>
      <c r="B6" s="382" t="str">
        <f>dtsiswa!D9</f>
        <v>Anggun Dwi P.I</v>
      </c>
      <c r="C6" s="383">
        <f>agmki3!N23</f>
        <v>0</v>
      </c>
      <c r="D6" s="383">
        <f>agmki3!O23</f>
        <v>0</v>
      </c>
      <c r="E6" s="383">
        <f>agmki3!P23</f>
        <v>0</v>
      </c>
      <c r="F6" s="383">
        <f>agmki3!Q23</f>
        <v>0</v>
      </c>
      <c r="G6" s="383">
        <f>agmki3!R23</f>
        <v>0</v>
      </c>
      <c r="H6" s="383">
        <f>agmki3!S23</f>
        <v>0</v>
      </c>
      <c r="I6" s="467" t="str">
        <f t="shared" si="0"/>
        <v xml:space="preserve">  </v>
      </c>
      <c r="K6" s="134">
        <v>3</v>
      </c>
      <c r="L6" s="382" t="str">
        <f>dtsiswa!D9</f>
        <v>Anggun Dwi P.I</v>
      </c>
      <c r="M6" s="383">
        <f>agki_4!AA30</f>
        <v>0</v>
      </c>
      <c r="N6" s="383">
        <f>agki_4!AB30</f>
        <v>0</v>
      </c>
      <c r="O6" s="383">
        <f>agki_4!AC30</f>
        <v>0</v>
      </c>
      <c r="P6" s="383">
        <f>agki_4!AD30</f>
        <v>0</v>
      </c>
      <c r="Q6" s="383">
        <f>agki_4!AE30</f>
        <v>0</v>
      </c>
      <c r="R6" s="383">
        <f>agki_4!AF30</f>
        <v>0</v>
      </c>
      <c r="S6" s="383">
        <f>agki_4!AG30</f>
        <v>0</v>
      </c>
      <c r="T6" s="383">
        <f>agki_4!AH30</f>
        <v>0</v>
      </c>
      <c r="U6" s="383">
        <f>agki_4!AI30</f>
        <v>0</v>
      </c>
      <c r="V6" s="744"/>
      <c r="W6" s="134">
        <v>3</v>
      </c>
      <c r="X6" s="384" t="str">
        <f>dtsiswa!D9</f>
        <v>Anggun Dwi P.I</v>
      </c>
      <c r="Y6" s="385" t="str">
        <f t="shared" si="2"/>
        <v xml:space="preserve">    </v>
      </c>
      <c r="Z6" s="386" t="str">
        <f t="shared" si="1"/>
        <v xml:space="preserve">  </v>
      </c>
    </row>
    <row r="7" spans="1:26" ht="15.95" customHeight="1" x14ac:dyDescent="0.25">
      <c r="A7" s="134">
        <v>4</v>
      </c>
      <c r="B7" s="382" t="str">
        <f>dtsiswa!D10</f>
        <v>Antonio Permata A</v>
      </c>
      <c r="C7" s="383">
        <f>agmki3!N30</f>
        <v>0</v>
      </c>
      <c r="D7" s="383">
        <f>agmki3!O30</f>
        <v>0</v>
      </c>
      <c r="E7" s="383">
        <f>agmki3!P30</f>
        <v>0</v>
      </c>
      <c r="F7" s="383">
        <f>agmki3!Q30</f>
        <v>0</v>
      </c>
      <c r="G7" s="383">
        <f>agmki3!R30</f>
        <v>0</v>
      </c>
      <c r="H7" s="383">
        <f>agmki3!S30</f>
        <v>0</v>
      </c>
      <c r="I7" s="467" t="str">
        <f t="shared" si="0"/>
        <v xml:space="preserve">  </v>
      </c>
      <c r="K7" s="134">
        <v>4</v>
      </c>
      <c r="L7" s="382" t="str">
        <f>dtsiswa!D10</f>
        <v>Antonio Permata A</v>
      </c>
      <c r="M7" s="383">
        <f>agki_4!AA40</f>
        <v>0</v>
      </c>
      <c r="N7" s="383">
        <f>agki_4!AB40</f>
        <v>0</v>
      </c>
      <c r="O7" s="383">
        <f>agki_4!AC40</f>
        <v>0</v>
      </c>
      <c r="P7" s="383">
        <f>agki_4!AD40</f>
        <v>0</v>
      </c>
      <c r="Q7" s="383">
        <f>agki_4!AE40</f>
        <v>0</v>
      </c>
      <c r="R7" s="383">
        <f>agki_4!AF40</f>
        <v>0</v>
      </c>
      <c r="S7" s="383">
        <f>agki_4!AG40</f>
        <v>0</v>
      </c>
      <c r="T7" s="383">
        <f>agki_4!AH40</f>
        <v>0</v>
      </c>
      <c r="U7" s="383">
        <f>agki_4!AI40</f>
        <v>0</v>
      </c>
      <c r="V7" s="744"/>
      <c r="W7" s="134">
        <v>4</v>
      </c>
      <c r="X7" s="384" t="str">
        <f>dtsiswa!D10</f>
        <v>Antonio Permata A</v>
      </c>
      <c r="Y7" s="385" t="str">
        <f t="shared" si="2"/>
        <v xml:space="preserve">    </v>
      </c>
      <c r="Z7" s="386" t="str">
        <f t="shared" si="1"/>
        <v xml:space="preserve">  </v>
      </c>
    </row>
    <row r="8" spans="1:26" ht="15.95" customHeight="1" x14ac:dyDescent="0.25">
      <c r="A8" s="134">
        <v>5</v>
      </c>
      <c r="B8" s="382" t="str">
        <f>dtsiswa!D11</f>
        <v>Arya Pratama G</v>
      </c>
      <c r="C8" s="383">
        <f>agmki3!N37</f>
        <v>0</v>
      </c>
      <c r="D8" s="383">
        <f>agmki3!O37</f>
        <v>0</v>
      </c>
      <c r="E8" s="383">
        <f>agmki3!P37</f>
        <v>0</v>
      </c>
      <c r="F8" s="383">
        <f>agmki3!Q37</f>
        <v>0</v>
      </c>
      <c r="G8" s="383">
        <f>agmki3!R37</f>
        <v>0</v>
      </c>
      <c r="H8" s="383">
        <f>agmki3!S37</f>
        <v>0</v>
      </c>
      <c r="I8" s="467" t="str">
        <f t="shared" si="0"/>
        <v xml:space="preserve">  </v>
      </c>
      <c r="K8" s="134">
        <v>5</v>
      </c>
      <c r="L8" s="382" t="str">
        <f>dtsiswa!D11</f>
        <v>Arya Pratama G</v>
      </c>
      <c r="M8" s="383">
        <f>agki_4!AA50</f>
        <v>0</v>
      </c>
      <c r="N8" s="383">
        <f>agki_4!AB50</f>
        <v>0</v>
      </c>
      <c r="O8" s="383">
        <f>agki_4!AC50</f>
        <v>0</v>
      </c>
      <c r="P8" s="383">
        <f>agki_4!AD50</f>
        <v>0</v>
      </c>
      <c r="Q8" s="383">
        <f>agki_4!AE50</f>
        <v>0</v>
      </c>
      <c r="R8" s="383">
        <f>agki_4!AF50</f>
        <v>0</v>
      </c>
      <c r="S8" s="383">
        <f>agki_4!AG50</f>
        <v>0</v>
      </c>
      <c r="T8" s="383">
        <f>agki_4!AH50</f>
        <v>0</v>
      </c>
      <c r="U8" s="383">
        <f>agki_4!AI50</f>
        <v>0</v>
      </c>
      <c r="V8" s="744"/>
      <c r="W8" s="134">
        <v>5</v>
      </c>
      <c r="X8" s="384" t="str">
        <f>dtsiswa!D11</f>
        <v>Arya Pratama G</v>
      </c>
      <c r="Y8" s="385" t="str">
        <f t="shared" si="2"/>
        <v xml:space="preserve">    </v>
      </c>
      <c r="Z8" s="386" t="str">
        <f t="shared" si="1"/>
        <v xml:space="preserve">  </v>
      </c>
    </row>
    <row r="9" spans="1:26" ht="15.95" customHeight="1" x14ac:dyDescent="0.25">
      <c r="A9" s="134">
        <v>6</v>
      </c>
      <c r="B9" s="382" t="str">
        <f>dtsiswa!D12</f>
        <v>Asyam Hanif Ihsan H</v>
      </c>
      <c r="C9" s="383">
        <f>agmki3!N44</f>
        <v>0</v>
      </c>
      <c r="D9" s="383">
        <f>agmki3!O44</f>
        <v>0</v>
      </c>
      <c r="E9" s="383">
        <f>agmki3!P44</f>
        <v>0</v>
      </c>
      <c r="F9" s="383">
        <f>agmki3!Q44</f>
        <v>0</v>
      </c>
      <c r="G9" s="383">
        <f>agmki3!R44</f>
        <v>0</v>
      </c>
      <c r="H9" s="383">
        <f>agmki3!S44</f>
        <v>0</v>
      </c>
      <c r="I9" s="467" t="str">
        <f t="shared" si="0"/>
        <v xml:space="preserve">  </v>
      </c>
      <c r="K9" s="134">
        <v>6</v>
      </c>
      <c r="L9" s="382" t="str">
        <f>dtsiswa!D12</f>
        <v>Asyam Hanif Ihsan H</v>
      </c>
      <c r="M9" s="383">
        <f>agki_4!AA60</f>
        <v>0</v>
      </c>
      <c r="N9" s="383">
        <f>agki_4!AB60</f>
        <v>0</v>
      </c>
      <c r="O9" s="383">
        <f>agki_4!AC60</f>
        <v>0</v>
      </c>
      <c r="P9" s="383">
        <f>agki_4!AD60</f>
        <v>0</v>
      </c>
      <c r="Q9" s="383">
        <f>agki_4!AE60</f>
        <v>0</v>
      </c>
      <c r="R9" s="383">
        <f>agki_4!AF60</f>
        <v>0</v>
      </c>
      <c r="S9" s="383">
        <f>agki_4!AG60</f>
        <v>0</v>
      </c>
      <c r="T9" s="383">
        <f>agki_4!AH60</f>
        <v>0</v>
      </c>
      <c r="U9" s="383">
        <f>agki_4!AI60</f>
        <v>0</v>
      </c>
      <c r="V9" s="744"/>
      <c r="W9" s="134">
        <v>6</v>
      </c>
      <c r="X9" s="384" t="str">
        <f>dtsiswa!D12</f>
        <v>Asyam Hanif Ihsan H</v>
      </c>
      <c r="Y9" s="385" t="str">
        <f t="shared" si="2"/>
        <v xml:space="preserve">    </v>
      </c>
      <c r="Z9" s="386" t="str">
        <f t="shared" si="1"/>
        <v xml:space="preserve">  </v>
      </c>
    </row>
    <row r="10" spans="1:26" ht="15.95" customHeight="1" x14ac:dyDescent="0.25">
      <c r="A10" s="134">
        <v>7</v>
      </c>
      <c r="B10" s="382" t="str">
        <f>dtsiswa!D13</f>
        <v>Athaya Salsabilla Z</v>
      </c>
      <c r="C10" s="383">
        <f>agmki3!N51</f>
        <v>0</v>
      </c>
      <c r="D10" s="383">
        <f>agmki3!O51</f>
        <v>0</v>
      </c>
      <c r="E10" s="383">
        <f>agmki3!P51</f>
        <v>0</v>
      </c>
      <c r="F10" s="383">
        <f>agmki3!Q51</f>
        <v>0</v>
      </c>
      <c r="G10" s="383">
        <f>agmki3!R51</f>
        <v>0</v>
      </c>
      <c r="H10" s="383">
        <f>agmki3!S51</f>
        <v>0</v>
      </c>
      <c r="I10" s="467" t="str">
        <f t="shared" si="0"/>
        <v xml:space="preserve">  </v>
      </c>
      <c r="K10" s="134">
        <v>7</v>
      </c>
      <c r="L10" s="382" t="str">
        <f>dtsiswa!D13</f>
        <v>Athaya Salsabilla Z</v>
      </c>
      <c r="M10" s="383">
        <f>agki_4!AA70</f>
        <v>0</v>
      </c>
      <c r="N10" s="383">
        <f>agki_4!AB70</f>
        <v>0</v>
      </c>
      <c r="O10" s="383">
        <f>agki_4!AC70</f>
        <v>0</v>
      </c>
      <c r="P10" s="383">
        <f>agki_4!AD70</f>
        <v>0</v>
      </c>
      <c r="Q10" s="383">
        <f>agki_4!AE70</f>
        <v>0</v>
      </c>
      <c r="R10" s="383">
        <f>agki_4!AF70</f>
        <v>0</v>
      </c>
      <c r="S10" s="383">
        <f>agki_4!AG70</f>
        <v>0</v>
      </c>
      <c r="T10" s="383">
        <f>agki_4!AH70</f>
        <v>0</v>
      </c>
      <c r="U10" s="383">
        <f>agki_4!AI70</f>
        <v>0</v>
      </c>
      <c r="V10" s="744"/>
      <c r="W10" s="134">
        <v>7</v>
      </c>
      <c r="X10" s="384" t="str">
        <f>dtsiswa!D13</f>
        <v>Athaya Salsabilla Z</v>
      </c>
      <c r="Y10" s="385" t="str">
        <f t="shared" si="2"/>
        <v xml:space="preserve">    </v>
      </c>
      <c r="Z10" s="386" t="str">
        <f t="shared" si="1"/>
        <v xml:space="preserve">  </v>
      </c>
    </row>
    <row r="11" spans="1:26" ht="15.95" customHeight="1" x14ac:dyDescent="0.25">
      <c r="A11" s="134">
        <v>8</v>
      </c>
      <c r="B11" s="382" t="str">
        <f>dtsiswa!D14</f>
        <v>Aulia Dea Rosalinda</v>
      </c>
      <c r="C11" s="383">
        <f>agmki3!N58</f>
        <v>0</v>
      </c>
      <c r="D11" s="383">
        <f>agmki3!O58</f>
        <v>0</v>
      </c>
      <c r="E11" s="383">
        <f>agmki3!P58</f>
        <v>0</v>
      </c>
      <c r="F11" s="383">
        <f>agmki3!Q58</f>
        <v>0</v>
      </c>
      <c r="G11" s="383">
        <f>agmki3!R58</f>
        <v>0</v>
      </c>
      <c r="H11" s="383">
        <f>agmki3!S58</f>
        <v>0</v>
      </c>
      <c r="I11" s="467" t="str">
        <f t="shared" si="0"/>
        <v xml:space="preserve">  </v>
      </c>
      <c r="K11" s="134">
        <v>8</v>
      </c>
      <c r="L11" s="382" t="str">
        <f>dtsiswa!D14</f>
        <v>Aulia Dea Rosalinda</v>
      </c>
      <c r="M11" s="383">
        <f>agki_4!AA80</f>
        <v>0</v>
      </c>
      <c r="N11" s="383">
        <f>agki_4!AB80</f>
        <v>0</v>
      </c>
      <c r="O11" s="383">
        <f>agki_4!AC80</f>
        <v>0</v>
      </c>
      <c r="P11" s="383">
        <f>agki_4!AD80</f>
        <v>0</v>
      </c>
      <c r="Q11" s="383">
        <f>agki_4!AE80</f>
        <v>0</v>
      </c>
      <c r="R11" s="383">
        <f>agki_4!AF80</f>
        <v>0</v>
      </c>
      <c r="S11" s="383">
        <f>agki_4!AG80</f>
        <v>0</v>
      </c>
      <c r="T11" s="383">
        <f>agki_4!AH80</f>
        <v>0</v>
      </c>
      <c r="U11" s="383">
        <f>agki_4!AI80</f>
        <v>0</v>
      </c>
      <c r="V11" s="744"/>
      <c r="W11" s="134">
        <v>8</v>
      </c>
      <c r="X11" s="384" t="str">
        <f>dtsiswa!D14</f>
        <v>Aulia Dea Rosalinda</v>
      </c>
      <c r="Y11" s="385" t="str">
        <f t="shared" si="2"/>
        <v xml:space="preserve">    </v>
      </c>
      <c r="Z11" s="386" t="str">
        <f t="shared" si="1"/>
        <v xml:space="preserve">  </v>
      </c>
    </row>
    <row r="12" spans="1:26" ht="15.95" customHeight="1" x14ac:dyDescent="0.25">
      <c r="A12" s="134">
        <v>9</v>
      </c>
      <c r="B12" s="382" t="str">
        <f>dtsiswa!D15</f>
        <v>Claudia Gabriella L</v>
      </c>
      <c r="C12" s="383">
        <f>agmki3!N65</f>
        <v>0</v>
      </c>
      <c r="D12" s="383">
        <f>agmki3!O65</f>
        <v>0</v>
      </c>
      <c r="E12" s="383">
        <f>agmki3!P65</f>
        <v>0</v>
      </c>
      <c r="F12" s="383">
        <f>agmki3!Q65</f>
        <v>0</v>
      </c>
      <c r="G12" s="383">
        <f>agmki3!R65</f>
        <v>0</v>
      </c>
      <c r="H12" s="383">
        <f>agmki3!S65</f>
        <v>0</v>
      </c>
      <c r="I12" s="467" t="str">
        <f t="shared" si="0"/>
        <v xml:space="preserve">  </v>
      </c>
      <c r="K12" s="134">
        <v>9</v>
      </c>
      <c r="L12" s="382" t="str">
        <f>dtsiswa!D15</f>
        <v>Claudia Gabriella L</v>
      </c>
      <c r="M12" s="383">
        <f>agki_4!AA90</f>
        <v>0</v>
      </c>
      <c r="N12" s="383">
        <f>agki_4!AB90</f>
        <v>0</v>
      </c>
      <c r="O12" s="383">
        <f>agki_4!AC90</f>
        <v>0</v>
      </c>
      <c r="P12" s="383">
        <f>agki_4!AD90</f>
        <v>0</v>
      </c>
      <c r="Q12" s="383">
        <f>agki_4!AE90</f>
        <v>0</v>
      </c>
      <c r="R12" s="383">
        <f>agki_4!AF90</f>
        <v>0</v>
      </c>
      <c r="S12" s="383">
        <f>agki_4!AG90</f>
        <v>0</v>
      </c>
      <c r="T12" s="383">
        <f>agki_4!AH90</f>
        <v>0</v>
      </c>
      <c r="U12" s="383">
        <f>agki_4!AI90</f>
        <v>0</v>
      </c>
      <c r="V12" s="744"/>
      <c r="W12" s="134">
        <v>9</v>
      </c>
      <c r="X12" s="384" t="str">
        <f>dtsiswa!D15</f>
        <v>Claudia Gabriella L</v>
      </c>
      <c r="Y12" s="385" t="str">
        <f t="shared" si="2"/>
        <v xml:space="preserve">    </v>
      </c>
      <c r="Z12" s="386" t="str">
        <f t="shared" si="1"/>
        <v xml:space="preserve">  </v>
      </c>
    </row>
    <row r="13" spans="1:26" ht="15.95" customHeight="1" x14ac:dyDescent="0.25">
      <c r="A13" s="134">
        <v>10</v>
      </c>
      <c r="B13" s="382" t="str">
        <f>dtsiswa!D16</f>
        <v xml:space="preserve">Deco Badarus Zaman </v>
      </c>
      <c r="C13" s="383">
        <f>agmki3!N72</f>
        <v>0</v>
      </c>
      <c r="D13" s="383">
        <f>agmki3!O72</f>
        <v>0</v>
      </c>
      <c r="E13" s="383">
        <f>agmki3!P72</f>
        <v>0</v>
      </c>
      <c r="F13" s="383">
        <f>agmki3!Q72</f>
        <v>0</v>
      </c>
      <c r="G13" s="383">
        <f>agmki3!R72</f>
        <v>0</v>
      </c>
      <c r="H13" s="383">
        <f>agmki3!S72</f>
        <v>0</v>
      </c>
      <c r="I13" s="467" t="str">
        <f t="shared" si="0"/>
        <v xml:space="preserve">  </v>
      </c>
      <c r="K13" s="134">
        <v>10</v>
      </c>
      <c r="L13" s="382" t="str">
        <f>dtsiswa!D16</f>
        <v xml:space="preserve">Deco Badarus Zaman </v>
      </c>
      <c r="M13" s="383">
        <f>agki_4!AA100</f>
        <v>0</v>
      </c>
      <c r="N13" s="383">
        <f>agki_4!AB100</f>
        <v>0</v>
      </c>
      <c r="O13" s="383">
        <f>agki_4!AC100</f>
        <v>0</v>
      </c>
      <c r="P13" s="383">
        <f>agki_4!AD100</f>
        <v>0</v>
      </c>
      <c r="Q13" s="383">
        <f>agki_4!AE100</f>
        <v>0</v>
      </c>
      <c r="R13" s="383">
        <f>agki_4!AF100</f>
        <v>0</v>
      </c>
      <c r="S13" s="383">
        <f>agki_4!AG100</f>
        <v>0</v>
      </c>
      <c r="T13" s="383">
        <f>agki_4!AH100</f>
        <v>0</v>
      </c>
      <c r="U13" s="383">
        <f>agki_4!AI100</f>
        <v>0</v>
      </c>
      <c r="V13" s="744"/>
      <c r="W13" s="134">
        <v>10</v>
      </c>
      <c r="X13" s="384" t="str">
        <f>dtsiswa!D16</f>
        <v xml:space="preserve">Deco Badarus Zaman </v>
      </c>
      <c r="Y13" s="385" t="str">
        <f t="shared" si="2"/>
        <v xml:space="preserve">    </v>
      </c>
      <c r="Z13" s="386" t="str">
        <f t="shared" si="1"/>
        <v xml:space="preserve">  </v>
      </c>
    </row>
    <row r="14" spans="1:26" ht="15.95" customHeight="1" x14ac:dyDescent="0.25">
      <c r="A14" s="134">
        <v>11</v>
      </c>
      <c r="B14" s="382" t="str">
        <f>dtsiswa!D17</f>
        <v>Fania Mutiara Felichia</v>
      </c>
      <c r="C14" s="383">
        <f>agmki3!N79</f>
        <v>0</v>
      </c>
      <c r="D14" s="383">
        <f>agmki3!O79</f>
        <v>0</v>
      </c>
      <c r="E14" s="383">
        <f>agmki3!P79</f>
        <v>0</v>
      </c>
      <c r="F14" s="383">
        <f>agmki3!Q79</f>
        <v>0</v>
      </c>
      <c r="G14" s="383">
        <f>agmki3!R79</f>
        <v>0</v>
      </c>
      <c r="H14" s="383">
        <f>agmki3!S79</f>
        <v>0</v>
      </c>
      <c r="I14" s="467" t="str">
        <f t="shared" si="0"/>
        <v xml:space="preserve">  </v>
      </c>
      <c r="K14" s="134">
        <v>11</v>
      </c>
      <c r="L14" s="382" t="str">
        <f>dtsiswa!D17</f>
        <v>Fania Mutiara Felichia</v>
      </c>
      <c r="M14" s="383">
        <f>agki_4!AA110</f>
        <v>0</v>
      </c>
      <c r="N14" s="383">
        <f>agki_4!AB110</f>
        <v>0</v>
      </c>
      <c r="O14" s="383">
        <f>agki_4!AC110</f>
        <v>0</v>
      </c>
      <c r="P14" s="383">
        <f>agki_4!AD110</f>
        <v>0</v>
      </c>
      <c r="Q14" s="383">
        <f>agki_4!AE110</f>
        <v>0</v>
      </c>
      <c r="R14" s="383">
        <f>agki_4!AF110</f>
        <v>0</v>
      </c>
      <c r="S14" s="383">
        <f>agki_4!AG110</f>
        <v>0</v>
      </c>
      <c r="T14" s="383">
        <f>agki_4!AH110</f>
        <v>0</v>
      </c>
      <c r="U14" s="383">
        <f>agki_4!AI110</f>
        <v>0</v>
      </c>
      <c r="V14" s="744"/>
      <c r="W14" s="134">
        <v>11</v>
      </c>
      <c r="X14" s="384" t="str">
        <f>dtsiswa!D17</f>
        <v>Fania Mutiara Felichia</v>
      </c>
      <c r="Y14" s="385" t="str">
        <f t="shared" si="2"/>
        <v xml:space="preserve">    </v>
      </c>
      <c r="Z14" s="386" t="str">
        <f t="shared" si="1"/>
        <v xml:space="preserve">  </v>
      </c>
    </row>
    <row r="15" spans="1:26" ht="15.95" customHeight="1" x14ac:dyDescent="0.25">
      <c r="A15" s="134">
        <v>12</v>
      </c>
      <c r="B15" s="382" t="str">
        <f>dtsiswa!D18</f>
        <v>Intan Dyah Nowari</v>
      </c>
      <c r="C15" s="383">
        <f>agmki3!N86</f>
        <v>0</v>
      </c>
      <c r="D15" s="383">
        <f>agmki3!O86</f>
        <v>0</v>
      </c>
      <c r="E15" s="383">
        <f>agmki3!P86</f>
        <v>0</v>
      </c>
      <c r="F15" s="383">
        <f>agmki3!Q86</f>
        <v>0</v>
      </c>
      <c r="G15" s="383">
        <f>agmki3!R86</f>
        <v>0</v>
      </c>
      <c r="H15" s="383">
        <f>agmki3!S86</f>
        <v>0</v>
      </c>
      <c r="I15" s="467" t="str">
        <f t="shared" si="0"/>
        <v xml:space="preserve">  </v>
      </c>
      <c r="K15" s="134">
        <v>12</v>
      </c>
      <c r="L15" s="382" t="str">
        <f>dtsiswa!D18</f>
        <v>Intan Dyah Nowari</v>
      </c>
      <c r="M15" s="383">
        <f>agki_4!AA120</f>
        <v>0</v>
      </c>
      <c r="N15" s="383">
        <f>agki_4!AB120</f>
        <v>0</v>
      </c>
      <c r="O15" s="383">
        <f>agki_4!AC120</f>
        <v>0</v>
      </c>
      <c r="P15" s="383">
        <f>agki_4!AD120</f>
        <v>0</v>
      </c>
      <c r="Q15" s="383">
        <f>agki_4!AE120</f>
        <v>0</v>
      </c>
      <c r="R15" s="383">
        <f>agki_4!AF120</f>
        <v>0</v>
      </c>
      <c r="S15" s="383">
        <f>agki_4!AG120</f>
        <v>0</v>
      </c>
      <c r="T15" s="383">
        <f>agki_4!AH120</f>
        <v>0</v>
      </c>
      <c r="U15" s="383">
        <f>agki_4!AI120</f>
        <v>0</v>
      </c>
      <c r="V15" s="744"/>
      <c r="W15" s="134">
        <v>12</v>
      </c>
      <c r="X15" s="384" t="str">
        <f>dtsiswa!D18</f>
        <v>Intan Dyah Nowari</v>
      </c>
      <c r="Y15" s="385" t="str">
        <f t="shared" si="2"/>
        <v xml:space="preserve">    </v>
      </c>
      <c r="Z15" s="386" t="str">
        <f t="shared" si="1"/>
        <v xml:space="preserve">  </v>
      </c>
    </row>
    <row r="16" spans="1:26" ht="15.95" customHeight="1" x14ac:dyDescent="0.25">
      <c r="A16" s="134">
        <v>13</v>
      </c>
      <c r="B16" s="382" t="str">
        <f>dtsiswa!D19</f>
        <v>Misyanita Nurfitri S</v>
      </c>
      <c r="C16" s="383">
        <f>agmki3!N93</f>
        <v>0</v>
      </c>
      <c r="D16" s="383">
        <f>agmki3!O93</f>
        <v>0</v>
      </c>
      <c r="E16" s="383">
        <f>agmki3!P93</f>
        <v>0</v>
      </c>
      <c r="F16" s="383">
        <f>agmki3!Q93</f>
        <v>0</v>
      </c>
      <c r="G16" s="383">
        <f>agmki3!R93</f>
        <v>0</v>
      </c>
      <c r="H16" s="383">
        <f>agmki3!S93</f>
        <v>0</v>
      </c>
      <c r="I16" s="467" t="str">
        <f t="shared" si="0"/>
        <v xml:space="preserve">  </v>
      </c>
      <c r="K16" s="134">
        <v>13</v>
      </c>
      <c r="L16" s="382" t="str">
        <f>dtsiswa!D19</f>
        <v>Misyanita Nurfitri S</v>
      </c>
      <c r="M16" s="383">
        <f>agki_4!AA130</f>
        <v>0</v>
      </c>
      <c r="N16" s="383">
        <f>agki_4!AB130</f>
        <v>0</v>
      </c>
      <c r="O16" s="383">
        <f>agki_4!AC130</f>
        <v>0</v>
      </c>
      <c r="P16" s="383">
        <f>agki_4!AD130</f>
        <v>0</v>
      </c>
      <c r="Q16" s="383">
        <f>agki_4!AE130</f>
        <v>0</v>
      </c>
      <c r="R16" s="383">
        <f>agki_4!AF130</f>
        <v>0</v>
      </c>
      <c r="S16" s="383">
        <f>agki_4!AG130</f>
        <v>0</v>
      </c>
      <c r="T16" s="383">
        <f>agki_4!AH130</f>
        <v>0</v>
      </c>
      <c r="U16" s="383">
        <f>agki_4!AI130</f>
        <v>0</v>
      </c>
      <c r="V16" s="744"/>
      <c r="W16" s="134">
        <v>13</v>
      </c>
      <c r="X16" s="384" t="str">
        <f>dtsiswa!D19</f>
        <v>Misyanita Nurfitri S</v>
      </c>
      <c r="Y16" s="385" t="str">
        <f t="shared" si="2"/>
        <v xml:space="preserve">    </v>
      </c>
      <c r="Z16" s="386" t="str">
        <f t="shared" si="1"/>
        <v xml:space="preserve">  </v>
      </c>
    </row>
    <row r="17" spans="1:26" ht="15.95" customHeight="1" x14ac:dyDescent="0.25">
      <c r="A17" s="134">
        <v>14</v>
      </c>
      <c r="B17" s="382" t="str">
        <f>dtsiswa!D20</f>
        <v>Moch Zidane Hita L. U</v>
      </c>
      <c r="C17" s="383">
        <f>agmki3!N100</f>
        <v>0</v>
      </c>
      <c r="D17" s="383">
        <f>agmki3!O100</f>
        <v>0</v>
      </c>
      <c r="E17" s="383">
        <f>agmki3!P100</f>
        <v>0</v>
      </c>
      <c r="F17" s="383">
        <f>agmki3!Q100</f>
        <v>0</v>
      </c>
      <c r="G17" s="383">
        <f>agmki3!R100</f>
        <v>0</v>
      </c>
      <c r="H17" s="383">
        <f>agmki3!S100</f>
        <v>0</v>
      </c>
      <c r="I17" s="467" t="str">
        <f t="shared" si="0"/>
        <v xml:space="preserve">  </v>
      </c>
      <c r="K17" s="134">
        <v>14</v>
      </c>
      <c r="L17" s="382" t="str">
        <f>dtsiswa!D20</f>
        <v>Moch Zidane Hita L. U</v>
      </c>
      <c r="M17" s="383">
        <f>agki_4!AA140</f>
        <v>0</v>
      </c>
      <c r="N17" s="383">
        <f>agki_4!AB140</f>
        <v>0</v>
      </c>
      <c r="O17" s="383">
        <f>agki_4!AC140</f>
        <v>0</v>
      </c>
      <c r="P17" s="383">
        <f>agki_4!AD140</f>
        <v>0</v>
      </c>
      <c r="Q17" s="383">
        <f>agki_4!AE140</f>
        <v>0</v>
      </c>
      <c r="R17" s="383">
        <f>agki_4!AF140</f>
        <v>0</v>
      </c>
      <c r="S17" s="383">
        <f>agki_4!AG140</f>
        <v>0</v>
      </c>
      <c r="T17" s="383">
        <f>agki_4!AH140</f>
        <v>0</v>
      </c>
      <c r="U17" s="383">
        <f>agki_4!AI140</f>
        <v>0</v>
      </c>
      <c r="V17" s="744"/>
      <c r="W17" s="134">
        <v>14</v>
      </c>
      <c r="X17" s="384" t="str">
        <f>dtsiswa!D20</f>
        <v>Moch Zidane Hita L. U</v>
      </c>
      <c r="Y17" s="385" t="str">
        <f t="shared" si="2"/>
        <v xml:space="preserve">    </v>
      </c>
      <c r="Z17" s="386" t="str">
        <f t="shared" si="1"/>
        <v xml:space="preserve">  </v>
      </c>
    </row>
    <row r="18" spans="1:26" ht="15.95" customHeight="1" x14ac:dyDescent="0.25">
      <c r="A18" s="134">
        <v>15</v>
      </c>
      <c r="B18" s="382" t="str">
        <f>dtsiswa!D21</f>
        <v>Muhammad Ibra Maulana</v>
      </c>
      <c r="C18" s="383">
        <f>agmki3!N107</f>
        <v>0</v>
      </c>
      <c r="D18" s="383">
        <f>agmki3!O107</f>
        <v>0</v>
      </c>
      <c r="E18" s="383">
        <f>agmki3!P107</f>
        <v>0</v>
      </c>
      <c r="F18" s="383">
        <f>agmki3!Q107</f>
        <v>0</v>
      </c>
      <c r="G18" s="383">
        <f>agmki3!R107</f>
        <v>0</v>
      </c>
      <c r="H18" s="383">
        <f>agmki3!S107</f>
        <v>0</v>
      </c>
      <c r="I18" s="467" t="str">
        <f t="shared" si="0"/>
        <v xml:space="preserve">  </v>
      </c>
      <c r="K18" s="134">
        <v>15</v>
      </c>
      <c r="L18" s="382" t="str">
        <f>dtsiswa!D21</f>
        <v>Muhammad Ibra Maulana</v>
      </c>
      <c r="M18" s="383">
        <f>agki_4!AA150</f>
        <v>0</v>
      </c>
      <c r="N18" s="383">
        <f>agki_4!AB150</f>
        <v>0</v>
      </c>
      <c r="O18" s="383">
        <f>agki_4!AC150</f>
        <v>0</v>
      </c>
      <c r="P18" s="383">
        <f>agki_4!AD150</f>
        <v>0</v>
      </c>
      <c r="Q18" s="383">
        <f>agki_4!AE150</f>
        <v>0</v>
      </c>
      <c r="R18" s="383">
        <f>agki_4!AF150</f>
        <v>0</v>
      </c>
      <c r="S18" s="383">
        <f>agki_4!AG150</f>
        <v>0</v>
      </c>
      <c r="T18" s="383">
        <f>agki_4!AH150</f>
        <v>0</v>
      </c>
      <c r="U18" s="383">
        <f>agki_4!AI150</f>
        <v>0</v>
      </c>
      <c r="V18" s="744"/>
      <c r="W18" s="134">
        <v>15</v>
      </c>
      <c r="X18" s="384" t="str">
        <f>dtsiswa!D21</f>
        <v>Muhammad Ibra Maulana</v>
      </c>
      <c r="Y18" s="385" t="str">
        <f t="shared" si="2"/>
        <v xml:space="preserve">    </v>
      </c>
      <c r="Z18" s="386" t="str">
        <f t="shared" si="1"/>
        <v xml:space="preserve">  </v>
      </c>
    </row>
    <row r="19" spans="1:26" ht="15.95" customHeight="1" x14ac:dyDescent="0.25">
      <c r="A19" s="134">
        <v>16</v>
      </c>
      <c r="B19" s="382" t="str">
        <f>dtsiswa!D22</f>
        <v>Nabilla Shiva Putri</v>
      </c>
      <c r="C19" s="383">
        <f>agmki3!N114</f>
        <v>0</v>
      </c>
      <c r="D19" s="383">
        <f>agmki3!O114</f>
        <v>0</v>
      </c>
      <c r="E19" s="383">
        <f>agmki3!P114</f>
        <v>0</v>
      </c>
      <c r="F19" s="383">
        <f>agmki3!Q114</f>
        <v>0</v>
      </c>
      <c r="G19" s="383">
        <f>agmki3!R114</f>
        <v>0</v>
      </c>
      <c r="H19" s="383">
        <f>agmki3!S114</f>
        <v>0</v>
      </c>
      <c r="I19" s="467" t="str">
        <f t="shared" si="0"/>
        <v xml:space="preserve">  </v>
      </c>
      <c r="K19" s="134">
        <v>16</v>
      </c>
      <c r="L19" s="382" t="str">
        <f>dtsiswa!D22</f>
        <v>Nabilla Shiva Putri</v>
      </c>
      <c r="M19" s="383">
        <f>agki_4!AA159</f>
        <v>0</v>
      </c>
      <c r="N19" s="383">
        <f>agki_4!AB159</f>
        <v>0</v>
      </c>
      <c r="O19" s="383">
        <f>agki_4!AC159</f>
        <v>0</v>
      </c>
      <c r="P19" s="383">
        <f>agki_4!AD159</f>
        <v>0</v>
      </c>
      <c r="Q19" s="383">
        <f>agki_4!AE159</f>
        <v>0</v>
      </c>
      <c r="R19" s="383">
        <f>agki_4!AF159</f>
        <v>0</v>
      </c>
      <c r="S19" s="383">
        <f>agki_4!AG159</f>
        <v>0</v>
      </c>
      <c r="T19" s="383">
        <f>agki_4!AH159</f>
        <v>0</v>
      </c>
      <c r="U19" s="383">
        <f>agki_4!AI159</f>
        <v>0</v>
      </c>
      <c r="V19" s="744"/>
      <c r="W19" s="134">
        <v>16</v>
      </c>
      <c r="X19" s="384" t="str">
        <f>dtsiswa!D22</f>
        <v>Nabilla Shiva Putri</v>
      </c>
      <c r="Y19" s="385" t="str">
        <f t="shared" si="2"/>
        <v xml:space="preserve">    </v>
      </c>
      <c r="Z19" s="386" t="str">
        <f t="shared" si="1"/>
        <v xml:space="preserve">  </v>
      </c>
    </row>
    <row r="20" spans="1:26" ht="15.95" customHeight="1" x14ac:dyDescent="0.25">
      <c r="A20" s="134">
        <v>17</v>
      </c>
      <c r="B20" s="382" t="str">
        <f>dtsiswa!D23</f>
        <v>Naufal Falih F</v>
      </c>
      <c r="C20" s="383">
        <f>agmki3!N121</f>
        <v>0</v>
      </c>
      <c r="D20" s="383">
        <f>agmki3!O121</f>
        <v>0</v>
      </c>
      <c r="E20" s="383">
        <f>agmki3!P121</f>
        <v>0</v>
      </c>
      <c r="F20" s="383">
        <f>agmki3!Q121</f>
        <v>0</v>
      </c>
      <c r="G20" s="383">
        <f>agmki3!R121</f>
        <v>0</v>
      </c>
      <c r="H20" s="383">
        <f>agmki3!S121</f>
        <v>0</v>
      </c>
      <c r="I20" s="467" t="str">
        <f t="shared" si="0"/>
        <v xml:space="preserve">  </v>
      </c>
      <c r="K20" s="134">
        <v>17</v>
      </c>
      <c r="L20" s="382" t="str">
        <f>dtsiswa!D23</f>
        <v>Naufal Falih F</v>
      </c>
      <c r="M20" s="383">
        <f>agki_4!AA170</f>
        <v>0</v>
      </c>
      <c r="N20" s="383">
        <f>agki_4!AB170</f>
        <v>0</v>
      </c>
      <c r="O20" s="383">
        <f>agki_4!AC170</f>
        <v>0</v>
      </c>
      <c r="P20" s="383">
        <f>agki_4!AD170</f>
        <v>0</v>
      </c>
      <c r="Q20" s="383">
        <f>agki_4!AE170</f>
        <v>0</v>
      </c>
      <c r="R20" s="383">
        <f>agki_4!AF170</f>
        <v>0</v>
      </c>
      <c r="S20" s="383">
        <f>agki_4!AG170</f>
        <v>0</v>
      </c>
      <c r="T20" s="383">
        <f>agki_4!AH170</f>
        <v>0</v>
      </c>
      <c r="U20" s="383">
        <f>agki_4!AI170</f>
        <v>0</v>
      </c>
      <c r="V20" s="744"/>
      <c r="W20" s="134">
        <v>17</v>
      </c>
      <c r="X20" s="384" t="str">
        <f>dtsiswa!D23</f>
        <v>Naufal Falih F</v>
      </c>
      <c r="Y20" s="385" t="str">
        <f t="shared" si="2"/>
        <v xml:space="preserve">    </v>
      </c>
      <c r="Z20" s="386" t="str">
        <f t="shared" si="1"/>
        <v xml:space="preserve">  </v>
      </c>
    </row>
    <row r="21" spans="1:26" ht="15.95" customHeight="1" x14ac:dyDescent="0.25">
      <c r="A21" s="134">
        <v>18</v>
      </c>
      <c r="B21" s="382" t="str">
        <f>dtsiswa!D24</f>
        <v>Nayla Annora Nobel W</v>
      </c>
      <c r="C21" s="383">
        <f>agmki3!N128</f>
        <v>0</v>
      </c>
      <c r="D21" s="383">
        <f>agmki3!O128</f>
        <v>0</v>
      </c>
      <c r="E21" s="383">
        <f>agmki3!P128</f>
        <v>0</v>
      </c>
      <c r="F21" s="383">
        <f>agmki3!Q128</f>
        <v>0</v>
      </c>
      <c r="G21" s="383">
        <f>agmki3!R128</f>
        <v>0</v>
      </c>
      <c r="H21" s="383">
        <f>agmki3!S128</f>
        <v>0</v>
      </c>
      <c r="I21" s="467" t="str">
        <f t="shared" si="0"/>
        <v xml:space="preserve">  </v>
      </c>
      <c r="K21" s="134">
        <v>18</v>
      </c>
      <c r="L21" s="382" t="str">
        <f>dtsiswa!D24</f>
        <v>Nayla Annora Nobel W</v>
      </c>
      <c r="M21" s="383">
        <f>agki_4!AA180</f>
        <v>0</v>
      </c>
      <c r="N21" s="383">
        <f>agki_4!AB180</f>
        <v>0</v>
      </c>
      <c r="O21" s="383">
        <f>agki_4!AC180</f>
        <v>0</v>
      </c>
      <c r="P21" s="383">
        <f>agki_4!AD180</f>
        <v>0</v>
      </c>
      <c r="Q21" s="383">
        <f>agki_4!AE180</f>
        <v>0</v>
      </c>
      <c r="R21" s="383">
        <f>agki_4!AF180</f>
        <v>0</v>
      </c>
      <c r="S21" s="383">
        <f>agki_4!AG180</f>
        <v>0</v>
      </c>
      <c r="T21" s="383">
        <f>agki_4!AH180</f>
        <v>0</v>
      </c>
      <c r="U21" s="383">
        <f>agki_4!AI180</f>
        <v>0</v>
      </c>
      <c r="V21" s="744"/>
      <c r="W21" s="134">
        <v>18</v>
      </c>
      <c r="X21" s="384" t="str">
        <f>dtsiswa!D24</f>
        <v>Nayla Annora Nobel W</v>
      </c>
      <c r="Y21" s="385" t="str">
        <f t="shared" si="2"/>
        <v xml:space="preserve">    </v>
      </c>
      <c r="Z21" s="386" t="str">
        <f t="shared" si="1"/>
        <v xml:space="preserve">  </v>
      </c>
    </row>
    <row r="22" spans="1:26" ht="15.95" customHeight="1" x14ac:dyDescent="0.25">
      <c r="A22" s="134">
        <v>19</v>
      </c>
      <c r="B22" s="382" t="str">
        <f>dtsiswa!D25</f>
        <v>Raihan Danang P</v>
      </c>
      <c r="C22" s="383">
        <f>agmki3!N135</f>
        <v>0</v>
      </c>
      <c r="D22" s="383">
        <f>agmki3!O135</f>
        <v>0</v>
      </c>
      <c r="E22" s="383">
        <f>agmki3!P135</f>
        <v>0</v>
      </c>
      <c r="F22" s="383">
        <f>agmki3!Q135</f>
        <v>0</v>
      </c>
      <c r="G22" s="383">
        <f>agmki3!R135</f>
        <v>0</v>
      </c>
      <c r="H22" s="383">
        <f>agmki3!S135</f>
        <v>0</v>
      </c>
      <c r="I22" s="467" t="str">
        <f t="shared" si="0"/>
        <v xml:space="preserve">  </v>
      </c>
      <c r="K22" s="134">
        <v>19</v>
      </c>
      <c r="L22" s="382" t="str">
        <f>dtsiswa!D25</f>
        <v>Raihan Danang P</v>
      </c>
      <c r="M22" s="383">
        <f>agki_4!AA190</f>
        <v>0</v>
      </c>
      <c r="N22" s="383">
        <f>agki_4!AB190</f>
        <v>0</v>
      </c>
      <c r="O22" s="383">
        <f>agki_4!AC190</f>
        <v>0</v>
      </c>
      <c r="P22" s="383">
        <f>agki_4!AD190</f>
        <v>0</v>
      </c>
      <c r="Q22" s="383">
        <f>agki_4!AE190</f>
        <v>0</v>
      </c>
      <c r="R22" s="383">
        <f>agki_4!AF190</f>
        <v>0</v>
      </c>
      <c r="S22" s="383">
        <f>agki_4!AG190</f>
        <v>0</v>
      </c>
      <c r="T22" s="383">
        <f>agki_4!AH190</f>
        <v>0</v>
      </c>
      <c r="U22" s="383">
        <f>agki_4!AI190</f>
        <v>0</v>
      </c>
      <c r="V22" s="744"/>
      <c r="W22" s="134">
        <v>19</v>
      </c>
      <c r="X22" s="384" t="str">
        <f>dtsiswa!D25</f>
        <v>Raihan Danang P</v>
      </c>
      <c r="Y22" s="385" t="str">
        <f t="shared" si="2"/>
        <v xml:space="preserve">    </v>
      </c>
      <c r="Z22" s="386" t="str">
        <f t="shared" si="1"/>
        <v xml:space="preserve">  </v>
      </c>
    </row>
    <row r="23" spans="1:26" ht="15.95" customHeight="1" x14ac:dyDescent="0.25">
      <c r="A23" s="134">
        <v>20</v>
      </c>
      <c r="B23" s="382" t="str">
        <f>dtsiswa!D26</f>
        <v>Roby Ardiyansyah</v>
      </c>
      <c r="C23" s="383">
        <f>agmki3!N142</f>
        <v>0</v>
      </c>
      <c r="D23" s="383">
        <f>agmki3!O142</f>
        <v>0</v>
      </c>
      <c r="E23" s="383">
        <f>agmki3!P142</f>
        <v>0</v>
      </c>
      <c r="F23" s="383">
        <f>agmki3!Q142</f>
        <v>0</v>
      </c>
      <c r="G23" s="383">
        <f>agmki3!R142</f>
        <v>0</v>
      </c>
      <c r="H23" s="383">
        <f>agmki3!S142</f>
        <v>0</v>
      </c>
      <c r="I23" s="467" t="str">
        <f t="shared" si="0"/>
        <v xml:space="preserve">  </v>
      </c>
      <c r="K23" s="134">
        <v>20</v>
      </c>
      <c r="L23" s="382" t="str">
        <f>dtsiswa!D26</f>
        <v>Roby Ardiyansyah</v>
      </c>
      <c r="M23" s="383">
        <f>agki_4!AA200</f>
        <v>0</v>
      </c>
      <c r="N23" s="383">
        <f>agki_4!AB200</f>
        <v>0</v>
      </c>
      <c r="O23" s="383">
        <f>agki_4!AC200</f>
        <v>0</v>
      </c>
      <c r="P23" s="383">
        <f>agki_4!AD200</f>
        <v>0</v>
      </c>
      <c r="Q23" s="383">
        <f>agki_4!AE200</f>
        <v>0</v>
      </c>
      <c r="R23" s="383">
        <f>agki_4!AF200</f>
        <v>0</v>
      </c>
      <c r="S23" s="383">
        <f>agki_4!AG200</f>
        <v>0</v>
      </c>
      <c r="T23" s="383">
        <f>agki_4!AH200</f>
        <v>0</v>
      </c>
      <c r="U23" s="383">
        <f>agki_4!AI200</f>
        <v>0</v>
      </c>
      <c r="V23" s="744"/>
      <c r="W23" s="134">
        <v>20</v>
      </c>
      <c r="X23" s="384" t="str">
        <f>dtsiswa!D26</f>
        <v>Roby Ardiyansyah</v>
      </c>
      <c r="Y23" s="385" t="str">
        <f t="shared" si="2"/>
        <v xml:space="preserve">    </v>
      </c>
      <c r="Z23" s="386" t="str">
        <f t="shared" si="1"/>
        <v xml:space="preserve">  </v>
      </c>
    </row>
    <row r="24" spans="1:26" ht="15.95" customHeight="1" x14ac:dyDescent="0.25">
      <c r="A24" s="134">
        <v>21</v>
      </c>
      <c r="B24" s="382" t="str">
        <f>dtsiswa!D27</f>
        <v>Rojalingga Prana A</v>
      </c>
      <c r="C24" s="383">
        <f>agmki3!N149</f>
        <v>0</v>
      </c>
      <c r="D24" s="383">
        <f>agmki3!O149</f>
        <v>0</v>
      </c>
      <c r="E24" s="383">
        <f>agmki3!P149</f>
        <v>0</v>
      </c>
      <c r="F24" s="383">
        <f>agmki3!Q149</f>
        <v>0</v>
      </c>
      <c r="G24" s="383">
        <f>agmki3!R149</f>
        <v>0</v>
      </c>
      <c r="H24" s="383">
        <f>agmki3!S149</f>
        <v>0</v>
      </c>
      <c r="I24" s="467" t="str">
        <f t="shared" si="0"/>
        <v xml:space="preserve">  </v>
      </c>
      <c r="K24" s="134">
        <v>21</v>
      </c>
      <c r="L24" s="382" t="str">
        <f>dtsiswa!D27</f>
        <v>Rojalingga Prana A</v>
      </c>
      <c r="M24" s="383">
        <f>agki_4!AA210</f>
        <v>0</v>
      </c>
      <c r="N24" s="383">
        <f>agki_4!AB210</f>
        <v>0</v>
      </c>
      <c r="O24" s="383">
        <f>agki_4!AC210</f>
        <v>0</v>
      </c>
      <c r="P24" s="383">
        <f>agki_4!AD210</f>
        <v>0</v>
      </c>
      <c r="Q24" s="383">
        <f>agki_4!AE210</f>
        <v>0</v>
      </c>
      <c r="R24" s="383">
        <f>agki_4!AF210</f>
        <v>0</v>
      </c>
      <c r="S24" s="383">
        <f>agki_4!AG210</f>
        <v>0</v>
      </c>
      <c r="T24" s="383">
        <f>agki_4!AH210</f>
        <v>0</v>
      </c>
      <c r="U24" s="383">
        <f>agki_4!AI210</f>
        <v>0</v>
      </c>
      <c r="V24" s="744"/>
      <c r="W24" s="134">
        <v>21</v>
      </c>
      <c r="X24" s="384" t="str">
        <f>dtsiswa!D27</f>
        <v>Rojalingga Prana A</v>
      </c>
      <c r="Y24" s="385" t="str">
        <f t="shared" si="2"/>
        <v xml:space="preserve">    </v>
      </c>
      <c r="Z24" s="386" t="str">
        <f t="shared" si="1"/>
        <v xml:space="preserve">  </v>
      </c>
    </row>
    <row r="25" spans="1:26" ht="15.95" customHeight="1" x14ac:dyDescent="0.25">
      <c r="A25" s="134">
        <v>22</v>
      </c>
      <c r="B25" s="382" t="str">
        <f>dtsiswa!D28</f>
        <v>Sally Savista A</v>
      </c>
      <c r="C25" s="383">
        <f>agmki3!N156</f>
        <v>0</v>
      </c>
      <c r="D25" s="383">
        <f>agmki3!O156</f>
        <v>0</v>
      </c>
      <c r="E25" s="383">
        <f>agmki3!P156</f>
        <v>0</v>
      </c>
      <c r="F25" s="383">
        <f>agmki3!Q156</f>
        <v>0</v>
      </c>
      <c r="G25" s="383">
        <f>agmki3!R156</f>
        <v>0</v>
      </c>
      <c r="H25" s="383">
        <f>agmki3!S156</f>
        <v>0</v>
      </c>
      <c r="I25" s="467" t="str">
        <f t="shared" si="0"/>
        <v xml:space="preserve">  </v>
      </c>
      <c r="K25" s="134">
        <v>22</v>
      </c>
      <c r="L25" s="382" t="str">
        <f>dtsiswa!D28</f>
        <v>Sally Savista A</v>
      </c>
      <c r="M25" s="383">
        <f>agki_4!AA220</f>
        <v>0</v>
      </c>
      <c r="N25" s="383">
        <f>agki_4!AB220</f>
        <v>0</v>
      </c>
      <c r="O25" s="383">
        <f>agki_4!AC220</f>
        <v>0</v>
      </c>
      <c r="P25" s="383">
        <f>agki_4!AD220</f>
        <v>0</v>
      </c>
      <c r="Q25" s="383">
        <f>agki_4!AE220</f>
        <v>0</v>
      </c>
      <c r="R25" s="383">
        <f>agki_4!AF220</f>
        <v>0</v>
      </c>
      <c r="S25" s="383">
        <f>agki_4!AG220</f>
        <v>0</v>
      </c>
      <c r="T25" s="383">
        <f>agki_4!AH220</f>
        <v>0</v>
      </c>
      <c r="U25" s="383">
        <f>agki_4!AI220</f>
        <v>0</v>
      </c>
      <c r="V25" s="744"/>
      <c r="W25" s="134">
        <v>22</v>
      </c>
      <c r="X25" s="384" t="str">
        <f>dtsiswa!D28</f>
        <v>Sally Savista A</v>
      </c>
      <c r="Y25" s="385" t="str">
        <f t="shared" si="2"/>
        <v xml:space="preserve">    </v>
      </c>
      <c r="Z25" s="386" t="str">
        <f t="shared" si="1"/>
        <v xml:space="preserve">  </v>
      </c>
    </row>
    <row r="26" spans="1:26" ht="15.95" customHeight="1" x14ac:dyDescent="0.25">
      <c r="A26" s="134">
        <v>23</v>
      </c>
      <c r="B26" s="382" t="str">
        <f>dtsiswa!D29</f>
        <v xml:space="preserve">Tania Kaori Angelita </v>
      </c>
      <c r="C26" s="383">
        <f>agmki3!N163</f>
        <v>0</v>
      </c>
      <c r="D26" s="383">
        <f>agmki3!O163</f>
        <v>0</v>
      </c>
      <c r="E26" s="383">
        <f>agmki3!P163</f>
        <v>0</v>
      </c>
      <c r="F26" s="383">
        <f>agmki3!Q163</f>
        <v>0</v>
      </c>
      <c r="G26" s="383">
        <f>agmki3!R163</f>
        <v>0</v>
      </c>
      <c r="H26" s="383">
        <f>agmki3!S163</f>
        <v>0</v>
      </c>
      <c r="I26" s="467" t="str">
        <f t="shared" si="0"/>
        <v xml:space="preserve">  </v>
      </c>
      <c r="K26" s="134">
        <v>23</v>
      </c>
      <c r="L26" s="382" t="str">
        <f>dtsiswa!D29</f>
        <v xml:space="preserve">Tania Kaori Angelita </v>
      </c>
      <c r="M26" s="383">
        <f>agki_4!AA230</f>
        <v>0</v>
      </c>
      <c r="N26" s="383">
        <f>agki_4!AB230</f>
        <v>0</v>
      </c>
      <c r="O26" s="383">
        <f>agki_4!AC230</f>
        <v>0</v>
      </c>
      <c r="P26" s="383">
        <f>agki_4!AD230</f>
        <v>0</v>
      </c>
      <c r="Q26" s="383">
        <f>agki_4!AE230</f>
        <v>0</v>
      </c>
      <c r="R26" s="383">
        <f>agki_4!AF230</f>
        <v>0</v>
      </c>
      <c r="S26" s="383">
        <f>agki_4!AG230</f>
        <v>0</v>
      </c>
      <c r="T26" s="383">
        <f>agki_4!AH230</f>
        <v>0</v>
      </c>
      <c r="U26" s="383">
        <f>agki_4!AI230</f>
        <v>0</v>
      </c>
      <c r="V26" s="744"/>
      <c r="W26" s="134">
        <v>23</v>
      </c>
      <c r="X26" s="384" t="str">
        <f>dtsiswa!D29</f>
        <v xml:space="preserve">Tania Kaori Angelita </v>
      </c>
      <c r="Y26" s="385" t="str">
        <f t="shared" si="2"/>
        <v xml:space="preserve">    </v>
      </c>
      <c r="Z26" s="386" t="str">
        <f t="shared" si="1"/>
        <v xml:space="preserve">  </v>
      </c>
    </row>
    <row r="27" spans="1:26" ht="15.95" customHeight="1" x14ac:dyDescent="0.25">
      <c r="A27" s="134">
        <v>24</v>
      </c>
      <c r="B27" s="382" t="str">
        <f>dtsiswa!D30</f>
        <v>Romzy Oka Ramadhani P</v>
      </c>
      <c r="C27" s="383">
        <f>agmki3!N170</f>
        <v>0</v>
      </c>
      <c r="D27" s="383">
        <f>agmki3!O170</f>
        <v>0</v>
      </c>
      <c r="E27" s="383">
        <f>agmki3!P170</f>
        <v>0</v>
      </c>
      <c r="F27" s="383">
        <f>agmki3!Q170</f>
        <v>0</v>
      </c>
      <c r="G27" s="383">
        <f>agmki3!R170</f>
        <v>0</v>
      </c>
      <c r="H27" s="383">
        <f>agmki3!S170</f>
        <v>0</v>
      </c>
      <c r="I27" s="467" t="str">
        <f t="shared" si="0"/>
        <v xml:space="preserve">  </v>
      </c>
      <c r="K27" s="134">
        <v>24</v>
      </c>
      <c r="L27" s="382" t="str">
        <f>dtsiswa!D30</f>
        <v>Romzy Oka Ramadhani P</v>
      </c>
      <c r="M27" s="383">
        <f>agki_4!AA240</f>
        <v>0</v>
      </c>
      <c r="N27" s="383">
        <f>agki_4!AB240</f>
        <v>0</v>
      </c>
      <c r="O27" s="383">
        <f>agki_4!AC240</f>
        <v>0</v>
      </c>
      <c r="P27" s="383">
        <f>agki_4!AD240</f>
        <v>0</v>
      </c>
      <c r="Q27" s="383">
        <f>agki_4!AE240</f>
        <v>0</v>
      </c>
      <c r="R27" s="383">
        <f>agki_4!AF240</f>
        <v>0</v>
      </c>
      <c r="S27" s="383">
        <f>agki_4!AG240</f>
        <v>0</v>
      </c>
      <c r="T27" s="383">
        <f>agki_4!AH240</f>
        <v>0</v>
      </c>
      <c r="U27" s="383">
        <f>agki_4!AI240</f>
        <v>0</v>
      </c>
      <c r="V27" s="744"/>
      <c r="W27" s="134">
        <v>24</v>
      </c>
      <c r="X27" s="384" t="str">
        <f>dtsiswa!D30</f>
        <v>Romzy Oka Ramadhani P</v>
      </c>
      <c r="Y27" s="385" t="str">
        <f t="shared" si="2"/>
        <v xml:space="preserve">    </v>
      </c>
      <c r="Z27" s="386" t="str">
        <f t="shared" si="1"/>
        <v xml:space="preserve">  </v>
      </c>
    </row>
    <row r="28" spans="1:26" ht="15.95" customHeight="1" x14ac:dyDescent="0.25">
      <c r="A28" s="134">
        <v>25</v>
      </c>
      <c r="B28" s="382" t="str">
        <f>dtsiswa!D31</f>
        <v>Larasati Jagadhita P</v>
      </c>
      <c r="C28" s="383">
        <f>agmki3!N177</f>
        <v>0</v>
      </c>
      <c r="D28" s="383">
        <f>agmki3!O177</f>
        <v>0</v>
      </c>
      <c r="E28" s="383">
        <f>agmki3!P177</f>
        <v>0</v>
      </c>
      <c r="F28" s="383">
        <f>agmki3!Q177</f>
        <v>0</v>
      </c>
      <c r="G28" s="383">
        <f>agmki3!R177</f>
        <v>0</v>
      </c>
      <c r="H28" s="383">
        <f>agmki3!S177</f>
        <v>0</v>
      </c>
      <c r="I28" s="467" t="str">
        <f t="shared" si="0"/>
        <v xml:space="preserve">  </v>
      </c>
      <c r="K28" s="134">
        <v>25</v>
      </c>
      <c r="L28" s="382" t="str">
        <f>dtsiswa!D31</f>
        <v>Larasati Jagadhita P</v>
      </c>
      <c r="M28" s="383">
        <f>agki_4!AA250</f>
        <v>0</v>
      </c>
      <c r="N28" s="383">
        <f>agki_4!AB250</f>
        <v>0</v>
      </c>
      <c r="O28" s="383">
        <f>agki_4!AC250</f>
        <v>0</v>
      </c>
      <c r="P28" s="383">
        <f>agki_4!AD250</f>
        <v>0</v>
      </c>
      <c r="Q28" s="383">
        <f>agki_4!AE250</f>
        <v>0</v>
      </c>
      <c r="R28" s="383">
        <f>agki_4!AF250</f>
        <v>0</v>
      </c>
      <c r="S28" s="383">
        <f>agki_4!AG250</f>
        <v>0</v>
      </c>
      <c r="T28" s="383">
        <f>agki_4!AH250</f>
        <v>0</v>
      </c>
      <c r="U28" s="383">
        <f>agki_4!AI250</f>
        <v>0</v>
      </c>
      <c r="V28" s="744"/>
      <c r="W28" s="134">
        <v>25</v>
      </c>
      <c r="X28" s="384" t="str">
        <f>dtsiswa!D31</f>
        <v>Larasati Jagadhita P</v>
      </c>
      <c r="Y28" s="385" t="str">
        <f t="shared" si="2"/>
        <v xml:space="preserve">    </v>
      </c>
      <c r="Z28" s="386" t="str">
        <f t="shared" si="1"/>
        <v xml:space="preserve">  </v>
      </c>
    </row>
    <row r="29" spans="1:26" ht="15.95" customHeight="1" x14ac:dyDescent="0.25">
      <c r="A29" s="134">
        <v>26</v>
      </c>
      <c r="B29" s="382" t="str">
        <f>dtsiswa!D32</f>
        <v>Meliana Citra A</v>
      </c>
      <c r="C29" s="383">
        <f>agmki3!N184</f>
        <v>0</v>
      </c>
      <c r="D29" s="383">
        <f>agmki3!O184</f>
        <v>0</v>
      </c>
      <c r="E29" s="383">
        <f>agmki3!P184</f>
        <v>0</v>
      </c>
      <c r="F29" s="383">
        <f>agmki3!Q184</f>
        <v>0</v>
      </c>
      <c r="G29" s="383">
        <f>agmki3!R184</f>
        <v>0</v>
      </c>
      <c r="H29" s="383">
        <f>agmki3!S184</f>
        <v>0</v>
      </c>
      <c r="I29" s="467" t="str">
        <f t="shared" si="0"/>
        <v xml:space="preserve">  </v>
      </c>
      <c r="K29" s="134">
        <v>26</v>
      </c>
      <c r="L29" s="382" t="str">
        <f>dtsiswa!D32</f>
        <v>Meliana Citra A</v>
      </c>
      <c r="M29" s="383">
        <f>agki_4!AA260</f>
        <v>0</v>
      </c>
      <c r="N29" s="383">
        <f>agki_4!AB260</f>
        <v>0</v>
      </c>
      <c r="O29" s="383">
        <f>agki_4!AC260</f>
        <v>0</v>
      </c>
      <c r="P29" s="383">
        <f>agki_4!AD260</f>
        <v>0</v>
      </c>
      <c r="Q29" s="383">
        <f>agki_4!AE260</f>
        <v>0</v>
      </c>
      <c r="R29" s="383">
        <f>agki_4!AF260</f>
        <v>0</v>
      </c>
      <c r="S29" s="383">
        <f>agki_4!AG260</f>
        <v>0</v>
      </c>
      <c r="T29" s="383">
        <f>agki_4!AH260</f>
        <v>0</v>
      </c>
      <c r="U29" s="383">
        <f>agki_4!AI260</f>
        <v>0</v>
      </c>
      <c r="V29" s="744"/>
      <c r="W29" s="134">
        <v>26</v>
      </c>
      <c r="X29" s="384" t="str">
        <f>dtsiswa!D32</f>
        <v>Meliana Citra A</v>
      </c>
      <c r="Y29" s="385" t="str">
        <f t="shared" si="2"/>
        <v xml:space="preserve">    </v>
      </c>
      <c r="Z29" s="386" t="str">
        <f t="shared" si="1"/>
        <v xml:space="preserve">  </v>
      </c>
    </row>
    <row r="30" spans="1:26" ht="15.95" customHeight="1" x14ac:dyDescent="0.25">
      <c r="A30" s="134">
        <v>27</v>
      </c>
      <c r="B30" s="382" t="str">
        <f>dtsiswa!D33</f>
        <v>Mohammad Rizky</v>
      </c>
      <c r="C30" s="383">
        <f>agmki3!N191</f>
        <v>0</v>
      </c>
      <c r="D30" s="383">
        <f>agmki3!O191</f>
        <v>0</v>
      </c>
      <c r="E30" s="383">
        <f>agmki3!P191</f>
        <v>0</v>
      </c>
      <c r="F30" s="383">
        <f>agmki3!Q191</f>
        <v>0</v>
      </c>
      <c r="G30" s="383">
        <f>agmki3!R191</f>
        <v>0</v>
      </c>
      <c r="H30" s="383">
        <f>agmki3!S191</f>
        <v>0</v>
      </c>
      <c r="I30" s="467" t="str">
        <f t="shared" si="0"/>
        <v xml:space="preserve">  </v>
      </c>
      <c r="K30" s="134">
        <v>27</v>
      </c>
      <c r="L30" s="382" t="str">
        <f>dtsiswa!D33</f>
        <v>Mohammad Rizky</v>
      </c>
      <c r="M30" s="383">
        <f>agki_4!AA270</f>
        <v>0</v>
      </c>
      <c r="N30" s="383">
        <f>agki_4!AB270</f>
        <v>0</v>
      </c>
      <c r="O30" s="383">
        <f>agki_4!AC270</f>
        <v>0</v>
      </c>
      <c r="P30" s="383">
        <f>agki_4!AD270</f>
        <v>0</v>
      </c>
      <c r="Q30" s="383">
        <f>agki_4!AE270</f>
        <v>0</v>
      </c>
      <c r="R30" s="383">
        <f>agki_4!AF270</f>
        <v>0</v>
      </c>
      <c r="S30" s="383">
        <f>agki_4!AG270</f>
        <v>0</v>
      </c>
      <c r="T30" s="383">
        <f>agki_4!AH270</f>
        <v>0</v>
      </c>
      <c r="U30" s="383">
        <f>agki_4!AI270</f>
        <v>0</v>
      </c>
      <c r="V30" s="744"/>
      <c r="W30" s="134">
        <v>27</v>
      </c>
      <c r="X30" s="384" t="str">
        <f>dtsiswa!D33</f>
        <v>Mohammad Rizky</v>
      </c>
      <c r="Y30" s="385" t="str">
        <f t="shared" si="2"/>
        <v xml:space="preserve">    </v>
      </c>
      <c r="Z30" s="386" t="str">
        <f t="shared" si="1"/>
        <v xml:space="preserve">  </v>
      </c>
    </row>
    <row r="31" spans="1:26" ht="15.95" customHeight="1" x14ac:dyDescent="0.25">
      <c r="A31" s="134">
        <v>28</v>
      </c>
      <c r="B31" s="382">
        <f>dtsiswa!D34</f>
        <v>0</v>
      </c>
      <c r="C31" s="383">
        <f>agmki3!N198</f>
        <v>0</v>
      </c>
      <c r="D31" s="383">
        <f>agmki3!O198</f>
        <v>0</v>
      </c>
      <c r="E31" s="383">
        <f>agmki3!P198</f>
        <v>0</v>
      </c>
      <c r="F31" s="383">
        <f>agmki3!Q198</f>
        <v>0</v>
      </c>
      <c r="G31" s="383">
        <f>agmki3!R198</f>
        <v>0</v>
      </c>
      <c r="H31" s="383">
        <f>agmki3!S198</f>
        <v>0</v>
      </c>
      <c r="I31" s="467" t="str">
        <f t="shared" si="0"/>
        <v xml:space="preserve">  </v>
      </c>
      <c r="K31" s="134">
        <v>28</v>
      </c>
      <c r="L31" s="382">
        <f>dtsiswa!D34</f>
        <v>0</v>
      </c>
      <c r="M31" s="383">
        <f>agki_4!AA280</f>
        <v>0</v>
      </c>
      <c r="N31" s="383">
        <f>agki_4!AB280</f>
        <v>0</v>
      </c>
      <c r="O31" s="383">
        <f>agki_4!AC280</f>
        <v>0</v>
      </c>
      <c r="P31" s="383">
        <f>agki_4!AD280</f>
        <v>0</v>
      </c>
      <c r="Q31" s="383">
        <f>agki_4!AE280</f>
        <v>0</v>
      </c>
      <c r="R31" s="383">
        <f>agki_4!AF280</f>
        <v>0</v>
      </c>
      <c r="S31" s="383">
        <f>agki_4!AG280</f>
        <v>0</v>
      </c>
      <c r="T31" s="383">
        <f>agki_4!AH280</f>
        <v>0</v>
      </c>
      <c r="U31" s="383">
        <f>agki_4!AI280</f>
        <v>0</v>
      </c>
      <c r="V31" s="744"/>
      <c r="W31" s="134">
        <v>28</v>
      </c>
      <c r="X31" s="384">
        <f>dtsiswa!D34</f>
        <v>0</v>
      </c>
      <c r="Y31" s="385" t="str">
        <f t="shared" si="2"/>
        <v xml:space="preserve">    </v>
      </c>
      <c r="Z31" s="386" t="str">
        <f t="shared" si="1"/>
        <v xml:space="preserve">  </v>
      </c>
    </row>
    <row r="32" spans="1:26" ht="15.95" customHeight="1" x14ac:dyDescent="0.25">
      <c r="A32" s="134">
        <v>29</v>
      </c>
      <c r="B32" s="382">
        <f>dtsiswa!D35</f>
        <v>0</v>
      </c>
      <c r="C32" s="383">
        <f>agmki3!N205</f>
        <v>0</v>
      </c>
      <c r="D32" s="383">
        <f>agmki3!O205</f>
        <v>0</v>
      </c>
      <c r="E32" s="383">
        <f>agmki3!P205</f>
        <v>0</v>
      </c>
      <c r="F32" s="383">
        <f>agmki3!Q205</f>
        <v>0</v>
      </c>
      <c r="G32" s="383">
        <f>agmki3!R205</f>
        <v>0</v>
      </c>
      <c r="H32" s="383">
        <f>agmki3!S205</f>
        <v>0</v>
      </c>
      <c r="I32" s="467" t="str">
        <f t="shared" si="0"/>
        <v xml:space="preserve">  </v>
      </c>
      <c r="K32" s="134">
        <v>29</v>
      </c>
      <c r="L32" s="382">
        <f>dtsiswa!D35</f>
        <v>0</v>
      </c>
      <c r="M32" s="383">
        <f>agki_4!AA290</f>
        <v>0</v>
      </c>
      <c r="N32" s="383">
        <f>agki_4!AB290</f>
        <v>0</v>
      </c>
      <c r="O32" s="383">
        <f>agki_4!AC290</f>
        <v>0</v>
      </c>
      <c r="P32" s="383">
        <f>agki_4!AD290</f>
        <v>0</v>
      </c>
      <c r="Q32" s="383">
        <f>agki_4!AE290</f>
        <v>0</v>
      </c>
      <c r="R32" s="383">
        <f>agki_4!AF290</f>
        <v>0</v>
      </c>
      <c r="S32" s="383">
        <f>agki_4!AG290</f>
        <v>0</v>
      </c>
      <c r="T32" s="383">
        <f>agki_4!AH290</f>
        <v>0</v>
      </c>
      <c r="U32" s="383">
        <f>agki_4!AI290</f>
        <v>0</v>
      </c>
      <c r="V32" s="744"/>
      <c r="W32" s="134">
        <v>29</v>
      </c>
      <c r="X32" s="384">
        <f>dtsiswa!D35</f>
        <v>0</v>
      </c>
      <c r="Y32" s="385" t="str">
        <f t="shared" si="2"/>
        <v xml:space="preserve">    </v>
      </c>
      <c r="Z32" s="386" t="str">
        <f t="shared" si="1"/>
        <v xml:space="preserve">  </v>
      </c>
    </row>
    <row r="33" spans="1:26" ht="15.95" customHeight="1" x14ac:dyDescent="0.25">
      <c r="A33" s="134">
        <v>30</v>
      </c>
      <c r="B33" s="382">
        <f>dtsiswa!D36</f>
        <v>0</v>
      </c>
      <c r="C33" s="383">
        <f>agmki3!N212</f>
        <v>0</v>
      </c>
      <c r="D33" s="383">
        <f>agmki3!O212</f>
        <v>0</v>
      </c>
      <c r="E33" s="383">
        <f>agmki3!P212</f>
        <v>0</v>
      </c>
      <c r="F33" s="383">
        <f>agmki3!Q212</f>
        <v>0</v>
      </c>
      <c r="G33" s="383">
        <f>agmki3!R212</f>
        <v>0</v>
      </c>
      <c r="H33" s="383">
        <f>agmki3!S212</f>
        <v>0</v>
      </c>
      <c r="I33" s="467" t="str">
        <f t="shared" si="0"/>
        <v xml:space="preserve">  </v>
      </c>
      <c r="K33" s="134">
        <v>30</v>
      </c>
      <c r="L33" s="382">
        <f>dtsiswa!D36</f>
        <v>0</v>
      </c>
      <c r="M33" s="383">
        <f>agki_4!AA300</f>
        <v>0</v>
      </c>
      <c r="N33" s="383">
        <f>agki_4!AB300</f>
        <v>0</v>
      </c>
      <c r="O33" s="383">
        <f>agki_4!AC300</f>
        <v>0</v>
      </c>
      <c r="P33" s="383">
        <f>agki_4!AD300</f>
        <v>0</v>
      </c>
      <c r="Q33" s="383">
        <f>agki_4!AE300</f>
        <v>0</v>
      </c>
      <c r="R33" s="383">
        <f>agki_4!AF300</f>
        <v>0</v>
      </c>
      <c r="S33" s="383">
        <f>agki_4!AG300</f>
        <v>0</v>
      </c>
      <c r="T33" s="383">
        <f>agki_4!AH300</f>
        <v>0</v>
      </c>
      <c r="U33" s="383">
        <f>agki_4!AI300</f>
        <v>0</v>
      </c>
      <c r="V33" s="744"/>
      <c r="W33" s="134">
        <v>30</v>
      </c>
      <c r="X33" s="384">
        <f>dtsiswa!D36</f>
        <v>0</v>
      </c>
      <c r="Y33" s="385" t="str">
        <f t="shared" si="2"/>
        <v xml:space="preserve">    </v>
      </c>
      <c r="Z33" s="386" t="str">
        <f t="shared" si="1"/>
        <v xml:space="preserve">  </v>
      </c>
    </row>
    <row r="34" spans="1:26" ht="15.95" customHeight="1" x14ac:dyDescent="0.25">
      <c r="A34" s="134">
        <v>31</v>
      </c>
      <c r="B34" s="382">
        <f>dtsiswa!D37</f>
        <v>0</v>
      </c>
      <c r="C34" s="383">
        <f>agmki3!N219</f>
        <v>0</v>
      </c>
      <c r="D34" s="383">
        <f>agmki3!O219</f>
        <v>0</v>
      </c>
      <c r="E34" s="383">
        <f>agmki3!P219</f>
        <v>0</v>
      </c>
      <c r="F34" s="383">
        <f>agmki3!Q219</f>
        <v>0</v>
      </c>
      <c r="G34" s="383">
        <f>agmki3!R219</f>
        <v>0</v>
      </c>
      <c r="H34" s="383">
        <f>agmki3!S219</f>
        <v>0</v>
      </c>
      <c r="I34" s="467" t="str">
        <f t="shared" si="0"/>
        <v xml:space="preserve">  </v>
      </c>
      <c r="K34" s="134">
        <v>31</v>
      </c>
      <c r="L34" s="382">
        <f>dtsiswa!D37</f>
        <v>0</v>
      </c>
      <c r="M34" s="383">
        <f>agki_4!AA310</f>
        <v>0</v>
      </c>
      <c r="N34" s="383">
        <f>agki_4!AB310</f>
        <v>0</v>
      </c>
      <c r="O34" s="383">
        <f>agki_4!AC310</f>
        <v>0</v>
      </c>
      <c r="P34" s="383">
        <f>agki_4!AD310</f>
        <v>0</v>
      </c>
      <c r="Q34" s="383">
        <f>agki_4!AE310</f>
        <v>0</v>
      </c>
      <c r="R34" s="383">
        <f>agki_4!AF310</f>
        <v>0</v>
      </c>
      <c r="S34" s="383">
        <f>agki_4!AG310</f>
        <v>0</v>
      </c>
      <c r="T34" s="383">
        <f>agki_4!AH310</f>
        <v>0</v>
      </c>
      <c r="U34" s="383">
        <f>agki_4!AI310</f>
        <v>0</v>
      </c>
      <c r="V34" s="744"/>
      <c r="W34" s="134">
        <v>31</v>
      </c>
      <c r="X34" s="384">
        <f>dtsiswa!D37</f>
        <v>0</v>
      </c>
      <c r="Y34" s="385" t="str">
        <f t="shared" si="2"/>
        <v xml:space="preserve">    </v>
      </c>
      <c r="Z34" s="386" t="str">
        <f t="shared" si="1"/>
        <v xml:space="preserve">  </v>
      </c>
    </row>
    <row r="35" spans="1:26" ht="15.95" customHeight="1" x14ac:dyDescent="0.25">
      <c r="A35" s="134">
        <v>32</v>
      </c>
      <c r="B35" s="382">
        <f>dtsiswa!D38</f>
        <v>0</v>
      </c>
      <c r="C35" s="383">
        <f>agmki3!N226</f>
        <v>0</v>
      </c>
      <c r="D35" s="383">
        <f>agmki3!O226</f>
        <v>0</v>
      </c>
      <c r="E35" s="383">
        <f>agmki3!P226</f>
        <v>0</v>
      </c>
      <c r="F35" s="383">
        <f>agmki3!Q226</f>
        <v>0</v>
      </c>
      <c r="G35" s="383">
        <f>agmki3!R226</f>
        <v>0</v>
      </c>
      <c r="H35" s="383">
        <f>agmki3!S226</f>
        <v>0</v>
      </c>
      <c r="I35" s="467" t="str">
        <f t="shared" si="0"/>
        <v xml:space="preserve">  </v>
      </c>
      <c r="K35" s="134">
        <v>32</v>
      </c>
      <c r="L35" s="382">
        <f>dtsiswa!D38</f>
        <v>0</v>
      </c>
      <c r="M35" s="383">
        <f>agki_4!AA320</f>
        <v>0</v>
      </c>
      <c r="N35" s="383">
        <f>agki_4!AB320</f>
        <v>0</v>
      </c>
      <c r="O35" s="383">
        <f>agki_4!AC320</f>
        <v>0</v>
      </c>
      <c r="P35" s="383">
        <f>agki_4!AD320</f>
        <v>0</v>
      </c>
      <c r="Q35" s="383">
        <f>agki_4!AE320</f>
        <v>0</v>
      </c>
      <c r="R35" s="383">
        <f>agki_4!AF320</f>
        <v>0</v>
      </c>
      <c r="S35" s="383">
        <f>agki_4!AG320</f>
        <v>0</v>
      </c>
      <c r="T35" s="383">
        <f>agki_4!AH320</f>
        <v>0</v>
      </c>
      <c r="U35" s="383">
        <f>agki_4!AI320</f>
        <v>0</v>
      </c>
      <c r="V35" s="744"/>
      <c r="W35" s="134">
        <v>32</v>
      </c>
      <c r="X35" s="384">
        <f>dtsiswa!D38</f>
        <v>0</v>
      </c>
      <c r="Y35" s="385" t="str">
        <f t="shared" si="2"/>
        <v xml:space="preserve">    </v>
      </c>
      <c r="Z35" s="386" t="str">
        <f t="shared" si="1"/>
        <v xml:space="preserve">  </v>
      </c>
    </row>
    <row r="36" spans="1:26" ht="15.95" customHeight="1" x14ac:dyDescent="0.25">
      <c r="A36" s="134">
        <v>33</v>
      </c>
      <c r="B36" s="382">
        <f>dtsiswa!D39</f>
        <v>0</v>
      </c>
      <c r="C36" s="383">
        <f>agmki3!N233</f>
        <v>0</v>
      </c>
      <c r="D36" s="383">
        <f>agmki3!O233</f>
        <v>0</v>
      </c>
      <c r="E36" s="383">
        <f>agmki3!P233</f>
        <v>0</v>
      </c>
      <c r="F36" s="383">
        <f>agmki3!Q233</f>
        <v>0</v>
      </c>
      <c r="G36" s="383">
        <f>agmki3!R233</f>
        <v>0</v>
      </c>
      <c r="H36" s="383">
        <f>agmki3!S233</f>
        <v>0</v>
      </c>
      <c r="I36" s="467" t="str">
        <f t="shared" si="0"/>
        <v xml:space="preserve">  </v>
      </c>
      <c r="K36" s="134">
        <v>33</v>
      </c>
      <c r="L36" s="382">
        <f>dtsiswa!D39</f>
        <v>0</v>
      </c>
      <c r="M36" s="383">
        <f>agki_4!AA330</f>
        <v>0</v>
      </c>
      <c r="N36" s="383">
        <f>agki_4!AB330</f>
        <v>0</v>
      </c>
      <c r="O36" s="383">
        <f>agki_4!AC330</f>
        <v>0</v>
      </c>
      <c r="P36" s="383">
        <f>agki_4!AD330</f>
        <v>0</v>
      </c>
      <c r="Q36" s="383">
        <f>agki_4!AE330</f>
        <v>0</v>
      </c>
      <c r="R36" s="383">
        <f>agki_4!AF330</f>
        <v>0</v>
      </c>
      <c r="S36" s="383">
        <f>agki_4!AG330</f>
        <v>0</v>
      </c>
      <c r="T36" s="383">
        <f>agki_4!AH330</f>
        <v>0</v>
      </c>
      <c r="U36" s="383">
        <f>agki_4!AI330</f>
        <v>0</v>
      </c>
      <c r="V36" s="744"/>
      <c r="W36" s="134">
        <v>33</v>
      </c>
      <c r="X36" s="384">
        <f>dtsiswa!D39</f>
        <v>0</v>
      </c>
      <c r="Y36" s="385" t="str">
        <f t="shared" si="2"/>
        <v xml:space="preserve">    </v>
      </c>
      <c r="Z36" s="386" t="str">
        <f t="shared" si="1"/>
        <v xml:space="preserve">  </v>
      </c>
    </row>
    <row r="37" spans="1:26" ht="15.95" customHeight="1" x14ac:dyDescent="0.25">
      <c r="A37" s="134">
        <v>34</v>
      </c>
      <c r="B37" s="382">
        <f>dtsiswa!D40</f>
        <v>0</v>
      </c>
      <c r="C37" s="383">
        <f>agmki3!N240</f>
        <v>0</v>
      </c>
      <c r="D37" s="383">
        <f>agmki3!O240</f>
        <v>0</v>
      </c>
      <c r="E37" s="383">
        <f>agmki3!P240</f>
        <v>0</v>
      </c>
      <c r="F37" s="383">
        <f>agmki3!Q240</f>
        <v>0</v>
      </c>
      <c r="G37" s="383">
        <f>agmki3!R240</f>
        <v>0</v>
      </c>
      <c r="H37" s="383">
        <f>agmki3!S240</f>
        <v>0</v>
      </c>
      <c r="I37" s="467" t="str">
        <f t="shared" si="0"/>
        <v xml:space="preserve">  </v>
      </c>
      <c r="K37" s="134">
        <v>34</v>
      </c>
      <c r="L37" s="382">
        <f>dtsiswa!D40</f>
        <v>0</v>
      </c>
      <c r="M37" s="383">
        <f>agki_4!AA340</f>
        <v>0</v>
      </c>
      <c r="N37" s="383">
        <f>agki_4!AB340</f>
        <v>0</v>
      </c>
      <c r="O37" s="383">
        <f>agki_4!AC340</f>
        <v>0</v>
      </c>
      <c r="P37" s="383">
        <f>agki_4!AD340</f>
        <v>0</v>
      </c>
      <c r="Q37" s="383">
        <f>agki_4!AE340</f>
        <v>0</v>
      </c>
      <c r="R37" s="383">
        <f>agki_4!AF340</f>
        <v>0</v>
      </c>
      <c r="S37" s="383">
        <f>agki_4!AG340</f>
        <v>0</v>
      </c>
      <c r="T37" s="383">
        <f>agki_4!AH340</f>
        <v>0</v>
      </c>
      <c r="U37" s="383">
        <f>agki_4!AI340</f>
        <v>0</v>
      </c>
      <c r="V37" s="744"/>
      <c r="W37" s="134">
        <v>34</v>
      </c>
      <c r="X37" s="384">
        <f>dtsiswa!D40</f>
        <v>0</v>
      </c>
      <c r="Y37" s="385" t="str">
        <f t="shared" si="2"/>
        <v xml:space="preserve">    </v>
      </c>
      <c r="Z37" s="386" t="str">
        <f t="shared" si="1"/>
        <v xml:space="preserve">  </v>
      </c>
    </row>
    <row r="38" spans="1:26" ht="15.95" customHeight="1" x14ac:dyDescent="0.25">
      <c r="A38" s="134">
        <v>35</v>
      </c>
      <c r="B38" s="382">
        <f>dtsiswa!D41</f>
        <v>0</v>
      </c>
      <c r="C38" s="383">
        <f>agmki3!N247</f>
        <v>0</v>
      </c>
      <c r="D38" s="383">
        <f>agmki3!O247</f>
        <v>0</v>
      </c>
      <c r="E38" s="383">
        <f>agmki3!P247</f>
        <v>0</v>
      </c>
      <c r="F38" s="383">
        <f>agmki3!Q247</f>
        <v>0</v>
      </c>
      <c r="G38" s="383">
        <f>agmki3!R247</f>
        <v>0</v>
      </c>
      <c r="H38" s="383">
        <f>agmki3!S247</f>
        <v>0</v>
      </c>
      <c r="I38" s="467" t="str">
        <f t="shared" si="0"/>
        <v xml:space="preserve">  </v>
      </c>
      <c r="K38" s="134">
        <v>35</v>
      </c>
      <c r="L38" s="382">
        <f>dtsiswa!D41</f>
        <v>0</v>
      </c>
      <c r="M38" s="383">
        <f>agki_4!AA350</f>
        <v>0</v>
      </c>
      <c r="N38" s="383">
        <f>agki_4!AB350</f>
        <v>0</v>
      </c>
      <c r="O38" s="383">
        <f>agki_4!AC350</f>
        <v>0</v>
      </c>
      <c r="P38" s="383">
        <f>agki_4!AD350</f>
        <v>0</v>
      </c>
      <c r="Q38" s="383">
        <f>agki_4!AE350</f>
        <v>0</v>
      </c>
      <c r="R38" s="383">
        <f>agki_4!AF350</f>
        <v>0</v>
      </c>
      <c r="S38" s="383">
        <f>agki_4!AG350</f>
        <v>0</v>
      </c>
      <c r="T38" s="383">
        <f>agki_4!AH350</f>
        <v>0</v>
      </c>
      <c r="U38" s="383">
        <f>agki_4!AI350</f>
        <v>0</v>
      </c>
      <c r="V38" s="744"/>
      <c r="W38" s="134">
        <v>35</v>
      </c>
      <c r="X38" s="384">
        <f>dtsiswa!D41</f>
        <v>0</v>
      </c>
      <c r="Y38" s="385" t="str">
        <f t="shared" si="2"/>
        <v xml:space="preserve">    </v>
      </c>
      <c r="Z38" s="386" t="str">
        <f t="shared" si="1"/>
        <v xml:space="preserve">  </v>
      </c>
    </row>
    <row r="39" spans="1:26" ht="15.95" customHeight="1" x14ac:dyDescent="0.25">
      <c r="A39" s="134">
        <v>36</v>
      </c>
      <c r="B39" s="382">
        <f>dtsiswa!D42</f>
        <v>0</v>
      </c>
      <c r="C39" s="383">
        <f>agmki3!N254</f>
        <v>0</v>
      </c>
      <c r="D39" s="383">
        <f>agmki3!O254</f>
        <v>0</v>
      </c>
      <c r="E39" s="383">
        <f>agmki3!P254</f>
        <v>0</v>
      </c>
      <c r="F39" s="383">
        <f>agmki3!Q254</f>
        <v>0</v>
      </c>
      <c r="G39" s="383">
        <f>agmki3!R254</f>
        <v>0</v>
      </c>
      <c r="H39" s="383">
        <f>agmki3!S254</f>
        <v>0</v>
      </c>
      <c r="I39" s="467" t="str">
        <f t="shared" si="0"/>
        <v xml:space="preserve">  </v>
      </c>
      <c r="K39" s="134">
        <v>36</v>
      </c>
      <c r="L39" s="382">
        <f>dtsiswa!D42</f>
        <v>0</v>
      </c>
      <c r="M39" s="383">
        <f>agki_4!AA360</f>
        <v>0</v>
      </c>
      <c r="N39" s="383">
        <f>agki_4!AB360</f>
        <v>0</v>
      </c>
      <c r="O39" s="383">
        <f>agki_4!AC360</f>
        <v>0</v>
      </c>
      <c r="P39" s="383">
        <f>agki_4!AD360</f>
        <v>0</v>
      </c>
      <c r="Q39" s="383">
        <f>agki_4!AE360</f>
        <v>0</v>
      </c>
      <c r="R39" s="383">
        <f>agki_4!AF360</f>
        <v>0</v>
      </c>
      <c r="S39" s="383">
        <f>agki_4!AG360</f>
        <v>0</v>
      </c>
      <c r="T39" s="383">
        <f>agki_4!AH360</f>
        <v>0</v>
      </c>
      <c r="U39" s="383">
        <f>agki_4!AI360</f>
        <v>0</v>
      </c>
      <c r="V39" s="744"/>
      <c r="W39" s="134">
        <v>36</v>
      </c>
      <c r="X39" s="384">
        <f>dtsiswa!D42</f>
        <v>0</v>
      </c>
      <c r="Y39" s="385" t="str">
        <f t="shared" si="2"/>
        <v xml:space="preserve">    </v>
      </c>
      <c r="Z39" s="386" t="str">
        <f t="shared" si="1"/>
        <v xml:space="preserve">  </v>
      </c>
    </row>
    <row r="40" spans="1:26" ht="15.95" customHeight="1" x14ac:dyDescent="0.25">
      <c r="A40" s="134">
        <v>37</v>
      </c>
      <c r="B40" s="382">
        <f>dtsiswa!D51</f>
        <v>0</v>
      </c>
      <c r="C40" s="383">
        <f>agmki3!N261</f>
        <v>0</v>
      </c>
      <c r="D40" s="383">
        <f>agmki3!O261</f>
        <v>0</v>
      </c>
      <c r="E40" s="383">
        <f>agmki3!P261</f>
        <v>0</v>
      </c>
      <c r="F40" s="383">
        <f>agmki3!Q261</f>
        <v>0</v>
      </c>
      <c r="G40" s="383">
        <f>agmki3!R261</f>
        <v>0</v>
      </c>
      <c r="H40" s="383">
        <f>agmki3!S261</f>
        <v>0</v>
      </c>
      <c r="I40" s="467" t="str">
        <f t="shared" si="0"/>
        <v xml:space="preserve">  </v>
      </c>
      <c r="K40" s="134">
        <v>37</v>
      </c>
      <c r="L40" s="382">
        <f>dtsiswa!D51</f>
        <v>0</v>
      </c>
      <c r="M40" s="383">
        <f>agki_4!AA370</f>
        <v>0</v>
      </c>
      <c r="N40" s="383">
        <f>agki_4!AB370</f>
        <v>0</v>
      </c>
      <c r="O40" s="383">
        <f>agki_4!AC370</f>
        <v>0</v>
      </c>
      <c r="P40" s="383">
        <f>agki_4!AD370</f>
        <v>0</v>
      </c>
      <c r="Q40" s="383">
        <f>agki_4!AE370</f>
        <v>0</v>
      </c>
      <c r="R40" s="383">
        <f>agki_4!AF370</f>
        <v>0</v>
      </c>
      <c r="S40" s="383">
        <f>agki_4!AG370</f>
        <v>0</v>
      </c>
      <c r="T40" s="383">
        <f>agki_4!AH370</f>
        <v>0</v>
      </c>
      <c r="U40" s="383">
        <f>agki_4!AI370</f>
        <v>0</v>
      </c>
      <c r="V40" s="744"/>
      <c r="W40" s="134">
        <v>37</v>
      </c>
      <c r="X40" s="384">
        <f>dtsiswa!D51</f>
        <v>0</v>
      </c>
      <c r="Y40" s="385" t="str">
        <f t="shared" si="2"/>
        <v xml:space="preserve">    </v>
      </c>
      <c r="Z40" s="386" t="str">
        <f t="shared" si="1"/>
        <v xml:space="preserve">  </v>
      </c>
    </row>
    <row r="41" spans="1:26" ht="15.95" customHeight="1" x14ac:dyDescent="0.25">
      <c r="A41" s="134">
        <v>38</v>
      </c>
      <c r="B41" s="382">
        <f>dtsiswa!D44</f>
        <v>0</v>
      </c>
      <c r="C41" s="383">
        <f>agmki3!N268</f>
        <v>0</v>
      </c>
      <c r="D41" s="383">
        <f>agmki3!O268</f>
        <v>0</v>
      </c>
      <c r="E41" s="383">
        <f>agmki3!P268</f>
        <v>0</v>
      </c>
      <c r="F41" s="383">
        <f>agmki3!Q268</f>
        <v>0</v>
      </c>
      <c r="G41" s="383">
        <f>agmki3!R268</f>
        <v>0</v>
      </c>
      <c r="H41" s="383">
        <f>agmki3!S268</f>
        <v>0</v>
      </c>
      <c r="I41" s="467" t="str">
        <f t="shared" si="0"/>
        <v xml:space="preserve">  </v>
      </c>
      <c r="K41" s="134">
        <v>38</v>
      </c>
      <c r="L41" s="382">
        <f>dtsiswa!D44</f>
        <v>0</v>
      </c>
      <c r="M41" s="383">
        <f>agki_4!AA380</f>
        <v>0</v>
      </c>
      <c r="N41" s="383">
        <f>agki_4!AB380</f>
        <v>0</v>
      </c>
      <c r="O41" s="383">
        <f>agki_4!AC380</f>
        <v>0</v>
      </c>
      <c r="P41" s="383">
        <f>agki_4!AD380</f>
        <v>0</v>
      </c>
      <c r="Q41" s="383">
        <f>agki_4!AE380</f>
        <v>0</v>
      </c>
      <c r="R41" s="383">
        <f>agki_4!AF380</f>
        <v>0</v>
      </c>
      <c r="S41" s="383">
        <f>agki_4!AG380</f>
        <v>0</v>
      </c>
      <c r="T41" s="383">
        <f>agki_4!AH380</f>
        <v>0</v>
      </c>
      <c r="U41" s="383">
        <f>agki_4!AI380</f>
        <v>0</v>
      </c>
      <c r="V41" s="744"/>
      <c r="W41" s="134">
        <v>38</v>
      </c>
      <c r="X41" s="384">
        <f>dtsiswa!D44</f>
        <v>0</v>
      </c>
      <c r="Y41" s="385" t="str">
        <f t="shared" si="2"/>
        <v xml:space="preserve">    </v>
      </c>
      <c r="Z41" s="386" t="str">
        <f t="shared" si="1"/>
        <v xml:space="preserve">  </v>
      </c>
    </row>
    <row r="42" spans="1:26" ht="15.95" customHeight="1" x14ac:dyDescent="0.25">
      <c r="A42" s="134">
        <v>39</v>
      </c>
      <c r="B42" s="382">
        <f>dtsiswa!D45</f>
        <v>0</v>
      </c>
      <c r="C42" s="383">
        <f>agmki3!N275</f>
        <v>0</v>
      </c>
      <c r="D42" s="383">
        <f>agmki3!O275</f>
        <v>0</v>
      </c>
      <c r="E42" s="383">
        <f>agmki3!P275</f>
        <v>0</v>
      </c>
      <c r="F42" s="383">
        <f>agmki3!Q275</f>
        <v>0</v>
      </c>
      <c r="G42" s="383">
        <f>agmki3!R275</f>
        <v>0</v>
      </c>
      <c r="H42" s="383">
        <f>agmki3!S275</f>
        <v>0</v>
      </c>
      <c r="I42" s="467" t="str">
        <f t="shared" si="0"/>
        <v xml:space="preserve">  </v>
      </c>
      <c r="K42" s="134">
        <v>39</v>
      </c>
      <c r="L42" s="382">
        <f>dtsiswa!D45</f>
        <v>0</v>
      </c>
      <c r="M42" s="383">
        <f>agki_4!AA390</f>
        <v>0</v>
      </c>
      <c r="N42" s="383">
        <f>agki_4!AB390</f>
        <v>0</v>
      </c>
      <c r="O42" s="383">
        <f>agki_4!AC390</f>
        <v>0</v>
      </c>
      <c r="P42" s="383">
        <f>agki_4!AD390</f>
        <v>0</v>
      </c>
      <c r="Q42" s="383">
        <f>agki_4!AE390</f>
        <v>0</v>
      </c>
      <c r="R42" s="383">
        <f>agki_4!AF390</f>
        <v>0</v>
      </c>
      <c r="S42" s="383">
        <f>agki_4!AG390</f>
        <v>0</v>
      </c>
      <c r="T42" s="383">
        <f>agki_4!AH390</f>
        <v>0</v>
      </c>
      <c r="U42" s="383">
        <f>agki_4!AI390</f>
        <v>0</v>
      </c>
      <c r="V42" s="744"/>
      <c r="W42" s="134">
        <v>39</v>
      </c>
      <c r="X42" s="384">
        <f>dtsiswa!D45</f>
        <v>0</v>
      </c>
      <c r="Y42" s="385" t="str">
        <f t="shared" si="2"/>
        <v xml:space="preserve">    </v>
      </c>
      <c r="Z42" s="386" t="str">
        <f t="shared" si="1"/>
        <v xml:space="preserve">  </v>
      </c>
    </row>
    <row r="43" spans="1:26" ht="15.95" customHeight="1" x14ac:dyDescent="0.25">
      <c r="A43" s="134">
        <v>40</v>
      </c>
      <c r="B43" s="382">
        <f>dtsiswa!D46</f>
        <v>0</v>
      </c>
      <c r="C43" s="383">
        <f>agmki3!N282</f>
        <v>0</v>
      </c>
      <c r="D43" s="383">
        <f>agmki3!O282</f>
        <v>0</v>
      </c>
      <c r="E43" s="383">
        <f>agmki3!P282</f>
        <v>0</v>
      </c>
      <c r="F43" s="383">
        <f>agmki3!Q282</f>
        <v>0</v>
      </c>
      <c r="G43" s="383">
        <f>agmki3!R282</f>
        <v>0</v>
      </c>
      <c r="H43" s="383">
        <f>agmki3!S282</f>
        <v>0</v>
      </c>
      <c r="I43" s="467" t="str">
        <f>IF(OR(C51=3,C51=4),VLOOKUP(C51,DEs_KI3_AGM,2,FALSE),IF(OR(D51=3,D51=4),VLOOKUP(D51,DEs_KI3_AGM,3,FALSE),IF(OR(E51=3,E51=4),VLOOKUP(E51,DEs_KI3_AGM,4,FALSE),IF(OR(F51=3,F51=4),VLOOKUP(F51,DEs_KI3_AGM,5,FALSE),IF(OR(G51=3,G51=4),VLOOKUP(G51,DEs_KI3_AGM,6,FALSE),IF(OR(H51=3,H51=4),VLOOKUP(H51,DEs_KI3_AGM,7,FALSE),"  "))))))</f>
        <v xml:space="preserve">Baik dalam Mengetahui Q.S. al-Falaq, al-Ma‘µn dan al-Fiil dengan baik dan benar. </v>
      </c>
      <c r="K43" s="134">
        <v>40</v>
      </c>
      <c r="L43" s="382">
        <f>dtsiswa!D46</f>
        <v>0</v>
      </c>
      <c r="M43" s="383">
        <f>agki_4!AA400</f>
        <v>0</v>
      </c>
      <c r="N43" s="383">
        <f>agki_4!AB400</f>
        <v>3</v>
      </c>
      <c r="O43" s="383">
        <f>agki_4!AC400</f>
        <v>0</v>
      </c>
      <c r="P43" s="383">
        <f>agki_4!AD400</f>
        <v>0</v>
      </c>
      <c r="Q43" s="383">
        <f>agki_4!AE400</f>
        <v>0</v>
      </c>
      <c r="R43" s="383">
        <f>agki_4!AF400</f>
        <v>0</v>
      </c>
      <c r="S43" s="383">
        <f>agki_4!AG400</f>
        <v>0</v>
      </c>
      <c r="T43" s="383">
        <f>agki_4!AH400</f>
        <v>0</v>
      </c>
      <c r="U43" s="383">
        <f>agki_4!AI400</f>
        <v>0</v>
      </c>
      <c r="V43" s="744" t="str">
        <f>IF(OR(M51=3,M51=4),VLOOKUP(M51,des_KI4_agm,2,FALSE),IF(OR(N51=3,N51=4),VLOOKUP(N51,des_KI4_agm,3,FALSE),IF(OR(O51=3,O51=4),VLOOKUP(O51,des_KI4_agm,4,FALSE),IF(OR(P51=3,P51=4),VLOOKUP(P51,des_KI4_agm,5,FALSE),IF(OR(Q51=3,Q51=4),VLOOKUP(Q51,des_KI4_agm,6,FALSE),IF(OR(R51=3,R51=4),VLOOKUP(R51,des_KI4_agm,7,FALSE),IF(OR(S51=3,S51=4),VLOOKUP(S51,des_KI4_agm,8,FALSE),IF(OR(T51=3,T51=4),VLOOKUP(T51,des_KI4_agm,9,FALSE),IF(OR(U51=3,U51=4),VLOOKUP(U51,des_KI4_agm,10,FALSE),"  ")))))))))</f>
        <v xml:space="preserve">Baik dalam Mencontohkan sikap rendah hati sebagai implementasi dari pemahaman al-Isra’/17:37. </v>
      </c>
      <c r="W43" s="134">
        <v>40</v>
      </c>
      <c r="X43" s="384">
        <f>dtsiswa!D46</f>
        <v>0</v>
      </c>
      <c r="Y43" s="385" t="str">
        <f>IFERROR(CONCATENATE(I51,I90),"  ")</f>
        <v xml:space="preserve">Baik dalam Mengetahui Q.S. al-Falaq, al-Ma‘µn dan al-Fiil dengan baik dan benar.   </v>
      </c>
      <c r="Z43" s="386" t="str">
        <f>CONCATENATE(V51,V90)</f>
        <v xml:space="preserve">Baik dalam Mencontohkan sikap rendah hati sebagai implementasi dari pemahaman al-Isra’/17:37.   </v>
      </c>
    </row>
    <row r="44" spans="1:26" ht="21" x14ac:dyDescent="0.35">
      <c r="A44" s="388">
        <v>1</v>
      </c>
      <c r="B44" s="389">
        <v>2</v>
      </c>
      <c r="C44" s="388">
        <v>3</v>
      </c>
      <c r="D44" s="389">
        <v>4</v>
      </c>
      <c r="E44" s="388">
        <v>5</v>
      </c>
      <c r="F44" s="389">
        <v>6</v>
      </c>
      <c r="G44" s="388">
        <v>7</v>
      </c>
      <c r="H44" s="389">
        <v>8</v>
      </c>
      <c r="I44" s="391">
        <v>11</v>
      </c>
      <c r="J44" s="389">
        <v>12</v>
      </c>
      <c r="K44" s="388">
        <v>13</v>
      </c>
      <c r="L44" s="389">
        <v>14</v>
      </c>
      <c r="M44" s="388">
        <v>15</v>
      </c>
      <c r="N44" s="389">
        <v>16</v>
      </c>
      <c r="O44" s="388">
        <v>17</v>
      </c>
      <c r="P44" s="389">
        <v>18</v>
      </c>
      <c r="Q44" s="388">
        <v>19</v>
      </c>
      <c r="R44" s="389">
        <v>20</v>
      </c>
      <c r="S44" s="388">
        <v>21</v>
      </c>
      <c r="T44" s="389">
        <v>22</v>
      </c>
      <c r="U44" s="388">
        <v>23</v>
      </c>
      <c r="V44" s="391">
        <v>25</v>
      </c>
      <c r="W44" s="389">
        <v>26</v>
      </c>
      <c r="X44" s="388">
        <v>27</v>
      </c>
      <c r="Y44" s="392">
        <v>28</v>
      </c>
      <c r="Z44" s="393">
        <v>29</v>
      </c>
    </row>
    <row r="45" spans="1:26" x14ac:dyDescent="0.25">
      <c r="K45" s="373"/>
      <c r="L45" s="373"/>
      <c r="M45" s="373"/>
      <c r="N45" s="373"/>
      <c r="O45" s="373"/>
      <c r="P45" s="373"/>
      <c r="Q45" s="373"/>
      <c r="R45" s="373"/>
      <c r="S45" s="373"/>
      <c r="T45" s="373"/>
      <c r="U45" s="373"/>
      <c r="V45" s="373"/>
    </row>
    <row r="46" spans="1:26" x14ac:dyDescent="0.25">
      <c r="J46" s="364"/>
      <c r="K46" s="373"/>
      <c r="L46" s="373"/>
      <c r="M46" s="373"/>
      <c r="N46" s="373"/>
      <c r="O46" s="373"/>
      <c r="P46" s="373"/>
      <c r="Q46" s="373"/>
      <c r="R46" s="373"/>
      <c r="S46" s="373"/>
      <c r="T46" s="373"/>
      <c r="U46" s="373"/>
      <c r="V46" s="373"/>
    </row>
    <row r="47" spans="1:26" x14ac:dyDescent="0.25">
      <c r="A47" s="373"/>
      <c r="B47" s="373"/>
      <c r="C47" s="373"/>
      <c r="D47" s="373"/>
      <c r="E47" s="373"/>
      <c r="F47" s="373"/>
      <c r="G47" s="373"/>
      <c r="H47" s="373"/>
      <c r="I47" s="373"/>
      <c r="J47" s="364"/>
      <c r="K47" s="373"/>
      <c r="L47" s="373"/>
      <c r="M47" s="373"/>
      <c r="N47" s="373"/>
      <c r="O47" s="373"/>
      <c r="P47" s="373"/>
      <c r="Q47" s="373"/>
      <c r="R47" s="373"/>
      <c r="S47" s="373"/>
      <c r="T47" s="373"/>
      <c r="U47" s="373"/>
      <c r="V47" s="373"/>
    </row>
    <row r="48" spans="1:26" ht="23.25" x14ac:dyDescent="0.35">
      <c r="A48" s="2907" t="s">
        <v>619</v>
      </c>
      <c r="B48" s="2907"/>
      <c r="C48" s="2907"/>
      <c r="D48" s="2907"/>
      <c r="E48" s="2907"/>
      <c r="F48" s="2907"/>
      <c r="G48" s="2907"/>
      <c r="H48" s="2907"/>
      <c r="I48" s="373"/>
      <c r="J48" s="364"/>
      <c r="K48" s="2907" t="s">
        <v>619</v>
      </c>
      <c r="L48" s="2907"/>
      <c r="M48" s="2907"/>
      <c r="N48" s="2907"/>
      <c r="O48" s="373"/>
      <c r="P48" s="373"/>
      <c r="Q48" s="373"/>
      <c r="R48" s="373"/>
      <c r="S48" s="373"/>
      <c r="T48" s="373"/>
      <c r="U48" s="162"/>
      <c r="V48" s="373"/>
    </row>
    <row r="49" spans="1:22" ht="26.25" x14ac:dyDescent="0.4">
      <c r="A49" s="396" t="s">
        <v>148</v>
      </c>
      <c r="B49" s="373"/>
      <c r="C49" s="373"/>
      <c r="D49" s="373"/>
      <c r="E49" s="373"/>
      <c r="F49" s="373"/>
      <c r="G49" s="373"/>
      <c r="H49" s="373"/>
      <c r="I49" s="373"/>
      <c r="J49" s="364"/>
      <c r="K49" s="376" t="s">
        <v>175</v>
      </c>
      <c r="L49" s="373"/>
      <c r="M49" s="373"/>
      <c r="N49" s="373"/>
      <c r="O49" s="373"/>
      <c r="P49" s="373"/>
      <c r="Q49" s="373"/>
      <c r="R49" s="373"/>
      <c r="S49" s="373"/>
      <c r="T49" s="373"/>
      <c r="U49" s="373"/>
      <c r="V49" s="373"/>
    </row>
    <row r="50" spans="1:22" ht="37.5" customHeight="1" x14ac:dyDescent="0.25">
      <c r="A50" s="397" t="s">
        <v>0</v>
      </c>
      <c r="B50" s="397" t="s">
        <v>1</v>
      </c>
      <c r="C50" s="970" t="s">
        <v>7</v>
      </c>
      <c r="D50" s="891" t="s">
        <v>18</v>
      </c>
      <c r="E50" s="891" t="s">
        <v>179</v>
      </c>
      <c r="F50" s="891" t="s">
        <v>180</v>
      </c>
      <c r="G50" s="891" t="s">
        <v>19</v>
      </c>
      <c r="H50" s="891" t="s">
        <v>181</v>
      </c>
      <c r="I50" s="236" t="s">
        <v>138</v>
      </c>
      <c r="J50" s="364"/>
      <c r="K50" s="305" t="s">
        <v>0</v>
      </c>
      <c r="L50" s="305" t="s">
        <v>1</v>
      </c>
      <c r="M50" s="971" t="s">
        <v>155</v>
      </c>
      <c r="N50" s="972" t="s">
        <v>606</v>
      </c>
      <c r="O50" s="972" t="s">
        <v>607</v>
      </c>
      <c r="P50" s="972" t="s">
        <v>603</v>
      </c>
      <c r="Q50" s="972" t="s">
        <v>604</v>
      </c>
      <c r="R50" s="972" t="s">
        <v>605</v>
      </c>
      <c r="S50" s="972" t="s">
        <v>187</v>
      </c>
      <c r="T50" s="972" t="s">
        <v>17</v>
      </c>
      <c r="U50" s="971" t="s">
        <v>22</v>
      </c>
      <c r="V50" s="152" t="s">
        <v>138</v>
      </c>
    </row>
    <row r="51" spans="1:22" ht="15.75" x14ac:dyDescent="0.25">
      <c r="A51" s="134">
        <v>1</v>
      </c>
      <c r="B51" s="382" t="str">
        <f>dtsiswa!D7</f>
        <v>Achmad Zacky</v>
      </c>
      <c r="C51" s="387">
        <f>agmki3!T9</f>
        <v>0</v>
      </c>
      <c r="D51" s="1163">
        <f>agmki3!U9</f>
        <v>0</v>
      </c>
      <c r="E51" s="1163">
        <f>agmki3!V9</f>
        <v>3</v>
      </c>
      <c r="F51" s="1163">
        <f>agmki3!W9</f>
        <v>0</v>
      </c>
      <c r="G51" s="1163">
        <f>agmki3!X9</f>
        <v>0</v>
      </c>
      <c r="H51" s="1163">
        <f>agmki3!Y9</f>
        <v>0</v>
      </c>
      <c r="I51" s="398" t="str">
        <f t="shared" ref="I51:I90" si="3">IF(OR(C51=2,C51=3),VLOOKUP(C51,DEs_KI3_AGM,2,FALSE),IF(OR(D51=2,D51=3),VLOOKUP(D51,DEs_KI3_AGM,3,FALSE),IF(OR(E51=2,E51=3),VLOOKUP(E51,DEs_KI3_AGM,4,FALSE),IF(OR(F51=2,F51=3),VLOOKUP(F51,DEs_KI3_AGM,5,FALSE),IF(OR(G51=2,G51=3),VLOOKUP(G51,DEs_KI3_AGM,6,FALSE),IF(OR(H51=2,H51=3),VLOOKUP(H51,DEs_KI3_AGM,7,FALSE),"  "))))))</f>
        <v xml:space="preserve">Baik dalam Mengetahui Q.S. al-Falaq, al-Ma‘µn dan al-Fiil dengan baik dan benar. </v>
      </c>
      <c r="J51" s="387" t="e">
        <f>VLOOKUP($A$51,Ragm_ki3,29,FALSE)</f>
        <v>#NAME?</v>
      </c>
      <c r="K51" s="134">
        <v>1</v>
      </c>
      <c r="L51" s="382" t="str">
        <f>dtsiswa!D7</f>
        <v>Achmad Zacky</v>
      </c>
      <c r="M51" s="1800">
        <f>agki_4!AJ10</f>
        <v>0</v>
      </c>
      <c r="N51" s="1800">
        <f>agki_4!AK10</f>
        <v>0</v>
      </c>
      <c r="O51" s="1800">
        <f>agki_4!AL10</f>
        <v>0</v>
      </c>
      <c r="P51" s="1800">
        <f>agki_4!AM10</f>
        <v>0</v>
      </c>
      <c r="Q51" s="1800">
        <f>agki_4!AN10</f>
        <v>0</v>
      </c>
      <c r="R51" s="1800">
        <f>agki_4!AO10</f>
        <v>0</v>
      </c>
      <c r="S51" s="1800">
        <f>agki_4!AP10</f>
        <v>3</v>
      </c>
      <c r="T51" s="1800">
        <f>agki_4!AQ10</f>
        <v>0</v>
      </c>
      <c r="U51" s="1800">
        <f>agki_4!AR10</f>
        <v>0</v>
      </c>
      <c r="V51" s="743" t="str">
        <f t="shared" ref="V51:V90" si="4">IF(OR(M51=3,M51=4),VLOOKUP(M51,des_KI4_agm,2,FALSE),IF(OR(N51=3,N51=4),VLOOKUP(N51,des_KI4_agm,3,FALSE),IF(OR(O51=3,O51=4),VLOOKUP(O51,des_KI4_agm,4,FALSE),IF(OR(P51=3,P51=4),VLOOKUP(P51,des_KI4_agm,5,FALSE),IF(OR(Q51=3,Q51=4),VLOOKUP(Q51,des_KI4_agm,6,FALSE),IF(OR(R51=3,R51=4),VLOOKUP(R51,des_KI4_agm,7,FALSE),IF(OR(S51=3,S51=4),VLOOKUP(S51,des_KI4_agm,8,FALSE),IF(OR(T51=3,T51=4),VLOOKUP(T51,des_KI4_agm,9,FALSE),IF(OR(U51=3,U51=4),VLOOKUP(U51,des_KI4_agm,10,FALSE),"  ")))))))))</f>
        <v xml:space="preserve">Baik dalam Mencontohkan sikap rendah hati sebagai implementasi dari pemahaman al-Isra’/17:37. </v>
      </c>
    </row>
    <row r="52" spans="1:22" ht="15.75" x14ac:dyDescent="0.25">
      <c r="A52" s="134">
        <v>2</v>
      </c>
      <c r="B52" s="382" t="str">
        <f>dtsiswa!D8</f>
        <v>Angelia Vabel R</v>
      </c>
      <c r="C52" s="387">
        <f>agmki3!T16</f>
        <v>0</v>
      </c>
      <c r="D52" s="1163">
        <f>agmki3!U16</f>
        <v>0</v>
      </c>
      <c r="E52" s="1163">
        <f>agmki3!V16</f>
        <v>0</v>
      </c>
      <c r="F52" s="1163">
        <f>agmki3!W16</f>
        <v>0</v>
      </c>
      <c r="G52" s="1163">
        <f>agmki3!X16</f>
        <v>0</v>
      </c>
      <c r="H52" s="1163">
        <f>agmki3!Y16</f>
        <v>0</v>
      </c>
      <c r="I52" s="398" t="str">
        <f t="shared" si="3"/>
        <v xml:space="preserve">  </v>
      </c>
      <c r="K52" s="387">
        <v>2</v>
      </c>
      <c r="L52" s="382" t="str">
        <f>dtsiswa!D8</f>
        <v>Angelia Vabel R</v>
      </c>
      <c r="M52" s="1800">
        <f>agki_4!AJ20</f>
        <v>0</v>
      </c>
      <c r="N52" s="1800">
        <f>agki_4!AK20</f>
        <v>0</v>
      </c>
      <c r="O52" s="1800">
        <f>agki_4!AL20</f>
        <v>0</v>
      </c>
      <c r="P52" s="1800">
        <f>agki_4!AM20</f>
        <v>0</v>
      </c>
      <c r="Q52" s="1800">
        <f>agki_4!AN20</f>
        <v>0</v>
      </c>
      <c r="R52" s="1800">
        <f>agki_4!AO20</f>
        <v>0</v>
      </c>
      <c r="S52" s="1800">
        <f>agki_4!AP20</f>
        <v>0</v>
      </c>
      <c r="T52" s="1800">
        <f>agki_4!AQ20</f>
        <v>0</v>
      </c>
      <c r="U52" s="1800">
        <f>agki_4!AR20</f>
        <v>0</v>
      </c>
      <c r="V52" s="743" t="str">
        <f t="shared" si="4"/>
        <v xml:space="preserve">  </v>
      </c>
    </row>
    <row r="53" spans="1:22" ht="15.75" x14ac:dyDescent="0.25">
      <c r="A53" s="134">
        <v>3</v>
      </c>
      <c r="B53" s="382" t="str">
        <f>dtsiswa!D9</f>
        <v>Anggun Dwi P.I</v>
      </c>
      <c r="C53" s="387">
        <f>agmki3!T23</f>
        <v>0</v>
      </c>
      <c r="D53" s="1163">
        <f>agmki3!U23</f>
        <v>0</v>
      </c>
      <c r="E53" s="1163">
        <f>agmki3!V23</f>
        <v>0</v>
      </c>
      <c r="F53" s="1163">
        <f>agmki3!W23</f>
        <v>0</v>
      </c>
      <c r="G53" s="1163">
        <f>agmki3!X23</f>
        <v>0</v>
      </c>
      <c r="H53" s="1163">
        <f>agmki3!Y23</f>
        <v>0</v>
      </c>
      <c r="I53" s="398" t="str">
        <f t="shared" si="3"/>
        <v xml:space="preserve">  </v>
      </c>
      <c r="K53" s="134">
        <v>3</v>
      </c>
      <c r="L53" s="382" t="str">
        <f>dtsiswa!D9</f>
        <v>Anggun Dwi P.I</v>
      </c>
      <c r="M53" s="1800">
        <f>agki_4!AJ30</f>
        <v>0</v>
      </c>
      <c r="N53" s="1800">
        <f>agki_4!AK30</f>
        <v>0</v>
      </c>
      <c r="O53" s="1800">
        <f>agki_4!AL30</f>
        <v>0</v>
      </c>
      <c r="P53" s="1800">
        <f>agki_4!AM30</f>
        <v>0</v>
      </c>
      <c r="Q53" s="1800">
        <f>agki_4!AN30</f>
        <v>0</v>
      </c>
      <c r="R53" s="1800">
        <f>agki_4!AO30</f>
        <v>0</v>
      </c>
      <c r="S53" s="1800">
        <f>agki_4!AP30</f>
        <v>0</v>
      </c>
      <c r="T53" s="1800">
        <f>agki_4!AQ30</f>
        <v>0</v>
      </c>
      <c r="U53" s="1800">
        <f>agki_4!AR30</f>
        <v>0</v>
      </c>
      <c r="V53" s="743" t="str">
        <f t="shared" si="4"/>
        <v xml:space="preserve">  </v>
      </c>
    </row>
    <row r="54" spans="1:22" ht="15.75" x14ac:dyDescent="0.25">
      <c r="A54" s="134">
        <v>4</v>
      </c>
      <c r="B54" s="382" t="str">
        <f>dtsiswa!D10</f>
        <v>Antonio Permata A</v>
      </c>
      <c r="C54" s="387">
        <f>agmki3!T30</f>
        <v>0</v>
      </c>
      <c r="D54" s="1163">
        <f>agmki3!U30</f>
        <v>0</v>
      </c>
      <c r="E54" s="1163">
        <f>agmki3!V30</f>
        <v>0</v>
      </c>
      <c r="F54" s="1163">
        <f>agmki3!W30</f>
        <v>0</v>
      </c>
      <c r="G54" s="1163">
        <f>agmki3!X30</f>
        <v>0</v>
      </c>
      <c r="H54" s="1163">
        <f>agmki3!Y30</f>
        <v>0</v>
      </c>
      <c r="I54" s="398" t="str">
        <f t="shared" si="3"/>
        <v xml:space="preserve">  </v>
      </c>
      <c r="K54" s="387">
        <v>4</v>
      </c>
      <c r="L54" s="382" t="str">
        <f>dtsiswa!D10</f>
        <v>Antonio Permata A</v>
      </c>
      <c r="M54" s="1800">
        <f>agki_4!AJ40</f>
        <v>0</v>
      </c>
      <c r="N54" s="1800">
        <f>agki_4!AK40</f>
        <v>0</v>
      </c>
      <c r="O54" s="1800">
        <f>agki_4!AL40</f>
        <v>0</v>
      </c>
      <c r="P54" s="1800">
        <f>agki_4!AM40</f>
        <v>0</v>
      </c>
      <c r="Q54" s="1800">
        <f>agki_4!AN40</f>
        <v>0</v>
      </c>
      <c r="R54" s="1800">
        <f>agki_4!AO40</f>
        <v>0</v>
      </c>
      <c r="S54" s="1800">
        <f>agki_4!AP40</f>
        <v>0</v>
      </c>
      <c r="T54" s="1800">
        <f>agki_4!AQ40</f>
        <v>0</v>
      </c>
      <c r="U54" s="1800">
        <f>agki_4!AR40</f>
        <v>0</v>
      </c>
      <c r="V54" s="743" t="str">
        <f t="shared" si="4"/>
        <v xml:space="preserve">  </v>
      </c>
    </row>
    <row r="55" spans="1:22" ht="15.75" x14ac:dyDescent="0.25">
      <c r="A55" s="134">
        <v>5</v>
      </c>
      <c r="B55" s="382" t="str">
        <f>dtsiswa!D11</f>
        <v>Arya Pratama G</v>
      </c>
      <c r="C55" s="387">
        <f>agmki3!T37</f>
        <v>0</v>
      </c>
      <c r="D55" s="1163">
        <f>agmki3!U37</f>
        <v>0</v>
      </c>
      <c r="E55" s="1163">
        <f>agmki3!V37</f>
        <v>0</v>
      </c>
      <c r="F55" s="1163">
        <f>agmki3!W37</f>
        <v>0</v>
      </c>
      <c r="G55" s="1163">
        <f>agmki3!X37</f>
        <v>0</v>
      </c>
      <c r="H55" s="1163">
        <f>agmki3!Y37</f>
        <v>0</v>
      </c>
      <c r="I55" s="398" t="str">
        <f t="shared" si="3"/>
        <v xml:space="preserve">  </v>
      </c>
      <c r="K55" s="134">
        <v>5</v>
      </c>
      <c r="L55" s="382" t="str">
        <f>dtsiswa!D11</f>
        <v>Arya Pratama G</v>
      </c>
      <c r="M55" s="1800">
        <f>agki_4!AJ50</f>
        <v>0</v>
      </c>
      <c r="N55" s="1800">
        <f>agki_4!AK50</f>
        <v>0</v>
      </c>
      <c r="O55" s="1800">
        <f>agki_4!AL50</f>
        <v>0</v>
      </c>
      <c r="P55" s="1800">
        <f>agki_4!AM50</f>
        <v>0</v>
      </c>
      <c r="Q55" s="1800">
        <f>agki_4!AN50</f>
        <v>0</v>
      </c>
      <c r="R55" s="1800">
        <f>agki_4!AO50</f>
        <v>0</v>
      </c>
      <c r="S55" s="1800">
        <f>agki_4!AP50</f>
        <v>0</v>
      </c>
      <c r="T55" s="1800">
        <f>agki_4!AQ50</f>
        <v>0</v>
      </c>
      <c r="U55" s="1800">
        <f>agki_4!AR50</f>
        <v>0</v>
      </c>
      <c r="V55" s="743" t="str">
        <f t="shared" si="4"/>
        <v xml:space="preserve">  </v>
      </c>
    </row>
    <row r="56" spans="1:22" ht="15.75" x14ac:dyDescent="0.25">
      <c r="A56" s="134">
        <v>6</v>
      </c>
      <c r="B56" s="382" t="str">
        <f>dtsiswa!D12</f>
        <v>Asyam Hanif Ihsan H</v>
      </c>
      <c r="C56" s="387">
        <f>agmki3!T44</f>
        <v>0</v>
      </c>
      <c r="D56" s="1163">
        <f>agmki3!U44</f>
        <v>0</v>
      </c>
      <c r="E56" s="1163">
        <f>agmki3!V44</f>
        <v>0</v>
      </c>
      <c r="F56" s="1163">
        <f>agmki3!W44</f>
        <v>0</v>
      </c>
      <c r="G56" s="1163">
        <f>agmki3!X44</f>
        <v>0</v>
      </c>
      <c r="H56" s="1163">
        <f>agmki3!Y44</f>
        <v>0</v>
      </c>
      <c r="I56" s="398" t="str">
        <f t="shared" si="3"/>
        <v xml:space="preserve">  </v>
      </c>
      <c r="K56" s="387">
        <v>6</v>
      </c>
      <c r="L56" s="382" t="str">
        <f>dtsiswa!D12</f>
        <v>Asyam Hanif Ihsan H</v>
      </c>
      <c r="M56" s="1800">
        <f>agki_4!AJ60</f>
        <v>0</v>
      </c>
      <c r="N56" s="1800">
        <f>agki_4!AK60</f>
        <v>0</v>
      </c>
      <c r="O56" s="1800">
        <f>agki_4!AL60</f>
        <v>0</v>
      </c>
      <c r="P56" s="1800">
        <f>agki_4!AM60</f>
        <v>0</v>
      </c>
      <c r="Q56" s="1800">
        <f>agki_4!AN60</f>
        <v>0</v>
      </c>
      <c r="R56" s="1800">
        <f>agki_4!AO60</f>
        <v>0</v>
      </c>
      <c r="S56" s="1800">
        <f>agki_4!AP60</f>
        <v>0</v>
      </c>
      <c r="T56" s="1800">
        <f>agki_4!AQ60</f>
        <v>0</v>
      </c>
      <c r="U56" s="1800">
        <f>agki_4!AR60</f>
        <v>0</v>
      </c>
      <c r="V56" s="743" t="str">
        <f t="shared" si="4"/>
        <v xml:space="preserve">  </v>
      </c>
    </row>
    <row r="57" spans="1:22" ht="15.75" x14ac:dyDescent="0.25">
      <c r="A57" s="134">
        <v>7</v>
      </c>
      <c r="B57" s="382" t="str">
        <f>dtsiswa!D13</f>
        <v>Athaya Salsabilla Z</v>
      </c>
      <c r="C57" s="387">
        <f>agmki3!T51</f>
        <v>0</v>
      </c>
      <c r="D57" s="1163">
        <f>agmki3!U51</f>
        <v>0</v>
      </c>
      <c r="E57" s="1163">
        <f>agmki3!V51</f>
        <v>0</v>
      </c>
      <c r="F57" s="1163">
        <f>agmki3!W51</f>
        <v>0</v>
      </c>
      <c r="G57" s="1163">
        <f>agmki3!X51</f>
        <v>0</v>
      </c>
      <c r="H57" s="1163">
        <f>agmki3!Y51</f>
        <v>0</v>
      </c>
      <c r="I57" s="398" t="str">
        <f t="shared" si="3"/>
        <v xml:space="preserve">  </v>
      </c>
      <c r="K57" s="134">
        <v>7</v>
      </c>
      <c r="L57" s="382" t="str">
        <f>dtsiswa!D13</f>
        <v>Athaya Salsabilla Z</v>
      </c>
      <c r="M57" s="1800">
        <f>agki_4!AJ70</f>
        <v>0</v>
      </c>
      <c r="N57" s="1800">
        <f>agki_4!AK70</f>
        <v>0</v>
      </c>
      <c r="O57" s="1800">
        <f>agki_4!AL70</f>
        <v>0</v>
      </c>
      <c r="P57" s="1800">
        <f>agki_4!AM70</f>
        <v>0</v>
      </c>
      <c r="Q57" s="1800">
        <f>agki_4!AN70</f>
        <v>0</v>
      </c>
      <c r="R57" s="1800">
        <f>agki_4!AO70</f>
        <v>0</v>
      </c>
      <c r="S57" s="1800">
        <f>agki_4!AP70</f>
        <v>0</v>
      </c>
      <c r="T57" s="1800">
        <f>agki_4!AQ70</f>
        <v>0</v>
      </c>
      <c r="U57" s="1800">
        <f>agki_4!AR70</f>
        <v>0</v>
      </c>
      <c r="V57" s="743" t="str">
        <f t="shared" si="4"/>
        <v xml:space="preserve">  </v>
      </c>
    </row>
    <row r="58" spans="1:22" ht="15.75" x14ac:dyDescent="0.25">
      <c r="A58" s="134">
        <v>8</v>
      </c>
      <c r="B58" s="382" t="str">
        <f>dtsiswa!D14</f>
        <v>Aulia Dea Rosalinda</v>
      </c>
      <c r="C58" s="387">
        <f>agmki3!T58</f>
        <v>0</v>
      </c>
      <c r="D58" s="1163">
        <f>agmki3!U58</f>
        <v>0</v>
      </c>
      <c r="E58" s="1163">
        <f>agmki3!V58</f>
        <v>0</v>
      </c>
      <c r="F58" s="1163">
        <f>agmki3!W58</f>
        <v>0</v>
      </c>
      <c r="G58" s="1163">
        <f>agmki3!X58</f>
        <v>0</v>
      </c>
      <c r="H58" s="1163">
        <f>agmki3!Y58</f>
        <v>0</v>
      </c>
      <c r="I58" s="398" t="str">
        <f t="shared" si="3"/>
        <v xml:space="preserve">  </v>
      </c>
      <c r="K58" s="387">
        <v>8</v>
      </c>
      <c r="L58" s="382" t="str">
        <f>dtsiswa!D14</f>
        <v>Aulia Dea Rosalinda</v>
      </c>
      <c r="M58" s="1800">
        <f>agki_4!AJ80</f>
        <v>0</v>
      </c>
      <c r="N58" s="1800">
        <f>agki_4!AK80</f>
        <v>0</v>
      </c>
      <c r="O58" s="1800">
        <f>agki_4!AL80</f>
        <v>0</v>
      </c>
      <c r="P58" s="1800">
        <f>agki_4!AM80</f>
        <v>0</v>
      </c>
      <c r="Q58" s="1800">
        <f>agki_4!AN80</f>
        <v>0</v>
      </c>
      <c r="R58" s="1800">
        <f>agki_4!AO80</f>
        <v>0</v>
      </c>
      <c r="S58" s="1800">
        <f>agki_4!AP80</f>
        <v>0</v>
      </c>
      <c r="T58" s="1800">
        <f>agki_4!AQ80</f>
        <v>0</v>
      </c>
      <c r="U58" s="1800">
        <f>agki_4!AR80</f>
        <v>0</v>
      </c>
      <c r="V58" s="743" t="str">
        <f t="shared" si="4"/>
        <v xml:space="preserve">  </v>
      </c>
    </row>
    <row r="59" spans="1:22" ht="15.75" x14ac:dyDescent="0.25">
      <c r="A59" s="134">
        <v>9</v>
      </c>
      <c r="B59" s="382" t="str">
        <f>dtsiswa!D15</f>
        <v>Claudia Gabriella L</v>
      </c>
      <c r="C59" s="387">
        <f>agmki3!T65</f>
        <v>0</v>
      </c>
      <c r="D59" s="1163">
        <f>agmki3!U65</f>
        <v>0</v>
      </c>
      <c r="E59" s="1163">
        <f>agmki3!V65</f>
        <v>0</v>
      </c>
      <c r="F59" s="1163">
        <f>agmki3!W65</f>
        <v>0</v>
      </c>
      <c r="G59" s="1163">
        <f>agmki3!X65</f>
        <v>0</v>
      </c>
      <c r="H59" s="1163">
        <f>agmki3!Y65</f>
        <v>0</v>
      </c>
      <c r="I59" s="398" t="str">
        <f t="shared" si="3"/>
        <v xml:space="preserve">  </v>
      </c>
      <c r="K59" s="134">
        <v>9</v>
      </c>
      <c r="L59" s="382" t="str">
        <f>dtsiswa!D15</f>
        <v>Claudia Gabriella L</v>
      </c>
      <c r="M59" s="1800">
        <f>agki_4!AJ90</f>
        <v>0</v>
      </c>
      <c r="N59" s="1800">
        <f>agki_4!AK90</f>
        <v>0</v>
      </c>
      <c r="O59" s="1800">
        <f>agki_4!AL90</f>
        <v>0</v>
      </c>
      <c r="P59" s="1800">
        <f>agki_4!AM90</f>
        <v>0</v>
      </c>
      <c r="Q59" s="1800">
        <f>agki_4!AN90</f>
        <v>0</v>
      </c>
      <c r="R59" s="1800">
        <f>agki_4!AO90</f>
        <v>0</v>
      </c>
      <c r="S59" s="1800">
        <f>agki_4!AP90</f>
        <v>0</v>
      </c>
      <c r="T59" s="1800">
        <f>agki_4!AQ90</f>
        <v>0</v>
      </c>
      <c r="U59" s="1800">
        <f>agki_4!AR90</f>
        <v>0</v>
      </c>
      <c r="V59" s="743" t="str">
        <f t="shared" si="4"/>
        <v xml:space="preserve">  </v>
      </c>
    </row>
    <row r="60" spans="1:22" ht="15.75" x14ac:dyDescent="0.25">
      <c r="A60" s="134">
        <v>10</v>
      </c>
      <c r="B60" s="382" t="str">
        <f>dtsiswa!D16</f>
        <v xml:space="preserve">Deco Badarus Zaman </v>
      </c>
      <c r="C60" s="387">
        <f>agmki3!T72</f>
        <v>0</v>
      </c>
      <c r="D60" s="1163">
        <f>agmki3!U72</f>
        <v>0</v>
      </c>
      <c r="E60" s="1163">
        <f>agmki3!V72</f>
        <v>0</v>
      </c>
      <c r="F60" s="1163">
        <f>agmki3!W72</f>
        <v>0</v>
      </c>
      <c r="G60" s="1163">
        <f>agmki3!X72</f>
        <v>0</v>
      </c>
      <c r="H60" s="1163">
        <f>agmki3!Y72</f>
        <v>0</v>
      </c>
      <c r="I60" s="398" t="str">
        <f t="shared" si="3"/>
        <v xml:space="preserve">  </v>
      </c>
      <c r="K60" s="387">
        <v>10</v>
      </c>
      <c r="L60" s="382" t="str">
        <f>dtsiswa!D16</f>
        <v xml:space="preserve">Deco Badarus Zaman </v>
      </c>
      <c r="M60" s="1800">
        <f>agki_4!AJ100</f>
        <v>0</v>
      </c>
      <c r="N60" s="1800">
        <f>agki_4!AK100</f>
        <v>0</v>
      </c>
      <c r="O60" s="1800">
        <f>agki_4!AL100</f>
        <v>0</v>
      </c>
      <c r="P60" s="1800">
        <f>agki_4!AM100</f>
        <v>0</v>
      </c>
      <c r="Q60" s="1800">
        <f>agki_4!AN100</f>
        <v>0</v>
      </c>
      <c r="R60" s="1800">
        <f>agki_4!AO100</f>
        <v>0</v>
      </c>
      <c r="S60" s="1800">
        <f>agki_4!AP100</f>
        <v>0</v>
      </c>
      <c r="T60" s="1800">
        <f>agki_4!AQ100</f>
        <v>0</v>
      </c>
      <c r="U60" s="1800">
        <f>agki_4!AR100</f>
        <v>0</v>
      </c>
      <c r="V60" s="743" t="str">
        <f t="shared" si="4"/>
        <v xml:space="preserve">  </v>
      </c>
    </row>
    <row r="61" spans="1:22" ht="15.75" x14ac:dyDescent="0.25">
      <c r="A61" s="134">
        <v>11</v>
      </c>
      <c r="B61" s="382" t="str">
        <f>dtsiswa!D17</f>
        <v>Fania Mutiara Felichia</v>
      </c>
      <c r="C61" s="387">
        <f>agmki3!T86</f>
        <v>0</v>
      </c>
      <c r="D61" s="1163">
        <f>agmki3!U86</f>
        <v>0</v>
      </c>
      <c r="E61" s="1163">
        <f>agmki3!V86</f>
        <v>0</v>
      </c>
      <c r="F61" s="1163">
        <f>agmki3!W86</f>
        <v>0</v>
      </c>
      <c r="G61" s="1163">
        <f>agmki3!X86</f>
        <v>0</v>
      </c>
      <c r="H61" s="1163">
        <f>agmki3!Y86</f>
        <v>0</v>
      </c>
      <c r="I61" s="398" t="str">
        <f t="shared" si="3"/>
        <v xml:space="preserve">  </v>
      </c>
      <c r="K61" s="134">
        <v>11</v>
      </c>
      <c r="L61" s="382" t="str">
        <f>dtsiswa!D17</f>
        <v>Fania Mutiara Felichia</v>
      </c>
      <c r="M61" s="1800">
        <f>agki_4!AJ110</f>
        <v>0</v>
      </c>
      <c r="N61" s="1800">
        <f>agki_4!AK110</f>
        <v>0</v>
      </c>
      <c r="O61" s="1800">
        <f>agki_4!AL110</f>
        <v>0</v>
      </c>
      <c r="P61" s="1800">
        <f>agki_4!AM110</f>
        <v>0</v>
      </c>
      <c r="Q61" s="1800">
        <f>agki_4!AN110</f>
        <v>0</v>
      </c>
      <c r="R61" s="1800">
        <f>agki_4!AO110</f>
        <v>0</v>
      </c>
      <c r="S61" s="1800">
        <f>agki_4!AP110</f>
        <v>0</v>
      </c>
      <c r="T61" s="1800">
        <f>agki_4!AQ110</f>
        <v>0</v>
      </c>
      <c r="U61" s="1800">
        <f>agki_4!AR110</f>
        <v>0</v>
      </c>
      <c r="V61" s="743" t="str">
        <f t="shared" si="4"/>
        <v xml:space="preserve">  </v>
      </c>
    </row>
    <row r="62" spans="1:22" ht="15.75" x14ac:dyDescent="0.25">
      <c r="A62" s="134">
        <v>12</v>
      </c>
      <c r="B62" s="382" t="str">
        <f>dtsiswa!D18</f>
        <v>Intan Dyah Nowari</v>
      </c>
      <c r="C62" s="387">
        <f>agmki3!T86</f>
        <v>0</v>
      </c>
      <c r="D62" s="1163">
        <f>agmki3!U86</f>
        <v>0</v>
      </c>
      <c r="E62" s="1163">
        <f>agmki3!V86</f>
        <v>0</v>
      </c>
      <c r="F62" s="1163">
        <f>agmki3!W86</f>
        <v>0</v>
      </c>
      <c r="G62" s="1163">
        <f>agmki3!X86</f>
        <v>0</v>
      </c>
      <c r="H62" s="1163">
        <f>agmki3!Y86</f>
        <v>0</v>
      </c>
      <c r="I62" s="398" t="str">
        <f t="shared" si="3"/>
        <v xml:space="preserve">  </v>
      </c>
      <c r="K62" s="387">
        <v>12</v>
      </c>
      <c r="L62" s="382" t="str">
        <f>dtsiswa!D18</f>
        <v>Intan Dyah Nowari</v>
      </c>
      <c r="M62" s="1800">
        <f>agki_4!AJ120</f>
        <v>0</v>
      </c>
      <c r="N62" s="1800">
        <f>agki_4!AK120</f>
        <v>0</v>
      </c>
      <c r="O62" s="1800">
        <f>agki_4!AL120</f>
        <v>0</v>
      </c>
      <c r="P62" s="1800">
        <f>agki_4!AM120</f>
        <v>0</v>
      </c>
      <c r="Q62" s="1800">
        <f>agki_4!AN120</f>
        <v>0</v>
      </c>
      <c r="R62" s="1800">
        <f>agki_4!AO120</f>
        <v>0</v>
      </c>
      <c r="S62" s="1800">
        <f>agki_4!AP120</f>
        <v>0</v>
      </c>
      <c r="T62" s="1800">
        <f>agki_4!AQ120</f>
        <v>0</v>
      </c>
      <c r="U62" s="1800">
        <f>agki_4!AR120</f>
        <v>0</v>
      </c>
      <c r="V62" s="743" t="str">
        <f t="shared" si="4"/>
        <v xml:space="preserve">  </v>
      </c>
    </row>
    <row r="63" spans="1:22" ht="15.75" x14ac:dyDescent="0.25">
      <c r="A63" s="134">
        <v>13</v>
      </c>
      <c r="B63" s="382" t="str">
        <f>dtsiswa!D19</f>
        <v>Misyanita Nurfitri S</v>
      </c>
      <c r="C63" s="387">
        <f>agmki3!T93</f>
        <v>0</v>
      </c>
      <c r="D63" s="1163">
        <f>agmki3!U93</f>
        <v>0</v>
      </c>
      <c r="E63" s="1163">
        <f>agmki3!V93</f>
        <v>0</v>
      </c>
      <c r="F63" s="1163">
        <f>agmki3!W93</f>
        <v>0</v>
      </c>
      <c r="G63" s="1163">
        <f>agmki3!X93</f>
        <v>0</v>
      </c>
      <c r="H63" s="1163">
        <f>agmki3!Y93</f>
        <v>0</v>
      </c>
      <c r="I63" s="398" t="str">
        <f t="shared" si="3"/>
        <v xml:space="preserve">  </v>
      </c>
      <c r="K63" s="134">
        <v>13</v>
      </c>
      <c r="L63" s="382" t="str">
        <f>dtsiswa!D19</f>
        <v>Misyanita Nurfitri S</v>
      </c>
      <c r="M63" s="1800">
        <f>agki_4!AJ130</f>
        <v>0</v>
      </c>
      <c r="N63" s="1800">
        <f>agki_4!AK130</f>
        <v>0</v>
      </c>
      <c r="O63" s="1800">
        <f>agki_4!AL130</f>
        <v>0</v>
      </c>
      <c r="P63" s="1800">
        <f>agki_4!AM130</f>
        <v>0</v>
      </c>
      <c r="Q63" s="1800">
        <f>agki_4!AN130</f>
        <v>0</v>
      </c>
      <c r="R63" s="1800">
        <f>agki_4!AO130</f>
        <v>0</v>
      </c>
      <c r="S63" s="1800">
        <f>agki_4!AP130</f>
        <v>0</v>
      </c>
      <c r="T63" s="1800">
        <f>agki_4!AQ130</f>
        <v>0</v>
      </c>
      <c r="U63" s="1800">
        <f>agki_4!AR130</f>
        <v>0</v>
      </c>
      <c r="V63" s="743" t="str">
        <f t="shared" si="4"/>
        <v xml:space="preserve">  </v>
      </c>
    </row>
    <row r="64" spans="1:22" ht="15.75" x14ac:dyDescent="0.25">
      <c r="A64" s="134">
        <v>14</v>
      </c>
      <c r="B64" s="382" t="str">
        <f>dtsiswa!D20</f>
        <v>Moch Zidane Hita L. U</v>
      </c>
      <c r="C64" s="387">
        <f>agmki3!T100</f>
        <v>0</v>
      </c>
      <c r="D64" s="1163">
        <f>agmki3!U100</f>
        <v>0</v>
      </c>
      <c r="E64" s="1163">
        <f>agmki3!V100</f>
        <v>0</v>
      </c>
      <c r="F64" s="1163">
        <f>agmki3!W100</f>
        <v>0</v>
      </c>
      <c r="G64" s="1163">
        <f>agmki3!X100</f>
        <v>0</v>
      </c>
      <c r="H64" s="1163">
        <f>agmki3!Y100</f>
        <v>0</v>
      </c>
      <c r="I64" s="398" t="str">
        <f t="shared" si="3"/>
        <v xml:space="preserve">  </v>
      </c>
      <c r="K64" s="387">
        <v>14</v>
      </c>
      <c r="L64" s="382" t="str">
        <f>dtsiswa!D20</f>
        <v>Moch Zidane Hita L. U</v>
      </c>
      <c r="M64" s="1800">
        <f>agki_4!AJ140</f>
        <v>0</v>
      </c>
      <c r="N64" s="1800">
        <f>agki_4!AK140</f>
        <v>0</v>
      </c>
      <c r="O64" s="1800">
        <f>agki_4!AL140</f>
        <v>0</v>
      </c>
      <c r="P64" s="1800">
        <f>agki_4!AM140</f>
        <v>0</v>
      </c>
      <c r="Q64" s="1800">
        <f>agki_4!AN140</f>
        <v>0</v>
      </c>
      <c r="R64" s="1800">
        <f>agki_4!AO140</f>
        <v>0</v>
      </c>
      <c r="S64" s="1800">
        <f>agki_4!AP140</f>
        <v>0</v>
      </c>
      <c r="T64" s="1800">
        <f>agki_4!AQ140</f>
        <v>0</v>
      </c>
      <c r="U64" s="1800">
        <f>agki_4!AR140</f>
        <v>0</v>
      </c>
      <c r="V64" s="743" t="str">
        <f t="shared" si="4"/>
        <v xml:space="preserve">  </v>
      </c>
    </row>
    <row r="65" spans="1:22" ht="15.75" x14ac:dyDescent="0.25">
      <c r="A65" s="134">
        <v>15</v>
      </c>
      <c r="B65" s="382" t="str">
        <f>dtsiswa!D21</f>
        <v>Muhammad Ibra Maulana</v>
      </c>
      <c r="C65" s="387">
        <f>agmki3!T107</f>
        <v>0</v>
      </c>
      <c r="D65" s="1163">
        <f>agmki3!U107</f>
        <v>0</v>
      </c>
      <c r="E65" s="1163">
        <f>agmki3!V107</f>
        <v>0</v>
      </c>
      <c r="F65" s="1163">
        <f>agmki3!W107</f>
        <v>0</v>
      </c>
      <c r="G65" s="1163">
        <f>agmki3!X107</f>
        <v>0</v>
      </c>
      <c r="H65" s="1163">
        <f>agmki3!Y107</f>
        <v>0</v>
      </c>
      <c r="I65" s="398" t="str">
        <f t="shared" si="3"/>
        <v xml:space="preserve">  </v>
      </c>
      <c r="K65" s="134">
        <v>15</v>
      </c>
      <c r="L65" s="382" t="str">
        <f>dtsiswa!D21</f>
        <v>Muhammad Ibra Maulana</v>
      </c>
      <c r="M65" s="1800">
        <f>agki_4!AJ150</f>
        <v>0</v>
      </c>
      <c r="N65" s="1800">
        <f>agki_4!AK150</f>
        <v>0</v>
      </c>
      <c r="O65" s="1800">
        <f>agki_4!AL150</f>
        <v>0</v>
      </c>
      <c r="P65" s="1800">
        <f>agki_4!AM150</f>
        <v>0</v>
      </c>
      <c r="Q65" s="1800">
        <f>agki_4!AN150</f>
        <v>0</v>
      </c>
      <c r="R65" s="1800">
        <f>agki_4!AO150</f>
        <v>0</v>
      </c>
      <c r="S65" s="1800">
        <f>agki_4!AP150</f>
        <v>0</v>
      </c>
      <c r="T65" s="1800">
        <f>agki_4!AQ150</f>
        <v>0</v>
      </c>
      <c r="U65" s="1800">
        <f>agki_4!AR150</f>
        <v>0</v>
      </c>
      <c r="V65" s="743" t="str">
        <f t="shared" si="4"/>
        <v xml:space="preserve">  </v>
      </c>
    </row>
    <row r="66" spans="1:22" ht="15.75" x14ac:dyDescent="0.25">
      <c r="A66" s="134">
        <v>16</v>
      </c>
      <c r="B66" s="382" t="str">
        <f>dtsiswa!D22</f>
        <v>Nabilla Shiva Putri</v>
      </c>
      <c r="C66" s="387">
        <f>agmki3!T114</f>
        <v>0</v>
      </c>
      <c r="D66" s="1163">
        <f>agmki3!U114</f>
        <v>0</v>
      </c>
      <c r="E66" s="1163">
        <f>agmki3!V114</f>
        <v>0</v>
      </c>
      <c r="F66" s="1163">
        <f>agmki3!W114</f>
        <v>0</v>
      </c>
      <c r="G66" s="1163">
        <f>agmki3!X114</f>
        <v>0</v>
      </c>
      <c r="H66" s="1163">
        <f>agmki3!Y114</f>
        <v>0</v>
      </c>
      <c r="I66" s="398" t="str">
        <f t="shared" si="3"/>
        <v xml:space="preserve">  </v>
      </c>
      <c r="K66" s="387">
        <v>16</v>
      </c>
      <c r="L66" s="382" t="str">
        <f>dtsiswa!D22</f>
        <v>Nabilla Shiva Putri</v>
      </c>
      <c r="M66" s="1800">
        <f>agki_4!AJ160</f>
        <v>0</v>
      </c>
      <c r="N66" s="1800">
        <f>agki_4!AK160</f>
        <v>0</v>
      </c>
      <c r="O66" s="1800">
        <f>agki_4!AL160</f>
        <v>0</v>
      </c>
      <c r="P66" s="1800">
        <f>agki_4!AM160</f>
        <v>0</v>
      </c>
      <c r="Q66" s="1800">
        <f>agki_4!AN160</f>
        <v>0</v>
      </c>
      <c r="R66" s="1800">
        <f>agki_4!AO160</f>
        <v>0</v>
      </c>
      <c r="S66" s="1800">
        <f>agki_4!AP160</f>
        <v>0</v>
      </c>
      <c r="T66" s="1800">
        <f>agki_4!AQ160</f>
        <v>0</v>
      </c>
      <c r="U66" s="1800">
        <f>agki_4!AR160</f>
        <v>0</v>
      </c>
      <c r="V66" s="743" t="str">
        <f t="shared" si="4"/>
        <v xml:space="preserve">  </v>
      </c>
    </row>
    <row r="67" spans="1:22" ht="15.75" x14ac:dyDescent="0.25">
      <c r="A67" s="134">
        <v>17</v>
      </c>
      <c r="B67" s="382" t="str">
        <f>dtsiswa!D23</f>
        <v>Naufal Falih F</v>
      </c>
      <c r="C67" s="387">
        <f>agmki3!T121</f>
        <v>0</v>
      </c>
      <c r="D67" s="1163">
        <f>agmki3!U121</f>
        <v>0</v>
      </c>
      <c r="E67" s="1163">
        <f>agmki3!V121</f>
        <v>0</v>
      </c>
      <c r="F67" s="1163">
        <f>agmki3!W121</f>
        <v>0</v>
      </c>
      <c r="G67" s="1163">
        <f>agmki3!X121</f>
        <v>0</v>
      </c>
      <c r="H67" s="1163">
        <f>agmki3!Y121</f>
        <v>0</v>
      </c>
      <c r="I67" s="398" t="str">
        <f t="shared" si="3"/>
        <v xml:space="preserve">  </v>
      </c>
      <c r="K67" s="134">
        <v>17</v>
      </c>
      <c r="L67" s="382" t="str">
        <f>dtsiswa!D23</f>
        <v>Naufal Falih F</v>
      </c>
      <c r="M67" s="1800">
        <f>agki_4!AJ170</f>
        <v>0</v>
      </c>
      <c r="N67" s="1800">
        <f>agki_4!AK170</f>
        <v>0</v>
      </c>
      <c r="O67" s="1800">
        <f>agki_4!AL170</f>
        <v>0</v>
      </c>
      <c r="P67" s="1800">
        <f>agki_4!AM170</f>
        <v>0</v>
      </c>
      <c r="Q67" s="1800">
        <f>agki_4!AN170</f>
        <v>0</v>
      </c>
      <c r="R67" s="1800">
        <f>agki_4!AO170</f>
        <v>0</v>
      </c>
      <c r="S67" s="1800">
        <f>agki_4!AP170</f>
        <v>0</v>
      </c>
      <c r="T67" s="1800">
        <f>agki_4!AQ170</f>
        <v>0</v>
      </c>
      <c r="U67" s="1800">
        <f>agki_4!AR170</f>
        <v>0</v>
      </c>
      <c r="V67" s="743" t="str">
        <f t="shared" si="4"/>
        <v xml:space="preserve">  </v>
      </c>
    </row>
    <row r="68" spans="1:22" ht="15.75" x14ac:dyDescent="0.25">
      <c r="A68" s="134">
        <v>18</v>
      </c>
      <c r="B68" s="382" t="str">
        <f>dtsiswa!D24</f>
        <v>Nayla Annora Nobel W</v>
      </c>
      <c r="C68" s="387">
        <f>agmki3!T128</f>
        <v>0</v>
      </c>
      <c r="D68" s="1163">
        <f>agmki3!U128</f>
        <v>0</v>
      </c>
      <c r="E68" s="1163">
        <f>agmki3!V128</f>
        <v>0</v>
      </c>
      <c r="F68" s="1163">
        <f>agmki3!W128</f>
        <v>0</v>
      </c>
      <c r="G68" s="1163">
        <f>agmki3!X128</f>
        <v>0</v>
      </c>
      <c r="H68" s="1163">
        <f>agmki3!Y128</f>
        <v>0</v>
      </c>
      <c r="I68" s="398" t="str">
        <f t="shared" si="3"/>
        <v xml:space="preserve">  </v>
      </c>
      <c r="K68" s="387">
        <v>18</v>
      </c>
      <c r="L68" s="382" t="str">
        <f>dtsiswa!D24</f>
        <v>Nayla Annora Nobel W</v>
      </c>
      <c r="M68" s="1800">
        <f>agki_4!AJ180</f>
        <v>0</v>
      </c>
      <c r="N68" s="1800">
        <f>agki_4!AK180</f>
        <v>0</v>
      </c>
      <c r="O68" s="1800">
        <f>agki_4!AL180</f>
        <v>0</v>
      </c>
      <c r="P68" s="1800">
        <f>agki_4!AM180</f>
        <v>0</v>
      </c>
      <c r="Q68" s="1800">
        <f>agki_4!AN180</f>
        <v>0</v>
      </c>
      <c r="R68" s="1800">
        <f>agki_4!AO180</f>
        <v>0</v>
      </c>
      <c r="S68" s="1800">
        <f>agki_4!AP180</f>
        <v>0</v>
      </c>
      <c r="T68" s="1800">
        <f>agki_4!AQ180</f>
        <v>0</v>
      </c>
      <c r="U68" s="1800">
        <f>agki_4!AR180</f>
        <v>0</v>
      </c>
      <c r="V68" s="743" t="str">
        <f t="shared" si="4"/>
        <v xml:space="preserve">  </v>
      </c>
    </row>
    <row r="69" spans="1:22" ht="15.75" x14ac:dyDescent="0.25">
      <c r="A69" s="134">
        <v>19</v>
      </c>
      <c r="B69" s="382" t="str">
        <f>dtsiswa!D25</f>
        <v>Raihan Danang P</v>
      </c>
      <c r="C69" s="387">
        <f>agmki3!T135</f>
        <v>0</v>
      </c>
      <c r="D69" s="1163">
        <f>agmki3!U135</f>
        <v>0</v>
      </c>
      <c r="E69" s="1163">
        <f>agmki3!V135</f>
        <v>0</v>
      </c>
      <c r="F69" s="1163">
        <f>agmki3!W135</f>
        <v>0</v>
      </c>
      <c r="G69" s="1163">
        <f>agmki3!X135</f>
        <v>0</v>
      </c>
      <c r="H69" s="1163">
        <f>agmki3!Y135</f>
        <v>0</v>
      </c>
      <c r="I69" s="398" t="str">
        <f t="shared" si="3"/>
        <v xml:space="preserve">  </v>
      </c>
      <c r="K69" s="134">
        <v>19</v>
      </c>
      <c r="L69" s="382" t="str">
        <f>dtsiswa!D25</f>
        <v>Raihan Danang P</v>
      </c>
      <c r="M69" s="1800">
        <f>agki_4!AJ190</f>
        <v>0</v>
      </c>
      <c r="N69" s="1800">
        <f>agki_4!AK190</f>
        <v>0</v>
      </c>
      <c r="O69" s="1800">
        <f>agki_4!AL190</f>
        <v>0</v>
      </c>
      <c r="P69" s="1800">
        <f>agki_4!AM190</f>
        <v>0</v>
      </c>
      <c r="Q69" s="1800">
        <f>agki_4!AN190</f>
        <v>0</v>
      </c>
      <c r="R69" s="1800">
        <f>agki_4!AO190</f>
        <v>0</v>
      </c>
      <c r="S69" s="1800">
        <f>agki_4!AP190</f>
        <v>0</v>
      </c>
      <c r="T69" s="1800">
        <f>agki_4!AQ190</f>
        <v>0</v>
      </c>
      <c r="U69" s="1800">
        <f>agki_4!AR190</f>
        <v>0</v>
      </c>
      <c r="V69" s="743" t="str">
        <f t="shared" si="4"/>
        <v xml:space="preserve">  </v>
      </c>
    </row>
    <row r="70" spans="1:22" ht="15.75" x14ac:dyDescent="0.25">
      <c r="A70" s="134">
        <v>20</v>
      </c>
      <c r="B70" s="382" t="str">
        <f>dtsiswa!D26</f>
        <v>Roby Ardiyansyah</v>
      </c>
      <c r="C70" s="387">
        <f>agmki3!T142</f>
        <v>0</v>
      </c>
      <c r="D70" s="1163">
        <f>agmki3!U142</f>
        <v>0</v>
      </c>
      <c r="E70" s="1163">
        <f>agmki3!V142</f>
        <v>0</v>
      </c>
      <c r="F70" s="1163">
        <f>agmki3!W142</f>
        <v>0</v>
      </c>
      <c r="G70" s="1163">
        <f>agmki3!X142</f>
        <v>0</v>
      </c>
      <c r="H70" s="1163">
        <f>agmki3!Y142</f>
        <v>0</v>
      </c>
      <c r="I70" s="398" t="str">
        <f t="shared" si="3"/>
        <v xml:space="preserve">  </v>
      </c>
      <c r="K70" s="387">
        <v>20</v>
      </c>
      <c r="L70" s="382" t="str">
        <f>dtsiswa!D26</f>
        <v>Roby Ardiyansyah</v>
      </c>
      <c r="M70" s="1800">
        <f>agki_4!AJ200</f>
        <v>0</v>
      </c>
      <c r="N70" s="1800">
        <f>agki_4!AK200</f>
        <v>0</v>
      </c>
      <c r="O70" s="1800">
        <f>agki_4!AL200</f>
        <v>0</v>
      </c>
      <c r="P70" s="1800">
        <f>agki_4!AM200</f>
        <v>0</v>
      </c>
      <c r="Q70" s="1800">
        <f>agki_4!AN200</f>
        <v>0</v>
      </c>
      <c r="R70" s="1800">
        <f>agki_4!AO200</f>
        <v>0</v>
      </c>
      <c r="S70" s="1800">
        <f>agki_4!AP200</f>
        <v>0</v>
      </c>
      <c r="T70" s="1800">
        <f>agki_4!AQ200</f>
        <v>0</v>
      </c>
      <c r="U70" s="1800">
        <f>agki_4!AR200</f>
        <v>0</v>
      </c>
      <c r="V70" s="743" t="str">
        <f t="shared" si="4"/>
        <v xml:space="preserve">  </v>
      </c>
    </row>
    <row r="71" spans="1:22" ht="15.75" x14ac:dyDescent="0.25">
      <c r="A71" s="134">
        <v>21</v>
      </c>
      <c r="B71" s="382" t="str">
        <f>dtsiswa!D27</f>
        <v>Rojalingga Prana A</v>
      </c>
      <c r="C71" s="387">
        <f>agmki3!T149</f>
        <v>0</v>
      </c>
      <c r="D71" s="1163">
        <f>agmki3!U149</f>
        <v>0</v>
      </c>
      <c r="E71" s="1163">
        <f>agmki3!V149</f>
        <v>0</v>
      </c>
      <c r="F71" s="1163">
        <f>agmki3!W149</f>
        <v>0</v>
      </c>
      <c r="G71" s="1163">
        <f>agmki3!X149</f>
        <v>0</v>
      </c>
      <c r="H71" s="1163">
        <f>agmki3!Y149</f>
        <v>0</v>
      </c>
      <c r="I71" s="398" t="str">
        <f t="shared" si="3"/>
        <v xml:space="preserve">  </v>
      </c>
      <c r="K71" s="134">
        <v>21</v>
      </c>
      <c r="L71" s="382" t="str">
        <f>dtsiswa!D27</f>
        <v>Rojalingga Prana A</v>
      </c>
      <c r="M71" s="1800">
        <f>agki_4!AJ210</f>
        <v>0</v>
      </c>
      <c r="N71" s="1800">
        <f>agki_4!AK210</f>
        <v>0</v>
      </c>
      <c r="O71" s="1800">
        <f>agki_4!AL210</f>
        <v>0</v>
      </c>
      <c r="P71" s="1800">
        <f>agki_4!AM210</f>
        <v>0</v>
      </c>
      <c r="Q71" s="1800">
        <f>agki_4!AN210</f>
        <v>0</v>
      </c>
      <c r="R71" s="1800">
        <f>agki_4!AO210</f>
        <v>0</v>
      </c>
      <c r="S71" s="1800">
        <f>agki_4!AP210</f>
        <v>0</v>
      </c>
      <c r="T71" s="1800">
        <f>agki_4!AQ210</f>
        <v>0</v>
      </c>
      <c r="U71" s="1800">
        <f>agki_4!AR210</f>
        <v>0</v>
      </c>
      <c r="V71" s="743" t="str">
        <f t="shared" si="4"/>
        <v xml:space="preserve">  </v>
      </c>
    </row>
    <row r="72" spans="1:22" ht="15.75" x14ac:dyDescent="0.25">
      <c r="A72" s="134">
        <v>22</v>
      </c>
      <c r="B72" s="382" t="str">
        <f>dtsiswa!D28</f>
        <v>Sally Savista A</v>
      </c>
      <c r="C72" s="387">
        <f>agmki3!T156</f>
        <v>0</v>
      </c>
      <c r="D72" s="1163">
        <f>agmki3!U156</f>
        <v>0</v>
      </c>
      <c r="E72" s="1163">
        <f>agmki3!V156</f>
        <v>0</v>
      </c>
      <c r="F72" s="1163">
        <f>agmki3!W156</f>
        <v>0</v>
      </c>
      <c r="G72" s="1163">
        <f>agmki3!X156</f>
        <v>0</v>
      </c>
      <c r="H72" s="1163">
        <f>agmki3!Y156</f>
        <v>0</v>
      </c>
      <c r="I72" s="398" t="str">
        <f t="shared" si="3"/>
        <v xml:space="preserve">  </v>
      </c>
      <c r="K72" s="387">
        <v>22</v>
      </c>
      <c r="L72" s="382" t="str">
        <f>dtsiswa!D28</f>
        <v>Sally Savista A</v>
      </c>
      <c r="M72" s="1800">
        <f>agki_4!AJ220</f>
        <v>0</v>
      </c>
      <c r="N72" s="1800">
        <f>agki_4!AK220</f>
        <v>0</v>
      </c>
      <c r="O72" s="1800">
        <f>agki_4!AL220</f>
        <v>0</v>
      </c>
      <c r="P72" s="1800">
        <f>agki_4!AM220</f>
        <v>0</v>
      </c>
      <c r="Q72" s="1800">
        <f>agki_4!AN220</f>
        <v>0</v>
      </c>
      <c r="R72" s="1800">
        <f>agki_4!AO220</f>
        <v>0</v>
      </c>
      <c r="S72" s="1800">
        <f>agki_4!AP220</f>
        <v>0</v>
      </c>
      <c r="T72" s="1800">
        <f>agki_4!AQ220</f>
        <v>0</v>
      </c>
      <c r="U72" s="1800">
        <f>agki_4!AR220</f>
        <v>0</v>
      </c>
      <c r="V72" s="743" t="str">
        <f t="shared" si="4"/>
        <v xml:space="preserve">  </v>
      </c>
    </row>
    <row r="73" spans="1:22" ht="15.75" x14ac:dyDescent="0.25">
      <c r="A73" s="134">
        <v>23</v>
      </c>
      <c r="B73" s="382" t="str">
        <f>dtsiswa!D29</f>
        <v xml:space="preserve">Tania Kaori Angelita </v>
      </c>
      <c r="C73" s="387">
        <f>agmki3!T163</f>
        <v>0</v>
      </c>
      <c r="D73" s="1163">
        <f>agmki3!U163</f>
        <v>0</v>
      </c>
      <c r="E73" s="1163">
        <f>agmki3!V163</f>
        <v>0</v>
      </c>
      <c r="F73" s="1163">
        <f>agmki3!W163</f>
        <v>0</v>
      </c>
      <c r="G73" s="1163">
        <f>agmki3!X163</f>
        <v>0</v>
      </c>
      <c r="H73" s="1163">
        <f>agmki3!Y163</f>
        <v>0</v>
      </c>
      <c r="I73" s="398" t="str">
        <f t="shared" si="3"/>
        <v xml:space="preserve">  </v>
      </c>
      <c r="K73" s="134">
        <v>23</v>
      </c>
      <c r="L73" s="382" t="str">
        <f>dtsiswa!D29</f>
        <v xml:space="preserve">Tania Kaori Angelita </v>
      </c>
      <c r="M73" s="1800">
        <f>agki_4!AJ230</f>
        <v>0</v>
      </c>
      <c r="N73" s="1800">
        <f>agki_4!AK230</f>
        <v>0</v>
      </c>
      <c r="O73" s="1800">
        <f>agki_4!AL230</f>
        <v>0</v>
      </c>
      <c r="P73" s="1800">
        <f>agki_4!AM230</f>
        <v>0</v>
      </c>
      <c r="Q73" s="1800">
        <f>agki_4!AN230</f>
        <v>0</v>
      </c>
      <c r="R73" s="1800">
        <f>agki_4!AO230</f>
        <v>0</v>
      </c>
      <c r="S73" s="1800">
        <f>agki_4!AP230</f>
        <v>0</v>
      </c>
      <c r="T73" s="1800">
        <f>agki_4!AQ230</f>
        <v>0</v>
      </c>
      <c r="U73" s="1800">
        <f>agki_4!AR230</f>
        <v>0</v>
      </c>
      <c r="V73" s="743" t="str">
        <f t="shared" si="4"/>
        <v xml:space="preserve">  </v>
      </c>
    </row>
    <row r="74" spans="1:22" ht="15.75" x14ac:dyDescent="0.25">
      <c r="A74" s="134">
        <v>24</v>
      </c>
      <c r="B74" s="382" t="str">
        <f>dtsiswa!D30</f>
        <v>Romzy Oka Ramadhani P</v>
      </c>
      <c r="C74" s="387">
        <f>agmki3!T170</f>
        <v>0</v>
      </c>
      <c r="D74" s="1163">
        <f>agmki3!U170</f>
        <v>0</v>
      </c>
      <c r="E74" s="1163">
        <f>agmki3!V170</f>
        <v>0</v>
      </c>
      <c r="F74" s="1163">
        <f>agmki3!W170</f>
        <v>0</v>
      </c>
      <c r="G74" s="1163">
        <f>agmki3!X170</f>
        <v>0</v>
      </c>
      <c r="H74" s="1163">
        <f>agmki3!Y170</f>
        <v>0</v>
      </c>
      <c r="I74" s="398" t="str">
        <f t="shared" si="3"/>
        <v xml:space="preserve">  </v>
      </c>
      <c r="K74" s="387">
        <v>24</v>
      </c>
      <c r="L74" s="382" t="str">
        <f>dtsiswa!D30</f>
        <v>Romzy Oka Ramadhani P</v>
      </c>
      <c r="M74" s="1800">
        <f>agki_4!AJ240</f>
        <v>0</v>
      </c>
      <c r="N74" s="1800">
        <f>agki_4!AK240</f>
        <v>0</v>
      </c>
      <c r="O74" s="1800">
        <f>agki_4!AL240</f>
        <v>0</v>
      </c>
      <c r="P74" s="1800">
        <f>agki_4!AM240</f>
        <v>0</v>
      </c>
      <c r="Q74" s="1800">
        <f>agki_4!AN240</f>
        <v>0</v>
      </c>
      <c r="R74" s="1800">
        <f>agki_4!AO240</f>
        <v>0</v>
      </c>
      <c r="S74" s="1800">
        <f>agki_4!AP240</f>
        <v>0</v>
      </c>
      <c r="T74" s="1800">
        <f>agki_4!AQ240</f>
        <v>0</v>
      </c>
      <c r="U74" s="1800">
        <f>agki_4!AR240</f>
        <v>0</v>
      </c>
      <c r="V74" s="743" t="str">
        <f t="shared" si="4"/>
        <v xml:space="preserve">  </v>
      </c>
    </row>
    <row r="75" spans="1:22" ht="15.75" x14ac:dyDescent="0.25">
      <c r="A75" s="134">
        <v>25</v>
      </c>
      <c r="B75" s="382" t="str">
        <f>dtsiswa!D31</f>
        <v>Larasati Jagadhita P</v>
      </c>
      <c r="C75" s="387">
        <f>agmki3!T177</f>
        <v>0</v>
      </c>
      <c r="D75" s="1163">
        <f>agmki3!U177</f>
        <v>0</v>
      </c>
      <c r="E75" s="1163">
        <f>agmki3!V177</f>
        <v>0</v>
      </c>
      <c r="F75" s="1163">
        <f>agmki3!W177</f>
        <v>0</v>
      </c>
      <c r="G75" s="1163">
        <f>agmki3!X177</f>
        <v>0</v>
      </c>
      <c r="H75" s="1163">
        <f>agmki3!Y177</f>
        <v>0</v>
      </c>
      <c r="I75" s="398" t="str">
        <f t="shared" si="3"/>
        <v xml:space="preserve">  </v>
      </c>
      <c r="K75" s="134">
        <v>25</v>
      </c>
      <c r="L75" s="382" t="str">
        <f>dtsiswa!D31</f>
        <v>Larasati Jagadhita P</v>
      </c>
      <c r="M75" s="1800">
        <f>agki_4!AJ250</f>
        <v>0</v>
      </c>
      <c r="N75" s="1800">
        <f>agki_4!AK250</f>
        <v>0</v>
      </c>
      <c r="O75" s="1800">
        <f>agki_4!AL250</f>
        <v>0</v>
      </c>
      <c r="P75" s="1800">
        <f>agki_4!AM250</f>
        <v>0</v>
      </c>
      <c r="Q75" s="1800">
        <f>agki_4!AN250</f>
        <v>0</v>
      </c>
      <c r="R75" s="1800">
        <f>agki_4!AO250</f>
        <v>0</v>
      </c>
      <c r="S75" s="1800">
        <f>agki_4!AP250</f>
        <v>0</v>
      </c>
      <c r="T75" s="1800">
        <f>agki_4!AQ250</f>
        <v>0</v>
      </c>
      <c r="U75" s="1800">
        <f>agki_4!AR250</f>
        <v>0</v>
      </c>
      <c r="V75" s="743" t="str">
        <f t="shared" si="4"/>
        <v xml:space="preserve">  </v>
      </c>
    </row>
    <row r="76" spans="1:22" ht="15.75" x14ac:dyDescent="0.25">
      <c r="A76" s="134">
        <v>26</v>
      </c>
      <c r="B76" s="382" t="str">
        <f>dtsiswa!D32</f>
        <v>Meliana Citra A</v>
      </c>
      <c r="C76" s="387">
        <f>agmki3!T184</f>
        <v>0</v>
      </c>
      <c r="D76" s="1163">
        <f>agmki3!U184</f>
        <v>0</v>
      </c>
      <c r="E76" s="1163">
        <f>agmki3!V184</f>
        <v>0</v>
      </c>
      <c r="F76" s="1163">
        <f>agmki3!W184</f>
        <v>0</v>
      </c>
      <c r="G76" s="1163">
        <f>agmki3!X184</f>
        <v>0</v>
      </c>
      <c r="H76" s="1163">
        <f>agmki3!Y184</f>
        <v>0</v>
      </c>
      <c r="I76" s="398" t="str">
        <f t="shared" si="3"/>
        <v xml:space="preserve">  </v>
      </c>
      <c r="K76" s="387">
        <v>26</v>
      </c>
      <c r="L76" s="382" t="str">
        <f>dtsiswa!D32</f>
        <v>Meliana Citra A</v>
      </c>
      <c r="M76" s="1800">
        <f>agki_4!AJ260</f>
        <v>0</v>
      </c>
      <c r="N76" s="1800">
        <f>agki_4!AK260</f>
        <v>0</v>
      </c>
      <c r="O76" s="1800">
        <f>agki_4!AL260</f>
        <v>0</v>
      </c>
      <c r="P76" s="1800">
        <f>agki_4!AM260</f>
        <v>0</v>
      </c>
      <c r="Q76" s="1800">
        <f>agki_4!AN260</f>
        <v>0</v>
      </c>
      <c r="R76" s="1800">
        <f>agki_4!AO260</f>
        <v>0</v>
      </c>
      <c r="S76" s="1800">
        <f>agki_4!AP260</f>
        <v>0</v>
      </c>
      <c r="T76" s="1800">
        <f>agki_4!AQ260</f>
        <v>0</v>
      </c>
      <c r="U76" s="1800">
        <f>agki_4!AR260</f>
        <v>0</v>
      </c>
      <c r="V76" s="743" t="str">
        <f t="shared" si="4"/>
        <v xml:space="preserve">  </v>
      </c>
    </row>
    <row r="77" spans="1:22" ht="15.75" x14ac:dyDescent="0.25">
      <c r="A77" s="134">
        <v>27</v>
      </c>
      <c r="B77" s="382" t="str">
        <f>dtsiswa!D33</f>
        <v>Mohammad Rizky</v>
      </c>
      <c r="C77" s="387">
        <f>agmki3!T191</f>
        <v>0</v>
      </c>
      <c r="D77" s="1163">
        <f>agmki3!U191</f>
        <v>0</v>
      </c>
      <c r="E77" s="1163">
        <f>agmki3!V191</f>
        <v>0</v>
      </c>
      <c r="F77" s="1163">
        <f>agmki3!W191</f>
        <v>0</v>
      </c>
      <c r="G77" s="1163">
        <f>agmki3!X191</f>
        <v>0</v>
      </c>
      <c r="H77" s="1163">
        <f>agmki3!Y191</f>
        <v>0</v>
      </c>
      <c r="I77" s="398" t="str">
        <f t="shared" si="3"/>
        <v xml:space="preserve">  </v>
      </c>
      <c r="K77" s="134">
        <v>27</v>
      </c>
      <c r="L77" s="382" t="str">
        <f>dtsiswa!D33</f>
        <v>Mohammad Rizky</v>
      </c>
      <c r="M77" s="1800">
        <f>agki_4!AJ270</f>
        <v>0</v>
      </c>
      <c r="N77" s="1800">
        <f>agki_4!AK270</f>
        <v>0</v>
      </c>
      <c r="O77" s="1800">
        <f>agki_4!AL270</f>
        <v>0</v>
      </c>
      <c r="P77" s="1800">
        <f>agki_4!AM270</f>
        <v>0</v>
      </c>
      <c r="Q77" s="1800">
        <f>agki_4!AN270</f>
        <v>0</v>
      </c>
      <c r="R77" s="1800">
        <f>agki_4!AO270</f>
        <v>0</v>
      </c>
      <c r="S77" s="1800">
        <f>agki_4!AP270</f>
        <v>0</v>
      </c>
      <c r="T77" s="1800">
        <f>agki_4!AQ270</f>
        <v>0</v>
      </c>
      <c r="U77" s="1800">
        <f>agki_4!AR270</f>
        <v>0</v>
      </c>
      <c r="V77" s="743" t="str">
        <f t="shared" si="4"/>
        <v xml:space="preserve">  </v>
      </c>
    </row>
    <row r="78" spans="1:22" ht="15.75" x14ac:dyDescent="0.25">
      <c r="A78" s="134">
        <v>28</v>
      </c>
      <c r="B78" s="382">
        <f>dtsiswa!D34</f>
        <v>0</v>
      </c>
      <c r="C78" s="387">
        <f>agmki3!T198</f>
        <v>0</v>
      </c>
      <c r="D78" s="1163">
        <f>agmki3!U198</f>
        <v>0</v>
      </c>
      <c r="E78" s="1163">
        <f>agmki3!V198</f>
        <v>0</v>
      </c>
      <c r="F78" s="1163">
        <f>agmki3!W198</f>
        <v>0</v>
      </c>
      <c r="G78" s="1163">
        <f>agmki3!X198</f>
        <v>0</v>
      </c>
      <c r="H78" s="1163">
        <f>agmki3!Y198</f>
        <v>0</v>
      </c>
      <c r="I78" s="398" t="str">
        <f t="shared" si="3"/>
        <v xml:space="preserve">  </v>
      </c>
      <c r="K78" s="387">
        <v>28</v>
      </c>
      <c r="L78" s="382">
        <f>dtsiswa!D34</f>
        <v>0</v>
      </c>
      <c r="M78" s="1800">
        <f>agki_4!AJ280</f>
        <v>0</v>
      </c>
      <c r="N78" s="1800">
        <f>agki_4!AK280</f>
        <v>0</v>
      </c>
      <c r="O78" s="1800">
        <f>agki_4!AL280</f>
        <v>0</v>
      </c>
      <c r="P78" s="1800">
        <f>agki_4!AM280</f>
        <v>0</v>
      </c>
      <c r="Q78" s="1800">
        <f>agki_4!AN280</f>
        <v>0</v>
      </c>
      <c r="R78" s="1800">
        <f>agki_4!AO280</f>
        <v>0</v>
      </c>
      <c r="S78" s="1800">
        <f>agki_4!AP280</f>
        <v>0</v>
      </c>
      <c r="T78" s="1800">
        <f>agki_4!AQ280</f>
        <v>0</v>
      </c>
      <c r="U78" s="1800">
        <f>agki_4!AR280</f>
        <v>0</v>
      </c>
      <c r="V78" s="743" t="str">
        <f t="shared" si="4"/>
        <v xml:space="preserve">  </v>
      </c>
    </row>
    <row r="79" spans="1:22" ht="15.75" x14ac:dyDescent="0.25">
      <c r="A79" s="134">
        <v>29</v>
      </c>
      <c r="B79" s="382">
        <f>dtsiswa!D35</f>
        <v>0</v>
      </c>
      <c r="C79" s="387">
        <f>agmki3!T205</f>
        <v>0</v>
      </c>
      <c r="D79" s="1163">
        <f>agmki3!U205</f>
        <v>0</v>
      </c>
      <c r="E79" s="1163">
        <f>agmki3!V205</f>
        <v>0</v>
      </c>
      <c r="F79" s="1163">
        <f>agmki3!W205</f>
        <v>0</v>
      </c>
      <c r="G79" s="1163">
        <f>agmki3!X205</f>
        <v>0</v>
      </c>
      <c r="H79" s="1163">
        <f>agmki3!Y205</f>
        <v>0</v>
      </c>
      <c r="I79" s="398" t="str">
        <f t="shared" si="3"/>
        <v xml:space="preserve">  </v>
      </c>
      <c r="K79" s="134">
        <v>29</v>
      </c>
      <c r="L79" s="382">
        <f>dtsiswa!D35</f>
        <v>0</v>
      </c>
      <c r="M79" s="1800">
        <f>agki_4!AJ290</f>
        <v>0</v>
      </c>
      <c r="N79" s="1800">
        <f>agki_4!AK290</f>
        <v>0</v>
      </c>
      <c r="O79" s="1800">
        <f>agki_4!AL290</f>
        <v>0</v>
      </c>
      <c r="P79" s="1800">
        <f>agki_4!AM290</f>
        <v>0</v>
      </c>
      <c r="Q79" s="1800">
        <f>agki_4!AN290</f>
        <v>0</v>
      </c>
      <c r="R79" s="1800">
        <f>agki_4!AO290</f>
        <v>0</v>
      </c>
      <c r="S79" s="1800">
        <f>agki_4!AP290</f>
        <v>0</v>
      </c>
      <c r="T79" s="1800">
        <f>agki_4!AQ290</f>
        <v>0</v>
      </c>
      <c r="U79" s="1800">
        <f>agki_4!AR290</f>
        <v>0</v>
      </c>
      <c r="V79" s="743" t="str">
        <f t="shared" si="4"/>
        <v xml:space="preserve">  </v>
      </c>
    </row>
    <row r="80" spans="1:22" ht="15.75" x14ac:dyDescent="0.25">
      <c r="A80" s="134">
        <v>30</v>
      </c>
      <c r="B80" s="382">
        <f>dtsiswa!D36</f>
        <v>0</v>
      </c>
      <c r="C80" s="387">
        <f>agmki3!T212</f>
        <v>0</v>
      </c>
      <c r="D80" s="1163">
        <f>agmki3!U212</f>
        <v>0</v>
      </c>
      <c r="E80" s="1163">
        <f>agmki3!V212</f>
        <v>0</v>
      </c>
      <c r="F80" s="1163">
        <f>agmki3!W212</f>
        <v>0</v>
      </c>
      <c r="G80" s="1163">
        <f>agmki3!X212</f>
        <v>0</v>
      </c>
      <c r="H80" s="1163">
        <f>agmki3!Y212</f>
        <v>0</v>
      </c>
      <c r="I80" s="398" t="str">
        <f t="shared" si="3"/>
        <v xml:space="preserve">  </v>
      </c>
      <c r="K80" s="387">
        <v>30</v>
      </c>
      <c r="L80" s="382">
        <f>dtsiswa!D36</f>
        <v>0</v>
      </c>
      <c r="M80" s="1800">
        <f>agki_4!AJ300</f>
        <v>0</v>
      </c>
      <c r="N80" s="1800">
        <f>agki_4!AK300</f>
        <v>0</v>
      </c>
      <c r="O80" s="1800">
        <f>agki_4!AL300</f>
        <v>0</v>
      </c>
      <c r="P80" s="1800">
        <f>agki_4!AM300</f>
        <v>0</v>
      </c>
      <c r="Q80" s="1800">
        <f>agki_4!AN300</f>
        <v>0</v>
      </c>
      <c r="R80" s="1800">
        <f>agki_4!AO300</f>
        <v>0</v>
      </c>
      <c r="S80" s="1800">
        <f>agki_4!AP300</f>
        <v>0</v>
      </c>
      <c r="T80" s="1800">
        <f>agki_4!AQ300</f>
        <v>0</v>
      </c>
      <c r="U80" s="1800">
        <f>agki_4!AR300</f>
        <v>0</v>
      </c>
      <c r="V80" s="743" t="str">
        <f t="shared" si="4"/>
        <v xml:space="preserve">  </v>
      </c>
    </row>
    <row r="81" spans="1:22" ht="15.75" x14ac:dyDescent="0.25">
      <c r="A81" s="134">
        <v>31</v>
      </c>
      <c r="B81" s="382">
        <f>dtsiswa!D37</f>
        <v>0</v>
      </c>
      <c r="C81" s="387">
        <f>agmki3!T219</f>
        <v>0</v>
      </c>
      <c r="D81" s="1163">
        <f>agmki3!U219</f>
        <v>0</v>
      </c>
      <c r="E81" s="1163">
        <f>agmki3!V219</f>
        <v>0</v>
      </c>
      <c r="F81" s="1163">
        <f>agmki3!W219</f>
        <v>0</v>
      </c>
      <c r="G81" s="1163">
        <f>agmki3!X219</f>
        <v>0</v>
      </c>
      <c r="H81" s="1163">
        <f>agmki3!Y219</f>
        <v>0</v>
      </c>
      <c r="I81" s="398" t="str">
        <f t="shared" si="3"/>
        <v xml:space="preserve">  </v>
      </c>
      <c r="K81" s="134">
        <v>31</v>
      </c>
      <c r="L81" s="382">
        <f>dtsiswa!D37</f>
        <v>0</v>
      </c>
      <c r="M81" s="1800">
        <f>agki_4!AJ310</f>
        <v>0</v>
      </c>
      <c r="N81" s="1800">
        <f>agki_4!AK310</f>
        <v>0</v>
      </c>
      <c r="O81" s="1800">
        <f>agki_4!AL310</f>
        <v>0</v>
      </c>
      <c r="P81" s="1800">
        <f>agki_4!AM310</f>
        <v>0</v>
      </c>
      <c r="Q81" s="1800">
        <f>agki_4!AN310</f>
        <v>0</v>
      </c>
      <c r="R81" s="1800">
        <f>agki_4!AO310</f>
        <v>0</v>
      </c>
      <c r="S81" s="1800">
        <f>agki_4!AP310</f>
        <v>0</v>
      </c>
      <c r="T81" s="1800">
        <f>agki_4!AQ310</f>
        <v>0</v>
      </c>
      <c r="U81" s="1800">
        <f>agki_4!AR310</f>
        <v>0</v>
      </c>
      <c r="V81" s="743" t="str">
        <f t="shared" si="4"/>
        <v xml:space="preserve">  </v>
      </c>
    </row>
    <row r="82" spans="1:22" ht="15.75" x14ac:dyDescent="0.25">
      <c r="A82" s="134">
        <v>32</v>
      </c>
      <c r="B82" s="382">
        <f>dtsiswa!D38</f>
        <v>0</v>
      </c>
      <c r="C82" s="387">
        <f>agmki3!T226</f>
        <v>0</v>
      </c>
      <c r="D82" s="1163">
        <f>agmki3!U226</f>
        <v>0</v>
      </c>
      <c r="E82" s="1163">
        <f>agmki3!V226</f>
        <v>0</v>
      </c>
      <c r="F82" s="1163">
        <f>agmki3!W226</f>
        <v>0</v>
      </c>
      <c r="G82" s="1163">
        <f>agmki3!X226</f>
        <v>0</v>
      </c>
      <c r="H82" s="1163">
        <f>agmki3!Y226</f>
        <v>0</v>
      </c>
      <c r="I82" s="398" t="str">
        <f t="shared" si="3"/>
        <v xml:space="preserve">  </v>
      </c>
      <c r="K82" s="387">
        <v>32</v>
      </c>
      <c r="L82" s="382">
        <f>dtsiswa!D38</f>
        <v>0</v>
      </c>
      <c r="M82" s="1800">
        <f>agki_4!AJ320</f>
        <v>0</v>
      </c>
      <c r="N82" s="1800">
        <f>agki_4!AK320</f>
        <v>0</v>
      </c>
      <c r="O82" s="1800">
        <f>agki_4!AL320</f>
        <v>0</v>
      </c>
      <c r="P82" s="1800">
        <f>agki_4!AM320</f>
        <v>0</v>
      </c>
      <c r="Q82" s="1800">
        <f>agki_4!AN320</f>
        <v>0</v>
      </c>
      <c r="R82" s="1800">
        <f>agki_4!AO320</f>
        <v>0</v>
      </c>
      <c r="S82" s="1800">
        <f>agki_4!AP320</f>
        <v>0</v>
      </c>
      <c r="T82" s="1800">
        <f>agki_4!AQ320</f>
        <v>0</v>
      </c>
      <c r="U82" s="1800">
        <f>agki_4!AR320</f>
        <v>0</v>
      </c>
      <c r="V82" s="743" t="str">
        <f t="shared" si="4"/>
        <v xml:space="preserve">  </v>
      </c>
    </row>
    <row r="83" spans="1:22" ht="15.75" x14ac:dyDescent="0.25">
      <c r="A83" s="134">
        <v>33</v>
      </c>
      <c r="B83" s="382">
        <f>dtsiswa!D39</f>
        <v>0</v>
      </c>
      <c r="C83" s="387">
        <f>agmki3!T233</f>
        <v>0</v>
      </c>
      <c r="D83" s="1163">
        <f>agmki3!U233</f>
        <v>0</v>
      </c>
      <c r="E83" s="1163">
        <f>agmki3!V233</f>
        <v>0</v>
      </c>
      <c r="F83" s="1163">
        <f>agmki3!W233</f>
        <v>0</v>
      </c>
      <c r="G83" s="1163">
        <f>agmki3!X233</f>
        <v>0</v>
      </c>
      <c r="H83" s="1163">
        <f>agmki3!Y233</f>
        <v>0</v>
      </c>
      <c r="I83" s="398" t="str">
        <f t="shared" si="3"/>
        <v xml:space="preserve">  </v>
      </c>
      <c r="K83" s="134">
        <v>33</v>
      </c>
      <c r="L83" s="382">
        <f>dtsiswa!D39</f>
        <v>0</v>
      </c>
      <c r="M83" s="1800">
        <f>agki_4!AJ330</f>
        <v>0</v>
      </c>
      <c r="N83" s="1800">
        <f>agki_4!AK330</f>
        <v>0</v>
      </c>
      <c r="O83" s="1800">
        <f>agki_4!AL330</f>
        <v>0</v>
      </c>
      <c r="P83" s="1800">
        <f>agki_4!AM330</f>
        <v>0</v>
      </c>
      <c r="Q83" s="1800">
        <f>agki_4!AN330</f>
        <v>0</v>
      </c>
      <c r="R83" s="1800">
        <f>agki_4!AO330</f>
        <v>0</v>
      </c>
      <c r="S83" s="1800">
        <f>agki_4!AP330</f>
        <v>0</v>
      </c>
      <c r="T83" s="1800">
        <f>agki_4!AQ330</f>
        <v>0</v>
      </c>
      <c r="U83" s="1800">
        <f>agki_4!AR330</f>
        <v>0</v>
      </c>
      <c r="V83" s="743" t="str">
        <f t="shared" si="4"/>
        <v xml:space="preserve">  </v>
      </c>
    </row>
    <row r="84" spans="1:22" ht="15.75" x14ac:dyDescent="0.25">
      <c r="A84" s="134">
        <v>34</v>
      </c>
      <c r="B84" s="382">
        <f>dtsiswa!D40</f>
        <v>0</v>
      </c>
      <c r="C84" s="387">
        <f>agmki3!T240</f>
        <v>0</v>
      </c>
      <c r="D84" s="1163">
        <f>agmki3!U240</f>
        <v>0</v>
      </c>
      <c r="E84" s="1163">
        <f>agmki3!V240</f>
        <v>0</v>
      </c>
      <c r="F84" s="1163">
        <f>agmki3!W240</f>
        <v>0</v>
      </c>
      <c r="G84" s="1163">
        <f>agmki3!X240</f>
        <v>0</v>
      </c>
      <c r="H84" s="1163">
        <f>agmki3!Y240</f>
        <v>0</v>
      </c>
      <c r="I84" s="398" t="str">
        <f t="shared" si="3"/>
        <v xml:space="preserve">  </v>
      </c>
      <c r="K84" s="387">
        <v>34</v>
      </c>
      <c r="L84" s="382">
        <f>dtsiswa!D40</f>
        <v>0</v>
      </c>
      <c r="M84" s="1800">
        <f>agki_4!AJ340</f>
        <v>0</v>
      </c>
      <c r="N84" s="1800">
        <f>agki_4!AK340</f>
        <v>0</v>
      </c>
      <c r="O84" s="1800">
        <f>agki_4!AL340</f>
        <v>0</v>
      </c>
      <c r="P84" s="1800">
        <f>agki_4!AM340</f>
        <v>0</v>
      </c>
      <c r="Q84" s="1800">
        <f>agki_4!AN340</f>
        <v>0</v>
      </c>
      <c r="R84" s="1800">
        <f>agki_4!AO340</f>
        <v>0</v>
      </c>
      <c r="S84" s="1800">
        <f>agki_4!AP340</f>
        <v>0</v>
      </c>
      <c r="T84" s="1800">
        <f>agki_4!AQ340</f>
        <v>0</v>
      </c>
      <c r="U84" s="1800">
        <f>agki_4!AR340</f>
        <v>0</v>
      </c>
      <c r="V84" s="743" t="str">
        <f t="shared" si="4"/>
        <v xml:space="preserve">  </v>
      </c>
    </row>
    <row r="85" spans="1:22" ht="15.75" x14ac:dyDescent="0.25">
      <c r="A85" s="134">
        <v>35</v>
      </c>
      <c r="B85" s="382">
        <f>dtsiswa!D41</f>
        <v>0</v>
      </c>
      <c r="C85" s="387">
        <f>agmki3!T247</f>
        <v>0</v>
      </c>
      <c r="D85" s="1163">
        <f>agmki3!U247</f>
        <v>0</v>
      </c>
      <c r="E85" s="1163">
        <f>agmki3!V247</f>
        <v>0</v>
      </c>
      <c r="F85" s="1163">
        <f>agmki3!W247</f>
        <v>0</v>
      </c>
      <c r="G85" s="1163">
        <f>agmki3!X247</f>
        <v>0</v>
      </c>
      <c r="H85" s="1163">
        <f>agmki3!Y247</f>
        <v>0</v>
      </c>
      <c r="I85" s="398" t="str">
        <f t="shared" si="3"/>
        <v xml:space="preserve">  </v>
      </c>
      <c r="K85" s="134">
        <v>35</v>
      </c>
      <c r="L85" s="382">
        <f>dtsiswa!D41</f>
        <v>0</v>
      </c>
      <c r="M85" s="1800">
        <f>agki_4!AJ350</f>
        <v>0</v>
      </c>
      <c r="N85" s="1800">
        <f>agki_4!AK350</f>
        <v>0</v>
      </c>
      <c r="O85" s="1800">
        <f>agki_4!AL350</f>
        <v>0</v>
      </c>
      <c r="P85" s="1800">
        <f>agki_4!AM350</f>
        <v>0</v>
      </c>
      <c r="Q85" s="1800">
        <f>agki_4!AN350</f>
        <v>0</v>
      </c>
      <c r="R85" s="1800">
        <f>agki_4!AO350</f>
        <v>0</v>
      </c>
      <c r="S85" s="1800">
        <f>agki_4!AP350</f>
        <v>0</v>
      </c>
      <c r="T85" s="1800">
        <f>agki_4!AQ350</f>
        <v>0</v>
      </c>
      <c r="U85" s="1800">
        <f>agki_4!AR350</f>
        <v>0</v>
      </c>
      <c r="V85" s="743" t="str">
        <f t="shared" si="4"/>
        <v xml:space="preserve">  </v>
      </c>
    </row>
    <row r="86" spans="1:22" ht="15.75" x14ac:dyDescent="0.25">
      <c r="A86" s="134">
        <v>36</v>
      </c>
      <c r="B86" s="382">
        <f>dtsiswa!D42</f>
        <v>0</v>
      </c>
      <c r="C86" s="387">
        <f>agmki3!T254</f>
        <v>0</v>
      </c>
      <c r="D86" s="1163">
        <f>agmki3!U254</f>
        <v>0</v>
      </c>
      <c r="E86" s="1163">
        <f>agmki3!V254</f>
        <v>0</v>
      </c>
      <c r="F86" s="1163">
        <f>agmki3!W254</f>
        <v>0</v>
      </c>
      <c r="G86" s="1163">
        <f>agmki3!X254</f>
        <v>0</v>
      </c>
      <c r="H86" s="1163">
        <f>agmki3!Y254</f>
        <v>0</v>
      </c>
      <c r="I86" s="398" t="str">
        <f t="shared" si="3"/>
        <v xml:space="preserve">  </v>
      </c>
      <c r="K86" s="387">
        <v>36</v>
      </c>
      <c r="L86" s="382">
        <f>dtsiswa!D42</f>
        <v>0</v>
      </c>
      <c r="M86" s="1800">
        <f>agki_4!AJ360</f>
        <v>0</v>
      </c>
      <c r="N86" s="1800">
        <f>agki_4!AK360</f>
        <v>0</v>
      </c>
      <c r="O86" s="1800">
        <f>agki_4!AL360</f>
        <v>0</v>
      </c>
      <c r="P86" s="1800">
        <f>agki_4!AM360</f>
        <v>0</v>
      </c>
      <c r="Q86" s="1800">
        <f>agki_4!AN360</f>
        <v>0</v>
      </c>
      <c r="R86" s="1800">
        <f>agki_4!AO360</f>
        <v>0</v>
      </c>
      <c r="S86" s="1800">
        <f>agki_4!AP360</f>
        <v>0</v>
      </c>
      <c r="T86" s="1800">
        <f>agki_4!AQ360</f>
        <v>0</v>
      </c>
      <c r="U86" s="1800">
        <f>agki_4!AR360</f>
        <v>0</v>
      </c>
      <c r="V86" s="743" t="str">
        <f t="shared" si="4"/>
        <v xml:space="preserve">  </v>
      </c>
    </row>
    <row r="87" spans="1:22" ht="15.75" x14ac:dyDescent="0.25">
      <c r="A87" s="134">
        <v>37</v>
      </c>
      <c r="B87" s="382">
        <f>dtsiswa!D51</f>
        <v>0</v>
      </c>
      <c r="C87" s="387">
        <f>agmki3!T261</f>
        <v>0</v>
      </c>
      <c r="D87" s="1163">
        <f>agmki3!U261</f>
        <v>0</v>
      </c>
      <c r="E87" s="1163">
        <f>agmki3!V261</f>
        <v>0</v>
      </c>
      <c r="F87" s="1163">
        <f>agmki3!W261</f>
        <v>0</v>
      </c>
      <c r="G87" s="1163">
        <f>agmki3!X261</f>
        <v>0</v>
      </c>
      <c r="H87" s="1163">
        <f>agmki3!Y261</f>
        <v>0</v>
      </c>
      <c r="I87" s="398" t="str">
        <f t="shared" si="3"/>
        <v xml:space="preserve">  </v>
      </c>
      <c r="K87" s="134">
        <v>37</v>
      </c>
      <c r="L87" s="382">
        <f>dtsiswa!D51</f>
        <v>0</v>
      </c>
      <c r="M87" s="1800">
        <f>agki_4!AJ370</f>
        <v>0</v>
      </c>
      <c r="N87" s="1800">
        <f>agki_4!AK370</f>
        <v>0</v>
      </c>
      <c r="O87" s="1800">
        <f>agki_4!AL370</f>
        <v>0</v>
      </c>
      <c r="P87" s="1800">
        <f>agki_4!AM370</f>
        <v>0</v>
      </c>
      <c r="Q87" s="1800">
        <f>agki_4!AN370</f>
        <v>0</v>
      </c>
      <c r="R87" s="1800">
        <f>agki_4!AO370</f>
        <v>0</v>
      </c>
      <c r="S87" s="1800">
        <f>agki_4!AP370</f>
        <v>0</v>
      </c>
      <c r="T87" s="1800">
        <f>agki_4!AQ370</f>
        <v>0</v>
      </c>
      <c r="U87" s="1800">
        <f>agki_4!AR370</f>
        <v>0</v>
      </c>
      <c r="V87" s="743" t="str">
        <f t="shared" si="4"/>
        <v xml:space="preserve">  </v>
      </c>
    </row>
    <row r="88" spans="1:22" ht="15.75" x14ac:dyDescent="0.25">
      <c r="A88" s="134">
        <v>38</v>
      </c>
      <c r="B88" s="382">
        <f>dtsiswa!D44</f>
        <v>0</v>
      </c>
      <c r="C88" s="387">
        <f>agmki3!T268</f>
        <v>0</v>
      </c>
      <c r="D88" s="1163">
        <f>agmki3!U268</f>
        <v>0</v>
      </c>
      <c r="E88" s="1163">
        <f>agmki3!V268</f>
        <v>0</v>
      </c>
      <c r="F88" s="1163">
        <f>agmki3!W268</f>
        <v>0</v>
      </c>
      <c r="G88" s="1163">
        <f>agmki3!X268</f>
        <v>0</v>
      </c>
      <c r="H88" s="1163">
        <f>agmki3!Y268</f>
        <v>0</v>
      </c>
      <c r="I88" s="398" t="str">
        <f t="shared" si="3"/>
        <v xml:space="preserve">  </v>
      </c>
      <c r="K88" s="387">
        <v>38</v>
      </c>
      <c r="L88" s="382">
        <f>dtsiswa!D44</f>
        <v>0</v>
      </c>
      <c r="M88" s="1800">
        <f>agki_4!AJ380</f>
        <v>0</v>
      </c>
      <c r="N88" s="1800">
        <f>agki_4!AK380</f>
        <v>0</v>
      </c>
      <c r="O88" s="1800">
        <f>agki_4!AL380</f>
        <v>0</v>
      </c>
      <c r="P88" s="1800">
        <f>agki_4!AM380</f>
        <v>0</v>
      </c>
      <c r="Q88" s="1800">
        <f>agki_4!AN380</f>
        <v>0</v>
      </c>
      <c r="R88" s="1800">
        <f>agki_4!AO380</f>
        <v>0</v>
      </c>
      <c r="S88" s="1800">
        <f>agki_4!AP380</f>
        <v>0</v>
      </c>
      <c r="T88" s="1800">
        <f>agki_4!AQ380</f>
        <v>0</v>
      </c>
      <c r="U88" s="1800">
        <f>agki_4!AR380</f>
        <v>0</v>
      </c>
      <c r="V88" s="743" t="str">
        <f t="shared" si="4"/>
        <v xml:space="preserve">  </v>
      </c>
    </row>
    <row r="89" spans="1:22" ht="15.75" x14ac:dyDescent="0.25">
      <c r="A89" s="134">
        <v>39</v>
      </c>
      <c r="B89" s="382">
        <f>dtsiswa!D45</f>
        <v>0</v>
      </c>
      <c r="C89" s="387">
        <f>agmki3!T275</f>
        <v>0</v>
      </c>
      <c r="D89" s="1163">
        <f>agmki3!U275</f>
        <v>0</v>
      </c>
      <c r="E89" s="1163">
        <f>agmki3!V275</f>
        <v>0</v>
      </c>
      <c r="F89" s="1163">
        <f>agmki3!W275</f>
        <v>0</v>
      </c>
      <c r="G89" s="1163">
        <f>agmki3!X275</f>
        <v>0</v>
      </c>
      <c r="H89" s="1163">
        <f>agmki3!Y275</f>
        <v>0</v>
      </c>
      <c r="I89" s="398" t="str">
        <f t="shared" si="3"/>
        <v xml:space="preserve">  </v>
      </c>
      <c r="K89" s="134">
        <v>39</v>
      </c>
      <c r="L89" s="382">
        <f>dtsiswa!D45</f>
        <v>0</v>
      </c>
      <c r="M89" s="1800">
        <f>agki_4!AJ390</f>
        <v>0</v>
      </c>
      <c r="N89" s="1800">
        <f>agki_4!AK390</f>
        <v>0</v>
      </c>
      <c r="O89" s="1800">
        <f>agki_4!AL390</f>
        <v>0</v>
      </c>
      <c r="P89" s="1800">
        <f>agki_4!AM390</f>
        <v>0</v>
      </c>
      <c r="Q89" s="1800">
        <f>agki_4!AN390</f>
        <v>0</v>
      </c>
      <c r="R89" s="1800">
        <f>agki_4!AO390</f>
        <v>0</v>
      </c>
      <c r="S89" s="1800">
        <f>agki_4!AP390</f>
        <v>0</v>
      </c>
      <c r="T89" s="1800">
        <f>agki_4!AQ390</f>
        <v>0</v>
      </c>
      <c r="U89" s="1800">
        <f>agki_4!AR390</f>
        <v>0</v>
      </c>
      <c r="V89" s="743" t="str">
        <f t="shared" si="4"/>
        <v xml:space="preserve">  </v>
      </c>
    </row>
    <row r="90" spans="1:22" ht="15.75" x14ac:dyDescent="0.25">
      <c r="A90" s="134">
        <v>40</v>
      </c>
      <c r="B90" s="382">
        <f>dtsiswa!D46</f>
        <v>0</v>
      </c>
      <c r="C90" s="387">
        <f>agmki3!T282</f>
        <v>0</v>
      </c>
      <c r="D90" s="1163">
        <f>agmki3!U282</f>
        <v>0</v>
      </c>
      <c r="E90" s="1163">
        <f>agmki3!V282</f>
        <v>0</v>
      </c>
      <c r="F90" s="1163">
        <f>agmki3!W282</f>
        <v>0</v>
      </c>
      <c r="G90" s="1163">
        <f>agmki3!X282</f>
        <v>0</v>
      </c>
      <c r="H90" s="1163">
        <f>agmki3!Y282</f>
        <v>0</v>
      </c>
      <c r="I90" s="398" t="str">
        <f t="shared" si="3"/>
        <v xml:space="preserve">  </v>
      </c>
      <c r="K90" s="387">
        <v>40</v>
      </c>
      <c r="L90" s="382">
        <f>dtsiswa!D46</f>
        <v>0</v>
      </c>
      <c r="M90" s="1800">
        <f>agki_4!AJ400</f>
        <v>0</v>
      </c>
      <c r="N90" s="1800">
        <f>agki_4!AK400</f>
        <v>0</v>
      </c>
      <c r="O90" s="1800">
        <f>agki_4!AL400</f>
        <v>0</v>
      </c>
      <c r="P90" s="1800">
        <f>agki_4!AM400</f>
        <v>0</v>
      </c>
      <c r="Q90" s="1800">
        <f>agki_4!AN400</f>
        <v>0</v>
      </c>
      <c r="R90" s="1800">
        <f>agki_4!AO400</f>
        <v>1</v>
      </c>
      <c r="S90" s="1800">
        <f>agki_4!AP400</f>
        <v>0</v>
      </c>
      <c r="T90" s="1800">
        <f>agki_4!AQ400</f>
        <v>0</v>
      </c>
      <c r="U90" s="1800">
        <f>agki_4!AR400</f>
        <v>0</v>
      </c>
      <c r="V90" s="743" t="str">
        <f t="shared" si="4"/>
        <v xml:space="preserve">  </v>
      </c>
    </row>
  </sheetData>
  <mergeCells count="3">
    <mergeCell ref="K1:N1"/>
    <mergeCell ref="A48:H48"/>
    <mergeCell ref="K48:N48"/>
  </mergeCells>
  <conditionalFormatting sqref="C4:H43">
    <cfRule type="top10" dxfId="645" priority="2025" rank="1"/>
  </conditionalFormatting>
  <conditionalFormatting sqref="C51:H51">
    <cfRule type="top10" dxfId="644" priority="2026" rank="1"/>
  </conditionalFormatting>
  <conditionalFormatting sqref="C52:H52">
    <cfRule type="top10" dxfId="643" priority="2027" rank="1"/>
  </conditionalFormatting>
  <conditionalFormatting sqref="C53:H53">
    <cfRule type="top10" dxfId="642" priority="2028" rank="1"/>
  </conditionalFormatting>
  <conditionalFormatting sqref="C54:H54">
    <cfRule type="top10" dxfId="641" priority="2029" rank="1"/>
  </conditionalFormatting>
  <conditionalFormatting sqref="C55:H55">
    <cfRule type="top10" dxfId="640" priority="2030" rank="1"/>
  </conditionalFormatting>
  <conditionalFormatting sqref="C56:H56">
    <cfRule type="top10" dxfId="639" priority="2031" rank="1"/>
  </conditionalFormatting>
  <conditionalFormatting sqref="C57:H57">
    <cfRule type="top10" dxfId="638" priority="2032" rank="1"/>
  </conditionalFormatting>
  <conditionalFormatting sqref="C58:H58">
    <cfRule type="top10" dxfId="637" priority="2033" rank="1"/>
  </conditionalFormatting>
  <conditionalFormatting sqref="C59:H59">
    <cfRule type="top10" dxfId="636" priority="2034" rank="1"/>
  </conditionalFormatting>
  <conditionalFormatting sqref="C60:H60">
    <cfRule type="top10" dxfId="635" priority="2035" rank="1"/>
  </conditionalFormatting>
  <conditionalFormatting sqref="C61:H61">
    <cfRule type="top10" dxfId="634" priority="2036" rank="1"/>
  </conditionalFormatting>
  <conditionalFormatting sqref="C62:H62">
    <cfRule type="top10" dxfId="633" priority="2037" rank="1"/>
  </conditionalFormatting>
  <conditionalFormatting sqref="C63:H63">
    <cfRule type="top10" dxfId="632" priority="2038" rank="1"/>
  </conditionalFormatting>
  <conditionalFormatting sqref="C64:H64">
    <cfRule type="top10" dxfId="631" priority="2039" rank="1"/>
  </conditionalFormatting>
  <conditionalFormatting sqref="C65:H65">
    <cfRule type="top10" dxfId="630" priority="2040" rank="1"/>
  </conditionalFormatting>
  <conditionalFormatting sqref="C66:H66">
    <cfRule type="top10" dxfId="629" priority="2041" rank="1"/>
  </conditionalFormatting>
  <conditionalFormatting sqref="C67:H67">
    <cfRule type="top10" dxfId="628" priority="2042" rank="1"/>
  </conditionalFormatting>
  <conditionalFormatting sqref="C68:H68">
    <cfRule type="top10" dxfId="627" priority="2043" rank="1"/>
  </conditionalFormatting>
  <conditionalFormatting sqref="C69:H69">
    <cfRule type="top10" dxfId="626" priority="2044" rank="1"/>
  </conditionalFormatting>
  <conditionalFormatting sqref="C70:H70">
    <cfRule type="top10" dxfId="625" priority="2045" rank="1"/>
  </conditionalFormatting>
  <conditionalFormatting sqref="C71:H71">
    <cfRule type="top10" dxfId="624" priority="2046" rank="1"/>
  </conditionalFormatting>
  <conditionalFormatting sqref="C4:H43">
    <cfRule type="top10" dxfId="623" priority="2047" rank="1"/>
  </conditionalFormatting>
  <conditionalFormatting sqref="C5:H9">
    <cfRule type="top10" dxfId="622" priority="2048" rank="1"/>
  </conditionalFormatting>
  <conditionalFormatting sqref="C6:H9">
    <cfRule type="top10" dxfId="621" priority="2049" rank="1"/>
  </conditionalFormatting>
  <conditionalFormatting sqref="C7:H9">
    <cfRule type="top10" dxfId="620" priority="2050" rank="1"/>
  </conditionalFormatting>
  <conditionalFormatting sqref="C10:H10">
    <cfRule type="top10" dxfId="619" priority="2052" rank="1"/>
  </conditionalFormatting>
  <conditionalFormatting sqref="C11:H11">
    <cfRule type="top10" dxfId="618" priority="2053" rank="1"/>
  </conditionalFormatting>
  <conditionalFormatting sqref="C12:H12">
    <cfRule type="top10" dxfId="617" priority="2054" rank="1"/>
  </conditionalFormatting>
  <conditionalFormatting sqref="C13:H13">
    <cfRule type="top10" dxfId="616" priority="2055" rank="1"/>
  </conditionalFormatting>
  <conditionalFormatting sqref="C14:H23">
    <cfRule type="top10" dxfId="615" priority="2056" rank="1"/>
  </conditionalFormatting>
  <conditionalFormatting sqref="C14:H14">
    <cfRule type="top10" dxfId="614" priority="2057" rank="1"/>
  </conditionalFormatting>
  <conditionalFormatting sqref="C15:H15">
    <cfRule type="top10" dxfId="613" priority="2058" rank="1"/>
  </conditionalFormatting>
  <conditionalFormatting sqref="C16:H16">
    <cfRule type="top10" dxfId="612" priority="2059" rank="1"/>
  </conditionalFormatting>
  <conditionalFormatting sqref="C17:H17">
    <cfRule type="top10" dxfId="611" priority="2060" rank="1"/>
  </conditionalFormatting>
  <conditionalFormatting sqref="C18:H18">
    <cfRule type="top10" dxfId="610" priority="2061" rank="1"/>
  </conditionalFormatting>
  <conditionalFormatting sqref="C19:H19">
    <cfRule type="top10" dxfId="609" priority="2062" rank="1"/>
  </conditionalFormatting>
  <conditionalFormatting sqref="C20:H20">
    <cfRule type="top10" dxfId="608" priority="2063" rank="1"/>
  </conditionalFormatting>
  <conditionalFormatting sqref="C22:H22">
    <cfRule type="top10" dxfId="607" priority="2064" rank="1"/>
  </conditionalFormatting>
  <conditionalFormatting sqref="C21:H21">
    <cfRule type="top10" dxfId="606" priority="2065" rank="1"/>
  </conditionalFormatting>
  <conditionalFormatting sqref="C23:H23">
    <cfRule type="top10" dxfId="605" priority="2066" rank="1"/>
  </conditionalFormatting>
  <conditionalFormatting sqref="C24:H24">
    <cfRule type="top10" dxfId="604" priority="2067" rank="1"/>
  </conditionalFormatting>
  <conditionalFormatting sqref="C25:H25">
    <cfRule type="top10" dxfId="603" priority="2068" rank="1"/>
  </conditionalFormatting>
  <conditionalFormatting sqref="C26:H26">
    <cfRule type="top10" dxfId="602" priority="2069" rank="1"/>
  </conditionalFormatting>
  <conditionalFormatting sqref="C27:H27">
    <cfRule type="top10" dxfId="601" priority="2070" rank="1"/>
  </conditionalFormatting>
  <conditionalFormatting sqref="C28:H28">
    <cfRule type="top10" dxfId="600" priority="2071" rank="1"/>
  </conditionalFormatting>
  <conditionalFormatting sqref="C29:H29">
    <cfRule type="top10" dxfId="599" priority="2072" rank="1"/>
  </conditionalFormatting>
  <conditionalFormatting sqref="C30:H30">
    <cfRule type="top10" dxfId="598" priority="2073" rank="1"/>
  </conditionalFormatting>
  <conditionalFormatting sqref="C31:H31">
    <cfRule type="top10" dxfId="597" priority="2074" rank="1"/>
  </conditionalFormatting>
  <conditionalFormatting sqref="C32:H32">
    <cfRule type="top10" dxfId="596" priority="2075" rank="1"/>
  </conditionalFormatting>
  <conditionalFormatting sqref="C33:H33">
    <cfRule type="top10" dxfId="595" priority="2076" rank="1"/>
  </conditionalFormatting>
  <conditionalFormatting sqref="C34:H34">
    <cfRule type="top10" dxfId="594" priority="2077" rank="1"/>
  </conditionalFormatting>
  <conditionalFormatting sqref="C35:H35">
    <cfRule type="top10" dxfId="593" priority="2078" rank="1"/>
  </conditionalFormatting>
  <conditionalFormatting sqref="C36:H36">
    <cfRule type="top10" dxfId="592" priority="2079" rank="1"/>
  </conditionalFormatting>
  <conditionalFormatting sqref="C37:H37">
    <cfRule type="top10" dxfId="591" priority="2080" rank="1"/>
  </conditionalFormatting>
  <conditionalFormatting sqref="C38:H38">
    <cfRule type="top10" dxfId="590" priority="2081" rank="1"/>
  </conditionalFormatting>
  <conditionalFormatting sqref="C39:H39">
    <cfRule type="top10" dxfId="589" priority="2082" rank="1"/>
  </conditionalFormatting>
  <conditionalFormatting sqref="C40:H40">
    <cfRule type="top10" dxfId="588" priority="2083" rank="1"/>
  </conditionalFormatting>
  <conditionalFormatting sqref="C41:H41">
    <cfRule type="top10" dxfId="587" priority="2084" rank="1"/>
  </conditionalFormatting>
  <conditionalFormatting sqref="C42:H42">
    <cfRule type="top10" dxfId="586" priority="2085" rank="1"/>
  </conditionalFormatting>
  <conditionalFormatting sqref="C43:H43">
    <cfRule type="top10" dxfId="585" priority="2086" rank="1"/>
  </conditionalFormatting>
  <conditionalFormatting sqref="M4:U43">
    <cfRule type="top10" dxfId="584" priority="2087" rank="1"/>
  </conditionalFormatting>
  <conditionalFormatting sqref="M5:U43">
    <cfRule type="top10" dxfId="583" priority="2088" rank="1"/>
  </conditionalFormatting>
  <conditionalFormatting sqref="M6:U43">
    <cfRule type="top10" dxfId="582" priority="2089" rank="1"/>
  </conditionalFormatting>
  <conditionalFormatting sqref="M7:U8">
    <cfRule type="top10" dxfId="581" priority="2090" rank="1"/>
  </conditionalFormatting>
  <conditionalFormatting sqref="M8:U8">
    <cfRule type="top10" dxfId="580" priority="2091" rank="1"/>
  </conditionalFormatting>
  <conditionalFormatting sqref="M9:U9">
    <cfRule type="top10" dxfId="579" priority="2092" rank="1"/>
  </conditionalFormatting>
  <conditionalFormatting sqref="M10:U10">
    <cfRule type="top10" dxfId="578" priority="2093" rank="1"/>
  </conditionalFormatting>
  <conditionalFormatting sqref="M11:U11">
    <cfRule type="top10" dxfId="577" priority="2094" rank="1"/>
  </conditionalFormatting>
  <conditionalFormatting sqref="M12:U12">
    <cfRule type="top10" dxfId="576" priority="2095" rank="1"/>
  </conditionalFormatting>
  <conditionalFormatting sqref="M13:U13">
    <cfRule type="top10" dxfId="575" priority="2096" rank="1"/>
  </conditionalFormatting>
  <conditionalFormatting sqref="M14:U14">
    <cfRule type="top10" dxfId="574" priority="2097" rank="1"/>
  </conditionalFormatting>
  <conditionalFormatting sqref="M15:U15">
    <cfRule type="top10" dxfId="573" priority="2098" rank="1"/>
  </conditionalFormatting>
  <conditionalFormatting sqref="M16:U42">
    <cfRule type="top10" dxfId="572" priority="2099" rank="1"/>
  </conditionalFormatting>
  <conditionalFormatting sqref="M17:U17">
    <cfRule type="top10" dxfId="571" priority="2100" rank="1"/>
  </conditionalFormatting>
  <conditionalFormatting sqref="M18:U18">
    <cfRule type="top10" dxfId="570" priority="2101" rank="1"/>
  </conditionalFormatting>
  <conditionalFormatting sqref="M19:U19">
    <cfRule type="top10" dxfId="569" priority="2102" rank="1"/>
  </conditionalFormatting>
  <conditionalFormatting sqref="M20:U20">
    <cfRule type="top10" dxfId="568" priority="2103" rank="1"/>
  </conditionalFormatting>
  <conditionalFormatting sqref="M21:U21">
    <cfRule type="top10" dxfId="567" priority="2104" rank="1"/>
  </conditionalFormatting>
  <conditionalFormatting sqref="M22:U22">
    <cfRule type="top10" dxfId="566" priority="2105" rank="1"/>
  </conditionalFormatting>
  <conditionalFormatting sqref="M23:U23">
    <cfRule type="top10" dxfId="565" priority="2106" rank="1"/>
  </conditionalFormatting>
  <conditionalFormatting sqref="M24:U24">
    <cfRule type="top10" dxfId="564" priority="2107" rank="1"/>
  </conditionalFormatting>
  <conditionalFormatting sqref="M51:U51">
    <cfRule type="top10" dxfId="563" priority="2108" rank="1"/>
  </conditionalFormatting>
  <conditionalFormatting sqref="M52:U52">
    <cfRule type="top10" dxfId="562" priority="2109" rank="1"/>
  </conditionalFormatting>
  <conditionalFormatting sqref="M53:U53">
    <cfRule type="top10" dxfId="561" priority="2110" rank="1"/>
  </conditionalFormatting>
  <conditionalFormatting sqref="M54:U54">
    <cfRule type="top10" dxfId="560" priority="2111" rank="1"/>
  </conditionalFormatting>
  <conditionalFormatting sqref="M55:U55">
    <cfRule type="top10" dxfId="559" priority="2112" rank="1"/>
  </conditionalFormatting>
  <conditionalFormatting sqref="M56:U56">
    <cfRule type="top10" dxfId="558" priority="2113" rank="1"/>
  </conditionalFormatting>
  <conditionalFormatting sqref="M57:U57">
    <cfRule type="top10" dxfId="557" priority="2114" rank="1"/>
  </conditionalFormatting>
  <conditionalFormatting sqref="M58:U58">
    <cfRule type="top10" dxfId="556" priority="2115" rank="1"/>
  </conditionalFormatting>
  <conditionalFormatting sqref="M59:U59">
    <cfRule type="top10" dxfId="555" priority="2116" rank="1"/>
  </conditionalFormatting>
  <conditionalFormatting sqref="M60:U60">
    <cfRule type="top10" dxfId="554" priority="2117" rank="1"/>
  </conditionalFormatting>
  <conditionalFormatting sqref="M61:U61">
    <cfRule type="top10" dxfId="553" priority="2118" rank="1"/>
  </conditionalFormatting>
  <conditionalFormatting sqref="M62:U62">
    <cfRule type="top10" dxfId="552" priority="2119" rank="1"/>
  </conditionalFormatting>
  <conditionalFormatting sqref="M63:U63">
    <cfRule type="top10" dxfId="551" priority="2120" rank="1"/>
  </conditionalFormatting>
  <conditionalFormatting sqref="M64:U64">
    <cfRule type="top10" dxfId="550" priority="2121" rank="1"/>
  </conditionalFormatting>
  <conditionalFormatting sqref="M65:U65">
    <cfRule type="top10" dxfId="549" priority="2122" rank="1"/>
  </conditionalFormatting>
  <conditionalFormatting sqref="M66:U66">
    <cfRule type="top10" dxfId="548" priority="2123" rank="1"/>
  </conditionalFormatting>
  <conditionalFormatting sqref="M67:U67">
    <cfRule type="top10" dxfId="547" priority="2124" rank="1"/>
  </conditionalFormatting>
  <conditionalFormatting sqref="M68:U68">
    <cfRule type="top10" dxfId="546" priority="2125" rank="1"/>
  </conditionalFormatting>
  <conditionalFormatting sqref="M69:U69">
    <cfRule type="top10" dxfId="545" priority="2126" rank="1"/>
  </conditionalFormatting>
  <conditionalFormatting sqref="M70:U70">
    <cfRule type="top10" dxfId="544" priority="2127" rank="1"/>
  </conditionalFormatting>
  <conditionalFormatting sqref="M71:U71">
    <cfRule type="top10" dxfId="543" priority="2128" rank="1"/>
  </conditionalFormatting>
  <conditionalFormatting sqref="M72:U72">
    <cfRule type="top10" dxfId="542" priority="2129" rank="1"/>
  </conditionalFormatting>
  <conditionalFormatting sqref="M73:U73">
    <cfRule type="top10" dxfId="541" priority="2130" rank="1"/>
  </conditionalFormatting>
  <conditionalFormatting sqref="M74:U74">
    <cfRule type="top10" dxfId="540" priority="2131" rank="1"/>
  </conditionalFormatting>
  <conditionalFormatting sqref="M75:U75">
    <cfRule type="top10" dxfId="539" priority="2132" rank="1"/>
  </conditionalFormatting>
  <conditionalFormatting sqref="M76:U76">
    <cfRule type="top10" dxfId="538" priority="2133" rank="1"/>
  </conditionalFormatting>
  <conditionalFormatting sqref="M77:U77">
    <cfRule type="top10" dxfId="537" priority="2134" rank="1"/>
  </conditionalFormatting>
  <conditionalFormatting sqref="M78:U78">
    <cfRule type="top10" dxfId="536" priority="2135" rank="1"/>
  </conditionalFormatting>
  <conditionalFormatting sqref="M79:U79">
    <cfRule type="top10" dxfId="535" priority="2136" rank="1"/>
  </conditionalFormatting>
  <conditionalFormatting sqref="M80:U80">
    <cfRule type="top10" dxfId="534" priority="2137" rank="1"/>
  </conditionalFormatting>
  <conditionalFormatting sqref="M25:U42">
    <cfRule type="top10" dxfId="533" priority="2138" rank="1"/>
  </conditionalFormatting>
  <conditionalFormatting sqref="M26:U26">
    <cfRule type="top10" dxfId="532" priority="2139" rank="1"/>
  </conditionalFormatting>
  <conditionalFormatting sqref="M27:U27">
    <cfRule type="top10" dxfId="531" priority="2140" rank="1"/>
  </conditionalFormatting>
  <conditionalFormatting sqref="M28:U28">
    <cfRule type="top10" dxfId="530" priority="2141" rank="1"/>
  </conditionalFormatting>
  <conditionalFormatting sqref="M29:U29">
    <cfRule type="top10" dxfId="529" priority="2142" rank="1"/>
  </conditionalFormatting>
  <conditionalFormatting sqref="M30:U30">
    <cfRule type="top10" dxfId="528" priority="2143" rank="1"/>
  </conditionalFormatting>
  <conditionalFormatting sqref="M31:U31">
    <cfRule type="top10" dxfId="527" priority="2144" rank="1"/>
  </conditionalFormatting>
  <conditionalFormatting sqref="M32:U32">
    <cfRule type="top10" dxfId="526" priority="2145" rank="1"/>
  </conditionalFormatting>
  <conditionalFormatting sqref="M33:U33">
    <cfRule type="top10" dxfId="525" priority="2146" rank="1"/>
  </conditionalFormatting>
  <conditionalFormatting sqref="M34:U42">
    <cfRule type="top10" dxfId="524" priority="2147" rank="1"/>
  </conditionalFormatting>
  <conditionalFormatting sqref="M35:U35">
    <cfRule type="top10" dxfId="523" priority="2148" rank="1"/>
  </conditionalFormatting>
  <conditionalFormatting sqref="M36:U36">
    <cfRule type="top10" dxfId="522" priority="2149" rank="1"/>
  </conditionalFormatting>
  <conditionalFormatting sqref="M37:U37">
    <cfRule type="top10" dxfId="521" priority="2150" rank="1"/>
  </conditionalFormatting>
  <conditionalFormatting sqref="M38:U38">
    <cfRule type="top10" dxfId="520" priority="2151" rank="1"/>
  </conditionalFormatting>
  <conditionalFormatting sqref="M39:U39">
    <cfRule type="top10" dxfId="519" priority="2152" rank="1"/>
  </conditionalFormatting>
  <conditionalFormatting sqref="M40:U40">
    <cfRule type="top10" dxfId="518" priority="2153" rank="1"/>
  </conditionalFormatting>
  <conditionalFormatting sqref="M41:U41">
    <cfRule type="top10" dxfId="517" priority="2154" rank="1"/>
  </conditionalFormatting>
  <conditionalFormatting sqref="M42:U42">
    <cfRule type="top10" dxfId="516" priority="2155" rank="1"/>
  </conditionalFormatting>
  <conditionalFormatting sqref="M43:U43">
    <cfRule type="top10" dxfId="515" priority="2156" rank="1"/>
  </conditionalFormatting>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Q90"/>
  <sheetViews>
    <sheetView workbookViewId="0">
      <selection sqref="A1:E1"/>
    </sheetView>
  </sheetViews>
  <sheetFormatPr defaultRowHeight="15" x14ac:dyDescent="0.25"/>
  <cols>
    <col min="1" max="1" width="4.7109375" style="352" customWidth="1"/>
    <col min="2" max="2" width="37.85546875" style="352" customWidth="1"/>
    <col min="3" max="3" width="8.42578125" style="352" customWidth="1"/>
    <col min="4" max="4" width="9" style="352" customWidth="1"/>
    <col min="5" max="5" width="8.7109375" style="352" customWidth="1"/>
    <col min="6" max="6" width="119.7109375" style="352" customWidth="1"/>
    <col min="7" max="7" width="0.42578125" style="352" customWidth="1"/>
    <col min="8" max="8" width="6.7109375" style="352" customWidth="1"/>
    <col min="9" max="9" width="44.140625" style="352" customWidth="1"/>
    <col min="10" max="10" width="9.140625" style="352" customWidth="1"/>
    <col min="11" max="12" width="10.7109375" style="352" customWidth="1"/>
    <col min="13" max="13" width="106.28515625" style="352" customWidth="1"/>
    <col min="14" max="14" width="8.42578125" style="352" customWidth="1"/>
    <col min="15" max="15" width="37.5703125" style="352" customWidth="1"/>
    <col min="16" max="16" width="66.28515625" style="352" customWidth="1"/>
    <col min="17" max="17" width="74.42578125" style="352" customWidth="1"/>
    <col min="18" max="18" width="9.140625" style="352"/>
    <col min="19" max="19" width="6.42578125" style="352" customWidth="1"/>
    <col min="20" max="16384" width="9.140625" style="352"/>
  </cols>
  <sheetData>
    <row r="1" spans="1:17" ht="26.25" x14ac:dyDescent="0.4">
      <c r="A1" s="2907" t="s">
        <v>169</v>
      </c>
      <c r="B1" s="2907"/>
      <c r="C1" s="2907"/>
      <c r="D1" s="2907"/>
      <c r="E1" s="2907"/>
      <c r="F1" s="373"/>
      <c r="G1" s="364"/>
      <c r="H1" s="2907" t="s">
        <v>169</v>
      </c>
      <c r="I1" s="2907"/>
      <c r="J1" s="2907"/>
      <c r="K1" s="2907"/>
      <c r="L1" s="373"/>
      <c r="M1" s="373"/>
      <c r="N1" s="374" t="s">
        <v>431</v>
      </c>
    </row>
    <row r="2" spans="1:17" ht="27" thickBot="1" x14ac:dyDescent="0.45">
      <c r="A2" s="375" t="s">
        <v>147</v>
      </c>
      <c r="B2" s="373"/>
      <c r="C2" s="373"/>
      <c r="D2" s="373"/>
      <c r="E2" s="373"/>
      <c r="F2" s="373"/>
      <c r="G2" s="364"/>
      <c r="H2" s="376" t="s">
        <v>697</v>
      </c>
      <c r="I2" s="373"/>
      <c r="J2" s="373"/>
      <c r="K2" s="373"/>
      <c r="L2" s="373"/>
      <c r="M2" s="373"/>
    </row>
    <row r="3" spans="1:17" ht="49.5" customHeight="1" thickBot="1" x14ac:dyDescent="0.3">
      <c r="A3" s="377" t="s">
        <v>0</v>
      </c>
      <c r="B3" s="377" t="s">
        <v>1</v>
      </c>
      <c r="C3" s="150" t="s">
        <v>12</v>
      </c>
      <c r="D3" s="150" t="s">
        <v>7</v>
      </c>
      <c r="E3" s="150" t="s">
        <v>10</v>
      </c>
      <c r="F3" s="152" t="s">
        <v>138</v>
      </c>
      <c r="H3" s="305" t="s">
        <v>0</v>
      </c>
      <c r="I3" s="305" t="s">
        <v>1</v>
      </c>
      <c r="J3" s="1002" t="s">
        <v>154</v>
      </c>
      <c r="K3" s="1002" t="s">
        <v>155</v>
      </c>
      <c r="L3" s="1002" t="s">
        <v>9</v>
      </c>
      <c r="M3" s="152" t="s">
        <v>138</v>
      </c>
      <c r="N3" s="378" t="s">
        <v>0</v>
      </c>
      <c r="O3" s="379" t="s">
        <v>1</v>
      </c>
      <c r="P3" s="380" t="s">
        <v>145</v>
      </c>
      <c r="Q3" s="381" t="s">
        <v>146</v>
      </c>
    </row>
    <row r="4" spans="1:17" ht="15" customHeight="1" x14ac:dyDescent="0.25">
      <c r="A4" s="134">
        <v>1</v>
      </c>
      <c r="B4" s="382" t="str">
        <f>dtsiswa!D7</f>
        <v>Achmad Zacky</v>
      </c>
      <c r="C4" s="387">
        <f>pknki_3!N7</f>
        <v>0</v>
      </c>
      <c r="D4" s="387">
        <f>pknki_3!O7</f>
        <v>4</v>
      </c>
      <c r="E4" s="387">
        <f>pknki_3!P7</f>
        <v>0</v>
      </c>
      <c r="F4" s="668" t="str">
        <f>IF(OR(C4=4,C4=3),VLOOKUP(C4,DES_KI3_PKN,2,FALSE),IF(OR(D4=4,D4=3),VLOOKUP(D4,DES_KI3_PKN,3,FALSE),IF(OR(E4=4,E4=3),VLOOKUP(E4,DES_KI3_PKN,4,FALSE),"  ")))</f>
        <v xml:space="preserve">Sangat Baik dalam Memahami hak dan kewajiban sebagai warga dalam kehidupan sehari-hari di rumah, sekolah dan masyarakat. </v>
      </c>
      <c r="H4" s="134">
        <v>1</v>
      </c>
      <c r="I4" s="382" t="str">
        <f>dtsiswa!D7</f>
        <v>Achmad Zacky</v>
      </c>
      <c r="J4" s="383">
        <f>pkn_ki4!X8</f>
        <v>0</v>
      </c>
      <c r="K4" s="383">
        <f>pkn_ki4!Y8</f>
        <v>3</v>
      </c>
      <c r="L4" s="383">
        <f>pkn_ki4!Z8</f>
        <v>0</v>
      </c>
      <c r="M4" s="669" t="str">
        <f t="shared" ref="M4:M43" si="0">IF(OR(J4=3,J4=4),VLOOKUP(J4,des_KI4_PKN,2,FALSE),IF(OR(K4=3,K4=4),VLOOKUP(K4,des_KI4_PKN,3,FALSE),IF(OR(L4=3,L4=4),VLOOKUP(L4,des_KI4_PKN,4,FALSE),"  ")))</f>
        <v xml:space="preserve">Baik dalam melaksanakan kewajiban sebagai warga di lingkungan rumah, sekolah dan masyarakat. </v>
      </c>
      <c r="N4" s="134">
        <v>1</v>
      </c>
      <c r="O4" s="384" t="str">
        <f>dtsiswa!D7</f>
        <v>Achmad Zacky</v>
      </c>
      <c r="P4" s="385" t="str">
        <f t="shared" ref="P4:P43" si="1">IFERROR(CONCATENATE(F4,F51),"  ")</f>
        <v xml:space="preserve">Sangat Baik dalam Memahami hak dan kewajiban sebagai warga dalam kehidupan sehari-hari di rumah, sekolah dan masyarakat.   </v>
      </c>
      <c r="Q4" s="386" t="str">
        <f t="shared" ref="Q4:Q43" si="2">IFERROR(CONCATENATE(M4,M51),"  ")</f>
        <v xml:space="preserve">Baik dalam melaksanakan kewajiban sebagai warga di lingkungan rumah, sekolah dan masyarakat. Baik dalam Mengamati dan menceritakan perilaku di sekitar rumah dan sekolah dari sudut pandang kelima simbol Pancasila sebagai satu kesatuan yang utuh. </v>
      </c>
    </row>
    <row r="5" spans="1:17" ht="15" customHeight="1" x14ac:dyDescent="0.25">
      <c r="A5" s="134">
        <v>2</v>
      </c>
      <c r="B5" s="382" t="str">
        <f>dtsiswa!D8</f>
        <v>Angelia Vabel R</v>
      </c>
      <c r="C5" s="387">
        <f>pknki_3!N11</f>
        <v>0</v>
      </c>
      <c r="D5" s="387">
        <f>pknki_3!O11</f>
        <v>0</v>
      </c>
      <c r="E5" s="387">
        <f>pknki_3!P11</f>
        <v>0</v>
      </c>
      <c r="F5" s="668" t="str">
        <f t="shared" ref="F5:F43" si="3">IF(OR(C5=4,C5=3),VLOOKUP(C5,DES_KI3_PKN,2,FALSE),IF(OR(D5=4,D5=3),VLOOKUP(D5,DES_KI3_PKN,3,FALSE),IF(OR(E5=4,E5=3),VLOOKUP(E5,DES_KI3_PKN,4,FALSE),"  ")))</f>
        <v xml:space="preserve">  </v>
      </c>
      <c r="H5" s="134">
        <v>2</v>
      </c>
      <c r="I5" s="382" t="str">
        <f>dtsiswa!D8</f>
        <v>Angelia Vabel R</v>
      </c>
      <c r="J5" s="383">
        <f>pkn_ki4!X12</f>
        <v>0</v>
      </c>
      <c r="K5" s="383">
        <f>pkn_ki4!Y12</f>
        <v>0</v>
      </c>
      <c r="L5" s="383">
        <f>pkn_ki4!Z12</f>
        <v>0</v>
      </c>
      <c r="M5" s="669" t="str">
        <f t="shared" si="0"/>
        <v xml:space="preserve">  </v>
      </c>
      <c r="N5" s="134">
        <v>2</v>
      </c>
      <c r="O5" s="384" t="str">
        <f>dtsiswa!D8</f>
        <v>Angelia Vabel R</v>
      </c>
      <c r="P5" s="385" t="str">
        <f t="shared" si="1"/>
        <v xml:space="preserve">    </v>
      </c>
      <c r="Q5" s="386" t="str">
        <f t="shared" si="2"/>
        <v xml:space="preserve">    </v>
      </c>
    </row>
    <row r="6" spans="1:17" ht="15" customHeight="1" x14ac:dyDescent="0.25">
      <c r="A6" s="134">
        <v>3</v>
      </c>
      <c r="B6" s="382" t="str">
        <f>dtsiswa!D9</f>
        <v>Anggun Dwi P.I</v>
      </c>
      <c r="C6" s="387">
        <f>pknki_3!N15</f>
        <v>0</v>
      </c>
      <c r="D6" s="387">
        <f>pknki_3!O15</f>
        <v>0</v>
      </c>
      <c r="E6" s="387">
        <f>pknki_3!P15</f>
        <v>0</v>
      </c>
      <c r="F6" s="668" t="str">
        <f t="shared" si="3"/>
        <v xml:space="preserve">  </v>
      </c>
      <c r="H6" s="134">
        <v>3</v>
      </c>
      <c r="I6" s="382" t="str">
        <f>dtsiswa!D9</f>
        <v>Anggun Dwi P.I</v>
      </c>
      <c r="J6" s="383">
        <f>pkn_ki4!X16</f>
        <v>0</v>
      </c>
      <c r="K6" s="383">
        <f>pkn_ki4!Y16</f>
        <v>0</v>
      </c>
      <c r="L6" s="383">
        <f>pkn_ki4!Z16</f>
        <v>0</v>
      </c>
      <c r="M6" s="669" t="str">
        <f t="shared" si="0"/>
        <v xml:space="preserve">  </v>
      </c>
      <c r="N6" s="134">
        <v>3</v>
      </c>
      <c r="O6" s="384" t="str">
        <f>dtsiswa!D9</f>
        <v>Anggun Dwi P.I</v>
      </c>
      <c r="P6" s="385" t="str">
        <f t="shared" si="1"/>
        <v xml:space="preserve">    </v>
      </c>
      <c r="Q6" s="386" t="str">
        <f t="shared" si="2"/>
        <v xml:space="preserve">    </v>
      </c>
    </row>
    <row r="7" spans="1:17" ht="15" customHeight="1" x14ac:dyDescent="0.25">
      <c r="A7" s="134">
        <v>4</v>
      </c>
      <c r="B7" s="382" t="str">
        <f>dtsiswa!D10</f>
        <v>Antonio Permata A</v>
      </c>
      <c r="C7" s="387">
        <f>pknki_3!N19</f>
        <v>0</v>
      </c>
      <c r="D7" s="387">
        <f>pknki_3!O19</f>
        <v>0</v>
      </c>
      <c r="E7" s="387">
        <f>pknki_3!P19</f>
        <v>0</v>
      </c>
      <c r="F7" s="668" t="str">
        <f t="shared" si="3"/>
        <v xml:space="preserve">  </v>
      </c>
      <c r="H7" s="134">
        <v>4</v>
      </c>
      <c r="I7" s="382" t="str">
        <f>dtsiswa!D10</f>
        <v>Antonio Permata A</v>
      </c>
      <c r="J7" s="383">
        <f>pkn_ki4!X20</f>
        <v>0</v>
      </c>
      <c r="K7" s="383">
        <f>pkn_ki4!Y20</f>
        <v>0</v>
      </c>
      <c r="L7" s="383">
        <f>pkn_ki4!Z20</f>
        <v>0</v>
      </c>
      <c r="M7" s="669" t="str">
        <f t="shared" si="0"/>
        <v xml:space="preserve">  </v>
      </c>
      <c r="N7" s="134">
        <v>4</v>
      </c>
      <c r="O7" s="384" t="str">
        <f>dtsiswa!D10</f>
        <v>Antonio Permata A</v>
      </c>
      <c r="P7" s="385" t="str">
        <f t="shared" si="1"/>
        <v xml:space="preserve">    </v>
      </c>
      <c r="Q7" s="386" t="str">
        <f t="shared" si="2"/>
        <v xml:space="preserve">    </v>
      </c>
    </row>
    <row r="8" spans="1:17" ht="15" customHeight="1" x14ac:dyDescent="0.25">
      <c r="A8" s="134">
        <v>5</v>
      </c>
      <c r="B8" s="382" t="str">
        <f>dtsiswa!D11</f>
        <v>Arya Pratama G</v>
      </c>
      <c r="C8" s="387">
        <f>pknki_3!N23</f>
        <v>0</v>
      </c>
      <c r="D8" s="387">
        <f>pknki_3!O23</f>
        <v>0</v>
      </c>
      <c r="E8" s="387">
        <f>pknki_3!P23</f>
        <v>0</v>
      </c>
      <c r="F8" s="668" t="str">
        <f t="shared" si="3"/>
        <v xml:space="preserve">  </v>
      </c>
      <c r="H8" s="134">
        <v>5</v>
      </c>
      <c r="I8" s="382" t="str">
        <f>dtsiswa!D11</f>
        <v>Arya Pratama G</v>
      </c>
      <c r="J8" s="383">
        <f>pkn_ki4!X24</f>
        <v>0</v>
      </c>
      <c r="K8" s="383">
        <f>pkn_ki4!Y24</f>
        <v>0</v>
      </c>
      <c r="L8" s="383">
        <f>pkn_ki4!Z24</f>
        <v>0</v>
      </c>
      <c r="M8" s="669" t="str">
        <f t="shared" si="0"/>
        <v xml:space="preserve">  </v>
      </c>
      <c r="N8" s="134">
        <v>5</v>
      </c>
      <c r="O8" s="384" t="str">
        <f>dtsiswa!D11</f>
        <v>Arya Pratama G</v>
      </c>
      <c r="P8" s="385" t="str">
        <f t="shared" si="1"/>
        <v xml:space="preserve">    </v>
      </c>
      <c r="Q8" s="386" t="str">
        <f t="shared" si="2"/>
        <v xml:space="preserve">    </v>
      </c>
    </row>
    <row r="9" spans="1:17" ht="15" customHeight="1" x14ac:dyDescent="0.25">
      <c r="A9" s="134">
        <v>6</v>
      </c>
      <c r="B9" s="382" t="str">
        <f>dtsiswa!D12</f>
        <v>Asyam Hanif Ihsan H</v>
      </c>
      <c r="C9" s="387">
        <f>pknki_3!N27</f>
        <v>0</v>
      </c>
      <c r="D9" s="387">
        <f>pknki_3!O27</f>
        <v>0</v>
      </c>
      <c r="E9" s="387">
        <f>pknki_3!P27</f>
        <v>0</v>
      </c>
      <c r="F9" s="668" t="str">
        <f t="shared" si="3"/>
        <v xml:space="preserve">  </v>
      </c>
      <c r="H9" s="134">
        <v>6</v>
      </c>
      <c r="I9" s="382" t="str">
        <f>dtsiswa!D12</f>
        <v>Asyam Hanif Ihsan H</v>
      </c>
      <c r="J9" s="383">
        <f>pkn_ki4!X28</f>
        <v>0</v>
      </c>
      <c r="K9" s="383">
        <f>pkn_ki4!Y28</f>
        <v>0</v>
      </c>
      <c r="L9" s="383">
        <f>pkn_ki4!Z28</f>
        <v>0</v>
      </c>
      <c r="M9" s="669" t="str">
        <f t="shared" si="0"/>
        <v xml:space="preserve">  </v>
      </c>
      <c r="N9" s="134">
        <v>6</v>
      </c>
      <c r="O9" s="384" t="str">
        <f>dtsiswa!D12</f>
        <v>Asyam Hanif Ihsan H</v>
      </c>
      <c r="P9" s="385" t="str">
        <f t="shared" si="1"/>
        <v xml:space="preserve">    </v>
      </c>
      <c r="Q9" s="386" t="str">
        <f t="shared" si="2"/>
        <v xml:space="preserve">    </v>
      </c>
    </row>
    <row r="10" spans="1:17" ht="15" customHeight="1" x14ac:dyDescent="0.25">
      <c r="A10" s="134">
        <v>7</v>
      </c>
      <c r="B10" s="382" t="str">
        <f>dtsiswa!D13</f>
        <v>Athaya Salsabilla Z</v>
      </c>
      <c r="C10" s="387">
        <f>pknki_3!N31</f>
        <v>0</v>
      </c>
      <c r="D10" s="387">
        <f>pknki_3!O31</f>
        <v>0</v>
      </c>
      <c r="E10" s="387">
        <f>pknki_3!P31</f>
        <v>0</v>
      </c>
      <c r="F10" s="668" t="str">
        <f t="shared" si="3"/>
        <v xml:space="preserve">  </v>
      </c>
      <c r="H10" s="134">
        <v>7</v>
      </c>
      <c r="I10" s="382" t="str">
        <f>dtsiswa!D13</f>
        <v>Athaya Salsabilla Z</v>
      </c>
      <c r="J10" s="383">
        <f>pkn_ki4!X32</f>
        <v>0</v>
      </c>
      <c r="K10" s="383">
        <f>pkn_ki4!Y32</f>
        <v>0</v>
      </c>
      <c r="L10" s="383">
        <f>pkn_ki4!Z32</f>
        <v>0</v>
      </c>
      <c r="M10" s="669" t="str">
        <f t="shared" si="0"/>
        <v xml:space="preserve">  </v>
      </c>
      <c r="N10" s="134">
        <v>7</v>
      </c>
      <c r="O10" s="384" t="str">
        <f>dtsiswa!D13</f>
        <v>Athaya Salsabilla Z</v>
      </c>
      <c r="P10" s="385" t="str">
        <f t="shared" si="1"/>
        <v xml:space="preserve">    </v>
      </c>
      <c r="Q10" s="386" t="str">
        <f t="shared" si="2"/>
        <v xml:space="preserve">    </v>
      </c>
    </row>
    <row r="11" spans="1:17" ht="15" customHeight="1" x14ac:dyDescent="0.25">
      <c r="A11" s="134">
        <v>8</v>
      </c>
      <c r="B11" s="382" t="str">
        <f>dtsiswa!D14</f>
        <v>Aulia Dea Rosalinda</v>
      </c>
      <c r="C11" s="387">
        <f>pknki_3!N35</f>
        <v>0</v>
      </c>
      <c r="D11" s="387">
        <f>pknki_3!O35</f>
        <v>0</v>
      </c>
      <c r="E11" s="387">
        <f>pknki_3!P35</f>
        <v>0</v>
      </c>
      <c r="F11" s="668" t="str">
        <f t="shared" si="3"/>
        <v xml:space="preserve">  </v>
      </c>
      <c r="H11" s="134">
        <v>8</v>
      </c>
      <c r="I11" s="382" t="str">
        <f>dtsiswa!D14</f>
        <v>Aulia Dea Rosalinda</v>
      </c>
      <c r="J11" s="383">
        <f>pkn_ki4!X36</f>
        <v>0</v>
      </c>
      <c r="K11" s="383">
        <f>pkn_ki4!Y36</f>
        <v>0</v>
      </c>
      <c r="L11" s="383">
        <f>pkn_ki4!Z36</f>
        <v>0</v>
      </c>
      <c r="M11" s="669" t="str">
        <f t="shared" si="0"/>
        <v xml:space="preserve">  </v>
      </c>
      <c r="N11" s="134">
        <v>8</v>
      </c>
      <c r="O11" s="384" t="str">
        <f>dtsiswa!D14</f>
        <v>Aulia Dea Rosalinda</v>
      </c>
      <c r="P11" s="385" t="str">
        <f t="shared" si="1"/>
        <v xml:space="preserve">    </v>
      </c>
      <c r="Q11" s="386" t="str">
        <f t="shared" si="2"/>
        <v xml:space="preserve">    </v>
      </c>
    </row>
    <row r="12" spans="1:17" ht="15" customHeight="1" x14ac:dyDescent="0.25">
      <c r="A12" s="134">
        <v>9</v>
      </c>
      <c r="B12" s="382" t="str">
        <f>dtsiswa!D15</f>
        <v>Claudia Gabriella L</v>
      </c>
      <c r="C12" s="387">
        <f>pknki_3!N39</f>
        <v>0</v>
      </c>
      <c r="D12" s="387">
        <f>pknki_3!O43</f>
        <v>0</v>
      </c>
      <c r="E12" s="387">
        <f>pknki_3!P43</f>
        <v>0</v>
      </c>
      <c r="F12" s="668" t="str">
        <f t="shared" si="3"/>
        <v xml:space="preserve">  </v>
      </c>
      <c r="H12" s="134">
        <v>9</v>
      </c>
      <c r="I12" s="382" t="str">
        <f>dtsiswa!D15</f>
        <v>Claudia Gabriella L</v>
      </c>
      <c r="J12" s="383">
        <f>pkn_ki4!X40</f>
        <v>0</v>
      </c>
      <c r="K12" s="383">
        <f>pkn_ki4!Y40</f>
        <v>0</v>
      </c>
      <c r="L12" s="383">
        <f>pkn_ki4!Z40</f>
        <v>0</v>
      </c>
      <c r="M12" s="669" t="str">
        <f t="shared" si="0"/>
        <v xml:space="preserve">  </v>
      </c>
      <c r="N12" s="134">
        <v>9</v>
      </c>
      <c r="O12" s="384" t="str">
        <f>dtsiswa!D15</f>
        <v>Claudia Gabriella L</v>
      </c>
      <c r="P12" s="385" t="str">
        <f t="shared" si="1"/>
        <v xml:space="preserve">    </v>
      </c>
      <c r="Q12" s="386" t="str">
        <f t="shared" si="2"/>
        <v xml:space="preserve">    </v>
      </c>
    </row>
    <row r="13" spans="1:17" ht="15" customHeight="1" x14ac:dyDescent="0.25">
      <c r="A13" s="134">
        <v>10</v>
      </c>
      <c r="B13" s="382" t="str">
        <f>dtsiswa!D16</f>
        <v xml:space="preserve">Deco Badarus Zaman </v>
      </c>
      <c r="C13" s="387">
        <f>pknki_3!N43</f>
        <v>0</v>
      </c>
      <c r="D13" s="387">
        <f>pknki_3!O47</f>
        <v>0</v>
      </c>
      <c r="E13" s="387">
        <f>pknki_3!P47</f>
        <v>0</v>
      </c>
      <c r="F13" s="668" t="str">
        <f t="shared" si="3"/>
        <v xml:space="preserve">  </v>
      </c>
      <c r="H13" s="134">
        <v>10</v>
      </c>
      <c r="I13" s="382" t="str">
        <f>dtsiswa!D16</f>
        <v xml:space="preserve">Deco Badarus Zaman </v>
      </c>
      <c r="J13" s="383">
        <f>pkn_ki4!X44</f>
        <v>0</v>
      </c>
      <c r="K13" s="383">
        <f>pkn_ki4!Y44</f>
        <v>0</v>
      </c>
      <c r="L13" s="383">
        <f>pkn_ki4!Z44</f>
        <v>0</v>
      </c>
      <c r="M13" s="669" t="str">
        <f t="shared" si="0"/>
        <v xml:space="preserve">  </v>
      </c>
      <c r="N13" s="134">
        <v>10</v>
      </c>
      <c r="O13" s="384" t="str">
        <f>dtsiswa!D16</f>
        <v xml:space="preserve">Deco Badarus Zaman </v>
      </c>
      <c r="P13" s="385" t="str">
        <f t="shared" si="1"/>
        <v xml:space="preserve">    </v>
      </c>
      <c r="Q13" s="386" t="str">
        <f t="shared" si="2"/>
        <v xml:space="preserve">    </v>
      </c>
    </row>
    <row r="14" spans="1:17" ht="15" customHeight="1" x14ac:dyDescent="0.25">
      <c r="A14" s="134">
        <v>11</v>
      </c>
      <c r="B14" s="382" t="str">
        <f>dtsiswa!D17</f>
        <v>Fania Mutiara Felichia</v>
      </c>
      <c r="C14" s="387">
        <f>pknki_3!N47</f>
        <v>0</v>
      </c>
      <c r="D14" s="387">
        <f>pknki_3!O51</f>
        <v>0</v>
      </c>
      <c r="E14" s="387">
        <f>pknki_3!P51</f>
        <v>0</v>
      </c>
      <c r="F14" s="668" t="str">
        <f t="shared" si="3"/>
        <v xml:space="preserve">  </v>
      </c>
      <c r="H14" s="134">
        <v>11</v>
      </c>
      <c r="I14" s="382" t="str">
        <f>dtsiswa!D17</f>
        <v>Fania Mutiara Felichia</v>
      </c>
      <c r="J14" s="383">
        <f>pkn_ki4!X48</f>
        <v>0</v>
      </c>
      <c r="K14" s="383">
        <f>pkn_ki4!Y48</f>
        <v>0</v>
      </c>
      <c r="L14" s="383">
        <f>pkn_ki4!Z48</f>
        <v>0</v>
      </c>
      <c r="M14" s="669" t="str">
        <f t="shared" si="0"/>
        <v xml:space="preserve">  </v>
      </c>
      <c r="N14" s="134">
        <v>11</v>
      </c>
      <c r="O14" s="384" t="str">
        <f>dtsiswa!D17</f>
        <v>Fania Mutiara Felichia</v>
      </c>
      <c r="P14" s="385" t="str">
        <f t="shared" si="1"/>
        <v xml:space="preserve">    </v>
      </c>
      <c r="Q14" s="386" t="str">
        <f t="shared" si="2"/>
        <v xml:space="preserve">    </v>
      </c>
    </row>
    <row r="15" spans="1:17" ht="15" customHeight="1" x14ac:dyDescent="0.25">
      <c r="A15" s="134">
        <v>12</v>
      </c>
      <c r="B15" s="382" t="str">
        <f>dtsiswa!D18</f>
        <v>Intan Dyah Nowari</v>
      </c>
      <c r="C15" s="387">
        <f>pknki_3!N51</f>
        <v>0</v>
      </c>
      <c r="D15" s="387">
        <f>pknki_3!O55</f>
        <v>0</v>
      </c>
      <c r="E15" s="387">
        <f>pknki_3!P55</f>
        <v>0</v>
      </c>
      <c r="F15" s="668" t="str">
        <f t="shared" si="3"/>
        <v xml:space="preserve">  </v>
      </c>
      <c r="H15" s="134">
        <v>12</v>
      </c>
      <c r="I15" s="382" t="str">
        <f>dtsiswa!D18</f>
        <v>Intan Dyah Nowari</v>
      </c>
      <c r="J15" s="383">
        <f>pkn_ki4!X52</f>
        <v>0</v>
      </c>
      <c r="K15" s="383">
        <f>pkn_ki4!Y52</f>
        <v>0</v>
      </c>
      <c r="L15" s="383">
        <f>pkn_ki4!Z52</f>
        <v>0</v>
      </c>
      <c r="M15" s="669" t="str">
        <f t="shared" si="0"/>
        <v xml:space="preserve">  </v>
      </c>
      <c r="N15" s="134">
        <v>12</v>
      </c>
      <c r="O15" s="384" t="str">
        <f>dtsiswa!D18</f>
        <v>Intan Dyah Nowari</v>
      </c>
      <c r="P15" s="385" t="str">
        <f t="shared" si="1"/>
        <v xml:space="preserve">    </v>
      </c>
      <c r="Q15" s="386" t="str">
        <f t="shared" si="2"/>
        <v xml:space="preserve">    </v>
      </c>
    </row>
    <row r="16" spans="1:17" ht="15" customHeight="1" x14ac:dyDescent="0.25">
      <c r="A16" s="134">
        <v>13</v>
      </c>
      <c r="B16" s="382" t="str">
        <f>dtsiswa!D19</f>
        <v>Misyanita Nurfitri S</v>
      </c>
      <c r="C16" s="387">
        <f>pknki_3!N55</f>
        <v>0</v>
      </c>
      <c r="D16" s="387">
        <f>pknki_3!O59</f>
        <v>0</v>
      </c>
      <c r="E16" s="387">
        <f>pknki_3!P59</f>
        <v>0</v>
      </c>
      <c r="F16" s="668" t="str">
        <f t="shared" si="3"/>
        <v xml:space="preserve">  </v>
      </c>
      <c r="H16" s="134">
        <v>13</v>
      </c>
      <c r="I16" s="382" t="str">
        <f>dtsiswa!D19</f>
        <v>Misyanita Nurfitri S</v>
      </c>
      <c r="J16" s="383">
        <f>pkn_ki4!X56</f>
        <v>0</v>
      </c>
      <c r="K16" s="383">
        <f>pkn_ki4!Y56</f>
        <v>0</v>
      </c>
      <c r="L16" s="383">
        <f>pkn_ki4!Z56</f>
        <v>0</v>
      </c>
      <c r="M16" s="669" t="str">
        <f t="shared" si="0"/>
        <v xml:space="preserve">  </v>
      </c>
      <c r="N16" s="134">
        <v>13</v>
      </c>
      <c r="O16" s="384" t="str">
        <f>dtsiswa!D19</f>
        <v>Misyanita Nurfitri S</v>
      </c>
      <c r="P16" s="385" t="str">
        <f t="shared" si="1"/>
        <v xml:space="preserve">    </v>
      </c>
      <c r="Q16" s="386" t="str">
        <f t="shared" si="2"/>
        <v xml:space="preserve">    </v>
      </c>
    </row>
    <row r="17" spans="1:17" ht="15" customHeight="1" x14ac:dyDescent="0.25">
      <c r="A17" s="134">
        <v>14</v>
      </c>
      <c r="B17" s="382" t="str">
        <f>dtsiswa!D20</f>
        <v>Moch Zidane Hita L. U</v>
      </c>
      <c r="C17" s="387">
        <f>pknki_3!N59</f>
        <v>0</v>
      </c>
      <c r="D17" s="387">
        <f>pknki_3!O63</f>
        <v>0</v>
      </c>
      <c r="E17" s="387">
        <f>pknki_3!P63</f>
        <v>0</v>
      </c>
      <c r="F17" s="668" t="str">
        <f t="shared" si="3"/>
        <v xml:space="preserve">  </v>
      </c>
      <c r="H17" s="134">
        <v>14</v>
      </c>
      <c r="I17" s="382" t="str">
        <f>dtsiswa!D20</f>
        <v>Moch Zidane Hita L. U</v>
      </c>
      <c r="J17" s="383">
        <f>pkn_ki4!X60</f>
        <v>0</v>
      </c>
      <c r="K17" s="383">
        <f>pkn_ki4!Y60</f>
        <v>0</v>
      </c>
      <c r="L17" s="383">
        <f>pkn_ki4!Z60</f>
        <v>0</v>
      </c>
      <c r="M17" s="669" t="str">
        <f t="shared" si="0"/>
        <v xml:space="preserve">  </v>
      </c>
      <c r="N17" s="134">
        <v>14</v>
      </c>
      <c r="O17" s="384" t="str">
        <f>dtsiswa!D20</f>
        <v>Moch Zidane Hita L. U</v>
      </c>
      <c r="P17" s="385" t="str">
        <f t="shared" si="1"/>
        <v xml:space="preserve">    </v>
      </c>
      <c r="Q17" s="386" t="str">
        <f t="shared" si="2"/>
        <v xml:space="preserve">    </v>
      </c>
    </row>
    <row r="18" spans="1:17" ht="15" customHeight="1" x14ac:dyDescent="0.25">
      <c r="A18" s="134">
        <v>15</v>
      </c>
      <c r="B18" s="382" t="str">
        <f>dtsiswa!D21</f>
        <v>Muhammad Ibra Maulana</v>
      </c>
      <c r="C18" s="387">
        <f>pknki_3!N63</f>
        <v>0</v>
      </c>
      <c r="D18" s="387">
        <f>pknki_3!O67</f>
        <v>0</v>
      </c>
      <c r="E18" s="387">
        <f>pknki_3!P67</f>
        <v>0</v>
      </c>
      <c r="F18" s="668" t="str">
        <f t="shared" si="3"/>
        <v xml:space="preserve">  </v>
      </c>
      <c r="H18" s="134">
        <v>15</v>
      </c>
      <c r="I18" s="382" t="str">
        <f>dtsiswa!D21</f>
        <v>Muhammad Ibra Maulana</v>
      </c>
      <c r="J18" s="383">
        <f>pkn_ki4!X64</f>
        <v>0</v>
      </c>
      <c r="K18" s="383">
        <f>pkn_ki4!Y64</f>
        <v>0</v>
      </c>
      <c r="L18" s="383">
        <f>pkn_ki4!Z64</f>
        <v>0</v>
      </c>
      <c r="M18" s="669" t="str">
        <f t="shared" si="0"/>
        <v xml:space="preserve">  </v>
      </c>
      <c r="N18" s="134">
        <v>15</v>
      </c>
      <c r="O18" s="384" t="str">
        <f>dtsiswa!D21</f>
        <v>Muhammad Ibra Maulana</v>
      </c>
      <c r="P18" s="385" t="str">
        <f t="shared" si="1"/>
        <v xml:space="preserve">    </v>
      </c>
      <c r="Q18" s="386" t="str">
        <f t="shared" si="2"/>
        <v xml:space="preserve">    </v>
      </c>
    </row>
    <row r="19" spans="1:17" ht="15" customHeight="1" x14ac:dyDescent="0.25">
      <c r="A19" s="134">
        <v>16</v>
      </c>
      <c r="B19" s="382" t="str">
        <f>dtsiswa!D22</f>
        <v>Nabilla Shiva Putri</v>
      </c>
      <c r="C19" s="387">
        <f>pknki_3!N67</f>
        <v>0</v>
      </c>
      <c r="D19" s="387">
        <f>pknki_3!O71</f>
        <v>0</v>
      </c>
      <c r="E19" s="387">
        <f>pknki_3!P71</f>
        <v>0</v>
      </c>
      <c r="F19" s="668" t="str">
        <f t="shared" si="3"/>
        <v xml:space="preserve">  </v>
      </c>
      <c r="H19" s="134">
        <v>16</v>
      </c>
      <c r="I19" s="382" t="str">
        <f>dtsiswa!D22</f>
        <v>Nabilla Shiva Putri</v>
      </c>
      <c r="J19" s="383">
        <f>pkn_ki4!X68</f>
        <v>0</v>
      </c>
      <c r="K19" s="383">
        <f>pkn_ki4!Y68</f>
        <v>0</v>
      </c>
      <c r="L19" s="383">
        <f>pkn_ki4!Z68</f>
        <v>0</v>
      </c>
      <c r="M19" s="669" t="str">
        <f t="shared" si="0"/>
        <v xml:space="preserve">  </v>
      </c>
      <c r="N19" s="134">
        <v>16</v>
      </c>
      <c r="O19" s="384" t="str">
        <f>dtsiswa!D22</f>
        <v>Nabilla Shiva Putri</v>
      </c>
      <c r="P19" s="385" t="str">
        <f t="shared" si="1"/>
        <v xml:space="preserve">    </v>
      </c>
      <c r="Q19" s="386" t="str">
        <f t="shared" si="2"/>
        <v xml:space="preserve">    </v>
      </c>
    </row>
    <row r="20" spans="1:17" ht="15" customHeight="1" x14ac:dyDescent="0.25">
      <c r="A20" s="134">
        <v>17</v>
      </c>
      <c r="B20" s="382" t="str">
        <f>dtsiswa!D23</f>
        <v>Naufal Falih F</v>
      </c>
      <c r="C20" s="387">
        <f>pknki_3!N71</f>
        <v>0</v>
      </c>
      <c r="D20" s="387">
        <f>pknki_3!O75</f>
        <v>0</v>
      </c>
      <c r="E20" s="387">
        <f>pknki_3!P75</f>
        <v>0</v>
      </c>
      <c r="F20" s="668" t="str">
        <f t="shared" si="3"/>
        <v xml:space="preserve">  </v>
      </c>
      <c r="H20" s="134">
        <v>17</v>
      </c>
      <c r="I20" s="382" t="str">
        <f>dtsiswa!D23</f>
        <v>Naufal Falih F</v>
      </c>
      <c r="J20" s="383">
        <f>pkn_ki4!X72</f>
        <v>0</v>
      </c>
      <c r="K20" s="383">
        <f>pkn_ki4!Y72</f>
        <v>0</v>
      </c>
      <c r="L20" s="383">
        <f>pkn_ki4!Z72</f>
        <v>0</v>
      </c>
      <c r="M20" s="669" t="str">
        <f t="shared" si="0"/>
        <v xml:space="preserve">  </v>
      </c>
      <c r="N20" s="134">
        <v>17</v>
      </c>
      <c r="O20" s="384" t="str">
        <f>dtsiswa!D23</f>
        <v>Naufal Falih F</v>
      </c>
      <c r="P20" s="385" t="str">
        <f t="shared" si="1"/>
        <v xml:space="preserve">    </v>
      </c>
      <c r="Q20" s="386" t="str">
        <f t="shared" si="2"/>
        <v xml:space="preserve">    </v>
      </c>
    </row>
    <row r="21" spans="1:17" ht="15" customHeight="1" x14ac:dyDescent="0.25">
      <c r="A21" s="134">
        <v>18</v>
      </c>
      <c r="B21" s="382" t="str">
        <f>dtsiswa!D24</f>
        <v>Nayla Annora Nobel W</v>
      </c>
      <c r="C21" s="387">
        <f>pknki_3!N75</f>
        <v>0</v>
      </c>
      <c r="D21" s="387">
        <f>pknki_3!O79</f>
        <v>0</v>
      </c>
      <c r="E21" s="387">
        <f>pknki_3!P79</f>
        <v>0</v>
      </c>
      <c r="F21" s="668" t="str">
        <f t="shared" si="3"/>
        <v xml:space="preserve">  </v>
      </c>
      <c r="H21" s="134">
        <v>18</v>
      </c>
      <c r="I21" s="382" t="str">
        <f>dtsiswa!D24</f>
        <v>Nayla Annora Nobel W</v>
      </c>
      <c r="J21" s="383">
        <f>pkn_ki4!X76</f>
        <v>0</v>
      </c>
      <c r="K21" s="383">
        <f>pkn_ki4!Y76</f>
        <v>0</v>
      </c>
      <c r="L21" s="383">
        <f>pkn_ki4!Z76</f>
        <v>0</v>
      </c>
      <c r="M21" s="669" t="str">
        <f t="shared" si="0"/>
        <v xml:space="preserve">  </v>
      </c>
      <c r="N21" s="134">
        <v>18</v>
      </c>
      <c r="O21" s="384" t="str">
        <f>dtsiswa!D24</f>
        <v>Nayla Annora Nobel W</v>
      </c>
      <c r="P21" s="385" t="str">
        <f t="shared" si="1"/>
        <v xml:space="preserve">    </v>
      </c>
      <c r="Q21" s="386" t="str">
        <f t="shared" si="2"/>
        <v xml:space="preserve">    </v>
      </c>
    </row>
    <row r="22" spans="1:17" ht="15" customHeight="1" x14ac:dyDescent="0.25">
      <c r="A22" s="134">
        <v>19</v>
      </c>
      <c r="B22" s="382" t="str">
        <f>dtsiswa!D25</f>
        <v>Raihan Danang P</v>
      </c>
      <c r="C22" s="387">
        <f>pknki_3!N79</f>
        <v>0</v>
      </c>
      <c r="D22" s="387">
        <f>pknki_3!O83</f>
        <v>0</v>
      </c>
      <c r="E22" s="387">
        <f>pknki_3!P83</f>
        <v>0</v>
      </c>
      <c r="F22" s="668" t="str">
        <f t="shared" si="3"/>
        <v xml:space="preserve">  </v>
      </c>
      <c r="H22" s="134">
        <v>19</v>
      </c>
      <c r="I22" s="382" t="str">
        <f>dtsiswa!D25</f>
        <v>Raihan Danang P</v>
      </c>
      <c r="J22" s="383">
        <f>pkn_ki4!X80</f>
        <v>0</v>
      </c>
      <c r="K22" s="383">
        <f>pkn_ki4!Y80</f>
        <v>0</v>
      </c>
      <c r="L22" s="383">
        <f>pkn_ki4!Z80</f>
        <v>0</v>
      </c>
      <c r="M22" s="669" t="str">
        <f t="shared" si="0"/>
        <v xml:space="preserve">  </v>
      </c>
      <c r="N22" s="134">
        <v>19</v>
      </c>
      <c r="O22" s="384" t="str">
        <f>dtsiswa!D25</f>
        <v>Raihan Danang P</v>
      </c>
      <c r="P22" s="385" t="str">
        <f t="shared" si="1"/>
        <v xml:space="preserve">    </v>
      </c>
      <c r="Q22" s="386" t="str">
        <f t="shared" si="2"/>
        <v xml:space="preserve">    </v>
      </c>
    </row>
    <row r="23" spans="1:17" ht="15" customHeight="1" x14ac:dyDescent="0.25">
      <c r="A23" s="134">
        <v>20</v>
      </c>
      <c r="B23" s="382" t="str">
        <f>dtsiswa!D26</f>
        <v>Roby Ardiyansyah</v>
      </c>
      <c r="C23" s="387">
        <f>pknki_3!N83</f>
        <v>0</v>
      </c>
      <c r="D23" s="387">
        <f>pknki_3!O87</f>
        <v>0</v>
      </c>
      <c r="E23" s="387">
        <f>pknki_3!P87</f>
        <v>0</v>
      </c>
      <c r="F23" s="668" t="str">
        <f t="shared" si="3"/>
        <v xml:space="preserve">  </v>
      </c>
      <c r="H23" s="134">
        <v>20</v>
      </c>
      <c r="I23" s="382" t="str">
        <f>dtsiswa!D26</f>
        <v>Roby Ardiyansyah</v>
      </c>
      <c r="J23" s="383">
        <f>pkn_ki4!X84</f>
        <v>0</v>
      </c>
      <c r="K23" s="383">
        <f>pkn_ki4!Y84</f>
        <v>0</v>
      </c>
      <c r="L23" s="383">
        <f>pkn_ki4!Z84</f>
        <v>0</v>
      </c>
      <c r="M23" s="669" t="str">
        <f t="shared" si="0"/>
        <v xml:space="preserve">  </v>
      </c>
      <c r="N23" s="134">
        <v>20</v>
      </c>
      <c r="O23" s="384" t="str">
        <f>dtsiswa!D26</f>
        <v>Roby Ardiyansyah</v>
      </c>
      <c r="P23" s="385" t="str">
        <f t="shared" si="1"/>
        <v xml:space="preserve">    </v>
      </c>
      <c r="Q23" s="386" t="str">
        <f t="shared" si="2"/>
        <v xml:space="preserve">    </v>
      </c>
    </row>
    <row r="24" spans="1:17" ht="15" customHeight="1" x14ac:dyDescent="0.25">
      <c r="A24" s="134">
        <v>21</v>
      </c>
      <c r="B24" s="382" t="str">
        <f>dtsiswa!D27</f>
        <v>Rojalingga Prana A</v>
      </c>
      <c r="C24" s="387">
        <f>pknki_3!N87</f>
        <v>0</v>
      </c>
      <c r="D24" s="387">
        <f>pknki_3!O91</f>
        <v>0</v>
      </c>
      <c r="E24" s="387">
        <f>pknki_3!P91</f>
        <v>0</v>
      </c>
      <c r="F24" s="668" t="str">
        <f t="shared" si="3"/>
        <v xml:space="preserve">  </v>
      </c>
      <c r="H24" s="134">
        <v>21</v>
      </c>
      <c r="I24" s="382" t="str">
        <f>dtsiswa!D27</f>
        <v>Rojalingga Prana A</v>
      </c>
      <c r="J24" s="383">
        <f>pkn_ki4!X88</f>
        <v>0</v>
      </c>
      <c r="K24" s="383">
        <f>pkn_ki4!Y88</f>
        <v>0</v>
      </c>
      <c r="L24" s="383">
        <f>pkn_ki4!Z88</f>
        <v>0</v>
      </c>
      <c r="M24" s="669" t="str">
        <f t="shared" si="0"/>
        <v xml:space="preserve">  </v>
      </c>
      <c r="N24" s="134">
        <v>21</v>
      </c>
      <c r="O24" s="384" t="str">
        <f>dtsiswa!D27</f>
        <v>Rojalingga Prana A</v>
      </c>
      <c r="P24" s="385" t="str">
        <f t="shared" si="1"/>
        <v xml:space="preserve">    </v>
      </c>
      <c r="Q24" s="386" t="str">
        <f t="shared" si="2"/>
        <v xml:space="preserve">    </v>
      </c>
    </row>
    <row r="25" spans="1:17" ht="15" customHeight="1" x14ac:dyDescent="0.25">
      <c r="A25" s="134">
        <v>22</v>
      </c>
      <c r="B25" s="382" t="str">
        <f>dtsiswa!D28</f>
        <v>Sally Savista A</v>
      </c>
      <c r="C25" s="387">
        <f>pknki_3!N91</f>
        <v>0</v>
      </c>
      <c r="D25" s="387">
        <f>pknki_3!O95</f>
        <v>0</v>
      </c>
      <c r="E25" s="387">
        <f>pknki_3!P95</f>
        <v>0</v>
      </c>
      <c r="F25" s="668" t="str">
        <f t="shared" si="3"/>
        <v xml:space="preserve">  </v>
      </c>
      <c r="H25" s="134">
        <v>22</v>
      </c>
      <c r="I25" s="382" t="str">
        <f>dtsiswa!D28</f>
        <v>Sally Savista A</v>
      </c>
      <c r="J25" s="383">
        <f>pkn_ki4!X92</f>
        <v>0</v>
      </c>
      <c r="K25" s="383">
        <f>pkn_ki4!Y92</f>
        <v>0</v>
      </c>
      <c r="L25" s="383">
        <f>pkn_ki4!Z92</f>
        <v>0</v>
      </c>
      <c r="M25" s="669" t="str">
        <f t="shared" si="0"/>
        <v xml:space="preserve">  </v>
      </c>
      <c r="N25" s="134">
        <v>22</v>
      </c>
      <c r="O25" s="384" t="str">
        <f>dtsiswa!D28</f>
        <v>Sally Savista A</v>
      </c>
      <c r="P25" s="385" t="str">
        <f t="shared" si="1"/>
        <v xml:space="preserve">    </v>
      </c>
      <c r="Q25" s="386" t="str">
        <f t="shared" si="2"/>
        <v xml:space="preserve">    </v>
      </c>
    </row>
    <row r="26" spans="1:17" ht="15" customHeight="1" x14ac:dyDescent="0.25">
      <c r="A26" s="134">
        <v>23</v>
      </c>
      <c r="B26" s="382" t="str">
        <f>dtsiswa!D29</f>
        <v xml:space="preserve">Tania Kaori Angelita </v>
      </c>
      <c r="C26" s="387">
        <f>pknki_3!N95</f>
        <v>0</v>
      </c>
      <c r="D26" s="387">
        <f>pknki_3!O99</f>
        <v>0</v>
      </c>
      <c r="E26" s="387">
        <f>pknki_3!P99</f>
        <v>0</v>
      </c>
      <c r="F26" s="668" t="str">
        <f t="shared" si="3"/>
        <v xml:space="preserve">  </v>
      </c>
      <c r="H26" s="134">
        <v>23</v>
      </c>
      <c r="I26" s="382" t="str">
        <f>dtsiswa!D29</f>
        <v xml:space="preserve">Tania Kaori Angelita </v>
      </c>
      <c r="J26" s="383">
        <f>pkn_ki4!X96</f>
        <v>0</v>
      </c>
      <c r="K26" s="383">
        <f>pkn_ki4!Y96</f>
        <v>0</v>
      </c>
      <c r="L26" s="383">
        <f>pkn_ki4!Z96</f>
        <v>0</v>
      </c>
      <c r="M26" s="669" t="str">
        <f t="shared" si="0"/>
        <v xml:space="preserve">  </v>
      </c>
      <c r="N26" s="134">
        <v>23</v>
      </c>
      <c r="O26" s="384" t="str">
        <f>dtsiswa!D29</f>
        <v xml:space="preserve">Tania Kaori Angelita </v>
      </c>
      <c r="P26" s="385" t="str">
        <f t="shared" si="1"/>
        <v xml:space="preserve">    </v>
      </c>
      <c r="Q26" s="386" t="str">
        <f t="shared" si="2"/>
        <v xml:space="preserve">    </v>
      </c>
    </row>
    <row r="27" spans="1:17" ht="15" customHeight="1" x14ac:dyDescent="0.25">
      <c r="A27" s="134">
        <v>24</v>
      </c>
      <c r="B27" s="382" t="str">
        <f>dtsiswa!D30</f>
        <v>Romzy Oka Ramadhani P</v>
      </c>
      <c r="C27" s="387">
        <f>pknki_3!N99</f>
        <v>0</v>
      </c>
      <c r="D27" s="387">
        <f>pknki_3!O103</f>
        <v>0</v>
      </c>
      <c r="E27" s="387">
        <f>pknki_3!P103</f>
        <v>0</v>
      </c>
      <c r="F27" s="668" t="str">
        <f t="shared" si="3"/>
        <v xml:space="preserve">  </v>
      </c>
      <c r="H27" s="134">
        <v>24</v>
      </c>
      <c r="I27" s="382" t="str">
        <f>dtsiswa!D30</f>
        <v>Romzy Oka Ramadhani P</v>
      </c>
      <c r="J27" s="383">
        <f>pkn_ki4!X100</f>
        <v>0</v>
      </c>
      <c r="K27" s="383">
        <f>pkn_ki4!Y100</f>
        <v>0</v>
      </c>
      <c r="L27" s="383">
        <f>pkn_ki4!Z100</f>
        <v>0</v>
      </c>
      <c r="M27" s="669" t="str">
        <f t="shared" si="0"/>
        <v xml:space="preserve">  </v>
      </c>
      <c r="N27" s="134">
        <v>24</v>
      </c>
      <c r="O27" s="384" t="str">
        <f>dtsiswa!D30</f>
        <v>Romzy Oka Ramadhani P</v>
      </c>
      <c r="P27" s="385" t="str">
        <f t="shared" si="1"/>
        <v xml:space="preserve">    </v>
      </c>
      <c r="Q27" s="386" t="str">
        <f t="shared" si="2"/>
        <v xml:space="preserve">    </v>
      </c>
    </row>
    <row r="28" spans="1:17" ht="15" customHeight="1" x14ac:dyDescent="0.25">
      <c r="A28" s="134">
        <v>25</v>
      </c>
      <c r="B28" s="382" t="str">
        <f>dtsiswa!D31</f>
        <v>Larasati Jagadhita P</v>
      </c>
      <c r="C28" s="387">
        <f>pknki_3!N103</f>
        <v>0</v>
      </c>
      <c r="D28" s="387">
        <f>pknki_3!O107</f>
        <v>0</v>
      </c>
      <c r="E28" s="387">
        <f>pknki_3!P107</f>
        <v>0</v>
      </c>
      <c r="F28" s="668" t="str">
        <f t="shared" si="3"/>
        <v xml:space="preserve">  </v>
      </c>
      <c r="H28" s="134">
        <v>25</v>
      </c>
      <c r="I28" s="382" t="str">
        <f>dtsiswa!D31</f>
        <v>Larasati Jagadhita P</v>
      </c>
      <c r="J28" s="383">
        <f>pkn_ki4!X104</f>
        <v>0</v>
      </c>
      <c r="K28" s="383">
        <f>pkn_ki4!Y104</f>
        <v>0</v>
      </c>
      <c r="L28" s="383">
        <f>pkn_ki4!Z104</f>
        <v>0</v>
      </c>
      <c r="M28" s="669" t="str">
        <f t="shared" si="0"/>
        <v xml:space="preserve">  </v>
      </c>
      <c r="N28" s="134">
        <v>25</v>
      </c>
      <c r="O28" s="384" t="str">
        <f>dtsiswa!D31</f>
        <v>Larasati Jagadhita P</v>
      </c>
      <c r="P28" s="385" t="str">
        <f t="shared" si="1"/>
        <v xml:space="preserve">    </v>
      </c>
      <c r="Q28" s="386" t="str">
        <f t="shared" si="2"/>
        <v xml:space="preserve">    </v>
      </c>
    </row>
    <row r="29" spans="1:17" ht="15" customHeight="1" x14ac:dyDescent="0.25">
      <c r="A29" s="134">
        <v>26</v>
      </c>
      <c r="B29" s="382" t="str">
        <f>dtsiswa!D32</f>
        <v>Meliana Citra A</v>
      </c>
      <c r="C29" s="387">
        <f>pknki_3!N107</f>
        <v>0</v>
      </c>
      <c r="D29" s="387">
        <f>pknki_3!O119</f>
        <v>0</v>
      </c>
      <c r="E29" s="387">
        <f>pknki_3!P119</f>
        <v>0</v>
      </c>
      <c r="F29" s="668" t="str">
        <f t="shared" si="3"/>
        <v xml:space="preserve">  </v>
      </c>
      <c r="H29" s="134">
        <v>26</v>
      </c>
      <c r="I29" s="382" t="str">
        <f>dtsiswa!D32</f>
        <v>Meliana Citra A</v>
      </c>
      <c r="J29" s="383">
        <f>pkn_ki4!X108</f>
        <v>0</v>
      </c>
      <c r="K29" s="383">
        <f>pkn_ki4!Y108</f>
        <v>0</v>
      </c>
      <c r="L29" s="383">
        <f>pkn_ki4!Z108</f>
        <v>0</v>
      </c>
      <c r="M29" s="669" t="str">
        <f t="shared" si="0"/>
        <v xml:space="preserve">  </v>
      </c>
      <c r="N29" s="134">
        <v>26</v>
      </c>
      <c r="O29" s="384" t="str">
        <f>dtsiswa!D32</f>
        <v>Meliana Citra A</v>
      </c>
      <c r="P29" s="385" t="str">
        <f t="shared" si="1"/>
        <v xml:space="preserve">    </v>
      </c>
      <c r="Q29" s="386" t="str">
        <f t="shared" si="2"/>
        <v xml:space="preserve">    </v>
      </c>
    </row>
    <row r="30" spans="1:17" ht="15" customHeight="1" x14ac:dyDescent="0.25">
      <c r="A30" s="134">
        <v>27</v>
      </c>
      <c r="B30" s="382" t="str">
        <f>dtsiswa!D33</f>
        <v>Mohammad Rizky</v>
      </c>
      <c r="C30" s="387">
        <f>pknki_3!N119</f>
        <v>0</v>
      </c>
      <c r="D30" s="387">
        <f>pknki_3!O115</f>
        <v>0</v>
      </c>
      <c r="E30" s="387">
        <f>pknki_3!P115</f>
        <v>0</v>
      </c>
      <c r="F30" s="668" t="str">
        <f t="shared" si="3"/>
        <v xml:space="preserve">  </v>
      </c>
      <c r="H30" s="134">
        <v>27</v>
      </c>
      <c r="I30" s="382" t="str">
        <f>dtsiswa!D33</f>
        <v>Mohammad Rizky</v>
      </c>
      <c r="J30" s="383">
        <f>pkn_ki4!X112</f>
        <v>0</v>
      </c>
      <c r="K30" s="383">
        <f>pkn_ki4!Y112</f>
        <v>0</v>
      </c>
      <c r="L30" s="383">
        <f>pkn_ki4!Z112</f>
        <v>0</v>
      </c>
      <c r="M30" s="669" t="str">
        <f t="shared" si="0"/>
        <v xml:space="preserve">  </v>
      </c>
      <c r="N30" s="134">
        <v>27</v>
      </c>
      <c r="O30" s="384" t="str">
        <f>dtsiswa!D33</f>
        <v>Mohammad Rizky</v>
      </c>
      <c r="P30" s="385" t="str">
        <f t="shared" si="1"/>
        <v xml:space="preserve">    </v>
      </c>
      <c r="Q30" s="386" t="str">
        <f t="shared" si="2"/>
        <v xml:space="preserve">    </v>
      </c>
    </row>
    <row r="31" spans="1:17" ht="15" customHeight="1" x14ac:dyDescent="0.25">
      <c r="A31" s="134">
        <v>28</v>
      </c>
      <c r="B31" s="382">
        <f>dtsiswa!D34</f>
        <v>0</v>
      </c>
      <c r="C31" s="387">
        <f>pknki_3!N115</f>
        <v>0</v>
      </c>
      <c r="D31" s="387">
        <f>pknki_3!O119</f>
        <v>0</v>
      </c>
      <c r="E31" s="387">
        <f>pknki_3!P119</f>
        <v>0</v>
      </c>
      <c r="F31" s="668" t="str">
        <f t="shared" si="3"/>
        <v xml:space="preserve">  </v>
      </c>
      <c r="H31" s="134">
        <v>28</v>
      </c>
      <c r="I31" s="382">
        <f>dtsiswa!D34</f>
        <v>0</v>
      </c>
      <c r="J31" s="383">
        <f>pkn_ki4!X116</f>
        <v>0</v>
      </c>
      <c r="K31" s="383">
        <f>pkn_ki4!Y116</f>
        <v>0</v>
      </c>
      <c r="L31" s="383">
        <f>pkn_ki4!Z116</f>
        <v>0</v>
      </c>
      <c r="M31" s="669" t="str">
        <f t="shared" si="0"/>
        <v xml:space="preserve">  </v>
      </c>
      <c r="N31" s="134">
        <v>28</v>
      </c>
      <c r="O31" s="384">
        <f>dtsiswa!D34</f>
        <v>0</v>
      </c>
      <c r="P31" s="385" t="str">
        <f t="shared" si="1"/>
        <v xml:space="preserve">    </v>
      </c>
      <c r="Q31" s="386" t="str">
        <f t="shared" si="2"/>
        <v xml:space="preserve">    </v>
      </c>
    </row>
    <row r="32" spans="1:17" ht="15" customHeight="1" x14ac:dyDescent="0.25">
      <c r="A32" s="134">
        <v>29</v>
      </c>
      <c r="B32" s="382">
        <f>dtsiswa!D35</f>
        <v>0</v>
      </c>
      <c r="C32" s="387">
        <f>pknki_3!N119</f>
        <v>0</v>
      </c>
      <c r="D32" s="387">
        <f>pknki_3!O123</f>
        <v>0</v>
      </c>
      <c r="E32" s="387">
        <f>pknki_3!P123</f>
        <v>0</v>
      </c>
      <c r="F32" s="668" t="str">
        <f t="shared" si="3"/>
        <v xml:space="preserve">  </v>
      </c>
      <c r="H32" s="134">
        <v>29</v>
      </c>
      <c r="I32" s="382">
        <f>dtsiswa!D35</f>
        <v>0</v>
      </c>
      <c r="J32" s="383">
        <f>pkn_ki4!X120</f>
        <v>0</v>
      </c>
      <c r="K32" s="383">
        <f>pkn_ki4!Y120</f>
        <v>0</v>
      </c>
      <c r="L32" s="383">
        <f>pkn_ki4!Z120</f>
        <v>0</v>
      </c>
      <c r="M32" s="669" t="str">
        <f t="shared" si="0"/>
        <v xml:space="preserve">  </v>
      </c>
      <c r="N32" s="134">
        <v>29</v>
      </c>
      <c r="O32" s="384">
        <f>dtsiswa!D35</f>
        <v>0</v>
      </c>
      <c r="P32" s="385" t="str">
        <f t="shared" si="1"/>
        <v xml:space="preserve">    </v>
      </c>
      <c r="Q32" s="386" t="str">
        <f t="shared" si="2"/>
        <v xml:space="preserve">    </v>
      </c>
    </row>
    <row r="33" spans="1:17" ht="15" customHeight="1" x14ac:dyDescent="0.25">
      <c r="A33" s="134">
        <v>30</v>
      </c>
      <c r="B33" s="382">
        <f>dtsiswa!D36</f>
        <v>0</v>
      </c>
      <c r="C33" s="387">
        <f>pknki_3!N123</f>
        <v>0</v>
      </c>
      <c r="D33" s="387">
        <f>pknki_3!O127</f>
        <v>0</v>
      </c>
      <c r="E33" s="387">
        <f>pknki_3!P127</f>
        <v>0</v>
      </c>
      <c r="F33" s="668" t="str">
        <f t="shared" si="3"/>
        <v xml:space="preserve">  </v>
      </c>
      <c r="H33" s="134">
        <v>30</v>
      </c>
      <c r="I33" s="382">
        <f>dtsiswa!D36</f>
        <v>0</v>
      </c>
      <c r="J33" s="383">
        <f>pkn_ki4!X124</f>
        <v>0</v>
      </c>
      <c r="K33" s="383">
        <f>pkn_ki4!Y124</f>
        <v>0</v>
      </c>
      <c r="L33" s="383">
        <f>pkn_ki4!Z124</f>
        <v>0</v>
      </c>
      <c r="M33" s="669" t="str">
        <f t="shared" si="0"/>
        <v xml:space="preserve">  </v>
      </c>
      <c r="N33" s="134">
        <v>30</v>
      </c>
      <c r="O33" s="384">
        <f>dtsiswa!D36</f>
        <v>0</v>
      </c>
      <c r="P33" s="385" t="str">
        <f t="shared" si="1"/>
        <v xml:space="preserve">    </v>
      </c>
      <c r="Q33" s="386" t="str">
        <f t="shared" si="2"/>
        <v xml:space="preserve">    </v>
      </c>
    </row>
    <row r="34" spans="1:17" ht="15" customHeight="1" x14ac:dyDescent="0.25">
      <c r="A34" s="134">
        <v>31</v>
      </c>
      <c r="B34" s="382">
        <f>dtsiswa!D37</f>
        <v>0</v>
      </c>
      <c r="C34" s="387">
        <f>pknki_3!N127</f>
        <v>0</v>
      </c>
      <c r="D34" s="387">
        <f>pknki_3!O131</f>
        <v>0</v>
      </c>
      <c r="E34" s="387">
        <f>pknki_3!P131</f>
        <v>0</v>
      </c>
      <c r="F34" s="668" t="str">
        <f t="shared" si="3"/>
        <v xml:space="preserve">  </v>
      </c>
      <c r="H34" s="134">
        <v>31</v>
      </c>
      <c r="I34" s="382">
        <f>dtsiswa!D37</f>
        <v>0</v>
      </c>
      <c r="J34" s="383">
        <f>pkn_ki4!X128</f>
        <v>0</v>
      </c>
      <c r="K34" s="383">
        <f>pkn_ki4!Y128</f>
        <v>0</v>
      </c>
      <c r="L34" s="383">
        <f>pkn_ki4!Z128</f>
        <v>0</v>
      </c>
      <c r="M34" s="669" t="str">
        <f t="shared" si="0"/>
        <v xml:space="preserve">  </v>
      </c>
      <c r="N34" s="134">
        <v>31</v>
      </c>
      <c r="O34" s="384">
        <f>dtsiswa!D37</f>
        <v>0</v>
      </c>
      <c r="P34" s="385" t="str">
        <f t="shared" si="1"/>
        <v xml:space="preserve">    </v>
      </c>
      <c r="Q34" s="386" t="str">
        <f t="shared" si="2"/>
        <v xml:space="preserve">    </v>
      </c>
    </row>
    <row r="35" spans="1:17" ht="15" customHeight="1" x14ac:dyDescent="0.25">
      <c r="A35" s="134">
        <v>32</v>
      </c>
      <c r="B35" s="382">
        <f>dtsiswa!D38</f>
        <v>0</v>
      </c>
      <c r="C35" s="387">
        <f>pknki_3!N131</f>
        <v>0</v>
      </c>
      <c r="D35" s="387">
        <f>pknki_3!O135</f>
        <v>0</v>
      </c>
      <c r="E35" s="387">
        <f>pknki_3!P135</f>
        <v>0</v>
      </c>
      <c r="F35" s="668" t="str">
        <f t="shared" si="3"/>
        <v xml:space="preserve">  </v>
      </c>
      <c r="H35" s="134">
        <v>32</v>
      </c>
      <c r="I35" s="382">
        <f>dtsiswa!D38</f>
        <v>0</v>
      </c>
      <c r="J35" s="383">
        <f>pkn_ki4!X132</f>
        <v>0</v>
      </c>
      <c r="K35" s="383">
        <f>pkn_ki4!Y132</f>
        <v>0</v>
      </c>
      <c r="L35" s="383">
        <f>pkn_ki4!Z132</f>
        <v>0</v>
      </c>
      <c r="M35" s="669" t="str">
        <f t="shared" si="0"/>
        <v xml:space="preserve">  </v>
      </c>
      <c r="N35" s="134">
        <v>32</v>
      </c>
      <c r="O35" s="384">
        <f>dtsiswa!D38</f>
        <v>0</v>
      </c>
      <c r="P35" s="385" t="str">
        <f t="shared" si="1"/>
        <v xml:space="preserve">    </v>
      </c>
      <c r="Q35" s="386" t="str">
        <f t="shared" si="2"/>
        <v xml:space="preserve">    </v>
      </c>
    </row>
    <row r="36" spans="1:17" ht="15" customHeight="1" x14ac:dyDescent="0.25">
      <c r="A36" s="134">
        <v>33</v>
      </c>
      <c r="B36" s="382">
        <f>dtsiswa!D39</f>
        <v>0</v>
      </c>
      <c r="C36" s="387">
        <f>pknki_3!N135</f>
        <v>0</v>
      </c>
      <c r="D36" s="387">
        <f>pknki_3!O139</f>
        <v>0</v>
      </c>
      <c r="E36" s="387">
        <f>pknki_3!P139</f>
        <v>0</v>
      </c>
      <c r="F36" s="668" t="str">
        <f t="shared" si="3"/>
        <v xml:space="preserve">  </v>
      </c>
      <c r="H36" s="134">
        <v>33</v>
      </c>
      <c r="I36" s="382">
        <f>dtsiswa!D39</f>
        <v>0</v>
      </c>
      <c r="J36" s="383">
        <f>pkn_ki4!X136</f>
        <v>0</v>
      </c>
      <c r="K36" s="383">
        <f>pkn_ki4!Y136</f>
        <v>0</v>
      </c>
      <c r="L36" s="383">
        <f>pkn_ki4!Z136</f>
        <v>0</v>
      </c>
      <c r="M36" s="669" t="str">
        <f t="shared" si="0"/>
        <v xml:space="preserve">  </v>
      </c>
      <c r="N36" s="134">
        <v>33</v>
      </c>
      <c r="O36" s="384">
        <f>dtsiswa!D39</f>
        <v>0</v>
      </c>
      <c r="P36" s="385" t="str">
        <f t="shared" si="1"/>
        <v xml:space="preserve">    </v>
      </c>
      <c r="Q36" s="386" t="str">
        <f t="shared" si="2"/>
        <v xml:space="preserve">    </v>
      </c>
    </row>
    <row r="37" spans="1:17" ht="15" customHeight="1" x14ac:dyDescent="0.25">
      <c r="A37" s="134">
        <v>34</v>
      </c>
      <c r="B37" s="382">
        <f>dtsiswa!D40</f>
        <v>0</v>
      </c>
      <c r="C37" s="387">
        <f>pknki_3!N139</f>
        <v>0</v>
      </c>
      <c r="D37" s="387">
        <f>pknki_3!O143</f>
        <v>0</v>
      </c>
      <c r="E37" s="387">
        <f>pknki_3!P143</f>
        <v>0</v>
      </c>
      <c r="F37" s="668" t="str">
        <f t="shared" si="3"/>
        <v xml:space="preserve">  </v>
      </c>
      <c r="H37" s="134">
        <v>34</v>
      </c>
      <c r="I37" s="382">
        <f>dtsiswa!D40</f>
        <v>0</v>
      </c>
      <c r="J37" s="383">
        <f>pkn_ki4!X140</f>
        <v>0</v>
      </c>
      <c r="K37" s="383">
        <f>pkn_ki4!Y140</f>
        <v>0</v>
      </c>
      <c r="L37" s="383">
        <f>pkn_ki4!Z140</f>
        <v>0</v>
      </c>
      <c r="M37" s="669" t="str">
        <f t="shared" si="0"/>
        <v xml:space="preserve">  </v>
      </c>
      <c r="N37" s="134">
        <v>34</v>
      </c>
      <c r="O37" s="384">
        <f>dtsiswa!D40</f>
        <v>0</v>
      </c>
      <c r="P37" s="385" t="str">
        <f t="shared" si="1"/>
        <v xml:space="preserve">    </v>
      </c>
      <c r="Q37" s="386" t="str">
        <f t="shared" si="2"/>
        <v xml:space="preserve">    </v>
      </c>
    </row>
    <row r="38" spans="1:17" ht="15" customHeight="1" x14ac:dyDescent="0.25">
      <c r="A38" s="134">
        <v>35</v>
      </c>
      <c r="B38" s="382">
        <f>dtsiswa!D41</f>
        <v>0</v>
      </c>
      <c r="C38" s="387">
        <f>pknki_3!N143</f>
        <v>0</v>
      </c>
      <c r="D38" s="387">
        <f>pknki_3!O147</f>
        <v>0</v>
      </c>
      <c r="E38" s="387">
        <f>pknki_3!P147</f>
        <v>0</v>
      </c>
      <c r="F38" s="668" t="str">
        <f t="shared" si="3"/>
        <v xml:space="preserve">  </v>
      </c>
      <c r="H38" s="134">
        <v>35</v>
      </c>
      <c r="I38" s="382">
        <f>dtsiswa!D41</f>
        <v>0</v>
      </c>
      <c r="J38" s="383">
        <f>pkn_ki4!X144</f>
        <v>0</v>
      </c>
      <c r="K38" s="383">
        <f>pkn_ki4!Y144</f>
        <v>0</v>
      </c>
      <c r="L38" s="383">
        <f>pkn_ki4!Z144</f>
        <v>0</v>
      </c>
      <c r="M38" s="669" t="str">
        <f t="shared" si="0"/>
        <v xml:space="preserve">  </v>
      </c>
      <c r="N38" s="134">
        <v>35</v>
      </c>
      <c r="O38" s="384">
        <f>dtsiswa!D41</f>
        <v>0</v>
      </c>
      <c r="P38" s="385" t="str">
        <f t="shared" si="1"/>
        <v xml:space="preserve">    </v>
      </c>
      <c r="Q38" s="386" t="str">
        <f t="shared" si="2"/>
        <v xml:space="preserve">    </v>
      </c>
    </row>
    <row r="39" spans="1:17" ht="15" customHeight="1" x14ac:dyDescent="0.25">
      <c r="A39" s="134">
        <v>36</v>
      </c>
      <c r="B39" s="382">
        <f>dtsiswa!D42</f>
        <v>0</v>
      </c>
      <c r="C39" s="387">
        <f>pknki_3!N147</f>
        <v>0</v>
      </c>
      <c r="D39" s="387">
        <f>pknki_3!O151</f>
        <v>0</v>
      </c>
      <c r="E39" s="387">
        <f>pknki_3!P151</f>
        <v>0</v>
      </c>
      <c r="F39" s="668" t="str">
        <f t="shared" si="3"/>
        <v xml:space="preserve">  </v>
      </c>
      <c r="H39" s="134">
        <v>36</v>
      </c>
      <c r="I39" s="382">
        <f>dtsiswa!D42</f>
        <v>0</v>
      </c>
      <c r="J39" s="383">
        <f>pkn_ki4!X148</f>
        <v>0</v>
      </c>
      <c r="K39" s="383">
        <f>pkn_ki4!Y148</f>
        <v>0</v>
      </c>
      <c r="L39" s="383">
        <f>pkn_ki4!Z148</f>
        <v>0</v>
      </c>
      <c r="M39" s="669" t="str">
        <f t="shared" si="0"/>
        <v xml:space="preserve">  </v>
      </c>
      <c r="N39" s="134">
        <v>36</v>
      </c>
      <c r="O39" s="384">
        <f>dtsiswa!D42</f>
        <v>0</v>
      </c>
      <c r="P39" s="385" t="str">
        <f t="shared" si="1"/>
        <v xml:space="preserve">    </v>
      </c>
      <c r="Q39" s="386" t="str">
        <f t="shared" si="2"/>
        <v xml:space="preserve">    </v>
      </c>
    </row>
    <row r="40" spans="1:17" ht="15" customHeight="1" x14ac:dyDescent="0.25">
      <c r="A40" s="134">
        <v>37</v>
      </c>
      <c r="B40" s="382">
        <f>dtsiswa!D43</f>
        <v>0</v>
      </c>
      <c r="C40" s="387">
        <f>pknki_3!N151</f>
        <v>0</v>
      </c>
      <c r="D40" s="387">
        <f>pknki_3!O155</f>
        <v>0</v>
      </c>
      <c r="E40" s="387">
        <f>pknki_3!P155</f>
        <v>0</v>
      </c>
      <c r="F40" s="668" t="str">
        <f t="shared" si="3"/>
        <v xml:space="preserve">  </v>
      </c>
      <c r="H40" s="134">
        <v>37</v>
      </c>
      <c r="I40" s="382">
        <f>dtsiswa!D43</f>
        <v>0</v>
      </c>
      <c r="J40" s="383">
        <f>pkn_ki4!X152</f>
        <v>0</v>
      </c>
      <c r="K40" s="383">
        <f>pkn_ki4!Y152</f>
        <v>0</v>
      </c>
      <c r="L40" s="383">
        <f>pkn_ki4!Z152</f>
        <v>0</v>
      </c>
      <c r="M40" s="669" t="str">
        <f t="shared" si="0"/>
        <v xml:space="preserve">  </v>
      </c>
      <c r="N40" s="134">
        <v>37</v>
      </c>
      <c r="O40" s="384">
        <f>dtsiswa!D43</f>
        <v>0</v>
      </c>
      <c r="P40" s="385" t="str">
        <f t="shared" si="1"/>
        <v xml:space="preserve">    </v>
      </c>
      <c r="Q40" s="386" t="str">
        <f t="shared" si="2"/>
        <v xml:space="preserve">    </v>
      </c>
    </row>
    <row r="41" spans="1:17" ht="15" customHeight="1" x14ac:dyDescent="0.25">
      <c r="A41" s="134">
        <v>38</v>
      </c>
      <c r="B41" s="382">
        <f>dtsiswa!D44</f>
        <v>0</v>
      </c>
      <c r="C41" s="387">
        <f>pknki_3!N155</f>
        <v>0</v>
      </c>
      <c r="D41" s="387">
        <f>pknki_3!O159</f>
        <v>0</v>
      </c>
      <c r="E41" s="387">
        <f>pknki_3!P159</f>
        <v>0</v>
      </c>
      <c r="F41" s="668" t="str">
        <f t="shared" si="3"/>
        <v xml:space="preserve">  </v>
      </c>
      <c r="H41" s="134">
        <v>38</v>
      </c>
      <c r="I41" s="382">
        <f>dtsiswa!D44</f>
        <v>0</v>
      </c>
      <c r="J41" s="383">
        <f>pkn_ki4!X156</f>
        <v>0</v>
      </c>
      <c r="K41" s="383">
        <f>pkn_ki4!Y156</f>
        <v>0</v>
      </c>
      <c r="L41" s="383">
        <f>pkn_ki4!Z156</f>
        <v>0</v>
      </c>
      <c r="M41" s="669" t="str">
        <f t="shared" si="0"/>
        <v xml:space="preserve">  </v>
      </c>
      <c r="N41" s="134">
        <v>38</v>
      </c>
      <c r="O41" s="384">
        <f>dtsiswa!D44</f>
        <v>0</v>
      </c>
      <c r="P41" s="385" t="str">
        <f t="shared" si="1"/>
        <v xml:space="preserve">    </v>
      </c>
      <c r="Q41" s="386" t="str">
        <f t="shared" si="2"/>
        <v xml:space="preserve">    </v>
      </c>
    </row>
    <row r="42" spans="1:17" ht="15" customHeight="1" x14ac:dyDescent="0.25">
      <c r="A42" s="134">
        <v>39</v>
      </c>
      <c r="B42" s="382">
        <f>dtsiswa!D45</f>
        <v>0</v>
      </c>
      <c r="C42" s="387">
        <f>pknki_3!N159</f>
        <v>0</v>
      </c>
      <c r="D42" s="387">
        <f>pknki_3!O163</f>
        <v>0</v>
      </c>
      <c r="E42" s="387">
        <f>pknki_3!P163</f>
        <v>0</v>
      </c>
      <c r="F42" s="668" t="str">
        <f t="shared" si="3"/>
        <v xml:space="preserve">  </v>
      </c>
      <c r="H42" s="134">
        <v>39</v>
      </c>
      <c r="I42" s="382">
        <f>dtsiswa!D45</f>
        <v>0</v>
      </c>
      <c r="J42" s="383">
        <f>pkn_ki4!X160</f>
        <v>0</v>
      </c>
      <c r="K42" s="383">
        <f>pkn_ki4!Y160</f>
        <v>0</v>
      </c>
      <c r="L42" s="383">
        <f>pkn_ki4!Z160</f>
        <v>0</v>
      </c>
      <c r="M42" s="669" t="str">
        <f t="shared" si="0"/>
        <v xml:space="preserve">  </v>
      </c>
      <c r="N42" s="134">
        <v>39</v>
      </c>
      <c r="O42" s="384">
        <f>dtsiswa!D45</f>
        <v>0</v>
      </c>
      <c r="P42" s="385" t="str">
        <f t="shared" si="1"/>
        <v xml:space="preserve">    </v>
      </c>
      <c r="Q42" s="386" t="str">
        <f t="shared" si="2"/>
        <v xml:space="preserve">    </v>
      </c>
    </row>
    <row r="43" spans="1:17" ht="15" customHeight="1" x14ac:dyDescent="0.25">
      <c r="A43" s="134">
        <v>40</v>
      </c>
      <c r="B43" s="382">
        <f>dtsiswa!D46</f>
        <v>0</v>
      </c>
      <c r="C43" s="387">
        <f>pknki_3!N163</f>
        <v>0</v>
      </c>
      <c r="D43" s="387">
        <f>pknki_3!O163</f>
        <v>0</v>
      </c>
      <c r="E43" s="387">
        <f>pknki_3!P163</f>
        <v>0</v>
      </c>
      <c r="F43" s="668" t="str">
        <f t="shared" si="3"/>
        <v xml:space="preserve">  </v>
      </c>
      <c r="H43" s="134">
        <v>40</v>
      </c>
      <c r="I43" s="382">
        <f>dtsiswa!D46</f>
        <v>0</v>
      </c>
      <c r="J43" s="383">
        <f>pkn_ki4!X84</f>
        <v>0</v>
      </c>
      <c r="K43" s="383">
        <f>pkn_ki4!Y84</f>
        <v>0</v>
      </c>
      <c r="L43" s="383">
        <f>pkn_ki4!Z84</f>
        <v>0</v>
      </c>
      <c r="M43" s="669" t="str">
        <f t="shared" si="0"/>
        <v xml:space="preserve">  </v>
      </c>
      <c r="N43" s="134">
        <v>40</v>
      </c>
      <c r="O43" s="384">
        <f>dtsiswa!D46</f>
        <v>0</v>
      </c>
      <c r="P43" s="385" t="str">
        <f t="shared" si="1"/>
        <v xml:space="preserve">    </v>
      </c>
      <c r="Q43" s="386" t="str">
        <f t="shared" si="2"/>
        <v xml:space="preserve">    </v>
      </c>
    </row>
    <row r="44" spans="1:17" ht="21" x14ac:dyDescent="0.35">
      <c r="A44" s="388">
        <v>1</v>
      </c>
      <c r="B44" s="389">
        <v>2</v>
      </c>
      <c r="C44" s="388">
        <v>3</v>
      </c>
      <c r="D44" s="389">
        <v>4</v>
      </c>
      <c r="E44" s="388">
        <v>5</v>
      </c>
      <c r="F44" s="391">
        <v>11</v>
      </c>
      <c r="G44" s="389">
        <v>12</v>
      </c>
      <c r="H44" s="388">
        <v>13</v>
      </c>
      <c r="I44" s="389">
        <v>14</v>
      </c>
      <c r="J44" s="388">
        <v>15</v>
      </c>
      <c r="K44" s="389">
        <v>16</v>
      </c>
      <c r="L44" s="388">
        <v>17</v>
      </c>
      <c r="M44" s="391">
        <v>25</v>
      </c>
      <c r="N44" s="389">
        <v>26</v>
      </c>
      <c r="O44" s="388">
        <v>27</v>
      </c>
      <c r="P44" s="392">
        <v>28</v>
      </c>
      <c r="Q44" s="393">
        <v>29</v>
      </c>
    </row>
    <row r="45" spans="1:17" s="373" customFormat="1" x14ac:dyDescent="0.25"/>
    <row r="46" spans="1:17" s="373" customFormat="1" x14ac:dyDescent="0.25"/>
    <row r="47" spans="1:17" ht="18.75" customHeight="1" x14ac:dyDescent="0.25">
      <c r="A47" s="373"/>
      <c r="B47" s="373"/>
      <c r="C47" s="373"/>
      <c r="D47" s="373"/>
      <c r="E47" s="373"/>
      <c r="F47" s="373"/>
      <c r="G47" s="364"/>
      <c r="H47" s="373"/>
      <c r="I47" s="373"/>
      <c r="J47" s="373"/>
      <c r="K47" s="373"/>
      <c r="L47" s="373"/>
      <c r="M47" s="373"/>
      <c r="N47" s="373"/>
    </row>
    <row r="48" spans="1:17" ht="23.25" x14ac:dyDescent="0.35">
      <c r="A48" s="2907" t="s">
        <v>169</v>
      </c>
      <c r="B48" s="2907"/>
      <c r="C48" s="2907"/>
      <c r="D48" s="2907"/>
      <c r="E48" s="2907"/>
      <c r="F48" s="373"/>
      <c r="G48" s="364"/>
      <c r="H48" s="2907" t="s">
        <v>169</v>
      </c>
      <c r="I48" s="2907"/>
      <c r="J48" s="2907"/>
      <c r="K48" s="2907"/>
      <c r="L48" s="373"/>
      <c r="M48" s="373"/>
      <c r="N48" s="373"/>
    </row>
    <row r="49" spans="1:13" ht="32.25" customHeight="1" thickBot="1" x14ac:dyDescent="0.45">
      <c r="A49" s="396" t="s">
        <v>148</v>
      </c>
      <c r="B49" s="373"/>
      <c r="C49" s="373"/>
      <c r="D49" s="373"/>
      <c r="E49" s="373"/>
      <c r="F49" s="373"/>
      <c r="G49" s="364"/>
      <c r="H49" s="376" t="s">
        <v>144</v>
      </c>
      <c r="I49" s="373"/>
      <c r="J49" s="373"/>
      <c r="K49" s="373"/>
      <c r="L49" s="373"/>
      <c r="M49" s="373"/>
    </row>
    <row r="50" spans="1:13" ht="31.5" customHeight="1" thickBot="1" x14ac:dyDescent="0.3">
      <c r="A50" s="377" t="s">
        <v>0</v>
      </c>
      <c r="B50" s="377" t="s">
        <v>1</v>
      </c>
      <c r="C50" s="150" t="s">
        <v>12</v>
      </c>
      <c r="D50" s="150" t="s">
        <v>7</v>
      </c>
      <c r="E50" s="150" t="s">
        <v>10</v>
      </c>
      <c r="F50" s="152" t="s">
        <v>138</v>
      </c>
      <c r="G50" s="364"/>
      <c r="H50" s="670" t="s">
        <v>0</v>
      </c>
      <c r="I50" s="671" t="s">
        <v>1</v>
      </c>
      <c r="J50" s="1002" t="s">
        <v>154</v>
      </c>
      <c r="K50" s="1002" t="s">
        <v>155</v>
      </c>
      <c r="L50" s="1002" t="s">
        <v>9</v>
      </c>
      <c r="M50" s="240" t="s">
        <v>138</v>
      </c>
    </row>
    <row r="51" spans="1:13" ht="20.100000000000001" customHeight="1" thickBot="1" x14ac:dyDescent="0.3">
      <c r="A51" s="134">
        <v>1</v>
      </c>
      <c r="B51" s="382" t="str">
        <f>dtsiswa!D7</f>
        <v>Achmad Zacky</v>
      </c>
      <c r="C51" s="387">
        <f>pknki_3!Q7</f>
        <v>0</v>
      </c>
      <c r="D51" s="387">
        <f>pknki_3!R7</f>
        <v>0</v>
      </c>
      <c r="E51" s="387">
        <f>pknki_3!S7</f>
        <v>0</v>
      </c>
      <c r="F51" s="398" t="str">
        <f t="shared" ref="F51:F90" si="4">IF(OR(C51=3,C51=2),VLOOKUP(C51,DES_KI3_PKN,2,FALSE),IF(OR(D51=3,D51=2),VLOOKUP(D51,DES_KI3_PKN,3,FALSE),IF(OR(E51=3,E51=2),VLOOKUP(E51,DES_KI3_PKN,4,FALSE),"  ")))</f>
        <v xml:space="preserve">  </v>
      </c>
      <c r="H51" s="672">
        <v>1</v>
      </c>
      <c r="I51" s="673" t="str">
        <f>dtsiswa!D7</f>
        <v>Achmad Zacky</v>
      </c>
      <c r="J51" s="399">
        <f>pkn_ki4!AA8</f>
        <v>3</v>
      </c>
      <c r="K51" s="399">
        <f>pkn_ki4!AB8</f>
        <v>0</v>
      </c>
      <c r="L51" s="399">
        <f>pkn_ki4!AC8</f>
        <v>0</v>
      </c>
      <c r="M51" s="674" t="str">
        <f t="shared" ref="M51:M90" si="5">IF(OR(J51=2,J51=3),VLOOKUP(J51,des_KI4_PKN,2,FALSE),IF(OR(K51=2,K51=3),VLOOKUP(K51,des_KI4_PKN,3,FALSE),IF(OR(L51=2,L51=3),VLOOKUP(L51,des_KI4_PKN,4,FALSE),"  ")))</f>
        <v xml:space="preserve">Baik dalam Mengamati dan menceritakan perilaku di sekitar rumah dan sekolah dari sudut pandang kelima simbol Pancasila sebagai satu kesatuan yang utuh. </v>
      </c>
    </row>
    <row r="52" spans="1:13" ht="20.100000000000001" customHeight="1" thickBot="1" x14ac:dyDescent="0.3">
      <c r="A52" s="134">
        <v>2</v>
      </c>
      <c r="B52" s="382" t="str">
        <f>dtsiswa!D8</f>
        <v>Angelia Vabel R</v>
      </c>
      <c r="C52" s="387">
        <f>pknki_3!Q11</f>
        <v>0</v>
      </c>
      <c r="D52" s="387">
        <f>pknki_3!R11</f>
        <v>0</v>
      </c>
      <c r="E52" s="387">
        <f>pknki_3!S11</f>
        <v>0</v>
      </c>
      <c r="F52" s="398" t="str">
        <f t="shared" si="4"/>
        <v xml:space="preserve">  </v>
      </c>
      <c r="H52" s="675">
        <v>2</v>
      </c>
      <c r="I52" s="382" t="str">
        <f>dtsiswa!D8</f>
        <v>Angelia Vabel R</v>
      </c>
      <c r="J52" s="387">
        <f>pkn_ki4!AA12</f>
        <v>0</v>
      </c>
      <c r="K52" s="387">
        <f>pkn_ki4!AB12</f>
        <v>0</v>
      </c>
      <c r="L52" s="387">
        <f>pkn_ki4!AC12</f>
        <v>0</v>
      </c>
      <c r="M52" s="674" t="str">
        <f t="shared" si="5"/>
        <v xml:space="preserve">  </v>
      </c>
    </row>
    <row r="53" spans="1:13" ht="20.100000000000001" customHeight="1" thickBot="1" x14ac:dyDescent="0.3">
      <c r="A53" s="134">
        <v>3</v>
      </c>
      <c r="B53" s="382" t="str">
        <f>dtsiswa!D9</f>
        <v>Anggun Dwi P.I</v>
      </c>
      <c r="C53" s="387">
        <f>pknki_3!Q15</f>
        <v>0</v>
      </c>
      <c r="D53" s="387">
        <f>pknki_3!R15</f>
        <v>0</v>
      </c>
      <c r="E53" s="387">
        <f>pknki_3!S15</f>
        <v>0</v>
      </c>
      <c r="F53" s="398" t="str">
        <f t="shared" si="4"/>
        <v xml:space="preserve">  </v>
      </c>
      <c r="H53" s="675">
        <v>3</v>
      </c>
      <c r="I53" s="382" t="str">
        <f>dtsiswa!D9</f>
        <v>Anggun Dwi P.I</v>
      </c>
      <c r="J53" s="387">
        <f>pkn_ki4!AA16</f>
        <v>0</v>
      </c>
      <c r="K53" s="387">
        <f>pkn_ki4!AB16</f>
        <v>0</v>
      </c>
      <c r="L53" s="387">
        <f>pkn_ki4!AC16</f>
        <v>0</v>
      </c>
      <c r="M53" s="674" t="str">
        <f t="shared" si="5"/>
        <v xml:space="preserve">  </v>
      </c>
    </row>
    <row r="54" spans="1:13" ht="20.100000000000001" customHeight="1" thickBot="1" x14ac:dyDescent="0.3">
      <c r="A54" s="134">
        <v>4</v>
      </c>
      <c r="B54" s="382" t="str">
        <f>dtsiswa!D10</f>
        <v>Antonio Permata A</v>
      </c>
      <c r="C54" s="387">
        <f>pknki_3!Q19</f>
        <v>0</v>
      </c>
      <c r="D54" s="387">
        <f>pknki_3!R19</f>
        <v>0</v>
      </c>
      <c r="E54" s="387">
        <f>pknki_3!S19</f>
        <v>0</v>
      </c>
      <c r="F54" s="398" t="str">
        <f t="shared" si="4"/>
        <v xml:space="preserve">  </v>
      </c>
      <c r="H54" s="675">
        <v>4</v>
      </c>
      <c r="I54" s="382" t="str">
        <f>dtsiswa!D10</f>
        <v>Antonio Permata A</v>
      </c>
      <c r="J54" s="387">
        <f>pkn_ki4!AA20</f>
        <v>0</v>
      </c>
      <c r="K54" s="387">
        <f>pkn_ki4!AB20</f>
        <v>0</v>
      </c>
      <c r="L54" s="387">
        <f>pkn_ki4!AC20</f>
        <v>0</v>
      </c>
      <c r="M54" s="674" t="str">
        <f t="shared" si="5"/>
        <v xml:space="preserve">  </v>
      </c>
    </row>
    <row r="55" spans="1:13" ht="20.100000000000001" customHeight="1" thickBot="1" x14ac:dyDescent="0.3">
      <c r="A55" s="134">
        <v>5</v>
      </c>
      <c r="B55" s="382" t="str">
        <f>dtsiswa!D11</f>
        <v>Arya Pratama G</v>
      </c>
      <c r="C55" s="387">
        <f>pknki_3!Q23</f>
        <v>0</v>
      </c>
      <c r="D55" s="387">
        <f>pknki_3!R23</f>
        <v>0</v>
      </c>
      <c r="E55" s="387">
        <f>pknki_3!S23</f>
        <v>0</v>
      </c>
      <c r="F55" s="398" t="str">
        <f t="shared" si="4"/>
        <v xml:space="preserve">  </v>
      </c>
      <c r="H55" s="675">
        <v>5</v>
      </c>
      <c r="I55" s="382" t="str">
        <f>dtsiswa!D11</f>
        <v>Arya Pratama G</v>
      </c>
      <c r="J55" s="387">
        <f>pkn_ki4!AA24</f>
        <v>0</v>
      </c>
      <c r="K55" s="387">
        <f>pkn_ki4!AB24</f>
        <v>0</v>
      </c>
      <c r="L55" s="387">
        <f>pkn_ki4!AC24</f>
        <v>0</v>
      </c>
      <c r="M55" s="674" t="str">
        <f t="shared" si="5"/>
        <v xml:space="preserve">  </v>
      </c>
    </row>
    <row r="56" spans="1:13" ht="20.100000000000001" customHeight="1" thickBot="1" x14ac:dyDescent="0.3">
      <c r="A56" s="134">
        <v>6</v>
      </c>
      <c r="B56" s="382" t="str">
        <f>dtsiswa!D12</f>
        <v>Asyam Hanif Ihsan H</v>
      </c>
      <c r="C56" s="387">
        <f>pknki_3!Q27</f>
        <v>0</v>
      </c>
      <c r="D56" s="387">
        <f>pknki_3!R27</f>
        <v>0</v>
      </c>
      <c r="E56" s="387">
        <f>pknki_3!S27</f>
        <v>0</v>
      </c>
      <c r="F56" s="398" t="str">
        <f t="shared" si="4"/>
        <v xml:space="preserve">  </v>
      </c>
      <c r="H56" s="675">
        <v>6</v>
      </c>
      <c r="I56" s="382" t="str">
        <f>dtsiswa!D12</f>
        <v>Asyam Hanif Ihsan H</v>
      </c>
      <c r="J56" s="387">
        <f>pkn_ki4!AA28</f>
        <v>0</v>
      </c>
      <c r="K56" s="387">
        <f>pkn_ki4!AB28</f>
        <v>0</v>
      </c>
      <c r="L56" s="387">
        <f>pkn_ki4!AC28</f>
        <v>0</v>
      </c>
      <c r="M56" s="674" t="str">
        <f t="shared" si="5"/>
        <v xml:space="preserve">  </v>
      </c>
    </row>
    <row r="57" spans="1:13" ht="20.100000000000001" customHeight="1" thickBot="1" x14ac:dyDescent="0.3">
      <c r="A57" s="134">
        <v>7</v>
      </c>
      <c r="B57" s="382" t="str">
        <f>dtsiswa!D13</f>
        <v>Athaya Salsabilla Z</v>
      </c>
      <c r="C57" s="387">
        <f>pknki_3!Q31</f>
        <v>0</v>
      </c>
      <c r="D57" s="387">
        <f>pknki_3!R31</f>
        <v>0</v>
      </c>
      <c r="E57" s="387">
        <f>pknki_3!S31</f>
        <v>0</v>
      </c>
      <c r="F57" s="398" t="str">
        <f t="shared" si="4"/>
        <v xml:space="preserve">  </v>
      </c>
      <c r="H57" s="675">
        <v>7</v>
      </c>
      <c r="I57" s="382" t="str">
        <f>dtsiswa!D13</f>
        <v>Athaya Salsabilla Z</v>
      </c>
      <c r="J57" s="387">
        <f>pkn_ki4!AA32</f>
        <v>0</v>
      </c>
      <c r="K57" s="387">
        <f>pkn_ki4!AB32</f>
        <v>0</v>
      </c>
      <c r="L57" s="387">
        <f>pkn_ki4!AC32</f>
        <v>0</v>
      </c>
      <c r="M57" s="674" t="str">
        <f t="shared" si="5"/>
        <v xml:space="preserve">  </v>
      </c>
    </row>
    <row r="58" spans="1:13" ht="20.100000000000001" customHeight="1" thickBot="1" x14ac:dyDescent="0.3">
      <c r="A58" s="134">
        <v>8</v>
      </c>
      <c r="B58" s="382" t="str">
        <f>dtsiswa!D14</f>
        <v>Aulia Dea Rosalinda</v>
      </c>
      <c r="C58" s="387">
        <f>pknki_3!Q35</f>
        <v>0</v>
      </c>
      <c r="D58" s="387">
        <f>pknki_3!R35</f>
        <v>0</v>
      </c>
      <c r="E58" s="387">
        <f>pknki_3!S35</f>
        <v>0</v>
      </c>
      <c r="F58" s="398" t="str">
        <f t="shared" si="4"/>
        <v xml:space="preserve">  </v>
      </c>
      <c r="H58" s="675">
        <v>8</v>
      </c>
      <c r="I58" s="382" t="str">
        <f>dtsiswa!D14</f>
        <v>Aulia Dea Rosalinda</v>
      </c>
      <c r="J58" s="387">
        <f>pkn_ki4!AA36</f>
        <v>0</v>
      </c>
      <c r="K58" s="387">
        <f>pkn_ki4!AB36</f>
        <v>0</v>
      </c>
      <c r="L58" s="387">
        <f>pkn_ki4!AC36</f>
        <v>0</v>
      </c>
      <c r="M58" s="674" t="str">
        <f t="shared" si="5"/>
        <v xml:space="preserve">  </v>
      </c>
    </row>
    <row r="59" spans="1:13" ht="20.100000000000001" customHeight="1" thickBot="1" x14ac:dyDescent="0.3">
      <c r="A59" s="134">
        <v>9</v>
      </c>
      <c r="B59" s="382" t="str">
        <f>dtsiswa!D15</f>
        <v>Claudia Gabriella L</v>
      </c>
      <c r="C59" s="387">
        <f>pknki_3!Q39</f>
        <v>0</v>
      </c>
      <c r="D59" s="387">
        <f>pknki_3!R39</f>
        <v>0</v>
      </c>
      <c r="E59" s="387">
        <f>pknki_3!S39</f>
        <v>0</v>
      </c>
      <c r="F59" s="398" t="str">
        <f t="shared" si="4"/>
        <v xml:space="preserve">  </v>
      </c>
      <c r="H59" s="675">
        <v>9</v>
      </c>
      <c r="I59" s="382" t="str">
        <f>dtsiswa!D15</f>
        <v>Claudia Gabriella L</v>
      </c>
      <c r="J59" s="387">
        <f>pkn_ki4!AA40</f>
        <v>0</v>
      </c>
      <c r="K59" s="387">
        <f>pkn_ki4!AB40</f>
        <v>0</v>
      </c>
      <c r="L59" s="387">
        <f>pkn_ki4!AC40</f>
        <v>0</v>
      </c>
      <c r="M59" s="674" t="str">
        <f t="shared" si="5"/>
        <v xml:space="preserve">  </v>
      </c>
    </row>
    <row r="60" spans="1:13" ht="20.100000000000001" customHeight="1" thickBot="1" x14ac:dyDescent="0.3">
      <c r="A60" s="134">
        <v>10</v>
      </c>
      <c r="B60" s="382" t="str">
        <f>dtsiswa!D16</f>
        <v xml:space="preserve">Deco Badarus Zaman </v>
      </c>
      <c r="C60" s="387">
        <f>pknki_3!Q43</f>
        <v>0</v>
      </c>
      <c r="D60" s="387">
        <f>pknki_3!R43</f>
        <v>0</v>
      </c>
      <c r="E60" s="387">
        <f>pknki_3!S43</f>
        <v>0</v>
      </c>
      <c r="F60" s="398" t="str">
        <f t="shared" si="4"/>
        <v xml:space="preserve">  </v>
      </c>
      <c r="H60" s="675">
        <v>10</v>
      </c>
      <c r="I60" s="382" t="str">
        <f>dtsiswa!D16</f>
        <v xml:space="preserve">Deco Badarus Zaman </v>
      </c>
      <c r="J60" s="387">
        <f>pkn_ki4!AA44</f>
        <v>0</v>
      </c>
      <c r="K60" s="387">
        <f>pkn_ki4!AB44</f>
        <v>0</v>
      </c>
      <c r="L60" s="387">
        <f>pkn_ki4!AC44</f>
        <v>0</v>
      </c>
      <c r="M60" s="674" t="str">
        <f t="shared" si="5"/>
        <v xml:space="preserve">  </v>
      </c>
    </row>
    <row r="61" spans="1:13" ht="20.100000000000001" customHeight="1" thickBot="1" x14ac:dyDescent="0.3">
      <c r="A61" s="134">
        <v>11</v>
      </c>
      <c r="B61" s="382" t="str">
        <f>dtsiswa!D17</f>
        <v>Fania Mutiara Felichia</v>
      </c>
      <c r="C61" s="387">
        <f>pknki_3!Q47</f>
        <v>0</v>
      </c>
      <c r="D61" s="387">
        <f>pknki_3!R47</f>
        <v>0</v>
      </c>
      <c r="E61" s="387">
        <f>pknki_3!S47</f>
        <v>0</v>
      </c>
      <c r="F61" s="398" t="str">
        <f t="shared" si="4"/>
        <v xml:space="preserve">  </v>
      </c>
      <c r="H61" s="675">
        <v>11</v>
      </c>
      <c r="I61" s="382" t="str">
        <f>dtsiswa!D17</f>
        <v>Fania Mutiara Felichia</v>
      </c>
      <c r="J61" s="387">
        <f>pkn_ki4!AA48</f>
        <v>0</v>
      </c>
      <c r="K61" s="387">
        <f>pkn_ki4!AB48</f>
        <v>0</v>
      </c>
      <c r="L61" s="387">
        <f>pkn_ki4!AC48</f>
        <v>0</v>
      </c>
      <c r="M61" s="674" t="str">
        <f t="shared" si="5"/>
        <v xml:space="preserve">  </v>
      </c>
    </row>
    <row r="62" spans="1:13" ht="20.100000000000001" customHeight="1" thickBot="1" x14ac:dyDescent="0.3">
      <c r="A62" s="134">
        <v>12</v>
      </c>
      <c r="B62" s="382" t="str">
        <f>dtsiswa!D18</f>
        <v>Intan Dyah Nowari</v>
      </c>
      <c r="C62" s="387">
        <f>pknki_3!Q51</f>
        <v>0</v>
      </c>
      <c r="D62" s="387">
        <f>pknki_3!R51</f>
        <v>0</v>
      </c>
      <c r="E62" s="387">
        <f>pknki_3!S51</f>
        <v>0</v>
      </c>
      <c r="F62" s="398" t="str">
        <f t="shared" si="4"/>
        <v xml:space="preserve">  </v>
      </c>
      <c r="H62" s="675">
        <v>12</v>
      </c>
      <c r="I62" s="382" t="str">
        <f>dtsiswa!D18</f>
        <v>Intan Dyah Nowari</v>
      </c>
      <c r="J62" s="387">
        <f>pkn_ki4!AA52</f>
        <v>0</v>
      </c>
      <c r="K62" s="387">
        <f>pkn_ki4!AB52</f>
        <v>0</v>
      </c>
      <c r="L62" s="387">
        <f>pkn_ki4!AC52</f>
        <v>0</v>
      </c>
      <c r="M62" s="674" t="str">
        <f t="shared" si="5"/>
        <v xml:space="preserve">  </v>
      </c>
    </row>
    <row r="63" spans="1:13" ht="20.100000000000001" customHeight="1" thickBot="1" x14ac:dyDescent="0.3">
      <c r="A63" s="134">
        <v>13</v>
      </c>
      <c r="B63" s="382" t="str">
        <f>dtsiswa!D19</f>
        <v>Misyanita Nurfitri S</v>
      </c>
      <c r="C63" s="387">
        <f>pknki_3!Q55</f>
        <v>0</v>
      </c>
      <c r="D63" s="387">
        <f>pknki_3!R55</f>
        <v>0</v>
      </c>
      <c r="E63" s="387">
        <f>pknki_3!S55</f>
        <v>0</v>
      </c>
      <c r="F63" s="398" t="str">
        <f t="shared" si="4"/>
        <v xml:space="preserve">  </v>
      </c>
      <c r="H63" s="675">
        <v>13</v>
      </c>
      <c r="I63" s="382" t="str">
        <f>dtsiswa!D19</f>
        <v>Misyanita Nurfitri S</v>
      </c>
      <c r="J63" s="387">
        <f>pkn_ki4!AA56</f>
        <v>0</v>
      </c>
      <c r="K63" s="387">
        <f>pkn_ki4!AB56</f>
        <v>0</v>
      </c>
      <c r="L63" s="387">
        <f>pkn_ki4!AC56</f>
        <v>0</v>
      </c>
      <c r="M63" s="674" t="str">
        <f t="shared" si="5"/>
        <v xml:space="preserve">  </v>
      </c>
    </row>
    <row r="64" spans="1:13" ht="20.100000000000001" customHeight="1" thickBot="1" x14ac:dyDescent="0.3">
      <c r="A64" s="134">
        <v>14</v>
      </c>
      <c r="B64" s="382" t="str">
        <f>dtsiswa!D20</f>
        <v>Moch Zidane Hita L. U</v>
      </c>
      <c r="C64" s="387">
        <f>pknki_3!Q59</f>
        <v>0</v>
      </c>
      <c r="D64" s="387">
        <f>pknki_3!R59</f>
        <v>0</v>
      </c>
      <c r="E64" s="387">
        <f>pknki_3!S59</f>
        <v>0</v>
      </c>
      <c r="F64" s="398" t="str">
        <f t="shared" si="4"/>
        <v xml:space="preserve">  </v>
      </c>
      <c r="H64" s="675">
        <v>14</v>
      </c>
      <c r="I64" s="382" t="str">
        <f>dtsiswa!D20</f>
        <v>Moch Zidane Hita L. U</v>
      </c>
      <c r="J64" s="387">
        <f>pkn_ki4!AA60</f>
        <v>0</v>
      </c>
      <c r="K64" s="387">
        <f>pkn_ki4!AB60</f>
        <v>0</v>
      </c>
      <c r="L64" s="387">
        <f>pkn_ki4!AC60</f>
        <v>0</v>
      </c>
      <c r="M64" s="674" t="str">
        <f t="shared" si="5"/>
        <v xml:space="preserve">  </v>
      </c>
    </row>
    <row r="65" spans="1:13" ht="20.100000000000001" customHeight="1" thickBot="1" x14ac:dyDescent="0.3">
      <c r="A65" s="134">
        <v>15</v>
      </c>
      <c r="B65" s="382" t="str">
        <f>dtsiswa!D21</f>
        <v>Muhammad Ibra Maulana</v>
      </c>
      <c r="C65" s="387">
        <f>pknki_3!Q63</f>
        <v>0</v>
      </c>
      <c r="D65" s="387">
        <f>pknki_3!R63</f>
        <v>0</v>
      </c>
      <c r="E65" s="387">
        <f>pknki_3!S63</f>
        <v>0</v>
      </c>
      <c r="F65" s="398" t="str">
        <f t="shared" si="4"/>
        <v xml:space="preserve">  </v>
      </c>
      <c r="H65" s="675">
        <v>15</v>
      </c>
      <c r="I65" s="382" t="str">
        <f>dtsiswa!D21</f>
        <v>Muhammad Ibra Maulana</v>
      </c>
      <c r="J65" s="387">
        <f>pkn_ki4!AA64</f>
        <v>0</v>
      </c>
      <c r="K65" s="387">
        <f>pkn_ki4!AB64</f>
        <v>0</v>
      </c>
      <c r="L65" s="387">
        <f>pkn_ki4!AC64</f>
        <v>0</v>
      </c>
      <c r="M65" s="674" t="str">
        <f t="shared" si="5"/>
        <v xml:space="preserve">  </v>
      </c>
    </row>
    <row r="66" spans="1:13" ht="20.100000000000001" customHeight="1" thickBot="1" x14ac:dyDescent="0.3">
      <c r="A66" s="134">
        <v>16</v>
      </c>
      <c r="B66" s="382" t="str">
        <f>dtsiswa!D22</f>
        <v>Nabilla Shiva Putri</v>
      </c>
      <c r="C66" s="387">
        <f>pknki_3!Q67</f>
        <v>0</v>
      </c>
      <c r="D66" s="387">
        <f>pknki_3!R67</f>
        <v>0</v>
      </c>
      <c r="E66" s="387">
        <f>pknki_3!S67</f>
        <v>0</v>
      </c>
      <c r="F66" s="398" t="str">
        <f t="shared" si="4"/>
        <v xml:space="preserve">  </v>
      </c>
      <c r="H66" s="675">
        <v>16</v>
      </c>
      <c r="I66" s="382" t="str">
        <f>dtsiswa!D22</f>
        <v>Nabilla Shiva Putri</v>
      </c>
      <c r="J66" s="387">
        <f>pkn_ki4!AA68</f>
        <v>0</v>
      </c>
      <c r="K66" s="387">
        <f>pkn_ki4!AB68</f>
        <v>0</v>
      </c>
      <c r="L66" s="387">
        <f>pkn_ki4!AC68</f>
        <v>0</v>
      </c>
      <c r="M66" s="674" t="str">
        <f t="shared" si="5"/>
        <v xml:space="preserve">  </v>
      </c>
    </row>
    <row r="67" spans="1:13" ht="20.100000000000001" customHeight="1" thickBot="1" x14ac:dyDescent="0.3">
      <c r="A67" s="134">
        <v>17</v>
      </c>
      <c r="B67" s="382" t="str">
        <f>dtsiswa!D23</f>
        <v>Naufal Falih F</v>
      </c>
      <c r="C67" s="387">
        <f>pknki_3!Q71</f>
        <v>0</v>
      </c>
      <c r="D67" s="387">
        <f>pknki_3!R71</f>
        <v>0</v>
      </c>
      <c r="E67" s="387">
        <f>pknki_3!S71</f>
        <v>0</v>
      </c>
      <c r="F67" s="398" t="str">
        <f t="shared" si="4"/>
        <v xml:space="preserve">  </v>
      </c>
      <c r="H67" s="675">
        <v>17</v>
      </c>
      <c r="I67" s="382" t="str">
        <f>dtsiswa!D23</f>
        <v>Naufal Falih F</v>
      </c>
      <c r="J67" s="387">
        <f>pkn_ki4!AA72</f>
        <v>0</v>
      </c>
      <c r="K67" s="387">
        <f>pkn_ki4!AB72</f>
        <v>0</v>
      </c>
      <c r="L67" s="387">
        <f>pkn_ki4!AC72</f>
        <v>0</v>
      </c>
      <c r="M67" s="674" t="str">
        <f t="shared" si="5"/>
        <v xml:space="preserve">  </v>
      </c>
    </row>
    <row r="68" spans="1:13" ht="20.100000000000001" customHeight="1" thickBot="1" x14ac:dyDescent="0.3">
      <c r="A68" s="134">
        <v>18</v>
      </c>
      <c r="B68" s="382" t="str">
        <f>dtsiswa!D24</f>
        <v>Nayla Annora Nobel W</v>
      </c>
      <c r="C68" s="387">
        <f>pknki_3!Q75</f>
        <v>0</v>
      </c>
      <c r="D68" s="387">
        <f>pknki_3!R75</f>
        <v>0</v>
      </c>
      <c r="E68" s="387">
        <f>pknki_3!S75</f>
        <v>0</v>
      </c>
      <c r="F68" s="398" t="str">
        <f t="shared" si="4"/>
        <v xml:space="preserve">  </v>
      </c>
      <c r="H68" s="675">
        <v>18</v>
      </c>
      <c r="I68" s="382" t="str">
        <f>dtsiswa!D24</f>
        <v>Nayla Annora Nobel W</v>
      </c>
      <c r="J68" s="387">
        <f>pkn_ki4!AA76</f>
        <v>0</v>
      </c>
      <c r="K68" s="387">
        <f>pkn_ki4!AB76</f>
        <v>0</v>
      </c>
      <c r="L68" s="387">
        <f>pkn_ki4!AC76</f>
        <v>0</v>
      </c>
      <c r="M68" s="674" t="str">
        <f t="shared" si="5"/>
        <v xml:space="preserve">  </v>
      </c>
    </row>
    <row r="69" spans="1:13" ht="20.100000000000001" customHeight="1" thickBot="1" x14ac:dyDescent="0.3">
      <c r="A69" s="134">
        <v>19</v>
      </c>
      <c r="B69" s="382" t="str">
        <f>dtsiswa!D25</f>
        <v>Raihan Danang P</v>
      </c>
      <c r="C69" s="387">
        <f>pknki_3!Q79</f>
        <v>0</v>
      </c>
      <c r="D69" s="387">
        <f>pknki_3!R79</f>
        <v>0</v>
      </c>
      <c r="E69" s="387">
        <f>pknki_3!S79</f>
        <v>0</v>
      </c>
      <c r="F69" s="398" t="str">
        <f t="shared" si="4"/>
        <v xml:space="preserve">  </v>
      </c>
      <c r="H69" s="675">
        <v>19</v>
      </c>
      <c r="I69" s="382" t="str">
        <f>dtsiswa!D25</f>
        <v>Raihan Danang P</v>
      </c>
      <c r="J69" s="387">
        <f>pkn_ki4!AA80</f>
        <v>0</v>
      </c>
      <c r="K69" s="387">
        <f>pkn_ki4!AB80</f>
        <v>0</v>
      </c>
      <c r="L69" s="387">
        <f>pkn_ki4!AC80</f>
        <v>0</v>
      </c>
      <c r="M69" s="674" t="str">
        <f t="shared" si="5"/>
        <v xml:space="preserve">  </v>
      </c>
    </row>
    <row r="70" spans="1:13" ht="20.100000000000001" customHeight="1" thickBot="1" x14ac:dyDescent="0.3">
      <c r="A70" s="134">
        <v>20</v>
      </c>
      <c r="B70" s="382" t="str">
        <f>dtsiswa!D26</f>
        <v>Roby Ardiyansyah</v>
      </c>
      <c r="C70" s="387">
        <f>pknki_3!Q83</f>
        <v>0</v>
      </c>
      <c r="D70" s="387">
        <f>pknki_3!R83</f>
        <v>0</v>
      </c>
      <c r="E70" s="387">
        <f>pknki_3!S83</f>
        <v>0</v>
      </c>
      <c r="F70" s="398" t="str">
        <f t="shared" si="4"/>
        <v xml:space="preserve">  </v>
      </c>
      <c r="H70" s="675">
        <v>20</v>
      </c>
      <c r="I70" s="382" t="str">
        <f>dtsiswa!D26</f>
        <v>Roby Ardiyansyah</v>
      </c>
      <c r="J70" s="387">
        <f>pkn_ki4!AA84</f>
        <v>0</v>
      </c>
      <c r="K70" s="387">
        <f>pkn_ki4!AB84</f>
        <v>0</v>
      </c>
      <c r="L70" s="387">
        <f>pkn_ki4!AC84</f>
        <v>0</v>
      </c>
      <c r="M70" s="674" t="str">
        <f t="shared" si="5"/>
        <v xml:space="preserve">  </v>
      </c>
    </row>
    <row r="71" spans="1:13" ht="20.100000000000001" customHeight="1" thickBot="1" x14ac:dyDescent="0.3">
      <c r="A71" s="134">
        <v>21</v>
      </c>
      <c r="B71" s="382" t="str">
        <f>dtsiswa!D27</f>
        <v>Rojalingga Prana A</v>
      </c>
      <c r="C71" s="387">
        <f>pknki_3!Q87</f>
        <v>0</v>
      </c>
      <c r="D71" s="387">
        <f>pknki_3!R87</f>
        <v>0</v>
      </c>
      <c r="E71" s="387">
        <f>pknki_3!S87</f>
        <v>0</v>
      </c>
      <c r="F71" s="398" t="str">
        <f t="shared" si="4"/>
        <v xml:space="preserve">  </v>
      </c>
      <c r="H71" s="675">
        <v>21</v>
      </c>
      <c r="I71" s="382" t="str">
        <f>dtsiswa!D27</f>
        <v>Rojalingga Prana A</v>
      </c>
      <c r="J71" s="387">
        <f>pkn_ki4!AA88</f>
        <v>0</v>
      </c>
      <c r="K71" s="387">
        <f>pkn_ki4!AB88</f>
        <v>0</v>
      </c>
      <c r="L71" s="387">
        <f>pkn_ki4!AC88</f>
        <v>0</v>
      </c>
      <c r="M71" s="674" t="str">
        <f t="shared" si="5"/>
        <v xml:space="preserve">  </v>
      </c>
    </row>
    <row r="72" spans="1:13" ht="20.100000000000001" customHeight="1" thickBot="1" x14ac:dyDescent="0.3">
      <c r="A72" s="134">
        <v>22</v>
      </c>
      <c r="B72" s="382" t="str">
        <f>dtsiswa!D28</f>
        <v>Sally Savista A</v>
      </c>
      <c r="C72" s="387">
        <f>pknki_3!Q91</f>
        <v>0</v>
      </c>
      <c r="D72" s="387">
        <f>pknki_3!R91</f>
        <v>0</v>
      </c>
      <c r="E72" s="387">
        <f>pknki_3!S91</f>
        <v>0</v>
      </c>
      <c r="F72" s="398" t="str">
        <f t="shared" si="4"/>
        <v xml:space="preserve">  </v>
      </c>
      <c r="H72" s="675">
        <v>22</v>
      </c>
      <c r="I72" s="382" t="str">
        <f>dtsiswa!D28</f>
        <v>Sally Savista A</v>
      </c>
      <c r="J72" s="387">
        <f>pkn_ki4!AA92</f>
        <v>0</v>
      </c>
      <c r="K72" s="387">
        <f>pkn_ki4!AB92</f>
        <v>0</v>
      </c>
      <c r="L72" s="387">
        <f>pkn_ki4!AC92</f>
        <v>0</v>
      </c>
      <c r="M72" s="674" t="str">
        <f t="shared" si="5"/>
        <v xml:space="preserve">  </v>
      </c>
    </row>
    <row r="73" spans="1:13" ht="20.100000000000001" customHeight="1" thickBot="1" x14ac:dyDescent="0.3">
      <c r="A73" s="134">
        <v>23</v>
      </c>
      <c r="B73" s="382" t="str">
        <f>dtsiswa!D29</f>
        <v xml:space="preserve">Tania Kaori Angelita </v>
      </c>
      <c r="C73" s="387">
        <f>pknki_3!Q95</f>
        <v>0</v>
      </c>
      <c r="D73" s="387">
        <f>pknki_3!R95</f>
        <v>0</v>
      </c>
      <c r="E73" s="387">
        <f>pknki_3!S95</f>
        <v>0</v>
      </c>
      <c r="F73" s="398" t="str">
        <f t="shared" si="4"/>
        <v xml:space="preserve">  </v>
      </c>
      <c r="H73" s="675">
        <v>23</v>
      </c>
      <c r="I73" s="382" t="str">
        <f>dtsiswa!D29</f>
        <v xml:space="preserve">Tania Kaori Angelita </v>
      </c>
      <c r="J73" s="387">
        <f>pkn_ki4!AA96</f>
        <v>0</v>
      </c>
      <c r="K73" s="387">
        <f>pkn_ki4!AB96</f>
        <v>0</v>
      </c>
      <c r="L73" s="387">
        <f>pkn_ki4!AC96</f>
        <v>0</v>
      </c>
      <c r="M73" s="674" t="str">
        <f t="shared" si="5"/>
        <v xml:space="preserve">  </v>
      </c>
    </row>
    <row r="74" spans="1:13" ht="20.100000000000001" customHeight="1" thickBot="1" x14ac:dyDescent="0.3">
      <c r="A74" s="134">
        <v>24</v>
      </c>
      <c r="B74" s="382" t="str">
        <f>dtsiswa!D30</f>
        <v>Romzy Oka Ramadhani P</v>
      </c>
      <c r="C74" s="387">
        <f>pknki_3!Q99</f>
        <v>0</v>
      </c>
      <c r="D74" s="387">
        <f>pknki_3!R99</f>
        <v>0</v>
      </c>
      <c r="E74" s="387">
        <f>pknki_3!S99</f>
        <v>0</v>
      </c>
      <c r="F74" s="398" t="str">
        <f t="shared" si="4"/>
        <v xml:space="preserve">  </v>
      </c>
      <c r="H74" s="675">
        <v>24</v>
      </c>
      <c r="I74" s="382" t="str">
        <f>dtsiswa!D30</f>
        <v>Romzy Oka Ramadhani P</v>
      </c>
      <c r="J74" s="387">
        <f>pkn_ki4!AA100</f>
        <v>0</v>
      </c>
      <c r="K74" s="387">
        <f>pkn_ki4!AB100</f>
        <v>0</v>
      </c>
      <c r="L74" s="387">
        <f>pkn_ki4!AC100</f>
        <v>0</v>
      </c>
      <c r="M74" s="674" t="str">
        <f t="shared" si="5"/>
        <v xml:space="preserve">  </v>
      </c>
    </row>
    <row r="75" spans="1:13" ht="20.100000000000001" customHeight="1" thickBot="1" x14ac:dyDescent="0.3">
      <c r="A75" s="134">
        <v>25</v>
      </c>
      <c r="B75" s="382" t="str">
        <f>dtsiswa!D31</f>
        <v>Larasati Jagadhita P</v>
      </c>
      <c r="C75" s="387">
        <f>pknki_3!Q103</f>
        <v>0</v>
      </c>
      <c r="D75" s="387">
        <f>pknki_3!R103</f>
        <v>0</v>
      </c>
      <c r="E75" s="387">
        <f>pknki_3!S103</f>
        <v>0</v>
      </c>
      <c r="F75" s="398" t="str">
        <f t="shared" si="4"/>
        <v xml:space="preserve">  </v>
      </c>
      <c r="H75" s="675">
        <v>25</v>
      </c>
      <c r="I75" s="382" t="str">
        <f>dtsiswa!D31</f>
        <v>Larasati Jagadhita P</v>
      </c>
      <c r="J75" s="387">
        <f>pkn_ki4!AA104</f>
        <v>0</v>
      </c>
      <c r="K75" s="387">
        <f>pkn_ki4!AB104</f>
        <v>0</v>
      </c>
      <c r="L75" s="387">
        <f>pkn_ki4!AC104</f>
        <v>0</v>
      </c>
      <c r="M75" s="674" t="str">
        <f t="shared" si="5"/>
        <v xml:space="preserve">  </v>
      </c>
    </row>
    <row r="76" spans="1:13" ht="20.100000000000001" customHeight="1" thickBot="1" x14ac:dyDescent="0.3">
      <c r="A76" s="134">
        <v>26</v>
      </c>
      <c r="B76" s="382" t="str">
        <f>dtsiswa!D32</f>
        <v>Meliana Citra A</v>
      </c>
      <c r="C76" s="387">
        <f>pknki_3!Q107</f>
        <v>0</v>
      </c>
      <c r="D76" s="387">
        <f>pknki_3!R107</f>
        <v>0</v>
      </c>
      <c r="E76" s="387">
        <f>pknki_3!S107</f>
        <v>0</v>
      </c>
      <c r="F76" s="398" t="str">
        <f t="shared" si="4"/>
        <v xml:space="preserve">  </v>
      </c>
      <c r="H76" s="675">
        <v>26</v>
      </c>
      <c r="I76" s="382" t="str">
        <f>dtsiswa!D32</f>
        <v>Meliana Citra A</v>
      </c>
      <c r="J76" s="387">
        <f>pkn_ki4!AA108</f>
        <v>0</v>
      </c>
      <c r="K76" s="387">
        <f>pkn_ki4!AB108</f>
        <v>0</v>
      </c>
      <c r="L76" s="387">
        <f>pkn_ki4!AC108</f>
        <v>0</v>
      </c>
      <c r="M76" s="674" t="str">
        <f t="shared" si="5"/>
        <v xml:space="preserve">  </v>
      </c>
    </row>
    <row r="77" spans="1:13" ht="20.100000000000001" customHeight="1" thickBot="1" x14ac:dyDescent="0.3">
      <c r="A77" s="134">
        <v>27</v>
      </c>
      <c r="B77" s="382" t="str">
        <f>dtsiswa!D33</f>
        <v>Mohammad Rizky</v>
      </c>
      <c r="C77" s="387">
        <f>pknki_3!Q111</f>
        <v>0</v>
      </c>
      <c r="D77" s="387">
        <f>pknki_3!R111</f>
        <v>0</v>
      </c>
      <c r="E77" s="387">
        <f>pknki_3!S111</f>
        <v>0</v>
      </c>
      <c r="F77" s="398" t="str">
        <f t="shared" si="4"/>
        <v xml:space="preserve">  </v>
      </c>
      <c r="H77" s="675">
        <v>27</v>
      </c>
      <c r="I77" s="382" t="str">
        <f>dtsiswa!D33</f>
        <v>Mohammad Rizky</v>
      </c>
      <c r="J77" s="387">
        <f>pkn_ki4!AA112</f>
        <v>0</v>
      </c>
      <c r="K77" s="387">
        <f>pkn_ki4!AB112</f>
        <v>0</v>
      </c>
      <c r="L77" s="387">
        <f>pkn_ki4!AC112</f>
        <v>0</v>
      </c>
      <c r="M77" s="674" t="str">
        <f t="shared" si="5"/>
        <v xml:space="preserve">  </v>
      </c>
    </row>
    <row r="78" spans="1:13" ht="20.100000000000001" customHeight="1" thickBot="1" x14ac:dyDescent="0.3">
      <c r="A78" s="134">
        <v>28</v>
      </c>
      <c r="B78" s="382">
        <f>dtsiswa!D34</f>
        <v>0</v>
      </c>
      <c r="C78" s="387">
        <f>pknki_3!Q115</f>
        <v>0</v>
      </c>
      <c r="D78" s="387">
        <f>pknki_3!R115</f>
        <v>0</v>
      </c>
      <c r="E78" s="387">
        <f>pknki_3!S115</f>
        <v>0</v>
      </c>
      <c r="F78" s="398" t="str">
        <f t="shared" si="4"/>
        <v xml:space="preserve">  </v>
      </c>
      <c r="H78" s="675">
        <v>28</v>
      </c>
      <c r="I78" s="382">
        <f>dtsiswa!D34</f>
        <v>0</v>
      </c>
      <c r="J78" s="387">
        <f>pkn_ki4!AA116</f>
        <v>0</v>
      </c>
      <c r="K78" s="387">
        <f>pkn_ki4!AB116</f>
        <v>0</v>
      </c>
      <c r="L78" s="387">
        <f>pkn_ki4!AC116</f>
        <v>0</v>
      </c>
      <c r="M78" s="674" t="str">
        <f t="shared" si="5"/>
        <v xml:space="preserve">  </v>
      </c>
    </row>
    <row r="79" spans="1:13" ht="20.100000000000001" customHeight="1" thickBot="1" x14ac:dyDescent="0.3">
      <c r="A79" s="134">
        <v>29</v>
      </c>
      <c r="B79" s="382">
        <f>dtsiswa!D35</f>
        <v>0</v>
      </c>
      <c r="C79" s="387">
        <f>pknki_3!Q119</f>
        <v>0</v>
      </c>
      <c r="D79" s="387">
        <f>pknki_3!R119</f>
        <v>0</v>
      </c>
      <c r="E79" s="387">
        <f>pknki_3!S119</f>
        <v>0</v>
      </c>
      <c r="F79" s="398" t="str">
        <f t="shared" si="4"/>
        <v xml:space="preserve">  </v>
      </c>
      <c r="H79" s="675">
        <v>29</v>
      </c>
      <c r="I79" s="382">
        <f>dtsiswa!D35</f>
        <v>0</v>
      </c>
      <c r="J79" s="387">
        <f>pkn_ki4!AA120</f>
        <v>0</v>
      </c>
      <c r="K79" s="387">
        <f>pkn_ki4!AB120</f>
        <v>0</v>
      </c>
      <c r="L79" s="387">
        <f>pkn_ki4!AC120</f>
        <v>0</v>
      </c>
      <c r="M79" s="674" t="str">
        <f t="shared" si="5"/>
        <v xml:space="preserve">  </v>
      </c>
    </row>
    <row r="80" spans="1:13" ht="20.100000000000001" customHeight="1" thickBot="1" x14ac:dyDescent="0.3">
      <c r="A80" s="134">
        <v>30</v>
      </c>
      <c r="B80" s="382">
        <f>dtsiswa!D36</f>
        <v>0</v>
      </c>
      <c r="C80" s="387">
        <f>pknki_3!Q123</f>
        <v>0</v>
      </c>
      <c r="D80" s="387">
        <f>pknki_3!R123</f>
        <v>0</v>
      </c>
      <c r="E80" s="387">
        <f>pknki_3!S123</f>
        <v>0</v>
      </c>
      <c r="F80" s="398" t="str">
        <f t="shared" si="4"/>
        <v xml:space="preserve">  </v>
      </c>
      <c r="H80" s="675">
        <v>30</v>
      </c>
      <c r="I80" s="382">
        <f>dtsiswa!D36</f>
        <v>0</v>
      </c>
      <c r="J80" s="387">
        <f>pkn_ki4!AA124</f>
        <v>0</v>
      </c>
      <c r="K80" s="387">
        <f>pkn_ki4!AB124</f>
        <v>0</v>
      </c>
      <c r="L80" s="387">
        <f>pkn_ki4!AC124</f>
        <v>0</v>
      </c>
      <c r="M80" s="674" t="str">
        <f t="shared" si="5"/>
        <v xml:space="preserve">  </v>
      </c>
    </row>
    <row r="81" spans="1:13" ht="20.100000000000001" customHeight="1" thickBot="1" x14ac:dyDescent="0.3">
      <c r="A81" s="134">
        <v>31</v>
      </c>
      <c r="B81" s="382">
        <f>dtsiswa!D37</f>
        <v>0</v>
      </c>
      <c r="C81" s="387">
        <f>pknki_3!Q127</f>
        <v>0</v>
      </c>
      <c r="D81" s="387">
        <f>pknki_3!R127</f>
        <v>0</v>
      </c>
      <c r="E81" s="387">
        <f>pknki_3!S127</f>
        <v>0</v>
      </c>
      <c r="F81" s="398" t="str">
        <f t="shared" si="4"/>
        <v xml:space="preserve">  </v>
      </c>
      <c r="H81" s="675">
        <v>31</v>
      </c>
      <c r="I81" s="382">
        <f>dtsiswa!D37</f>
        <v>0</v>
      </c>
      <c r="J81" s="387">
        <f>pkn_ki4!AA128</f>
        <v>0</v>
      </c>
      <c r="K81" s="387">
        <f>pkn_ki4!AB128</f>
        <v>0</v>
      </c>
      <c r="L81" s="387">
        <f>pkn_ki4!AC128</f>
        <v>0</v>
      </c>
      <c r="M81" s="674" t="str">
        <f t="shared" si="5"/>
        <v xml:space="preserve">  </v>
      </c>
    </row>
    <row r="82" spans="1:13" ht="20.100000000000001" customHeight="1" thickBot="1" x14ac:dyDescent="0.3">
      <c r="A82" s="134">
        <v>32</v>
      </c>
      <c r="B82" s="382">
        <f>dtsiswa!D38</f>
        <v>0</v>
      </c>
      <c r="C82" s="742">
        <f>pknki_3!Q131</f>
        <v>0</v>
      </c>
      <c r="D82" s="742">
        <f>pknki_3!R131</f>
        <v>0</v>
      </c>
      <c r="E82" s="742">
        <f>pknki_3!S131</f>
        <v>0</v>
      </c>
      <c r="F82" s="398" t="str">
        <f t="shared" si="4"/>
        <v xml:space="preserve">  </v>
      </c>
      <c r="H82" s="675">
        <v>32</v>
      </c>
      <c r="I82" s="382">
        <f>dtsiswa!D38</f>
        <v>0</v>
      </c>
      <c r="J82" s="387">
        <f>pkn_ki4!AA132</f>
        <v>0</v>
      </c>
      <c r="K82" s="387">
        <f>pkn_ki4!AB132</f>
        <v>0</v>
      </c>
      <c r="L82" s="387">
        <f>pkn_ki4!AC132</f>
        <v>0</v>
      </c>
      <c r="M82" s="674" t="str">
        <f t="shared" si="5"/>
        <v xml:space="preserve">  </v>
      </c>
    </row>
    <row r="83" spans="1:13" ht="20.100000000000001" customHeight="1" thickBot="1" x14ac:dyDescent="0.3">
      <c r="A83" s="134">
        <v>33</v>
      </c>
      <c r="B83" s="382">
        <f>dtsiswa!D39</f>
        <v>0</v>
      </c>
      <c r="C83" s="387">
        <f>pknki_3!Q135</f>
        <v>0</v>
      </c>
      <c r="D83" s="387">
        <f>pknki_3!R135</f>
        <v>0</v>
      </c>
      <c r="E83" s="387">
        <f>pknki_3!S135</f>
        <v>0</v>
      </c>
      <c r="F83" s="398" t="str">
        <f t="shared" si="4"/>
        <v xml:space="preserve">  </v>
      </c>
      <c r="H83" s="675">
        <v>33</v>
      </c>
      <c r="I83" s="382">
        <f>dtsiswa!D39</f>
        <v>0</v>
      </c>
      <c r="J83" s="387">
        <f>pkn_ki4!AA136</f>
        <v>0</v>
      </c>
      <c r="K83" s="387">
        <f>pkn_ki4!AB136</f>
        <v>0</v>
      </c>
      <c r="L83" s="387">
        <f>pkn_ki4!AC136</f>
        <v>0</v>
      </c>
      <c r="M83" s="674" t="str">
        <f t="shared" si="5"/>
        <v xml:space="preserve">  </v>
      </c>
    </row>
    <row r="84" spans="1:13" ht="20.100000000000001" customHeight="1" thickBot="1" x14ac:dyDescent="0.3">
      <c r="A84" s="134">
        <v>34</v>
      </c>
      <c r="B84" s="382">
        <f>dtsiswa!D40</f>
        <v>0</v>
      </c>
      <c r="C84" s="387">
        <f>pknki_3!Q139</f>
        <v>0</v>
      </c>
      <c r="D84" s="387">
        <f>pknki_3!R139</f>
        <v>0</v>
      </c>
      <c r="E84" s="387">
        <f>pknki_3!S139</f>
        <v>0</v>
      </c>
      <c r="F84" s="398" t="str">
        <f t="shared" si="4"/>
        <v xml:space="preserve">  </v>
      </c>
      <c r="H84" s="675">
        <v>34</v>
      </c>
      <c r="I84" s="382">
        <f>dtsiswa!D40</f>
        <v>0</v>
      </c>
      <c r="J84" s="387">
        <f>pkn_ki4!AA140</f>
        <v>0</v>
      </c>
      <c r="K84" s="387">
        <f>pkn_ki4!AB140</f>
        <v>0</v>
      </c>
      <c r="L84" s="387">
        <f>pkn_ki4!AC140</f>
        <v>0</v>
      </c>
      <c r="M84" s="674" t="str">
        <f t="shared" si="5"/>
        <v xml:space="preserve">  </v>
      </c>
    </row>
    <row r="85" spans="1:13" ht="20.100000000000001" customHeight="1" thickBot="1" x14ac:dyDescent="0.3">
      <c r="A85" s="134">
        <v>35</v>
      </c>
      <c r="B85" s="382">
        <f>dtsiswa!D41</f>
        <v>0</v>
      </c>
      <c r="C85" s="387">
        <f>pknki_3!Q143</f>
        <v>0</v>
      </c>
      <c r="D85" s="387">
        <f>pknki_3!R143</f>
        <v>0</v>
      </c>
      <c r="E85" s="387">
        <f>pknki_3!S143</f>
        <v>0</v>
      </c>
      <c r="F85" s="398" t="str">
        <f t="shared" si="4"/>
        <v xml:space="preserve">  </v>
      </c>
      <c r="H85" s="675">
        <v>35</v>
      </c>
      <c r="I85" s="382">
        <f>dtsiswa!D41</f>
        <v>0</v>
      </c>
      <c r="J85" s="387">
        <f>pkn_ki4!AA144</f>
        <v>0</v>
      </c>
      <c r="K85" s="387">
        <f>pkn_ki4!AB144</f>
        <v>0</v>
      </c>
      <c r="L85" s="387">
        <f>pkn_ki4!AC144</f>
        <v>0</v>
      </c>
      <c r="M85" s="674" t="str">
        <f t="shared" si="5"/>
        <v xml:space="preserve">  </v>
      </c>
    </row>
    <row r="86" spans="1:13" ht="20.100000000000001" customHeight="1" thickBot="1" x14ac:dyDescent="0.3">
      <c r="A86" s="134">
        <v>36</v>
      </c>
      <c r="B86" s="382">
        <f>dtsiswa!D42</f>
        <v>0</v>
      </c>
      <c r="C86" s="387">
        <f>pknki_3!Q147</f>
        <v>0</v>
      </c>
      <c r="D86" s="387">
        <f>pknki_3!R147</f>
        <v>0</v>
      </c>
      <c r="E86" s="387">
        <f>pknki_3!S147</f>
        <v>0</v>
      </c>
      <c r="F86" s="398" t="str">
        <f t="shared" si="4"/>
        <v xml:space="preserve">  </v>
      </c>
      <c r="H86" s="675">
        <v>36</v>
      </c>
      <c r="I86" s="382">
        <f>dtsiswa!D42</f>
        <v>0</v>
      </c>
      <c r="J86" s="387">
        <f>pkn_ki4!AA148</f>
        <v>0</v>
      </c>
      <c r="K86" s="387">
        <f>pkn_ki4!AB148</f>
        <v>0</v>
      </c>
      <c r="L86" s="387">
        <f>pkn_ki4!AC148</f>
        <v>0</v>
      </c>
      <c r="M86" s="674" t="str">
        <f t="shared" si="5"/>
        <v xml:space="preserve">  </v>
      </c>
    </row>
    <row r="87" spans="1:13" ht="20.100000000000001" customHeight="1" thickBot="1" x14ac:dyDescent="0.3">
      <c r="A87" s="134">
        <v>37</v>
      </c>
      <c r="B87" s="382">
        <f>dtsiswa!D43</f>
        <v>0</v>
      </c>
      <c r="C87" s="387">
        <f>pknki_3!Q151</f>
        <v>0</v>
      </c>
      <c r="D87" s="387">
        <f>pknki_3!R151</f>
        <v>0</v>
      </c>
      <c r="E87" s="387">
        <f>pknki_3!S151</f>
        <v>0</v>
      </c>
      <c r="F87" s="398" t="str">
        <f t="shared" si="4"/>
        <v xml:space="preserve">  </v>
      </c>
      <c r="H87" s="675">
        <v>37</v>
      </c>
      <c r="I87" s="382">
        <f>dtsiswa!D43</f>
        <v>0</v>
      </c>
      <c r="J87" s="387">
        <f>pkn_ki4!AA152</f>
        <v>0</v>
      </c>
      <c r="K87" s="387">
        <f>pkn_ki4!AB152</f>
        <v>0</v>
      </c>
      <c r="L87" s="387">
        <f>pkn_ki4!AC152</f>
        <v>0</v>
      </c>
      <c r="M87" s="674" t="str">
        <f t="shared" si="5"/>
        <v xml:space="preserve">  </v>
      </c>
    </row>
    <row r="88" spans="1:13" ht="20.100000000000001" customHeight="1" thickBot="1" x14ac:dyDescent="0.3">
      <c r="A88" s="134">
        <v>38</v>
      </c>
      <c r="B88" s="382">
        <f>dtsiswa!D44</f>
        <v>0</v>
      </c>
      <c r="C88" s="387">
        <f>pknki_3!Q155</f>
        <v>0</v>
      </c>
      <c r="D88" s="387">
        <f>pknki_3!R155</f>
        <v>0</v>
      </c>
      <c r="E88" s="387">
        <f>pknki_3!S155</f>
        <v>0</v>
      </c>
      <c r="F88" s="398" t="str">
        <f t="shared" si="4"/>
        <v xml:space="preserve">  </v>
      </c>
      <c r="H88" s="675">
        <v>38</v>
      </c>
      <c r="I88" s="382">
        <f>dtsiswa!D44</f>
        <v>0</v>
      </c>
      <c r="J88" s="387">
        <f>pkn_ki4!AA156</f>
        <v>0</v>
      </c>
      <c r="K88" s="387">
        <f>pkn_ki4!AB156</f>
        <v>0</v>
      </c>
      <c r="L88" s="387">
        <f>pkn_ki4!AC156</f>
        <v>0</v>
      </c>
      <c r="M88" s="674" t="str">
        <f t="shared" si="5"/>
        <v xml:space="preserve">  </v>
      </c>
    </row>
    <row r="89" spans="1:13" ht="20.100000000000001" customHeight="1" thickBot="1" x14ac:dyDescent="0.3">
      <c r="A89" s="134">
        <v>39</v>
      </c>
      <c r="B89" s="382">
        <f>dtsiswa!D45</f>
        <v>0</v>
      </c>
      <c r="C89" s="387">
        <f>pknki_3!Q159</f>
        <v>0</v>
      </c>
      <c r="D89" s="387">
        <f>pknki_3!R159</f>
        <v>0</v>
      </c>
      <c r="E89" s="387">
        <f>pknki_3!S159</f>
        <v>0</v>
      </c>
      <c r="F89" s="398" t="str">
        <f t="shared" si="4"/>
        <v xml:space="preserve">  </v>
      </c>
      <c r="H89" s="675">
        <v>39</v>
      </c>
      <c r="I89" s="382">
        <f>dtsiswa!D45</f>
        <v>0</v>
      </c>
      <c r="J89" s="387">
        <f>pkn_ki4!AA160</f>
        <v>0</v>
      </c>
      <c r="K89" s="387">
        <f>pkn_ki4!AB160</f>
        <v>0</v>
      </c>
      <c r="L89" s="387">
        <f>pkn_ki4!AC160</f>
        <v>0</v>
      </c>
      <c r="M89" s="674" t="str">
        <f t="shared" si="5"/>
        <v xml:space="preserve">  </v>
      </c>
    </row>
    <row r="90" spans="1:13" ht="20.100000000000001" customHeight="1" thickBot="1" x14ac:dyDescent="0.3">
      <c r="A90" s="134">
        <v>40</v>
      </c>
      <c r="B90" s="382">
        <f>dtsiswa!D46</f>
        <v>0</v>
      </c>
      <c r="C90" s="387">
        <f>pknki_3!Q163</f>
        <v>0</v>
      </c>
      <c r="D90" s="387">
        <f>pknki_3!R163</f>
        <v>0</v>
      </c>
      <c r="E90" s="387">
        <f>pknki_3!S163</f>
        <v>0</v>
      </c>
      <c r="F90" s="398" t="str">
        <f t="shared" si="4"/>
        <v xml:space="preserve">  </v>
      </c>
      <c r="H90" s="676">
        <v>40</v>
      </c>
      <c r="I90" s="677">
        <f>dtsiswa!D46</f>
        <v>0</v>
      </c>
      <c r="J90" s="387">
        <f>pkn_ki4!AA164</f>
        <v>0</v>
      </c>
      <c r="K90" s="387">
        <f>pkn_ki4!AB164</f>
        <v>0</v>
      </c>
      <c r="L90" s="387">
        <f>pkn_ki4!AC164</f>
        <v>0</v>
      </c>
      <c r="M90" s="674" t="str">
        <f t="shared" si="5"/>
        <v xml:space="preserve">  </v>
      </c>
    </row>
  </sheetData>
  <mergeCells count="4">
    <mergeCell ref="A1:E1"/>
    <mergeCell ref="H1:K1"/>
    <mergeCell ref="H48:K48"/>
    <mergeCell ref="A48:E48"/>
  </mergeCells>
  <conditionalFormatting sqref="C4:E43">
    <cfRule type="top10" dxfId="514" priority="2157" rank="1"/>
  </conditionalFormatting>
  <conditionalFormatting sqref="C5:E43">
    <cfRule type="top10" dxfId="513" priority="2158" rank="1"/>
  </conditionalFormatting>
  <conditionalFormatting sqref="C6:E10 C11:C12 D11:E11">
    <cfRule type="top10" dxfId="512" priority="2159" rank="1"/>
  </conditionalFormatting>
  <conditionalFormatting sqref="C7:E43">
    <cfRule type="top10" dxfId="511" priority="2162" rank="1"/>
  </conditionalFormatting>
  <conditionalFormatting sqref="C8:E43">
    <cfRule type="top10" dxfId="510" priority="2163" rank="1"/>
  </conditionalFormatting>
  <conditionalFormatting sqref="C9:E43">
    <cfRule type="top10" dxfId="509" priority="2164" rank="1"/>
  </conditionalFormatting>
  <conditionalFormatting sqref="C10:E43">
    <cfRule type="top10" dxfId="508" priority="2165" rank="1"/>
  </conditionalFormatting>
  <conditionalFormatting sqref="C12:C43 D11:E43">
    <cfRule type="top10" dxfId="507" priority="2166" rank="1"/>
  </conditionalFormatting>
  <conditionalFormatting sqref="C13:C43 D12:E43">
    <cfRule type="top10" dxfId="506" priority="2168" rank="1"/>
  </conditionalFormatting>
  <conditionalFormatting sqref="C14:C43 D13:E43">
    <cfRule type="top10" dxfId="505" priority="2170" rank="1"/>
  </conditionalFormatting>
  <conditionalFormatting sqref="D14:E14 C15">
    <cfRule type="top10" dxfId="504" priority="2172" rank="1"/>
  </conditionalFormatting>
  <conditionalFormatting sqref="D15:E15 C16">
    <cfRule type="top10" dxfId="503" priority="2174" rank="1"/>
  </conditionalFormatting>
  <conditionalFormatting sqref="D16:E16 C17">
    <cfRule type="top10" dxfId="502" priority="2176" rank="1"/>
  </conditionalFormatting>
  <conditionalFormatting sqref="C18:C43 D17:E43">
    <cfRule type="top10" dxfId="501" priority="2178" rank="1"/>
  </conditionalFormatting>
  <conditionalFormatting sqref="D18:E18 C19">
    <cfRule type="top10" dxfId="500" priority="2180" rank="1"/>
  </conditionalFormatting>
  <conditionalFormatting sqref="D19:E19 C20">
    <cfRule type="top10" dxfId="499" priority="2182" rank="1"/>
  </conditionalFormatting>
  <conditionalFormatting sqref="D20:E20 C21">
    <cfRule type="top10" dxfId="498" priority="2184" rank="1"/>
  </conditionalFormatting>
  <conditionalFormatting sqref="D21:E21 C22">
    <cfRule type="top10" dxfId="497" priority="2186" rank="1"/>
  </conditionalFormatting>
  <conditionalFormatting sqref="D22:E22 C23">
    <cfRule type="top10" dxfId="496" priority="2188" rank="1"/>
  </conditionalFormatting>
  <conditionalFormatting sqref="C24:C43 D23:E43">
    <cfRule type="top10" dxfId="495" priority="2190" rank="1"/>
  </conditionalFormatting>
  <conditionalFormatting sqref="D24:E24 C25">
    <cfRule type="top10" dxfId="494" priority="2192" rank="1"/>
  </conditionalFormatting>
  <conditionalFormatting sqref="C27:C43 D26:E43">
    <cfRule type="top10" dxfId="493" priority="2194" rank="1"/>
  </conditionalFormatting>
  <conditionalFormatting sqref="C35:C43 D34:E43">
    <cfRule type="top10" dxfId="492" priority="2196" rank="1"/>
  </conditionalFormatting>
  <conditionalFormatting sqref="D25:E25 C26">
    <cfRule type="top10" dxfId="491" priority="2198" rank="1"/>
  </conditionalFormatting>
  <conditionalFormatting sqref="D27:E27 C28">
    <cfRule type="top10" dxfId="490" priority="2200" rank="1"/>
  </conditionalFormatting>
  <conditionalFormatting sqref="D28:E28 C29">
    <cfRule type="top10" dxfId="489" priority="2202" rank="1"/>
  </conditionalFormatting>
  <conditionalFormatting sqref="D29:E29 C30">
    <cfRule type="top10" dxfId="488" priority="2204" rank="1"/>
  </conditionalFormatting>
  <conditionalFormatting sqref="D30:E30 C31">
    <cfRule type="top10" dxfId="487" priority="2206" rank="1"/>
  </conditionalFormatting>
  <conditionalFormatting sqref="D31:E31 C32">
    <cfRule type="top10" dxfId="486" priority="2208" rank="1"/>
  </conditionalFormatting>
  <conditionalFormatting sqref="D32:E32 C33">
    <cfRule type="top10" dxfId="485" priority="2210" rank="1"/>
  </conditionalFormatting>
  <conditionalFormatting sqref="C10:E10 C11:C12 D11:E11">
    <cfRule type="top10" dxfId="484" priority="2212" rank="1"/>
  </conditionalFormatting>
  <conditionalFormatting sqref="C51:E90">
    <cfRule type="top10" dxfId="483" priority="2215" rank="1"/>
  </conditionalFormatting>
  <conditionalFormatting sqref="J4:L43">
    <cfRule type="top10" dxfId="482" priority="2216" rank="1"/>
  </conditionalFormatting>
  <conditionalFormatting sqref="J51:L51">
    <cfRule type="top10" dxfId="481" priority="2217" rank="1"/>
  </conditionalFormatting>
  <conditionalFormatting sqref="J52:L90">
    <cfRule type="top10" dxfId="480" priority="2218" rank="1"/>
  </conditionalFormatting>
  <pageMargins left="0.7" right="0.7" top="0.75" bottom="0.75" header="0.3" footer="0.3"/>
  <pageSetup paperSize="9"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T97"/>
  <sheetViews>
    <sheetView showGridLines="0" workbookViewId="0">
      <selection sqref="A1:G1"/>
    </sheetView>
  </sheetViews>
  <sheetFormatPr defaultRowHeight="15" x14ac:dyDescent="0.25"/>
  <cols>
    <col min="1" max="1" width="8.42578125" customWidth="1"/>
    <col min="2" max="2" width="44.28515625" customWidth="1"/>
    <col min="3" max="3" width="4.5703125" customWidth="1"/>
    <col min="4" max="7" width="4.7109375" customWidth="1"/>
    <col min="8" max="8" width="112.42578125" customWidth="1"/>
    <col min="9" max="9" width="0.28515625" customWidth="1"/>
    <col min="10" max="10" width="7.42578125" customWidth="1"/>
    <col min="11" max="11" width="41.5703125" customWidth="1"/>
    <col min="12" max="12" width="5.85546875" customWidth="1"/>
    <col min="13" max="13" width="6.42578125" customWidth="1"/>
    <col min="14" max="14" width="5.5703125" customWidth="1"/>
    <col min="15" max="15" width="6.7109375" customWidth="1"/>
    <col min="16" max="16" width="112.85546875" customWidth="1"/>
    <col min="17" max="17" width="7.28515625" customWidth="1"/>
    <col min="18" max="18" width="37.5703125" customWidth="1"/>
    <col min="19" max="19" width="66.28515625" customWidth="1"/>
    <col min="20" max="20" width="76.7109375" customWidth="1"/>
    <col min="22" max="22" width="6.42578125" customWidth="1"/>
  </cols>
  <sheetData>
    <row r="1" spans="1:20" ht="26.25" x14ac:dyDescent="0.4">
      <c r="A1" s="2908" t="s">
        <v>176</v>
      </c>
      <c r="B1" s="2908"/>
      <c r="C1" s="2908"/>
      <c r="D1" s="2908"/>
      <c r="E1" s="2908"/>
      <c r="F1" s="2908"/>
      <c r="G1" s="2908"/>
      <c r="H1" s="161"/>
      <c r="I1" s="157"/>
      <c r="J1" s="2908" t="s">
        <v>176</v>
      </c>
      <c r="K1" s="2908"/>
      <c r="L1" s="2908"/>
      <c r="M1" s="2908"/>
      <c r="N1" s="161"/>
      <c r="O1" s="161"/>
      <c r="P1" s="161"/>
      <c r="Q1" s="347" t="s">
        <v>429</v>
      </c>
    </row>
    <row r="2" spans="1:20" ht="27" thickBot="1" x14ac:dyDescent="0.45">
      <c r="A2" s="164" t="s">
        <v>147</v>
      </c>
      <c r="B2" s="161"/>
      <c r="C2" s="161"/>
      <c r="D2" s="161"/>
      <c r="E2" s="161"/>
      <c r="F2" s="161"/>
      <c r="G2" s="161"/>
      <c r="H2" s="161"/>
      <c r="I2" s="157"/>
      <c r="J2" s="163" t="s">
        <v>25</v>
      </c>
      <c r="K2" s="161"/>
      <c r="L2" s="161"/>
      <c r="M2" s="161"/>
      <c r="N2" s="161"/>
      <c r="O2" s="161"/>
      <c r="P2" s="161"/>
    </row>
    <row r="3" spans="1:20" ht="49.5" customHeight="1" x14ac:dyDescent="0.25">
      <c r="A3" s="151" t="s">
        <v>0</v>
      </c>
      <c r="B3" s="151" t="s">
        <v>1</v>
      </c>
      <c r="C3" s="222" t="s">
        <v>12</v>
      </c>
      <c r="D3" s="222" t="s">
        <v>7</v>
      </c>
      <c r="E3" s="222" t="s">
        <v>10</v>
      </c>
      <c r="F3" s="222" t="s">
        <v>8</v>
      </c>
      <c r="G3" s="222" t="s">
        <v>18</v>
      </c>
      <c r="H3" s="152" t="s">
        <v>138</v>
      </c>
      <c r="J3" s="156" t="s">
        <v>0</v>
      </c>
      <c r="K3" s="156" t="s">
        <v>1</v>
      </c>
      <c r="L3" s="1004" t="s">
        <v>154</v>
      </c>
      <c r="M3" s="1004" t="s">
        <v>155</v>
      </c>
      <c r="N3" s="1004" t="s">
        <v>9</v>
      </c>
      <c r="O3" s="1004" t="s">
        <v>11</v>
      </c>
      <c r="P3" s="152" t="s">
        <v>138</v>
      </c>
      <c r="Q3" s="175" t="s">
        <v>0</v>
      </c>
      <c r="R3" s="174" t="s">
        <v>1</v>
      </c>
      <c r="S3" s="172" t="s">
        <v>145</v>
      </c>
      <c r="T3" s="173" t="s">
        <v>146</v>
      </c>
    </row>
    <row r="4" spans="1:20" ht="21.75" customHeight="1" x14ac:dyDescent="0.25">
      <c r="A4" s="40">
        <v>1</v>
      </c>
      <c r="B4" s="155" t="str">
        <f>dtsiswa!D7</f>
        <v>Achmad Zacky</v>
      </c>
      <c r="C4" s="185">
        <f>biki_3!N7</f>
        <v>0</v>
      </c>
      <c r="D4" s="1168">
        <f>biki_3!O7</f>
        <v>4</v>
      </c>
      <c r="E4" s="1168">
        <f>biki_3!P7</f>
        <v>0</v>
      </c>
      <c r="F4" s="1168">
        <f>biki_3!Q7</f>
        <v>0</v>
      </c>
      <c r="G4" s="1168">
        <f>biki_3!R7</f>
        <v>0</v>
      </c>
      <c r="H4" s="178" t="str">
        <f t="shared" ref="H4:H43" si="0">IF(OR(C4=3,C4=4),VLOOKUP(C4,DES_KI3_BI,2,FALSE),IF(OR(D4=3,D4=4),VLOOKUP(D4,DES_KI3_BI,3,FALSE),IF(OR(E4=3,E4=4),VLOOKUP(E4,DES_KI3_BI,4,FALSE),IF(OR(F4=3,F4=4),VLOOKUP(F4,DES_KI3_BI,5,FALSE),IF(OR(G4=3,G4=4),VLOOKUP(G4,DES_KI3_BI,7,FALSE),"  ")))))</f>
        <v>Sangat  baik dalam mengenal teks petunjuk/arahan tentang perawatan tubuh serta pemeliharaan kesehatan dan kebugaran tubuh dengan bantuan guru atau teman dalam.  bahasa Indonesia lisan dan tulis yang dapat diisi dengan kosakata bahasa daerah untuk membantu pemahaman.</v>
      </c>
      <c r="J4" s="40">
        <v>1</v>
      </c>
      <c r="K4" s="155" t="str">
        <f>dtsiswa!D7</f>
        <v>Achmad Zacky</v>
      </c>
      <c r="L4" s="185">
        <f>BI_ki4!X10</f>
        <v>0</v>
      </c>
      <c r="M4" s="1131">
        <f>BI_ki4!Y10</f>
        <v>0</v>
      </c>
      <c r="N4" s="1131">
        <f>BI_ki4!Z10</f>
        <v>0</v>
      </c>
      <c r="O4" s="1131">
        <f>BI_ki4!AA10</f>
        <v>4</v>
      </c>
      <c r="P4" s="176" t="str">
        <f t="shared" ref="P4:P43" si="1">IF(OR(L4=3,L4=4),VLOOKUP(L4,Des_ki4B.Indo,2,FALSE),IF(OR(M4=3,M4=4),VLOOKUP(M4,Des_ki4B.Indo,3,FALSE),IF(OR(N4=3,N4=4),VLOOKUP(N4,Des_ki4B.Indo,4,FALSE),IF(OR(O4=3,O4=4),VLOOKUP(O4,Des_ki4B.Indo,5,FALSE),"  "))))</f>
        <v xml:space="preserve">Sangat baik dalam Mengelompokkan kesamaan identitas suku bangsa (pakaian tradisional, bahasa, rumah adat, makanan khas, dan upacara adat), sosial ekonomi (jenis pekerjaan orang tua) di lingkungan rumah, sekolah dan masyarakat sekitar. </v>
      </c>
      <c r="Q4" s="40">
        <v>1</v>
      </c>
      <c r="R4" s="154" t="str">
        <f>dtsiswa!D7</f>
        <v>Achmad Zacky</v>
      </c>
      <c r="S4" s="187" t="str">
        <f t="shared" ref="S4" si="2">IFERROR(CONCATENATE(H4,H52),"  ")</f>
        <v xml:space="preserve">Sangat  baik dalam mengenal teks petunjuk/arahan tentang perawatan tubuh serta pemeliharaan kesehatan dan kebugaran tubuh dengan bantuan guru atau teman dalam.  bahasa Indonesia lisan dan tulis yang dapat diisi dengan kosakata bahasa daerah untuk membantu pemahaman.Cukup baik dalam Menggali informasi dari teks cerita petualangan tentang lingkungan dan sumber daya alam dengan bantuan guru dan teman dalam bahasa Indonesia lisan dan tulis dengan memilih dan memilah kosakata baku. </v>
      </c>
      <c r="T4" s="186" t="str">
        <f t="shared" ref="T4" si="3">CONCATENATE(P4,P52)</f>
        <v xml:space="preserve">Sangat baik dalam Mengelompokkan kesamaan identitas suku bangsa (pakaian tradisional, bahasa, rumah adat, makanan khas, dan upacara adat), sosial ekonomi (jenis pekerjaan orang tua) di lingkungan rumah, sekolah dan masyarakat sekitar. Baik dalam Melaksanakan kewajiban sebagai warga di lingkungan rumah, sekolah dan masyarakat. </v>
      </c>
    </row>
    <row r="5" spans="1:20" ht="15.75" customHeight="1" x14ac:dyDescent="0.25">
      <c r="A5" s="40">
        <v>2</v>
      </c>
      <c r="B5" s="155" t="str">
        <f>dtsiswa!D8</f>
        <v>Angelia Vabel R</v>
      </c>
      <c r="C5" s="185">
        <f>biki_3!N13</f>
        <v>0</v>
      </c>
      <c r="D5" s="1168">
        <f>biki_3!O13</f>
        <v>0</v>
      </c>
      <c r="E5" s="1168">
        <f>biki_3!P13</f>
        <v>0</v>
      </c>
      <c r="F5" s="1168">
        <f>biki_3!Q13</f>
        <v>0</v>
      </c>
      <c r="G5" s="1168">
        <f>biki_3!R13</f>
        <v>0</v>
      </c>
      <c r="H5" s="178" t="str">
        <f t="shared" si="0"/>
        <v xml:space="preserve">  </v>
      </c>
      <c r="J5" s="40">
        <v>2</v>
      </c>
      <c r="K5" s="155" t="str">
        <f>dtsiswa!D8</f>
        <v>Angelia Vabel R</v>
      </c>
      <c r="L5" s="185">
        <f>BI_ki4!X15</f>
        <v>0</v>
      </c>
      <c r="M5" s="1131">
        <f>BI_ki4!Y15</f>
        <v>0</v>
      </c>
      <c r="N5" s="1131">
        <f>BI_ki4!Z15</f>
        <v>0</v>
      </c>
      <c r="O5" s="1131">
        <f>BI_ki4!AA15</f>
        <v>0</v>
      </c>
      <c r="P5" s="176" t="str">
        <f t="shared" si="1"/>
        <v xml:space="preserve">  </v>
      </c>
      <c r="Q5" s="40">
        <v>2</v>
      </c>
      <c r="R5" s="154" t="str">
        <f>dtsiswa!D8</f>
        <v>Angelia Vabel R</v>
      </c>
      <c r="S5" s="187" t="str">
        <f t="shared" ref="S5:S43" si="4">IFERROR(CONCATENATE(H5,H53),"  ")</f>
        <v xml:space="preserve">    </v>
      </c>
      <c r="T5" s="186" t="str">
        <f t="shared" ref="T5:T43" si="5">CONCATENATE(P5,P53)</f>
        <v xml:space="preserve">    </v>
      </c>
    </row>
    <row r="6" spans="1:20" ht="15.95" customHeight="1" x14ac:dyDescent="0.25">
      <c r="A6" s="1167">
        <v>3</v>
      </c>
      <c r="B6" s="155" t="str">
        <f>dtsiswa!D9</f>
        <v>Anggun Dwi P.I</v>
      </c>
      <c r="C6" s="1164">
        <f>biki_3!N19</f>
        <v>0</v>
      </c>
      <c r="D6" s="1168">
        <f>biki_3!O19</f>
        <v>0</v>
      </c>
      <c r="E6" s="1168">
        <f>biki_3!P19</f>
        <v>0</v>
      </c>
      <c r="F6" s="1168">
        <f>biki_3!Q19</f>
        <v>0</v>
      </c>
      <c r="G6" s="1168">
        <f>biki_3!R19</f>
        <v>0</v>
      </c>
      <c r="H6" s="178" t="str">
        <f t="shared" si="0"/>
        <v xml:space="preserve">  </v>
      </c>
      <c r="J6" s="40">
        <v>3</v>
      </c>
      <c r="K6" s="155" t="str">
        <f>dtsiswa!D9</f>
        <v>Anggun Dwi P.I</v>
      </c>
      <c r="L6" s="1131">
        <f>BI_ki4!X20</f>
        <v>0</v>
      </c>
      <c r="M6" s="1131">
        <f>BI_ki4!Y20</f>
        <v>0</v>
      </c>
      <c r="N6" s="1131">
        <f>BI_ki4!Z20</f>
        <v>0</v>
      </c>
      <c r="O6" s="1131">
        <f>BI_ki4!AA20</f>
        <v>0</v>
      </c>
      <c r="P6" s="176" t="str">
        <f t="shared" si="1"/>
        <v xml:space="preserve">  </v>
      </c>
      <c r="Q6" s="40">
        <v>3</v>
      </c>
      <c r="R6" s="154" t="str">
        <f>dtsiswa!D9</f>
        <v>Anggun Dwi P.I</v>
      </c>
      <c r="S6" s="187" t="str">
        <f t="shared" si="4"/>
        <v xml:space="preserve">    </v>
      </c>
      <c r="T6" s="186" t="str">
        <f t="shared" si="5"/>
        <v xml:space="preserve">    </v>
      </c>
    </row>
    <row r="7" spans="1:20" ht="15.95" customHeight="1" x14ac:dyDescent="0.25">
      <c r="A7" s="1167">
        <v>4</v>
      </c>
      <c r="B7" s="155" t="str">
        <f>dtsiswa!D10</f>
        <v>Antonio Permata A</v>
      </c>
      <c r="C7" s="1164">
        <f>biki_3!N25</f>
        <v>0</v>
      </c>
      <c r="D7" s="1168">
        <f>biki_3!O25</f>
        <v>0</v>
      </c>
      <c r="E7" s="1168">
        <f>biki_3!P25</f>
        <v>0</v>
      </c>
      <c r="F7" s="1168">
        <f>biki_3!Q25</f>
        <v>0</v>
      </c>
      <c r="G7" s="1168">
        <f>biki_3!R25</f>
        <v>0</v>
      </c>
      <c r="H7" s="178" t="str">
        <f t="shared" si="0"/>
        <v xml:space="preserve">  </v>
      </c>
      <c r="J7" s="40">
        <v>4</v>
      </c>
      <c r="K7" s="155" t="str">
        <f>dtsiswa!D10</f>
        <v>Antonio Permata A</v>
      </c>
      <c r="L7" s="1131">
        <f>BI_ki4!X25</f>
        <v>0</v>
      </c>
      <c r="M7" s="1131">
        <f>BI_ki4!Y25</f>
        <v>0</v>
      </c>
      <c r="N7" s="1131">
        <f>BI_ki4!Z25</f>
        <v>0</v>
      </c>
      <c r="O7" s="1131">
        <f>BI_ki4!AA25</f>
        <v>0</v>
      </c>
      <c r="P7" s="176" t="str">
        <f t="shared" si="1"/>
        <v xml:space="preserve">  </v>
      </c>
      <c r="Q7" s="40">
        <v>4</v>
      </c>
      <c r="R7" s="154" t="str">
        <f>dtsiswa!D10</f>
        <v>Antonio Permata A</v>
      </c>
      <c r="S7" s="187" t="str">
        <f t="shared" si="4"/>
        <v xml:space="preserve">    </v>
      </c>
      <c r="T7" s="186" t="str">
        <f t="shared" si="5"/>
        <v xml:space="preserve">    </v>
      </c>
    </row>
    <row r="8" spans="1:20" ht="15.95" customHeight="1" x14ac:dyDescent="0.25">
      <c r="A8" s="1167">
        <v>5</v>
      </c>
      <c r="B8" s="155" t="str">
        <f>dtsiswa!D11</f>
        <v>Arya Pratama G</v>
      </c>
      <c r="C8" s="1164">
        <f>biki_3!N31</f>
        <v>0</v>
      </c>
      <c r="D8" s="1168">
        <f>biki_3!O31</f>
        <v>0</v>
      </c>
      <c r="E8" s="1168">
        <f>biki_3!P31</f>
        <v>0</v>
      </c>
      <c r="F8" s="1168">
        <f>biki_3!Q31</f>
        <v>0</v>
      </c>
      <c r="G8" s="1168">
        <f>biki_3!R31</f>
        <v>0</v>
      </c>
      <c r="H8" s="178" t="str">
        <f t="shared" si="0"/>
        <v xml:space="preserve">  </v>
      </c>
      <c r="J8" s="40">
        <v>5</v>
      </c>
      <c r="K8" s="155" t="str">
        <f>dtsiswa!D11</f>
        <v>Arya Pratama G</v>
      </c>
      <c r="L8" s="1131">
        <f>BI_ki4!X30</f>
        <v>0</v>
      </c>
      <c r="M8" s="1131">
        <f>BI_ki4!Y30</f>
        <v>0</v>
      </c>
      <c r="N8" s="1131">
        <f>BI_ki4!Z30</f>
        <v>0</v>
      </c>
      <c r="O8" s="1131">
        <f>BI_ki4!AA30</f>
        <v>0</v>
      </c>
      <c r="P8" s="176" t="str">
        <f t="shared" si="1"/>
        <v xml:space="preserve">  </v>
      </c>
      <c r="Q8" s="40">
        <v>5</v>
      </c>
      <c r="R8" s="154" t="str">
        <f>dtsiswa!D11</f>
        <v>Arya Pratama G</v>
      </c>
      <c r="S8" s="187" t="str">
        <f t="shared" si="4"/>
        <v xml:space="preserve">    </v>
      </c>
      <c r="T8" s="186" t="str">
        <f t="shared" si="5"/>
        <v xml:space="preserve">    </v>
      </c>
    </row>
    <row r="9" spans="1:20" ht="15.95" customHeight="1" x14ac:dyDescent="0.25">
      <c r="A9" s="1167">
        <v>6</v>
      </c>
      <c r="B9" s="155" t="str">
        <f>dtsiswa!D12</f>
        <v>Asyam Hanif Ihsan H</v>
      </c>
      <c r="C9" s="1164">
        <f>biki_3!N37</f>
        <v>0</v>
      </c>
      <c r="D9" s="1168">
        <f>biki_3!O37</f>
        <v>0</v>
      </c>
      <c r="E9" s="1168">
        <f>biki_3!P37</f>
        <v>0</v>
      </c>
      <c r="F9" s="1168">
        <f>biki_3!Q37</f>
        <v>0</v>
      </c>
      <c r="G9" s="1168">
        <f>biki_3!R37</f>
        <v>0</v>
      </c>
      <c r="H9" s="178" t="str">
        <f t="shared" si="0"/>
        <v xml:space="preserve">  </v>
      </c>
      <c r="J9" s="40">
        <v>6</v>
      </c>
      <c r="K9" s="155" t="str">
        <f>dtsiswa!D12</f>
        <v>Asyam Hanif Ihsan H</v>
      </c>
      <c r="L9" s="1131">
        <f>BI_ki4!X35</f>
        <v>0</v>
      </c>
      <c r="M9" s="1131">
        <f>BI_ki4!Y35</f>
        <v>0</v>
      </c>
      <c r="N9" s="1131">
        <f>BI_ki4!Z35</f>
        <v>0</v>
      </c>
      <c r="O9" s="1131">
        <f>BI_ki4!AA35</f>
        <v>0</v>
      </c>
      <c r="P9" s="176" t="str">
        <f t="shared" si="1"/>
        <v xml:space="preserve">  </v>
      </c>
      <c r="Q9" s="40">
        <v>6</v>
      </c>
      <c r="R9" s="154" t="str">
        <f>dtsiswa!D12</f>
        <v>Asyam Hanif Ihsan H</v>
      </c>
      <c r="S9" s="187" t="str">
        <f t="shared" si="4"/>
        <v xml:space="preserve">    </v>
      </c>
      <c r="T9" s="186" t="str">
        <f t="shared" si="5"/>
        <v xml:space="preserve">    </v>
      </c>
    </row>
    <row r="10" spans="1:20" ht="15.95" customHeight="1" x14ac:dyDescent="0.25">
      <c r="A10" s="1167">
        <v>7</v>
      </c>
      <c r="B10" s="155" t="str">
        <f>dtsiswa!D13</f>
        <v>Athaya Salsabilla Z</v>
      </c>
      <c r="C10" s="1164">
        <f>biki_3!N43</f>
        <v>0</v>
      </c>
      <c r="D10" s="1168">
        <f>biki_3!O43</f>
        <v>0</v>
      </c>
      <c r="E10" s="1168">
        <f>biki_3!P43</f>
        <v>0</v>
      </c>
      <c r="F10" s="1168">
        <f>biki_3!Q43</f>
        <v>0</v>
      </c>
      <c r="G10" s="1168">
        <f>biki_3!R43</f>
        <v>0</v>
      </c>
      <c r="H10" s="178" t="str">
        <f t="shared" si="0"/>
        <v xml:space="preserve">  </v>
      </c>
      <c r="J10" s="40">
        <v>7</v>
      </c>
      <c r="K10" s="155" t="str">
        <f>dtsiswa!D13</f>
        <v>Athaya Salsabilla Z</v>
      </c>
      <c r="L10" s="1131">
        <f>BI_ki4!X40</f>
        <v>0</v>
      </c>
      <c r="M10" s="1131">
        <f>BI_ki4!Y40</f>
        <v>0</v>
      </c>
      <c r="N10" s="1131">
        <f>BI_ki4!Z40</f>
        <v>0</v>
      </c>
      <c r="O10" s="1131">
        <f>BI_ki4!AA40</f>
        <v>0</v>
      </c>
      <c r="P10" s="176" t="str">
        <f t="shared" si="1"/>
        <v xml:space="preserve">  </v>
      </c>
      <c r="Q10" s="40">
        <v>7</v>
      </c>
      <c r="R10" s="154" t="str">
        <f>dtsiswa!D13</f>
        <v>Athaya Salsabilla Z</v>
      </c>
      <c r="S10" s="187" t="str">
        <f t="shared" si="4"/>
        <v xml:space="preserve">    </v>
      </c>
      <c r="T10" s="186" t="str">
        <f t="shared" si="5"/>
        <v xml:space="preserve">    </v>
      </c>
    </row>
    <row r="11" spans="1:20" ht="15.95" customHeight="1" x14ac:dyDescent="0.25">
      <c r="A11" s="1167">
        <v>8</v>
      </c>
      <c r="B11" s="155" t="str">
        <f>dtsiswa!D14</f>
        <v>Aulia Dea Rosalinda</v>
      </c>
      <c r="C11" s="1164">
        <f>biki_3!N49</f>
        <v>0</v>
      </c>
      <c r="D11" s="1168">
        <f>biki_3!O49</f>
        <v>0</v>
      </c>
      <c r="E11" s="1168">
        <f>biki_3!P49</f>
        <v>0</v>
      </c>
      <c r="F11" s="1168">
        <f>biki_3!Q49</f>
        <v>0</v>
      </c>
      <c r="G11" s="1168">
        <f>biki_3!R49</f>
        <v>0</v>
      </c>
      <c r="H11" s="178" t="str">
        <f t="shared" si="0"/>
        <v xml:space="preserve">  </v>
      </c>
      <c r="J11" s="40">
        <v>8</v>
      </c>
      <c r="K11" s="155" t="str">
        <f>dtsiswa!D14</f>
        <v>Aulia Dea Rosalinda</v>
      </c>
      <c r="L11" s="1131">
        <f>BI_ki4!X45</f>
        <v>0</v>
      </c>
      <c r="M11" s="1131">
        <f>BI_ki4!Y45</f>
        <v>0</v>
      </c>
      <c r="N11" s="1131">
        <f>BI_ki4!Z45</f>
        <v>0</v>
      </c>
      <c r="O11" s="1131">
        <f>BI_ki4!AA45</f>
        <v>0</v>
      </c>
      <c r="P11" s="176" t="str">
        <f t="shared" si="1"/>
        <v xml:space="preserve">  </v>
      </c>
      <c r="Q11" s="40">
        <v>8</v>
      </c>
      <c r="R11" s="154" t="str">
        <f>dtsiswa!D14</f>
        <v>Aulia Dea Rosalinda</v>
      </c>
      <c r="S11" s="187" t="str">
        <f t="shared" si="4"/>
        <v xml:space="preserve">    </v>
      </c>
      <c r="T11" s="186" t="str">
        <f t="shared" si="5"/>
        <v xml:space="preserve">    </v>
      </c>
    </row>
    <row r="12" spans="1:20" ht="15.95" customHeight="1" x14ac:dyDescent="0.25">
      <c r="A12" s="1167">
        <v>9</v>
      </c>
      <c r="B12" s="155" t="str">
        <f>dtsiswa!D15</f>
        <v>Claudia Gabriella L</v>
      </c>
      <c r="C12" s="1164">
        <f>biki_3!N55</f>
        <v>0</v>
      </c>
      <c r="D12" s="1168">
        <f>biki_3!O55</f>
        <v>0</v>
      </c>
      <c r="E12" s="1168">
        <f>biki_3!P55</f>
        <v>0</v>
      </c>
      <c r="F12" s="1168">
        <f>biki_3!Q55</f>
        <v>0</v>
      </c>
      <c r="G12" s="1168">
        <f>biki_3!R55</f>
        <v>0</v>
      </c>
      <c r="H12" s="178" t="str">
        <f t="shared" si="0"/>
        <v xml:space="preserve">  </v>
      </c>
      <c r="J12" s="40">
        <v>9</v>
      </c>
      <c r="K12" s="155" t="str">
        <f>dtsiswa!D15</f>
        <v>Claudia Gabriella L</v>
      </c>
      <c r="L12" s="1131">
        <f>BI_ki4!X50</f>
        <v>0</v>
      </c>
      <c r="M12" s="1131">
        <f>BI_ki4!Y50</f>
        <v>0</v>
      </c>
      <c r="N12" s="1131">
        <f>BI_ki4!Z50</f>
        <v>0</v>
      </c>
      <c r="O12" s="1131">
        <f>BI_ki4!AA50</f>
        <v>0</v>
      </c>
      <c r="P12" s="176" t="str">
        <f t="shared" si="1"/>
        <v xml:space="preserve">  </v>
      </c>
      <c r="Q12" s="40">
        <v>9</v>
      </c>
      <c r="R12" s="154" t="str">
        <f>dtsiswa!D15</f>
        <v>Claudia Gabriella L</v>
      </c>
      <c r="S12" s="187" t="str">
        <f t="shared" si="4"/>
        <v xml:space="preserve">    </v>
      </c>
      <c r="T12" s="186" t="str">
        <f t="shared" si="5"/>
        <v xml:space="preserve">    </v>
      </c>
    </row>
    <row r="13" spans="1:20" ht="15.95" customHeight="1" x14ac:dyDescent="0.25">
      <c r="A13" s="1167">
        <v>10</v>
      </c>
      <c r="B13" s="155" t="str">
        <f>dtsiswa!D16</f>
        <v xml:space="preserve">Deco Badarus Zaman </v>
      </c>
      <c r="C13" s="1164">
        <f>biki_3!N61</f>
        <v>0</v>
      </c>
      <c r="D13" s="1168">
        <f>biki_3!O61</f>
        <v>0</v>
      </c>
      <c r="E13" s="1168">
        <f>biki_3!P61</f>
        <v>0</v>
      </c>
      <c r="F13" s="1168">
        <f>biki_3!Q61</f>
        <v>0</v>
      </c>
      <c r="G13" s="1168">
        <f>biki_3!R61</f>
        <v>0</v>
      </c>
      <c r="H13" s="178" t="str">
        <f t="shared" si="0"/>
        <v xml:space="preserve">  </v>
      </c>
      <c r="J13" s="40">
        <v>10</v>
      </c>
      <c r="K13" s="155" t="str">
        <f>dtsiswa!D16</f>
        <v xml:space="preserve">Deco Badarus Zaman </v>
      </c>
      <c r="L13" s="1131">
        <f>BI_ki4!X55</f>
        <v>0</v>
      </c>
      <c r="M13" s="1131">
        <f>BI_ki4!Y55</f>
        <v>0</v>
      </c>
      <c r="N13" s="1131">
        <f>BI_ki4!Z55</f>
        <v>0</v>
      </c>
      <c r="O13" s="1131">
        <f>BI_ki4!AA55</f>
        <v>0</v>
      </c>
      <c r="P13" s="176" t="str">
        <f t="shared" si="1"/>
        <v xml:space="preserve">  </v>
      </c>
      <c r="Q13" s="40">
        <v>10</v>
      </c>
      <c r="R13" s="154" t="str">
        <f>dtsiswa!D16</f>
        <v xml:space="preserve">Deco Badarus Zaman </v>
      </c>
      <c r="S13" s="187" t="str">
        <f t="shared" si="4"/>
        <v xml:space="preserve">    </v>
      </c>
      <c r="T13" s="186" t="str">
        <f t="shared" si="5"/>
        <v xml:space="preserve">    </v>
      </c>
    </row>
    <row r="14" spans="1:20" ht="15.95" customHeight="1" x14ac:dyDescent="0.25">
      <c r="A14" s="1167">
        <v>11</v>
      </c>
      <c r="B14" s="155" t="str">
        <f>dtsiswa!D17</f>
        <v>Fania Mutiara Felichia</v>
      </c>
      <c r="C14" s="1168">
        <f>biki_3!N67</f>
        <v>0</v>
      </c>
      <c r="D14" s="1168">
        <f>biki_3!O67</f>
        <v>0</v>
      </c>
      <c r="E14" s="1168">
        <f>biki_3!P67</f>
        <v>0</v>
      </c>
      <c r="F14" s="1168">
        <f>biki_3!Q67</f>
        <v>0</v>
      </c>
      <c r="G14" s="1168">
        <f>biki_3!R67</f>
        <v>0</v>
      </c>
      <c r="H14" s="178" t="str">
        <f t="shared" si="0"/>
        <v xml:space="preserve">  </v>
      </c>
      <c r="J14" s="40">
        <v>11</v>
      </c>
      <c r="K14" s="155" t="str">
        <f>dtsiswa!D17</f>
        <v>Fania Mutiara Felichia</v>
      </c>
      <c r="L14" s="1131">
        <f>BI_ki4!X60</f>
        <v>0</v>
      </c>
      <c r="M14" s="1131">
        <f>BI_ki4!Y60</f>
        <v>0</v>
      </c>
      <c r="N14" s="1131">
        <f>BI_ki4!Z60</f>
        <v>0</v>
      </c>
      <c r="O14" s="1131">
        <f>BI_ki4!AA60</f>
        <v>0</v>
      </c>
      <c r="P14" s="176" t="str">
        <f t="shared" si="1"/>
        <v xml:space="preserve">  </v>
      </c>
      <c r="Q14" s="40">
        <v>11</v>
      </c>
      <c r="R14" s="154" t="str">
        <f>dtsiswa!D17</f>
        <v>Fania Mutiara Felichia</v>
      </c>
      <c r="S14" s="187" t="str">
        <f t="shared" si="4"/>
        <v xml:space="preserve">    </v>
      </c>
      <c r="T14" s="186" t="str">
        <f t="shared" si="5"/>
        <v xml:space="preserve">    </v>
      </c>
    </row>
    <row r="15" spans="1:20" ht="15.95" customHeight="1" x14ac:dyDescent="0.25">
      <c r="A15" s="1167">
        <v>12</v>
      </c>
      <c r="B15" s="155" t="str">
        <f>dtsiswa!D18</f>
        <v>Intan Dyah Nowari</v>
      </c>
      <c r="C15" s="1168">
        <f>biki_3!N73</f>
        <v>0</v>
      </c>
      <c r="D15" s="1168">
        <f>biki_3!O73</f>
        <v>0</v>
      </c>
      <c r="E15" s="1168">
        <f>biki_3!P73</f>
        <v>0</v>
      </c>
      <c r="F15" s="1168">
        <f>biki_3!Q73</f>
        <v>0</v>
      </c>
      <c r="G15" s="1168">
        <f>biki_3!R73</f>
        <v>0</v>
      </c>
      <c r="H15" s="178" t="str">
        <f t="shared" si="0"/>
        <v xml:space="preserve">  </v>
      </c>
      <c r="J15" s="40">
        <v>12</v>
      </c>
      <c r="K15" s="155" t="str">
        <f>dtsiswa!D18</f>
        <v>Intan Dyah Nowari</v>
      </c>
      <c r="L15" s="1131">
        <f>BI_ki4!X65</f>
        <v>0</v>
      </c>
      <c r="M15" s="1131">
        <f>BI_ki4!Y65</f>
        <v>0</v>
      </c>
      <c r="N15" s="1131">
        <f>BI_ki4!Z65</f>
        <v>0</v>
      </c>
      <c r="O15" s="1131">
        <f>BI_ki4!AA65</f>
        <v>0</v>
      </c>
      <c r="P15" s="176" t="str">
        <f t="shared" si="1"/>
        <v xml:space="preserve">  </v>
      </c>
      <c r="Q15" s="40">
        <v>12</v>
      </c>
      <c r="R15" s="154" t="str">
        <f>dtsiswa!D18</f>
        <v>Intan Dyah Nowari</v>
      </c>
      <c r="S15" s="187" t="str">
        <f t="shared" si="4"/>
        <v xml:space="preserve">    </v>
      </c>
      <c r="T15" s="186" t="str">
        <f t="shared" si="5"/>
        <v xml:space="preserve">    </v>
      </c>
    </row>
    <row r="16" spans="1:20" ht="15.95" customHeight="1" x14ac:dyDescent="0.25">
      <c r="A16" s="1167">
        <v>13</v>
      </c>
      <c r="B16" s="155" t="str">
        <f>dtsiswa!D19</f>
        <v>Misyanita Nurfitri S</v>
      </c>
      <c r="C16" s="1168">
        <f>biki_3!N79</f>
        <v>0</v>
      </c>
      <c r="D16" s="1168">
        <f>biki_3!O79</f>
        <v>0</v>
      </c>
      <c r="E16" s="1168">
        <f>biki_3!P79</f>
        <v>0</v>
      </c>
      <c r="F16" s="1168">
        <f>biki_3!Q79</f>
        <v>0</v>
      </c>
      <c r="G16" s="1168">
        <f>biki_3!R79</f>
        <v>0</v>
      </c>
      <c r="H16" s="178" t="str">
        <f t="shared" si="0"/>
        <v xml:space="preserve">  </v>
      </c>
      <c r="J16" s="40">
        <v>13</v>
      </c>
      <c r="K16" s="155" t="str">
        <f>dtsiswa!D19</f>
        <v>Misyanita Nurfitri S</v>
      </c>
      <c r="L16" s="1131">
        <f>BI_ki4!X70</f>
        <v>0</v>
      </c>
      <c r="M16" s="1131">
        <f>BI_ki4!Y70</f>
        <v>0</v>
      </c>
      <c r="N16" s="1131">
        <f>BI_ki4!Z70</f>
        <v>0</v>
      </c>
      <c r="O16" s="1131">
        <f>BI_ki4!AA70</f>
        <v>0</v>
      </c>
      <c r="P16" s="176" t="str">
        <f t="shared" si="1"/>
        <v xml:space="preserve">  </v>
      </c>
      <c r="Q16" s="40">
        <v>13</v>
      </c>
      <c r="R16" s="154" t="str">
        <f>dtsiswa!D19</f>
        <v>Misyanita Nurfitri S</v>
      </c>
      <c r="S16" s="187" t="str">
        <f t="shared" si="4"/>
        <v xml:space="preserve">    </v>
      </c>
      <c r="T16" s="186" t="str">
        <f t="shared" si="5"/>
        <v xml:space="preserve">    </v>
      </c>
    </row>
    <row r="17" spans="1:20" ht="15.95" customHeight="1" x14ac:dyDescent="0.25">
      <c r="A17" s="1167">
        <v>14</v>
      </c>
      <c r="B17" s="155" t="str">
        <f>dtsiswa!D20</f>
        <v>Moch Zidane Hita L. U</v>
      </c>
      <c r="C17" s="1168">
        <f>biki_3!N85</f>
        <v>0</v>
      </c>
      <c r="D17" s="1168">
        <f>biki_3!O85</f>
        <v>0</v>
      </c>
      <c r="E17" s="1168">
        <f>biki_3!P85</f>
        <v>0</v>
      </c>
      <c r="F17" s="1168">
        <f>biki_3!Q85</f>
        <v>0</v>
      </c>
      <c r="G17" s="1168">
        <f>biki_3!R85</f>
        <v>0</v>
      </c>
      <c r="H17" s="178" t="str">
        <f t="shared" si="0"/>
        <v xml:space="preserve">  </v>
      </c>
      <c r="J17" s="40">
        <v>14</v>
      </c>
      <c r="K17" s="155" t="str">
        <f>dtsiswa!D20</f>
        <v>Moch Zidane Hita L. U</v>
      </c>
      <c r="L17" s="1131">
        <f>BI_ki4!X75</f>
        <v>0</v>
      </c>
      <c r="M17" s="1131">
        <f>BI_ki4!Y75</f>
        <v>0</v>
      </c>
      <c r="N17" s="1131">
        <f>BI_ki4!Z75</f>
        <v>0</v>
      </c>
      <c r="O17" s="1131">
        <f>BI_ki4!AA75</f>
        <v>0</v>
      </c>
      <c r="P17" s="176" t="str">
        <f t="shared" si="1"/>
        <v xml:space="preserve">  </v>
      </c>
      <c r="Q17" s="40">
        <v>14</v>
      </c>
      <c r="R17" s="154" t="str">
        <f>dtsiswa!D20</f>
        <v>Moch Zidane Hita L. U</v>
      </c>
      <c r="S17" s="187" t="str">
        <f t="shared" si="4"/>
        <v xml:space="preserve">    </v>
      </c>
      <c r="T17" s="186" t="str">
        <f t="shared" si="5"/>
        <v xml:space="preserve">    </v>
      </c>
    </row>
    <row r="18" spans="1:20" ht="15.95" customHeight="1" x14ac:dyDescent="0.25">
      <c r="A18" s="1167">
        <v>15</v>
      </c>
      <c r="B18" s="155" t="str">
        <f>dtsiswa!D21</f>
        <v>Muhammad Ibra Maulana</v>
      </c>
      <c r="C18" s="1168">
        <f>biki_3!N91</f>
        <v>0</v>
      </c>
      <c r="D18" s="1168">
        <f>biki_3!O91</f>
        <v>0</v>
      </c>
      <c r="E18" s="1168">
        <f>biki_3!P91</f>
        <v>0</v>
      </c>
      <c r="F18" s="1168">
        <f>biki_3!Q91</f>
        <v>0</v>
      </c>
      <c r="G18" s="1168">
        <f>biki_3!R91</f>
        <v>0</v>
      </c>
      <c r="H18" s="178" t="str">
        <f t="shared" si="0"/>
        <v xml:space="preserve">  </v>
      </c>
      <c r="J18" s="40">
        <v>15</v>
      </c>
      <c r="K18" s="155" t="str">
        <f>dtsiswa!D21</f>
        <v>Muhammad Ibra Maulana</v>
      </c>
      <c r="L18" s="1131">
        <f>BI_ki4!X80</f>
        <v>0</v>
      </c>
      <c r="M18" s="1131">
        <f>BI_ki4!Y80</f>
        <v>0</v>
      </c>
      <c r="N18" s="1131">
        <f>BI_ki4!Z80</f>
        <v>0</v>
      </c>
      <c r="O18" s="1131">
        <f>BI_ki4!AA80</f>
        <v>0</v>
      </c>
      <c r="P18" s="176" t="str">
        <f t="shared" si="1"/>
        <v xml:space="preserve">  </v>
      </c>
      <c r="Q18" s="40">
        <v>15</v>
      </c>
      <c r="R18" s="154" t="str">
        <f>dtsiswa!D21</f>
        <v>Muhammad Ibra Maulana</v>
      </c>
      <c r="S18" s="187" t="str">
        <f t="shared" si="4"/>
        <v xml:space="preserve">    </v>
      </c>
      <c r="T18" s="186" t="str">
        <f t="shared" si="5"/>
        <v xml:space="preserve">    </v>
      </c>
    </row>
    <row r="19" spans="1:20" ht="15.95" customHeight="1" x14ac:dyDescent="0.25">
      <c r="A19" s="1167">
        <v>16</v>
      </c>
      <c r="B19" s="155" t="str">
        <f>dtsiswa!D22</f>
        <v>Nabilla Shiva Putri</v>
      </c>
      <c r="C19" s="1168">
        <f>biki_3!N97</f>
        <v>0</v>
      </c>
      <c r="D19" s="1168">
        <f>biki_3!O97</f>
        <v>0</v>
      </c>
      <c r="E19" s="1168">
        <f>biki_3!P97</f>
        <v>0</v>
      </c>
      <c r="F19" s="1168">
        <f>biki_3!Q97</f>
        <v>0</v>
      </c>
      <c r="G19" s="1168">
        <f>biki_3!R97</f>
        <v>0</v>
      </c>
      <c r="H19" s="178" t="str">
        <f t="shared" si="0"/>
        <v xml:space="preserve">  </v>
      </c>
      <c r="J19" s="40">
        <v>16</v>
      </c>
      <c r="K19" s="155" t="str">
        <f>dtsiswa!D22</f>
        <v>Nabilla Shiva Putri</v>
      </c>
      <c r="L19" s="1131">
        <f>BI_ki4!X85</f>
        <v>0</v>
      </c>
      <c r="M19" s="1131">
        <f>BI_ki4!Y85</f>
        <v>0</v>
      </c>
      <c r="N19" s="1131">
        <f>BI_ki4!Z85</f>
        <v>0</v>
      </c>
      <c r="O19" s="1131">
        <f>BI_ki4!AA85</f>
        <v>0</v>
      </c>
      <c r="P19" s="176" t="str">
        <f t="shared" si="1"/>
        <v xml:space="preserve">  </v>
      </c>
      <c r="Q19" s="40">
        <v>16</v>
      </c>
      <c r="R19" s="154" t="str">
        <f>dtsiswa!D22</f>
        <v>Nabilla Shiva Putri</v>
      </c>
      <c r="S19" s="187" t="str">
        <f t="shared" si="4"/>
        <v xml:space="preserve">    </v>
      </c>
      <c r="T19" s="186" t="str">
        <f t="shared" si="5"/>
        <v xml:space="preserve">    </v>
      </c>
    </row>
    <row r="20" spans="1:20" ht="15.95" customHeight="1" x14ac:dyDescent="0.25">
      <c r="A20" s="1167">
        <v>17</v>
      </c>
      <c r="B20" s="155" t="str">
        <f>dtsiswa!D23</f>
        <v>Naufal Falih F</v>
      </c>
      <c r="C20" s="1168">
        <f>biki_3!N103</f>
        <v>0</v>
      </c>
      <c r="D20" s="1168">
        <f>biki_3!O103</f>
        <v>0</v>
      </c>
      <c r="E20" s="1168">
        <f>biki_3!P103</f>
        <v>0</v>
      </c>
      <c r="F20" s="1168">
        <f>biki_3!Q103</f>
        <v>0</v>
      </c>
      <c r="G20" s="1168">
        <f>biki_3!R103</f>
        <v>0</v>
      </c>
      <c r="H20" s="178" t="str">
        <f t="shared" si="0"/>
        <v xml:space="preserve">  </v>
      </c>
      <c r="J20" s="40">
        <v>17</v>
      </c>
      <c r="K20" s="155" t="str">
        <f>dtsiswa!D23</f>
        <v>Naufal Falih F</v>
      </c>
      <c r="L20" s="1131">
        <f>BI_ki4!X90</f>
        <v>0</v>
      </c>
      <c r="M20" s="1131">
        <f>BI_ki4!Y90</f>
        <v>0</v>
      </c>
      <c r="N20" s="1131">
        <f>BI_ki4!Z90</f>
        <v>0</v>
      </c>
      <c r="O20" s="1131">
        <f>BI_ki4!AA90</f>
        <v>0</v>
      </c>
      <c r="P20" s="176" t="str">
        <f t="shared" si="1"/>
        <v xml:space="preserve">  </v>
      </c>
      <c r="Q20" s="40">
        <v>17</v>
      </c>
      <c r="R20" s="154" t="str">
        <f>dtsiswa!D23</f>
        <v>Naufal Falih F</v>
      </c>
      <c r="S20" s="187" t="str">
        <f t="shared" si="4"/>
        <v xml:space="preserve">    </v>
      </c>
      <c r="T20" s="186" t="str">
        <f t="shared" si="5"/>
        <v xml:space="preserve">    </v>
      </c>
    </row>
    <row r="21" spans="1:20" ht="15.95" customHeight="1" x14ac:dyDescent="0.25">
      <c r="A21" s="1167">
        <v>18</v>
      </c>
      <c r="B21" s="155" t="str">
        <f>dtsiswa!D24</f>
        <v>Nayla Annora Nobel W</v>
      </c>
      <c r="C21" s="1168">
        <f>biki_3!N109</f>
        <v>0</v>
      </c>
      <c r="D21" s="1168">
        <f>biki_3!O109</f>
        <v>0</v>
      </c>
      <c r="E21" s="1168">
        <f>biki_3!P109</f>
        <v>0</v>
      </c>
      <c r="F21" s="1168">
        <f>biki_3!Q109</f>
        <v>0</v>
      </c>
      <c r="G21" s="1168">
        <f>biki_3!R109</f>
        <v>0</v>
      </c>
      <c r="H21" s="178" t="str">
        <f t="shared" si="0"/>
        <v xml:space="preserve">  </v>
      </c>
      <c r="J21" s="40">
        <v>18</v>
      </c>
      <c r="K21" s="155" t="str">
        <f>dtsiswa!D24</f>
        <v>Nayla Annora Nobel W</v>
      </c>
      <c r="L21" s="1131">
        <f>BI_ki4!X95</f>
        <v>0</v>
      </c>
      <c r="M21" s="1131">
        <f>BI_ki4!Y95</f>
        <v>0</v>
      </c>
      <c r="N21" s="1131">
        <f>BI_ki4!Z95</f>
        <v>0</v>
      </c>
      <c r="O21" s="1131">
        <f>BI_ki4!AA95</f>
        <v>0</v>
      </c>
      <c r="P21" s="176" t="str">
        <f t="shared" si="1"/>
        <v xml:space="preserve">  </v>
      </c>
      <c r="Q21" s="40">
        <v>18</v>
      </c>
      <c r="R21" s="154" t="str">
        <f>dtsiswa!D24</f>
        <v>Nayla Annora Nobel W</v>
      </c>
      <c r="S21" s="187" t="str">
        <f t="shared" si="4"/>
        <v xml:space="preserve">    </v>
      </c>
      <c r="T21" s="186" t="str">
        <f t="shared" si="5"/>
        <v xml:space="preserve">    </v>
      </c>
    </row>
    <row r="22" spans="1:20" ht="15.95" customHeight="1" x14ac:dyDescent="0.25">
      <c r="A22" s="1167">
        <v>19</v>
      </c>
      <c r="B22" s="155" t="str">
        <f>dtsiswa!D25</f>
        <v>Raihan Danang P</v>
      </c>
      <c r="C22" s="1168">
        <f>biki_3!N115</f>
        <v>0</v>
      </c>
      <c r="D22" s="1168">
        <f>biki_3!O115</f>
        <v>0</v>
      </c>
      <c r="E22" s="1168">
        <f>biki_3!P115</f>
        <v>0</v>
      </c>
      <c r="F22" s="1168">
        <f>biki_3!Q115</f>
        <v>0</v>
      </c>
      <c r="G22" s="1168">
        <f>biki_3!R115</f>
        <v>0</v>
      </c>
      <c r="H22" s="178" t="str">
        <f t="shared" si="0"/>
        <v xml:space="preserve">  </v>
      </c>
      <c r="J22" s="40">
        <v>19</v>
      </c>
      <c r="K22" s="155" t="str">
        <f>dtsiswa!D25</f>
        <v>Raihan Danang P</v>
      </c>
      <c r="L22" s="1131">
        <f>BI_ki4!X100</f>
        <v>0</v>
      </c>
      <c r="M22" s="1131">
        <f>BI_ki4!Y100</f>
        <v>0</v>
      </c>
      <c r="N22" s="1131">
        <f>BI_ki4!Z100</f>
        <v>0</v>
      </c>
      <c r="O22" s="1131">
        <f>BI_ki4!AA100</f>
        <v>0</v>
      </c>
      <c r="P22" s="176" t="str">
        <f t="shared" si="1"/>
        <v xml:space="preserve">  </v>
      </c>
      <c r="Q22" s="40">
        <v>19</v>
      </c>
      <c r="R22" s="154" t="str">
        <f>dtsiswa!D25</f>
        <v>Raihan Danang P</v>
      </c>
      <c r="S22" s="187" t="str">
        <f t="shared" si="4"/>
        <v xml:space="preserve">    </v>
      </c>
      <c r="T22" s="186" t="str">
        <f t="shared" si="5"/>
        <v xml:space="preserve">    </v>
      </c>
    </row>
    <row r="23" spans="1:20" ht="15.95" customHeight="1" x14ac:dyDescent="0.25">
      <c r="A23" s="1167">
        <v>20</v>
      </c>
      <c r="B23" s="155" t="str">
        <f>dtsiswa!D26</f>
        <v>Roby Ardiyansyah</v>
      </c>
      <c r="C23" s="1168">
        <f>biki_3!N121</f>
        <v>0</v>
      </c>
      <c r="D23" s="1168">
        <f>biki_3!O121</f>
        <v>0</v>
      </c>
      <c r="E23" s="1168">
        <f>biki_3!P121</f>
        <v>0</v>
      </c>
      <c r="F23" s="1168">
        <f>biki_3!Q121</f>
        <v>0</v>
      </c>
      <c r="G23" s="1168">
        <f>biki_3!R121</f>
        <v>0</v>
      </c>
      <c r="H23" s="178" t="str">
        <f t="shared" si="0"/>
        <v xml:space="preserve">  </v>
      </c>
      <c r="J23" s="40">
        <v>20</v>
      </c>
      <c r="K23" s="155" t="str">
        <f>dtsiswa!D26</f>
        <v>Roby Ardiyansyah</v>
      </c>
      <c r="L23" s="1131">
        <f>BI_ki4!X105</f>
        <v>0</v>
      </c>
      <c r="M23" s="1131">
        <f>BI_ki4!Y105</f>
        <v>0</v>
      </c>
      <c r="N23" s="1131">
        <f>BI_ki4!Z105</f>
        <v>0</v>
      </c>
      <c r="O23" s="1131">
        <f>BI_ki4!AA105</f>
        <v>0</v>
      </c>
      <c r="P23" s="176" t="str">
        <f t="shared" si="1"/>
        <v xml:space="preserve">  </v>
      </c>
      <c r="Q23" s="40">
        <v>20</v>
      </c>
      <c r="R23" s="154" t="str">
        <f>dtsiswa!D26</f>
        <v>Roby Ardiyansyah</v>
      </c>
      <c r="S23" s="187" t="str">
        <f t="shared" si="4"/>
        <v xml:space="preserve">    </v>
      </c>
      <c r="T23" s="186" t="str">
        <f t="shared" si="5"/>
        <v xml:space="preserve">    </v>
      </c>
    </row>
    <row r="24" spans="1:20" ht="15.95" customHeight="1" x14ac:dyDescent="0.25">
      <c r="A24" s="1167">
        <v>21</v>
      </c>
      <c r="B24" s="155" t="str">
        <f>dtsiswa!D27</f>
        <v>Rojalingga Prana A</v>
      </c>
      <c r="C24" s="1168">
        <f>biki_3!N127</f>
        <v>0</v>
      </c>
      <c r="D24" s="1168">
        <f>biki_3!O127</f>
        <v>0</v>
      </c>
      <c r="E24" s="1168">
        <f>biki_3!P127</f>
        <v>0</v>
      </c>
      <c r="F24" s="1168">
        <f>biki_3!Q127</f>
        <v>0</v>
      </c>
      <c r="G24" s="1168">
        <f>biki_3!R127</f>
        <v>0</v>
      </c>
      <c r="H24" s="178" t="str">
        <f t="shared" si="0"/>
        <v xml:space="preserve">  </v>
      </c>
      <c r="J24" s="40">
        <v>21</v>
      </c>
      <c r="K24" s="155" t="str">
        <f>dtsiswa!D27</f>
        <v>Rojalingga Prana A</v>
      </c>
      <c r="L24" s="1131">
        <f>BI_ki4!X110</f>
        <v>0</v>
      </c>
      <c r="M24" s="1131">
        <f>BI_ki4!Y110</f>
        <v>0</v>
      </c>
      <c r="N24" s="1131">
        <f>BI_ki4!Z110</f>
        <v>0</v>
      </c>
      <c r="O24" s="1131">
        <f>BI_ki4!AA110</f>
        <v>0</v>
      </c>
      <c r="P24" s="176" t="str">
        <f t="shared" si="1"/>
        <v xml:space="preserve">  </v>
      </c>
      <c r="Q24" s="40">
        <v>21</v>
      </c>
      <c r="R24" s="154" t="str">
        <f>dtsiswa!D27</f>
        <v>Rojalingga Prana A</v>
      </c>
      <c r="S24" s="187" t="str">
        <f t="shared" si="4"/>
        <v xml:space="preserve">    </v>
      </c>
      <c r="T24" s="186" t="str">
        <f t="shared" si="5"/>
        <v xml:space="preserve">    </v>
      </c>
    </row>
    <row r="25" spans="1:20" ht="15.95" customHeight="1" x14ac:dyDescent="0.25">
      <c r="A25" s="1167">
        <v>22</v>
      </c>
      <c r="B25" s="155" t="str">
        <f>dtsiswa!D28</f>
        <v>Sally Savista A</v>
      </c>
      <c r="C25" s="1168">
        <f>biki_3!N133</f>
        <v>0</v>
      </c>
      <c r="D25" s="1168">
        <f>biki_3!O133</f>
        <v>0</v>
      </c>
      <c r="E25" s="1168">
        <f>biki_3!P133</f>
        <v>0</v>
      </c>
      <c r="F25" s="1168">
        <f>biki_3!Q133</f>
        <v>0</v>
      </c>
      <c r="G25" s="1168">
        <f>biki_3!R133</f>
        <v>0</v>
      </c>
      <c r="H25" s="178" t="str">
        <f t="shared" si="0"/>
        <v xml:space="preserve">  </v>
      </c>
      <c r="J25" s="40">
        <v>22</v>
      </c>
      <c r="K25" s="155" t="str">
        <f>dtsiswa!D28</f>
        <v>Sally Savista A</v>
      </c>
      <c r="L25" s="1131">
        <f>BI_ki4!X115</f>
        <v>0</v>
      </c>
      <c r="M25" s="1131">
        <f>BI_ki4!Y115</f>
        <v>0</v>
      </c>
      <c r="N25" s="1131">
        <f>BI_ki4!Z115</f>
        <v>0</v>
      </c>
      <c r="O25" s="1131">
        <f>BI_ki4!AA115</f>
        <v>0</v>
      </c>
      <c r="P25" s="176" t="str">
        <f t="shared" si="1"/>
        <v xml:space="preserve">  </v>
      </c>
      <c r="Q25" s="40">
        <v>22</v>
      </c>
      <c r="R25" s="154" t="str">
        <f>dtsiswa!D28</f>
        <v>Sally Savista A</v>
      </c>
      <c r="S25" s="187" t="str">
        <f t="shared" si="4"/>
        <v xml:space="preserve">    </v>
      </c>
      <c r="T25" s="186" t="str">
        <f t="shared" si="5"/>
        <v xml:space="preserve">    </v>
      </c>
    </row>
    <row r="26" spans="1:20" ht="15.95" customHeight="1" x14ac:dyDescent="0.25">
      <c r="A26" s="1167">
        <v>23</v>
      </c>
      <c r="B26" s="155" t="str">
        <f>dtsiswa!D29</f>
        <v xml:space="preserve">Tania Kaori Angelita </v>
      </c>
      <c r="C26" s="1168">
        <f>biki_3!N139</f>
        <v>0</v>
      </c>
      <c r="D26" s="1168">
        <f>biki_3!O139</f>
        <v>0</v>
      </c>
      <c r="E26" s="1168">
        <f>biki_3!P139</f>
        <v>0</v>
      </c>
      <c r="F26" s="1168">
        <f>biki_3!Q139</f>
        <v>0</v>
      </c>
      <c r="G26" s="1168">
        <f>biki_3!R139</f>
        <v>0</v>
      </c>
      <c r="H26" s="178" t="str">
        <f t="shared" si="0"/>
        <v xml:space="preserve">  </v>
      </c>
      <c r="J26" s="40">
        <v>23</v>
      </c>
      <c r="K26" s="155" t="str">
        <f>dtsiswa!D29</f>
        <v xml:space="preserve">Tania Kaori Angelita </v>
      </c>
      <c r="L26" s="1131">
        <f>BI_ki4!X120</f>
        <v>0</v>
      </c>
      <c r="M26" s="1131">
        <f>BI_ki4!Y120</f>
        <v>0</v>
      </c>
      <c r="N26" s="1131">
        <f>BI_ki4!Z120</f>
        <v>0</v>
      </c>
      <c r="O26" s="1131">
        <f>BI_ki4!AA120</f>
        <v>0</v>
      </c>
      <c r="P26" s="176" t="str">
        <f t="shared" si="1"/>
        <v xml:space="preserve">  </v>
      </c>
      <c r="Q26" s="40">
        <v>23</v>
      </c>
      <c r="R26" s="154" t="str">
        <f>dtsiswa!D29</f>
        <v xml:space="preserve">Tania Kaori Angelita </v>
      </c>
      <c r="S26" s="187" t="str">
        <f t="shared" si="4"/>
        <v xml:space="preserve">    </v>
      </c>
      <c r="T26" s="186" t="str">
        <f t="shared" si="5"/>
        <v xml:space="preserve">    </v>
      </c>
    </row>
    <row r="27" spans="1:20" ht="15.95" customHeight="1" x14ac:dyDescent="0.25">
      <c r="A27" s="1167">
        <v>24</v>
      </c>
      <c r="B27" s="155" t="str">
        <f>dtsiswa!D30</f>
        <v>Romzy Oka Ramadhani P</v>
      </c>
      <c r="C27" s="1168">
        <f>biki_3!N145</f>
        <v>0</v>
      </c>
      <c r="D27" s="1168">
        <f>biki_3!O145</f>
        <v>0</v>
      </c>
      <c r="E27" s="1168">
        <f>biki_3!P145</f>
        <v>0</v>
      </c>
      <c r="F27" s="1168">
        <f>biki_3!Q145</f>
        <v>0</v>
      </c>
      <c r="G27" s="1168">
        <f>biki_3!R145</f>
        <v>0</v>
      </c>
      <c r="H27" s="178" t="str">
        <f t="shared" si="0"/>
        <v xml:space="preserve">  </v>
      </c>
      <c r="J27" s="40">
        <v>24</v>
      </c>
      <c r="K27" s="155" t="str">
        <f>dtsiswa!D30</f>
        <v>Romzy Oka Ramadhani P</v>
      </c>
      <c r="L27" s="1131">
        <f>BI_ki4!X125</f>
        <v>0</v>
      </c>
      <c r="M27" s="1131">
        <f>BI_ki4!Y125</f>
        <v>0</v>
      </c>
      <c r="N27" s="1131">
        <f>BI_ki4!Z125</f>
        <v>0</v>
      </c>
      <c r="O27" s="1131">
        <f>BI_ki4!AA125</f>
        <v>0</v>
      </c>
      <c r="P27" s="176" t="str">
        <f t="shared" si="1"/>
        <v xml:space="preserve">  </v>
      </c>
      <c r="Q27" s="40">
        <v>24</v>
      </c>
      <c r="R27" s="154" t="str">
        <f>dtsiswa!D30</f>
        <v>Romzy Oka Ramadhani P</v>
      </c>
      <c r="S27" s="187" t="str">
        <f t="shared" si="4"/>
        <v xml:space="preserve">    </v>
      </c>
      <c r="T27" s="186" t="str">
        <f t="shared" si="5"/>
        <v xml:space="preserve">    </v>
      </c>
    </row>
    <row r="28" spans="1:20" ht="15.95" customHeight="1" x14ac:dyDescent="0.25">
      <c r="A28" s="1167">
        <v>25</v>
      </c>
      <c r="B28" s="155" t="str">
        <f>dtsiswa!D31</f>
        <v>Larasati Jagadhita P</v>
      </c>
      <c r="C28" s="1168">
        <f>biki_3!N151</f>
        <v>0</v>
      </c>
      <c r="D28" s="1168">
        <f>biki_3!O151</f>
        <v>0</v>
      </c>
      <c r="E28" s="1168">
        <f>biki_3!P151</f>
        <v>0</v>
      </c>
      <c r="F28" s="1168">
        <f>biki_3!Q151</f>
        <v>0</v>
      </c>
      <c r="G28" s="1168">
        <f>biki_3!R151</f>
        <v>0</v>
      </c>
      <c r="H28" s="178" t="str">
        <f t="shared" si="0"/>
        <v xml:space="preserve">  </v>
      </c>
      <c r="J28" s="40">
        <v>25</v>
      </c>
      <c r="K28" s="155" t="str">
        <f>dtsiswa!D31</f>
        <v>Larasati Jagadhita P</v>
      </c>
      <c r="L28" s="1131">
        <f>BI_ki4!X130</f>
        <v>0</v>
      </c>
      <c r="M28" s="1131">
        <f>BI_ki4!Y130</f>
        <v>0</v>
      </c>
      <c r="N28" s="1131">
        <f>BI_ki4!Z130</f>
        <v>0</v>
      </c>
      <c r="O28" s="1131">
        <f>BI_ki4!AA130</f>
        <v>0</v>
      </c>
      <c r="P28" s="176" t="str">
        <f t="shared" si="1"/>
        <v xml:space="preserve">  </v>
      </c>
      <c r="Q28" s="40">
        <v>25</v>
      </c>
      <c r="R28" s="154" t="str">
        <f>dtsiswa!D31</f>
        <v>Larasati Jagadhita P</v>
      </c>
      <c r="S28" s="187" t="str">
        <f t="shared" si="4"/>
        <v xml:space="preserve">    </v>
      </c>
      <c r="T28" s="186" t="str">
        <f t="shared" si="5"/>
        <v xml:space="preserve">    </v>
      </c>
    </row>
    <row r="29" spans="1:20" ht="15.95" customHeight="1" x14ac:dyDescent="0.25">
      <c r="A29" s="1167">
        <v>26</v>
      </c>
      <c r="B29" s="155" t="str">
        <f>dtsiswa!D32</f>
        <v>Meliana Citra A</v>
      </c>
      <c r="C29" s="1168">
        <f>biki_3!N157</f>
        <v>0</v>
      </c>
      <c r="D29" s="1168">
        <f>biki_3!O157</f>
        <v>0</v>
      </c>
      <c r="E29" s="1168">
        <f>biki_3!P157</f>
        <v>0</v>
      </c>
      <c r="F29" s="1168">
        <f>biki_3!Q157</f>
        <v>0</v>
      </c>
      <c r="G29" s="1168">
        <f>biki_3!R157</f>
        <v>0</v>
      </c>
      <c r="H29" s="178" t="str">
        <f t="shared" si="0"/>
        <v xml:space="preserve">  </v>
      </c>
      <c r="J29" s="40">
        <v>26</v>
      </c>
      <c r="K29" s="155" t="str">
        <f>dtsiswa!D32</f>
        <v>Meliana Citra A</v>
      </c>
      <c r="L29" s="1131">
        <f>BI_ki4!X135</f>
        <v>0</v>
      </c>
      <c r="M29" s="1131">
        <f>BI_ki4!Y135</f>
        <v>0</v>
      </c>
      <c r="N29" s="1131">
        <f>BI_ki4!Z135</f>
        <v>0</v>
      </c>
      <c r="O29" s="1131">
        <f>BI_ki4!AA135</f>
        <v>0</v>
      </c>
      <c r="P29" s="176" t="str">
        <f t="shared" si="1"/>
        <v xml:space="preserve">  </v>
      </c>
      <c r="Q29" s="40">
        <v>26</v>
      </c>
      <c r="R29" s="154" t="str">
        <f>dtsiswa!D32</f>
        <v>Meliana Citra A</v>
      </c>
      <c r="S29" s="187" t="str">
        <f t="shared" si="4"/>
        <v xml:space="preserve">    </v>
      </c>
      <c r="T29" s="186" t="str">
        <f t="shared" si="5"/>
        <v xml:space="preserve">    </v>
      </c>
    </row>
    <row r="30" spans="1:20" ht="15.95" customHeight="1" x14ac:dyDescent="0.25">
      <c r="A30" s="1167">
        <v>27</v>
      </c>
      <c r="B30" s="155" t="str">
        <f>dtsiswa!D33</f>
        <v>Mohammad Rizky</v>
      </c>
      <c r="C30" s="1168">
        <f>biki_3!N163</f>
        <v>0</v>
      </c>
      <c r="D30" s="1168">
        <f>biki_3!O163</f>
        <v>0</v>
      </c>
      <c r="E30" s="1168">
        <f>biki_3!P163</f>
        <v>0</v>
      </c>
      <c r="F30" s="1168">
        <f>biki_3!Q163</f>
        <v>0</v>
      </c>
      <c r="G30" s="1168">
        <f>biki_3!R163</f>
        <v>0</v>
      </c>
      <c r="H30" s="178" t="str">
        <f t="shared" si="0"/>
        <v xml:space="preserve">  </v>
      </c>
      <c r="J30" s="40">
        <v>27</v>
      </c>
      <c r="K30" s="155" t="str">
        <f>dtsiswa!D33</f>
        <v>Mohammad Rizky</v>
      </c>
      <c r="L30" s="1131">
        <f>BI_ki4!X140</f>
        <v>0</v>
      </c>
      <c r="M30" s="1131">
        <f>BI_ki4!Y140</f>
        <v>0</v>
      </c>
      <c r="N30" s="1131">
        <f>BI_ki4!Z140</f>
        <v>0</v>
      </c>
      <c r="O30" s="1131">
        <f>BI_ki4!AA140</f>
        <v>0</v>
      </c>
      <c r="P30" s="176" t="str">
        <f t="shared" si="1"/>
        <v xml:space="preserve">  </v>
      </c>
      <c r="Q30" s="40">
        <v>27</v>
      </c>
      <c r="R30" s="154" t="str">
        <f>dtsiswa!D33</f>
        <v>Mohammad Rizky</v>
      </c>
      <c r="S30" s="187" t="str">
        <f t="shared" si="4"/>
        <v xml:space="preserve">    </v>
      </c>
      <c r="T30" s="186" t="str">
        <f t="shared" si="5"/>
        <v xml:space="preserve">    </v>
      </c>
    </row>
    <row r="31" spans="1:20" ht="15.95" customHeight="1" x14ac:dyDescent="0.25">
      <c r="A31" s="1167">
        <v>28</v>
      </c>
      <c r="B31" s="155">
        <f>dtsiswa!D34</f>
        <v>0</v>
      </c>
      <c r="C31" s="1168">
        <f>biki_3!N169</f>
        <v>0</v>
      </c>
      <c r="D31" s="1168">
        <f>biki_3!O169</f>
        <v>0</v>
      </c>
      <c r="E31" s="1168">
        <f>biki_3!P169</f>
        <v>0</v>
      </c>
      <c r="F31" s="1168">
        <f>biki_3!Q169</f>
        <v>0</v>
      </c>
      <c r="G31" s="1168">
        <f>biki_3!R169</f>
        <v>0</v>
      </c>
      <c r="H31" s="178" t="str">
        <f t="shared" si="0"/>
        <v xml:space="preserve">  </v>
      </c>
      <c r="J31" s="40">
        <v>28</v>
      </c>
      <c r="K31" s="155">
        <f>dtsiswa!D34</f>
        <v>0</v>
      </c>
      <c r="L31" s="1131">
        <f>BI_ki4!X145</f>
        <v>0</v>
      </c>
      <c r="M31" s="1131">
        <f>BI_ki4!Y145</f>
        <v>0</v>
      </c>
      <c r="N31" s="1131">
        <f>BI_ki4!Z145</f>
        <v>0</v>
      </c>
      <c r="O31" s="1131">
        <f>BI_ki4!AA145</f>
        <v>0</v>
      </c>
      <c r="P31" s="176" t="str">
        <f t="shared" si="1"/>
        <v xml:space="preserve">  </v>
      </c>
      <c r="Q31" s="40">
        <v>28</v>
      </c>
      <c r="R31" s="154">
        <f>dtsiswa!D34</f>
        <v>0</v>
      </c>
      <c r="S31" s="187" t="str">
        <f t="shared" si="4"/>
        <v xml:space="preserve">    </v>
      </c>
      <c r="T31" s="186" t="str">
        <f t="shared" si="5"/>
        <v xml:space="preserve">    </v>
      </c>
    </row>
    <row r="32" spans="1:20" ht="15.95" customHeight="1" x14ac:dyDescent="0.25">
      <c r="A32" s="1167">
        <v>29</v>
      </c>
      <c r="B32" s="155">
        <f>dtsiswa!D35</f>
        <v>0</v>
      </c>
      <c r="C32" s="1168">
        <f>biki_3!N175</f>
        <v>0</v>
      </c>
      <c r="D32" s="1168">
        <f>biki_3!O175</f>
        <v>0</v>
      </c>
      <c r="E32" s="1168">
        <f>biki_3!P175</f>
        <v>0</v>
      </c>
      <c r="F32" s="1168">
        <f>biki_3!Q175</f>
        <v>0</v>
      </c>
      <c r="G32" s="1168">
        <f>biki_3!R175</f>
        <v>0</v>
      </c>
      <c r="H32" s="178" t="str">
        <f t="shared" si="0"/>
        <v xml:space="preserve">  </v>
      </c>
      <c r="J32" s="40">
        <v>29</v>
      </c>
      <c r="K32" s="155">
        <f>dtsiswa!D35</f>
        <v>0</v>
      </c>
      <c r="L32" s="1131">
        <f>BI_ki4!X150</f>
        <v>0</v>
      </c>
      <c r="M32" s="1131">
        <f>BI_ki4!Y150</f>
        <v>0</v>
      </c>
      <c r="N32" s="1131">
        <f>BI_ki4!Z150</f>
        <v>0</v>
      </c>
      <c r="O32" s="1131">
        <f>BI_ki4!AA150</f>
        <v>0</v>
      </c>
      <c r="P32" s="176" t="str">
        <f t="shared" si="1"/>
        <v xml:space="preserve">  </v>
      </c>
      <c r="Q32" s="40">
        <v>29</v>
      </c>
      <c r="R32" s="154">
        <f>dtsiswa!D35</f>
        <v>0</v>
      </c>
      <c r="S32" s="187" t="str">
        <f t="shared" si="4"/>
        <v xml:space="preserve">    </v>
      </c>
      <c r="T32" s="186" t="str">
        <f t="shared" si="5"/>
        <v xml:space="preserve">    </v>
      </c>
    </row>
    <row r="33" spans="1:20" ht="15.95" customHeight="1" x14ac:dyDescent="0.25">
      <c r="A33" s="1167">
        <v>30</v>
      </c>
      <c r="B33" s="155">
        <f>dtsiswa!D36</f>
        <v>0</v>
      </c>
      <c r="C33" s="1168">
        <f>biki_3!N181</f>
        <v>0</v>
      </c>
      <c r="D33" s="1168">
        <f>biki_3!O181</f>
        <v>0</v>
      </c>
      <c r="E33" s="1168">
        <f>biki_3!P181</f>
        <v>0</v>
      </c>
      <c r="F33" s="1168">
        <f>biki_3!Q181</f>
        <v>0</v>
      </c>
      <c r="G33" s="1168">
        <f>biki_3!R181</f>
        <v>0</v>
      </c>
      <c r="H33" s="178" t="str">
        <f t="shared" si="0"/>
        <v xml:space="preserve">  </v>
      </c>
      <c r="J33" s="40">
        <v>30</v>
      </c>
      <c r="K33" s="155">
        <f>dtsiswa!D36</f>
        <v>0</v>
      </c>
      <c r="L33" s="1131">
        <f>BI_ki4!X155</f>
        <v>0</v>
      </c>
      <c r="M33" s="1131">
        <f>BI_ki4!Y155</f>
        <v>0</v>
      </c>
      <c r="N33" s="1131">
        <f>BI_ki4!Z155</f>
        <v>0</v>
      </c>
      <c r="O33" s="1131">
        <f>BI_ki4!AA155</f>
        <v>0</v>
      </c>
      <c r="P33" s="176" t="str">
        <f t="shared" si="1"/>
        <v xml:space="preserve">  </v>
      </c>
      <c r="Q33" s="40">
        <v>30</v>
      </c>
      <c r="R33" s="154">
        <f>dtsiswa!D36</f>
        <v>0</v>
      </c>
      <c r="S33" s="187" t="str">
        <f t="shared" si="4"/>
        <v xml:space="preserve">    </v>
      </c>
      <c r="T33" s="186" t="str">
        <f t="shared" si="5"/>
        <v xml:space="preserve">    </v>
      </c>
    </row>
    <row r="34" spans="1:20" ht="15.95" customHeight="1" x14ac:dyDescent="0.25">
      <c r="A34" s="1167">
        <v>31</v>
      </c>
      <c r="B34" s="155">
        <f>dtsiswa!D37</f>
        <v>0</v>
      </c>
      <c r="C34" s="1168">
        <f>biki_3!N187</f>
        <v>0</v>
      </c>
      <c r="D34" s="1168">
        <f>biki_3!O187</f>
        <v>0</v>
      </c>
      <c r="E34" s="1168">
        <f>biki_3!P187</f>
        <v>0</v>
      </c>
      <c r="F34" s="1168">
        <f>biki_3!Q187</f>
        <v>0</v>
      </c>
      <c r="G34" s="1168">
        <f>biki_3!R187</f>
        <v>0</v>
      </c>
      <c r="H34" s="178" t="str">
        <f t="shared" si="0"/>
        <v xml:space="preserve">  </v>
      </c>
      <c r="J34" s="40">
        <v>31</v>
      </c>
      <c r="K34" s="155">
        <f>dtsiswa!D37</f>
        <v>0</v>
      </c>
      <c r="L34" s="1131">
        <f>BI_ki4!X160</f>
        <v>0</v>
      </c>
      <c r="M34" s="1131">
        <f>BI_ki4!Y160</f>
        <v>0</v>
      </c>
      <c r="N34" s="1131">
        <f>BI_ki4!Z160</f>
        <v>0</v>
      </c>
      <c r="O34" s="1131">
        <f>BI_ki4!AA160</f>
        <v>0</v>
      </c>
      <c r="P34" s="176" t="str">
        <f t="shared" si="1"/>
        <v xml:space="preserve">  </v>
      </c>
      <c r="Q34" s="40">
        <v>31</v>
      </c>
      <c r="R34" s="154">
        <f>dtsiswa!D37</f>
        <v>0</v>
      </c>
      <c r="S34" s="187" t="str">
        <f t="shared" si="4"/>
        <v xml:space="preserve">    </v>
      </c>
      <c r="T34" s="186" t="str">
        <f t="shared" si="5"/>
        <v xml:space="preserve">    </v>
      </c>
    </row>
    <row r="35" spans="1:20" ht="15.95" customHeight="1" x14ac:dyDescent="0.25">
      <c r="A35" s="1167">
        <v>32</v>
      </c>
      <c r="B35" s="155">
        <f>dtsiswa!D38</f>
        <v>0</v>
      </c>
      <c r="C35" s="1168">
        <f>biki_3!N193</f>
        <v>0</v>
      </c>
      <c r="D35" s="1168">
        <f>biki_3!O193</f>
        <v>0</v>
      </c>
      <c r="E35" s="1168">
        <f>biki_3!P193</f>
        <v>0</v>
      </c>
      <c r="F35" s="1168">
        <f>biki_3!Q193</f>
        <v>0</v>
      </c>
      <c r="G35" s="1168">
        <f>biki_3!R193</f>
        <v>0</v>
      </c>
      <c r="H35" s="178" t="str">
        <f t="shared" si="0"/>
        <v xml:space="preserve">  </v>
      </c>
      <c r="J35" s="40">
        <v>32</v>
      </c>
      <c r="K35" s="155">
        <f>dtsiswa!D38</f>
        <v>0</v>
      </c>
      <c r="L35" s="1131">
        <f>BI_ki4!X165</f>
        <v>0</v>
      </c>
      <c r="M35" s="1131">
        <f>BI_ki4!Y165</f>
        <v>0</v>
      </c>
      <c r="N35" s="1131">
        <f>BI_ki4!Z165</f>
        <v>0</v>
      </c>
      <c r="O35" s="1131">
        <f>BI_ki4!AA165</f>
        <v>0</v>
      </c>
      <c r="P35" s="176" t="str">
        <f t="shared" si="1"/>
        <v xml:space="preserve">  </v>
      </c>
      <c r="Q35" s="40">
        <v>32</v>
      </c>
      <c r="R35" s="154">
        <f>dtsiswa!D38</f>
        <v>0</v>
      </c>
      <c r="S35" s="187" t="str">
        <f t="shared" si="4"/>
        <v xml:space="preserve">    </v>
      </c>
      <c r="T35" s="186" t="str">
        <f t="shared" si="5"/>
        <v xml:space="preserve">    </v>
      </c>
    </row>
    <row r="36" spans="1:20" ht="15.95" customHeight="1" x14ac:dyDescent="0.25">
      <c r="A36" s="1167">
        <v>33</v>
      </c>
      <c r="B36" s="155">
        <f>dtsiswa!D39</f>
        <v>0</v>
      </c>
      <c r="C36" s="1168">
        <f>biki_3!N199</f>
        <v>0</v>
      </c>
      <c r="D36" s="1168">
        <f>biki_3!O199</f>
        <v>0</v>
      </c>
      <c r="E36" s="1168">
        <f>biki_3!P199</f>
        <v>0</v>
      </c>
      <c r="F36" s="1168">
        <f>biki_3!Q199</f>
        <v>0</v>
      </c>
      <c r="G36" s="1168">
        <f>biki_3!R199</f>
        <v>0</v>
      </c>
      <c r="H36" s="178" t="str">
        <f t="shared" si="0"/>
        <v xml:space="preserve">  </v>
      </c>
      <c r="J36" s="40">
        <v>33</v>
      </c>
      <c r="K36" s="155">
        <f>dtsiswa!D39</f>
        <v>0</v>
      </c>
      <c r="L36" s="1131">
        <f>BI_ki4!X170</f>
        <v>0</v>
      </c>
      <c r="M36" s="1131">
        <f>BI_ki4!Y170</f>
        <v>0</v>
      </c>
      <c r="N36" s="1131">
        <f>BI_ki4!Z170</f>
        <v>0</v>
      </c>
      <c r="O36" s="1131">
        <f>BI_ki4!AA170</f>
        <v>0</v>
      </c>
      <c r="P36" s="176" t="str">
        <f t="shared" si="1"/>
        <v xml:space="preserve">  </v>
      </c>
      <c r="Q36" s="40">
        <v>33</v>
      </c>
      <c r="R36" s="154">
        <f>dtsiswa!D39</f>
        <v>0</v>
      </c>
      <c r="S36" s="187" t="str">
        <f t="shared" si="4"/>
        <v xml:space="preserve">    </v>
      </c>
      <c r="T36" s="186" t="str">
        <f t="shared" si="5"/>
        <v xml:space="preserve">    </v>
      </c>
    </row>
    <row r="37" spans="1:20" ht="15.95" customHeight="1" x14ac:dyDescent="0.25">
      <c r="A37" s="1167">
        <v>34</v>
      </c>
      <c r="B37" s="155">
        <f>dtsiswa!D40</f>
        <v>0</v>
      </c>
      <c r="C37" s="1168">
        <f>biki_3!N205</f>
        <v>0</v>
      </c>
      <c r="D37" s="1168">
        <f>biki_3!O205</f>
        <v>0</v>
      </c>
      <c r="E37" s="1168">
        <f>biki_3!P205</f>
        <v>0</v>
      </c>
      <c r="F37" s="1168">
        <f>biki_3!Q205</f>
        <v>0</v>
      </c>
      <c r="G37" s="1168">
        <f>biki_3!R205</f>
        <v>0</v>
      </c>
      <c r="H37" s="178" t="str">
        <f t="shared" si="0"/>
        <v xml:space="preserve">  </v>
      </c>
      <c r="J37" s="40">
        <v>34</v>
      </c>
      <c r="K37" s="155">
        <f>dtsiswa!D40</f>
        <v>0</v>
      </c>
      <c r="L37" s="1131">
        <f>BI_ki4!X175</f>
        <v>0</v>
      </c>
      <c r="M37" s="1131">
        <f>BI_ki4!Y175</f>
        <v>0</v>
      </c>
      <c r="N37" s="1131">
        <f>BI_ki4!Z175</f>
        <v>0</v>
      </c>
      <c r="O37" s="1131">
        <f>BI_ki4!AA175</f>
        <v>0</v>
      </c>
      <c r="P37" s="176" t="str">
        <f t="shared" si="1"/>
        <v xml:space="preserve">  </v>
      </c>
      <c r="Q37" s="40">
        <v>34</v>
      </c>
      <c r="R37" s="154">
        <f>dtsiswa!D40</f>
        <v>0</v>
      </c>
      <c r="S37" s="187" t="str">
        <f t="shared" si="4"/>
        <v xml:space="preserve">    </v>
      </c>
      <c r="T37" s="186" t="str">
        <f t="shared" si="5"/>
        <v xml:space="preserve">    </v>
      </c>
    </row>
    <row r="38" spans="1:20" ht="15.95" customHeight="1" x14ac:dyDescent="0.25">
      <c r="A38" s="1167">
        <v>35</v>
      </c>
      <c r="B38" s="155">
        <f>dtsiswa!D41</f>
        <v>0</v>
      </c>
      <c r="C38" s="1168">
        <f>biki_3!N211</f>
        <v>0</v>
      </c>
      <c r="D38" s="1168">
        <f>biki_3!O211</f>
        <v>0</v>
      </c>
      <c r="E38" s="1168">
        <f>biki_3!P211</f>
        <v>0</v>
      </c>
      <c r="F38" s="1168">
        <f>biki_3!Q211</f>
        <v>0</v>
      </c>
      <c r="G38" s="1168">
        <f>biki_3!R211</f>
        <v>0</v>
      </c>
      <c r="H38" s="178" t="str">
        <f t="shared" si="0"/>
        <v xml:space="preserve">  </v>
      </c>
      <c r="J38" s="40">
        <v>35</v>
      </c>
      <c r="K38" s="155">
        <f>dtsiswa!D41</f>
        <v>0</v>
      </c>
      <c r="L38" s="1131">
        <f>BI_ki4!X180</f>
        <v>0</v>
      </c>
      <c r="M38" s="1131">
        <f>BI_ki4!Y180</f>
        <v>0</v>
      </c>
      <c r="N38" s="1131">
        <f>BI_ki4!Z180</f>
        <v>0</v>
      </c>
      <c r="O38" s="1131">
        <f>BI_ki4!AA180</f>
        <v>0</v>
      </c>
      <c r="P38" s="176" t="str">
        <f t="shared" si="1"/>
        <v xml:space="preserve">  </v>
      </c>
      <c r="Q38" s="40">
        <v>35</v>
      </c>
      <c r="R38" s="154">
        <f>dtsiswa!D41</f>
        <v>0</v>
      </c>
      <c r="S38" s="187" t="str">
        <f t="shared" si="4"/>
        <v xml:space="preserve">    </v>
      </c>
      <c r="T38" s="186" t="str">
        <f t="shared" si="5"/>
        <v xml:space="preserve">    </v>
      </c>
    </row>
    <row r="39" spans="1:20" ht="15.95" customHeight="1" x14ac:dyDescent="0.25">
      <c r="A39" s="1167">
        <v>36</v>
      </c>
      <c r="B39" s="155">
        <f>dtsiswa!D42</f>
        <v>0</v>
      </c>
      <c r="C39" s="1168">
        <f>biki_3!N217</f>
        <v>0</v>
      </c>
      <c r="D39" s="1168">
        <f>biki_3!O217</f>
        <v>0</v>
      </c>
      <c r="E39" s="1168">
        <f>biki_3!P217</f>
        <v>0</v>
      </c>
      <c r="F39" s="1168">
        <f>biki_3!Q217</f>
        <v>0</v>
      </c>
      <c r="G39" s="1168">
        <f>biki_3!R217</f>
        <v>0</v>
      </c>
      <c r="H39" s="178" t="str">
        <f t="shared" si="0"/>
        <v xml:space="preserve">  </v>
      </c>
      <c r="J39" s="40">
        <v>36</v>
      </c>
      <c r="K39" s="155">
        <f>dtsiswa!D42</f>
        <v>0</v>
      </c>
      <c r="L39" s="1131">
        <f>BI_ki4!X185</f>
        <v>0</v>
      </c>
      <c r="M39" s="1131">
        <f>BI_ki4!Y185</f>
        <v>0</v>
      </c>
      <c r="N39" s="1131">
        <f>BI_ki4!Z185</f>
        <v>0</v>
      </c>
      <c r="O39" s="1131">
        <f>BI_ki4!AA185</f>
        <v>0</v>
      </c>
      <c r="P39" s="176" t="str">
        <f t="shared" si="1"/>
        <v xml:space="preserve">  </v>
      </c>
      <c r="Q39" s="40">
        <v>36</v>
      </c>
      <c r="R39" s="154">
        <f>dtsiswa!D42</f>
        <v>0</v>
      </c>
      <c r="S39" s="187" t="str">
        <f t="shared" si="4"/>
        <v xml:space="preserve">    </v>
      </c>
      <c r="T39" s="186" t="str">
        <f t="shared" si="5"/>
        <v xml:space="preserve">    </v>
      </c>
    </row>
    <row r="40" spans="1:20" ht="15.95" customHeight="1" x14ac:dyDescent="0.25">
      <c r="A40" s="1167">
        <v>37</v>
      </c>
      <c r="B40" s="155">
        <f>dtsiswa!D43</f>
        <v>0</v>
      </c>
      <c r="C40" s="1168">
        <f>biki_3!N223</f>
        <v>0</v>
      </c>
      <c r="D40" s="1168">
        <f>biki_3!O223</f>
        <v>0</v>
      </c>
      <c r="E40" s="1168">
        <f>biki_3!P223</f>
        <v>0</v>
      </c>
      <c r="F40" s="1168">
        <f>biki_3!Q223</f>
        <v>0</v>
      </c>
      <c r="G40" s="1168">
        <f>biki_3!R223</f>
        <v>0</v>
      </c>
      <c r="H40" s="178" t="str">
        <f t="shared" si="0"/>
        <v xml:space="preserve">  </v>
      </c>
      <c r="J40" s="40">
        <v>37</v>
      </c>
      <c r="K40" s="155">
        <f>dtsiswa!D43</f>
        <v>0</v>
      </c>
      <c r="L40" s="1131">
        <f>BI_ki4!X190</f>
        <v>0</v>
      </c>
      <c r="M40" s="1131">
        <f>BI_ki4!Y190</f>
        <v>0</v>
      </c>
      <c r="N40" s="1131">
        <f>BI_ki4!Z190</f>
        <v>0</v>
      </c>
      <c r="O40" s="1131">
        <f>BI_ki4!AA190</f>
        <v>0</v>
      </c>
      <c r="P40" s="176" t="str">
        <f t="shared" si="1"/>
        <v xml:space="preserve">  </v>
      </c>
      <c r="Q40" s="40">
        <v>37</v>
      </c>
      <c r="R40" s="154">
        <f>dtsiswa!D43</f>
        <v>0</v>
      </c>
      <c r="S40" s="187" t="str">
        <f t="shared" si="4"/>
        <v xml:space="preserve">    </v>
      </c>
      <c r="T40" s="186" t="str">
        <f t="shared" si="5"/>
        <v xml:space="preserve">    </v>
      </c>
    </row>
    <row r="41" spans="1:20" ht="15.95" customHeight="1" x14ac:dyDescent="0.25">
      <c r="A41" s="1167">
        <v>38</v>
      </c>
      <c r="B41" s="155">
        <f>dtsiswa!D44</f>
        <v>0</v>
      </c>
      <c r="C41" s="1168">
        <f>biki_3!N229</f>
        <v>0</v>
      </c>
      <c r="D41" s="1168">
        <f>biki_3!O229</f>
        <v>0</v>
      </c>
      <c r="E41" s="1168">
        <f>biki_3!P229</f>
        <v>0</v>
      </c>
      <c r="F41" s="1168">
        <f>biki_3!Q229</f>
        <v>0</v>
      </c>
      <c r="G41" s="1168">
        <f>biki_3!R229</f>
        <v>0</v>
      </c>
      <c r="H41" s="178" t="str">
        <f t="shared" si="0"/>
        <v xml:space="preserve">  </v>
      </c>
      <c r="J41" s="40">
        <v>38</v>
      </c>
      <c r="K41" s="155">
        <f>dtsiswa!D44</f>
        <v>0</v>
      </c>
      <c r="L41" s="1131">
        <f>BI_ki4!X195</f>
        <v>0</v>
      </c>
      <c r="M41" s="1131">
        <f>BI_ki4!Y195</f>
        <v>0</v>
      </c>
      <c r="N41" s="1131">
        <f>BI_ki4!Z195</f>
        <v>0</v>
      </c>
      <c r="O41" s="1131">
        <f>BI_ki4!AA195</f>
        <v>0</v>
      </c>
      <c r="P41" s="176" t="str">
        <f t="shared" si="1"/>
        <v xml:space="preserve">  </v>
      </c>
      <c r="Q41" s="40">
        <v>38</v>
      </c>
      <c r="R41" s="154">
        <f>dtsiswa!D44</f>
        <v>0</v>
      </c>
      <c r="S41" s="187" t="str">
        <f t="shared" si="4"/>
        <v xml:space="preserve">    </v>
      </c>
      <c r="T41" s="186" t="str">
        <f t="shared" si="5"/>
        <v xml:space="preserve">    </v>
      </c>
    </row>
    <row r="42" spans="1:20" ht="15.95" customHeight="1" x14ac:dyDescent="0.25">
      <c r="A42" s="1167">
        <v>39</v>
      </c>
      <c r="B42" s="155">
        <f>dtsiswa!D45</f>
        <v>0</v>
      </c>
      <c r="C42" s="1168">
        <f>biki_3!N235</f>
        <v>0</v>
      </c>
      <c r="D42" s="1168">
        <f>biki_3!O235</f>
        <v>0</v>
      </c>
      <c r="E42" s="1168">
        <f>biki_3!P235</f>
        <v>0</v>
      </c>
      <c r="F42" s="1168">
        <f>biki_3!Q235</f>
        <v>0</v>
      </c>
      <c r="G42" s="1168">
        <f>biki_3!R235</f>
        <v>0</v>
      </c>
      <c r="H42" s="178" t="str">
        <f t="shared" si="0"/>
        <v xml:space="preserve">  </v>
      </c>
      <c r="J42" s="40">
        <v>39</v>
      </c>
      <c r="K42" s="155">
        <f>dtsiswa!D45</f>
        <v>0</v>
      </c>
      <c r="L42" s="1131">
        <f>BI_ki4!X200</f>
        <v>0</v>
      </c>
      <c r="M42" s="1131">
        <f>BI_ki4!Y200</f>
        <v>0</v>
      </c>
      <c r="N42" s="1131">
        <f>BI_ki4!Z200</f>
        <v>0</v>
      </c>
      <c r="O42" s="1131">
        <f>BI_ki4!AA200</f>
        <v>0</v>
      </c>
      <c r="P42" s="176" t="str">
        <f t="shared" si="1"/>
        <v xml:space="preserve">  </v>
      </c>
      <c r="Q42" s="40">
        <v>39</v>
      </c>
      <c r="R42" s="154">
        <f>dtsiswa!D45</f>
        <v>0</v>
      </c>
      <c r="S42" s="187" t="str">
        <f t="shared" si="4"/>
        <v xml:space="preserve">    </v>
      </c>
      <c r="T42" s="186" t="str">
        <f t="shared" si="5"/>
        <v xml:space="preserve">    </v>
      </c>
    </row>
    <row r="43" spans="1:20" ht="15.95" customHeight="1" x14ac:dyDescent="0.25">
      <c r="A43" s="1167">
        <v>40</v>
      </c>
      <c r="B43" s="155">
        <f>dtsiswa!D46</f>
        <v>0</v>
      </c>
      <c r="C43" s="1168">
        <f>biki_3!N241</f>
        <v>0</v>
      </c>
      <c r="D43" s="1168">
        <f>biki_3!O241</f>
        <v>0</v>
      </c>
      <c r="E43" s="1168">
        <f>biki_3!P241</f>
        <v>0</v>
      </c>
      <c r="F43" s="1168">
        <f>biki_3!Q241</f>
        <v>0</v>
      </c>
      <c r="G43" s="1168">
        <f>biki_3!R241</f>
        <v>0</v>
      </c>
      <c r="H43" s="178" t="str">
        <f t="shared" si="0"/>
        <v xml:space="preserve">  </v>
      </c>
      <c r="J43" s="40">
        <v>40</v>
      </c>
      <c r="K43" s="155">
        <f>dtsiswa!D46</f>
        <v>0</v>
      </c>
      <c r="L43" s="1131">
        <f>BI_ki4!X205</f>
        <v>0</v>
      </c>
      <c r="M43" s="1131">
        <f>BI_ki4!Y205</f>
        <v>0</v>
      </c>
      <c r="N43" s="1131">
        <f>BI_ki4!Z205</f>
        <v>0</v>
      </c>
      <c r="O43" s="1131">
        <f>BI_ki4!AA205</f>
        <v>0</v>
      </c>
      <c r="P43" s="176" t="str">
        <f t="shared" si="1"/>
        <v xml:space="preserve">  </v>
      </c>
      <c r="Q43" s="40">
        <v>40</v>
      </c>
      <c r="R43" s="154">
        <f>dtsiswa!D46</f>
        <v>0</v>
      </c>
      <c r="S43" s="187" t="str">
        <f t="shared" si="4"/>
        <v xml:space="preserve">    </v>
      </c>
      <c r="T43" s="186" t="str">
        <f t="shared" si="5"/>
        <v xml:space="preserve">    </v>
      </c>
    </row>
    <row r="44" spans="1:20" ht="21" x14ac:dyDescent="0.35">
      <c r="A44" s="188">
        <v>1</v>
      </c>
      <c r="B44" s="189">
        <v>2</v>
      </c>
      <c r="C44" s="188">
        <v>3</v>
      </c>
      <c r="D44" s="189">
        <v>4</v>
      </c>
      <c r="E44" s="188">
        <v>5</v>
      </c>
      <c r="F44" s="189">
        <v>6</v>
      </c>
      <c r="G44" s="188">
        <v>7</v>
      </c>
      <c r="H44" s="190">
        <v>11</v>
      </c>
      <c r="I44" s="189">
        <v>12</v>
      </c>
      <c r="J44" s="188">
        <v>13</v>
      </c>
      <c r="K44" s="189">
        <v>14</v>
      </c>
      <c r="L44" s="188">
        <v>15</v>
      </c>
      <c r="M44" s="189">
        <v>16</v>
      </c>
      <c r="N44" s="188">
        <v>17</v>
      </c>
      <c r="O44" s="189">
        <v>18</v>
      </c>
      <c r="P44" s="190">
        <v>25</v>
      </c>
      <c r="Q44" s="189">
        <v>26</v>
      </c>
      <c r="R44" s="188">
        <v>27</v>
      </c>
      <c r="S44" s="191">
        <v>28</v>
      </c>
      <c r="T44" s="192">
        <v>29</v>
      </c>
    </row>
    <row r="45" spans="1:20" x14ac:dyDescent="0.25">
      <c r="J45" s="161"/>
      <c r="K45" s="161"/>
      <c r="L45" s="161"/>
      <c r="M45" s="161"/>
      <c r="N45" s="161"/>
      <c r="O45" s="161"/>
      <c r="P45" s="161"/>
    </row>
    <row r="46" spans="1:20" x14ac:dyDescent="0.25">
      <c r="I46" s="157"/>
      <c r="J46" s="161"/>
      <c r="K46" s="161"/>
      <c r="L46" s="161"/>
      <c r="M46" s="161"/>
      <c r="N46" s="161"/>
      <c r="O46" s="161"/>
      <c r="P46" s="161"/>
    </row>
    <row r="47" spans="1:20" x14ac:dyDescent="0.25">
      <c r="A47" s="1179"/>
      <c r="B47" s="1179"/>
      <c r="C47" s="1179"/>
      <c r="D47" s="1179"/>
      <c r="E47" s="1179"/>
      <c r="F47" s="1179"/>
      <c r="G47" s="1179"/>
      <c r="H47" s="1179"/>
      <c r="I47" s="157"/>
      <c r="J47" s="161"/>
      <c r="K47" s="161"/>
      <c r="L47" s="161"/>
      <c r="M47" s="161"/>
      <c r="N47" s="161"/>
      <c r="O47" s="161"/>
      <c r="P47" s="161"/>
    </row>
    <row r="48" spans="1:20" x14ac:dyDescent="0.25">
      <c r="A48" s="161"/>
      <c r="B48" s="161"/>
      <c r="C48" s="161"/>
      <c r="D48" s="161"/>
      <c r="E48" s="161"/>
      <c r="F48" s="161"/>
      <c r="G48" s="161"/>
      <c r="H48" s="161"/>
      <c r="I48" s="157"/>
      <c r="J48" s="161"/>
      <c r="K48" s="161"/>
      <c r="L48" s="161"/>
      <c r="M48" s="161"/>
      <c r="N48" s="161"/>
      <c r="O48" s="161"/>
      <c r="P48" s="161"/>
    </row>
    <row r="49" spans="1:16" ht="28.5" customHeight="1" x14ac:dyDescent="0.35">
      <c r="A49" s="2908" t="s">
        <v>176</v>
      </c>
      <c r="B49" s="2908"/>
      <c r="C49" s="2908"/>
      <c r="D49" s="2908"/>
      <c r="E49" s="2908"/>
      <c r="F49" s="2908"/>
      <c r="G49" s="2908"/>
      <c r="H49" s="161"/>
      <c r="I49" s="157"/>
      <c r="J49" s="2908" t="s">
        <v>430</v>
      </c>
      <c r="K49" s="2908"/>
      <c r="L49" s="2908"/>
      <c r="M49" s="2908"/>
      <c r="N49" s="161"/>
      <c r="O49" s="161"/>
      <c r="P49" s="161"/>
    </row>
    <row r="50" spans="1:16" ht="26.25" x14ac:dyDescent="0.4">
      <c r="A50" s="177" t="s">
        <v>148</v>
      </c>
      <c r="B50" s="161"/>
      <c r="C50" s="161"/>
      <c r="D50" s="161"/>
      <c r="E50" s="161"/>
      <c r="F50" s="161"/>
      <c r="G50" s="161"/>
      <c r="H50" s="161"/>
      <c r="I50" s="157"/>
      <c r="J50" s="163" t="s">
        <v>175</v>
      </c>
      <c r="K50" s="161"/>
      <c r="L50" s="161"/>
      <c r="M50" s="161"/>
      <c r="N50" s="161"/>
      <c r="O50" s="161"/>
      <c r="P50" s="161"/>
    </row>
    <row r="51" spans="1:16" ht="33" customHeight="1" x14ac:dyDescent="0.25">
      <c r="A51" s="235" t="s">
        <v>0</v>
      </c>
      <c r="B51" s="235" t="s">
        <v>1</v>
      </c>
      <c r="C51" s="222" t="s">
        <v>154</v>
      </c>
      <c r="D51" s="222" t="s">
        <v>155</v>
      </c>
      <c r="E51" s="222" t="s">
        <v>9</v>
      </c>
      <c r="F51" s="222" t="s">
        <v>11</v>
      </c>
      <c r="G51" s="222" t="s">
        <v>16</v>
      </c>
      <c r="H51" s="236" t="s">
        <v>138</v>
      </c>
      <c r="I51" s="157"/>
      <c r="J51" s="156" t="s">
        <v>0</v>
      </c>
      <c r="K51" s="156" t="s">
        <v>1</v>
      </c>
      <c r="L51" s="1004" t="s">
        <v>154</v>
      </c>
      <c r="M51" s="1004" t="s">
        <v>155</v>
      </c>
      <c r="N51" s="1004" t="s">
        <v>9</v>
      </c>
      <c r="O51" s="1004" t="s">
        <v>11</v>
      </c>
      <c r="P51" s="152" t="s">
        <v>138</v>
      </c>
    </row>
    <row r="52" spans="1:16" ht="25.5" x14ac:dyDescent="0.25">
      <c r="A52" s="40">
        <v>1</v>
      </c>
      <c r="B52" s="155" t="str">
        <f>dtsiswa!D7</f>
        <v>Achmad Zacky</v>
      </c>
      <c r="C52" s="59">
        <f>biki_3!S7</f>
        <v>0</v>
      </c>
      <c r="D52" s="59">
        <f>biki_3!T7</f>
        <v>0</v>
      </c>
      <c r="E52" s="59">
        <f>biki_3!U7</f>
        <v>0</v>
      </c>
      <c r="F52" s="59">
        <f>biki_3!V7</f>
        <v>2</v>
      </c>
      <c r="G52" s="59">
        <f>biki_3!W7</f>
        <v>0</v>
      </c>
      <c r="H52" s="176" t="str">
        <f t="shared" ref="H52:H91" si="6">IF(OR(C52=2,C52=3),VLOOKUP(C52,DES_KI3_BI,2,FALSE),IF(OR(D52=2,D52=3),VLOOKUP(D52,DES_KI3_BI,3,FALSE),IF(OR(E52=2,E52=3),VLOOKUP(E52,DES_KI3_BI,4,FALSE),IF(OR(F52=2,F52=3),VLOOKUP(F52,DES_KI3_BI,5,FALSE),IF(OR(G52=2,G52=3),VLOOKUP(G52,DES_KI3_BI,6,FALSE),"  ")))))</f>
        <v xml:space="preserve">Cukup baik dalam Menggali informasi dari teks cerita petualangan tentang lingkungan dan sumber daya alam dengan bantuan guru dan teman dalam bahasa Indonesia lisan dan tulis dengan memilih dan memilah kosakata baku. </v>
      </c>
      <c r="I52" s="153" t="e">
        <f>VLOOKUP($A$52,Ragm_ki3,29,FALSE)</f>
        <v>#NAME?</v>
      </c>
      <c r="J52" s="40">
        <v>1</v>
      </c>
      <c r="K52" s="155" t="str">
        <f>dtsiswa!D7</f>
        <v>Achmad Zacky</v>
      </c>
      <c r="L52" s="667">
        <f>BI_ki4!AB10</f>
        <v>0</v>
      </c>
      <c r="M52" s="1131">
        <f>BI_ki4!AC10</f>
        <v>3</v>
      </c>
      <c r="N52" s="1131">
        <f>BI_ki4!AD10</f>
        <v>0</v>
      </c>
      <c r="O52" s="1131">
        <f>BI_ki4!AE10</f>
        <v>0</v>
      </c>
      <c r="P52" s="348" t="str">
        <f t="shared" ref="P52:P91" si="7">IF(OR(L52=2,L52=3),VLOOKUP(L52,Des_ki4B.Indo,2,FALSE),IF(OR(M52=2,M52=3),VLOOKUP(M52,Des_ki4B.Indo,3,FALSE),IF(OR(N52=2,N52=3),VLOOKUP(N52,Des_ki4B.Indo,4,FALSE),IF(OR(O52=2,O52=3),VLOOKUP(O52,Des_ki4B.Indo,5,FALSE),"  "))))</f>
        <v xml:space="preserve">Baik dalam Melaksanakan kewajiban sebagai warga di lingkungan rumah, sekolah dan masyarakat. </v>
      </c>
    </row>
    <row r="53" spans="1:16" ht="15.75" x14ac:dyDescent="0.25">
      <c r="A53" s="40">
        <v>2</v>
      </c>
      <c r="B53" s="155" t="str">
        <f>dtsiswa!D8</f>
        <v>Angelia Vabel R</v>
      </c>
      <c r="C53" s="59">
        <f>biki_3!S13</f>
        <v>0</v>
      </c>
      <c r="D53" s="59">
        <f>biki_3!T13</f>
        <v>0</v>
      </c>
      <c r="E53" s="59">
        <f>biki_3!U13</f>
        <v>0</v>
      </c>
      <c r="F53" s="59">
        <f>biki_3!V13</f>
        <v>0</v>
      </c>
      <c r="G53" s="59">
        <f>biki_3!W13</f>
        <v>0</v>
      </c>
      <c r="H53" s="176" t="str">
        <f t="shared" si="6"/>
        <v xml:space="preserve">  </v>
      </c>
      <c r="J53" s="153">
        <v>2</v>
      </c>
      <c r="K53" s="155" t="str">
        <f>dtsiswa!D8</f>
        <v>Angelia Vabel R</v>
      </c>
      <c r="L53" s="667">
        <f>BI_ki4!AB15</f>
        <v>0</v>
      </c>
      <c r="M53" s="1131">
        <f>BI_ki4!AC15</f>
        <v>0</v>
      </c>
      <c r="N53" s="1131">
        <f>BI_ki4!AD15</f>
        <v>0</v>
      </c>
      <c r="O53" s="1131">
        <f>BI_ki4!AE15</f>
        <v>0</v>
      </c>
      <c r="P53" s="348" t="str">
        <f t="shared" si="7"/>
        <v xml:space="preserve">  </v>
      </c>
    </row>
    <row r="54" spans="1:16" ht="15.75" x14ac:dyDescent="0.25">
      <c r="A54" s="40">
        <v>3</v>
      </c>
      <c r="B54" s="155" t="str">
        <f>dtsiswa!D9</f>
        <v>Anggun Dwi P.I</v>
      </c>
      <c r="C54" s="59">
        <f>biki_3!S19</f>
        <v>0</v>
      </c>
      <c r="D54" s="59">
        <f>biki_3!T19</f>
        <v>0</v>
      </c>
      <c r="E54" s="59">
        <f>biki_3!U19</f>
        <v>0</v>
      </c>
      <c r="F54" s="59">
        <f>biki_3!V19</f>
        <v>0</v>
      </c>
      <c r="G54" s="59">
        <f>biki_3!W19</f>
        <v>0</v>
      </c>
      <c r="H54" s="176" t="str">
        <f t="shared" si="6"/>
        <v xml:space="preserve">  </v>
      </c>
      <c r="J54" s="40">
        <v>3</v>
      </c>
      <c r="K54" s="155" t="str">
        <f>dtsiswa!D9</f>
        <v>Anggun Dwi P.I</v>
      </c>
      <c r="L54" s="1131">
        <f>BI_ki4!AB20</f>
        <v>0</v>
      </c>
      <c r="M54" s="1131">
        <f>BI_ki4!AC20</f>
        <v>0</v>
      </c>
      <c r="N54" s="1131">
        <f>BI_ki4!AD20</f>
        <v>0</v>
      </c>
      <c r="O54" s="1131">
        <f>BI_ki4!AE20</f>
        <v>0</v>
      </c>
      <c r="P54" s="348" t="str">
        <f t="shared" si="7"/>
        <v xml:space="preserve">  </v>
      </c>
    </row>
    <row r="55" spans="1:16" ht="15.75" x14ac:dyDescent="0.25">
      <c r="A55" s="40">
        <v>4</v>
      </c>
      <c r="B55" s="155" t="str">
        <f>dtsiswa!D10</f>
        <v>Antonio Permata A</v>
      </c>
      <c r="C55" s="59">
        <f>biki_3!S25</f>
        <v>0</v>
      </c>
      <c r="D55" s="59">
        <f>biki_3!T25</f>
        <v>0</v>
      </c>
      <c r="E55" s="59">
        <f>biki_3!U25</f>
        <v>0</v>
      </c>
      <c r="F55" s="59">
        <f>biki_3!V25</f>
        <v>0</v>
      </c>
      <c r="G55" s="59">
        <f>biki_3!W25</f>
        <v>0</v>
      </c>
      <c r="H55" s="176" t="str">
        <f t="shared" si="6"/>
        <v xml:space="preserve">  </v>
      </c>
      <c r="J55" s="153">
        <v>4</v>
      </c>
      <c r="K55" s="155" t="str">
        <f>dtsiswa!D10</f>
        <v>Antonio Permata A</v>
      </c>
      <c r="L55" s="1131">
        <f>BI_ki4!AB25</f>
        <v>0</v>
      </c>
      <c r="M55" s="1131">
        <f>BI_ki4!AC25</f>
        <v>0</v>
      </c>
      <c r="N55" s="1131">
        <f>BI_ki4!AD25</f>
        <v>0</v>
      </c>
      <c r="O55" s="1131">
        <f>BI_ki4!AE25</f>
        <v>0</v>
      </c>
      <c r="P55" s="348" t="str">
        <f t="shared" si="7"/>
        <v xml:space="preserve">  </v>
      </c>
    </row>
    <row r="56" spans="1:16" ht="15.75" x14ac:dyDescent="0.25">
      <c r="A56" s="40">
        <v>5</v>
      </c>
      <c r="B56" s="155" t="str">
        <f>dtsiswa!D11</f>
        <v>Arya Pratama G</v>
      </c>
      <c r="C56" s="59">
        <f>biki_3!S31</f>
        <v>0</v>
      </c>
      <c r="D56" s="59">
        <f>biki_3!T31</f>
        <v>0</v>
      </c>
      <c r="E56" s="59">
        <f>biki_3!U31</f>
        <v>0</v>
      </c>
      <c r="F56" s="59">
        <f>biki_3!V31</f>
        <v>0</v>
      </c>
      <c r="G56" s="59">
        <f>biki_3!W31</f>
        <v>0</v>
      </c>
      <c r="H56" s="176" t="str">
        <f t="shared" si="6"/>
        <v xml:space="preserve">  </v>
      </c>
      <c r="J56" s="40">
        <v>5</v>
      </c>
      <c r="K56" s="155" t="str">
        <f>dtsiswa!D11</f>
        <v>Arya Pratama G</v>
      </c>
      <c r="L56" s="1131">
        <f>BI_ki4!AB30</f>
        <v>0</v>
      </c>
      <c r="M56" s="1131">
        <f>BI_ki4!AC30</f>
        <v>0</v>
      </c>
      <c r="N56" s="1131">
        <f>BI_ki4!AD30</f>
        <v>0</v>
      </c>
      <c r="O56" s="1131">
        <f>BI_ki4!AE30</f>
        <v>0</v>
      </c>
      <c r="P56" s="348" t="str">
        <f t="shared" si="7"/>
        <v xml:space="preserve">  </v>
      </c>
    </row>
    <row r="57" spans="1:16" ht="15.75" x14ac:dyDescent="0.25">
      <c r="A57" s="40">
        <v>6</v>
      </c>
      <c r="B57" s="155" t="str">
        <f>dtsiswa!D12</f>
        <v>Asyam Hanif Ihsan H</v>
      </c>
      <c r="C57" s="59">
        <f>biki_3!S37</f>
        <v>0</v>
      </c>
      <c r="D57" s="59">
        <f>biki_3!T37</f>
        <v>0</v>
      </c>
      <c r="E57" s="59">
        <f>biki_3!U37</f>
        <v>0</v>
      </c>
      <c r="F57" s="59">
        <f>biki_3!V37</f>
        <v>0</v>
      </c>
      <c r="G57" s="59">
        <f>biki_3!W37</f>
        <v>0</v>
      </c>
      <c r="H57" s="176" t="str">
        <f t="shared" si="6"/>
        <v xml:space="preserve">  </v>
      </c>
      <c r="J57" s="153">
        <v>6</v>
      </c>
      <c r="K57" s="155" t="str">
        <f>dtsiswa!D12</f>
        <v>Asyam Hanif Ihsan H</v>
      </c>
      <c r="L57" s="1131">
        <f>BI_ki4!AB35</f>
        <v>0</v>
      </c>
      <c r="M57" s="1131">
        <f>BI_ki4!AC35</f>
        <v>0</v>
      </c>
      <c r="N57" s="1131">
        <f>BI_ki4!AD35</f>
        <v>0</v>
      </c>
      <c r="O57" s="1131">
        <f>BI_ki4!AE35</f>
        <v>0</v>
      </c>
      <c r="P57" s="348" t="str">
        <f t="shared" si="7"/>
        <v xml:space="preserve">  </v>
      </c>
    </row>
    <row r="58" spans="1:16" ht="15.75" x14ac:dyDescent="0.25">
      <c r="A58" s="40">
        <v>7</v>
      </c>
      <c r="B58" s="155" t="str">
        <f>dtsiswa!D13</f>
        <v>Athaya Salsabilla Z</v>
      </c>
      <c r="C58" s="59">
        <f>biki_3!S43</f>
        <v>0</v>
      </c>
      <c r="D58" s="59">
        <f>biki_3!T43</f>
        <v>0</v>
      </c>
      <c r="E58" s="59">
        <f>biki_3!U43</f>
        <v>0</v>
      </c>
      <c r="F58" s="59">
        <f>biki_3!V43</f>
        <v>0</v>
      </c>
      <c r="G58" s="59">
        <f>biki_3!W43</f>
        <v>0</v>
      </c>
      <c r="H58" s="176" t="str">
        <f t="shared" si="6"/>
        <v xml:space="preserve">  </v>
      </c>
      <c r="J58" s="40">
        <v>7</v>
      </c>
      <c r="K58" s="155" t="str">
        <f>dtsiswa!D13</f>
        <v>Athaya Salsabilla Z</v>
      </c>
      <c r="L58" s="1131">
        <f>BI_ki4!AB40</f>
        <v>0</v>
      </c>
      <c r="M58" s="1131">
        <f>BI_ki4!AC40</f>
        <v>0</v>
      </c>
      <c r="N58" s="1131">
        <f>BI_ki4!AD40</f>
        <v>0</v>
      </c>
      <c r="O58" s="1131">
        <f>BI_ki4!AE40</f>
        <v>0</v>
      </c>
      <c r="P58" s="348" t="str">
        <f t="shared" si="7"/>
        <v xml:space="preserve">  </v>
      </c>
    </row>
    <row r="59" spans="1:16" ht="15.75" x14ac:dyDescent="0.25">
      <c r="A59" s="40">
        <v>8</v>
      </c>
      <c r="B59" s="155" t="str">
        <f>dtsiswa!D14</f>
        <v>Aulia Dea Rosalinda</v>
      </c>
      <c r="C59" s="59">
        <f>biki_3!S49</f>
        <v>0</v>
      </c>
      <c r="D59" s="59">
        <f>biki_3!T49</f>
        <v>0</v>
      </c>
      <c r="E59" s="59">
        <f>biki_3!U49</f>
        <v>0</v>
      </c>
      <c r="F59" s="59">
        <f>biki_3!V49</f>
        <v>0</v>
      </c>
      <c r="G59" s="59">
        <f>biki_3!W49</f>
        <v>0</v>
      </c>
      <c r="H59" s="176" t="str">
        <f t="shared" si="6"/>
        <v xml:space="preserve">  </v>
      </c>
      <c r="J59" s="153">
        <v>8</v>
      </c>
      <c r="K59" s="155" t="str">
        <f>dtsiswa!D14</f>
        <v>Aulia Dea Rosalinda</v>
      </c>
      <c r="L59" s="1131">
        <f>BI_ki4!AB45</f>
        <v>0</v>
      </c>
      <c r="M59" s="1131">
        <f>BI_ki4!AC45</f>
        <v>0</v>
      </c>
      <c r="N59" s="1131">
        <f>BI_ki4!AD45</f>
        <v>0</v>
      </c>
      <c r="O59" s="1131">
        <f>BI_ki4!AE45</f>
        <v>0</v>
      </c>
      <c r="P59" s="348" t="str">
        <f t="shared" si="7"/>
        <v xml:space="preserve">  </v>
      </c>
    </row>
    <row r="60" spans="1:16" ht="15.75" x14ac:dyDescent="0.25">
      <c r="A60" s="40">
        <v>9</v>
      </c>
      <c r="B60" s="155" t="str">
        <f>dtsiswa!D15</f>
        <v>Claudia Gabriella L</v>
      </c>
      <c r="C60" s="59">
        <f>biki_3!S55</f>
        <v>0</v>
      </c>
      <c r="D60" s="59">
        <f>biki_3!T55</f>
        <v>0</v>
      </c>
      <c r="E60" s="59">
        <f>biki_3!U55</f>
        <v>0</v>
      </c>
      <c r="F60" s="59">
        <f>biki_3!V55</f>
        <v>0</v>
      </c>
      <c r="G60" s="59">
        <f>biki_3!W55</f>
        <v>0</v>
      </c>
      <c r="H60" s="176" t="str">
        <f t="shared" si="6"/>
        <v xml:space="preserve">  </v>
      </c>
      <c r="J60" s="40">
        <v>9</v>
      </c>
      <c r="K60" s="155" t="str">
        <f>dtsiswa!D15</f>
        <v>Claudia Gabriella L</v>
      </c>
      <c r="L60" s="1131">
        <f>BI_ki4!AB50</f>
        <v>0</v>
      </c>
      <c r="M60" s="1131">
        <f>BI_ki4!AC50</f>
        <v>0</v>
      </c>
      <c r="N60" s="1131">
        <f>BI_ki4!AD50</f>
        <v>0</v>
      </c>
      <c r="O60" s="1131">
        <f>BI_ki4!AE50</f>
        <v>0</v>
      </c>
      <c r="P60" s="348" t="str">
        <f t="shared" si="7"/>
        <v xml:space="preserve">  </v>
      </c>
    </row>
    <row r="61" spans="1:16" ht="15.75" x14ac:dyDescent="0.25">
      <c r="A61" s="40">
        <v>10</v>
      </c>
      <c r="B61" s="155" t="str">
        <f>dtsiswa!D16</f>
        <v xml:space="preserve">Deco Badarus Zaman </v>
      </c>
      <c r="C61" s="59">
        <f>biki_3!S61</f>
        <v>0</v>
      </c>
      <c r="D61" s="59">
        <f>biki_3!T61</f>
        <v>0</v>
      </c>
      <c r="E61" s="59">
        <f>biki_3!U61</f>
        <v>0</v>
      </c>
      <c r="F61" s="59">
        <f>biki_3!V61</f>
        <v>0</v>
      </c>
      <c r="G61" s="59">
        <f>biki_3!W61</f>
        <v>0</v>
      </c>
      <c r="H61" s="176" t="str">
        <f t="shared" si="6"/>
        <v xml:space="preserve">  </v>
      </c>
      <c r="J61" s="153">
        <v>10</v>
      </c>
      <c r="K61" s="155" t="str">
        <f>dtsiswa!D16</f>
        <v xml:space="preserve">Deco Badarus Zaman </v>
      </c>
      <c r="L61" s="1131">
        <f>BI_ki4!AB55</f>
        <v>0</v>
      </c>
      <c r="M61" s="1131">
        <f>BI_ki4!AC55</f>
        <v>0</v>
      </c>
      <c r="N61" s="1131">
        <f>BI_ki4!AD55</f>
        <v>0</v>
      </c>
      <c r="O61" s="1131">
        <f>BI_ki4!AE55</f>
        <v>0</v>
      </c>
      <c r="P61" s="348" t="str">
        <f t="shared" si="7"/>
        <v xml:space="preserve">  </v>
      </c>
    </row>
    <row r="62" spans="1:16" ht="15.75" x14ac:dyDescent="0.25">
      <c r="A62" s="40">
        <v>11</v>
      </c>
      <c r="B62" s="155" t="str">
        <f>dtsiswa!D17</f>
        <v>Fania Mutiara Felichia</v>
      </c>
      <c r="C62" s="59">
        <f>biki_3!S67</f>
        <v>0</v>
      </c>
      <c r="D62" s="59">
        <f>biki_3!T67</f>
        <v>0</v>
      </c>
      <c r="E62" s="59">
        <f>biki_3!U67</f>
        <v>0</v>
      </c>
      <c r="F62" s="59">
        <f>biki_3!V67</f>
        <v>0</v>
      </c>
      <c r="G62" s="59">
        <f>biki_3!W67</f>
        <v>0</v>
      </c>
      <c r="H62" s="176" t="str">
        <f t="shared" si="6"/>
        <v xml:space="preserve">  </v>
      </c>
      <c r="J62" s="40">
        <v>11</v>
      </c>
      <c r="K62" s="155" t="str">
        <f>dtsiswa!D17</f>
        <v>Fania Mutiara Felichia</v>
      </c>
      <c r="L62" s="1131">
        <f>BI_ki4!AB60</f>
        <v>0</v>
      </c>
      <c r="M62" s="1131">
        <f>BI_ki4!AC60</f>
        <v>0</v>
      </c>
      <c r="N62" s="1131">
        <f>BI_ki4!AD60</f>
        <v>0</v>
      </c>
      <c r="O62" s="1131">
        <f>BI_ki4!AE60</f>
        <v>0</v>
      </c>
      <c r="P62" s="348" t="str">
        <f t="shared" si="7"/>
        <v xml:space="preserve">  </v>
      </c>
    </row>
    <row r="63" spans="1:16" ht="15.75" x14ac:dyDescent="0.25">
      <c r="A63" s="40">
        <v>12</v>
      </c>
      <c r="B63" s="155" t="str">
        <f>dtsiswa!D18</f>
        <v>Intan Dyah Nowari</v>
      </c>
      <c r="C63" s="59">
        <f>biki_3!S73</f>
        <v>0</v>
      </c>
      <c r="D63" s="59">
        <f>biki_3!T73</f>
        <v>0</v>
      </c>
      <c r="E63" s="59">
        <f>biki_3!U73</f>
        <v>0</v>
      </c>
      <c r="F63" s="59">
        <f>biki_3!V73</f>
        <v>0</v>
      </c>
      <c r="G63" s="59">
        <f>biki_3!W73</f>
        <v>0</v>
      </c>
      <c r="H63" s="176" t="str">
        <f t="shared" si="6"/>
        <v xml:space="preserve">  </v>
      </c>
      <c r="J63" s="153">
        <v>12</v>
      </c>
      <c r="K63" s="155" t="str">
        <f>dtsiswa!D18</f>
        <v>Intan Dyah Nowari</v>
      </c>
      <c r="L63" s="1131">
        <f>BI_ki4!AB65</f>
        <v>0</v>
      </c>
      <c r="M63" s="1131">
        <f>BI_ki4!AC65</f>
        <v>0</v>
      </c>
      <c r="N63" s="1131">
        <f>BI_ki4!AD65</f>
        <v>0</v>
      </c>
      <c r="O63" s="1131">
        <f>BI_ki4!AE65</f>
        <v>0</v>
      </c>
      <c r="P63" s="348" t="str">
        <f t="shared" si="7"/>
        <v xml:space="preserve">  </v>
      </c>
    </row>
    <row r="64" spans="1:16" ht="15.75" x14ac:dyDescent="0.25">
      <c r="A64" s="40">
        <v>13</v>
      </c>
      <c r="B64" s="155" t="str">
        <f>dtsiswa!D19</f>
        <v>Misyanita Nurfitri S</v>
      </c>
      <c r="C64" s="59">
        <f>biki_3!S79</f>
        <v>0</v>
      </c>
      <c r="D64" s="59">
        <f>biki_3!T79</f>
        <v>0</v>
      </c>
      <c r="E64" s="59">
        <f>biki_3!U79</f>
        <v>0</v>
      </c>
      <c r="F64" s="59">
        <f>biki_3!V79</f>
        <v>0</v>
      </c>
      <c r="G64" s="59">
        <f>biki_3!W79</f>
        <v>0</v>
      </c>
      <c r="H64" s="176" t="str">
        <f t="shared" si="6"/>
        <v xml:space="preserve">  </v>
      </c>
      <c r="J64" s="40">
        <v>13</v>
      </c>
      <c r="K64" s="155" t="str">
        <f>dtsiswa!D19</f>
        <v>Misyanita Nurfitri S</v>
      </c>
      <c r="L64" s="1131">
        <f>BI_ki4!AB70</f>
        <v>0</v>
      </c>
      <c r="M64" s="1131">
        <f>BI_ki4!AC70</f>
        <v>0</v>
      </c>
      <c r="N64" s="1131">
        <f>BI_ki4!AD70</f>
        <v>0</v>
      </c>
      <c r="O64" s="1131">
        <f>BI_ki4!AE70</f>
        <v>0</v>
      </c>
      <c r="P64" s="348" t="str">
        <f t="shared" si="7"/>
        <v xml:space="preserve">  </v>
      </c>
    </row>
    <row r="65" spans="1:16" ht="15.75" x14ac:dyDescent="0.25">
      <c r="A65" s="40">
        <v>14</v>
      </c>
      <c r="B65" s="155" t="str">
        <f>dtsiswa!D20</f>
        <v>Moch Zidane Hita L. U</v>
      </c>
      <c r="C65" s="59">
        <f>biki_3!S85</f>
        <v>0</v>
      </c>
      <c r="D65" s="59">
        <f>biki_3!T85</f>
        <v>0</v>
      </c>
      <c r="E65" s="59">
        <f>biki_3!U85</f>
        <v>0</v>
      </c>
      <c r="F65" s="59">
        <f>biki_3!V85</f>
        <v>0</v>
      </c>
      <c r="G65" s="59">
        <f>biki_3!W85</f>
        <v>0</v>
      </c>
      <c r="H65" s="176" t="str">
        <f t="shared" si="6"/>
        <v xml:space="preserve">  </v>
      </c>
      <c r="J65" s="153">
        <v>14</v>
      </c>
      <c r="K65" s="155" t="str">
        <f>dtsiswa!D20</f>
        <v>Moch Zidane Hita L. U</v>
      </c>
      <c r="L65" s="1131">
        <f>BI_ki4!AB75</f>
        <v>0</v>
      </c>
      <c r="M65" s="1131">
        <f>BI_ki4!AC75</f>
        <v>0</v>
      </c>
      <c r="N65" s="1131">
        <f>BI_ki4!AD75</f>
        <v>0</v>
      </c>
      <c r="O65" s="1131">
        <f>BI_ki4!AE75</f>
        <v>0</v>
      </c>
      <c r="P65" s="348" t="str">
        <f t="shared" si="7"/>
        <v xml:space="preserve">  </v>
      </c>
    </row>
    <row r="66" spans="1:16" ht="15.75" x14ac:dyDescent="0.25">
      <c r="A66" s="40">
        <v>15</v>
      </c>
      <c r="B66" s="155" t="str">
        <f>dtsiswa!D21</f>
        <v>Muhammad Ibra Maulana</v>
      </c>
      <c r="C66" s="59">
        <f>biki_3!S91</f>
        <v>0</v>
      </c>
      <c r="D66" s="59">
        <f>biki_3!T91</f>
        <v>0</v>
      </c>
      <c r="E66" s="59">
        <f>biki_3!U91</f>
        <v>0</v>
      </c>
      <c r="F66" s="59">
        <f>biki_3!V91</f>
        <v>0</v>
      </c>
      <c r="G66" s="59">
        <f>biki_3!W91</f>
        <v>0</v>
      </c>
      <c r="H66" s="176" t="str">
        <f t="shared" si="6"/>
        <v xml:space="preserve">  </v>
      </c>
      <c r="J66" s="40">
        <v>15</v>
      </c>
      <c r="K66" s="155" t="str">
        <f>dtsiswa!D21</f>
        <v>Muhammad Ibra Maulana</v>
      </c>
      <c r="L66" s="1131">
        <f>BI_ki4!AB80</f>
        <v>0</v>
      </c>
      <c r="M66" s="1131">
        <f>BI_ki4!AC80</f>
        <v>0</v>
      </c>
      <c r="N66" s="1131">
        <f>BI_ki4!AD80</f>
        <v>0</v>
      </c>
      <c r="O66" s="1131">
        <f>BI_ki4!AE80</f>
        <v>0</v>
      </c>
      <c r="P66" s="348" t="str">
        <f t="shared" si="7"/>
        <v xml:space="preserve">  </v>
      </c>
    </row>
    <row r="67" spans="1:16" ht="15.75" x14ac:dyDescent="0.25">
      <c r="A67" s="40">
        <v>16</v>
      </c>
      <c r="B67" s="155" t="str">
        <f>dtsiswa!D22</f>
        <v>Nabilla Shiva Putri</v>
      </c>
      <c r="C67" s="59">
        <f>biki_3!S97</f>
        <v>0</v>
      </c>
      <c r="D67" s="59">
        <f>biki_3!T97</f>
        <v>0</v>
      </c>
      <c r="E67" s="59">
        <f>biki_3!U97</f>
        <v>0</v>
      </c>
      <c r="F67" s="59">
        <f>biki_3!V97</f>
        <v>0</v>
      </c>
      <c r="G67" s="59">
        <f>biki_3!W97</f>
        <v>0</v>
      </c>
      <c r="H67" s="176" t="str">
        <f t="shared" si="6"/>
        <v xml:space="preserve">  </v>
      </c>
      <c r="J67" s="153">
        <v>16</v>
      </c>
      <c r="K67" s="155" t="str">
        <f>dtsiswa!D22</f>
        <v>Nabilla Shiva Putri</v>
      </c>
      <c r="L67" s="1131">
        <f>BI_ki4!AB85</f>
        <v>0</v>
      </c>
      <c r="M67" s="1131">
        <f>BI_ki4!AC85</f>
        <v>0</v>
      </c>
      <c r="N67" s="1131">
        <f>BI_ki4!AD85</f>
        <v>0</v>
      </c>
      <c r="O67" s="1131">
        <f>BI_ki4!AE85</f>
        <v>0</v>
      </c>
      <c r="P67" s="348" t="str">
        <f t="shared" si="7"/>
        <v xml:space="preserve">  </v>
      </c>
    </row>
    <row r="68" spans="1:16" ht="15.75" x14ac:dyDescent="0.25">
      <c r="A68" s="40">
        <v>17</v>
      </c>
      <c r="B68" s="155" t="str">
        <f>dtsiswa!D23</f>
        <v>Naufal Falih F</v>
      </c>
      <c r="C68" s="59">
        <f>biki_3!S103</f>
        <v>0</v>
      </c>
      <c r="D68" s="59">
        <f>biki_3!T103</f>
        <v>0</v>
      </c>
      <c r="E68" s="59">
        <f>biki_3!U103</f>
        <v>0</v>
      </c>
      <c r="F68" s="59">
        <f>biki_3!V103</f>
        <v>0</v>
      </c>
      <c r="G68" s="59">
        <f>biki_3!W103</f>
        <v>0</v>
      </c>
      <c r="H68" s="176" t="str">
        <f t="shared" si="6"/>
        <v xml:space="preserve">  </v>
      </c>
      <c r="J68" s="40">
        <v>17</v>
      </c>
      <c r="K68" s="155" t="str">
        <f>dtsiswa!D23</f>
        <v>Naufal Falih F</v>
      </c>
      <c r="L68" s="1131">
        <f>BI_ki4!AB90</f>
        <v>0</v>
      </c>
      <c r="M68" s="1131">
        <f>BI_ki4!AC90</f>
        <v>0</v>
      </c>
      <c r="N68" s="1131">
        <f>BI_ki4!AD90</f>
        <v>0</v>
      </c>
      <c r="O68" s="1131">
        <f>BI_ki4!AE90</f>
        <v>0</v>
      </c>
      <c r="P68" s="348" t="str">
        <f t="shared" si="7"/>
        <v xml:space="preserve">  </v>
      </c>
    </row>
    <row r="69" spans="1:16" ht="15.75" x14ac:dyDescent="0.25">
      <c r="A69" s="40">
        <v>18</v>
      </c>
      <c r="B69" s="155" t="str">
        <f>dtsiswa!D24</f>
        <v>Nayla Annora Nobel W</v>
      </c>
      <c r="C69" s="59">
        <f>biki_3!S109</f>
        <v>0</v>
      </c>
      <c r="D69" s="59">
        <f>biki_3!T109</f>
        <v>0</v>
      </c>
      <c r="E69" s="59">
        <f>biki_3!U109</f>
        <v>0</v>
      </c>
      <c r="F69" s="59">
        <f>biki_3!V109</f>
        <v>0</v>
      </c>
      <c r="G69" s="59">
        <f>biki_3!W109</f>
        <v>0</v>
      </c>
      <c r="H69" s="176" t="str">
        <f t="shared" si="6"/>
        <v xml:space="preserve">  </v>
      </c>
      <c r="J69" s="153">
        <v>18</v>
      </c>
      <c r="K69" s="155" t="str">
        <f>dtsiswa!D24</f>
        <v>Nayla Annora Nobel W</v>
      </c>
      <c r="L69" s="1131">
        <f>BI_ki4!AB95</f>
        <v>0</v>
      </c>
      <c r="M69" s="1131">
        <f>BI_ki4!AC95</f>
        <v>0</v>
      </c>
      <c r="N69" s="1131">
        <f>BI_ki4!AD95</f>
        <v>0</v>
      </c>
      <c r="O69" s="1131">
        <f>BI_ki4!AE95</f>
        <v>0</v>
      </c>
      <c r="P69" s="348" t="str">
        <f t="shared" si="7"/>
        <v xml:space="preserve">  </v>
      </c>
    </row>
    <row r="70" spans="1:16" ht="15.75" x14ac:dyDescent="0.25">
      <c r="A70" s="40">
        <v>19</v>
      </c>
      <c r="B70" s="155" t="str">
        <f>dtsiswa!D25</f>
        <v>Raihan Danang P</v>
      </c>
      <c r="C70" s="59">
        <f>biki_3!S115</f>
        <v>0</v>
      </c>
      <c r="D70" s="59">
        <f>biki_3!T115</f>
        <v>0</v>
      </c>
      <c r="E70" s="59">
        <f>biki_3!U115</f>
        <v>0</v>
      </c>
      <c r="F70" s="59">
        <f>biki_3!V115</f>
        <v>0</v>
      </c>
      <c r="G70" s="59">
        <f>biki_3!W115</f>
        <v>0</v>
      </c>
      <c r="H70" s="176" t="str">
        <f t="shared" si="6"/>
        <v xml:space="preserve">  </v>
      </c>
      <c r="J70" s="40">
        <v>19</v>
      </c>
      <c r="K70" s="155" t="str">
        <f>dtsiswa!D25</f>
        <v>Raihan Danang P</v>
      </c>
      <c r="L70" s="1131">
        <f>BI_ki4!AB100</f>
        <v>0</v>
      </c>
      <c r="M70" s="1131">
        <f>BI_ki4!AC100</f>
        <v>0</v>
      </c>
      <c r="N70" s="1131">
        <f>BI_ki4!AD100</f>
        <v>0</v>
      </c>
      <c r="O70" s="1131">
        <f>BI_ki4!AE100</f>
        <v>0</v>
      </c>
      <c r="P70" s="348" t="str">
        <f t="shared" si="7"/>
        <v xml:space="preserve">  </v>
      </c>
    </row>
    <row r="71" spans="1:16" ht="15.75" x14ac:dyDescent="0.25">
      <c r="A71" s="40">
        <v>20</v>
      </c>
      <c r="B71" s="155" t="str">
        <f>dtsiswa!D26</f>
        <v>Roby Ardiyansyah</v>
      </c>
      <c r="C71" s="59">
        <f>biki_3!S121</f>
        <v>0</v>
      </c>
      <c r="D71" s="59">
        <f>biki_3!T121</f>
        <v>0</v>
      </c>
      <c r="E71" s="59">
        <f>biki_3!U121</f>
        <v>0</v>
      </c>
      <c r="F71" s="59">
        <f>biki_3!V121</f>
        <v>0</v>
      </c>
      <c r="G71" s="59">
        <f>biki_3!W121</f>
        <v>0</v>
      </c>
      <c r="H71" s="176" t="str">
        <f t="shared" si="6"/>
        <v xml:space="preserve">  </v>
      </c>
      <c r="J71" s="153">
        <v>20</v>
      </c>
      <c r="K71" s="155" t="str">
        <f>dtsiswa!D26</f>
        <v>Roby Ardiyansyah</v>
      </c>
      <c r="L71" s="1131">
        <f>BI_ki4!AB105</f>
        <v>0</v>
      </c>
      <c r="M71" s="1131">
        <f>BI_ki4!AC105</f>
        <v>0</v>
      </c>
      <c r="N71" s="1131">
        <f>BI_ki4!AD105</f>
        <v>0</v>
      </c>
      <c r="O71" s="1131">
        <f>BI_ki4!AE105</f>
        <v>0</v>
      </c>
      <c r="P71" s="348" t="str">
        <f t="shared" si="7"/>
        <v xml:space="preserve">  </v>
      </c>
    </row>
    <row r="72" spans="1:16" ht="15.75" x14ac:dyDescent="0.25">
      <c r="A72" s="40">
        <v>21</v>
      </c>
      <c r="B72" s="155" t="str">
        <f>dtsiswa!D27</f>
        <v>Rojalingga Prana A</v>
      </c>
      <c r="C72" s="59">
        <f>biki_3!S127</f>
        <v>0</v>
      </c>
      <c r="D72" s="59">
        <f>biki_3!T127</f>
        <v>0</v>
      </c>
      <c r="E72" s="59">
        <f>biki_3!U127</f>
        <v>0</v>
      </c>
      <c r="F72" s="59">
        <f>biki_3!V127</f>
        <v>0</v>
      </c>
      <c r="G72" s="59">
        <f>biki_3!W127</f>
        <v>0</v>
      </c>
      <c r="H72" s="176" t="str">
        <f t="shared" si="6"/>
        <v xml:space="preserve">  </v>
      </c>
      <c r="J72" s="40">
        <v>21</v>
      </c>
      <c r="K72" s="155" t="str">
        <f>dtsiswa!D27</f>
        <v>Rojalingga Prana A</v>
      </c>
      <c r="L72" s="1131">
        <f>BI_ki4!AB110</f>
        <v>0</v>
      </c>
      <c r="M72" s="1131">
        <f>BI_ki4!AC110</f>
        <v>0</v>
      </c>
      <c r="N72" s="1131">
        <f>BI_ki4!AD110</f>
        <v>0</v>
      </c>
      <c r="O72" s="1131">
        <f>BI_ki4!AE110</f>
        <v>0</v>
      </c>
      <c r="P72" s="348" t="str">
        <f t="shared" si="7"/>
        <v xml:space="preserve">  </v>
      </c>
    </row>
    <row r="73" spans="1:16" ht="15.75" x14ac:dyDescent="0.25">
      <c r="A73" s="40">
        <v>22</v>
      </c>
      <c r="B73" s="155" t="str">
        <f>dtsiswa!D28</f>
        <v>Sally Savista A</v>
      </c>
      <c r="C73" s="59">
        <f>biki_3!S133</f>
        <v>0</v>
      </c>
      <c r="D73" s="59">
        <f>biki_3!T133</f>
        <v>0</v>
      </c>
      <c r="E73" s="59">
        <f>biki_3!U133</f>
        <v>0</v>
      </c>
      <c r="F73" s="59">
        <f>biki_3!V133</f>
        <v>0</v>
      </c>
      <c r="G73" s="59">
        <f>biki_3!W133</f>
        <v>0</v>
      </c>
      <c r="H73" s="176" t="str">
        <f t="shared" si="6"/>
        <v xml:space="preserve">  </v>
      </c>
      <c r="J73" s="153">
        <v>22</v>
      </c>
      <c r="K73" s="155" t="str">
        <f>dtsiswa!D28</f>
        <v>Sally Savista A</v>
      </c>
      <c r="L73" s="1131">
        <f>BI_ki4!AB115</f>
        <v>0</v>
      </c>
      <c r="M73" s="1131">
        <f>BI_ki4!AC115</f>
        <v>0</v>
      </c>
      <c r="N73" s="1131">
        <f>BI_ki4!AD115</f>
        <v>0</v>
      </c>
      <c r="O73" s="1131">
        <f>BI_ki4!AE115</f>
        <v>0</v>
      </c>
      <c r="P73" s="348" t="str">
        <f t="shared" si="7"/>
        <v xml:space="preserve">  </v>
      </c>
    </row>
    <row r="74" spans="1:16" ht="15.75" x14ac:dyDescent="0.25">
      <c r="A74" s="40">
        <v>23</v>
      </c>
      <c r="B74" s="155" t="str">
        <f>dtsiswa!D29</f>
        <v xml:space="preserve">Tania Kaori Angelita </v>
      </c>
      <c r="C74" s="59">
        <f>biki_3!S139</f>
        <v>0</v>
      </c>
      <c r="D74" s="59">
        <f>biki_3!T139</f>
        <v>0</v>
      </c>
      <c r="E74" s="59">
        <f>biki_3!U139</f>
        <v>0</v>
      </c>
      <c r="F74" s="59">
        <f>biki_3!V139</f>
        <v>0</v>
      </c>
      <c r="G74" s="59">
        <f>biki_3!W139</f>
        <v>0</v>
      </c>
      <c r="H74" s="176" t="str">
        <f t="shared" si="6"/>
        <v xml:space="preserve">  </v>
      </c>
      <c r="J74" s="40">
        <v>23</v>
      </c>
      <c r="K74" s="155" t="str">
        <f>dtsiswa!D29</f>
        <v xml:space="preserve">Tania Kaori Angelita </v>
      </c>
      <c r="L74" s="1131">
        <f>BI_ki4!AB120</f>
        <v>0</v>
      </c>
      <c r="M74" s="1131">
        <f>BI_ki4!AC120</f>
        <v>0</v>
      </c>
      <c r="N74" s="1131">
        <f>BI_ki4!AD120</f>
        <v>0</v>
      </c>
      <c r="O74" s="1131">
        <f>BI_ki4!AE120</f>
        <v>0</v>
      </c>
      <c r="P74" s="348" t="str">
        <f t="shared" si="7"/>
        <v xml:space="preserve">  </v>
      </c>
    </row>
    <row r="75" spans="1:16" ht="15.75" x14ac:dyDescent="0.25">
      <c r="A75" s="40">
        <v>24</v>
      </c>
      <c r="B75" s="155" t="str">
        <f>dtsiswa!D30</f>
        <v>Romzy Oka Ramadhani P</v>
      </c>
      <c r="C75" s="59">
        <f>biki_3!S145</f>
        <v>0</v>
      </c>
      <c r="D75" s="59">
        <f>biki_3!T145</f>
        <v>0</v>
      </c>
      <c r="E75" s="59">
        <f>biki_3!U145</f>
        <v>0</v>
      </c>
      <c r="F75" s="59">
        <f>biki_3!V145</f>
        <v>0</v>
      </c>
      <c r="G75" s="59">
        <f>biki_3!W145</f>
        <v>0</v>
      </c>
      <c r="H75" s="176" t="str">
        <f t="shared" si="6"/>
        <v xml:space="preserve">  </v>
      </c>
      <c r="J75" s="153">
        <v>24</v>
      </c>
      <c r="K75" s="155" t="str">
        <f>dtsiswa!D30</f>
        <v>Romzy Oka Ramadhani P</v>
      </c>
      <c r="L75" s="1131">
        <f>BI_ki4!AB125</f>
        <v>0</v>
      </c>
      <c r="M75" s="1131">
        <f>BI_ki4!AC125</f>
        <v>0</v>
      </c>
      <c r="N75" s="1131">
        <f>BI_ki4!AD125</f>
        <v>0</v>
      </c>
      <c r="O75" s="1131">
        <f>BI_ki4!AE125</f>
        <v>0</v>
      </c>
      <c r="P75" s="348" t="str">
        <f t="shared" si="7"/>
        <v xml:space="preserve">  </v>
      </c>
    </row>
    <row r="76" spans="1:16" ht="15.75" x14ac:dyDescent="0.25">
      <c r="A76" s="40">
        <v>25</v>
      </c>
      <c r="B76" s="155" t="str">
        <f>dtsiswa!D31</f>
        <v>Larasati Jagadhita P</v>
      </c>
      <c r="C76" s="59">
        <f>biki_3!S151</f>
        <v>0</v>
      </c>
      <c r="D76" s="59">
        <f>biki_3!T151</f>
        <v>0</v>
      </c>
      <c r="E76" s="59">
        <f>biki_3!U151</f>
        <v>0</v>
      </c>
      <c r="F76" s="59">
        <f>biki_3!V151</f>
        <v>0</v>
      </c>
      <c r="G76" s="59">
        <f>biki_3!W151</f>
        <v>0</v>
      </c>
      <c r="H76" s="176" t="str">
        <f t="shared" si="6"/>
        <v xml:space="preserve">  </v>
      </c>
      <c r="J76" s="40">
        <v>25</v>
      </c>
      <c r="K76" s="155" t="str">
        <f>dtsiswa!D31</f>
        <v>Larasati Jagadhita P</v>
      </c>
      <c r="L76" s="1131">
        <f>BI_ki4!AB130</f>
        <v>0</v>
      </c>
      <c r="M76" s="1131">
        <f>BI_ki4!AC130</f>
        <v>0</v>
      </c>
      <c r="N76" s="1131">
        <f>BI_ki4!AD130</f>
        <v>0</v>
      </c>
      <c r="O76" s="1131">
        <f>BI_ki4!AE130</f>
        <v>0</v>
      </c>
      <c r="P76" s="348" t="str">
        <f t="shared" si="7"/>
        <v xml:space="preserve">  </v>
      </c>
    </row>
    <row r="77" spans="1:16" ht="15.75" x14ac:dyDescent="0.25">
      <c r="A77" s="40">
        <v>26</v>
      </c>
      <c r="B77" s="155" t="str">
        <f>dtsiswa!D32</f>
        <v>Meliana Citra A</v>
      </c>
      <c r="C77" s="59">
        <f>biki_3!S157</f>
        <v>0</v>
      </c>
      <c r="D77" s="59">
        <f>biki_3!T157</f>
        <v>0</v>
      </c>
      <c r="E77" s="59">
        <f>biki_3!U157</f>
        <v>0</v>
      </c>
      <c r="F77" s="59">
        <f>biki_3!V157</f>
        <v>0</v>
      </c>
      <c r="G77" s="59">
        <f>biki_3!W157</f>
        <v>0</v>
      </c>
      <c r="H77" s="176" t="str">
        <f t="shared" si="6"/>
        <v xml:space="preserve">  </v>
      </c>
      <c r="J77" s="153">
        <v>26</v>
      </c>
      <c r="K77" s="155" t="str">
        <f>dtsiswa!D32</f>
        <v>Meliana Citra A</v>
      </c>
      <c r="L77" s="1131">
        <f>BI_ki4!AB135</f>
        <v>0</v>
      </c>
      <c r="M77" s="1131">
        <f>BI_ki4!AC135</f>
        <v>0</v>
      </c>
      <c r="N77" s="1131">
        <f>BI_ki4!AD135</f>
        <v>0</v>
      </c>
      <c r="O77" s="1131">
        <f>BI_ki4!AE135</f>
        <v>0</v>
      </c>
      <c r="P77" s="348" t="str">
        <f t="shared" si="7"/>
        <v xml:space="preserve">  </v>
      </c>
    </row>
    <row r="78" spans="1:16" ht="15.75" x14ac:dyDescent="0.25">
      <c r="A78" s="40">
        <v>27</v>
      </c>
      <c r="B78" s="155" t="str">
        <f>dtsiswa!D33</f>
        <v>Mohammad Rizky</v>
      </c>
      <c r="C78" s="59">
        <f>biki_3!S168</f>
        <v>0</v>
      </c>
      <c r="D78" s="59">
        <f>biki_3!T168</f>
        <v>0</v>
      </c>
      <c r="E78" s="59">
        <f>biki_3!U168</f>
        <v>0</v>
      </c>
      <c r="F78" s="59">
        <f>biki_3!V168</f>
        <v>0</v>
      </c>
      <c r="G78" s="59">
        <f>biki_3!W168</f>
        <v>0</v>
      </c>
      <c r="H78" s="176" t="str">
        <f t="shared" si="6"/>
        <v xml:space="preserve">  </v>
      </c>
      <c r="J78" s="40">
        <v>27</v>
      </c>
      <c r="K78" s="155" t="str">
        <f>dtsiswa!D33</f>
        <v>Mohammad Rizky</v>
      </c>
      <c r="L78" s="1131">
        <f>BI_ki4!AB140</f>
        <v>0</v>
      </c>
      <c r="M78" s="1131">
        <f>BI_ki4!AC140</f>
        <v>0</v>
      </c>
      <c r="N78" s="1131">
        <f>BI_ki4!AD140</f>
        <v>0</v>
      </c>
      <c r="O78" s="1131">
        <f>BI_ki4!AE140</f>
        <v>0</v>
      </c>
      <c r="P78" s="348" t="str">
        <f t="shared" si="7"/>
        <v xml:space="preserve">  </v>
      </c>
    </row>
    <row r="79" spans="1:16" ht="15.75" x14ac:dyDescent="0.25">
      <c r="A79" s="40">
        <v>28</v>
      </c>
      <c r="B79" s="155">
        <f>dtsiswa!D34</f>
        <v>0</v>
      </c>
      <c r="C79" s="59">
        <f>biki_3!S169</f>
        <v>0</v>
      </c>
      <c r="D79" s="59">
        <f>biki_3!T169</f>
        <v>0</v>
      </c>
      <c r="E79" s="59">
        <f>biki_3!U169</f>
        <v>0</v>
      </c>
      <c r="F79" s="59">
        <f>biki_3!V169</f>
        <v>0</v>
      </c>
      <c r="G79" s="59">
        <f>biki_3!W169</f>
        <v>0</v>
      </c>
      <c r="H79" s="176" t="str">
        <f t="shared" si="6"/>
        <v xml:space="preserve">  </v>
      </c>
      <c r="J79" s="153">
        <v>28</v>
      </c>
      <c r="K79" s="155">
        <f>dtsiswa!D34</f>
        <v>0</v>
      </c>
      <c r="L79" s="1131">
        <f>BI_ki4!AB145</f>
        <v>0</v>
      </c>
      <c r="M79" s="1131">
        <f>BI_ki4!AC145</f>
        <v>0</v>
      </c>
      <c r="N79" s="1131">
        <f>BI_ki4!AD145</f>
        <v>0</v>
      </c>
      <c r="O79" s="1131">
        <f>BI_ki4!AE145</f>
        <v>0</v>
      </c>
      <c r="P79" s="348" t="str">
        <f t="shared" si="7"/>
        <v xml:space="preserve">  </v>
      </c>
    </row>
    <row r="80" spans="1:16" ht="15.75" x14ac:dyDescent="0.25">
      <c r="A80" s="40">
        <v>29</v>
      </c>
      <c r="B80" s="155">
        <f>dtsiswa!D35</f>
        <v>0</v>
      </c>
      <c r="C80" s="59">
        <f>biki_3!S175</f>
        <v>0</v>
      </c>
      <c r="D80" s="59">
        <f>biki_3!T175</f>
        <v>0</v>
      </c>
      <c r="E80" s="59">
        <f>biki_3!U175</f>
        <v>0</v>
      </c>
      <c r="F80" s="59">
        <f>biki_3!V175</f>
        <v>0</v>
      </c>
      <c r="G80" s="59">
        <f>biki_3!W175</f>
        <v>0</v>
      </c>
      <c r="H80" s="176" t="str">
        <f t="shared" si="6"/>
        <v xml:space="preserve">  </v>
      </c>
      <c r="J80" s="40">
        <v>29</v>
      </c>
      <c r="K80" s="155">
        <f>dtsiswa!D35</f>
        <v>0</v>
      </c>
      <c r="L80" s="1131">
        <f>BI_ki4!AB150</f>
        <v>0</v>
      </c>
      <c r="M80" s="1131">
        <f>BI_ki4!AC150</f>
        <v>0</v>
      </c>
      <c r="N80" s="1131">
        <f>BI_ki4!AD150</f>
        <v>0</v>
      </c>
      <c r="O80" s="1131">
        <f>BI_ki4!AE150</f>
        <v>0</v>
      </c>
      <c r="P80" s="348" t="str">
        <f t="shared" si="7"/>
        <v xml:space="preserve">  </v>
      </c>
    </row>
    <row r="81" spans="1:16" ht="15.75" x14ac:dyDescent="0.25">
      <c r="A81" s="40">
        <v>30</v>
      </c>
      <c r="B81" s="155">
        <f>dtsiswa!D36</f>
        <v>0</v>
      </c>
      <c r="C81" s="59">
        <f>biki_3!S181</f>
        <v>0</v>
      </c>
      <c r="D81" s="59">
        <f>biki_3!T181</f>
        <v>0</v>
      </c>
      <c r="E81" s="59">
        <f>biki_3!U181</f>
        <v>0</v>
      </c>
      <c r="F81" s="59">
        <f>biki_3!V181</f>
        <v>0</v>
      </c>
      <c r="G81" s="59">
        <f>biki_3!W181</f>
        <v>0</v>
      </c>
      <c r="H81" s="176" t="str">
        <f t="shared" si="6"/>
        <v xml:space="preserve">  </v>
      </c>
      <c r="J81" s="153">
        <v>30</v>
      </c>
      <c r="K81" s="155">
        <f>dtsiswa!D36</f>
        <v>0</v>
      </c>
      <c r="L81" s="1131">
        <f>BI_ki4!AB155</f>
        <v>0</v>
      </c>
      <c r="M81" s="1131">
        <f>BI_ki4!AC155</f>
        <v>0</v>
      </c>
      <c r="N81" s="1131">
        <f>BI_ki4!AD155</f>
        <v>0</v>
      </c>
      <c r="O81" s="1131">
        <f>BI_ki4!AE155</f>
        <v>0</v>
      </c>
      <c r="P81" s="348" t="str">
        <f t="shared" si="7"/>
        <v xml:space="preserve">  </v>
      </c>
    </row>
    <row r="82" spans="1:16" ht="15.75" x14ac:dyDescent="0.25">
      <c r="A82" s="40">
        <v>31</v>
      </c>
      <c r="B82" s="155">
        <f>dtsiswa!D37</f>
        <v>0</v>
      </c>
      <c r="C82" s="59">
        <f>biki_3!S187</f>
        <v>0</v>
      </c>
      <c r="D82" s="59">
        <f>biki_3!T187</f>
        <v>0</v>
      </c>
      <c r="E82" s="59">
        <f>biki_3!U187</f>
        <v>0</v>
      </c>
      <c r="F82" s="59">
        <f>biki_3!V187</f>
        <v>0</v>
      </c>
      <c r="G82" s="59">
        <f>biki_3!W187</f>
        <v>0</v>
      </c>
      <c r="H82" s="176" t="str">
        <f t="shared" si="6"/>
        <v xml:space="preserve">  </v>
      </c>
      <c r="J82" s="40">
        <v>31</v>
      </c>
      <c r="K82" s="155">
        <f>dtsiswa!D37</f>
        <v>0</v>
      </c>
      <c r="L82" s="1131">
        <f>BI_ki4!AB160</f>
        <v>0</v>
      </c>
      <c r="M82" s="1131">
        <f>BI_ki4!AC160</f>
        <v>0</v>
      </c>
      <c r="N82" s="1131">
        <f>BI_ki4!AD160</f>
        <v>0</v>
      </c>
      <c r="O82" s="1131">
        <f>BI_ki4!AE160</f>
        <v>0</v>
      </c>
      <c r="P82" s="348" t="str">
        <f t="shared" si="7"/>
        <v xml:space="preserve">  </v>
      </c>
    </row>
    <row r="83" spans="1:16" ht="15.75" x14ac:dyDescent="0.25">
      <c r="A83" s="40">
        <v>32</v>
      </c>
      <c r="B83" s="155">
        <f>dtsiswa!D38</f>
        <v>0</v>
      </c>
      <c r="C83" s="59">
        <f>biki_3!S193</f>
        <v>0</v>
      </c>
      <c r="D83" s="59">
        <f>biki_3!T193</f>
        <v>0</v>
      </c>
      <c r="E83" s="59">
        <f>biki_3!U193</f>
        <v>0</v>
      </c>
      <c r="F83" s="59">
        <f>biki_3!V193</f>
        <v>0</v>
      </c>
      <c r="G83" s="59">
        <f>biki_3!W193</f>
        <v>0</v>
      </c>
      <c r="H83" s="176" t="str">
        <f t="shared" si="6"/>
        <v xml:space="preserve">  </v>
      </c>
      <c r="J83" s="153">
        <v>32</v>
      </c>
      <c r="K83" s="155">
        <f>dtsiswa!D38</f>
        <v>0</v>
      </c>
      <c r="L83" s="1131">
        <f>BI_ki4!AB165</f>
        <v>0</v>
      </c>
      <c r="M83" s="1131">
        <f>BI_ki4!AC165</f>
        <v>0</v>
      </c>
      <c r="N83" s="1131">
        <f>BI_ki4!AD165</f>
        <v>0</v>
      </c>
      <c r="O83" s="1131">
        <f>BI_ki4!AE165</f>
        <v>0</v>
      </c>
      <c r="P83" s="348" t="str">
        <f t="shared" si="7"/>
        <v xml:space="preserve">  </v>
      </c>
    </row>
    <row r="84" spans="1:16" ht="15.75" x14ac:dyDescent="0.25">
      <c r="A84" s="40">
        <v>33</v>
      </c>
      <c r="B84" s="155">
        <f>dtsiswa!D39</f>
        <v>0</v>
      </c>
      <c r="C84" s="59">
        <f>biki_3!S199</f>
        <v>0</v>
      </c>
      <c r="D84" s="59">
        <f>biki_3!T199</f>
        <v>0</v>
      </c>
      <c r="E84" s="59">
        <f>biki_3!U199</f>
        <v>0</v>
      </c>
      <c r="F84" s="59">
        <f>biki_3!V199</f>
        <v>0</v>
      </c>
      <c r="G84" s="59">
        <f>biki_3!W199</f>
        <v>0</v>
      </c>
      <c r="H84" s="176" t="str">
        <f t="shared" si="6"/>
        <v xml:space="preserve">  </v>
      </c>
      <c r="J84" s="40">
        <v>33</v>
      </c>
      <c r="K84" s="155">
        <f>dtsiswa!D39</f>
        <v>0</v>
      </c>
      <c r="L84" s="1131">
        <f>BI_ki4!AB170</f>
        <v>0</v>
      </c>
      <c r="M84" s="1131">
        <f>BI_ki4!AC170</f>
        <v>0</v>
      </c>
      <c r="N84" s="1131">
        <f>BI_ki4!AD170</f>
        <v>0</v>
      </c>
      <c r="O84" s="1131">
        <f>BI_ki4!AE170</f>
        <v>0</v>
      </c>
      <c r="P84" s="348" t="str">
        <f t="shared" si="7"/>
        <v xml:space="preserve">  </v>
      </c>
    </row>
    <row r="85" spans="1:16" ht="15.75" x14ac:dyDescent="0.25">
      <c r="A85" s="40">
        <v>34</v>
      </c>
      <c r="B85" s="155">
        <f>dtsiswa!D40</f>
        <v>0</v>
      </c>
      <c r="C85" s="59">
        <f>biki_3!S205</f>
        <v>0</v>
      </c>
      <c r="D85" s="59">
        <f>biki_3!T205</f>
        <v>0</v>
      </c>
      <c r="E85" s="59">
        <f>biki_3!U205</f>
        <v>0</v>
      </c>
      <c r="F85" s="59">
        <f>biki_3!V205</f>
        <v>0</v>
      </c>
      <c r="G85" s="59">
        <f>biki_3!W205</f>
        <v>0</v>
      </c>
      <c r="H85" s="176" t="str">
        <f t="shared" si="6"/>
        <v xml:space="preserve">  </v>
      </c>
      <c r="J85" s="153">
        <v>34</v>
      </c>
      <c r="K85" s="155">
        <f>dtsiswa!D40</f>
        <v>0</v>
      </c>
      <c r="L85" s="1131">
        <f>BI_ki4!AB175</f>
        <v>0</v>
      </c>
      <c r="M85" s="1131">
        <f>BI_ki4!AC175</f>
        <v>0</v>
      </c>
      <c r="N85" s="1131">
        <f>BI_ki4!AD175</f>
        <v>0</v>
      </c>
      <c r="O85" s="1131">
        <f>BI_ki4!AE175</f>
        <v>0</v>
      </c>
      <c r="P85" s="348" t="str">
        <f t="shared" si="7"/>
        <v xml:space="preserve">  </v>
      </c>
    </row>
    <row r="86" spans="1:16" ht="15.75" x14ac:dyDescent="0.25">
      <c r="A86" s="40">
        <v>35</v>
      </c>
      <c r="B86" s="155">
        <f>dtsiswa!D41</f>
        <v>0</v>
      </c>
      <c r="C86" s="59">
        <f>biki_3!S211</f>
        <v>0</v>
      </c>
      <c r="D86" s="59">
        <f>biki_3!T211</f>
        <v>0</v>
      </c>
      <c r="E86" s="59">
        <f>biki_3!U211</f>
        <v>0</v>
      </c>
      <c r="F86" s="59">
        <f>biki_3!V211</f>
        <v>0</v>
      </c>
      <c r="G86" s="59">
        <f>biki_3!W211</f>
        <v>0</v>
      </c>
      <c r="H86" s="176" t="str">
        <f t="shared" si="6"/>
        <v xml:space="preserve">  </v>
      </c>
      <c r="J86" s="40">
        <v>35</v>
      </c>
      <c r="K86" s="155">
        <f>dtsiswa!D41</f>
        <v>0</v>
      </c>
      <c r="L86" s="1131">
        <f>BI_ki4!AB180</f>
        <v>0</v>
      </c>
      <c r="M86" s="1131">
        <f>BI_ki4!AC180</f>
        <v>0</v>
      </c>
      <c r="N86" s="1131">
        <f>BI_ki4!AD180</f>
        <v>0</v>
      </c>
      <c r="O86" s="1131">
        <f>BI_ki4!AE180</f>
        <v>0</v>
      </c>
      <c r="P86" s="348" t="str">
        <f t="shared" si="7"/>
        <v xml:space="preserve">  </v>
      </c>
    </row>
    <row r="87" spans="1:16" ht="15.75" x14ac:dyDescent="0.25">
      <c r="A87" s="40">
        <v>36</v>
      </c>
      <c r="B87" s="155">
        <f>dtsiswa!D42</f>
        <v>0</v>
      </c>
      <c r="C87" s="59">
        <f>biki_3!S217</f>
        <v>0</v>
      </c>
      <c r="D87" s="59">
        <f>biki_3!T217</f>
        <v>0</v>
      </c>
      <c r="E87" s="59">
        <f>biki_3!U217</f>
        <v>0</v>
      </c>
      <c r="F87" s="59">
        <f>biki_3!V217</f>
        <v>0</v>
      </c>
      <c r="G87" s="59">
        <f>biki_3!W217</f>
        <v>0</v>
      </c>
      <c r="H87" s="176" t="str">
        <f t="shared" si="6"/>
        <v xml:space="preserve">  </v>
      </c>
      <c r="J87" s="153">
        <v>36</v>
      </c>
      <c r="K87" s="155">
        <f>dtsiswa!D42</f>
        <v>0</v>
      </c>
      <c r="L87" s="1131">
        <f>BI_ki4!AB185</f>
        <v>0</v>
      </c>
      <c r="M87" s="1131">
        <f>BI_ki4!AC185</f>
        <v>0</v>
      </c>
      <c r="N87" s="1131">
        <f>BI_ki4!AD185</f>
        <v>0</v>
      </c>
      <c r="O87" s="1131">
        <f>BI_ki4!AE185</f>
        <v>0</v>
      </c>
      <c r="P87" s="348" t="str">
        <f t="shared" si="7"/>
        <v xml:space="preserve">  </v>
      </c>
    </row>
    <row r="88" spans="1:16" ht="15.75" x14ac:dyDescent="0.25">
      <c r="A88" s="40">
        <v>37</v>
      </c>
      <c r="B88" s="155">
        <f>dtsiswa!D43</f>
        <v>0</v>
      </c>
      <c r="C88" s="59">
        <f>biki_3!S223</f>
        <v>0</v>
      </c>
      <c r="D88" s="59">
        <f>biki_3!T223</f>
        <v>0</v>
      </c>
      <c r="E88" s="59">
        <f>biki_3!U223</f>
        <v>0</v>
      </c>
      <c r="F88" s="59">
        <f>biki_3!V223</f>
        <v>0</v>
      </c>
      <c r="G88" s="59">
        <f>biki_3!W223</f>
        <v>0</v>
      </c>
      <c r="H88" s="176" t="str">
        <f t="shared" si="6"/>
        <v xml:space="preserve">  </v>
      </c>
      <c r="J88" s="40">
        <v>37</v>
      </c>
      <c r="K88" s="155">
        <f>dtsiswa!D43</f>
        <v>0</v>
      </c>
      <c r="L88" s="1131">
        <f>BI_ki4!AB190</f>
        <v>0</v>
      </c>
      <c r="M88" s="1131">
        <f>BI_ki4!AC190</f>
        <v>0</v>
      </c>
      <c r="N88" s="1131">
        <f>BI_ki4!AD190</f>
        <v>0</v>
      </c>
      <c r="O88" s="1131">
        <f>BI_ki4!AE190</f>
        <v>0</v>
      </c>
      <c r="P88" s="348" t="str">
        <f t="shared" si="7"/>
        <v xml:space="preserve">  </v>
      </c>
    </row>
    <row r="89" spans="1:16" ht="15.75" x14ac:dyDescent="0.25">
      <c r="A89" s="40">
        <v>38</v>
      </c>
      <c r="B89" s="155">
        <f>dtsiswa!D44</f>
        <v>0</v>
      </c>
      <c r="C89" s="59">
        <f>biki_3!S229</f>
        <v>0</v>
      </c>
      <c r="D89" s="59">
        <f>biki_3!T229</f>
        <v>0</v>
      </c>
      <c r="E89" s="59">
        <f>biki_3!U229</f>
        <v>0</v>
      </c>
      <c r="F89" s="59">
        <f>biki_3!V229</f>
        <v>0</v>
      </c>
      <c r="G89" s="59">
        <f>biki_3!W229</f>
        <v>0</v>
      </c>
      <c r="H89" s="176" t="str">
        <f t="shared" si="6"/>
        <v xml:space="preserve">  </v>
      </c>
      <c r="J89" s="153">
        <v>38</v>
      </c>
      <c r="K89" s="155">
        <f>dtsiswa!D44</f>
        <v>0</v>
      </c>
      <c r="L89" s="1131">
        <f>BI_ki4!AB195</f>
        <v>0</v>
      </c>
      <c r="M89" s="1131">
        <f>BI_ki4!AC195</f>
        <v>0</v>
      </c>
      <c r="N89" s="1131">
        <f>BI_ki4!AD195</f>
        <v>0</v>
      </c>
      <c r="O89" s="1131">
        <f>BI_ki4!AE195</f>
        <v>0</v>
      </c>
      <c r="P89" s="348" t="str">
        <f t="shared" si="7"/>
        <v xml:space="preserve">  </v>
      </c>
    </row>
    <row r="90" spans="1:16" ht="15.75" x14ac:dyDescent="0.25">
      <c r="A90" s="40">
        <v>39</v>
      </c>
      <c r="B90" s="155">
        <f>dtsiswa!D45</f>
        <v>0</v>
      </c>
      <c r="C90" s="59">
        <f>biki_3!S235</f>
        <v>0</v>
      </c>
      <c r="D90" s="59">
        <f>biki_3!T235</f>
        <v>0</v>
      </c>
      <c r="E90" s="59">
        <f>biki_3!U235</f>
        <v>0</v>
      </c>
      <c r="F90" s="59">
        <f>biki_3!V235</f>
        <v>0</v>
      </c>
      <c r="G90" s="59">
        <f>biki_3!W235</f>
        <v>0</v>
      </c>
      <c r="H90" s="176" t="str">
        <f t="shared" si="6"/>
        <v xml:space="preserve">  </v>
      </c>
      <c r="J90" s="40">
        <v>39</v>
      </c>
      <c r="K90" s="155">
        <f>dtsiswa!D45</f>
        <v>0</v>
      </c>
      <c r="L90" s="1131">
        <f>BI_ki4!AB200</f>
        <v>0</v>
      </c>
      <c r="M90" s="1131">
        <f>BI_ki4!AC200</f>
        <v>0</v>
      </c>
      <c r="N90" s="1131">
        <f>BI_ki4!AD200</f>
        <v>0</v>
      </c>
      <c r="O90" s="1131">
        <f>BI_ki4!AE200</f>
        <v>0</v>
      </c>
      <c r="P90" s="348" t="str">
        <f t="shared" si="7"/>
        <v xml:space="preserve">  </v>
      </c>
    </row>
    <row r="91" spans="1:16" ht="15.75" x14ac:dyDescent="0.25">
      <c r="A91" s="40">
        <v>40</v>
      </c>
      <c r="B91" s="155">
        <f>dtsiswa!D46</f>
        <v>0</v>
      </c>
      <c r="C91" s="59">
        <f>biki_3!S241</f>
        <v>0</v>
      </c>
      <c r="D91" s="59">
        <f>biki_3!T241</f>
        <v>0</v>
      </c>
      <c r="E91" s="59">
        <f>biki_3!U241</f>
        <v>0</v>
      </c>
      <c r="F91" s="59">
        <f>biki_3!V241</f>
        <v>0</v>
      </c>
      <c r="G91" s="59">
        <f>biki_3!W241</f>
        <v>0</v>
      </c>
      <c r="H91" s="176" t="str">
        <f t="shared" si="6"/>
        <v xml:space="preserve">  </v>
      </c>
      <c r="J91" s="153">
        <v>40</v>
      </c>
      <c r="K91" s="155">
        <f>dtsiswa!D46</f>
        <v>0</v>
      </c>
      <c r="L91" s="1131">
        <f>BI_ki4!AB205</f>
        <v>0</v>
      </c>
      <c r="M91" s="1131">
        <f>BI_ki4!AC205</f>
        <v>0</v>
      </c>
      <c r="N91" s="1131">
        <f>BI_ki4!AD205</f>
        <v>0</v>
      </c>
      <c r="O91" s="1131">
        <f>BI_ki4!AE205</f>
        <v>0</v>
      </c>
      <c r="P91" s="348" t="str">
        <f t="shared" si="7"/>
        <v xml:space="preserve">  </v>
      </c>
    </row>
    <row r="92" spans="1:16" s="746" customFormat="1" x14ac:dyDescent="0.25"/>
    <row r="93" spans="1:16" s="746" customFormat="1" x14ac:dyDescent="0.25"/>
    <row r="94" spans="1:16" s="746" customFormat="1" x14ac:dyDescent="0.25"/>
    <row r="95" spans="1:16" s="746" customFormat="1" x14ac:dyDescent="0.25"/>
    <row r="96" spans="1:16" s="746" customFormat="1" x14ac:dyDescent="0.25"/>
    <row r="97" s="746" customFormat="1" x14ac:dyDescent="0.25"/>
  </sheetData>
  <mergeCells count="4">
    <mergeCell ref="A1:G1"/>
    <mergeCell ref="J1:M1"/>
    <mergeCell ref="A49:G49"/>
    <mergeCell ref="J49:M49"/>
  </mergeCells>
  <conditionalFormatting sqref="C4:G43">
    <cfRule type="top10" dxfId="479" priority="267" rank="1"/>
  </conditionalFormatting>
  <conditionalFormatting sqref="C52:G91">
    <cfRule type="top10" dxfId="478" priority="287" rank="1"/>
  </conditionalFormatting>
  <conditionalFormatting sqref="C4:G4">
    <cfRule type="top10" dxfId="477" priority="81" rank="1"/>
  </conditionalFormatting>
  <conditionalFormatting sqref="C6:G43">
    <cfRule type="top10" dxfId="476" priority="80" rank="1"/>
  </conditionalFormatting>
  <conditionalFormatting sqref="C7:G7">
    <cfRule type="top10" dxfId="475" priority="79" rank="1"/>
  </conditionalFormatting>
  <conditionalFormatting sqref="C8:G8">
    <cfRule type="top10" dxfId="474" priority="78" rank="1"/>
  </conditionalFormatting>
  <conditionalFormatting sqref="C9:G9">
    <cfRule type="top10" dxfId="473" priority="77" rank="1"/>
  </conditionalFormatting>
  <conditionalFormatting sqref="C10:G10">
    <cfRule type="top10" dxfId="472" priority="76" rank="1"/>
  </conditionalFormatting>
  <conditionalFormatting sqref="C11:G11">
    <cfRule type="top10" dxfId="471" priority="75" rank="1"/>
  </conditionalFormatting>
  <conditionalFormatting sqref="C12:G12">
    <cfRule type="top10" dxfId="470" priority="74" rank="1"/>
  </conditionalFormatting>
  <conditionalFormatting sqref="C13:G43">
    <cfRule type="top10" dxfId="469" priority="73" rank="1"/>
  </conditionalFormatting>
  <conditionalFormatting sqref="C14:G14">
    <cfRule type="top10" dxfId="468" priority="72" rank="1"/>
  </conditionalFormatting>
  <conditionalFormatting sqref="C15:G15">
    <cfRule type="top10" dxfId="467" priority="71" rank="1"/>
  </conditionalFormatting>
  <conditionalFormatting sqref="C16:G16">
    <cfRule type="top10" dxfId="466" priority="70" rank="1"/>
  </conditionalFormatting>
  <conditionalFormatting sqref="C17:G17">
    <cfRule type="top10" dxfId="465" priority="69" rank="1"/>
  </conditionalFormatting>
  <conditionalFormatting sqref="C18:G18">
    <cfRule type="top10" dxfId="464" priority="68" rank="1"/>
  </conditionalFormatting>
  <conditionalFormatting sqref="C19:G19">
    <cfRule type="top10" dxfId="463" priority="67" rank="1"/>
  </conditionalFormatting>
  <conditionalFormatting sqref="C20:G20">
    <cfRule type="top10" dxfId="462" priority="66" rank="1"/>
  </conditionalFormatting>
  <conditionalFormatting sqref="C21:G21">
    <cfRule type="top10" dxfId="461" priority="65" rank="1"/>
  </conditionalFormatting>
  <conditionalFormatting sqref="C22:G22">
    <cfRule type="top10" dxfId="460" priority="64" rank="1"/>
  </conditionalFormatting>
  <conditionalFormatting sqref="C23:G43">
    <cfRule type="top10" dxfId="459" priority="63" rank="1"/>
  </conditionalFormatting>
  <conditionalFormatting sqref="C24:G24">
    <cfRule type="top10" dxfId="458" priority="62" rank="1"/>
  </conditionalFormatting>
  <conditionalFormatting sqref="C52:G91">
    <cfRule type="top10" dxfId="457" priority="61" rank="1"/>
  </conditionalFormatting>
  <conditionalFormatting sqref="C52:G91">
    <cfRule type="top10" dxfId="456" priority="60" rank="1"/>
  </conditionalFormatting>
  <conditionalFormatting sqref="C53:G91">
    <cfRule type="top10" dxfId="455" priority="59" rank="1"/>
  </conditionalFormatting>
  <conditionalFormatting sqref="D54:G54">
    <cfRule type="top10" dxfId="454" priority="58" rank="1"/>
  </conditionalFormatting>
  <conditionalFormatting sqref="C55:G55">
    <cfRule type="top10" dxfId="453" priority="57" rank="1"/>
  </conditionalFormatting>
  <conditionalFormatting sqref="C56:G56">
    <cfRule type="top10" dxfId="452" priority="56" rank="1"/>
  </conditionalFormatting>
  <conditionalFormatting sqref="C57:G57">
    <cfRule type="top10" dxfId="451" priority="55" rank="1"/>
  </conditionalFormatting>
  <conditionalFormatting sqref="C58:G58">
    <cfRule type="top10" dxfId="450" priority="54" rank="1"/>
  </conditionalFormatting>
  <conditionalFormatting sqref="C59:G59">
    <cfRule type="top10" dxfId="449" priority="53" rank="1"/>
  </conditionalFormatting>
  <conditionalFormatting sqref="C60:G60">
    <cfRule type="top10" dxfId="448" priority="52" rank="1"/>
  </conditionalFormatting>
  <conditionalFormatting sqref="C61:G91">
    <cfRule type="top10" dxfId="447" priority="51" rank="1"/>
  </conditionalFormatting>
  <conditionalFormatting sqref="C62:G62">
    <cfRule type="top10" dxfId="446" priority="50" rank="1"/>
  </conditionalFormatting>
  <conditionalFormatting sqref="C63:G63">
    <cfRule type="top10" dxfId="445" priority="49" rank="1"/>
  </conditionalFormatting>
  <conditionalFormatting sqref="C64:G64">
    <cfRule type="top10" dxfId="444" priority="48" rank="1"/>
  </conditionalFormatting>
  <conditionalFormatting sqref="C65:G65">
    <cfRule type="top10" dxfId="443" priority="47" rank="1"/>
  </conditionalFormatting>
  <conditionalFormatting sqref="C66:G66">
    <cfRule type="top10" dxfId="442" priority="46" rank="1"/>
  </conditionalFormatting>
  <conditionalFormatting sqref="C67:G67">
    <cfRule type="top10" dxfId="441" priority="45" rank="1"/>
  </conditionalFormatting>
  <conditionalFormatting sqref="C68:G68">
    <cfRule type="top10" dxfId="440" priority="44" rank="1"/>
  </conditionalFormatting>
  <conditionalFormatting sqref="C69:G69">
    <cfRule type="top10" dxfId="439" priority="43" rank="1"/>
  </conditionalFormatting>
  <conditionalFormatting sqref="C70:G70">
    <cfRule type="top10" dxfId="438" priority="42" rank="1"/>
  </conditionalFormatting>
  <conditionalFormatting sqref="C71:G91">
    <cfRule type="top10" dxfId="437" priority="41" rank="1"/>
  </conditionalFormatting>
  <conditionalFormatting sqref="C72:G72">
    <cfRule type="top10" dxfId="436" priority="40" rank="1"/>
  </conditionalFormatting>
  <conditionalFormatting sqref="G41">
    <cfRule type="top10" dxfId="435" priority="9" rank="1"/>
  </conditionalFormatting>
  <conditionalFormatting sqref="C42:G42">
    <cfRule type="top10" dxfId="434" priority="8" rank="1"/>
  </conditionalFormatting>
  <conditionalFormatting sqref="C43:G43">
    <cfRule type="top10" dxfId="433" priority="7" rank="1"/>
  </conditionalFormatting>
  <conditionalFormatting sqref="C28:G28">
    <cfRule type="top10" dxfId="432" priority="6" rank="1"/>
  </conditionalFormatting>
  <conditionalFormatting sqref="C29:G29">
    <cfRule type="top10" dxfId="431" priority="5" rank="1"/>
  </conditionalFormatting>
  <conditionalFormatting sqref="C30:G30">
    <cfRule type="top10" dxfId="430" priority="4" rank="1"/>
  </conditionalFormatting>
  <conditionalFormatting sqref="C35:G35">
    <cfRule type="top10" dxfId="429" priority="3" rank="1"/>
  </conditionalFormatting>
  <conditionalFormatting sqref="C39:G39">
    <cfRule type="top10" dxfId="428" priority="2" rank="1"/>
  </conditionalFormatting>
  <conditionalFormatting sqref="L4:O43">
    <cfRule type="top10" dxfId="427" priority="2220" rank="1"/>
  </conditionalFormatting>
  <conditionalFormatting sqref="L5:O43">
    <cfRule type="top10" dxfId="426" priority="2221" rank="1"/>
  </conditionalFormatting>
  <conditionalFormatting sqref="L6:O6">
    <cfRule type="top10" dxfId="425" priority="2222" rank="1"/>
  </conditionalFormatting>
  <conditionalFormatting sqref="L7:O7">
    <cfRule type="top10" dxfId="424" priority="2223" rank="1"/>
  </conditionalFormatting>
  <conditionalFormatting sqref="L8:O8">
    <cfRule type="top10" dxfId="423" priority="2224" rank="1"/>
  </conditionalFormatting>
  <conditionalFormatting sqref="L9:O9">
    <cfRule type="top10" dxfId="422" priority="2225" rank="1"/>
  </conditionalFormatting>
  <conditionalFormatting sqref="L10:O10">
    <cfRule type="top10" dxfId="421" priority="2226" rank="1"/>
  </conditionalFormatting>
  <conditionalFormatting sqref="L11:O11">
    <cfRule type="top10" dxfId="420" priority="2227" rank="1"/>
  </conditionalFormatting>
  <conditionalFormatting sqref="L12:O12">
    <cfRule type="top10" dxfId="419" priority="2228" rank="1"/>
  </conditionalFormatting>
  <conditionalFormatting sqref="L13:O43">
    <cfRule type="top10" dxfId="418" priority="2229" rank="1"/>
  </conditionalFormatting>
  <conditionalFormatting sqref="L14:O14">
    <cfRule type="top10" dxfId="417" priority="2230" rank="1"/>
  </conditionalFormatting>
  <conditionalFormatting sqref="L15:O15">
    <cfRule type="top10" dxfId="416" priority="2231" rank="1"/>
  </conditionalFormatting>
  <conditionalFormatting sqref="L16:O16">
    <cfRule type="top10" dxfId="415" priority="2232" rank="1"/>
  </conditionalFormatting>
  <conditionalFormatting sqref="L17:O17">
    <cfRule type="top10" dxfId="414" priority="2233" rank="1"/>
  </conditionalFormatting>
  <conditionalFormatting sqref="L18:O18">
    <cfRule type="top10" dxfId="413" priority="2234" rank="1"/>
  </conditionalFormatting>
  <conditionalFormatting sqref="L19:O19">
    <cfRule type="top10" dxfId="412" priority="2235" rank="1"/>
  </conditionalFormatting>
  <conditionalFormatting sqref="L20:O20">
    <cfRule type="top10" dxfId="411" priority="2236" rank="1"/>
  </conditionalFormatting>
  <conditionalFormatting sqref="L21:O21">
    <cfRule type="top10" dxfId="410" priority="2237" rank="1"/>
  </conditionalFormatting>
  <conditionalFormatting sqref="L22:O22">
    <cfRule type="top10" dxfId="409" priority="2238" rank="1"/>
  </conditionalFormatting>
  <conditionalFormatting sqref="L23:O43">
    <cfRule type="top10" dxfId="408" priority="2239" rank="1"/>
  </conditionalFormatting>
  <conditionalFormatting sqref="L24:O24">
    <cfRule type="top10" dxfId="407" priority="2240" rank="1"/>
  </conditionalFormatting>
  <conditionalFormatting sqref="L52:O91">
    <cfRule type="top10" dxfId="406" priority="2242" rank="1"/>
  </conditionalFormatting>
  <conditionalFormatting sqref="L53:O91">
    <cfRule type="top10" dxfId="405" priority="2243" rank="1"/>
  </conditionalFormatting>
  <conditionalFormatting sqref="L54:O54">
    <cfRule type="top10" dxfId="404" priority="2244" rank="1"/>
  </conditionalFormatting>
  <conditionalFormatting sqref="L55:O55">
    <cfRule type="top10" dxfId="403" priority="2245" rank="1"/>
  </conditionalFormatting>
  <conditionalFormatting sqref="L56:O56">
    <cfRule type="top10" dxfId="402" priority="2246" rank="1"/>
  </conditionalFormatting>
  <conditionalFormatting sqref="L57:O57">
    <cfRule type="top10" dxfId="401" priority="2247" rank="1"/>
  </conditionalFormatting>
  <conditionalFormatting sqref="L58:O58">
    <cfRule type="top10" dxfId="400" priority="2248" rank="1"/>
  </conditionalFormatting>
  <conditionalFormatting sqref="L59:O59">
    <cfRule type="top10" dxfId="399" priority="2249" rank="1"/>
  </conditionalFormatting>
  <conditionalFormatting sqref="L60:O60">
    <cfRule type="top10" dxfId="398" priority="2250" rank="1"/>
  </conditionalFormatting>
  <conditionalFormatting sqref="L61:O91">
    <cfRule type="top10" dxfId="397" priority="2251" rank="1"/>
  </conditionalFormatting>
  <conditionalFormatting sqref="L62:O62">
    <cfRule type="top10" dxfId="396" priority="2252" rank="1"/>
  </conditionalFormatting>
  <conditionalFormatting sqref="L63:O63">
    <cfRule type="top10" dxfId="395" priority="2253" rank="1"/>
  </conditionalFormatting>
  <conditionalFormatting sqref="L64:O64">
    <cfRule type="top10" dxfId="394" priority="2254" rank="1"/>
  </conditionalFormatting>
  <conditionalFormatting sqref="L65:O65">
    <cfRule type="top10" dxfId="393" priority="2255" rank="1"/>
  </conditionalFormatting>
  <conditionalFormatting sqref="L66:O66">
    <cfRule type="top10" dxfId="392" priority="2256" rank="1"/>
  </conditionalFormatting>
  <conditionalFormatting sqref="L67:O67">
    <cfRule type="top10" dxfId="391" priority="2257" rank="1"/>
  </conditionalFormatting>
  <conditionalFormatting sqref="L68:O68">
    <cfRule type="top10" dxfId="390" priority="2258" rank="1"/>
  </conditionalFormatting>
  <conditionalFormatting sqref="L69:O69">
    <cfRule type="top10" dxfId="389" priority="2259" rank="1"/>
  </conditionalFormatting>
  <conditionalFormatting sqref="L70:O70">
    <cfRule type="top10" dxfId="388" priority="2260" rank="1"/>
  </conditionalFormatting>
  <conditionalFormatting sqref="L71:O91">
    <cfRule type="top10" dxfId="387" priority="2261" rank="1"/>
  </conditionalFormatting>
  <conditionalFormatting sqref="L41:O41">
    <cfRule type="top10" dxfId="386" priority="2263" rank="1"/>
  </conditionalFormatting>
  <conditionalFormatting sqref="L39:O39">
    <cfRule type="top10" dxfId="385" priority="2264" rank="1"/>
  </conditionalFormatting>
  <conditionalFormatting sqref="L42:O42">
    <cfRule type="top10" dxfId="384" priority="2265" rank="1"/>
  </conditionalFormatting>
  <conditionalFormatting sqref="L43:O43">
    <cfRule type="top10" dxfId="383" priority="2266" rank="1"/>
  </conditionalFormatting>
  <conditionalFormatting sqref="L36:O36">
    <cfRule type="top10" dxfId="382" priority="2267" rank="1"/>
  </conditionalFormatting>
  <conditionalFormatting sqref="L33:O33">
    <cfRule type="top10" dxfId="381" priority="2268" rank="1"/>
  </conditionalFormatting>
  <conditionalFormatting sqref="L28:O28">
    <cfRule type="top10" dxfId="380" priority="2269" rank="1"/>
  </conditionalFormatting>
  <conditionalFormatting sqref="L29:O29">
    <cfRule type="top10" dxfId="379" priority="2270" rank="1"/>
  </conditionalFormatting>
  <conditionalFormatting sqref="L30:O30">
    <cfRule type="top10" dxfId="378" priority="2271" rank="1"/>
  </conditionalFormatting>
  <conditionalFormatting sqref="C5:G43">
    <cfRule type="top10" dxfId="377" priority="1" rank="1"/>
  </conditionalFormatting>
  <pageMargins left="0.7" right="0.7" top="0.75" bottom="0.75" header="0.3" footer="0.3"/>
  <pageSetup paperSize="9"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C00000"/>
  </sheetPr>
  <dimension ref="A1:P90"/>
  <sheetViews>
    <sheetView topLeftCell="F1" workbookViewId="0">
      <selection activeCell="L1" sqref="L1"/>
    </sheetView>
  </sheetViews>
  <sheetFormatPr defaultRowHeight="15" x14ac:dyDescent="0.25"/>
  <cols>
    <col min="1" max="1" width="4.7109375" style="352" customWidth="1"/>
    <col min="2" max="2" width="37.85546875" style="352" customWidth="1"/>
    <col min="3" max="3" width="12.7109375" style="352" customWidth="1"/>
    <col min="4" max="4" width="12.42578125" style="352" customWidth="1"/>
    <col min="5" max="5" width="119.7109375" style="352" customWidth="1"/>
    <col min="6" max="6" width="0.42578125" style="352" customWidth="1"/>
    <col min="7" max="7" width="6.7109375" style="352" customWidth="1"/>
    <col min="8" max="8" width="44.140625" style="352" customWidth="1"/>
    <col min="9" max="9" width="9.140625" style="352" customWidth="1"/>
    <col min="10" max="11" width="10.7109375" style="352" customWidth="1"/>
    <col min="12" max="12" width="106.28515625" style="352" customWidth="1"/>
    <col min="13" max="13" width="8.42578125" style="352" customWidth="1"/>
    <col min="14" max="14" width="37.5703125" style="352" customWidth="1"/>
    <col min="15" max="15" width="66.28515625" style="352" customWidth="1"/>
    <col min="16" max="16" width="74.42578125" style="352" customWidth="1"/>
    <col min="17" max="17" width="9.140625" style="352"/>
    <col min="18" max="18" width="6.42578125" style="352" customWidth="1"/>
    <col min="19" max="16384" width="9.140625" style="352"/>
  </cols>
  <sheetData>
    <row r="1" spans="1:16" ht="26.25" x14ac:dyDescent="0.4">
      <c r="A1" s="2907" t="s">
        <v>620</v>
      </c>
      <c r="B1" s="2907"/>
      <c r="C1" s="2907"/>
      <c r="D1" s="2907"/>
      <c r="E1" s="373"/>
      <c r="F1" s="364"/>
      <c r="G1" s="2907" t="s">
        <v>620</v>
      </c>
      <c r="H1" s="2907"/>
      <c r="I1" s="2907"/>
      <c r="J1" s="2907"/>
      <c r="K1" s="373"/>
      <c r="L1" s="373"/>
      <c r="M1" s="374" t="s">
        <v>710</v>
      </c>
    </row>
    <row r="2" spans="1:16" ht="27" thickBot="1" x14ac:dyDescent="0.45">
      <c r="A2" s="375" t="s">
        <v>147</v>
      </c>
      <c r="B2" s="373"/>
      <c r="C2" s="373"/>
      <c r="D2" s="373"/>
      <c r="E2" s="373"/>
      <c r="F2" s="364"/>
      <c r="G2" s="376" t="s">
        <v>740</v>
      </c>
      <c r="H2" s="373"/>
      <c r="I2" s="373"/>
      <c r="J2" s="373"/>
      <c r="K2" s="373"/>
      <c r="L2" s="373"/>
    </row>
    <row r="3" spans="1:16" ht="49.5" customHeight="1" thickBot="1" x14ac:dyDescent="0.3">
      <c r="A3" s="377" t="s">
        <v>0</v>
      </c>
      <c r="B3" s="377" t="s">
        <v>1</v>
      </c>
      <c r="C3" s="1044" t="s">
        <v>18</v>
      </c>
      <c r="D3" s="1044" t="s">
        <v>20</v>
      </c>
      <c r="E3" s="152" t="s">
        <v>138</v>
      </c>
      <c r="G3" s="305" t="s">
        <v>0</v>
      </c>
      <c r="H3" s="305" t="s">
        <v>1</v>
      </c>
      <c r="I3" s="924" t="s">
        <v>11</v>
      </c>
      <c r="J3" s="924" t="s">
        <v>189</v>
      </c>
      <c r="K3" s="924" t="s">
        <v>186</v>
      </c>
      <c r="L3" s="152" t="s">
        <v>138</v>
      </c>
      <c r="M3" s="378" t="s">
        <v>0</v>
      </c>
      <c r="N3" s="379" t="s">
        <v>1</v>
      </c>
      <c r="O3" s="380" t="s">
        <v>145</v>
      </c>
      <c r="P3" s="381" t="s">
        <v>146</v>
      </c>
    </row>
    <row r="4" spans="1:16" ht="15" customHeight="1" x14ac:dyDescent="0.25">
      <c r="A4" s="134">
        <v>1</v>
      </c>
      <c r="B4" s="382" t="str">
        <f>dtsiswa!D7</f>
        <v>Achmad Zacky</v>
      </c>
      <c r="C4" s="999">
        <f>ipa_3!N7</f>
        <v>0</v>
      </c>
      <c r="D4" s="1110">
        <f>ipa_3!O7</f>
        <v>3</v>
      </c>
      <c r="E4" s="668" t="str">
        <f t="shared" ref="E4:E43" si="0">IF(OR(C4=3,C4=4),VLOOKUP(C4,DES_KI3_IPA,2,FALSE),IF(OR(D4=3,D4=4),VLOOKUP(D4,DES_KI3_IPA,3,FALSE),"  "))</f>
        <v xml:space="preserve">Baik dalam Mengenal sistem pernafasan hewan dan manusia serta penyakit yang berkaitan dengan pernafasan. </v>
      </c>
      <c r="G4" s="134">
        <v>1</v>
      </c>
      <c r="H4" s="382" t="str">
        <f>dtsiswa!D7</f>
        <v>Achmad Zacky</v>
      </c>
      <c r="I4" s="383">
        <f>IPA_KI4!X8</f>
        <v>0</v>
      </c>
      <c r="J4" s="383">
        <f>IPA_KI4!Y8</f>
        <v>3</v>
      </c>
      <c r="K4" s="383">
        <f>IPA_KI4!Z8</f>
        <v>0</v>
      </c>
      <c r="L4" s="669" t="str">
        <f t="shared" ref="L4:L43" si="1">IF(OR(I4=3,I4=4),VLOOKUP(I4,DES_KI4_IPA,2,FALSE),IF(OR(J4=3,J4=4),VLOOKUP(J4,DES_KI4_IPA,3,FALSE),IF(OR(K4=3,K4=4),VLOOKUP(K4,DES_KI4_IPA,4,FALSE),"  ")))</f>
        <v xml:space="preserve">Baik dalam Menyajikan laporan tentang sumberdaya alam dan pemanfaatannya oleh masyarakat. </v>
      </c>
      <c r="M4" s="134">
        <v>1</v>
      </c>
      <c r="N4" s="384" t="str">
        <f>dtsiswa!D7</f>
        <v>Achmad Zacky</v>
      </c>
      <c r="O4" s="385" t="str">
        <f t="shared" ref="O4:O43" si="2">IFERROR(CONCATENATE(E4,E51),"  ")</f>
        <v xml:space="preserve">Baik dalam Mengenal sistem pernafasan hewan dan manusia serta penyakit yang berkaitan dengan pernafasan. Baik dalam Mendeskripsikan siklus air dan dampaknya pada peristiwa di bumi serta kelangsungan mahluk hidup. </v>
      </c>
      <c r="P4" s="386" t="str">
        <f t="shared" ref="P4:P43" si="3">IFERROR(CONCATENATE(L4,L50),"  ")</f>
        <v xml:space="preserve">Baik dalam Menyajikan laporan tentang sumberdaya alam dan pemanfaatannya oleh masyarakat. Baik dalam Menyajikan laporan tentang sumberdaya alam dan pemanfaatannya oleh masyarakat. </v>
      </c>
    </row>
    <row r="5" spans="1:16" ht="15" customHeight="1" x14ac:dyDescent="0.25">
      <c r="A5" s="134">
        <v>2</v>
      </c>
      <c r="B5" s="382" t="str">
        <f>dtsiswa!D8</f>
        <v>Angelia Vabel R</v>
      </c>
      <c r="C5" s="1110">
        <f>ipa_3!N10</f>
        <v>4</v>
      </c>
      <c r="D5" s="1110">
        <f>ipa_3!O10</f>
        <v>0</v>
      </c>
      <c r="E5" s="668" t="str">
        <f t="shared" si="0"/>
        <v xml:space="preserve">Sangat baik dalam Mendeskripsikan siklus air dan dampaknya pada peristiwa di bumi serta kelangsungan mahluk hidup. </v>
      </c>
      <c r="G5" s="134">
        <v>2</v>
      </c>
      <c r="H5" s="382" t="str">
        <f>dtsiswa!D8</f>
        <v>Angelia Vabel R</v>
      </c>
      <c r="I5" s="383">
        <f>IPA_KI4!X12</f>
        <v>0</v>
      </c>
      <c r="J5" s="383">
        <f>IPA_KI4!Y12</f>
        <v>3</v>
      </c>
      <c r="K5" s="383">
        <f>IPA_KI4!Z12</f>
        <v>0</v>
      </c>
      <c r="L5" s="669" t="str">
        <f t="shared" si="1"/>
        <v xml:space="preserve">Baik dalam Menyajikan laporan tentang sumberdaya alam dan pemanfaatannya oleh masyarakat. </v>
      </c>
      <c r="M5" s="134">
        <v>2</v>
      </c>
      <c r="N5" s="384" t="str">
        <f>dtsiswa!D8</f>
        <v>Angelia Vabel R</v>
      </c>
      <c r="O5" s="385" t="str">
        <f t="shared" si="2"/>
        <v xml:space="preserve">Sangat baik dalam Mendeskripsikan siklus air dan dampaknya pada peristiwa di bumi serta kelangsungan mahluk hidup. Cukup baik dalam Mengenal sistem pernafasan hewan dan manusia serta penyakit yang berkaitan dengan pernafasan. </v>
      </c>
      <c r="P5" s="386" t="str">
        <f t="shared" si="3"/>
        <v xml:space="preserve">Baik dalam Menyajikan laporan tentang sumberdaya alam dan pemanfaatannya oleh masyarakat.   </v>
      </c>
    </row>
    <row r="6" spans="1:16" ht="15" customHeight="1" x14ac:dyDescent="0.25">
      <c r="A6" s="134">
        <v>3</v>
      </c>
      <c r="B6" s="382" t="str">
        <f>dtsiswa!D9</f>
        <v>Anggun Dwi P.I</v>
      </c>
      <c r="C6" s="1110">
        <f>ipa_3!N13</f>
        <v>0</v>
      </c>
      <c r="D6" s="1110">
        <f>ipa_3!O13</f>
        <v>0</v>
      </c>
      <c r="E6" s="668" t="str">
        <f t="shared" si="0"/>
        <v xml:space="preserve">  </v>
      </c>
      <c r="G6" s="134">
        <v>3</v>
      </c>
      <c r="H6" s="382" t="str">
        <f>dtsiswa!D9</f>
        <v>Anggun Dwi P.I</v>
      </c>
      <c r="I6" s="383">
        <f>IPA_KI4!X16</f>
        <v>0</v>
      </c>
      <c r="J6" s="383">
        <f>IPA_KI4!Y16</f>
        <v>3</v>
      </c>
      <c r="K6" s="383">
        <f>IPA_KI4!Z16</f>
        <v>0</v>
      </c>
      <c r="L6" s="669" t="str">
        <f t="shared" si="1"/>
        <v xml:space="preserve">Baik dalam Menyajikan laporan tentang sumberdaya alam dan pemanfaatannya oleh masyarakat. </v>
      </c>
      <c r="M6" s="134">
        <v>3</v>
      </c>
      <c r="N6" s="384" t="str">
        <f>dtsiswa!D9</f>
        <v>Anggun Dwi P.I</v>
      </c>
      <c r="O6" s="385" t="str">
        <f t="shared" si="2"/>
        <v xml:space="preserve">    </v>
      </c>
      <c r="P6" s="386" t="str">
        <f t="shared" si="3"/>
        <v xml:space="preserve">Baik dalam Menyajikan laporan tentang sumberdaya alam dan pemanfaatannya oleh masyarakat.   </v>
      </c>
    </row>
    <row r="7" spans="1:16" ht="15" customHeight="1" x14ac:dyDescent="0.25">
      <c r="A7" s="134">
        <v>4</v>
      </c>
      <c r="B7" s="382" t="str">
        <f>dtsiswa!D10</f>
        <v>Antonio Permata A</v>
      </c>
      <c r="C7" s="1110">
        <f>ipa_3!N16</f>
        <v>0</v>
      </c>
      <c r="D7" s="1110">
        <f>ipa_3!O16</f>
        <v>0</v>
      </c>
      <c r="E7" s="668" t="str">
        <f t="shared" si="0"/>
        <v xml:space="preserve">  </v>
      </c>
      <c r="G7" s="134">
        <v>4</v>
      </c>
      <c r="H7" s="382" t="str">
        <f>dtsiswa!D10</f>
        <v>Antonio Permata A</v>
      </c>
      <c r="I7" s="383">
        <f>IPA_KI4!X20</f>
        <v>0</v>
      </c>
      <c r="J7" s="383">
        <f>IPA_KI4!Y20</f>
        <v>3</v>
      </c>
      <c r="K7" s="383">
        <f>IPA_KI4!Z20</f>
        <v>0</v>
      </c>
      <c r="L7" s="669" t="str">
        <f t="shared" si="1"/>
        <v xml:space="preserve">Baik dalam Menyajikan laporan tentang sumberdaya alam dan pemanfaatannya oleh masyarakat. </v>
      </c>
      <c r="M7" s="134">
        <v>4</v>
      </c>
      <c r="N7" s="384" t="str">
        <f>dtsiswa!D10</f>
        <v>Antonio Permata A</v>
      </c>
      <c r="O7" s="385" t="str">
        <f t="shared" si="2"/>
        <v xml:space="preserve">    </v>
      </c>
      <c r="P7" s="386" t="str">
        <f t="shared" si="3"/>
        <v xml:space="preserve">Baik dalam Menyajikan laporan tentang sumberdaya alam dan pemanfaatannya oleh masyarakat.   </v>
      </c>
    </row>
    <row r="8" spans="1:16" ht="15" customHeight="1" x14ac:dyDescent="0.25">
      <c r="A8" s="134">
        <v>5</v>
      </c>
      <c r="B8" s="382" t="str">
        <f>dtsiswa!D11</f>
        <v>Arya Pratama G</v>
      </c>
      <c r="C8" s="1110">
        <f>ipa_3!N19</f>
        <v>0</v>
      </c>
      <c r="D8" s="1110">
        <f>ipa_3!O19</f>
        <v>0</v>
      </c>
      <c r="E8" s="668" t="str">
        <f t="shared" si="0"/>
        <v xml:space="preserve">  </v>
      </c>
      <c r="G8" s="134">
        <v>5</v>
      </c>
      <c r="H8" s="382" t="str">
        <f>dtsiswa!D11</f>
        <v>Arya Pratama G</v>
      </c>
      <c r="I8" s="383">
        <f>IPA_KI4!X24</f>
        <v>0</v>
      </c>
      <c r="J8" s="383">
        <f>IPA_KI4!Y24</f>
        <v>3</v>
      </c>
      <c r="K8" s="383">
        <f>IPA_KI4!Z24</f>
        <v>0</v>
      </c>
      <c r="L8" s="669" t="str">
        <f t="shared" si="1"/>
        <v xml:space="preserve">Baik dalam Menyajikan laporan tentang sumberdaya alam dan pemanfaatannya oleh masyarakat. </v>
      </c>
      <c r="M8" s="134">
        <v>5</v>
      </c>
      <c r="N8" s="384" t="str">
        <f>dtsiswa!D11</f>
        <v>Arya Pratama G</v>
      </c>
      <c r="O8" s="385" t="str">
        <f t="shared" si="2"/>
        <v xml:space="preserve">    </v>
      </c>
      <c r="P8" s="386" t="str">
        <f t="shared" si="3"/>
        <v xml:space="preserve">Baik dalam Menyajikan laporan tentang sumberdaya alam dan pemanfaatannya oleh masyarakat.   </v>
      </c>
    </row>
    <row r="9" spans="1:16" ht="15" customHeight="1" x14ac:dyDescent="0.25">
      <c r="A9" s="134">
        <v>6</v>
      </c>
      <c r="B9" s="382" t="str">
        <f>dtsiswa!D12</f>
        <v>Asyam Hanif Ihsan H</v>
      </c>
      <c r="C9" s="1110">
        <f>ipa_3!N22</f>
        <v>0</v>
      </c>
      <c r="D9" s="1110">
        <f>ipa_3!O22</f>
        <v>0</v>
      </c>
      <c r="E9" s="668" t="str">
        <f t="shared" si="0"/>
        <v xml:space="preserve">  </v>
      </c>
      <c r="G9" s="134">
        <v>6</v>
      </c>
      <c r="H9" s="382" t="str">
        <f>dtsiswa!D12</f>
        <v>Asyam Hanif Ihsan H</v>
      </c>
      <c r="I9" s="383">
        <f>IPA_KI4!X28</f>
        <v>0</v>
      </c>
      <c r="J9" s="383">
        <f>IPA_KI4!Y28</f>
        <v>3</v>
      </c>
      <c r="K9" s="383">
        <f>IPA_KI4!Z28</f>
        <v>0</v>
      </c>
      <c r="L9" s="669" t="str">
        <f t="shared" si="1"/>
        <v xml:space="preserve">Baik dalam Menyajikan laporan tentang sumberdaya alam dan pemanfaatannya oleh masyarakat. </v>
      </c>
      <c r="M9" s="134">
        <v>6</v>
      </c>
      <c r="N9" s="384" t="str">
        <f>dtsiswa!D12</f>
        <v>Asyam Hanif Ihsan H</v>
      </c>
      <c r="O9" s="385" t="str">
        <f t="shared" si="2"/>
        <v xml:space="preserve">    </v>
      </c>
      <c r="P9" s="386" t="str">
        <f t="shared" si="3"/>
        <v xml:space="preserve">Baik dalam Menyajikan laporan tentang sumberdaya alam dan pemanfaatannya oleh masyarakat.   </v>
      </c>
    </row>
    <row r="10" spans="1:16" ht="15" customHeight="1" x14ac:dyDescent="0.25">
      <c r="A10" s="134">
        <v>7</v>
      </c>
      <c r="B10" s="382" t="str">
        <f>dtsiswa!D13</f>
        <v>Athaya Salsabilla Z</v>
      </c>
      <c r="C10" s="1110">
        <f>ipa_3!N25</f>
        <v>0</v>
      </c>
      <c r="D10" s="1110">
        <f>ipa_3!O25</f>
        <v>0</v>
      </c>
      <c r="E10" s="668" t="str">
        <f t="shared" si="0"/>
        <v xml:space="preserve">  </v>
      </c>
      <c r="G10" s="134">
        <v>7</v>
      </c>
      <c r="H10" s="382" t="str">
        <f>dtsiswa!D13</f>
        <v>Athaya Salsabilla Z</v>
      </c>
      <c r="I10" s="383">
        <f>IPA_KI4!X32</f>
        <v>0</v>
      </c>
      <c r="J10" s="383">
        <f>IPA_KI4!Y32</f>
        <v>3</v>
      </c>
      <c r="K10" s="383">
        <f>IPA_KI4!Z32</f>
        <v>0</v>
      </c>
      <c r="L10" s="669" t="str">
        <f t="shared" si="1"/>
        <v xml:space="preserve">Baik dalam Menyajikan laporan tentang sumberdaya alam dan pemanfaatannya oleh masyarakat. </v>
      </c>
      <c r="M10" s="134">
        <v>7</v>
      </c>
      <c r="N10" s="384" t="str">
        <f>dtsiswa!D13</f>
        <v>Athaya Salsabilla Z</v>
      </c>
      <c r="O10" s="385" t="str">
        <f t="shared" si="2"/>
        <v xml:space="preserve">    </v>
      </c>
      <c r="P10" s="386" t="str">
        <f t="shared" si="3"/>
        <v xml:space="preserve">Baik dalam Menyajikan laporan tentang sumberdaya alam dan pemanfaatannya oleh masyarakat.   </v>
      </c>
    </row>
    <row r="11" spans="1:16" ht="15" customHeight="1" x14ac:dyDescent="0.25">
      <c r="A11" s="134">
        <v>8</v>
      </c>
      <c r="B11" s="382" t="str">
        <f>dtsiswa!D14</f>
        <v>Aulia Dea Rosalinda</v>
      </c>
      <c r="C11" s="1110">
        <f>ipa_3!N28</f>
        <v>0</v>
      </c>
      <c r="D11" s="1110">
        <f>ipa_3!O28</f>
        <v>0</v>
      </c>
      <c r="E11" s="668" t="str">
        <f t="shared" si="0"/>
        <v xml:space="preserve">  </v>
      </c>
      <c r="G11" s="134">
        <v>8</v>
      </c>
      <c r="H11" s="382" t="str">
        <f>dtsiswa!D14</f>
        <v>Aulia Dea Rosalinda</v>
      </c>
      <c r="I11" s="383">
        <f>IPA_KI4!X36</f>
        <v>0</v>
      </c>
      <c r="J11" s="383">
        <f>IPA_KI4!Y36</f>
        <v>3</v>
      </c>
      <c r="K11" s="383">
        <f>IPA_KI4!Z36</f>
        <v>0</v>
      </c>
      <c r="L11" s="669" t="str">
        <f t="shared" si="1"/>
        <v xml:space="preserve">Baik dalam Menyajikan laporan tentang sumberdaya alam dan pemanfaatannya oleh masyarakat. </v>
      </c>
      <c r="M11" s="134">
        <v>8</v>
      </c>
      <c r="N11" s="384" t="str">
        <f>dtsiswa!D14</f>
        <v>Aulia Dea Rosalinda</v>
      </c>
      <c r="O11" s="385" t="str">
        <f t="shared" si="2"/>
        <v xml:space="preserve">    </v>
      </c>
      <c r="P11" s="386" t="str">
        <f t="shared" si="3"/>
        <v xml:space="preserve">Baik dalam Menyajikan laporan tentang sumberdaya alam dan pemanfaatannya oleh masyarakat.   </v>
      </c>
    </row>
    <row r="12" spans="1:16" ht="15" customHeight="1" x14ac:dyDescent="0.25">
      <c r="A12" s="134">
        <v>9</v>
      </c>
      <c r="B12" s="382" t="str">
        <f>dtsiswa!D15</f>
        <v>Claudia Gabriella L</v>
      </c>
      <c r="C12" s="1110">
        <f>ipa_3!N31</f>
        <v>0</v>
      </c>
      <c r="D12" s="1110">
        <f>ipa_3!O31</f>
        <v>0</v>
      </c>
      <c r="E12" s="668" t="str">
        <f t="shared" si="0"/>
        <v xml:space="preserve">  </v>
      </c>
      <c r="G12" s="134">
        <v>9</v>
      </c>
      <c r="H12" s="382" t="str">
        <f>dtsiswa!D15</f>
        <v>Claudia Gabriella L</v>
      </c>
      <c r="I12" s="383">
        <f>IPA_KI4!X40</f>
        <v>0</v>
      </c>
      <c r="J12" s="383">
        <f>IPA_KI4!Y40</f>
        <v>3</v>
      </c>
      <c r="K12" s="383">
        <f>IPA_KI4!Z40</f>
        <v>0</v>
      </c>
      <c r="L12" s="669" t="str">
        <f t="shared" si="1"/>
        <v xml:space="preserve">Baik dalam Menyajikan laporan tentang sumberdaya alam dan pemanfaatannya oleh masyarakat. </v>
      </c>
      <c r="M12" s="134">
        <v>9</v>
      </c>
      <c r="N12" s="384" t="str">
        <f>dtsiswa!D15</f>
        <v>Claudia Gabriella L</v>
      </c>
      <c r="O12" s="385" t="str">
        <f t="shared" si="2"/>
        <v xml:space="preserve">    </v>
      </c>
      <c r="P12" s="386" t="str">
        <f t="shared" si="3"/>
        <v xml:space="preserve">Baik dalam Menyajikan laporan tentang sumberdaya alam dan pemanfaatannya oleh masyarakat.   </v>
      </c>
    </row>
    <row r="13" spans="1:16" ht="15" customHeight="1" x14ac:dyDescent="0.25">
      <c r="A13" s="134">
        <v>10</v>
      </c>
      <c r="B13" s="382" t="str">
        <f>dtsiswa!D16</f>
        <v xml:space="preserve">Deco Badarus Zaman </v>
      </c>
      <c r="C13" s="1110">
        <f>ipa_3!N34</f>
        <v>0</v>
      </c>
      <c r="D13" s="1110">
        <f>ipa_3!O34</f>
        <v>0</v>
      </c>
      <c r="E13" s="668" t="str">
        <f t="shared" si="0"/>
        <v xml:space="preserve">  </v>
      </c>
      <c r="G13" s="134">
        <v>10</v>
      </c>
      <c r="H13" s="382" t="str">
        <f>dtsiswa!D16</f>
        <v xml:space="preserve">Deco Badarus Zaman </v>
      </c>
      <c r="I13" s="383">
        <f>IPA_KI4!X44</f>
        <v>0</v>
      </c>
      <c r="J13" s="383">
        <f>IPA_KI4!Y44</f>
        <v>3</v>
      </c>
      <c r="K13" s="383">
        <f>IPA_KI4!Z44</f>
        <v>0</v>
      </c>
      <c r="L13" s="669" t="str">
        <f t="shared" si="1"/>
        <v xml:space="preserve">Baik dalam Menyajikan laporan tentang sumberdaya alam dan pemanfaatannya oleh masyarakat. </v>
      </c>
      <c r="M13" s="134">
        <v>10</v>
      </c>
      <c r="N13" s="384" t="str">
        <f>dtsiswa!D16</f>
        <v xml:space="preserve">Deco Badarus Zaman </v>
      </c>
      <c r="O13" s="385" t="str">
        <f t="shared" si="2"/>
        <v xml:space="preserve">    </v>
      </c>
      <c r="P13" s="386" t="str">
        <f t="shared" si="3"/>
        <v xml:space="preserve">Baik dalam Menyajikan laporan tentang sumberdaya alam dan pemanfaatannya oleh masyarakat.   </v>
      </c>
    </row>
    <row r="14" spans="1:16" ht="15" customHeight="1" x14ac:dyDescent="0.25">
      <c r="A14" s="134">
        <v>11</v>
      </c>
      <c r="B14" s="382" t="str">
        <f>dtsiswa!D17</f>
        <v>Fania Mutiara Felichia</v>
      </c>
      <c r="C14" s="1110">
        <f>ipa_3!N37</f>
        <v>0</v>
      </c>
      <c r="D14" s="1110">
        <f>ipa_3!O37</f>
        <v>0</v>
      </c>
      <c r="E14" s="668" t="str">
        <f t="shared" si="0"/>
        <v xml:space="preserve">  </v>
      </c>
      <c r="G14" s="134">
        <v>11</v>
      </c>
      <c r="H14" s="382" t="str">
        <f>dtsiswa!D17</f>
        <v>Fania Mutiara Felichia</v>
      </c>
      <c r="I14" s="383">
        <f>IPA_KI4!X48</f>
        <v>0</v>
      </c>
      <c r="J14" s="383">
        <f>IPA_KI4!Y48</f>
        <v>3</v>
      </c>
      <c r="K14" s="383">
        <f>IPA_KI4!Z48</f>
        <v>0</v>
      </c>
      <c r="L14" s="669" t="str">
        <f t="shared" si="1"/>
        <v xml:space="preserve">Baik dalam Menyajikan laporan tentang sumberdaya alam dan pemanfaatannya oleh masyarakat. </v>
      </c>
      <c r="M14" s="134">
        <v>11</v>
      </c>
      <c r="N14" s="384" t="str">
        <f>dtsiswa!D17</f>
        <v>Fania Mutiara Felichia</v>
      </c>
      <c r="O14" s="385" t="str">
        <f t="shared" si="2"/>
        <v xml:space="preserve">    </v>
      </c>
      <c r="P14" s="386" t="str">
        <f t="shared" si="3"/>
        <v xml:space="preserve">Baik dalam Menyajikan laporan tentang sumberdaya alam dan pemanfaatannya oleh masyarakat.   </v>
      </c>
    </row>
    <row r="15" spans="1:16" ht="15" customHeight="1" x14ac:dyDescent="0.25">
      <c r="A15" s="134">
        <v>12</v>
      </c>
      <c r="B15" s="382" t="str">
        <f>dtsiswa!D18</f>
        <v>Intan Dyah Nowari</v>
      </c>
      <c r="C15" s="1110">
        <f>ipa_3!N40</f>
        <v>0</v>
      </c>
      <c r="D15" s="1110">
        <f>ipa_3!O40</f>
        <v>0</v>
      </c>
      <c r="E15" s="668" t="str">
        <f t="shared" si="0"/>
        <v xml:space="preserve">  </v>
      </c>
      <c r="G15" s="134">
        <v>12</v>
      </c>
      <c r="H15" s="382" t="str">
        <f>dtsiswa!D18</f>
        <v>Intan Dyah Nowari</v>
      </c>
      <c r="I15" s="383">
        <f>IPA_KI4!X52</f>
        <v>0</v>
      </c>
      <c r="J15" s="383">
        <f>IPA_KI4!Y52</f>
        <v>3</v>
      </c>
      <c r="K15" s="383">
        <f>IPA_KI4!Z52</f>
        <v>0</v>
      </c>
      <c r="L15" s="669" t="str">
        <f t="shared" si="1"/>
        <v xml:space="preserve">Baik dalam Menyajikan laporan tentang sumberdaya alam dan pemanfaatannya oleh masyarakat. </v>
      </c>
      <c r="M15" s="134">
        <v>12</v>
      </c>
      <c r="N15" s="384" t="str">
        <f>dtsiswa!D18</f>
        <v>Intan Dyah Nowari</v>
      </c>
      <c r="O15" s="385" t="str">
        <f t="shared" si="2"/>
        <v xml:space="preserve">    </v>
      </c>
      <c r="P15" s="386" t="str">
        <f t="shared" si="3"/>
        <v xml:space="preserve">Baik dalam Menyajikan laporan tentang sumberdaya alam dan pemanfaatannya oleh masyarakat.   </v>
      </c>
    </row>
    <row r="16" spans="1:16" ht="15" customHeight="1" x14ac:dyDescent="0.25">
      <c r="A16" s="134">
        <v>13</v>
      </c>
      <c r="B16" s="382" t="str">
        <f>dtsiswa!D19</f>
        <v>Misyanita Nurfitri S</v>
      </c>
      <c r="C16" s="1110">
        <f>ipa_3!N43</f>
        <v>0</v>
      </c>
      <c r="D16" s="1110">
        <f>ipa_3!O43</f>
        <v>0</v>
      </c>
      <c r="E16" s="668" t="str">
        <f t="shared" si="0"/>
        <v xml:space="preserve">  </v>
      </c>
      <c r="G16" s="134">
        <v>13</v>
      </c>
      <c r="H16" s="382" t="str">
        <f>dtsiswa!D19</f>
        <v>Misyanita Nurfitri S</v>
      </c>
      <c r="I16" s="383">
        <f>IPA_KI4!X56</f>
        <v>0</v>
      </c>
      <c r="J16" s="383">
        <f>IPA_KI4!Y56</f>
        <v>3</v>
      </c>
      <c r="K16" s="383">
        <f>IPA_KI4!Z56</f>
        <v>0</v>
      </c>
      <c r="L16" s="669" t="str">
        <f t="shared" si="1"/>
        <v xml:space="preserve">Baik dalam Menyajikan laporan tentang sumberdaya alam dan pemanfaatannya oleh masyarakat. </v>
      </c>
      <c r="M16" s="134">
        <v>13</v>
      </c>
      <c r="N16" s="384" t="str">
        <f>dtsiswa!D19</f>
        <v>Misyanita Nurfitri S</v>
      </c>
      <c r="O16" s="385" t="str">
        <f t="shared" si="2"/>
        <v xml:space="preserve">    </v>
      </c>
      <c r="P16" s="386" t="str">
        <f t="shared" si="3"/>
        <v xml:space="preserve">Baik dalam Menyajikan laporan tentang sumberdaya alam dan pemanfaatannya oleh masyarakat.   </v>
      </c>
    </row>
    <row r="17" spans="1:16" ht="15" customHeight="1" x14ac:dyDescent="0.25">
      <c r="A17" s="134">
        <v>14</v>
      </c>
      <c r="B17" s="382" t="str">
        <f>dtsiswa!D20</f>
        <v>Moch Zidane Hita L. U</v>
      </c>
      <c r="C17" s="1110">
        <f>ipa_3!N46</f>
        <v>0</v>
      </c>
      <c r="D17" s="1110">
        <f>ipa_3!O46</f>
        <v>0</v>
      </c>
      <c r="E17" s="668" t="str">
        <f t="shared" si="0"/>
        <v xml:space="preserve">  </v>
      </c>
      <c r="G17" s="134">
        <v>14</v>
      </c>
      <c r="H17" s="382" t="str">
        <f>dtsiswa!D20</f>
        <v>Moch Zidane Hita L. U</v>
      </c>
      <c r="I17" s="383">
        <f>IPA_KI4!X60</f>
        <v>0</v>
      </c>
      <c r="J17" s="383">
        <f>IPA_KI4!Y60</f>
        <v>3</v>
      </c>
      <c r="K17" s="383">
        <f>IPA_KI4!Z60</f>
        <v>0</v>
      </c>
      <c r="L17" s="669" t="str">
        <f t="shared" si="1"/>
        <v xml:space="preserve">Baik dalam Menyajikan laporan tentang sumberdaya alam dan pemanfaatannya oleh masyarakat. </v>
      </c>
      <c r="M17" s="134">
        <v>14</v>
      </c>
      <c r="N17" s="384" t="str">
        <f>dtsiswa!D20</f>
        <v>Moch Zidane Hita L. U</v>
      </c>
      <c r="O17" s="385" t="str">
        <f t="shared" si="2"/>
        <v xml:space="preserve">    </v>
      </c>
      <c r="P17" s="386" t="str">
        <f t="shared" si="3"/>
        <v xml:space="preserve">Baik dalam Menyajikan laporan tentang sumberdaya alam dan pemanfaatannya oleh masyarakat.   </v>
      </c>
    </row>
    <row r="18" spans="1:16" ht="15" customHeight="1" x14ac:dyDescent="0.25">
      <c r="A18" s="134">
        <v>15</v>
      </c>
      <c r="B18" s="382" t="str">
        <f>dtsiswa!D21</f>
        <v>Muhammad Ibra Maulana</v>
      </c>
      <c r="C18" s="1110">
        <f>ipa_3!N49</f>
        <v>0</v>
      </c>
      <c r="D18" s="1110">
        <f>ipa_3!O49</f>
        <v>0</v>
      </c>
      <c r="E18" s="668" t="str">
        <f t="shared" si="0"/>
        <v xml:space="preserve">  </v>
      </c>
      <c r="G18" s="134">
        <v>15</v>
      </c>
      <c r="H18" s="382" t="str">
        <f>dtsiswa!D21</f>
        <v>Muhammad Ibra Maulana</v>
      </c>
      <c r="I18" s="383">
        <f>IPA_KI4!X64</f>
        <v>0</v>
      </c>
      <c r="J18" s="383">
        <f>IPA_KI4!Y64</f>
        <v>3</v>
      </c>
      <c r="K18" s="383">
        <f>IPA_KI4!Z64</f>
        <v>0</v>
      </c>
      <c r="L18" s="669" t="str">
        <f t="shared" si="1"/>
        <v xml:space="preserve">Baik dalam Menyajikan laporan tentang sumberdaya alam dan pemanfaatannya oleh masyarakat. </v>
      </c>
      <c r="M18" s="134">
        <v>15</v>
      </c>
      <c r="N18" s="384" t="str">
        <f>dtsiswa!D21</f>
        <v>Muhammad Ibra Maulana</v>
      </c>
      <c r="O18" s="385" t="str">
        <f t="shared" si="2"/>
        <v xml:space="preserve">    </v>
      </c>
      <c r="P18" s="386" t="str">
        <f t="shared" si="3"/>
        <v xml:space="preserve">Baik dalam Menyajikan laporan tentang sumberdaya alam dan pemanfaatannya oleh masyarakat.   </v>
      </c>
    </row>
    <row r="19" spans="1:16" ht="15" customHeight="1" x14ac:dyDescent="0.25">
      <c r="A19" s="134">
        <v>16</v>
      </c>
      <c r="B19" s="382" t="str">
        <f>dtsiswa!D22</f>
        <v>Nabilla Shiva Putri</v>
      </c>
      <c r="C19" s="1110">
        <f>ipa_3!N52</f>
        <v>0</v>
      </c>
      <c r="D19" s="1110">
        <f>ipa_3!O52</f>
        <v>0</v>
      </c>
      <c r="E19" s="668" t="str">
        <f t="shared" si="0"/>
        <v xml:space="preserve">  </v>
      </c>
      <c r="G19" s="134">
        <v>16</v>
      </c>
      <c r="H19" s="382" t="str">
        <f>dtsiswa!D22</f>
        <v>Nabilla Shiva Putri</v>
      </c>
      <c r="I19" s="383">
        <f>IPA_KI4!X68</f>
        <v>0</v>
      </c>
      <c r="J19" s="383">
        <f>IPA_KI4!Y68</f>
        <v>3</v>
      </c>
      <c r="K19" s="383">
        <f>IPA_KI4!Z68</f>
        <v>0</v>
      </c>
      <c r="L19" s="669" t="str">
        <f t="shared" si="1"/>
        <v xml:space="preserve">Baik dalam Menyajikan laporan tentang sumberdaya alam dan pemanfaatannya oleh masyarakat. </v>
      </c>
      <c r="M19" s="134">
        <v>16</v>
      </c>
      <c r="N19" s="384" t="str">
        <f>dtsiswa!D22</f>
        <v>Nabilla Shiva Putri</v>
      </c>
      <c r="O19" s="385" t="str">
        <f t="shared" si="2"/>
        <v xml:space="preserve">    </v>
      </c>
      <c r="P19" s="386" t="str">
        <f t="shared" si="3"/>
        <v xml:space="preserve">Baik dalam Menyajikan laporan tentang sumberdaya alam dan pemanfaatannya oleh masyarakat.   </v>
      </c>
    </row>
    <row r="20" spans="1:16" ht="15" customHeight="1" x14ac:dyDescent="0.25">
      <c r="A20" s="134">
        <v>17</v>
      </c>
      <c r="B20" s="382" t="str">
        <f>dtsiswa!D23</f>
        <v>Naufal Falih F</v>
      </c>
      <c r="C20" s="1110">
        <f>ipa_3!N55</f>
        <v>0</v>
      </c>
      <c r="D20" s="1110">
        <f>ipa_3!O55</f>
        <v>0</v>
      </c>
      <c r="E20" s="668" t="str">
        <f t="shared" si="0"/>
        <v xml:space="preserve">  </v>
      </c>
      <c r="G20" s="134">
        <v>17</v>
      </c>
      <c r="H20" s="382" t="str">
        <f>dtsiswa!D23</f>
        <v>Naufal Falih F</v>
      </c>
      <c r="I20" s="383">
        <f>IPA_KI4!X72</f>
        <v>0</v>
      </c>
      <c r="J20" s="383">
        <f>IPA_KI4!Y72</f>
        <v>3</v>
      </c>
      <c r="K20" s="383">
        <f>IPA_KI4!Z72</f>
        <v>0</v>
      </c>
      <c r="L20" s="669" t="str">
        <f t="shared" si="1"/>
        <v xml:space="preserve">Baik dalam Menyajikan laporan tentang sumberdaya alam dan pemanfaatannya oleh masyarakat. </v>
      </c>
      <c r="M20" s="134">
        <v>17</v>
      </c>
      <c r="N20" s="384" t="str">
        <f>dtsiswa!D23</f>
        <v>Naufal Falih F</v>
      </c>
      <c r="O20" s="385" t="str">
        <f t="shared" si="2"/>
        <v xml:space="preserve">    </v>
      </c>
      <c r="P20" s="386" t="str">
        <f t="shared" si="3"/>
        <v xml:space="preserve">Baik dalam Menyajikan laporan tentang sumberdaya alam dan pemanfaatannya oleh masyarakat.   </v>
      </c>
    </row>
    <row r="21" spans="1:16" ht="15" customHeight="1" x14ac:dyDescent="0.25">
      <c r="A21" s="134">
        <v>18</v>
      </c>
      <c r="B21" s="382" t="str">
        <f>dtsiswa!D24</f>
        <v>Nayla Annora Nobel W</v>
      </c>
      <c r="C21" s="1110">
        <f>ipa_3!N58</f>
        <v>0</v>
      </c>
      <c r="D21" s="1110">
        <f>ipa_3!O58</f>
        <v>0</v>
      </c>
      <c r="E21" s="668" t="str">
        <f t="shared" si="0"/>
        <v xml:space="preserve">  </v>
      </c>
      <c r="G21" s="134">
        <v>18</v>
      </c>
      <c r="H21" s="382" t="str">
        <f>dtsiswa!D24</f>
        <v>Nayla Annora Nobel W</v>
      </c>
      <c r="I21" s="383">
        <f>IPA_KI4!X76</f>
        <v>0</v>
      </c>
      <c r="J21" s="383">
        <f>IPA_KI4!Y76</f>
        <v>3</v>
      </c>
      <c r="K21" s="383">
        <f>IPA_KI4!Z76</f>
        <v>0</v>
      </c>
      <c r="L21" s="669" t="str">
        <f t="shared" si="1"/>
        <v xml:space="preserve">Baik dalam Menyajikan laporan tentang sumberdaya alam dan pemanfaatannya oleh masyarakat. </v>
      </c>
      <c r="M21" s="134">
        <v>18</v>
      </c>
      <c r="N21" s="384" t="str">
        <f>dtsiswa!D24</f>
        <v>Nayla Annora Nobel W</v>
      </c>
      <c r="O21" s="385" t="str">
        <f t="shared" si="2"/>
        <v xml:space="preserve">    </v>
      </c>
      <c r="P21" s="386" t="str">
        <f t="shared" si="3"/>
        <v xml:space="preserve">Baik dalam Menyajikan laporan tentang sumberdaya alam dan pemanfaatannya oleh masyarakat.   </v>
      </c>
    </row>
    <row r="22" spans="1:16" ht="15" customHeight="1" x14ac:dyDescent="0.25">
      <c r="A22" s="134">
        <v>19</v>
      </c>
      <c r="B22" s="382" t="str">
        <f>dtsiswa!D25</f>
        <v>Raihan Danang P</v>
      </c>
      <c r="C22" s="1110">
        <f>ipa_3!N61</f>
        <v>0</v>
      </c>
      <c r="D22" s="1110">
        <f>ipa_3!O61</f>
        <v>0</v>
      </c>
      <c r="E22" s="668" t="str">
        <f t="shared" si="0"/>
        <v xml:space="preserve">  </v>
      </c>
      <c r="G22" s="134">
        <v>19</v>
      </c>
      <c r="H22" s="382" t="str">
        <f>dtsiswa!D25</f>
        <v>Raihan Danang P</v>
      </c>
      <c r="I22" s="383">
        <f>IPA_KI4!X80</f>
        <v>0</v>
      </c>
      <c r="J22" s="383">
        <f>IPA_KI4!Y80</f>
        <v>3</v>
      </c>
      <c r="K22" s="383">
        <f>IPA_KI4!Z80</f>
        <v>0</v>
      </c>
      <c r="L22" s="669" t="str">
        <f t="shared" si="1"/>
        <v xml:space="preserve">Baik dalam Menyajikan laporan tentang sumberdaya alam dan pemanfaatannya oleh masyarakat. </v>
      </c>
      <c r="M22" s="134">
        <v>19</v>
      </c>
      <c r="N22" s="384" t="str">
        <f>dtsiswa!D25</f>
        <v>Raihan Danang P</v>
      </c>
      <c r="O22" s="385" t="str">
        <f t="shared" si="2"/>
        <v xml:space="preserve">    </v>
      </c>
      <c r="P22" s="386" t="str">
        <f t="shared" si="3"/>
        <v xml:space="preserve">Baik dalam Menyajikan laporan tentang sumberdaya alam dan pemanfaatannya oleh masyarakat.   </v>
      </c>
    </row>
    <row r="23" spans="1:16" ht="15" customHeight="1" x14ac:dyDescent="0.25">
      <c r="A23" s="134">
        <v>20</v>
      </c>
      <c r="B23" s="382" t="str">
        <f>dtsiswa!D26</f>
        <v>Roby Ardiyansyah</v>
      </c>
      <c r="C23" s="1110">
        <f>ipa_3!N64</f>
        <v>0</v>
      </c>
      <c r="D23" s="1110">
        <f>ipa_3!O64</f>
        <v>0</v>
      </c>
      <c r="E23" s="668" t="str">
        <f t="shared" si="0"/>
        <v xml:space="preserve">  </v>
      </c>
      <c r="G23" s="134">
        <v>20</v>
      </c>
      <c r="H23" s="382" t="str">
        <f>dtsiswa!D26</f>
        <v>Roby Ardiyansyah</v>
      </c>
      <c r="I23" s="383">
        <f>IPA_KI4!X84</f>
        <v>0</v>
      </c>
      <c r="J23" s="383">
        <f>IPA_KI4!Y84</f>
        <v>3</v>
      </c>
      <c r="K23" s="383">
        <f>IPA_KI4!Z84</f>
        <v>0</v>
      </c>
      <c r="L23" s="669" t="str">
        <f t="shared" si="1"/>
        <v xml:space="preserve">Baik dalam Menyajikan laporan tentang sumberdaya alam dan pemanfaatannya oleh masyarakat. </v>
      </c>
      <c r="M23" s="134">
        <v>20</v>
      </c>
      <c r="N23" s="384" t="str">
        <f>dtsiswa!D26</f>
        <v>Roby Ardiyansyah</v>
      </c>
      <c r="O23" s="385" t="str">
        <f t="shared" si="2"/>
        <v xml:space="preserve">    </v>
      </c>
      <c r="P23" s="386" t="str">
        <f t="shared" si="3"/>
        <v xml:space="preserve">Baik dalam Menyajikan laporan tentang sumberdaya alam dan pemanfaatannya oleh masyarakat.   </v>
      </c>
    </row>
    <row r="24" spans="1:16" ht="15" customHeight="1" x14ac:dyDescent="0.25">
      <c r="A24" s="134">
        <v>21</v>
      </c>
      <c r="B24" s="382" t="str">
        <f>dtsiswa!D27</f>
        <v>Rojalingga Prana A</v>
      </c>
      <c r="C24" s="1110">
        <f>ipa_3!N67</f>
        <v>0</v>
      </c>
      <c r="D24" s="1110">
        <f>ipa_3!O67</f>
        <v>0</v>
      </c>
      <c r="E24" s="668" t="str">
        <f t="shared" si="0"/>
        <v xml:space="preserve">  </v>
      </c>
      <c r="G24" s="134">
        <v>21</v>
      </c>
      <c r="H24" s="382" t="str">
        <f>dtsiswa!D27</f>
        <v>Rojalingga Prana A</v>
      </c>
      <c r="I24" s="383">
        <f>IPA_KI4!X88</f>
        <v>0</v>
      </c>
      <c r="J24" s="383">
        <f>IPA_KI4!Y88</f>
        <v>3</v>
      </c>
      <c r="K24" s="383">
        <f>IPA_KI4!Z88</f>
        <v>0</v>
      </c>
      <c r="L24" s="669" t="str">
        <f t="shared" si="1"/>
        <v xml:space="preserve">Baik dalam Menyajikan laporan tentang sumberdaya alam dan pemanfaatannya oleh masyarakat. </v>
      </c>
      <c r="M24" s="134">
        <v>21</v>
      </c>
      <c r="N24" s="384" t="str">
        <f>dtsiswa!D27</f>
        <v>Rojalingga Prana A</v>
      </c>
      <c r="O24" s="385" t="str">
        <f t="shared" si="2"/>
        <v xml:space="preserve">    </v>
      </c>
      <c r="P24" s="386" t="str">
        <f t="shared" si="3"/>
        <v xml:space="preserve">Baik dalam Menyajikan laporan tentang sumberdaya alam dan pemanfaatannya oleh masyarakat.   </v>
      </c>
    </row>
    <row r="25" spans="1:16" ht="15" customHeight="1" x14ac:dyDescent="0.25">
      <c r="A25" s="134">
        <v>22</v>
      </c>
      <c r="B25" s="382" t="str">
        <f>dtsiswa!D28</f>
        <v>Sally Savista A</v>
      </c>
      <c r="C25" s="1110">
        <f>ipa_3!N70</f>
        <v>0</v>
      </c>
      <c r="D25" s="1110">
        <f>ipa_3!O70</f>
        <v>0</v>
      </c>
      <c r="E25" s="668" t="str">
        <f t="shared" si="0"/>
        <v xml:space="preserve">  </v>
      </c>
      <c r="G25" s="134">
        <v>22</v>
      </c>
      <c r="H25" s="382" t="str">
        <f>dtsiswa!D28</f>
        <v>Sally Savista A</v>
      </c>
      <c r="I25" s="383">
        <f>IPA_KI4!X92</f>
        <v>0</v>
      </c>
      <c r="J25" s="383">
        <f>IPA_KI4!Y92</f>
        <v>3</v>
      </c>
      <c r="K25" s="383">
        <f>IPA_KI4!Z92</f>
        <v>0</v>
      </c>
      <c r="L25" s="669" t="str">
        <f t="shared" si="1"/>
        <v xml:space="preserve">Baik dalam Menyajikan laporan tentang sumberdaya alam dan pemanfaatannya oleh masyarakat. </v>
      </c>
      <c r="M25" s="134">
        <v>22</v>
      </c>
      <c r="N25" s="384" t="str">
        <f>dtsiswa!D28</f>
        <v>Sally Savista A</v>
      </c>
      <c r="O25" s="385" t="str">
        <f t="shared" si="2"/>
        <v xml:space="preserve">    </v>
      </c>
      <c r="P25" s="386" t="str">
        <f t="shared" si="3"/>
        <v xml:space="preserve">Baik dalam Menyajikan laporan tentang sumberdaya alam dan pemanfaatannya oleh masyarakat.   </v>
      </c>
    </row>
    <row r="26" spans="1:16" ht="15" customHeight="1" x14ac:dyDescent="0.25">
      <c r="A26" s="134">
        <v>23</v>
      </c>
      <c r="B26" s="382" t="str">
        <f>dtsiswa!D29</f>
        <v xml:space="preserve">Tania Kaori Angelita </v>
      </c>
      <c r="C26" s="1110">
        <f>ipa_3!N73</f>
        <v>0</v>
      </c>
      <c r="D26" s="1110">
        <f>ipa_3!O73</f>
        <v>0</v>
      </c>
      <c r="E26" s="668" t="str">
        <f t="shared" si="0"/>
        <v xml:space="preserve">  </v>
      </c>
      <c r="G26" s="134">
        <v>23</v>
      </c>
      <c r="H26" s="382" t="str">
        <f>dtsiswa!D29</f>
        <v xml:space="preserve">Tania Kaori Angelita </v>
      </c>
      <c r="I26" s="383">
        <f>IPA_KI4!X96</f>
        <v>0</v>
      </c>
      <c r="J26" s="383">
        <f>IPA_KI4!Y96</f>
        <v>3</v>
      </c>
      <c r="K26" s="383">
        <f>IPA_KI4!Z96</f>
        <v>0</v>
      </c>
      <c r="L26" s="669" t="str">
        <f t="shared" si="1"/>
        <v xml:space="preserve">Baik dalam Menyajikan laporan tentang sumberdaya alam dan pemanfaatannya oleh masyarakat. </v>
      </c>
      <c r="M26" s="134">
        <v>23</v>
      </c>
      <c r="N26" s="384" t="str">
        <f>dtsiswa!D29</f>
        <v xml:space="preserve">Tania Kaori Angelita </v>
      </c>
      <c r="O26" s="385" t="str">
        <f t="shared" si="2"/>
        <v xml:space="preserve">    </v>
      </c>
      <c r="P26" s="386" t="str">
        <f t="shared" si="3"/>
        <v xml:space="preserve">Baik dalam Menyajikan laporan tentang sumberdaya alam dan pemanfaatannya oleh masyarakat.   </v>
      </c>
    </row>
    <row r="27" spans="1:16" ht="15" customHeight="1" x14ac:dyDescent="0.25">
      <c r="A27" s="134">
        <v>24</v>
      </c>
      <c r="B27" s="382" t="str">
        <f>dtsiswa!D30</f>
        <v>Romzy Oka Ramadhani P</v>
      </c>
      <c r="C27" s="1110">
        <f>ipa_3!N76</f>
        <v>0</v>
      </c>
      <c r="D27" s="1110">
        <f>ipa_3!O76</f>
        <v>0</v>
      </c>
      <c r="E27" s="668" t="str">
        <f t="shared" si="0"/>
        <v xml:space="preserve">  </v>
      </c>
      <c r="G27" s="134">
        <v>24</v>
      </c>
      <c r="H27" s="382" t="str">
        <f>dtsiswa!D30</f>
        <v>Romzy Oka Ramadhani P</v>
      </c>
      <c r="I27" s="383">
        <f>IPA_KI4!X100</f>
        <v>0</v>
      </c>
      <c r="J27" s="383">
        <f>IPA_KI4!Y100</f>
        <v>3</v>
      </c>
      <c r="K27" s="383">
        <f>IPA_KI4!Z100</f>
        <v>0</v>
      </c>
      <c r="L27" s="669" t="str">
        <f t="shared" si="1"/>
        <v xml:space="preserve">Baik dalam Menyajikan laporan tentang sumberdaya alam dan pemanfaatannya oleh masyarakat. </v>
      </c>
      <c r="M27" s="134">
        <v>24</v>
      </c>
      <c r="N27" s="384" t="str">
        <f>dtsiswa!D30</f>
        <v>Romzy Oka Ramadhani P</v>
      </c>
      <c r="O27" s="385" t="str">
        <f t="shared" si="2"/>
        <v xml:space="preserve">    </v>
      </c>
      <c r="P27" s="386" t="str">
        <f t="shared" si="3"/>
        <v xml:space="preserve">Baik dalam Menyajikan laporan tentang sumberdaya alam dan pemanfaatannya oleh masyarakat.   </v>
      </c>
    </row>
    <row r="28" spans="1:16" ht="15" customHeight="1" x14ac:dyDescent="0.25">
      <c r="A28" s="134">
        <v>25</v>
      </c>
      <c r="B28" s="382" t="str">
        <f>dtsiswa!D31</f>
        <v>Larasati Jagadhita P</v>
      </c>
      <c r="C28" s="1110">
        <f>ipa_3!N79</f>
        <v>0</v>
      </c>
      <c r="D28" s="1110">
        <f>ipa_3!O79</f>
        <v>0</v>
      </c>
      <c r="E28" s="668" t="str">
        <f t="shared" si="0"/>
        <v xml:space="preserve">  </v>
      </c>
      <c r="G28" s="134">
        <v>25</v>
      </c>
      <c r="H28" s="382" t="str">
        <f>dtsiswa!D31</f>
        <v>Larasati Jagadhita P</v>
      </c>
      <c r="I28" s="383">
        <f>IPA_KI4!X104</f>
        <v>0</v>
      </c>
      <c r="J28" s="383">
        <f>IPA_KI4!Y104</f>
        <v>3</v>
      </c>
      <c r="K28" s="383">
        <f>IPA_KI4!Z104</f>
        <v>0</v>
      </c>
      <c r="L28" s="669" t="str">
        <f t="shared" si="1"/>
        <v xml:space="preserve">Baik dalam Menyajikan laporan tentang sumberdaya alam dan pemanfaatannya oleh masyarakat. </v>
      </c>
      <c r="M28" s="134">
        <v>25</v>
      </c>
      <c r="N28" s="384" t="str">
        <f>dtsiswa!D31</f>
        <v>Larasati Jagadhita P</v>
      </c>
      <c r="O28" s="385" t="str">
        <f t="shared" si="2"/>
        <v xml:space="preserve">    </v>
      </c>
      <c r="P28" s="386" t="str">
        <f t="shared" si="3"/>
        <v xml:space="preserve">Baik dalam Menyajikan laporan tentang sumberdaya alam dan pemanfaatannya oleh masyarakat.   </v>
      </c>
    </row>
    <row r="29" spans="1:16" ht="15" customHeight="1" x14ac:dyDescent="0.25">
      <c r="A29" s="134">
        <v>26</v>
      </c>
      <c r="B29" s="382" t="str">
        <f>dtsiswa!D32</f>
        <v>Meliana Citra A</v>
      </c>
      <c r="C29" s="1110">
        <f>ipa_3!N82</f>
        <v>0</v>
      </c>
      <c r="D29" s="1110">
        <f>ipa_3!O82</f>
        <v>0</v>
      </c>
      <c r="E29" s="668" t="str">
        <f t="shared" si="0"/>
        <v xml:space="preserve">  </v>
      </c>
      <c r="G29" s="134">
        <v>26</v>
      </c>
      <c r="H29" s="382" t="str">
        <f>dtsiswa!D32</f>
        <v>Meliana Citra A</v>
      </c>
      <c r="I29" s="383">
        <f>IPA_KI4!X108</f>
        <v>0</v>
      </c>
      <c r="J29" s="383">
        <f>IPA_KI4!Y108</f>
        <v>3</v>
      </c>
      <c r="K29" s="383">
        <f>IPA_KI4!Z108</f>
        <v>0</v>
      </c>
      <c r="L29" s="669" t="str">
        <f t="shared" si="1"/>
        <v xml:space="preserve">Baik dalam Menyajikan laporan tentang sumberdaya alam dan pemanfaatannya oleh masyarakat. </v>
      </c>
      <c r="M29" s="134">
        <v>26</v>
      </c>
      <c r="N29" s="384" t="str">
        <f>dtsiswa!D32</f>
        <v>Meliana Citra A</v>
      </c>
      <c r="O29" s="385" t="str">
        <f t="shared" si="2"/>
        <v xml:space="preserve">    </v>
      </c>
      <c r="P29" s="386" t="str">
        <f t="shared" si="3"/>
        <v xml:space="preserve">Baik dalam Menyajikan laporan tentang sumberdaya alam dan pemanfaatannya oleh masyarakat.   </v>
      </c>
    </row>
    <row r="30" spans="1:16" ht="15" customHeight="1" x14ac:dyDescent="0.25">
      <c r="A30" s="134">
        <v>27</v>
      </c>
      <c r="B30" s="382" t="str">
        <f>dtsiswa!D33</f>
        <v>Mohammad Rizky</v>
      </c>
      <c r="C30" s="1110">
        <f>ipa_3!N85</f>
        <v>0</v>
      </c>
      <c r="D30" s="1110">
        <f>ipa_3!O85</f>
        <v>0</v>
      </c>
      <c r="E30" s="668" t="str">
        <f t="shared" si="0"/>
        <v xml:space="preserve">  </v>
      </c>
      <c r="G30" s="134">
        <v>27</v>
      </c>
      <c r="H30" s="382" t="str">
        <f>dtsiswa!D33</f>
        <v>Mohammad Rizky</v>
      </c>
      <c r="I30" s="383">
        <f>IPA_KI4!X112</f>
        <v>0</v>
      </c>
      <c r="J30" s="383">
        <f>IPA_KI4!Y112</f>
        <v>3</v>
      </c>
      <c r="K30" s="383">
        <f>IPA_KI4!Z112</f>
        <v>0</v>
      </c>
      <c r="L30" s="669" t="str">
        <f t="shared" si="1"/>
        <v xml:space="preserve">Baik dalam Menyajikan laporan tentang sumberdaya alam dan pemanfaatannya oleh masyarakat. </v>
      </c>
      <c r="M30" s="134">
        <v>27</v>
      </c>
      <c r="N30" s="384" t="str">
        <f>dtsiswa!D33</f>
        <v>Mohammad Rizky</v>
      </c>
      <c r="O30" s="385" t="str">
        <f t="shared" si="2"/>
        <v xml:space="preserve">    </v>
      </c>
      <c r="P30" s="386" t="str">
        <f t="shared" si="3"/>
        <v xml:space="preserve">Baik dalam Menyajikan laporan tentang sumberdaya alam dan pemanfaatannya oleh masyarakat.   </v>
      </c>
    </row>
    <row r="31" spans="1:16" ht="15" customHeight="1" x14ac:dyDescent="0.25">
      <c r="A31" s="134">
        <v>28</v>
      </c>
      <c r="B31" s="382">
        <f>dtsiswa!D34</f>
        <v>0</v>
      </c>
      <c r="C31" s="1110">
        <f>ipa_3!N88</f>
        <v>0</v>
      </c>
      <c r="D31" s="1110">
        <f>ipa_3!O88</f>
        <v>0</v>
      </c>
      <c r="E31" s="668" t="str">
        <f t="shared" si="0"/>
        <v xml:space="preserve">  </v>
      </c>
      <c r="G31" s="134">
        <v>28</v>
      </c>
      <c r="H31" s="382">
        <f>dtsiswa!D34</f>
        <v>0</v>
      </c>
      <c r="I31" s="383">
        <f>IPA_KI4!X116</f>
        <v>0</v>
      </c>
      <c r="J31" s="383">
        <f>IPA_KI4!Y116</f>
        <v>3</v>
      </c>
      <c r="K31" s="383">
        <f>IPA_KI4!Z116</f>
        <v>0</v>
      </c>
      <c r="L31" s="669" t="str">
        <f t="shared" si="1"/>
        <v xml:space="preserve">Baik dalam Menyajikan laporan tentang sumberdaya alam dan pemanfaatannya oleh masyarakat. </v>
      </c>
      <c r="M31" s="134">
        <v>28</v>
      </c>
      <c r="N31" s="384">
        <f>dtsiswa!D34</f>
        <v>0</v>
      </c>
      <c r="O31" s="385" t="str">
        <f t="shared" si="2"/>
        <v xml:space="preserve">    </v>
      </c>
      <c r="P31" s="386" t="str">
        <f t="shared" si="3"/>
        <v xml:space="preserve">Baik dalam Menyajikan laporan tentang sumberdaya alam dan pemanfaatannya oleh masyarakat.   </v>
      </c>
    </row>
    <row r="32" spans="1:16" ht="15" customHeight="1" x14ac:dyDescent="0.25">
      <c r="A32" s="134">
        <v>29</v>
      </c>
      <c r="B32" s="382">
        <f>dtsiswa!D35</f>
        <v>0</v>
      </c>
      <c r="C32" s="1110">
        <f>ipa_3!N91</f>
        <v>0</v>
      </c>
      <c r="D32" s="1110">
        <f>ipa_3!O91</f>
        <v>0</v>
      </c>
      <c r="E32" s="668" t="str">
        <f t="shared" si="0"/>
        <v xml:space="preserve">  </v>
      </c>
      <c r="G32" s="134">
        <v>29</v>
      </c>
      <c r="H32" s="382">
        <f>dtsiswa!D35</f>
        <v>0</v>
      </c>
      <c r="I32" s="383">
        <f>IPA_KI4!X120</f>
        <v>0</v>
      </c>
      <c r="J32" s="383">
        <f>IPA_KI4!Y120</f>
        <v>3</v>
      </c>
      <c r="K32" s="383">
        <f>IPA_KI4!Z120</f>
        <v>0</v>
      </c>
      <c r="L32" s="669" t="str">
        <f t="shared" si="1"/>
        <v xml:space="preserve">Baik dalam Menyajikan laporan tentang sumberdaya alam dan pemanfaatannya oleh masyarakat. </v>
      </c>
      <c r="M32" s="134">
        <v>29</v>
      </c>
      <c r="N32" s="384">
        <f>dtsiswa!D35</f>
        <v>0</v>
      </c>
      <c r="O32" s="385" t="str">
        <f t="shared" si="2"/>
        <v xml:space="preserve">    </v>
      </c>
      <c r="P32" s="386" t="str">
        <f t="shared" si="3"/>
        <v xml:space="preserve">Baik dalam Menyajikan laporan tentang sumberdaya alam dan pemanfaatannya oleh masyarakat.   </v>
      </c>
    </row>
    <row r="33" spans="1:16" ht="15" customHeight="1" x14ac:dyDescent="0.25">
      <c r="A33" s="134">
        <v>30</v>
      </c>
      <c r="B33" s="382">
        <f>dtsiswa!D36</f>
        <v>0</v>
      </c>
      <c r="C33" s="1110">
        <f>ipa_3!N94</f>
        <v>0</v>
      </c>
      <c r="D33" s="1110">
        <f>ipa_3!O94</f>
        <v>0</v>
      </c>
      <c r="E33" s="668" t="str">
        <f t="shared" si="0"/>
        <v xml:space="preserve">  </v>
      </c>
      <c r="G33" s="134">
        <v>30</v>
      </c>
      <c r="H33" s="382">
        <f>dtsiswa!D36</f>
        <v>0</v>
      </c>
      <c r="I33" s="383">
        <f>IPA_KI4!X124</f>
        <v>0</v>
      </c>
      <c r="J33" s="383">
        <f>IPA_KI4!Y124</f>
        <v>3</v>
      </c>
      <c r="K33" s="383">
        <f>IPA_KI4!Z124</f>
        <v>0</v>
      </c>
      <c r="L33" s="669" t="str">
        <f t="shared" si="1"/>
        <v xml:space="preserve">Baik dalam Menyajikan laporan tentang sumberdaya alam dan pemanfaatannya oleh masyarakat. </v>
      </c>
      <c r="M33" s="134">
        <v>30</v>
      </c>
      <c r="N33" s="384">
        <f>dtsiswa!D36</f>
        <v>0</v>
      </c>
      <c r="O33" s="385" t="str">
        <f t="shared" si="2"/>
        <v xml:space="preserve">    </v>
      </c>
      <c r="P33" s="386" t="str">
        <f t="shared" si="3"/>
        <v xml:space="preserve">Baik dalam Menyajikan laporan tentang sumberdaya alam dan pemanfaatannya oleh masyarakat.   </v>
      </c>
    </row>
    <row r="34" spans="1:16" ht="15" customHeight="1" x14ac:dyDescent="0.25">
      <c r="A34" s="134">
        <v>31</v>
      </c>
      <c r="B34" s="382">
        <f>dtsiswa!D37</f>
        <v>0</v>
      </c>
      <c r="C34" s="1110">
        <f>ipa_3!N97</f>
        <v>0</v>
      </c>
      <c r="D34" s="1110">
        <f>ipa_3!O97</f>
        <v>0</v>
      </c>
      <c r="E34" s="668" t="str">
        <f t="shared" si="0"/>
        <v xml:space="preserve">  </v>
      </c>
      <c r="G34" s="134">
        <v>31</v>
      </c>
      <c r="H34" s="382">
        <f>dtsiswa!D37</f>
        <v>0</v>
      </c>
      <c r="I34" s="383">
        <f>IPA_KI4!X128</f>
        <v>0</v>
      </c>
      <c r="J34" s="383">
        <f>IPA_KI4!Y128</f>
        <v>3</v>
      </c>
      <c r="K34" s="383">
        <f>IPA_KI4!Z128</f>
        <v>0</v>
      </c>
      <c r="L34" s="669" t="str">
        <f t="shared" si="1"/>
        <v xml:space="preserve">Baik dalam Menyajikan laporan tentang sumberdaya alam dan pemanfaatannya oleh masyarakat. </v>
      </c>
      <c r="M34" s="134">
        <v>31</v>
      </c>
      <c r="N34" s="384">
        <f>dtsiswa!D37</f>
        <v>0</v>
      </c>
      <c r="O34" s="385" t="str">
        <f t="shared" si="2"/>
        <v xml:space="preserve">    </v>
      </c>
      <c r="P34" s="386" t="str">
        <f t="shared" si="3"/>
        <v xml:space="preserve">Baik dalam Menyajikan laporan tentang sumberdaya alam dan pemanfaatannya oleh masyarakat.   </v>
      </c>
    </row>
    <row r="35" spans="1:16" ht="15" customHeight="1" x14ac:dyDescent="0.25">
      <c r="A35" s="134">
        <v>32</v>
      </c>
      <c r="B35" s="382">
        <f>dtsiswa!D38</f>
        <v>0</v>
      </c>
      <c r="C35" s="1110">
        <f>ipa_3!N100</f>
        <v>0</v>
      </c>
      <c r="D35" s="1110">
        <f>ipa_3!O100</f>
        <v>0</v>
      </c>
      <c r="E35" s="668" t="str">
        <f t="shared" si="0"/>
        <v xml:space="preserve">  </v>
      </c>
      <c r="G35" s="134">
        <v>32</v>
      </c>
      <c r="H35" s="382">
        <f>dtsiswa!D38</f>
        <v>0</v>
      </c>
      <c r="I35" s="383">
        <f>IPA_KI4!X132</f>
        <v>0</v>
      </c>
      <c r="J35" s="383">
        <f>IPA_KI4!Y132</f>
        <v>3</v>
      </c>
      <c r="K35" s="383">
        <f>IPA_KI4!Z132</f>
        <v>0</v>
      </c>
      <c r="L35" s="669" t="str">
        <f t="shared" si="1"/>
        <v xml:space="preserve">Baik dalam Menyajikan laporan tentang sumberdaya alam dan pemanfaatannya oleh masyarakat. </v>
      </c>
      <c r="M35" s="134">
        <v>32</v>
      </c>
      <c r="N35" s="384">
        <f>dtsiswa!D38</f>
        <v>0</v>
      </c>
      <c r="O35" s="385" t="str">
        <f t="shared" si="2"/>
        <v xml:space="preserve">    </v>
      </c>
      <c r="P35" s="386" t="str">
        <f t="shared" si="3"/>
        <v xml:space="preserve">Baik dalam Menyajikan laporan tentang sumberdaya alam dan pemanfaatannya oleh masyarakat.   </v>
      </c>
    </row>
    <row r="36" spans="1:16" ht="15" customHeight="1" x14ac:dyDescent="0.25">
      <c r="A36" s="134">
        <v>33</v>
      </c>
      <c r="B36" s="382">
        <f>dtsiswa!D39</f>
        <v>0</v>
      </c>
      <c r="C36" s="1110">
        <f>ipa_3!N103</f>
        <v>0</v>
      </c>
      <c r="D36" s="1110">
        <f>ipa_3!O103</f>
        <v>0</v>
      </c>
      <c r="E36" s="668" t="str">
        <f t="shared" si="0"/>
        <v xml:space="preserve">  </v>
      </c>
      <c r="G36" s="134">
        <v>33</v>
      </c>
      <c r="H36" s="382">
        <f>dtsiswa!D39</f>
        <v>0</v>
      </c>
      <c r="I36" s="383">
        <f>IPA_KI4!X136</f>
        <v>0</v>
      </c>
      <c r="J36" s="383">
        <f>IPA_KI4!Y136</f>
        <v>3</v>
      </c>
      <c r="K36" s="383">
        <f>IPA_KI4!Z136</f>
        <v>0</v>
      </c>
      <c r="L36" s="669" t="str">
        <f t="shared" si="1"/>
        <v xml:space="preserve">Baik dalam Menyajikan laporan tentang sumberdaya alam dan pemanfaatannya oleh masyarakat. </v>
      </c>
      <c r="M36" s="134">
        <v>33</v>
      </c>
      <c r="N36" s="384">
        <f>dtsiswa!D39</f>
        <v>0</v>
      </c>
      <c r="O36" s="385" t="str">
        <f t="shared" si="2"/>
        <v xml:space="preserve">    </v>
      </c>
      <c r="P36" s="386" t="str">
        <f t="shared" si="3"/>
        <v xml:space="preserve">Baik dalam Menyajikan laporan tentang sumberdaya alam dan pemanfaatannya oleh masyarakat.   </v>
      </c>
    </row>
    <row r="37" spans="1:16" ht="15" customHeight="1" x14ac:dyDescent="0.25">
      <c r="A37" s="134">
        <v>34</v>
      </c>
      <c r="B37" s="382">
        <f>dtsiswa!D40</f>
        <v>0</v>
      </c>
      <c r="C37" s="1110">
        <f>ipa_3!N106</f>
        <v>0</v>
      </c>
      <c r="D37" s="1110">
        <f>ipa_3!O106</f>
        <v>0</v>
      </c>
      <c r="E37" s="668" t="str">
        <f t="shared" si="0"/>
        <v xml:space="preserve">  </v>
      </c>
      <c r="G37" s="134">
        <v>34</v>
      </c>
      <c r="H37" s="382">
        <f>dtsiswa!D40</f>
        <v>0</v>
      </c>
      <c r="I37" s="383">
        <f>IPA_KI4!X140</f>
        <v>0</v>
      </c>
      <c r="J37" s="383">
        <f>IPA_KI4!Y140</f>
        <v>3</v>
      </c>
      <c r="K37" s="383">
        <f>IPA_KI4!Z140</f>
        <v>0</v>
      </c>
      <c r="L37" s="669" t="str">
        <f t="shared" si="1"/>
        <v xml:space="preserve">Baik dalam Menyajikan laporan tentang sumberdaya alam dan pemanfaatannya oleh masyarakat. </v>
      </c>
      <c r="M37" s="134">
        <v>34</v>
      </c>
      <c r="N37" s="384">
        <f>dtsiswa!D40</f>
        <v>0</v>
      </c>
      <c r="O37" s="385" t="str">
        <f t="shared" si="2"/>
        <v xml:space="preserve">    </v>
      </c>
      <c r="P37" s="386" t="str">
        <f t="shared" si="3"/>
        <v xml:space="preserve">Baik dalam Menyajikan laporan tentang sumberdaya alam dan pemanfaatannya oleh masyarakat.   </v>
      </c>
    </row>
    <row r="38" spans="1:16" ht="15" customHeight="1" x14ac:dyDescent="0.25">
      <c r="A38" s="134">
        <v>35</v>
      </c>
      <c r="B38" s="382">
        <f>dtsiswa!D41</f>
        <v>0</v>
      </c>
      <c r="C38" s="1110">
        <f>ipa_3!N109</f>
        <v>0</v>
      </c>
      <c r="D38" s="1110">
        <f>ipa_3!O109</f>
        <v>0</v>
      </c>
      <c r="E38" s="668" t="str">
        <f t="shared" si="0"/>
        <v xml:space="preserve">  </v>
      </c>
      <c r="G38" s="134">
        <v>35</v>
      </c>
      <c r="H38" s="382">
        <f>dtsiswa!D41</f>
        <v>0</v>
      </c>
      <c r="I38" s="383">
        <f>IPA_KI4!X144</f>
        <v>0</v>
      </c>
      <c r="J38" s="383">
        <f>IPA_KI4!Y144</f>
        <v>3</v>
      </c>
      <c r="K38" s="383">
        <f>IPA_KI4!Z144</f>
        <v>0</v>
      </c>
      <c r="L38" s="669" t="str">
        <f t="shared" si="1"/>
        <v xml:space="preserve">Baik dalam Menyajikan laporan tentang sumberdaya alam dan pemanfaatannya oleh masyarakat. </v>
      </c>
      <c r="M38" s="134">
        <v>35</v>
      </c>
      <c r="N38" s="384">
        <f>dtsiswa!D41</f>
        <v>0</v>
      </c>
      <c r="O38" s="385" t="str">
        <f t="shared" si="2"/>
        <v xml:space="preserve">    </v>
      </c>
      <c r="P38" s="386" t="str">
        <f t="shared" si="3"/>
        <v xml:space="preserve">Baik dalam Menyajikan laporan tentang sumberdaya alam dan pemanfaatannya oleh masyarakat.   </v>
      </c>
    </row>
    <row r="39" spans="1:16" ht="15" customHeight="1" x14ac:dyDescent="0.25">
      <c r="A39" s="134">
        <v>36</v>
      </c>
      <c r="B39" s="382">
        <f>dtsiswa!D42</f>
        <v>0</v>
      </c>
      <c r="C39" s="1110">
        <f>ipa_3!N102</f>
        <v>0</v>
      </c>
      <c r="D39" s="1110">
        <f>ipa_3!O102</f>
        <v>0</v>
      </c>
      <c r="E39" s="668" t="str">
        <f t="shared" si="0"/>
        <v xml:space="preserve">  </v>
      </c>
      <c r="G39" s="134">
        <v>36</v>
      </c>
      <c r="H39" s="382">
        <f>dtsiswa!D42</f>
        <v>0</v>
      </c>
      <c r="I39" s="383">
        <f>IPA_KI4!X148</f>
        <v>0</v>
      </c>
      <c r="J39" s="383">
        <f>IPA_KI4!Y148</f>
        <v>3</v>
      </c>
      <c r="K39" s="383">
        <f>IPA_KI4!Z148</f>
        <v>0</v>
      </c>
      <c r="L39" s="669" t="str">
        <f t="shared" si="1"/>
        <v xml:space="preserve">Baik dalam Menyajikan laporan tentang sumberdaya alam dan pemanfaatannya oleh masyarakat. </v>
      </c>
      <c r="M39" s="134">
        <v>36</v>
      </c>
      <c r="N39" s="384">
        <f>dtsiswa!D42</f>
        <v>0</v>
      </c>
      <c r="O39" s="385" t="str">
        <f t="shared" si="2"/>
        <v xml:space="preserve">    </v>
      </c>
      <c r="P39" s="386" t="str">
        <f t="shared" si="3"/>
        <v xml:space="preserve">Baik dalam Menyajikan laporan tentang sumberdaya alam dan pemanfaatannya oleh masyarakat.   </v>
      </c>
    </row>
    <row r="40" spans="1:16" ht="15" customHeight="1" x14ac:dyDescent="0.25">
      <c r="A40" s="134">
        <v>37</v>
      </c>
      <c r="B40" s="382">
        <f>dtsiswa!D43</f>
        <v>0</v>
      </c>
      <c r="C40" s="1110">
        <f>ipa_3!N105</f>
        <v>0</v>
      </c>
      <c r="D40" s="1110">
        <f>ipa_3!O105</f>
        <v>0</v>
      </c>
      <c r="E40" s="668" t="str">
        <f t="shared" si="0"/>
        <v xml:space="preserve">  </v>
      </c>
      <c r="G40" s="134">
        <v>37</v>
      </c>
      <c r="H40" s="382">
        <f>dtsiswa!D43</f>
        <v>0</v>
      </c>
      <c r="I40" s="383">
        <f>IPA_KI4!X152</f>
        <v>0</v>
      </c>
      <c r="J40" s="383">
        <f>IPA_KI4!Y152</f>
        <v>3</v>
      </c>
      <c r="K40" s="383">
        <f>IPA_KI4!Z152</f>
        <v>0</v>
      </c>
      <c r="L40" s="669" t="str">
        <f t="shared" si="1"/>
        <v xml:space="preserve">Baik dalam Menyajikan laporan tentang sumberdaya alam dan pemanfaatannya oleh masyarakat. </v>
      </c>
      <c r="M40" s="134">
        <v>37</v>
      </c>
      <c r="N40" s="384">
        <f>dtsiswa!D43</f>
        <v>0</v>
      </c>
      <c r="O40" s="385" t="str">
        <f t="shared" si="2"/>
        <v xml:space="preserve">    </v>
      </c>
      <c r="P40" s="386" t="str">
        <f t="shared" si="3"/>
        <v xml:space="preserve">Baik dalam Menyajikan laporan tentang sumberdaya alam dan pemanfaatannya oleh masyarakat.   </v>
      </c>
    </row>
    <row r="41" spans="1:16" ht="15" customHeight="1" x14ac:dyDescent="0.25">
      <c r="A41" s="134">
        <v>38</v>
      </c>
      <c r="B41" s="382">
        <f>dtsiswa!D44</f>
        <v>0</v>
      </c>
      <c r="C41" s="1110">
        <f>ipa_3!N108</f>
        <v>0</v>
      </c>
      <c r="D41" s="1110">
        <f>ipa_3!O108</f>
        <v>0</v>
      </c>
      <c r="E41" s="668" t="str">
        <f t="shared" si="0"/>
        <v xml:space="preserve">  </v>
      </c>
      <c r="G41" s="134">
        <v>38</v>
      </c>
      <c r="H41" s="382">
        <f>dtsiswa!D44</f>
        <v>0</v>
      </c>
      <c r="I41" s="383">
        <f>IPA_KI4!X156</f>
        <v>0</v>
      </c>
      <c r="J41" s="383">
        <f>IPA_KI4!Y156</f>
        <v>3</v>
      </c>
      <c r="K41" s="383">
        <f>IPA_KI4!Z156</f>
        <v>0</v>
      </c>
      <c r="L41" s="669" t="str">
        <f t="shared" si="1"/>
        <v xml:space="preserve">Baik dalam Menyajikan laporan tentang sumberdaya alam dan pemanfaatannya oleh masyarakat. </v>
      </c>
      <c r="M41" s="134">
        <v>38</v>
      </c>
      <c r="N41" s="384">
        <f>dtsiswa!D44</f>
        <v>0</v>
      </c>
      <c r="O41" s="385" t="str">
        <f t="shared" si="2"/>
        <v xml:space="preserve">    </v>
      </c>
      <c r="P41" s="386" t="str">
        <f t="shared" si="3"/>
        <v xml:space="preserve">Baik dalam Menyajikan laporan tentang sumberdaya alam dan pemanfaatannya oleh masyarakat.   </v>
      </c>
    </row>
    <row r="42" spans="1:16" ht="15" customHeight="1" x14ac:dyDescent="0.25">
      <c r="A42" s="134">
        <v>39</v>
      </c>
      <c r="B42" s="382">
        <f>dtsiswa!D45</f>
        <v>0</v>
      </c>
      <c r="C42" s="1110">
        <f>ipa_3!N111</f>
        <v>0</v>
      </c>
      <c r="D42" s="1110">
        <f>ipa_3!O111</f>
        <v>0</v>
      </c>
      <c r="E42" s="668" t="str">
        <f t="shared" si="0"/>
        <v xml:space="preserve">  </v>
      </c>
      <c r="G42" s="134">
        <v>39</v>
      </c>
      <c r="H42" s="382">
        <f>dtsiswa!D45</f>
        <v>0</v>
      </c>
      <c r="I42" s="383">
        <f>IPA_KI4!X160</f>
        <v>0</v>
      </c>
      <c r="J42" s="383">
        <f>IPA_KI4!Y160</f>
        <v>3</v>
      </c>
      <c r="K42" s="383">
        <f>IPA_KI4!Z160</f>
        <v>0</v>
      </c>
      <c r="L42" s="669" t="str">
        <f t="shared" si="1"/>
        <v xml:space="preserve">Baik dalam Menyajikan laporan tentang sumberdaya alam dan pemanfaatannya oleh masyarakat. </v>
      </c>
      <c r="M42" s="134">
        <v>39</v>
      </c>
      <c r="N42" s="384">
        <f>dtsiswa!D45</f>
        <v>0</v>
      </c>
      <c r="O42" s="385" t="str">
        <f t="shared" si="2"/>
        <v xml:space="preserve">    </v>
      </c>
      <c r="P42" s="386" t="str">
        <f t="shared" si="3"/>
        <v xml:space="preserve">Baik dalam Menyajikan laporan tentang sumberdaya alam dan pemanfaatannya oleh masyarakat.   </v>
      </c>
    </row>
    <row r="43" spans="1:16" ht="15" customHeight="1" x14ac:dyDescent="0.25">
      <c r="A43" s="134">
        <v>40</v>
      </c>
      <c r="B43" s="382">
        <f>dtsiswa!D46</f>
        <v>0</v>
      </c>
      <c r="C43" s="1110">
        <f>ipa_3!N114</f>
        <v>0</v>
      </c>
      <c r="D43" s="1110">
        <f>ipa_3!O114</f>
        <v>0</v>
      </c>
      <c r="E43" s="668" t="str">
        <f t="shared" si="0"/>
        <v xml:space="preserve">  </v>
      </c>
      <c r="G43" s="134">
        <v>40</v>
      </c>
      <c r="H43" s="382">
        <f>dtsiswa!D46</f>
        <v>0</v>
      </c>
      <c r="I43" s="383">
        <f>IPA_KI4!X164</f>
        <v>0</v>
      </c>
      <c r="J43" s="383">
        <f>IPA_KI4!Y164</f>
        <v>3</v>
      </c>
      <c r="K43" s="383">
        <f>IPA_KI4!Z164</f>
        <v>0</v>
      </c>
      <c r="L43" s="669" t="str">
        <f t="shared" si="1"/>
        <v xml:space="preserve">Baik dalam Menyajikan laporan tentang sumberdaya alam dan pemanfaatannya oleh masyarakat. </v>
      </c>
      <c r="M43" s="134">
        <v>40</v>
      </c>
      <c r="N43" s="384">
        <f>dtsiswa!D46</f>
        <v>0</v>
      </c>
      <c r="O43" s="385" t="str">
        <f t="shared" si="2"/>
        <v xml:space="preserve">    </v>
      </c>
      <c r="P43" s="386" t="str">
        <f t="shared" si="3"/>
        <v xml:space="preserve">Baik dalam Menyajikan laporan tentang sumberdaya alam dan pemanfaatannya oleh masyarakat.   </v>
      </c>
    </row>
    <row r="44" spans="1:16" ht="21" x14ac:dyDescent="0.35">
      <c r="A44" s="388">
        <v>1</v>
      </c>
      <c r="B44" s="389">
        <v>2</v>
      </c>
      <c r="C44" s="388">
        <v>3</v>
      </c>
      <c r="D44" s="389">
        <v>4</v>
      </c>
      <c r="E44" s="391">
        <v>11</v>
      </c>
      <c r="F44" s="389">
        <v>12</v>
      </c>
      <c r="G44" s="388">
        <v>13</v>
      </c>
      <c r="H44" s="389">
        <v>14</v>
      </c>
      <c r="I44" s="388">
        <v>15</v>
      </c>
      <c r="J44" s="389">
        <v>16</v>
      </c>
      <c r="K44" s="388">
        <v>17</v>
      </c>
      <c r="L44" s="391">
        <v>25</v>
      </c>
      <c r="M44" s="389">
        <v>26</v>
      </c>
      <c r="N44" s="388">
        <v>27</v>
      </c>
      <c r="O44" s="392">
        <v>28</v>
      </c>
      <c r="P44" s="393">
        <v>29</v>
      </c>
    </row>
    <row r="45" spans="1:16" x14ac:dyDescent="0.25">
      <c r="A45" s="373"/>
      <c r="B45" s="373"/>
      <c r="C45" s="373"/>
      <c r="D45" s="373"/>
      <c r="E45" s="373"/>
      <c r="G45" s="373"/>
      <c r="H45" s="373"/>
      <c r="I45" s="373"/>
      <c r="J45" s="373"/>
      <c r="K45" s="373"/>
      <c r="L45" s="373"/>
    </row>
    <row r="46" spans="1:16" x14ac:dyDescent="0.25">
      <c r="A46" s="373"/>
      <c r="B46" s="373"/>
      <c r="C46" s="373"/>
      <c r="D46" s="373"/>
      <c r="E46" s="373"/>
      <c r="F46" s="364"/>
      <c r="G46" s="373"/>
      <c r="H46" s="373"/>
      <c r="I46" s="373"/>
      <c r="J46" s="373"/>
      <c r="K46" s="373"/>
      <c r="L46" s="373"/>
    </row>
    <row r="47" spans="1:16" ht="18.75" customHeight="1" x14ac:dyDescent="0.35">
      <c r="A47" s="373"/>
      <c r="B47" s="373"/>
      <c r="C47" s="373"/>
      <c r="D47" s="373"/>
      <c r="E47" s="373"/>
      <c r="F47" s="364"/>
      <c r="G47" s="2907" t="s">
        <v>696</v>
      </c>
      <c r="H47" s="2907"/>
      <c r="I47" s="2907"/>
      <c r="J47" s="2907"/>
      <c r="K47" s="373"/>
      <c r="L47" s="373"/>
      <c r="M47" s="373"/>
    </row>
    <row r="48" spans="1:16" ht="27" thickBot="1" x14ac:dyDescent="0.45">
      <c r="A48" s="2907" t="s">
        <v>620</v>
      </c>
      <c r="B48" s="2907"/>
      <c r="C48" s="2907"/>
      <c r="D48" s="2907"/>
      <c r="E48" s="373"/>
      <c r="F48" s="364"/>
      <c r="G48" s="376" t="s">
        <v>741</v>
      </c>
      <c r="H48" s="373"/>
      <c r="I48" s="373"/>
      <c r="J48" s="373"/>
      <c r="K48" s="373"/>
      <c r="L48" s="373"/>
      <c r="M48" s="373"/>
    </row>
    <row r="49" spans="1:12" ht="32.25" customHeight="1" thickBot="1" x14ac:dyDescent="0.3">
      <c r="A49" s="396" t="s">
        <v>148</v>
      </c>
      <c r="B49" s="373"/>
      <c r="C49" s="373"/>
      <c r="D49" s="373"/>
      <c r="E49" s="373"/>
      <c r="F49" s="364"/>
      <c r="G49" s="670" t="s">
        <v>0</v>
      </c>
      <c r="H49" s="671" t="s">
        <v>1</v>
      </c>
      <c r="I49" s="924" t="s">
        <v>11</v>
      </c>
      <c r="J49" s="924" t="s">
        <v>189</v>
      </c>
      <c r="K49" s="924" t="s">
        <v>186</v>
      </c>
      <c r="L49" s="240" t="s">
        <v>138</v>
      </c>
    </row>
    <row r="50" spans="1:12" ht="27.75" customHeight="1" thickBot="1" x14ac:dyDescent="0.3">
      <c r="A50" s="377" t="s">
        <v>0</v>
      </c>
      <c r="B50" s="377" t="s">
        <v>1</v>
      </c>
      <c r="C50" s="1044" t="s">
        <v>12</v>
      </c>
      <c r="D50" s="1044" t="s">
        <v>7</v>
      </c>
      <c r="E50" s="152" t="s">
        <v>138</v>
      </c>
      <c r="F50" s="364"/>
      <c r="G50" s="672">
        <v>1</v>
      </c>
      <c r="H50" s="673" t="str">
        <f>dtsiswa!D7</f>
        <v>Achmad Zacky</v>
      </c>
      <c r="I50" s="399">
        <f>pkn_ki4!AA8</f>
        <v>3</v>
      </c>
      <c r="J50" s="399">
        <f>pkn_ki4!AB8</f>
        <v>0</v>
      </c>
      <c r="K50" s="399">
        <f>pkn_ki4!AC8</f>
        <v>0</v>
      </c>
      <c r="L50" s="674" t="str">
        <f t="shared" ref="L50:L89" si="4">IF(OR(I50=2,I50=3),VLOOKUP(I50,DES_KI4_IPA,2,FALSE),IF(OR(J50=2,J50=3),VLOOKUP(J50,DES_KI4_IPA,3,FALSE),IF(OR(K50=2,K50=3),VLOOKUP(K50,DES_KI4_IPA,4,FALSE),"  ")))</f>
        <v xml:space="preserve">Baik dalam Menyajikan laporan tentang sumberdaya alam dan pemanfaatannya oleh masyarakat. </v>
      </c>
    </row>
    <row r="51" spans="1:12" ht="20.100000000000001" customHeight="1" thickBot="1" x14ac:dyDescent="0.3">
      <c r="A51" s="134">
        <v>1</v>
      </c>
      <c r="B51" s="382" t="str">
        <f>dtsiswa!D7</f>
        <v>Achmad Zacky</v>
      </c>
      <c r="C51" s="999">
        <f>ipa_3!P7</f>
        <v>3</v>
      </c>
      <c r="D51" s="1163">
        <f>ipa_3!Q7</f>
        <v>0</v>
      </c>
      <c r="E51" s="669" t="str">
        <f t="shared" ref="E51:E90" si="5">IF(OR(C51=2,C51=3),VLOOKUP(C51,DES_KI3_IPA,2,FALSE),IF(OR(D51=2,D51=3),VLOOKUP(D51,DES_KI3_IPA,3,FALSE),"  "))</f>
        <v xml:space="preserve">Baik dalam Mendeskripsikan siklus air dan dampaknya pada peristiwa di bumi serta kelangsungan mahluk hidup. </v>
      </c>
      <c r="G51" s="675">
        <v>2</v>
      </c>
      <c r="H51" s="382" t="str">
        <f>dtsiswa!D8</f>
        <v>Angelia Vabel R</v>
      </c>
      <c r="I51" s="999">
        <f>pkn_ki4!AA12</f>
        <v>0</v>
      </c>
      <c r="J51" s="999">
        <f>pkn_ki4!AB12</f>
        <v>0</v>
      </c>
      <c r="K51" s="999">
        <f>pkn_ki4!AC12</f>
        <v>0</v>
      </c>
      <c r="L51" s="674" t="str">
        <f t="shared" si="4"/>
        <v xml:space="preserve">  </v>
      </c>
    </row>
    <row r="52" spans="1:12" ht="20.100000000000001" customHeight="1" thickBot="1" x14ac:dyDescent="0.3">
      <c r="A52" s="134">
        <v>2</v>
      </c>
      <c r="B52" s="382" t="str">
        <f>dtsiswa!D8</f>
        <v>Angelia Vabel R</v>
      </c>
      <c r="C52" s="999">
        <f>ipa_3!P10</f>
        <v>0</v>
      </c>
      <c r="D52" s="1163">
        <f>ipa_3!Q10</f>
        <v>2</v>
      </c>
      <c r="E52" s="669" t="str">
        <f t="shared" si="5"/>
        <v xml:space="preserve">Cukup baik dalam Mengenal sistem pernafasan hewan dan manusia serta penyakit yang berkaitan dengan pernafasan. </v>
      </c>
      <c r="G52" s="675">
        <v>3</v>
      </c>
      <c r="H52" s="382" t="str">
        <f>dtsiswa!D9</f>
        <v>Anggun Dwi P.I</v>
      </c>
      <c r="I52" s="999">
        <f>pkn_ki4!AA16</f>
        <v>0</v>
      </c>
      <c r="J52" s="999">
        <f>pkn_ki4!AB16</f>
        <v>0</v>
      </c>
      <c r="K52" s="999">
        <f>pkn_ki4!AC16</f>
        <v>0</v>
      </c>
      <c r="L52" s="674" t="str">
        <f t="shared" si="4"/>
        <v xml:space="preserve">  </v>
      </c>
    </row>
    <row r="53" spans="1:12" ht="20.100000000000001" customHeight="1" thickBot="1" x14ac:dyDescent="0.3">
      <c r="A53" s="134">
        <v>3</v>
      </c>
      <c r="B53" s="382" t="str">
        <f>dtsiswa!D9</f>
        <v>Anggun Dwi P.I</v>
      </c>
      <c r="C53" s="1163">
        <f>ipa_3!P13</f>
        <v>0</v>
      </c>
      <c r="D53" s="1163">
        <f>ipa_3!Q13</f>
        <v>0</v>
      </c>
      <c r="E53" s="669" t="str">
        <f t="shared" si="5"/>
        <v xml:space="preserve">  </v>
      </c>
      <c r="G53" s="675">
        <v>4</v>
      </c>
      <c r="H53" s="382" t="str">
        <f>dtsiswa!D10</f>
        <v>Antonio Permata A</v>
      </c>
      <c r="I53" s="999">
        <f>pkn_ki4!AA20</f>
        <v>0</v>
      </c>
      <c r="J53" s="999">
        <f>pkn_ki4!AB20</f>
        <v>0</v>
      </c>
      <c r="K53" s="999">
        <f>pkn_ki4!AC20</f>
        <v>0</v>
      </c>
      <c r="L53" s="674" t="str">
        <f t="shared" si="4"/>
        <v xml:space="preserve">  </v>
      </c>
    </row>
    <row r="54" spans="1:12" ht="20.100000000000001" customHeight="1" thickBot="1" x14ac:dyDescent="0.3">
      <c r="A54" s="134">
        <v>4</v>
      </c>
      <c r="B54" s="382" t="str">
        <f>dtsiswa!D10</f>
        <v>Antonio Permata A</v>
      </c>
      <c r="C54" s="1163">
        <f>ipa_3!P116</f>
        <v>0</v>
      </c>
      <c r="D54" s="1163">
        <f>ipa_3!Q116</f>
        <v>0</v>
      </c>
      <c r="E54" s="669" t="str">
        <f t="shared" si="5"/>
        <v xml:space="preserve">  </v>
      </c>
      <c r="G54" s="675">
        <v>5</v>
      </c>
      <c r="H54" s="382" t="str">
        <f>dtsiswa!D11</f>
        <v>Arya Pratama G</v>
      </c>
      <c r="I54" s="999">
        <f>pkn_ki4!AA24</f>
        <v>0</v>
      </c>
      <c r="J54" s="999">
        <f>pkn_ki4!AB24</f>
        <v>0</v>
      </c>
      <c r="K54" s="999">
        <f>pkn_ki4!AC24</f>
        <v>0</v>
      </c>
      <c r="L54" s="674" t="str">
        <f t="shared" si="4"/>
        <v xml:space="preserve">  </v>
      </c>
    </row>
    <row r="55" spans="1:12" ht="20.100000000000001" customHeight="1" thickBot="1" x14ac:dyDescent="0.3">
      <c r="A55" s="134">
        <v>5</v>
      </c>
      <c r="B55" s="382" t="str">
        <f>dtsiswa!D11</f>
        <v>Arya Pratama G</v>
      </c>
      <c r="C55" s="1163">
        <f>ipa_3!P19</f>
        <v>0</v>
      </c>
      <c r="D55" s="1163">
        <f>ipa_3!Q19</f>
        <v>0</v>
      </c>
      <c r="E55" s="669" t="str">
        <f t="shared" si="5"/>
        <v xml:space="preserve">  </v>
      </c>
      <c r="G55" s="675">
        <v>6</v>
      </c>
      <c r="H55" s="382" t="str">
        <f>dtsiswa!D12</f>
        <v>Asyam Hanif Ihsan H</v>
      </c>
      <c r="I55" s="999">
        <f>pkn_ki4!AA28</f>
        <v>0</v>
      </c>
      <c r="J55" s="999">
        <f>pkn_ki4!AB28</f>
        <v>0</v>
      </c>
      <c r="K55" s="999">
        <f>pkn_ki4!AC28</f>
        <v>0</v>
      </c>
      <c r="L55" s="674" t="str">
        <f t="shared" si="4"/>
        <v xml:space="preserve">  </v>
      </c>
    </row>
    <row r="56" spans="1:12" ht="20.100000000000001" customHeight="1" thickBot="1" x14ac:dyDescent="0.3">
      <c r="A56" s="134">
        <v>6</v>
      </c>
      <c r="B56" s="382" t="str">
        <f>dtsiswa!D12</f>
        <v>Asyam Hanif Ihsan H</v>
      </c>
      <c r="C56" s="1163">
        <f>ipa_3!P22</f>
        <v>0</v>
      </c>
      <c r="D56" s="1163">
        <f>ipa_3!Q22</f>
        <v>0</v>
      </c>
      <c r="E56" s="669" t="str">
        <f t="shared" si="5"/>
        <v xml:space="preserve">  </v>
      </c>
      <c r="G56" s="675">
        <v>7</v>
      </c>
      <c r="H56" s="382" t="str">
        <f>dtsiswa!D13</f>
        <v>Athaya Salsabilla Z</v>
      </c>
      <c r="I56" s="999">
        <f>pkn_ki4!AA32</f>
        <v>0</v>
      </c>
      <c r="J56" s="999">
        <f>pkn_ki4!AB32</f>
        <v>0</v>
      </c>
      <c r="K56" s="999">
        <f>pkn_ki4!AC32</f>
        <v>0</v>
      </c>
      <c r="L56" s="674" t="str">
        <f t="shared" si="4"/>
        <v xml:space="preserve">  </v>
      </c>
    </row>
    <row r="57" spans="1:12" ht="20.100000000000001" customHeight="1" thickBot="1" x14ac:dyDescent="0.3">
      <c r="A57" s="134">
        <v>7</v>
      </c>
      <c r="B57" s="382" t="str">
        <f>dtsiswa!D13</f>
        <v>Athaya Salsabilla Z</v>
      </c>
      <c r="C57" s="1163">
        <f>ipa_3!P25</f>
        <v>0</v>
      </c>
      <c r="D57" s="1163">
        <f>ipa_3!Q25</f>
        <v>0</v>
      </c>
      <c r="E57" s="669" t="str">
        <f t="shared" si="5"/>
        <v xml:space="preserve">  </v>
      </c>
      <c r="G57" s="675">
        <v>8</v>
      </c>
      <c r="H57" s="382" t="str">
        <f>dtsiswa!D14</f>
        <v>Aulia Dea Rosalinda</v>
      </c>
      <c r="I57" s="999">
        <f>pkn_ki4!AA36</f>
        <v>0</v>
      </c>
      <c r="J57" s="999">
        <f>pkn_ki4!AB36</f>
        <v>0</v>
      </c>
      <c r="K57" s="999">
        <f>pkn_ki4!AC36</f>
        <v>0</v>
      </c>
      <c r="L57" s="674" t="str">
        <f t="shared" si="4"/>
        <v xml:space="preserve">  </v>
      </c>
    </row>
    <row r="58" spans="1:12" ht="20.100000000000001" customHeight="1" thickBot="1" x14ac:dyDescent="0.3">
      <c r="A58" s="134">
        <v>8</v>
      </c>
      <c r="B58" s="382" t="str">
        <f>dtsiswa!D14</f>
        <v>Aulia Dea Rosalinda</v>
      </c>
      <c r="C58" s="1163">
        <f>ipa_3!P28</f>
        <v>0</v>
      </c>
      <c r="D58" s="1163">
        <f>ipa_3!Q28</f>
        <v>0</v>
      </c>
      <c r="E58" s="669" t="str">
        <f t="shared" si="5"/>
        <v xml:space="preserve">  </v>
      </c>
      <c r="G58" s="675">
        <v>9</v>
      </c>
      <c r="H58" s="382" t="str">
        <f>dtsiswa!D15</f>
        <v>Claudia Gabriella L</v>
      </c>
      <c r="I58" s="999">
        <f>pkn_ki4!AA40</f>
        <v>0</v>
      </c>
      <c r="J58" s="999">
        <f>pkn_ki4!AB40</f>
        <v>0</v>
      </c>
      <c r="K58" s="999">
        <f>pkn_ki4!AC40</f>
        <v>0</v>
      </c>
      <c r="L58" s="674" t="str">
        <f t="shared" si="4"/>
        <v xml:space="preserve">  </v>
      </c>
    </row>
    <row r="59" spans="1:12" ht="20.100000000000001" customHeight="1" thickBot="1" x14ac:dyDescent="0.3">
      <c r="A59" s="134">
        <v>9</v>
      </c>
      <c r="B59" s="382" t="str">
        <f>dtsiswa!D15</f>
        <v>Claudia Gabriella L</v>
      </c>
      <c r="C59" s="1163">
        <f>ipa_3!P31</f>
        <v>0</v>
      </c>
      <c r="D59" s="1163">
        <f>ipa_3!Q31</f>
        <v>0</v>
      </c>
      <c r="E59" s="669" t="str">
        <f t="shared" si="5"/>
        <v xml:space="preserve">  </v>
      </c>
      <c r="G59" s="675">
        <v>10</v>
      </c>
      <c r="H59" s="382" t="str">
        <f>dtsiswa!D16</f>
        <v xml:space="preserve">Deco Badarus Zaman </v>
      </c>
      <c r="I59" s="999">
        <f>pkn_ki4!AA44</f>
        <v>0</v>
      </c>
      <c r="J59" s="999">
        <f>pkn_ki4!AB44</f>
        <v>0</v>
      </c>
      <c r="K59" s="999">
        <f>pkn_ki4!AC44</f>
        <v>0</v>
      </c>
      <c r="L59" s="674" t="str">
        <f t="shared" si="4"/>
        <v xml:space="preserve">  </v>
      </c>
    </row>
    <row r="60" spans="1:12" ht="20.100000000000001" customHeight="1" thickBot="1" x14ac:dyDescent="0.3">
      <c r="A60" s="134">
        <v>10</v>
      </c>
      <c r="B60" s="382" t="str">
        <f>dtsiswa!D16</f>
        <v xml:space="preserve">Deco Badarus Zaman </v>
      </c>
      <c r="C60" s="1163">
        <f>ipa_3!P34</f>
        <v>0</v>
      </c>
      <c r="D60" s="1163">
        <f>ipa_3!Q34</f>
        <v>0</v>
      </c>
      <c r="E60" s="669" t="str">
        <f t="shared" si="5"/>
        <v xml:space="preserve">  </v>
      </c>
      <c r="G60" s="675">
        <v>11</v>
      </c>
      <c r="H60" s="382" t="str">
        <f>dtsiswa!D17</f>
        <v>Fania Mutiara Felichia</v>
      </c>
      <c r="I60" s="999">
        <f>pkn_ki4!AA48</f>
        <v>0</v>
      </c>
      <c r="J60" s="999">
        <f>pkn_ki4!AB48</f>
        <v>0</v>
      </c>
      <c r="K60" s="999">
        <f>pkn_ki4!AC48</f>
        <v>0</v>
      </c>
      <c r="L60" s="674" t="str">
        <f t="shared" si="4"/>
        <v xml:space="preserve">  </v>
      </c>
    </row>
    <row r="61" spans="1:12" ht="20.100000000000001" customHeight="1" thickBot="1" x14ac:dyDescent="0.3">
      <c r="A61" s="134">
        <v>11</v>
      </c>
      <c r="B61" s="382" t="str">
        <f>dtsiswa!D17</f>
        <v>Fania Mutiara Felichia</v>
      </c>
      <c r="C61" s="1163">
        <f>ipa_3!P37</f>
        <v>0</v>
      </c>
      <c r="D61" s="1163">
        <f>ipa_3!Q37</f>
        <v>0</v>
      </c>
      <c r="E61" s="669" t="str">
        <f t="shared" si="5"/>
        <v xml:space="preserve">  </v>
      </c>
      <c r="G61" s="675">
        <v>12</v>
      </c>
      <c r="H61" s="382" t="str">
        <f>dtsiswa!D18</f>
        <v>Intan Dyah Nowari</v>
      </c>
      <c r="I61" s="999">
        <f>pkn_ki4!AA52</f>
        <v>0</v>
      </c>
      <c r="J61" s="999">
        <f>pkn_ki4!AB52</f>
        <v>0</v>
      </c>
      <c r="K61" s="999">
        <f>pkn_ki4!AC52</f>
        <v>0</v>
      </c>
      <c r="L61" s="674" t="str">
        <f t="shared" si="4"/>
        <v xml:space="preserve">  </v>
      </c>
    </row>
    <row r="62" spans="1:12" ht="20.100000000000001" customHeight="1" thickBot="1" x14ac:dyDescent="0.3">
      <c r="A62" s="134">
        <v>12</v>
      </c>
      <c r="B62" s="382" t="str">
        <f>dtsiswa!D18</f>
        <v>Intan Dyah Nowari</v>
      </c>
      <c r="C62" s="1163">
        <f>ipa_3!P40</f>
        <v>0</v>
      </c>
      <c r="D62" s="1163">
        <f>ipa_3!Q40</f>
        <v>0</v>
      </c>
      <c r="E62" s="669" t="str">
        <f t="shared" si="5"/>
        <v xml:space="preserve">  </v>
      </c>
      <c r="G62" s="675">
        <v>13</v>
      </c>
      <c r="H62" s="382" t="str">
        <f>dtsiswa!D19</f>
        <v>Misyanita Nurfitri S</v>
      </c>
      <c r="I62" s="999">
        <f>pkn_ki4!AA56</f>
        <v>0</v>
      </c>
      <c r="J62" s="999">
        <f>pkn_ki4!AB56</f>
        <v>0</v>
      </c>
      <c r="K62" s="999">
        <f>pkn_ki4!AC56</f>
        <v>0</v>
      </c>
      <c r="L62" s="674" t="str">
        <f t="shared" si="4"/>
        <v xml:space="preserve">  </v>
      </c>
    </row>
    <row r="63" spans="1:12" ht="20.100000000000001" customHeight="1" thickBot="1" x14ac:dyDescent="0.3">
      <c r="A63" s="134">
        <v>13</v>
      </c>
      <c r="B63" s="382" t="str">
        <f>dtsiswa!D19</f>
        <v>Misyanita Nurfitri S</v>
      </c>
      <c r="C63" s="1163">
        <f>ipa_3!P43</f>
        <v>0</v>
      </c>
      <c r="D63" s="1163">
        <f>ipa_3!Q43</f>
        <v>0</v>
      </c>
      <c r="E63" s="669" t="str">
        <f t="shared" si="5"/>
        <v xml:space="preserve">  </v>
      </c>
      <c r="G63" s="675">
        <v>14</v>
      </c>
      <c r="H63" s="382" t="str">
        <f>dtsiswa!D20</f>
        <v>Moch Zidane Hita L. U</v>
      </c>
      <c r="I63" s="999">
        <f>pkn_ki4!AA60</f>
        <v>0</v>
      </c>
      <c r="J63" s="999">
        <f>pkn_ki4!AB60</f>
        <v>0</v>
      </c>
      <c r="K63" s="999">
        <f>pkn_ki4!AC60</f>
        <v>0</v>
      </c>
      <c r="L63" s="674" t="str">
        <f t="shared" si="4"/>
        <v xml:space="preserve">  </v>
      </c>
    </row>
    <row r="64" spans="1:12" ht="20.100000000000001" customHeight="1" thickBot="1" x14ac:dyDescent="0.3">
      <c r="A64" s="134">
        <v>14</v>
      </c>
      <c r="B64" s="382" t="str">
        <f>dtsiswa!D20</f>
        <v>Moch Zidane Hita L. U</v>
      </c>
      <c r="C64" s="1163">
        <f>ipa_3!P46</f>
        <v>0</v>
      </c>
      <c r="D64" s="1163">
        <f>ipa_3!Q46</f>
        <v>0</v>
      </c>
      <c r="E64" s="669" t="str">
        <f t="shared" si="5"/>
        <v xml:space="preserve">  </v>
      </c>
      <c r="G64" s="675">
        <v>15</v>
      </c>
      <c r="H64" s="382" t="str">
        <f>dtsiswa!D21</f>
        <v>Muhammad Ibra Maulana</v>
      </c>
      <c r="I64" s="999">
        <f>pkn_ki4!AA64</f>
        <v>0</v>
      </c>
      <c r="J64" s="999">
        <f>pkn_ki4!AB64</f>
        <v>0</v>
      </c>
      <c r="K64" s="999">
        <f>pkn_ki4!AC64</f>
        <v>0</v>
      </c>
      <c r="L64" s="674" t="str">
        <f t="shared" si="4"/>
        <v xml:space="preserve">  </v>
      </c>
    </row>
    <row r="65" spans="1:12" ht="20.100000000000001" customHeight="1" thickBot="1" x14ac:dyDescent="0.3">
      <c r="A65" s="134">
        <v>15</v>
      </c>
      <c r="B65" s="382" t="str">
        <f>dtsiswa!D21</f>
        <v>Muhammad Ibra Maulana</v>
      </c>
      <c r="C65" s="1163">
        <f>ipa_3!P49</f>
        <v>0</v>
      </c>
      <c r="D65" s="1163">
        <f>ipa_3!Q49</f>
        <v>0</v>
      </c>
      <c r="E65" s="669" t="str">
        <f t="shared" si="5"/>
        <v xml:space="preserve">  </v>
      </c>
      <c r="G65" s="675">
        <v>16</v>
      </c>
      <c r="H65" s="382" t="str">
        <f>dtsiswa!D22</f>
        <v>Nabilla Shiva Putri</v>
      </c>
      <c r="I65" s="999">
        <f>pkn_ki4!AA68</f>
        <v>0</v>
      </c>
      <c r="J65" s="999">
        <f>pkn_ki4!AB68</f>
        <v>0</v>
      </c>
      <c r="K65" s="999">
        <f>pkn_ki4!AC68</f>
        <v>0</v>
      </c>
      <c r="L65" s="674" t="str">
        <f t="shared" si="4"/>
        <v xml:space="preserve">  </v>
      </c>
    </row>
    <row r="66" spans="1:12" ht="20.100000000000001" customHeight="1" thickBot="1" x14ac:dyDescent="0.3">
      <c r="A66" s="134">
        <v>16</v>
      </c>
      <c r="B66" s="382" t="str">
        <f>dtsiswa!D22</f>
        <v>Nabilla Shiva Putri</v>
      </c>
      <c r="C66" s="1163">
        <f>ipa_3!P52</f>
        <v>0</v>
      </c>
      <c r="D66" s="1163">
        <f>ipa_3!Q52</f>
        <v>0</v>
      </c>
      <c r="E66" s="669" t="str">
        <f t="shared" si="5"/>
        <v xml:space="preserve">  </v>
      </c>
      <c r="G66" s="675">
        <v>17</v>
      </c>
      <c r="H66" s="382" t="str">
        <f>dtsiswa!D23</f>
        <v>Naufal Falih F</v>
      </c>
      <c r="I66" s="999">
        <f>pkn_ki4!AA72</f>
        <v>0</v>
      </c>
      <c r="J66" s="999">
        <f>pkn_ki4!AB72</f>
        <v>0</v>
      </c>
      <c r="K66" s="999">
        <f>pkn_ki4!AC72</f>
        <v>0</v>
      </c>
      <c r="L66" s="674" t="str">
        <f t="shared" si="4"/>
        <v xml:space="preserve">  </v>
      </c>
    </row>
    <row r="67" spans="1:12" ht="20.100000000000001" customHeight="1" thickBot="1" x14ac:dyDescent="0.3">
      <c r="A67" s="134">
        <v>17</v>
      </c>
      <c r="B67" s="382" t="str">
        <f>dtsiswa!D23</f>
        <v>Naufal Falih F</v>
      </c>
      <c r="C67" s="1163">
        <f>ipa_3!P55</f>
        <v>0</v>
      </c>
      <c r="D67" s="1163">
        <f>ipa_3!Q55</f>
        <v>0</v>
      </c>
      <c r="E67" s="669" t="str">
        <f t="shared" si="5"/>
        <v xml:space="preserve">  </v>
      </c>
      <c r="G67" s="675">
        <v>18</v>
      </c>
      <c r="H67" s="382" t="str">
        <f>dtsiswa!D24</f>
        <v>Nayla Annora Nobel W</v>
      </c>
      <c r="I67" s="999">
        <f>pkn_ki4!AA76</f>
        <v>0</v>
      </c>
      <c r="J67" s="999">
        <f>pkn_ki4!AB76</f>
        <v>0</v>
      </c>
      <c r="K67" s="999">
        <f>pkn_ki4!AC76</f>
        <v>0</v>
      </c>
      <c r="L67" s="674" t="str">
        <f t="shared" si="4"/>
        <v xml:space="preserve">  </v>
      </c>
    </row>
    <row r="68" spans="1:12" ht="20.100000000000001" customHeight="1" thickBot="1" x14ac:dyDescent="0.3">
      <c r="A68" s="134">
        <v>18</v>
      </c>
      <c r="B68" s="382" t="str">
        <f>dtsiswa!D24</f>
        <v>Nayla Annora Nobel W</v>
      </c>
      <c r="C68" s="1163">
        <f>ipa_3!P58</f>
        <v>0</v>
      </c>
      <c r="D68" s="1163">
        <f>ipa_3!Q58</f>
        <v>0</v>
      </c>
      <c r="E68" s="669" t="str">
        <f t="shared" si="5"/>
        <v xml:space="preserve">  </v>
      </c>
      <c r="G68" s="675">
        <v>19</v>
      </c>
      <c r="H68" s="382" t="str">
        <f>dtsiswa!D25</f>
        <v>Raihan Danang P</v>
      </c>
      <c r="I68" s="999">
        <f>pkn_ki4!AA80</f>
        <v>0</v>
      </c>
      <c r="J68" s="999">
        <f>pkn_ki4!AB80</f>
        <v>0</v>
      </c>
      <c r="K68" s="999">
        <f>pkn_ki4!AC80</f>
        <v>0</v>
      </c>
      <c r="L68" s="674" t="str">
        <f t="shared" si="4"/>
        <v xml:space="preserve">  </v>
      </c>
    </row>
    <row r="69" spans="1:12" ht="20.100000000000001" customHeight="1" thickBot="1" x14ac:dyDescent="0.3">
      <c r="A69" s="134">
        <v>19</v>
      </c>
      <c r="B69" s="382" t="str">
        <f>dtsiswa!D25</f>
        <v>Raihan Danang P</v>
      </c>
      <c r="C69" s="1163">
        <f>ipa_3!P61</f>
        <v>0</v>
      </c>
      <c r="D69" s="1163">
        <f>ipa_3!Q61</f>
        <v>0</v>
      </c>
      <c r="E69" s="669" t="str">
        <f t="shared" si="5"/>
        <v xml:space="preserve">  </v>
      </c>
      <c r="G69" s="675">
        <v>20</v>
      </c>
      <c r="H69" s="382" t="str">
        <f>dtsiswa!D26</f>
        <v>Roby Ardiyansyah</v>
      </c>
      <c r="I69" s="999">
        <f>pkn_ki4!AA84</f>
        <v>0</v>
      </c>
      <c r="J69" s="999">
        <f>pkn_ki4!AB84</f>
        <v>0</v>
      </c>
      <c r="K69" s="999">
        <f>pkn_ki4!AC84</f>
        <v>0</v>
      </c>
      <c r="L69" s="674" t="str">
        <f t="shared" si="4"/>
        <v xml:space="preserve">  </v>
      </c>
    </row>
    <row r="70" spans="1:12" ht="20.100000000000001" customHeight="1" thickBot="1" x14ac:dyDescent="0.3">
      <c r="A70" s="134">
        <v>20</v>
      </c>
      <c r="B70" s="382" t="str">
        <f>dtsiswa!D26</f>
        <v>Roby Ardiyansyah</v>
      </c>
      <c r="C70" s="1163">
        <f>ipa_3!P64</f>
        <v>0</v>
      </c>
      <c r="D70" s="1163">
        <f>ipa_3!Q64</f>
        <v>0</v>
      </c>
      <c r="E70" s="669" t="str">
        <f t="shared" si="5"/>
        <v xml:space="preserve">  </v>
      </c>
      <c r="G70" s="675">
        <v>21</v>
      </c>
      <c r="H70" s="382" t="str">
        <f>dtsiswa!D27</f>
        <v>Rojalingga Prana A</v>
      </c>
      <c r="I70" s="999">
        <f>pkn_ki4!AA88</f>
        <v>0</v>
      </c>
      <c r="J70" s="999">
        <f>pkn_ki4!AB88</f>
        <v>0</v>
      </c>
      <c r="K70" s="999">
        <f>pkn_ki4!AC88</f>
        <v>0</v>
      </c>
      <c r="L70" s="674" t="str">
        <f t="shared" si="4"/>
        <v xml:space="preserve">  </v>
      </c>
    </row>
    <row r="71" spans="1:12" ht="20.100000000000001" customHeight="1" thickBot="1" x14ac:dyDescent="0.3">
      <c r="A71" s="134">
        <v>21</v>
      </c>
      <c r="B71" s="382" t="str">
        <f>dtsiswa!D27</f>
        <v>Rojalingga Prana A</v>
      </c>
      <c r="C71" s="1163">
        <f>ipa_3!P67</f>
        <v>0</v>
      </c>
      <c r="D71" s="1163">
        <f>ipa_3!Q67</f>
        <v>0</v>
      </c>
      <c r="E71" s="669" t="str">
        <f t="shared" si="5"/>
        <v xml:space="preserve">  </v>
      </c>
      <c r="G71" s="675">
        <v>22</v>
      </c>
      <c r="H71" s="382" t="str">
        <f>dtsiswa!D28</f>
        <v>Sally Savista A</v>
      </c>
      <c r="I71" s="999">
        <f>pkn_ki4!AA92</f>
        <v>0</v>
      </c>
      <c r="J71" s="999">
        <f>pkn_ki4!AB92</f>
        <v>0</v>
      </c>
      <c r="K71" s="999">
        <f>pkn_ki4!AC92</f>
        <v>0</v>
      </c>
      <c r="L71" s="674" t="str">
        <f t="shared" si="4"/>
        <v xml:space="preserve">  </v>
      </c>
    </row>
    <row r="72" spans="1:12" ht="20.100000000000001" customHeight="1" thickBot="1" x14ac:dyDescent="0.3">
      <c r="A72" s="134">
        <v>22</v>
      </c>
      <c r="B72" s="382" t="str">
        <f>dtsiswa!D28</f>
        <v>Sally Savista A</v>
      </c>
      <c r="C72" s="1163">
        <f>ipa_3!P70</f>
        <v>0</v>
      </c>
      <c r="D72" s="1163">
        <f>ipa_3!Q70</f>
        <v>0</v>
      </c>
      <c r="E72" s="669" t="str">
        <f t="shared" si="5"/>
        <v xml:space="preserve">  </v>
      </c>
      <c r="G72" s="675">
        <v>23</v>
      </c>
      <c r="H72" s="382" t="str">
        <f>dtsiswa!D29</f>
        <v xml:space="preserve">Tania Kaori Angelita </v>
      </c>
      <c r="I72" s="999">
        <f>pkn_ki4!AA96</f>
        <v>0</v>
      </c>
      <c r="J72" s="999">
        <f>pkn_ki4!AB96</f>
        <v>0</v>
      </c>
      <c r="K72" s="999">
        <f>pkn_ki4!AC96</f>
        <v>0</v>
      </c>
      <c r="L72" s="674" t="str">
        <f t="shared" si="4"/>
        <v xml:space="preserve">  </v>
      </c>
    </row>
    <row r="73" spans="1:12" ht="20.100000000000001" customHeight="1" thickBot="1" x14ac:dyDescent="0.3">
      <c r="A73" s="134">
        <v>23</v>
      </c>
      <c r="B73" s="382" t="str">
        <f>dtsiswa!D29</f>
        <v xml:space="preserve">Tania Kaori Angelita </v>
      </c>
      <c r="C73" s="1163">
        <f>ipa_3!P73</f>
        <v>0</v>
      </c>
      <c r="D73" s="1163">
        <f>ipa_3!Q73</f>
        <v>0</v>
      </c>
      <c r="E73" s="669" t="str">
        <f t="shared" si="5"/>
        <v xml:space="preserve">  </v>
      </c>
      <c r="G73" s="675">
        <v>24</v>
      </c>
      <c r="H73" s="382" t="str">
        <f>dtsiswa!D30</f>
        <v>Romzy Oka Ramadhani P</v>
      </c>
      <c r="I73" s="999">
        <f>pkn_ki4!AA100</f>
        <v>0</v>
      </c>
      <c r="J73" s="999">
        <f>pkn_ki4!AB100</f>
        <v>0</v>
      </c>
      <c r="K73" s="999">
        <f>pkn_ki4!AC100</f>
        <v>0</v>
      </c>
      <c r="L73" s="674" t="str">
        <f t="shared" si="4"/>
        <v xml:space="preserve">  </v>
      </c>
    </row>
    <row r="74" spans="1:12" ht="20.100000000000001" customHeight="1" thickBot="1" x14ac:dyDescent="0.3">
      <c r="A74" s="134">
        <v>24</v>
      </c>
      <c r="B74" s="382" t="str">
        <f>dtsiswa!D30</f>
        <v>Romzy Oka Ramadhani P</v>
      </c>
      <c r="C74" s="1163">
        <f>ipa_3!P76</f>
        <v>0</v>
      </c>
      <c r="D74" s="1163">
        <f>ipa_3!Q76</f>
        <v>0</v>
      </c>
      <c r="E74" s="669" t="str">
        <f t="shared" si="5"/>
        <v xml:space="preserve">  </v>
      </c>
      <c r="G74" s="675">
        <v>25</v>
      </c>
      <c r="H74" s="382" t="str">
        <f>dtsiswa!D31</f>
        <v>Larasati Jagadhita P</v>
      </c>
      <c r="I74" s="999">
        <f>pkn_ki4!AA104</f>
        <v>0</v>
      </c>
      <c r="J74" s="999">
        <f>pkn_ki4!AB104</f>
        <v>0</v>
      </c>
      <c r="K74" s="999">
        <f>pkn_ki4!AC104</f>
        <v>0</v>
      </c>
      <c r="L74" s="674" t="str">
        <f t="shared" si="4"/>
        <v xml:space="preserve">  </v>
      </c>
    </row>
    <row r="75" spans="1:12" ht="20.100000000000001" customHeight="1" thickBot="1" x14ac:dyDescent="0.3">
      <c r="A75" s="134">
        <v>25</v>
      </c>
      <c r="B75" s="382" t="str">
        <f>dtsiswa!D31</f>
        <v>Larasati Jagadhita P</v>
      </c>
      <c r="C75" s="1163">
        <f>ipa_3!P79</f>
        <v>0</v>
      </c>
      <c r="D75" s="1163">
        <f>ipa_3!Q79</f>
        <v>0</v>
      </c>
      <c r="E75" s="669" t="str">
        <f t="shared" si="5"/>
        <v xml:space="preserve">  </v>
      </c>
      <c r="G75" s="675">
        <v>26</v>
      </c>
      <c r="H75" s="382" t="str">
        <f>dtsiswa!D32</f>
        <v>Meliana Citra A</v>
      </c>
      <c r="I75" s="999">
        <f>pkn_ki4!AA108</f>
        <v>0</v>
      </c>
      <c r="J75" s="999">
        <f>pkn_ki4!AB108</f>
        <v>0</v>
      </c>
      <c r="K75" s="999">
        <f>pkn_ki4!AC108</f>
        <v>0</v>
      </c>
      <c r="L75" s="674" t="str">
        <f t="shared" si="4"/>
        <v xml:space="preserve">  </v>
      </c>
    </row>
    <row r="76" spans="1:12" ht="20.100000000000001" customHeight="1" thickBot="1" x14ac:dyDescent="0.3">
      <c r="A76" s="134">
        <v>26</v>
      </c>
      <c r="B76" s="382" t="str">
        <f>dtsiswa!D32</f>
        <v>Meliana Citra A</v>
      </c>
      <c r="C76" s="1163">
        <f>ipa_3!P82</f>
        <v>0</v>
      </c>
      <c r="D76" s="1163">
        <f>ipa_3!Q82</f>
        <v>0</v>
      </c>
      <c r="E76" s="669" t="str">
        <f t="shared" si="5"/>
        <v xml:space="preserve">  </v>
      </c>
      <c r="G76" s="675">
        <v>27</v>
      </c>
      <c r="H76" s="382" t="str">
        <f>dtsiswa!D33</f>
        <v>Mohammad Rizky</v>
      </c>
      <c r="I76" s="999">
        <f>pkn_ki4!AA112</f>
        <v>0</v>
      </c>
      <c r="J76" s="999">
        <f>pkn_ki4!AB112</f>
        <v>0</v>
      </c>
      <c r="K76" s="999">
        <f>pkn_ki4!AC112</f>
        <v>0</v>
      </c>
      <c r="L76" s="674" t="str">
        <f t="shared" si="4"/>
        <v xml:space="preserve">  </v>
      </c>
    </row>
    <row r="77" spans="1:12" ht="20.100000000000001" customHeight="1" thickBot="1" x14ac:dyDescent="0.3">
      <c r="A77" s="134">
        <v>27</v>
      </c>
      <c r="B77" s="382" t="str">
        <f>dtsiswa!D33</f>
        <v>Mohammad Rizky</v>
      </c>
      <c r="C77" s="1163">
        <f>ipa_3!P85</f>
        <v>0</v>
      </c>
      <c r="D77" s="1163">
        <f>ipa_3!Q85</f>
        <v>0</v>
      </c>
      <c r="E77" s="669" t="str">
        <f t="shared" si="5"/>
        <v xml:space="preserve">  </v>
      </c>
      <c r="G77" s="675">
        <v>28</v>
      </c>
      <c r="H77" s="382">
        <f>dtsiswa!D34</f>
        <v>0</v>
      </c>
      <c r="I77" s="999">
        <f>pkn_ki4!AA116</f>
        <v>0</v>
      </c>
      <c r="J77" s="999">
        <f>pkn_ki4!AB116</f>
        <v>0</v>
      </c>
      <c r="K77" s="999">
        <f>pkn_ki4!AC116</f>
        <v>0</v>
      </c>
      <c r="L77" s="674" t="str">
        <f t="shared" si="4"/>
        <v xml:space="preserve">  </v>
      </c>
    </row>
    <row r="78" spans="1:12" ht="20.100000000000001" customHeight="1" thickBot="1" x14ac:dyDescent="0.3">
      <c r="A78" s="134">
        <v>28</v>
      </c>
      <c r="B78" s="382">
        <f>dtsiswa!D34</f>
        <v>0</v>
      </c>
      <c r="C78" s="1163">
        <f>ipa_3!P88</f>
        <v>0</v>
      </c>
      <c r="D78" s="1163">
        <f>ipa_3!Q88</f>
        <v>0</v>
      </c>
      <c r="E78" s="669" t="str">
        <f t="shared" si="5"/>
        <v xml:space="preserve">  </v>
      </c>
      <c r="G78" s="675">
        <v>29</v>
      </c>
      <c r="H78" s="382">
        <f>dtsiswa!D35</f>
        <v>0</v>
      </c>
      <c r="I78" s="999">
        <f>pkn_ki4!AA120</f>
        <v>0</v>
      </c>
      <c r="J78" s="999">
        <f>pkn_ki4!AB120</f>
        <v>0</v>
      </c>
      <c r="K78" s="999">
        <f>pkn_ki4!AC120</f>
        <v>0</v>
      </c>
      <c r="L78" s="674" t="str">
        <f t="shared" si="4"/>
        <v xml:space="preserve">  </v>
      </c>
    </row>
    <row r="79" spans="1:12" ht="20.100000000000001" customHeight="1" thickBot="1" x14ac:dyDescent="0.3">
      <c r="A79" s="134">
        <v>29</v>
      </c>
      <c r="B79" s="382">
        <f>dtsiswa!D35</f>
        <v>0</v>
      </c>
      <c r="C79" s="1163">
        <f>ipa_3!P91</f>
        <v>0</v>
      </c>
      <c r="D79" s="1163">
        <f>ipa_3!Q91</f>
        <v>0</v>
      </c>
      <c r="E79" s="669" t="str">
        <f t="shared" si="5"/>
        <v xml:space="preserve">  </v>
      </c>
      <c r="G79" s="675">
        <v>30</v>
      </c>
      <c r="H79" s="382">
        <f>dtsiswa!D36</f>
        <v>0</v>
      </c>
      <c r="I79" s="999">
        <f>pkn_ki4!AA124</f>
        <v>0</v>
      </c>
      <c r="J79" s="999">
        <f>pkn_ki4!AB124</f>
        <v>0</v>
      </c>
      <c r="K79" s="999">
        <f>pkn_ki4!AC124</f>
        <v>0</v>
      </c>
      <c r="L79" s="674" t="str">
        <f t="shared" si="4"/>
        <v xml:space="preserve">  </v>
      </c>
    </row>
    <row r="80" spans="1:12" ht="20.100000000000001" customHeight="1" thickBot="1" x14ac:dyDescent="0.3">
      <c r="A80" s="134">
        <v>30</v>
      </c>
      <c r="B80" s="382">
        <f>dtsiswa!D36</f>
        <v>0</v>
      </c>
      <c r="C80" s="1163">
        <f>ipa_3!P94</f>
        <v>0</v>
      </c>
      <c r="D80" s="1163">
        <f>ipa_3!Q94</f>
        <v>0</v>
      </c>
      <c r="E80" s="669" t="str">
        <f t="shared" si="5"/>
        <v xml:space="preserve">  </v>
      </c>
      <c r="G80" s="675">
        <v>31</v>
      </c>
      <c r="H80" s="382">
        <f>dtsiswa!D37</f>
        <v>0</v>
      </c>
      <c r="I80" s="999">
        <f>pkn_ki4!AA128</f>
        <v>0</v>
      </c>
      <c r="J80" s="999">
        <f>pkn_ki4!AB128</f>
        <v>0</v>
      </c>
      <c r="K80" s="999">
        <f>pkn_ki4!AC128</f>
        <v>0</v>
      </c>
      <c r="L80" s="674" t="str">
        <f t="shared" si="4"/>
        <v xml:space="preserve">  </v>
      </c>
    </row>
    <row r="81" spans="1:12" ht="20.100000000000001" customHeight="1" thickBot="1" x14ac:dyDescent="0.3">
      <c r="A81" s="134">
        <v>31</v>
      </c>
      <c r="B81" s="382">
        <f>dtsiswa!D37</f>
        <v>0</v>
      </c>
      <c r="C81" s="1163">
        <f>ipa_3!P97</f>
        <v>0</v>
      </c>
      <c r="D81" s="1163">
        <f>ipa_3!Q97</f>
        <v>0</v>
      </c>
      <c r="E81" s="669" t="str">
        <f t="shared" si="5"/>
        <v xml:space="preserve">  </v>
      </c>
      <c r="G81" s="675">
        <v>32</v>
      </c>
      <c r="H81" s="382">
        <f>dtsiswa!D38</f>
        <v>0</v>
      </c>
      <c r="I81" s="999">
        <f>pkn_ki4!AA132</f>
        <v>0</v>
      </c>
      <c r="J81" s="999">
        <f>pkn_ki4!AB132</f>
        <v>0</v>
      </c>
      <c r="K81" s="999">
        <f>pkn_ki4!AC132</f>
        <v>0</v>
      </c>
      <c r="L81" s="674" t="str">
        <f t="shared" si="4"/>
        <v xml:space="preserve">  </v>
      </c>
    </row>
    <row r="82" spans="1:12" ht="20.100000000000001" customHeight="1" thickBot="1" x14ac:dyDescent="0.3">
      <c r="A82" s="134">
        <v>32</v>
      </c>
      <c r="B82" s="382">
        <f>dtsiswa!D38</f>
        <v>0</v>
      </c>
      <c r="C82" s="1163">
        <f>ipa_3!P100</f>
        <v>0</v>
      </c>
      <c r="D82" s="1163">
        <f>ipa_3!Q100</f>
        <v>0</v>
      </c>
      <c r="E82" s="669" t="str">
        <f t="shared" si="5"/>
        <v xml:space="preserve">  </v>
      </c>
      <c r="G82" s="675">
        <v>33</v>
      </c>
      <c r="H82" s="382">
        <f>dtsiswa!D39</f>
        <v>0</v>
      </c>
      <c r="I82" s="999">
        <f>pkn_ki4!AA136</f>
        <v>0</v>
      </c>
      <c r="J82" s="999">
        <f>pkn_ki4!AB136</f>
        <v>0</v>
      </c>
      <c r="K82" s="999">
        <f>pkn_ki4!AC136</f>
        <v>0</v>
      </c>
      <c r="L82" s="674" t="str">
        <f t="shared" si="4"/>
        <v xml:space="preserve">  </v>
      </c>
    </row>
    <row r="83" spans="1:12" ht="20.100000000000001" customHeight="1" thickBot="1" x14ac:dyDescent="0.3">
      <c r="A83" s="134">
        <v>33</v>
      </c>
      <c r="B83" s="382">
        <f>dtsiswa!D39</f>
        <v>0</v>
      </c>
      <c r="C83" s="1163">
        <f>ipa_3!P103</f>
        <v>0</v>
      </c>
      <c r="D83" s="1163">
        <f>ipa_3!Q103</f>
        <v>0</v>
      </c>
      <c r="E83" s="669" t="str">
        <f t="shared" si="5"/>
        <v xml:space="preserve">  </v>
      </c>
      <c r="G83" s="675">
        <v>34</v>
      </c>
      <c r="H83" s="382">
        <f>dtsiswa!D40</f>
        <v>0</v>
      </c>
      <c r="I83" s="999">
        <f>pkn_ki4!AA140</f>
        <v>0</v>
      </c>
      <c r="J83" s="999">
        <f>pkn_ki4!AB140</f>
        <v>0</v>
      </c>
      <c r="K83" s="999">
        <f>pkn_ki4!AC140</f>
        <v>0</v>
      </c>
      <c r="L83" s="674" t="str">
        <f t="shared" si="4"/>
        <v xml:space="preserve">  </v>
      </c>
    </row>
    <row r="84" spans="1:12" ht="20.100000000000001" customHeight="1" thickBot="1" x14ac:dyDescent="0.3">
      <c r="A84" s="134">
        <v>34</v>
      </c>
      <c r="B84" s="382">
        <f>dtsiswa!D40</f>
        <v>0</v>
      </c>
      <c r="C84" s="1163">
        <f>ipa_3!P106</f>
        <v>0</v>
      </c>
      <c r="D84" s="1163">
        <f>ipa_3!Q106</f>
        <v>0</v>
      </c>
      <c r="E84" s="669" t="str">
        <f t="shared" si="5"/>
        <v xml:space="preserve">  </v>
      </c>
      <c r="G84" s="675">
        <v>35</v>
      </c>
      <c r="H84" s="382">
        <f>dtsiswa!D41</f>
        <v>0</v>
      </c>
      <c r="I84" s="999">
        <f>pkn_ki4!AA144</f>
        <v>0</v>
      </c>
      <c r="J84" s="999">
        <f>pkn_ki4!AB144</f>
        <v>0</v>
      </c>
      <c r="K84" s="999">
        <f>pkn_ki4!AC144</f>
        <v>0</v>
      </c>
      <c r="L84" s="674" t="str">
        <f t="shared" si="4"/>
        <v xml:space="preserve">  </v>
      </c>
    </row>
    <row r="85" spans="1:12" ht="20.100000000000001" customHeight="1" thickBot="1" x14ac:dyDescent="0.3">
      <c r="A85" s="134">
        <v>35</v>
      </c>
      <c r="B85" s="382">
        <f>dtsiswa!D41</f>
        <v>0</v>
      </c>
      <c r="C85" s="1163">
        <f>ipa_3!P109</f>
        <v>0</v>
      </c>
      <c r="D85" s="1163">
        <f>ipa_3!Q109</f>
        <v>0</v>
      </c>
      <c r="E85" s="669" t="str">
        <f t="shared" si="5"/>
        <v xml:space="preserve">  </v>
      </c>
      <c r="G85" s="675">
        <v>36</v>
      </c>
      <c r="H85" s="382">
        <f>dtsiswa!D42</f>
        <v>0</v>
      </c>
      <c r="I85" s="999">
        <f>pkn_ki4!AA148</f>
        <v>0</v>
      </c>
      <c r="J85" s="999">
        <f>pkn_ki4!AB148</f>
        <v>0</v>
      </c>
      <c r="K85" s="999">
        <f>pkn_ki4!AC148</f>
        <v>0</v>
      </c>
      <c r="L85" s="674" t="str">
        <f t="shared" si="4"/>
        <v xml:space="preserve">  </v>
      </c>
    </row>
    <row r="86" spans="1:12" ht="20.100000000000001" customHeight="1" thickBot="1" x14ac:dyDescent="0.3">
      <c r="A86" s="134">
        <v>36</v>
      </c>
      <c r="B86" s="382">
        <f>dtsiswa!D42</f>
        <v>0</v>
      </c>
      <c r="C86" s="1163">
        <f>ipa_3!P112</f>
        <v>0</v>
      </c>
      <c r="D86" s="1163">
        <f>ipa_3!Q112</f>
        <v>0</v>
      </c>
      <c r="E86" s="669" t="str">
        <f t="shared" si="5"/>
        <v xml:space="preserve">  </v>
      </c>
      <c r="G86" s="675">
        <v>37</v>
      </c>
      <c r="H86" s="382">
        <f>dtsiswa!D43</f>
        <v>0</v>
      </c>
      <c r="I86" s="999">
        <f>pkn_ki4!AA152</f>
        <v>0</v>
      </c>
      <c r="J86" s="999">
        <f>pkn_ki4!AB152</f>
        <v>0</v>
      </c>
      <c r="K86" s="999">
        <f>pkn_ki4!AC152</f>
        <v>0</v>
      </c>
      <c r="L86" s="674" t="str">
        <f t="shared" si="4"/>
        <v xml:space="preserve">  </v>
      </c>
    </row>
    <row r="87" spans="1:12" ht="20.100000000000001" customHeight="1" thickBot="1" x14ac:dyDescent="0.3">
      <c r="A87" s="134">
        <v>37</v>
      </c>
      <c r="B87" s="382">
        <f>dtsiswa!D43</f>
        <v>0</v>
      </c>
      <c r="C87" s="1163">
        <f>ipa_3!P115</f>
        <v>0</v>
      </c>
      <c r="D87" s="1163">
        <f>ipa_3!Q115</f>
        <v>0</v>
      </c>
      <c r="E87" s="669" t="str">
        <f t="shared" si="5"/>
        <v xml:space="preserve">  </v>
      </c>
      <c r="G87" s="675">
        <v>38</v>
      </c>
      <c r="H87" s="382">
        <f>dtsiswa!D44</f>
        <v>0</v>
      </c>
      <c r="I87" s="999">
        <f>pkn_ki4!AA156</f>
        <v>0</v>
      </c>
      <c r="J87" s="999">
        <f>pkn_ki4!AB156</f>
        <v>0</v>
      </c>
      <c r="K87" s="999">
        <f>pkn_ki4!AC156</f>
        <v>0</v>
      </c>
      <c r="L87" s="674" t="str">
        <f t="shared" si="4"/>
        <v xml:space="preserve">  </v>
      </c>
    </row>
    <row r="88" spans="1:12" ht="20.100000000000001" customHeight="1" thickBot="1" x14ac:dyDescent="0.3">
      <c r="A88" s="134">
        <v>38</v>
      </c>
      <c r="B88" s="382">
        <f>dtsiswa!D44</f>
        <v>0</v>
      </c>
      <c r="C88" s="1163">
        <f>ipa_3!P118</f>
        <v>0</v>
      </c>
      <c r="D88" s="1163">
        <f>ipa_3!Q118</f>
        <v>0</v>
      </c>
      <c r="E88" s="669" t="str">
        <f t="shared" si="5"/>
        <v xml:space="preserve">  </v>
      </c>
      <c r="G88" s="675">
        <v>39</v>
      </c>
      <c r="H88" s="382">
        <f>dtsiswa!D45</f>
        <v>0</v>
      </c>
      <c r="I88" s="999">
        <f>pkn_ki4!AA160</f>
        <v>0</v>
      </c>
      <c r="J88" s="999">
        <f>pkn_ki4!AB160</f>
        <v>0</v>
      </c>
      <c r="K88" s="999">
        <f>pkn_ki4!AC160</f>
        <v>0</v>
      </c>
      <c r="L88" s="674" t="str">
        <f t="shared" si="4"/>
        <v xml:space="preserve">  </v>
      </c>
    </row>
    <row r="89" spans="1:12" ht="20.100000000000001" customHeight="1" thickBot="1" x14ac:dyDescent="0.3">
      <c r="A89" s="134">
        <v>39</v>
      </c>
      <c r="B89" s="382">
        <f>dtsiswa!D45</f>
        <v>0</v>
      </c>
      <c r="C89" s="1163">
        <f>ipa_3!P121</f>
        <v>0</v>
      </c>
      <c r="D89" s="1163">
        <f>ipa_3!Q121</f>
        <v>0</v>
      </c>
      <c r="E89" s="669" t="str">
        <f t="shared" si="5"/>
        <v xml:space="preserve">  </v>
      </c>
      <c r="G89" s="676">
        <v>40</v>
      </c>
      <c r="H89" s="677">
        <f>dtsiswa!D46</f>
        <v>0</v>
      </c>
      <c r="I89" s="999">
        <f>pkn_ki4!AA164</f>
        <v>0</v>
      </c>
      <c r="J89" s="999">
        <f>pkn_ki4!AB164</f>
        <v>0</v>
      </c>
      <c r="K89" s="999">
        <f>pkn_ki4!AC164</f>
        <v>0</v>
      </c>
      <c r="L89" s="674" t="str">
        <f t="shared" si="4"/>
        <v xml:space="preserve">  </v>
      </c>
    </row>
    <row r="90" spans="1:12" ht="20.100000000000001" customHeight="1" x14ac:dyDescent="0.25">
      <c r="A90" s="134">
        <v>40</v>
      </c>
      <c r="B90" s="382">
        <f>dtsiswa!D46</f>
        <v>0</v>
      </c>
      <c r="C90" s="1163">
        <f>ipa_3!P124</f>
        <v>0</v>
      </c>
      <c r="D90" s="1163">
        <f>ipa_3!Q124</f>
        <v>0</v>
      </c>
      <c r="E90" s="669" t="str">
        <f t="shared" si="5"/>
        <v xml:space="preserve">  </v>
      </c>
    </row>
  </sheetData>
  <mergeCells count="4">
    <mergeCell ref="A1:D1"/>
    <mergeCell ref="G1:J1"/>
    <mergeCell ref="G47:J47"/>
    <mergeCell ref="A48:D48"/>
  </mergeCells>
  <conditionalFormatting sqref="I4:K43">
    <cfRule type="top10" dxfId="376" priority="33" rank="1"/>
  </conditionalFormatting>
  <conditionalFormatting sqref="I50:K50">
    <cfRule type="top10" dxfId="375" priority="34" rank="1"/>
  </conditionalFormatting>
  <conditionalFormatting sqref="I51:K89">
    <cfRule type="top10" dxfId="374" priority="35" rank="1"/>
  </conditionalFormatting>
  <conditionalFormatting sqref="C4:D43">
    <cfRule type="top10" dxfId="373" priority="2336" rank="1"/>
  </conditionalFormatting>
  <conditionalFormatting sqref="C5:D43">
    <cfRule type="top10" dxfId="372" priority="2337" rank="1"/>
  </conditionalFormatting>
  <conditionalFormatting sqref="C6:D10 C11:C12 D6:D12">
    <cfRule type="top10" dxfId="371" priority="2338" rank="1"/>
  </conditionalFormatting>
  <conditionalFormatting sqref="C7:D43">
    <cfRule type="top10" dxfId="370" priority="2341" rank="1"/>
  </conditionalFormatting>
  <conditionalFormatting sqref="C8:D43">
    <cfRule type="top10" dxfId="369" priority="2342" rank="1"/>
  </conditionalFormatting>
  <conditionalFormatting sqref="C9:D43">
    <cfRule type="top10" dxfId="368" priority="2343" rank="1"/>
  </conditionalFormatting>
  <conditionalFormatting sqref="C10:D43">
    <cfRule type="top10" dxfId="367" priority="2344" rank="1"/>
  </conditionalFormatting>
  <conditionalFormatting sqref="D11:D43 C12:D43">
    <cfRule type="top10" dxfId="366" priority="2345" rank="1"/>
  </conditionalFormatting>
  <conditionalFormatting sqref="D12:D43 C13:D43">
    <cfRule type="top10" dxfId="365" priority="2347" rank="1"/>
  </conditionalFormatting>
  <conditionalFormatting sqref="C14:C43 D13:D43">
    <cfRule type="top10" dxfId="364" priority="2349" rank="1"/>
  </conditionalFormatting>
  <conditionalFormatting sqref="D14 C15:D15">
    <cfRule type="top10" dxfId="363" priority="2351" rank="1"/>
  </conditionalFormatting>
  <conditionalFormatting sqref="D15 C16:D16">
    <cfRule type="top10" dxfId="362" priority="2353" rank="1"/>
  </conditionalFormatting>
  <conditionalFormatting sqref="D16 C17:D17">
    <cfRule type="top10" dxfId="361" priority="2355" rank="1"/>
  </conditionalFormatting>
  <conditionalFormatting sqref="C18:C43 D17:D43">
    <cfRule type="top10" dxfId="360" priority="2357" rank="1"/>
  </conditionalFormatting>
  <conditionalFormatting sqref="D18 C19:D19">
    <cfRule type="top10" dxfId="359" priority="2359" rank="1"/>
  </conditionalFormatting>
  <conditionalFormatting sqref="D19 C20:D20">
    <cfRule type="top10" dxfId="358" priority="2361" rank="1"/>
  </conditionalFormatting>
  <conditionalFormatting sqref="D20 C21:D21">
    <cfRule type="top10" dxfId="357" priority="2363" rank="1"/>
  </conditionalFormatting>
  <conditionalFormatting sqref="D21 C22:D22">
    <cfRule type="top10" dxfId="356" priority="2365" rank="1"/>
  </conditionalFormatting>
  <conditionalFormatting sqref="D22 C23:D23">
    <cfRule type="top10" dxfId="355" priority="2367" rank="1"/>
  </conditionalFormatting>
  <conditionalFormatting sqref="C24:C43 D23:D43">
    <cfRule type="top10" dxfId="354" priority="2369" rank="1"/>
  </conditionalFormatting>
  <conditionalFormatting sqref="D24 C25:D25">
    <cfRule type="top10" dxfId="353" priority="2371" rank="1"/>
  </conditionalFormatting>
  <conditionalFormatting sqref="C27:C43 D26:D43">
    <cfRule type="top10" dxfId="352" priority="2373" rank="1"/>
  </conditionalFormatting>
  <conditionalFormatting sqref="C35:C43 D34:D43">
    <cfRule type="top10" dxfId="351" priority="2375" rank="1"/>
  </conditionalFormatting>
  <conditionalFormatting sqref="D25 C26:D26">
    <cfRule type="top10" dxfId="350" priority="2377" rank="1"/>
  </conditionalFormatting>
  <conditionalFormatting sqref="D27 C28:D28">
    <cfRule type="top10" dxfId="349" priority="2379" rank="1"/>
  </conditionalFormatting>
  <conditionalFormatting sqref="D28 C29:D29">
    <cfRule type="top10" dxfId="348" priority="2381" rank="1"/>
  </conditionalFormatting>
  <conditionalFormatting sqref="D29 C30:D30">
    <cfRule type="top10" dxfId="347" priority="2383" rank="1"/>
  </conditionalFormatting>
  <conditionalFormatting sqref="D30 C31:D31">
    <cfRule type="top10" dxfId="346" priority="2385" rank="1"/>
  </conditionalFormatting>
  <conditionalFormatting sqref="D31 C32:D32">
    <cfRule type="top10" dxfId="345" priority="2387" rank="1"/>
  </conditionalFormatting>
  <conditionalFormatting sqref="D32 C33:D33">
    <cfRule type="top10" dxfId="344" priority="2389" rank="1"/>
  </conditionalFormatting>
  <conditionalFormatting sqref="C10:D10 C11:C12 D10:D12">
    <cfRule type="top10" dxfId="343" priority="2391" rank="1"/>
  </conditionalFormatting>
  <conditionalFormatting sqref="C51:D90">
    <cfRule type="top10" dxfId="342" priority="2394" rank="1"/>
  </conditionalFormatting>
  <pageMargins left="0.7" right="0.7" top="0.75" bottom="0.75" header="0.3" footer="0.3"/>
  <pageSetup paperSize="9" orientation="portrait"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C00000"/>
  </sheetPr>
  <dimension ref="A1:Q90"/>
  <sheetViews>
    <sheetView topLeftCell="G46" workbookViewId="0">
      <selection activeCell="M48" sqref="M48"/>
    </sheetView>
  </sheetViews>
  <sheetFormatPr defaultRowHeight="15" x14ac:dyDescent="0.25"/>
  <cols>
    <col min="1" max="1" width="4.7109375" style="352" customWidth="1"/>
    <col min="2" max="2" width="37.85546875" style="352" customWidth="1"/>
    <col min="3" max="3" width="8.42578125" style="352" customWidth="1"/>
    <col min="4" max="4" width="9" style="352" customWidth="1"/>
    <col min="5" max="5" width="8.7109375" style="352" customWidth="1"/>
    <col min="6" max="6" width="118.7109375" style="352" customWidth="1"/>
    <col min="7" max="7" width="6.7109375" style="352" customWidth="1"/>
    <col min="8" max="8" width="44.140625" style="352" customWidth="1"/>
    <col min="9" max="12" width="6.7109375" style="352" customWidth="1"/>
    <col min="13" max="13" width="110.140625" style="352" customWidth="1"/>
    <col min="14" max="14" width="8.42578125" style="352" customWidth="1"/>
    <col min="15" max="15" width="37.5703125" style="352" customWidth="1"/>
    <col min="16" max="16" width="66.28515625" style="352" customWidth="1"/>
    <col min="17" max="17" width="74.42578125" style="352" customWidth="1"/>
    <col min="18" max="18" width="9.140625" style="352"/>
    <col min="19" max="19" width="6.42578125" style="352" customWidth="1"/>
    <col min="20" max="16384" width="9.140625" style="352"/>
  </cols>
  <sheetData>
    <row r="1" spans="1:17" ht="26.25" x14ac:dyDescent="0.4">
      <c r="A1" s="2907" t="s">
        <v>621</v>
      </c>
      <c r="B1" s="2907"/>
      <c r="C1" s="2907"/>
      <c r="D1" s="2907"/>
      <c r="E1" s="2907"/>
      <c r="F1" s="373"/>
      <c r="G1" s="2907" t="s">
        <v>621</v>
      </c>
      <c r="H1" s="2907"/>
      <c r="I1" s="2907"/>
      <c r="J1" s="2907"/>
      <c r="K1" s="1000"/>
      <c r="L1" s="373"/>
      <c r="M1" s="373"/>
      <c r="N1" s="374" t="s">
        <v>698</v>
      </c>
    </row>
    <row r="2" spans="1:17" ht="27" thickBot="1" x14ac:dyDescent="0.45">
      <c r="A2" s="375" t="s">
        <v>147</v>
      </c>
      <c r="B2" s="373"/>
      <c r="C2" s="373"/>
      <c r="D2" s="373"/>
      <c r="E2" s="373"/>
      <c r="F2" s="373"/>
      <c r="G2" s="1173" t="s">
        <v>739</v>
      </c>
      <c r="H2" s="373"/>
      <c r="I2" s="373"/>
      <c r="J2" s="373"/>
      <c r="K2" s="373"/>
      <c r="L2" s="373"/>
      <c r="M2" s="373"/>
    </row>
    <row r="3" spans="1:17" ht="49.5" customHeight="1" thickBot="1" x14ac:dyDescent="0.3">
      <c r="A3" s="377" t="s">
        <v>0</v>
      </c>
      <c r="B3" s="377" t="s">
        <v>1</v>
      </c>
      <c r="C3" s="998" t="s">
        <v>10</v>
      </c>
      <c r="D3" s="998" t="s">
        <v>8</v>
      </c>
      <c r="E3" s="998" t="s">
        <v>18</v>
      </c>
      <c r="F3" s="152" t="s">
        <v>138</v>
      </c>
      <c r="G3" s="305" t="s">
        <v>0</v>
      </c>
      <c r="H3" s="305" t="s">
        <v>1</v>
      </c>
      <c r="I3" s="1002" t="s">
        <v>154</v>
      </c>
      <c r="J3" s="1002" t="s">
        <v>9</v>
      </c>
      <c r="K3" s="1002" t="s">
        <v>11</v>
      </c>
      <c r="L3" s="1002" t="s">
        <v>16</v>
      </c>
      <c r="M3" s="152" t="s">
        <v>138</v>
      </c>
      <c r="N3" s="378" t="s">
        <v>0</v>
      </c>
      <c r="O3" s="379" t="s">
        <v>1</v>
      </c>
      <c r="P3" s="380" t="s">
        <v>145</v>
      </c>
      <c r="Q3" s="381" t="s">
        <v>146</v>
      </c>
    </row>
    <row r="4" spans="1:17" ht="15" customHeight="1" x14ac:dyDescent="0.25">
      <c r="A4" s="134">
        <v>1</v>
      </c>
      <c r="B4" s="382" t="str">
        <f>dtsiswa!D7</f>
        <v>Achmad Zacky</v>
      </c>
      <c r="C4" s="999">
        <f>IPS_3!N7</f>
        <v>0</v>
      </c>
      <c r="D4" s="1111">
        <f>IPS_3!O7</f>
        <v>3</v>
      </c>
      <c r="E4" s="1111">
        <f>IPS_3!P7</f>
        <v>0</v>
      </c>
      <c r="F4" s="668" t="str">
        <f t="shared" ref="F4:F43" si="0">IF(OR(C4=3,C4=4),VLOOKUP(C4,DES_KI3_IPS,2,FALSE),IF(OR(D4=3,D4=4),VLOOKUP(D4,DES_KI3_IPS,3,FALSE),IF(OR(E4=3,E4=4),VLOOKUP(E4,DES_KI3_IPS,4,FALSE),"  ")))</f>
        <v xml:space="preserve">Baik dalam Memahami Memahami kehidupan manusia dalam kelembagaan sosial, ekonomi, pendidikan, dan budaya di masyarakat sekitar. </v>
      </c>
      <c r="G4" s="134">
        <v>1</v>
      </c>
      <c r="H4" s="382" t="str">
        <f>dtsiswa!D7</f>
        <v>Achmad Zacky</v>
      </c>
      <c r="I4" s="383">
        <f>IPS_KI4!X9</f>
        <v>0</v>
      </c>
      <c r="J4" s="383">
        <f>IPS_KI4!Y9</f>
        <v>0</v>
      </c>
      <c r="K4" s="383">
        <f>IPS_KI4!Z9</f>
        <v>3</v>
      </c>
      <c r="L4" s="383">
        <f>IPS_KI4!AA9</f>
        <v>0</v>
      </c>
      <c r="M4" s="669" t="str">
        <f t="shared" ref="M4:M43" si="1">IF(OR(I4=3,I4=4),VLOOKUP(I4,DES_KI4_IPS,2,FALSE),IF(OR(J4=3,J4=4),VLOOKUP(J4,DES_KI4_IPS,3,FALSE),IF(OR(K4=3,K4=4),VLOOKUP(K4,DES_KI4_IPS,4,FALSE),IF(OR(L4=3,L4=4),VLOOKUP(L4,DES_KI4_IPS,5,FALSE),"  "))))</f>
        <v xml:space="preserve">Baik dalam Mendeskripsikan kehidupan manusia dalam kelembagaan sosial, pendidikan, ekonomi, dan budaya. di masyarakat sekitar. </v>
      </c>
      <c r="N4" s="134">
        <v>1</v>
      </c>
      <c r="O4" s="384" t="str">
        <f>dtsiswa!D7</f>
        <v>Achmad Zacky</v>
      </c>
      <c r="P4" s="385" t="str">
        <f t="shared" ref="P4" si="2">IFERROR(CONCATENATE(F4,F51),"  ")</f>
        <v xml:space="preserve">Baik dalam Memahami Memahami kehidupan manusia dalam kelembagaan sosial, ekonomi, pendidikan, dan budaya di masyarakat sekitar. Baik dalam Memahami Memahami manusia dalam hubungannya dengan kondisi geografis di sekitarnya. </v>
      </c>
      <c r="Q4" s="386" t="str">
        <f>IFERROR(CONCATENATE(M4,M51),"  ")</f>
        <v>Baik dalam Mendeskripsikan kehidupan manusia dalam kelembagaan sosial, pendidikan, ekonomi, dan budaya. di masyarakat sekitar. Cukup baik dalam Menceritakankan tentang hasil bacaan mengenai pengertian ruang, konektivitas antar ruang, perubahan, dan keberlanjutan dalam waktu, sosial, ekonomi, dan pendidikan dalam lingkup masyarakat di sekitarnya</v>
      </c>
    </row>
    <row r="5" spans="1:17" ht="15" customHeight="1" x14ac:dyDescent="0.25">
      <c r="A5" s="134">
        <v>2</v>
      </c>
      <c r="B5" s="382" t="str">
        <f>dtsiswa!D8</f>
        <v>Angelia Vabel R</v>
      </c>
      <c r="C5" s="999">
        <f>IPS_3!N11</f>
        <v>4</v>
      </c>
      <c r="D5" s="1111">
        <f>IPS_3!O11</f>
        <v>0</v>
      </c>
      <c r="E5" s="1111">
        <f>IPS_3!P11</f>
        <v>0</v>
      </c>
      <c r="F5" s="668" t="str">
        <f t="shared" si="0"/>
        <v xml:space="preserve">Sangat baik dalam Memahami Memahami manusia dalam hubungannya dengan kondisi geografis di sekitarnya. </v>
      </c>
      <c r="G5" s="134">
        <v>2</v>
      </c>
      <c r="H5" s="382" t="str">
        <f>dtsiswa!D8</f>
        <v>Angelia Vabel R</v>
      </c>
      <c r="I5" s="383">
        <f>IPS_KI4!X14</f>
        <v>0</v>
      </c>
      <c r="J5" s="383">
        <f>IPS_KI4!Y14</f>
        <v>0</v>
      </c>
      <c r="K5" s="383">
        <f>IPS_KI4!Z14</f>
        <v>0</v>
      </c>
      <c r="L5" s="383">
        <f>IPS_KI4!AA14</f>
        <v>0</v>
      </c>
      <c r="M5" s="669" t="str">
        <f t="shared" si="1"/>
        <v xml:space="preserve">  </v>
      </c>
      <c r="N5" s="134">
        <v>2</v>
      </c>
      <c r="O5" s="384" t="str">
        <f>dtsiswa!D8</f>
        <v>Angelia Vabel R</v>
      </c>
      <c r="P5" s="385" t="str">
        <f t="shared" ref="P5:P43" si="3">IFERROR(CONCATENATE(F5,F52),"  ")</f>
        <v xml:space="preserve">Sangat baik dalam Memahami Memahami manusia dalam hubungannya dengan kondisi geografis di sekitarnya. Cukup baik dalam Memahami Memahami kehidupan manusia dalam kelembagaan sosial, ekonomi, pendidikan, dan budaya di masyarakat sekitar. </v>
      </c>
      <c r="Q5" s="386" t="str">
        <f t="shared" ref="Q5:Q43" si="4">IFERROR(CONCATENATE(M5,M52),"  ")</f>
        <v xml:space="preserve">  Baik dalam Menceritakan manusia dalam dinamika interaksi dengan lingkungan alam, sosial, budaya, dan ekonomi. </v>
      </c>
    </row>
    <row r="6" spans="1:17" ht="15" customHeight="1" x14ac:dyDescent="0.25">
      <c r="A6" s="134">
        <v>3</v>
      </c>
      <c r="B6" s="382" t="str">
        <f>dtsiswa!D9</f>
        <v>Anggun Dwi P.I</v>
      </c>
      <c r="C6" s="1111">
        <f>IPS_3!N15</f>
        <v>0</v>
      </c>
      <c r="D6" s="1111">
        <f>IPS_3!O15</f>
        <v>4</v>
      </c>
      <c r="E6" s="1111">
        <f>IPS_3!P15</f>
        <v>0</v>
      </c>
      <c r="F6" s="668" t="str">
        <f t="shared" si="0"/>
        <v xml:space="preserve">Sangat baik dalam Memahami Memahami kehidupan manusia dalam kelembagaan sosial, ekonomi, pendidikan, dan budaya di masyarakat sekitar. </v>
      </c>
      <c r="G6" s="134">
        <v>3</v>
      </c>
      <c r="H6" s="382" t="str">
        <f>dtsiswa!D9</f>
        <v>Anggun Dwi P.I</v>
      </c>
      <c r="I6" s="383">
        <f>IPS_KI4!X19</f>
        <v>0</v>
      </c>
      <c r="J6" s="383">
        <f>IPS_KI4!Y19</f>
        <v>0</v>
      </c>
      <c r="K6" s="383">
        <f>IPS_KI4!Z19</f>
        <v>0</v>
      </c>
      <c r="L6" s="383">
        <f>IPS_KI4!AA19</f>
        <v>0</v>
      </c>
      <c r="M6" s="669" t="str">
        <f t="shared" si="1"/>
        <v xml:space="preserve">  </v>
      </c>
      <c r="N6" s="134">
        <v>3</v>
      </c>
      <c r="O6" s="384" t="str">
        <f>dtsiswa!D9</f>
        <v>Anggun Dwi P.I</v>
      </c>
      <c r="P6" s="385" t="str">
        <f t="shared" si="3"/>
        <v xml:space="preserve">Sangat baik dalam Memahami Memahami kehidupan manusia dalam kelembagaan sosial, ekonomi, pendidikan, dan budaya di masyarakat sekitar. Cukup baik dalam Memahami manusia dalam dinamika interaksi dengan lingkungan alam, sosial, budaya dan ekonomi. </v>
      </c>
      <c r="Q6" s="386" t="str">
        <f t="shared" si="4"/>
        <v xml:space="preserve">  Cukup baik dalam Menceritakankan tentang hasil bacaan mengenai pengertian ruang, konektivitas antar ruang, perubahan, dan keberlanjutan dalam waktu, sosial, ekonomi, dan pendidikan dalam lingkup masyarakat di sekitarnya</v>
      </c>
    </row>
    <row r="7" spans="1:17" ht="15" customHeight="1" x14ac:dyDescent="0.25">
      <c r="A7" s="134">
        <v>4</v>
      </c>
      <c r="B7" s="382" t="str">
        <f>dtsiswa!D10</f>
        <v>Antonio Permata A</v>
      </c>
      <c r="C7" s="1111">
        <f>IPS_3!N19</f>
        <v>0</v>
      </c>
      <c r="D7" s="1111">
        <f>IPS_3!O19</f>
        <v>0</v>
      </c>
      <c r="E7" s="1111">
        <f>IPS_3!P19</f>
        <v>0</v>
      </c>
      <c r="F7" s="668" t="str">
        <f t="shared" si="0"/>
        <v xml:space="preserve">  </v>
      </c>
      <c r="G7" s="134">
        <v>4</v>
      </c>
      <c r="H7" s="382" t="str">
        <f>dtsiswa!D10</f>
        <v>Antonio Permata A</v>
      </c>
      <c r="I7" s="383">
        <f>IPS_KI4!X24</f>
        <v>0</v>
      </c>
      <c r="J7" s="383">
        <f>IPS_KI4!Y24</f>
        <v>0</v>
      </c>
      <c r="K7" s="383">
        <f>IPS_KI4!Z24</f>
        <v>0</v>
      </c>
      <c r="L7" s="383">
        <f>IPS_KI4!AA24</f>
        <v>0</v>
      </c>
      <c r="M7" s="669" t="str">
        <f t="shared" si="1"/>
        <v xml:space="preserve">  </v>
      </c>
      <c r="N7" s="134">
        <v>4</v>
      </c>
      <c r="O7" s="384" t="str">
        <f>dtsiswa!D10</f>
        <v>Antonio Permata A</v>
      </c>
      <c r="P7" s="385" t="str">
        <f t="shared" si="3"/>
        <v xml:space="preserve">    </v>
      </c>
      <c r="Q7" s="386" t="str">
        <f t="shared" si="4"/>
        <v xml:space="preserve">    </v>
      </c>
    </row>
    <row r="8" spans="1:17" ht="15" customHeight="1" x14ac:dyDescent="0.25">
      <c r="A8" s="134">
        <v>5</v>
      </c>
      <c r="B8" s="382" t="str">
        <f>dtsiswa!D11</f>
        <v>Arya Pratama G</v>
      </c>
      <c r="C8" s="1111">
        <f>IPS_3!N23</f>
        <v>0</v>
      </c>
      <c r="D8" s="1111">
        <f>IPS_3!O23</f>
        <v>0</v>
      </c>
      <c r="E8" s="1111">
        <f>IPS_3!P23</f>
        <v>0</v>
      </c>
      <c r="F8" s="668" t="str">
        <f t="shared" si="0"/>
        <v xml:space="preserve">  </v>
      </c>
      <c r="G8" s="134">
        <v>5</v>
      </c>
      <c r="H8" s="382" t="str">
        <f>dtsiswa!D11</f>
        <v>Arya Pratama G</v>
      </c>
      <c r="I8" s="383">
        <f>IPS_KI4!X29</f>
        <v>0</v>
      </c>
      <c r="J8" s="383">
        <f>IPS_KI4!Y29</f>
        <v>0</v>
      </c>
      <c r="K8" s="383">
        <f>IPS_KI4!Z29</f>
        <v>0</v>
      </c>
      <c r="L8" s="383">
        <f>IPS_KI4!AA29</f>
        <v>0</v>
      </c>
      <c r="M8" s="669" t="str">
        <f t="shared" si="1"/>
        <v xml:space="preserve">  </v>
      </c>
      <c r="N8" s="134">
        <v>5</v>
      </c>
      <c r="O8" s="384" t="str">
        <f>dtsiswa!D11</f>
        <v>Arya Pratama G</v>
      </c>
      <c r="P8" s="385" t="str">
        <f t="shared" si="3"/>
        <v xml:space="preserve">    </v>
      </c>
      <c r="Q8" s="386" t="str">
        <f t="shared" si="4"/>
        <v xml:space="preserve">    </v>
      </c>
    </row>
    <row r="9" spans="1:17" ht="15" customHeight="1" x14ac:dyDescent="0.25">
      <c r="A9" s="134">
        <v>6</v>
      </c>
      <c r="B9" s="382" t="str">
        <f>dtsiswa!D12</f>
        <v>Asyam Hanif Ihsan H</v>
      </c>
      <c r="C9" s="1111">
        <f>IPS_3!N27</f>
        <v>0</v>
      </c>
      <c r="D9" s="1111">
        <f>IPS_3!O27</f>
        <v>0</v>
      </c>
      <c r="E9" s="1111">
        <f>IPS_3!P27</f>
        <v>0</v>
      </c>
      <c r="F9" s="668" t="str">
        <f t="shared" si="0"/>
        <v xml:space="preserve">  </v>
      </c>
      <c r="G9" s="134">
        <v>6</v>
      </c>
      <c r="H9" s="382" t="str">
        <f>dtsiswa!D12</f>
        <v>Asyam Hanif Ihsan H</v>
      </c>
      <c r="I9" s="383">
        <f>IPS_KI4!X34</f>
        <v>0</v>
      </c>
      <c r="J9" s="383">
        <f>IPS_KI4!Y34</f>
        <v>0</v>
      </c>
      <c r="K9" s="383">
        <f>IPS_KI4!Z34</f>
        <v>0</v>
      </c>
      <c r="L9" s="383">
        <f>IPS_KI4!AA34</f>
        <v>0</v>
      </c>
      <c r="M9" s="669" t="str">
        <f t="shared" si="1"/>
        <v xml:space="preserve">  </v>
      </c>
      <c r="N9" s="134">
        <v>6</v>
      </c>
      <c r="O9" s="384" t="str">
        <f>dtsiswa!D12</f>
        <v>Asyam Hanif Ihsan H</v>
      </c>
      <c r="P9" s="385" t="str">
        <f t="shared" si="3"/>
        <v xml:space="preserve">    </v>
      </c>
      <c r="Q9" s="386" t="str">
        <f t="shared" si="4"/>
        <v xml:space="preserve">    </v>
      </c>
    </row>
    <row r="10" spans="1:17" ht="15" customHeight="1" x14ac:dyDescent="0.25">
      <c r="A10" s="134">
        <v>7</v>
      </c>
      <c r="B10" s="382" t="str">
        <f>dtsiswa!D13</f>
        <v>Athaya Salsabilla Z</v>
      </c>
      <c r="C10" s="1111">
        <f>IPS_3!N31</f>
        <v>0</v>
      </c>
      <c r="D10" s="1111">
        <f>IPS_3!O31</f>
        <v>0</v>
      </c>
      <c r="E10" s="1111">
        <f>IPS_3!P31</f>
        <v>0</v>
      </c>
      <c r="F10" s="668" t="str">
        <f t="shared" si="0"/>
        <v xml:space="preserve">  </v>
      </c>
      <c r="G10" s="134">
        <v>7</v>
      </c>
      <c r="H10" s="382" t="str">
        <f>dtsiswa!D13</f>
        <v>Athaya Salsabilla Z</v>
      </c>
      <c r="I10" s="383">
        <f>IPS_KI4!X39</f>
        <v>0</v>
      </c>
      <c r="J10" s="383">
        <f>IPS_KI4!Y39</f>
        <v>0</v>
      </c>
      <c r="K10" s="383">
        <f>IPS_KI4!Z39</f>
        <v>0</v>
      </c>
      <c r="L10" s="383">
        <f>IPS_KI4!AA39</f>
        <v>0</v>
      </c>
      <c r="M10" s="669" t="str">
        <f t="shared" si="1"/>
        <v xml:space="preserve">  </v>
      </c>
      <c r="N10" s="134">
        <v>7</v>
      </c>
      <c r="O10" s="384" t="str">
        <f>dtsiswa!D13</f>
        <v>Athaya Salsabilla Z</v>
      </c>
      <c r="P10" s="385" t="str">
        <f t="shared" si="3"/>
        <v xml:space="preserve">    </v>
      </c>
      <c r="Q10" s="386" t="str">
        <f t="shared" si="4"/>
        <v xml:space="preserve">    </v>
      </c>
    </row>
    <row r="11" spans="1:17" ht="15" customHeight="1" x14ac:dyDescent="0.25">
      <c r="A11" s="134">
        <v>8</v>
      </c>
      <c r="B11" s="382" t="str">
        <f>dtsiswa!D14</f>
        <v>Aulia Dea Rosalinda</v>
      </c>
      <c r="C11" s="1111">
        <f>IPS_3!N35</f>
        <v>0</v>
      </c>
      <c r="D11" s="1111">
        <f>IPS_3!O35</f>
        <v>0</v>
      </c>
      <c r="E11" s="1111">
        <f>IPS_3!P35</f>
        <v>0</v>
      </c>
      <c r="F11" s="668" t="str">
        <f t="shared" si="0"/>
        <v xml:space="preserve">  </v>
      </c>
      <c r="G11" s="134">
        <v>8</v>
      </c>
      <c r="H11" s="382" t="str">
        <f>dtsiswa!D14</f>
        <v>Aulia Dea Rosalinda</v>
      </c>
      <c r="I11" s="383">
        <f>IPS_KI4!X44</f>
        <v>0</v>
      </c>
      <c r="J11" s="383">
        <f>IPS_KI4!Y44</f>
        <v>0</v>
      </c>
      <c r="K11" s="383">
        <f>IPS_KI4!Z44</f>
        <v>0</v>
      </c>
      <c r="L11" s="383">
        <f>IPS_KI4!AA44</f>
        <v>0</v>
      </c>
      <c r="M11" s="669" t="str">
        <f t="shared" si="1"/>
        <v xml:space="preserve">  </v>
      </c>
      <c r="N11" s="134">
        <v>8</v>
      </c>
      <c r="O11" s="384" t="str">
        <f>dtsiswa!D14</f>
        <v>Aulia Dea Rosalinda</v>
      </c>
      <c r="P11" s="385" t="str">
        <f t="shared" si="3"/>
        <v xml:space="preserve">    </v>
      </c>
      <c r="Q11" s="386" t="str">
        <f t="shared" si="4"/>
        <v xml:space="preserve">    </v>
      </c>
    </row>
    <row r="12" spans="1:17" ht="15" customHeight="1" x14ac:dyDescent="0.25">
      <c r="A12" s="134">
        <v>9</v>
      </c>
      <c r="B12" s="382" t="str">
        <f>dtsiswa!D15</f>
        <v>Claudia Gabriella L</v>
      </c>
      <c r="C12" s="1111">
        <f>IPS_3!N39</f>
        <v>0</v>
      </c>
      <c r="D12" s="1111">
        <f>IPS_3!O39</f>
        <v>0</v>
      </c>
      <c r="E12" s="1111">
        <f>IPS_3!P39</f>
        <v>0</v>
      </c>
      <c r="F12" s="668" t="str">
        <f t="shared" si="0"/>
        <v xml:space="preserve">  </v>
      </c>
      <c r="G12" s="134">
        <v>9</v>
      </c>
      <c r="H12" s="382" t="str">
        <f>dtsiswa!D15</f>
        <v>Claudia Gabriella L</v>
      </c>
      <c r="I12" s="383">
        <f>IPS_KI4!X49</f>
        <v>0</v>
      </c>
      <c r="J12" s="383">
        <f>IPS_KI4!Y49</f>
        <v>0</v>
      </c>
      <c r="K12" s="383">
        <f>IPS_KI4!Z49</f>
        <v>0</v>
      </c>
      <c r="L12" s="383">
        <f>IPS_KI4!AA49</f>
        <v>0</v>
      </c>
      <c r="M12" s="669" t="str">
        <f t="shared" si="1"/>
        <v xml:space="preserve">  </v>
      </c>
      <c r="N12" s="134">
        <v>9</v>
      </c>
      <c r="O12" s="384" t="str">
        <f>dtsiswa!D15</f>
        <v>Claudia Gabriella L</v>
      </c>
      <c r="P12" s="385" t="str">
        <f t="shared" si="3"/>
        <v xml:space="preserve">    </v>
      </c>
      <c r="Q12" s="386" t="str">
        <f t="shared" si="4"/>
        <v xml:space="preserve">    </v>
      </c>
    </row>
    <row r="13" spans="1:17" ht="15" customHeight="1" x14ac:dyDescent="0.25">
      <c r="A13" s="134">
        <v>10</v>
      </c>
      <c r="B13" s="382" t="str">
        <f>dtsiswa!D16</f>
        <v xml:space="preserve">Deco Badarus Zaman </v>
      </c>
      <c r="C13" s="1111">
        <f>IPS_3!N43</f>
        <v>0</v>
      </c>
      <c r="D13" s="1111">
        <f>IPS_3!O43</f>
        <v>0</v>
      </c>
      <c r="E13" s="1111">
        <f>IPS_3!P43</f>
        <v>0</v>
      </c>
      <c r="F13" s="668" t="str">
        <f t="shared" si="0"/>
        <v xml:space="preserve">  </v>
      </c>
      <c r="G13" s="134">
        <v>10</v>
      </c>
      <c r="H13" s="382" t="str">
        <f>dtsiswa!D16</f>
        <v xml:space="preserve">Deco Badarus Zaman </v>
      </c>
      <c r="I13" s="383">
        <f>IPS_KI4!X54</f>
        <v>0</v>
      </c>
      <c r="J13" s="383">
        <f>IPS_KI4!Y54</f>
        <v>0</v>
      </c>
      <c r="K13" s="383">
        <f>IPS_KI4!Z54</f>
        <v>0</v>
      </c>
      <c r="L13" s="383">
        <f>IPS_KI4!AA54</f>
        <v>0</v>
      </c>
      <c r="M13" s="669" t="str">
        <f t="shared" si="1"/>
        <v xml:space="preserve">  </v>
      </c>
      <c r="N13" s="134">
        <v>10</v>
      </c>
      <c r="O13" s="384" t="str">
        <f>dtsiswa!D16</f>
        <v xml:space="preserve">Deco Badarus Zaman </v>
      </c>
      <c r="P13" s="385" t="str">
        <f t="shared" si="3"/>
        <v xml:space="preserve">    </v>
      </c>
      <c r="Q13" s="386" t="str">
        <f t="shared" si="4"/>
        <v xml:space="preserve">    </v>
      </c>
    </row>
    <row r="14" spans="1:17" ht="15" customHeight="1" x14ac:dyDescent="0.25">
      <c r="A14" s="134">
        <v>11</v>
      </c>
      <c r="B14" s="382" t="str">
        <f>dtsiswa!D17</f>
        <v>Fania Mutiara Felichia</v>
      </c>
      <c r="C14" s="1111">
        <f>IPS_3!N47</f>
        <v>0</v>
      </c>
      <c r="D14" s="1111">
        <f>IPS_3!O47</f>
        <v>0</v>
      </c>
      <c r="E14" s="1111">
        <f>IPS_3!P47</f>
        <v>0</v>
      </c>
      <c r="F14" s="668" t="str">
        <f t="shared" si="0"/>
        <v xml:space="preserve">  </v>
      </c>
      <c r="G14" s="134">
        <v>11</v>
      </c>
      <c r="H14" s="382" t="str">
        <f>dtsiswa!D17</f>
        <v>Fania Mutiara Felichia</v>
      </c>
      <c r="I14" s="383">
        <f>IPS_KI4!X59</f>
        <v>0</v>
      </c>
      <c r="J14" s="383">
        <f>IPS_KI4!Y59</f>
        <v>0</v>
      </c>
      <c r="K14" s="383">
        <f>IPS_KI4!Z59</f>
        <v>0</v>
      </c>
      <c r="L14" s="383">
        <f>IPS_KI4!AA59</f>
        <v>0</v>
      </c>
      <c r="M14" s="669" t="str">
        <f t="shared" si="1"/>
        <v xml:space="preserve">  </v>
      </c>
      <c r="N14" s="134">
        <v>11</v>
      </c>
      <c r="O14" s="384" t="str">
        <f>dtsiswa!D17</f>
        <v>Fania Mutiara Felichia</v>
      </c>
      <c r="P14" s="385" t="str">
        <f t="shared" si="3"/>
        <v xml:space="preserve">    </v>
      </c>
      <c r="Q14" s="386" t="str">
        <f t="shared" si="4"/>
        <v xml:space="preserve">    </v>
      </c>
    </row>
    <row r="15" spans="1:17" ht="15" customHeight="1" x14ac:dyDescent="0.25">
      <c r="A15" s="134">
        <v>12</v>
      </c>
      <c r="B15" s="382" t="str">
        <f>dtsiswa!D18</f>
        <v>Intan Dyah Nowari</v>
      </c>
      <c r="C15" s="1111">
        <f>IPS_3!N51</f>
        <v>0</v>
      </c>
      <c r="D15" s="1111">
        <f>IPS_3!O51</f>
        <v>0</v>
      </c>
      <c r="E15" s="1111">
        <f>IPS_3!P51</f>
        <v>0</v>
      </c>
      <c r="F15" s="668" t="str">
        <f t="shared" si="0"/>
        <v xml:space="preserve">  </v>
      </c>
      <c r="G15" s="134">
        <v>12</v>
      </c>
      <c r="H15" s="382" t="str">
        <f>dtsiswa!D18</f>
        <v>Intan Dyah Nowari</v>
      </c>
      <c r="I15" s="383">
        <f>IPS_KI4!X64</f>
        <v>0</v>
      </c>
      <c r="J15" s="383">
        <f>IPS_KI4!Y64</f>
        <v>0</v>
      </c>
      <c r="K15" s="383">
        <f>IPS_KI4!Z64</f>
        <v>0</v>
      </c>
      <c r="L15" s="383">
        <f>IPS_KI4!AA64</f>
        <v>0</v>
      </c>
      <c r="M15" s="669" t="str">
        <f t="shared" si="1"/>
        <v xml:space="preserve">  </v>
      </c>
      <c r="N15" s="134">
        <v>12</v>
      </c>
      <c r="O15" s="384" t="str">
        <f>dtsiswa!D18</f>
        <v>Intan Dyah Nowari</v>
      </c>
      <c r="P15" s="385" t="str">
        <f t="shared" si="3"/>
        <v xml:space="preserve">    </v>
      </c>
      <c r="Q15" s="386" t="str">
        <f t="shared" si="4"/>
        <v xml:space="preserve">    </v>
      </c>
    </row>
    <row r="16" spans="1:17" ht="15" customHeight="1" x14ac:dyDescent="0.25">
      <c r="A16" s="134">
        <v>13</v>
      </c>
      <c r="B16" s="382" t="str">
        <f>dtsiswa!D19</f>
        <v>Misyanita Nurfitri S</v>
      </c>
      <c r="C16" s="1111">
        <f>IPS_3!N55</f>
        <v>0</v>
      </c>
      <c r="D16" s="1111">
        <f>IPS_3!O55</f>
        <v>0</v>
      </c>
      <c r="E16" s="1111">
        <f>IPS_3!P55</f>
        <v>0</v>
      </c>
      <c r="F16" s="668" t="str">
        <f t="shared" si="0"/>
        <v xml:space="preserve">  </v>
      </c>
      <c r="G16" s="134">
        <v>13</v>
      </c>
      <c r="H16" s="382" t="str">
        <f>dtsiswa!D19</f>
        <v>Misyanita Nurfitri S</v>
      </c>
      <c r="I16" s="383">
        <f>IPS_KI4!X69</f>
        <v>0</v>
      </c>
      <c r="J16" s="383">
        <f>IPS_KI4!Y69</f>
        <v>0</v>
      </c>
      <c r="K16" s="383">
        <f>IPS_KI4!Z69</f>
        <v>0</v>
      </c>
      <c r="L16" s="383">
        <f>IPS_KI4!AA69</f>
        <v>0</v>
      </c>
      <c r="M16" s="669" t="str">
        <f t="shared" si="1"/>
        <v xml:space="preserve">  </v>
      </c>
      <c r="N16" s="134">
        <v>13</v>
      </c>
      <c r="O16" s="384" t="str">
        <f>dtsiswa!D19</f>
        <v>Misyanita Nurfitri S</v>
      </c>
      <c r="P16" s="385" t="str">
        <f t="shared" si="3"/>
        <v xml:space="preserve">    </v>
      </c>
      <c r="Q16" s="386" t="str">
        <f t="shared" si="4"/>
        <v xml:space="preserve">    </v>
      </c>
    </row>
    <row r="17" spans="1:17" ht="15" customHeight="1" x14ac:dyDescent="0.25">
      <c r="A17" s="134">
        <v>14</v>
      </c>
      <c r="B17" s="382" t="str">
        <f>dtsiswa!D20</f>
        <v>Moch Zidane Hita L. U</v>
      </c>
      <c r="C17" s="1111">
        <f>IPS_3!N59</f>
        <v>0</v>
      </c>
      <c r="D17" s="1111">
        <f>IPS_3!O59</f>
        <v>0</v>
      </c>
      <c r="E17" s="1111">
        <f>IPS_3!P59</f>
        <v>0</v>
      </c>
      <c r="F17" s="668" t="str">
        <f t="shared" si="0"/>
        <v xml:space="preserve">  </v>
      </c>
      <c r="G17" s="134">
        <v>14</v>
      </c>
      <c r="H17" s="382" t="str">
        <f>dtsiswa!D20</f>
        <v>Moch Zidane Hita L. U</v>
      </c>
      <c r="I17" s="383">
        <f>IPS_KI4!X74</f>
        <v>0</v>
      </c>
      <c r="J17" s="383">
        <f>IPS_KI4!Y74</f>
        <v>0</v>
      </c>
      <c r="K17" s="383">
        <f>IPS_KI4!Z74</f>
        <v>0</v>
      </c>
      <c r="L17" s="383">
        <f>IPS_KI4!AA74</f>
        <v>0</v>
      </c>
      <c r="M17" s="669" t="str">
        <f t="shared" si="1"/>
        <v xml:space="preserve">  </v>
      </c>
      <c r="N17" s="134">
        <v>14</v>
      </c>
      <c r="O17" s="384" t="str">
        <f>dtsiswa!D20</f>
        <v>Moch Zidane Hita L. U</v>
      </c>
      <c r="P17" s="385" t="str">
        <f t="shared" si="3"/>
        <v xml:space="preserve">    </v>
      </c>
      <c r="Q17" s="386" t="str">
        <f t="shared" si="4"/>
        <v xml:space="preserve">    </v>
      </c>
    </row>
    <row r="18" spans="1:17" ht="15" customHeight="1" x14ac:dyDescent="0.25">
      <c r="A18" s="134">
        <v>15</v>
      </c>
      <c r="B18" s="382" t="str">
        <f>dtsiswa!D21</f>
        <v>Muhammad Ibra Maulana</v>
      </c>
      <c r="C18" s="1111">
        <f>IPS_3!N63</f>
        <v>0</v>
      </c>
      <c r="D18" s="1111">
        <f>IPS_3!O63</f>
        <v>0</v>
      </c>
      <c r="E18" s="1111">
        <f>IPS_3!P63</f>
        <v>0</v>
      </c>
      <c r="F18" s="668" t="str">
        <f t="shared" si="0"/>
        <v xml:space="preserve">  </v>
      </c>
      <c r="G18" s="134">
        <v>15</v>
      </c>
      <c r="H18" s="382" t="str">
        <f>dtsiswa!D21</f>
        <v>Muhammad Ibra Maulana</v>
      </c>
      <c r="I18" s="383">
        <f>IPS_KI4!X79</f>
        <v>0</v>
      </c>
      <c r="J18" s="383">
        <f>IPS_KI4!Y79</f>
        <v>0</v>
      </c>
      <c r="K18" s="383">
        <f>IPS_KI4!Z79</f>
        <v>0</v>
      </c>
      <c r="L18" s="383">
        <f>IPS_KI4!AA79</f>
        <v>0</v>
      </c>
      <c r="M18" s="669" t="str">
        <f t="shared" si="1"/>
        <v xml:space="preserve">  </v>
      </c>
      <c r="N18" s="134">
        <v>15</v>
      </c>
      <c r="O18" s="384" t="str">
        <f>dtsiswa!D21</f>
        <v>Muhammad Ibra Maulana</v>
      </c>
      <c r="P18" s="385" t="str">
        <f t="shared" si="3"/>
        <v xml:space="preserve">    </v>
      </c>
      <c r="Q18" s="386" t="str">
        <f t="shared" si="4"/>
        <v xml:space="preserve">    </v>
      </c>
    </row>
    <row r="19" spans="1:17" ht="15" customHeight="1" x14ac:dyDescent="0.25">
      <c r="A19" s="134">
        <v>16</v>
      </c>
      <c r="B19" s="382" t="str">
        <f>dtsiswa!D22</f>
        <v>Nabilla Shiva Putri</v>
      </c>
      <c r="C19" s="1111">
        <f>IPS_3!N67</f>
        <v>0</v>
      </c>
      <c r="D19" s="1111">
        <f>IPS_3!O67</f>
        <v>0</v>
      </c>
      <c r="E19" s="1111">
        <f>IPS_3!P67</f>
        <v>0</v>
      </c>
      <c r="F19" s="668" t="str">
        <f t="shared" si="0"/>
        <v xml:space="preserve">  </v>
      </c>
      <c r="G19" s="134">
        <v>16</v>
      </c>
      <c r="H19" s="382" t="str">
        <f>dtsiswa!D22</f>
        <v>Nabilla Shiva Putri</v>
      </c>
      <c r="I19" s="383">
        <f>IPS_KI4!X84</f>
        <v>0</v>
      </c>
      <c r="J19" s="383">
        <f>IPS_KI4!Y84</f>
        <v>0</v>
      </c>
      <c r="K19" s="383">
        <f>IPS_KI4!Z84</f>
        <v>0</v>
      </c>
      <c r="L19" s="383">
        <f>IPS_KI4!AA84</f>
        <v>0</v>
      </c>
      <c r="M19" s="669" t="str">
        <f t="shared" si="1"/>
        <v xml:space="preserve">  </v>
      </c>
      <c r="N19" s="134">
        <v>16</v>
      </c>
      <c r="O19" s="384" t="str">
        <f>dtsiswa!D22</f>
        <v>Nabilla Shiva Putri</v>
      </c>
      <c r="P19" s="385" t="str">
        <f t="shared" si="3"/>
        <v xml:space="preserve">    </v>
      </c>
      <c r="Q19" s="386" t="str">
        <f t="shared" si="4"/>
        <v xml:space="preserve">    </v>
      </c>
    </row>
    <row r="20" spans="1:17" ht="15" customHeight="1" x14ac:dyDescent="0.25">
      <c r="A20" s="134">
        <v>17</v>
      </c>
      <c r="B20" s="382" t="str">
        <f>dtsiswa!D23</f>
        <v>Naufal Falih F</v>
      </c>
      <c r="C20" s="1111">
        <f>IPS_3!N71</f>
        <v>0</v>
      </c>
      <c r="D20" s="1111">
        <f>IPS_3!O71</f>
        <v>0</v>
      </c>
      <c r="E20" s="1111">
        <f>IPS_3!P71</f>
        <v>0</v>
      </c>
      <c r="F20" s="668" t="str">
        <f t="shared" si="0"/>
        <v xml:space="preserve">  </v>
      </c>
      <c r="G20" s="134">
        <v>17</v>
      </c>
      <c r="H20" s="382" t="str">
        <f>dtsiswa!D23</f>
        <v>Naufal Falih F</v>
      </c>
      <c r="I20" s="383">
        <f>IPS_KI4!X89</f>
        <v>0</v>
      </c>
      <c r="J20" s="383">
        <f>IPS_KI4!Y89</f>
        <v>0</v>
      </c>
      <c r="K20" s="383">
        <f>IPS_KI4!Z89</f>
        <v>0</v>
      </c>
      <c r="L20" s="383">
        <f>IPS_KI4!AA89</f>
        <v>0</v>
      </c>
      <c r="M20" s="669" t="str">
        <f t="shared" si="1"/>
        <v xml:space="preserve">  </v>
      </c>
      <c r="N20" s="134">
        <v>17</v>
      </c>
      <c r="O20" s="384" t="str">
        <f>dtsiswa!D23</f>
        <v>Naufal Falih F</v>
      </c>
      <c r="P20" s="385" t="str">
        <f t="shared" si="3"/>
        <v xml:space="preserve">    </v>
      </c>
      <c r="Q20" s="386" t="str">
        <f t="shared" si="4"/>
        <v xml:space="preserve">    </v>
      </c>
    </row>
    <row r="21" spans="1:17" ht="15" customHeight="1" x14ac:dyDescent="0.25">
      <c r="A21" s="134">
        <v>18</v>
      </c>
      <c r="B21" s="382" t="str">
        <f>dtsiswa!D24</f>
        <v>Nayla Annora Nobel W</v>
      </c>
      <c r="C21" s="1111">
        <f>IPS_3!N75</f>
        <v>0</v>
      </c>
      <c r="D21" s="1111">
        <f>IPS_3!O75</f>
        <v>0</v>
      </c>
      <c r="E21" s="1111">
        <f>IPS_3!P75</f>
        <v>0</v>
      </c>
      <c r="F21" s="668" t="str">
        <f t="shared" si="0"/>
        <v xml:space="preserve">  </v>
      </c>
      <c r="G21" s="134">
        <v>18</v>
      </c>
      <c r="H21" s="382" t="str">
        <f>dtsiswa!D24</f>
        <v>Nayla Annora Nobel W</v>
      </c>
      <c r="I21" s="383">
        <f>IPS_KI4!X94</f>
        <v>0</v>
      </c>
      <c r="J21" s="383">
        <f>IPS_KI4!Y94</f>
        <v>0</v>
      </c>
      <c r="K21" s="383">
        <f>IPS_KI4!Z94</f>
        <v>0</v>
      </c>
      <c r="L21" s="383">
        <f>IPS_KI4!AA94</f>
        <v>0</v>
      </c>
      <c r="M21" s="669" t="str">
        <f t="shared" si="1"/>
        <v xml:space="preserve">  </v>
      </c>
      <c r="N21" s="134">
        <v>18</v>
      </c>
      <c r="O21" s="384" t="str">
        <f>dtsiswa!D24</f>
        <v>Nayla Annora Nobel W</v>
      </c>
      <c r="P21" s="385" t="str">
        <f t="shared" si="3"/>
        <v xml:space="preserve">    </v>
      </c>
      <c r="Q21" s="386" t="str">
        <f t="shared" si="4"/>
        <v xml:space="preserve">    </v>
      </c>
    </row>
    <row r="22" spans="1:17" ht="15" customHeight="1" x14ac:dyDescent="0.25">
      <c r="A22" s="134">
        <v>19</v>
      </c>
      <c r="B22" s="382" t="str">
        <f>dtsiswa!D25</f>
        <v>Raihan Danang P</v>
      </c>
      <c r="C22" s="1111">
        <f>IPS_3!N79</f>
        <v>0</v>
      </c>
      <c r="D22" s="1111">
        <f>IPS_3!O79</f>
        <v>0</v>
      </c>
      <c r="E22" s="1111">
        <f>IPS_3!P79</f>
        <v>0</v>
      </c>
      <c r="F22" s="668" t="str">
        <f t="shared" si="0"/>
        <v xml:space="preserve">  </v>
      </c>
      <c r="G22" s="134">
        <v>19</v>
      </c>
      <c r="H22" s="382" t="str">
        <f>dtsiswa!D25</f>
        <v>Raihan Danang P</v>
      </c>
      <c r="I22" s="383">
        <f>IPS_KI4!X99</f>
        <v>0</v>
      </c>
      <c r="J22" s="383">
        <f>IPS_KI4!Y99</f>
        <v>0</v>
      </c>
      <c r="K22" s="383">
        <f>IPS_KI4!Z99</f>
        <v>0</v>
      </c>
      <c r="L22" s="383">
        <f>IPS_KI4!AA99</f>
        <v>0</v>
      </c>
      <c r="M22" s="669" t="str">
        <f t="shared" si="1"/>
        <v xml:space="preserve">  </v>
      </c>
      <c r="N22" s="134">
        <v>19</v>
      </c>
      <c r="O22" s="384" t="str">
        <f>dtsiswa!D25</f>
        <v>Raihan Danang P</v>
      </c>
      <c r="P22" s="385" t="str">
        <f t="shared" si="3"/>
        <v xml:space="preserve">    </v>
      </c>
      <c r="Q22" s="386" t="str">
        <f t="shared" si="4"/>
        <v xml:space="preserve">    </v>
      </c>
    </row>
    <row r="23" spans="1:17" ht="15" customHeight="1" x14ac:dyDescent="0.25">
      <c r="A23" s="134">
        <v>20</v>
      </c>
      <c r="B23" s="382" t="str">
        <f>dtsiswa!D26</f>
        <v>Roby Ardiyansyah</v>
      </c>
      <c r="C23" s="1111">
        <f>IPS_3!N83</f>
        <v>0</v>
      </c>
      <c r="D23" s="1111">
        <f>IPS_3!O83</f>
        <v>0</v>
      </c>
      <c r="E23" s="1111">
        <f>IPS_3!P83</f>
        <v>0</v>
      </c>
      <c r="F23" s="668" t="str">
        <f t="shared" si="0"/>
        <v xml:space="preserve">  </v>
      </c>
      <c r="G23" s="134">
        <v>20</v>
      </c>
      <c r="H23" s="382" t="str">
        <f>dtsiswa!D26</f>
        <v>Roby Ardiyansyah</v>
      </c>
      <c r="I23" s="383">
        <f>IPS_KI4!X104</f>
        <v>0</v>
      </c>
      <c r="J23" s="383">
        <f>IPS_KI4!Y104</f>
        <v>0</v>
      </c>
      <c r="K23" s="383">
        <f>IPS_KI4!Z104</f>
        <v>0</v>
      </c>
      <c r="L23" s="383">
        <f>IPS_KI4!AA104</f>
        <v>0</v>
      </c>
      <c r="M23" s="669" t="str">
        <f t="shared" si="1"/>
        <v xml:space="preserve">  </v>
      </c>
      <c r="N23" s="134">
        <v>20</v>
      </c>
      <c r="O23" s="384" t="str">
        <f>dtsiswa!D26</f>
        <v>Roby Ardiyansyah</v>
      </c>
      <c r="P23" s="385" t="str">
        <f t="shared" si="3"/>
        <v xml:space="preserve">    </v>
      </c>
      <c r="Q23" s="386" t="str">
        <f t="shared" si="4"/>
        <v xml:space="preserve">    </v>
      </c>
    </row>
    <row r="24" spans="1:17" ht="15" customHeight="1" x14ac:dyDescent="0.25">
      <c r="A24" s="134">
        <v>21</v>
      </c>
      <c r="B24" s="382" t="str">
        <f>dtsiswa!D27</f>
        <v>Rojalingga Prana A</v>
      </c>
      <c r="C24" s="1111">
        <f>IPS_3!N87</f>
        <v>0</v>
      </c>
      <c r="D24" s="1111">
        <f>IPS_3!O87</f>
        <v>0</v>
      </c>
      <c r="E24" s="1111">
        <f>IPS_3!P87</f>
        <v>0</v>
      </c>
      <c r="F24" s="668" t="str">
        <f t="shared" si="0"/>
        <v xml:space="preserve">  </v>
      </c>
      <c r="G24" s="134">
        <v>21</v>
      </c>
      <c r="H24" s="382" t="str">
        <f>dtsiswa!D27</f>
        <v>Rojalingga Prana A</v>
      </c>
      <c r="I24" s="383">
        <f>IPS_KI4!X109</f>
        <v>0</v>
      </c>
      <c r="J24" s="383">
        <f>IPS_KI4!Y109</f>
        <v>0</v>
      </c>
      <c r="K24" s="383">
        <f>IPS_KI4!Z109</f>
        <v>0</v>
      </c>
      <c r="L24" s="383">
        <f>IPS_KI4!AA109</f>
        <v>0</v>
      </c>
      <c r="M24" s="669" t="str">
        <f t="shared" si="1"/>
        <v xml:space="preserve">  </v>
      </c>
      <c r="N24" s="134">
        <v>21</v>
      </c>
      <c r="O24" s="384" t="str">
        <f>dtsiswa!D27</f>
        <v>Rojalingga Prana A</v>
      </c>
      <c r="P24" s="385" t="str">
        <f t="shared" si="3"/>
        <v xml:space="preserve">    </v>
      </c>
      <c r="Q24" s="386" t="str">
        <f t="shared" si="4"/>
        <v xml:space="preserve">    </v>
      </c>
    </row>
    <row r="25" spans="1:17" ht="15" customHeight="1" x14ac:dyDescent="0.25">
      <c r="A25" s="134">
        <v>22</v>
      </c>
      <c r="B25" s="382" t="str">
        <f>dtsiswa!D28</f>
        <v>Sally Savista A</v>
      </c>
      <c r="C25" s="1111">
        <f>IPS_3!N91</f>
        <v>0</v>
      </c>
      <c r="D25" s="1111">
        <f>IPS_3!O91</f>
        <v>0</v>
      </c>
      <c r="E25" s="1111">
        <f>IPS_3!P91</f>
        <v>0</v>
      </c>
      <c r="F25" s="668" t="str">
        <f t="shared" si="0"/>
        <v xml:space="preserve">  </v>
      </c>
      <c r="G25" s="134">
        <v>22</v>
      </c>
      <c r="H25" s="382" t="str">
        <f>dtsiswa!D28</f>
        <v>Sally Savista A</v>
      </c>
      <c r="I25" s="383">
        <f>IPS_KI4!X114</f>
        <v>0</v>
      </c>
      <c r="J25" s="383">
        <f>IPS_KI4!Y114</f>
        <v>0</v>
      </c>
      <c r="K25" s="383">
        <f>IPS_KI4!Z114</f>
        <v>0</v>
      </c>
      <c r="L25" s="383">
        <f>IPS_KI4!AA114</f>
        <v>0</v>
      </c>
      <c r="M25" s="669" t="str">
        <f t="shared" si="1"/>
        <v xml:space="preserve">  </v>
      </c>
      <c r="N25" s="134">
        <v>22</v>
      </c>
      <c r="O25" s="384" t="str">
        <f>dtsiswa!D28</f>
        <v>Sally Savista A</v>
      </c>
      <c r="P25" s="385" t="str">
        <f t="shared" si="3"/>
        <v xml:space="preserve">    </v>
      </c>
      <c r="Q25" s="386" t="str">
        <f t="shared" si="4"/>
        <v xml:space="preserve">    </v>
      </c>
    </row>
    <row r="26" spans="1:17" ht="15" customHeight="1" x14ac:dyDescent="0.25">
      <c r="A26" s="134">
        <v>23</v>
      </c>
      <c r="B26" s="382" t="str">
        <f>dtsiswa!D29</f>
        <v xml:space="preserve">Tania Kaori Angelita </v>
      </c>
      <c r="C26" s="1111">
        <f>IPS_3!N95</f>
        <v>0</v>
      </c>
      <c r="D26" s="1111">
        <f>IPS_3!O95</f>
        <v>0</v>
      </c>
      <c r="E26" s="1111">
        <f>IPS_3!P95</f>
        <v>0</v>
      </c>
      <c r="F26" s="668" t="str">
        <f t="shared" si="0"/>
        <v xml:space="preserve">  </v>
      </c>
      <c r="G26" s="134">
        <v>23</v>
      </c>
      <c r="H26" s="382" t="str">
        <f>dtsiswa!D29</f>
        <v xml:space="preserve">Tania Kaori Angelita </v>
      </c>
      <c r="I26" s="383">
        <f>IPS_KI4!X119</f>
        <v>0</v>
      </c>
      <c r="J26" s="383">
        <f>IPS_KI4!Y119</f>
        <v>0</v>
      </c>
      <c r="K26" s="383">
        <f>IPS_KI4!Z119</f>
        <v>0</v>
      </c>
      <c r="L26" s="383">
        <f>IPS_KI4!AA119</f>
        <v>0</v>
      </c>
      <c r="M26" s="669" t="str">
        <f t="shared" si="1"/>
        <v xml:space="preserve">  </v>
      </c>
      <c r="N26" s="134">
        <v>23</v>
      </c>
      <c r="O26" s="384" t="str">
        <f>dtsiswa!D29</f>
        <v xml:space="preserve">Tania Kaori Angelita </v>
      </c>
      <c r="P26" s="385" t="str">
        <f t="shared" si="3"/>
        <v xml:space="preserve">    </v>
      </c>
      <c r="Q26" s="386" t="str">
        <f t="shared" si="4"/>
        <v xml:space="preserve">    </v>
      </c>
    </row>
    <row r="27" spans="1:17" ht="15" customHeight="1" x14ac:dyDescent="0.25">
      <c r="A27" s="134">
        <v>24</v>
      </c>
      <c r="B27" s="382" t="str">
        <f>dtsiswa!D30</f>
        <v>Romzy Oka Ramadhani P</v>
      </c>
      <c r="C27" s="1111">
        <f>IPS_3!N99</f>
        <v>0</v>
      </c>
      <c r="D27" s="1111">
        <f>IPS_3!O99</f>
        <v>0</v>
      </c>
      <c r="E27" s="1111">
        <f>IPS_3!P99</f>
        <v>0</v>
      </c>
      <c r="F27" s="668" t="str">
        <f t="shared" si="0"/>
        <v xml:space="preserve">  </v>
      </c>
      <c r="G27" s="134">
        <v>24</v>
      </c>
      <c r="H27" s="382" t="str">
        <f>dtsiswa!D30</f>
        <v>Romzy Oka Ramadhani P</v>
      </c>
      <c r="I27" s="383">
        <f>IPS_KI4!X124</f>
        <v>0</v>
      </c>
      <c r="J27" s="383">
        <f>IPS_KI4!Y124</f>
        <v>0</v>
      </c>
      <c r="K27" s="383">
        <f>IPS_KI4!Z124</f>
        <v>0</v>
      </c>
      <c r="L27" s="383">
        <f>IPS_KI4!AA124</f>
        <v>0</v>
      </c>
      <c r="M27" s="669" t="str">
        <f t="shared" si="1"/>
        <v xml:space="preserve">  </v>
      </c>
      <c r="N27" s="134">
        <v>24</v>
      </c>
      <c r="O27" s="384" t="str">
        <f>dtsiswa!D30</f>
        <v>Romzy Oka Ramadhani P</v>
      </c>
      <c r="P27" s="385" t="str">
        <f t="shared" si="3"/>
        <v xml:space="preserve">    </v>
      </c>
      <c r="Q27" s="386" t="str">
        <f t="shared" si="4"/>
        <v xml:space="preserve">    </v>
      </c>
    </row>
    <row r="28" spans="1:17" ht="15" customHeight="1" x14ac:dyDescent="0.25">
      <c r="A28" s="134">
        <v>25</v>
      </c>
      <c r="B28" s="382" t="str">
        <f>dtsiswa!D31</f>
        <v>Larasati Jagadhita P</v>
      </c>
      <c r="C28" s="1111">
        <f>IPS_3!N103</f>
        <v>0</v>
      </c>
      <c r="D28" s="1111">
        <f>IPS_3!O103</f>
        <v>0</v>
      </c>
      <c r="E28" s="1111">
        <f>IPS_3!P103</f>
        <v>0</v>
      </c>
      <c r="F28" s="668" t="str">
        <f t="shared" si="0"/>
        <v xml:space="preserve">  </v>
      </c>
      <c r="G28" s="134">
        <v>25</v>
      </c>
      <c r="H28" s="382" t="str">
        <f>dtsiswa!D31</f>
        <v>Larasati Jagadhita P</v>
      </c>
      <c r="I28" s="383">
        <f>IPS_KI4!X128</f>
        <v>0</v>
      </c>
      <c r="J28" s="383">
        <f>IPS_KI4!Y128</f>
        <v>0</v>
      </c>
      <c r="K28" s="383">
        <f>IPS_KI4!Z128</f>
        <v>0</v>
      </c>
      <c r="L28" s="383">
        <f>IPS_KI4!AA128</f>
        <v>0</v>
      </c>
      <c r="M28" s="669" t="str">
        <f t="shared" si="1"/>
        <v xml:space="preserve">  </v>
      </c>
      <c r="N28" s="134">
        <v>25</v>
      </c>
      <c r="O28" s="384" t="str">
        <f>dtsiswa!D31</f>
        <v>Larasati Jagadhita P</v>
      </c>
      <c r="P28" s="385" t="str">
        <f t="shared" si="3"/>
        <v xml:space="preserve">    </v>
      </c>
      <c r="Q28" s="386" t="str">
        <f t="shared" si="4"/>
        <v xml:space="preserve">    </v>
      </c>
    </row>
    <row r="29" spans="1:17" ht="15" customHeight="1" x14ac:dyDescent="0.25">
      <c r="A29" s="134">
        <v>26</v>
      </c>
      <c r="B29" s="382" t="str">
        <f>dtsiswa!D32</f>
        <v>Meliana Citra A</v>
      </c>
      <c r="C29" s="1111">
        <f>IPS_3!N107</f>
        <v>0</v>
      </c>
      <c r="D29" s="1111">
        <f>IPS_3!O107</f>
        <v>0</v>
      </c>
      <c r="E29" s="1111">
        <f>IPS_3!P107</f>
        <v>0</v>
      </c>
      <c r="F29" s="668" t="str">
        <f t="shared" si="0"/>
        <v xml:space="preserve">  </v>
      </c>
      <c r="G29" s="134">
        <v>26</v>
      </c>
      <c r="H29" s="382" t="str">
        <f>dtsiswa!D32</f>
        <v>Meliana Citra A</v>
      </c>
      <c r="I29" s="383">
        <f>IPS_KI4!X132</f>
        <v>0</v>
      </c>
      <c r="J29" s="383">
        <f>IPS_KI4!Y132</f>
        <v>0</v>
      </c>
      <c r="K29" s="383">
        <f>IPS_KI4!Z132</f>
        <v>0</v>
      </c>
      <c r="L29" s="383">
        <f>IPS_KI4!AA132</f>
        <v>0</v>
      </c>
      <c r="M29" s="669" t="str">
        <f t="shared" si="1"/>
        <v xml:space="preserve">  </v>
      </c>
      <c r="N29" s="134">
        <v>26</v>
      </c>
      <c r="O29" s="384" t="str">
        <f>dtsiswa!D32</f>
        <v>Meliana Citra A</v>
      </c>
      <c r="P29" s="385" t="str">
        <f t="shared" si="3"/>
        <v xml:space="preserve">    </v>
      </c>
      <c r="Q29" s="386" t="str">
        <f t="shared" si="4"/>
        <v xml:space="preserve">    </v>
      </c>
    </row>
    <row r="30" spans="1:17" ht="15" customHeight="1" x14ac:dyDescent="0.25">
      <c r="A30" s="134">
        <v>27</v>
      </c>
      <c r="B30" s="382" t="str">
        <f>dtsiswa!D33</f>
        <v>Mohammad Rizky</v>
      </c>
      <c r="C30" s="1111">
        <f>IPS_3!N111</f>
        <v>0</v>
      </c>
      <c r="D30" s="1111">
        <f>IPS_3!O111</f>
        <v>0</v>
      </c>
      <c r="E30" s="1111">
        <f>IPS_3!P111</f>
        <v>0</v>
      </c>
      <c r="F30" s="668" t="str">
        <f t="shared" si="0"/>
        <v xml:space="preserve">  </v>
      </c>
      <c r="G30" s="134">
        <v>27</v>
      </c>
      <c r="H30" s="382" t="str">
        <f>dtsiswa!D33</f>
        <v>Mohammad Rizky</v>
      </c>
      <c r="I30" s="383">
        <f>IPS_KI4!X137</f>
        <v>0</v>
      </c>
      <c r="J30" s="383">
        <f>IPS_KI4!Y137</f>
        <v>0</v>
      </c>
      <c r="K30" s="383">
        <f>IPS_KI4!Z137</f>
        <v>0</v>
      </c>
      <c r="L30" s="383">
        <f>IPS_KI4!AA137</f>
        <v>0</v>
      </c>
      <c r="M30" s="669" t="str">
        <f t="shared" si="1"/>
        <v xml:space="preserve">  </v>
      </c>
      <c r="N30" s="134">
        <v>27</v>
      </c>
      <c r="O30" s="384" t="str">
        <f>dtsiswa!D33</f>
        <v>Mohammad Rizky</v>
      </c>
      <c r="P30" s="385" t="str">
        <f t="shared" si="3"/>
        <v xml:space="preserve">    </v>
      </c>
      <c r="Q30" s="386" t="str">
        <f t="shared" si="4"/>
        <v xml:space="preserve">    </v>
      </c>
    </row>
    <row r="31" spans="1:17" ht="15" customHeight="1" x14ac:dyDescent="0.25">
      <c r="A31" s="134">
        <v>28</v>
      </c>
      <c r="B31" s="382">
        <f>dtsiswa!D34</f>
        <v>0</v>
      </c>
      <c r="C31" s="1111">
        <f>IPS_3!N115</f>
        <v>0</v>
      </c>
      <c r="D31" s="1111">
        <f>IPS_3!O115</f>
        <v>0</v>
      </c>
      <c r="E31" s="1111">
        <f>IPS_3!P115</f>
        <v>0</v>
      </c>
      <c r="F31" s="668" t="str">
        <f t="shared" si="0"/>
        <v xml:space="preserve">  </v>
      </c>
      <c r="G31" s="134">
        <v>28</v>
      </c>
      <c r="H31" s="382">
        <f>dtsiswa!D34</f>
        <v>0</v>
      </c>
      <c r="I31" s="383">
        <f>IPS_KI4!X141</f>
        <v>0</v>
      </c>
      <c r="J31" s="383">
        <f>IPS_KI4!Y141</f>
        <v>0</v>
      </c>
      <c r="K31" s="383">
        <f>IPS_KI4!Z141</f>
        <v>0</v>
      </c>
      <c r="L31" s="383">
        <f>IPS_KI4!AA141</f>
        <v>0</v>
      </c>
      <c r="M31" s="669" t="str">
        <f t="shared" si="1"/>
        <v xml:space="preserve">  </v>
      </c>
      <c r="N31" s="134">
        <v>28</v>
      </c>
      <c r="O31" s="384">
        <f>dtsiswa!D34</f>
        <v>0</v>
      </c>
      <c r="P31" s="385" t="str">
        <f t="shared" si="3"/>
        <v xml:space="preserve">    </v>
      </c>
      <c r="Q31" s="386" t="str">
        <f t="shared" si="4"/>
        <v xml:space="preserve">    </v>
      </c>
    </row>
    <row r="32" spans="1:17" ht="15" customHeight="1" x14ac:dyDescent="0.25">
      <c r="A32" s="134">
        <v>29</v>
      </c>
      <c r="B32" s="382">
        <f>dtsiswa!D35</f>
        <v>0</v>
      </c>
      <c r="C32" s="1111">
        <f>IPS_3!N119</f>
        <v>0</v>
      </c>
      <c r="D32" s="1111">
        <f>IPS_3!O119</f>
        <v>0</v>
      </c>
      <c r="E32" s="1111">
        <f>IPS_3!P119</f>
        <v>0</v>
      </c>
      <c r="F32" s="668" t="str">
        <f t="shared" si="0"/>
        <v xml:space="preserve">  </v>
      </c>
      <c r="G32" s="134">
        <v>29</v>
      </c>
      <c r="H32" s="382">
        <f>dtsiswa!D35</f>
        <v>0</v>
      </c>
      <c r="I32" s="383">
        <f>IPS_KI4!X145</f>
        <v>0</v>
      </c>
      <c r="J32" s="383">
        <f>IPS_KI4!Y145</f>
        <v>0</v>
      </c>
      <c r="K32" s="383">
        <f>IPS_KI4!Z145</f>
        <v>0</v>
      </c>
      <c r="L32" s="383">
        <f>IPS_KI4!AA145</f>
        <v>0</v>
      </c>
      <c r="M32" s="669" t="str">
        <f t="shared" si="1"/>
        <v xml:space="preserve">  </v>
      </c>
      <c r="N32" s="134">
        <v>29</v>
      </c>
      <c r="O32" s="384">
        <f>dtsiswa!D35</f>
        <v>0</v>
      </c>
      <c r="P32" s="385" t="str">
        <f t="shared" si="3"/>
        <v xml:space="preserve">    </v>
      </c>
      <c r="Q32" s="386" t="str">
        <f t="shared" si="4"/>
        <v xml:space="preserve">    </v>
      </c>
    </row>
    <row r="33" spans="1:17" ht="15" customHeight="1" x14ac:dyDescent="0.25">
      <c r="A33" s="134">
        <v>30</v>
      </c>
      <c r="B33" s="382">
        <f>dtsiswa!D36</f>
        <v>0</v>
      </c>
      <c r="C33" s="1111">
        <f>IPS_3!N123</f>
        <v>0</v>
      </c>
      <c r="D33" s="1111">
        <f>IPS_3!O123</f>
        <v>0</v>
      </c>
      <c r="E33" s="1111">
        <f>IPS_3!P123</f>
        <v>0</v>
      </c>
      <c r="F33" s="668" t="str">
        <f t="shared" si="0"/>
        <v xml:space="preserve">  </v>
      </c>
      <c r="G33" s="134">
        <v>30</v>
      </c>
      <c r="H33" s="382">
        <f>dtsiswa!D36</f>
        <v>0</v>
      </c>
      <c r="I33" s="383">
        <f>IPS_KI4!X149</f>
        <v>0</v>
      </c>
      <c r="J33" s="383">
        <f>IPS_KI4!Y149</f>
        <v>0</v>
      </c>
      <c r="K33" s="383">
        <f>IPS_KI4!Z149</f>
        <v>0</v>
      </c>
      <c r="L33" s="383">
        <f>IPS_KI4!AA149</f>
        <v>0</v>
      </c>
      <c r="M33" s="669" t="str">
        <f t="shared" si="1"/>
        <v xml:space="preserve">  </v>
      </c>
      <c r="N33" s="134">
        <v>30</v>
      </c>
      <c r="O33" s="384">
        <f>dtsiswa!D36</f>
        <v>0</v>
      </c>
      <c r="P33" s="385" t="str">
        <f t="shared" si="3"/>
        <v xml:space="preserve">    </v>
      </c>
      <c r="Q33" s="386" t="str">
        <f t="shared" si="4"/>
        <v xml:space="preserve">    </v>
      </c>
    </row>
    <row r="34" spans="1:17" ht="15" customHeight="1" x14ac:dyDescent="0.25">
      <c r="A34" s="134">
        <v>31</v>
      </c>
      <c r="B34" s="382">
        <f>dtsiswa!D37</f>
        <v>0</v>
      </c>
      <c r="C34" s="1111">
        <f>IPS_3!N127</f>
        <v>0</v>
      </c>
      <c r="D34" s="1111">
        <f>IPS_3!O127</f>
        <v>0</v>
      </c>
      <c r="E34" s="1111">
        <f>IPS_3!P127</f>
        <v>0</v>
      </c>
      <c r="F34" s="668" t="str">
        <f t="shared" si="0"/>
        <v xml:space="preserve">  </v>
      </c>
      <c r="G34" s="134">
        <v>31</v>
      </c>
      <c r="H34" s="382">
        <f>dtsiswa!D37</f>
        <v>0</v>
      </c>
      <c r="I34" s="383">
        <f>IPS_KI4!X154</f>
        <v>0</v>
      </c>
      <c r="J34" s="383">
        <f>IPS_KI4!Y154</f>
        <v>0</v>
      </c>
      <c r="K34" s="383">
        <f>IPS_KI4!Z154</f>
        <v>0</v>
      </c>
      <c r="L34" s="383">
        <f>IPS_KI4!AA154</f>
        <v>0</v>
      </c>
      <c r="M34" s="669" t="str">
        <f t="shared" si="1"/>
        <v xml:space="preserve">  </v>
      </c>
      <c r="N34" s="134">
        <v>31</v>
      </c>
      <c r="O34" s="384">
        <f>dtsiswa!D37</f>
        <v>0</v>
      </c>
      <c r="P34" s="385" t="str">
        <f t="shared" si="3"/>
        <v xml:space="preserve">    </v>
      </c>
      <c r="Q34" s="386" t="str">
        <f t="shared" si="4"/>
        <v xml:space="preserve">    </v>
      </c>
    </row>
    <row r="35" spans="1:17" ht="15" customHeight="1" x14ac:dyDescent="0.25">
      <c r="A35" s="134">
        <v>32</v>
      </c>
      <c r="B35" s="382">
        <f>dtsiswa!D38</f>
        <v>0</v>
      </c>
      <c r="C35" s="1111">
        <f>IPS_3!N131</f>
        <v>0</v>
      </c>
      <c r="D35" s="1111">
        <f>IPS_3!O131</f>
        <v>0</v>
      </c>
      <c r="E35" s="1111">
        <f>IPS_3!P131</f>
        <v>0</v>
      </c>
      <c r="F35" s="668" t="str">
        <f t="shared" si="0"/>
        <v xml:space="preserve">  </v>
      </c>
      <c r="G35" s="134">
        <v>32</v>
      </c>
      <c r="H35" s="382">
        <f>dtsiswa!D38</f>
        <v>0</v>
      </c>
      <c r="I35" s="383">
        <f>IPS_KI4!X159</f>
        <v>0</v>
      </c>
      <c r="J35" s="383">
        <f>IPS_KI4!Y159</f>
        <v>0</v>
      </c>
      <c r="K35" s="383">
        <f>IPS_KI4!Z159</f>
        <v>0</v>
      </c>
      <c r="L35" s="383">
        <f>IPS_KI4!AA159</f>
        <v>0</v>
      </c>
      <c r="M35" s="669" t="str">
        <f t="shared" si="1"/>
        <v xml:space="preserve">  </v>
      </c>
      <c r="N35" s="134">
        <v>32</v>
      </c>
      <c r="O35" s="384">
        <f>dtsiswa!D38</f>
        <v>0</v>
      </c>
      <c r="P35" s="385" t="str">
        <f t="shared" si="3"/>
        <v xml:space="preserve">    </v>
      </c>
      <c r="Q35" s="386" t="str">
        <f t="shared" si="4"/>
        <v xml:space="preserve">    </v>
      </c>
    </row>
    <row r="36" spans="1:17" ht="15" customHeight="1" x14ac:dyDescent="0.25">
      <c r="A36" s="134">
        <v>33</v>
      </c>
      <c r="B36" s="382">
        <f>dtsiswa!D39</f>
        <v>0</v>
      </c>
      <c r="C36" s="1111">
        <f>IPS_3!N135</f>
        <v>0</v>
      </c>
      <c r="D36" s="1111">
        <f>IPS_3!O135</f>
        <v>0</v>
      </c>
      <c r="E36" s="1111">
        <f>IPS_3!P135</f>
        <v>0</v>
      </c>
      <c r="F36" s="668" t="str">
        <f t="shared" si="0"/>
        <v xml:space="preserve">  </v>
      </c>
      <c r="G36" s="134">
        <v>33</v>
      </c>
      <c r="H36" s="382">
        <f>dtsiswa!D39</f>
        <v>0</v>
      </c>
      <c r="I36" s="383">
        <f>IPS_KI4!X164</f>
        <v>0</v>
      </c>
      <c r="J36" s="383">
        <f>IPS_KI4!Y164</f>
        <v>0</v>
      </c>
      <c r="K36" s="383">
        <f>IPS_KI4!Z164</f>
        <v>0</v>
      </c>
      <c r="L36" s="383">
        <f>IPS_KI4!AA164</f>
        <v>0</v>
      </c>
      <c r="M36" s="669" t="str">
        <f t="shared" si="1"/>
        <v xml:space="preserve">  </v>
      </c>
      <c r="N36" s="134">
        <v>33</v>
      </c>
      <c r="O36" s="384">
        <f>dtsiswa!D39</f>
        <v>0</v>
      </c>
      <c r="P36" s="385" t="str">
        <f t="shared" si="3"/>
        <v xml:space="preserve">    </v>
      </c>
      <c r="Q36" s="386" t="str">
        <f t="shared" si="4"/>
        <v xml:space="preserve">    </v>
      </c>
    </row>
    <row r="37" spans="1:17" ht="15" customHeight="1" x14ac:dyDescent="0.25">
      <c r="A37" s="134">
        <v>34</v>
      </c>
      <c r="B37" s="382">
        <f>dtsiswa!D40</f>
        <v>0</v>
      </c>
      <c r="C37" s="1111">
        <f>IPS_3!N139</f>
        <v>0</v>
      </c>
      <c r="D37" s="1111">
        <f>IPS_3!O139</f>
        <v>0</v>
      </c>
      <c r="E37" s="1111">
        <f>IPS_3!P139</f>
        <v>0</v>
      </c>
      <c r="F37" s="668" t="str">
        <f t="shared" si="0"/>
        <v xml:space="preserve">  </v>
      </c>
      <c r="G37" s="134">
        <v>34</v>
      </c>
      <c r="H37" s="382">
        <f>dtsiswa!D40</f>
        <v>0</v>
      </c>
      <c r="I37" s="383">
        <f>IPS_KI4!X169</f>
        <v>0</v>
      </c>
      <c r="J37" s="383">
        <f>IPS_KI4!Y169</f>
        <v>0</v>
      </c>
      <c r="K37" s="383">
        <f>IPS_KI4!Z169</f>
        <v>0</v>
      </c>
      <c r="L37" s="383">
        <f>IPS_KI4!AA169</f>
        <v>0</v>
      </c>
      <c r="M37" s="669" t="str">
        <f t="shared" si="1"/>
        <v xml:space="preserve">  </v>
      </c>
      <c r="N37" s="134">
        <v>34</v>
      </c>
      <c r="O37" s="384">
        <f>dtsiswa!D40</f>
        <v>0</v>
      </c>
      <c r="P37" s="385" t="str">
        <f t="shared" si="3"/>
        <v xml:space="preserve">    </v>
      </c>
      <c r="Q37" s="386" t="str">
        <f t="shared" si="4"/>
        <v xml:space="preserve">    </v>
      </c>
    </row>
    <row r="38" spans="1:17" ht="15" customHeight="1" x14ac:dyDescent="0.25">
      <c r="A38" s="134">
        <v>35</v>
      </c>
      <c r="B38" s="382">
        <f>dtsiswa!D41</f>
        <v>0</v>
      </c>
      <c r="C38" s="1111">
        <f>IPS_3!N143</f>
        <v>0</v>
      </c>
      <c r="D38" s="1111">
        <f>IPS_3!O143</f>
        <v>0</v>
      </c>
      <c r="E38" s="1111">
        <f>IPS_3!P143</f>
        <v>0</v>
      </c>
      <c r="F38" s="668" t="str">
        <f t="shared" si="0"/>
        <v xml:space="preserve">  </v>
      </c>
      <c r="G38" s="134">
        <v>35</v>
      </c>
      <c r="H38" s="382">
        <f>dtsiswa!D41</f>
        <v>0</v>
      </c>
      <c r="I38" s="383">
        <f>IPS_KI4!X174</f>
        <v>0</v>
      </c>
      <c r="J38" s="383">
        <f>IPS_KI4!Y174</f>
        <v>0</v>
      </c>
      <c r="K38" s="383">
        <f>IPS_KI4!Z174</f>
        <v>0</v>
      </c>
      <c r="L38" s="383">
        <f>IPS_KI4!AA174</f>
        <v>0</v>
      </c>
      <c r="M38" s="669" t="str">
        <f t="shared" si="1"/>
        <v xml:space="preserve">  </v>
      </c>
      <c r="N38" s="134">
        <v>35</v>
      </c>
      <c r="O38" s="384">
        <f>dtsiswa!D41</f>
        <v>0</v>
      </c>
      <c r="P38" s="385" t="str">
        <f t="shared" si="3"/>
        <v xml:space="preserve">    </v>
      </c>
      <c r="Q38" s="386" t="str">
        <f t="shared" si="4"/>
        <v xml:space="preserve">    </v>
      </c>
    </row>
    <row r="39" spans="1:17" ht="15" customHeight="1" x14ac:dyDescent="0.25">
      <c r="A39" s="134">
        <v>36</v>
      </c>
      <c r="B39" s="382">
        <f>dtsiswa!D42</f>
        <v>0</v>
      </c>
      <c r="C39" s="1111">
        <f>IPS_3!N147</f>
        <v>0</v>
      </c>
      <c r="D39" s="1111">
        <f>IPS_3!O147</f>
        <v>0</v>
      </c>
      <c r="E39" s="1111">
        <f>IPS_3!P147</f>
        <v>0</v>
      </c>
      <c r="F39" s="668" t="str">
        <f t="shared" si="0"/>
        <v xml:space="preserve">  </v>
      </c>
      <c r="G39" s="134">
        <v>36</v>
      </c>
      <c r="H39" s="382">
        <f>dtsiswa!D42</f>
        <v>0</v>
      </c>
      <c r="I39" s="383">
        <f>IPS_KI4!X179</f>
        <v>0</v>
      </c>
      <c r="J39" s="383">
        <f>IPS_KI4!Y179</f>
        <v>0</v>
      </c>
      <c r="K39" s="383">
        <f>IPS_KI4!Z179</f>
        <v>0</v>
      </c>
      <c r="L39" s="383">
        <f>IPS_KI4!AA179</f>
        <v>0</v>
      </c>
      <c r="M39" s="669" t="str">
        <f t="shared" si="1"/>
        <v xml:space="preserve">  </v>
      </c>
      <c r="N39" s="134">
        <v>36</v>
      </c>
      <c r="O39" s="384">
        <f>dtsiswa!D42</f>
        <v>0</v>
      </c>
      <c r="P39" s="385" t="str">
        <f t="shared" si="3"/>
        <v xml:space="preserve">    </v>
      </c>
      <c r="Q39" s="386" t="str">
        <f t="shared" si="4"/>
        <v xml:space="preserve">    </v>
      </c>
    </row>
    <row r="40" spans="1:17" ht="15" customHeight="1" x14ac:dyDescent="0.25">
      <c r="A40" s="134">
        <v>37</v>
      </c>
      <c r="B40" s="382">
        <f>dtsiswa!D43</f>
        <v>0</v>
      </c>
      <c r="C40" s="1111">
        <f>IPS_3!N151</f>
        <v>0</v>
      </c>
      <c r="D40" s="1111">
        <f>IPS_3!O151</f>
        <v>0</v>
      </c>
      <c r="E40" s="1111">
        <f>IPS_3!P151</f>
        <v>0</v>
      </c>
      <c r="F40" s="668" t="str">
        <f t="shared" si="0"/>
        <v xml:space="preserve">  </v>
      </c>
      <c r="G40" s="134">
        <v>37</v>
      </c>
      <c r="H40" s="382">
        <f>dtsiswa!D43</f>
        <v>0</v>
      </c>
      <c r="I40" s="383">
        <f>IPS_KI4!X184</f>
        <v>0</v>
      </c>
      <c r="J40" s="383">
        <f>IPS_KI4!Y184</f>
        <v>0</v>
      </c>
      <c r="K40" s="383">
        <f>IPS_KI4!Z184</f>
        <v>0</v>
      </c>
      <c r="L40" s="383">
        <f>IPS_KI4!AA184</f>
        <v>0</v>
      </c>
      <c r="M40" s="669" t="str">
        <f t="shared" si="1"/>
        <v xml:space="preserve">  </v>
      </c>
      <c r="N40" s="134">
        <v>37</v>
      </c>
      <c r="O40" s="384">
        <f>dtsiswa!D43</f>
        <v>0</v>
      </c>
      <c r="P40" s="385" t="str">
        <f t="shared" si="3"/>
        <v xml:space="preserve">    </v>
      </c>
      <c r="Q40" s="386" t="str">
        <f t="shared" si="4"/>
        <v xml:space="preserve">    </v>
      </c>
    </row>
    <row r="41" spans="1:17" ht="15" customHeight="1" x14ac:dyDescent="0.25">
      <c r="A41" s="134">
        <v>38</v>
      </c>
      <c r="B41" s="382">
        <f>dtsiswa!D44</f>
        <v>0</v>
      </c>
      <c r="C41" s="1111">
        <f>IPS_3!N155</f>
        <v>0</v>
      </c>
      <c r="D41" s="1111">
        <f>IPS_3!O155</f>
        <v>0</v>
      </c>
      <c r="E41" s="1111">
        <f>IPS_3!P155</f>
        <v>0</v>
      </c>
      <c r="F41" s="668" t="str">
        <f t="shared" si="0"/>
        <v xml:space="preserve">  </v>
      </c>
      <c r="G41" s="134">
        <v>38</v>
      </c>
      <c r="H41" s="382">
        <f>dtsiswa!D44</f>
        <v>0</v>
      </c>
      <c r="I41" s="383">
        <f>IPS_KI4!X189</f>
        <v>0</v>
      </c>
      <c r="J41" s="383">
        <f>IPS_KI4!Y189</f>
        <v>0</v>
      </c>
      <c r="K41" s="383">
        <f>IPS_KI4!Z189</f>
        <v>0</v>
      </c>
      <c r="L41" s="383">
        <f>IPS_KI4!AA189</f>
        <v>0</v>
      </c>
      <c r="M41" s="669" t="str">
        <f t="shared" si="1"/>
        <v xml:space="preserve">  </v>
      </c>
      <c r="N41" s="134">
        <v>38</v>
      </c>
      <c r="O41" s="384">
        <f>dtsiswa!D44</f>
        <v>0</v>
      </c>
      <c r="P41" s="385" t="str">
        <f t="shared" si="3"/>
        <v xml:space="preserve">    </v>
      </c>
      <c r="Q41" s="386" t="str">
        <f t="shared" si="4"/>
        <v xml:space="preserve">    </v>
      </c>
    </row>
    <row r="42" spans="1:17" ht="15" customHeight="1" x14ac:dyDescent="0.25">
      <c r="A42" s="134">
        <v>39</v>
      </c>
      <c r="B42" s="382">
        <f>dtsiswa!D45</f>
        <v>0</v>
      </c>
      <c r="C42" s="1111">
        <f>IPS_3!N159</f>
        <v>0</v>
      </c>
      <c r="D42" s="1111">
        <f>IPS_3!O159</f>
        <v>0</v>
      </c>
      <c r="E42" s="1111">
        <f>IPS_3!P159</f>
        <v>0</v>
      </c>
      <c r="F42" s="668" t="str">
        <f t="shared" si="0"/>
        <v xml:space="preserve">  </v>
      </c>
      <c r="G42" s="134">
        <v>39</v>
      </c>
      <c r="H42" s="382">
        <f>dtsiswa!D45</f>
        <v>0</v>
      </c>
      <c r="I42" s="383">
        <f>IPS_KI4!X194</f>
        <v>0</v>
      </c>
      <c r="J42" s="383">
        <f>IPS_KI4!Y194</f>
        <v>0</v>
      </c>
      <c r="K42" s="383">
        <f>IPS_KI4!Z194</f>
        <v>0</v>
      </c>
      <c r="L42" s="383">
        <f>IPS_KI4!AA194</f>
        <v>0</v>
      </c>
      <c r="M42" s="669" t="str">
        <f t="shared" si="1"/>
        <v xml:space="preserve">  </v>
      </c>
      <c r="N42" s="134">
        <v>39</v>
      </c>
      <c r="O42" s="384">
        <f>dtsiswa!D45</f>
        <v>0</v>
      </c>
      <c r="P42" s="385" t="str">
        <f t="shared" si="3"/>
        <v xml:space="preserve">    </v>
      </c>
      <c r="Q42" s="386" t="str">
        <f t="shared" si="4"/>
        <v xml:space="preserve">    </v>
      </c>
    </row>
    <row r="43" spans="1:17" ht="15" customHeight="1" x14ac:dyDescent="0.25">
      <c r="A43" s="724">
        <v>40</v>
      </c>
      <c r="B43" s="748">
        <f>dtsiswa!D46</f>
        <v>0</v>
      </c>
      <c r="C43" s="749">
        <f>IPS_3!N163</f>
        <v>0</v>
      </c>
      <c r="D43" s="749">
        <f>IPS_3!O163</f>
        <v>0</v>
      </c>
      <c r="E43" s="749">
        <f>IPS_3!P163</f>
        <v>0</v>
      </c>
      <c r="F43" s="763" t="str">
        <f t="shared" si="0"/>
        <v xml:space="preserve">  </v>
      </c>
      <c r="G43" s="134">
        <v>40</v>
      </c>
      <c r="H43" s="382">
        <f>dtsiswa!D46</f>
        <v>0</v>
      </c>
      <c r="I43" s="383">
        <f>IPS_KI4!X199</f>
        <v>0</v>
      </c>
      <c r="J43" s="383">
        <f>IPS_KI4!Y199</f>
        <v>0</v>
      </c>
      <c r="K43" s="383">
        <f>IPS_KI4!Z199</f>
        <v>0</v>
      </c>
      <c r="L43" s="383">
        <f>IPS_KI4!AA199</f>
        <v>0</v>
      </c>
      <c r="M43" s="669" t="str">
        <f t="shared" si="1"/>
        <v xml:space="preserve">  </v>
      </c>
      <c r="N43" s="134">
        <v>40</v>
      </c>
      <c r="O43" s="384">
        <f>dtsiswa!D46</f>
        <v>0</v>
      </c>
      <c r="P43" s="385" t="str">
        <f t="shared" si="3"/>
        <v xml:space="preserve">    </v>
      </c>
      <c r="Q43" s="386" t="str">
        <f t="shared" si="4"/>
        <v xml:space="preserve">    </v>
      </c>
    </row>
    <row r="44" spans="1:17" s="1120" customFormat="1" ht="21" x14ac:dyDescent="0.35">
      <c r="A44" s="390"/>
      <c r="B44" s="753"/>
      <c r="C44" s="390"/>
      <c r="D44" s="753"/>
      <c r="E44" s="390"/>
      <c r="F44" s="1117"/>
      <c r="G44" s="390"/>
      <c r="H44" s="753"/>
      <c r="I44" s="390"/>
      <c r="J44" s="753"/>
      <c r="K44" s="753"/>
      <c r="L44" s="390"/>
      <c r="M44" s="755"/>
      <c r="N44" s="753"/>
      <c r="O44" s="390"/>
      <c r="P44" s="1118"/>
      <c r="Q44" s="1119"/>
    </row>
    <row r="45" spans="1:17" x14ac:dyDescent="0.25">
      <c r="A45" s="395"/>
      <c r="B45" s="395"/>
      <c r="C45" s="395"/>
      <c r="D45" s="395"/>
      <c r="E45" s="395"/>
      <c r="F45" s="395"/>
      <c r="G45" s="373"/>
      <c r="H45" s="373"/>
      <c r="I45" s="373"/>
      <c r="J45" s="373"/>
      <c r="K45" s="373"/>
      <c r="L45" s="373"/>
      <c r="M45" s="373"/>
    </row>
    <row r="46" spans="1:17" x14ac:dyDescent="0.25">
      <c r="A46" s="395"/>
      <c r="B46" s="759"/>
      <c r="C46" s="1114"/>
      <c r="D46" s="1114"/>
      <c r="E46" s="1114"/>
      <c r="F46" s="395"/>
      <c r="G46" s="1174"/>
      <c r="H46" s="1174"/>
      <c r="I46" s="1174"/>
      <c r="J46" s="1174"/>
      <c r="K46" s="1174"/>
      <c r="L46" s="1174"/>
      <c r="M46" s="1174"/>
    </row>
    <row r="47" spans="1:17" ht="18.75" customHeight="1" x14ac:dyDescent="0.35">
      <c r="A47" s="395"/>
      <c r="B47" s="395"/>
      <c r="C47" s="395"/>
      <c r="D47" s="395"/>
      <c r="E47" s="395"/>
      <c r="F47" s="395"/>
      <c r="G47" s="1174"/>
      <c r="H47" s="1174"/>
      <c r="I47" s="1174"/>
      <c r="J47" s="1174"/>
      <c r="K47" s="1175"/>
      <c r="L47" s="1174"/>
      <c r="M47" s="1174"/>
      <c r="N47" s="373"/>
    </row>
    <row r="48" spans="1:17" ht="23.25" x14ac:dyDescent="0.35">
      <c r="A48" s="2907" t="s">
        <v>621</v>
      </c>
      <c r="B48" s="2907"/>
      <c r="C48" s="2907"/>
      <c r="D48" s="2907"/>
      <c r="E48" s="2907"/>
      <c r="F48" s="373"/>
      <c r="G48" s="2909" t="s">
        <v>621</v>
      </c>
      <c r="H48" s="2909"/>
      <c r="I48" s="2909"/>
      <c r="J48" s="2909"/>
      <c r="K48" s="1174"/>
      <c r="L48" s="1174"/>
      <c r="M48" s="1174"/>
      <c r="N48" s="373"/>
    </row>
    <row r="49" spans="1:13" ht="32.25" customHeight="1" thickBot="1" x14ac:dyDescent="0.45">
      <c r="A49" s="396" t="s">
        <v>148</v>
      </c>
      <c r="B49" s="373"/>
      <c r="C49" s="373"/>
      <c r="D49" s="373"/>
      <c r="E49" s="373"/>
      <c r="F49" s="373"/>
      <c r="G49" s="1176" t="s">
        <v>144</v>
      </c>
      <c r="H49" s="1174"/>
      <c r="I49" s="1174"/>
      <c r="J49" s="1174"/>
      <c r="K49" s="1174"/>
      <c r="L49" s="1174"/>
      <c r="M49" s="1174"/>
    </row>
    <row r="50" spans="1:13" ht="31.5" customHeight="1" thickBot="1" x14ac:dyDescent="0.3">
      <c r="A50" s="377" t="s">
        <v>0</v>
      </c>
      <c r="B50" s="377" t="s">
        <v>1</v>
      </c>
      <c r="C50" s="998" t="s">
        <v>10</v>
      </c>
      <c r="D50" s="998" t="s">
        <v>8</v>
      </c>
      <c r="E50" s="998" t="s">
        <v>18</v>
      </c>
      <c r="F50" s="152" t="s">
        <v>138</v>
      </c>
      <c r="G50" s="670" t="s">
        <v>0</v>
      </c>
      <c r="H50" s="671" t="s">
        <v>1</v>
      </c>
      <c r="I50" s="1002" t="s">
        <v>154</v>
      </c>
      <c r="J50" s="1002" t="s">
        <v>9</v>
      </c>
      <c r="K50" s="1002" t="s">
        <v>11</v>
      </c>
      <c r="L50" s="1002" t="s">
        <v>16</v>
      </c>
      <c r="M50" s="1177" t="s">
        <v>138</v>
      </c>
    </row>
    <row r="51" spans="1:13" ht="20.100000000000001" customHeight="1" thickBot="1" x14ac:dyDescent="0.3">
      <c r="A51" s="134">
        <v>1</v>
      </c>
      <c r="B51" s="382" t="str">
        <f>dtsiswa!D7</f>
        <v>Achmad Zacky</v>
      </c>
      <c r="C51" s="999">
        <f>IPS_3!Q7</f>
        <v>3</v>
      </c>
      <c r="D51" s="1163">
        <f>IPS_3!R7</f>
        <v>0</v>
      </c>
      <c r="E51" s="1163">
        <f>IPS_3!S7</f>
        <v>0</v>
      </c>
      <c r="F51" s="398" t="str">
        <f t="shared" ref="F51:F90" si="5">IF(OR(C51=2,C51=3),VLOOKUP(C51,DES_KI3_IPS,2,FALSE),IF(OR(D51=2,D51=3),VLOOKUP(D51,DES_KI3_IPS,3,FALSE),IF(OR(E51=2,E51=3),VLOOKUP(E51,DES_KI3_IPS,4,FALSE),"  ")))</f>
        <v xml:space="preserve">Baik dalam Memahami Memahami manusia dalam hubungannya dengan kondisi geografis di sekitarnya. </v>
      </c>
      <c r="G51" s="672">
        <v>1</v>
      </c>
      <c r="H51" s="673" t="str">
        <f>dtsiswa!D7</f>
        <v>Achmad Zacky</v>
      </c>
      <c r="I51" s="399">
        <f>IPS_KI4!AB9</f>
        <v>2</v>
      </c>
      <c r="J51" s="399">
        <f>IPS_KI4!AC9</f>
        <v>0</v>
      </c>
      <c r="K51" s="399">
        <f>IPS_KI4!AD9</f>
        <v>0</v>
      </c>
      <c r="L51" s="399">
        <f>IPS_KI4!AE9</f>
        <v>0</v>
      </c>
      <c r="M51" s="674" t="str">
        <f t="shared" ref="M51:M90" si="6">IF(OR(I51=2,I51=3),VLOOKUP(I51,DES_KI4_IPS,2,FALSE),IF(OR(J51=2,J51=3),VLOOKUP(J51,DES_KI4_IPS,3,FALSE),IF(OR(K51=2,K51=3),VLOOKUP(K51,DES_KI4_IPS,4,FALSE),IF(OR(L51=2,L51=3),VLOOKUP(L51,DES_KI4_IPS,5,FALSE),"  "))))</f>
        <v>Cukup baik dalam Menceritakankan tentang hasil bacaan mengenai pengertian ruang, konektivitas antar ruang, perubahan, dan keberlanjutan dalam waktu, sosial, ekonomi, dan pendidikan dalam lingkup masyarakat di sekitarnya</v>
      </c>
    </row>
    <row r="52" spans="1:13" ht="20.100000000000001" customHeight="1" thickBot="1" x14ac:dyDescent="0.3">
      <c r="A52" s="134">
        <v>2</v>
      </c>
      <c r="B52" s="382" t="str">
        <f>dtsiswa!D8</f>
        <v>Angelia Vabel R</v>
      </c>
      <c r="C52" s="999">
        <f>IPS_3!Q11</f>
        <v>0</v>
      </c>
      <c r="D52" s="1163">
        <f>IPS_3!R11</f>
        <v>2</v>
      </c>
      <c r="E52" s="1163">
        <f>IPS_3!S11</f>
        <v>0</v>
      </c>
      <c r="F52" s="398" t="str">
        <f t="shared" si="5"/>
        <v xml:space="preserve">Cukup baik dalam Memahami Memahami kehidupan manusia dalam kelembagaan sosial, ekonomi, pendidikan, dan budaya di masyarakat sekitar. </v>
      </c>
      <c r="G52" s="675">
        <v>2</v>
      </c>
      <c r="H52" s="382" t="str">
        <f>dtsiswa!D8</f>
        <v>Angelia Vabel R</v>
      </c>
      <c r="I52" s="999">
        <f>IPS_KI4!AB14</f>
        <v>0</v>
      </c>
      <c r="J52" s="1111">
        <f>IPS_KI4!AC14</f>
        <v>0</v>
      </c>
      <c r="K52" s="1111">
        <f>IPS_KI4!AD14</f>
        <v>0</v>
      </c>
      <c r="L52" s="1111">
        <f>IPS_KI4!AE14</f>
        <v>3</v>
      </c>
      <c r="M52" s="674" t="str">
        <f t="shared" si="6"/>
        <v xml:space="preserve">Baik dalam Menceritakan manusia dalam dinamika interaksi dengan lingkungan alam, sosial, budaya, dan ekonomi. </v>
      </c>
    </row>
    <row r="53" spans="1:13" ht="20.100000000000001" customHeight="1" thickBot="1" x14ac:dyDescent="0.3">
      <c r="A53" s="134">
        <v>3</v>
      </c>
      <c r="B53" s="382" t="str">
        <f>dtsiswa!D9</f>
        <v>Anggun Dwi P.I</v>
      </c>
      <c r="C53" s="1163">
        <f>IPS_3!Q15</f>
        <v>0</v>
      </c>
      <c r="D53" s="1163">
        <f>IPS_3!R15</f>
        <v>0</v>
      </c>
      <c r="E53" s="1163">
        <f>IPS_3!S15</f>
        <v>2</v>
      </c>
      <c r="F53" s="398" t="str">
        <f t="shared" si="5"/>
        <v xml:space="preserve">Cukup baik dalam Memahami manusia dalam dinamika interaksi dengan lingkungan alam, sosial, budaya dan ekonomi. </v>
      </c>
      <c r="G53" s="675">
        <v>3</v>
      </c>
      <c r="H53" s="382" t="str">
        <f>dtsiswa!D9</f>
        <v>Anggun Dwi P.I</v>
      </c>
      <c r="I53" s="1111">
        <f>IPS_KI4!AB19</f>
        <v>2</v>
      </c>
      <c r="J53" s="1111">
        <f>IPS_KI4!AC19</f>
        <v>0</v>
      </c>
      <c r="K53" s="1111">
        <f>IPS_KI4!AD19</f>
        <v>0</v>
      </c>
      <c r="L53" s="1111">
        <f>IPS_KI4!AE19</f>
        <v>0</v>
      </c>
      <c r="M53" s="674" t="str">
        <f t="shared" si="6"/>
        <v>Cukup baik dalam Menceritakankan tentang hasil bacaan mengenai pengertian ruang, konektivitas antar ruang, perubahan, dan keberlanjutan dalam waktu, sosial, ekonomi, dan pendidikan dalam lingkup masyarakat di sekitarnya</v>
      </c>
    </row>
    <row r="54" spans="1:13" ht="20.100000000000001" customHeight="1" thickBot="1" x14ac:dyDescent="0.3">
      <c r="A54" s="134">
        <v>4</v>
      </c>
      <c r="B54" s="382" t="str">
        <f>dtsiswa!D10</f>
        <v>Antonio Permata A</v>
      </c>
      <c r="C54" s="1163">
        <f>IPS_3!Q19</f>
        <v>0</v>
      </c>
      <c r="D54" s="1163">
        <f>IPS_3!R19</f>
        <v>0</v>
      </c>
      <c r="E54" s="1163">
        <f>IPS_3!S19</f>
        <v>0</v>
      </c>
      <c r="F54" s="398" t="str">
        <f t="shared" si="5"/>
        <v xml:space="preserve">  </v>
      </c>
      <c r="G54" s="675">
        <v>4</v>
      </c>
      <c r="H54" s="382" t="str">
        <f>dtsiswa!D10</f>
        <v>Antonio Permata A</v>
      </c>
      <c r="I54" s="1111">
        <f>IPS_KI4!AB24</f>
        <v>0</v>
      </c>
      <c r="J54" s="1111">
        <f>IPS_KI4!AC24</f>
        <v>0</v>
      </c>
      <c r="K54" s="1111">
        <f>IPS_KI4!AD24</f>
        <v>0</v>
      </c>
      <c r="L54" s="1111">
        <f>IPS_KI4!AE24</f>
        <v>0</v>
      </c>
      <c r="M54" s="674" t="str">
        <f t="shared" si="6"/>
        <v xml:space="preserve">  </v>
      </c>
    </row>
    <row r="55" spans="1:13" ht="20.100000000000001" customHeight="1" thickBot="1" x14ac:dyDescent="0.3">
      <c r="A55" s="134">
        <v>5</v>
      </c>
      <c r="B55" s="382" t="str">
        <f>dtsiswa!D11</f>
        <v>Arya Pratama G</v>
      </c>
      <c r="C55" s="1163">
        <f>IPS_3!Q23</f>
        <v>0</v>
      </c>
      <c r="D55" s="1163">
        <f>IPS_3!R23</f>
        <v>0</v>
      </c>
      <c r="E55" s="1163">
        <f>IPS_3!S23</f>
        <v>0</v>
      </c>
      <c r="F55" s="398" t="str">
        <f t="shared" si="5"/>
        <v xml:space="preserve">  </v>
      </c>
      <c r="G55" s="675">
        <v>5</v>
      </c>
      <c r="H55" s="382" t="str">
        <f>dtsiswa!D11</f>
        <v>Arya Pratama G</v>
      </c>
      <c r="I55" s="1111">
        <f>IPS_KI4!AB29</f>
        <v>0</v>
      </c>
      <c r="J55" s="1111">
        <f>IPS_KI4!AC29</f>
        <v>0</v>
      </c>
      <c r="K55" s="1111">
        <f>IPS_KI4!AD29</f>
        <v>0</v>
      </c>
      <c r="L55" s="1111">
        <f>IPS_KI4!AE29</f>
        <v>0</v>
      </c>
      <c r="M55" s="674" t="str">
        <f t="shared" si="6"/>
        <v xml:space="preserve">  </v>
      </c>
    </row>
    <row r="56" spans="1:13" ht="20.100000000000001" customHeight="1" thickBot="1" x14ac:dyDescent="0.3">
      <c r="A56" s="134">
        <v>6</v>
      </c>
      <c r="B56" s="382" t="str">
        <f>dtsiswa!D12</f>
        <v>Asyam Hanif Ihsan H</v>
      </c>
      <c r="C56" s="1163">
        <f>IPS_3!Q27</f>
        <v>0</v>
      </c>
      <c r="D56" s="1163">
        <f>IPS_3!R27</f>
        <v>0</v>
      </c>
      <c r="E56" s="1163">
        <f>IPS_3!S27</f>
        <v>0</v>
      </c>
      <c r="F56" s="398" t="str">
        <f t="shared" si="5"/>
        <v xml:space="preserve">  </v>
      </c>
      <c r="G56" s="675">
        <v>6</v>
      </c>
      <c r="H56" s="382" t="str">
        <f>dtsiswa!D12</f>
        <v>Asyam Hanif Ihsan H</v>
      </c>
      <c r="I56" s="1111">
        <f>IPS_KI4!AB34</f>
        <v>0</v>
      </c>
      <c r="J56" s="1111">
        <f>IPS_KI4!AC34</f>
        <v>0</v>
      </c>
      <c r="K56" s="1111">
        <f>IPS_KI4!AD34</f>
        <v>0</v>
      </c>
      <c r="L56" s="1111">
        <f>IPS_KI4!AE34</f>
        <v>0</v>
      </c>
      <c r="M56" s="674" t="str">
        <f t="shared" si="6"/>
        <v xml:space="preserve">  </v>
      </c>
    </row>
    <row r="57" spans="1:13" ht="20.100000000000001" customHeight="1" thickBot="1" x14ac:dyDescent="0.3">
      <c r="A57" s="134">
        <v>7</v>
      </c>
      <c r="B57" s="382" t="str">
        <f>dtsiswa!D13</f>
        <v>Athaya Salsabilla Z</v>
      </c>
      <c r="C57" s="1163">
        <f>IPS_3!Q31</f>
        <v>0</v>
      </c>
      <c r="D57" s="1163">
        <f>IPS_3!R31</f>
        <v>0</v>
      </c>
      <c r="E57" s="1163">
        <f>IPS_3!S31</f>
        <v>0</v>
      </c>
      <c r="F57" s="398" t="str">
        <f t="shared" si="5"/>
        <v xml:space="preserve">  </v>
      </c>
      <c r="G57" s="675">
        <v>7</v>
      </c>
      <c r="H57" s="382" t="str">
        <f>dtsiswa!D13</f>
        <v>Athaya Salsabilla Z</v>
      </c>
      <c r="I57" s="1111">
        <f>IPS_KI4!AB39</f>
        <v>0</v>
      </c>
      <c r="J57" s="1111">
        <f>IPS_KI4!AC39</f>
        <v>0</v>
      </c>
      <c r="K57" s="1111">
        <f>IPS_KI4!AD39</f>
        <v>0</v>
      </c>
      <c r="L57" s="1111">
        <f>IPS_KI4!AE39</f>
        <v>0</v>
      </c>
      <c r="M57" s="674" t="str">
        <f t="shared" si="6"/>
        <v xml:space="preserve">  </v>
      </c>
    </row>
    <row r="58" spans="1:13" ht="20.100000000000001" customHeight="1" thickBot="1" x14ac:dyDescent="0.3">
      <c r="A58" s="134">
        <v>8</v>
      </c>
      <c r="B58" s="382" t="str">
        <f>dtsiswa!D14</f>
        <v>Aulia Dea Rosalinda</v>
      </c>
      <c r="C58" s="1163">
        <f>IPS_3!Q35</f>
        <v>0</v>
      </c>
      <c r="D58" s="1163">
        <f>IPS_3!R35</f>
        <v>0</v>
      </c>
      <c r="E58" s="1163">
        <f>IPS_3!S35</f>
        <v>0</v>
      </c>
      <c r="F58" s="398" t="str">
        <f t="shared" si="5"/>
        <v xml:space="preserve">  </v>
      </c>
      <c r="G58" s="675">
        <v>8</v>
      </c>
      <c r="H58" s="382" t="str">
        <f>dtsiswa!D14</f>
        <v>Aulia Dea Rosalinda</v>
      </c>
      <c r="I58" s="1111">
        <f>IPS_KI4!AB44</f>
        <v>0</v>
      </c>
      <c r="J58" s="1111">
        <f>IPS_KI4!AC44</f>
        <v>0</v>
      </c>
      <c r="K58" s="1111">
        <f>IPS_KI4!AD44</f>
        <v>0</v>
      </c>
      <c r="L58" s="1111">
        <f>IPS_KI4!AE44</f>
        <v>0</v>
      </c>
      <c r="M58" s="674" t="str">
        <f t="shared" si="6"/>
        <v xml:space="preserve">  </v>
      </c>
    </row>
    <row r="59" spans="1:13" ht="20.100000000000001" customHeight="1" thickBot="1" x14ac:dyDescent="0.3">
      <c r="A59" s="134">
        <v>9</v>
      </c>
      <c r="B59" s="382" t="str">
        <f>dtsiswa!D15</f>
        <v>Claudia Gabriella L</v>
      </c>
      <c r="C59" s="1163">
        <f>IPS_3!Q39</f>
        <v>0</v>
      </c>
      <c r="D59" s="1163">
        <f>IPS_3!R39</f>
        <v>0</v>
      </c>
      <c r="E59" s="1163">
        <f>IPS_3!S39</f>
        <v>0</v>
      </c>
      <c r="F59" s="398" t="str">
        <f t="shared" si="5"/>
        <v xml:space="preserve">  </v>
      </c>
      <c r="G59" s="675">
        <v>9</v>
      </c>
      <c r="H59" s="382" t="str">
        <f>dtsiswa!D15</f>
        <v>Claudia Gabriella L</v>
      </c>
      <c r="I59" s="1111">
        <f>IPS_KI4!AB49</f>
        <v>0</v>
      </c>
      <c r="J59" s="1111">
        <f>IPS_KI4!AC49</f>
        <v>0</v>
      </c>
      <c r="K59" s="1111">
        <f>IPS_KI4!AD49</f>
        <v>0</v>
      </c>
      <c r="L59" s="1111">
        <f>IPS_KI4!AE49</f>
        <v>0</v>
      </c>
      <c r="M59" s="674" t="str">
        <f t="shared" si="6"/>
        <v xml:space="preserve">  </v>
      </c>
    </row>
    <row r="60" spans="1:13" ht="20.100000000000001" customHeight="1" thickBot="1" x14ac:dyDescent="0.3">
      <c r="A60" s="134">
        <v>10</v>
      </c>
      <c r="B60" s="382" t="str">
        <f>dtsiswa!D16</f>
        <v xml:space="preserve">Deco Badarus Zaman </v>
      </c>
      <c r="C60" s="1163">
        <f>IPS_3!Q43</f>
        <v>0</v>
      </c>
      <c r="D60" s="1163">
        <f>IPS_3!R43</f>
        <v>0</v>
      </c>
      <c r="E60" s="1163">
        <f>IPS_3!S43</f>
        <v>0</v>
      </c>
      <c r="F60" s="398" t="str">
        <f t="shared" si="5"/>
        <v xml:space="preserve">  </v>
      </c>
      <c r="G60" s="675">
        <v>10</v>
      </c>
      <c r="H60" s="382" t="str">
        <f>dtsiswa!D16</f>
        <v xml:space="preserve">Deco Badarus Zaman </v>
      </c>
      <c r="I60" s="1111">
        <f>IPS_KI4!AB54</f>
        <v>0</v>
      </c>
      <c r="J60" s="1111">
        <f>IPS_KI4!AC54</f>
        <v>0</v>
      </c>
      <c r="K60" s="1111">
        <f>IPS_KI4!AD54</f>
        <v>0</v>
      </c>
      <c r="L60" s="1111">
        <f>IPS_KI4!AE54</f>
        <v>0</v>
      </c>
      <c r="M60" s="674" t="str">
        <f t="shared" si="6"/>
        <v xml:space="preserve">  </v>
      </c>
    </row>
    <row r="61" spans="1:13" ht="20.100000000000001" customHeight="1" thickBot="1" x14ac:dyDescent="0.3">
      <c r="A61" s="134">
        <v>11</v>
      </c>
      <c r="B61" s="382" t="str">
        <f>dtsiswa!D17</f>
        <v>Fania Mutiara Felichia</v>
      </c>
      <c r="C61" s="1163">
        <f>IPS_3!Q47</f>
        <v>0</v>
      </c>
      <c r="D61" s="1163">
        <f>IPS_3!R47</f>
        <v>0</v>
      </c>
      <c r="E61" s="1163">
        <f>IPS_3!S47</f>
        <v>0</v>
      </c>
      <c r="F61" s="398" t="str">
        <f t="shared" si="5"/>
        <v xml:space="preserve">  </v>
      </c>
      <c r="G61" s="675">
        <v>11</v>
      </c>
      <c r="H61" s="382" t="str">
        <f>dtsiswa!D17</f>
        <v>Fania Mutiara Felichia</v>
      </c>
      <c r="I61" s="1111">
        <f>IPS_KI4!AB59</f>
        <v>0</v>
      </c>
      <c r="J61" s="1111">
        <f>IPS_KI4!AC59</f>
        <v>0</v>
      </c>
      <c r="K61" s="1111">
        <f>IPS_KI4!AD59</f>
        <v>0</v>
      </c>
      <c r="L61" s="1111">
        <f>IPS_KI4!AE59</f>
        <v>0</v>
      </c>
      <c r="M61" s="674" t="str">
        <f t="shared" si="6"/>
        <v xml:space="preserve">  </v>
      </c>
    </row>
    <row r="62" spans="1:13" ht="20.100000000000001" customHeight="1" thickBot="1" x14ac:dyDescent="0.3">
      <c r="A62" s="134">
        <v>12</v>
      </c>
      <c r="B62" s="382" t="str">
        <f>dtsiswa!D18</f>
        <v>Intan Dyah Nowari</v>
      </c>
      <c r="C62" s="1163">
        <f>IPS_3!Q51</f>
        <v>0</v>
      </c>
      <c r="D62" s="1163">
        <f>IPS_3!R51</f>
        <v>0</v>
      </c>
      <c r="E62" s="1163">
        <f>IPS_3!S51</f>
        <v>0</v>
      </c>
      <c r="F62" s="398" t="str">
        <f t="shared" si="5"/>
        <v xml:space="preserve">  </v>
      </c>
      <c r="G62" s="675">
        <v>12</v>
      </c>
      <c r="H62" s="382" t="str">
        <f>dtsiswa!D18</f>
        <v>Intan Dyah Nowari</v>
      </c>
      <c r="I62" s="1111">
        <f>IPS_KI4!AB64</f>
        <v>0</v>
      </c>
      <c r="J62" s="1111">
        <f>IPS_KI4!AC64</f>
        <v>0</v>
      </c>
      <c r="K62" s="1111">
        <f>IPS_KI4!AD64</f>
        <v>0</v>
      </c>
      <c r="L62" s="1111">
        <f>IPS_KI4!AE64</f>
        <v>0</v>
      </c>
      <c r="M62" s="674" t="str">
        <f t="shared" si="6"/>
        <v xml:space="preserve">  </v>
      </c>
    </row>
    <row r="63" spans="1:13" ht="20.100000000000001" customHeight="1" thickBot="1" x14ac:dyDescent="0.3">
      <c r="A63" s="134">
        <v>13</v>
      </c>
      <c r="B63" s="382" t="str">
        <f>dtsiswa!D19</f>
        <v>Misyanita Nurfitri S</v>
      </c>
      <c r="C63" s="1163">
        <f>IPS_3!Q55</f>
        <v>0</v>
      </c>
      <c r="D63" s="1163">
        <f>IPS_3!R55</f>
        <v>0</v>
      </c>
      <c r="E63" s="1163">
        <f>IPS_3!S55</f>
        <v>0</v>
      </c>
      <c r="F63" s="398" t="str">
        <f t="shared" si="5"/>
        <v xml:space="preserve">  </v>
      </c>
      <c r="G63" s="675">
        <v>13</v>
      </c>
      <c r="H63" s="382" t="str">
        <f>dtsiswa!D19</f>
        <v>Misyanita Nurfitri S</v>
      </c>
      <c r="I63" s="1111">
        <f>IPS_KI4!AB69</f>
        <v>0</v>
      </c>
      <c r="J63" s="1111">
        <f>IPS_KI4!AC69</f>
        <v>0</v>
      </c>
      <c r="K63" s="1111">
        <f>IPS_KI4!AD69</f>
        <v>0</v>
      </c>
      <c r="L63" s="1111">
        <f>IPS_KI4!AE69</f>
        <v>0</v>
      </c>
      <c r="M63" s="674" t="str">
        <f t="shared" si="6"/>
        <v xml:space="preserve">  </v>
      </c>
    </row>
    <row r="64" spans="1:13" ht="20.100000000000001" customHeight="1" thickBot="1" x14ac:dyDescent="0.3">
      <c r="A64" s="134">
        <v>14</v>
      </c>
      <c r="B64" s="382" t="str">
        <f>dtsiswa!D20</f>
        <v>Moch Zidane Hita L. U</v>
      </c>
      <c r="C64" s="1163">
        <f>IPS_3!Q59</f>
        <v>0</v>
      </c>
      <c r="D64" s="1163">
        <f>IPS_3!R59</f>
        <v>0</v>
      </c>
      <c r="E64" s="1163">
        <f>IPS_3!S59</f>
        <v>0</v>
      </c>
      <c r="F64" s="398" t="str">
        <f t="shared" si="5"/>
        <v xml:space="preserve">  </v>
      </c>
      <c r="G64" s="675">
        <v>14</v>
      </c>
      <c r="H64" s="382" t="str">
        <f>dtsiswa!D20</f>
        <v>Moch Zidane Hita L. U</v>
      </c>
      <c r="I64" s="1111">
        <f>IPS_KI4!AB74</f>
        <v>0</v>
      </c>
      <c r="J64" s="1111">
        <f>IPS_KI4!AC74</f>
        <v>0</v>
      </c>
      <c r="K64" s="1111">
        <f>IPS_KI4!AD74</f>
        <v>0</v>
      </c>
      <c r="L64" s="1111">
        <f>IPS_KI4!AE74</f>
        <v>0</v>
      </c>
      <c r="M64" s="674" t="str">
        <f t="shared" si="6"/>
        <v xml:space="preserve">  </v>
      </c>
    </row>
    <row r="65" spans="1:13" ht="20.100000000000001" customHeight="1" thickBot="1" x14ac:dyDescent="0.3">
      <c r="A65" s="134">
        <v>15</v>
      </c>
      <c r="B65" s="382" t="str">
        <f>dtsiswa!D21</f>
        <v>Muhammad Ibra Maulana</v>
      </c>
      <c r="C65" s="1163">
        <f>IPS_3!Q63</f>
        <v>0</v>
      </c>
      <c r="D65" s="1163">
        <f>IPS_3!R63</f>
        <v>0</v>
      </c>
      <c r="E65" s="1163">
        <f>IPS_3!S63</f>
        <v>0</v>
      </c>
      <c r="F65" s="398" t="str">
        <f t="shared" si="5"/>
        <v xml:space="preserve">  </v>
      </c>
      <c r="G65" s="675">
        <v>15</v>
      </c>
      <c r="H65" s="382" t="str">
        <f>dtsiswa!D21</f>
        <v>Muhammad Ibra Maulana</v>
      </c>
      <c r="I65" s="1111">
        <f>IPS_KI4!AB79</f>
        <v>0</v>
      </c>
      <c r="J65" s="1111">
        <f>IPS_KI4!AC79</f>
        <v>0</v>
      </c>
      <c r="K65" s="1111">
        <f>IPS_KI4!AD79</f>
        <v>0</v>
      </c>
      <c r="L65" s="1111">
        <f>IPS_KI4!AE79</f>
        <v>0</v>
      </c>
      <c r="M65" s="674" t="str">
        <f t="shared" si="6"/>
        <v xml:space="preserve">  </v>
      </c>
    </row>
    <row r="66" spans="1:13" ht="20.100000000000001" customHeight="1" thickBot="1" x14ac:dyDescent="0.3">
      <c r="A66" s="134">
        <v>16</v>
      </c>
      <c r="B66" s="382" t="str">
        <f>dtsiswa!D22</f>
        <v>Nabilla Shiva Putri</v>
      </c>
      <c r="C66" s="1163">
        <f>IPS_3!Q67</f>
        <v>0</v>
      </c>
      <c r="D66" s="1163">
        <f>IPS_3!R67</f>
        <v>0</v>
      </c>
      <c r="E66" s="1163">
        <f>IPS_3!S67</f>
        <v>0</v>
      </c>
      <c r="F66" s="398" t="str">
        <f t="shared" si="5"/>
        <v xml:space="preserve">  </v>
      </c>
      <c r="G66" s="675">
        <v>16</v>
      </c>
      <c r="H66" s="382" t="str">
        <f>dtsiswa!D22</f>
        <v>Nabilla Shiva Putri</v>
      </c>
      <c r="I66" s="1111">
        <f>IPS_KI4!AB84</f>
        <v>0</v>
      </c>
      <c r="J66" s="1111">
        <f>IPS_KI4!AC84</f>
        <v>0</v>
      </c>
      <c r="K66" s="1111">
        <f>IPS_KI4!AD84</f>
        <v>0</v>
      </c>
      <c r="L66" s="1111">
        <f>IPS_KI4!AE84</f>
        <v>0</v>
      </c>
      <c r="M66" s="674" t="str">
        <f t="shared" si="6"/>
        <v xml:space="preserve">  </v>
      </c>
    </row>
    <row r="67" spans="1:13" ht="20.100000000000001" customHeight="1" thickBot="1" x14ac:dyDescent="0.3">
      <c r="A67" s="134">
        <v>17</v>
      </c>
      <c r="B67" s="382" t="str">
        <f>dtsiswa!D23</f>
        <v>Naufal Falih F</v>
      </c>
      <c r="C67" s="1163">
        <f>IPS_3!Q71</f>
        <v>0</v>
      </c>
      <c r="D67" s="1163">
        <f>IPS_3!R71</f>
        <v>0</v>
      </c>
      <c r="E67" s="1163">
        <f>IPS_3!S71</f>
        <v>0</v>
      </c>
      <c r="F67" s="398" t="str">
        <f t="shared" si="5"/>
        <v xml:space="preserve">  </v>
      </c>
      <c r="G67" s="675">
        <v>17</v>
      </c>
      <c r="H67" s="382" t="str">
        <f>dtsiswa!D23</f>
        <v>Naufal Falih F</v>
      </c>
      <c r="I67" s="1111">
        <f>IPS_KI4!AB89</f>
        <v>0</v>
      </c>
      <c r="J67" s="1111">
        <f>IPS_KI4!AC89</f>
        <v>0</v>
      </c>
      <c r="K67" s="1111">
        <f>IPS_KI4!AD89</f>
        <v>0</v>
      </c>
      <c r="L67" s="1111">
        <f>IPS_KI4!AE89</f>
        <v>0</v>
      </c>
      <c r="M67" s="674" t="str">
        <f t="shared" si="6"/>
        <v xml:space="preserve">  </v>
      </c>
    </row>
    <row r="68" spans="1:13" ht="20.100000000000001" customHeight="1" thickBot="1" x14ac:dyDescent="0.3">
      <c r="A68" s="134">
        <v>18</v>
      </c>
      <c r="B68" s="382" t="str">
        <f>dtsiswa!D24</f>
        <v>Nayla Annora Nobel W</v>
      </c>
      <c r="C68" s="1163">
        <f>IPS_3!Q75</f>
        <v>0</v>
      </c>
      <c r="D68" s="1163">
        <f>IPS_3!R75</f>
        <v>0</v>
      </c>
      <c r="E68" s="1163">
        <f>IPS_3!S75</f>
        <v>0</v>
      </c>
      <c r="F68" s="398" t="str">
        <f t="shared" si="5"/>
        <v xml:space="preserve">  </v>
      </c>
      <c r="G68" s="675">
        <v>18</v>
      </c>
      <c r="H68" s="382" t="str">
        <f>dtsiswa!D24</f>
        <v>Nayla Annora Nobel W</v>
      </c>
      <c r="I68" s="1111">
        <f>IPS_KI4!AB94</f>
        <v>0</v>
      </c>
      <c r="J68" s="1111">
        <f>IPS_KI4!AC94</f>
        <v>0</v>
      </c>
      <c r="K68" s="1111">
        <f>IPS_KI4!AD94</f>
        <v>0</v>
      </c>
      <c r="L68" s="1111">
        <f>IPS_KI4!AE94</f>
        <v>0</v>
      </c>
      <c r="M68" s="674" t="str">
        <f t="shared" si="6"/>
        <v xml:space="preserve">  </v>
      </c>
    </row>
    <row r="69" spans="1:13" ht="20.100000000000001" customHeight="1" thickBot="1" x14ac:dyDescent="0.3">
      <c r="A69" s="134">
        <v>19</v>
      </c>
      <c r="B69" s="382" t="str">
        <f>dtsiswa!D25</f>
        <v>Raihan Danang P</v>
      </c>
      <c r="C69" s="1163">
        <f>IPS_3!Q79</f>
        <v>0</v>
      </c>
      <c r="D69" s="1163">
        <f>IPS_3!R79</f>
        <v>0</v>
      </c>
      <c r="E69" s="1163">
        <f>IPS_3!S79</f>
        <v>0</v>
      </c>
      <c r="F69" s="398" t="str">
        <f t="shared" si="5"/>
        <v xml:space="preserve">  </v>
      </c>
      <c r="G69" s="675">
        <v>19</v>
      </c>
      <c r="H69" s="382" t="str">
        <f>dtsiswa!D25</f>
        <v>Raihan Danang P</v>
      </c>
      <c r="I69" s="1111">
        <f>IPS_KI4!AB99</f>
        <v>0</v>
      </c>
      <c r="J69" s="1111">
        <f>IPS_KI4!AC99</f>
        <v>0</v>
      </c>
      <c r="K69" s="1111">
        <f>IPS_KI4!AD99</f>
        <v>0</v>
      </c>
      <c r="L69" s="1111">
        <f>IPS_KI4!AE99</f>
        <v>0</v>
      </c>
      <c r="M69" s="674" t="str">
        <f t="shared" si="6"/>
        <v xml:space="preserve">  </v>
      </c>
    </row>
    <row r="70" spans="1:13" ht="20.100000000000001" customHeight="1" thickBot="1" x14ac:dyDescent="0.3">
      <c r="A70" s="134">
        <v>20</v>
      </c>
      <c r="B70" s="382" t="str">
        <f>dtsiswa!D26</f>
        <v>Roby Ardiyansyah</v>
      </c>
      <c r="C70" s="1163">
        <f>IPS_3!Q83</f>
        <v>0</v>
      </c>
      <c r="D70" s="1163">
        <f>IPS_3!R83</f>
        <v>0</v>
      </c>
      <c r="E70" s="1163">
        <f>IPS_3!S83</f>
        <v>0</v>
      </c>
      <c r="F70" s="398" t="str">
        <f t="shared" si="5"/>
        <v xml:space="preserve">  </v>
      </c>
      <c r="G70" s="675">
        <v>20</v>
      </c>
      <c r="H70" s="382" t="str">
        <f>dtsiswa!D26</f>
        <v>Roby Ardiyansyah</v>
      </c>
      <c r="I70" s="1111">
        <f>IPS_KI4!AB104</f>
        <v>0</v>
      </c>
      <c r="J70" s="1111">
        <f>IPS_KI4!AC104</f>
        <v>0</v>
      </c>
      <c r="K70" s="1111">
        <f>IPS_KI4!AD104</f>
        <v>0</v>
      </c>
      <c r="L70" s="1111">
        <f>IPS_KI4!AE104</f>
        <v>0</v>
      </c>
      <c r="M70" s="674" t="str">
        <f t="shared" si="6"/>
        <v xml:space="preserve">  </v>
      </c>
    </row>
    <row r="71" spans="1:13" ht="20.100000000000001" customHeight="1" thickBot="1" x14ac:dyDescent="0.3">
      <c r="A71" s="134">
        <v>21</v>
      </c>
      <c r="B71" s="382" t="str">
        <f>dtsiswa!D27</f>
        <v>Rojalingga Prana A</v>
      </c>
      <c r="C71" s="1163">
        <f>IPS_3!Q87</f>
        <v>0</v>
      </c>
      <c r="D71" s="1163">
        <f>IPS_3!R87</f>
        <v>0</v>
      </c>
      <c r="E71" s="1163">
        <f>IPS_3!S87</f>
        <v>0</v>
      </c>
      <c r="F71" s="398" t="str">
        <f t="shared" si="5"/>
        <v xml:space="preserve">  </v>
      </c>
      <c r="G71" s="675">
        <v>21</v>
      </c>
      <c r="H71" s="382" t="str">
        <f>dtsiswa!D27</f>
        <v>Rojalingga Prana A</v>
      </c>
      <c r="I71" s="1111">
        <f>IPS_KI4!AB109</f>
        <v>0</v>
      </c>
      <c r="J71" s="1111">
        <f>IPS_KI4!AC109</f>
        <v>0</v>
      </c>
      <c r="K71" s="1111">
        <f>IPS_KI4!AD109</f>
        <v>0</v>
      </c>
      <c r="L71" s="1111">
        <f>IPS_KI4!AE109</f>
        <v>0</v>
      </c>
      <c r="M71" s="674" t="str">
        <f t="shared" si="6"/>
        <v xml:space="preserve">  </v>
      </c>
    </row>
    <row r="72" spans="1:13" ht="20.100000000000001" customHeight="1" thickBot="1" x14ac:dyDescent="0.3">
      <c r="A72" s="134">
        <v>22</v>
      </c>
      <c r="B72" s="382" t="str">
        <f>dtsiswa!D28</f>
        <v>Sally Savista A</v>
      </c>
      <c r="C72" s="1163">
        <f>IPS_3!Q91</f>
        <v>0</v>
      </c>
      <c r="D72" s="1163">
        <f>IPS_3!R91</f>
        <v>0</v>
      </c>
      <c r="E72" s="1163">
        <f>IPS_3!S91</f>
        <v>0</v>
      </c>
      <c r="F72" s="398" t="str">
        <f t="shared" si="5"/>
        <v xml:space="preserve">  </v>
      </c>
      <c r="G72" s="675">
        <v>22</v>
      </c>
      <c r="H72" s="382" t="str">
        <f>dtsiswa!D28</f>
        <v>Sally Savista A</v>
      </c>
      <c r="I72" s="1111">
        <f>IPS_KI4!AB1114</f>
        <v>0</v>
      </c>
      <c r="J72" s="1111">
        <f>IPS_KI4!AC1114</f>
        <v>0</v>
      </c>
      <c r="K72" s="1111">
        <f>IPS_KI4!AD1114</f>
        <v>0</v>
      </c>
      <c r="L72" s="1111">
        <f>IPS_KI4!AE1114</f>
        <v>0</v>
      </c>
      <c r="M72" s="674" t="str">
        <f t="shared" si="6"/>
        <v xml:space="preserve">  </v>
      </c>
    </row>
    <row r="73" spans="1:13" ht="20.100000000000001" customHeight="1" thickBot="1" x14ac:dyDescent="0.3">
      <c r="A73" s="134">
        <v>23</v>
      </c>
      <c r="B73" s="382" t="str">
        <f>dtsiswa!D29</f>
        <v xml:space="preserve">Tania Kaori Angelita </v>
      </c>
      <c r="C73" s="1163">
        <f>IPS_3!Q95</f>
        <v>0</v>
      </c>
      <c r="D73" s="1163">
        <f>IPS_3!R95</f>
        <v>0</v>
      </c>
      <c r="E73" s="1163">
        <f>IPS_3!S95</f>
        <v>0</v>
      </c>
      <c r="F73" s="398" t="str">
        <f t="shared" si="5"/>
        <v xml:space="preserve">  </v>
      </c>
      <c r="G73" s="675">
        <v>23</v>
      </c>
      <c r="H73" s="382" t="str">
        <f>dtsiswa!D29</f>
        <v xml:space="preserve">Tania Kaori Angelita </v>
      </c>
      <c r="I73" s="1111">
        <f>IPS_KI4!AB119</f>
        <v>0</v>
      </c>
      <c r="J73" s="1111">
        <f>IPS_KI4!AC119</f>
        <v>0</v>
      </c>
      <c r="K73" s="1111">
        <f>IPS_KI4!AD119</f>
        <v>0</v>
      </c>
      <c r="L73" s="1111">
        <f>IPS_KI4!AE119</f>
        <v>0</v>
      </c>
      <c r="M73" s="674" t="str">
        <f t="shared" si="6"/>
        <v xml:space="preserve">  </v>
      </c>
    </row>
    <row r="74" spans="1:13" ht="20.100000000000001" customHeight="1" thickBot="1" x14ac:dyDescent="0.3">
      <c r="A74" s="134">
        <v>24</v>
      </c>
      <c r="B74" s="382" t="str">
        <f>dtsiswa!D30</f>
        <v>Romzy Oka Ramadhani P</v>
      </c>
      <c r="C74" s="1163">
        <f>IPS_3!Q99</f>
        <v>0</v>
      </c>
      <c r="D74" s="1163">
        <f>IPS_3!R99</f>
        <v>0</v>
      </c>
      <c r="E74" s="1163">
        <f>IPS_3!S99</f>
        <v>0</v>
      </c>
      <c r="F74" s="398" t="str">
        <f t="shared" si="5"/>
        <v xml:space="preserve">  </v>
      </c>
      <c r="G74" s="675">
        <v>24</v>
      </c>
      <c r="H74" s="382" t="str">
        <f>dtsiswa!D30</f>
        <v>Romzy Oka Ramadhani P</v>
      </c>
      <c r="I74" s="1111">
        <f>IPS_KI4!AB124</f>
        <v>0</v>
      </c>
      <c r="J74" s="1111">
        <f>IPS_KI4!AC124</f>
        <v>0</v>
      </c>
      <c r="K74" s="1111">
        <f>IPS_KI4!AD124</f>
        <v>0</v>
      </c>
      <c r="L74" s="1111">
        <f>IPS_KI4!AE124</f>
        <v>0</v>
      </c>
      <c r="M74" s="674" t="str">
        <f t="shared" si="6"/>
        <v xml:space="preserve">  </v>
      </c>
    </row>
    <row r="75" spans="1:13" ht="20.100000000000001" customHeight="1" thickBot="1" x14ac:dyDescent="0.3">
      <c r="A75" s="134">
        <v>25</v>
      </c>
      <c r="B75" s="382" t="str">
        <f>dtsiswa!D31</f>
        <v>Larasati Jagadhita P</v>
      </c>
      <c r="C75" s="1163">
        <f>IPS_3!Q103</f>
        <v>0</v>
      </c>
      <c r="D75" s="1163">
        <f>IPS_3!R103</f>
        <v>0</v>
      </c>
      <c r="E75" s="1163">
        <f>IPS_3!S103</f>
        <v>0</v>
      </c>
      <c r="F75" s="398" t="str">
        <f t="shared" si="5"/>
        <v xml:space="preserve">  </v>
      </c>
      <c r="G75" s="675">
        <v>25</v>
      </c>
      <c r="H75" s="382" t="str">
        <f>dtsiswa!D31</f>
        <v>Larasati Jagadhita P</v>
      </c>
      <c r="I75" s="1111">
        <f>IPS_KI4!AB129</f>
        <v>0</v>
      </c>
      <c r="J75" s="1111">
        <f>IPS_KI4!AC129</f>
        <v>0</v>
      </c>
      <c r="K75" s="1111">
        <f>IPS_KI4!AD129</f>
        <v>0</v>
      </c>
      <c r="L75" s="1111">
        <f>IPS_KI4!AE129</f>
        <v>0</v>
      </c>
      <c r="M75" s="674" t="str">
        <f t="shared" si="6"/>
        <v xml:space="preserve">  </v>
      </c>
    </row>
    <row r="76" spans="1:13" ht="20.100000000000001" customHeight="1" thickBot="1" x14ac:dyDescent="0.3">
      <c r="A76" s="134">
        <v>26</v>
      </c>
      <c r="B76" s="382" t="str">
        <f>dtsiswa!D32</f>
        <v>Meliana Citra A</v>
      </c>
      <c r="C76" s="1163">
        <f>IPS_3!Q107</f>
        <v>0</v>
      </c>
      <c r="D76" s="1163">
        <f>IPS_3!R107</f>
        <v>0</v>
      </c>
      <c r="E76" s="1163">
        <f>IPS_3!S107</f>
        <v>0</v>
      </c>
      <c r="F76" s="398" t="str">
        <f t="shared" si="5"/>
        <v xml:space="preserve">  </v>
      </c>
      <c r="G76" s="675">
        <v>26</v>
      </c>
      <c r="H76" s="382" t="str">
        <f>dtsiswa!D32</f>
        <v>Meliana Citra A</v>
      </c>
      <c r="I76" s="1111">
        <f>IPS_KI4!AB134</f>
        <v>0</v>
      </c>
      <c r="J76" s="1111">
        <f>IPS_KI4!AC134</f>
        <v>0</v>
      </c>
      <c r="K76" s="1111">
        <f>IPS_KI4!AD134</f>
        <v>0</v>
      </c>
      <c r="L76" s="1111">
        <f>IPS_KI4!AE134</f>
        <v>0</v>
      </c>
      <c r="M76" s="674" t="str">
        <f t="shared" si="6"/>
        <v xml:space="preserve">  </v>
      </c>
    </row>
    <row r="77" spans="1:13" ht="20.100000000000001" customHeight="1" thickBot="1" x14ac:dyDescent="0.3">
      <c r="A77" s="134">
        <v>27</v>
      </c>
      <c r="B77" s="382" t="str">
        <f>dtsiswa!D33</f>
        <v>Mohammad Rizky</v>
      </c>
      <c r="C77" s="1163">
        <f>IPS_3!Q111</f>
        <v>0</v>
      </c>
      <c r="D77" s="1163">
        <f>IPS_3!R111</f>
        <v>0</v>
      </c>
      <c r="E77" s="1163">
        <f>IPS_3!S111</f>
        <v>0</v>
      </c>
      <c r="F77" s="398" t="str">
        <f t="shared" si="5"/>
        <v xml:space="preserve">  </v>
      </c>
      <c r="G77" s="675">
        <v>27</v>
      </c>
      <c r="H77" s="382" t="str">
        <f>dtsiswa!D33</f>
        <v>Mohammad Rizky</v>
      </c>
      <c r="I77" s="1111">
        <f>IPS_KI4!AB139</f>
        <v>0</v>
      </c>
      <c r="J77" s="1111">
        <f>IPS_KI4!AC139</f>
        <v>0</v>
      </c>
      <c r="K77" s="1111">
        <f>IPS_KI4!AD139</f>
        <v>0</v>
      </c>
      <c r="L77" s="1111">
        <f>IPS_KI4!AE139</f>
        <v>0</v>
      </c>
      <c r="M77" s="674" t="str">
        <f t="shared" si="6"/>
        <v xml:space="preserve">  </v>
      </c>
    </row>
    <row r="78" spans="1:13" ht="20.100000000000001" customHeight="1" thickBot="1" x14ac:dyDescent="0.3">
      <c r="A78" s="134">
        <v>28</v>
      </c>
      <c r="B78" s="382">
        <f>dtsiswa!D34</f>
        <v>0</v>
      </c>
      <c r="C78" s="1163">
        <f>IPS_3!Q1115</f>
        <v>0</v>
      </c>
      <c r="D78" s="1163">
        <f>IPS_3!R1115</f>
        <v>0</v>
      </c>
      <c r="E78" s="1163">
        <f>IPS_3!S1115</f>
        <v>0</v>
      </c>
      <c r="F78" s="398" t="str">
        <f t="shared" si="5"/>
        <v xml:space="preserve">  </v>
      </c>
      <c r="G78" s="675">
        <v>28</v>
      </c>
      <c r="H78" s="382">
        <f>dtsiswa!D34</f>
        <v>0</v>
      </c>
      <c r="I78" s="1111">
        <f>IPS_KI4!AB144</f>
        <v>0</v>
      </c>
      <c r="J78" s="1111">
        <f>IPS_KI4!AC144</f>
        <v>0</v>
      </c>
      <c r="K78" s="1111">
        <f>IPS_KI4!AD144</f>
        <v>0</v>
      </c>
      <c r="L78" s="1111">
        <f>IPS_KI4!AE144</f>
        <v>0</v>
      </c>
      <c r="M78" s="674" t="str">
        <f t="shared" si="6"/>
        <v xml:space="preserve">  </v>
      </c>
    </row>
    <row r="79" spans="1:13" ht="20.100000000000001" customHeight="1" thickBot="1" x14ac:dyDescent="0.3">
      <c r="A79" s="134">
        <v>29</v>
      </c>
      <c r="B79" s="382">
        <f>dtsiswa!D35</f>
        <v>0</v>
      </c>
      <c r="C79" s="1163">
        <f>IPS_3!Q119</f>
        <v>0</v>
      </c>
      <c r="D79" s="1163">
        <f>IPS_3!R119</f>
        <v>0</v>
      </c>
      <c r="E79" s="1163">
        <f>IPS_3!S119</f>
        <v>0</v>
      </c>
      <c r="F79" s="398" t="str">
        <f t="shared" si="5"/>
        <v xml:space="preserve">  </v>
      </c>
      <c r="G79" s="675">
        <v>29</v>
      </c>
      <c r="H79" s="382">
        <f>dtsiswa!D35</f>
        <v>0</v>
      </c>
      <c r="I79" s="1111">
        <f>IPS_KI4!AB149</f>
        <v>0</v>
      </c>
      <c r="J79" s="1111">
        <f>IPS_KI4!AC149</f>
        <v>0</v>
      </c>
      <c r="K79" s="1111">
        <f>IPS_KI4!AD149</f>
        <v>0</v>
      </c>
      <c r="L79" s="1111">
        <f>IPS_KI4!AE149</f>
        <v>0</v>
      </c>
      <c r="M79" s="674" t="str">
        <f t="shared" si="6"/>
        <v xml:space="preserve">  </v>
      </c>
    </row>
    <row r="80" spans="1:13" ht="20.100000000000001" customHeight="1" thickBot="1" x14ac:dyDescent="0.3">
      <c r="A80" s="134">
        <v>30</v>
      </c>
      <c r="B80" s="382">
        <f>dtsiswa!D36</f>
        <v>0</v>
      </c>
      <c r="C80" s="1163">
        <f>IPS_3!Q123</f>
        <v>0</v>
      </c>
      <c r="D80" s="1163">
        <f>IPS_3!R123</f>
        <v>0</v>
      </c>
      <c r="E80" s="1163">
        <f>IPS_3!S123</f>
        <v>0</v>
      </c>
      <c r="F80" s="398" t="str">
        <f t="shared" si="5"/>
        <v xml:space="preserve">  </v>
      </c>
      <c r="G80" s="675">
        <v>30</v>
      </c>
      <c r="H80" s="382">
        <f>dtsiswa!D36</f>
        <v>0</v>
      </c>
      <c r="I80" s="1111">
        <f>IPS_KI4!AB154</f>
        <v>0</v>
      </c>
      <c r="J80" s="1111">
        <f>IPS_KI4!AC154</f>
        <v>0</v>
      </c>
      <c r="K80" s="1111">
        <f>IPS_KI4!AD154</f>
        <v>0</v>
      </c>
      <c r="L80" s="1111">
        <f>IPS_KI4!AE154</f>
        <v>0</v>
      </c>
      <c r="M80" s="674" t="str">
        <f t="shared" si="6"/>
        <v xml:space="preserve">  </v>
      </c>
    </row>
    <row r="81" spans="1:13" ht="20.100000000000001" customHeight="1" thickBot="1" x14ac:dyDescent="0.3">
      <c r="A81" s="134">
        <v>31</v>
      </c>
      <c r="B81" s="382">
        <f>dtsiswa!D37</f>
        <v>0</v>
      </c>
      <c r="C81" s="1163">
        <f>IPS_3!Q127</f>
        <v>0</v>
      </c>
      <c r="D81" s="1163">
        <f>IPS_3!R127</f>
        <v>0</v>
      </c>
      <c r="E81" s="1163">
        <f>IPS_3!S127</f>
        <v>0</v>
      </c>
      <c r="F81" s="398" t="str">
        <f t="shared" si="5"/>
        <v xml:space="preserve">  </v>
      </c>
      <c r="G81" s="675">
        <v>31</v>
      </c>
      <c r="H81" s="382">
        <f>dtsiswa!D37</f>
        <v>0</v>
      </c>
      <c r="I81" s="1111">
        <f>IPS_KI4!AB159</f>
        <v>0</v>
      </c>
      <c r="J81" s="1111">
        <f>IPS_KI4!AC159</f>
        <v>0</v>
      </c>
      <c r="K81" s="1111">
        <f>IPS_KI4!AD159</f>
        <v>0</v>
      </c>
      <c r="L81" s="1111">
        <f>IPS_KI4!AE159</f>
        <v>0</v>
      </c>
      <c r="M81" s="674" t="str">
        <f t="shared" si="6"/>
        <v xml:space="preserve">  </v>
      </c>
    </row>
    <row r="82" spans="1:13" ht="20.100000000000001" customHeight="1" thickBot="1" x14ac:dyDescent="0.3">
      <c r="A82" s="134">
        <v>32</v>
      </c>
      <c r="B82" s="382">
        <f>dtsiswa!D38</f>
        <v>0</v>
      </c>
      <c r="C82" s="1163">
        <f>IPS_3!Q131</f>
        <v>0</v>
      </c>
      <c r="D82" s="1163">
        <f>IPS_3!R131</f>
        <v>0</v>
      </c>
      <c r="E82" s="1163">
        <f>IPS_3!S131</f>
        <v>0</v>
      </c>
      <c r="F82" s="398" t="str">
        <f t="shared" si="5"/>
        <v xml:space="preserve">  </v>
      </c>
      <c r="G82" s="675">
        <v>32</v>
      </c>
      <c r="H82" s="382">
        <f>dtsiswa!D38</f>
        <v>0</v>
      </c>
      <c r="I82" s="1111">
        <f>IPS_KI4!AB164</f>
        <v>0</v>
      </c>
      <c r="J82" s="1111">
        <f>IPS_KI4!AC164</f>
        <v>0</v>
      </c>
      <c r="K82" s="1111">
        <f>IPS_KI4!AD164</f>
        <v>0</v>
      </c>
      <c r="L82" s="1111">
        <f>IPS_KI4!AE164</f>
        <v>0</v>
      </c>
      <c r="M82" s="674" t="str">
        <f t="shared" si="6"/>
        <v xml:space="preserve">  </v>
      </c>
    </row>
    <row r="83" spans="1:13" ht="20.100000000000001" customHeight="1" thickBot="1" x14ac:dyDescent="0.3">
      <c r="A83" s="134">
        <v>33</v>
      </c>
      <c r="B83" s="382">
        <f>dtsiswa!D39</f>
        <v>0</v>
      </c>
      <c r="C83" s="1163">
        <f>IPS_3!Q135</f>
        <v>0</v>
      </c>
      <c r="D83" s="1163">
        <f>IPS_3!R135</f>
        <v>0</v>
      </c>
      <c r="E83" s="1163">
        <f>IPS_3!S135</f>
        <v>0</v>
      </c>
      <c r="F83" s="398" t="str">
        <f t="shared" si="5"/>
        <v xml:space="preserve">  </v>
      </c>
      <c r="G83" s="675">
        <v>33</v>
      </c>
      <c r="H83" s="382">
        <f>dtsiswa!D39</f>
        <v>0</v>
      </c>
      <c r="I83" s="1111">
        <f>IPS_KI4!AB169</f>
        <v>0</v>
      </c>
      <c r="J83" s="1111">
        <f>IPS_KI4!AC169</f>
        <v>0</v>
      </c>
      <c r="K83" s="1111">
        <f>IPS_KI4!AD169</f>
        <v>0</v>
      </c>
      <c r="L83" s="1111">
        <f>IPS_KI4!AE169</f>
        <v>0</v>
      </c>
      <c r="M83" s="674" t="str">
        <f t="shared" si="6"/>
        <v xml:space="preserve">  </v>
      </c>
    </row>
    <row r="84" spans="1:13" ht="20.100000000000001" customHeight="1" thickBot="1" x14ac:dyDescent="0.3">
      <c r="A84" s="134">
        <v>34</v>
      </c>
      <c r="B84" s="382">
        <f>dtsiswa!D40</f>
        <v>0</v>
      </c>
      <c r="C84" s="1163">
        <f>IPS_3!Q139</f>
        <v>0</v>
      </c>
      <c r="D84" s="1163">
        <f>IPS_3!R139</f>
        <v>0</v>
      </c>
      <c r="E84" s="1163">
        <f>IPS_3!S139</f>
        <v>0</v>
      </c>
      <c r="F84" s="398" t="str">
        <f t="shared" si="5"/>
        <v xml:space="preserve">  </v>
      </c>
      <c r="G84" s="675">
        <v>34</v>
      </c>
      <c r="H84" s="382">
        <f>dtsiswa!D40</f>
        <v>0</v>
      </c>
      <c r="I84" s="1111">
        <f>IPS_KI4!AB174</f>
        <v>0</v>
      </c>
      <c r="J84" s="1111">
        <f>IPS_KI4!AC174</f>
        <v>0</v>
      </c>
      <c r="K84" s="1111">
        <f>IPS_KI4!AD174</f>
        <v>0</v>
      </c>
      <c r="L84" s="1111">
        <f>IPS_KI4!AE174</f>
        <v>0</v>
      </c>
      <c r="M84" s="674" t="str">
        <f t="shared" si="6"/>
        <v xml:space="preserve">  </v>
      </c>
    </row>
    <row r="85" spans="1:13" ht="20.100000000000001" customHeight="1" thickBot="1" x14ac:dyDescent="0.3">
      <c r="A85" s="134">
        <v>35</v>
      </c>
      <c r="B85" s="382">
        <f>dtsiswa!D41</f>
        <v>0</v>
      </c>
      <c r="C85" s="1163">
        <f>IPS_3!Q143</f>
        <v>0</v>
      </c>
      <c r="D85" s="1163">
        <f>IPS_3!R143</f>
        <v>0</v>
      </c>
      <c r="E85" s="1163">
        <f>IPS_3!S143</f>
        <v>0</v>
      </c>
      <c r="F85" s="398" t="str">
        <f t="shared" si="5"/>
        <v xml:space="preserve">  </v>
      </c>
      <c r="G85" s="675">
        <v>35</v>
      </c>
      <c r="H85" s="382">
        <f>dtsiswa!D41</f>
        <v>0</v>
      </c>
      <c r="I85" s="1111">
        <f>IPS_KI4!AB179</f>
        <v>0</v>
      </c>
      <c r="J85" s="1111">
        <f>IPS_KI4!AC179</f>
        <v>0</v>
      </c>
      <c r="K85" s="1111">
        <f>IPS_KI4!AD179</f>
        <v>0</v>
      </c>
      <c r="L85" s="1111">
        <f>IPS_KI4!AE179</f>
        <v>0</v>
      </c>
      <c r="M85" s="674" t="str">
        <f t="shared" si="6"/>
        <v xml:space="preserve">  </v>
      </c>
    </row>
    <row r="86" spans="1:13" ht="20.100000000000001" customHeight="1" thickBot="1" x14ac:dyDescent="0.3">
      <c r="A86" s="134">
        <v>36</v>
      </c>
      <c r="B86" s="382">
        <f>dtsiswa!D42</f>
        <v>0</v>
      </c>
      <c r="C86" s="1163">
        <f>IPS_3!Q147</f>
        <v>0</v>
      </c>
      <c r="D86" s="1163">
        <f>IPS_3!R147</f>
        <v>0</v>
      </c>
      <c r="E86" s="1163">
        <f>IPS_3!S147</f>
        <v>0</v>
      </c>
      <c r="F86" s="398" t="str">
        <f t="shared" si="5"/>
        <v xml:space="preserve">  </v>
      </c>
      <c r="G86" s="675">
        <v>36</v>
      </c>
      <c r="H86" s="382">
        <f>dtsiswa!D42</f>
        <v>0</v>
      </c>
      <c r="I86" s="1111">
        <f>IPS_KI4!AB184</f>
        <v>0</v>
      </c>
      <c r="J86" s="1111">
        <f>IPS_KI4!AC184</f>
        <v>0</v>
      </c>
      <c r="K86" s="1111">
        <f>IPS_KI4!AD184</f>
        <v>0</v>
      </c>
      <c r="L86" s="1111">
        <f>IPS_KI4!AE184</f>
        <v>0</v>
      </c>
      <c r="M86" s="674" t="str">
        <f t="shared" si="6"/>
        <v xml:space="preserve">  </v>
      </c>
    </row>
    <row r="87" spans="1:13" ht="20.100000000000001" customHeight="1" thickBot="1" x14ac:dyDescent="0.3">
      <c r="A87" s="134">
        <v>37</v>
      </c>
      <c r="B87" s="382">
        <f>dtsiswa!D43</f>
        <v>0</v>
      </c>
      <c r="C87" s="1163">
        <f>IPS_3!Q151</f>
        <v>0</v>
      </c>
      <c r="D87" s="1163">
        <f>IPS_3!R151</f>
        <v>0</v>
      </c>
      <c r="E87" s="1163">
        <f>IPS_3!S151</f>
        <v>0</v>
      </c>
      <c r="F87" s="398" t="str">
        <f t="shared" si="5"/>
        <v xml:space="preserve">  </v>
      </c>
      <c r="G87" s="675">
        <v>37</v>
      </c>
      <c r="H87" s="382">
        <f>dtsiswa!D43</f>
        <v>0</v>
      </c>
      <c r="I87" s="1111">
        <f>IPS_KI4!AB189</f>
        <v>0</v>
      </c>
      <c r="J87" s="1111">
        <f>IPS_KI4!AC189</f>
        <v>0</v>
      </c>
      <c r="K87" s="1111">
        <f>IPS_KI4!AD189</f>
        <v>0</v>
      </c>
      <c r="L87" s="1111">
        <f>IPS_KI4!AE189</f>
        <v>0</v>
      </c>
      <c r="M87" s="674" t="str">
        <f t="shared" si="6"/>
        <v xml:space="preserve">  </v>
      </c>
    </row>
    <row r="88" spans="1:13" ht="20.100000000000001" customHeight="1" thickBot="1" x14ac:dyDescent="0.3">
      <c r="A88" s="134">
        <v>38</v>
      </c>
      <c r="B88" s="382">
        <f>dtsiswa!D44</f>
        <v>0</v>
      </c>
      <c r="C88" s="1163">
        <f>IPS_3!Q155</f>
        <v>0</v>
      </c>
      <c r="D88" s="1163">
        <f>IPS_3!R155</f>
        <v>0</v>
      </c>
      <c r="E88" s="1163">
        <f>IPS_3!S155</f>
        <v>0</v>
      </c>
      <c r="F88" s="398" t="str">
        <f t="shared" si="5"/>
        <v xml:space="preserve">  </v>
      </c>
      <c r="G88" s="675">
        <v>38</v>
      </c>
      <c r="H88" s="382">
        <f>dtsiswa!D44</f>
        <v>0</v>
      </c>
      <c r="I88" s="1111">
        <f>IPS_KI4!AB194</f>
        <v>0</v>
      </c>
      <c r="J88" s="1111">
        <f>IPS_KI4!AC194</f>
        <v>0</v>
      </c>
      <c r="K88" s="1111">
        <f>IPS_KI4!AD194</f>
        <v>0</v>
      </c>
      <c r="L88" s="1111">
        <f>IPS_KI4!AE194</f>
        <v>0</v>
      </c>
      <c r="M88" s="674" t="str">
        <f t="shared" si="6"/>
        <v xml:space="preserve">  </v>
      </c>
    </row>
    <row r="89" spans="1:13" ht="20.100000000000001" customHeight="1" thickBot="1" x14ac:dyDescent="0.3">
      <c r="A89" s="134">
        <v>39</v>
      </c>
      <c r="B89" s="382">
        <f>dtsiswa!D45</f>
        <v>0</v>
      </c>
      <c r="C89" s="1163">
        <f>IPS_3!Q159</f>
        <v>0</v>
      </c>
      <c r="D89" s="1163">
        <f>IPS_3!R159</f>
        <v>0</v>
      </c>
      <c r="E89" s="1163">
        <f>IPS_3!S159</f>
        <v>0</v>
      </c>
      <c r="F89" s="398" t="str">
        <f t="shared" si="5"/>
        <v xml:space="preserve">  </v>
      </c>
      <c r="G89" s="675">
        <v>39</v>
      </c>
      <c r="H89" s="382">
        <f>dtsiswa!D45</f>
        <v>0</v>
      </c>
      <c r="I89" s="1111">
        <f>IPS_KI4!AB199</f>
        <v>0</v>
      </c>
      <c r="J89" s="1111">
        <f>IPS_KI4!AC199</f>
        <v>0</v>
      </c>
      <c r="K89" s="1111">
        <f>IPS_KI4!AD199</f>
        <v>0</v>
      </c>
      <c r="L89" s="1111">
        <f>IPS_KI4!AE199</f>
        <v>0</v>
      </c>
      <c r="M89" s="674" t="str">
        <f t="shared" si="6"/>
        <v xml:space="preserve">  </v>
      </c>
    </row>
    <row r="90" spans="1:13" ht="20.100000000000001" customHeight="1" thickBot="1" x14ac:dyDescent="0.3">
      <c r="A90" s="134">
        <v>40</v>
      </c>
      <c r="B90" s="382">
        <f>dtsiswa!D46</f>
        <v>0</v>
      </c>
      <c r="C90" s="1163">
        <f>IPS_3!Q163</f>
        <v>0</v>
      </c>
      <c r="D90" s="1163">
        <f>IPS_3!R163</f>
        <v>0</v>
      </c>
      <c r="E90" s="1163">
        <f>IPS_3!S163</f>
        <v>0</v>
      </c>
      <c r="F90" s="398" t="str">
        <f t="shared" si="5"/>
        <v xml:space="preserve">  </v>
      </c>
      <c r="G90" s="676">
        <v>40</v>
      </c>
      <c r="H90" s="677">
        <f>dtsiswa!D46</f>
        <v>0</v>
      </c>
      <c r="I90" s="1111">
        <f>IPS_KI4!AB204</f>
        <v>0</v>
      </c>
      <c r="J90" s="1111">
        <f>IPS_KI4!AC204</f>
        <v>0</v>
      </c>
      <c r="K90" s="1111">
        <f>IPS_KI4!AD204</f>
        <v>0</v>
      </c>
      <c r="L90" s="1111">
        <f>IPS_KI4!AE204</f>
        <v>0</v>
      </c>
      <c r="M90" s="674" t="str">
        <f t="shared" si="6"/>
        <v xml:space="preserve">  </v>
      </c>
    </row>
  </sheetData>
  <mergeCells count="4">
    <mergeCell ref="A1:E1"/>
    <mergeCell ref="G1:J1"/>
    <mergeCell ref="G48:J48"/>
    <mergeCell ref="A48:E48"/>
  </mergeCells>
  <conditionalFormatting sqref="C4:E43">
    <cfRule type="top10" dxfId="341" priority="3" rank="1"/>
  </conditionalFormatting>
  <conditionalFormatting sqref="C5:E43">
    <cfRule type="top10" dxfId="340" priority="4" rank="1"/>
  </conditionalFormatting>
  <conditionalFormatting sqref="C6:E12">
    <cfRule type="top10" dxfId="339" priority="5" rank="1"/>
  </conditionalFormatting>
  <conditionalFormatting sqref="C7:E43">
    <cfRule type="top10" dxfId="338" priority="6" rank="1"/>
  </conditionalFormatting>
  <conditionalFormatting sqref="C8:E43">
    <cfRule type="top10" dxfId="337" priority="7" rank="1"/>
  </conditionalFormatting>
  <conditionalFormatting sqref="C9:E43">
    <cfRule type="top10" dxfId="336" priority="8" rank="1"/>
  </conditionalFormatting>
  <conditionalFormatting sqref="C10:E43">
    <cfRule type="top10" dxfId="335" priority="9" rank="1"/>
  </conditionalFormatting>
  <conditionalFormatting sqref="D11:E43 C12:E43">
    <cfRule type="top10" dxfId="334" priority="10" rank="1"/>
  </conditionalFormatting>
  <conditionalFormatting sqref="D12:E43 C13:E43">
    <cfRule type="top10" dxfId="333" priority="11" rank="1"/>
  </conditionalFormatting>
  <conditionalFormatting sqref="D13:E43 C14:E43">
    <cfRule type="top10" dxfId="332" priority="12" rank="1"/>
  </conditionalFormatting>
  <conditionalFormatting sqref="D14:E14 C15:E15">
    <cfRule type="top10" dxfId="331" priority="13" rank="1"/>
  </conditionalFormatting>
  <conditionalFormatting sqref="D15:E15 C16:E16">
    <cfRule type="top10" dxfId="330" priority="14" rank="1"/>
  </conditionalFormatting>
  <conditionalFormatting sqref="D16:E16 C17:E17">
    <cfRule type="top10" dxfId="329" priority="15" rank="1"/>
  </conditionalFormatting>
  <conditionalFormatting sqref="D17:E43 C18:E43">
    <cfRule type="top10" dxfId="328" priority="16" rank="1"/>
  </conditionalFormatting>
  <conditionalFormatting sqref="D18:E18 C19:E19">
    <cfRule type="top10" dxfId="327" priority="17" rank="1"/>
  </conditionalFormatting>
  <conditionalFormatting sqref="D19:E19 C20:E20">
    <cfRule type="top10" dxfId="326" priority="18" rank="1"/>
  </conditionalFormatting>
  <conditionalFormatting sqref="D20:E20 C21:E21">
    <cfRule type="top10" dxfId="325" priority="19" rank="1"/>
  </conditionalFormatting>
  <conditionalFormatting sqref="D21:E21 C22:E22">
    <cfRule type="top10" dxfId="324" priority="20" rank="1"/>
  </conditionalFormatting>
  <conditionalFormatting sqref="D22:E22 C23:E43">
    <cfRule type="top10" dxfId="323" priority="21" rank="1"/>
  </conditionalFormatting>
  <conditionalFormatting sqref="D23:E43 C24:E43">
    <cfRule type="top10" dxfId="322" priority="22" rank="1"/>
  </conditionalFormatting>
  <conditionalFormatting sqref="D24:E24 C25:E25">
    <cfRule type="top10" dxfId="321" priority="23" rank="1"/>
  </conditionalFormatting>
  <conditionalFormatting sqref="D26:E43 C27:E43">
    <cfRule type="top10" dxfId="320" priority="24" rank="1"/>
  </conditionalFormatting>
  <conditionalFormatting sqref="C35:C43 D34:E43">
    <cfRule type="top10" dxfId="319" priority="25" rank="1"/>
  </conditionalFormatting>
  <conditionalFormatting sqref="D25:E25 C26:E26">
    <cfRule type="top10" dxfId="318" priority="26" rank="1"/>
  </conditionalFormatting>
  <conditionalFormatting sqref="D27:E27 C28:E28">
    <cfRule type="top10" dxfId="317" priority="27" rank="1"/>
  </conditionalFormatting>
  <conditionalFormatting sqref="D28:E28 C29:E29">
    <cfRule type="top10" dxfId="316" priority="28" rank="1"/>
  </conditionalFormatting>
  <conditionalFormatting sqref="D29:E29 C30:E30">
    <cfRule type="top10" dxfId="315" priority="29" rank="1"/>
  </conditionalFormatting>
  <conditionalFormatting sqref="D30:E30 C31:E31">
    <cfRule type="top10" dxfId="314" priority="30" rank="1"/>
  </conditionalFormatting>
  <conditionalFormatting sqref="D31:E31 C32:E32">
    <cfRule type="top10" dxfId="313" priority="31" rank="1"/>
  </conditionalFormatting>
  <conditionalFormatting sqref="D32:E32 C33:E33">
    <cfRule type="top10" dxfId="312" priority="32" rank="1"/>
  </conditionalFormatting>
  <conditionalFormatting sqref="C10:E12">
    <cfRule type="top10" dxfId="311" priority="33" rank="1"/>
  </conditionalFormatting>
  <conditionalFormatting sqref="C51:E90">
    <cfRule type="top10" dxfId="310" priority="34" rank="1"/>
  </conditionalFormatting>
  <conditionalFormatting sqref="I4:L43">
    <cfRule type="top10" dxfId="309" priority="35" rank="1"/>
  </conditionalFormatting>
  <conditionalFormatting sqref="I51:L51">
    <cfRule type="top10" dxfId="308" priority="36" rank="1"/>
  </conditionalFormatting>
  <conditionalFormatting sqref="I52:L90">
    <cfRule type="top10" dxfId="307" priority="37" rank="1"/>
  </conditionalFormatting>
  <conditionalFormatting sqref="C4:E4">
    <cfRule type="top10" dxfId="306" priority="2" rank="1"/>
  </conditionalFormatting>
  <conditionalFormatting sqref="C5:E5">
    <cfRule type="top10" dxfId="305" priority="1" rank="1"/>
  </conditionalFormatting>
  <pageMargins left="0.7" right="0.7" top="0.75" bottom="0.75" header="0.3" footer="0.3"/>
  <pageSetup paperSize="9"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C00000"/>
  </sheetPr>
  <dimension ref="A1:AC90"/>
  <sheetViews>
    <sheetView showGridLines="0" topLeftCell="L45" workbookViewId="0">
      <selection activeCell="Y59" sqref="Y59"/>
    </sheetView>
  </sheetViews>
  <sheetFormatPr defaultRowHeight="15" x14ac:dyDescent="0.25"/>
  <cols>
    <col min="1" max="1" width="6.28515625" style="352" customWidth="1"/>
    <col min="2" max="2" width="37.7109375" style="352" customWidth="1"/>
    <col min="3" max="9" width="6.7109375" style="352" customWidth="1"/>
    <col min="10" max="10" width="97" style="352" customWidth="1"/>
    <col min="11" max="11" width="0.28515625" style="352" hidden="1" customWidth="1"/>
    <col min="12" max="12" width="5.42578125" style="352" customWidth="1"/>
    <col min="13" max="13" width="41.28515625" style="352" customWidth="1"/>
    <col min="14" max="24" width="4.7109375" style="352" customWidth="1"/>
    <col min="25" max="25" width="88.7109375" style="352" customWidth="1"/>
    <col min="26" max="26" width="6.140625" style="352" customWidth="1"/>
    <col min="27" max="27" width="37.5703125" style="352" customWidth="1"/>
    <col min="28" max="28" width="66.28515625" style="352" customWidth="1"/>
    <col min="29" max="29" width="77.140625" style="352" customWidth="1"/>
    <col min="30" max="30" width="9.140625" style="352"/>
    <col min="31" max="31" width="6.42578125" style="352" customWidth="1"/>
    <col min="32" max="16384" width="9.140625" style="352"/>
  </cols>
  <sheetData>
    <row r="1" spans="1:29" ht="26.25" x14ac:dyDescent="0.4">
      <c r="A1" s="2907" t="s">
        <v>192</v>
      </c>
      <c r="B1" s="2907"/>
      <c r="C1" s="2907"/>
      <c r="D1" s="2907"/>
      <c r="E1" s="2907"/>
      <c r="F1" s="2907"/>
      <c r="G1" s="2907"/>
      <c r="H1" s="2907"/>
      <c r="I1" s="2907"/>
      <c r="J1" s="373"/>
      <c r="K1" s="364"/>
      <c r="L1" s="2907" t="s">
        <v>193</v>
      </c>
      <c r="M1" s="2907"/>
      <c r="N1" s="2907"/>
      <c r="O1" s="2907"/>
      <c r="P1" s="373"/>
      <c r="Q1" s="373"/>
      <c r="R1" s="373"/>
      <c r="S1" s="373"/>
      <c r="T1" s="373"/>
      <c r="U1" s="373"/>
      <c r="V1" s="373"/>
      <c r="W1" s="373"/>
      <c r="X1" s="373"/>
      <c r="Y1" s="373"/>
      <c r="Z1" s="374" t="s">
        <v>452</v>
      </c>
    </row>
    <row r="2" spans="1:29" ht="27" thickBot="1" x14ac:dyDescent="0.45">
      <c r="A2" s="375" t="s">
        <v>147</v>
      </c>
      <c r="B2" s="373"/>
      <c r="C2" s="373"/>
      <c r="D2" s="373"/>
      <c r="E2" s="373"/>
      <c r="F2" s="373"/>
      <c r="G2" s="373"/>
      <c r="H2" s="373"/>
      <c r="I2" s="373"/>
      <c r="J2" s="373"/>
      <c r="K2" s="364"/>
      <c r="L2" s="376" t="s">
        <v>25</v>
      </c>
      <c r="M2" s="373"/>
      <c r="N2" s="373"/>
      <c r="O2" s="373"/>
      <c r="P2" s="373"/>
      <c r="Q2" s="373"/>
      <c r="R2" s="373"/>
      <c r="S2" s="373"/>
      <c r="T2" s="373"/>
      <c r="U2" s="373"/>
      <c r="V2" s="373"/>
      <c r="W2" s="373"/>
      <c r="X2" s="373"/>
      <c r="Y2" s="373"/>
    </row>
    <row r="3" spans="1:29" ht="49.5" customHeight="1" thickBot="1" x14ac:dyDescent="0.3">
      <c r="A3" s="377" t="s">
        <v>0</v>
      </c>
      <c r="B3" s="377" t="s">
        <v>1</v>
      </c>
      <c r="C3" s="894" t="s">
        <v>10</v>
      </c>
      <c r="D3" s="894" t="s">
        <v>20</v>
      </c>
      <c r="E3" s="894" t="s">
        <v>19</v>
      </c>
      <c r="F3" s="894" t="s">
        <v>181</v>
      </c>
      <c r="G3" s="894" t="s">
        <v>182</v>
      </c>
      <c r="H3" s="894" t="s">
        <v>566</v>
      </c>
      <c r="I3" s="894" t="s">
        <v>567</v>
      </c>
      <c r="J3" s="273" t="s">
        <v>138</v>
      </c>
      <c r="L3" s="305" t="s">
        <v>0</v>
      </c>
      <c r="M3" s="305" t="s">
        <v>1</v>
      </c>
      <c r="N3" s="1045" t="s">
        <v>154</v>
      </c>
      <c r="O3" s="1045" t="s">
        <v>155</v>
      </c>
      <c r="P3" s="1045" t="s">
        <v>16</v>
      </c>
      <c r="Q3" s="1045" t="s">
        <v>189</v>
      </c>
      <c r="R3" s="1045" t="s">
        <v>186</v>
      </c>
      <c r="S3" s="1045" t="s">
        <v>187</v>
      </c>
      <c r="T3" s="1045" t="s">
        <v>17</v>
      </c>
      <c r="U3" s="1045" t="s">
        <v>188</v>
      </c>
      <c r="V3" s="1045" t="s">
        <v>569</v>
      </c>
      <c r="W3" s="1045" t="s">
        <v>209</v>
      </c>
      <c r="X3" s="1045" t="s">
        <v>210</v>
      </c>
      <c r="Y3" s="152" t="s">
        <v>138</v>
      </c>
      <c r="Z3" s="378" t="s">
        <v>0</v>
      </c>
      <c r="AA3" s="379" t="s">
        <v>1</v>
      </c>
      <c r="AB3" s="380" t="s">
        <v>145</v>
      </c>
      <c r="AC3" s="381" t="s">
        <v>146</v>
      </c>
    </row>
    <row r="4" spans="1:29" ht="18.75" customHeight="1" x14ac:dyDescent="0.25">
      <c r="A4" s="134">
        <v>1</v>
      </c>
      <c r="B4" s="382" t="str">
        <f>dtsiswa!D7</f>
        <v>Achmad Zacky</v>
      </c>
      <c r="C4" s="383">
        <f>Mat_ki3!N7</f>
        <v>0</v>
      </c>
      <c r="D4" s="383">
        <f>Mat_ki3!O7</f>
        <v>0</v>
      </c>
      <c r="E4" s="383">
        <f>Mat_ki3!P7</f>
        <v>3</v>
      </c>
      <c r="F4" s="383">
        <f>Mat_ki3!Q7</f>
        <v>0</v>
      </c>
      <c r="G4" s="383">
        <f>Mat_ki3!R7</f>
        <v>0</v>
      </c>
      <c r="H4" s="383">
        <f>Mat_ki3!S7</f>
        <v>0</v>
      </c>
      <c r="I4" s="383">
        <f>Mat_ki3!T7</f>
        <v>0</v>
      </c>
      <c r="J4" s="668" t="str">
        <f t="shared" ref="J4:J43" si="0">IF(OR(C4=3,C4=4),VLOOKUP(C4,DES_KI3_MAT,2,FALSE),IF(OR(D4=3,D4=4),VLOOKUP(D4,DES_KI3_MAT,3,FALSE),IF(OR(E4=3,E4=4),VLOOKUP(E4,DES_KI3_MAT,4,FALSE),IF(OR(F4=3,F4=4),VLOOKUP(F4,DES_KI3_MAT,5,FALSE),IF(OR(G4=3,G4=4),VLOOKUP(G4,DES_KI3_MAT,6,FALSE),IF(OR(H4=3,H4=4),VLOOKUP(H4,DES_KI3_MAT,7,FALSE),IF(OR(I4=3,I4=4),VLOOKUP(I4,DES_KI3_MAT,8,FALSE),"  ")))))))</f>
        <v xml:space="preserve">Baik dalam Memahami luas segitiga, persegi panjang, dan persegi. </v>
      </c>
      <c r="L4" s="134">
        <v>1</v>
      </c>
      <c r="M4" s="382" t="str">
        <f>dtsiswa!D7</f>
        <v>Achmad Zacky</v>
      </c>
      <c r="N4" s="383">
        <f>mat_ki4!Y7</f>
        <v>0</v>
      </c>
      <c r="O4" s="383">
        <f>mat_ki4!Z7</f>
        <v>0</v>
      </c>
      <c r="P4" s="383">
        <f>mat_ki4!AA7</f>
        <v>0</v>
      </c>
      <c r="Q4" s="383">
        <f>mat_ki4!AB7</f>
        <v>4</v>
      </c>
      <c r="R4" s="383">
        <f>mat_ki4!AC7</f>
        <v>0</v>
      </c>
      <c r="S4" s="383">
        <f>mat_ki4!AD7</f>
        <v>0</v>
      </c>
      <c r="T4" s="383">
        <f>mat_ki4!AE7</f>
        <v>0</v>
      </c>
      <c r="U4" s="383">
        <f>mat_ki4!AF7</f>
        <v>0</v>
      </c>
      <c r="V4" s="383">
        <f>mat_ki4!AG7</f>
        <v>0</v>
      </c>
      <c r="W4" s="383">
        <f>mat_ki4!AH7</f>
        <v>0</v>
      </c>
      <c r="X4" s="383">
        <f>mat_ki4!AI7</f>
        <v>0</v>
      </c>
      <c r="Y4" s="669" t="str">
        <f t="shared" ref="Y4:Y43" si="1">IF(OR(N4=3,N4=4),VLOOKUP(N4,des_KI4_mat,2,FALSE),IF(OR(O4=3,O4=4),VLOOKUP(O4,des_KI4_mat,3,FALSE),IF(OR(P4=3,P4=4),VLOOKUP(P4,des_KI4_mat,4,FALSE),IF(OR(Q4=3,Q4=4),VLOOKUP(Q4,des_KI4_mat,5,FALSE),IF(OR(R4=3,R4=4),VLOOKUP(R4,des_KI4_mat,6,FALSE),IF(OR(S4=3,S4=4),VLOOKUP(S4,des_KI4_mat,7,FALSE),IF(OR(T4=3,T4=4),VLOOKUP(T4,des_KI4_mat,8,FALSE),IF(OR(U4=3,U4=4),VLOOKUP(U4,des_KI4_mat,9,FALSE),IF(OR(V4=3,V4=4),VLOOKUP(V4,des_KI4_mat,10,FALSE),IF(OR(W4=3,W4=4),VLOOKUP(W4,des_KI4_mat,11,FALSE),IF(OR(X4=3,X4=4),VLOOKUP(X4,des_KI4_mat,12,FALSE),"  ")))))))))))</f>
        <v xml:space="preserve">Sangat baik dalam  Membuat benda-benda berdasarkan jaring-jaring bangun ruang yang ditemukan dengan memanfaatkan barang-barang bekas yang ada di sekitar rumah, sekolah atau tempat bermain. </v>
      </c>
      <c r="Z4" s="134">
        <v>1</v>
      </c>
      <c r="AA4" s="384" t="str">
        <f>dtsiswa!D7</f>
        <v>Achmad Zacky</v>
      </c>
      <c r="AB4" s="385" t="str">
        <f>IFERROR(CONCATENATE(J4,J51),"  ")</f>
        <v xml:space="preserve">Baik dalam Memahami luas segitiga, persegi panjang, dan persegi. Baik dalam Memahami aturan pembulatan dalam membaca hasil pengukuran dengan alat ukur. </v>
      </c>
      <c r="AC4" s="386" t="str">
        <f t="shared" ref="AC4:AC43" si="2">CONCATENATE(Y4,Y51)</f>
        <v xml:space="preserve">Sangat baik dalam  Membuat benda-benda berdasarkan jaring-jaring bangun ruang yang ditemukan dengan memanfaatkan barang-barang bekas yang ada di sekitar rumah, sekolah atau tempat bermain. Cukup baik dalam Menggabung sudut bagian dalam segitiga dan segi empat untuk menarik kesimpulan. </v>
      </c>
    </row>
    <row r="5" spans="1:29" ht="15.75" customHeight="1" x14ac:dyDescent="0.25">
      <c r="A5" s="134">
        <v>2</v>
      </c>
      <c r="B5" s="382" t="str">
        <f>dtsiswa!D8</f>
        <v>Angelia Vabel R</v>
      </c>
      <c r="C5" s="758">
        <f>Mat_ki3!N15</f>
        <v>0</v>
      </c>
      <c r="D5" s="758">
        <f>Mat_ki3!O15</f>
        <v>0</v>
      </c>
      <c r="E5" s="758">
        <f>Mat_ki3!P15</f>
        <v>0</v>
      </c>
      <c r="F5" s="758">
        <f>Mat_ki3!Q15</f>
        <v>0</v>
      </c>
      <c r="G5" s="758">
        <f>Mat_ki3!R15</f>
        <v>0</v>
      </c>
      <c r="H5" s="758">
        <f>Mat_ki3!S15</f>
        <v>0</v>
      </c>
      <c r="I5" s="758">
        <f>Mat_ki3!T15</f>
        <v>0</v>
      </c>
      <c r="J5" s="668" t="str">
        <f t="shared" si="0"/>
        <v xml:space="preserve">  </v>
      </c>
      <c r="L5" s="134">
        <v>2</v>
      </c>
      <c r="M5" s="382" t="str">
        <f>dtsiswa!D8</f>
        <v>Angelia Vabel R</v>
      </c>
      <c r="N5" s="383">
        <f>mat_ki4!Y19</f>
        <v>0</v>
      </c>
      <c r="O5" s="383">
        <f>mat_ki4!Z19</f>
        <v>0</v>
      </c>
      <c r="P5" s="383">
        <f>mat_ki4!AA19</f>
        <v>0</v>
      </c>
      <c r="Q5" s="383">
        <f>mat_ki4!AB19</f>
        <v>0</v>
      </c>
      <c r="R5" s="383">
        <f>mat_ki4!AC19</f>
        <v>0</v>
      </c>
      <c r="S5" s="383">
        <f>mat_ki4!AD19</f>
        <v>0</v>
      </c>
      <c r="T5" s="383">
        <f>mat_ki4!AE19</f>
        <v>0</v>
      </c>
      <c r="U5" s="383">
        <f>mat_ki4!AF19</f>
        <v>0</v>
      </c>
      <c r="V5" s="383">
        <f>mat_ki4!AG19</f>
        <v>0</v>
      </c>
      <c r="W5" s="383">
        <f>mat_ki4!AH19</f>
        <v>0</v>
      </c>
      <c r="X5" s="383">
        <f>mat_ki4!AI19</f>
        <v>0</v>
      </c>
      <c r="Y5" s="669" t="str">
        <f t="shared" si="1"/>
        <v xml:space="preserve">  </v>
      </c>
      <c r="Z5" s="134">
        <v>2</v>
      </c>
      <c r="AA5" s="384" t="str">
        <f>dtsiswa!D8</f>
        <v>Angelia Vabel R</v>
      </c>
      <c r="AB5" s="385" t="str">
        <f>IFERROR(CONCATENATE(J5,J51),"  ")</f>
        <v xml:space="preserve">  Baik dalam Memahami aturan pembulatan dalam membaca hasil pengukuran dengan alat ukur. </v>
      </c>
      <c r="AC5" s="386" t="str">
        <f>CONCATENATE(Y5,Y51)</f>
        <v xml:space="preserve">  Cukup baik dalam Menggabung sudut bagian dalam segitiga dan segi empat untuk menarik kesimpulan. </v>
      </c>
    </row>
    <row r="6" spans="1:29" ht="16.5" customHeight="1" x14ac:dyDescent="0.25">
      <c r="A6" s="134">
        <v>3</v>
      </c>
      <c r="B6" s="382" t="str">
        <f>dtsiswa!D9</f>
        <v>Anggun Dwi P.I</v>
      </c>
      <c r="C6" s="758">
        <f>Mat_ki3!N23</f>
        <v>0</v>
      </c>
      <c r="D6" s="758">
        <f>Mat_ki3!O23</f>
        <v>0</v>
      </c>
      <c r="E6" s="758">
        <f>Mat_ki3!P23</f>
        <v>0</v>
      </c>
      <c r="F6" s="758">
        <f>Mat_ki3!Q23</f>
        <v>0</v>
      </c>
      <c r="G6" s="758">
        <f>Mat_ki3!R23</f>
        <v>0</v>
      </c>
      <c r="H6" s="758">
        <f>Mat_ki3!S23</f>
        <v>0</v>
      </c>
      <c r="I6" s="758">
        <f>Mat_ki3!T23</f>
        <v>0</v>
      </c>
      <c r="J6" s="668" t="str">
        <f t="shared" si="0"/>
        <v xml:space="preserve">  </v>
      </c>
      <c r="L6" s="134">
        <v>3</v>
      </c>
      <c r="M6" s="382" t="str">
        <f>dtsiswa!D9</f>
        <v>Anggun Dwi P.I</v>
      </c>
      <c r="N6" s="383">
        <f>mat_ki4!Y31</f>
        <v>0</v>
      </c>
      <c r="O6" s="383">
        <f>mat_ki4!Z31</f>
        <v>0</v>
      </c>
      <c r="P6" s="383">
        <f>mat_ki4!AA31</f>
        <v>0</v>
      </c>
      <c r="Q6" s="383">
        <f>mat_ki4!AB31</f>
        <v>0</v>
      </c>
      <c r="R6" s="383">
        <f>mat_ki4!AC31</f>
        <v>0</v>
      </c>
      <c r="S6" s="383">
        <f>mat_ki4!AD31</f>
        <v>0</v>
      </c>
      <c r="T6" s="383">
        <f>mat_ki4!AE31</f>
        <v>0</v>
      </c>
      <c r="U6" s="383">
        <f>mat_ki4!AF31</f>
        <v>0</v>
      </c>
      <c r="V6" s="383">
        <f>mat_ki4!AG31</f>
        <v>0</v>
      </c>
      <c r="W6" s="383">
        <f>mat_ki4!AH31</f>
        <v>0</v>
      </c>
      <c r="X6" s="383">
        <f>mat_ki4!AI31</f>
        <v>0</v>
      </c>
      <c r="Y6" s="669" t="str">
        <f t="shared" si="1"/>
        <v xml:space="preserve">  </v>
      </c>
      <c r="Z6" s="134">
        <v>3</v>
      </c>
      <c r="AA6" s="384" t="str">
        <f>dtsiswa!D9</f>
        <v>Anggun Dwi P.I</v>
      </c>
      <c r="AB6" s="385" t="str">
        <f t="shared" ref="AB6:AB43" si="3">IFERROR(CONCATENATE(J6,J53),"  ")</f>
        <v xml:space="preserve">    </v>
      </c>
      <c r="AC6" s="386" t="str">
        <f t="shared" si="2"/>
        <v xml:space="preserve">    </v>
      </c>
    </row>
    <row r="7" spans="1:29" ht="15.95" customHeight="1" x14ac:dyDescent="0.25">
      <c r="A7" s="134">
        <v>4</v>
      </c>
      <c r="B7" s="382" t="str">
        <f>dtsiswa!D10</f>
        <v>Antonio Permata A</v>
      </c>
      <c r="C7" s="758">
        <f>Mat_ki3!N31</f>
        <v>0</v>
      </c>
      <c r="D7" s="758">
        <f>Mat_ki3!O31</f>
        <v>0</v>
      </c>
      <c r="E7" s="758">
        <f>Mat_ki3!P31</f>
        <v>0</v>
      </c>
      <c r="F7" s="758">
        <f>Mat_ki3!Q31</f>
        <v>0</v>
      </c>
      <c r="G7" s="758">
        <f>Mat_ki3!R31</f>
        <v>0</v>
      </c>
      <c r="H7" s="758">
        <f>Mat_ki3!S31</f>
        <v>0</v>
      </c>
      <c r="I7" s="758">
        <f>Mat_ki3!T31</f>
        <v>0</v>
      </c>
      <c r="J7" s="668" t="str">
        <f t="shared" si="0"/>
        <v xml:space="preserve">  </v>
      </c>
      <c r="L7" s="134">
        <v>4</v>
      </c>
      <c r="M7" s="382" t="str">
        <f>dtsiswa!D10</f>
        <v>Antonio Permata A</v>
      </c>
      <c r="N7" s="383">
        <f>mat_ki4!Y43</f>
        <v>0</v>
      </c>
      <c r="O7" s="383">
        <f>mat_ki4!Z43</f>
        <v>0</v>
      </c>
      <c r="P7" s="383">
        <f>mat_ki4!AA43</f>
        <v>0</v>
      </c>
      <c r="Q7" s="383">
        <f>mat_ki4!AB43</f>
        <v>0</v>
      </c>
      <c r="R7" s="383">
        <f>mat_ki4!AC43</f>
        <v>0</v>
      </c>
      <c r="S7" s="383">
        <f>mat_ki4!AD43</f>
        <v>0</v>
      </c>
      <c r="T7" s="383">
        <f>mat_ki4!AE43</f>
        <v>0</v>
      </c>
      <c r="U7" s="383">
        <f>mat_ki4!AF43</f>
        <v>0</v>
      </c>
      <c r="V7" s="383">
        <f>mat_ki4!AG43</f>
        <v>0</v>
      </c>
      <c r="W7" s="383">
        <f>mat_ki4!AH43</f>
        <v>0</v>
      </c>
      <c r="X7" s="383">
        <f>mat_ki4!AI43</f>
        <v>0</v>
      </c>
      <c r="Y7" s="669" t="str">
        <f t="shared" si="1"/>
        <v xml:space="preserve">  </v>
      </c>
      <c r="Z7" s="134">
        <v>4</v>
      </c>
      <c r="AA7" s="384" t="str">
        <f>dtsiswa!D10</f>
        <v>Antonio Permata A</v>
      </c>
      <c r="AB7" s="385" t="str">
        <f t="shared" si="3"/>
        <v xml:space="preserve">    </v>
      </c>
      <c r="AC7" s="386" t="str">
        <f t="shared" si="2"/>
        <v xml:space="preserve">    </v>
      </c>
    </row>
    <row r="8" spans="1:29" ht="15.95" customHeight="1" x14ac:dyDescent="0.25">
      <c r="A8" s="134">
        <v>5</v>
      </c>
      <c r="B8" s="382" t="str">
        <f>dtsiswa!D11</f>
        <v>Arya Pratama G</v>
      </c>
      <c r="C8" s="758">
        <f>Mat_ki3!N39</f>
        <v>0</v>
      </c>
      <c r="D8" s="758">
        <f>Mat_ki3!O39</f>
        <v>0</v>
      </c>
      <c r="E8" s="758">
        <f>Mat_ki3!P39</f>
        <v>0</v>
      </c>
      <c r="F8" s="758">
        <f>Mat_ki3!Q39</f>
        <v>0</v>
      </c>
      <c r="G8" s="758">
        <f>Mat_ki3!R39</f>
        <v>0</v>
      </c>
      <c r="H8" s="758">
        <f>Mat_ki3!S39</f>
        <v>0</v>
      </c>
      <c r="I8" s="758">
        <f>Mat_ki3!T39</f>
        <v>0</v>
      </c>
      <c r="J8" s="668" t="str">
        <f t="shared" si="0"/>
        <v xml:space="preserve">  </v>
      </c>
      <c r="L8" s="134">
        <v>5</v>
      </c>
      <c r="M8" s="382" t="str">
        <f>dtsiswa!D11</f>
        <v>Arya Pratama G</v>
      </c>
      <c r="N8" s="383">
        <f>mat_ki4!Y55</f>
        <v>0</v>
      </c>
      <c r="O8" s="383">
        <f>mat_ki4!Z55</f>
        <v>0</v>
      </c>
      <c r="P8" s="383">
        <f>mat_ki4!AA55</f>
        <v>0</v>
      </c>
      <c r="Q8" s="383">
        <f>mat_ki4!AB55</f>
        <v>0</v>
      </c>
      <c r="R8" s="383">
        <f>mat_ki4!AC55</f>
        <v>0</v>
      </c>
      <c r="S8" s="383">
        <f>mat_ki4!AD55</f>
        <v>0</v>
      </c>
      <c r="T8" s="383">
        <f>mat_ki4!AE55</f>
        <v>0</v>
      </c>
      <c r="U8" s="383">
        <f>mat_ki4!AF55</f>
        <v>0</v>
      </c>
      <c r="V8" s="383">
        <f>mat_ki4!AG55</f>
        <v>0</v>
      </c>
      <c r="W8" s="383">
        <f>mat_ki4!AH55</f>
        <v>0</v>
      </c>
      <c r="X8" s="383">
        <f>mat_ki4!AI55</f>
        <v>0</v>
      </c>
      <c r="Y8" s="669" t="str">
        <f t="shared" si="1"/>
        <v xml:space="preserve">  </v>
      </c>
      <c r="Z8" s="134">
        <v>5</v>
      </c>
      <c r="AA8" s="384" t="str">
        <f>dtsiswa!D11</f>
        <v>Arya Pratama G</v>
      </c>
      <c r="AB8" s="385" t="str">
        <f t="shared" si="3"/>
        <v xml:space="preserve">    </v>
      </c>
      <c r="AC8" s="386" t="str">
        <f t="shared" si="2"/>
        <v xml:space="preserve">    </v>
      </c>
    </row>
    <row r="9" spans="1:29" ht="15.95" customHeight="1" x14ac:dyDescent="0.25">
      <c r="A9" s="134">
        <v>6</v>
      </c>
      <c r="B9" s="382" t="str">
        <f>dtsiswa!D12</f>
        <v>Asyam Hanif Ihsan H</v>
      </c>
      <c r="C9" s="758">
        <f>Mat_ki3!N47</f>
        <v>0</v>
      </c>
      <c r="D9" s="758">
        <f>Mat_ki3!O47</f>
        <v>0</v>
      </c>
      <c r="E9" s="758">
        <f>Mat_ki3!P47</f>
        <v>0</v>
      </c>
      <c r="F9" s="758">
        <f>Mat_ki3!Q47</f>
        <v>0</v>
      </c>
      <c r="G9" s="758">
        <f>Mat_ki3!R47</f>
        <v>0</v>
      </c>
      <c r="H9" s="758">
        <f>Mat_ki3!S47</f>
        <v>0</v>
      </c>
      <c r="I9" s="758">
        <f>Mat_ki3!T47</f>
        <v>0</v>
      </c>
      <c r="J9" s="668" t="str">
        <f t="shared" si="0"/>
        <v xml:space="preserve">  </v>
      </c>
      <c r="L9" s="134">
        <v>6</v>
      </c>
      <c r="M9" s="382" t="str">
        <f>dtsiswa!D12</f>
        <v>Asyam Hanif Ihsan H</v>
      </c>
      <c r="N9" s="383">
        <f>mat_ki4!Y67</f>
        <v>0</v>
      </c>
      <c r="O9" s="383">
        <f>mat_ki4!Z67</f>
        <v>0</v>
      </c>
      <c r="P9" s="383">
        <f>mat_ki4!AA67</f>
        <v>0</v>
      </c>
      <c r="Q9" s="383">
        <f>mat_ki4!AB67</f>
        <v>0</v>
      </c>
      <c r="R9" s="383">
        <f>mat_ki4!AC67</f>
        <v>0</v>
      </c>
      <c r="S9" s="383">
        <f>mat_ki4!AD67</f>
        <v>0</v>
      </c>
      <c r="T9" s="383">
        <f>mat_ki4!AE67</f>
        <v>0</v>
      </c>
      <c r="U9" s="383">
        <f>mat_ki4!AF67</f>
        <v>0</v>
      </c>
      <c r="V9" s="383">
        <f>mat_ki4!AG67</f>
        <v>0</v>
      </c>
      <c r="W9" s="383">
        <f>mat_ki4!AH67</f>
        <v>0</v>
      </c>
      <c r="X9" s="383">
        <f>mat_ki4!AI67</f>
        <v>0</v>
      </c>
      <c r="Y9" s="669" t="str">
        <f t="shared" si="1"/>
        <v xml:space="preserve">  </v>
      </c>
      <c r="Z9" s="134">
        <v>6</v>
      </c>
      <c r="AA9" s="384" t="str">
        <f>dtsiswa!D12</f>
        <v>Asyam Hanif Ihsan H</v>
      </c>
      <c r="AB9" s="385" t="str">
        <f t="shared" si="3"/>
        <v xml:space="preserve">    </v>
      </c>
      <c r="AC9" s="386" t="str">
        <f t="shared" si="2"/>
        <v xml:space="preserve">    </v>
      </c>
    </row>
    <row r="10" spans="1:29" ht="15.95" customHeight="1" x14ac:dyDescent="0.25">
      <c r="A10" s="134">
        <v>7</v>
      </c>
      <c r="B10" s="382" t="str">
        <f>dtsiswa!D13</f>
        <v>Athaya Salsabilla Z</v>
      </c>
      <c r="C10" s="758">
        <f>Mat_ki3!N55</f>
        <v>0</v>
      </c>
      <c r="D10" s="758">
        <f>Mat_ki3!O55</f>
        <v>0</v>
      </c>
      <c r="E10" s="758">
        <f>Mat_ki3!P55</f>
        <v>0</v>
      </c>
      <c r="F10" s="758">
        <f>Mat_ki3!Q55</f>
        <v>0</v>
      </c>
      <c r="G10" s="758">
        <f>Mat_ki3!R55</f>
        <v>0</v>
      </c>
      <c r="H10" s="758">
        <f>Mat_ki3!S55</f>
        <v>0</v>
      </c>
      <c r="I10" s="758">
        <f>Mat_ki3!T55</f>
        <v>0</v>
      </c>
      <c r="J10" s="668" t="str">
        <f t="shared" si="0"/>
        <v xml:space="preserve">  </v>
      </c>
      <c r="L10" s="134">
        <v>7</v>
      </c>
      <c r="M10" s="382" t="str">
        <f>dtsiswa!D13</f>
        <v>Athaya Salsabilla Z</v>
      </c>
      <c r="N10" s="383">
        <f>mat_ki4!Y79</f>
        <v>0</v>
      </c>
      <c r="O10" s="383">
        <f>mat_ki4!Z79</f>
        <v>0</v>
      </c>
      <c r="P10" s="383">
        <f>mat_ki4!AA79</f>
        <v>0</v>
      </c>
      <c r="Q10" s="383">
        <f>mat_ki4!AB79</f>
        <v>0</v>
      </c>
      <c r="R10" s="383">
        <f>mat_ki4!AC79</f>
        <v>0</v>
      </c>
      <c r="S10" s="383">
        <f>mat_ki4!AD79</f>
        <v>0</v>
      </c>
      <c r="T10" s="383">
        <f>mat_ki4!AE79</f>
        <v>0</v>
      </c>
      <c r="U10" s="383">
        <f>mat_ki4!AF79</f>
        <v>0</v>
      </c>
      <c r="V10" s="383">
        <f>mat_ki4!AG79</f>
        <v>0</v>
      </c>
      <c r="W10" s="383">
        <f>mat_ki4!AH79</f>
        <v>0</v>
      </c>
      <c r="X10" s="383">
        <f>mat_ki4!AI79</f>
        <v>0</v>
      </c>
      <c r="Y10" s="669" t="str">
        <f t="shared" si="1"/>
        <v xml:space="preserve">  </v>
      </c>
      <c r="Z10" s="134">
        <v>7</v>
      </c>
      <c r="AA10" s="384" t="str">
        <f>dtsiswa!D13</f>
        <v>Athaya Salsabilla Z</v>
      </c>
      <c r="AB10" s="385" t="str">
        <f t="shared" si="3"/>
        <v xml:space="preserve">    </v>
      </c>
      <c r="AC10" s="386" t="str">
        <f t="shared" si="2"/>
        <v xml:space="preserve">    </v>
      </c>
    </row>
    <row r="11" spans="1:29" ht="15.95" customHeight="1" x14ac:dyDescent="0.25">
      <c r="A11" s="134">
        <v>8</v>
      </c>
      <c r="B11" s="382" t="str">
        <f>dtsiswa!D14</f>
        <v>Aulia Dea Rosalinda</v>
      </c>
      <c r="C11" s="758">
        <f>Mat_ki3!N63</f>
        <v>0</v>
      </c>
      <c r="D11" s="758">
        <f>Mat_ki3!O63</f>
        <v>0</v>
      </c>
      <c r="E11" s="758">
        <f>Mat_ki3!P63</f>
        <v>0</v>
      </c>
      <c r="F11" s="758">
        <f>Mat_ki3!Q63</f>
        <v>0</v>
      </c>
      <c r="G11" s="758">
        <f>Mat_ki3!R63</f>
        <v>0</v>
      </c>
      <c r="H11" s="758">
        <f>Mat_ki3!S63</f>
        <v>0</v>
      </c>
      <c r="I11" s="758">
        <f>Mat_ki3!T63</f>
        <v>0</v>
      </c>
      <c r="J11" s="668" t="str">
        <f t="shared" si="0"/>
        <v xml:space="preserve">  </v>
      </c>
      <c r="L11" s="134">
        <v>8</v>
      </c>
      <c r="M11" s="382" t="str">
        <f>dtsiswa!D14</f>
        <v>Aulia Dea Rosalinda</v>
      </c>
      <c r="N11" s="383">
        <f>mat_ki4!Y91</f>
        <v>0</v>
      </c>
      <c r="O11" s="383">
        <f>mat_ki4!Z91</f>
        <v>0</v>
      </c>
      <c r="P11" s="383">
        <f>mat_ki4!AA91</f>
        <v>0</v>
      </c>
      <c r="Q11" s="383">
        <f>mat_ki4!AB91</f>
        <v>0</v>
      </c>
      <c r="R11" s="383">
        <f>mat_ki4!AC91</f>
        <v>0</v>
      </c>
      <c r="S11" s="383">
        <f>mat_ki4!AD91</f>
        <v>0</v>
      </c>
      <c r="T11" s="383">
        <f>mat_ki4!AE91</f>
        <v>0</v>
      </c>
      <c r="U11" s="383">
        <f>mat_ki4!AF91</f>
        <v>0</v>
      </c>
      <c r="V11" s="383">
        <f>mat_ki4!AG91</f>
        <v>0</v>
      </c>
      <c r="W11" s="383">
        <f>mat_ki4!AH91</f>
        <v>0</v>
      </c>
      <c r="X11" s="383">
        <f>mat_ki4!AI91</f>
        <v>0</v>
      </c>
      <c r="Y11" s="669" t="str">
        <f t="shared" si="1"/>
        <v xml:space="preserve">  </v>
      </c>
      <c r="Z11" s="134">
        <v>8</v>
      </c>
      <c r="AA11" s="384" t="str">
        <f>dtsiswa!D14</f>
        <v>Aulia Dea Rosalinda</v>
      </c>
      <c r="AB11" s="385" t="str">
        <f t="shared" si="3"/>
        <v xml:space="preserve">    </v>
      </c>
      <c r="AC11" s="386" t="str">
        <f t="shared" si="2"/>
        <v xml:space="preserve">    </v>
      </c>
    </row>
    <row r="12" spans="1:29" ht="15.95" customHeight="1" x14ac:dyDescent="0.25">
      <c r="A12" s="134">
        <v>9</v>
      </c>
      <c r="B12" s="382" t="str">
        <f>dtsiswa!D15</f>
        <v>Claudia Gabriella L</v>
      </c>
      <c r="C12" s="758">
        <f>Mat_ki3!N71</f>
        <v>0</v>
      </c>
      <c r="D12" s="758">
        <f>Mat_ki3!O71</f>
        <v>0</v>
      </c>
      <c r="E12" s="758">
        <f>Mat_ki3!P71</f>
        <v>0</v>
      </c>
      <c r="F12" s="758">
        <f>Mat_ki3!Q71</f>
        <v>0</v>
      </c>
      <c r="G12" s="758">
        <f>Mat_ki3!R71</f>
        <v>0</v>
      </c>
      <c r="H12" s="758">
        <f>Mat_ki3!S71</f>
        <v>0</v>
      </c>
      <c r="I12" s="758">
        <f>Mat_ki3!T71</f>
        <v>0</v>
      </c>
      <c r="J12" s="668" t="str">
        <f t="shared" si="0"/>
        <v xml:space="preserve">  </v>
      </c>
      <c r="L12" s="134">
        <v>9</v>
      </c>
      <c r="M12" s="382" t="str">
        <f>dtsiswa!D15</f>
        <v>Claudia Gabriella L</v>
      </c>
      <c r="N12" s="383">
        <f>mat_ki4!Y103</f>
        <v>0</v>
      </c>
      <c r="O12" s="383">
        <f>mat_ki4!Z103</f>
        <v>0</v>
      </c>
      <c r="P12" s="383">
        <f>mat_ki4!AA103</f>
        <v>0</v>
      </c>
      <c r="Q12" s="383">
        <f>mat_ki4!AB103</f>
        <v>0</v>
      </c>
      <c r="R12" s="383">
        <f>mat_ki4!AC103</f>
        <v>0</v>
      </c>
      <c r="S12" s="383">
        <f>mat_ki4!AD103</f>
        <v>0</v>
      </c>
      <c r="T12" s="383">
        <f>mat_ki4!AE103</f>
        <v>0</v>
      </c>
      <c r="U12" s="383">
        <f>mat_ki4!AF103</f>
        <v>0</v>
      </c>
      <c r="V12" s="383">
        <f>mat_ki4!AG103</f>
        <v>0</v>
      </c>
      <c r="W12" s="383">
        <f>mat_ki4!AH103</f>
        <v>0</v>
      </c>
      <c r="X12" s="383">
        <f>mat_ki4!AI103</f>
        <v>0</v>
      </c>
      <c r="Y12" s="669" t="str">
        <f t="shared" si="1"/>
        <v xml:space="preserve">  </v>
      </c>
      <c r="Z12" s="134">
        <v>9</v>
      </c>
      <c r="AA12" s="384" t="str">
        <f>dtsiswa!D15</f>
        <v>Claudia Gabriella L</v>
      </c>
      <c r="AB12" s="385" t="str">
        <f t="shared" si="3"/>
        <v xml:space="preserve">    </v>
      </c>
      <c r="AC12" s="386" t="str">
        <f t="shared" si="2"/>
        <v xml:space="preserve">    </v>
      </c>
    </row>
    <row r="13" spans="1:29" ht="15.95" customHeight="1" x14ac:dyDescent="0.25">
      <c r="A13" s="134">
        <v>10</v>
      </c>
      <c r="B13" s="382" t="str">
        <f>dtsiswa!D16</f>
        <v xml:space="preserve">Deco Badarus Zaman </v>
      </c>
      <c r="C13" s="758">
        <f>Mat_ki3!N79</f>
        <v>0</v>
      </c>
      <c r="D13" s="758">
        <f>Mat_ki3!O79</f>
        <v>0</v>
      </c>
      <c r="E13" s="758">
        <f>Mat_ki3!P79</f>
        <v>0</v>
      </c>
      <c r="F13" s="758">
        <f>Mat_ki3!Q79</f>
        <v>0</v>
      </c>
      <c r="G13" s="758">
        <f>Mat_ki3!R79</f>
        <v>0</v>
      </c>
      <c r="H13" s="758">
        <f>Mat_ki3!S79</f>
        <v>0</v>
      </c>
      <c r="I13" s="758">
        <f>Mat_ki3!T79</f>
        <v>0</v>
      </c>
      <c r="J13" s="668" t="str">
        <f t="shared" si="0"/>
        <v xml:space="preserve">  </v>
      </c>
      <c r="L13" s="134">
        <v>10</v>
      </c>
      <c r="M13" s="382" t="str">
        <f>dtsiswa!D16</f>
        <v xml:space="preserve">Deco Badarus Zaman </v>
      </c>
      <c r="N13" s="383">
        <f>mat_ki4!Y115</f>
        <v>0</v>
      </c>
      <c r="O13" s="383">
        <f>mat_ki4!Z115</f>
        <v>0</v>
      </c>
      <c r="P13" s="383">
        <f>mat_ki4!AA115</f>
        <v>0</v>
      </c>
      <c r="Q13" s="383">
        <f>mat_ki4!AB115</f>
        <v>0</v>
      </c>
      <c r="R13" s="383">
        <f>mat_ki4!AC115</f>
        <v>0</v>
      </c>
      <c r="S13" s="383">
        <f>mat_ki4!AD115</f>
        <v>0</v>
      </c>
      <c r="T13" s="383">
        <f>mat_ki4!AE115</f>
        <v>0</v>
      </c>
      <c r="U13" s="383">
        <f>mat_ki4!AF115</f>
        <v>0</v>
      </c>
      <c r="V13" s="383">
        <f>mat_ki4!AG115</f>
        <v>0</v>
      </c>
      <c r="W13" s="383">
        <f>mat_ki4!AH115</f>
        <v>0</v>
      </c>
      <c r="X13" s="383">
        <f>mat_ki4!AI115</f>
        <v>0</v>
      </c>
      <c r="Y13" s="669" t="str">
        <f t="shared" si="1"/>
        <v xml:space="preserve">  </v>
      </c>
      <c r="Z13" s="134">
        <v>10</v>
      </c>
      <c r="AA13" s="384" t="str">
        <f>dtsiswa!D16</f>
        <v xml:space="preserve">Deco Badarus Zaman </v>
      </c>
      <c r="AB13" s="385" t="str">
        <f t="shared" si="3"/>
        <v xml:space="preserve">    </v>
      </c>
      <c r="AC13" s="386" t="str">
        <f t="shared" si="2"/>
        <v xml:space="preserve">    </v>
      </c>
    </row>
    <row r="14" spans="1:29" ht="15.95" customHeight="1" x14ac:dyDescent="0.25">
      <c r="A14" s="134">
        <v>11</v>
      </c>
      <c r="B14" s="382" t="str">
        <f>dtsiswa!D17</f>
        <v>Fania Mutiara Felichia</v>
      </c>
      <c r="C14" s="758">
        <f>Mat_ki3!N87</f>
        <v>0</v>
      </c>
      <c r="D14" s="758">
        <f>Mat_ki3!O87</f>
        <v>0</v>
      </c>
      <c r="E14" s="758">
        <f>Mat_ki3!P87</f>
        <v>0</v>
      </c>
      <c r="F14" s="758">
        <f>Mat_ki3!Q87</f>
        <v>0</v>
      </c>
      <c r="G14" s="758">
        <f>Mat_ki3!R87</f>
        <v>0</v>
      </c>
      <c r="H14" s="758">
        <f>Mat_ki3!S87</f>
        <v>0</v>
      </c>
      <c r="I14" s="758">
        <f>Mat_ki3!T87</f>
        <v>0</v>
      </c>
      <c r="J14" s="668" t="str">
        <f t="shared" si="0"/>
        <v xml:space="preserve">  </v>
      </c>
      <c r="L14" s="134">
        <v>11</v>
      </c>
      <c r="M14" s="382" t="str">
        <f>dtsiswa!D17</f>
        <v>Fania Mutiara Felichia</v>
      </c>
      <c r="N14" s="383">
        <f>mat_ki4!Y127</f>
        <v>0</v>
      </c>
      <c r="O14" s="383">
        <f>mat_ki4!Z127</f>
        <v>0</v>
      </c>
      <c r="P14" s="383">
        <f>mat_ki4!AA127</f>
        <v>0</v>
      </c>
      <c r="Q14" s="383">
        <f>mat_ki4!AB127</f>
        <v>0</v>
      </c>
      <c r="R14" s="383">
        <f>mat_ki4!AC127</f>
        <v>0</v>
      </c>
      <c r="S14" s="383">
        <f>mat_ki4!AD127</f>
        <v>0</v>
      </c>
      <c r="T14" s="383">
        <f>mat_ki4!AE127</f>
        <v>0</v>
      </c>
      <c r="U14" s="383">
        <f>mat_ki4!AF127</f>
        <v>0</v>
      </c>
      <c r="V14" s="383">
        <f>mat_ki4!AG127</f>
        <v>0</v>
      </c>
      <c r="W14" s="383">
        <f>mat_ki4!AH127</f>
        <v>0</v>
      </c>
      <c r="X14" s="383">
        <f>mat_ki4!AI127</f>
        <v>0</v>
      </c>
      <c r="Y14" s="669" t="str">
        <f t="shared" si="1"/>
        <v xml:space="preserve">  </v>
      </c>
      <c r="Z14" s="134">
        <v>11</v>
      </c>
      <c r="AA14" s="384" t="str">
        <f>dtsiswa!D17</f>
        <v>Fania Mutiara Felichia</v>
      </c>
      <c r="AB14" s="385" t="str">
        <f t="shared" si="3"/>
        <v xml:space="preserve">    </v>
      </c>
      <c r="AC14" s="386" t="str">
        <f t="shared" si="2"/>
        <v xml:space="preserve">    </v>
      </c>
    </row>
    <row r="15" spans="1:29" ht="15.95" customHeight="1" x14ac:dyDescent="0.25">
      <c r="A15" s="134">
        <v>12</v>
      </c>
      <c r="B15" s="382" t="str">
        <f>dtsiswa!D18</f>
        <v>Intan Dyah Nowari</v>
      </c>
      <c r="C15" s="758">
        <f>Mat_ki3!N95</f>
        <v>0</v>
      </c>
      <c r="D15" s="758">
        <f>Mat_ki3!O95</f>
        <v>0</v>
      </c>
      <c r="E15" s="758">
        <f>Mat_ki3!P95</f>
        <v>0</v>
      </c>
      <c r="F15" s="758">
        <f>Mat_ki3!Q95</f>
        <v>0</v>
      </c>
      <c r="G15" s="758">
        <f>Mat_ki3!R95</f>
        <v>0</v>
      </c>
      <c r="H15" s="758">
        <f>Mat_ki3!S95</f>
        <v>0</v>
      </c>
      <c r="I15" s="758">
        <f>Mat_ki3!T95</f>
        <v>0</v>
      </c>
      <c r="J15" s="668" t="str">
        <f t="shared" si="0"/>
        <v xml:space="preserve">  </v>
      </c>
      <c r="L15" s="134">
        <v>12</v>
      </c>
      <c r="M15" s="382" t="str">
        <f>dtsiswa!D18</f>
        <v>Intan Dyah Nowari</v>
      </c>
      <c r="N15" s="383">
        <f>mat_ki4!Y139</f>
        <v>0</v>
      </c>
      <c r="O15" s="383">
        <f>mat_ki4!Z139</f>
        <v>0</v>
      </c>
      <c r="P15" s="383">
        <f>mat_ki4!AA139</f>
        <v>0</v>
      </c>
      <c r="Q15" s="383">
        <f>mat_ki4!AB139</f>
        <v>0</v>
      </c>
      <c r="R15" s="383">
        <f>mat_ki4!AC139</f>
        <v>0</v>
      </c>
      <c r="S15" s="383">
        <f>mat_ki4!AD139</f>
        <v>0</v>
      </c>
      <c r="T15" s="383">
        <f>mat_ki4!AE139</f>
        <v>0</v>
      </c>
      <c r="U15" s="383">
        <f>mat_ki4!AF139</f>
        <v>0</v>
      </c>
      <c r="V15" s="383">
        <f>mat_ki4!AG139</f>
        <v>0</v>
      </c>
      <c r="W15" s="383">
        <f>mat_ki4!AH139</f>
        <v>0</v>
      </c>
      <c r="X15" s="383">
        <f>mat_ki4!AI139</f>
        <v>0</v>
      </c>
      <c r="Y15" s="669" t="str">
        <f t="shared" si="1"/>
        <v xml:space="preserve">  </v>
      </c>
      <c r="Z15" s="134">
        <v>12</v>
      </c>
      <c r="AA15" s="384" t="str">
        <f>dtsiswa!D18</f>
        <v>Intan Dyah Nowari</v>
      </c>
      <c r="AB15" s="385" t="str">
        <f t="shared" si="3"/>
        <v xml:space="preserve">    </v>
      </c>
      <c r="AC15" s="386" t="str">
        <f t="shared" si="2"/>
        <v xml:space="preserve">    </v>
      </c>
    </row>
    <row r="16" spans="1:29" ht="15.95" customHeight="1" x14ac:dyDescent="0.25">
      <c r="A16" s="134">
        <v>13</v>
      </c>
      <c r="B16" s="382" t="str">
        <f>dtsiswa!D19</f>
        <v>Misyanita Nurfitri S</v>
      </c>
      <c r="C16" s="758">
        <f>Mat_ki3!N103</f>
        <v>0</v>
      </c>
      <c r="D16" s="758">
        <f>Mat_ki3!O103</f>
        <v>0</v>
      </c>
      <c r="E16" s="758">
        <f>Mat_ki3!P103</f>
        <v>0</v>
      </c>
      <c r="F16" s="758">
        <f>Mat_ki3!Q103</f>
        <v>0</v>
      </c>
      <c r="G16" s="758">
        <f>Mat_ki3!R103</f>
        <v>0</v>
      </c>
      <c r="H16" s="758">
        <f>Mat_ki3!S103</f>
        <v>0</v>
      </c>
      <c r="I16" s="758">
        <f>Mat_ki3!T103</f>
        <v>0</v>
      </c>
      <c r="J16" s="668" t="str">
        <f t="shared" si="0"/>
        <v xml:space="preserve">  </v>
      </c>
      <c r="L16" s="134">
        <v>13</v>
      </c>
      <c r="M16" s="382" t="str">
        <f>dtsiswa!D19</f>
        <v>Misyanita Nurfitri S</v>
      </c>
      <c r="N16" s="383">
        <f>mat_ki4!Y151</f>
        <v>0</v>
      </c>
      <c r="O16" s="383">
        <f>mat_ki4!Z151</f>
        <v>0</v>
      </c>
      <c r="P16" s="383">
        <f>mat_ki4!AA151</f>
        <v>0</v>
      </c>
      <c r="Q16" s="383">
        <f>mat_ki4!AB151</f>
        <v>0</v>
      </c>
      <c r="R16" s="383">
        <f>mat_ki4!AC151</f>
        <v>0</v>
      </c>
      <c r="S16" s="383">
        <f>mat_ki4!AD151</f>
        <v>0</v>
      </c>
      <c r="T16" s="383">
        <f>mat_ki4!AE151</f>
        <v>0</v>
      </c>
      <c r="U16" s="383">
        <f>mat_ki4!AF151</f>
        <v>0</v>
      </c>
      <c r="V16" s="383">
        <f>mat_ki4!AG151</f>
        <v>0</v>
      </c>
      <c r="W16" s="383">
        <f>mat_ki4!AH151</f>
        <v>0</v>
      </c>
      <c r="X16" s="383">
        <f>mat_ki4!AI151</f>
        <v>0</v>
      </c>
      <c r="Y16" s="669" t="str">
        <f t="shared" si="1"/>
        <v xml:space="preserve">  </v>
      </c>
      <c r="Z16" s="134">
        <v>13</v>
      </c>
      <c r="AA16" s="384" t="str">
        <f>dtsiswa!D19</f>
        <v>Misyanita Nurfitri S</v>
      </c>
      <c r="AB16" s="385" t="str">
        <f t="shared" si="3"/>
        <v xml:space="preserve">    </v>
      </c>
      <c r="AC16" s="386" t="str">
        <f t="shared" si="2"/>
        <v xml:space="preserve">    </v>
      </c>
    </row>
    <row r="17" spans="1:29" ht="15.95" customHeight="1" x14ac:dyDescent="0.25">
      <c r="A17" s="134">
        <v>14</v>
      </c>
      <c r="B17" s="382" t="str">
        <f>dtsiswa!D20</f>
        <v>Moch Zidane Hita L. U</v>
      </c>
      <c r="C17" s="758">
        <f>Mat_ki3!N111</f>
        <v>0</v>
      </c>
      <c r="D17" s="758">
        <f>Mat_ki3!O111</f>
        <v>0</v>
      </c>
      <c r="E17" s="758">
        <f>Mat_ki3!P111</f>
        <v>0</v>
      </c>
      <c r="F17" s="758">
        <f>Mat_ki3!Q111</f>
        <v>0</v>
      </c>
      <c r="G17" s="758">
        <f>Mat_ki3!R111</f>
        <v>0</v>
      </c>
      <c r="H17" s="758">
        <f>Mat_ki3!S111</f>
        <v>0</v>
      </c>
      <c r="I17" s="758">
        <f>Mat_ki3!T111</f>
        <v>0</v>
      </c>
      <c r="J17" s="668" t="str">
        <f t="shared" si="0"/>
        <v xml:space="preserve">  </v>
      </c>
      <c r="L17" s="134">
        <v>14</v>
      </c>
      <c r="M17" s="382" t="str">
        <f>dtsiswa!D20</f>
        <v>Moch Zidane Hita L. U</v>
      </c>
      <c r="N17" s="383">
        <f>mat_ki4!Y163</f>
        <v>0</v>
      </c>
      <c r="O17" s="383">
        <f>mat_ki4!Z163</f>
        <v>0</v>
      </c>
      <c r="P17" s="383">
        <f>mat_ki4!AA163</f>
        <v>0</v>
      </c>
      <c r="Q17" s="383">
        <f>mat_ki4!AB163</f>
        <v>0</v>
      </c>
      <c r="R17" s="383">
        <f>mat_ki4!AC163</f>
        <v>0</v>
      </c>
      <c r="S17" s="383">
        <f>mat_ki4!AD163</f>
        <v>0</v>
      </c>
      <c r="T17" s="383">
        <f>mat_ki4!AE163</f>
        <v>0</v>
      </c>
      <c r="U17" s="383">
        <f>mat_ki4!AF163</f>
        <v>0</v>
      </c>
      <c r="V17" s="383">
        <f>mat_ki4!AG163</f>
        <v>0</v>
      </c>
      <c r="W17" s="383">
        <f>mat_ki4!AH163</f>
        <v>0</v>
      </c>
      <c r="X17" s="383">
        <f>mat_ki4!AI163</f>
        <v>0</v>
      </c>
      <c r="Y17" s="669" t="str">
        <f t="shared" si="1"/>
        <v xml:space="preserve">  </v>
      </c>
      <c r="Z17" s="134">
        <v>14</v>
      </c>
      <c r="AA17" s="384" t="str">
        <f>dtsiswa!D20</f>
        <v>Moch Zidane Hita L. U</v>
      </c>
      <c r="AB17" s="385" t="str">
        <f t="shared" si="3"/>
        <v xml:space="preserve">    </v>
      </c>
      <c r="AC17" s="386" t="str">
        <f t="shared" si="2"/>
        <v xml:space="preserve">    </v>
      </c>
    </row>
    <row r="18" spans="1:29" ht="15.95" customHeight="1" x14ac:dyDescent="0.25">
      <c r="A18" s="134">
        <v>15</v>
      </c>
      <c r="B18" s="382" t="str">
        <f>dtsiswa!D21</f>
        <v>Muhammad Ibra Maulana</v>
      </c>
      <c r="C18" s="758">
        <f>Mat_ki3!N119</f>
        <v>0</v>
      </c>
      <c r="D18" s="758">
        <f>Mat_ki3!O119</f>
        <v>0</v>
      </c>
      <c r="E18" s="758">
        <f>Mat_ki3!P119</f>
        <v>0</v>
      </c>
      <c r="F18" s="758">
        <f>Mat_ki3!Q119</f>
        <v>0</v>
      </c>
      <c r="G18" s="758">
        <f>Mat_ki3!R119</f>
        <v>0</v>
      </c>
      <c r="H18" s="758">
        <f>Mat_ki3!S119</f>
        <v>0</v>
      </c>
      <c r="I18" s="758">
        <f>Mat_ki3!T119</f>
        <v>0</v>
      </c>
      <c r="J18" s="668" t="str">
        <f t="shared" si="0"/>
        <v xml:space="preserve">  </v>
      </c>
      <c r="L18" s="134">
        <v>15</v>
      </c>
      <c r="M18" s="382" t="str">
        <f>dtsiswa!D21</f>
        <v>Muhammad Ibra Maulana</v>
      </c>
      <c r="N18" s="383">
        <f>mat_ki4!Y175</f>
        <v>0</v>
      </c>
      <c r="O18" s="383">
        <f>mat_ki4!Z175</f>
        <v>0</v>
      </c>
      <c r="P18" s="383">
        <f>mat_ki4!AA175</f>
        <v>0</v>
      </c>
      <c r="Q18" s="383">
        <f>mat_ki4!AB175</f>
        <v>0</v>
      </c>
      <c r="R18" s="383">
        <f>mat_ki4!AC175</f>
        <v>0</v>
      </c>
      <c r="S18" s="383">
        <f>mat_ki4!AD175</f>
        <v>0</v>
      </c>
      <c r="T18" s="383">
        <f>mat_ki4!AE175</f>
        <v>0</v>
      </c>
      <c r="U18" s="383">
        <f>mat_ki4!AF175</f>
        <v>0</v>
      </c>
      <c r="V18" s="383">
        <f>mat_ki4!AG175</f>
        <v>0</v>
      </c>
      <c r="W18" s="383">
        <f>mat_ki4!AH175</f>
        <v>0</v>
      </c>
      <c r="X18" s="383">
        <f>mat_ki4!AI175</f>
        <v>0</v>
      </c>
      <c r="Y18" s="669" t="str">
        <f t="shared" si="1"/>
        <v xml:space="preserve">  </v>
      </c>
      <c r="Z18" s="134">
        <v>15</v>
      </c>
      <c r="AA18" s="384" t="str">
        <f>dtsiswa!D21</f>
        <v>Muhammad Ibra Maulana</v>
      </c>
      <c r="AB18" s="385" t="str">
        <f t="shared" si="3"/>
        <v xml:space="preserve">    </v>
      </c>
      <c r="AC18" s="386" t="str">
        <f t="shared" si="2"/>
        <v xml:space="preserve">    </v>
      </c>
    </row>
    <row r="19" spans="1:29" ht="15.95" customHeight="1" x14ac:dyDescent="0.25">
      <c r="A19" s="134">
        <v>16</v>
      </c>
      <c r="B19" s="382" t="str">
        <f>dtsiswa!D22</f>
        <v>Nabilla Shiva Putri</v>
      </c>
      <c r="C19" s="758">
        <f>Mat_ki3!N127</f>
        <v>0</v>
      </c>
      <c r="D19" s="758">
        <f>Mat_ki3!O127</f>
        <v>0</v>
      </c>
      <c r="E19" s="758">
        <f>Mat_ki3!P127</f>
        <v>0</v>
      </c>
      <c r="F19" s="758">
        <f>Mat_ki3!Q127</f>
        <v>0</v>
      </c>
      <c r="G19" s="758">
        <f>Mat_ki3!R127</f>
        <v>0</v>
      </c>
      <c r="H19" s="758">
        <f>Mat_ki3!S127</f>
        <v>0</v>
      </c>
      <c r="I19" s="758">
        <f>Mat_ki3!T127</f>
        <v>0</v>
      </c>
      <c r="J19" s="668" t="str">
        <f t="shared" si="0"/>
        <v xml:space="preserve">  </v>
      </c>
      <c r="L19" s="134">
        <v>16</v>
      </c>
      <c r="M19" s="382" t="str">
        <f>dtsiswa!D22</f>
        <v>Nabilla Shiva Putri</v>
      </c>
      <c r="N19" s="383">
        <f>mat_ki4!Y187</f>
        <v>0</v>
      </c>
      <c r="O19" s="383">
        <f>mat_ki4!Z187</f>
        <v>0</v>
      </c>
      <c r="P19" s="383">
        <f>mat_ki4!AA187</f>
        <v>0</v>
      </c>
      <c r="Q19" s="383">
        <f>mat_ki4!AB187</f>
        <v>0</v>
      </c>
      <c r="R19" s="383">
        <f>mat_ki4!AC187</f>
        <v>0</v>
      </c>
      <c r="S19" s="383">
        <f>mat_ki4!AD187</f>
        <v>0</v>
      </c>
      <c r="T19" s="383">
        <f>mat_ki4!AE187</f>
        <v>0</v>
      </c>
      <c r="U19" s="383">
        <f>mat_ki4!AF187</f>
        <v>0</v>
      </c>
      <c r="V19" s="383">
        <f>mat_ki4!AG187</f>
        <v>0</v>
      </c>
      <c r="W19" s="383">
        <f>mat_ki4!AH187</f>
        <v>0</v>
      </c>
      <c r="X19" s="383">
        <f>mat_ki4!AI187</f>
        <v>0</v>
      </c>
      <c r="Y19" s="669" t="str">
        <f t="shared" si="1"/>
        <v xml:space="preserve">  </v>
      </c>
      <c r="Z19" s="134">
        <v>16</v>
      </c>
      <c r="AA19" s="384" t="str">
        <f>dtsiswa!D22</f>
        <v>Nabilla Shiva Putri</v>
      </c>
      <c r="AB19" s="385" t="str">
        <f t="shared" si="3"/>
        <v xml:space="preserve">    </v>
      </c>
      <c r="AC19" s="386" t="str">
        <f t="shared" si="2"/>
        <v xml:space="preserve">    </v>
      </c>
    </row>
    <row r="20" spans="1:29" ht="15.95" customHeight="1" x14ac:dyDescent="0.25">
      <c r="A20" s="134">
        <v>17</v>
      </c>
      <c r="B20" s="382" t="str">
        <f>dtsiswa!D23</f>
        <v>Naufal Falih F</v>
      </c>
      <c r="C20" s="758">
        <f>Mat_ki3!N135</f>
        <v>0</v>
      </c>
      <c r="D20" s="758">
        <f>Mat_ki3!O135</f>
        <v>0</v>
      </c>
      <c r="E20" s="758">
        <f>Mat_ki3!P135</f>
        <v>0</v>
      </c>
      <c r="F20" s="758">
        <f>Mat_ki3!Q135</f>
        <v>0</v>
      </c>
      <c r="G20" s="758">
        <f>Mat_ki3!R135</f>
        <v>0</v>
      </c>
      <c r="H20" s="758">
        <f>Mat_ki3!S135</f>
        <v>0</v>
      </c>
      <c r="I20" s="758">
        <f>Mat_ki3!T135</f>
        <v>0</v>
      </c>
      <c r="J20" s="668" t="str">
        <f t="shared" si="0"/>
        <v xml:space="preserve">  </v>
      </c>
      <c r="L20" s="134">
        <v>17</v>
      </c>
      <c r="M20" s="382" t="str">
        <f>dtsiswa!D23</f>
        <v>Naufal Falih F</v>
      </c>
      <c r="N20" s="383">
        <f>mat_ki4!Y199</f>
        <v>0</v>
      </c>
      <c r="O20" s="383">
        <f>mat_ki4!Z199</f>
        <v>0</v>
      </c>
      <c r="P20" s="383">
        <f>mat_ki4!AA199</f>
        <v>0</v>
      </c>
      <c r="Q20" s="383">
        <f>mat_ki4!AB199</f>
        <v>0</v>
      </c>
      <c r="R20" s="383">
        <f>mat_ki4!AC199</f>
        <v>0</v>
      </c>
      <c r="S20" s="383">
        <f>mat_ki4!AD199</f>
        <v>0</v>
      </c>
      <c r="T20" s="383">
        <f>mat_ki4!AE199</f>
        <v>0</v>
      </c>
      <c r="U20" s="383">
        <f>mat_ki4!AF199</f>
        <v>0</v>
      </c>
      <c r="V20" s="383">
        <f>mat_ki4!AG199</f>
        <v>0</v>
      </c>
      <c r="W20" s="383">
        <f>mat_ki4!AH199</f>
        <v>0</v>
      </c>
      <c r="X20" s="383">
        <f>mat_ki4!AI199</f>
        <v>0</v>
      </c>
      <c r="Y20" s="669" t="str">
        <f t="shared" si="1"/>
        <v xml:space="preserve">  </v>
      </c>
      <c r="Z20" s="134">
        <v>17</v>
      </c>
      <c r="AA20" s="384" t="str">
        <f>dtsiswa!D23</f>
        <v>Naufal Falih F</v>
      </c>
      <c r="AB20" s="385" t="str">
        <f t="shared" si="3"/>
        <v xml:space="preserve">    </v>
      </c>
      <c r="AC20" s="386" t="str">
        <f t="shared" si="2"/>
        <v xml:space="preserve">    </v>
      </c>
    </row>
    <row r="21" spans="1:29" ht="15.95" customHeight="1" x14ac:dyDescent="0.25">
      <c r="A21" s="134">
        <v>18</v>
      </c>
      <c r="B21" s="382" t="str">
        <f>dtsiswa!D24</f>
        <v>Nayla Annora Nobel W</v>
      </c>
      <c r="C21" s="758">
        <f>Mat_ki3!N143</f>
        <v>0</v>
      </c>
      <c r="D21" s="758">
        <f>Mat_ki3!O143</f>
        <v>0</v>
      </c>
      <c r="E21" s="758">
        <f>Mat_ki3!P143</f>
        <v>0</v>
      </c>
      <c r="F21" s="758">
        <f>Mat_ki3!Q143</f>
        <v>0</v>
      </c>
      <c r="G21" s="758">
        <f>Mat_ki3!R143</f>
        <v>0</v>
      </c>
      <c r="H21" s="758">
        <f>Mat_ki3!S143</f>
        <v>0</v>
      </c>
      <c r="I21" s="758">
        <f>Mat_ki3!T143</f>
        <v>0</v>
      </c>
      <c r="J21" s="668" t="str">
        <f t="shared" si="0"/>
        <v xml:space="preserve">  </v>
      </c>
      <c r="L21" s="134">
        <v>18</v>
      </c>
      <c r="M21" s="382" t="str">
        <f>dtsiswa!D24</f>
        <v>Nayla Annora Nobel W</v>
      </c>
      <c r="N21" s="383">
        <f>mat_ki4!Y211</f>
        <v>0</v>
      </c>
      <c r="O21" s="383">
        <f>mat_ki4!Z211</f>
        <v>0</v>
      </c>
      <c r="P21" s="383">
        <f>mat_ki4!AA211</f>
        <v>0</v>
      </c>
      <c r="Q21" s="383">
        <f>mat_ki4!AB211</f>
        <v>0</v>
      </c>
      <c r="R21" s="383">
        <f>mat_ki4!AC211</f>
        <v>0</v>
      </c>
      <c r="S21" s="383">
        <f>mat_ki4!AD211</f>
        <v>0</v>
      </c>
      <c r="T21" s="383">
        <f>mat_ki4!AE211</f>
        <v>0</v>
      </c>
      <c r="U21" s="383">
        <f>mat_ki4!AF211</f>
        <v>0</v>
      </c>
      <c r="V21" s="383">
        <f>mat_ki4!AG211</f>
        <v>0</v>
      </c>
      <c r="W21" s="383">
        <f>mat_ki4!AH211</f>
        <v>0</v>
      </c>
      <c r="X21" s="383">
        <f>mat_ki4!AI211</f>
        <v>0</v>
      </c>
      <c r="Y21" s="669" t="str">
        <f t="shared" si="1"/>
        <v xml:space="preserve">  </v>
      </c>
      <c r="Z21" s="134">
        <v>18</v>
      </c>
      <c r="AA21" s="384" t="str">
        <f>dtsiswa!D24</f>
        <v>Nayla Annora Nobel W</v>
      </c>
      <c r="AB21" s="385" t="str">
        <f t="shared" si="3"/>
        <v xml:space="preserve">    </v>
      </c>
      <c r="AC21" s="386" t="str">
        <f t="shared" si="2"/>
        <v xml:space="preserve">    </v>
      </c>
    </row>
    <row r="22" spans="1:29" ht="15.95" customHeight="1" x14ac:dyDescent="0.25">
      <c r="A22" s="134">
        <v>19</v>
      </c>
      <c r="B22" s="382" t="str">
        <f>dtsiswa!D25</f>
        <v>Raihan Danang P</v>
      </c>
      <c r="C22" s="758">
        <f>Mat_ki3!N151</f>
        <v>0</v>
      </c>
      <c r="D22" s="758">
        <f>Mat_ki3!O151</f>
        <v>0</v>
      </c>
      <c r="E22" s="758">
        <f>Mat_ki3!P151</f>
        <v>0</v>
      </c>
      <c r="F22" s="758">
        <f>Mat_ki3!Q151</f>
        <v>0</v>
      </c>
      <c r="G22" s="758">
        <f>Mat_ki3!R151</f>
        <v>0</v>
      </c>
      <c r="H22" s="758">
        <f>Mat_ki3!S151</f>
        <v>0</v>
      </c>
      <c r="I22" s="758">
        <f>Mat_ki3!T151</f>
        <v>0</v>
      </c>
      <c r="J22" s="668" t="str">
        <f t="shared" si="0"/>
        <v xml:space="preserve">  </v>
      </c>
      <c r="L22" s="134">
        <v>19</v>
      </c>
      <c r="M22" s="382" t="str">
        <f>dtsiswa!D25</f>
        <v>Raihan Danang P</v>
      </c>
      <c r="N22" s="383">
        <f>mat_ki4!Y223</f>
        <v>0</v>
      </c>
      <c r="O22" s="383">
        <f>mat_ki4!Z223</f>
        <v>0</v>
      </c>
      <c r="P22" s="383">
        <f>mat_ki4!AA223</f>
        <v>0</v>
      </c>
      <c r="Q22" s="383">
        <f>mat_ki4!AB223</f>
        <v>0</v>
      </c>
      <c r="R22" s="383">
        <f>mat_ki4!AC223</f>
        <v>0</v>
      </c>
      <c r="S22" s="383">
        <f>mat_ki4!AD223</f>
        <v>0</v>
      </c>
      <c r="T22" s="383">
        <f>mat_ki4!AE223</f>
        <v>0</v>
      </c>
      <c r="U22" s="383">
        <f>mat_ki4!AF223</f>
        <v>0</v>
      </c>
      <c r="V22" s="383">
        <f>mat_ki4!AG223</f>
        <v>0</v>
      </c>
      <c r="W22" s="383">
        <f>mat_ki4!AH223</f>
        <v>0</v>
      </c>
      <c r="X22" s="383">
        <f>mat_ki4!AI223</f>
        <v>0</v>
      </c>
      <c r="Y22" s="669" t="str">
        <f t="shared" si="1"/>
        <v xml:space="preserve">  </v>
      </c>
      <c r="Z22" s="134">
        <v>19</v>
      </c>
      <c r="AA22" s="384" t="str">
        <f>dtsiswa!D25</f>
        <v>Raihan Danang P</v>
      </c>
      <c r="AB22" s="385" t="str">
        <f t="shared" si="3"/>
        <v xml:space="preserve">    </v>
      </c>
      <c r="AC22" s="386" t="str">
        <f t="shared" si="2"/>
        <v xml:space="preserve">    </v>
      </c>
    </row>
    <row r="23" spans="1:29" ht="15.95" customHeight="1" x14ac:dyDescent="0.25">
      <c r="A23" s="134">
        <v>20</v>
      </c>
      <c r="B23" s="382" t="str">
        <f>dtsiswa!D26</f>
        <v>Roby Ardiyansyah</v>
      </c>
      <c r="C23" s="758">
        <f>Mat_ki3!N159</f>
        <v>0</v>
      </c>
      <c r="D23" s="758">
        <f>Mat_ki3!O159</f>
        <v>0</v>
      </c>
      <c r="E23" s="758">
        <f>Mat_ki3!P159</f>
        <v>0</v>
      </c>
      <c r="F23" s="758">
        <f>Mat_ki3!Q159</f>
        <v>0</v>
      </c>
      <c r="G23" s="758">
        <f>Mat_ki3!R159</f>
        <v>0</v>
      </c>
      <c r="H23" s="758">
        <f>Mat_ki3!S159</f>
        <v>0</v>
      </c>
      <c r="I23" s="758">
        <f>Mat_ki3!T159</f>
        <v>0</v>
      </c>
      <c r="J23" s="668" t="str">
        <f t="shared" si="0"/>
        <v xml:space="preserve">  </v>
      </c>
      <c r="L23" s="134">
        <v>20</v>
      </c>
      <c r="M23" s="382" t="str">
        <f>dtsiswa!D26</f>
        <v>Roby Ardiyansyah</v>
      </c>
      <c r="N23" s="383">
        <f>mat_ki4!Y235</f>
        <v>0</v>
      </c>
      <c r="O23" s="383">
        <f>mat_ki4!Z235</f>
        <v>0</v>
      </c>
      <c r="P23" s="383">
        <f>mat_ki4!AA235</f>
        <v>0</v>
      </c>
      <c r="Q23" s="383">
        <f>mat_ki4!AB235</f>
        <v>0</v>
      </c>
      <c r="R23" s="383">
        <f>mat_ki4!AC235</f>
        <v>0</v>
      </c>
      <c r="S23" s="383">
        <f>mat_ki4!AD235</f>
        <v>0</v>
      </c>
      <c r="T23" s="383">
        <f>mat_ki4!AE235</f>
        <v>0</v>
      </c>
      <c r="U23" s="383">
        <f>mat_ki4!AF235</f>
        <v>0</v>
      </c>
      <c r="V23" s="383">
        <f>mat_ki4!AG235</f>
        <v>0</v>
      </c>
      <c r="W23" s="383">
        <f>mat_ki4!AH235</f>
        <v>0</v>
      </c>
      <c r="X23" s="383">
        <f>mat_ki4!AI235</f>
        <v>0</v>
      </c>
      <c r="Y23" s="669" t="str">
        <f t="shared" si="1"/>
        <v xml:space="preserve">  </v>
      </c>
      <c r="Z23" s="134">
        <v>20</v>
      </c>
      <c r="AA23" s="384" t="str">
        <f>dtsiswa!D26</f>
        <v>Roby Ardiyansyah</v>
      </c>
      <c r="AB23" s="385" t="str">
        <f t="shared" si="3"/>
        <v xml:space="preserve">    </v>
      </c>
      <c r="AC23" s="386" t="str">
        <f t="shared" si="2"/>
        <v xml:space="preserve">    </v>
      </c>
    </row>
    <row r="24" spans="1:29" ht="15.95" customHeight="1" x14ac:dyDescent="0.25">
      <c r="A24" s="134">
        <v>21</v>
      </c>
      <c r="B24" s="382" t="str">
        <f>dtsiswa!D27</f>
        <v>Rojalingga Prana A</v>
      </c>
      <c r="C24" s="758">
        <f>Mat_ki3!N167</f>
        <v>0</v>
      </c>
      <c r="D24" s="758">
        <f>Mat_ki3!O167</f>
        <v>0</v>
      </c>
      <c r="E24" s="758">
        <f>Mat_ki3!P167</f>
        <v>0</v>
      </c>
      <c r="F24" s="758">
        <f>Mat_ki3!Q167</f>
        <v>0</v>
      </c>
      <c r="G24" s="758">
        <f>Mat_ki3!R167</f>
        <v>0</v>
      </c>
      <c r="H24" s="758">
        <f>Mat_ki3!S167</f>
        <v>0</v>
      </c>
      <c r="I24" s="758">
        <f>Mat_ki3!T167</f>
        <v>0</v>
      </c>
      <c r="J24" s="668" t="str">
        <f t="shared" si="0"/>
        <v xml:space="preserve">  </v>
      </c>
      <c r="L24" s="134">
        <v>21</v>
      </c>
      <c r="M24" s="382" t="str">
        <f>dtsiswa!D27</f>
        <v>Rojalingga Prana A</v>
      </c>
      <c r="N24" s="383">
        <f>mat_ki4!Y247</f>
        <v>0</v>
      </c>
      <c r="O24" s="383">
        <f>mat_ki4!Z247</f>
        <v>0</v>
      </c>
      <c r="P24" s="383">
        <f>mat_ki4!AA247</f>
        <v>0</v>
      </c>
      <c r="Q24" s="383">
        <f>mat_ki4!AB247</f>
        <v>0</v>
      </c>
      <c r="R24" s="383">
        <f>mat_ki4!AC247</f>
        <v>0</v>
      </c>
      <c r="S24" s="383">
        <f>mat_ki4!AD247</f>
        <v>0</v>
      </c>
      <c r="T24" s="383">
        <f>mat_ki4!AE247</f>
        <v>0</v>
      </c>
      <c r="U24" s="383">
        <f>mat_ki4!AF247</f>
        <v>0</v>
      </c>
      <c r="V24" s="383">
        <f>mat_ki4!AG247</f>
        <v>0</v>
      </c>
      <c r="W24" s="383">
        <f>mat_ki4!AH247</f>
        <v>0</v>
      </c>
      <c r="X24" s="383">
        <f>mat_ki4!AI247</f>
        <v>0</v>
      </c>
      <c r="Y24" s="669" t="str">
        <f t="shared" si="1"/>
        <v xml:space="preserve">  </v>
      </c>
      <c r="Z24" s="134">
        <v>21</v>
      </c>
      <c r="AA24" s="384" t="str">
        <f>dtsiswa!D27</f>
        <v>Rojalingga Prana A</v>
      </c>
      <c r="AB24" s="385" t="str">
        <f t="shared" si="3"/>
        <v xml:space="preserve">    </v>
      </c>
      <c r="AC24" s="386" t="str">
        <f t="shared" si="2"/>
        <v xml:space="preserve">    </v>
      </c>
    </row>
    <row r="25" spans="1:29" ht="15.95" customHeight="1" x14ac:dyDescent="0.25">
      <c r="A25" s="134">
        <v>22</v>
      </c>
      <c r="B25" s="382" t="str">
        <f>dtsiswa!D28</f>
        <v>Sally Savista A</v>
      </c>
      <c r="C25" s="758">
        <f>Mat_ki3!N175</f>
        <v>0</v>
      </c>
      <c r="D25" s="758">
        <f>Mat_ki3!O175</f>
        <v>0</v>
      </c>
      <c r="E25" s="758">
        <f>Mat_ki3!P175</f>
        <v>0</v>
      </c>
      <c r="F25" s="758">
        <f>Mat_ki3!Q175</f>
        <v>0</v>
      </c>
      <c r="G25" s="758">
        <f>Mat_ki3!R175</f>
        <v>0</v>
      </c>
      <c r="H25" s="758">
        <f>Mat_ki3!S175</f>
        <v>0</v>
      </c>
      <c r="I25" s="758">
        <f>Mat_ki3!T175</f>
        <v>0</v>
      </c>
      <c r="J25" s="668" t="str">
        <f t="shared" si="0"/>
        <v xml:space="preserve">  </v>
      </c>
      <c r="L25" s="134">
        <v>22</v>
      </c>
      <c r="M25" s="382" t="str">
        <f>dtsiswa!D28</f>
        <v>Sally Savista A</v>
      </c>
      <c r="N25" s="383">
        <f>mat_ki4!Y259</f>
        <v>0</v>
      </c>
      <c r="O25" s="383">
        <f>mat_ki4!Z259</f>
        <v>0</v>
      </c>
      <c r="P25" s="383">
        <f>mat_ki4!AA259</f>
        <v>0</v>
      </c>
      <c r="Q25" s="383">
        <f>mat_ki4!AB259</f>
        <v>0</v>
      </c>
      <c r="R25" s="383">
        <f>mat_ki4!AC259</f>
        <v>0</v>
      </c>
      <c r="S25" s="383">
        <f>mat_ki4!AD259</f>
        <v>0</v>
      </c>
      <c r="T25" s="383">
        <f>mat_ki4!AE259</f>
        <v>0</v>
      </c>
      <c r="U25" s="383">
        <f>mat_ki4!AF259</f>
        <v>0</v>
      </c>
      <c r="V25" s="383">
        <f>mat_ki4!AG259</f>
        <v>0</v>
      </c>
      <c r="W25" s="383">
        <f>mat_ki4!AH259</f>
        <v>0</v>
      </c>
      <c r="X25" s="383">
        <f>mat_ki4!AI259</f>
        <v>0</v>
      </c>
      <c r="Y25" s="669" t="str">
        <f t="shared" si="1"/>
        <v xml:space="preserve">  </v>
      </c>
      <c r="Z25" s="134">
        <v>22</v>
      </c>
      <c r="AA25" s="384" t="str">
        <f>dtsiswa!D28</f>
        <v>Sally Savista A</v>
      </c>
      <c r="AB25" s="385" t="str">
        <f t="shared" si="3"/>
        <v xml:space="preserve">    </v>
      </c>
      <c r="AC25" s="386" t="str">
        <f t="shared" si="2"/>
        <v xml:space="preserve">    </v>
      </c>
    </row>
    <row r="26" spans="1:29" ht="15.95" customHeight="1" x14ac:dyDescent="0.25">
      <c r="A26" s="134">
        <v>23</v>
      </c>
      <c r="B26" s="382" t="str">
        <f>dtsiswa!D29</f>
        <v xml:space="preserve">Tania Kaori Angelita </v>
      </c>
      <c r="C26" s="758">
        <f>Mat_ki3!N183</f>
        <v>0</v>
      </c>
      <c r="D26" s="758">
        <f>Mat_ki3!O183</f>
        <v>0</v>
      </c>
      <c r="E26" s="758">
        <f>Mat_ki3!P183</f>
        <v>0</v>
      </c>
      <c r="F26" s="758">
        <f>Mat_ki3!Q183</f>
        <v>0</v>
      </c>
      <c r="G26" s="758">
        <f>Mat_ki3!R183</f>
        <v>0</v>
      </c>
      <c r="H26" s="758">
        <f>Mat_ki3!S183</f>
        <v>0</v>
      </c>
      <c r="I26" s="758">
        <f>Mat_ki3!T183</f>
        <v>0</v>
      </c>
      <c r="J26" s="668" t="str">
        <f t="shared" si="0"/>
        <v xml:space="preserve">  </v>
      </c>
      <c r="L26" s="134">
        <v>23</v>
      </c>
      <c r="M26" s="382" t="str">
        <f>dtsiswa!D29</f>
        <v xml:space="preserve">Tania Kaori Angelita </v>
      </c>
      <c r="N26" s="383">
        <f>mat_ki4!Y271</f>
        <v>0</v>
      </c>
      <c r="O26" s="383">
        <f>mat_ki4!Z271</f>
        <v>0</v>
      </c>
      <c r="P26" s="383">
        <f>mat_ki4!AA271</f>
        <v>0</v>
      </c>
      <c r="Q26" s="383">
        <f>mat_ki4!AB271</f>
        <v>0</v>
      </c>
      <c r="R26" s="383">
        <f>mat_ki4!AC271</f>
        <v>0</v>
      </c>
      <c r="S26" s="383">
        <f>mat_ki4!AD271</f>
        <v>0</v>
      </c>
      <c r="T26" s="383">
        <f>mat_ki4!AE271</f>
        <v>0</v>
      </c>
      <c r="U26" s="383">
        <f>mat_ki4!AF271</f>
        <v>0</v>
      </c>
      <c r="V26" s="383">
        <f>mat_ki4!AG271</f>
        <v>0</v>
      </c>
      <c r="W26" s="383">
        <f>mat_ki4!AH271</f>
        <v>0</v>
      </c>
      <c r="X26" s="383">
        <f>mat_ki4!AI271</f>
        <v>0</v>
      </c>
      <c r="Y26" s="669" t="str">
        <f t="shared" si="1"/>
        <v xml:space="preserve">  </v>
      </c>
      <c r="Z26" s="134">
        <v>23</v>
      </c>
      <c r="AA26" s="384" t="str">
        <f>dtsiswa!D29</f>
        <v xml:space="preserve">Tania Kaori Angelita </v>
      </c>
      <c r="AB26" s="385" t="str">
        <f t="shared" si="3"/>
        <v xml:space="preserve">    </v>
      </c>
      <c r="AC26" s="386" t="str">
        <f t="shared" si="2"/>
        <v xml:space="preserve">    </v>
      </c>
    </row>
    <row r="27" spans="1:29" ht="15.95" customHeight="1" x14ac:dyDescent="0.25">
      <c r="A27" s="134">
        <v>24</v>
      </c>
      <c r="B27" s="382" t="str">
        <f>dtsiswa!D30</f>
        <v>Romzy Oka Ramadhani P</v>
      </c>
      <c r="C27" s="758">
        <f>Mat_ki3!N191</f>
        <v>0</v>
      </c>
      <c r="D27" s="758">
        <f>Mat_ki3!O191</f>
        <v>0</v>
      </c>
      <c r="E27" s="758">
        <f>Mat_ki3!P191</f>
        <v>0</v>
      </c>
      <c r="F27" s="758">
        <f>Mat_ki3!Q191</f>
        <v>0</v>
      </c>
      <c r="G27" s="758">
        <f>Mat_ki3!R191</f>
        <v>0</v>
      </c>
      <c r="H27" s="758">
        <f>Mat_ki3!S191</f>
        <v>0</v>
      </c>
      <c r="I27" s="758">
        <f>Mat_ki3!T191</f>
        <v>0</v>
      </c>
      <c r="J27" s="668" t="str">
        <f t="shared" si="0"/>
        <v xml:space="preserve">  </v>
      </c>
      <c r="L27" s="134">
        <v>24</v>
      </c>
      <c r="M27" s="382" t="str">
        <f>dtsiswa!D30</f>
        <v>Romzy Oka Ramadhani P</v>
      </c>
      <c r="N27" s="383">
        <f>mat_ki4!Y283</f>
        <v>0</v>
      </c>
      <c r="O27" s="383">
        <f>mat_ki4!Z283</f>
        <v>0</v>
      </c>
      <c r="P27" s="383">
        <f>mat_ki4!AA283</f>
        <v>0</v>
      </c>
      <c r="Q27" s="383">
        <f>mat_ki4!AB283</f>
        <v>0</v>
      </c>
      <c r="R27" s="383">
        <f>mat_ki4!AC283</f>
        <v>0</v>
      </c>
      <c r="S27" s="383">
        <f>mat_ki4!AD283</f>
        <v>0</v>
      </c>
      <c r="T27" s="383">
        <f>mat_ki4!AE283</f>
        <v>0</v>
      </c>
      <c r="U27" s="383">
        <f>mat_ki4!AF283</f>
        <v>0</v>
      </c>
      <c r="V27" s="383">
        <f>mat_ki4!AG283</f>
        <v>0</v>
      </c>
      <c r="W27" s="383">
        <f>mat_ki4!AH283</f>
        <v>0</v>
      </c>
      <c r="X27" s="383">
        <f>mat_ki4!AI283</f>
        <v>0</v>
      </c>
      <c r="Y27" s="669" t="str">
        <f t="shared" si="1"/>
        <v xml:space="preserve">  </v>
      </c>
      <c r="Z27" s="134">
        <v>24</v>
      </c>
      <c r="AA27" s="384" t="str">
        <f>dtsiswa!D30</f>
        <v>Romzy Oka Ramadhani P</v>
      </c>
      <c r="AB27" s="385" t="str">
        <f t="shared" si="3"/>
        <v xml:space="preserve">    </v>
      </c>
      <c r="AC27" s="386" t="str">
        <f t="shared" si="2"/>
        <v xml:space="preserve">    </v>
      </c>
    </row>
    <row r="28" spans="1:29" ht="15.95" customHeight="1" x14ac:dyDescent="0.25">
      <c r="A28" s="134">
        <v>25</v>
      </c>
      <c r="B28" s="382" t="str">
        <f>dtsiswa!D31</f>
        <v>Larasati Jagadhita P</v>
      </c>
      <c r="C28" s="758">
        <f>Mat_ki3!N199</f>
        <v>0</v>
      </c>
      <c r="D28" s="758">
        <f>Mat_ki3!O199</f>
        <v>0</v>
      </c>
      <c r="E28" s="758">
        <f>Mat_ki3!P199</f>
        <v>0</v>
      </c>
      <c r="F28" s="758">
        <f>Mat_ki3!Q199</f>
        <v>0</v>
      </c>
      <c r="G28" s="758">
        <f>Mat_ki3!R199</f>
        <v>0</v>
      </c>
      <c r="H28" s="758">
        <f>Mat_ki3!S199</f>
        <v>0</v>
      </c>
      <c r="I28" s="758">
        <f>Mat_ki3!T199</f>
        <v>0</v>
      </c>
      <c r="J28" s="668" t="str">
        <f t="shared" si="0"/>
        <v xml:space="preserve">  </v>
      </c>
      <c r="L28" s="134">
        <v>25</v>
      </c>
      <c r="M28" s="382" t="str">
        <f>dtsiswa!D31</f>
        <v>Larasati Jagadhita P</v>
      </c>
      <c r="N28" s="383">
        <f>mat_ki4!Y295</f>
        <v>0</v>
      </c>
      <c r="O28" s="383">
        <f>mat_ki4!Z295</f>
        <v>0</v>
      </c>
      <c r="P28" s="383">
        <f>mat_ki4!AA295</f>
        <v>0</v>
      </c>
      <c r="Q28" s="383">
        <f>mat_ki4!AB295</f>
        <v>0</v>
      </c>
      <c r="R28" s="383">
        <f>mat_ki4!AC295</f>
        <v>0</v>
      </c>
      <c r="S28" s="383">
        <f>mat_ki4!AD295</f>
        <v>0</v>
      </c>
      <c r="T28" s="383">
        <f>mat_ki4!AE295</f>
        <v>0</v>
      </c>
      <c r="U28" s="383">
        <f>mat_ki4!AF295</f>
        <v>0</v>
      </c>
      <c r="V28" s="383">
        <f>mat_ki4!AG295</f>
        <v>0</v>
      </c>
      <c r="W28" s="383">
        <f>mat_ki4!AH295</f>
        <v>0</v>
      </c>
      <c r="X28" s="383">
        <f>mat_ki4!AI295</f>
        <v>0</v>
      </c>
      <c r="Y28" s="669" t="str">
        <f t="shared" si="1"/>
        <v xml:space="preserve">  </v>
      </c>
      <c r="Z28" s="134">
        <v>25</v>
      </c>
      <c r="AA28" s="384" t="str">
        <f>dtsiswa!D31</f>
        <v>Larasati Jagadhita P</v>
      </c>
      <c r="AB28" s="385" t="str">
        <f t="shared" si="3"/>
        <v xml:space="preserve">    </v>
      </c>
      <c r="AC28" s="386" t="str">
        <f t="shared" si="2"/>
        <v xml:space="preserve">    </v>
      </c>
    </row>
    <row r="29" spans="1:29" ht="15.95" customHeight="1" x14ac:dyDescent="0.25">
      <c r="A29" s="134">
        <v>26</v>
      </c>
      <c r="B29" s="382" t="str">
        <f>dtsiswa!D32</f>
        <v>Meliana Citra A</v>
      </c>
      <c r="C29" s="758">
        <f>Mat_ki3!N207</f>
        <v>0</v>
      </c>
      <c r="D29" s="758">
        <f>Mat_ki3!O207</f>
        <v>0</v>
      </c>
      <c r="E29" s="758">
        <f>Mat_ki3!P207</f>
        <v>0</v>
      </c>
      <c r="F29" s="758">
        <f>Mat_ki3!Q207</f>
        <v>0</v>
      </c>
      <c r="G29" s="758">
        <f>Mat_ki3!R207</f>
        <v>0</v>
      </c>
      <c r="H29" s="758">
        <f>Mat_ki3!S207</f>
        <v>0</v>
      </c>
      <c r="I29" s="758">
        <f>Mat_ki3!T207</f>
        <v>0</v>
      </c>
      <c r="J29" s="668" t="str">
        <f t="shared" si="0"/>
        <v xml:space="preserve">  </v>
      </c>
      <c r="L29" s="134">
        <v>26</v>
      </c>
      <c r="M29" s="382" t="str">
        <f>dtsiswa!D32</f>
        <v>Meliana Citra A</v>
      </c>
      <c r="N29" s="383">
        <f>mat_ki4!Y307</f>
        <v>0</v>
      </c>
      <c r="O29" s="383">
        <f>mat_ki4!Z307</f>
        <v>0</v>
      </c>
      <c r="P29" s="383">
        <f>mat_ki4!AA307</f>
        <v>0</v>
      </c>
      <c r="Q29" s="383">
        <f>mat_ki4!AB307</f>
        <v>0</v>
      </c>
      <c r="R29" s="383">
        <f>mat_ki4!AC307</f>
        <v>0</v>
      </c>
      <c r="S29" s="383">
        <f>mat_ki4!AD307</f>
        <v>0</v>
      </c>
      <c r="T29" s="383">
        <f>mat_ki4!AE307</f>
        <v>0</v>
      </c>
      <c r="U29" s="383">
        <f>mat_ki4!AF307</f>
        <v>0</v>
      </c>
      <c r="V29" s="383">
        <f>mat_ki4!AG307</f>
        <v>0</v>
      </c>
      <c r="W29" s="383">
        <f>mat_ki4!AH307</f>
        <v>0</v>
      </c>
      <c r="X29" s="383">
        <f>mat_ki4!AI307</f>
        <v>0</v>
      </c>
      <c r="Y29" s="669" t="str">
        <f t="shared" si="1"/>
        <v xml:space="preserve">  </v>
      </c>
      <c r="Z29" s="134">
        <v>26</v>
      </c>
      <c r="AA29" s="384" t="str">
        <f>dtsiswa!D32</f>
        <v>Meliana Citra A</v>
      </c>
      <c r="AB29" s="385" t="str">
        <f t="shared" si="3"/>
        <v xml:space="preserve">    </v>
      </c>
      <c r="AC29" s="386" t="str">
        <f t="shared" si="2"/>
        <v xml:space="preserve">    </v>
      </c>
    </row>
    <row r="30" spans="1:29" ht="15.95" customHeight="1" x14ac:dyDescent="0.25">
      <c r="A30" s="134">
        <v>27</v>
      </c>
      <c r="B30" s="382" t="str">
        <f>dtsiswa!D33</f>
        <v>Mohammad Rizky</v>
      </c>
      <c r="C30" s="758">
        <f>Mat_ki3!N215</f>
        <v>0</v>
      </c>
      <c r="D30" s="758">
        <f>Mat_ki3!O215</f>
        <v>0</v>
      </c>
      <c r="E30" s="758">
        <f>Mat_ki3!P215</f>
        <v>0</v>
      </c>
      <c r="F30" s="758">
        <f>Mat_ki3!Q215</f>
        <v>0</v>
      </c>
      <c r="G30" s="758">
        <f>Mat_ki3!R215</f>
        <v>0</v>
      </c>
      <c r="H30" s="758">
        <f>Mat_ki3!S215</f>
        <v>0</v>
      </c>
      <c r="I30" s="758">
        <f>Mat_ki3!T215</f>
        <v>0</v>
      </c>
      <c r="J30" s="668" t="str">
        <f t="shared" si="0"/>
        <v xml:space="preserve">  </v>
      </c>
      <c r="L30" s="134">
        <v>27</v>
      </c>
      <c r="M30" s="382" t="str">
        <f>dtsiswa!D33</f>
        <v>Mohammad Rizky</v>
      </c>
      <c r="N30" s="383">
        <f>mat_ki4!Y319</f>
        <v>0</v>
      </c>
      <c r="O30" s="383">
        <f>mat_ki4!Z319</f>
        <v>0</v>
      </c>
      <c r="P30" s="383">
        <f>mat_ki4!AA319</f>
        <v>0</v>
      </c>
      <c r="Q30" s="383">
        <f>mat_ki4!AB319</f>
        <v>0</v>
      </c>
      <c r="R30" s="383">
        <f>mat_ki4!AC319</f>
        <v>0</v>
      </c>
      <c r="S30" s="383">
        <f>mat_ki4!AD319</f>
        <v>0</v>
      </c>
      <c r="T30" s="383">
        <f>mat_ki4!AE319</f>
        <v>0</v>
      </c>
      <c r="U30" s="383">
        <f>mat_ki4!AF319</f>
        <v>0</v>
      </c>
      <c r="V30" s="383">
        <f>mat_ki4!AG319</f>
        <v>0</v>
      </c>
      <c r="W30" s="383">
        <f>mat_ki4!AH319</f>
        <v>0</v>
      </c>
      <c r="X30" s="383">
        <f>mat_ki4!AI319</f>
        <v>0</v>
      </c>
      <c r="Y30" s="669" t="str">
        <f t="shared" si="1"/>
        <v xml:space="preserve">  </v>
      </c>
      <c r="Z30" s="134">
        <v>27</v>
      </c>
      <c r="AA30" s="384" t="str">
        <f>dtsiswa!D33</f>
        <v>Mohammad Rizky</v>
      </c>
      <c r="AB30" s="385" t="str">
        <f t="shared" si="3"/>
        <v xml:space="preserve">    </v>
      </c>
      <c r="AC30" s="386" t="str">
        <f t="shared" si="2"/>
        <v xml:space="preserve">    </v>
      </c>
    </row>
    <row r="31" spans="1:29" ht="15.95" customHeight="1" x14ac:dyDescent="0.25">
      <c r="A31" s="134">
        <v>28</v>
      </c>
      <c r="B31" s="382">
        <f>dtsiswa!D34</f>
        <v>0</v>
      </c>
      <c r="C31" s="758">
        <f>Mat_ki3!N223</f>
        <v>0</v>
      </c>
      <c r="D31" s="758">
        <f>Mat_ki3!O223</f>
        <v>0</v>
      </c>
      <c r="E31" s="758">
        <f>Mat_ki3!P223</f>
        <v>0</v>
      </c>
      <c r="F31" s="758">
        <f>Mat_ki3!Q223</f>
        <v>0</v>
      </c>
      <c r="G31" s="758">
        <f>Mat_ki3!R223</f>
        <v>0</v>
      </c>
      <c r="H31" s="758">
        <f>Mat_ki3!S223</f>
        <v>0</v>
      </c>
      <c r="I31" s="758">
        <f>Mat_ki3!T223</f>
        <v>0</v>
      </c>
      <c r="J31" s="668" t="str">
        <f t="shared" si="0"/>
        <v xml:space="preserve">  </v>
      </c>
      <c r="L31" s="134">
        <v>28</v>
      </c>
      <c r="M31" s="382">
        <f>dtsiswa!D34</f>
        <v>0</v>
      </c>
      <c r="N31" s="383">
        <f>mat_ki4!Y331</f>
        <v>0</v>
      </c>
      <c r="O31" s="383">
        <f>mat_ki4!Z331</f>
        <v>0</v>
      </c>
      <c r="P31" s="383">
        <f>mat_ki4!AA331</f>
        <v>0</v>
      </c>
      <c r="Q31" s="383">
        <f>mat_ki4!AB331</f>
        <v>0</v>
      </c>
      <c r="R31" s="383">
        <f>mat_ki4!AC331</f>
        <v>0</v>
      </c>
      <c r="S31" s="383">
        <f>mat_ki4!AD331</f>
        <v>0</v>
      </c>
      <c r="T31" s="383">
        <f>mat_ki4!AE331</f>
        <v>0</v>
      </c>
      <c r="U31" s="383">
        <f>mat_ki4!AF331</f>
        <v>0</v>
      </c>
      <c r="V31" s="383">
        <f>mat_ki4!AG331</f>
        <v>0</v>
      </c>
      <c r="W31" s="383">
        <f>mat_ki4!AH331</f>
        <v>0</v>
      </c>
      <c r="X31" s="383">
        <f>mat_ki4!AI331</f>
        <v>0</v>
      </c>
      <c r="Y31" s="669" t="str">
        <f t="shared" si="1"/>
        <v xml:space="preserve">  </v>
      </c>
      <c r="Z31" s="134">
        <v>28</v>
      </c>
      <c r="AA31" s="384">
        <f>dtsiswa!D34</f>
        <v>0</v>
      </c>
      <c r="AB31" s="385" t="str">
        <f t="shared" si="3"/>
        <v xml:space="preserve">    </v>
      </c>
      <c r="AC31" s="386" t="str">
        <f t="shared" si="2"/>
        <v xml:space="preserve">    </v>
      </c>
    </row>
    <row r="32" spans="1:29" ht="15.95" customHeight="1" x14ac:dyDescent="0.25">
      <c r="A32" s="134">
        <v>29</v>
      </c>
      <c r="B32" s="382">
        <f>dtsiswa!D35</f>
        <v>0</v>
      </c>
      <c r="C32" s="758">
        <f>Mat_ki3!N231</f>
        <v>0</v>
      </c>
      <c r="D32" s="758">
        <f>Mat_ki3!O231</f>
        <v>0</v>
      </c>
      <c r="E32" s="758">
        <f>Mat_ki3!P231</f>
        <v>0</v>
      </c>
      <c r="F32" s="758">
        <f>Mat_ki3!Q231</f>
        <v>0</v>
      </c>
      <c r="G32" s="758">
        <f>Mat_ki3!R231</f>
        <v>0</v>
      </c>
      <c r="H32" s="758">
        <f>Mat_ki3!S231</f>
        <v>0</v>
      </c>
      <c r="I32" s="758">
        <f>Mat_ki3!T231</f>
        <v>0</v>
      </c>
      <c r="J32" s="668" t="str">
        <f t="shared" si="0"/>
        <v xml:space="preserve">  </v>
      </c>
      <c r="L32" s="134">
        <v>29</v>
      </c>
      <c r="M32" s="382">
        <f>dtsiswa!D35</f>
        <v>0</v>
      </c>
      <c r="N32" s="383">
        <f>mat_ki4!Y343</f>
        <v>0</v>
      </c>
      <c r="O32" s="383">
        <f>mat_ki4!Z343</f>
        <v>0</v>
      </c>
      <c r="P32" s="383">
        <f>mat_ki4!AA343</f>
        <v>0</v>
      </c>
      <c r="Q32" s="383">
        <f>mat_ki4!AB343</f>
        <v>0</v>
      </c>
      <c r="R32" s="383">
        <f>mat_ki4!AC343</f>
        <v>0</v>
      </c>
      <c r="S32" s="383">
        <f>mat_ki4!AD343</f>
        <v>0</v>
      </c>
      <c r="T32" s="383">
        <f>mat_ki4!AE343</f>
        <v>0</v>
      </c>
      <c r="U32" s="383">
        <f>mat_ki4!AF343</f>
        <v>0</v>
      </c>
      <c r="V32" s="383">
        <f>mat_ki4!AG343</f>
        <v>0</v>
      </c>
      <c r="W32" s="383">
        <f>mat_ki4!AH343</f>
        <v>0</v>
      </c>
      <c r="X32" s="383">
        <f>mat_ki4!AI343</f>
        <v>0</v>
      </c>
      <c r="Y32" s="669" t="str">
        <f t="shared" si="1"/>
        <v xml:space="preserve">  </v>
      </c>
      <c r="Z32" s="134">
        <v>29</v>
      </c>
      <c r="AA32" s="384">
        <f>dtsiswa!D35</f>
        <v>0</v>
      </c>
      <c r="AB32" s="385" t="str">
        <f t="shared" si="3"/>
        <v xml:space="preserve">    </v>
      </c>
      <c r="AC32" s="386" t="str">
        <f t="shared" si="2"/>
        <v xml:space="preserve">    </v>
      </c>
    </row>
    <row r="33" spans="1:29" ht="15.95" customHeight="1" x14ac:dyDescent="0.25">
      <c r="A33" s="134">
        <v>30</v>
      </c>
      <c r="B33" s="382">
        <f>dtsiswa!D36</f>
        <v>0</v>
      </c>
      <c r="C33" s="758">
        <f>Mat_ki3!N239</f>
        <v>0</v>
      </c>
      <c r="D33" s="758">
        <f>Mat_ki3!O239</f>
        <v>0</v>
      </c>
      <c r="E33" s="758">
        <f>Mat_ki3!P239</f>
        <v>0</v>
      </c>
      <c r="F33" s="758">
        <f>Mat_ki3!Q239</f>
        <v>0</v>
      </c>
      <c r="G33" s="758">
        <f>Mat_ki3!R239</f>
        <v>0</v>
      </c>
      <c r="H33" s="758">
        <f>Mat_ki3!S239</f>
        <v>0</v>
      </c>
      <c r="I33" s="758">
        <f>Mat_ki3!T239</f>
        <v>0</v>
      </c>
      <c r="J33" s="668" t="str">
        <f t="shared" si="0"/>
        <v xml:space="preserve">  </v>
      </c>
      <c r="L33" s="134">
        <v>30</v>
      </c>
      <c r="M33" s="382">
        <f>dtsiswa!D36</f>
        <v>0</v>
      </c>
      <c r="N33" s="383">
        <f>mat_ki4!Y355</f>
        <v>0</v>
      </c>
      <c r="O33" s="383">
        <f>mat_ki4!Z355</f>
        <v>0</v>
      </c>
      <c r="P33" s="383">
        <f>mat_ki4!AA355</f>
        <v>0</v>
      </c>
      <c r="Q33" s="383">
        <f>mat_ki4!AB355</f>
        <v>0</v>
      </c>
      <c r="R33" s="383">
        <f>mat_ki4!AC355</f>
        <v>0</v>
      </c>
      <c r="S33" s="383">
        <f>mat_ki4!AD355</f>
        <v>0</v>
      </c>
      <c r="T33" s="383">
        <f>mat_ki4!AE355</f>
        <v>0</v>
      </c>
      <c r="U33" s="383">
        <f>mat_ki4!AF355</f>
        <v>0</v>
      </c>
      <c r="V33" s="383">
        <f>mat_ki4!AG355</f>
        <v>0</v>
      </c>
      <c r="W33" s="383">
        <f>mat_ki4!AH355</f>
        <v>0</v>
      </c>
      <c r="X33" s="383">
        <f>mat_ki4!AI355</f>
        <v>0</v>
      </c>
      <c r="Y33" s="669" t="str">
        <f t="shared" si="1"/>
        <v xml:space="preserve">  </v>
      </c>
      <c r="Z33" s="134">
        <v>30</v>
      </c>
      <c r="AA33" s="384">
        <f>dtsiswa!D36</f>
        <v>0</v>
      </c>
      <c r="AB33" s="385" t="str">
        <f t="shared" si="3"/>
        <v xml:space="preserve">    </v>
      </c>
      <c r="AC33" s="386" t="str">
        <f t="shared" si="2"/>
        <v xml:space="preserve">    </v>
      </c>
    </row>
    <row r="34" spans="1:29" ht="15.95" customHeight="1" x14ac:dyDescent="0.25">
      <c r="A34" s="134">
        <v>31</v>
      </c>
      <c r="B34" s="382">
        <f>dtsiswa!D37</f>
        <v>0</v>
      </c>
      <c r="C34" s="758">
        <f>Mat_ki3!N247</f>
        <v>0</v>
      </c>
      <c r="D34" s="758">
        <f>Mat_ki3!O247</f>
        <v>0</v>
      </c>
      <c r="E34" s="758">
        <f>Mat_ki3!P247</f>
        <v>0</v>
      </c>
      <c r="F34" s="758">
        <f>Mat_ki3!Q247</f>
        <v>0</v>
      </c>
      <c r="G34" s="758">
        <f>Mat_ki3!R247</f>
        <v>0</v>
      </c>
      <c r="H34" s="758">
        <f>Mat_ki3!S247</f>
        <v>0</v>
      </c>
      <c r="I34" s="758">
        <f>Mat_ki3!T247</f>
        <v>0</v>
      </c>
      <c r="J34" s="668" t="str">
        <f t="shared" si="0"/>
        <v xml:space="preserve">  </v>
      </c>
      <c r="L34" s="134">
        <v>31</v>
      </c>
      <c r="M34" s="382">
        <f>dtsiswa!D37</f>
        <v>0</v>
      </c>
      <c r="N34" s="383">
        <f>mat_ki4!Y367</f>
        <v>0</v>
      </c>
      <c r="O34" s="383">
        <f>mat_ki4!Z367</f>
        <v>0</v>
      </c>
      <c r="P34" s="383">
        <f>mat_ki4!AA367</f>
        <v>0</v>
      </c>
      <c r="Q34" s="383">
        <f>mat_ki4!AB367</f>
        <v>0</v>
      </c>
      <c r="R34" s="383">
        <f>mat_ki4!AC367</f>
        <v>0</v>
      </c>
      <c r="S34" s="383">
        <f>mat_ki4!AD367</f>
        <v>0</v>
      </c>
      <c r="T34" s="383">
        <f>mat_ki4!AE367</f>
        <v>0</v>
      </c>
      <c r="U34" s="383">
        <f>mat_ki4!AF367</f>
        <v>0</v>
      </c>
      <c r="V34" s="383">
        <f>mat_ki4!AG367</f>
        <v>0</v>
      </c>
      <c r="W34" s="383">
        <f>mat_ki4!AH367</f>
        <v>0</v>
      </c>
      <c r="X34" s="383">
        <f>mat_ki4!AI367</f>
        <v>0</v>
      </c>
      <c r="Y34" s="669" t="str">
        <f t="shared" si="1"/>
        <v xml:space="preserve">  </v>
      </c>
      <c r="Z34" s="134">
        <v>31</v>
      </c>
      <c r="AA34" s="384">
        <f>dtsiswa!D37</f>
        <v>0</v>
      </c>
      <c r="AB34" s="385" t="str">
        <f t="shared" si="3"/>
        <v xml:space="preserve">    </v>
      </c>
      <c r="AC34" s="386" t="str">
        <f t="shared" si="2"/>
        <v xml:space="preserve">    </v>
      </c>
    </row>
    <row r="35" spans="1:29" ht="15.95" customHeight="1" x14ac:dyDescent="0.25">
      <c r="A35" s="134">
        <v>32</v>
      </c>
      <c r="B35" s="382">
        <f>dtsiswa!D38</f>
        <v>0</v>
      </c>
      <c r="C35" s="758">
        <f>Mat_ki3!N255</f>
        <v>0</v>
      </c>
      <c r="D35" s="758">
        <f>Mat_ki3!O255</f>
        <v>0</v>
      </c>
      <c r="E35" s="758">
        <f>Mat_ki3!P255</f>
        <v>0</v>
      </c>
      <c r="F35" s="758">
        <f>Mat_ki3!Q255</f>
        <v>0</v>
      </c>
      <c r="G35" s="758">
        <f>Mat_ki3!R255</f>
        <v>0</v>
      </c>
      <c r="H35" s="758">
        <f>Mat_ki3!S255</f>
        <v>0</v>
      </c>
      <c r="I35" s="758">
        <f>Mat_ki3!T255</f>
        <v>0</v>
      </c>
      <c r="J35" s="668" t="str">
        <f t="shared" si="0"/>
        <v xml:space="preserve">  </v>
      </c>
      <c r="L35" s="134">
        <v>32</v>
      </c>
      <c r="M35" s="382">
        <f>dtsiswa!D38</f>
        <v>0</v>
      </c>
      <c r="N35" s="383">
        <f>mat_ki4!Y379</f>
        <v>0</v>
      </c>
      <c r="O35" s="383">
        <f>mat_ki4!Z379</f>
        <v>0</v>
      </c>
      <c r="P35" s="383">
        <f>mat_ki4!AA379</f>
        <v>0</v>
      </c>
      <c r="Q35" s="383">
        <f>mat_ki4!AB379</f>
        <v>0</v>
      </c>
      <c r="R35" s="383">
        <f>mat_ki4!AC379</f>
        <v>0</v>
      </c>
      <c r="S35" s="383">
        <f>mat_ki4!AD379</f>
        <v>0</v>
      </c>
      <c r="T35" s="383">
        <f>mat_ki4!AE379</f>
        <v>0</v>
      </c>
      <c r="U35" s="383">
        <f>mat_ki4!AF379</f>
        <v>0</v>
      </c>
      <c r="V35" s="383">
        <f>mat_ki4!AG379</f>
        <v>0</v>
      </c>
      <c r="W35" s="383">
        <f>mat_ki4!AH379</f>
        <v>0</v>
      </c>
      <c r="X35" s="383">
        <f>mat_ki4!AI379</f>
        <v>0</v>
      </c>
      <c r="Y35" s="669" t="str">
        <f t="shared" si="1"/>
        <v xml:space="preserve">  </v>
      </c>
      <c r="Z35" s="134">
        <v>32</v>
      </c>
      <c r="AA35" s="384">
        <f>dtsiswa!D38</f>
        <v>0</v>
      </c>
      <c r="AB35" s="385" t="str">
        <f t="shared" si="3"/>
        <v xml:space="preserve">    </v>
      </c>
      <c r="AC35" s="386" t="str">
        <f t="shared" si="2"/>
        <v xml:space="preserve">    </v>
      </c>
    </row>
    <row r="36" spans="1:29" ht="15.95" customHeight="1" x14ac:dyDescent="0.25">
      <c r="A36" s="134">
        <v>33</v>
      </c>
      <c r="B36" s="382">
        <f>dtsiswa!D39</f>
        <v>0</v>
      </c>
      <c r="C36" s="758">
        <f>Mat_ki3!N263</f>
        <v>0</v>
      </c>
      <c r="D36" s="758">
        <f>Mat_ki3!O263</f>
        <v>0</v>
      </c>
      <c r="E36" s="758">
        <f>Mat_ki3!P263</f>
        <v>0</v>
      </c>
      <c r="F36" s="758">
        <f>Mat_ki3!Q263</f>
        <v>0</v>
      </c>
      <c r="G36" s="758">
        <f>Mat_ki3!R263</f>
        <v>0</v>
      </c>
      <c r="H36" s="758">
        <f>Mat_ki3!S263</f>
        <v>0</v>
      </c>
      <c r="I36" s="758">
        <f>Mat_ki3!T263</f>
        <v>0</v>
      </c>
      <c r="J36" s="668" t="str">
        <f t="shared" si="0"/>
        <v xml:space="preserve">  </v>
      </c>
      <c r="L36" s="134">
        <v>33</v>
      </c>
      <c r="M36" s="382">
        <f>dtsiswa!D39</f>
        <v>0</v>
      </c>
      <c r="N36" s="383">
        <f>mat_ki4!Y391</f>
        <v>0</v>
      </c>
      <c r="O36" s="383">
        <f>mat_ki4!Z391</f>
        <v>0</v>
      </c>
      <c r="P36" s="383">
        <f>mat_ki4!AA391</f>
        <v>0</v>
      </c>
      <c r="Q36" s="383">
        <f>mat_ki4!AB391</f>
        <v>0</v>
      </c>
      <c r="R36" s="383">
        <f>mat_ki4!AC391</f>
        <v>0</v>
      </c>
      <c r="S36" s="383">
        <f>mat_ki4!AD391</f>
        <v>0</v>
      </c>
      <c r="T36" s="383">
        <f>mat_ki4!AE391</f>
        <v>0</v>
      </c>
      <c r="U36" s="383">
        <f>mat_ki4!AF391</f>
        <v>0</v>
      </c>
      <c r="V36" s="383">
        <f>mat_ki4!AG391</f>
        <v>0</v>
      </c>
      <c r="W36" s="383">
        <f>mat_ki4!AH391</f>
        <v>0</v>
      </c>
      <c r="X36" s="383">
        <f>mat_ki4!AI391</f>
        <v>0</v>
      </c>
      <c r="Y36" s="669" t="str">
        <f t="shared" si="1"/>
        <v xml:space="preserve">  </v>
      </c>
      <c r="Z36" s="134">
        <v>33</v>
      </c>
      <c r="AA36" s="384">
        <f>dtsiswa!D39</f>
        <v>0</v>
      </c>
      <c r="AB36" s="385" t="str">
        <f t="shared" si="3"/>
        <v xml:space="preserve">    </v>
      </c>
      <c r="AC36" s="386" t="str">
        <f t="shared" si="2"/>
        <v xml:space="preserve">    </v>
      </c>
    </row>
    <row r="37" spans="1:29" ht="15.95" customHeight="1" x14ac:dyDescent="0.25">
      <c r="A37" s="134">
        <v>34</v>
      </c>
      <c r="B37" s="382">
        <f>dtsiswa!D40</f>
        <v>0</v>
      </c>
      <c r="C37" s="758">
        <f>Mat_ki3!N271</f>
        <v>0</v>
      </c>
      <c r="D37" s="758">
        <f>Mat_ki3!O271</f>
        <v>0</v>
      </c>
      <c r="E37" s="758">
        <f>Mat_ki3!P271</f>
        <v>0</v>
      </c>
      <c r="F37" s="758">
        <f>Mat_ki3!Q271</f>
        <v>0</v>
      </c>
      <c r="G37" s="758">
        <f>Mat_ki3!R271</f>
        <v>0</v>
      </c>
      <c r="H37" s="758">
        <f>Mat_ki3!S271</f>
        <v>0</v>
      </c>
      <c r="I37" s="758">
        <f>Mat_ki3!T271</f>
        <v>0</v>
      </c>
      <c r="J37" s="668" t="str">
        <f t="shared" si="0"/>
        <v xml:space="preserve">  </v>
      </c>
      <c r="L37" s="134">
        <v>34</v>
      </c>
      <c r="M37" s="382">
        <f>dtsiswa!D40</f>
        <v>0</v>
      </c>
      <c r="N37" s="383">
        <f>mat_ki4!Y403</f>
        <v>0</v>
      </c>
      <c r="O37" s="383">
        <f>mat_ki4!Z403</f>
        <v>0</v>
      </c>
      <c r="P37" s="383">
        <f>mat_ki4!AA403</f>
        <v>0</v>
      </c>
      <c r="Q37" s="383">
        <f>mat_ki4!AB403</f>
        <v>0</v>
      </c>
      <c r="R37" s="383">
        <f>mat_ki4!AC403</f>
        <v>0</v>
      </c>
      <c r="S37" s="383">
        <f>mat_ki4!AD403</f>
        <v>0</v>
      </c>
      <c r="T37" s="383">
        <f>mat_ki4!AE403</f>
        <v>0</v>
      </c>
      <c r="U37" s="383">
        <f>mat_ki4!AF403</f>
        <v>0</v>
      </c>
      <c r="V37" s="383">
        <f>mat_ki4!AG403</f>
        <v>0</v>
      </c>
      <c r="W37" s="383">
        <f>mat_ki4!AH403</f>
        <v>0</v>
      </c>
      <c r="X37" s="383">
        <f>mat_ki4!AI403</f>
        <v>0</v>
      </c>
      <c r="Y37" s="669" t="str">
        <f t="shared" si="1"/>
        <v xml:space="preserve">  </v>
      </c>
      <c r="Z37" s="134">
        <v>34</v>
      </c>
      <c r="AA37" s="384">
        <f>dtsiswa!D40</f>
        <v>0</v>
      </c>
      <c r="AB37" s="385" t="str">
        <f t="shared" si="3"/>
        <v xml:space="preserve">    </v>
      </c>
      <c r="AC37" s="386" t="str">
        <f t="shared" si="2"/>
        <v xml:space="preserve">    </v>
      </c>
    </row>
    <row r="38" spans="1:29" ht="15.95" customHeight="1" x14ac:dyDescent="0.25">
      <c r="A38" s="134">
        <v>35</v>
      </c>
      <c r="B38" s="382">
        <f>dtsiswa!D41</f>
        <v>0</v>
      </c>
      <c r="C38" s="758">
        <f>Mat_ki3!N279</f>
        <v>0</v>
      </c>
      <c r="D38" s="758">
        <f>Mat_ki3!O279</f>
        <v>0</v>
      </c>
      <c r="E38" s="758">
        <f>Mat_ki3!P279</f>
        <v>0</v>
      </c>
      <c r="F38" s="758">
        <f>Mat_ki3!Q279</f>
        <v>0</v>
      </c>
      <c r="G38" s="758">
        <f>Mat_ki3!R279</f>
        <v>0</v>
      </c>
      <c r="H38" s="758">
        <f>Mat_ki3!S279</f>
        <v>0</v>
      </c>
      <c r="I38" s="758">
        <f>Mat_ki3!T279</f>
        <v>0</v>
      </c>
      <c r="J38" s="668" t="str">
        <f t="shared" si="0"/>
        <v xml:space="preserve">  </v>
      </c>
      <c r="L38" s="134">
        <v>35</v>
      </c>
      <c r="M38" s="382">
        <f>dtsiswa!D41</f>
        <v>0</v>
      </c>
      <c r="N38" s="383">
        <f>mat_ki4!Y415</f>
        <v>0</v>
      </c>
      <c r="O38" s="383">
        <f>mat_ki4!Z415</f>
        <v>0</v>
      </c>
      <c r="P38" s="383">
        <f>mat_ki4!AA415</f>
        <v>0</v>
      </c>
      <c r="Q38" s="383">
        <f>mat_ki4!AB415</f>
        <v>0</v>
      </c>
      <c r="R38" s="383">
        <f>mat_ki4!AC415</f>
        <v>0</v>
      </c>
      <c r="S38" s="383">
        <f>mat_ki4!AD415</f>
        <v>0</v>
      </c>
      <c r="T38" s="383">
        <f>mat_ki4!AE415</f>
        <v>0</v>
      </c>
      <c r="U38" s="383">
        <f>mat_ki4!AF415</f>
        <v>0</v>
      </c>
      <c r="V38" s="383">
        <f>mat_ki4!AG415</f>
        <v>0</v>
      </c>
      <c r="W38" s="383">
        <f>mat_ki4!AH415</f>
        <v>0</v>
      </c>
      <c r="X38" s="383">
        <f>mat_ki4!AI415</f>
        <v>0</v>
      </c>
      <c r="Y38" s="669" t="str">
        <f t="shared" si="1"/>
        <v xml:space="preserve">  </v>
      </c>
      <c r="Z38" s="134">
        <v>35</v>
      </c>
      <c r="AA38" s="384">
        <f>dtsiswa!D41</f>
        <v>0</v>
      </c>
      <c r="AB38" s="385" t="str">
        <f t="shared" si="3"/>
        <v xml:space="preserve">    </v>
      </c>
      <c r="AC38" s="386" t="str">
        <f t="shared" si="2"/>
        <v xml:space="preserve">    </v>
      </c>
    </row>
    <row r="39" spans="1:29" ht="15.95" customHeight="1" x14ac:dyDescent="0.25">
      <c r="A39" s="134">
        <v>36</v>
      </c>
      <c r="B39" s="382">
        <f>dtsiswa!D42</f>
        <v>0</v>
      </c>
      <c r="C39" s="758">
        <f>Mat_ki3!N287</f>
        <v>0</v>
      </c>
      <c r="D39" s="758">
        <f>Mat_ki3!O287</f>
        <v>0</v>
      </c>
      <c r="E39" s="758">
        <f>Mat_ki3!P287</f>
        <v>0</v>
      </c>
      <c r="F39" s="758">
        <f>Mat_ki3!Q287</f>
        <v>0</v>
      </c>
      <c r="G39" s="758">
        <f>Mat_ki3!R287</f>
        <v>0</v>
      </c>
      <c r="H39" s="758">
        <f>Mat_ki3!S287</f>
        <v>0</v>
      </c>
      <c r="I39" s="758">
        <f>Mat_ki3!T287</f>
        <v>0</v>
      </c>
      <c r="J39" s="668" t="str">
        <f t="shared" si="0"/>
        <v xml:space="preserve">  </v>
      </c>
      <c r="L39" s="134">
        <v>36</v>
      </c>
      <c r="M39" s="382">
        <f>dtsiswa!D42</f>
        <v>0</v>
      </c>
      <c r="N39" s="383">
        <f>mat_ki4!Y427</f>
        <v>0</v>
      </c>
      <c r="O39" s="383">
        <f>mat_ki4!Z427</f>
        <v>0</v>
      </c>
      <c r="P39" s="383">
        <f>mat_ki4!AA427</f>
        <v>0</v>
      </c>
      <c r="Q39" s="383">
        <f>mat_ki4!AB427</f>
        <v>0</v>
      </c>
      <c r="R39" s="383">
        <f>mat_ki4!AC427</f>
        <v>0</v>
      </c>
      <c r="S39" s="383">
        <f>mat_ki4!AD427</f>
        <v>0</v>
      </c>
      <c r="T39" s="383">
        <f>mat_ki4!AE427</f>
        <v>0</v>
      </c>
      <c r="U39" s="383">
        <f>mat_ki4!AF427</f>
        <v>0</v>
      </c>
      <c r="V39" s="383">
        <f>mat_ki4!AG427</f>
        <v>0</v>
      </c>
      <c r="W39" s="383">
        <f>mat_ki4!AH427</f>
        <v>0</v>
      </c>
      <c r="X39" s="383">
        <f>mat_ki4!AI427</f>
        <v>0</v>
      </c>
      <c r="Y39" s="669" t="str">
        <f t="shared" si="1"/>
        <v xml:space="preserve">  </v>
      </c>
      <c r="Z39" s="134">
        <v>36</v>
      </c>
      <c r="AA39" s="384">
        <f>dtsiswa!D42</f>
        <v>0</v>
      </c>
      <c r="AB39" s="385" t="str">
        <f t="shared" si="3"/>
        <v xml:space="preserve">    </v>
      </c>
      <c r="AC39" s="386" t="str">
        <f t="shared" si="2"/>
        <v xml:space="preserve">    </v>
      </c>
    </row>
    <row r="40" spans="1:29" ht="15.95" customHeight="1" x14ac:dyDescent="0.25">
      <c r="A40" s="134">
        <v>37</v>
      </c>
      <c r="B40" s="382">
        <f>dtsiswa!D43</f>
        <v>0</v>
      </c>
      <c r="C40" s="758">
        <f>Mat_ki3!N295</f>
        <v>0</v>
      </c>
      <c r="D40" s="758">
        <f>Mat_ki3!O295</f>
        <v>0</v>
      </c>
      <c r="E40" s="758">
        <f>Mat_ki3!P295</f>
        <v>0</v>
      </c>
      <c r="F40" s="758">
        <f>Mat_ki3!Q295</f>
        <v>0</v>
      </c>
      <c r="G40" s="758">
        <f>Mat_ki3!R295</f>
        <v>0</v>
      </c>
      <c r="H40" s="758">
        <f>Mat_ki3!S295</f>
        <v>0</v>
      </c>
      <c r="I40" s="758">
        <f>Mat_ki3!T295</f>
        <v>0</v>
      </c>
      <c r="J40" s="668" t="str">
        <f t="shared" si="0"/>
        <v xml:space="preserve">  </v>
      </c>
      <c r="L40" s="134">
        <v>37</v>
      </c>
      <c r="M40" s="382">
        <f>dtsiswa!D43</f>
        <v>0</v>
      </c>
      <c r="N40" s="383">
        <f>mat_ki4!Y439</f>
        <v>0</v>
      </c>
      <c r="O40" s="383">
        <f>mat_ki4!Z439</f>
        <v>0</v>
      </c>
      <c r="P40" s="383">
        <f>mat_ki4!AA439</f>
        <v>0</v>
      </c>
      <c r="Q40" s="383">
        <f>mat_ki4!AB439</f>
        <v>0</v>
      </c>
      <c r="R40" s="383">
        <f>mat_ki4!AC439</f>
        <v>0</v>
      </c>
      <c r="S40" s="383">
        <f>mat_ki4!AD439</f>
        <v>0</v>
      </c>
      <c r="T40" s="383">
        <f>mat_ki4!AE439</f>
        <v>0</v>
      </c>
      <c r="U40" s="383">
        <f>mat_ki4!AF439</f>
        <v>0</v>
      </c>
      <c r="V40" s="383">
        <f>mat_ki4!AG439</f>
        <v>0</v>
      </c>
      <c r="W40" s="383">
        <f>mat_ki4!AH439</f>
        <v>0</v>
      </c>
      <c r="X40" s="383">
        <f>mat_ki4!AI439</f>
        <v>0</v>
      </c>
      <c r="Y40" s="669" t="str">
        <f t="shared" si="1"/>
        <v xml:space="preserve">  </v>
      </c>
      <c r="Z40" s="134">
        <v>37</v>
      </c>
      <c r="AA40" s="384">
        <f>dtsiswa!D43</f>
        <v>0</v>
      </c>
      <c r="AB40" s="385" t="str">
        <f t="shared" si="3"/>
        <v xml:space="preserve">    </v>
      </c>
      <c r="AC40" s="386" t="str">
        <f t="shared" si="2"/>
        <v xml:space="preserve">    </v>
      </c>
    </row>
    <row r="41" spans="1:29" ht="15.95" customHeight="1" x14ac:dyDescent="0.25">
      <c r="A41" s="134">
        <v>38</v>
      </c>
      <c r="B41" s="382">
        <f>dtsiswa!D44</f>
        <v>0</v>
      </c>
      <c r="C41" s="758">
        <f>Mat_ki3!N303</f>
        <v>0</v>
      </c>
      <c r="D41" s="758">
        <f>Mat_ki3!O303</f>
        <v>0</v>
      </c>
      <c r="E41" s="758">
        <f>Mat_ki3!P303</f>
        <v>0</v>
      </c>
      <c r="F41" s="758">
        <f>Mat_ki3!Q303</f>
        <v>0</v>
      </c>
      <c r="G41" s="758">
        <f>Mat_ki3!R303</f>
        <v>0</v>
      </c>
      <c r="H41" s="758">
        <f>Mat_ki3!S303</f>
        <v>0</v>
      </c>
      <c r="I41" s="758">
        <f>Mat_ki3!T303</f>
        <v>0</v>
      </c>
      <c r="J41" s="668" t="str">
        <f t="shared" si="0"/>
        <v xml:space="preserve">  </v>
      </c>
      <c r="L41" s="134">
        <v>38</v>
      </c>
      <c r="M41" s="382">
        <f>dtsiswa!D44</f>
        <v>0</v>
      </c>
      <c r="N41" s="383">
        <f>mat_ki4!Y451</f>
        <v>0</v>
      </c>
      <c r="O41" s="383">
        <f>mat_ki4!Z451</f>
        <v>0</v>
      </c>
      <c r="P41" s="383">
        <f>mat_ki4!AA451</f>
        <v>0</v>
      </c>
      <c r="Q41" s="383">
        <f>mat_ki4!AB451</f>
        <v>0</v>
      </c>
      <c r="R41" s="383">
        <f>mat_ki4!AC451</f>
        <v>0</v>
      </c>
      <c r="S41" s="383">
        <f>mat_ki4!AD451</f>
        <v>0</v>
      </c>
      <c r="T41" s="383">
        <f>mat_ki4!AE451</f>
        <v>0</v>
      </c>
      <c r="U41" s="383">
        <f>mat_ki4!AF451</f>
        <v>0</v>
      </c>
      <c r="V41" s="383">
        <f>mat_ki4!AG451</f>
        <v>0</v>
      </c>
      <c r="W41" s="383">
        <f>mat_ki4!AH451</f>
        <v>0</v>
      </c>
      <c r="X41" s="383">
        <f>mat_ki4!AI451</f>
        <v>0</v>
      </c>
      <c r="Y41" s="669" t="str">
        <f t="shared" si="1"/>
        <v xml:space="preserve">  </v>
      </c>
      <c r="Z41" s="134">
        <v>38</v>
      </c>
      <c r="AA41" s="384">
        <f>dtsiswa!D44</f>
        <v>0</v>
      </c>
      <c r="AB41" s="385" t="str">
        <f t="shared" si="3"/>
        <v xml:space="preserve">    </v>
      </c>
      <c r="AC41" s="386" t="str">
        <f t="shared" si="2"/>
        <v xml:space="preserve">    </v>
      </c>
    </row>
    <row r="42" spans="1:29" ht="15.95" customHeight="1" x14ac:dyDescent="0.25">
      <c r="A42" s="724">
        <v>39</v>
      </c>
      <c r="B42" s="748">
        <f>dtsiswa!D45</f>
        <v>0</v>
      </c>
      <c r="C42" s="749">
        <f>Mat_ki3!N311</f>
        <v>0</v>
      </c>
      <c r="D42" s="749">
        <f>Mat_ki3!O311</f>
        <v>0</v>
      </c>
      <c r="E42" s="749">
        <f>Mat_ki3!P311</f>
        <v>0</v>
      </c>
      <c r="F42" s="749">
        <f>Mat_ki3!Q311</f>
        <v>0</v>
      </c>
      <c r="G42" s="749">
        <f>Mat_ki3!R311</f>
        <v>0</v>
      </c>
      <c r="H42" s="749">
        <f>Mat_ki3!S311</f>
        <v>0</v>
      </c>
      <c r="I42" s="749">
        <f>Mat_ki3!T311</f>
        <v>0</v>
      </c>
      <c r="J42" s="668" t="str">
        <f t="shared" si="0"/>
        <v xml:space="preserve">  </v>
      </c>
      <c r="L42" s="724">
        <v>39</v>
      </c>
      <c r="M42" s="748">
        <f>dtsiswa!D45</f>
        <v>0</v>
      </c>
      <c r="N42" s="383">
        <f>mat_ki4!Y463</f>
        <v>0</v>
      </c>
      <c r="O42" s="383">
        <f>mat_ki4!Z463</f>
        <v>0</v>
      </c>
      <c r="P42" s="383">
        <f>mat_ki4!AA463</f>
        <v>0</v>
      </c>
      <c r="Q42" s="383">
        <f>mat_ki4!AB463</f>
        <v>0</v>
      </c>
      <c r="R42" s="383">
        <f>mat_ki4!AC463</f>
        <v>0</v>
      </c>
      <c r="S42" s="383">
        <f>mat_ki4!AD463</f>
        <v>0</v>
      </c>
      <c r="T42" s="383">
        <f>mat_ki4!AE463</f>
        <v>0</v>
      </c>
      <c r="U42" s="383">
        <f>mat_ki4!AF463</f>
        <v>0</v>
      </c>
      <c r="V42" s="383">
        <f>mat_ki4!AG463</f>
        <v>0</v>
      </c>
      <c r="W42" s="383">
        <f>mat_ki4!AH463</f>
        <v>0</v>
      </c>
      <c r="X42" s="383">
        <f>mat_ki4!AI463</f>
        <v>0</v>
      </c>
      <c r="Y42" s="669" t="str">
        <f t="shared" si="1"/>
        <v xml:space="preserve">  </v>
      </c>
      <c r="Z42" s="724">
        <v>39</v>
      </c>
      <c r="AA42" s="750">
        <f>dtsiswa!D45</f>
        <v>0</v>
      </c>
      <c r="AB42" s="751" t="str">
        <f t="shared" si="3"/>
        <v xml:space="preserve">    </v>
      </c>
      <c r="AC42" s="752" t="str">
        <f t="shared" si="2"/>
        <v xml:space="preserve">    </v>
      </c>
    </row>
    <row r="43" spans="1:29" ht="15.95" customHeight="1" x14ac:dyDescent="0.25">
      <c r="A43" s="134">
        <v>40</v>
      </c>
      <c r="B43" s="382">
        <f>dtsiswa!D46</f>
        <v>0</v>
      </c>
      <c r="C43" s="758">
        <f>Mat_ki3!N319</f>
        <v>0</v>
      </c>
      <c r="D43" s="758">
        <f>Mat_ki3!O319</f>
        <v>0</v>
      </c>
      <c r="E43" s="758">
        <f>Mat_ki3!P319</f>
        <v>0</v>
      </c>
      <c r="F43" s="758">
        <f>Mat_ki3!Q319</f>
        <v>0</v>
      </c>
      <c r="G43" s="758">
        <f>Mat_ki3!R319</f>
        <v>0</v>
      </c>
      <c r="H43" s="758">
        <f>Mat_ki3!S319</f>
        <v>0</v>
      </c>
      <c r="I43" s="758">
        <f>Mat_ki3!T319</f>
        <v>0</v>
      </c>
      <c r="J43" s="668" t="str">
        <f t="shared" si="0"/>
        <v xml:space="preserve">  </v>
      </c>
      <c r="K43" s="754"/>
      <c r="L43" s="134">
        <v>40</v>
      </c>
      <c r="M43" s="382">
        <f>dtsiswa!D46</f>
        <v>0</v>
      </c>
      <c r="N43" s="383">
        <f>mat_ki4!Y475</f>
        <v>0</v>
      </c>
      <c r="O43" s="383">
        <f>mat_ki4!Z475</f>
        <v>0</v>
      </c>
      <c r="P43" s="383">
        <f>mat_ki4!AA475</f>
        <v>0</v>
      </c>
      <c r="Q43" s="383">
        <f>mat_ki4!AB475</f>
        <v>0</v>
      </c>
      <c r="R43" s="383">
        <f>mat_ki4!AC475</f>
        <v>0</v>
      </c>
      <c r="S43" s="383">
        <f>mat_ki4!AD475</f>
        <v>0</v>
      </c>
      <c r="T43" s="383">
        <f>mat_ki4!AE475</f>
        <v>0</v>
      </c>
      <c r="U43" s="383">
        <f>mat_ki4!AF475</f>
        <v>0</v>
      </c>
      <c r="V43" s="383">
        <f>mat_ki4!AG475</f>
        <v>0</v>
      </c>
      <c r="W43" s="383">
        <f>mat_ki4!AH475</f>
        <v>0</v>
      </c>
      <c r="X43" s="383">
        <f>mat_ki4!AI475</f>
        <v>0</v>
      </c>
      <c r="Y43" s="669" t="str">
        <f t="shared" si="1"/>
        <v xml:space="preserve">  </v>
      </c>
      <c r="Z43" s="134">
        <v>40</v>
      </c>
      <c r="AA43" s="384">
        <f>dtsiswa!D46</f>
        <v>0</v>
      </c>
      <c r="AB43" s="385" t="str">
        <f t="shared" si="3"/>
        <v xml:space="preserve">    </v>
      </c>
      <c r="AC43" s="386" t="e">
        <f t="shared" si="2"/>
        <v>#REF!</v>
      </c>
    </row>
    <row r="44" spans="1:29" s="395" customFormat="1" ht="21" x14ac:dyDescent="0.35">
      <c r="A44" s="390"/>
      <c r="B44" s="753"/>
      <c r="C44" s="390"/>
      <c r="D44" s="753"/>
      <c r="E44" s="390"/>
      <c r="F44" s="753"/>
      <c r="G44" s="390"/>
      <c r="H44" s="753"/>
      <c r="I44" s="390"/>
      <c r="J44" s="755"/>
      <c r="K44" s="753"/>
      <c r="L44" s="390"/>
      <c r="U44" s="759"/>
      <c r="V44" s="759"/>
      <c r="W44" s="759"/>
      <c r="AA44" s="390"/>
      <c r="AB44" s="756"/>
      <c r="AC44" s="757"/>
    </row>
    <row r="45" spans="1:29" s="373" customFormat="1" x14ac:dyDescent="0.25"/>
    <row r="46" spans="1:29" s="395" customFormat="1" x14ac:dyDescent="0.25">
      <c r="C46" s="371"/>
      <c r="D46" s="371"/>
      <c r="E46" s="371"/>
      <c r="F46" s="371"/>
      <c r="G46" s="371"/>
      <c r="H46" s="371"/>
      <c r="I46" s="371"/>
      <c r="J46" s="371"/>
      <c r="K46" s="371"/>
      <c r="L46" s="371"/>
    </row>
    <row r="47" spans="1:29" x14ac:dyDescent="0.25">
      <c r="A47" s="373"/>
      <c r="B47" s="373"/>
      <c r="C47" s="373"/>
      <c r="D47" s="373"/>
      <c r="E47" s="373"/>
      <c r="F47" s="373"/>
      <c r="G47" s="373"/>
      <c r="H47" s="373"/>
      <c r="I47" s="373"/>
      <c r="J47" s="373"/>
      <c r="K47" s="364"/>
      <c r="L47" s="373"/>
      <c r="M47" s="373"/>
      <c r="N47" s="373"/>
      <c r="O47" s="373"/>
      <c r="P47" s="373"/>
      <c r="Q47" s="373"/>
      <c r="R47" s="373"/>
      <c r="S47" s="373"/>
      <c r="T47" s="373"/>
      <c r="U47" s="373"/>
      <c r="V47" s="373"/>
      <c r="W47" s="373"/>
      <c r="X47" s="373"/>
      <c r="Y47" s="373"/>
    </row>
    <row r="48" spans="1:29" ht="23.25" x14ac:dyDescent="0.35">
      <c r="A48" s="2907" t="s">
        <v>192</v>
      </c>
      <c r="B48" s="2907"/>
      <c r="C48" s="2907"/>
      <c r="D48" s="2907"/>
      <c r="E48" s="2907"/>
      <c r="F48" s="2907"/>
      <c r="G48" s="2907"/>
      <c r="H48" s="2907"/>
      <c r="I48" s="2907"/>
      <c r="J48" s="373"/>
      <c r="K48" s="364"/>
      <c r="L48" s="2907" t="s">
        <v>193</v>
      </c>
      <c r="M48" s="2907"/>
      <c r="N48" s="2907"/>
      <c r="O48" s="2907"/>
      <c r="P48" s="373"/>
      <c r="Q48" s="373"/>
      <c r="R48" s="373"/>
      <c r="S48" s="373"/>
      <c r="T48" s="373"/>
      <c r="U48" s="373"/>
      <c r="V48" s="373"/>
      <c r="W48" s="373"/>
      <c r="X48" s="373"/>
      <c r="Y48" s="373"/>
    </row>
    <row r="49" spans="1:25" ht="26.25" x14ac:dyDescent="0.4">
      <c r="A49" s="396" t="s">
        <v>148</v>
      </c>
      <c r="B49" s="373"/>
      <c r="C49" s="373"/>
      <c r="D49" s="373"/>
      <c r="E49" s="373"/>
      <c r="F49" s="373"/>
      <c r="G49" s="373"/>
      <c r="H49" s="373"/>
      <c r="I49" s="373"/>
      <c r="J49" s="373"/>
      <c r="K49" s="364"/>
      <c r="L49" s="376" t="s">
        <v>175</v>
      </c>
      <c r="M49" s="373"/>
      <c r="N49" s="373"/>
      <c r="O49" s="373"/>
      <c r="P49" s="373"/>
      <c r="Q49" s="373"/>
      <c r="R49" s="373"/>
      <c r="S49" s="373"/>
      <c r="T49" s="373"/>
      <c r="U49" s="373"/>
      <c r="V49" s="373"/>
      <c r="W49" s="373"/>
      <c r="X49" s="373"/>
      <c r="Y49" s="373"/>
    </row>
    <row r="50" spans="1:25" ht="40.5" customHeight="1" thickBot="1" x14ac:dyDescent="0.3">
      <c r="A50" s="397" t="s">
        <v>0</v>
      </c>
      <c r="B50" s="397" t="s">
        <v>1</v>
      </c>
      <c r="C50" s="894" t="s">
        <v>10</v>
      </c>
      <c r="D50" s="894" t="s">
        <v>20</v>
      </c>
      <c r="E50" s="894" t="s">
        <v>19</v>
      </c>
      <c r="F50" s="894" t="s">
        <v>181</v>
      </c>
      <c r="G50" s="894" t="s">
        <v>182</v>
      </c>
      <c r="H50" s="894" t="s">
        <v>566</v>
      </c>
      <c r="I50" s="894" t="s">
        <v>567</v>
      </c>
      <c r="J50" s="236" t="s">
        <v>138</v>
      </c>
      <c r="K50" s="364"/>
      <c r="L50" s="305" t="s">
        <v>0</v>
      </c>
      <c r="M50" s="305" t="s">
        <v>1</v>
      </c>
      <c r="N50" s="1045" t="s">
        <v>154</v>
      </c>
      <c r="O50" s="1045" t="s">
        <v>155</v>
      </c>
      <c r="P50" s="1045" t="s">
        <v>16</v>
      </c>
      <c r="Q50" s="1045" t="s">
        <v>189</v>
      </c>
      <c r="R50" s="1045" t="s">
        <v>186</v>
      </c>
      <c r="S50" s="1045" t="s">
        <v>187</v>
      </c>
      <c r="T50" s="1045" t="s">
        <v>17</v>
      </c>
      <c r="U50" s="1045" t="s">
        <v>188</v>
      </c>
      <c r="V50" s="1045" t="s">
        <v>569</v>
      </c>
      <c r="W50" s="1045" t="s">
        <v>209</v>
      </c>
      <c r="X50" s="1045" t="s">
        <v>210</v>
      </c>
      <c r="Y50" s="152" t="s">
        <v>138</v>
      </c>
    </row>
    <row r="51" spans="1:25" ht="24.75" customHeight="1" x14ac:dyDescent="0.25">
      <c r="A51" s="134">
        <v>1</v>
      </c>
      <c r="B51" s="382" t="str">
        <f>dtsiswa!D7</f>
        <v>Achmad Zacky</v>
      </c>
      <c r="C51" s="758">
        <f>Mat_ki3!U7</f>
        <v>3</v>
      </c>
      <c r="D51" s="758">
        <f>Mat_ki3!V7</f>
        <v>0</v>
      </c>
      <c r="E51" s="758">
        <f>Mat_ki3!W7</f>
        <v>0</v>
      </c>
      <c r="F51" s="758">
        <f>Mat_ki3!X7</f>
        <v>0</v>
      </c>
      <c r="G51" s="758">
        <f>Mat_ki3!Y7</f>
        <v>0</v>
      </c>
      <c r="H51" s="758">
        <f>Mat_ki3!Z7</f>
        <v>0</v>
      </c>
      <c r="I51" s="758">
        <f>Mat_ki3!AA7</f>
        <v>0</v>
      </c>
      <c r="J51" s="398" t="str">
        <f t="shared" ref="J51:J90" si="4">IF(OR(C51=2,C51=3),VLOOKUP(C51,DES_KI3_MAT,2,FALSE),IF(OR(D51=2,D51=3),VLOOKUP(D51,DES_KI3_MAT,3,FALSE),IF(OR(E51=2,E51=3),VLOOKUP(E51,DES_KI3_MAT,4,FALSE),IF(OR(F51=2,F51=3),VLOOKUP(F51,DES_KI3_MAT,5,FALSE),IF(OR(G51=2,G51=3),VLOOKUP(G51,DES_KI3_MAT,6,FALSE),IF(OR(H51=2,H51=3),VLOOKUP(H51,DES_KI3_MAT,7,FALSE),IF(OR(I51=2,I51=3),VLOOKUP(I51,DES_KI3_MAT,8,FALSE),"  ")))))))</f>
        <v xml:space="preserve">Baik dalam Memahami aturan pembulatan dalam membaca hasil pengukuran dengan alat ukur. </v>
      </c>
      <c r="K51" s="758" t="e">
        <f>VLOOKUP($A$51,Ragm_ki3,29,FALSE)</f>
        <v>#NAME?</v>
      </c>
      <c r="L51" s="134">
        <v>1</v>
      </c>
      <c r="M51" s="382" t="str">
        <f>dtsiswa!D7</f>
        <v>Achmad Zacky</v>
      </c>
      <c r="N51" s="383">
        <f>mat_ki4!AJ7</f>
        <v>0</v>
      </c>
      <c r="O51" s="383">
        <f>mat_ki4!AK7</f>
        <v>0</v>
      </c>
      <c r="P51" s="383">
        <f>mat_ki4!AL7</f>
        <v>0</v>
      </c>
      <c r="Q51" s="383">
        <f>mat_ki4!AM7</f>
        <v>0</v>
      </c>
      <c r="R51" s="383">
        <f>mat_ki4!AN7</f>
        <v>0</v>
      </c>
      <c r="S51" s="383">
        <f>mat_ki4!AO7</f>
        <v>0</v>
      </c>
      <c r="T51" s="383">
        <f>mat_ki4!AP7</f>
        <v>0</v>
      </c>
      <c r="U51" s="383">
        <f>mat_ki4!AQ7</f>
        <v>0</v>
      </c>
      <c r="V51" s="383">
        <f>mat_ki4!AR7</f>
        <v>0</v>
      </c>
      <c r="W51" s="383">
        <f>mat_ki4!AS7</f>
        <v>0</v>
      </c>
      <c r="X51" s="383">
        <f>mat_ki4!AT7</f>
        <v>2</v>
      </c>
      <c r="Y51" s="1125" t="str">
        <f>IF(OR(N51=2,N51=3),VLOOKUP(N51,des_KI4_mat,2,FALSE),IF(OR(O51=2,O51=3),VLOOKUP(O51,des_KI4_mat,3,FALSE),IF(OR(P51=2,P51=3),VLOOKUP(P51,des_KI4_mat,4,FALSE),IF(OR(Q51=2,Q51=3),VLOOKUP(Q51,des_KI4_mat,5,FALSE),IF(OR(R51=2,R51=3),VLOOKUP(R51,des_KI4_mat,6,FALSE),IF(OR(S51=2,S51=3),VLOOKUP(S51,des_KI4_mat,7,FALSE),IF(OR(T51=2,T51=3),VLOOKUP(T51,des_KI4_mat,8,FALSE),IF(OR(U51=2,U513),VLOOKUP(U51,des_KI4_mat,9,FALSE),IF(OR(V51=2,V51=3),VLOOKUP(V51,des_KI4_mat,10,FALSE),IF(OR(W51=2,W51=3),VLOOKUP(W51,des_KI4_mat,11,FALSE),IF(OR(X51=2,X51=3),VLOOKUP(X51,des_KI4_mat,12,FALSE),"  ")))))))))))</f>
        <v xml:space="preserve">Cukup baik dalam Menggabung sudut bagian dalam segitiga dan segi empat untuk menarik kesimpulan. </v>
      </c>
    </row>
    <row r="52" spans="1:25" ht="15.75" x14ac:dyDescent="0.25">
      <c r="A52" s="134">
        <v>2</v>
      </c>
      <c r="B52" s="382" t="str">
        <f>dtsiswa!D8</f>
        <v>Angelia Vabel R</v>
      </c>
      <c r="C52" s="758">
        <f>Mat_ki3!U15</f>
        <v>0</v>
      </c>
      <c r="D52" s="758">
        <f>Mat_ki3!V15</f>
        <v>0</v>
      </c>
      <c r="E52" s="758">
        <f>Mat_ki3!W15</f>
        <v>0</v>
      </c>
      <c r="F52" s="758">
        <f>Mat_ki3!X15</f>
        <v>0</v>
      </c>
      <c r="G52" s="758">
        <f>Mat_ki3!Y15</f>
        <v>0</v>
      </c>
      <c r="H52" s="758">
        <f>Mat_ki3!Z15</f>
        <v>0</v>
      </c>
      <c r="I52" s="758">
        <f>Mat_ki3!AA15</f>
        <v>0</v>
      </c>
      <c r="J52" s="398" t="str">
        <f t="shared" si="4"/>
        <v xml:space="preserve">  </v>
      </c>
      <c r="L52" s="758">
        <v>2</v>
      </c>
      <c r="M52" s="382" t="str">
        <f>dtsiswa!D8</f>
        <v>Angelia Vabel R</v>
      </c>
      <c r="N52" s="383">
        <f>mat_ki4!Y19</f>
        <v>0</v>
      </c>
      <c r="O52" s="383">
        <f>mat_ki4!Z19</f>
        <v>0</v>
      </c>
      <c r="P52" s="383">
        <f>mat_ki4!AA19</f>
        <v>0</v>
      </c>
      <c r="Q52" s="383">
        <f>mat_ki4!AB19</f>
        <v>0</v>
      </c>
      <c r="R52" s="383">
        <f>mat_ki4!AC19</f>
        <v>0</v>
      </c>
      <c r="S52" s="383">
        <f>mat_ki4!AD19</f>
        <v>0</v>
      </c>
      <c r="T52" s="383">
        <f>mat_ki4!AE19</f>
        <v>0</v>
      </c>
      <c r="U52" s="383">
        <f>mat_ki4!AF19</f>
        <v>0</v>
      </c>
      <c r="V52" s="383">
        <f>mat_ki4!AG19</f>
        <v>0</v>
      </c>
      <c r="W52" s="383">
        <f>mat_ki4!AH19</f>
        <v>0</v>
      </c>
      <c r="X52" s="383">
        <f>mat_ki4!AI19</f>
        <v>0</v>
      </c>
      <c r="Y52" s="743" t="str">
        <f t="shared" ref="Y52:Y90" si="5">IF(OR(N52=1),VLOOKUP(N52,des_KI4_mat,2,FALSE),IF(OR(O52=1),VLOOKUP(O52,des_KI4_mat,3,FALSE),IF(OR(P52=1),VLOOKUP(P52,des_KI4_mat,4,FALSE),IF(OR(Q52=1),VLOOKUP(Q52,des_KI4_mat,5,FALSE),IF(OR(R52=1),VLOOKUP(R52,des_KI4_mat,6,FALSE),IF(OR(S52=1),VLOOKUP(S52,des_KI4_mat,7,FALSE),IF(OR(T52=1),VLOOKUP(T52,des_KI4_mat,8,FALSE),IF(OR(U52=1),VLOOKUP(U52,des_KI4_mat,9,FALSE),IF(OR(V52=1),VLOOKUP(V52,des_KI4_mat,10,FALSE),IF(OR(W52=1),VLOOKUP(W52,des_KI4_mat,11,FALSE),IF(OR(X52=1),VLOOKUP(X52,des_KI4_mat,12,FALSE),"  ")))))))))))</f>
        <v xml:space="preserve">  </v>
      </c>
    </row>
    <row r="53" spans="1:25" ht="15.75" x14ac:dyDescent="0.25">
      <c r="A53" s="134">
        <v>3</v>
      </c>
      <c r="B53" s="382" t="str">
        <f>dtsiswa!D9</f>
        <v>Anggun Dwi P.I</v>
      </c>
      <c r="C53" s="758">
        <f>Mat_ki3!U23</f>
        <v>0</v>
      </c>
      <c r="D53" s="758">
        <f>Mat_ki3!V23</f>
        <v>0</v>
      </c>
      <c r="E53" s="758">
        <f>Mat_ki3!W23</f>
        <v>0</v>
      </c>
      <c r="F53" s="758">
        <f>Mat_ki3!X23</f>
        <v>0</v>
      </c>
      <c r="G53" s="758">
        <f>Mat_ki3!Y23</f>
        <v>0</v>
      </c>
      <c r="H53" s="758">
        <f>Mat_ki3!Z23</f>
        <v>0</v>
      </c>
      <c r="I53" s="758">
        <f>Mat_ki3!AA23</f>
        <v>0</v>
      </c>
      <c r="J53" s="398" t="str">
        <f t="shared" si="4"/>
        <v xml:space="preserve">  </v>
      </c>
      <c r="L53" s="134">
        <v>3</v>
      </c>
      <c r="M53" s="382" t="str">
        <f>dtsiswa!D9</f>
        <v>Anggun Dwi P.I</v>
      </c>
      <c r="N53" s="383">
        <f>mat_ki4!Y31</f>
        <v>0</v>
      </c>
      <c r="O53" s="383">
        <f>mat_ki4!Z31</f>
        <v>0</v>
      </c>
      <c r="P53" s="383">
        <f>mat_ki4!AA31</f>
        <v>0</v>
      </c>
      <c r="Q53" s="383">
        <f>mat_ki4!AB31</f>
        <v>0</v>
      </c>
      <c r="R53" s="383">
        <f>mat_ki4!AC31</f>
        <v>0</v>
      </c>
      <c r="S53" s="383">
        <f>mat_ki4!AD31</f>
        <v>0</v>
      </c>
      <c r="T53" s="383">
        <f>mat_ki4!AE31</f>
        <v>0</v>
      </c>
      <c r="U53" s="383">
        <f>mat_ki4!AF31</f>
        <v>0</v>
      </c>
      <c r="V53" s="383">
        <f>mat_ki4!AG31</f>
        <v>0</v>
      </c>
      <c r="W53" s="383">
        <f>mat_ki4!AH31</f>
        <v>0</v>
      </c>
      <c r="X53" s="383">
        <f>mat_ki4!AI31</f>
        <v>0</v>
      </c>
      <c r="Y53" s="743" t="str">
        <f t="shared" si="5"/>
        <v xml:space="preserve">  </v>
      </c>
    </row>
    <row r="54" spans="1:25" ht="15.75" x14ac:dyDescent="0.25">
      <c r="A54" s="134">
        <v>4</v>
      </c>
      <c r="B54" s="382" t="str">
        <f>dtsiswa!D10</f>
        <v>Antonio Permata A</v>
      </c>
      <c r="C54" s="758">
        <f>Mat_ki3!U31</f>
        <v>0</v>
      </c>
      <c r="D54" s="758">
        <f>Mat_ki3!V31</f>
        <v>0</v>
      </c>
      <c r="E54" s="758">
        <f>Mat_ki3!W31</f>
        <v>0</v>
      </c>
      <c r="F54" s="758">
        <f>Mat_ki3!X31</f>
        <v>0</v>
      </c>
      <c r="G54" s="758">
        <f>Mat_ki3!Y31</f>
        <v>0</v>
      </c>
      <c r="H54" s="758">
        <f>Mat_ki3!Z31</f>
        <v>0</v>
      </c>
      <c r="I54" s="758">
        <f>Mat_ki3!AA31</f>
        <v>0</v>
      </c>
      <c r="J54" s="398" t="str">
        <f t="shared" si="4"/>
        <v xml:space="preserve">  </v>
      </c>
      <c r="L54" s="758">
        <v>4</v>
      </c>
      <c r="M54" s="382" t="str">
        <f>dtsiswa!D10</f>
        <v>Antonio Permata A</v>
      </c>
      <c r="N54" s="383">
        <f>mat_ki4!Y43</f>
        <v>0</v>
      </c>
      <c r="O54" s="383">
        <f>mat_ki4!Z43</f>
        <v>0</v>
      </c>
      <c r="P54" s="383">
        <f>mat_ki4!AA43</f>
        <v>0</v>
      </c>
      <c r="Q54" s="383">
        <f>mat_ki4!AB43</f>
        <v>0</v>
      </c>
      <c r="R54" s="383">
        <f>mat_ki4!AC43</f>
        <v>0</v>
      </c>
      <c r="S54" s="383">
        <f>mat_ki4!AD43</f>
        <v>0</v>
      </c>
      <c r="T54" s="383">
        <f>mat_ki4!AE43</f>
        <v>0</v>
      </c>
      <c r="U54" s="383">
        <f>mat_ki4!AF43</f>
        <v>0</v>
      </c>
      <c r="V54" s="383">
        <f>mat_ki4!AG43</f>
        <v>0</v>
      </c>
      <c r="W54" s="383">
        <f>mat_ki4!AH43</f>
        <v>0</v>
      </c>
      <c r="X54" s="383">
        <f>mat_ki4!AI43</f>
        <v>0</v>
      </c>
      <c r="Y54" s="743" t="str">
        <f t="shared" si="5"/>
        <v xml:space="preserve">  </v>
      </c>
    </row>
    <row r="55" spans="1:25" ht="15.75" x14ac:dyDescent="0.25">
      <c r="A55" s="134">
        <v>5</v>
      </c>
      <c r="B55" s="382" t="str">
        <f>dtsiswa!D11</f>
        <v>Arya Pratama G</v>
      </c>
      <c r="C55" s="758">
        <f>Mat_ki3!U39</f>
        <v>0</v>
      </c>
      <c r="D55" s="758">
        <f>Mat_ki3!V39</f>
        <v>0</v>
      </c>
      <c r="E55" s="758">
        <f>Mat_ki3!W39</f>
        <v>0</v>
      </c>
      <c r="F55" s="758">
        <f>Mat_ki3!X39</f>
        <v>0</v>
      </c>
      <c r="G55" s="758">
        <f>Mat_ki3!Y39</f>
        <v>0</v>
      </c>
      <c r="H55" s="758">
        <f>Mat_ki3!Z39</f>
        <v>0</v>
      </c>
      <c r="I55" s="758">
        <f>Mat_ki3!AA39</f>
        <v>0</v>
      </c>
      <c r="J55" s="398" t="str">
        <f t="shared" si="4"/>
        <v xml:space="preserve">  </v>
      </c>
      <c r="L55" s="134">
        <v>5</v>
      </c>
      <c r="M55" s="382" t="str">
        <f>dtsiswa!D11</f>
        <v>Arya Pratama G</v>
      </c>
      <c r="N55" s="383">
        <f>mat_ki4!Y55</f>
        <v>0</v>
      </c>
      <c r="O55" s="383">
        <f>mat_ki4!Z55</f>
        <v>0</v>
      </c>
      <c r="P55" s="383">
        <f>mat_ki4!AA55</f>
        <v>0</v>
      </c>
      <c r="Q55" s="383">
        <f>mat_ki4!AB55</f>
        <v>0</v>
      </c>
      <c r="R55" s="383">
        <f>mat_ki4!AC55</f>
        <v>0</v>
      </c>
      <c r="S55" s="383">
        <f>mat_ki4!AD55</f>
        <v>0</v>
      </c>
      <c r="T55" s="383">
        <f>mat_ki4!AE55</f>
        <v>0</v>
      </c>
      <c r="U55" s="383">
        <f>mat_ki4!AF55</f>
        <v>0</v>
      </c>
      <c r="V55" s="383">
        <f>mat_ki4!AG55</f>
        <v>0</v>
      </c>
      <c r="W55" s="383">
        <f>mat_ki4!AH55</f>
        <v>0</v>
      </c>
      <c r="X55" s="383">
        <f>mat_ki4!AI55</f>
        <v>0</v>
      </c>
      <c r="Y55" s="743" t="str">
        <f t="shared" si="5"/>
        <v xml:space="preserve">  </v>
      </c>
    </row>
    <row r="56" spans="1:25" ht="15.75" x14ac:dyDescent="0.25">
      <c r="A56" s="134">
        <v>6</v>
      </c>
      <c r="B56" s="382" t="str">
        <f>dtsiswa!D12</f>
        <v>Asyam Hanif Ihsan H</v>
      </c>
      <c r="C56" s="758">
        <f>Mat_ki3!U47</f>
        <v>0</v>
      </c>
      <c r="D56" s="758">
        <f>Mat_ki3!V47</f>
        <v>0</v>
      </c>
      <c r="E56" s="758">
        <f>Mat_ki3!W47</f>
        <v>0</v>
      </c>
      <c r="F56" s="758">
        <f>Mat_ki3!X47</f>
        <v>0</v>
      </c>
      <c r="G56" s="758">
        <f>Mat_ki3!Y47</f>
        <v>0</v>
      </c>
      <c r="H56" s="758">
        <f>Mat_ki3!Z47</f>
        <v>0</v>
      </c>
      <c r="I56" s="758">
        <f>Mat_ki3!AA47</f>
        <v>0</v>
      </c>
      <c r="J56" s="398" t="str">
        <f t="shared" si="4"/>
        <v xml:space="preserve">  </v>
      </c>
      <c r="L56" s="758">
        <v>6</v>
      </c>
      <c r="M56" s="382" t="str">
        <f>dtsiswa!D12</f>
        <v>Asyam Hanif Ihsan H</v>
      </c>
      <c r="N56" s="383">
        <f>mat_ki4!Y67</f>
        <v>0</v>
      </c>
      <c r="O56" s="383">
        <f>mat_ki4!Z67</f>
        <v>0</v>
      </c>
      <c r="P56" s="383">
        <f>mat_ki4!AA67</f>
        <v>0</v>
      </c>
      <c r="Q56" s="383">
        <f>mat_ki4!AB67</f>
        <v>0</v>
      </c>
      <c r="R56" s="383">
        <f>mat_ki4!AC67</f>
        <v>0</v>
      </c>
      <c r="S56" s="383">
        <f>mat_ki4!AD67</f>
        <v>0</v>
      </c>
      <c r="T56" s="383">
        <f>mat_ki4!AE67</f>
        <v>0</v>
      </c>
      <c r="U56" s="383">
        <f>mat_ki4!AF67</f>
        <v>0</v>
      </c>
      <c r="V56" s="383">
        <f>mat_ki4!AG67</f>
        <v>0</v>
      </c>
      <c r="W56" s="383">
        <f>mat_ki4!AH67</f>
        <v>0</v>
      </c>
      <c r="X56" s="383">
        <f>mat_ki4!AI67</f>
        <v>0</v>
      </c>
      <c r="Y56" s="743" t="str">
        <f t="shared" si="5"/>
        <v xml:space="preserve">  </v>
      </c>
    </row>
    <row r="57" spans="1:25" ht="15.75" x14ac:dyDescent="0.25">
      <c r="A57" s="134">
        <v>7</v>
      </c>
      <c r="B57" s="382" t="str">
        <f>dtsiswa!D13</f>
        <v>Athaya Salsabilla Z</v>
      </c>
      <c r="C57" s="758">
        <f>Mat_ki3!U55</f>
        <v>0</v>
      </c>
      <c r="D57" s="758">
        <f>Mat_ki3!V55</f>
        <v>0</v>
      </c>
      <c r="E57" s="758">
        <f>Mat_ki3!W55</f>
        <v>0</v>
      </c>
      <c r="F57" s="758">
        <f>Mat_ki3!X55</f>
        <v>0</v>
      </c>
      <c r="G57" s="758">
        <f>Mat_ki3!Y55</f>
        <v>0</v>
      </c>
      <c r="H57" s="758">
        <f>Mat_ki3!Z55</f>
        <v>0</v>
      </c>
      <c r="I57" s="758">
        <f>Mat_ki3!AA55</f>
        <v>0</v>
      </c>
      <c r="J57" s="398" t="str">
        <f t="shared" si="4"/>
        <v xml:space="preserve">  </v>
      </c>
      <c r="L57" s="134">
        <v>7</v>
      </c>
      <c r="M57" s="382" t="str">
        <f>dtsiswa!D13</f>
        <v>Athaya Salsabilla Z</v>
      </c>
      <c r="N57" s="383">
        <f>mat_ki4!Y79</f>
        <v>0</v>
      </c>
      <c r="O57" s="383">
        <f>mat_ki4!Z79</f>
        <v>0</v>
      </c>
      <c r="P57" s="383">
        <f>mat_ki4!AA79</f>
        <v>0</v>
      </c>
      <c r="Q57" s="383">
        <f>mat_ki4!AB79</f>
        <v>0</v>
      </c>
      <c r="R57" s="383">
        <f>mat_ki4!AC79</f>
        <v>0</v>
      </c>
      <c r="S57" s="383">
        <f>mat_ki4!AD79</f>
        <v>0</v>
      </c>
      <c r="T57" s="383">
        <f>mat_ki4!AE79</f>
        <v>0</v>
      </c>
      <c r="U57" s="383">
        <f>mat_ki4!AF79</f>
        <v>0</v>
      </c>
      <c r="V57" s="383">
        <f>mat_ki4!AG79</f>
        <v>0</v>
      </c>
      <c r="W57" s="383">
        <f>mat_ki4!AH79</f>
        <v>0</v>
      </c>
      <c r="X57" s="383">
        <f>mat_ki4!AI79</f>
        <v>0</v>
      </c>
      <c r="Y57" s="743" t="str">
        <f t="shared" si="5"/>
        <v xml:space="preserve">  </v>
      </c>
    </row>
    <row r="58" spans="1:25" ht="15.75" x14ac:dyDescent="0.25">
      <c r="A58" s="134">
        <v>8</v>
      </c>
      <c r="B58" s="382" t="str">
        <f>dtsiswa!D14</f>
        <v>Aulia Dea Rosalinda</v>
      </c>
      <c r="C58" s="758">
        <f>Mat_ki3!U63</f>
        <v>0</v>
      </c>
      <c r="D58" s="758">
        <f>Mat_ki3!V63</f>
        <v>0</v>
      </c>
      <c r="E58" s="758">
        <f>Mat_ki3!W63</f>
        <v>0</v>
      </c>
      <c r="F58" s="758">
        <f>Mat_ki3!X63</f>
        <v>0</v>
      </c>
      <c r="G58" s="758">
        <f>Mat_ki3!Y63</f>
        <v>0</v>
      </c>
      <c r="H58" s="758">
        <f>Mat_ki3!Z63</f>
        <v>0</v>
      </c>
      <c r="I58" s="758">
        <f>Mat_ki3!AA63</f>
        <v>0</v>
      </c>
      <c r="J58" s="398" t="str">
        <f t="shared" si="4"/>
        <v xml:space="preserve">  </v>
      </c>
      <c r="L58" s="758">
        <v>8</v>
      </c>
      <c r="M58" s="382" t="str">
        <f>dtsiswa!D14</f>
        <v>Aulia Dea Rosalinda</v>
      </c>
      <c r="N58" s="383">
        <f>mat_ki4!Y91</f>
        <v>0</v>
      </c>
      <c r="O58" s="383">
        <f>mat_ki4!Z91</f>
        <v>0</v>
      </c>
      <c r="P58" s="383">
        <f>mat_ki4!AA91</f>
        <v>0</v>
      </c>
      <c r="Q58" s="383">
        <f>mat_ki4!AB91</f>
        <v>0</v>
      </c>
      <c r="R58" s="383">
        <f>mat_ki4!AC91</f>
        <v>0</v>
      </c>
      <c r="S58" s="383">
        <f>mat_ki4!AD91</f>
        <v>0</v>
      </c>
      <c r="T58" s="383">
        <f>mat_ki4!AE91</f>
        <v>0</v>
      </c>
      <c r="U58" s="383">
        <f>mat_ki4!AF91</f>
        <v>0</v>
      </c>
      <c r="V58" s="383">
        <f>mat_ki4!AG91</f>
        <v>0</v>
      </c>
      <c r="W58" s="383">
        <f>mat_ki4!AH91</f>
        <v>0</v>
      </c>
      <c r="X58" s="383">
        <f>mat_ki4!AI91</f>
        <v>0</v>
      </c>
      <c r="Y58" s="743" t="str">
        <f t="shared" si="5"/>
        <v xml:space="preserve">  </v>
      </c>
    </row>
    <row r="59" spans="1:25" ht="15.75" x14ac:dyDescent="0.25">
      <c r="A59" s="134">
        <v>9</v>
      </c>
      <c r="B59" s="382" t="str">
        <f>dtsiswa!D15</f>
        <v>Claudia Gabriella L</v>
      </c>
      <c r="C59" s="758">
        <f>Mat_ki3!U71</f>
        <v>0</v>
      </c>
      <c r="D59" s="758">
        <f>Mat_ki3!V71</f>
        <v>0</v>
      </c>
      <c r="E59" s="758">
        <f>Mat_ki3!W71</f>
        <v>0</v>
      </c>
      <c r="F59" s="758">
        <f>Mat_ki3!X71</f>
        <v>0</v>
      </c>
      <c r="G59" s="758">
        <f>Mat_ki3!Y71</f>
        <v>0</v>
      </c>
      <c r="H59" s="758">
        <f>Mat_ki3!Z71</f>
        <v>0</v>
      </c>
      <c r="I59" s="758">
        <f>Mat_ki3!AA71</f>
        <v>0</v>
      </c>
      <c r="J59" s="398" t="str">
        <f t="shared" si="4"/>
        <v xml:space="preserve">  </v>
      </c>
      <c r="L59" s="134">
        <v>9</v>
      </c>
      <c r="M59" s="382" t="str">
        <f>dtsiswa!D15</f>
        <v>Claudia Gabriella L</v>
      </c>
      <c r="N59" s="383">
        <f>mat_ki4!Y103</f>
        <v>0</v>
      </c>
      <c r="O59" s="383">
        <f>mat_ki4!Z103</f>
        <v>0</v>
      </c>
      <c r="P59" s="383">
        <f>mat_ki4!AA103</f>
        <v>0</v>
      </c>
      <c r="Q59" s="383">
        <f>mat_ki4!AB103</f>
        <v>0</v>
      </c>
      <c r="R59" s="383">
        <f>mat_ki4!AC103</f>
        <v>0</v>
      </c>
      <c r="S59" s="383">
        <f>mat_ki4!AD103</f>
        <v>0</v>
      </c>
      <c r="T59" s="383">
        <f>mat_ki4!AE103</f>
        <v>0</v>
      </c>
      <c r="U59" s="383">
        <f>mat_ki4!AF103</f>
        <v>0</v>
      </c>
      <c r="V59" s="383">
        <f>mat_ki4!AG103</f>
        <v>0</v>
      </c>
      <c r="W59" s="383">
        <f>mat_ki4!AH103</f>
        <v>0</v>
      </c>
      <c r="X59" s="383">
        <f>mat_ki4!AI103</f>
        <v>0</v>
      </c>
      <c r="Y59" s="743" t="str">
        <f t="shared" si="5"/>
        <v xml:space="preserve">  </v>
      </c>
    </row>
    <row r="60" spans="1:25" ht="15.75" x14ac:dyDescent="0.25">
      <c r="A60" s="134">
        <v>10</v>
      </c>
      <c r="B60" s="382" t="str">
        <f>dtsiswa!D16</f>
        <v xml:space="preserve">Deco Badarus Zaman </v>
      </c>
      <c r="C60" s="758">
        <f>Mat_ki3!U79</f>
        <v>0</v>
      </c>
      <c r="D60" s="758">
        <f>Mat_ki3!V79</f>
        <v>0</v>
      </c>
      <c r="E60" s="758">
        <f>Mat_ki3!W79</f>
        <v>0</v>
      </c>
      <c r="F60" s="758">
        <f>Mat_ki3!X79</f>
        <v>0</v>
      </c>
      <c r="G60" s="758">
        <f>Mat_ki3!Y79</f>
        <v>0</v>
      </c>
      <c r="H60" s="758">
        <f>Mat_ki3!Z79</f>
        <v>0</v>
      </c>
      <c r="I60" s="758">
        <f>Mat_ki3!AA79</f>
        <v>0</v>
      </c>
      <c r="J60" s="398" t="str">
        <f t="shared" si="4"/>
        <v xml:space="preserve">  </v>
      </c>
      <c r="L60" s="758">
        <v>10</v>
      </c>
      <c r="M60" s="382" t="str">
        <f>dtsiswa!D16</f>
        <v xml:space="preserve">Deco Badarus Zaman </v>
      </c>
      <c r="N60" s="383">
        <f>mat_ki4!Y115</f>
        <v>0</v>
      </c>
      <c r="O60" s="383">
        <f>mat_ki4!Z115</f>
        <v>0</v>
      </c>
      <c r="P60" s="383">
        <f>mat_ki4!AA115</f>
        <v>0</v>
      </c>
      <c r="Q60" s="383">
        <f>mat_ki4!AB115</f>
        <v>0</v>
      </c>
      <c r="R60" s="383">
        <f>mat_ki4!AC115</f>
        <v>0</v>
      </c>
      <c r="S60" s="383">
        <f>mat_ki4!AD115</f>
        <v>0</v>
      </c>
      <c r="T60" s="383">
        <f>mat_ki4!AE115</f>
        <v>0</v>
      </c>
      <c r="U60" s="383">
        <f>mat_ki4!AF115</f>
        <v>0</v>
      </c>
      <c r="V60" s="383">
        <f>mat_ki4!AG115</f>
        <v>0</v>
      </c>
      <c r="W60" s="383">
        <f>mat_ki4!AH115</f>
        <v>0</v>
      </c>
      <c r="X60" s="383">
        <f>mat_ki4!AI115</f>
        <v>0</v>
      </c>
      <c r="Y60" s="743" t="str">
        <f t="shared" si="5"/>
        <v xml:space="preserve">  </v>
      </c>
    </row>
    <row r="61" spans="1:25" ht="15.75" x14ac:dyDescent="0.25">
      <c r="A61" s="134">
        <v>11</v>
      </c>
      <c r="B61" s="382" t="str">
        <f>dtsiswa!D17</f>
        <v>Fania Mutiara Felichia</v>
      </c>
      <c r="C61" s="758">
        <f>Mat_ki3!U87</f>
        <v>0</v>
      </c>
      <c r="D61" s="758">
        <f>Mat_ki3!V87</f>
        <v>0</v>
      </c>
      <c r="E61" s="758">
        <f>Mat_ki3!W87</f>
        <v>0</v>
      </c>
      <c r="F61" s="758">
        <f>Mat_ki3!X87</f>
        <v>0</v>
      </c>
      <c r="G61" s="758">
        <f>Mat_ki3!Y87</f>
        <v>0</v>
      </c>
      <c r="H61" s="758">
        <f>Mat_ki3!Z87</f>
        <v>0</v>
      </c>
      <c r="I61" s="758">
        <f>Mat_ki3!AA87</f>
        <v>0</v>
      </c>
      <c r="J61" s="398" t="str">
        <f t="shared" si="4"/>
        <v xml:space="preserve">  </v>
      </c>
      <c r="L61" s="134">
        <v>11</v>
      </c>
      <c r="M61" s="382" t="str">
        <f>dtsiswa!D17</f>
        <v>Fania Mutiara Felichia</v>
      </c>
      <c r="N61" s="383">
        <f>mat_ki4!Y127</f>
        <v>0</v>
      </c>
      <c r="O61" s="383">
        <f>mat_ki4!Z127</f>
        <v>0</v>
      </c>
      <c r="P61" s="383">
        <f>mat_ki4!AA127</f>
        <v>0</v>
      </c>
      <c r="Q61" s="383">
        <f>mat_ki4!AB127</f>
        <v>0</v>
      </c>
      <c r="R61" s="383">
        <f>mat_ki4!AC127</f>
        <v>0</v>
      </c>
      <c r="S61" s="383">
        <f>mat_ki4!AD127</f>
        <v>0</v>
      </c>
      <c r="T61" s="383">
        <f>mat_ki4!AE127</f>
        <v>0</v>
      </c>
      <c r="U61" s="383">
        <f>mat_ki4!AF127</f>
        <v>0</v>
      </c>
      <c r="V61" s="383">
        <f>mat_ki4!AG127</f>
        <v>0</v>
      </c>
      <c r="W61" s="383">
        <f>mat_ki4!AH127</f>
        <v>0</v>
      </c>
      <c r="X61" s="383">
        <f>mat_ki4!AI127</f>
        <v>0</v>
      </c>
      <c r="Y61" s="743" t="str">
        <f t="shared" si="5"/>
        <v xml:space="preserve">  </v>
      </c>
    </row>
    <row r="62" spans="1:25" ht="15.75" x14ac:dyDescent="0.25">
      <c r="A62" s="134">
        <v>12</v>
      </c>
      <c r="B62" s="382" t="str">
        <f>dtsiswa!D18</f>
        <v>Intan Dyah Nowari</v>
      </c>
      <c r="C62" s="758">
        <f>Mat_ki3!U95</f>
        <v>0</v>
      </c>
      <c r="D62" s="758">
        <f>Mat_ki3!V95</f>
        <v>0</v>
      </c>
      <c r="E62" s="758">
        <f>Mat_ki3!W95</f>
        <v>0</v>
      </c>
      <c r="F62" s="758">
        <f>Mat_ki3!X95</f>
        <v>0</v>
      </c>
      <c r="G62" s="758">
        <f>Mat_ki3!Y95</f>
        <v>0</v>
      </c>
      <c r="H62" s="758">
        <f>Mat_ki3!Z95</f>
        <v>0</v>
      </c>
      <c r="I62" s="758">
        <f>Mat_ki3!AA95</f>
        <v>0</v>
      </c>
      <c r="J62" s="398" t="str">
        <f t="shared" si="4"/>
        <v xml:space="preserve">  </v>
      </c>
      <c r="L62" s="758">
        <v>12</v>
      </c>
      <c r="M62" s="382" t="str">
        <f>dtsiswa!D18</f>
        <v>Intan Dyah Nowari</v>
      </c>
      <c r="N62" s="383">
        <f>mat_ki4!Y139</f>
        <v>0</v>
      </c>
      <c r="O62" s="383">
        <f>mat_ki4!Z139</f>
        <v>0</v>
      </c>
      <c r="P62" s="383">
        <f>mat_ki4!AA139</f>
        <v>0</v>
      </c>
      <c r="Q62" s="383">
        <f>mat_ki4!AB139</f>
        <v>0</v>
      </c>
      <c r="R62" s="383">
        <f>mat_ki4!AC139</f>
        <v>0</v>
      </c>
      <c r="S62" s="383">
        <f>mat_ki4!AD139</f>
        <v>0</v>
      </c>
      <c r="T62" s="383">
        <f>mat_ki4!AE139</f>
        <v>0</v>
      </c>
      <c r="U62" s="383">
        <f>mat_ki4!AF139</f>
        <v>0</v>
      </c>
      <c r="V62" s="383">
        <f>mat_ki4!AG139</f>
        <v>0</v>
      </c>
      <c r="W62" s="383">
        <f>mat_ki4!AH139</f>
        <v>0</v>
      </c>
      <c r="X62" s="383">
        <f>mat_ki4!AI139</f>
        <v>0</v>
      </c>
      <c r="Y62" s="743" t="str">
        <f t="shared" si="5"/>
        <v xml:space="preserve">  </v>
      </c>
    </row>
    <row r="63" spans="1:25" ht="15.75" x14ac:dyDescent="0.25">
      <c r="A63" s="134">
        <v>13</v>
      </c>
      <c r="B63" s="382" t="str">
        <f>dtsiswa!D19</f>
        <v>Misyanita Nurfitri S</v>
      </c>
      <c r="C63" s="758">
        <f>Mat_ki3!U103</f>
        <v>0</v>
      </c>
      <c r="D63" s="758">
        <f>Mat_ki3!V103</f>
        <v>0</v>
      </c>
      <c r="E63" s="758">
        <f>Mat_ki3!W103</f>
        <v>0</v>
      </c>
      <c r="F63" s="758">
        <f>Mat_ki3!X103</f>
        <v>0</v>
      </c>
      <c r="G63" s="758">
        <f>Mat_ki3!Y103</f>
        <v>0</v>
      </c>
      <c r="H63" s="758">
        <f>Mat_ki3!Z103</f>
        <v>0</v>
      </c>
      <c r="I63" s="758">
        <f>Mat_ki3!AA103</f>
        <v>0</v>
      </c>
      <c r="J63" s="398" t="str">
        <f t="shared" si="4"/>
        <v xml:space="preserve">  </v>
      </c>
      <c r="L63" s="134">
        <v>13</v>
      </c>
      <c r="M63" s="382" t="str">
        <f>dtsiswa!D19</f>
        <v>Misyanita Nurfitri S</v>
      </c>
      <c r="N63" s="383">
        <f>mat_ki4!Y151</f>
        <v>0</v>
      </c>
      <c r="O63" s="383">
        <f>mat_ki4!Z151</f>
        <v>0</v>
      </c>
      <c r="P63" s="383">
        <f>mat_ki4!AA151</f>
        <v>0</v>
      </c>
      <c r="Q63" s="383">
        <f>mat_ki4!AB151</f>
        <v>0</v>
      </c>
      <c r="R63" s="383">
        <f>mat_ki4!AC151</f>
        <v>0</v>
      </c>
      <c r="S63" s="383">
        <f>mat_ki4!AD151</f>
        <v>0</v>
      </c>
      <c r="T63" s="383">
        <f>mat_ki4!AE151</f>
        <v>0</v>
      </c>
      <c r="U63" s="383">
        <f>mat_ki4!AF151</f>
        <v>0</v>
      </c>
      <c r="V63" s="383">
        <f>mat_ki4!AG151</f>
        <v>0</v>
      </c>
      <c r="W63" s="383">
        <f>mat_ki4!AH151</f>
        <v>0</v>
      </c>
      <c r="X63" s="383">
        <f>mat_ki4!AI151</f>
        <v>0</v>
      </c>
      <c r="Y63" s="743" t="str">
        <f t="shared" si="5"/>
        <v xml:space="preserve">  </v>
      </c>
    </row>
    <row r="64" spans="1:25" ht="15.75" x14ac:dyDescent="0.25">
      <c r="A64" s="134">
        <v>14</v>
      </c>
      <c r="B64" s="382" t="str">
        <f>dtsiswa!D20</f>
        <v>Moch Zidane Hita L. U</v>
      </c>
      <c r="C64" s="758">
        <f>Mat_ki3!U111</f>
        <v>0</v>
      </c>
      <c r="D64" s="758">
        <f>Mat_ki3!V111</f>
        <v>0</v>
      </c>
      <c r="E64" s="758">
        <f>Mat_ki3!W111</f>
        <v>0</v>
      </c>
      <c r="F64" s="758">
        <f>Mat_ki3!X111</f>
        <v>0</v>
      </c>
      <c r="G64" s="758">
        <f>Mat_ki3!Y111</f>
        <v>0</v>
      </c>
      <c r="H64" s="758">
        <f>Mat_ki3!Z111</f>
        <v>0</v>
      </c>
      <c r="I64" s="758">
        <f>Mat_ki3!AA111</f>
        <v>0</v>
      </c>
      <c r="J64" s="398" t="str">
        <f t="shared" si="4"/>
        <v xml:space="preserve">  </v>
      </c>
      <c r="L64" s="758">
        <v>14</v>
      </c>
      <c r="M64" s="382" t="str">
        <f>dtsiswa!D20</f>
        <v>Moch Zidane Hita L. U</v>
      </c>
      <c r="N64" s="383">
        <f>mat_ki4!Y163</f>
        <v>0</v>
      </c>
      <c r="O64" s="383">
        <f>mat_ki4!Z163</f>
        <v>0</v>
      </c>
      <c r="P64" s="383">
        <f>mat_ki4!AA163</f>
        <v>0</v>
      </c>
      <c r="Q64" s="383">
        <f>mat_ki4!AB163</f>
        <v>0</v>
      </c>
      <c r="R64" s="383">
        <f>mat_ki4!AC163</f>
        <v>0</v>
      </c>
      <c r="S64" s="383">
        <f>mat_ki4!AD163</f>
        <v>0</v>
      </c>
      <c r="T64" s="383">
        <f>mat_ki4!AE163</f>
        <v>0</v>
      </c>
      <c r="U64" s="383">
        <f>mat_ki4!AF163</f>
        <v>0</v>
      </c>
      <c r="V64" s="383">
        <f>mat_ki4!AG163</f>
        <v>0</v>
      </c>
      <c r="W64" s="383">
        <f>mat_ki4!AH163</f>
        <v>0</v>
      </c>
      <c r="X64" s="383">
        <f>mat_ki4!AI163</f>
        <v>0</v>
      </c>
      <c r="Y64" s="743" t="str">
        <f t="shared" si="5"/>
        <v xml:space="preserve">  </v>
      </c>
    </row>
    <row r="65" spans="1:25" ht="15.75" x14ac:dyDescent="0.25">
      <c r="A65" s="134">
        <v>15</v>
      </c>
      <c r="B65" s="382" t="str">
        <f>dtsiswa!D21</f>
        <v>Muhammad Ibra Maulana</v>
      </c>
      <c r="C65" s="758">
        <f>Mat_ki3!U119</f>
        <v>0</v>
      </c>
      <c r="D65" s="758">
        <f>Mat_ki3!V119</f>
        <v>0</v>
      </c>
      <c r="E65" s="758">
        <f>Mat_ki3!W119</f>
        <v>0</v>
      </c>
      <c r="F65" s="758">
        <f>Mat_ki3!X119</f>
        <v>0</v>
      </c>
      <c r="G65" s="758">
        <f>Mat_ki3!Y119</f>
        <v>0</v>
      </c>
      <c r="H65" s="758">
        <f>Mat_ki3!Z119</f>
        <v>0</v>
      </c>
      <c r="I65" s="758">
        <f>Mat_ki3!AA119</f>
        <v>0</v>
      </c>
      <c r="J65" s="398" t="str">
        <f t="shared" si="4"/>
        <v xml:space="preserve">  </v>
      </c>
      <c r="L65" s="134">
        <v>15</v>
      </c>
      <c r="M65" s="382" t="str">
        <f>dtsiswa!D21</f>
        <v>Muhammad Ibra Maulana</v>
      </c>
      <c r="N65" s="383">
        <f>mat_ki4!Y175</f>
        <v>0</v>
      </c>
      <c r="O65" s="383">
        <f>mat_ki4!Z175</f>
        <v>0</v>
      </c>
      <c r="P65" s="383">
        <f>mat_ki4!AA175</f>
        <v>0</v>
      </c>
      <c r="Q65" s="383">
        <f>mat_ki4!AB175</f>
        <v>0</v>
      </c>
      <c r="R65" s="383">
        <f>mat_ki4!AC175</f>
        <v>0</v>
      </c>
      <c r="S65" s="383">
        <f>mat_ki4!AD175</f>
        <v>0</v>
      </c>
      <c r="T65" s="383">
        <f>mat_ki4!AE175</f>
        <v>0</v>
      </c>
      <c r="U65" s="383">
        <f>mat_ki4!AF175</f>
        <v>0</v>
      </c>
      <c r="V65" s="383">
        <f>mat_ki4!AG175</f>
        <v>0</v>
      </c>
      <c r="W65" s="383">
        <f>mat_ki4!AH175</f>
        <v>0</v>
      </c>
      <c r="X65" s="383">
        <f>mat_ki4!AI175</f>
        <v>0</v>
      </c>
      <c r="Y65" s="743" t="str">
        <f t="shared" si="5"/>
        <v xml:space="preserve">  </v>
      </c>
    </row>
    <row r="66" spans="1:25" ht="15.75" x14ac:dyDescent="0.25">
      <c r="A66" s="134">
        <v>16</v>
      </c>
      <c r="B66" s="382" t="str">
        <f>dtsiswa!D22</f>
        <v>Nabilla Shiva Putri</v>
      </c>
      <c r="C66" s="758">
        <f>Mat_ki3!U127</f>
        <v>0</v>
      </c>
      <c r="D66" s="758">
        <f>Mat_ki3!V127</f>
        <v>0</v>
      </c>
      <c r="E66" s="758">
        <f>Mat_ki3!W127</f>
        <v>0</v>
      </c>
      <c r="F66" s="758">
        <f>Mat_ki3!X127</f>
        <v>0</v>
      </c>
      <c r="G66" s="758">
        <f>Mat_ki3!Y127</f>
        <v>0</v>
      </c>
      <c r="H66" s="758">
        <f>Mat_ki3!Z127</f>
        <v>0</v>
      </c>
      <c r="I66" s="758">
        <f>Mat_ki3!AA127</f>
        <v>0</v>
      </c>
      <c r="J66" s="398" t="str">
        <f t="shared" si="4"/>
        <v xml:space="preserve">  </v>
      </c>
      <c r="L66" s="758">
        <v>16</v>
      </c>
      <c r="M66" s="382" t="str">
        <f>dtsiswa!D22</f>
        <v>Nabilla Shiva Putri</v>
      </c>
      <c r="N66" s="383">
        <f>mat_ki4!Y187</f>
        <v>0</v>
      </c>
      <c r="O66" s="383">
        <f>mat_ki4!Z187</f>
        <v>0</v>
      </c>
      <c r="P66" s="383">
        <f>mat_ki4!AA187</f>
        <v>0</v>
      </c>
      <c r="Q66" s="383">
        <f>mat_ki4!AB187</f>
        <v>0</v>
      </c>
      <c r="R66" s="383">
        <f>mat_ki4!AC187</f>
        <v>0</v>
      </c>
      <c r="S66" s="383">
        <f>mat_ki4!AD187</f>
        <v>0</v>
      </c>
      <c r="T66" s="383">
        <f>mat_ki4!AE187</f>
        <v>0</v>
      </c>
      <c r="U66" s="383">
        <f>mat_ki4!AF187</f>
        <v>0</v>
      </c>
      <c r="V66" s="383">
        <f>mat_ki4!AG187</f>
        <v>0</v>
      </c>
      <c r="W66" s="383">
        <f>mat_ki4!AH187</f>
        <v>0</v>
      </c>
      <c r="X66" s="383">
        <f>mat_ki4!AI187</f>
        <v>0</v>
      </c>
      <c r="Y66" s="743" t="str">
        <f t="shared" si="5"/>
        <v xml:space="preserve">  </v>
      </c>
    </row>
    <row r="67" spans="1:25" ht="15.75" x14ac:dyDescent="0.25">
      <c r="A67" s="134">
        <v>17</v>
      </c>
      <c r="B67" s="382" t="str">
        <f>dtsiswa!D23</f>
        <v>Naufal Falih F</v>
      </c>
      <c r="C67" s="758">
        <f>Mat_ki3!U135</f>
        <v>0</v>
      </c>
      <c r="D67" s="758">
        <f>Mat_ki3!V135</f>
        <v>0</v>
      </c>
      <c r="E67" s="758">
        <f>Mat_ki3!W135</f>
        <v>0</v>
      </c>
      <c r="F67" s="758">
        <f>Mat_ki3!X135</f>
        <v>0</v>
      </c>
      <c r="G67" s="758">
        <f>Mat_ki3!Y135</f>
        <v>0</v>
      </c>
      <c r="H67" s="758">
        <f>Mat_ki3!Z135</f>
        <v>0</v>
      </c>
      <c r="I67" s="758">
        <f>Mat_ki3!AA135</f>
        <v>0</v>
      </c>
      <c r="J67" s="398" t="str">
        <f t="shared" si="4"/>
        <v xml:space="preserve">  </v>
      </c>
      <c r="L67" s="134">
        <v>17</v>
      </c>
      <c r="M67" s="382" t="str">
        <f>dtsiswa!D23</f>
        <v>Naufal Falih F</v>
      </c>
      <c r="N67" s="383">
        <f>mat_ki4!Y199</f>
        <v>0</v>
      </c>
      <c r="O67" s="383">
        <f>mat_ki4!Z199</f>
        <v>0</v>
      </c>
      <c r="P67" s="383">
        <f>mat_ki4!AA199</f>
        <v>0</v>
      </c>
      <c r="Q67" s="383">
        <f>mat_ki4!AB199</f>
        <v>0</v>
      </c>
      <c r="R67" s="383">
        <f>mat_ki4!AC199</f>
        <v>0</v>
      </c>
      <c r="S67" s="383">
        <f>mat_ki4!AD199</f>
        <v>0</v>
      </c>
      <c r="T67" s="383">
        <f>mat_ki4!AE199</f>
        <v>0</v>
      </c>
      <c r="U67" s="383">
        <f>mat_ki4!AF199</f>
        <v>0</v>
      </c>
      <c r="V67" s="383">
        <f>mat_ki4!AG199</f>
        <v>0</v>
      </c>
      <c r="W67" s="383">
        <f>mat_ki4!AH199</f>
        <v>0</v>
      </c>
      <c r="X67" s="383">
        <f>mat_ki4!AI199</f>
        <v>0</v>
      </c>
      <c r="Y67" s="743" t="str">
        <f t="shared" si="5"/>
        <v xml:space="preserve">  </v>
      </c>
    </row>
    <row r="68" spans="1:25" ht="15.75" x14ac:dyDescent="0.25">
      <c r="A68" s="134">
        <v>18</v>
      </c>
      <c r="B68" s="382" t="str">
        <f>dtsiswa!D24</f>
        <v>Nayla Annora Nobel W</v>
      </c>
      <c r="C68" s="758">
        <f>Mat_ki3!U143</f>
        <v>0</v>
      </c>
      <c r="D68" s="758">
        <f>Mat_ki3!V143</f>
        <v>0</v>
      </c>
      <c r="E68" s="758">
        <f>Mat_ki3!W143</f>
        <v>0</v>
      </c>
      <c r="F68" s="758">
        <f>Mat_ki3!X143</f>
        <v>0</v>
      </c>
      <c r="G68" s="758">
        <f>Mat_ki3!Y143</f>
        <v>0</v>
      </c>
      <c r="H68" s="758">
        <f>Mat_ki3!Z143</f>
        <v>0</v>
      </c>
      <c r="I68" s="758">
        <f>Mat_ki3!AA143</f>
        <v>0</v>
      </c>
      <c r="J68" s="398" t="str">
        <f t="shared" si="4"/>
        <v xml:space="preserve">  </v>
      </c>
      <c r="L68" s="758">
        <v>18</v>
      </c>
      <c r="M68" s="382" t="str">
        <f>dtsiswa!D24</f>
        <v>Nayla Annora Nobel W</v>
      </c>
      <c r="N68" s="383">
        <f>mat_ki4!Y211</f>
        <v>0</v>
      </c>
      <c r="O68" s="383">
        <f>mat_ki4!Z211</f>
        <v>0</v>
      </c>
      <c r="P68" s="383">
        <f>mat_ki4!AA211</f>
        <v>0</v>
      </c>
      <c r="Q68" s="383">
        <f>mat_ki4!AB211</f>
        <v>0</v>
      </c>
      <c r="R68" s="383">
        <f>mat_ki4!AC211</f>
        <v>0</v>
      </c>
      <c r="S68" s="383">
        <f>mat_ki4!AD211</f>
        <v>0</v>
      </c>
      <c r="T68" s="383">
        <f>mat_ki4!AE211</f>
        <v>0</v>
      </c>
      <c r="U68" s="383">
        <f>mat_ki4!AF211</f>
        <v>0</v>
      </c>
      <c r="V68" s="383">
        <f>mat_ki4!AG211</f>
        <v>0</v>
      </c>
      <c r="W68" s="383">
        <f>mat_ki4!AH211</f>
        <v>0</v>
      </c>
      <c r="X68" s="383">
        <f>mat_ki4!AI211</f>
        <v>0</v>
      </c>
      <c r="Y68" s="743" t="str">
        <f t="shared" si="5"/>
        <v xml:space="preserve">  </v>
      </c>
    </row>
    <row r="69" spans="1:25" ht="15.75" x14ac:dyDescent="0.25">
      <c r="A69" s="134">
        <v>19</v>
      </c>
      <c r="B69" s="382" t="str">
        <f>dtsiswa!D25</f>
        <v>Raihan Danang P</v>
      </c>
      <c r="C69" s="758">
        <f>Mat_ki3!U151</f>
        <v>0</v>
      </c>
      <c r="D69" s="758">
        <f>Mat_ki3!V151</f>
        <v>0</v>
      </c>
      <c r="E69" s="758">
        <f>Mat_ki3!W151</f>
        <v>0</v>
      </c>
      <c r="F69" s="758">
        <f>Mat_ki3!X151</f>
        <v>0</v>
      </c>
      <c r="G69" s="758">
        <f>Mat_ki3!Y151</f>
        <v>0</v>
      </c>
      <c r="H69" s="758">
        <f>Mat_ki3!Z151</f>
        <v>0</v>
      </c>
      <c r="I69" s="758">
        <f>Mat_ki3!AA151</f>
        <v>0</v>
      </c>
      <c r="J69" s="398" t="str">
        <f t="shared" si="4"/>
        <v xml:space="preserve">  </v>
      </c>
      <c r="L69" s="134">
        <v>19</v>
      </c>
      <c r="M69" s="382" t="str">
        <f>dtsiswa!D25</f>
        <v>Raihan Danang P</v>
      </c>
      <c r="N69" s="383">
        <f>mat_ki4!Y223</f>
        <v>0</v>
      </c>
      <c r="O69" s="383">
        <f>mat_ki4!Z223</f>
        <v>0</v>
      </c>
      <c r="P69" s="383">
        <f>mat_ki4!AA223</f>
        <v>0</v>
      </c>
      <c r="Q69" s="383">
        <f>mat_ki4!AB223</f>
        <v>0</v>
      </c>
      <c r="R69" s="383">
        <f>mat_ki4!AC223</f>
        <v>0</v>
      </c>
      <c r="S69" s="383">
        <f>mat_ki4!AD223</f>
        <v>0</v>
      </c>
      <c r="T69" s="383">
        <f>mat_ki4!AE223</f>
        <v>0</v>
      </c>
      <c r="U69" s="383">
        <f>mat_ki4!AF223</f>
        <v>0</v>
      </c>
      <c r="V69" s="383">
        <f>mat_ki4!AG223</f>
        <v>0</v>
      </c>
      <c r="W69" s="383">
        <f>mat_ki4!AH223</f>
        <v>0</v>
      </c>
      <c r="X69" s="383">
        <f>mat_ki4!AI223</f>
        <v>0</v>
      </c>
      <c r="Y69" s="743" t="str">
        <f t="shared" si="5"/>
        <v xml:space="preserve">  </v>
      </c>
    </row>
    <row r="70" spans="1:25" ht="15.75" x14ac:dyDescent="0.25">
      <c r="A70" s="134">
        <v>20</v>
      </c>
      <c r="B70" s="382" t="str">
        <f>dtsiswa!D26</f>
        <v>Roby Ardiyansyah</v>
      </c>
      <c r="C70" s="758">
        <f>Mat_ki3!U159</f>
        <v>0</v>
      </c>
      <c r="D70" s="758">
        <f>Mat_ki3!V159</f>
        <v>0</v>
      </c>
      <c r="E70" s="758">
        <f>Mat_ki3!W159</f>
        <v>0</v>
      </c>
      <c r="F70" s="758">
        <f>Mat_ki3!X159</f>
        <v>0</v>
      </c>
      <c r="G70" s="758">
        <f>Mat_ki3!Y159</f>
        <v>0</v>
      </c>
      <c r="H70" s="758">
        <f>Mat_ki3!Z159</f>
        <v>0</v>
      </c>
      <c r="I70" s="758">
        <f>Mat_ki3!AA159</f>
        <v>0</v>
      </c>
      <c r="J70" s="398" t="str">
        <f t="shared" si="4"/>
        <v xml:space="preserve">  </v>
      </c>
      <c r="L70" s="758">
        <v>20</v>
      </c>
      <c r="M70" s="382" t="str">
        <f>dtsiswa!D26</f>
        <v>Roby Ardiyansyah</v>
      </c>
      <c r="N70" s="383">
        <f>mat_ki4!Y235</f>
        <v>0</v>
      </c>
      <c r="O70" s="383">
        <f>mat_ki4!Z235</f>
        <v>0</v>
      </c>
      <c r="P70" s="383">
        <f>mat_ki4!AA235</f>
        <v>0</v>
      </c>
      <c r="Q70" s="383">
        <f>mat_ki4!AB235</f>
        <v>0</v>
      </c>
      <c r="R70" s="383">
        <f>mat_ki4!AC235</f>
        <v>0</v>
      </c>
      <c r="S70" s="383">
        <f>mat_ki4!AD235</f>
        <v>0</v>
      </c>
      <c r="T70" s="383">
        <f>mat_ki4!AE235</f>
        <v>0</v>
      </c>
      <c r="U70" s="383">
        <f>mat_ki4!AF235</f>
        <v>0</v>
      </c>
      <c r="V70" s="383">
        <f>mat_ki4!AG235</f>
        <v>0</v>
      </c>
      <c r="W70" s="383">
        <f>mat_ki4!AH235</f>
        <v>0</v>
      </c>
      <c r="X70" s="383">
        <f>mat_ki4!AI235</f>
        <v>0</v>
      </c>
      <c r="Y70" s="743" t="str">
        <f t="shared" si="5"/>
        <v xml:space="preserve">  </v>
      </c>
    </row>
    <row r="71" spans="1:25" ht="15.75" x14ac:dyDescent="0.25">
      <c r="A71" s="134">
        <v>21</v>
      </c>
      <c r="B71" s="382" t="str">
        <f>dtsiswa!D27</f>
        <v>Rojalingga Prana A</v>
      </c>
      <c r="C71" s="758">
        <f>Mat_ki3!U167</f>
        <v>0</v>
      </c>
      <c r="D71" s="758">
        <f>Mat_ki3!V167</f>
        <v>0</v>
      </c>
      <c r="E71" s="758">
        <f>Mat_ki3!W167</f>
        <v>0</v>
      </c>
      <c r="F71" s="758">
        <f>Mat_ki3!X167</f>
        <v>0</v>
      </c>
      <c r="G71" s="758">
        <f>Mat_ki3!Y167</f>
        <v>0</v>
      </c>
      <c r="H71" s="758">
        <f>Mat_ki3!Z167</f>
        <v>0</v>
      </c>
      <c r="I71" s="758">
        <f>Mat_ki3!AA167</f>
        <v>0</v>
      </c>
      <c r="J71" s="398" t="str">
        <f t="shared" si="4"/>
        <v xml:space="preserve">  </v>
      </c>
      <c r="L71" s="134">
        <v>21</v>
      </c>
      <c r="M71" s="382" t="str">
        <f>dtsiswa!D27</f>
        <v>Rojalingga Prana A</v>
      </c>
      <c r="N71" s="383">
        <f>mat_ki4!Y247</f>
        <v>0</v>
      </c>
      <c r="O71" s="383">
        <f>mat_ki4!Z247</f>
        <v>0</v>
      </c>
      <c r="P71" s="383">
        <f>mat_ki4!AA247</f>
        <v>0</v>
      </c>
      <c r="Q71" s="383">
        <f>mat_ki4!AB247</f>
        <v>0</v>
      </c>
      <c r="R71" s="383">
        <f>mat_ki4!AC247</f>
        <v>0</v>
      </c>
      <c r="S71" s="383">
        <f>mat_ki4!AD247</f>
        <v>0</v>
      </c>
      <c r="T71" s="383">
        <f>mat_ki4!AE247</f>
        <v>0</v>
      </c>
      <c r="U71" s="383">
        <f>mat_ki4!AF247</f>
        <v>0</v>
      </c>
      <c r="V71" s="383">
        <f>mat_ki4!AG247</f>
        <v>0</v>
      </c>
      <c r="W71" s="383">
        <f>mat_ki4!AH247</f>
        <v>0</v>
      </c>
      <c r="X71" s="383">
        <f>mat_ki4!AI247</f>
        <v>0</v>
      </c>
      <c r="Y71" s="743" t="str">
        <f t="shared" si="5"/>
        <v xml:space="preserve">  </v>
      </c>
    </row>
    <row r="72" spans="1:25" ht="15.75" x14ac:dyDescent="0.25">
      <c r="A72" s="134">
        <v>22</v>
      </c>
      <c r="B72" s="382" t="str">
        <f>dtsiswa!D28</f>
        <v>Sally Savista A</v>
      </c>
      <c r="C72" s="758">
        <f>Mat_ki3!U175</f>
        <v>0</v>
      </c>
      <c r="D72" s="758">
        <f>Mat_ki3!V175</f>
        <v>0</v>
      </c>
      <c r="E72" s="758">
        <f>Mat_ki3!W175</f>
        <v>0</v>
      </c>
      <c r="F72" s="758">
        <f>Mat_ki3!X175</f>
        <v>0</v>
      </c>
      <c r="G72" s="758">
        <f>Mat_ki3!Y175</f>
        <v>0</v>
      </c>
      <c r="H72" s="758">
        <f>Mat_ki3!Z175</f>
        <v>0</v>
      </c>
      <c r="I72" s="758">
        <f>Mat_ki3!AA175</f>
        <v>0</v>
      </c>
      <c r="J72" s="398" t="str">
        <f t="shared" si="4"/>
        <v xml:space="preserve">  </v>
      </c>
      <c r="L72" s="758">
        <v>22</v>
      </c>
      <c r="M72" s="382" t="str">
        <f>dtsiswa!D28</f>
        <v>Sally Savista A</v>
      </c>
      <c r="N72" s="383">
        <f>mat_ki4!Y259</f>
        <v>0</v>
      </c>
      <c r="O72" s="383">
        <f>mat_ki4!Z259</f>
        <v>0</v>
      </c>
      <c r="P72" s="383">
        <f>mat_ki4!AA259</f>
        <v>0</v>
      </c>
      <c r="Q72" s="383">
        <f>mat_ki4!AB259</f>
        <v>0</v>
      </c>
      <c r="R72" s="383">
        <f>mat_ki4!AC259</f>
        <v>0</v>
      </c>
      <c r="S72" s="383">
        <f>mat_ki4!AD259</f>
        <v>0</v>
      </c>
      <c r="T72" s="383">
        <f>mat_ki4!AE259</f>
        <v>0</v>
      </c>
      <c r="U72" s="383">
        <f>mat_ki4!AF259</f>
        <v>0</v>
      </c>
      <c r="V72" s="383">
        <f>mat_ki4!AG259</f>
        <v>0</v>
      </c>
      <c r="W72" s="383">
        <f>mat_ki4!AH259</f>
        <v>0</v>
      </c>
      <c r="X72" s="383">
        <f>mat_ki4!AI259</f>
        <v>0</v>
      </c>
      <c r="Y72" s="743" t="str">
        <f t="shared" si="5"/>
        <v xml:space="preserve">  </v>
      </c>
    </row>
    <row r="73" spans="1:25" ht="15.75" x14ac:dyDescent="0.25">
      <c r="A73" s="134">
        <v>23</v>
      </c>
      <c r="B73" s="382" t="str">
        <f>dtsiswa!D29</f>
        <v xml:space="preserve">Tania Kaori Angelita </v>
      </c>
      <c r="C73" s="758">
        <f>Mat_ki3!U183</f>
        <v>0</v>
      </c>
      <c r="D73" s="758">
        <f>Mat_ki3!V183</f>
        <v>0</v>
      </c>
      <c r="E73" s="758">
        <f>Mat_ki3!W183</f>
        <v>0</v>
      </c>
      <c r="F73" s="758">
        <f>Mat_ki3!X183</f>
        <v>0</v>
      </c>
      <c r="G73" s="758">
        <f>Mat_ki3!Y183</f>
        <v>0</v>
      </c>
      <c r="H73" s="758">
        <f>Mat_ki3!Z183</f>
        <v>0</v>
      </c>
      <c r="I73" s="758">
        <f>Mat_ki3!AA183</f>
        <v>0</v>
      </c>
      <c r="J73" s="398" t="str">
        <f t="shared" si="4"/>
        <v xml:space="preserve">  </v>
      </c>
      <c r="L73" s="134">
        <v>23</v>
      </c>
      <c r="M73" s="382" t="str">
        <f>dtsiswa!D29</f>
        <v xml:space="preserve">Tania Kaori Angelita </v>
      </c>
      <c r="N73" s="383">
        <f>mat_ki4!Y271</f>
        <v>0</v>
      </c>
      <c r="O73" s="383">
        <f>mat_ki4!Z271</f>
        <v>0</v>
      </c>
      <c r="P73" s="383">
        <f>mat_ki4!AA271</f>
        <v>0</v>
      </c>
      <c r="Q73" s="383">
        <f>mat_ki4!AB271</f>
        <v>0</v>
      </c>
      <c r="R73" s="383">
        <f>mat_ki4!AC271</f>
        <v>0</v>
      </c>
      <c r="S73" s="383">
        <f>mat_ki4!AD271</f>
        <v>0</v>
      </c>
      <c r="T73" s="383">
        <f>mat_ki4!AE271</f>
        <v>0</v>
      </c>
      <c r="U73" s="383">
        <f>mat_ki4!AF271</f>
        <v>0</v>
      </c>
      <c r="V73" s="383">
        <f>mat_ki4!AG271</f>
        <v>0</v>
      </c>
      <c r="W73" s="383">
        <f>mat_ki4!AH271</f>
        <v>0</v>
      </c>
      <c r="X73" s="383">
        <f>mat_ki4!AI271</f>
        <v>0</v>
      </c>
      <c r="Y73" s="743" t="str">
        <f t="shared" si="5"/>
        <v xml:space="preserve">  </v>
      </c>
    </row>
    <row r="74" spans="1:25" ht="15.75" x14ac:dyDescent="0.25">
      <c r="A74" s="134">
        <v>24</v>
      </c>
      <c r="B74" s="382" t="str">
        <f>dtsiswa!D30</f>
        <v>Romzy Oka Ramadhani P</v>
      </c>
      <c r="C74" s="758">
        <f>Mat_ki3!U191</f>
        <v>0</v>
      </c>
      <c r="D74" s="758">
        <f>Mat_ki3!V191</f>
        <v>0</v>
      </c>
      <c r="E74" s="758">
        <f>Mat_ki3!W191</f>
        <v>0</v>
      </c>
      <c r="F74" s="758">
        <f>Mat_ki3!X191</f>
        <v>0</v>
      </c>
      <c r="G74" s="758">
        <f>Mat_ki3!Y191</f>
        <v>0</v>
      </c>
      <c r="H74" s="758">
        <f>Mat_ki3!Z191</f>
        <v>0</v>
      </c>
      <c r="I74" s="758">
        <f>Mat_ki3!AA191</f>
        <v>0</v>
      </c>
      <c r="J74" s="398" t="str">
        <f t="shared" si="4"/>
        <v xml:space="preserve">  </v>
      </c>
      <c r="L74" s="758">
        <v>24</v>
      </c>
      <c r="M74" s="382" t="str">
        <f>dtsiswa!D30</f>
        <v>Romzy Oka Ramadhani P</v>
      </c>
      <c r="N74" s="383">
        <f>mat_ki4!Y283</f>
        <v>0</v>
      </c>
      <c r="O74" s="383">
        <f>mat_ki4!Z283</f>
        <v>0</v>
      </c>
      <c r="P74" s="383">
        <f>mat_ki4!AA283</f>
        <v>0</v>
      </c>
      <c r="Q74" s="383">
        <f>mat_ki4!AB283</f>
        <v>0</v>
      </c>
      <c r="R74" s="383">
        <f>mat_ki4!AC283</f>
        <v>0</v>
      </c>
      <c r="S74" s="383">
        <f>mat_ki4!AD283</f>
        <v>0</v>
      </c>
      <c r="T74" s="383">
        <f>mat_ki4!AE283</f>
        <v>0</v>
      </c>
      <c r="U74" s="383">
        <f>mat_ki4!AF283</f>
        <v>0</v>
      </c>
      <c r="V74" s="383">
        <f>mat_ki4!AG283</f>
        <v>0</v>
      </c>
      <c r="W74" s="383">
        <f>mat_ki4!AH283</f>
        <v>0</v>
      </c>
      <c r="X74" s="383">
        <f>mat_ki4!AI283</f>
        <v>0</v>
      </c>
      <c r="Y74" s="743" t="str">
        <f t="shared" si="5"/>
        <v xml:space="preserve">  </v>
      </c>
    </row>
    <row r="75" spans="1:25" ht="15.75" x14ac:dyDescent="0.25">
      <c r="A75" s="134">
        <v>25</v>
      </c>
      <c r="B75" s="382" t="str">
        <f>dtsiswa!D31</f>
        <v>Larasati Jagadhita P</v>
      </c>
      <c r="C75" s="758">
        <f>Mat_ki3!U199</f>
        <v>0</v>
      </c>
      <c r="D75" s="758">
        <f>Mat_ki3!V199</f>
        <v>0</v>
      </c>
      <c r="E75" s="758">
        <f>Mat_ki3!W199</f>
        <v>0</v>
      </c>
      <c r="F75" s="758">
        <f>Mat_ki3!X199</f>
        <v>0</v>
      </c>
      <c r="G75" s="758">
        <f>Mat_ki3!Y199</f>
        <v>0</v>
      </c>
      <c r="H75" s="758">
        <f>Mat_ki3!Z199</f>
        <v>0</v>
      </c>
      <c r="I75" s="758">
        <f>Mat_ki3!AA199</f>
        <v>0</v>
      </c>
      <c r="J75" s="398" t="str">
        <f t="shared" si="4"/>
        <v xml:space="preserve">  </v>
      </c>
      <c r="L75" s="134">
        <v>25</v>
      </c>
      <c r="M75" s="382" t="str">
        <f>dtsiswa!D31</f>
        <v>Larasati Jagadhita P</v>
      </c>
      <c r="N75" s="383">
        <f>mat_ki4!Y307</f>
        <v>0</v>
      </c>
      <c r="O75" s="383">
        <f>mat_ki4!Z307</f>
        <v>0</v>
      </c>
      <c r="P75" s="383">
        <f>mat_ki4!AA307</f>
        <v>0</v>
      </c>
      <c r="Q75" s="383">
        <f>mat_ki4!AB307</f>
        <v>0</v>
      </c>
      <c r="R75" s="383">
        <f>mat_ki4!AC307</f>
        <v>0</v>
      </c>
      <c r="S75" s="383">
        <f>mat_ki4!AD307</f>
        <v>0</v>
      </c>
      <c r="T75" s="383">
        <f>mat_ki4!AE307</f>
        <v>0</v>
      </c>
      <c r="U75" s="383">
        <f>mat_ki4!AF307</f>
        <v>0</v>
      </c>
      <c r="V75" s="383">
        <f>mat_ki4!AG307</f>
        <v>0</v>
      </c>
      <c r="W75" s="383">
        <f>mat_ki4!AH307</f>
        <v>0</v>
      </c>
      <c r="X75" s="383">
        <f>mat_ki4!AI307</f>
        <v>0</v>
      </c>
      <c r="Y75" s="743" t="str">
        <f t="shared" si="5"/>
        <v xml:space="preserve">  </v>
      </c>
    </row>
    <row r="76" spans="1:25" ht="15.75" x14ac:dyDescent="0.25">
      <c r="A76" s="134">
        <v>26</v>
      </c>
      <c r="B76" s="382" t="str">
        <f>dtsiswa!D32</f>
        <v>Meliana Citra A</v>
      </c>
      <c r="C76" s="758">
        <f>Mat_ki3!U207</f>
        <v>0</v>
      </c>
      <c r="D76" s="758">
        <f>Mat_ki3!V207</f>
        <v>0</v>
      </c>
      <c r="E76" s="758">
        <f>Mat_ki3!W207</f>
        <v>0</v>
      </c>
      <c r="F76" s="758">
        <f>Mat_ki3!X207</f>
        <v>0</v>
      </c>
      <c r="G76" s="758">
        <f>Mat_ki3!Y207</f>
        <v>0</v>
      </c>
      <c r="H76" s="758">
        <f>Mat_ki3!Z207</f>
        <v>0</v>
      </c>
      <c r="I76" s="758">
        <f>Mat_ki3!AA207</f>
        <v>0</v>
      </c>
      <c r="J76" s="398" t="str">
        <f t="shared" si="4"/>
        <v xml:space="preserve">  </v>
      </c>
      <c r="L76" s="758">
        <v>26</v>
      </c>
      <c r="M76" s="382" t="str">
        <f>dtsiswa!D32</f>
        <v>Meliana Citra A</v>
      </c>
      <c r="N76" s="383">
        <f>mat_ki4!Y319</f>
        <v>0</v>
      </c>
      <c r="O76" s="383">
        <f>mat_ki4!Z319</f>
        <v>0</v>
      </c>
      <c r="P76" s="383">
        <f>mat_ki4!AA319</f>
        <v>0</v>
      </c>
      <c r="Q76" s="383">
        <f>mat_ki4!AB319</f>
        <v>0</v>
      </c>
      <c r="R76" s="383">
        <f>mat_ki4!AC319</f>
        <v>0</v>
      </c>
      <c r="S76" s="383">
        <f>mat_ki4!AD319</f>
        <v>0</v>
      </c>
      <c r="T76" s="383">
        <f>mat_ki4!AE319</f>
        <v>0</v>
      </c>
      <c r="U76" s="383">
        <f>mat_ki4!AF319</f>
        <v>0</v>
      </c>
      <c r="V76" s="383">
        <f>mat_ki4!AG319</f>
        <v>0</v>
      </c>
      <c r="W76" s="383">
        <f>mat_ki4!AH319</f>
        <v>0</v>
      </c>
      <c r="X76" s="383">
        <f>mat_ki4!AI319</f>
        <v>0</v>
      </c>
      <c r="Y76" s="743" t="str">
        <f t="shared" si="5"/>
        <v xml:space="preserve">  </v>
      </c>
    </row>
    <row r="77" spans="1:25" ht="15.75" x14ac:dyDescent="0.25">
      <c r="A77" s="134">
        <v>27</v>
      </c>
      <c r="B77" s="382" t="str">
        <f>dtsiswa!D33</f>
        <v>Mohammad Rizky</v>
      </c>
      <c r="C77" s="758">
        <f>Mat_ki3!U215</f>
        <v>0</v>
      </c>
      <c r="D77" s="758">
        <f>Mat_ki3!V215</f>
        <v>0</v>
      </c>
      <c r="E77" s="758">
        <f>Mat_ki3!W215</f>
        <v>0</v>
      </c>
      <c r="F77" s="758">
        <f>Mat_ki3!X215</f>
        <v>0</v>
      </c>
      <c r="G77" s="758">
        <f>Mat_ki3!Y215</f>
        <v>0</v>
      </c>
      <c r="H77" s="758">
        <f>Mat_ki3!Z215</f>
        <v>0</v>
      </c>
      <c r="I77" s="758">
        <f>Mat_ki3!AA215</f>
        <v>0</v>
      </c>
      <c r="J77" s="398" t="str">
        <f t="shared" si="4"/>
        <v xml:space="preserve">  </v>
      </c>
      <c r="L77" s="134">
        <v>27</v>
      </c>
      <c r="M77" s="382" t="str">
        <f>dtsiswa!D33</f>
        <v>Mohammad Rizky</v>
      </c>
      <c r="N77" s="383">
        <f>mat_ki4!Y331</f>
        <v>0</v>
      </c>
      <c r="O77" s="383">
        <f>mat_ki4!Z331</f>
        <v>0</v>
      </c>
      <c r="P77" s="383">
        <f>mat_ki4!AA331</f>
        <v>0</v>
      </c>
      <c r="Q77" s="383">
        <f>mat_ki4!AB331</f>
        <v>0</v>
      </c>
      <c r="R77" s="383">
        <f>mat_ki4!AC331</f>
        <v>0</v>
      </c>
      <c r="S77" s="383">
        <f>mat_ki4!AD331</f>
        <v>0</v>
      </c>
      <c r="T77" s="383">
        <f>mat_ki4!AE331</f>
        <v>0</v>
      </c>
      <c r="U77" s="383">
        <f>mat_ki4!AF331</f>
        <v>0</v>
      </c>
      <c r="V77" s="383">
        <f>mat_ki4!AG331</f>
        <v>0</v>
      </c>
      <c r="W77" s="383">
        <f>mat_ki4!AH331</f>
        <v>0</v>
      </c>
      <c r="X77" s="383">
        <f>mat_ki4!AI331</f>
        <v>0</v>
      </c>
      <c r="Y77" s="743" t="str">
        <f t="shared" si="5"/>
        <v xml:space="preserve">  </v>
      </c>
    </row>
    <row r="78" spans="1:25" ht="15.75" x14ac:dyDescent="0.25">
      <c r="A78" s="134">
        <v>28</v>
      </c>
      <c r="B78" s="382">
        <f>dtsiswa!D34</f>
        <v>0</v>
      </c>
      <c r="C78" s="758">
        <f>Mat_ki3!U223</f>
        <v>0</v>
      </c>
      <c r="D78" s="758">
        <f>Mat_ki3!V223</f>
        <v>0</v>
      </c>
      <c r="E78" s="758">
        <f>Mat_ki3!W223</f>
        <v>0</v>
      </c>
      <c r="F78" s="758">
        <f>Mat_ki3!X223</f>
        <v>0</v>
      </c>
      <c r="G78" s="758">
        <f>Mat_ki3!Y223</f>
        <v>0</v>
      </c>
      <c r="H78" s="758">
        <f>Mat_ki3!Z223</f>
        <v>0</v>
      </c>
      <c r="I78" s="758">
        <f>Mat_ki3!AA223</f>
        <v>0</v>
      </c>
      <c r="J78" s="398" t="str">
        <f t="shared" si="4"/>
        <v xml:space="preserve">  </v>
      </c>
      <c r="L78" s="758">
        <v>28</v>
      </c>
      <c r="M78" s="382">
        <f>dtsiswa!D34</f>
        <v>0</v>
      </c>
      <c r="N78" s="383">
        <f>mat_ki4!Y343</f>
        <v>0</v>
      </c>
      <c r="O78" s="383">
        <f>mat_ki4!Z343</f>
        <v>0</v>
      </c>
      <c r="P78" s="383">
        <f>mat_ki4!AA343</f>
        <v>0</v>
      </c>
      <c r="Q78" s="383">
        <f>mat_ki4!AB343</f>
        <v>0</v>
      </c>
      <c r="R78" s="383">
        <f>mat_ki4!AC343</f>
        <v>0</v>
      </c>
      <c r="S78" s="383">
        <f>mat_ki4!AD343</f>
        <v>0</v>
      </c>
      <c r="T78" s="383">
        <f>mat_ki4!AE343</f>
        <v>0</v>
      </c>
      <c r="U78" s="383">
        <f>mat_ki4!AF343</f>
        <v>0</v>
      </c>
      <c r="V78" s="383">
        <f>mat_ki4!AG343</f>
        <v>0</v>
      </c>
      <c r="W78" s="383">
        <f>mat_ki4!AH343</f>
        <v>0</v>
      </c>
      <c r="X78" s="383">
        <f>mat_ki4!AI343</f>
        <v>0</v>
      </c>
      <c r="Y78" s="743" t="str">
        <f t="shared" si="5"/>
        <v xml:space="preserve">  </v>
      </c>
    </row>
    <row r="79" spans="1:25" ht="15.75" x14ac:dyDescent="0.25">
      <c r="A79" s="134">
        <v>29</v>
      </c>
      <c r="B79" s="382">
        <f>dtsiswa!D35</f>
        <v>0</v>
      </c>
      <c r="C79" s="758">
        <f>Mat_ki3!U231</f>
        <v>0</v>
      </c>
      <c r="D79" s="758">
        <f>Mat_ki3!V231</f>
        <v>0</v>
      </c>
      <c r="E79" s="758">
        <f>Mat_ki3!W231</f>
        <v>0</v>
      </c>
      <c r="F79" s="758">
        <f>Mat_ki3!X231</f>
        <v>0</v>
      </c>
      <c r="G79" s="758">
        <f>Mat_ki3!Y231</f>
        <v>0</v>
      </c>
      <c r="H79" s="758">
        <f>Mat_ki3!Z231</f>
        <v>0</v>
      </c>
      <c r="I79" s="758">
        <f>Mat_ki3!AA231</f>
        <v>0</v>
      </c>
      <c r="J79" s="398" t="str">
        <f t="shared" si="4"/>
        <v xml:space="preserve">  </v>
      </c>
      <c r="L79" s="134">
        <v>29</v>
      </c>
      <c r="M79" s="382">
        <f>dtsiswa!D35</f>
        <v>0</v>
      </c>
      <c r="N79" s="383">
        <f>mat_ki4!Y355</f>
        <v>0</v>
      </c>
      <c r="O79" s="383">
        <f>mat_ki4!Z355</f>
        <v>0</v>
      </c>
      <c r="P79" s="383">
        <f>mat_ki4!AA355</f>
        <v>0</v>
      </c>
      <c r="Q79" s="383">
        <f>mat_ki4!AB355</f>
        <v>0</v>
      </c>
      <c r="R79" s="383">
        <f>mat_ki4!AC355</f>
        <v>0</v>
      </c>
      <c r="S79" s="383">
        <f>mat_ki4!AD355</f>
        <v>0</v>
      </c>
      <c r="T79" s="383">
        <f>mat_ki4!AE355</f>
        <v>0</v>
      </c>
      <c r="U79" s="383">
        <f>mat_ki4!AF355</f>
        <v>0</v>
      </c>
      <c r="V79" s="383">
        <f>mat_ki4!AG355</f>
        <v>0</v>
      </c>
      <c r="W79" s="383">
        <f>mat_ki4!AH355</f>
        <v>0</v>
      </c>
      <c r="X79" s="383">
        <f>mat_ki4!AI355</f>
        <v>0</v>
      </c>
      <c r="Y79" s="743" t="str">
        <f t="shared" si="5"/>
        <v xml:space="preserve">  </v>
      </c>
    </row>
    <row r="80" spans="1:25" ht="15.75" x14ac:dyDescent="0.25">
      <c r="A80" s="134">
        <v>30</v>
      </c>
      <c r="B80" s="382">
        <f>dtsiswa!D36</f>
        <v>0</v>
      </c>
      <c r="C80" s="758">
        <f>Mat_ki3!U239</f>
        <v>0</v>
      </c>
      <c r="D80" s="758">
        <f>Mat_ki3!V239</f>
        <v>0</v>
      </c>
      <c r="E80" s="758">
        <f>Mat_ki3!W239</f>
        <v>0</v>
      </c>
      <c r="F80" s="758">
        <f>Mat_ki3!X239</f>
        <v>0</v>
      </c>
      <c r="G80" s="758">
        <f>Mat_ki3!Y239</f>
        <v>0</v>
      </c>
      <c r="H80" s="758">
        <f>Mat_ki3!Z239</f>
        <v>0</v>
      </c>
      <c r="I80" s="758">
        <f>Mat_ki3!AA239</f>
        <v>0</v>
      </c>
      <c r="J80" s="398" t="str">
        <f t="shared" si="4"/>
        <v xml:space="preserve">  </v>
      </c>
      <c r="L80" s="758">
        <v>30</v>
      </c>
      <c r="M80" s="382">
        <f>dtsiswa!D36</f>
        <v>0</v>
      </c>
      <c r="N80" s="383">
        <f>mat_ki4!Y367</f>
        <v>0</v>
      </c>
      <c r="O80" s="383">
        <f>mat_ki4!Z367</f>
        <v>0</v>
      </c>
      <c r="P80" s="383">
        <f>mat_ki4!AA367</f>
        <v>0</v>
      </c>
      <c r="Q80" s="383">
        <f>mat_ki4!AB367</f>
        <v>0</v>
      </c>
      <c r="R80" s="383">
        <f>mat_ki4!AC367</f>
        <v>0</v>
      </c>
      <c r="S80" s="383">
        <f>mat_ki4!AD367</f>
        <v>0</v>
      </c>
      <c r="T80" s="383">
        <f>mat_ki4!AE367</f>
        <v>0</v>
      </c>
      <c r="U80" s="383">
        <f>mat_ki4!AF367</f>
        <v>0</v>
      </c>
      <c r="V80" s="383">
        <f>mat_ki4!AG367</f>
        <v>0</v>
      </c>
      <c r="W80" s="383">
        <f>mat_ki4!AH367</f>
        <v>0</v>
      </c>
      <c r="X80" s="383">
        <f>mat_ki4!AI367</f>
        <v>0</v>
      </c>
      <c r="Y80" s="743" t="str">
        <f t="shared" si="5"/>
        <v xml:space="preserve">  </v>
      </c>
    </row>
    <row r="81" spans="1:25" ht="15.75" x14ac:dyDescent="0.25">
      <c r="A81" s="134">
        <v>31</v>
      </c>
      <c r="B81" s="382">
        <f>dtsiswa!D37</f>
        <v>0</v>
      </c>
      <c r="C81" s="758">
        <f>Mat_ki3!U247</f>
        <v>0</v>
      </c>
      <c r="D81" s="758">
        <f>Mat_ki3!V247</f>
        <v>0</v>
      </c>
      <c r="E81" s="758">
        <f>Mat_ki3!W247</f>
        <v>0</v>
      </c>
      <c r="F81" s="758">
        <f>Mat_ki3!X247</f>
        <v>0</v>
      </c>
      <c r="G81" s="758">
        <f>Mat_ki3!Y247</f>
        <v>0</v>
      </c>
      <c r="H81" s="758">
        <f>Mat_ki3!Z247</f>
        <v>0</v>
      </c>
      <c r="I81" s="758">
        <f>Mat_ki3!AA247</f>
        <v>0</v>
      </c>
      <c r="J81" s="398" t="str">
        <f t="shared" si="4"/>
        <v xml:space="preserve">  </v>
      </c>
      <c r="L81" s="134">
        <v>31</v>
      </c>
      <c r="M81" s="382">
        <f>dtsiswa!D37</f>
        <v>0</v>
      </c>
      <c r="N81" s="383">
        <f>mat_ki4!Y379</f>
        <v>0</v>
      </c>
      <c r="O81" s="383">
        <f>mat_ki4!Z379</f>
        <v>0</v>
      </c>
      <c r="P81" s="383">
        <f>mat_ki4!AA379</f>
        <v>0</v>
      </c>
      <c r="Q81" s="383">
        <f>mat_ki4!AB379</f>
        <v>0</v>
      </c>
      <c r="R81" s="383">
        <f>mat_ki4!AC379</f>
        <v>0</v>
      </c>
      <c r="S81" s="383">
        <f>mat_ki4!AD379</f>
        <v>0</v>
      </c>
      <c r="T81" s="383">
        <f>mat_ki4!AE379</f>
        <v>0</v>
      </c>
      <c r="U81" s="383">
        <f>mat_ki4!AF379</f>
        <v>0</v>
      </c>
      <c r="V81" s="383">
        <f>mat_ki4!AG379</f>
        <v>0</v>
      </c>
      <c r="W81" s="383">
        <f>mat_ki4!AH379</f>
        <v>0</v>
      </c>
      <c r="X81" s="383">
        <f>mat_ki4!AI379</f>
        <v>0</v>
      </c>
      <c r="Y81" s="743" t="str">
        <f t="shared" si="5"/>
        <v xml:space="preserve">  </v>
      </c>
    </row>
    <row r="82" spans="1:25" ht="15.75" x14ac:dyDescent="0.25">
      <c r="A82" s="134">
        <v>32</v>
      </c>
      <c r="B82" s="382">
        <f>dtsiswa!D38</f>
        <v>0</v>
      </c>
      <c r="C82" s="758">
        <f>Mat_ki3!U255</f>
        <v>0</v>
      </c>
      <c r="D82" s="758">
        <f>Mat_ki3!V255</f>
        <v>0</v>
      </c>
      <c r="E82" s="758">
        <f>Mat_ki3!W255</f>
        <v>0</v>
      </c>
      <c r="F82" s="758">
        <f>Mat_ki3!X255</f>
        <v>0</v>
      </c>
      <c r="G82" s="758">
        <f>Mat_ki3!Y255</f>
        <v>0</v>
      </c>
      <c r="H82" s="758">
        <f>Mat_ki3!Z255</f>
        <v>0</v>
      </c>
      <c r="I82" s="758">
        <f>Mat_ki3!AA255</f>
        <v>0</v>
      </c>
      <c r="J82" s="398" t="str">
        <f t="shared" si="4"/>
        <v xml:space="preserve">  </v>
      </c>
      <c r="L82" s="758">
        <v>32</v>
      </c>
      <c r="M82" s="382">
        <f>dtsiswa!D38</f>
        <v>0</v>
      </c>
      <c r="N82" s="383">
        <f>mat_ki4!Y391</f>
        <v>0</v>
      </c>
      <c r="O82" s="383">
        <f>mat_ki4!Z391</f>
        <v>0</v>
      </c>
      <c r="P82" s="383">
        <f>mat_ki4!AA391</f>
        <v>0</v>
      </c>
      <c r="Q82" s="383">
        <f>mat_ki4!AB391</f>
        <v>0</v>
      </c>
      <c r="R82" s="383">
        <f>mat_ki4!AC391</f>
        <v>0</v>
      </c>
      <c r="S82" s="383">
        <f>mat_ki4!AD391</f>
        <v>0</v>
      </c>
      <c r="T82" s="383">
        <f>mat_ki4!AE391</f>
        <v>0</v>
      </c>
      <c r="U82" s="383">
        <f>mat_ki4!AF391</f>
        <v>0</v>
      </c>
      <c r="V82" s="383">
        <f>mat_ki4!AG391</f>
        <v>0</v>
      </c>
      <c r="W82" s="383">
        <f>mat_ki4!AH391</f>
        <v>0</v>
      </c>
      <c r="X82" s="383">
        <f>mat_ki4!AI391</f>
        <v>0</v>
      </c>
      <c r="Y82" s="743" t="str">
        <f t="shared" si="5"/>
        <v xml:space="preserve">  </v>
      </c>
    </row>
    <row r="83" spans="1:25" ht="15.75" x14ac:dyDescent="0.25">
      <c r="A83" s="134">
        <v>33</v>
      </c>
      <c r="B83" s="382">
        <f>dtsiswa!D39</f>
        <v>0</v>
      </c>
      <c r="C83" s="758">
        <f>Mat_ki3!U263</f>
        <v>0</v>
      </c>
      <c r="D83" s="758">
        <f>Mat_ki3!V263</f>
        <v>0</v>
      </c>
      <c r="E83" s="758">
        <f>Mat_ki3!W263</f>
        <v>0</v>
      </c>
      <c r="F83" s="758">
        <f>Mat_ki3!X263</f>
        <v>0</v>
      </c>
      <c r="G83" s="758">
        <f>Mat_ki3!Y263</f>
        <v>0</v>
      </c>
      <c r="H83" s="758">
        <f>Mat_ki3!Z263</f>
        <v>0</v>
      </c>
      <c r="I83" s="758">
        <f>Mat_ki3!AA263</f>
        <v>0</v>
      </c>
      <c r="J83" s="398" t="str">
        <f t="shared" si="4"/>
        <v xml:space="preserve">  </v>
      </c>
      <c r="L83" s="134">
        <v>33</v>
      </c>
      <c r="M83" s="382">
        <f>dtsiswa!D39</f>
        <v>0</v>
      </c>
      <c r="N83" s="383">
        <f>mat_ki4!Y403</f>
        <v>0</v>
      </c>
      <c r="O83" s="383">
        <f>mat_ki4!Z403</f>
        <v>0</v>
      </c>
      <c r="P83" s="383">
        <f>mat_ki4!AA403</f>
        <v>0</v>
      </c>
      <c r="Q83" s="383">
        <f>mat_ki4!AB403</f>
        <v>0</v>
      </c>
      <c r="R83" s="383">
        <f>mat_ki4!AC403</f>
        <v>0</v>
      </c>
      <c r="S83" s="383">
        <f>mat_ki4!AD403</f>
        <v>0</v>
      </c>
      <c r="T83" s="383">
        <f>mat_ki4!AE403</f>
        <v>0</v>
      </c>
      <c r="U83" s="383">
        <f>mat_ki4!AF403</f>
        <v>0</v>
      </c>
      <c r="V83" s="383">
        <f>mat_ki4!AG403</f>
        <v>0</v>
      </c>
      <c r="W83" s="383">
        <f>mat_ki4!AH403</f>
        <v>0</v>
      </c>
      <c r="X83" s="383">
        <f>mat_ki4!AI403</f>
        <v>0</v>
      </c>
      <c r="Y83" s="743" t="str">
        <f t="shared" si="5"/>
        <v xml:space="preserve">  </v>
      </c>
    </row>
    <row r="84" spans="1:25" ht="15.75" x14ac:dyDescent="0.25">
      <c r="A84" s="134">
        <v>34</v>
      </c>
      <c r="B84" s="382">
        <f>dtsiswa!D40</f>
        <v>0</v>
      </c>
      <c r="C84" s="758">
        <f>Mat_ki3!U271</f>
        <v>0</v>
      </c>
      <c r="D84" s="758">
        <f>Mat_ki3!V271</f>
        <v>0</v>
      </c>
      <c r="E84" s="758">
        <f>Mat_ki3!W271</f>
        <v>0</v>
      </c>
      <c r="F84" s="758">
        <f>Mat_ki3!X271</f>
        <v>0</v>
      </c>
      <c r="G84" s="758">
        <f>Mat_ki3!Y271</f>
        <v>0</v>
      </c>
      <c r="H84" s="758">
        <f>Mat_ki3!Z271</f>
        <v>0</v>
      </c>
      <c r="I84" s="758">
        <f>Mat_ki3!AA271</f>
        <v>0</v>
      </c>
      <c r="J84" s="398" t="str">
        <f t="shared" si="4"/>
        <v xml:space="preserve">  </v>
      </c>
      <c r="L84" s="758">
        <v>34</v>
      </c>
      <c r="M84" s="382">
        <f>dtsiswa!D40</f>
        <v>0</v>
      </c>
      <c r="N84" s="383">
        <f>mat_ki4!Y415</f>
        <v>0</v>
      </c>
      <c r="O84" s="383">
        <f>mat_ki4!Z415</f>
        <v>0</v>
      </c>
      <c r="P84" s="383">
        <f>mat_ki4!AA415</f>
        <v>0</v>
      </c>
      <c r="Q84" s="383">
        <f>mat_ki4!AB415</f>
        <v>0</v>
      </c>
      <c r="R84" s="383">
        <f>mat_ki4!AC415</f>
        <v>0</v>
      </c>
      <c r="S84" s="383">
        <f>mat_ki4!AD415</f>
        <v>0</v>
      </c>
      <c r="T84" s="383">
        <f>mat_ki4!AE415</f>
        <v>0</v>
      </c>
      <c r="U84" s="383">
        <f>mat_ki4!AF415</f>
        <v>0</v>
      </c>
      <c r="V84" s="383">
        <f>mat_ki4!AG415</f>
        <v>0</v>
      </c>
      <c r="W84" s="383">
        <f>mat_ki4!AH415</f>
        <v>0</v>
      </c>
      <c r="X84" s="383">
        <f>mat_ki4!AI415</f>
        <v>0</v>
      </c>
      <c r="Y84" s="743" t="str">
        <f t="shared" si="5"/>
        <v xml:space="preserve">  </v>
      </c>
    </row>
    <row r="85" spans="1:25" ht="15.75" x14ac:dyDescent="0.25">
      <c r="A85" s="134">
        <v>35</v>
      </c>
      <c r="B85" s="382">
        <f>dtsiswa!D41</f>
        <v>0</v>
      </c>
      <c r="C85" s="758">
        <f>Mat_ki3!U279</f>
        <v>0</v>
      </c>
      <c r="D85" s="758">
        <f>Mat_ki3!V279</f>
        <v>0</v>
      </c>
      <c r="E85" s="758">
        <f>Mat_ki3!W279</f>
        <v>0</v>
      </c>
      <c r="F85" s="758">
        <f>Mat_ki3!X279</f>
        <v>0</v>
      </c>
      <c r="G85" s="758">
        <f>Mat_ki3!Y279</f>
        <v>0</v>
      </c>
      <c r="H85" s="758">
        <f>Mat_ki3!Z279</f>
        <v>0</v>
      </c>
      <c r="I85" s="758">
        <f>Mat_ki3!AA279</f>
        <v>0</v>
      </c>
      <c r="J85" s="398" t="str">
        <f t="shared" si="4"/>
        <v xml:space="preserve">  </v>
      </c>
      <c r="L85" s="134">
        <v>35</v>
      </c>
      <c r="M85" s="382">
        <f>dtsiswa!D41</f>
        <v>0</v>
      </c>
      <c r="N85" s="383">
        <f>mat_ki4!Y4010</f>
        <v>0</v>
      </c>
      <c r="O85" s="383">
        <f>mat_ki4!Z4010</f>
        <v>0</v>
      </c>
      <c r="P85" s="383">
        <f>mat_ki4!AA4010</f>
        <v>0</v>
      </c>
      <c r="Q85" s="383">
        <f>mat_ki4!AB4010</f>
        <v>0</v>
      </c>
      <c r="R85" s="383">
        <f>mat_ki4!AC4010</f>
        <v>0</v>
      </c>
      <c r="S85" s="383">
        <f>mat_ki4!AD4010</f>
        <v>0</v>
      </c>
      <c r="T85" s="383">
        <f>mat_ki4!AE4010</f>
        <v>0</v>
      </c>
      <c r="U85" s="383">
        <f>mat_ki4!AF4010</f>
        <v>0</v>
      </c>
      <c r="V85" s="383">
        <f>mat_ki4!AG4010</f>
        <v>0</v>
      </c>
      <c r="W85" s="383">
        <f>mat_ki4!AH4010</f>
        <v>0</v>
      </c>
      <c r="X85" s="383">
        <f>mat_ki4!AI4010</f>
        <v>0</v>
      </c>
      <c r="Y85" s="743" t="str">
        <f t="shared" si="5"/>
        <v xml:space="preserve">  </v>
      </c>
    </row>
    <row r="86" spans="1:25" ht="15.75" x14ac:dyDescent="0.25">
      <c r="A86" s="134">
        <v>36</v>
      </c>
      <c r="B86" s="382">
        <f>dtsiswa!D42</f>
        <v>0</v>
      </c>
      <c r="C86" s="758">
        <f>Mat_ki3!U287</f>
        <v>0</v>
      </c>
      <c r="D86" s="758">
        <f>Mat_ki3!V287</f>
        <v>0</v>
      </c>
      <c r="E86" s="758">
        <f>Mat_ki3!W287</f>
        <v>0</v>
      </c>
      <c r="F86" s="758">
        <f>Mat_ki3!X287</f>
        <v>0</v>
      </c>
      <c r="G86" s="758">
        <f>Mat_ki3!Y287</f>
        <v>0</v>
      </c>
      <c r="H86" s="758">
        <f>Mat_ki3!Z287</f>
        <v>0</v>
      </c>
      <c r="I86" s="758">
        <f>Mat_ki3!AA287</f>
        <v>0</v>
      </c>
      <c r="J86" s="398" t="str">
        <f t="shared" si="4"/>
        <v xml:space="preserve">  </v>
      </c>
      <c r="L86" s="758">
        <v>36</v>
      </c>
      <c r="M86" s="382">
        <f>dtsiswa!D42</f>
        <v>0</v>
      </c>
      <c r="N86" s="383">
        <f>mat_ki4!Y439</f>
        <v>0</v>
      </c>
      <c r="O86" s="383">
        <f>mat_ki4!Z439</f>
        <v>0</v>
      </c>
      <c r="P86" s="383">
        <f>mat_ki4!AA439</f>
        <v>0</v>
      </c>
      <c r="Q86" s="383">
        <f>mat_ki4!AB439</f>
        <v>0</v>
      </c>
      <c r="R86" s="383">
        <f>mat_ki4!AC439</f>
        <v>0</v>
      </c>
      <c r="S86" s="383">
        <f>mat_ki4!AD439</f>
        <v>0</v>
      </c>
      <c r="T86" s="383">
        <f>mat_ki4!AE439</f>
        <v>0</v>
      </c>
      <c r="U86" s="383">
        <f>mat_ki4!AF439</f>
        <v>0</v>
      </c>
      <c r="V86" s="383">
        <f>mat_ki4!AG439</f>
        <v>0</v>
      </c>
      <c r="W86" s="383">
        <f>mat_ki4!AH439</f>
        <v>0</v>
      </c>
      <c r="X86" s="383">
        <f>mat_ki4!AI439</f>
        <v>0</v>
      </c>
      <c r="Y86" s="743" t="str">
        <f t="shared" si="5"/>
        <v xml:space="preserve">  </v>
      </c>
    </row>
    <row r="87" spans="1:25" ht="15.75" x14ac:dyDescent="0.25">
      <c r="A87" s="134">
        <v>37</v>
      </c>
      <c r="B87" s="382">
        <f>dtsiswa!D43</f>
        <v>0</v>
      </c>
      <c r="C87" s="758">
        <f>Mat_ki3!U295</f>
        <v>0</v>
      </c>
      <c r="D87" s="758">
        <f>Mat_ki3!V295</f>
        <v>0</v>
      </c>
      <c r="E87" s="758">
        <f>Mat_ki3!W295</f>
        <v>0</v>
      </c>
      <c r="F87" s="758">
        <f>Mat_ki3!X295</f>
        <v>0</v>
      </c>
      <c r="G87" s="758">
        <f>Mat_ki3!Y295</f>
        <v>0</v>
      </c>
      <c r="H87" s="758">
        <f>Mat_ki3!Z295</f>
        <v>0</v>
      </c>
      <c r="I87" s="758">
        <f>Mat_ki3!AA295</f>
        <v>0</v>
      </c>
      <c r="J87" s="398" t="str">
        <f t="shared" si="4"/>
        <v xml:space="preserve">  </v>
      </c>
      <c r="L87" s="134">
        <v>37</v>
      </c>
      <c r="M87" s="382">
        <f>dtsiswa!D43</f>
        <v>0</v>
      </c>
      <c r="N87" s="383">
        <f>mat_ki4!Y451</f>
        <v>0</v>
      </c>
      <c r="O87" s="383">
        <f>mat_ki4!Z451</f>
        <v>0</v>
      </c>
      <c r="P87" s="383">
        <f>mat_ki4!AA451</f>
        <v>0</v>
      </c>
      <c r="Q87" s="383">
        <f>mat_ki4!AB451</f>
        <v>0</v>
      </c>
      <c r="R87" s="383">
        <f>mat_ki4!AC451</f>
        <v>0</v>
      </c>
      <c r="S87" s="383">
        <f>mat_ki4!AD451</f>
        <v>0</v>
      </c>
      <c r="T87" s="383">
        <f>mat_ki4!AE451</f>
        <v>0</v>
      </c>
      <c r="U87" s="383">
        <f>mat_ki4!AF451</f>
        <v>0</v>
      </c>
      <c r="V87" s="383">
        <f>mat_ki4!AG451</f>
        <v>0</v>
      </c>
      <c r="W87" s="383">
        <f>mat_ki4!AH451</f>
        <v>0</v>
      </c>
      <c r="X87" s="383">
        <f>mat_ki4!AI451</f>
        <v>0</v>
      </c>
      <c r="Y87" s="743" t="str">
        <f t="shared" si="5"/>
        <v xml:space="preserve">  </v>
      </c>
    </row>
    <row r="88" spans="1:25" ht="15.75" x14ac:dyDescent="0.25">
      <c r="A88" s="134">
        <v>38</v>
      </c>
      <c r="B88" s="382">
        <f>dtsiswa!D44</f>
        <v>0</v>
      </c>
      <c r="C88" s="758">
        <f>Mat_ki3!U303</f>
        <v>0</v>
      </c>
      <c r="D88" s="758">
        <f>Mat_ki3!V303</f>
        <v>0</v>
      </c>
      <c r="E88" s="758">
        <f>Mat_ki3!W303</f>
        <v>0</v>
      </c>
      <c r="F88" s="758">
        <f>Mat_ki3!X303</f>
        <v>0</v>
      </c>
      <c r="G88" s="758">
        <f>Mat_ki3!Y303</f>
        <v>0</v>
      </c>
      <c r="H88" s="758">
        <f>Mat_ki3!Z303</f>
        <v>0</v>
      </c>
      <c r="I88" s="758">
        <f>Mat_ki3!AA303</f>
        <v>0</v>
      </c>
      <c r="J88" s="398" t="str">
        <f t="shared" si="4"/>
        <v xml:space="preserve">  </v>
      </c>
      <c r="L88" s="758">
        <v>38</v>
      </c>
      <c r="M88" s="382">
        <f>dtsiswa!D44</f>
        <v>0</v>
      </c>
      <c r="N88" s="383">
        <f>mat_ki4!Y463</f>
        <v>0</v>
      </c>
      <c r="O88" s="383">
        <f>mat_ki4!Z463</f>
        <v>0</v>
      </c>
      <c r="P88" s="383">
        <f>mat_ki4!AA463</f>
        <v>0</v>
      </c>
      <c r="Q88" s="383">
        <f>mat_ki4!AB463</f>
        <v>0</v>
      </c>
      <c r="R88" s="383">
        <f>mat_ki4!AC463</f>
        <v>0</v>
      </c>
      <c r="S88" s="383">
        <f>mat_ki4!AD463</f>
        <v>0</v>
      </c>
      <c r="T88" s="383">
        <f>mat_ki4!AE463</f>
        <v>0</v>
      </c>
      <c r="U88" s="383">
        <f>mat_ki4!AF463</f>
        <v>0</v>
      </c>
      <c r="V88" s="383">
        <f>mat_ki4!AG463</f>
        <v>0</v>
      </c>
      <c r="W88" s="383">
        <f>mat_ki4!AH463</f>
        <v>0</v>
      </c>
      <c r="X88" s="383">
        <f>mat_ki4!AI463</f>
        <v>0</v>
      </c>
      <c r="Y88" s="743" t="str">
        <f t="shared" si="5"/>
        <v xml:space="preserve">  </v>
      </c>
    </row>
    <row r="89" spans="1:25" ht="15.75" x14ac:dyDescent="0.25">
      <c r="A89" s="134">
        <v>39</v>
      </c>
      <c r="B89" s="382">
        <f>dtsiswa!D45</f>
        <v>0</v>
      </c>
      <c r="C89" s="758">
        <f>Mat_ki3!U311</f>
        <v>0</v>
      </c>
      <c r="D89" s="758">
        <f>Mat_ki3!V311</f>
        <v>0</v>
      </c>
      <c r="E89" s="758">
        <f>Mat_ki3!W311</f>
        <v>0</v>
      </c>
      <c r="F89" s="758">
        <f>Mat_ki3!X311</f>
        <v>0</v>
      </c>
      <c r="G89" s="758">
        <f>Mat_ki3!Y311</f>
        <v>0</v>
      </c>
      <c r="H89" s="758">
        <f>Mat_ki3!Z311</f>
        <v>0</v>
      </c>
      <c r="I89" s="758">
        <f>Mat_ki3!AA311</f>
        <v>0</v>
      </c>
      <c r="J89" s="398" t="str">
        <f t="shared" si="4"/>
        <v xml:space="preserve">  </v>
      </c>
      <c r="L89" s="134">
        <v>39</v>
      </c>
      <c r="M89" s="382">
        <f>dtsiswa!D45</f>
        <v>0</v>
      </c>
      <c r="N89" s="383">
        <f>mat_ki4!Y475</f>
        <v>0</v>
      </c>
      <c r="O89" s="383">
        <f>mat_ki4!Z475</f>
        <v>0</v>
      </c>
      <c r="P89" s="383">
        <f>mat_ki4!AA475</f>
        <v>0</v>
      </c>
      <c r="Q89" s="383">
        <f>mat_ki4!AB475</f>
        <v>0</v>
      </c>
      <c r="R89" s="383">
        <f>mat_ki4!AC475</f>
        <v>0</v>
      </c>
      <c r="S89" s="383">
        <f>mat_ki4!AD475</f>
        <v>0</v>
      </c>
      <c r="T89" s="383">
        <f>mat_ki4!AE475</f>
        <v>0</v>
      </c>
      <c r="U89" s="383">
        <f>mat_ki4!AF475</f>
        <v>0</v>
      </c>
      <c r="V89" s="383">
        <f>mat_ki4!AG475</f>
        <v>0</v>
      </c>
      <c r="W89" s="383">
        <f>mat_ki4!AH475</f>
        <v>0</v>
      </c>
      <c r="X89" s="383">
        <f>mat_ki4!AI475</f>
        <v>0</v>
      </c>
      <c r="Y89" s="743" t="str">
        <f t="shared" si="5"/>
        <v xml:space="preserve">  </v>
      </c>
    </row>
    <row r="90" spans="1:25" ht="15.75" x14ac:dyDescent="0.25">
      <c r="A90" s="134">
        <v>40</v>
      </c>
      <c r="B90" s="382">
        <f>dtsiswa!D46</f>
        <v>0</v>
      </c>
      <c r="C90" s="758">
        <f>Mat_ki3!U319</f>
        <v>0</v>
      </c>
      <c r="D90" s="758">
        <f>Mat_ki3!V319</f>
        <v>0</v>
      </c>
      <c r="E90" s="758">
        <f>Mat_ki3!W319</f>
        <v>0</v>
      </c>
      <c r="F90" s="758">
        <f>Mat_ki3!X319</f>
        <v>0</v>
      </c>
      <c r="G90" s="758">
        <f>Mat_ki3!Y319</f>
        <v>0</v>
      </c>
      <c r="H90" s="758">
        <f>Mat_ki3!Z319</f>
        <v>0</v>
      </c>
      <c r="I90" s="758">
        <f>Mat_ki3!AA319</f>
        <v>0</v>
      </c>
      <c r="J90" s="398" t="str">
        <f t="shared" si="4"/>
        <v xml:space="preserve">  </v>
      </c>
      <c r="L90" s="758">
        <v>40</v>
      </c>
      <c r="M90" s="382">
        <f>dtsiswa!D46</f>
        <v>0</v>
      </c>
      <c r="N90" s="383" t="e">
        <f>mat_ki4!#REF!</f>
        <v>#REF!</v>
      </c>
      <c r="O90" s="383" t="e">
        <f>mat_ki4!#REF!</f>
        <v>#REF!</v>
      </c>
      <c r="P90" s="383" t="e">
        <f>mat_ki4!#REF!</f>
        <v>#REF!</v>
      </c>
      <c r="Q90" s="383" t="e">
        <f>mat_ki4!#REF!</f>
        <v>#REF!</v>
      </c>
      <c r="R90" s="383" t="e">
        <f>mat_ki4!#REF!</f>
        <v>#REF!</v>
      </c>
      <c r="S90" s="383" t="e">
        <f>mat_ki4!#REF!</f>
        <v>#REF!</v>
      </c>
      <c r="T90" s="383" t="e">
        <f>mat_ki4!#REF!</f>
        <v>#REF!</v>
      </c>
      <c r="U90" s="383" t="e">
        <f>mat_ki4!#REF!</f>
        <v>#REF!</v>
      </c>
      <c r="V90" s="383" t="e">
        <f>mat_ki4!#REF!</f>
        <v>#REF!</v>
      </c>
      <c r="W90" s="383" t="e">
        <f>mat_ki4!#REF!</f>
        <v>#REF!</v>
      </c>
      <c r="X90" s="383" t="e">
        <f>mat_ki4!#REF!</f>
        <v>#REF!</v>
      </c>
      <c r="Y90" s="743" t="e">
        <f t="shared" si="5"/>
        <v>#REF!</v>
      </c>
    </row>
  </sheetData>
  <mergeCells count="4">
    <mergeCell ref="A1:I1"/>
    <mergeCell ref="L1:O1"/>
    <mergeCell ref="A48:I48"/>
    <mergeCell ref="L48:O48"/>
  </mergeCells>
  <conditionalFormatting sqref="N4:X43">
    <cfRule type="top10" dxfId="304" priority="401" rank="1"/>
  </conditionalFormatting>
  <conditionalFormatting sqref="N5:X30">
    <cfRule type="top10" dxfId="303" priority="402" rank="1"/>
  </conditionalFormatting>
  <conditionalFormatting sqref="N6:X6">
    <cfRule type="top10" dxfId="302" priority="403" rank="1"/>
  </conditionalFormatting>
  <conditionalFormatting sqref="N7:X7">
    <cfRule type="top10" dxfId="301" priority="404" rank="1"/>
  </conditionalFormatting>
  <conditionalFormatting sqref="N8:X8">
    <cfRule type="top10" dxfId="300" priority="405" rank="1"/>
  </conditionalFormatting>
  <conditionalFormatting sqref="N9:X9">
    <cfRule type="top10" dxfId="299" priority="406" rank="1"/>
  </conditionalFormatting>
  <conditionalFormatting sqref="N10:X30">
    <cfRule type="top10" dxfId="298" priority="407" rank="1"/>
  </conditionalFormatting>
  <conditionalFormatting sqref="N11:X11">
    <cfRule type="top10" dxfId="297" priority="408" rank="1"/>
  </conditionalFormatting>
  <conditionalFormatting sqref="N12:X12">
    <cfRule type="top10" dxfId="296" priority="409" rank="1"/>
  </conditionalFormatting>
  <conditionalFormatting sqref="N13:X30">
    <cfRule type="top10" dxfId="295" priority="410" rank="1"/>
  </conditionalFormatting>
  <conditionalFormatting sqref="N14:X14">
    <cfRule type="top10" dxfId="294" priority="411" rank="1"/>
  </conditionalFormatting>
  <conditionalFormatting sqref="N15:X15">
    <cfRule type="top10" dxfId="293" priority="412" rank="1"/>
  </conditionalFormatting>
  <conditionalFormatting sqref="N16:X16">
    <cfRule type="top10" dxfId="292" priority="413" rank="1"/>
  </conditionalFormatting>
  <conditionalFormatting sqref="N17:X17">
    <cfRule type="top10" dxfId="291" priority="414" rank="1"/>
  </conditionalFormatting>
  <conditionalFormatting sqref="N18:X30">
    <cfRule type="top10" dxfId="290" priority="415" rank="1"/>
  </conditionalFormatting>
  <conditionalFormatting sqref="N19:X19">
    <cfRule type="top10" dxfId="289" priority="416" rank="1"/>
  </conditionalFormatting>
  <conditionalFormatting sqref="N20:X20">
    <cfRule type="top10" dxfId="288" priority="417" rank="1"/>
  </conditionalFormatting>
  <conditionalFormatting sqref="N21:X21">
    <cfRule type="top10" dxfId="287" priority="418" rank="1"/>
  </conditionalFormatting>
  <conditionalFormatting sqref="N22:X22">
    <cfRule type="top10" dxfId="286" priority="419" rank="1"/>
  </conditionalFormatting>
  <conditionalFormatting sqref="N23:X23">
    <cfRule type="top10" dxfId="285" priority="420" rank="1"/>
  </conditionalFormatting>
  <conditionalFormatting sqref="N24:X43">
    <cfRule type="top10" dxfId="284" priority="421" rank="1"/>
  </conditionalFormatting>
  <conditionalFormatting sqref="C4:I4">
    <cfRule type="top10" dxfId="283" priority="2292" rank="1"/>
  </conditionalFormatting>
  <conditionalFormatting sqref="C5:I5">
    <cfRule type="top10" dxfId="282" priority="2293" rank="1"/>
  </conditionalFormatting>
  <conditionalFormatting sqref="C6:I6">
    <cfRule type="top10" dxfId="281" priority="2294" rank="1"/>
  </conditionalFormatting>
  <conditionalFormatting sqref="C7:I7">
    <cfRule type="top10" dxfId="280" priority="2295" rank="1"/>
  </conditionalFormatting>
  <conditionalFormatting sqref="C8:I8">
    <cfRule type="top10" dxfId="279" priority="2296" rank="1"/>
  </conditionalFormatting>
  <conditionalFormatting sqref="C9:I9">
    <cfRule type="top10" dxfId="278" priority="2297" rank="1"/>
  </conditionalFormatting>
  <conditionalFormatting sqref="C10:I10">
    <cfRule type="top10" dxfId="277" priority="2298" rank="1"/>
  </conditionalFormatting>
  <conditionalFormatting sqref="C11:I11">
    <cfRule type="top10" dxfId="276" priority="2299" rank="1"/>
  </conditionalFormatting>
  <conditionalFormatting sqref="C12:I12">
    <cfRule type="top10" dxfId="275" priority="2300" rank="1"/>
  </conditionalFormatting>
  <conditionalFormatting sqref="C13:I13">
    <cfRule type="top10" dxfId="274" priority="2301" rank="1"/>
  </conditionalFormatting>
  <conditionalFormatting sqref="C14:I14">
    <cfRule type="top10" dxfId="273" priority="2302" rank="1"/>
  </conditionalFormatting>
  <conditionalFormatting sqref="C15:I15">
    <cfRule type="top10" dxfId="272" priority="2303" rank="1"/>
  </conditionalFormatting>
  <conditionalFormatting sqref="C16:I16">
    <cfRule type="top10" dxfId="271" priority="2304" rank="1"/>
  </conditionalFormatting>
  <conditionalFormatting sqref="C17:I17">
    <cfRule type="top10" dxfId="270" priority="2305" rank="1"/>
  </conditionalFormatting>
  <conditionalFormatting sqref="C18:I18">
    <cfRule type="top10" dxfId="269" priority="2306" rank="1"/>
  </conditionalFormatting>
  <conditionalFormatting sqref="C19:I19">
    <cfRule type="top10" dxfId="268" priority="2307" rank="1"/>
  </conditionalFormatting>
  <conditionalFormatting sqref="C20:I20">
    <cfRule type="top10" dxfId="267" priority="2308" rank="1"/>
  </conditionalFormatting>
  <conditionalFormatting sqref="C21:I21">
    <cfRule type="top10" dxfId="266" priority="2309" rank="1"/>
  </conditionalFormatting>
  <conditionalFormatting sqref="C22:I22">
    <cfRule type="top10" dxfId="265" priority="2310" rank="1"/>
  </conditionalFormatting>
  <conditionalFormatting sqref="C23:I23">
    <cfRule type="top10" dxfId="264" priority="2311" rank="1"/>
  </conditionalFormatting>
  <conditionalFormatting sqref="C51:I51">
    <cfRule type="top10" dxfId="263" priority="2312" rank="1"/>
  </conditionalFormatting>
  <conditionalFormatting sqref="C52:I52">
    <cfRule type="top10" dxfId="262" priority="2313" rank="1"/>
  </conditionalFormatting>
  <conditionalFormatting sqref="C53:I53">
    <cfRule type="top10" dxfId="261" priority="2314" rank="1"/>
  </conditionalFormatting>
  <conditionalFormatting sqref="C54:I54">
    <cfRule type="top10" dxfId="260" priority="2315" rank="1"/>
  </conditionalFormatting>
  <conditionalFormatting sqref="C55:I70">
    <cfRule type="top10" dxfId="259" priority="2316" rank="1"/>
  </conditionalFormatting>
  <conditionalFormatting sqref="C71:I71">
    <cfRule type="top10" dxfId="258" priority="2317" rank="1"/>
  </conditionalFormatting>
  <conditionalFormatting sqref="C24:I24">
    <cfRule type="top10" dxfId="257" priority="2318" rank="1"/>
  </conditionalFormatting>
  <conditionalFormatting sqref="C25:I25">
    <cfRule type="top10" dxfId="256" priority="2319" rank="1"/>
  </conditionalFormatting>
  <conditionalFormatting sqref="C26:I26">
    <cfRule type="top10" dxfId="255" priority="2320" rank="1"/>
  </conditionalFormatting>
  <conditionalFormatting sqref="C27:I27">
    <cfRule type="top10" dxfId="254" priority="2321" rank="1"/>
  </conditionalFormatting>
  <conditionalFormatting sqref="C28:I28">
    <cfRule type="top10" dxfId="253" priority="2322" rank="1"/>
  </conditionalFormatting>
  <conditionalFormatting sqref="C29:I29">
    <cfRule type="top10" dxfId="252" priority="2323" rank="1"/>
  </conditionalFormatting>
  <conditionalFormatting sqref="C30:I30">
    <cfRule type="top10" dxfId="251" priority="2324" rank="1"/>
  </conditionalFormatting>
  <conditionalFormatting sqref="C31:I31">
    <cfRule type="top10" dxfId="250" priority="2325" rank="1"/>
  </conditionalFormatting>
  <conditionalFormatting sqref="C32:I32">
    <cfRule type="top10" dxfId="249" priority="2326" rank="1"/>
  </conditionalFormatting>
  <conditionalFormatting sqref="C33:I33">
    <cfRule type="top10" dxfId="248" priority="2327" rank="1"/>
  </conditionalFormatting>
  <conditionalFormatting sqref="C34:I34">
    <cfRule type="top10" dxfId="247" priority="2328" rank="1"/>
  </conditionalFormatting>
  <conditionalFormatting sqref="C35:I35">
    <cfRule type="top10" dxfId="246" priority="2329" rank="1"/>
  </conditionalFormatting>
  <conditionalFormatting sqref="C36:I36">
    <cfRule type="top10" dxfId="245" priority="2330" rank="1"/>
  </conditionalFormatting>
  <conditionalFormatting sqref="C37:I37">
    <cfRule type="top10" dxfId="244" priority="2331" rank="1"/>
  </conditionalFormatting>
  <conditionalFormatting sqref="C38:I38">
    <cfRule type="top10" dxfId="243" priority="2332" rank="1"/>
  </conditionalFormatting>
  <conditionalFormatting sqref="C39:I39">
    <cfRule type="top10" dxfId="242" priority="2333" rank="1"/>
  </conditionalFormatting>
  <conditionalFormatting sqref="C40:I40">
    <cfRule type="top10" dxfId="241" priority="2334" rank="1"/>
  </conditionalFormatting>
  <conditionalFormatting sqref="C41:I41">
    <cfRule type="top10" dxfId="240" priority="2335" rank="1"/>
  </conditionalFormatting>
  <conditionalFormatting sqref="C42:I42">
    <cfRule type="top10" dxfId="239" priority="2336" rank="1"/>
  </conditionalFormatting>
  <conditionalFormatting sqref="C43:I43">
    <cfRule type="top10" dxfId="238" priority="2337" rank="1"/>
  </conditionalFormatting>
  <conditionalFormatting sqref="C72:I72">
    <cfRule type="top10" dxfId="237" priority="2338" rank="1"/>
  </conditionalFormatting>
  <conditionalFormatting sqref="C73:I73">
    <cfRule type="top10" dxfId="236" priority="2339" rank="1"/>
  </conditionalFormatting>
  <conditionalFormatting sqref="C74:I74">
    <cfRule type="top10" dxfId="235" priority="2340" rank="1"/>
  </conditionalFormatting>
  <conditionalFormatting sqref="C75:I75">
    <cfRule type="top10" dxfId="234" priority="2341" rank="1"/>
  </conditionalFormatting>
  <conditionalFormatting sqref="C76:I76">
    <cfRule type="top10" dxfId="233" priority="2342" rank="1"/>
  </conditionalFormatting>
  <conditionalFormatting sqref="C77:I77">
    <cfRule type="top10" dxfId="232" priority="2343" rank="1"/>
  </conditionalFormatting>
  <conditionalFormatting sqref="C78:I78">
    <cfRule type="top10" dxfId="231" priority="2344" rank="1"/>
  </conditionalFormatting>
  <conditionalFormatting sqref="C79:I79">
    <cfRule type="top10" dxfId="230" priority="2345" rank="1"/>
  </conditionalFormatting>
  <conditionalFormatting sqref="C80:I80">
    <cfRule type="top10" dxfId="229" priority="2346" rank="1"/>
  </conditionalFormatting>
  <conditionalFormatting sqref="C81:I81">
    <cfRule type="top10" dxfId="228" priority="2347" rank="1"/>
  </conditionalFormatting>
  <conditionalFormatting sqref="C82:I82">
    <cfRule type="top10" dxfId="227" priority="2348" rank="1"/>
  </conditionalFormatting>
  <conditionalFormatting sqref="C83:I83">
    <cfRule type="top10" dxfId="226" priority="2349" rank="1"/>
  </conditionalFormatting>
  <conditionalFormatting sqref="C84:I84">
    <cfRule type="top10" dxfId="225" priority="2350" rank="1"/>
  </conditionalFormatting>
  <conditionalFormatting sqref="C85:I85">
    <cfRule type="top10" dxfId="224" priority="2351" rank="1"/>
  </conditionalFormatting>
  <conditionalFormatting sqref="C86:I86">
    <cfRule type="top10" dxfId="223" priority="2352" rank="1"/>
  </conditionalFormatting>
  <conditionalFormatting sqref="C87:I87">
    <cfRule type="top10" dxfId="222" priority="2353" rank="1"/>
  </conditionalFormatting>
  <conditionalFormatting sqref="C88:I88">
    <cfRule type="top10" dxfId="221" priority="2354" rank="1"/>
  </conditionalFormatting>
  <conditionalFormatting sqref="C89:I89">
    <cfRule type="top10" dxfId="220" priority="2355" rank="1"/>
  </conditionalFormatting>
  <conditionalFormatting sqref="C90:I90">
    <cfRule type="top10" dxfId="219" priority="2356" rank="1"/>
  </conditionalFormatting>
  <conditionalFormatting sqref="N51:X90">
    <cfRule type="top10" dxfId="218" priority="1" rank="1"/>
  </conditionalFormatting>
  <conditionalFormatting sqref="N52:X90">
    <cfRule type="top10" dxfId="217" priority="2" rank="1"/>
  </conditionalFormatting>
  <conditionalFormatting sqref="N53:X53">
    <cfRule type="top10" dxfId="216" priority="3" rank="1"/>
  </conditionalFormatting>
  <conditionalFormatting sqref="N54:X54">
    <cfRule type="top10" dxfId="215" priority="4" rank="1"/>
  </conditionalFormatting>
  <conditionalFormatting sqref="N55:X55">
    <cfRule type="top10" dxfId="214" priority="5" rank="1"/>
  </conditionalFormatting>
  <conditionalFormatting sqref="N56:X56">
    <cfRule type="top10" dxfId="213" priority="6" rank="1"/>
  </conditionalFormatting>
  <conditionalFormatting sqref="N57:X90">
    <cfRule type="top10" dxfId="212" priority="7" rank="1"/>
  </conditionalFormatting>
  <conditionalFormatting sqref="N58:X58">
    <cfRule type="top10" dxfId="211" priority="8" rank="1"/>
  </conditionalFormatting>
  <conditionalFormatting sqref="N59:X59">
    <cfRule type="top10" dxfId="210" priority="9" rank="1"/>
  </conditionalFormatting>
  <conditionalFormatting sqref="N60:X90">
    <cfRule type="top10" dxfId="209" priority="10" rank="1"/>
  </conditionalFormatting>
  <conditionalFormatting sqref="N61:X61">
    <cfRule type="top10" dxfId="208" priority="11" rank="1"/>
  </conditionalFormatting>
  <conditionalFormatting sqref="N62:X62">
    <cfRule type="top10" dxfId="207" priority="12" rank="1"/>
  </conditionalFormatting>
  <conditionalFormatting sqref="N63:X63">
    <cfRule type="top10" dxfId="206" priority="13" rank="1"/>
  </conditionalFormatting>
  <conditionalFormatting sqref="N64:X64">
    <cfRule type="top10" dxfId="205" priority="14" rank="1"/>
  </conditionalFormatting>
  <conditionalFormatting sqref="N65:X90">
    <cfRule type="top10" dxfId="204" priority="15" rank="1"/>
  </conditionalFormatting>
  <conditionalFormatting sqref="N66:X66">
    <cfRule type="top10" dxfId="203" priority="16" rank="1"/>
  </conditionalFormatting>
  <conditionalFormatting sqref="N67:X67">
    <cfRule type="top10" dxfId="202" priority="17" rank="1"/>
  </conditionalFormatting>
  <conditionalFormatting sqref="N68:X68">
    <cfRule type="top10" dxfId="201" priority="18" rank="1"/>
  </conditionalFormatting>
  <conditionalFormatting sqref="N69:X69">
    <cfRule type="top10" dxfId="200" priority="19" rank="1"/>
  </conditionalFormatting>
  <conditionalFormatting sqref="N70:X90">
    <cfRule type="top10" dxfId="199" priority="20" rank="1"/>
  </conditionalFormatting>
  <conditionalFormatting sqref="N71:X90">
    <cfRule type="top10" dxfId="198" priority="21" rank="1"/>
  </conditionalFormatting>
  <pageMargins left="0.7" right="0.7" top="0.75" bottom="0.75" header="0.3" footer="0.3"/>
  <pageSetup paperSize="9" orientation="portrait" horizontalDpi="0" verticalDpi="0"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C00000"/>
  </sheetPr>
  <dimension ref="A1:U90"/>
  <sheetViews>
    <sheetView workbookViewId="0">
      <selection sqref="A1:F1"/>
    </sheetView>
  </sheetViews>
  <sheetFormatPr defaultRowHeight="15" x14ac:dyDescent="0.25"/>
  <cols>
    <col min="1" max="1" width="6.28515625" style="352" customWidth="1"/>
    <col min="2" max="2" width="51.85546875" style="352" customWidth="1"/>
    <col min="3" max="3" width="9.28515625" style="352" customWidth="1"/>
    <col min="4" max="4" width="10" style="352" customWidth="1"/>
    <col min="5" max="5" width="8.42578125" style="352" customWidth="1"/>
    <col min="6" max="6" width="7.42578125" style="352" customWidth="1"/>
    <col min="7" max="7" width="94.5703125" style="352" customWidth="1"/>
    <col min="8" max="8" width="0.28515625" style="352" hidden="1" customWidth="1"/>
    <col min="9" max="9" width="5.42578125" style="352" customWidth="1"/>
    <col min="10" max="10" width="44.140625" style="352" customWidth="1"/>
    <col min="11" max="16" width="6.7109375" style="352" customWidth="1"/>
    <col min="17" max="17" width="97.7109375" style="352" customWidth="1"/>
    <col min="18" max="18" width="6.140625" style="352" customWidth="1"/>
    <col min="19" max="19" width="37.5703125" style="352" customWidth="1"/>
    <col min="20" max="20" width="66.28515625" style="352" customWidth="1"/>
    <col min="21" max="21" width="75.42578125" style="352" customWidth="1"/>
    <col min="22" max="22" width="9.140625" style="352"/>
    <col min="23" max="23" width="6.42578125" style="352" customWidth="1"/>
    <col min="24" max="16384" width="9.140625" style="352"/>
  </cols>
  <sheetData>
    <row r="1" spans="1:21" ht="26.25" x14ac:dyDescent="0.4">
      <c r="A1" s="2907" t="s">
        <v>451</v>
      </c>
      <c r="B1" s="2907"/>
      <c r="C1" s="2907"/>
      <c r="D1" s="2907"/>
      <c r="E1" s="2907"/>
      <c r="F1" s="2907"/>
      <c r="G1" s="373"/>
      <c r="H1" s="364"/>
      <c r="I1" s="2907" t="s">
        <v>449</v>
      </c>
      <c r="J1" s="2907"/>
      <c r="K1" s="2907"/>
      <c r="L1" s="2907"/>
      <c r="M1" s="373"/>
      <c r="N1" s="373"/>
      <c r="O1" s="373"/>
      <c r="P1" s="373"/>
      <c r="Q1" s="373"/>
      <c r="R1" s="374" t="s">
        <v>450</v>
      </c>
    </row>
    <row r="2" spans="1:21" ht="27" thickBot="1" x14ac:dyDescent="0.45">
      <c r="A2" s="375" t="s">
        <v>147</v>
      </c>
      <c r="B2" s="373"/>
      <c r="C2" s="373"/>
      <c r="D2" s="373"/>
      <c r="E2" s="373"/>
      <c r="F2" s="373"/>
      <c r="G2" s="373"/>
      <c r="H2" s="364"/>
      <c r="I2" s="376" t="s">
        <v>25</v>
      </c>
      <c r="J2" s="373"/>
      <c r="K2" s="373"/>
      <c r="L2" s="373"/>
      <c r="M2" s="373"/>
      <c r="N2" s="373"/>
      <c r="O2" s="373"/>
      <c r="P2" s="373"/>
      <c r="Q2" s="373"/>
    </row>
    <row r="3" spans="1:21" ht="49.5" customHeight="1" thickBot="1" x14ac:dyDescent="0.3">
      <c r="A3" s="377" t="s">
        <v>0</v>
      </c>
      <c r="B3" s="377" t="s">
        <v>1</v>
      </c>
      <c r="C3" s="264" t="s">
        <v>12</v>
      </c>
      <c r="D3" s="264" t="s">
        <v>7</v>
      </c>
      <c r="E3" s="264" t="s">
        <v>10</v>
      </c>
      <c r="F3" s="264" t="s">
        <v>8</v>
      </c>
      <c r="G3" s="273" t="s">
        <v>138</v>
      </c>
      <c r="I3" s="305" t="s">
        <v>0</v>
      </c>
      <c r="J3" s="305" t="s">
        <v>1</v>
      </c>
      <c r="K3" s="1047" t="s">
        <v>154</v>
      </c>
      <c r="L3" s="1047" t="s">
        <v>155</v>
      </c>
      <c r="M3" s="1047" t="s">
        <v>11</v>
      </c>
      <c r="N3" s="1047" t="s">
        <v>16</v>
      </c>
      <c r="O3" s="1123" t="s">
        <v>186</v>
      </c>
      <c r="P3" s="1047" t="s">
        <v>22</v>
      </c>
      <c r="Q3" s="152" t="s">
        <v>138</v>
      </c>
      <c r="R3" s="378" t="s">
        <v>0</v>
      </c>
      <c r="S3" s="379" t="s">
        <v>1</v>
      </c>
      <c r="T3" s="380" t="s">
        <v>145</v>
      </c>
      <c r="U3" s="381" t="s">
        <v>146</v>
      </c>
    </row>
    <row r="4" spans="1:21" ht="18.75" customHeight="1" x14ac:dyDescent="0.25">
      <c r="A4" s="134">
        <v>1</v>
      </c>
      <c r="B4" s="382" t="str">
        <f>dtsiswa!D7</f>
        <v>Achmad Zacky</v>
      </c>
      <c r="C4" s="383">
        <f>sbdp_ki3!N7</f>
        <v>0</v>
      </c>
      <c r="D4" s="383">
        <f>sbdp_ki3!O7</f>
        <v>0</v>
      </c>
      <c r="E4" s="383">
        <f>sbdp_ki3!P7</f>
        <v>3</v>
      </c>
      <c r="F4" s="383">
        <f>sbdp_ki3!Q7</f>
        <v>0</v>
      </c>
      <c r="G4" s="467" t="str">
        <f t="shared" ref="G4:G43" si="0">IF(OR(C4=3,C4=4),VLOOKUP(C4,DES_KI3_SBDP,2,FALSE),IF(OR(D4=3,D4=4),VLOOKUP(D4,DES_KI3_SBDP,3,FALSE),IF(OR(E4=3,E4=4),VLOOKUP(E4,DES_KI3_SBDP,4,FALSE),IF(OR(F4=3,F4=4),VLOOKUP(F4,DES_KI3_SBDP,5,FALSE),"  "))))</f>
        <v xml:space="preserve">Baik dalam Mengenal tari-tari daerah dan keunikan geraknya. </v>
      </c>
      <c r="I4" s="134">
        <v>1</v>
      </c>
      <c r="J4" s="382" t="str">
        <f>dtsiswa!D7</f>
        <v>Achmad Zacky</v>
      </c>
      <c r="K4" s="760">
        <f>Sbdp_ki4!X9</f>
        <v>0</v>
      </c>
      <c r="L4" s="760">
        <f>Sbdp_ki4!Y9</f>
        <v>0</v>
      </c>
      <c r="M4" s="760">
        <f>Sbdp_ki4!Z9</f>
        <v>0</v>
      </c>
      <c r="N4" s="760">
        <f>Sbdp_ki4!AA9</f>
        <v>0</v>
      </c>
      <c r="O4" s="760">
        <f>Sbdp_ki4!AB9</f>
        <v>0</v>
      </c>
      <c r="P4" s="760">
        <f>Sbdp_ki4!AC9</f>
        <v>4</v>
      </c>
      <c r="Q4" s="400" t="str">
        <f t="shared" ref="Q4:Q43" si="1">IF(OR(K4=3,K4=4),VLOOKUP(K4,des_KI4_SBDP,2,FALSE),IF(OR(L4=3,L4=4),VLOOKUP(L4,des_KI4_SBDP,3,FALSE),IF(OR(M4=3,M4=4),VLOOKUP(M4,des_KI4_SBDP,4,FALSE),IF(OR(N4=3,N4=4),VLOOKUP(N4,des_KI4_SBDP,5,FALSE),IF(OR(O4=3,O4=4),VLOOKUP(O4,des_KI4_SBDP,6,FALSE),IF(OR(P4=3,P4=4),VLOOKUP(P4,des_KI4_SBDP,7,FALSE),"  "))))))</f>
        <v xml:space="preserve">Sangat baik dalam Membuat karya kerajinan asesoris dengan berbagai bahan dan teknik. </v>
      </c>
      <c r="R4" s="134">
        <v>1</v>
      </c>
      <c r="S4" s="384" t="str">
        <f>dtsiswa!D7</f>
        <v>Achmad Zacky</v>
      </c>
      <c r="T4" s="385" t="str">
        <f>IFERROR(CONCATENATE(G4,G51),"  ")</f>
        <v xml:space="preserve">Baik dalam Mengenal tari-tari daerah dan keunikan geraknya. Baik dalam  dalam mengetahui berbagai alur cara dan pengolahan media karya kreatif. </v>
      </c>
      <c r="U4" s="386" t="str">
        <f t="shared" ref="U4:U43" si="2">CONCATENATE(Q4,Q51)</f>
        <v xml:space="preserve">Sangat baik dalam Membuat karya kerajinan asesoris dengan berbagai bahan dan teknik. Baik dalam Membentuk karya seni tiga dimensi dari bahan alam. </v>
      </c>
    </row>
    <row r="5" spans="1:21" ht="18.75" customHeight="1" x14ac:dyDescent="0.25">
      <c r="A5" s="134">
        <v>2</v>
      </c>
      <c r="B5" s="382" t="str">
        <f>dtsiswa!D8</f>
        <v>Angelia Vabel R</v>
      </c>
      <c r="C5" s="383">
        <f>sbdp_ki3!N12</f>
        <v>3</v>
      </c>
      <c r="D5" s="383">
        <f>sbdp_ki3!O12</f>
        <v>0</v>
      </c>
      <c r="E5" s="383">
        <f>sbdp_ki3!P12</f>
        <v>0</v>
      </c>
      <c r="F5" s="383">
        <f>sbdp_ki3!Q12</f>
        <v>0</v>
      </c>
      <c r="G5" s="467" t="str">
        <f t="shared" si="0"/>
        <v xml:space="preserve">Baik dalam Mengenal karya dua dan tiga dimensi berdasarkan pengamatan. </v>
      </c>
      <c r="I5" s="134">
        <v>2</v>
      </c>
      <c r="J5" s="382" t="str">
        <f>dtsiswa!D8</f>
        <v>Angelia Vabel R</v>
      </c>
      <c r="K5" s="760">
        <f>Sbdp_ki4!X16</f>
        <v>0</v>
      </c>
      <c r="L5" s="760">
        <f>Sbdp_ki4!Y16</f>
        <v>0</v>
      </c>
      <c r="M5" s="760">
        <f>Sbdp_ki4!Z16</f>
        <v>0</v>
      </c>
      <c r="N5" s="760">
        <f>Sbdp_ki4!AA16</f>
        <v>0</v>
      </c>
      <c r="O5" s="760">
        <f>Sbdp_ki4!AB16</f>
        <v>0</v>
      </c>
      <c r="P5" s="760">
        <f>Sbdp_ki4!AC16</f>
        <v>0</v>
      </c>
      <c r="Q5" s="400" t="str">
        <f t="shared" si="1"/>
        <v xml:space="preserve">  </v>
      </c>
      <c r="R5" s="134">
        <v>2</v>
      </c>
      <c r="S5" s="384" t="str">
        <f>dtsiswa!D8</f>
        <v>Angelia Vabel R</v>
      </c>
      <c r="T5" s="385" t="str">
        <f>IFERROR(CONCATENATE(G5,G51),"  ")</f>
        <v xml:space="preserve">Baik dalam Mengenal karya dua dan tiga dimensi berdasarkan pengamatan. Baik dalam  dalam mengetahui berbagai alur cara dan pengolahan media karya kreatif. </v>
      </c>
      <c r="U5" s="386" t="str">
        <f>CONCATENATE(Q5,Q51)</f>
        <v xml:space="preserve">  Baik dalam Membentuk karya seni tiga dimensi dari bahan alam. </v>
      </c>
    </row>
    <row r="6" spans="1:21" ht="15.95" customHeight="1" x14ac:dyDescent="0.25">
      <c r="A6" s="134">
        <v>3</v>
      </c>
      <c r="B6" s="382" t="str">
        <f>dtsiswa!D9</f>
        <v>Anggun Dwi P.I</v>
      </c>
      <c r="C6" s="383">
        <f>sbdp_ki3!N17</f>
        <v>0</v>
      </c>
      <c r="D6" s="383">
        <f>sbdp_ki3!O17</f>
        <v>4</v>
      </c>
      <c r="E6" s="383">
        <f>sbdp_ki3!P17</f>
        <v>0</v>
      </c>
      <c r="F6" s="383">
        <f>sbdp_ki3!Q17</f>
        <v>0</v>
      </c>
      <c r="G6" s="467" t="str">
        <f t="shared" si="0"/>
        <v xml:space="preserve">Sangat baik dalam Membedakan panjang-pendek bunyi, dan tinggi-rendah nada dengan gerak tangan. </v>
      </c>
      <c r="I6" s="134">
        <v>3</v>
      </c>
      <c r="J6" s="382" t="str">
        <f>dtsiswa!D9</f>
        <v>Anggun Dwi P.I</v>
      </c>
      <c r="K6" s="760">
        <f>Sbdp_ki4!X23</f>
        <v>0</v>
      </c>
      <c r="L6" s="760">
        <f>Sbdp_ki4!Y23</f>
        <v>0</v>
      </c>
      <c r="M6" s="760">
        <f>Sbdp_ki4!Z23</f>
        <v>0</v>
      </c>
      <c r="N6" s="760">
        <f>Sbdp_ki4!AA23</f>
        <v>0</v>
      </c>
      <c r="O6" s="760">
        <f>Sbdp_ki4!AB23</f>
        <v>0</v>
      </c>
      <c r="P6" s="760">
        <f>Sbdp_ki4!AC23</f>
        <v>0</v>
      </c>
      <c r="Q6" s="400" t="str">
        <f t="shared" si="1"/>
        <v xml:space="preserve">  </v>
      </c>
      <c r="R6" s="134">
        <v>3</v>
      </c>
      <c r="S6" s="384" t="str">
        <f>dtsiswa!D9</f>
        <v>Anggun Dwi P.I</v>
      </c>
      <c r="T6" s="385" t="str">
        <f t="shared" ref="T6:T43" si="3">IFERROR(CONCATENATE(G6,G53),"  ")</f>
        <v xml:space="preserve">Sangat baik dalam Membedakan panjang-pendek bunyi, dan tinggi-rendah nada dengan gerak tangan. Cukup baik dalam Mengenal tari-tari daerah dan keunikan geraknya. </v>
      </c>
      <c r="U6" s="386" t="str">
        <f t="shared" si="2"/>
        <v xml:space="preserve">    </v>
      </c>
    </row>
    <row r="7" spans="1:21" ht="15.95" customHeight="1" x14ac:dyDescent="0.25">
      <c r="A7" s="134">
        <v>4</v>
      </c>
      <c r="B7" s="382" t="str">
        <f>dtsiswa!D10</f>
        <v>Antonio Permata A</v>
      </c>
      <c r="C7" s="383">
        <f>sbdp_ki3!N22</f>
        <v>0</v>
      </c>
      <c r="D7" s="383">
        <f>sbdp_ki3!O22</f>
        <v>0</v>
      </c>
      <c r="E7" s="383">
        <f>sbdp_ki3!P22</f>
        <v>0</v>
      </c>
      <c r="F7" s="383">
        <f>sbdp_ki3!Q22</f>
        <v>0</v>
      </c>
      <c r="G7" s="467" t="str">
        <f t="shared" si="0"/>
        <v xml:space="preserve">  </v>
      </c>
      <c r="I7" s="134">
        <v>4</v>
      </c>
      <c r="J7" s="382" t="str">
        <f>dtsiswa!D10</f>
        <v>Antonio Permata A</v>
      </c>
      <c r="K7" s="760">
        <f>Sbdp_ki4!X30</f>
        <v>0</v>
      </c>
      <c r="L7" s="760">
        <f>Sbdp_ki4!Y30</f>
        <v>0</v>
      </c>
      <c r="M7" s="760">
        <f>Sbdp_ki4!Z30</f>
        <v>0</v>
      </c>
      <c r="N7" s="760">
        <f>Sbdp_ki4!AA30</f>
        <v>0</v>
      </c>
      <c r="O7" s="760">
        <f>Sbdp_ki4!AB30</f>
        <v>0</v>
      </c>
      <c r="P7" s="760">
        <f>Sbdp_ki4!AC30</f>
        <v>0</v>
      </c>
      <c r="Q7" s="400" t="str">
        <f t="shared" si="1"/>
        <v xml:space="preserve">  </v>
      </c>
      <c r="R7" s="134">
        <v>4</v>
      </c>
      <c r="S7" s="384" t="str">
        <f>dtsiswa!D10</f>
        <v>Antonio Permata A</v>
      </c>
      <c r="T7" s="385" t="str">
        <f t="shared" si="3"/>
        <v xml:space="preserve">    </v>
      </c>
      <c r="U7" s="386" t="str">
        <f t="shared" si="2"/>
        <v xml:space="preserve">    </v>
      </c>
    </row>
    <row r="8" spans="1:21" ht="15.95" customHeight="1" x14ac:dyDescent="0.25">
      <c r="A8" s="134">
        <v>5</v>
      </c>
      <c r="B8" s="382" t="str">
        <f>dtsiswa!D11</f>
        <v>Arya Pratama G</v>
      </c>
      <c r="C8" s="383">
        <f>sbdp_ki3!N27</f>
        <v>0</v>
      </c>
      <c r="D8" s="383">
        <f>sbdp_ki3!O27</f>
        <v>0</v>
      </c>
      <c r="E8" s="383">
        <f>sbdp_ki3!P27</f>
        <v>0</v>
      </c>
      <c r="F8" s="383">
        <f>sbdp_ki3!Q27</f>
        <v>0</v>
      </c>
      <c r="G8" s="467" t="str">
        <f t="shared" si="0"/>
        <v xml:space="preserve">  </v>
      </c>
      <c r="I8" s="134">
        <v>5</v>
      </c>
      <c r="J8" s="382" t="str">
        <f>dtsiswa!D11</f>
        <v>Arya Pratama G</v>
      </c>
      <c r="K8" s="760">
        <f>Sbdp_ki4!X37</f>
        <v>0</v>
      </c>
      <c r="L8" s="760">
        <f>Sbdp_ki4!Y37</f>
        <v>0</v>
      </c>
      <c r="M8" s="760">
        <f>Sbdp_ki4!Z37</f>
        <v>0</v>
      </c>
      <c r="N8" s="760">
        <f>Sbdp_ki4!AA37</f>
        <v>0</v>
      </c>
      <c r="O8" s="760">
        <f>Sbdp_ki4!AB37</f>
        <v>0</v>
      </c>
      <c r="P8" s="760">
        <f>Sbdp_ki4!AC37</f>
        <v>0</v>
      </c>
      <c r="Q8" s="400" t="str">
        <f t="shared" si="1"/>
        <v xml:space="preserve">  </v>
      </c>
      <c r="R8" s="134">
        <v>5</v>
      </c>
      <c r="S8" s="384" t="str">
        <f>dtsiswa!D11</f>
        <v>Arya Pratama G</v>
      </c>
      <c r="T8" s="385" t="str">
        <f t="shared" si="3"/>
        <v xml:space="preserve">    </v>
      </c>
      <c r="U8" s="386" t="str">
        <f t="shared" si="2"/>
        <v xml:space="preserve">    </v>
      </c>
    </row>
    <row r="9" spans="1:21" ht="15.95" customHeight="1" x14ac:dyDescent="0.25">
      <c r="A9" s="134">
        <v>6</v>
      </c>
      <c r="B9" s="382" t="str">
        <f>dtsiswa!D12</f>
        <v>Asyam Hanif Ihsan H</v>
      </c>
      <c r="C9" s="383">
        <f>sbdp_ki3!N32</f>
        <v>0</v>
      </c>
      <c r="D9" s="383">
        <f>sbdp_ki3!O32</f>
        <v>0</v>
      </c>
      <c r="E9" s="383">
        <f>sbdp_ki3!P32</f>
        <v>0</v>
      </c>
      <c r="F9" s="383">
        <f>sbdp_ki3!Q32</f>
        <v>0</v>
      </c>
      <c r="G9" s="467" t="str">
        <f t="shared" si="0"/>
        <v xml:space="preserve">  </v>
      </c>
      <c r="I9" s="134">
        <v>6</v>
      </c>
      <c r="J9" s="382" t="str">
        <f>dtsiswa!D12</f>
        <v>Asyam Hanif Ihsan H</v>
      </c>
      <c r="K9" s="760">
        <f>Sbdp_ki4!X44</f>
        <v>0</v>
      </c>
      <c r="L9" s="760">
        <f>Sbdp_ki4!Y44</f>
        <v>0</v>
      </c>
      <c r="M9" s="760">
        <f>Sbdp_ki4!Z44</f>
        <v>0</v>
      </c>
      <c r="N9" s="760">
        <f>Sbdp_ki4!AA44</f>
        <v>0</v>
      </c>
      <c r="O9" s="760">
        <f>Sbdp_ki4!AB44</f>
        <v>0</v>
      </c>
      <c r="P9" s="760">
        <f>Sbdp_ki4!AC44</f>
        <v>0</v>
      </c>
      <c r="Q9" s="400" t="str">
        <f t="shared" si="1"/>
        <v xml:space="preserve">  </v>
      </c>
      <c r="R9" s="134">
        <v>6</v>
      </c>
      <c r="S9" s="384" t="str">
        <f>dtsiswa!D12</f>
        <v>Asyam Hanif Ihsan H</v>
      </c>
      <c r="T9" s="385" t="str">
        <f t="shared" si="3"/>
        <v xml:space="preserve">    </v>
      </c>
      <c r="U9" s="386" t="str">
        <f t="shared" si="2"/>
        <v xml:space="preserve">    </v>
      </c>
    </row>
    <row r="10" spans="1:21" ht="15.95" customHeight="1" x14ac:dyDescent="0.25">
      <c r="A10" s="134">
        <v>7</v>
      </c>
      <c r="B10" s="382" t="str">
        <f>dtsiswa!D13</f>
        <v>Athaya Salsabilla Z</v>
      </c>
      <c r="C10" s="383">
        <f>sbdp_ki3!N37</f>
        <v>0</v>
      </c>
      <c r="D10" s="383">
        <f>sbdp_ki3!O37</f>
        <v>0</v>
      </c>
      <c r="E10" s="383">
        <f>sbdp_ki3!P37</f>
        <v>0</v>
      </c>
      <c r="F10" s="383">
        <f>sbdp_ki3!Q37</f>
        <v>0</v>
      </c>
      <c r="G10" s="467" t="str">
        <f t="shared" si="0"/>
        <v xml:space="preserve">  </v>
      </c>
      <c r="I10" s="134">
        <v>7</v>
      </c>
      <c r="J10" s="382" t="str">
        <f>dtsiswa!D13</f>
        <v>Athaya Salsabilla Z</v>
      </c>
      <c r="K10" s="760">
        <f>Sbdp_ki4!X51</f>
        <v>0</v>
      </c>
      <c r="L10" s="760">
        <f>Sbdp_ki4!Y51</f>
        <v>0</v>
      </c>
      <c r="M10" s="760">
        <f>Sbdp_ki4!Z51</f>
        <v>0</v>
      </c>
      <c r="N10" s="760">
        <f>Sbdp_ki4!AA51</f>
        <v>0</v>
      </c>
      <c r="O10" s="760">
        <f>Sbdp_ki4!AB51</f>
        <v>0</v>
      </c>
      <c r="P10" s="760">
        <f>Sbdp_ki4!AC51</f>
        <v>0</v>
      </c>
      <c r="Q10" s="400" t="str">
        <f t="shared" si="1"/>
        <v xml:space="preserve">  </v>
      </c>
      <c r="R10" s="134">
        <v>7</v>
      </c>
      <c r="S10" s="384" t="str">
        <f>dtsiswa!D13</f>
        <v>Athaya Salsabilla Z</v>
      </c>
      <c r="T10" s="385" t="str">
        <f t="shared" si="3"/>
        <v xml:space="preserve">    </v>
      </c>
      <c r="U10" s="386" t="str">
        <f t="shared" si="2"/>
        <v xml:space="preserve">    </v>
      </c>
    </row>
    <row r="11" spans="1:21" ht="15.95" customHeight="1" x14ac:dyDescent="0.25">
      <c r="A11" s="134">
        <v>8</v>
      </c>
      <c r="B11" s="382" t="str">
        <f>dtsiswa!D14</f>
        <v>Aulia Dea Rosalinda</v>
      </c>
      <c r="C11" s="383">
        <f>sbdp_ki3!N42</f>
        <v>0</v>
      </c>
      <c r="D11" s="383">
        <f>sbdp_ki3!O42</f>
        <v>0</v>
      </c>
      <c r="E11" s="383">
        <f>sbdp_ki3!P42</f>
        <v>0</v>
      </c>
      <c r="F11" s="383">
        <f>sbdp_ki3!Q42</f>
        <v>0</v>
      </c>
      <c r="G11" s="467" t="str">
        <f t="shared" si="0"/>
        <v xml:space="preserve">  </v>
      </c>
      <c r="I11" s="134">
        <v>8</v>
      </c>
      <c r="J11" s="382" t="str">
        <f>dtsiswa!D14</f>
        <v>Aulia Dea Rosalinda</v>
      </c>
      <c r="K11" s="760">
        <f>Sbdp_ki4!X58</f>
        <v>0</v>
      </c>
      <c r="L11" s="760">
        <f>Sbdp_ki4!Y58</f>
        <v>0</v>
      </c>
      <c r="M11" s="760">
        <f>Sbdp_ki4!Z58</f>
        <v>0</v>
      </c>
      <c r="N11" s="760">
        <f>Sbdp_ki4!AA58</f>
        <v>0</v>
      </c>
      <c r="O11" s="760">
        <f>Sbdp_ki4!AB58</f>
        <v>0</v>
      </c>
      <c r="P11" s="760">
        <f>Sbdp_ki4!AC58</f>
        <v>0</v>
      </c>
      <c r="Q11" s="400" t="str">
        <f t="shared" si="1"/>
        <v xml:space="preserve">  </v>
      </c>
      <c r="R11" s="134">
        <v>8</v>
      </c>
      <c r="S11" s="384" t="str">
        <f>dtsiswa!D14</f>
        <v>Aulia Dea Rosalinda</v>
      </c>
      <c r="T11" s="385" t="str">
        <f t="shared" si="3"/>
        <v xml:space="preserve">    </v>
      </c>
      <c r="U11" s="386" t="str">
        <f t="shared" si="2"/>
        <v xml:space="preserve">    </v>
      </c>
    </row>
    <row r="12" spans="1:21" ht="15.95" customHeight="1" x14ac:dyDescent="0.25">
      <c r="A12" s="134">
        <v>9</v>
      </c>
      <c r="B12" s="382" t="str">
        <f>dtsiswa!D15</f>
        <v>Claudia Gabriella L</v>
      </c>
      <c r="C12" s="383">
        <f>sbdp_ki3!N47</f>
        <v>0</v>
      </c>
      <c r="D12" s="383">
        <f>sbdp_ki3!O47</f>
        <v>0</v>
      </c>
      <c r="E12" s="383">
        <f>sbdp_ki3!P47</f>
        <v>0</v>
      </c>
      <c r="F12" s="383">
        <f>sbdp_ki3!Q47</f>
        <v>0</v>
      </c>
      <c r="G12" s="467" t="str">
        <f t="shared" si="0"/>
        <v xml:space="preserve">  </v>
      </c>
      <c r="I12" s="134">
        <v>9</v>
      </c>
      <c r="J12" s="382" t="str">
        <f>dtsiswa!D15</f>
        <v>Claudia Gabriella L</v>
      </c>
      <c r="K12" s="760">
        <f>Sbdp_ki4!X65</f>
        <v>0</v>
      </c>
      <c r="L12" s="760">
        <f>Sbdp_ki4!Y65</f>
        <v>0</v>
      </c>
      <c r="M12" s="760">
        <f>Sbdp_ki4!Z65</f>
        <v>0</v>
      </c>
      <c r="N12" s="760">
        <f>Sbdp_ki4!AA65</f>
        <v>0</v>
      </c>
      <c r="O12" s="760">
        <f>Sbdp_ki4!AB65</f>
        <v>0</v>
      </c>
      <c r="P12" s="760">
        <f>Sbdp_ki4!AC65</f>
        <v>0</v>
      </c>
      <c r="Q12" s="400" t="str">
        <f t="shared" si="1"/>
        <v xml:space="preserve">  </v>
      </c>
      <c r="R12" s="134">
        <v>9</v>
      </c>
      <c r="S12" s="384" t="str">
        <f>dtsiswa!D15</f>
        <v>Claudia Gabriella L</v>
      </c>
      <c r="T12" s="385" t="str">
        <f t="shared" si="3"/>
        <v xml:space="preserve">    </v>
      </c>
      <c r="U12" s="386" t="str">
        <f t="shared" si="2"/>
        <v xml:space="preserve">    </v>
      </c>
    </row>
    <row r="13" spans="1:21" ht="15.95" customHeight="1" x14ac:dyDescent="0.25">
      <c r="A13" s="134">
        <v>10</v>
      </c>
      <c r="B13" s="382" t="str">
        <f>dtsiswa!D16</f>
        <v xml:space="preserve">Deco Badarus Zaman </v>
      </c>
      <c r="C13" s="383">
        <f>sbdp_ki3!N52</f>
        <v>0</v>
      </c>
      <c r="D13" s="383">
        <f>sbdp_ki3!O52</f>
        <v>0</v>
      </c>
      <c r="E13" s="383">
        <f>sbdp_ki3!P52</f>
        <v>0</v>
      </c>
      <c r="F13" s="383">
        <f>sbdp_ki3!Q52</f>
        <v>0</v>
      </c>
      <c r="G13" s="467" t="str">
        <f t="shared" si="0"/>
        <v xml:space="preserve">  </v>
      </c>
      <c r="I13" s="134">
        <v>10</v>
      </c>
      <c r="J13" s="382" t="str">
        <f>dtsiswa!D16</f>
        <v xml:space="preserve">Deco Badarus Zaman </v>
      </c>
      <c r="K13" s="760">
        <f>Sbdp_ki4!X72</f>
        <v>0</v>
      </c>
      <c r="L13" s="760">
        <f>Sbdp_ki4!Y72</f>
        <v>0</v>
      </c>
      <c r="M13" s="760">
        <f>Sbdp_ki4!Z72</f>
        <v>0</v>
      </c>
      <c r="N13" s="760">
        <f>Sbdp_ki4!AA72</f>
        <v>0</v>
      </c>
      <c r="O13" s="760">
        <f>Sbdp_ki4!AB72</f>
        <v>0</v>
      </c>
      <c r="P13" s="760">
        <f>Sbdp_ki4!AC72</f>
        <v>0</v>
      </c>
      <c r="Q13" s="400" t="str">
        <f t="shared" si="1"/>
        <v xml:space="preserve">  </v>
      </c>
      <c r="R13" s="134">
        <v>10</v>
      </c>
      <c r="S13" s="384" t="str">
        <f>dtsiswa!D16</f>
        <v xml:space="preserve">Deco Badarus Zaman </v>
      </c>
      <c r="T13" s="385" t="str">
        <f t="shared" si="3"/>
        <v xml:space="preserve">    </v>
      </c>
      <c r="U13" s="386" t="str">
        <f t="shared" si="2"/>
        <v xml:space="preserve">    </v>
      </c>
    </row>
    <row r="14" spans="1:21" ht="15.95" customHeight="1" x14ac:dyDescent="0.25">
      <c r="A14" s="134">
        <v>11</v>
      </c>
      <c r="B14" s="382" t="str">
        <f>dtsiswa!D17</f>
        <v>Fania Mutiara Felichia</v>
      </c>
      <c r="C14" s="383">
        <f>sbdp_ki3!N57</f>
        <v>0</v>
      </c>
      <c r="D14" s="383">
        <f>sbdp_ki3!O57</f>
        <v>0</v>
      </c>
      <c r="E14" s="383">
        <f>sbdp_ki3!P57</f>
        <v>0</v>
      </c>
      <c r="F14" s="383">
        <f>sbdp_ki3!Q57</f>
        <v>0</v>
      </c>
      <c r="G14" s="467" t="str">
        <f t="shared" si="0"/>
        <v xml:space="preserve">  </v>
      </c>
      <c r="I14" s="134">
        <v>11</v>
      </c>
      <c r="J14" s="382" t="str">
        <f>dtsiswa!D17</f>
        <v>Fania Mutiara Felichia</v>
      </c>
      <c r="K14" s="760">
        <f>Sbdp_ki4!X79</f>
        <v>0</v>
      </c>
      <c r="L14" s="760">
        <f>Sbdp_ki4!Y79</f>
        <v>0</v>
      </c>
      <c r="M14" s="760">
        <f>Sbdp_ki4!Z79</f>
        <v>0</v>
      </c>
      <c r="N14" s="760">
        <f>Sbdp_ki4!AA79</f>
        <v>0</v>
      </c>
      <c r="O14" s="760">
        <f>Sbdp_ki4!AB79</f>
        <v>0</v>
      </c>
      <c r="P14" s="760">
        <f>Sbdp_ki4!AC79</f>
        <v>0</v>
      </c>
      <c r="Q14" s="400" t="str">
        <f t="shared" si="1"/>
        <v xml:space="preserve">  </v>
      </c>
      <c r="R14" s="134">
        <v>11</v>
      </c>
      <c r="S14" s="384" t="str">
        <f>dtsiswa!D17</f>
        <v>Fania Mutiara Felichia</v>
      </c>
      <c r="T14" s="385" t="str">
        <f t="shared" si="3"/>
        <v xml:space="preserve">    </v>
      </c>
      <c r="U14" s="386" t="str">
        <f t="shared" si="2"/>
        <v xml:space="preserve">    </v>
      </c>
    </row>
    <row r="15" spans="1:21" ht="15.95" customHeight="1" x14ac:dyDescent="0.25">
      <c r="A15" s="134">
        <v>12</v>
      </c>
      <c r="B15" s="382" t="str">
        <f>dtsiswa!D18</f>
        <v>Intan Dyah Nowari</v>
      </c>
      <c r="C15" s="383">
        <f>sbdp_ki3!N62</f>
        <v>0</v>
      </c>
      <c r="D15" s="383">
        <f>sbdp_ki3!O62</f>
        <v>0</v>
      </c>
      <c r="E15" s="383">
        <f>sbdp_ki3!P62</f>
        <v>0</v>
      </c>
      <c r="F15" s="383">
        <f>sbdp_ki3!Q62</f>
        <v>0</v>
      </c>
      <c r="G15" s="467" t="str">
        <f t="shared" si="0"/>
        <v xml:space="preserve">  </v>
      </c>
      <c r="I15" s="134">
        <v>12</v>
      </c>
      <c r="J15" s="382" t="str">
        <f>dtsiswa!D18</f>
        <v>Intan Dyah Nowari</v>
      </c>
      <c r="K15" s="760">
        <f>Sbdp_ki4!X86</f>
        <v>0</v>
      </c>
      <c r="L15" s="760">
        <f>Sbdp_ki4!Y86</f>
        <v>0</v>
      </c>
      <c r="M15" s="760">
        <f>Sbdp_ki4!Z86</f>
        <v>0</v>
      </c>
      <c r="N15" s="760">
        <f>Sbdp_ki4!AA86</f>
        <v>0</v>
      </c>
      <c r="O15" s="760">
        <f>Sbdp_ki4!AB86</f>
        <v>0</v>
      </c>
      <c r="P15" s="760">
        <f>Sbdp_ki4!AC86</f>
        <v>0</v>
      </c>
      <c r="Q15" s="400" t="str">
        <f t="shared" si="1"/>
        <v xml:space="preserve">  </v>
      </c>
      <c r="R15" s="134">
        <v>12</v>
      </c>
      <c r="S15" s="384" t="str">
        <f>dtsiswa!D18</f>
        <v>Intan Dyah Nowari</v>
      </c>
      <c r="T15" s="385" t="str">
        <f t="shared" si="3"/>
        <v xml:space="preserve">    </v>
      </c>
      <c r="U15" s="386" t="str">
        <f t="shared" si="2"/>
        <v xml:space="preserve">    </v>
      </c>
    </row>
    <row r="16" spans="1:21" ht="15.95" customHeight="1" x14ac:dyDescent="0.25">
      <c r="A16" s="134">
        <v>13</v>
      </c>
      <c r="B16" s="382" t="str">
        <f>dtsiswa!D19</f>
        <v>Misyanita Nurfitri S</v>
      </c>
      <c r="C16" s="383">
        <f>sbdp_ki3!N67</f>
        <v>0</v>
      </c>
      <c r="D16" s="383">
        <f>sbdp_ki3!O67</f>
        <v>0</v>
      </c>
      <c r="E16" s="383">
        <f>sbdp_ki3!P67</f>
        <v>0</v>
      </c>
      <c r="F16" s="383">
        <f>sbdp_ki3!Q67</f>
        <v>0</v>
      </c>
      <c r="G16" s="467" t="str">
        <f t="shared" si="0"/>
        <v xml:space="preserve">  </v>
      </c>
      <c r="I16" s="134">
        <v>13</v>
      </c>
      <c r="J16" s="382" t="str">
        <f>dtsiswa!D19</f>
        <v>Misyanita Nurfitri S</v>
      </c>
      <c r="K16" s="760">
        <f>Sbdp_ki4!X93</f>
        <v>0</v>
      </c>
      <c r="L16" s="760">
        <f>Sbdp_ki4!Y93</f>
        <v>0</v>
      </c>
      <c r="M16" s="760">
        <f>Sbdp_ki4!Z93</f>
        <v>0</v>
      </c>
      <c r="N16" s="760">
        <f>Sbdp_ki4!AA93</f>
        <v>0</v>
      </c>
      <c r="O16" s="760">
        <f>Sbdp_ki4!AB93</f>
        <v>0</v>
      </c>
      <c r="P16" s="760">
        <f>Sbdp_ki4!AC93</f>
        <v>0</v>
      </c>
      <c r="Q16" s="400" t="str">
        <f t="shared" si="1"/>
        <v xml:space="preserve">  </v>
      </c>
      <c r="R16" s="134">
        <v>13</v>
      </c>
      <c r="S16" s="384" t="str">
        <f>dtsiswa!D19</f>
        <v>Misyanita Nurfitri S</v>
      </c>
      <c r="T16" s="385" t="str">
        <f t="shared" si="3"/>
        <v xml:space="preserve">    </v>
      </c>
      <c r="U16" s="386" t="str">
        <f t="shared" si="2"/>
        <v xml:space="preserve">    </v>
      </c>
    </row>
    <row r="17" spans="1:21" ht="15.95" customHeight="1" x14ac:dyDescent="0.25">
      <c r="A17" s="134">
        <v>14</v>
      </c>
      <c r="B17" s="382" t="str">
        <f>dtsiswa!D20</f>
        <v>Moch Zidane Hita L. U</v>
      </c>
      <c r="C17" s="383">
        <f>sbdp_ki3!N72</f>
        <v>0</v>
      </c>
      <c r="D17" s="383">
        <f>sbdp_ki3!O72</f>
        <v>0</v>
      </c>
      <c r="E17" s="383">
        <f>sbdp_ki3!P72</f>
        <v>0</v>
      </c>
      <c r="F17" s="383">
        <f>sbdp_ki3!Q72</f>
        <v>0</v>
      </c>
      <c r="G17" s="467" t="str">
        <f t="shared" si="0"/>
        <v xml:space="preserve">  </v>
      </c>
      <c r="I17" s="134">
        <v>14</v>
      </c>
      <c r="J17" s="382" t="str">
        <f>dtsiswa!D20</f>
        <v>Moch Zidane Hita L. U</v>
      </c>
      <c r="K17" s="760">
        <f>Sbdp_ki4!X100</f>
        <v>0</v>
      </c>
      <c r="L17" s="760">
        <f>Sbdp_ki4!Y100</f>
        <v>0</v>
      </c>
      <c r="M17" s="760">
        <f>Sbdp_ki4!Z100</f>
        <v>0</v>
      </c>
      <c r="N17" s="760">
        <f>Sbdp_ki4!AA100</f>
        <v>0</v>
      </c>
      <c r="O17" s="760">
        <f>Sbdp_ki4!AB100</f>
        <v>0</v>
      </c>
      <c r="P17" s="760">
        <f>Sbdp_ki4!AC100</f>
        <v>0</v>
      </c>
      <c r="Q17" s="400" t="str">
        <f t="shared" si="1"/>
        <v xml:space="preserve">  </v>
      </c>
      <c r="R17" s="134">
        <v>14</v>
      </c>
      <c r="S17" s="384" t="str">
        <f>dtsiswa!D20</f>
        <v>Moch Zidane Hita L. U</v>
      </c>
      <c r="T17" s="385" t="str">
        <f t="shared" si="3"/>
        <v xml:space="preserve">    </v>
      </c>
      <c r="U17" s="386" t="str">
        <f t="shared" si="2"/>
        <v xml:space="preserve">    </v>
      </c>
    </row>
    <row r="18" spans="1:21" ht="15.95" customHeight="1" x14ac:dyDescent="0.25">
      <c r="A18" s="134">
        <v>15</v>
      </c>
      <c r="B18" s="382" t="str">
        <f>dtsiswa!D21</f>
        <v>Muhammad Ibra Maulana</v>
      </c>
      <c r="C18" s="383">
        <f>sbdp_ki3!N77</f>
        <v>0</v>
      </c>
      <c r="D18" s="383">
        <f>sbdp_ki3!O77</f>
        <v>0</v>
      </c>
      <c r="E18" s="383">
        <f>sbdp_ki3!P77</f>
        <v>0</v>
      </c>
      <c r="F18" s="383">
        <f>sbdp_ki3!Q77</f>
        <v>0</v>
      </c>
      <c r="G18" s="467" t="str">
        <f t="shared" si="0"/>
        <v xml:space="preserve">  </v>
      </c>
      <c r="I18" s="134">
        <v>15</v>
      </c>
      <c r="J18" s="382" t="str">
        <f>dtsiswa!D21</f>
        <v>Muhammad Ibra Maulana</v>
      </c>
      <c r="K18" s="760">
        <f>Sbdp_ki4!X107</f>
        <v>0</v>
      </c>
      <c r="L18" s="760">
        <f>Sbdp_ki4!Y107</f>
        <v>0</v>
      </c>
      <c r="M18" s="760">
        <f>Sbdp_ki4!Z107</f>
        <v>0</v>
      </c>
      <c r="N18" s="760">
        <f>Sbdp_ki4!AA107</f>
        <v>0</v>
      </c>
      <c r="O18" s="760">
        <f>Sbdp_ki4!AB107</f>
        <v>0</v>
      </c>
      <c r="P18" s="760">
        <f>Sbdp_ki4!AC107</f>
        <v>0</v>
      </c>
      <c r="Q18" s="400" t="str">
        <f t="shared" si="1"/>
        <v xml:space="preserve">  </v>
      </c>
      <c r="R18" s="134">
        <v>15</v>
      </c>
      <c r="S18" s="384" t="str">
        <f>dtsiswa!D21</f>
        <v>Muhammad Ibra Maulana</v>
      </c>
      <c r="T18" s="385" t="str">
        <f t="shared" si="3"/>
        <v xml:space="preserve">    </v>
      </c>
      <c r="U18" s="386" t="str">
        <f t="shared" si="2"/>
        <v xml:space="preserve">    </v>
      </c>
    </row>
    <row r="19" spans="1:21" ht="15.95" customHeight="1" x14ac:dyDescent="0.25">
      <c r="A19" s="134">
        <v>16</v>
      </c>
      <c r="B19" s="382" t="str">
        <f>dtsiswa!D22</f>
        <v>Nabilla Shiva Putri</v>
      </c>
      <c r="C19" s="383">
        <f>sbdp_ki3!N82</f>
        <v>0</v>
      </c>
      <c r="D19" s="383">
        <f>sbdp_ki3!O82</f>
        <v>0</v>
      </c>
      <c r="E19" s="383">
        <f>sbdp_ki3!P82</f>
        <v>0</v>
      </c>
      <c r="F19" s="383">
        <f>sbdp_ki3!Q82</f>
        <v>0</v>
      </c>
      <c r="G19" s="467" t="str">
        <f t="shared" si="0"/>
        <v xml:space="preserve">  </v>
      </c>
      <c r="I19" s="134">
        <v>16</v>
      </c>
      <c r="J19" s="382" t="str">
        <f>dtsiswa!D22</f>
        <v>Nabilla Shiva Putri</v>
      </c>
      <c r="K19" s="760">
        <f>Sbdp_ki4!X114</f>
        <v>0</v>
      </c>
      <c r="L19" s="760">
        <f>Sbdp_ki4!Y114</f>
        <v>0</v>
      </c>
      <c r="M19" s="760">
        <f>Sbdp_ki4!Z114</f>
        <v>0</v>
      </c>
      <c r="N19" s="760">
        <f>Sbdp_ki4!AA114</f>
        <v>0</v>
      </c>
      <c r="O19" s="760">
        <f>Sbdp_ki4!AB114</f>
        <v>0</v>
      </c>
      <c r="P19" s="760">
        <f>Sbdp_ki4!AC114</f>
        <v>0</v>
      </c>
      <c r="Q19" s="400" t="str">
        <f t="shared" si="1"/>
        <v xml:space="preserve">  </v>
      </c>
      <c r="R19" s="134">
        <v>16</v>
      </c>
      <c r="S19" s="384" t="str">
        <f>dtsiswa!D22</f>
        <v>Nabilla Shiva Putri</v>
      </c>
      <c r="T19" s="385" t="str">
        <f t="shared" si="3"/>
        <v xml:space="preserve">    </v>
      </c>
      <c r="U19" s="386" t="str">
        <f t="shared" si="2"/>
        <v xml:space="preserve">    </v>
      </c>
    </row>
    <row r="20" spans="1:21" ht="15.95" customHeight="1" x14ac:dyDescent="0.25">
      <c r="A20" s="134">
        <v>17</v>
      </c>
      <c r="B20" s="382" t="str">
        <f>dtsiswa!D23</f>
        <v>Naufal Falih F</v>
      </c>
      <c r="C20" s="383">
        <f>sbdp_ki3!N87</f>
        <v>0</v>
      </c>
      <c r="D20" s="383">
        <f>sbdp_ki3!O87</f>
        <v>0</v>
      </c>
      <c r="E20" s="383">
        <f>sbdp_ki3!P87</f>
        <v>0</v>
      </c>
      <c r="F20" s="383">
        <f>sbdp_ki3!Q87</f>
        <v>0</v>
      </c>
      <c r="G20" s="467" t="str">
        <f t="shared" si="0"/>
        <v xml:space="preserve">  </v>
      </c>
      <c r="I20" s="134">
        <v>17</v>
      </c>
      <c r="J20" s="382" t="str">
        <f>dtsiswa!D23</f>
        <v>Naufal Falih F</v>
      </c>
      <c r="K20" s="760">
        <f>Sbdp_ki4!X121</f>
        <v>0</v>
      </c>
      <c r="L20" s="760">
        <f>Sbdp_ki4!Y121</f>
        <v>0</v>
      </c>
      <c r="M20" s="760">
        <f>Sbdp_ki4!Z121</f>
        <v>0</v>
      </c>
      <c r="N20" s="760">
        <f>Sbdp_ki4!AA121</f>
        <v>0</v>
      </c>
      <c r="O20" s="760">
        <f>Sbdp_ki4!AB121</f>
        <v>0</v>
      </c>
      <c r="P20" s="760">
        <f>Sbdp_ki4!AC121</f>
        <v>0</v>
      </c>
      <c r="Q20" s="400" t="str">
        <f t="shared" si="1"/>
        <v xml:space="preserve">  </v>
      </c>
      <c r="R20" s="134">
        <v>17</v>
      </c>
      <c r="S20" s="384" t="str">
        <f>dtsiswa!D23</f>
        <v>Naufal Falih F</v>
      </c>
      <c r="T20" s="385" t="str">
        <f t="shared" si="3"/>
        <v xml:space="preserve">    </v>
      </c>
      <c r="U20" s="386" t="str">
        <f t="shared" si="2"/>
        <v xml:space="preserve">    </v>
      </c>
    </row>
    <row r="21" spans="1:21" ht="15.95" customHeight="1" x14ac:dyDescent="0.25">
      <c r="A21" s="134">
        <v>18</v>
      </c>
      <c r="B21" s="382" t="str">
        <f>dtsiswa!D24</f>
        <v>Nayla Annora Nobel W</v>
      </c>
      <c r="C21" s="383">
        <f>sbdp_ki3!N92</f>
        <v>0</v>
      </c>
      <c r="D21" s="383">
        <f>sbdp_ki3!O92</f>
        <v>0</v>
      </c>
      <c r="E21" s="383">
        <f>sbdp_ki3!P92</f>
        <v>0</v>
      </c>
      <c r="F21" s="383">
        <f>sbdp_ki3!Q92</f>
        <v>0</v>
      </c>
      <c r="G21" s="467" t="str">
        <f t="shared" si="0"/>
        <v xml:space="preserve">  </v>
      </c>
      <c r="I21" s="134">
        <v>18</v>
      </c>
      <c r="J21" s="382" t="str">
        <f>dtsiswa!D24</f>
        <v>Nayla Annora Nobel W</v>
      </c>
      <c r="K21" s="760">
        <f>Sbdp_ki4!X128</f>
        <v>0</v>
      </c>
      <c r="L21" s="760">
        <f>Sbdp_ki4!Y128</f>
        <v>0</v>
      </c>
      <c r="M21" s="760">
        <f>Sbdp_ki4!Z128</f>
        <v>0</v>
      </c>
      <c r="N21" s="760">
        <f>Sbdp_ki4!AA128</f>
        <v>0</v>
      </c>
      <c r="O21" s="760">
        <f>Sbdp_ki4!AB128</f>
        <v>0</v>
      </c>
      <c r="P21" s="760">
        <f>Sbdp_ki4!AC128</f>
        <v>0</v>
      </c>
      <c r="Q21" s="400" t="str">
        <f t="shared" si="1"/>
        <v xml:space="preserve">  </v>
      </c>
      <c r="R21" s="134">
        <v>18</v>
      </c>
      <c r="S21" s="384" t="str">
        <f>dtsiswa!D24</f>
        <v>Nayla Annora Nobel W</v>
      </c>
      <c r="T21" s="385" t="str">
        <f t="shared" si="3"/>
        <v xml:space="preserve">    </v>
      </c>
      <c r="U21" s="386" t="str">
        <f t="shared" si="2"/>
        <v xml:space="preserve">    </v>
      </c>
    </row>
    <row r="22" spans="1:21" ht="15.95" customHeight="1" x14ac:dyDescent="0.25">
      <c r="A22" s="134">
        <v>19</v>
      </c>
      <c r="B22" s="382" t="str">
        <f>dtsiswa!D25</f>
        <v>Raihan Danang P</v>
      </c>
      <c r="C22" s="383">
        <f>sbdp_ki3!N97</f>
        <v>0</v>
      </c>
      <c r="D22" s="383">
        <f>sbdp_ki3!O97</f>
        <v>0</v>
      </c>
      <c r="E22" s="383">
        <f>sbdp_ki3!P97</f>
        <v>0</v>
      </c>
      <c r="F22" s="383">
        <f>sbdp_ki3!Q97</f>
        <v>0</v>
      </c>
      <c r="G22" s="467" t="str">
        <f t="shared" si="0"/>
        <v xml:space="preserve">  </v>
      </c>
      <c r="I22" s="134">
        <v>19</v>
      </c>
      <c r="J22" s="382" t="str">
        <f>dtsiswa!D25</f>
        <v>Raihan Danang P</v>
      </c>
      <c r="K22" s="760">
        <f>Sbdp_ki4!X135</f>
        <v>0</v>
      </c>
      <c r="L22" s="760">
        <f>Sbdp_ki4!Y135</f>
        <v>0</v>
      </c>
      <c r="M22" s="760">
        <f>Sbdp_ki4!Z135</f>
        <v>0</v>
      </c>
      <c r="N22" s="760">
        <f>Sbdp_ki4!AA135</f>
        <v>0</v>
      </c>
      <c r="O22" s="760">
        <f>Sbdp_ki4!AB135</f>
        <v>0</v>
      </c>
      <c r="P22" s="760">
        <f>Sbdp_ki4!AC135</f>
        <v>0</v>
      </c>
      <c r="Q22" s="400" t="str">
        <f t="shared" si="1"/>
        <v xml:space="preserve">  </v>
      </c>
      <c r="R22" s="134">
        <v>19</v>
      </c>
      <c r="S22" s="384" t="str">
        <f>dtsiswa!D25</f>
        <v>Raihan Danang P</v>
      </c>
      <c r="T22" s="385" t="str">
        <f t="shared" si="3"/>
        <v xml:space="preserve">    </v>
      </c>
      <c r="U22" s="386" t="str">
        <f t="shared" si="2"/>
        <v xml:space="preserve">    </v>
      </c>
    </row>
    <row r="23" spans="1:21" ht="15.95" customHeight="1" x14ac:dyDescent="0.25">
      <c r="A23" s="134">
        <v>20</v>
      </c>
      <c r="B23" s="382" t="str">
        <f>dtsiswa!D26</f>
        <v>Roby Ardiyansyah</v>
      </c>
      <c r="C23" s="383">
        <f>sbdp_ki3!N102</f>
        <v>0</v>
      </c>
      <c r="D23" s="383">
        <f>sbdp_ki3!O102</f>
        <v>0</v>
      </c>
      <c r="E23" s="383">
        <f>sbdp_ki3!P102</f>
        <v>0</v>
      </c>
      <c r="F23" s="383">
        <f>sbdp_ki3!Q102</f>
        <v>0</v>
      </c>
      <c r="G23" s="467" t="str">
        <f t="shared" si="0"/>
        <v xml:space="preserve">  </v>
      </c>
      <c r="I23" s="134">
        <v>20</v>
      </c>
      <c r="J23" s="382" t="str">
        <f>dtsiswa!D26</f>
        <v>Roby Ardiyansyah</v>
      </c>
      <c r="K23" s="760">
        <f>Sbdp_ki4!X142</f>
        <v>0</v>
      </c>
      <c r="L23" s="760">
        <f>Sbdp_ki4!Y142</f>
        <v>0</v>
      </c>
      <c r="M23" s="760">
        <f>Sbdp_ki4!Z142</f>
        <v>0</v>
      </c>
      <c r="N23" s="760">
        <f>Sbdp_ki4!AA142</f>
        <v>0</v>
      </c>
      <c r="O23" s="760">
        <f>Sbdp_ki4!AB142</f>
        <v>0</v>
      </c>
      <c r="P23" s="760">
        <f>Sbdp_ki4!AC142</f>
        <v>0</v>
      </c>
      <c r="Q23" s="400" t="str">
        <f t="shared" si="1"/>
        <v xml:space="preserve">  </v>
      </c>
      <c r="R23" s="134">
        <v>20</v>
      </c>
      <c r="S23" s="384" t="str">
        <f>dtsiswa!D26</f>
        <v>Roby Ardiyansyah</v>
      </c>
      <c r="T23" s="385" t="str">
        <f t="shared" si="3"/>
        <v xml:space="preserve">    </v>
      </c>
      <c r="U23" s="386" t="str">
        <f t="shared" si="2"/>
        <v xml:space="preserve">    </v>
      </c>
    </row>
    <row r="24" spans="1:21" ht="15.95" customHeight="1" x14ac:dyDescent="0.25">
      <c r="A24" s="134">
        <v>21</v>
      </c>
      <c r="B24" s="382" t="str">
        <f>dtsiswa!D27</f>
        <v>Rojalingga Prana A</v>
      </c>
      <c r="C24" s="383">
        <f>sbdp_ki3!N107</f>
        <v>0</v>
      </c>
      <c r="D24" s="383">
        <f>sbdp_ki3!O107</f>
        <v>0</v>
      </c>
      <c r="E24" s="383">
        <f>sbdp_ki3!P107</f>
        <v>0</v>
      </c>
      <c r="F24" s="383">
        <f>sbdp_ki3!Q107</f>
        <v>0</v>
      </c>
      <c r="G24" s="467" t="str">
        <f t="shared" si="0"/>
        <v xml:space="preserve">  </v>
      </c>
      <c r="I24" s="134">
        <v>21</v>
      </c>
      <c r="J24" s="382" t="str">
        <f>dtsiswa!D27</f>
        <v>Rojalingga Prana A</v>
      </c>
      <c r="K24" s="760">
        <f>Sbdp_ki4!X149</f>
        <v>0</v>
      </c>
      <c r="L24" s="760">
        <f>Sbdp_ki4!Y149</f>
        <v>0</v>
      </c>
      <c r="M24" s="760">
        <f>Sbdp_ki4!Z149</f>
        <v>0</v>
      </c>
      <c r="N24" s="760">
        <f>Sbdp_ki4!AA149</f>
        <v>0</v>
      </c>
      <c r="O24" s="760">
        <f>Sbdp_ki4!AB149</f>
        <v>0</v>
      </c>
      <c r="P24" s="760">
        <f>Sbdp_ki4!AC149</f>
        <v>0</v>
      </c>
      <c r="Q24" s="400" t="str">
        <f t="shared" si="1"/>
        <v xml:space="preserve">  </v>
      </c>
      <c r="R24" s="134">
        <v>21</v>
      </c>
      <c r="S24" s="384" t="str">
        <f>dtsiswa!D27</f>
        <v>Rojalingga Prana A</v>
      </c>
      <c r="T24" s="385" t="str">
        <f t="shared" si="3"/>
        <v xml:space="preserve">    </v>
      </c>
      <c r="U24" s="386" t="str">
        <f t="shared" si="2"/>
        <v xml:space="preserve">    </v>
      </c>
    </row>
    <row r="25" spans="1:21" ht="15.95" customHeight="1" x14ac:dyDescent="0.25">
      <c r="A25" s="134">
        <v>22</v>
      </c>
      <c r="B25" s="382" t="str">
        <f>dtsiswa!D28</f>
        <v>Sally Savista A</v>
      </c>
      <c r="C25" s="383">
        <f>sbdp_ki3!N112</f>
        <v>0</v>
      </c>
      <c r="D25" s="383">
        <f>sbdp_ki3!O112</f>
        <v>0</v>
      </c>
      <c r="E25" s="383">
        <f>sbdp_ki3!P112</f>
        <v>0</v>
      </c>
      <c r="F25" s="383">
        <f>sbdp_ki3!Q112</f>
        <v>0</v>
      </c>
      <c r="G25" s="467" t="str">
        <f t="shared" si="0"/>
        <v xml:space="preserve">  </v>
      </c>
      <c r="I25" s="134">
        <v>22</v>
      </c>
      <c r="J25" s="382" t="str">
        <f>dtsiswa!D28</f>
        <v>Sally Savista A</v>
      </c>
      <c r="K25" s="760">
        <f>Sbdp_ki4!X156</f>
        <v>0</v>
      </c>
      <c r="L25" s="760">
        <f>Sbdp_ki4!Y156</f>
        <v>0</v>
      </c>
      <c r="M25" s="760">
        <f>Sbdp_ki4!Z156</f>
        <v>0</v>
      </c>
      <c r="N25" s="760">
        <f>Sbdp_ki4!AA156</f>
        <v>0</v>
      </c>
      <c r="O25" s="760">
        <f>Sbdp_ki4!AB156</f>
        <v>0</v>
      </c>
      <c r="P25" s="760">
        <f>Sbdp_ki4!AC156</f>
        <v>0</v>
      </c>
      <c r="Q25" s="400" t="str">
        <f t="shared" si="1"/>
        <v xml:space="preserve">  </v>
      </c>
      <c r="R25" s="134">
        <v>22</v>
      </c>
      <c r="S25" s="384" t="str">
        <f>dtsiswa!D28</f>
        <v>Sally Savista A</v>
      </c>
      <c r="T25" s="385" t="str">
        <f t="shared" si="3"/>
        <v xml:space="preserve">    </v>
      </c>
      <c r="U25" s="386" t="str">
        <f t="shared" si="2"/>
        <v xml:space="preserve">    </v>
      </c>
    </row>
    <row r="26" spans="1:21" ht="15.95" customHeight="1" x14ac:dyDescent="0.25">
      <c r="A26" s="134">
        <v>23</v>
      </c>
      <c r="B26" s="382" t="str">
        <f>dtsiswa!D29</f>
        <v xml:space="preserve">Tania Kaori Angelita </v>
      </c>
      <c r="C26" s="383">
        <f>sbdp_ki3!N117</f>
        <v>0</v>
      </c>
      <c r="D26" s="383">
        <f>sbdp_ki3!O117</f>
        <v>0</v>
      </c>
      <c r="E26" s="383">
        <f>sbdp_ki3!P117</f>
        <v>0</v>
      </c>
      <c r="F26" s="383">
        <f>sbdp_ki3!Q117</f>
        <v>0</v>
      </c>
      <c r="G26" s="467" t="str">
        <f t="shared" si="0"/>
        <v xml:space="preserve">  </v>
      </c>
      <c r="I26" s="134">
        <v>23</v>
      </c>
      <c r="J26" s="382" t="str">
        <f>dtsiswa!D29</f>
        <v xml:space="preserve">Tania Kaori Angelita </v>
      </c>
      <c r="K26" s="760">
        <f>Sbdp_ki4!X163</f>
        <v>0</v>
      </c>
      <c r="L26" s="760">
        <f>Sbdp_ki4!Y163</f>
        <v>0</v>
      </c>
      <c r="M26" s="760">
        <f>Sbdp_ki4!Z163</f>
        <v>0</v>
      </c>
      <c r="N26" s="760">
        <f>Sbdp_ki4!AA163</f>
        <v>0</v>
      </c>
      <c r="O26" s="760">
        <f>Sbdp_ki4!AB163</f>
        <v>0</v>
      </c>
      <c r="P26" s="760">
        <f>Sbdp_ki4!AC163</f>
        <v>0</v>
      </c>
      <c r="Q26" s="400" t="str">
        <f t="shared" si="1"/>
        <v xml:space="preserve">  </v>
      </c>
      <c r="R26" s="134">
        <v>23</v>
      </c>
      <c r="S26" s="384" t="str">
        <f>dtsiswa!D29</f>
        <v xml:space="preserve">Tania Kaori Angelita </v>
      </c>
      <c r="T26" s="385" t="str">
        <f t="shared" si="3"/>
        <v xml:space="preserve">    </v>
      </c>
      <c r="U26" s="386" t="str">
        <f t="shared" si="2"/>
        <v xml:space="preserve">    </v>
      </c>
    </row>
    <row r="27" spans="1:21" ht="15.95" customHeight="1" x14ac:dyDescent="0.25">
      <c r="A27" s="134">
        <v>24</v>
      </c>
      <c r="B27" s="382" t="str">
        <f>dtsiswa!D30</f>
        <v>Romzy Oka Ramadhani P</v>
      </c>
      <c r="C27" s="383">
        <f>sbdp_ki3!N122</f>
        <v>0</v>
      </c>
      <c r="D27" s="383">
        <f>sbdp_ki3!O122</f>
        <v>0</v>
      </c>
      <c r="E27" s="383">
        <f>sbdp_ki3!P122</f>
        <v>0</v>
      </c>
      <c r="F27" s="383">
        <f>sbdp_ki3!Q122</f>
        <v>0</v>
      </c>
      <c r="G27" s="467" t="str">
        <f t="shared" si="0"/>
        <v xml:space="preserve">  </v>
      </c>
      <c r="I27" s="134">
        <v>24</v>
      </c>
      <c r="J27" s="382" t="str">
        <f>dtsiswa!D30</f>
        <v>Romzy Oka Ramadhani P</v>
      </c>
      <c r="K27" s="760">
        <f>Sbdp_ki4!X170</f>
        <v>0</v>
      </c>
      <c r="L27" s="760">
        <f>Sbdp_ki4!Y170</f>
        <v>0</v>
      </c>
      <c r="M27" s="760">
        <f>Sbdp_ki4!Z170</f>
        <v>0</v>
      </c>
      <c r="N27" s="760">
        <f>Sbdp_ki4!AA170</f>
        <v>0</v>
      </c>
      <c r="O27" s="760">
        <f>Sbdp_ki4!AB170</f>
        <v>0</v>
      </c>
      <c r="P27" s="760">
        <f>Sbdp_ki4!AC170</f>
        <v>0</v>
      </c>
      <c r="Q27" s="400" t="str">
        <f t="shared" si="1"/>
        <v xml:space="preserve">  </v>
      </c>
      <c r="R27" s="134">
        <v>24</v>
      </c>
      <c r="S27" s="384" t="str">
        <f>dtsiswa!D30</f>
        <v>Romzy Oka Ramadhani P</v>
      </c>
      <c r="T27" s="385" t="str">
        <f t="shared" si="3"/>
        <v xml:space="preserve">    </v>
      </c>
      <c r="U27" s="386" t="str">
        <f t="shared" si="2"/>
        <v xml:space="preserve">    </v>
      </c>
    </row>
    <row r="28" spans="1:21" ht="15.95" customHeight="1" x14ac:dyDescent="0.25">
      <c r="A28" s="134">
        <v>25</v>
      </c>
      <c r="B28" s="382" t="str">
        <f>dtsiswa!D31</f>
        <v>Larasati Jagadhita P</v>
      </c>
      <c r="C28" s="383">
        <f>sbdp_ki3!N127</f>
        <v>0</v>
      </c>
      <c r="D28" s="383">
        <f>sbdp_ki3!O127</f>
        <v>0</v>
      </c>
      <c r="E28" s="383">
        <f>sbdp_ki3!P127</f>
        <v>0</v>
      </c>
      <c r="F28" s="383">
        <f>sbdp_ki3!Q127</f>
        <v>0</v>
      </c>
      <c r="G28" s="467" t="str">
        <f t="shared" si="0"/>
        <v xml:space="preserve">  </v>
      </c>
      <c r="I28" s="134">
        <v>25</v>
      </c>
      <c r="J28" s="382" t="str">
        <f>dtsiswa!D31</f>
        <v>Larasati Jagadhita P</v>
      </c>
      <c r="K28" s="760">
        <f>Sbdp_ki4!X177</f>
        <v>0</v>
      </c>
      <c r="L28" s="760">
        <f>Sbdp_ki4!Y177</f>
        <v>0</v>
      </c>
      <c r="M28" s="760">
        <f>Sbdp_ki4!Z177</f>
        <v>0</v>
      </c>
      <c r="N28" s="760">
        <f>Sbdp_ki4!AA177</f>
        <v>0</v>
      </c>
      <c r="O28" s="760">
        <f>Sbdp_ki4!AB177</f>
        <v>0</v>
      </c>
      <c r="P28" s="760">
        <f>Sbdp_ki4!AC177</f>
        <v>0</v>
      </c>
      <c r="Q28" s="400" t="str">
        <f t="shared" si="1"/>
        <v xml:space="preserve">  </v>
      </c>
      <c r="R28" s="134">
        <v>25</v>
      </c>
      <c r="S28" s="384" t="str">
        <f>dtsiswa!D31</f>
        <v>Larasati Jagadhita P</v>
      </c>
      <c r="T28" s="385" t="str">
        <f t="shared" si="3"/>
        <v xml:space="preserve">    </v>
      </c>
      <c r="U28" s="386" t="str">
        <f t="shared" si="2"/>
        <v xml:space="preserve">    </v>
      </c>
    </row>
    <row r="29" spans="1:21" ht="15.95" customHeight="1" x14ac:dyDescent="0.25">
      <c r="A29" s="134">
        <v>26</v>
      </c>
      <c r="B29" s="382" t="str">
        <f>dtsiswa!D32</f>
        <v>Meliana Citra A</v>
      </c>
      <c r="C29" s="383">
        <f>sbdp_ki3!N132</f>
        <v>0</v>
      </c>
      <c r="D29" s="383">
        <f>sbdp_ki3!O132</f>
        <v>0</v>
      </c>
      <c r="E29" s="383">
        <f>sbdp_ki3!P132</f>
        <v>0</v>
      </c>
      <c r="F29" s="383">
        <f>sbdp_ki3!Q132</f>
        <v>0</v>
      </c>
      <c r="G29" s="467" t="str">
        <f t="shared" si="0"/>
        <v xml:space="preserve">  </v>
      </c>
      <c r="I29" s="134">
        <v>26</v>
      </c>
      <c r="J29" s="382" t="str">
        <f>dtsiswa!D32</f>
        <v>Meliana Citra A</v>
      </c>
      <c r="K29" s="760">
        <f>Sbdp_ki4!X184</f>
        <v>0</v>
      </c>
      <c r="L29" s="760">
        <f>Sbdp_ki4!Y184</f>
        <v>0</v>
      </c>
      <c r="M29" s="760">
        <f>Sbdp_ki4!Z184</f>
        <v>0</v>
      </c>
      <c r="N29" s="760">
        <f>Sbdp_ki4!AA184</f>
        <v>0</v>
      </c>
      <c r="O29" s="760">
        <f>Sbdp_ki4!AB184</f>
        <v>0</v>
      </c>
      <c r="P29" s="760">
        <f>Sbdp_ki4!AC184</f>
        <v>0</v>
      </c>
      <c r="Q29" s="400" t="str">
        <f t="shared" si="1"/>
        <v xml:space="preserve">  </v>
      </c>
      <c r="R29" s="134">
        <v>26</v>
      </c>
      <c r="S29" s="384" t="str">
        <f>dtsiswa!D32</f>
        <v>Meliana Citra A</v>
      </c>
      <c r="T29" s="385" t="str">
        <f t="shared" si="3"/>
        <v xml:space="preserve">    </v>
      </c>
      <c r="U29" s="386" t="str">
        <f t="shared" si="2"/>
        <v xml:space="preserve">    </v>
      </c>
    </row>
    <row r="30" spans="1:21" ht="15.95" customHeight="1" x14ac:dyDescent="0.25">
      <c r="A30" s="134">
        <v>27</v>
      </c>
      <c r="B30" s="382" t="str">
        <f>dtsiswa!D33</f>
        <v>Mohammad Rizky</v>
      </c>
      <c r="C30" s="383">
        <f>sbdp_ki3!N137</f>
        <v>0</v>
      </c>
      <c r="D30" s="383">
        <f>sbdp_ki3!O137</f>
        <v>0</v>
      </c>
      <c r="E30" s="383">
        <f>sbdp_ki3!P137</f>
        <v>0</v>
      </c>
      <c r="F30" s="383">
        <f>sbdp_ki3!Q137</f>
        <v>0</v>
      </c>
      <c r="G30" s="467" t="str">
        <f t="shared" si="0"/>
        <v xml:space="preserve">  </v>
      </c>
      <c r="I30" s="134">
        <v>27</v>
      </c>
      <c r="J30" s="382" t="str">
        <f>dtsiswa!D33</f>
        <v>Mohammad Rizky</v>
      </c>
      <c r="K30" s="760">
        <f>Sbdp_ki4!X191</f>
        <v>0</v>
      </c>
      <c r="L30" s="760">
        <f>Sbdp_ki4!Y191</f>
        <v>0</v>
      </c>
      <c r="M30" s="760">
        <f>Sbdp_ki4!Z191</f>
        <v>0</v>
      </c>
      <c r="N30" s="760">
        <f>Sbdp_ki4!AA191</f>
        <v>0</v>
      </c>
      <c r="O30" s="760">
        <f>Sbdp_ki4!AB191</f>
        <v>0</v>
      </c>
      <c r="P30" s="760">
        <f>Sbdp_ki4!AC191</f>
        <v>0</v>
      </c>
      <c r="Q30" s="400" t="str">
        <f t="shared" si="1"/>
        <v xml:space="preserve">  </v>
      </c>
      <c r="R30" s="134">
        <v>27</v>
      </c>
      <c r="S30" s="384" t="str">
        <f>dtsiswa!D33</f>
        <v>Mohammad Rizky</v>
      </c>
      <c r="T30" s="385" t="str">
        <f t="shared" si="3"/>
        <v xml:space="preserve">    </v>
      </c>
      <c r="U30" s="386" t="str">
        <f t="shared" si="2"/>
        <v xml:space="preserve">    </v>
      </c>
    </row>
    <row r="31" spans="1:21" ht="15.95" customHeight="1" x14ac:dyDescent="0.25">
      <c r="A31" s="134">
        <v>28</v>
      </c>
      <c r="B31" s="382">
        <f>dtsiswa!D34</f>
        <v>0</v>
      </c>
      <c r="C31" s="383">
        <f>sbdp_ki3!N142</f>
        <v>0</v>
      </c>
      <c r="D31" s="383">
        <f>sbdp_ki3!O142</f>
        <v>0</v>
      </c>
      <c r="E31" s="383">
        <f>sbdp_ki3!P142</f>
        <v>0</v>
      </c>
      <c r="F31" s="383">
        <f>sbdp_ki3!Q142</f>
        <v>0</v>
      </c>
      <c r="G31" s="467" t="str">
        <f t="shared" si="0"/>
        <v xml:space="preserve">  </v>
      </c>
      <c r="I31" s="134">
        <v>28</v>
      </c>
      <c r="J31" s="382">
        <f>dtsiswa!D34</f>
        <v>0</v>
      </c>
      <c r="K31" s="760">
        <f>Sbdp_ki4!X198</f>
        <v>0</v>
      </c>
      <c r="L31" s="760">
        <f>Sbdp_ki4!Y198</f>
        <v>0</v>
      </c>
      <c r="M31" s="760">
        <f>Sbdp_ki4!Z198</f>
        <v>0</v>
      </c>
      <c r="N31" s="760">
        <f>Sbdp_ki4!AA198</f>
        <v>0</v>
      </c>
      <c r="O31" s="760">
        <f>Sbdp_ki4!AB198</f>
        <v>0</v>
      </c>
      <c r="P31" s="760">
        <f>Sbdp_ki4!AC198</f>
        <v>0</v>
      </c>
      <c r="Q31" s="400" t="str">
        <f t="shared" si="1"/>
        <v xml:space="preserve">  </v>
      </c>
      <c r="R31" s="134">
        <v>28</v>
      </c>
      <c r="S31" s="384">
        <f>dtsiswa!D34</f>
        <v>0</v>
      </c>
      <c r="T31" s="385" t="str">
        <f t="shared" si="3"/>
        <v xml:space="preserve">    </v>
      </c>
      <c r="U31" s="386" t="str">
        <f t="shared" si="2"/>
        <v xml:space="preserve">    </v>
      </c>
    </row>
    <row r="32" spans="1:21" ht="15.95" customHeight="1" x14ac:dyDescent="0.25">
      <c r="A32" s="134">
        <v>29</v>
      </c>
      <c r="B32" s="382">
        <f>dtsiswa!D35</f>
        <v>0</v>
      </c>
      <c r="C32" s="383">
        <f>sbdp_ki3!N147</f>
        <v>0</v>
      </c>
      <c r="D32" s="383">
        <f>sbdp_ki3!O147</f>
        <v>0</v>
      </c>
      <c r="E32" s="383">
        <f>sbdp_ki3!P147</f>
        <v>0</v>
      </c>
      <c r="F32" s="383">
        <f>sbdp_ki3!Q147</f>
        <v>0</v>
      </c>
      <c r="G32" s="467" t="str">
        <f t="shared" si="0"/>
        <v xml:space="preserve">  </v>
      </c>
      <c r="I32" s="134">
        <v>29</v>
      </c>
      <c r="J32" s="382">
        <f>dtsiswa!D35</f>
        <v>0</v>
      </c>
      <c r="K32" s="760">
        <f>Sbdp_ki4!X205</f>
        <v>0</v>
      </c>
      <c r="L32" s="760">
        <f>Sbdp_ki4!Y205</f>
        <v>0</v>
      </c>
      <c r="M32" s="760">
        <f>Sbdp_ki4!Z205</f>
        <v>0</v>
      </c>
      <c r="N32" s="760">
        <f>Sbdp_ki4!AA205</f>
        <v>0</v>
      </c>
      <c r="O32" s="760">
        <f>Sbdp_ki4!AB205</f>
        <v>0</v>
      </c>
      <c r="P32" s="760">
        <f>Sbdp_ki4!AC205</f>
        <v>0</v>
      </c>
      <c r="Q32" s="400" t="str">
        <f t="shared" si="1"/>
        <v xml:space="preserve">  </v>
      </c>
      <c r="R32" s="134">
        <v>29</v>
      </c>
      <c r="S32" s="384">
        <f>dtsiswa!D35</f>
        <v>0</v>
      </c>
      <c r="T32" s="385" t="str">
        <f t="shared" si="3"/>
        <v xml:space="preserve">    </v>
      </c>
      <c r="U32" s="386" t="str">
        <f t="shared" si="2"/>
        <v xml:space="preserve">    </v>
      </c>
    </row>
    <row r="33" spans="1:21" ht="15.95" customHeight="1" x14ac:dyDescent="0.25">
      <c r="A33" s="134">
        <v>30</v>
      </c>
      <c r="B33" s="382">
        <f>dtsiswa!D36</f>
        <v>0</v>
      </c>
      <c r="C33" s="383">
        <f>sbdp_ki3!N152</f>
        <v>0</v>
      </c>
      <c r="D33" s="383">
        <f>sbdp_ki3!O152</f>
        <v>0</v>
      </c>
      <c r="E33" s="383">
        <f>sbdp_ki3!P152</f>
        <v>0</v>
      </c>
      <c r="F33" s="383">
        <f>sbdp_ki3!Q152</f>
        <v>0</v>
      </c>
      <c r="G33" s="467" t="str">
        <f t="shared" si="0"/>
        <v xml:space="preserve">  </v>
      </c>
      <c r="I33" s="134">
        <v>30</v>
      </c>
      <c r="J33" s="382">
        <f>dtsiswa!D36</f>
        <v>0</v>
      </c>
      <c r="K33" s="760">
        <f>Sbdp_ki4!X212</f>
        <v>0</v>
      </c>
      <c r="L33" s="760">
        <f>Sbdp_ki4!Y212</f>
        <v>0</v>
      </c>
      <c r="M33" s="760">
        <f>Sbdp_ki4!Z212</f>
        <v>0</v>
      </c>
      <c r="N33" s="760">
        <f>Sbdp_ki4!AA212</f>
        <v>0</v>
      </c>
      <c r="O33" s="760">
        <f>Sbdp_ki4!AB212</f>
        <v>0</v>
      </c>
      <c r="P33" s="760">
        <f>Sbdp_ki4!AC212</f>
        <v>0</v>
      </c>
      <c r="Q33" s="400" t="str">
        <f t="shared" si="1"/>
        <v xml:space="preserve">  </v>
      </c>
      <c r="R33" s="134">
        <v>30</v>
      </c>
      <c r="S33" s="384">
        <f>dtsiswa!D36</f>
        <v>0</v>
      </c>
      <c r="T33" s="385" t="str">
        <f t="shared" si="3"/>
        <v xml:space="preserve">    </v>
      </c>
      <c r="U33" s="386" t="str">
        <f t="shared" si="2"/>
        <v xml:space="preserve">    </v>
      </c>
    </row>
    <row r="34" spans="1:21" ht="15.95" customHeight="1" x14ac:dyDescent="0.25">
      <c r="A34" s="134">
        <v>31</v>
      </c>
      <c r="B34" s="382">
        <f>dtsiswa!D37</f>
        <v>0</v>
      </c>
      <c r="C34" s="383">
        <f>sbdp_ki3!N157</f>
        <v>0</v>
      </c>
      <c r="D34" s="383">
        <f>sbdp_ki3!O157</f>
        <v>0</v>
      </c>
      <c r="E34" s="383">
        <f>sbdp_ki3!P157</f>
        <v>0</v>
      </c>
      <c r="F34" s="383">
        <f>sbdp_ki3!Q157</f>
        <v>0</v>
      </c>
      <c r="G34" s="467" t="str">
        <f t="shared" si="0"/>
        <v xml:space="preserve">  </v>
      </c>
      <c r="I34" s="134">
        <v>31</v>
      </c>
      <c r="J34" s="382">
        <f>dtsiswa!D37</f>
        <v>0</v>
      </c>
      <c r="K34" s="760">
        <f>Sbdp_ki4!X219</f>
        <v>0</v>
      </c>
      <c r="L34" s="760">
        <f>Sbdp_ki4!Y219</f>
        <v>0</v>
      </c>
      <c r="M34" s="760">
        <f>Sbdp_ki4!Z219</f>
        <v>0</v>
      </c>
      <c r="N34" s="760">
        <f>Sbdp_ki4!AA219</f>
        <v>0</v>
      </c>
      <c r="O34" s="760">
        <f>Sbdp_ki4!AB219</f>
        <v>0</v>
      </c>
      <c r="P34" s="760">
        <f>Sbdp_ki4!AC219</f>
        <v>0</v>
      </c>
      <c r="Q34" s="400" t="str">
        <f t="shared" si="1"/>
        <v xml:space="preserve">  </v>
      </c>
      <c r="R34" s="134">
        <v>31</v>
      </c>
      <c r="S34" s="384">
        <f>dtsiswa!D37</f>
        <v>0</v>
      </c>
      <c r="T34" s="385" t="str">
        <f t="shared" si="3"/>
        <v xml:space="preserve">    </v>
      </c>
      <c r="U34" s="386" t="str">
        <f t="shared" si="2"/>
        <v xml:space="preserve">    </v>
      </c>
    </row>
    <row r="35" spans="1:21" ht="15.95" customHeight="1" x14ac:dyDescent="0.25">
      <c r="A35" s="134">
        <v>32</v>
      </c>
      <c r="B35" s="382">
        <f>dtsiswa!D38</f>
        <v>0</v>
      </c>
      <c r="C35" s="383">
        <f>sbdp_ki3!N162</f>
        <v>0</v>
      </c>
      <c r="D35" s="383">
        <f>sbdp_ki3!O162</f>
        <v>0</v>
      </c>
      <c r="E35" s="383">
        <f>sbdp_ki3!P162</f>
        <v>0</v>
      </c>
      <c r="F35" s="383">
        <f>sbdp_ki3!Q162</f>
        <v>0</v>
      </c>
      <c r="G35" s="467" t="str">
        <f t="shared" si="0"/>
        <v xml:space="preserve">  </v>
      </c>
      <c r="I35" s="134">
        <v>32</v>
      </c>
      <c r="J35" s="382">
        <f>dtsiswa!D38</f>
        <v>0</v>
      </c>
      <c r="K35" s="760">
        <f>Sbdp_ki4!X226</f>
        <v>0</v>
      </c>
      <c r="L35" s="760">
        <f>Sbdp_ki4!Y226</f>
        <v>0</v>
      </c>
      <c r="M35" s="760">
        <f>Sbdp_ki4!Z226</f>
        <v>0</v>
      </c>
      <c r="N35" s="760">
        <f>Sbdp_ki4!AA226</f>
        <v>0</v>
      </c>
      <c r="O35" s="760">
        <f>Sbdp_ki4!AB226</f>
        <v>0</v>
      </c>
      <c r="P35" s="760">
        <f>Sbdp_ki4!AC226</f>
        <v>0</v>
      </c>
      <c r="Q35" s="400" t="str">
        <f t="shared" si="1"/>
        <v xml:space="preserve">  </v>
      </c>
      <c r="R35" s="134">
        <v>32</v>
      </c>
      <c r="S35" s="384">
        <f>dtsiswa!D38</f>
        <v>0</v>
      </c>
      <c r="T35" s="385" t="str">
        <f t="shared" si="3"/>
        <v xml:space="preserve">    </v>
      </c>
      <c r="U35" s="386" t="str">
        <f t="shared" si="2"/>
        <v xml:space="preserve">    </v>
      </c>
    </row>
    <row r="36" spans="1:21" ht="15.95" customHeight="1" x14ac:dyDescent="0.25">
      <c r="A36" s="134">
        <v>33</v>
      </c>
      <c r="B36" s="382">
        <f>dtsiswa!D39</f>
        <v>0</v>
      </c>
      <c r="C36" s="383">
        <f>sbdp_ki3!N167</f>
        <v>0</v>
      </c>
      <c r="D36" s="383">
        <f>sbdp_ki3!O167</f>
        <v>0</v>
      </c>
      <c r="E36" s="383">
        <f>sbdp_ki3!P167</f>
        <v>0</v>
      </c>
      <c r="F36" s="383">
        <f>sbdp_ki3!Q167</f>
        <v>0</v>
      </c>
      <c r="G36" s="467" t="str">
        <f t="shared" si="0"/>
        <v xml:space="preserve">  </v>
      </c>
      <c r="I36" s="134">
        <v>33</v>
      </c>
      <c r="J36" s="382">
        <f>dtsiswa!D39</f>
        <v>0</v>
      </c>
      <c r="K36" s="760">
        <f>Sbdp_ki4!X233</f>
        <v>0</v>
      </c>
      <c r="L36" s="760">
        <f>Sbdp_ki4!Y233</f>
        <v>0</v>
      </c>
      <c r="M36" s="760">
        <f>Sbdp_ki4!Z233</f>
        <v>0</v>
      </c>
      <c r="N36" s="760">
        <f>Sbdp_ki4!AA233</f>
        <v>0</v>
      </c>
      <c r="O36" s="760">
        <f>Sbdp_ki4!AB233</f>
        <v>0</v>
      </c>
      <c r="P36" s="760">
        <f>Sbdp_ki4!AC233</f>
        <v>0</v>
      </c>
      <c r="Q36" s="400" t="str">
        <f t="shared" si="1"/>
        <v xml:space="preserve">  </v>
      </c>
      <c r="R36" s="134">
        <v>33</v>
      </c>
      <c r="S36" s="384">
        <f>dtsiswa!D39</f>
        <v>0</v>
      </c>
      <c r="T36" s="385" t="str">
        <f t="shared" si="3"/>
        <v xml:space="preserve">    </v>
      </c>
      <c r="U36" s="386" t="str">
        <f t="shared" si="2"/>
        <v xml:space="preserve">    </v>
      </c>
    </row>
    <row r="37" spans="1:21" ht="15.95" customHeight="1" x14ac:dyDescent="0.25">
      <c r="A37" s="134">
        <v>34</v>
      </c>
      <c r="B37" s="382">
        <f>dtsiswa!D40</f>
        <v>0</v>
      </c>
      <c r="C37" s="383">
        <f>sbdp_ki3!N172</f>
        <v>0</v>
      </c>
      <c r="D37" s="383">
        <f>sbdp_ki3!O172</f>
        <v>0</v>
      </c>
      <c r="E37" s="383">
        <f>sbdp_ki3!P172</f>
        <v>0</v>
      </c>
      <c r="F37" s="383">
        <f>sbdp_ki3!Q172</f>
        <v>0</v>
      </c>
      <c r="G37" s="467" t="str">
        <f t="shared" si="0"/>
        <v xml:space="preserve">  </v>
      </c>
      <c r="I37" s="134">
        <v>34</v>
      </c>
      <c r="J37" s="382">
        <f>dtsiswa!D40</f>
        <v>0</v>
      </c>
      <c r="K37" s="760">
        <f>Sbdp_ki4!X240</f>
        <v>0</v>
      </c>
      <c r="L37" s="760">
        <f>Sbdp_ki4!Y240</f>
        <v>0</v>
      </c>
      <c r="M37" s="760">
        <f>Sbdp_ki4!Z240</f>
        <v>0</v>
      </c>
      <c r="N37" s="760">
        <f>Sbdp_ki4!AA240</f>
        <v>0</v>
      </c>
      <c r="O37" s="760">
        <f>Sbdp_ki4!AB240</f>
        <v>0</v>
      </c>
      <c r="P37" s="760">
        <f>Sbdp_ki4!AC240</f>
        <v>0</v>
      </c>
      <c r="Q37" s="400" t="str">
        <f t="shared" si="1"/>
        <v xml:space="preserve">  </v>
      </c>
      <c r="R37" s="134">
        <v>34</v>
      </c>
      <c r="S37" s="384">
        <f>dtsiswa!D40</f>
        <v>0</v>
      </c>
      <c r="T37" s="385" t="str">
        <f t="shared" si="3"/>
        <v xml:space="preserve">    </v>
      </c>
      <c r="U37" s="386" t="str">
        <f t="shared" si="2"/>
        <v xml:space="preserve">    </v>
      </c>
    </row>
    <row r="38" spans="1:21" ht="15.95" customHeight="1" x14ac:dyDescent="0.25">
      <c r="A38" s="134">
        <v>35</v>
      </c>
      <c r="B38" s="382">
        <f>dtsiswa!D41</f>
        <v>0</v>
      </c>
      <c r="C38" s="383">
        <f>sbdp_ki3!N177</f>
        <v>0</v>
      </c>
      <c r="D38" s="383">
        <f>sbdp_ki3!O177</f>
        <v>0</v>
      </c>
      <c r="E38" s="383">
        <f>sbdp_ki3!P177</f>
        <v>0</v>
      </c>
      <c r="F38" s="383">
        <f>sbdp_ki3!Q177</f>
        <v>0</v>
      </c>
      <c r="G38" s="467" t="str">
        <f t="shared" si="0"/>
        <v xml:space="preserve">  </v>
      </c>
      <c r="I38" s="134">
        <v>35</v>
      </c>
      <c r="J38" s="382">
        <f>dtsiswa!D41</f>
        <v>0</v>
      </c>
      <c r="K38" s="760">
        <f>Sbdp_ki4!X247</f>
        <v>0</v>
      </c>
      <c r="L38" s="760">
        <f>Sbdp_ki4!Y247</f>
        <v>0</v>
      </c>
      <c r="M38" s="760">
        <f>Sbdp_ki4!Z247</f>
        <v>0</v>
      </c>
      <c r="N38" s="760">
        <f>Sbdp_ki4!AA247</f>
        <v>0</v>
      </c>
      <c r="O38" s="760">
        <f>Sbdp_ki4!AB247</f>
        <v>0</v>
      </c>
      <c r="P38" s="760">
        <f>Sbdp_ki4!AC247</f>
        <v>0</v>
      </c>
      <c r="Q38" s="400" t="str">
        <f t="shared" si="1"/>
        <v xml:space="preserve">  </v>
      </c>
      <c r="R38" s="134">
        <v>35</v>
      </c>
      <c r="S38" s="384">
        <f>dtsiswa!D41</f>
        <v>0</v>
      </c>
      <c r="T38" s="385" t="str">
        <f t="shared" si="3"/>
        <v xml:space="preserve">    </v>
      </c>
      <c r="U38" s="386" t="str">
        <f t="shared" si="2"/>
        <v xml:space="preserve">    </v>
      </c>
    </row>
    <row r="39" spans="1:21" ht="15.95" customHeight="1" x14ac:dyDescent="0.25">
      <c r="A39" s="134">
        <v>36</v>
      </c>
      <c r="B39" s="382">
        <f>dtsiswa!D42</f>
        <v>0</v>
      </c>
      <c r="C39" s="383">
        <f>sbdp_ki3!N182</f>
        <v>0</v>
      </c>
      <c r="D39" s="383">
        <f>sbdp_ki3!O182</f>
        <v>0</v>
      </c>
      <c r="E39" s="383">
        <f>sbdp_ki3!P182</f>
        <v>0</v>
      </c>
      <c r="F39" s="383">
        <f>sbdp_ki3!Q182</f>
        <v>0</v>
      </c>
      <c r="G39" s="467" t="str">
        <f t="shared" si="0"/>
        <v xml:space="preserve">  </v>
      </c>
      <c r="I39" s="134">
        <v>36</v>
      </c>
      <c r="J39" s="382">
        <f>dtsiswa!D42</f>
        <v>0</v>
      </c>
      <c r="K39" s="760">
        <f>Sbdp_ki4!X254</f>
        <v>0</v>
      </c>
      <c r="L39" s="760">
        <f>Sbdp_ki4!Y254</f>
        <v>0</v>
      </c>
      <c r="M39" s="760">
        <f>Sbdp_ki4!Z254</f>
        <v>0</v>
      </c>
      <c r="N39" s="760">
        <f>Sbdp_ki4!AA254</f>
        <v>0</v>
      </c>
      <c r="O39" s="760">
        <f>Sbdp_ki4!AB254</f>
        <v>0</v>
      </c>
      <c r="P39" s="760">
        <f>Sbdp_ki4!AC254</f>
        <v>0</v>
      </c>
      <c r="Q39" s="400" t="str">
        <f t="shared" si="1"/>
        <v xml:space="preserve">  </v>
      </c>
      <c r="R39" s="134">
        <v>36</v>
      </c>
      <c r="S39" s="384">
        <f>dtsiswa!D42</f>
        <v>0</v>
      </c>
      <c r="T39" s="385" t="str">
        <f t="shared" si="3"/>
        <v xml:space="preserve">    </v>
      </c>
      <c r="U39" s="386" t="str">
        <f t="shared" si="2"/>
        <v xml:space="preserve">    </v>
      </c>
    </row>
    <row r="40" spans="1:21" ht="15.95" customHeight="1" x14ac:dyDescent="0.25">
      <c r="A40" s="134">
        <v>37</v>
      </c>
      <c r="B40" s="382">
        <f>dtsiswa!D43</f>
        <v>0</v>
      </c>
      <c r="C40" s="383">
        <f>sbdp_ki3!N187</f>
        <v>0</v>
      </c>
      <c r="D40" s="383">
        <f>sbdp_ki3!O187</f>
        <v>0</v>
      </c>
      <c r="E40" s="383">
        <f>sbdp_ki3!P187</f>
        <v>0</v>
      </c>
      <c r="F40" s="383">
        <f>sbdp_ki3!Q187</f>
        <v>0</v>
      </c>
      <c r="G40" s="467" t="str">
        <f t="shared" si="0"/>
        <v xml:space="preserve">  </v>
      </c>
      <c r="I40" s="134">
        <v>37</v>
      </c>
      <c r="J40" s="382">
        <f>dtsiswa!D43</f>
        <v>0</v>
      </c>
      <c r="K40" s="760">
        <f>Sbdp_ki4!X261</f>
        <v>0</v>
      </c>
      <c r="L40" s="760">
        <f>Sbdp_ki4!Y261</f>
        <v>0</v>
      </c>
      <c r="M40" s="760">
        <f>Sbdp_ki4!Z261</f>
        <v>0</v>
      </c>
      <c r="N40" s="760">
        <f>Sbdp_ki4!AA261</f>
        <v>0</v>
      </c>
      <c r="O40" s="760">
        <f>Sbdp_ki4!AB261</f>
        <v>0</v>
      </c>
      <c r="P40" s="760">
        <f>Sbdp_ki4!AC261</f>
        <v>0</v>
      </c>
      <c r="Q40" s="400" t="str">
        <f t="shared" si="1"/>
        <v xml:space="preserve">  </v>
      </c>
      <c r="R40" s="134">
        <v>37</v>
      </c>
      <c r="S40" s="384">
        <f>dtsiswa!D43</f>
        <v>0</v>
      </c>
      <c r="T40" s="385" t="str">
        <f t="shared" si="3"/>
        <v xml:space="preserve">    </v>
      </c>
      <c r="U40" s="386" t="str">
        <f t="shared" si="2"/>
        <v xml:space="preserve">    </v>
      </c>
    </row>
    <row r="41" spans="1:21" ht="15.95" customHeight="1" x14ac:dyDescent="0.25">
      <c r="A41" s="134">
        <v>38</v>
      </c>
      <c r="B41" s="382">
        <f>dtsiswa!D44</f>
        <v>0</v>
      </c>
      <c r="C41" s="383">
        <f>sbdp_ki3!N192</f>
        <v>0</v>
      </c>
      <c r="D41" s="383">
        <f>sbdp_ki3!O192</f>
        <v>0</v>
      </c>
      <c r="E41" s="383">
        <f>sbdp_ki3!P192</f>
        <v>0</v>
      </c>
      <c r="F41" s="383">
        <f>sbdp_ki3!Q192</f>
        <v>0</v>
      </c>
      <c r="G41" s="467" t="str">
        <f t="shared" si="0"/>
        <v xml:space="preserve">  </v>
      </c>
      <c r="I41" s="134">
        <v>38</v>
      </c>
      <c r="J41" s="382">
        <f>dtsiswa!D44</f>
        <v>0</v>
      </c>
      <c r="K41" s="760">
        <f>Sbdp_ki4!X268</f>
        <v>0</v>
      </c>
      <c r="L41" s="760">
        <f>Sbdp_ki4!Y268</f>
        <v>0</v>
      </c>
      <c r="M41" s="760">
        <f>Sbdp_ki4!Z268</f>
        <v>0</v>
      </c>
      <c r="N41" s="760">
        <f>Sbdp_ki4!AA268</f>
        <v>0</v>
      </c>
      <c r="O41" s="760">
        <f>Sbdp_ki4!AB268</f>
        <v>0</v>
      </c>
      <c r="P41" s="760">
        <f>Sbdp_ki4!AC268</f>
        <v>0</v>
      </c>
      <c r="Q41" s="400" t="str">
        <f t="shared" si="1"/>
        <v xml:space="preserve">  </v>
      </c>
      <c r="R41" s="134">
        <v>38</v>
      </c>
      <c r="S41" s="384">
        <f>dtsiswa!D44</f>
        <v>0</v>
      </c>
      <c r="T41" s="385" t="str">
        <f t="shared" si="3"/>
        <v xml:space="preserve">    </v>
      </c>
      <c r="U41" s="386" t="str">
        <f t="shared" si="2"/>
        <v xml:space="preserve">    </v>
      </c>
    </row>
    <row r="42" spans="1:21" ht="15.95" customHeight="1" x14ac:dyDescent="0.25">
      <c r="A42" s="134">
        <v>39</v>
      </c>
      <c r="B42" s="382">
        <f>dtsiswa!D45</f>
        <v>0</v>
      </c>
      <c r="C42" s="383">
        <f>sbdp_ki3!N197</f>
        <v>0</v>
      </c>
      <c r="D42" s="383">
        <f>sbdp_ki3!O197</f>
        <v>0</v>
      </c>
      <c r="E42" s="383">
        <f>sbdp_ki3!P197</f>
        <v>0</v>
      </c>
      <c r="F42" s="383">
        <f>sbdp_ki3!Q197</f>
        <v>0</v>
      </c>
      <c r="G42" s="467" t="str">
        <f t="shared" si="0"/>
        <v xml:space="preserve">  </v>
      </c>
      <c r="I42" s="134">
        <v>39</v>
      </c>
      <c r="J42" s="382">
        <f>dtsiswa!D45</f>
        <v>0</v>
      </c>
      <c r="K42" s="760">
        <f>Sbdp_ki4!X275</f>
        <v>0</v>
      </c>
      <c r="L42" s="760">
        <f>Sbdp_ki4!Y275</f>
        <v>0</v>
      </c>
      <c r="M42" s="760">
        <f>Sbdp_ki4!Z275</f>
        <v>0</v>
      </c>
      <c r="N42" s="760">
        <f>Sbdp_ki4!AA275</f>
        <v>0</v>
      </c>
      <c r="O42" s="760">
        <f>Sbdp_ki4!AB275</f>
        <v>0</v>
      </c>
      <c r="P42" s="760">
        <f>Sbdp_ki4!AC275</f>
        <v>0</v>
      </c>
      <c r="Q42" s="400" t="str">
        <f t="shared" si="1"/>
        <v xml:space="preserve">  </v>
      </c>
      <c r="R42" s="134">
        <v>39</v>
      </c>
      <c r="S42" s="384">
        <f>dtsiswa!D45</f>
        <v>0</v>
      </c>
      <c r="T42" s="385" t="str">
        <f t="shared" si="3"/>
        <v xml:space="preserve">    </v>
      </c>
      <c r="U42" s="386" t="str">
        <f t="shared" si="2"/>
        <v xml:space="preserve">    </v>
      </c>
    </row>
    <row r="43" spans="1:21" ht="15.95" customHeight="1" x14ac:dyDescent="0.25">
      <c r="A43" s="134">
        <v>40</v>
      </c>
      <c r="B43" s="382">
        <f>dtsiswa!D46</f>
        <v>0</v>
      </c>
      <c r="C43" s="383">
        <f>sbdp_ki3!N202</f>
        <v>0</v>
      </c>
      <c r="D43" s="383">
        <f>sbdp_ki3!O202</f>
        <v>0</v>
      </c>
      <c r="E43" s="383">
        <f>sbdp_ki3!P202</f>
        <v>0</v>
      </c>
      <c r="F43" s="383">
        <f>sbdp_ki3!Q202</f>
        <v>0</v>
      </c>
      <c r="G43" s="467" t="str">
        <f t="shared" si="0"/>
        <v xml:space="preserve">  </v>
      </c>
      <c r="I43" s="134">
        <v>40</v>
      </c>
      <c r="J43" s="382">
        <f>dtsiswa!D46</f>
        <v>0</v>
      </c>
      <c r="K43" s="760">
        <f>Sbdp_ki4!X282</f>
        <v>0</v>
      </c>
      <c r="L43" s="760">
        <f>Sbdp_ki4!Y282</f>
        <v>0</v>
      </c>
      <c r="M43" s="760">
        <f>Sbdp_ki4!Z282</f>
        <v>0</v>
      </c>
      <c r="N43" s="760">
        <f>Sbdp_ki4!AA282</f>
        <v>0</v>
      </c>
      <c r="O43" s="760">
        <f>Sbdp_ki4!AB282</f>
        <v>0</v>
      </c>
      <c r="P43" s="760">
        <f>Sbdp_ki4!AC282</f>
        <v>0</v>
      </c>
      <c r="Q43" s="400" t="str">
        <f t="shared" si="1"/>
        <v xml:space="preserve">  </v>
      </c>
      <c r="R43" s="724">
        <v>40</v>
      </c>
      <c r="S43" s="750">
        <f>dtsiswa!D46</f>
        <v>0</v>
      </c>
      <c r="T43" s="751" t="str">
        <f t="shared" si="3"/>
        <v xml:space="preserve">    </v>
      </c>
      <c r="U43" s="752" t="str">
        <f t="shared" si="2"/>
        <v xml:space="preserve">    </v>
      </c>
    </row>
    <row r="44" spans="1:21" s="395" customFormat="1" ht="21" x14ac:dyDescent="0.35">
      <c r="A44" s="390"/>
      <c r="B44" s="753"/>
      <c r="C44" s="390"/>
      <c r="D44" s="753"/>
      <c r="E44" s="390"/>
      <c r="F44" s="753"/>
      <c r="G44" s="755"/>
      <c r="H44" s="753"/>
      <c r="I44" s="390"/>
      <c r="J44" s="753"/>
      <c r="K44" s="390"/>
      <c r="L44" s="753"/>
      <c r="M44" s="753"/>
      <c r="N44" s="390"/>
      <c r="O44" s="753"/>
      <c r="P44" s="390"/>
      <c r="Q44" s="755"/>
      <c r="R44" s="753"/>
      <c r="S44" s="390"/>
      <c r="T44" s="756"/>
      <c r="U44" s="757"/>
    </row>
    <row r="45" spans="1:21" s="395" customFormat="1" x14ac:dyDescent="0.25">
      <c r="K45" s="759"/>
      <c r="L45" s="759"/>
      <c r="M45" s="759"/>
      <c r="N45" s="759"/>
      <c r="O45" s="759"/>
      <c r="P45" s="759"/>
      <c r="Q45" s="759"/>
      <c r="R45" s="759"/>
      <c r="S45" s="759"/>
      <c r="T45" s="759"/>
    </row>
    <row r="46" spans="1:21" s="395" customFormat="1" x14ac:dyDescent="0.25">
      <c r="C46" s="371"/>
      <c r="D46" s="371"/>
      <c r="E46" s="371"/>
      <c r="F46" s="371"/>
      <c r="G46" s="371"/>
      <c r="H46" s="371"/>
      <c r="I46" s="371"/>
    </row>
    <row r="47" spans="1:21" x14ac:dyDescent="0.25">
      <c r="A47" s="373"/>
      <c r="B47" s="373"/>
      <c r="C47" s="373"/>
      <c r="D47" s="373"/>
      <c r="E47" s="373"/>
      <c r="F47" s="373"/>
      <c r="G47" s="373"/>
      <c r="H47" s="364"/>
      <c r="I47" s="373"/>
      <c r="J47" s="373"/>
      <c r="K47" s="373"/>
      <c r="L47" s="373"/>
      <c r="M47" s="373"/>
      <c r="N47" s="373"/>
      <c r="O47" s="373"/>
      <c r="P47" s="373"/>
      <c r="Q47" s="373"/>
    </row>
    <row r="48" spans="1:21" ht="23.25" x14ac:dyDescent="0.35">
      <c r="A48" s="2907" t="s">
        <v>451</v>
      </c>
      <c r="B48" s="2907"/>
      <c r="C48" s="2907"/>
      <c r="D48" s="2907"/>
      <c r="E48" s="2907"/>
      <c r="F48" s="2907"/>
      <c r="G48" s="373"/>
      <c r="H48" s="364"/>
      <c r="I48" s="2907" t="s">
        <v>449</v>
      </c>
      <c r="J48" s="2907"/>
      <c r="K48" s="2907"/>
      <c r="L48" s="2907"/>
      <c r="M48" s="373"/>
      <c r="N48" s="373"/>
      <c r="O48" s="373"/>
      <c r="P48" s="373"/>
      <c r="Q48" s="373"/>
    </row>
    <row r="49" spans="1:17" ht="26.25" x14ac:dyDescent="0.4">
      <c r="A49" s="396" t="s">
        <v>148</v>
      </c>
      <c r="B49" s="373"/>
      <c r="C49" s="373"/>
      <c r="D49" s="373"/>
      <c r="E49" s="373"/>
      <c r="F49" s="373"/>
      <c r="G49" s="373"/>
      <c r="H49" s="364"/>
      <c r="I49" s="376" t="s">
        <v>175</v>
      </c>
      <c r="J49" s="373"/>
      <c r="K49" s="373"/>
      <c r="L49" s="373"/>
      <c r="M49" s="373"/>
      <c r="N49" s="373"/>
      <c r="O49" s="373"/>
      <c r="P49" s="373"/>
      <c r="Q49" s="373"/>
    </row>
    <row r="50" spans="1:17" ht="30.75" customHeight="1" thickBot="1" x14ac:dyDescent="0.3">
      <c r="A50" s="397" t="s">
        <v>0</v>
      </c>
      <c r="B50" s="397" t="s">
        <v>1</v>
      </c>
      <c r="C50" s="264" t="s">
        <v>12</v>
      </c>
      <c r="D50" s="264" t="s">
        <v>7</v>
      </c>
      <c r="E50" s="264" t="s">
        <v>10</v>
      </c>
      <c r="F50" s="264" t="s">
        <v>8</v>
      </c>
      <c r="G50" s="236" t="s">
        <v>138</v>
      </c>
      <c r="H50" s="364"/>
      <c r="I50" s="305" t="s">
        <v>0</v>
      </c>
      <c r="J50" s="305" t="s">
        <v>1</v>
      </c>
      <c r="K50" s="761" t="s">
        <v>154</v>
      </c>
      <c r="L50" s="761" t="s">
        <v>155</v>
      </c>
      <c r="M50" s="761" t="s">
        <v>11</v>
      </c>
      <c r="N50" s="761" t="s">
        <v>186</v>
      </c>
      <c r="O50" s="761" t="s">
        <v>187</v>
      </c>
      <c r="P50" s="761" t="s">
        <v>208</v>
      </c>
      <c r="Q50" s="152" t="s">
        <v>138</v>
      </c>
    </row>
    <row r="51" spans="1:17" ht="18.75" customHeight="1" x14ac:dyDescent="0.25">
      <c r="A51" s="134">
        <v>1</v>
      </c>
      <c r="B51" s="382" t="str">
        <f>dtsiswa!D7</f>
        <v>Achmad Zacky</v>
      </c>
      <c r="C51" s="387">
        <f>sbdp_ki3!R7</f>
        <v>0</v>
      </c>
      <c r="D51" s="747">
        <f>sbdp_ki3!S7</f>
        <v>0</v>
      </c>
      <c r="E51" s="747">
        <f>sbdp_ki3!T7</f>
        <v>0</v>
      </c>
      <c r="F51" s="747">
        <f>sbdp_ki3!U7</f>
        <v>3</v>
      </c>
      <c r="G51" s="557" t="str">
        <f t="shared" ref="G51:G90" si="4">IF(OR(C51=2,C51=3),VLOOKUP(C51,DES_KI3_SBDP,2,FALSE),IF(OR(D51=2,D51=3),VLOOKUP(D51,DES_KI3_SBDP,3,FALSE),IF(OR(E51=2,E51=3),VLOOKUP(E51,DES_KI3_SBDP,4,FALSE),IF(OR(F51=2,F51=3),VLOOKUP(F51,DES_KI3_SBDP,5,FALSE),"  "))))</f>
        <v xml:space="preserve">Baik dalam  dalam mengetahui berbagai alur cara dan pengolahan media karya kreatif. </v>
      </c>
      <c r="H51" s="387" t="e">
        <f>VLOOKUP($A$51,Ragm_ki3,29,FALSE)</f>
        <v>#NAME?</v>
      </c>
      <c r="I51" s="134">
        <v>1</v>
      </c>
      <c r="J51" s="382" t="str">
        <f t="shared" ref="J51:J90" si="5">VLOOKUP(I51,data_siswa,4,FALSE)</f>
        <v>Achmad Zacky</v>
      </c>
      <c r="K51" s="399">
        <f>Sbdp_ki4!AD9</f>
        <v>0</v>
      </c>
      <c r="L51" s="399">
        <f>Sbdp_ki4!AE9</f>
        <v>0</v>
      </c>
      <c r="M51" s="399">
        <f>Sbdp_ki4!AF9</f>
        <v>3</v>
      </c>
      <c r="N51" s="399">
        <f>Sbdp_ki4!AG9</f>
        <v>0</v>
      </c>
      <c r="O51" s="399">
        <f>Sbdp_ki4!AH9</f>
        <v>0</v>
      </c>
      <c r="P51" s="399">
        <f>Sbdp_ki4!AI9</f>
        <v>0</v>
      </c>
      <c r="Q51" s="372" t="str">
        <f t="shared" ref="Q51:Q90" si="6">IF(OR(K51=2,K51=3),VLOOKUP(K51,des_KI4_SBDP,2,FALSE),IF(OR(L51=2,L51=3),VLOOKUP(L51,des_KI4_SBDP,3,FALSE),IF(OR(M51=2,M51=3),VLOOKUP(M51,des_KI4_SBDP,4,FALSE),IF(OR(N51=2,N51=3),VLOOKUP(N51,des_KI4_SBDP,5,FALSE),IF(OR(O51=2,O51=3),VLOOKUP(O51,des_KI4_SBDP,6,FALSE),IF(OR(P51=2,P51=3),VLOOKUP(P51,des_KI4_SBDP,7,FALSE),"  "))))))</f>
        <v xml:space="preserve">Baik dalam Membentuk karya seni tiga dimensi dari bahan alam. </v>
      </c>
    </row>
    <row r="52" spans="1:17" ht="15.75" x14ac:dyDescent="0.25">
      <c r="A52" s="134">
        <v>2</v>
      </c>
      <c r="B52" s="382" t="str">
        <f>dtsiswa!D8</f>
        <v>Angelia Vabel R</v>
      </c>
      <c r="C52" s="387">
        <f>sbdp_ki3!R12</f>
        <v>0</v>
      </c>
      <c r="D52" s="747">
        <f>sbdp_ki3!S12</f>
        <v>3</v>
      </c>
      <c r="E52" s="747">
        <f>sbdp_ki3!T12</f>
        <v>0</v>
      </c>
      <c r="F52" s="747">
        <f>sbdp_ki3!U12</f>
        <v>0</v>
      </c>
      <c r="G52" s="557" t="str">
        <f t="shared" si="4"/>
        <v xml:space="preserve">Baik dalam  Membedakan panjang-pendek bunyi, dan tinggi-rendah nada dengan gerak tangan. </v>
      </c>
      <c r="I52" s="387">
        <v>2</v>
      </c>
      <c r="J52" s="382" t="str">
        <f t="shared" si="5"/>
        <v>Angelia Vabel R</v>
      </c>
      <c r="K52" s="387">
        <f>Sbdp_ki4!AD16</f>
        <v>0</v>
      </c>
      <c r="L52" s="1115">
        <f>Sbdp_ki4!AE16</f>
        <v>0</v>
      </c>
      <c r="M52" s="1115">
        <f>Sbdp_ki4!AF16</f>
        <v>0</v>
      </c>
      <c r="N52" s="1115">
        <f>Sbdp_ki4!AG16</f>
        <v>0</v>
      </c>
      <c r="O52" s="1115">
        <f>Sbdp_ki4!AH16</f>
        <v>0</v>
      </c>
      <c r="P52" s="1115">
        <f>Sbdp_ki4!AI16</f>
        <v>0</v>
      </c>
      <c r="Q52" s="372" t="str">
        <f t="shared" si="6"/>
        <v xml:space="preserve">  </v>
      </c>
    </row>
    <row r="53" spans="1:17" ht="15.75" x14ac:dyDescent="0.25">
      <c r="A53" s="134">
        <v>3</v>
      </c>
      <c r="B53" s="382" t="str">
        <f>dtsiswa!D9</f>
        <v>Anggun Dwi P.I</v>
      </c>
      <c r="C53" s="387">
        <f>sbdp_ki3!R17</f>
        <v>0</v>
      </c>
      <c r="D53" s="747">
        <f>sbdp_ki3!S17</f>
        <v>0</v>
      </c>
      <c r="E53" s="747">
        <f>sbdp_ki3!T17</f>
        <v>2</v>
      </c>
      <c r="F53" s="747">
        <f>sbdp_ki3!U17</f>
        <v>0</v>
      </c>
      <c r="G53" s="557" t="str">
        <f t="shared" si="4"/>
        <v xml:space="preserve">Cukup baik dalam Mengenal tari-tari daerah dan keunikan geraknya. </v>
      </c>
      <c r="I53" s="134">
        <v>3</v>
      </c>
      <c r="J53" s="382" t="str">
        <f t="shared" si="5"/>
        <v>Anggun Dwi P.I</v>
      </c>
      <c r="K53" s="387">
        <f>Sbdp_ki4!AD23</f>
        <v>0</v>
      </c>
      <c r="L53" s="1115">
        <f>Sbdp_ki4!AE23</f>
        <v>0</v>
      </c>
      <c r="M53" s="1115">
        <f>Sbdp_ki4!AF23</f>
        <v>0</v>
      </c>
      <c r="N53" s="1115">
        <f>Sbdp_ki4!AG23</f>
        <v>0</v>
      </c>
      <c r="O53" s="1115">
        <f>Sbdp_ki4!AH23</f>
        <v>0</v>
      </c>
      <c r="P53" s="1115">
        <f>Sbdp_ki4!AI23</f>
        <v>0</v>
      </c>
      <c r="Q53" s="372" t="str">
        <f t="shared" si="6"/>
        <v xml:space="preserve">  </v>
      </c>
    </row>
    <row r="54" spans="1:17" ht="15.75" x14ac:dyDescent="0.25">
      <c r="A54" s="134">
        <v>4</v>
      </c>
      <c r="B54" s="382" t="str">
        <f>dtsiswa!D10</f>
        <v>Antonio Permata A</v>
      </c>
      <c r="C54" s="387">
        <f>sbdp_ki3!R22</f>
        <v>0</v>
      </c>
      <c r="D54" s="747">
        <f>sbdp_ki3!S22</f>
        <v>0</v>
      </c>
      <c r="E54" s="747">
        <f>sbdp_ki3!T22</f>
        <v>0</v>
      </c>
      <c r="F54" s="747">
        <f>sbdp_ki3!U22</f>
        <v>0</v>
      </c>
      <c r="G54" s="557" t="str">
        <f t="shared" si="4"/>
        <v xml:space="preserve">  </v>
      </c>
      <c r="I54" s="387">
        <v>4</v>
      </c>
      <c r="J54" s="382" t="str">
        <f t="shared" si="5"/>
        <v>Antonio Permata A</v>
      </c>
      <c r="K54" s="387">
        <f>Sbdp_ki4!AD30</f>
        <v>0</v>
      </c>
      <c r="L54" s="1115">
        <f>Sbdp_ki4!AE30</f>
        <v>0</v>
      </c>
      <c r="M54" s="1115">
        <f>Sbdp_ki4!AF30</f>
        <v>0</v>
      </c>
      <c r="N54" s="1115">
        <f>Sbdp_ki4!AG30</f>
        <v>0</v>
      </c>
      <c r="O54" s="1115">
        <f>Sbdp_ki4!AH30</f>
        <v>0</v>
      </c>
      <c r="P54" s="1115">
        <f>Sbdp_ki4!AI30</f>
        <v>0</v>
      </c>
      <c r="Q54" s="372" t="str">
        <f t="shared" si="6"/>
        <v xml:space="preserve">  </v>
      </c>
    </row>
    <row r="55" spans="1:17" ht="15.75" x14ac:dyDescent="0.25">
      <c r="A55" s="134">
        <v>5</v>
      </c>
      <c r="B55" s="382" t="str">
        <f>dtsiswa!D11</f>
        <v>Arya Pratama G</v>
      </c>
      <c r="C55" s="387">
        <f>sbdp_ki3!R27</f>
        <v>0</v>
      </c>
      <c r="D55" s="747">
        <f>sbdp_ki3!S27</f>
        <v>0</v>
      </c>
      <c r="E55" s="747">
        <f>sbdp_ki3!T27</f>
        <v>0</v>
      </c>
      <c r="F55" s="747">
        <f>sbdp_ki3!U27</f>
        <v>0</v>
      </c>
      <c r="G55" s="557" t="str">
        <f t="shared" si="4"/>
        <v xml:space="preserve">  </v>
      </c>
      <c r="I55" s="134">
        <v>5</v>
      </c>
      <c r="J55" s="382" t="str">
        <f t="shared" si="5"/>
        <v>Arya Pratama G</v>
      </c>
      <c r="K55" s="387">
        <f>Sbdp_ki4!AD37</f>
        <v>0</v>
      </c>
      <c r="L55" s="1115">
        <f>Sbdp_ki4!AE37</f>
        <v>0</v>
      </c>
      <c r="M55" s="1115">
        <f>Sbdp_ki4!AF37</f>
        <v>0</v>
      </c>
      <c r="N55" s="1115">
        <f>Sbdp_ki4!AG37</f>
        <v>0</v>
      </c>
      <c r="O55" s="1115">
        <f>Sbdp_ki4!AH37</f>
        <v>0</v>
      </c>
      <c r="P55" s="1115">
        <f>Sbdp_ki4!AI37</f>
        <v>0</v>
      </c>
      <c r="Q55" s="372" t="str">
        <f t="shared" si="6"/>
        <v xml:space="preserve">  </v>
      </c>
    </row>
    <row r="56" spans="1:17" ht="15.75" x14ac:dyDescent="0.25">
      <c r="A56" s="134">
        <v>6</v>
      </c>
      <c r="B56" s="382" t="str">
        <f>dtsiswa!D12</f>
        <v>Asyam Hanif Ihsan H</v>
      </c>
      <c r="C56" s="387">
        <f>sbdp_ki3!R32</f>
        <v>0</v>
      </c>
      <c r="D56" s="747">
        <f>sbdp_ki3!S32</f>
        <v>0</v>
      </c>
      <c r="E56" s="747">
        <f>sbdp_ki3!T32</f>
        <v>0</v>
      </c>
      <c r="F56" s="747">
        <f>sbdp_ki3!U32</f>
        <v>0</v>
      </c>
      <c r="G56" s="557" t="str">
        <f t="shared" si="4"/>
        <v xml:space="preserve">  </v>
      </c>
      <c r="I56" s="387">
        <v>6</v>
      </c>
      <c r="J56" s="382" t="str">
        <f t="shared" si="5"/>
        <v>Asyam Hanif Ihsan H</v>
      </c>
      <c r="K56" s="387">
        <f>Sbdp_ki4!AD44</f>
        <v>0</v>
      </c>
      <c r="L56" s="1115">
        <f>Sbdp_ki4!AE44</f>
        <v>0</v>
      </c>
      <c r="M56" s="1115">
        <f>Sbdp_ki4!AF44</f>
        <v>0</v>
      </c>
      <c r="N56" s="1115">
        <f>Sbdp_ki4!AG44</f>
        <v>0</v>
      </c>
      <c r="O56" s="1115">
        <f>Sbdp_ki4!AH44</f>
        <v>0</v>
      </c>
      <c r="P56" s="1115">
        <f>Sbdp_ki4!AI44</f>
        <v>0</v>
      </c>
      <c r="Q56" s="372" t="str">
        <f t="shared" si="6"/>
        <v xml:space="preserve">  </v>
      </c>
    </row>
    <row r="57" spans="1:17" ht="15.75" x14ac:dyDescent="0.25">
      <c r="A57" s="134">
        <v>7</v>
      </c>
      <c r="B57" s="382" t="str">
        <f>dtsiswa!D13</f>
        <v>Athaya Salsabilla Z</v>
      </c>
      <c r="C57" s="387">
        <f>sbdp_ki3!R37</f>
        <v>0</v>
      </c>
      <c r="D57" s="747">
        <f>sbdp_ki3!S37</f>
        <v>0</v>
      </c>
      <c r="E57" s="747">
        <f>sbdp_ki3!T37</f>
        <v>0</v>
      </c>
      <c r="F57" s="747">
        <f>sbdp_ki3!U37</f>
        <v>0</v>
      </c>
      <c r="G57" s="557" t="str">
        <f t="shared" si="4"/>
        <v xml:space="preserve">  </v>
      </c>
      <c r="I57" s="134">
        <v>7</v>
      </c>
      <c r="J57" s="382" t="str">
        <f t="shared" si="5"/>
        <v>Athaya Salsabilla Z</v>
      </c>
      <c r="K57" s="387">
        <f>Sbdp_ki4!AD51</f>
        <v>0</v>
      </c>
      <c r="L57" s="1115">
        <f>Sbdp_ki4!AE51</f>
        <v>0</v>
      </c>
      <c r="M57" s="1115">
        <f>Sbdp_ki4!AF51</f>
        <v>0</v>
      </c>
      <c r="N57" s="1115">
        <f>Sbdp_ki4!AG51</f>
        <v>0</v>
      </c>
      <c r="O57" s="1115">
        <f>Sbdp_ki4!AH51</f>
        <v>0</v>
      </c>
      <c r="P57" s="1115">
        <f>Sbdp_ki4!AI51</f>
        <v>0</v>
      </c>
      <c r="Q57" s="372" t="str">
        <f t="shared" si="6"/>
        <v xml:space="preserve">  </v>
      </c>
    </row>
    <row r="58" spans="1:17" ht="15.75" x14ac:dyDescent="0.25">
      <c r="A58" s="134">
        <v>8</v>
      </c>
      <c r="B58" s="382" t="str">
        <f>dtsiswa!D14</f>
        <v>Aulia Dea Rosalinda</v>
      </c>
      <c r="C58" s="387">
        <f>sbdp_ki3!R42</f>
        <v>0</v>
      </c>
      <c r="D58" s="747">
        <f>sbdp_ki3!S42</f>
        <v>0</v>
      </c>
      <c r="E58" s="747">
        <f>sbdp_ki3!T42</f>
        <v>0</v>
      </c>
      <c r="F58" s="747">
        <f>sbdp_ki3!U42</f>
        <v>0</v>
      </c>
      <c r="G58" s="557" t="str">
        <f t="shared" si="4"/>
        <v xml:space="preserve">  </v>
      </c>
      <c r="I58" s="387">
        <v>8</v>
      </c>
      <c r="J58" s="382" t="str">
        <f t="shared" si="5"/>
        <v>Aulia Dea Rosalinda</v>
      </c>
      <c r="K58" s="387">
        <f>Sbdp_ki4!AD58</f>
        <v>0</v>
      </c>
      <c r="L58" s="1115">
        <f>Sbdp_ki4!AE58</f>
        <v>0</v>
      </c>
      <c r="M58" s="1115">
        <f>Sbdp_ki4!AF58</f>
        <v>0</v>
      </c>
      <c r="N58" s="1115">
        <f>Sbdp_ki4!AG58</f>
        <v>0</v>
      </c>
      <c r="O58" s="1115">
        <f>Sbdp_ki4!AH58</f>
        <v>0</v>
      </c>
      <c r="P58" s="1115">
        <f>Sbdp_ki4!AI58</f>
        <v>0</v>
      </c>
      <c r="Q58" s="372" t="str">
        <f t="shared" si="6"/>
        <v xml:space="preserve">  </v>
      </c>
    </row>
    <row r="59" spans="1:17" ht="15.75" x14ac:dyDescent="0.25">
      <c r="A59" s="134">
        <v>9</v>
      </c>
      <c r="B59" s="382" t="str">
        <f>dtsiswa!D15</f>
        <v>Claudia Gabriella L</v>
      </c>
      <c r="C59" s="387">
        <f>sbdp_ki3!R47</f>
        <v>0</v>
      </c>
      <c r="D59" s="747">
        <f>sbdp_ki3!S47</f>
        <v>0</v>
      </c>
      <c r="E59" s="747">
        <f>sbdp_ki3!T47</f>
        <v>0</v>
      </c>
      <c r="F59" s="747">
        <f>sbdp_ki3!U47</f>
        <v>0</v>
      </c>
      <c r="G59" s="557" t="str">
        <f t="shared" si="4"/>
        <v xml:space="preserve">  </v>
      </c>
      <c r="I59" s="134">
        <v>9</v>
      </c>
      <c r="J59" s="382" t="str">
        <f t="shared" si="5"/>
        <v>Claudia Gabriella L</v>
      </c>
      <c r="K59" s="387">
        <f>Sbdp_ki4!AD65</f>
        <v>0</v>
      </c>
      <c r="L59" s="1115">
        <f>Sbdp_ki4!AE65</f>
        <v>0</v>
      </c>
      <c r="M59" s="1115">
        <f>Sbdp_ki4!AF65</f>
        <v>0</v>
      </c>
      <c r="N59" s="1115">
        <f>Sbdp_ki4!AG65</f>
        <v>0</v>
      </c>
      <c r="O59" s="1115">
        <f>Sbdp_ki4!AH65</f>
        <v>0</v>
      </c>
      <c r="P59" s="1115">
        <f>Sbdp_ki4!AI65</f>
        <v>0</v>
      </c>
      <c r="Q59" s="372" t="str">
        <f t="shared" si="6"/>
        <v xml:space="preserve">  </v>
      </c>
    </row>
    <row r="60" spans="1:17" ht="15.75" x14ac:dyDescent="0.25">
      <c r="A60" s="134">
        <v>10</v>
      </c>
      <c r="B60" s="382" t="str">
        <f>dtsiswa!D16</f>
        <v xml:space="preserve">Deco Badarus Zaman </v>
      </c>
      <c r="C60" s="387">
        <f>sbdp_ki3!R52</f>
        <v>0</v>
      </c>
      <c r="D60" s="747">
        <f>sbdp_ki3!S52</f>
        <v>0</v>
      </c>
      <c r="E60" s="747">
        <f>sbdp_ki3!T52</f>
        <v>0</v>
      </c>
      <c r="F60" s="747">
        <f>sbdp_ki3!U52</f>
        <v>0</v>
      </c>
      <c r="G60" s="557" t="str">
        <f t="shared" si="4"/>
        <v xml:space="preserve">  </v>
      </c>
      <c r="I60" s="387">
        <v>10</v>
      </c>
      <c r="J60" s="382" t="str">
        <f t="shared" si="5"/>
        <v xml:space="preserve">Deco Badarus Zaman </v>
      </c>
      <c r="K60" s="387">
        <f>Sbdp_ki4!AD72</f>
        <v>0</v>
      </c>
      <c r="L60" s="1115">
        <f>Sbdp_ki4!AE72</f>
        <v>0</v>
      </c>
      <c r="M60" s="1115">
        <f>Sbdp_ki4!AF72</f>
        <v>0</v>
      </c>
      <c r="N60" s="1115">
        <f>Sbdp_ki4!AG72</f>
        <v>0</v>
      </c>
      <c r="O60" s="1115">
        <f>Sbdp_ki4!AH72</f>
        <v>0</v>
      </c>
      <c r="P60" s="1115">
        <f>Sbdp_ki4!AI72</f>
        <v>0</v>
      </c>
      <c r="Q60" s="372" t="str">
        <f t="shared" si="6"/>
        <v xml:space="preserve">  </v>
      </c>
    </row>
    <row r="61" spans="1:17" ht="15.75" x14ac:dyDescent="0.25">
      <c r="A61" s="134">
        <v>11</v>
      </c>
      <c r="B61" s="382" t="str">
        <f>dtsiswa!D17</f>
        <v>Fania Mutiara Felichia</v>
      </c>
      <c r="C61" s="387">
        <f>sbdp_ki3!R57</f>
        <v>0</v>
      </c>
      <c r="D61" s="747">
        <f>sbdp_ki3!S57</f>
        <v>0</v>
      </c>
      <c r="E61" s="747">
        <f>sbdp_ki3!T57</f>
        <v>0</v>
      </c>
      <c r="F61" s="747">
        <f>sbdp_ki3!U57</f>
        <v>0</v>
      </c>
      <c r="G61" s="557" t="str">
        <f t="shared" si="4"/>
        <v xml:space="preserve">  </v>
      </c>
      <c r="I61" s="134">
        <v>11</v>
      </c>
      <c r="J61" s="382" t="str">
        <f t="shared" si="5"/>
        <v>Fania Mutiara Felichia</v>
      </c>
      <c r="K61" s="387">
        <f>Sbdp_ki4!AD79</f>
        <v>0</v>
      </c>
      <c r="L61" s="1115">
        <f>Sbdp_ki4!AE79</f>
        <v>0</v>
      </c>
      <c r="M61" s="1115">
        <f>Sbdp_ki4!AF79</f>
        <v>0</v>
      </c>
      <c r="N61" s="1115">
        <f>Sbdp_ki4!AG79</f>
        <v>0</v>
      </c>
      <c r="O61" s="1115">
        <f>Sbdp_ki4!AH79</f>
        <v>0</v>
      </c>
      <c r="P61" s="1115">
        <f>Sbdp_ki4!AI79</f>
        <v>0</v>
      </c>
      <c r="Q61" s="372" t="str">
        <f t="shared" si="6"/>
        <v xml:space="preserve">  </v>
      </c>
    </row>
    <row r="62" spans="1:17" ht="15.75" x14ac:dyDescent="0.25">
      <c r="A62" s="134">
        <v>12</v>
      </c>
      <c r="B62" s="382" t="str">
        <f>dtsiswa!D18</f>
        <v>Intan Dyah Nowari</v>
      </c>
      <c r="C62" s="387">
        <f>sbdp_ki3!R62</f>
        <v>0</v>
      </c>
      <c r="D62" s="747">
        <f>sbdp_ki3!S62</f>
        <v>0</v>
      </c>
      <c r="E62" s="747">
        <f>sbdp_ki3!T62</f>
        <v>0</v>
      </c>
      <c r="F62" s="747">
        <f>sbdp_ki3!U62</f>
        <v>0</v>
      </c>
      <c r="G62" s="557" t="str">
        <f t="shared" si="4"/>
        <v xml:space="preserve">  </v>
      </c>
      <c r="I62" s="387">
        <v>12</v>
      </c>
      <c r="J62" s="382" t="str">
        <f t="shared" si="5"/>
        <v>Intan Dyah Nowari</v>
      </c>
      <c r="K62" s="387">
        <f>Sbdp_ki4!AD86</f>
        <v>0</v>
      </c>
      <c r="L62" s="1115">
        <f>Sbdp_ki4!AE86</f>
        <v>0</v>
      </c>
      <c r="M62" s="1115">
        <f>Sbdp_ki4!AF86</f>
        <v>0</v>
      </c>
      <c r="N62" s="1115">
        <f>Sbdp_ki4!AG86</f>
        <v>0</v>
      </c>
      <c r="O62" s="1115">
        <f>Sbdp_ki4!AH86</f>
        <v>0</v>
      </c>
      <c r="P62" s="1115">
        <f>Sbdp_ki4!AI86</f>
        <v>0</v>
      </c>
      <c r="Q62" s="372" t="str">
        <f t="shared" si="6"/>
        <v xml:space="preserve">  </v>
      </c>
    </row>
    <row r="63" spans="1:17" ht="15.75" x14ac:dyDescent="0.25">
      <c r="A63" s="134">
        <v>13</v>
      </c>
      <c r="B63" s="382" t="str">
        <f>dtsiswa!D19</f>
        <v>Misyanita Nurfitri S</v>
      </c>
      <c r="C63" s="387">
        <f>sbdp_ki3!R67</f>
        <v>0</v>
      </c>
      <c r="D63" s="747">
        <f>sbdp_ki3!S67</f>
        <v>0</v>
      </c>
      <c r="E63" s="747">
        <f>sbdp_ki3!T67</f>
        <v>0</v>
      </c>
      <c r="F63" s="747">
        <f>sbdp_ki3!U67</f>
        <v>0</v>
      </c>
      <c r="G63" s="557" t="str">
        <f t="shared" si="4"/>
        <v xml:space="preserve">  </v>
      </c>
      <c r="I63" s="134">
        <v>13</v>
      </c>
      <c r="J63" s="382" t="str">
        <f t="shared" si="5"/>
        <v>Misyanita Nurfitri S</v>
      </c>
      <c r="K63" s="387">
        <f>Sbdp_ki4!AD93</f>
        <v>0</v>
      </c>
      <c r="L63" s="1115">
        <f>Sbdp_ki4!AE93</f>
        <v>0</v>
      </c>
      <c r="M63" s="1115">
        <f>Sbdp_ki4!AF93</f>
        <v>0</v>
      </c>
      <c r="N63" s="1115">
        <f>Sbdp_ki4!AG93</f>
        <v>0</v>
      </c>
      <c r="O63" s="1115">
        <f>Sbdp_ki4!AH93</f>
        <v>0</v>
      </c>
      <c r="P63" s="1115">
        <f>Sbdp_ki4!AI93</f>
        <v>0</v>
      </c>
      <c r="Q63" s="372" t="str">
        <f t="shared" si="6"/>
        <v xml:space="preserve">  </v>
      </c>
    </row>
    <row r="64" spans="1:17" ht="15.75" x14ac:dyDescent="0.25">
      <c r="A64" s="134">
        <v>14</v>
      </c>
      <c r="B64" s="382" t="str">
        <f>dtsiswa!D20</f>
        <v>Moch Zidane Hita L. U</v>
      </c>
      <c r="C64" s="387">
        <f>sbdp_ki3!R72</f>
        <v>0</v>
      </c>
      <c r="D64" s="747">
        <f>sbdp_ki3!S72</f>
        <v>0</v>
      </c>
      <c r="E64" s="747">
        <f>sbdp_ki3!T72</f>
        <v>0</v>
      </c>
      <c r="F64" s="747">
        <f>sbdp_ki3!U72</f>
        <v>0</v>
      </c>
      <c r="G64" s="557" t="str">
        <f t="shared" si="4"/>
        <v xml:space="preserve">  </v>
      </c>
      <c r="I64" s="387">
        <v>14</v>
      </c>
      <c r="J64" s="382" t="str">
        <f t="shared" si="5"/>
        <v>Moch Zidane Hita L. U</v>
      </c>
      <c r="K64" s="387">
        <f>Sbdp_ki4!AD100</f>
        <v>0</v>
      </c>
      <c r="L64" s="1115">
        <f>Sbdp_ki4!AE100</f>
        <v>0</v>
      </c>
      <c r="M64" s="1115">
        <f>Sbdp_ki4!AF100</f>
        <v>0</v>
      </c>
      <c r="N64" s="1115">
        <f>Sbdp_ki4!AG100</f>
        <v>0</v>
      </c>
      <c r="O64" s="1115">
        <f>Sbdp_ki4!AH100</f>
        <v>0</v>
      </c>
      <c r="P64" s="1115">
        <f>Sbdp_ki4!AI100</f>
        <v>0</v>
      </c>
      <c r="Q64" s="372" t="str">
        <f t="shared" si="6"/>
        <v xml:space="preserve">  </v>
      </c>
    </row>
    <row r="65" spans="1:17" ht="15.75" x14ac:dyDescent="0.25">
      <c r="A65" s="134">
        <v>15</v>
      </c>
      <c r="B65" s="382" t="str">
        <f>dtsiswa!D21</f>
        <v>Muhammad Ibra Maulana</v>
      </c>
      <c r="C65" s="387">
        <f>sbdp_ki3!R77</f>
        <v>0</v>
      </c>
      <c r="D65" s="747">
        <f>sbdp_ki3!S77</f>
        <v>0</v>
      </c>
      <c r="E65" s="747">
        <f>sbdp_ki3!T77</f>
        <v>0</v>
      </c>
      <c r="F65" s="747">
        <f>sbdp_ki3!U77</f>
        <v>0</v>
      </c>
      <c r="G65" s="557" t="str">
        <f t="shared" si="4"/>
        <v xml:space="preserve">  </v>
      </c>
      <c r="I65" s="134">
        <v>15</v>
      </c>
      <c r="J65" s="382" t="str">
        <f t="shared" si="5"/>
        <v>Muhammad Ibra Maulana</v>
      </c>
      <c r="K65" s="387">
        <f>Sbdp_ki4!AD107</f>
        <v>0</v>
      </c>
      <c r="L65" s="1115">
        <f>Sbdp_ki4!AE107</f>
        <v>0</v>
      </c>
      <c r="M65" s="1115">
        <f>Sbdp_ki4!AF107</f>
        <v>0</v>
      </c>
      <c r="N65" s="1115">
        <f>Sbdp_ki4!AG107</f>
        <v>0</v>
      </c>
      <c r="O65" s="1115">
        <f>Sbdp_ki4!AH107</f>
        <v>0</v>
      </c>
      <c r="P65" s="1115">
        <f>Sbdp_ki4!AI107</f>
        <v>0</v>
      </c>
      <c r="Q65" s="372" t="str">
        <f t="shared" si="6"/>
        <v xml:space="preserve">  </v>
      </c>
    </row>
    <row r="66" spans="1:17" ht="15.75" x14ac:dyDescent="0.25">
      <c r="A66" s="134">
        <v>16</v>
      </c>
      <c r="B66" s="382" t="str">
        <f>dtsiswa!D22</f>
        <v>Nabilla Shiva Putri</v>
      </c>
      <c r="C66" s="387">
        <f>sbdp_ki3!R82</f>
        <v>0</v>
      </c>
      <c r="D66" s="747">
        <f>sbdp_ki3!S82</f>
        <v>0</v>
      </c>
      <c r="E66" s="747">
        <f>sbdp_ki3!T82</f>
        <v>0</v>
      </c>
      <c r="F66" s="747">
        <f>sbdp_ki3!U82</f>
        <v>0</v>
      </c>
      <c r="G66" s="557" t="str">
        <f t="shared" si="4"/>
        <v xml:space="preserve">  </v>
      </c>
      <c r="I66" s="387">
        <v>16</v>
      </c>
      <c r="J66" s="382" t="str">
        <f t="shared" si="5"/>
        <v>Nabilla Shiva Putri</v>
      </c>
      <c r="K66" s="387">
        <f>Sbdp_ki4!AD114</f>
        <v>0</v>
      </c>
      <c r="L66" s="1115">
        <f>Sbdp_ki4!AE114</f>
        <v>0</v>
      </c>
      <c r="M66" s="1115">
        <f>Sbdp_ki4!AF114</f>
        <v>0</v>
      </c>
      <c r="N66" s="1115">
        <f>Sbdp_ki4!AG114</f>
        <v>0</v>
      </c>
      <c r="O66" s="1115">
        <f>Sbdp_ki4!AH114</f>
        <v>0</v>
      </c>
      <c r="P66" s="1115">
        <f>Sbdp_ki4!AI114</f>
        <v>0</v>
      </c>
      <c r="Q66" s="372" t="str">
        <f t="shared" si="6"/>
        <v xml:space="preserve">  </v>
      </c>
    </row>
    <row r="67" spans="1:17" ht="15.75" x14ac:dyDescent="0.25">
      <c r="A67" s="134">
        <v>17</v>
      </c>
      <c r="B67" s="382" t="str">
        <f>dtsiswa!D23</f>
        <v>Naufal Falih F</v>
      </c>
      <c r="C67" s="387">
        <f>sbdp_ki3!R87</f>
        <v>0</v>
      </c>
      <c r="D67" s="747">
        <f>sbdp_ki3!S87</f>
        <v>0</v>
      </c>
      <c r="E67" s="747">
        <f>sbdp_ki3!T87</f>
        <v>0</v>
      </c>
      <c r="F67" s="747">
        <f>sbdp_ki3!U87</f>
        <v>0</v>
      </c>
      <c r="G67" s="557" t="str">
        <f t="shared" si="4"/>
        <v xml:space="preserve">  </v>
      </c>
      <c r="I67" s="134">
        <v>17</v>
      </c>
      <c r="J67" s="382" t="str">
        <f t="shared" si="5"/>
        <v>Naufal Falih F</v>
      </c>
      <c r="K67" s="387">
        <f>Sbdp_ki4!AD121</f>
        <v>0</v>
      </c>
      <c r="L67" s="1115">
        <f>Sbdp_ki4!AE121</f>
        <v>0</v>
      </c>
      <c r="M67" s="1115">
        <f>Sbdp_ki4!AF121</f>
        <v>0</v>
      </c>
      <c r="N67" s="1115">
        <f>Sbdp_ki4!AG121</f>
        <v>0</v>
      </c>
      <c r="O67" s="1115">
        <f>Sbdp_ki4!AH121</f>
        <v>0</v>
      </c>
      <c r="P67" s="1115">
        <f>Sbdp_ki4!AI121</f>
        <v>0</v>
      </c>
      <c r="Q67" s="372" t="str">
        <f t="shared" si="6"/>
        <v xml:space="preserve">  </v>
      </c>
    </row>
    <row r="68" spans="1:17" ht="15.75" x14ac:dyDescent="0.25">
      <c r="A68" s="134">
        <v>18</v>
      </c>
      <c r="B68" s="382" t="str">
        <f>dtsiswa!D24</f>
        <v>Nayla Annora Nobel W</v>
      </c>
      <c r="C68" s="387">
        <f>sbdp_ki3!R92</f>
        <v>0</v>
      </c>
      <c r="D68" s="747">
        <f>sbdp_ki3!S92</f>
        <v>0</v>
      </c>
      <c r="E68" s="747">
        <f>sbdp_ki3!T92</f>
        <v>0</v>
      </c>
      <c r="F68" s="747">
        <f>sbdp_ki3!U92</f>
        <v>0</v>
      </c>
      <c r="G68" s="557" t="str">
        <f t="shared" si="4"/>
        <v xml:space="preserve">  </v>
      </c>
      <c r="I68" s="387">
        <v>18</v>
      </c>
      <c r="J68" s="382" t="str">
        <f t="shared" si="5"/>
        <v>Nayla Annora Nobel W</v>
      </c>
      <c r="K68" s="387">
        <f>Sbdp_ki4!AD128</f>
        <v>0</v>
      </c>
      <c r="L68" s="1115">
        <f>Sbdp_ki4!AE128</f>
        <v>0</v>
      </c>
      <c r="M68" s="1115">
        <f>Sbdp_ki4!AF128</f>
        <v>0</v>
      </c>
      <c r="N68" s="1115">
        <f>Sbdp_ki4!AG128</f>
        <v>0</v>
      </c>
      <c r="O68" s="1115">
        <f>Sbdp_ki4!AH128</f>
        <v>0</v>
      </c>
      <c r="P68" s="1115">
        <f>Sbdp_ki4!AI128</f>
        <v>0</v>
      </c>
      <c r="Q68" s="372" t="str">
        <f t="shared" si="6"/>
        <v xml:space="preserve">  </v>
      </c>
    </row>
    <row r="69" spans="1:17" ht="15.75" x14ac:dyDescent="0.25">
      <c r="A69" s="134">
        <v>19</v>
      </c>
      <c r="B69" s="382" t="str">
        <f>dtsiswa!D25</f>
        <v>Raihan Danang P</v>
      </c>
      <c r="C69" s="387">
        <f>sbdp_ki3!R97</f>
        <v>0</v>
      </c>
      <c r="D69" s="747">
        <f>sbdp_ki3!S97</f>
        <v>0</v>
      </c>
      <c r="E69" s="747">
        <f>sbdp_ki3!T97</f>
        <v>0</v>
      </c>
      <c r="F69" s="747">
        <f>sbdp_ki3!U97</f>
        <v>0</v>
      </c>
      <c r="G69" s="557" t="str">
        <f t="shared" si="4"/>
        <v xml:space="preserve">  </v>
      </c>
      <c r="I69" s="134">
        <v>19</v>
      </c>
      <c r="J69" s="382" t="str">
        <f t="shared" si="5"/>
        <v>Raihan Danang P</v>
      </c>
      <c r="K69" s="387">
        <f>Sbdp_ki4!AD135</f>
        <v>0</v>
      </c>
      <c r="L69" s="1115">
        <f>Sbdp_ki4!AE135</f>
        <v>0</v>
      </c>
      <c r="M69" s="1115">
        <f>Sbdp_ki4!AF135</f>
        <v>0</v>
      </c>
      <c r="N69" s="1115">
        <f>Sbdp_ki4!AG135</f>
        <v>0</v>
      </c>
      <c r="O69" s="1115">
        <f>Sbdp_ki4!AH135</f>
        <v>0</v>
      </c>
      <c r="P69" s="1115">
        <f>Sbdp_ki4!AI135</f>
        <v>0</v>
      </c>
      <c r="Q69" s="372" t="str">
        <f t="shared" si="6"/>
        <v xml:space="preserve">  </v>
      </c>
    </row>
    <row r="70" spans="1:17" ht="15.75" x14ac:dyDescent="0.25">
      <c r="A70" s="134">
        <v>20</v>
      </c>
      <c r="B70" s="382" t="str">
        <f>dtsiswa!D26</f>
        <v>Roby Ardiyansyah</v>
      </c>
      <c r="C70" s="387">
        <f>sbdp_ki3!R102</f>
        <v>0</v>
      </c>
      <c r="D70" s="747">
        <f>sbdp_ki3!S102</f>
        <v>0</v>
      </c>
      <c r="E70" s="747">
        <f>sbdp_ki3!T102</f>
        <v>0</v>
      </c>
      <c r="F70" s="747">
        <f>sbdp_ki3!U102</f>
        <v>0</v>
      </c>
      <c r="G70" s="557" t="str">
        <f t="shared" si="4"/>
        <v xml:space="preserve">  </v>
      </c>
      <c r="I70" s="387">
        <v>20</v>
      </c>
      <c r="J70" s="382" t="str">
        <f t="shared" si="5"/>
        <v>Roby Ardiyansyah</v>
      </c>
      <c r="K70" s="387">
        <f>Sbdp_ki4!AD142</f>
        <v>0</v>
      </c>
      <c r="L70" s="1115">
        <f>Sbdp_ki4!AE142</f>
        <v>0</v>
      </c>
      <c r="M70" s="1115">
        <f>Sbdp_ki4!AF142</f>
        <v>0</v>
      </c>
      <c r="N70" s="1115">
        <f>Sbdp_ki4!AG142</f>
        <v>0</v>
      </c>
      <c r="O70" s="1115">
        <f>Sbdp_ki4!AH142</f>
        <v>0</v>
      </c>
      <c r="P70" s="1115">
        <f>Sbdp_ki4!AI142</f>
        <v>0</v>
      </c>
      <c r="Q70" s="372" t="str">
        <f t="shared" si="6"/>
        <v xml:space="preserve">  </v>
      </c>
    </row>
    <row r="71" spans="1:17" ht="15.75" x14ac:dyDescent="0.25">
      <c r="A71" s="134">
        <v>21</v>
      </c>
      <c r="B71" s="382" t="str">
        <f>dtsiswa!D27</f>
        <v>Rojalingga Prana A</v>
      </c>
      <c r="C71" s="387">
        <f>sbdp_ki3!R107</f>
        <v>0</v>
      </c>
      <c r="D71" s="747">
        <f>sbdp_ki3!S107</f>
        <v>0</v>
      </c>
      <c r="E71" s="747">
        <f>sbdp_ki3!T107</f>
        <v>0</v>
      </c>
      <c r="F71" s="747">
        <f>sbdp_ki3!U107</f>
        <v>0</v>
      </c>
      <c r="G71" s="557" t="str">
        <f t="shared" si="4"/>
        <v xml:space="preserve">  </v>
      </c>
      <c r="I71" s="134">
        <v>21</v>
      </c>
      <c r="J71" s="382" t="str">
        <f t="shared" si="5"/>
        <v>Rojalingga Prana A</v>
      </c>
      <c r="K71" s="387">
        <f>Sbdp_ki4!AD149</f>
        <v>0</v>
      </c>
      <c r="L71" s="1115">
        <f>Sbdp_ki4!AE149</f>
        <v>0</v>
      </c>
      <c r="M71" s="1115">
        <f>Sbdp_ki4!AF149</f>
        <v>0</v>
      </c>
      <c r="N71" s="1115">
        <f>Sbdp_ki4!AG149</f>
        <v>0</v>
      </c>
      <c r="O71" s="1115">
        <f>Sbdp_ki4!AH149</f>
        <v>0</v>
      </c>
      <c r="P71" s="1115">
        <f>Sbdp_ki4!AI149</f>
        <v>0</v>
      </c>
      <c r="Q71" s="372" t="str">
        <f t="shared" si="6"/>
        <v xml:space="preserve">  </v>
      </c>
    </row>
    <row r="72" spans="1:17" ht="15.75" x14ac:dyDescent="0.25">
      <c r="A72" s="134">
        <v>22</v>
      </c>
      <c r="B72" s="382" t="str">
        <f>dtsiswa!D28</f>
        <v>Sally Savista A</v>
      </c>
      <c r="C72" s="387">
        <f>sbdp_ki3!R112</f>
        <v>0</v>
      </c>
      <c r="D72" s="747">
        <f>sbdp_ki3!S112</f>
        <v>0</v>
      </c>
      <c r="E72" s="747">
        <f>sbdp_ki3!T112</f>
        <v>0</v>
      </c>
      <c r="F72" s="747">
        <f>sbdp_ki3!U112</f>
        <v>0</v>
      </c>
      <c r="G72" s="557" t="str">
        <f t="shared" si="4"/>
        <v xml:space="preserve">  </v>
      </c>
      <c r="I72" s="387">
        <v>22</v>
      </c>
      <c r="J72" s="382" t="str">
        <f t="shared" si="5"/>
        <v>Sally Savista A</v>
      </c>
      <c r="K72" s="387">
        <f>Sbdp_ki4!AD156</f>
        <v>0</v>
      </c>
      <c r="L72" s="1115">
        <f>Sbdp_ki4!AE156</f>
        <v>0</v>
      </c>
      <c r="M72" s="1115">
        <f>Sbdp_ki4!AF156</f>
        <v>0</v>
      </c>
      <c r="N72" s="1115">
        <f>Sbdp_ki4!AG156</f>
        <v>0</v>
      </c>
      <c r="O72" s="1115">
        <f>Sbdp_ki4!AH156</f>
        <v>0</v>
      </c>
      <c r="P72" s="1115">
        <f>Sbdp_ki4!AI156</f>
        <v>0</v>
      </c>
      <c r="Q72" s="372" t="str">
        <f t="shared" si="6"/>
        <v xml:space="preserve">  </v>
      </c>
    </row>
    <row r="73" spans="1:17" ht="15.75" x14ac:dyDescent="0.25">
      <c r="A73" s="134">
        <v>23</v>
      </c>
      <c r="B73" s="382" t="str">
        <f>dtsiswa!D29</f>
        <v xml:space="preserve">Tania Kaori Angelita </v>
      </c>
      <c r="C73" s="387">
        <f>sbdp_ki3!R117</f>
        <v>0</v>
      </c>
      <c r="D73" s="747">
        <f>sbdp_ki3!S117</f>
        <v>0</v>
      </c>
      <c r="E73" s="747">
        <f>sbdp_ki3!T117</f>
        <v>0</v>
      </c>
      <c r="F73" s="747">
        <f>sbdp_ki3!U117</f>
        <v>0</v>
      </c>
      <c r="G73" s="557" t="str">
        <f t="shared" si="4"/>
        <v xml:space="preserve">  </v>
      </c>
      <c r="I73" s="134">
        <v>23</v>
      </c>
      <c r="J73" s="382" t="str">
        <f t="shared" si="5"/>
        <v xml:space="preserve">Tania Kaori Angelita </v>
      </c>
      <c r="K73" s="387">
        <f>Sbdp_ki4!AD163</f>
        <v>0</v>
      </c>
      <c r="L73" s="1115">
        <f>Sbdp_ki4!AE163</f>
        <v>0</v>
      </c>
      <c r="M73" s="1115">
        <f>Sbdp_ki4!AF163</f>
        <v>0</v>
      </c>
      <c r="N73" s="1115">
        <f>Sbdp_ki4!AG163</f>
        <v>0</v>
      </c>
      <c r="O73" s="1115">
        <f>Sbdp_ki4!AH163</f>
        <v>0</v>
      </c>
      <c r="P73" s="1115">
        <f>Sbdp_ki4!AI163</f>
        <v>0</v>
      </c>
      <c r="Q73" s="372" t="str">
        <f t="shared" si="6"/>
        <v xml:space="preserve">  </v>
      </c>
    </row>
    <row r="74" spans="1:17" ht="15.75" x14ac:dyDescent="0.25">
      <c r="A74" s="134">
        <v>24</v>
      </c>
      <c r="B74" s="382" t="str">
        <f>dtsiswa!D30</f>
        <v>Romzy Oka Ramadhani P</v>
      </c>
      <c r="C74" s="387">
        <f>sbdp_ki3!R122</f>
        <v>0</v>
      </c>
      <c r="D74" s="747">
        <f>sbdp_ki3!S122</f>
        <v>0</v>
      </c>
      <c r="E74" s="747">
        <f>sbdp_ki3!T122</f>
        <v>0</v>
      </c>
      <c r="F74" s="747">
        <f>sbdp_ki3!U122</f>
        <v>0</v>
      </c>
      <c r="G74" s="557" t="str">
        <f t="shared" si="4"/>
        <v xml:space="preserve">  </v>
      </c>
      <c r="I74" s="387">
        <v>24</v>
      </c>
      <c r="J74" s="382" t="str">
        <f t="shared" si="5"/>
        <v>Romzy Oka Ramadhani P</v>
      </c>
      <c r="K74" s="387">
        <f>Sbdp_ki4!AD170</f>
        <v>0</v>
      </c>
      <c r="L74" s="1115">
        <f>Sbdp_ki4!AE170</f>
        <v>0</v>
      </c>
      <c r="M74" s="1115">
        <f>Sbdp_ki4!AF170</f>
        <v>0</v>
      </c>
      <c r="N74" s="1115">
        <f>Sbdp_ki4!AG170</f>
        <v>0</v>
      </c>
      <c r="O74" s="1115">
        <f>Sbdp_ki4!AH170</f>
        <v>0</v>
      </c>
      <c r="P74" s="1115">
        <f>Sbdp_ki4!AI170</f>
        <v>0</v>
      </c>
      <c r="Q74" s="372" t="str">
        <f t="shared" si="6"/>
        <v xml:space="preserve">  </v>
      </c>
    </row>
    <row r="75" spans="1:17" ht="15.75" x14ac:dyDescent="0.25">
      <c r="A75" s="134">
        <v>25</v>
      </c>
      <c r="B75" s="382" t="str">
        <f>dtsiswa!D31</f>
        <v>Larasati Jagadhita P</v>
      </c>
      <c r="C75" s="387">
        <f>sbdp_ki3!R127</f>
        <v>0</v>
      </c>
      <c r="D75" s="747">
        <f>sbdp_ki3!S127</f>
        <v>0</v>
      </c>
      <c r="E75" s="747">
        <f>sbdp_ki3!T127</f>
        <v>0</v>
      </c>
      <c r="F75" s="747">
        <f>sbdp_ki3!U127</f>
        <v>0</v>
      </c>
      <c r="G75" s="557" t="str">
        <f t="shared" si="4"/>
        <v xml:space="preserve">  </v>
      </c>
      <c r="I75" s="134">
        <v>25</v>
      </c>
      <c r="J75" s="382" t="str">
        <f t="shared" si="5"/>
        <v>Larasati Jagadhita P</v>
      </c>
      <c r="K75" s="387">
        <f>Sbdp_ki4!AD177</f>
        <v>0</v>
      </c>
      <c r="L75" s="1115">
        <f>Sbdp_ki4!AE177</f>
        <v>0</v>
      </c>
      <c r="M75" s="1115">
        <f>Sbdp_ki4!AF177</f>
        <v>0</v>
      </c>
      <c r="N75" s="1115">
        <f>Sbdp_ki4!AG177</f>
        <v>0</v>
      </c>
      <c r="O75" s="1115">
        <f>Sbdp_ki4!AH177</f>
        <v>0</v>
      </c>
      <c r="P75" s="1115">
        <f>Sbdp_ki4!AI177</f>
        <v>0</v>
      </c>
      <c r="Q75" s="372" t="str">
        <f t="shared" si="6"/>
        <v xml:space="preserve">  </v>
      </c>
    </row>
    <row r="76" spans="1:17" ht="15.75" x14ac:dyDescent="0.25">
      <c r="A76" s="134">
        <v>26</v>
      </c>
      <c r="B76" s="382" t="str">
        <f>dtsiswa!D32</f>
        <v>Meliana Citra A</v>
      </c>
      <c r="C76" s="387">
        <f>sbdp_ki3!R132</f>
        <v>0</v>
      </c>
      <c r="D76" s="747">
        <f>sbdp_ki3!S132</f>
        <v>0</v>
      </c>
      <c r="E76" s="747">
        <f>sbdp_ki3!T132</f>
        <v>0</v>
      </c>
      <c r="F76" s="747">
        <f>sbdp_ki3!U132</f>
        <v>0</v>
      </c>
      <c r="G76" s="557" t="str">
        <f t="shared" si="4"/>
        <v xml:space="preserve">  </v>
      </c>
      <c r="I76" s="387">
        <v>26</v>
      </c>
      <c r="J76" s="382" t="str">
        <f t="shared" si="5"/>
        <v>Meliana Citra A</v>
      </c>
      <c r="K76" s="387">
        <f>Sbdp_ki4!AD184</f>
        <v>0</v>
      </c>
      <c r="L76" s="1115">
        <f>Sbdp_ki4!AE184</f>
        <v>0</v>
      </c>
      <c r="M76" s="1115">
        <f>Sbdp_ki4!AF184</f>
        <v>0</v>
      </c>
      <c r="N76" s="1115">
        <f>Sbdp_ki4!AG184</f>
        <v>0</v>
      </c>
      <c r="O76" s="1115">
        <f>Sbdp_ki4!AH184</f>
        <v>0</v>
      </c>
      <c r="P76" s="1115">
        <f>Sbdp_ki4!AI184</f>
        <v>0</v>
      </c>
      <c r="Q76" s="372" t="str">
        <f t="shared" si="6"/>
        <v xml:space="preserve">  </v>
      </c>
    </row>
    <row r="77" spans="1:17" ht="15.75" x14ac:dyDescent="0.25">
      <c r="A77" s="134">
        <v>27</v>
      </c>
      <c r="B77" s="382" t="str">
        <f>dtsiswa!D33</f>
        <v>Mohammad Rizky</v>
      </c>
      <c r="C77" s="387">
        <f>sbdp_ki3!R137</f>
        <v>0</v>
      </c>
      <c r="D77" s="747">
        <f>sbdp_ki3!S137</f>
        <v>0</v>
      </c>
      <c r="E77" s="747">
        <f>sbdp_ki3!T137</f>
        <v>0</v>
      </c>
      <c r="F77" s="747">
        <f>sbdp_ki3!U137</f>
        <v>0</v>
      </c>
      <c r="G77" s="557" t="str">
        <f t="shared" si="4"/>
        <v xml:space="preserve">  </v>
      </c>
      <c r="I77" s="134">
        <v>27</v>
      </c>
      <c r="J77" s="382" t="str">
        <f t="shared" si="5"/>
        <v>Mohammad Rizky</v>
      </c>
      <c r="K77" s="387">
        <f>Sbdp_ki4!AD191</f>
        <v>0</v>
      </c>
      <c r="L77" s="1115">
        <f>Sbdp_ki4!AE191</f>
        <v>0</v>
      </c>
      <c r="M77" s="1115">
        <f>Sbdp_ki4!AF191</f>
        <v>0</v>
      </c>
      <c r="N77" s="1115">
        <f>Sbdp_ki4!AG191</f>
        <v>0</v>
      </c>
      <c r="O77" s="1115">
        <f>Sbdp_ki4!AH191</f>
        <v>0</v>
      </c>
      <c r="P77" s="1115">
        <f>Sbdp_ki4!AI191</f>
        <v>0</v>
      </c>
      <c r="Q77" s="372" t="str">
        <f t="shared" si="6"/>
        <v xml:space="preserve">  </v>
      </c>
    </row>
    <row r="78" spans="1:17" ht="15.75" x14ac:dyDescent="0.25">
      <c r="A78" s="134">
        <v>28</v>
      </c>
      <c r="B78" s="382">
        <f>dtsiswa!D34</f>
        <v>0</v>
      </c>
      <c r="C78" s="387">
        <f>sbdp_ki3!R142</f>
        <v>0</v>
      </c>
      <c r="D78" s="747">
        <f>sbdp_ki3!S142</f>
        <v>0</v>
      </c>
      <c r="E78" s="747">
        <f>sbdp_ki3!T142</f>
        <v>0</v>
      </c>
      <c r="F78" s="747">
        <f>sbdp_ki3!U142</f>
        <v>0</v>
      </c>
      <c r="G78" s="557" t="str">
        <f t="shared" si="4"/>
        <v xml:space="preserve">  </v>
      </c>
      <c r="I78" s="387">
        <v>28</v>
      </c>
      <c r="J78" s="382" t="e">
        <f t="shared" si="5"/>
        <v>#N/A</v>
      </c>
      <c r="K78" s="387">
        <f>Sbdp_ki4!AD198</f>
        <v>0</v>
      </c>
      <c r="L78" s="1115">
        <f>Sbdp_ki4!AE198</f>
        <v>0</v>
      </c>
      <c r="M78" s="1115">
        <f>Sbdp_ki4!AF198</f>
        <v>0</v>
      </c>
      <c r="N78" s="1115">
        <f>Sbdp_ki4!AG198</f>
        <v>0</v>
      </c>
      <c r="O78" s="1115">
        <f>Sbdp_ki4!AH198</f>
        <v>0</v>
      </c>
      <c r="P78" s="1115">
        <f>Sbdp_ki4!AI198</f>
        <v>0</v>
      </c>
      <c r="Q78" s="372" t="str">
        <f t="shared" si="6"/>
        <v xml:space="preserve">  </v>
      </c>
    </row>
    <row r="79" spans="1:17" ht="15.75" x14ac:dyDescent="0.25">
      <c r="A79" s="134">
        <v>29</v>
      </c>
      <c r="B79" s="382">
        <f>dtsiswa!D35</f>
        <v>0</v>
      </c>
      <c r="C79" s="387">
        <f>sbdp_ki3!R147</f>
        <v>0</v>
      </c>
      <c r="D79" s="747">
        <f>sbdp_ki3!S147</f>
        <v>0</v>
      </c>
      <c r="E79" s="747">
        <f>sbdp_ki3!T147</f>
        <v>0</v>
      </c>
      <c r="F79" s="747">
        <f>sbdp_ki3!U147</f>
        <v>0</v>
      </c>
      <c r="G79" s="557" t="str">
        <f t="shared" si="4"/>
        <v xml:space="preserve">  </v>
      </c>
      <c r="I79" s="134">
        <v>29</v>
      </c>
      <c r="J79" s="382" t="e">
        <f t="shared" si="5"/>
        <v>#N/A</v>
      </c>
      <c r="K79" s="387">
        <f>Sbdp_ki4!AD205</f>
        <v>0</v>
      </c>
      <c r="L79" s="1115">
        <f>Sbdp_ki4!AE205</f>
        <v>0</v>
      </c>
      <c r="M79" s="1115">
        <f>Sbdp_ki4!AF205</f>
        <v>0</v>
      </c>
      <c r="N79" s="1115">
        <f>Sbdp_ki4!AG205</f>
        <v>0</v>
      </c>
      <c r="O79" s="1115">
        <f>Sbdp_ki4!AH205</f>
        <v>0</v>
      </c>
      <c r="P79" s="1115">
        <f>Sbdp_ki4!AI205</f>
        <v>0</v>
      </c>
      <c r="Q79" s="372" t="str">
        <f t="shared" si="6"/>
        <v xml:space="preserve">  </v>
      </c>
    </row>
    <row r="80" spans="1:17" ht="15.75" x14ac:dyDescent="0.25">
      <c r="A80" s="134">
        <v>30</v>
      </c>
      <c r="B80" s="382">
        <f>dtsiswa!D36</f>
        <v>0</v>
      </c>
      <c r="C80" s="387">
        <f>sbdp_ki3!R152</f>
        <v>0</v>
      </c>
      <c r="D80" s="747">
        <f>sbdp_ki3!S152</f>
        <v>0</v>
      </c>
      <c r="E80" s="747">
        <f>sbdp_ki3!T152</f>
        <v>0</v>
      </c>
      <c r="F80" s="747">
        <f>sbdp_ki3!U152</f>
        <v>0</v>
      </c>
      <c r="G80" s="557" t="str">
        <f t="shared" si="4"/>
        <v xml:space="preserve">  </v>
      </c>
      <c r="I80" s="387">
        <v>30</v>
      </c>
      <c r="J80" s="382" t="e">
        <f t="shared" si="5"/>
        <v>#N/A</v>
      </c>
      <c r="K80" s="387">
        <f>Sbdp_ki4!AD212</f>
        <v>0</v>
      </c>
      <c r="L80" s="1115">
        <f>Sbdp_ki4!AE212</f>
        <v>0</v>
      </c>
      <c r="M80" s="1115">
        <f>Sbdp_ki4!AF212</f>
        <v>0</v>
      </c>
      <c r="N80" s="1115">
        <f>Sbdp_ki4!AG212</f>
        <v>0</v>
      </c>
      <c r="O80" s="1115">
        <f>Sbdp_ki4!AH212</f>
        <v>0</v>
      </c>
      <c r="P80" s="1115">
        <f>Sbdp_ki4!AI212</f>
        <v>0</v>
      </c>
      <c r="Q80" s="372" t="str">
        <f t="shared" si="6"/>
        <v xml:space="preserve">  </v>
      </c>
    </row>
    <row r="81" spans="1:17" ht="15.75" x14ac:dyDescent="0.25">
      <c r="A81" s="134">
        <v>31</v>
      </c>
      <c r="B81" s="382">
        <f>dtsiswa!D37</f>
        <v>0</v>
      </c>
      <c r="C81" s="387">
        <f>sbdp_ki3!R157</f>
        <v>0</v>
      </c>
      <c r="D81" s="747">
        <f>sbdp_ki3!S157</f>
        <v>0</v>
      </c>
      <c r="E81" s="747">
        <f>sbdp_ki3!T157</f>
        <v>0</v>
      </c>
      <c r="F81" s="747">
        <f>sbdp_ki3!U157</f>
        <v>0</v>
      </c>
      <c r="G81" s="557" t="str">
        <f t="shared" si="4"/>
        <v xml:space="preserve">  </v>
      </c>
      <c r="I81" s="134">
        <v>31</v>
      </c>
      <c r="J81" s="382" t="e">
        <f t="shared" si="5"/>
        <v>#N/A</v>
      </c>
      <c r="K81" s="387">
        <f>Sbdp_ki4!AD219</f>
        <v>0</v>
      </c>
      <c r="L81" s="1115">
        <f>Sbdp_ki4!AE219</f>
        <v>0</v>
      </c>
      <c r="M81" s="1115">
        <f>Sbdp_ki4!AF219</f>
        <v>0</v>
      </c>
      <c r="N81" s="1115">
        <f>Sbdp_ki4!AG219</f>
        <v>0</v>
      </c>
      <c r="O81" s="1115">
        <f>Sbdp_ki4!AH219</f>
        <v>0</v>
      </c>
      <c r="P81" s="1115">
        <f>Sbdp_ki4!AI219</f>
        <v>0</v>
      </c>
      <c r="Q81" s="372" t="str">
        <f t="shared" si="6"/>
        <v xml:space="preserve">  </v>
      </c>
    </row>
    <row r="82" spans="1:17" ht="15.75" x14ac:dyDescent="0.25">
      <c r="A82" s="134">
        <v>32</v>
      </c>
      <c r="B82" s="382">
        <f>dtsiswa!D38</f>
        <v>0</v>
      </c>
      <c r="C82" s="387">
        <f>sbdp_ki3!R162</f>
        <v>0</v>
      </c>
      <c r="D82" s="747">
        <f>sbdp_ki3!S162</f>
        <v>0</v>
      </c>
      <c r="E82" s="747">
        <f>sbdp_ki3!T162</f>
        <v>0</v>
      </c>
      <c r="F82" s="747">
        <f>sbdp_ki3!U162</f>
        <v>0</v>
      </c>
      <c r="G82" s="557" t="str">
        <f t="shared" si="4"/>
        <v xml:space="preserve">  </v>
      </c>
      <c r="I82" s="387">
        <v>32</v>
      </c>
      <c r="J82" s="382" t="e">
        <f t="shared" si="5"/>
        <v>#N/A</v>
      </c>
      <c r="K82" s="387">
        <f>Sbdp_ki4!AD226</f>
        <v>0</v>
      </c>
      <c r="L82" s="1115">
        <f>Sbdp_ki4!AE226</f>
        <v>0</v>
      </c>
      <c r="M82" s="1115">
        <f>Sbdp_ki4!AF226</f>
        <v>0</v>
      </c>
      <c r="N82" s="1115">
        <f>Sbdp_ki4!AG226</f>
        <v>0</v>
      </c>
      <c r="O82" s="1115">
        <f>Sbdp_ki4!AH226</f>
        <v>0</v>
      </c>
      <c r="P82" s="1115">
        <f>Sbdp_ki4!AI226</f>
        <v>0</v>
      </c>
      <c r="Q82" s="372" t="str">
        <f t="shared" si="6"/>
        <v xml:space="preserve">  </v>
      </c>
    </row>
    <row r="83" spans="1:17" ht="15.75" x14ac:dyDescent="0.25">
      <c r="A83" s="134">
        <v>33</v>
      </c>
      <c r="B83" s="382">
        <f>dtsiswa!D39</f>
        <v>0</v>
      </c>
      <c r="C83" s="387">
        <f>sbdp_ki3!R167</f>
        <v>0</v>
      </c>
      <c r="D83" s="747">
        <f>sbdp_ki3!S167</f>
        <v>0</v>
      </c>
      <c r="E83" s="747">
        <f>sbdp_ki3!T167</f>
        <v>0</v>
      </c>
      <c r="F83" s="747">
        <f>sbdp_ki3!U167</f>
        <v>0</v>
      </c>
      <c r="G83" s="557" t="str">
        <f t="shared" si="4"/>
        <v xml:space="preserve">  </v>
      </c>
      <c r="I83" s="134">
        <v>33</v>
      </c>
      <c r="J83" s="382" t="e">
        <f t="shared" si="5"/>
        <v>#N/A</v>
      </c>
      <c r="K83" s="387">
        <f>Sbdp_ki4!AD233</f>
        <v>0</v>
      </c>
      <c r="L83" s="1115">
        <f>Sbdp_ki4!AE233</f>
        <v>0</v>
      </c>
      <c r="M83" s="1115">
        <f>Sbdp_ki4!AF233</f>
        <v>0</v>
      </c>
      <c r="N83" s="1115">
        <f>Sbdp_ki4!AG233</f>
        <v>0</v>
      </c>
      <c r="O83" s="1115">
        <f>Sbdp_ki4!AH233</f>
        <v>0</v>
      </c>
      <c r="P83" s="1115">
        <f>Sbdp_ki4!AI233</f>
        <v>0</v>
      </c>
      <c r="Q83" s="372" t="str">
        <f t="shared" si="6"/>
        <v xml:space="preserve">  </v>
      </c>
    </row>
    <row r="84" spans="1:17" ht="15.75" x14ac:dyDescent="0.25">
      <c r="A84" s="134">
        <v>34</v>
      </c>
      <c r="B84" s="382">
        <f>dtsiswa!D40</f>
        <v>0</v>
      </c>
      <c r="C84" s="387">
        <f>sbdp_ki3!R172</f>
        <v>0</v>
      </c>
      <c r="D84" s="747">
        <f>sbdp_ki3!S172</f>
        <v>0</v>
      </c>
      <c r="E84" s="747">
        <f>sbdp_ki3!T172</f>
        <v>0</v>
      </c>
      <c r="F84" s="747">
        <f>sbdp_ki3!U172</f>
        <v>0</v>
      </c>
      <c r="G84" s="557" t="str">
        <f t="shared" si="4"/>
        <v xml:space="preserve">  </v>
      </c>
      <c r="I84" s="387">
        <v>34</v>
      </c>
      <c r="J84" s="382" t="e">
        <f t="shared" si="5"/>
        <v>#N/A</v>
      </c>
      <c r="K84" s="387">
        <f>Sbdp_ki4!AD240</f>
        <v>0</v>
      </c>
      <c r="L84" s="1115">
        <f>Sbdp_ki4!AE240</f>
        <v>0</v>
      </c>
      <c r="M84" s="1115">
        <f>Sbdp_ki4!AF240</f>
        <v>0</v>
      </c>
      <c r="N84" s="1115">
        <f>Sbdp_ki4!AG240</f>
        <v>0</v>
      </c>
      <c r="O84" s="1115">
        <f>Sbdp_ki4!AH240</f>
        <v>0</v>
      </c>
      <c r="P84" s="1115">
        <f>Sbdp_ki4!AI240</f>
        <v>0</v>
      </c>
      <c r="Q84" s="372" t="str">
        <f t="shared" si="6"/>
        <v xml:space="preserve">  </v>
      </c>
    </row>
    <row r="85" spans="1:17" ht="15.75" x14ac:dyDescent="0.25">
      <c r="A85" s="134">
        <v>35</v>
      </c>
      <c r="B85" s="382">
        <f>dtsiswa!D41</f>
        <v>0</v>
      </c>
      <c r="C85" s="387">
        <f>sbdp_ki3!R182</f>
        <v>0</v>
      </c>
      <c r="D85" s="747">
        <f>sbdp_ki3!S182</f>
        <v>0</v>
      </c>
      <c r="E85" s="747">
        <f>sbdp_ki3!T182</f>
        <v>0</v>
      </c>
      <c r="F85" s="747">
        <f>sbdp_ki3!U182</f>
        <v>0</v>
      </c>
      <c r="G85" s="557" t="str">
        <f t="shared" si="4"/>
        <v xml:space="preserve">  </v>
      </c>
      <c r="I85" s="134">
        <v>35</v>
      </c>
      <c r="J85" s="382" t="e">
        <f t="shared" si="5"/>
        <v>#N/A</v>
      </c>
      <c r="K85" s="387">
        <f>Sbdp_ki4!AD247</f>
        <v>0</v>
      </c>
      <c r="L85" s="1115">
        <f>Sbdp_ki4!AE247</f>
        <v>0</v>
      </c>
      <c r="M85" s="1115">
        <f>Sbdp_ki4!AF247</f>
        <v>0</v>
      </c>
      <c r="N85" s="1115">
        <f>Sbdp_ki4!AG247</f>
        <v>0</v>
      </c>
      <c r="O85" s="1115">
        <f>Sbdp_ki4!AH247</f>
        <v>0</v>
      </c>
      <c r="P85" s="1115">
        <f>Sbdp_ki4!AI247</f>
        <v>0</v>
      </c>
      <c r="Q85" s="372" t="str">
        <f t="shared" si="6"/>
        <v xml:space="preserve">  </v>
      </c>
    </row>
    <row r="86" spans="1:17" ht="15.75" x14ac:dyDescent="0.25">
      <c r="A86" s="134">
        <v>36</v>
      </c>
      <c r="B86" s="382">
        <f>dtsiswa!D42</f>
        <v>0</v>
      </c>
      <c r="C86" s="387">
        <f>sbdp_ki3!R182</f>
        <v>0</v>
      </c>
      <c r="D86" s="747">
        <f>sbdp_ki3!S182</f>
        <v>0</v>
      </c>
      <c r="E86" s="747">
        <f>sbdp_ki3!T182</f>
        <v>0</v>
      </c>
      <c r="F86" s="747">
        <f>sbdp_ki3!U182</f>
        <v>0</v>
      </c>
      <c r="G86" s="557" t="str">
        <f t="shared" si="4"/>
        <v xml:space="preserve">  </v>
      </c>
      <c r="I86" s="387">
        <v>36</v>
      </c>
      <c r="J86" s="382" t="e">
        <f t="shared" si="5"/>
        <v>#N/A</v>
      </c>
      <c r="K86" s="387">
        <f>Sbdp_ki4!AD254</f>
        <v>0</v>
      </c>
      <c r="L86" s="1115">
        <f>Sbdp_ki4!AE254</f>
        <v>0</v>
      </c>
      <c r="M86" s="1115">
        <f>Sbdp_ki4!AF254</f>
        <v>0</v>
      </c>
      <c r="N86" s="1115">
        <f>Sbdp_ki4!AG254</f>
        <v>0</v>
      </c>
      <c r="O86" s="1115">
        <f>Sbdp_ki4!AH254</f>
        <v>0</v>
      </c>
      <c r="P86" s="1115">
        <f>Sbdp_ki4!AI254</f>
        <v>0</v>
      </c>
      <c r="Q86" s="372" t="str">
        <f t="shared" si="6"/>
        <v xml:space="preserve">  </v>
      </c>
    </row>
    <row r="87" spans="1:17" ht="15.75" x14ac:dyDescent="0.25">
      <c r="A87" s="134">
        <v>37</v>
      </c>
      <c r="B87" s="382">
        <f>dtsiswa!D43</f>
        <v>0</v>
      </c>
      <c r="C87" s="387">
        <f>sbdp_ki3!R187</f>
        <v>0</v>
      </c>
      <c r="D87" s="747">
        <f>sbdp_ki3!S187</f>
        <v>0</v>
      </c>
      <c r="E87" s="747">
        <f>sbdp_ki3!T187</f>
        <v>0</v>
      </c>
      <c r="F87" s="747">
        <f>sbdp_ki3!U187</f>
        <v>0</v>
      </c>
      <c r="G87" s="557" t="str">
        <f t="shared" si="4"/>
        <v xml:space="preserve">  </v>
      </c>
      <c r="I87" s="134">
        <v>37</v>
      </c>
      <c r="J87" s="382" t="e">
        <f t="shared" si="5"/>
        <v>#N/A</v>
      </c>
      <c r="K87" s="387">
        <f>Sbdp_ki4!AD261</f>
        <v>0</v>
      </c>
      <c r="L87" s="1115">
        <f>Sbdp_ki4!AE261</f>
        <v>0</v>
      </c>
      <c r="M87" s="1115">
        <f>Sbdp_ki4!AF261</f>
        <v>0</v>
      </c>
      <c r="N87" s="1115">
        <f>Sbdp_ki4!AG261</f>
        <v>0</v>
      </c>
      <c r="O87" s="1115">
        <f>Sbdp_ki4!AH261</f>
        <v>0</v>
      </c>
      <c r="P87" s="1115">
        <f>Sbdp_ki4!AI261</f>
        <v>0</v>
      </c>
      <c r="Q87" s="372" t="str">
        <f t="shared" si="6"/>
        <v xml:space="preserve">  </v>
      </c>
    </row>
    <row r="88" spans="1:17" ht="15.75" x14ac:dyDescent="0.25">
      <c r="A88" s="134">
        <v>38</v>
      </c>
      <c r="B88" s="382">
        <f>dtsiswa!D44</f>
        <v>0</v>
      </c>
      <c r="C88" s="387">
        <f>sbdp_ki3!R192</f>
        <v>0</v>
      </c>
      <c r="D88" s="747">
        <f>sbdp_ki3!S192</f>
        <v>0</v>
      </c>
      <c r="E88" s="747">
        <f>sbdp_ki3!T192</f>
        <v>0</v>
      </c>
      <c r="F88" s="747">
        <f>sbdp_ki3!U192</f>
        <v>0</v>
      </c>
      <c r="G88" s="557" t="str">
        <f t="shared" si="4"/>
        <v xml:space="preserve">  </v>
      </c>
      <c r="I88" s="387">
        <v>38</v>
      </c>
      <c r="J88" s="382" t="e">
        <f t="shared" si="5"/>
        <v>#N/A</v>
      </c>
      <c r="K88" s="387">
        <f>Sbdp_ki4!AD268</f>
        <v>0</v>
      </c>
      <c r="L88" s="1115">
        <f>Sbdp_ki4!AE268</f>
        <v>0</v>
      </c>
      <c r="M88" s="1115">
        <f>Sbdp_ki4!AF268</f>
        <v>0</v>
      </c>
      <c r="N88" s="1115">
        <f>Sbdp_ki4!AG268</f>
        <v>0</v>
      </c>
      <c r="O88" s="1115">
        <f>Sbdp_ki4!AH268</f>
        <v>0</v>
      </c>
      <c r="P88" s="1115">
        <f>Sbdp_ki4!AI268</f>
        <v>0</v>
      </c>
      <c r="Q88" s="372" t="str">
        <f t="shared" si="6"/>
        <v xml:space="preserve">  </v>
      </c>
    </row>
    <row r="89" spans="1:17" ht="15.75" x14ac:dyDescent="0.25">
      <c r="A89" s="134">
        <v>39</v>
      </c>
      <c r="B89" s="382">
        <f>dtsiswa!D45</f>
        <v>0</v>
      </c>
      <c r="C89" s="387">
        <f>sbdp_ki3!R197</f>
        <v>0</v>
      </c>
      <c r="D89" s="747">
        <f>sbdp_ki3!S197</f>
        <v>0</v>
      </c>
      <c r="E89" s="747">
        <f>sbdp_ki3!T197</f>
        <v>0</v>
      </c>
      <c r="F89" s="747">
        <f>sbdp_ki3!U197</f>
        <v>0</v>
      </c>
      <c r="G89" s="557" t="str">
        <f t="shared" si="4"/>
        <v xml:space="preserve">  </v>
      </c>
      <c r="I89" s="134">
        <v>39</v>
      </c>
      <c r="J89" s="382" t="e">
        <f t="shared" si="5"/>
        <v>#N/A</v>
      </c>
      <c r="K89" s="387">
        <f>Sbdp_ki4!AD275</f>
        <v>0</v>
      </c>
      <c r="L89" s="1115">
        <f>Sbdp_ki4!AE275</f>
        <v>0</v>
      </c>
      <c r="M89" s="1115">
        <f>Sbdp_ki4!AF275</f>
        <v>0</v>
      </c>
      <c r="N89" s="1115">
        <f>Sbdp_ki4!AG275</f>
        <v>0</v>
      </c>
      <c r="O89" s="1115">
        <f>Sbdp_ki4!AH275</f>
        <v>0</v>
      </c>
      <c r="P89" s="1115">
        <f>Sbdp_ki4!AI275</f>
        <v>0</v>
      </c>
      <c r="Q89" s="372" t="str">
        <f t="shared" si="6"/>
        <v xml:space="preserve">  </v>
      </c>
    </row>
    <row r="90" spans="1:17" ht="15.75" x14ac:dyDescent="0.25">
      <c r="A90" s="134">
        <v>40</v>
      </c>
      <c r="B90" s="382">
        <f>dtsiswa!D46</f>
        <v>0</v>
      </c>
      <c r="C90" s="387">
        <f>sbdp_ki3!R202</f>
        <v>0</v>
      </c>
      <c r="D90" s="747">
        <f>sbdp_ki3!S202</f>
        <v>0</v>
      </c>
      <c r="E90" s="747">
        <f>sbdp_ki3!T202</f>
        <v>0</v>
      </c>
      <c r="F90" s="747">
        <f>sbdp_ki3!U202</f>
        <v>0</v>
      </c>
      <c r="G90" s="557" t="str">
        <f t="shared" si="4"/>
        <v xml:space="preserve">  </v>
      </c>
      <c r="I90" s="387">
        <v>40</v>
      </c>
      <c r="J90" s="382" t="e">
        <f t="shared" si="5"/>
        <v>#N/A</v>
      </c>
      <c r="K90" s="387">
        <f>Sbdp_ki4!AD282</f>
        <v>0</v>
      </c>
      <c r="L90" s="1115">
        <f>Sbdp_ki4!AE282</f>
        <v>0</v>
      </c>
      <c r="M90" s="1115">
        <f>Sbdp_ki4!AF282</f>
        <v>0</v>
      </c>
      <c r="N90" s="1115">
        <f>Sbdp_ki4!AG282</f>
        <v>0</v>
      </c>
      <c r="O90" s="1115">
        <f>Sbdp_ki4!AH282</f>
        <v>0</v>
      </c>
      <c r="P90" s="1115">
        <f>Sbdp_ki4!AI282</f>
        <v>0</v>
      </c>
      <c r="Q90" s="372" t="str">
        <f t="shared" si="6"/>
        <v xml:space="preserve">  </v>
      </c>
    </row>
  </sheetData>
  <mergeCells count="4">
    <mergeCell ref="A1:F1"/>
    <mergeCell ref="I1:L1"/>
    <mergeCell ref="A48:F48"/>
    <mergeCell ref="I48:L48"/>
  </mergeCells>
  <conditionalFormatting sqref="C4:F43">
    <cfRule type="top10" dxfId="197" priority="2401" rank="1"/>
  </conditionalFormatting>
  <conditionalFormatting sqref="C51:F90">
    <cfRule type="top10" dxfId="196" priority="2402" rank="1"/>
  </conditionalFormatting>
  <conditionalFormatting sqref="C5:F5">
    <cfRule type="top10" dxfId="195" priority="2403" rank="1"/>
  </conditionalFormatting>
  <conditionalFormatting sqref="C4:F4">
    <cfRule type="top10" dxfId="194" priority="2404" rank="1"/>
  </conditionalFormatting>
  <conditionalFormatting sqref="C4:F4">
    <cfRule type="top10" dxfId="193" priority="2405" rank="1"/>
    <cfRule type="top10" dxfId="192" priority="2406" rank="1"/>
  </conditionalFormatting>
  <conditionalFormatting sqref="K4:P43">
    <cfRule type="top10" dxfId="191" priority="2530" rank="1"/>
  </conditionalFormatting>
  <conditionalFormatting sqref="K5:P43">
    <cfRule type="top10" dxfId="190" priority="2531" rank="1"/>
  </conditionalFormatting>
  <conditionalFormatting sqref="K6:P6">
    <cfRule type="top10" dxfId="189" priority="2532" rank="1"/>
  </conditionalFormatting>
  <conditionalFormatting sqref="K7:P7">
    <cfRule type="top10" dxfId="188" priority="2533" rank="1"/>
  </conditionalFormatting>
  <conditionalFormatting sqref="K8:P8">
    <cfRule type="top10" dxfId="187" priority="2534" rank="1"/>
  </conditionalFormatting>
  <conditionalFormatting sqref="K9:P9">
    <cfRule type="top10" dxfId="186" priority="2535" rank="1"/>
  </conditionalFormatting>
  <conditionalFormatting sqref="K10:P10">
    <cfRule type="top10" dxfId="185" priority="2536" rank="1"/>
  </conditionalFormatting>
  <conditionalFormatting sqref="K11:P11">
    <cfRule type="top10" dxfId="184" priority="2537" rank="1"/>
  </conditionalFormatting>
  <conditionalFormatting sqref="K12:P12">
    <cfRule type="top10" dxfId="183" priority="2538" rank="1"/>
  </conditionalFormatting>
  <conditionalFormatting sqref="K13:P13">
    <cfRule type="top10" dxfId="182" priority="2539" rank="1"/>
  </conditionalFormatting>
  <conditionalFormatting sqref="K14:P14">
    <cfRule type="top10" dxfId="181" priority="2540" rank="1"/>
  </conditionalFormatting>
  <conditionalFormatting sqref="K15:P15">
    <cfRule type="top10" dxfId="180" priority="2541" rank="1"/>
  </conditionalFormatting>
  <conditionalFormatting sqref="K16:P16">
    <cfRule type="top10" dxfId="179" priority="2542" rank="1"/>
  </conditionalFormatting>
  <conditionalFormatting sqref="K17:P17">
    <cfRule type="top10" dxfId="178" priority="2543" rank="1"/>
  </conditionalFormatting>
  <conditionalFormatting sqref="K18:P43">
    <cfRule type="top10" dxfId="177" priority="2544" rank="1"/>
  </conditionalFormatting>
  <conditionalFormatting sqref="K19:P19">
    <cfRule type="top10" dxfId="176" priority="2545" rank="1"/>
  </conditionalFormatting>
  <conditionalFormatting sqref="K20:P20">
    <cfRule type="top10" dxfId="175" priority="2546" rank="1"/>
  </conditionalFormatting>
  <conditionalFormatting sqref="K21:P21">
    <cfRule type="top10" dxfId="174" priority="2547" rank="1"/>
  </conditionalFormatting>
  <conditionalFormatting sqref="K22:P22">
    <cfRule type="top10" dxfId="173" priority="2548" rank="1"/>
  </conditionalFormatting>
  <conditionalFormatting sqref="K23:P23">
    <cfRule type="top10" dxfId="172" priority="2549" rank="1"/>
  </conditionalFormatting>
  <conditionalFormatting sqref="K24:P43">
    <cfRule type="top10" dxfId="171" priority="2550" rank="1"/>
  </conditionalFormatting>
  <conditionalFormatting sqref="K51:P51">
    <cfRule type="top10" dxfId="170" priority="2551" rank="1"/>
  </conditionalFormatting>
  <conditionalFormatting sqref="K52:P52">
    <cfRule type="top10" dxfId="169" priority="2552" rank="1"/>
  </conditionalFormatting>
  <conditionalFormatting sqref="K53:P53">
    <cfRule type="top10" dxfId="168" priority="2553" rank="1"/>
  </conditionalFormatting>
  <conditionalFormatting sqref="K54:P54">
    <cfRule type="top10" dxfId="167" priority="2554" rank="1"/>
  </conditionalFormatting>
  <conditionalFormatting sqref="K55:P55">
    <cfRule type="top10" dxfId="166" priority="2555" rank="1"/>
  </conditionalFormatting>
  <conditionalFormatting sqref="K56:P56">
    <cfRule type="top10" dxfId="165" priority="2556" rank="1"/>
  </conditionalFormatting>
  <conditionalFormatting sqref="K57:P57">
    <cfRule type="top10" dxfId="164" priority="2557" rank="1"/>
  </conditionalFormatting>
  <conditionalFormatting sqref="K58:P58">
    <cfRule type="top10" dxfId="163" priority="2558" rank="1"/>
  </conditionalFormatting>
  <conditionalFormatting sqref="K59:P59">
    <cfRule type="top10" dxfId="162" priority="2559" rank="1"/>
  </conditionalFormatting>
  <conditionalFormatting sqref="K60:P60">
    <cfRule type="top10" dxfId="161" priority="2560" rank="1"/>
  </conditionalFormatting>
  <conditionalFormatting sqref="K61:P61">
    <cfRule type="top10" dxfId="160" priority="2561" rank="1"/>
  </conditionalFormatting>
  <conditionalFormatting sqref="K62:P62">
    <cfRule type="top10" dxfId="159" priority="2562" rank="1"/>
  </conditionalFormatting>
  <conditionalFormatting sqref="K63:P63">
    <cfRule type="top10" dxfId="158" priority="2563" rank="1"/>
  </conditionalFormatting>
  <conditionalFormatting sqref="K64:P64">
    <cfRule type="top10" dxfId="157" priority="2564" rank="1"/>
  </conditionalFormatting>
  <conditionalFormatting sqref="K65:P65">
    <cfRule type="top10" dxfId="156" priority="2565" rank="1"/>
  </conditionalFormatting>
  <conditionalFormatting sqref="K66:P66">
    <cfRule type="top10" dxfId="155" priority="2566" rank="1"/>
  </conditionalFormatting>
  <conditionalFormatting sqref="K67:P67">
    <cfRule type="top10" dxfId="154" priority="2567" rank="1"/>
  </conditionalFormatting>
  <conditionalFormatting sqref="K68:P68">
    <cfRule type="top10" dxfId="153" priority="2568" rank="1"/>
  </conditionalFormatting>
  <conditionalFormatting sqref="K69:P69">
    <cfRule type="top10" dxfId="152" priority="2569" rank="1"/>
  </conditionalFormatting>
  <conditionalFormatting sqref="K70:P70">
    <cfRule type="top10" dxfId="151" priority="2570" rank="1"/>
  </conditionalFormatting>
  <conditionalFormatting sqref="K71:P71">
    <cfRule type="top10" dxfId="150" priority="2571" rank="1"/>
  </conditionalFormatting>
  <conditionalFormatting sqref="K72:P72">
    <cfRule type="top10" dxfId="149" priority="2572" rank="1"/>
  </conditionalFormatting>
  <conditionalFormatting sqref="K73:P73">
    <cfRule type="top10" dxfId="148" priority="2573" rank="1"/>
  </conditionalFormatting>
  <conditionalFormatting sqref="K74:P74">
    <cfRule type="top10" dxfId="147" priority="2574" rank="1"/>
  </conditionalFormatting>
  <conditionalFormatting sqref="K75:P75">
    <cfRule type="top10" dxfId="146" priority="2575" rank="1"/>
  </conditionalFormatting>
  <conditionalFormatting sqref="K76:P76">
    <cfRule type="top10" dxfId="145" priority="2576" rank="1"/>
  </conditionalFormatting>
  <conditionalFormatting sqref="K77:P77">
    <cfRule type="top10" dxfId="144" priority="2577" rank="1"/>
  </conditionalFormatting>
  <conditionalFormatting sqref="K78:P78">
    <cfRule type="top10" dxfId="143" priority="2578" rank="1"/>
  </conditionalFormatting>
  <conditionalFormatting sqref="K79:P79">
    <cfRule type="top10" dxfId="142" priority="2579" rank="1"/>
  </conditionalFormatting>
  <conditionalFormatting sqref="K80:P80">
    <cfRule type="top10" dxfId="141" priority="2580" rank="1"/>
  </conditionalFormatting>
  <conditionalFormatting sqref="K81:P81">
    <cfRule type="top10" dxfId="140" priority="2581" rank="1"/>
  </conditionalFormatting>
  <conditionalFormatting sqref="K82:P82">
    <cfRule type="top10" dxfId="139" priority="2582" rank="1"/>
  </conditionalFormatting>
  <conditionalFormatting sqref="K83:P83">
    <cfRule type="top10" dxfId="138" priority="2583" rank="1"/>
  </conditionalFormatting>
  <conditionalFormatting sqref="K84:P84">
    <cfRule type="top10" dxfId="137" priority="2584" rank="1"/>
  </conditionalFormatting>
  <conditionalFormatting sqref="K85:P85">
    <cfRule type="top10" dxfId="136" priority="2585" rank="1"/>
  </conditionalFormatting>
  <conditionalFormatting sqref="K86:P86">
    <cfRule type="top10" dxfId="135" priority="2586" rank="1"/>
  </conditionalFormatting>
  <conditionalFormatting sqref="K87:P87">
    <cfRule type="top10" dxfId="134" priority="2587" rank="1"/>
  </conditionalFormatting>
  <conditionalFormatting sqref="K88:P88">
    <cfRule type="top10" dxfId="133" priority="2588" rank="1"/>
  </conditionalFormatting>
  <conditionalFormatting sqref="K89:P89">
    <cfRule type="top10" dxfId="132" priority="2589" rank="1"/>
  </conditionalFormatting>
  <conditionalFormatting sqref="K90:P90">
    <cfRule type="top10" dxfId="131" priority="2590" rank="1"/>
  </conditionalFormatting>
  <conditionalFormatting sqref="C51:F51">
    <cfRule type="top10" dxfId="130" priority="6" rank="1"/>
  </conditionalFormatting>
  <conditionalFormatting sqref="C53:F53">
    <cfRule type="top10" dxfId="129" priority="5" rank="1"/>
  </conditionalFormatting>
  <conditionalFormatting sqref="C54:F54">
    <cfRule type="top10" dxfId="128" priority="4" rank="1"/>
  </conditionalFormatting>
  <conditionalFormatting sqref="C55:F55">
    <cfRule type="top10" dxfId="127" priority="3" rank="1"/>
  </conditionalFormatting>
  <conditionalFormatting sqref="C56:F56">
    <cfRule type="top10" dxfId="126" priority="2" rank="1"/>
  </conditionalFormatting>
  <conditionalFormatting sqref="C57:F57">
    <cfRule type="top10" dxfId="125" priority="1" rank="1"/>
  </conditionalFormatting>
  <pageMargins left="0.7" right="0.7" top="0.75" bottom="0.75" header="0.3" footer="0.3"/>
  <pageSetup paperSize="9"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C00000"/>
  </sheetPr>
  <dimension ref="A1:U90"/>
  <sheetViews>
    <sheetView showGridLines="0" workbookViewId="0">
      <selection sqref="A1:F1"/>
    </sheetView>
  </sheetViews>
  <sheetFormatPr defaultRowHeight="15" x14ac:dyDescent="0.25"/>
  <cols>
    <col min="1" max="1" width="6.28515625" style="352" customWidth="1"/>
    <col min="2" max="2" width="45" style="352" customWidth="1"/>
    <col min="3" max="3" width="5.7109375" style="352" customWidth="1"/>
    <col min="4" max="4" width="6.42578125" style="352" customWidth="1"/>
    <col min="5" max="5" width="6.28515625" style="352" customWidth="1"/>
    <col min="6" max="6" width="4.7109375" style="352" customWidth="1"/>
    <col min="7" max="7" width="5.7109375" style="352" customWidth="1"/>
    <col min="8" max="8" width="107.42578125" style="352" customWidth="1"/>
    <col min="9" max="9" width="2" style="352" customWidth="1"/>
    <col min="10" max="10" width="7.85546875" style="352" customWidth="1"/>
    <col min="11" max="11" width="38" style="352" customWidth="1"/>
    <col min="12" max="12" width="9.28515625" style="352" customWidth="1"/>
    <col min="13" max="13" width="8.28515625" style="352" customWidth="1"/>
    <col min="14" max="14" width="6.28515625" style="352" customWidth="1"/>
    <col min="15" max="16" width="8.140625" style="352" customWidth="1"/>
    <col min="17" max="17" width="102" style="352" customWidth="1"/>
    <col min="18" max="18" width="6.140625" style="352" customWidth="1"/>
    <col min="19" max="19" width="41.28515625" style="352" customWidth="1"/>
    <col min="20" max="20" width="66.28515625" style="352" customWidth="1"/>
    <col min="21" max="21" width="73.42578125" style="352" customWidth="1"/>
    <col min="22" max="22" width="9.140625" style="352"/>
    <col min="23" max="23" width="6.42578125" style="352" customWidth="1"/>
    <col min="24" max="16384" width="9.140625" style="352"/>
  </cols>
  <sheetData>
    <row r="1" spans="1:21" ht="26.25" x14ac:dyDescent="0.4">
      <c r="A1" s="2907" t="s">
        <v>525</v>
      </c>
      <c r="B1" s="2907"/>
      <c r="C1" s="2907"/>
      <c r="D1" s="2907"/>
      <c r="E1" s="2907"/>
      <c r="F1" s="2907"/>
      <c r="G1" s="765"/>
      <c r="H1" s="373"/>
      <c r="I1" s="364"/>
      <c r="J1" s="2907" t="s">
        <v>525</v>
      </c>
      <c r="K1" s="2907"/>
      <c r="L1" s="373"/>
      <c r="M1" s="373"/>
      <c r="N1" s="373"/>
      <c r="O1" s="373"/>
      <c r="P1" s="373"/>
      <c r="Q1" s="373"/>
      <c r="R1" s="374" t="s">
        <v>526</v>
      </c>
    </row>
    <row r="2" spans="1:21" ht="27" thickBot="1" x14ac:dyDescent="0.45">
      <c r="A2" s="375" t="s">
        <v>147</v>
      </c>
      <c r="B2" s="373"/>
      <c r="C2" s="373"/>
      <c r="D2" s="373"/>
      <c r="E2" s="373"/>
      <c r="F2" s="373"/>
      <c r="G2" s="373"/>
      <c r="H2" s="373"/>
      <c r="I2" s="364"/>
      <c r="J2" s="376" t="s">
        <v>25</v>
      </c>
      <c r="K2" s="373"/>
      <c r="L2" s="373"/>
      <c r="M2" s="373"/>
      <c r="N2" s="373"/>
      <c r="O2" s="373"/>
      <c r="P2" s="373"/>
      <c r="Q2" s="373"/>
      <c r="R2" s="1186">
        <v>1</v>
      </c>
      <c r="S2" s="1186">
        <v>2</v>
      </c>
      <c r="T2" s="1186">
        <v>3</v>
      </c>
      <c r="U2" s="1186">
        <v>4</v>
      </c>
    </row>
    <row r="3" spans="1:21" ht="49.5" customHeight="1" thickBot="1" x14ac:dyDescent="0.3">
      <c r="A3" s="377" t="s">
        <v>0</v>
      </c>
      <c r="B3" s="377" t="s">
        <v>1</v>
      </c>
      <c r="C3" s="639" t="s">
        <v>7</v>
      </c>
      <c r="D3" s="639" t="s">
        <v>10</v>
      </c>
      <c r="E3" s="639" t="s">
        <v>8</v>
      </c>
      <c r="F3" s="639" t="s">
        <v>18</v>
      </c>
      <c r="G3" s="639" t="s">
        <v>179</v>
      </c>
      <c r="H3" s="273" t="s">
        <v>138</v>
      </c>
      <c r="J3" s="305" t="s">
        <v>0</v>
      </c>
      <c r="K3" s="305" t="s">
        <v>1</v>
      </c>
      <c r="L3" s="1046" t="s">
        <v>155</v>
      </c>
      <c r="M3" s="1046" t="s">
        <v>9</v>
      </c>
      <c r="N3" s="1046" t="s">
        <v>11</v>
      </c>
      <c r="O3" s="1046" t="s">
        <v>16</v>
      </c>
      <c r="P3" s="1046" t="s">
        <v>189</v>
      </c>
      <c r="Q3" s="152" t="s">
        <v>138</v>
      </c>
      <c r="R3" s="378" t="s">
        <v>0</v>
      </c>
      <c r="S3" s="379" t="s">
        <v>1</v>
      </c>
      <c r="T3" s="380" t="s">
        <v>145</v>
      </c>
      <c r="U3" s="381" t="s">
        <v>146</v>
      </c>
    </row>
    <row r="4" spans="1:21" ht="27" customHeight="1" x14ac:dyDescent="0.25">
      <c r="A4" s="134">
        <v>1</v>
      </c>
      <c r="B4" s="382" t="str">
        <f t="shared" ref="B4:B43" si="0">VLOOKUP(A4,data_siswa,4,FALSE)</f>
        <v>Achmad Zacky</v>
      </c>
      <c r="C4" s="383">
        <f>pjok_ki3!N7</f>
        <v>0</v>
      </c>
      <c r="D4" s="383">
        <f>pjok_ki3!O7</f>
        <v>0</v>
      </c>
      <c r="E4" s="383">
        <f>pjok_ki3!P7</f>
        <v>0</v>
      </c>
      <c r="F4" s="383">
        <f>pjok_ki3!Q7</f>
        <v>0</v>
      </c>
      <c r="G4" s="383">
        <f>pjok_ki3!R7</f>
        <v>3</v>
      </c>
      <c r="H4" s="668" t="str">
        <f t="shared" ref="H4:H43" si="1">IF(OR(C4=3,C4=4),VLOOKUP(C4,DES_KI4_PJOK,2,FALSE),IF(OR(D4=3,D4=4),VLOOKUP(D4,DES_KI4_PJOK,3,FALSE),IF(OR(E4=3,E4=4),VLOOKUP(E4,DES_KI4_PJOK,4,FALSE),IF(OR(F4=3,F4=4),VLOOKUP(F4,DES_KI4_PJOK,5,FALSE),IF(OR(G4=3,G4=4),VLOOKUP(G4,DES_KI4_PJOK,6,FALSE),"  ")))))</f>
        <v xml:space="preserve">Baik dalam Mempraktikkan gerak dasar langkah dan ayunan lengan bertema budaya daerah mengikuti irama (ketukan) tanpa / dengan musik dalam aktivitas gerak ritmik. </v>
      </c>
      <c r="J4" s="134">
        <v>1</v>
      </c>
      <c r="K4" s="382" t="str">
        <f t="shared" ref="K4:K43" si="2">VLOOKUP(J4,data_siswa,4,FALSE)</f>
        <v>Achmad Zacky</v>
      </c>
      <c r="L4" s="383">
        <f>pjok_ki4!X7</f>
        <v>0</v>
      </c>
      <c r="M4" s="383">
        <f>pjok_ki4!Y7</f>
        <v>0</v>
      </c>
      <c r="N4" s="383">
        <f>pjok_ki4!Z7</f>
        <v>4</v>
      </c>
      <c r="O4" s="383">
        <f>pjok_ki4!AA7</f>
        <v>0</v>
      </c>
      <c r="P4" s="383">
        <f>pjok_ki4!AB7</f>
        <v>0</v>
      </c>
      <c r="Q4" s="669" t="str">
        <f t="shared" ref="Q4:Q43" si="3">IF(OR(L4=3,L4=4),VLOOKUP(L4,DES_KI4_PJOK,2,FALSE),IF(OR(M4=3,M4=4),VLOOKUP(M4,DES_KI4_PJOK,3,FALSE),IF(OR(N4=3,N4=4),VLOOKUP(N4,DES_KI4_PJOK,4,FALSE),IF(OR(O4=3,O4=4),VLOOKUP(O4,DES_KI4_PJOK,5,FALSE),IF(OR(P4=3,P4=4),VLOOKUP(P4,DES_KI4_PJOK,6,FALSE),"  ")))))</f>
        <v xml:space="preserve">Sangat baik dalam Mempraktikkan berbagai aktivitas kebugaran jasmaniuntuk mencapai tinggi dan berat badan ideal. </v>
      </c>
      <c r="R4" s="134">
        <v>1</v>
      </c>
      <c r="S4" s="384" t="str">
        <f>dtsiswa!D7</f>
        <v>Achmad Zacky</v>
      </c>
      <c r="T4" s="385" t="str">
        <f>IFERROR(CONCATENATE(H4,H51),"  ")</f>
        <v xml:space="preserve">Baik dalam Mempraktikkan gerak dasar langkah dan ayunan lengan bertema budaya daerah mengikuti irama (ketukan) tanpa / dengan musik dalam aktivitas gerak ritmik. Baik dalam  Mempraktikkan  kombinasi pola gerak dasar dominan statis dan dinamis untuk membentuk keterampilan/teknik dasar senam (seperti handstand, kayang,meroda,dsb). </v>
      </c>
      <c r="U4" s="386" t="str">
        <f t="shared" ref="U4" si="4">CONCATENATE(Q4,Q51)</f>
        <v xml:space="preserve">Sangat baik dalam Mempraktikkan berbagai aktivitas kebugaran jasmaniuntuk mencapai tinggi dan berat badan ideal. Baik dalam Mempraktikan variasi dan kombinasi pola gerak dasar lokomotor, non-lokomotor dan manipulatif yang dilandasi konsep gerak dalam berbagai permainan atau olahraga tradisional bola kecil. </v>
      </c>
    </row>
    <row r="5" spans="1:21" ht="18.75" customHeight="1" x14ac:dyDescent="0.25">
      <c r="A5" s="134">
        <v>2</v>
      </c>
      <c r="B5" s="382" t="str">
        <f t="shared" si="0"/>
        <v>Angelia Vabel R</v>
      </c>
      <c r="C5" s="383">
        <f>pjok_ki3!N13</f>
        <v>0</v>
      </c>
      <c r="D5" s="383">
        <f>pjok_ki3!O13</f>
        <v>0</v>
      </c>
      <c r="E5" s="383">
        <f>pjok_ki3!P13</f>
        <v>0</v>
      </c>
      <c r="F5" s="383">
        <f>pjok_ki3!Q13</f>
        <v>0</v>
      </c>
      <c r="G5" s="383">
        <f>pjok_ki3!R13</f>
        <v>0</v>
      </c>
      <c r="H5" s="668" t="str">
        <f t="shared" si="1"/>
        <v xml:space="preserve">  </v>
      </c>
      <c r="J5" s="134">
        <v>2</v>
      </c>
      <c r="K5" s="382" t="str">
        <f t="shared" si="2"/>
        <v>Angelia Vabel R</v>
      </c>
      <c r="L5" s="383">
        <f>pjok_ki4!X13</f>
        <v>0</v>
      </c>
      <c r="M5" s="383">
        <f>pjok_ki4!Y13</f>
        <v>0</v>
      </c>
      <c r="N5" s="383">
        <f>pjok_ki4!Z13</f>
        <v>0</v>
      </c>
      <c r="O5" s="383">
        <f>pjok_ki4!AA13</f>
        <v>0</v>
      </c>
      <c r="P5" s="383">
        <f>pjok_ki4!AB13</f>
        <v>0</v>
      </c>
      <c r="Q5" s="669" t="str">
        <f t="shared" si="3"/>
        <v xml:space="preserve">  </v>
      </c>
      <c r="R5" s="134">
        <v>2</v>
      </c>
      <c r="S5" s="384" t="str">
        <f>dtsiswa!D8</f>
        <v>Angelia Vabel R</v>
      </c>
      <c r="T5" s="385" t="str">
        <f t="shared" ref="T5:T43" si="5">IFERROR(CONCATENATE(H5,H52),"  ")</f>
        <v xml:space="preserve">    </v>
      </c>
      <c r="U5" s="386" t="str">
        <f t="shared" ref="U5:U43" si="6">CONCATENATE(Q5,Q52)</f>
        <v xml:space="preserve">    </v>
      </c>
    </row>
    <row r="6" spans="1:21" ht="15.95" customHeight="1" x14ac:dyDescent="0.25">
      <c r="A6" s="134">
        <v>3</v>
      </c>
      <c r="B6" s="382" t="str">
        <f t="shared" si="0"/>
        <v>Anggun Dwi P.I</v>
      </c>
      <c r="C6" s="383">
        <f>pjok_ki3!N19</f>
        <v>0</v>
      </c>
      <c r="D6" s="383">
        <f>pjok_ki3!O19</f>
        <v>0</v>
      </c>
      <c r="E6" s="383">
        <f>pjok_ki3!P19</f>
        <v>0</v>
      </c>
      <c r="F6" s="383">
        <f>pjok_ki3!Q19</f>
        <v>0</v>
      </c>
      <c r="G6" s="383">
        <f>pjok_ki3!R19</f>
        <v>0</v>
      </c>
      <c r="H6" s="668" t="str">
        <f t="shared" si="1"/>
        <v xml:space="preserve">  </v>
      </c>
      <c r="J6" s="134">
        <v>3</v>
      </c>
      <c r="K6" s="382" t="str">
        <f t="shared" si="2"/>
        <v>Anggun Dwi P.I</v>
      </c>
      <c r="L6" s="383">
        <f>pjok_ki4!X19</f>
        <v>0</v>
      </c>
      <c r="M6" s="383">
        <f>pjok_ki4!Y19</f>
        <v>0</v>
      </c>
      <c r="N6" s="383">
        <f>pjok_ki4!Z19</f>
        <v>0</v>
      </c>
      <c r="O6" s="383">
        <f>pjok_ki4!AA19</f>
        <v>0</v>
      </c>
      <c r="P6" s="383">
        <f>pjok_ki4!AB19</f>
        <v>0</v>
      </c>
      <c r="Q6" s="669" t="str">
        <f t="shared" si="3"/>
        <v xml:space="preserve">  </v>
      </c>
      <c r="R6" s="134">
        <v>3</v>
      </c>
      <c r="S6" s="384" t="str">
        <f>dtsiswa!D9</f>
        <v>Anggun Dwi P.I</v>
      </c>
      <c r="T6" s="385" t="str">
        <f t="shared" si="5"/>
        <v xml:space="preserve">    </v>
      </c>
      <c r="U6" s="386" t="str">
        <f t="shared" si="6"/>
        <v xml:space="preserve">    </v>
      </c>
    </row>
    <row r="7" spans="1:21" ht="15.75" customHeight="1" x14ac:dyDescent="0.25">
      <c r="A7" s="134">
        <v>4</v>
      </c>
      <c r="B7" s="382" t="str">
        <f t="shared" si="0"/>
        <v>Antonio Permata A</v>
      </c>
      <c r="C7" s="383">
        <f>pjok_ki3!N25</f>
        <v>0</v>
      </c>
      <c r="D7" s="383">
        <f>pjok_ki3!O25</f>
        <v>0</v>
      </c>
      <c r="E7" s="383">
        <f>pjok_ki3!P25</f>
        <v>0</v>
      </c>
      <c r="F7" s="383">
        <f>pjok_ki3!Q25</f>
        <v>0</v>
      </c>
      <c r="G7" s="383">
        <f>pjok_ki3!R25</f>
        <v>0</v>
      </c>
      <c r="H7" s="668" t="str">
        <f t="shared" si="1"/>
        <v xml:space="preserve">  </v>
      </c>
      <c r="J7" s="134">
        <v>4</v>
      </c>
      <c r="K7" s="382" t="str">
        <f t="shared" si="2"/>
        <v>Antonio Permata A</v>
      </c>
      <c r="L7" s="383">
        <f>pjok_ki4!X25</f>
        <v>0</v>
      </c>
      <c r="M7" s="383">
        <f>pjok_ki4!Y25</f>
        <v>0</v>
      </c>
      <c r="N7" s="383">
        <f>pjok_ki4!Z25</f>
        <v>0</v>
      </c>
      <c r="O7" s="383">
        <f>pjok_ki4!AA25</f>
        <v>0</v>
      </c>
      <c r="P7" s="383">
        <f>pjok_ki4!AB25</f>
        <v>0</v>
      </c>
      <c r="Q7" s="669" t="str">
        <f t="shared" si="3"/>
        <v xml:space="preserve">  </v>
      </c>
      <c r="R7" s="134">
        <v>4</v>
      </c>
      <c r="S7" s="384" t="str">
        <f>dtsiswa!D10</f>
        <v>Antonio Permata A</v>
      </c>
      <c r="T7" s="385" t="str">
        <f t="shared" si="5"/>
        <v xml:space="preserve">    </v>
      </c>
      <c r="U7" s="386" t="str">
        <f t="shared" si="6"/>
        <v xml:space="preserve">    </v>
      </c>
    </row>
    <row r="8" spans="1:21" ht="15.75" customHeight="1" x14ac:dyDescent="0.25">
      <c r="A8" s="134">
        <v>5</v>
      </c>
      <c r="B8" s="382" t="str">
        <f t="shared" si="0"/>
        <v>Arya Pratama G</v>
      </c>
      <c r="C8" s="383">
        <f>pjok_ki3!N31</f>
        <v>0</v>
      </c>
      <c r="D8" s="383">
        <f>pjok_ki3!O31</f>
        <v>0</v>
      </c>
      <c r="E8" s="383">
        <f>pjok_ki3!P31</f>
        <v>0</v>
      </c>
      <c r="F8" s="383">
        <f>pjok_ki3!Q31</f>
        <v>0</v>
      </c>
      <c r="G8" s="383">
        <f>pjok_ki3!R31</f>
        <v>0</v>
      </c>
      <c r="H8" s="668" t="str">
        <f t="shared" si="1"/>
        <v xml:space="preserve">  </v>
      </c>
      <c r="J8" s="134">
        <v>5</v>
      </c>
      <c r="K8" s="382" t="str">
        <f t="shared" si="2"/>
        <v>Arya Pratama G</v>
      </c>
      <c r="L8" s="383">
        <f>pjok_ki4!X31</f>
        <v>0</v>
      </c>
      <c r="M8" s="383">
        <f>pjok_ki4!Y31</f>
        <v>0</v>
      </c>
      <c r="N8" s="383">
        <f>pjok_ki4!Z31</f>
        <v>0</v>
      </c>
      <c r="O8" s="383">
        <f>pjok_ki4!AA31</f>
        <v>0</v>
      </c>
      <c r="P8" s="383">
        <f>pjok_ki4!AB31</f>
        <v>0</v>
      </c>
      <c r="Q8" s="669" t="str">
        <f t="shared" si="3"/>
        <v xml:space="preserve">  </v>
      </c>
      <c r="R8" s="134">
        <v>5</v>
      </c>
      <c r="S8" s="384" t="str">
        <f>dtsiswa!D11</f>
        <v>Arya Pratama G</v>
      </c>
      <c r="T8" s="385" t="str">
        <f t="shared" si="5"/>
        <v xml:space="preserve">    </v>
      </c>
      <c r="U8" s="386" t="str">
        <f t="shared" si="6"/>
        <v xml:space="preserve">    </v>
      </c>
    </row>
    <row r="9" spans="1:21" ht="15.95" customHeight="1" x14ac:dyDescent="0.25">
      <c r="A9" s="134">
        <v>6</v>
      </c>
      <c r="B9" s="382" t="str">
        <f t="shared" si="0"/>
        <v>Asyam Hanif Ihsan H</v>
      </c>
      <c r="C9" s="383">
        <f>pjok_ki3!N37</f>
        <v>0</v>
      </c>
      <c r="D9" s="383">
        <f>pjok_ki3!O37</f>
        <v>0</v>
      </c>
      <c r="E9" s="383">
        <f>pjok_ki3!P37</f>
        <v>0</v>
      </c>
      <c r="F9" s="383">
        <f>pjok_ki3!Q37</f>
        <v>0</v>
      </c>
      <c r="G9" s="383">
        <f>pjok_ki3!R37</f>
        <v>0</v>
      </c>
      <c r="H9" s="668" t="str">
        <f t="shared" si="1"/>
        <v xml:space="preserve">  </v>
      </c>
      <c r="J9" s="134">
        <v>6</v>
      </c>
      <c r="K9" s="382" t="str">
        <f t="shared" si="2"/>
        <v>Asyam Hanif Ihsan H</v>
      </c>
      <c r="L9" s="383">
        <f>pjok_ki4!X37</f>
        <v>0</v>
      </c>
      <c r="M9" s="383">
        <f>pjok_ki4!Y37</f>
        <v>0</v>
      </c>
      <c r="N9" s="383">
        <f>pjok_ki4!Z37</f>
        <v>0</v>
      </c>
      <c r="O9" s="383">
        <f>pjok_ki4!AA37</f>
        <v>0</v>
      </c>
      <c r="P9" s="383">
        <f>pjok_ki4!AB37</f>
        <v>0</v>
      </c>
      <c r="Q9" s="669" t="str">
        <f t="shared" si="3"/>
        <v xml:space="preserve">  </v>
      </c>
      <c r="R9" s="134">
        <v>6</v>
      </c>
      <c r="S9" s="384" t="str">
        <f>dtsiswa!D12</f>
        <v>Asyam Hanif Ihsan H</v>
      </c>
      <c r="T9" s="385" t="str">
        <f t="shared" si="5"/>
        <v xml:space="preserve">    </v>
      </c>
      <c r="U9" s="386" t="str">
        <f t="shared" si="6"/>
        <v xml:space="preserve">    </v>
      </c>
    </row>
    <row r="10" spans="1:21" ht="15.95" customHeight="1" x14ac:dyDescent="0.25">
      <c r="A10" s="134">
        <v>7</v>
      </c>
      <c r="B10" s="382" t="str">
        <f t="shared" si="0"/>
        <v>Athaya Salsabilla Z</v>
      </c>
      <c r="C10" s="383">
        <f>pjok_ki3!N43</f>
        <v>0</v>
      </c>
      <c r="D10" s="383">
        <f>pjok_ki3!O43</f>
        <v>0</v>
      </c>
      <c r="E10" s="383">
        <f>pjok_ki3!P43</f>
        <v>0</v>
      </c>
      <c r="F10" s="383">
        <f>pjok_ki3!Q43</f>
        <v>0</v>
      </c>
      <c r="G10" s="383">
        <f>pjok_ki3!R43</f>
        <v>0</v>
      </c>
      <c r="H10" s="668" t="str">
        <f t="shared" si="1"/>
        <v xml:space="preserve">  </v>
      </c>
      <c r="J10" s="134">
        <v>7</v>
      </c>
      <c r="K10" s="382" t="str">
        <f t="shared" si="2"/>
        <v>Athaya Salsabilla Z</v>
      </c>
      <c r="L10" s="383">
        <f>pjok_ki4!X43</f>
        <v>0</v>
      </c>
      <c r="M10" s="383">
        <f>pjok_ki4!Y43</f>
        <v>0</v>
      </c>
      <c r="N10" s="383">
        <f>pjok_ki4!Z43</f>
        <v>0</v>
      </c>
      <c r="O10" s="383">
        <f>pjok_ki4!AA43</f>
        <v>0</v>
      </c>
      <c r="P10" s="383">
        <f>pjok_ki4!AB43</f>
        <v>0</v>
      </c>
      <c r="Q10" s="669" t="str">
        <f t="shared" si="3"/>
        <v xml:space="preserve">  </v>
      </c>
      <c r="R10" s="134">
        <v>7</v>
      </c>
      <c r="S10" s="384" t="str">
        <f>dtsiswa!D13</f>
        <v>Athaya Salsabilla Z</v>
      </c>
      <c r="T10" s="385" t="str">
        <f t="shared" si="5"/>
        <v xml:space="preserve">    </v>
      </c>
      <c r="U10" s="386" t="str">
        <f t="shared" si="6"/>
        <v xml:space="preserve">    </v>
      </c>
    </row>
    <row r="11" spans="1:21" ht="15.95" customHeight="1" x14ac:dyDescent="0.25">
      <c r="A11" s="134">
        <v>8</v>
      </c>
      <c r="B11" s="382" t="str">
        <f t="shared" si="0"/>
        <v>Aulia Dea Rosalinda</v>
      </c>
      <c r="C11" s="383">
        <f>pjok_ki3!N49</f>
        <v>0</v>
      </c>
      <c r="D11" s="383">
        <f>pjok_ki3!O49</f>
        <v>0</v>
      </c>
      <c r="E11" s="383">
        <f>pjok_ki3!P49</f>
        <v>0</v>
      </c>
      <c r="F11" s="383">
        <f>pjok_ki3!Q49</f>
        <v>0</v>
      </c>
      <c r="G11" s="383">
        <f>pjok_ki3!R49</f>
        <v>0</v>
      </c>
      <c r="H11" s="668" t="str">
        <f t="shared" si="1"/>
        <v xml:space="preserve">  </v>
      </c>
      <c r="J11" s="134">
        <v>8</v>
      </c>
      <c r="K11" s="382" t="str">
        <f t="shared" si="2"/>
        <v>Aulia Dea Rosalinda</v>
      </c>
      <c r="L11" s="767">
        <f>pjok_ki4!X49</f>
        <v>0</v>
      </c>
      <c r="M11" s="767">
        <f>pjok_ki4!Y49</f>
        <v>0</v>
      </c>
      <c r="N11" s="767">
        <f>pjok_ki4!Z49</f>
        <v>0</v>
      </c>
      <c r="O11" s="767">
        <f>pjok_ki4!AA49</f>
        <v>0</v>
      </c>
      <c r="P11" s="767">
        <f>pjok_ki4!AB49</f>
        <v>0</v>
      </c>
      <c r="Q11" s="669" t="str">
        <f t="shared" si="3"/>
        <v xml:space="preserve">  </v>
      </c>
      <c r="R11" s="134">
        <v>8</v>
      </c>
      <c r="S11" s="384" t="str">
        <f>dtsiswa!D14</f>
        <v>Aulia Dea Rosalinda</v>
      </c>
      <c r="T11" s="385" t="str">
        <f t="shared" si="5"/>
        <v xml:space="preserve">    </v>
      </c>
      <c r="U11" s="386" t="str">
        <f t="shared" si="6"/>
        <v xml:space="preserve">    </v>
      </c>
    </row>
    <row r="12" spans="1:21" ht="15.95" customHeight="1" x14ac:dyDescent="0.25">
      <c r="A12" s="134">
        <v>9</v>
      </c>
      <c r="B12" s="382" t="str">
        <f t="shared" si="0"/>
        <v>Claudia Gabriella L</v>
      </c>
      <c r="C12" s="383">
        <f>pjok_ki3!N55</f>
        <v>0</v>
      </c>
      <c r="D12" s="383">
        <f>pjok_ki3!O55</f>
        <v>0</v>
      </c>
      <c r="E12" s="383">
        <f>pjok_ki3!P55</f>
        <v>0</v>
      </c>
      <c r="F12" s="383">
        <f>pjok_ki3!Q55</f>
        <v>0</v>
      </c>
      <c r="G12" s="383">
        <f>pjok_ki3!R55</f>
        <v>0</v>
      </c>
      <c r="H12" s="668" t="str">
        <f t="shared" si="1"/>
        <v xml:space="preserve">  </v>
      </c>
      <c r="J12" s="134">
        <v>9</v>
      </c>
      <c r="K12" s="382" t="str">
        <f t="shared" si="2"/>
        <v>Claudia Gabriella L</v>
      </c>
      <c r="L12" s="767">
        <f>pjok_ki4!X55</f>
        <v>0</v>
      </c>
      <c r="M12" s="767">
        <f>pjok_ki4!Y55</f>
        <v>0</v>
      </c>
      <c r="N12" s="767">
        <f>pjok_ki4!Z55</f>
        <v>0</v>
      </c>
      <c r="O12" s="767">
        <f>pjok_ki4!AA55</f>
        <v>0</v>
      </c>
      <c r="P12" s="767">
        <f>pjok_ki4!AB55</f>
        <v>0</v>
      </c>
      <c r="Q12" s="669" t="str">
        <f t="shared" si="3"/>
        <v xml:space="preserve">  </v>
      </c>
      <c r="R12" s="134">
        <v>9</v>
      </c>
      <c r="S12" s="384" t="str">
        <f>dtsiswa!D15</f>
        <v>Claudia Gabriella L</v>
      </c>
      <c r="T12" s="385" t="str">
        <f t="shared" si="5"/>
        <v xml:space="preserve">    </v>
      </c>
      <c r="U12" s="386" t="str">
        <f t="shared" si="6"/>
        <v xml:space="preserve">    </v>
      </c>
    </row>
    <row r="13" spans="1:21" ht="15.95" customHeight="1" x14ac:dyDescent="0.25">
      <c r="A13" s="134">
        <v>10</v>
      </c>
      <c r="B13" s="382" t="str">
        <f t="shared" si="0"/>
        <v xml:space="preserve">Deco Badarus Zaman </v>
      </c>
      <c r="C13" s="383">
        <f>pjok_ki3!N61</f>
        <v>0</v>
      </c>
      <c r="D13" s="383">
        <f>pjok_ki3!O61</f>
        <v>0</v>
      </c>
      <c r="E13" s="383">
        <f>pjok_ki3!P61</f>
        <v>0</v>
      </c>
      <c r="F13" s="383">
        <f>pjok_ki3!Q61</f>
        <v>0</v>
      </c>
      <c r="G13" s="383">
        <f>pjok_ki3!R61</f>
        <v>0</v>
      </c>
      <c r="H13" s="668" t="str">
        <f t="shared" si="1"/>
        <v xml:space="preserve">  </v>
      </c>
      <c r="J13" s="134">
        <v>10</v>
      </c>
      <c r="K13" s="382" t="str">
        <f t="shared" si="2"/>
        <v xml:space="preserve">Deco Badarus Zaman </v>
      </c>
      <c r="L13" s="767">
        <f>pjok_ki4!X61</f>
        <v>0</v>
      </c>
      <c r="M13" s="767">
        <f>pjok_ki4!Y61</f>
        <v>0</v>
      </c>
      <c r="N13" s="767">
        <f>pjok_ki4!Z61</f>
        <v>0</v>
      </c>
      <c r="O13" s="767">
        <f>pjok_ki4!AA61</f>
        <v>0</v>
      </c>
      <c r="P13" s="767">
        <f>pjok_ki4!AB61</f>
        <v>0</v>
      </c>
      <c r="Q13" s="669" t="str">
        <f t="shared" si="3"/>
        <v xml:space="preserve">  </v>
      </c>
      <c r="R13" s="134">
        <v>10</v>
      </c>
      <c r="S13" s="384" t="str">
        <f>dtsiswa!D16</f>
        <v xml:space="preserve">Deco Badarus Zaman </v>
      </c>
      <c r="T13" s="385" t="str">
        <f t="shared" si="5"/>
        <v xml:space="preserve">    </v>
      </c>
      <c r="U13" s="386" t="str">
        <f t="shared" si="6"/>
        <v xml:space="preserve">    </v>
      </c>
    </row>
    <row r="14" spans="1:21" ht="15.95" customHeight="1" x14ac:dyDescent="0.25">
      <c r="A14" s="134">
        <v>11</v>
      </c>
      <c r="B14" s="382" t="str">
        <f t="shared" si="0"/>
        <v>Fania Mutiara Felichia</v>
      </c>
      <c r="C14" s="383">
        <f>pjok_ki3!N67</f>
        <v>0</v>
      </c>
      <c r="D14" s="383">
        <f>pjok_ki3!O67</f>
        <v>0</v>
      </c>
      <c r="E14" s="383">
        <f>pjok_ki3!P67</f>
        <v>0</v>
      </c>
      <c r="F14" s="383">
        <f>pjok_ki3!Q67</f>
        <v>0</v>
      </c>
      <c r="G14" s="383">
        <f>pjok_ki3!R67</f>
        <v>0</v>
      </c>
      <c r="H14" s="668" t="str">
        <f t="shared" si="1"/>
        <v xml:space="preserve">  </v>
      </c>
      <c r="J14" s="134">
        <v>11</v>
      </c>
      <c r="K14" s="382" t="str">
        <f t="shared" si="2"/>
        <v>Fania Mutiara Felichia</v>
      </c>
      <c r="L14" s="767">
        <f>pjok_ki4!X67</f>
        <v>0</v>
      </c>
      <c r="M14" s="767">
        <f>pjok_ki4!Y67</f>
        <v>0</v>
      </c>
      <c r="N14" s="767">
        <f>pjok_ki4!Z67</f>
        <v>0</v>
      </c>
      <c r="O14" s="767">
        <f>pjok_ki4!AA67</f>
        <v>0</v>
      </c>
      <c r="P14" s="767">
        <f>pjok_ki4!AB67</f>
        <v>0</v>
      </c>
      <c r="Q14" s="669" t="str">
        <f t="shared" si="3"/>
        <v xml:space="preserve">  </v>
      </c>
      <c r="R14" s="134">
        <v>11</v>
      </c>
      <c r="S14" s="384" t="str">
        <f>dtsiswa!D17</f>
        <v>Fania Mutiara Felichia</v>
      </c>
      <c r="T14" s="385" t="str">
        <f t="shared" si="5"/>
        <v xml:space="preserve">    </v>
      </c>
      <c r="U14" s="386" t="str">
        <f t="shared" si="6"/>
        <v xml:space="preserve">    </v>
      </c>
    </row>
    <row r="15" spans="1:21" ht="15.95" customHeight="1" x14ac:dyDescent="0.25">
      <c r="A15" s="134">
        <v>12</v>
      </c>
      <c r="B15" s="382" t="str">
        <f t="shared" si="0"/>
        <v>Intan Dyah Nowari</v>
      </c>
      <c r="C15" s="383">
        <f>pjok_ki3!N73</f>
        <v>0</v>
      </c>
      <c r="D15" s="383">
        <f>pjok_ki3!O73</f>
        <v>0</v>
      </c>
      <c r="E15" s="383">
        <f>pjok_ki3!P73</f>
        <v>0</v>
      </c>
      <c r="F15" s="383">
        <f>pjok_ki3!Q73</f>
        <v>0</v>
      </c>
      <c r="G15" s="383">
        <f>pjok_ki3!R73</f>
        <v>0</v>
      </c>
      <c r="H15" s="668" t="str">
        <f t="shared" si="1"/>
        <v xml:space="preserve">  </v>
      </c>
      <c r="J15" s="134">
        <v>12</v>
      </c>
      <c r="K15" s="382" t="str">
        <f t="shared" si="2"/>
        <v>Intan Dyah Nowari</v>
      </c>
      <c r="L15" s="767">
        <f>pjok_ki4!X73</f>
        <v>0</v>
      </c>
      <c r="M15" s="767">
        <f>pjok_ki4!Y73</f>
        <v>0</v>
      </c>
      <c r="N15" s="767">
        <f>pjok_ki4!Z73</f>
        <v>0</v>
      </c>
      <c r="O15" s="767">
        <f>pjok_ki4!AA73</f>
        <v>0</v>
      </c>
      <c r="P15" s="767">
        <f>pjok_ki4!AB73</f>
        <v>0</v>
      </c>
      <c r="Q15" s="669" t="str">
        <f t="shared" si="3"/>
        <v xml:space="preserve">  </v>
      </c>
      <c r="R15" s="134">
        <v>12</v>
      </c>
      <c r="S15" s="384" t="str">
        <f>dtsiswa!D18</f>
        <v>Intan Dyah Nowari</v>
      </c>
      <c r="T15" s="385" t="str">
        <f t="shared" si="5"/>
        <v xml:space="preserve">    </v>
      </c>
      <c r="U15" s="386" t="str">
        <f t="shared" si="6"/>
        <v xml:space="preserve">    </v>
      </c>
    </row>
    <row r="16" spans="1:21" ht="15.95" customHeight="1" x14ac:dyDescent="0.25">
      <c r="A16" s="134">
        <v>13</v>
      </c>
      <c r="B16" s="382" t="str">
        <f t="shared" si="0"/>
        <v>Misyanita Nurfitri S</v>
      </c>
      <c r="C16" s="383">
        <f>pjok_ki3!N79</f>
        <v>0</v>
      </c>
      <c r="D16" s="383">
        <f>pjok_ki3!O79</f>
        <v>0</v>
      </c>
      <c r="E16" s="383">
        <f>pjok_ki3!P79</f>
        <v>0</v>
      </c>
      <c r="F16" s="383">
        <f>pjok_ki3!Q79</f>
        <v>0</v>
      </c>
      <c r="G16" s="383">
        <f>pjok_ki3!R79</f>
        <v>0</v>
      </c>
      <c r="H16" s="668" t="str">
        <f t="shared" si="1"/>
        <v xml:space="preserve">  </v>
      </c>
      <c r="J16" s="134">
        <v>13</v>
      </c>
      <c r="K16" s="382" t="str">
        <f t="shared" si="2"/>
        <v>Misyanita Nurfitri S</v>
      </c>
      <c r="L16" s="767">
        <f>pjok_ki4!X79</f>
        <v>0</v>
      </c>
      <c r="M16" s="767">
        <f>pjok_ki4!Y79</f>
        <v>0</v>
      </c>
      <c r="N16" s="767">
        <f>pjok_ki4!Z79</f>
        <v>0</v>
      </c>
      <c r="O16" s="767">
        <f>pjok_ki4!AA79</f>
        <v>0</v>
      </c>
      <c r="P16" s="767">
        <f>pjok_ki4!AB79</f>
        <v>0</v>
      </c>
      <c r="Q16" s="669" t="str">
        <f t="shared" si="3"/>
        <v xml:space="preserve">  </v>
      </c>
      <c r="R16" s="134">
        <v>13</v>
      </c>
      <c r="S16" s="384" t="str">
        <f>dtsiswa!D19</f>
        <v>Misyanita Nurfitri S</v>
      </c>
      <c r="T16" s="385" t="str">
        <f t="shared" si="5"/>
        <v xml:space="preserve">    </v>
      </c>
      <c r="U16" s="386" t="str">
        <f t="shared" si="6"/>
        <v xml:space="preserve">    </v>
      </c>
    </row>
    <row r="17" spans="1:21" ht="15.95" customHeight="1" x14ac:dyDescent="0.25">
      <c r="A17" s="134">
        <v>14</v>
      </c>
      <c r="B17" s="382" t="str">
        <f t="shared" si="0"/>
        <v>Moch Zidane Hita L. U</v>
      </c>
      <c r="C17" s="383">
        <f>pjok_ki3!N85</f>
        <v>0</v>
      </c>
      <c r="D17" s="383">
        <f>pjok_ki3!O85</f>
        <v>0</v>
      </c>
      <c r="E17" s="383">
        <f>pjok_ki3!P85</f>
        <v>0</v>
      </c>
      <c r="F17" s="383">
        <f>pjok_ki3!Q85</f>
        <v>0</v>
      </c>
      <c r="G17" s="383">
        <f>pjok_ki3!R85</f>
        <v>0</v>
      </c>
      <c r="H17" s="668" t="str">
        <f t="shared" si="1"/>
        <v xml:space="preserve">  </v>
      </c>
      <c r="J17" s="134">
        <v>14</v>
      </c>
      <c r="K17" s="382" t="str">
        <f t="shared" si="2"/>
        <v>Moch Zidane Hita L. U</v>
      </c>
      <c r="L17" s="767">
        <f>pjok_ki4!X85</f>
        <v>0</v>
      </c>
      <c r="M17" s="767">
        <f>pjok_ki4!Y85</f>
        <v>0</v>
      </c>
      <c r="N17" s="767">
        <f>pjok_ki4!Z85</f>
        <v>0</v>
      </c>
      <c r="O17" s="767">
        <f>pjok_ki4!AA85</f>
        <v>0</v>
      </c>
      <c r="P17" s="767">
        <f>pjok_ki4!AB85</f>
        <v>0</v>
      </c>
      <c r="Q17" s="669" t="str">
        <f t="shared" si="3"/>
        <v xml:space="preserve">  </v>
      </c>
      <c r="R17" s="134">
        <v>14</v>
      </c>
      <c r="S17" s="384" t="str">
        <f>dtsiswa!D20</f>
        <v>Moch Zidane Hita L. U</v>
      </c>
      <c r="T17" s="385" t="str">
        <f t="shared" si="5"/>
        <v xml:space="preserve">    </v>
      </c>
      <c r="U17" s="386" t="str">
        <f t="shared" si="6"/>
        <v xml:space="preserve">    </v>
      </c>
    </row>
    <row r="18" spans="1:21" ht="15.95" customHeight="1" x14ac:dyDescent="0.25">
      <c r="A18" s="134">
        <v>15</v>
      </c>
      <c r="B18" s="382" t="str">
        <f t="shared" si="0"/>
        <v>Muhammad Ibra Maulana</v>
      </c>
      <c r="C18" s="383">
        <f>pjok_ki3!N91</f>
        <v>0</v>
      </c>
      <c r="D18" s="383">
        <f>pjok_ki3!O91</f>
        <v>0</v>
      </c>
      <c r="E18" s="383">
        <f>pjok_ki3!P91</f>
        <v>0</v>
      </c>
      <c r="F18" s="383">
        <f>pjok_ki3!Q91</f>
        <v>0</v>
      </c>
      <c r="G18" s="383">
        <f>pjok_ki3!R91</f>
        <v>0</v>
      </c>
      <c r="H18" s="668" t="str">
        <f t="shared" si="1"/>
        <v xml:space="preserve">  </v>
      </c>
      <c r="J18" s="134">
        <v>15</v>
      </c>
      <c r="K18" s="382" t="str">
        <f t="shared" si="2"/>
        <v>Muhammad Ibra Maulana</v>
      </c>
      <c r="L18" s="767">
        <f>pjok_ki4!X91</f>
        <v>0</v>
      </c>
      <c r="M18" s="767">
        <f>pjok_ki4!Y91</f>
        <v>0</v>
      </c>
      <c r="N18" s="767">
        <f>pjok_ki4!Z91</f>
        <v>0</v>
      </c>
      <c r="O18" s="767">
        <f>pjok_ki4!AA91</f>
        <v>0</v>
      </c>
      <c r="P18" s="767">
        <f>pjok_ki4!AB91</f>
        <v>0</v>
      </c>
      <c r="Q18" s="669" t="str">
        <f t="shared" si="3"/>
        <v xml:space="preserve">  </v>
      </c>
      <c r="R18" s="134">
        <v>15</v>
      </c>
      <c r="S18" s="384" t="str">
        <f>dtsiswa!D21</f>
        <v>Muhammad Ibra Maulana</v>
      </c>
      <c r="T18" s="385" t="str">
        <f t="shared" si="5"/>
        <v xml:space="preserve">    </v>
      </c>
      <c r="U18" s="386" t="str">
        <f t="shared" si="6"/>
        <v xml:space="preserve">    </v>
      </c>
    </row>
    <row r="19" spans="1:21" ht="15.95" customHeight="1" x14ac:dyDescent="0.25">
      <c r="A19" s="134">
        <v>16</v>
      </c>
      <c r="B19" s="382" t="str">
        <f t="shared" si="0"/>
        <v>Nabilla Shiva Putri</v>
      </c>
      <c r="C19" s="383">
        <f>pjok_ki3!N97</f>
        <v>0</v>
      </c>
      <c r="D19" s="383">
        <f>pjok_ki3!O97</f>
        <v>0</v>
      </c>
      <c r="E19" s="383">
        <f>pjok_ki3!P97</f>
        <v>0</v>
      </c>
      <c r="F19" s="383">
        <f>pjok_ki3!Q97</f>
        <v>0</v>
      </c>
      <c r="G19" s="383">
        <f>pjok_ki3!R97</f>
        <v>0</v>
      </c>
      <c r="H19" s="668" t="str">
        <f t="shared" si="1"/>
        <v xml:space="preserve">  </v>
      </c>
      <c r="J19" s="134">
        <v>16</v>
      </c>
      <c r="K19" s="382" t="str">
        <f t="shared" si="2"/>
        <v>Nabilla Shiva Putri</v>
      </c>
      <c r="L19" s="767">
        <f>pjok_ki4!X97</f>
        <v>0</v>
      </c>
      <c r="M19" s="767">
        <f>pjok_ki4!Y97</f>
        <v>0</v>
      </c>
      <c r="N19" s="767">
        <f>pjok_ki4!Z97</f>
        <v>0</v>
      </c>
      <c r="O19" s="767">
        <f>pjok_ki4!AA97</f>
        <v>0</v>
      </c>
      <c r="P19" s="767">
        <f>pjok_ki4!AB97</f>
        <v>0</v>
      </c>
      <c r="Q19" s="669" t="str">
        <f t="shared" si="3"/>
        <v xml:space="preserve">  </v>
      </c>
      <c r="R19" s="134">
        <v>16</v>
      </c>
      <c r="S19" s="384" t="str">
        <f>dtsiswa!D22</f>
        <v>Nabilla Shiva Putri</v>
      </c>
      <c r="T19" s="385" t="str">
        <f t="shared" si="5"/>
        <v xml:space="preserve">    </v>
      </c>
      <c r="U19" s="386" t="str">
        <f t="shared" si="6"/>
        <v xml:space="preserve">    </v>
      </c>
    </row>
    <row r="20" spans="1:21" ht="15.95" customHeight="1" x14ac:dyDescent="0.25">
      <c r="A20" s="134">
        <v>17</v>
      </c>
      <c r="B20" s="382" t="str">
        <f t="shared" si="0"/>
        <v>Naufal Falih F</v>
      </c>
      <c r="C20" s="383">
        <f>pjok_ki3!N103</f>
        <v>0</v>
      </c>
      <c r="D20" s="383">
        <f>pjok_ki3!O103</f>
        <v>0</v>
      </c>
      <c r="E20" s="383">
        <f>pjok_ki3!P103</f>
        <v>0</v>
      </c>
      <c r="F20" s="383">
        <f>pjok_ki3!Q103</f>
        <v>0</v>
      </c>
      <c r="G20" s="383">
        <f>pjok_ki3!R103</f>
        <v>0</v>
      </c>
      <c r="H20" s="668" t="str">
        <f t="shared" si="1"/>
        <v xml:space="preserve">  </v>
      </c>
      <c r="J20" s="134">
        <v>17</v>
      </c>
      <c r="K20" s="382" t="str">
        <f t="shared" si="2"/>
        <v>Naufal Falih F</v>
      </c>
      <c r="L20" s="767">
        <f>pjok_ki4!X103</f>
        <v>0</v>
      </c>
      <c r="M20" s="767">
        <f>pjok_ki4!Y103</f>
        <v>0</v>
      </c>
      <c r="N20" s="767">
        <f>pjok_ki4!Z103</f>
        <v>0</v>
      </c>
      <c r="O20" s="767">
        <f>pjok_ki4!AA103</f>
        <v>0</v>
      </c>
      <c r="P20" s="767">
        <f>pjok_ki4!AB103</f>
        <v>0</v>
      </c>
      <c r="Q20" s="669" t="str">
        <f t="shared" si="3"/>
        <v xml:space="preserve">  </v>
      </c>
      <c r="R20" s="134">
        <v>17</v>
      </c>
      <c r="S20" s="384" t="str">
        <f>dtsiswa!D23</f>
        <v>Naufal Falih F</v>
      </c>
      <c r="T20" s="385" t="str">
        <f t="shared" si="5"/>
        <v xml:space="preserve">    </v>
      </c>
      <c r="U20" s="386" t="str">
        <f t="shared" si="6"/>
        <v xml:space="preserve">    </v>
      </c>
    </row>
    <row r="21" spans="1:21" ht="15.95" customHeight="1" x14ac:dyDescent="0.25">
      <c r="A21" s="134">
        <v>18</v>
      </c>
      <c r="B21" s="382" t="str">
        <f t="shared" si="0"/>
        <v>Nayla Annora Nobel W</v>
      </c>
      <c r="C21" s="383">
        <f>pjok_ki3!N109</f>
        <v>0</v>
      </c>
      <c r="D21" s="383">
        <f>pjok_ki3!O109</f>
        <v>0</v>
      </c>
      <c r="E21" s="383">
        <f>pjok_ki3!P109</f>
        <v>0</v>
      </c>
      <c r="F21" s="383">
        <f>pjok_ki3!Q109</f>
        <v>0</v>
      </c>
      <c r="G21" s="383">
        <f>pjok_ki3!R109</f>
        <v>0</v>
      </c>
      <c r="H21" s="668" t="str">
        <f t="shared" si="1"/>
        <v xml:space="preserve">  </v>
      </c>
      <c r="J21" s="134">
        <v>18</v>
      </c>
      <c r="K21" s="382" t="str">
        <f t="shared" si="2"/>
        <v>Nayla Annora Nobel W</v>
      </c>
      <c r="L21" s="767">
        <f>pjok_ki4!X109</f>
        <v>0</v>
      </c>
      <c r="M21" s="767">
        <f>pjok_ki4!Y109</f>
        <v>0</v>
      </c>
      <c r="N21" s="767">
        <f>pjok_ki4!Z109</f>
        <v>0</v>
      </c>
      <c r="O21" s="767">
        <f>pjok_ki4!AA109</f>
        <v>0</v>
      </c>
      <c r="P21" s="767">
        <f>pjok_ki4!AB109</f>
        <v>0</v>
      </c>
      <c r="Q21" s="669" t="str">
        <f t="shared" si="3"/>
        <v xml:space="preserve">  </v>
      </c>
      <c r="R21" s="134">
        <v>18</v>
      </c>
      <c r="S21" s="384" t="str">
        <f>dtsiswa!D24</f>
        <v>Nayla Annora Nobel W</v>
      </c>
      <c r="T21" s="385" t="str">
        <f t="shared" si="5"/>
        <v xml:space="preserve">    </v>
      </c>
      <c r="U21" s="386" t="str">
        <f t="shared" si="6"/>
        <v xml:space="preserve">    </v>
      </c>
    </row>
    <row r="22" spans="1:21" ht="15.95" customHeight="1" x14ac:dyDescent="0.25">
      <c r="A22" s="134">
        <v>19</v>
      </c>
      <c r="B22" s="382" t="str">
        <f t="shared" si="0"/>
        <v>Raihan Danang P</v>
      </c>
      <c r="C22" s="383">
        <f>pjok_ki3!N115</f>
        <v>0</v>
      </c>
      <c r="D22" s="383">
        <f>pjok_ki3!O115</f>
        <v>0</v>
      </c>
      <c r="E22" s="383">
        <f>pjok_ki3!P115</f>
        <v>0</v>
      </c>
      <c r="F22" s="383">
        <f>pjok_ki3!Q115</f>
        <v>0</v>
      </c>
      <c r="G22" s="383">
        <f>pjok_ki3!R115</f>
        <v>0</v>
      </c>
      <c r="H22" s="668" t="str">
        <f t="shared" si="1"/>
        <v xml:space="preserve">  </v>
      </c>
      <c r="J22" s="134">
        <v>19</v>
      </c>
      <c r="K22" s="382" t="str">
        <f t="shared" si="2"/>
        <v>Raihan Danang P</v>
      </c>
      <c r="L22" s="767">
        <f>pjok_ki4!X115</f>
        <v>0</v>
      </c>
      <c r="M22" s="767">
        <f>pjok_ki4!Y115</f>
        <v>0</v>
      </c>
      <c r="N22" s="767">
        <f>pjok_ki4!Z115</f>
        <v>0</v>
      </c>
      <c r="O22" s="767">
        <f>pjok_ki4!AA115</f>
        <v>0</v>
      </c>
      <c r="P22" s="767">
        <f>pjok_ki4!AB115</f>
        <v>0</v>
      </c>
      <c r="Q22" s="669" t="str">
        <f t="shared" si="3"/>
        <v xml:space="preserve">  </v>
      </c>
      <c r="R22" s="134">
        <v>19</v>
      </c>
      <c r="S22" s="384" t="str">
        <f>dtsiswa!D25</f>
        <v>Raihan Danang P</v>
      </c>
      <c r="T22" s="385" t="str">
        <f t="shared" si="5"/>
        <v xml:space="preserve">    </v>
      </c>
      <c r="U22" s="386" t="str">
        <f t="shared" si="6"/>
        <v xml:space="preserve">    </v>
      </c>
    </row>
    <row r="23" spans="1:21" ht="15.95" customHeight="1" x14ac:dyDescent="0.25">
      <c r="A23" s="134">
        <v>20</v>
      </c>
      <c r="B23" s="382" t="str">
        <f t="shared" si="0"/>
        <v>Roby Ardiyansyah</v>
      </c>
      <c r="C23" s="383">
        <f>pjok_ki3!N121</f>
        <v>0</v>
      </c>
      <c r="D23" s="383">
        <f>pjok_ki3!O121</f>
        <v>0</v>
      </c>
      <c r="E23" s="383">
        <f>pjok_ki3!P121</f>
        <v>0</v>
      </c>
      <c r="F23" s="383">
        <f>pjok_ki3!Q121</f>
        <v>0</v>
      </c>
      <c r="G23" s="383">
        <f>pjok_ki3!R121</f>
        <v>0</v>
      </c>
      <c r="H23" s="668" t="str">
        <f t="shared" si="1"/>
        <v xml:space="preserve">  </v>
      </c>
      <c r="J23" s="134">
        <v>20</v>
      </c>
      <c r="K23" s="382" t="str">
        <f t="shared" si="2"/>
        <v>Roby Ardiyansyah</v>
      </c>
      <c r="L23" s="767">
        <f>pjok_ki4!X121</f>
        <v>0</v>
      </c>
      <c r="M23" s="767">
        <f>pjok_ki4!Y121</f>
        <v>0</v>
      </c>
      <c r="N23" s="767">
        <f>pjok_ki4!Z121</f>
        <v>0</v>
      </c>
      <c r="O23" s="767">
        <f>pjok_ki4!AA121</f>
        <v>0</v>
      </c>
      <c r="P23" s="767">
        <f>pjok_ki4!AB121</f>
        <v>0</v>
      </c>
      <c r="Q23" s="669" t="str">
        <f t="shared" si="3"/>
        <v xml:space="preserve">  </v>
      </c>
      <c r="R23" s="134">
        <v>20</v>
      </c>
      <c r="S23" s="384" t="str">
        <f>dtsiswa!D26</f>
        <v>Roby Ardiyansyah</v>
      </c>
      <c r="T23" s="385" t="str">
        <f t="shared" si="5"/>
        <v xml:space="preserve">    </v>
      </c>
      <c r="U23" s="386" t="str">
        <f t="shared" si="6"/>
        <v xml:space="preserve">    </v>
      </c>
    </row>
    <row r="24" spans="1:21" ht="15.95" customHeight="1" x14ac:dyDescent="0.25">
      <c r="A24" s="134">
        <v>21</v>
      </c>
      <c r="B24" s="382" t="str">
        <f t="shared" si="0"/>
        <v>Rojalingga Prana A</v>
      </c>
      <c r="C24" s="383">
        <f>pjok_ki3!N127</f>
        <v>0</v>
      </c>
      <c r="D24" s="383">
        <f>pjok_ki3!O127</f>
        <v>0</v>
      </c>
      <c r="E24" s="383">
        <f>pjok_ki3!P127</f>
        <v>0</v>
      </c>
      <c r="F24" s="383">
        <f>pjok_ki3!Q127</f>
        <v>0</v>
      </c>
      <c r="G24" s="383">
        <f>pjok_ki3!R127</f>
        <v>0</v>
      </c>
      <c r="H24" s="668" t="str">
        <f t="shared" si="1"/>
        <v xml:space="preserve">  </v>
      </c>
      <c r="J24" s="134">
        <v>21</v>
      </c>
      <c r="K24" s="382" t="str">
        <f t="shared" si="2"/>
        <v>Rojalingga Prana A</v>
      </c>
      <c r="L24" s="767">
        <f>pjok_ki4!X127</f>
        <v>0</v>
      </c>
      <c r="M24" s="767">
        <f>pjok_ki4!Y127</f>
        <v>0</v>
      </c>
      <c r="N24" s="767">
        <f>pjok_ki4!Z127</f>
        <v>0</v>
      </c>
      <c r="O24" s="767">
        <f>pjok_ki4!AA127</f>
        <v>0</v>
      </c>
      <c r="P24" s="767">
        <f>pjok_ki4!AB127</f>
        <v>0</v>
      </c>
      <c r="Q24" s="669" t="str">
        <f t="shared" si="3"/>
        <v xml:space="preserve">  </v>
      </c>
      <c r="R24" s="134">
        <v>21</v>
      </c>
      <c r="S24" s="384" t="str">
        <f>dtsiswa!D27</f>
        <v>Rojalingga Prana A</v>
      </c>
      <c r="T24" s="385" t="str">
        <f t="shared" si="5"/>
        <v xml:space="preserve">    </v>
      </c>
      <c r="U24" s="386" t="str">
        <f t="shared" si="6"/>
        <v xml:space="preserve">    </v>
      </c>
    </row>
    <row r="25" spans="1:21" ht="15.95" customHeight="1" x14ac:dyDescent="0.25">
      <c r="A25" s="134">
        <v>22</v>
      </c>
      <c r="B25" s="382" t="str">
        <f t="shared" si="0"/>
        <v>Sally Savista A</v>
      </c>
      <c r="C25" s="383">
        <f>pjok_ki3!N133</f>
        <v>0</v>
      </c>
      <c r="D25" s="383">
        <f>pjok_ki3!O133</f>
        <v>0</v>
      </c>
      <c r="E25" s="383">
        <f>pjok_ki3!P133</f>
        <v>0</v>
      </c>
      <c r="F25" s="383">
        <f>pjok_ki3!Q133</f>
        <v>0</v>
      </c>
      <c r="G25" s="383">
        <f>pjok_ki3!R133</f>
        <v>0</v>
      </c>
      <c r="H25" s="668" t="str">
        <f t="shared" si="1"/>
        <v xml:space="preserve">  </v>
      </c>
      <c r="J25" s="134">
        <v>22</v>
      </c>
      <c r="K25" s="382" t="str">
        <f t="shared" si="2"/>
        <v>Sally Savista A</v>
      </c>
      <c r="L25" s="767">
        <f>pjok_ki4!X139</f>
        <v>0</v>
      </c>
      <c r="M25" s="767">
        <f>pjok_ki4!Y139</f>
        <v>0</v>
      </c>
      <c r="N25" s="767">
        <f>pjok_ki4!Z139</f>
        <v>0</v>
      </c>
      <c r="O25" s="767">
        <f>pjok_ki4!AA139</f>
        <v>0</v>
      </c>
      <c r="P25" s="767">
        <f>pjok_ki4!AB139</f>
        <v>0</v>
      </c>
      <c r="Q25" s="669" t="str">
        <f t="shared" si="3"/>
        <v xml:space="preserve">  </v>
      </c>
      <c r="R25" s="134">
        <v>22</v>
      </c>
      <c r="S25" s="384" t="str">
        <f>dtsiswa!D28</f>
        <v>Sally Savista A</v>
      </c>
      <c r="T25" s="385" t="str">
        <f t="shared" si="5"/>
        <v xml:space="preserve">    </v>
      </c>
      <c r="U25" s="386" t="str">
        <f t="shared" si="6"/>
        <v xml:space="preserve">    </v>
      </c>
    </row>
    <row r="26" spans="1:21" ht="15.95" customHeight="1" x14ac:dyDescent="0.25">
      <c r="A26" s="134">
        <v>23</v>
      </c>
      <c r="B26" s="382" t="str">
        <f t="shared" si="0"/>
        <v xml:space="preserve">Tania Kaori Angelita </v>
      </c>
      <c r="C26" s="383">
        <f>pjok_ki3!N139</f>
        <v>0</v>
      </c>
      <c r="D26" s="383">
        <f>pjok_ki3!O139</f>
        <v>0</v>
      </c>
      <c r="E26" s="383">
        <f>pjok_ki3!P139</f>
        <v>0</v>
      </c>
      <c r="F26" s="383">
        <f>pjok_ki3!Q139</f>
        <v>0</v>
      </c>
      <c r="G26" s="383">
        <f>pjok_ki3!R139</f>
        <v>0</v>
      </c>
      <c r="H26" s="668" t="str">
        <f t="shared" si="1"/>
        <v xml:space="preserve">  </v>
      </c>
      <c r="J26" s="134">
        <v>23</v>
      </c>
      <c r="K26" s="382" t="str">
        <f t="shared" si="2"/>
        <v xml:space="preserve">Tania Kaori Angelita </v>
      </c>
      <c r="L26" s="767">
        <f>pjok_ki4!X139</f>
        <v>0</v>
      </c>
      <c r="M26" s="767">
        <f>pjok_ki4!Y139</f>
        <v>0</v>
      </c>
      <c r="N26" s="767">
        <f>pjok_ki4!Z139</f>
        <v>0</v>
      </c>
      <c r="O26" s="767">
        <f>pjok_ki4!AA139</f>
        <v>0</v>
      </c>
      <c r="P26" s="767">
        <f>pjok_ki4!AB139</f>
        <v>0</v>
      </c>
      <c r="Q26" s="669" t="str">
        <f t="shared" si="3"/>
        <v xml:space="preserve">  </v>
      </c>
      <c r="R26" s="134">
        <v>23</v>
      </c>
      <c r="S26" s="384" t="str">
        <f>dtsiswa!D29</f>
        <v xml:space="preserve">Tania Kaori Angelita </v>
      </c>
      <c r="T26" s="385" t="str">
        <f t="shared" si="5"/>
        <v xml:space="preserve">    </v>
      </c>
      <c r="U26" s="386" t="str">
        <f t="shared" si="6"/>
        <v xml:space="preserve">    </v>
      </c>
    </row>
    <row r="27" spans="1:21" ht="15.95" customHeight="1" x14ac:dyDescent="0.25">
      <c r="A27" s="134">
        <v>24</v>
      </c>
      <c r="B27" s="382" t="str">
        <f t="shared" si="0"/>
        <v>Romzy Oka Ramadhani P</v>
      </c>
      <c r="C27" s="383">
        <f>pjok_ki3!N145</f>
        <v>0</v>
      </c>
      <c r="D27" s="383">
        <f>pjok_ki3!O145</f>
        <v>0</v>
      </c>
      <c r="E27" s="383">
        <f>pjok_ki3!P145</f>
        <v>0</v>
      </c>
      <c r="F27" s="383">
        <f>pjok_ki3!Q145</f>
        <v>0</v>
      </c>
      <c r="G27" s="383">
        <f>pjok_ki3!R145</f>
        <v>0</v>
      </c>
      <c r="H27" s="668" t="str">
        <f t="shared" si="1"/>
        <v xml:space="preserve">  </v>
      </c>
      <c r="J27" s="134">
        <v>24</v>
      </c>
      <c r="K27" s="382" t="str">
        <f t="shared" si="2"/>
        <v>Romzy Oka Ramadhani P</v>
      </c>
      <c r="L27" s="767">
        <f>pjok_ki4!X145</f>
        <v>0</v>
      </c>
      <c r="M27" s="767">
        <f>pjok_ki4!Y145</f>
        <v>0</v>
      </c>
      <c r="N27" s="767">
        <f>pjok_ki4!Z145</f>
        <v>0</v>
      </c>
      <c r="O27" s="767">
        <f>pjok_ki4!AA145</f>
        <v>0</v>
      </c>
      <c r="P27" s="767">
        <f>pjok_ki4!AB145</f>
        <v>0</v>
      </c>
      <c r="Q27" s="669" t="str">
        <f t="shared" si="3"/>
        <v xml:space="preserve">  </v>
      </c>
      <c r="R27" s="134">
        <v>24</v>
      </c>
      <c r="S27" s="384" t="str">
        <f>dtsiswa!D30</f>
        <v>Romzy Oka Ramadhani P</v>
      </c>
      <c r="T27" s="385" t="str">
        <f t="shared" si="5"/>
        <v xml:space="preserve">    </v>
      </c>
      <c r="U27" s="386" t="str">
        <f t="shared" si="6"/>
        <v xml:space="preserve">    </v>
      </c>
    </row>
    <row r="28" spans="1:21" ht="15.95" customHeight="1" x14ac:dyDescent="0.25">
      <c r="A28" s="134">
        <v>25</v>
      </c>
      <c r="B28" s="382" t="str">
        <f t="shared" si="0"/>
        <v>Larasati Jagadhita P</v>
      </c>
      <c r="C28" s="383">
        <f>pjok_ki3!N151</f>
        <v>0</v>
      </c>
      <c r="D28" s="383">
        <f>pjok_ki3!O151</f>
        <v>0</v>
      </c>
      <c r="E28" s="383">
        <f>pjok_ki3!P151</f>
        <v>0</v>
      </c>
      <c r="F28" s="383">
        <f>pjok_ki3!Q151</f>
        <v>0</v>
      </c>
      <c r="G28" s="383">
        <f>pjok_ki3!R151</f>
        <v>0</v>
      </c>
      <c r="H28" s="668" t="str">
        <f t="shared" si="1"/>
        <v xml:space="preserve">  </v>
      </c>
      <c r="J28" s="134">
        <v>25</v>
      </c>
      <c r="K28" s="382" t="str">
        <f t="shared" si="2"/>
        <v>Larasati Jagadhita P</v>
      </c>
      <c r="L28" s="767">
        <f>pjok_ki4!X151</f>
        <v>0</v>
      </c>
      <c r="M28" s="767">
        <f>pjok_ki4!Y151</f>
        <v>0</v>
      </c>
      <c r="N28" s="767">
        <f>pjok_ki4!Z151</f>
        <v>0</v>
      </c>
      <c r="O28" s="767">
        <f>pjok_ki4!AA151</f>
        <v>0</v>
      </c>
      <c r="P28" s="767">
        <f>pjok_ki4!AB151</f>
        <v>0</v>
      </c>
      <c r="Q28" s="669" t="str">
        <f t="shared" si="3"/>
        <v xml:space="preserve">  </v>
      </c>
      <c r="R28" s="134">
        <v>25</v>
      </c>
      <c r="S28" s="384" t="str">
        <f>dtsiswa!D31</f>
        <v>Larasati Jagadhita P</v>
      </c>
      <c r="T28" s="385" t="str">
        <f t="shared" si="5"/>
        <v xml:space="preserve">    </v>
      </c>
      <c r="U28" s="386" t="str">
        <f t="shared" si="6"/>
        <v xml:space="preserve">    </v>
      </c>
    </row>
    <row r="29" spans="1:21" ht="15.95" customHeight="1" x14ac:dyDescent="0.25">
      <c r="A29" s="134">
        <v>26</v>
      </c>
      <c r="B29" s="382" t="str">
        <f t="shared" si="0"/>
        <v>Meliana Citra A</v>
      </c>
      <c r="C29" s="383">
        <f>pjok_ki3!N157</f>
        <v>0</v>
      </c>
      <c r="D29" s="383">
        <f>pjok_ki3!O157</f>
        <v>0</v>
      </c>
      <c r="E29" s="383">
        <f>pjok_ki3!P157</f>
        <v>0</v>
      </c>
      <c r="F29" s="383">
        <f>pjok_ki3!Q157</f>
        <v>0</v>
      </c>
      <c r="G29" s="383">
        <f>pjok_ki3!R157</f>
        <v>0</v>
      </c>
      <c r="H29" s="668" t="str">
        <f t="shared" si="1"/>
        <v xml:space="preserve">  </v>
      </c>
      <c r="J29" s="134">
        <v>26</v>
      </c>
      <c r="K29" s="382" t="str">
        <f t="shared" si="2"/>
        <v>Meliana Citra A</v>
      </c>
      <c r="L29" s="767">
        <f>pjok_ki4!X157</f>
        <v>0</v>
      </c>
      <c r="M29" s="767">
        <f>pjok_ki4!Y157</f>
        <v>0</v>
      </c>
      <c r="N29" s="767">
        <f>pjok_ki4!Z157</f>
        <v>0</v>
      </c>
      <c r="O29" s="767">
        <f>pjok_ki4!AA157</f>
        <v>0</v>
      </c>
      <c r="P29" s="767">
        <f>pjok_ki4!AB157</f>
        <v>0</v>
      </c>
      <c r="Q29" s="669" t="str">
        <f t="shared" si="3"/>
        <v xml:space="preserve">  </v>
      </c>
      <c r="R29" s="134">
        <v>26</v>
      </c>
      <c r="S29" s="384" t="str">
        <f>dtsiswa!D32</f>
        <v>Meliana Citra A</v>
      </c>
      <c r="T29" s="385" t="str">
        <f t="shared" si="5"/>
        <v xml:space="preserve">    </v>
      </c>
      <c r="U29" s="386" t="str">
        <f t="shared" si="6"/>
        <v xml:space="preserve">    </v>
      </c>
    </row>
    <row r="30" spans="1:21" ht="15.95" customHeight="1" x14ac:dyDescent="0.25">
      <c r="A30" s="134">
        <v>27</v>
      </c>
      <c r="B30" s="382" t="str">
        <f t="shared" si="0"/>
        <v>Mohammad Rizky</v>
      </c>
      <c r="C30" s="383">
        <f>pjok_ki3!N163</f>
        <v>0</v>
      </c>
      <c r="D30" s="383">
        <f>pjok_ki3!O163</f>
        <v>0</v>
      </c>
      <c r="E30" s="383">
        <f>pjok_ki3!P163</f>
        <v>0</v>
      </c>
      <c r="F30" s="383">
        <f>pjok_ki3!Q163</f>
        <v>0</v>
      </c>
      <c r="G30" s="383">
        <f>pjok_ki3!R163</f>
        <v>0</v>
      </c>
      <c r="H30" s="668" t="str">
        <f t="shared" si="1"/>
        <v xml:space="preserve">  </v>
      </c>
      <c r="J30" s="134">
        <v>27</v>
      </c>
      <c r="K30" s="382" t="str">
        <f t="shared" si="2"/>
        <v>Mohammad Rizky</v>
      </c>
      <c r="L30" s="767">
        <f>pjok_ki4!X163</f>
        <v>0</v>
      </c>
      <c r="M30" s="767">
        <f>pjok_ki4!Y163</f>
        <v>0</v>
      </c>
      <c r="N30" s="767">
        <f>pjok_ki4!Z163</f>
        <v>0</v>
      </c>
      <c r="O30" s="767">
        <f>pjok_ki4!AA163</f>
        <v>0</v>
      </c>
      <c r="P30" s="767">
        <f>pjok_ki4!AB163</f>
        <v>0</v>
      </c>
      <c r="Q30" s="669" t="str">
        <f t="shared" si="3"/>
        <v xml:space="preserve">  </v>
      </c>
      <c r="R30" s="134">
        <v>27</v>
      </c>
      <c r="S30" s="384" t="str">
        <f>dtsiswa!D33</f>
        <v>Mohammad Rizky</v>
      </c>
      <c r="T30" s="385" t="str">
        <f t="shared" si="5"/>
        <v xml:space="preserve">    </v>
      </c>
      <c r="U30" s="386" t="str">
        <f t="shared" si="6"/>
        <v xml:space="preserve">    </v>
      </c>
    </row>
    <row r="31" spans="1:21" ht="15.95" customHeight="1" x14ac:dyDescent="0.25">
      <c r="A31" s="134">
        <v>28</v>
      </c>
      <c r="B31" s="382" t="e">
        <f t="shared" si="0"/>
        <v>#N/A</v>
      </c>
      <c r="C31" s="383">
        <f>pjok_ki3!N175</f>
        <v>0</v>
      </c>
      <c r="D31" s="383">
        <f>pjok_ki3!O175</f>
        <v>0</v>
      </c>
      <c r="E31" s="383">
        <f>pjok_ki3!P175</f>
        <v>0</v>
      </c>
      <c r="F31" s="383">
        <f>pjok_ki3!Q175</f>
        <v>0</v>
      </c>
      <c r="G31" s="383">
        <f>pjok_ki3!R175</f>
        <v>0</v>
      </c>
      <c r="H31" s="668" t="str">
        <f t="shared" si="1"/>
        <v xml:space="preserve">  </v>
      </c>
      <c r="J31" s="134">
        <v>28</v>
      </c>
      <c r="K31" s="382" t="e">
        <f t="shared" si="2"/>
        <v>#N/A</v>
      </c>
      <c r="L31" s="767">
        <f>pjok_ki4!X169</f>
        <v>0</v>
      </c>
      <c r="M31" s="767">
        <f>pjok_ki4!Y169</f>
        <v>0</v>
      </c>
      <c r="N31" s="767">
        <f>pjok_ki4!Z169</f>
        <v>0</v>
      </c>
      <c r="O31" s="767">
        <f>pjok_ki4!AA169</f>
        <v>0</v>
      </c>
      <c r="P31" s="767">
        <f>pjok_ki4!AB169</f>
        <v>0</v>
      </c>
      <c r="Q31" s="669" t="str">
        <f t="shared" si="3"/>
        <v xml:space="preserve">  </v>
      </c>
      <c r="R31" s="134">
        <v>28</v>
      </c>
      <c r="S31" s="384">
        <f>dtsiswa!D34</f>
        <v>0</v>
      </c>
      <c r="T31" s="385" t="str">
        <f t="shared" si="5"/>
        <v xml:space="preserve">    </v>
      </c>
      <c r="U31" s="386" t="str">
        <f t="shared" si="6"/>
        <v xml:space="preserve">    </v>
      </c>
    </row>
    <row r="32" spans="1:21" ht="15.95" customHeight="1" x14ac:dyDescent="0.25">
      <c r="A32" s="134">
        <v>29</v>
      </c>
      <c r="B32" s="382" t="e">
        <f t="shared" si="0"/>
        <v>#N/A</v>
      </c>
      <c r="C32" s="383">
        <f>pjok_ki3!N175</f>
        <v>0</v>
      </c>
      <c r="D32" s="383">
        <f>pjok_ki3!O175</f>
        <v>0</v>
      </c>
      <c r="E32" s="383">
        <f>pjok_ki3!P175</f>
        <v>0</v>
      </c>
      <c r="F32" s="383">
        <f>pjok_ki3!Q175</f>
        <v>0</v>
      </c>
      <c r="G32" s="383">
        <f>pjok_ki3!R175</f>
        <v>0</v>
      </c>
      <c r="H32" s="668" t="str">
        <f t="shared" si="1"/>
        <v xml:space="preserve">  </v>
      </c>
      <c r="J32" s="134">
        <v>29</v>
      </c>
      <c r="K32" s="382" t="e">
        <f t="shared" si="2"/>
        <v>#N/A</v>
      </c>
      <c r="L32" s="767">
        <f>pjok_ki4!X175</f>
        <v>0</v>
      </c>
      <c r="M32" s="767">
        <f>pjok_ki4!Y175</f>
        <v>0</v>
      </c>
      <c r="N32" s="767">
        <f>pjok_ki4!Z175</f>
        <v>0</v>
      </c>
      <c r="O32" s="767">
        <f>pjok_ki4!AA175</f>
        <v>0</v>
      </c>
      <c r="P32" s="767">
        <f>pjok_ki4!AB175</f>
        <v>0</v>
      </c>
      <c r="Q32" s="669" t="str">
        <f t="shared" si="3"/>
        <v xml:space="preserve">  </v>
      </c>
      <c r="R32" s="134">
        <v>29</v>
      </c>
      <c r="S32" s="384">
        <f>dtsiswa!D35</f>
        <v>0</v>
      </c>
      <c r="T32" s="385" t="str">
        <f t="shared" si="5"/>
        <v xml:space="preserve">    </v>
      </c>
      <c r="U32" s="386" t="str">
        <f t="shared" si="6"/>
        <v xml:space="preserve">    </v>
      </c>
    </row>
    <row r="33" spans="1:21" ht="15.95" customHeight="1" x14ac:dyDescent="0.25">
      <c r="A33" s="134">
        <v>30</v>
      </c>
      <c r="B33" s="382" t="e">
        <f t="shared" si="0"/>
        <v>#N/A</v>
      </c>
      <c r="C33" s="383">
        <f>pjok_ki3!N181</f>
        <v>0</v>
      </c>
      <c r="D33" s="383">
        <f>pjok_ki3!O181</f>
        <v>0</v>
      </c>
      <c r="E33" s="383">
        <f>pjok_ki3!P181</f>
        <v>0</v>
      </c>
      <c r="F33" s="383">
        <f>pjok_ki3!Q181</f>
        <v>0</v>
      </c>
      <c r="G33" s="383">
        <f>pjok_ki3!R181</f>
        <v>0</v>
      </c>
      <c r="H33" s="668" t="str">
        <f t="shared" si="1"/>
        <v xml:space="preserve">  </v>
      </c>
      <c r="J33" s="134">
        <v>30</v>
      </c>
      <c r="K33" s="382" t="e">
        <f t="shared" si="2"/>
        <v>#N/A</v>
      </c>
      <c r="L33" s="767">
        <f>pjok_ki4!X181</f>
        <v>0</v>
      </c>
      <c r="M33" s="767">
        <f>pjok_ki4!Y181</f>
        <v>0</v>
      </c>
      <c r="N33" s="767">
        <f>pjok_ki4!Z181</f>
        <v>0</v>
      </c>
      <c r="O33" s="767">
        <f>pjok_ki4!AA181</f>
        <v>0</v>
      </c>
      <c r="P33" s="767">
        <f>pjok_ki4!AB181</f>
        <v>0</v>
      </c>
      <c r="Q33" s="669" t="str">
        <f t="shared" si="3"/>
        <v xml:space="preserve">  </v>
      </c>
      <c r="R33" s="134">
        <v>30</v>
      </c>
      <c r="S33" s="384">
        <f>dtsiswa!D36</f>
        <v>0</v>
      </c>
      <c r="T33" s="385" t="str">
        <f t="shared" si="5"/>
        <v xml:space="preserve">    </v>
      </c>
      <c r="U33" s="386" t="str">
        <f t="shared" si="6"/>
        <v xml:space="preserve">    </v>
      </c>
    </row>
    <row r="34" spans="1:21" ht="15.95" customHeight="1" x14ac:dyDescent="0.25">
      <c r="A34" s="134">
        <v>31</v>
      </c>
      <c r="B34" s="382" t="e">
        <f t="shared" si="0"/>
        <v>#N/A</v>
      </c>
      <c r="C34" s="383">
        <f>pjok_ki3!N187</f>
        <v>0</v>
      </c>
      <c r="D34" s="383">
        <f>pjok_ki3!O187</f>
        <v>0</v>
      </c>
      <c r="E34" s="383">
        <f>pjok_ki3!P187</f>
        <v>0</v>
      </c>
      <c r="F34" s="383">
        <f>pjok_ki3!Q187</f>
        <v>0</v>
      </c>
      <c r="G34" s="383">
        <f>pjok_ki3!R187</f>
        <v>0</v>
      </c>
      <c r="H34" s="668" t="str">
        <f t="shared" si="1"/>
        <v xml:space="preserve">  </v>
      </c>
      <c r="J34" s="134">
        <v>31</v>
      </c>
      <c r="K34" s="382" t="e">
        <f t="shared" si="2"/>
        <v>#N/A</v>
      </c>
      <c r="L34" s="767">
        <f>pjok_ki4!X187</f>
        <v>0</v>
      </c>
      <c r="M34" s="767">
        <f>pjok_ki4!Y187</f>
        <v>0</v>
      </c>
      <c r="N34" s="767">
        <f>pjok_ki4!Z187</f>
        <v>0</v>
      </c>
      <c r="O34" s="767">
        <f>pjok_ki4!AA187</f>
        <v>0</v>
      </c>
      <c r="P34" s="767">
        <f>pjok_ki4!AB187</f>
        <v>0</v>
      </c>
      <c r="Q34" s="669" t="str">
        <f t="shared" si="3"/>
        <v xml:space="preserve">  </v>
      </c>
      <c r="R34" s="134">
        <v>31</v>
      </c>
      <c r="S34" s="384">
        <f>dtsiswa!D37</f>
        <v>0</v>
      </c>
      <c r="T34" s="385" t="str">
        <f t="shared" si="5"/>
        <v xml:space="preserve">    </v>
      </c>
      <c r="U34" s="386" t="str">
        <f t="shared" si="6"/>
        <v xml:space="preserve">    </v>
      </c>
    </row>
    <row r="35" spans="1:21" ht="15.95" customHeight="1" x14ac:dyDescent="0.25">
      <c r="A35" s="134">
        <v>32</v>
      </c>
      <c r="B35" s="382" t="e">
        <f t="shared" si="0"/>
        <v>#N/A</v>
      </c>
      <c r="C35" s="383">
        <f>pjok_ki3!N193</f>
        <v>0</v>
      </c>
      <c r="D35" s="383">
        <f>pjok_ki3!O193</f>
        <v>0</v>
      </c>
      <c r="E35" s="383">
        <f>pjok_ki3!P193</f>
        <v>0</v>
      </c>
      <c r="F35" s="383">
        <f>pjok_ki3!Q193</f>
        <v>0</v>
      </c>
      <c r="G35" s="383">
        <f>pjok_ki3!R193</f>
        <v>0</v>
      </c>
      <c r="H35" s="668" t="str">
        <f t="shared" si="1"/>
        <v xml:space="preserve">  </v>
      </c>
      <c r="J35" s="134">
        <v>32</v>
      </c>
      <c r="K35" s="382" t="e">
        <f t="shared" si="2"/>
        <v>#N/A</v>
      </c>
      <c r="L35" s="767">
        <f>pjok_ki4!X193</f>
        <v>0</v>
      </c>
      <c r="M35" s="767">
        <f>pjok_ki4!Y193</f>
        <v>0</v>
      </c>
      <c r="N35" s="767">
        <f>pjok_ki4!Z193</f>
        <v>0</v>
      </c>
      <c r="O35" s="767">
        <f>pjok_ki4!AA193</f>
        <v>0</v>
      </c>
      <c r="P35" s="767">
        <f>pjok_ki4!AB193</f>
        <v>0</v>
      </c>
      <c r="Q35" s="669" t="str">
        <f t="shared" si="3"/>
        <v xml:space="preserve">  </v>
      </c>
      <c r="R35" s="134">
        <v>32</v>
      </c>
      <c r="S35" s="384">
        <f>dtsiswa!D38</f>
        <v>0</v>
      </c>
      <c r="T35" s="385" t="str">
        <f t="shared" si="5"/>
        <v xml:space="preserve">    </v>
      </c>
      <c r="U35" s="386" t="str">
        <f t="shared" si="6"/>
        <v xml:space="preserve">    </v>
      </c>
    </row>
    <row r="36" spans="1:21" ht="15.95" customHeight="1" x14ac:dyDescent="0.25">
      <c r="A36" s="134">
        <v>33</v>
      </c>
      <c r="B36" s="382" t="e">
        <f t="shared" si="0"/>
        <v>#N/A</v>
      </c>
      <c r="C36" s="383">
        <f>pjok_ki3!N199</f>
        <v>0</v>
      </c>
      <c r="D36" s="383">
        <f>pjok_ki3!O199</f>
        <v>0</v>
      </c>
      <c r="E36" s="383">
        <f>pjok_ki3!P199</f>
        <v>0</v>
      </c>
      <c r="F36" s="383">
        <f>pjok_ki3!Q199</f>
        <v>0</v>
      </c>
      <c r="G36" s="383">
        <f>pjok_ki3!R199</f>
        <v>0</v>
      </c>
      <c r="H36" s="668" t="str">
        <f t="shared" si="1"/>
        <v xml:space="preserve">  </v>
      </c>
      <c r="J36" s="134">
        <v>33</v>
      </c>
      <c r="K36" s="382" t="e">
        <f t="shared" si="2"/>
        <v>#N/A</v>
      </c>
      <c r="L36" s="767">
        <f>pjok_ki4!X199</f>
        <v>0</v>
      </c>
      <c r="M36" s="767">
        <f>pjok_ki4!Y199</f>
        <v>0</v>
      </c>
      <c r="N36" s="767">
        <f>pjok_ki4!Z199</f>
        <v>0</v>
      </c>
      <c r="O36" s="767">
        <f>pjok_ki4!AA199</f>
        <v>0</v>
      </c>
      <c r="P36" s="767">
        <f>pjok_ki4!AB199</f>
        <v>0</v>
      </c>
      <c r="Q36" s="669" t="str">
        <f t="shared" si="3"/>
        <v xml:space="preserve">  </v>
      </c>
      <c r="R36" s="134">
        <v>33</v>
      </c>
      <c r="S36" s="384">
        <f>dtsiswa!D39</f>
        <v>0</v>
      </c>
      <c r="T36" s="385" t="str">
        <f t="shared" si="5"/>
        <v xml:space="preserve">    </v>
      </c>
      <c r="U36" s="386" t="str">
        <f t="shared" si="6"/>
        <v xml:space="preserve">    </v>
      </c>
    </row>
    <row r="37" spans="1:21" ht="15.95" customHeight="1" x14ac:dyDescent="0.25">
      <c r="A37" s="134">
        <v>34</v>
      </c>
      <c r="B37" s="382" t="e">
        <f t="shared" si="0"/>
        <v>#N/A</v>
      </c>
      <c r="C37" s="383">
        <f>pjok_ki3!N205</f>
        <v>0</v>
      </c>
      <c r="D37" s="383">
        <f>pjok_ki3!O205</f>
        <v>0</v>
      </c>
      <c r="E37" s="383">
        <f>pjok_ki3!P205</f>
        <v>0</v>
      </c>
      <c r="F37" s="383">
        <f>pjok_ki3!Q205</f>
        <v>0</v>
      </c>
      <c r="G37" s="383">
        <f>pjok_ki3!R205</f>
        <v>0</v>
      </c>
      <c r="H37" s="668" t="str">
        <f t="shared" si="1"/>
        <v xml:space="preserve">  </v>
      </c>
      <c r="J37" s="134">
        <v>34</v>
      </c>
      <c r="K37" s="382" t="e">
        <f t="shared" si="2"/>
        <v>#N/A</v>
      </c>
      <c r="L37" s="767">
        <f>pjok_ki4!X205</f>
        <v>0</v>
      </c>
      <c r="M37" s="767">
        <f>pjok_ki4!Y205</f>
        <v>0</v>
      </c>
      <c r="N37" s="767">
        <f>pjok_ki4!Z205</f>
        <v>0</v>
      </c>
      <c r="O37" s="767">
        <f>pjok_ki4!AA205</f>
        <v>0</v>
      </c>
      <c r="P37" s="767">
        <f>pjok_ki4!AB205</f>
        <v>0</v>
      </c>
      <c r="Q37" s="669" t="str">
        <f t="shared" si="3"/>
        <v xml:space="preserve">  </v>
      </c>
      <c r="R37" s="134">
        <v>34</v>
      </c>
      <c r="S37" s="384">
        <f>dtsiswa!D40</f>
        <v>0</v>
      </c>
      <c r="T37" s="385" t="str">
        <f t="shared" si="5"/>
        <v xml:space="preserve">    </v>
      </c>
      <c r="U37" s="386" t="str">
        <f t="shared" si="6"/>
        <v xml:space="preserve">    </v>
      </c>
    </row>
    <row r="38" spans="1:21" ht="15.95" customHeight="1" x14ac:dyDescent="0.25">
      <c r="A38" s="134">
        <v>35</v>
      </c>
      <c r="B38" s="382" t="e">
        <f t="shared" si="0"/>
        <v>#N/A</v>
      </c>
      <c r="C38" s="383">
        <f>pjok_ki3!N211</f>
        <v>0</v>
      </c>
      <c r="D38" s="383">
        <f>pjok_ki3!O211</f>
        <v>0</v>
      </c>
      <c r="E38" s="383">
        <f>pjok_ki3!P211</f>
        <v>0</v>
      </c>
      <c r="F38" s="383">
        <f>pjok_ki3!Q211</f>
        <v>0</v>
      </c>
      <c r="G38" s="383">
        <f>pjok_ki3!R211</f>
        <v>0</v>
      </c>
      <c r="H38" s="668" t="str">
        <f t="shared" si="1"/>
        <v xml:space="preserve">  </v>
      </c>
      <c r="J38" s="134">
        <v>35</v>
      </c>
      <c r="K38" s="382" t="e">
        <f t="shared" si="2"/>
        <v>#N/A</v>
      </c>
      <c r="L38" s="767">
        <f>pjok_ki4!X211</f>
        <v>0</v>
      </c>
      <c r="M38" s="767">
        <f>pjok_ki4!Y211</f>
        <v>0</v>
      </c>
      <c r="N38" s="767">
        <f>pjok_ki4!Z211</f>
        <v>0</v>
      </c>
      <c r="O38" s="767">
        <f>pjok_ki4!AA211</f>
        <v>0</v>
      </c>
      <c r="P38" s="767">
        <f>pjok_ki4!AB211</f>
        <v>0</v>
      </c>
      <c r="Q38" s="669" t="str">
        <f t="shared" si="3"/>
        <v xml:space="preserve">  </v>
      </c>
      <c r="R38" s="134">
        <v>35</v>
      </c>
      <c r="S38" s="384">
        <f>dtsiswa!D41</f>
        <v>0</v>
      </c>
      <c r="T38" s="385" t="str">
        <f t="shared" si="5"/>
        <v xml:space="preserve">    </v>
      </c>
      <c r="U38" s="386" t="str">
        <f t="shared" si="6"/>
        <v xml:space="preserve">    </v>
      </c>
    </row>
    <row r="39" spans="1:21" ht="15.95" customHeight="1" x14ac:dyDescent="0.25">
      <c r="A39" s="134">
        <v>36</v>
      </c>
      <c r="B39" s="382" t="e">
        <f t="shared" si="0"/>
        <v>#N/A</v>
      </c>
      <c r="C39" s="383">
        <f>pjok_ki3!N217</f>
        <v>0</v>
      </c>
      <c r="D39" s="383">
        <f>pjok_ki3!O217</f>
        <v>0</v>
      </c>
      <c r="E39" s="383">
        <f>pjok_ki3!P217</f>
        <v>0</v>
      </c>
      <c r="F39" s="383">
        <f>pjok_ki3!Q217</f>
        <v>0</v>
      </c>
      <c r="G39" s="383">
        <f>pjok_ki3!R217</f>
        <v>0</v>
      </c>
      <c r="H39" s="668" t="str">
        <f t="shared" si="1"/>
        <v xml:space="preserve">  </v>
      </c>
      <c r="J39" s="134">
        <v>36</v>
      </c>
      <c r="K39" s="382" t="e">
        <f t="shared" si="2"/>
        <v>#N/A</v>
      </c>
      <c r="L39" s="767">
        <f>pjok_ki4!X217</f>
        <v>0</v>
      </c>
      <c r="M39" s="767">
        <f>pjok_ki4!Y217</f>
        <v>0</v>
      </c>
      <c r="N39" s="767">
        <f>pjok_ki4!Z217</f>
        <v>0</v>
      </c>
      <c r="O39" s="767">
        <f>pjok_ki4!AA217</f>
        <v>0</v>
      </c>
      <c r="P39" s="767">
        <f>pjok_ki4!AB217</f>
        <v>0</v>
      </c>
      <c r="Q39" s="669" t="str">
        <f t="shared" si="3"/>
        <v xml:space="preserve">  </v>
      </c>
      <c r="R39" s="134">
        <v>36</v>
      </c>
      <c r="S39" s="384">
        <f>dtsiswa!D42</f>
        <v>0</v>
      </c>
      <c r="T39" s="385" t="str">
        <f t="shared" si="5"/>
        <v xml:space="preserve">    </v>
      </c>
      <c r="U39" s="386" t="str">
        <f t="shared" si="6"/>
        <v xml:space="preserve">    </v>
      </c>
    </row>
    <row r="40" spans="1:21" ht="15.95" customHeight="1" x14ac:dyDescent="0.25">
      <c r="A40" s="134">
        <v>37</v>
      </c>
      <c r="B40" s="382" t="e">
        <f t="shared" si="0"/>
        <v>#N/A</v>
      </c>
      <c r="C40" s="383">
        <f>pjok_ki3!N223</f>
        <v>0</v>
      </c>
      <c r="D40" s="383">
        <f>pjok_ki3!O223</f>
        <v>0</v>
      </c>
      <c r="E40" s="383">
        <f>pjok_ki3!P223</f>
        <v>0</v>
      </c>
      <c r="F40" s="383">
        <f>pjok_ki3!Q223</f>
        <v>0</v>
      </c>
      <c r="G40" s="383">
        <f>pjok_ki3!R223</f>
        <v>0</v>
      </c>
      <c r="H40" s="668" t="str">
        <f t="shared" si="1"/>
        <v xml:space="preserve">  </v>
      </c>
      <c r="J40" s="134">
        <v>37</v>
      </c>
      <c r="K40" s="382" t="e">
        <f t="shared" si="2"/>
        <v>#N/A</v>
      </c>
      <c r="L40" s="767">
        <f>pjok_ki4!X223</f>
        <v>0</v>
      </c>
      <c r="M40" s="767">
        <f>pjok_ki4!Y223</f>
        <v>0</v>
      </c>
      <c r="N40" s="767">
        <f>pjok_ki4!Z223</f>
        <v>0</v>
      </c>
      <c r="O40" s="767">
        <f>pjok_ki4!AA223</f>
        <v>0</v>
      </c>
      <c r="P40" s="767">
        <f>pjok_ki4!AB223</f>
        <v>0</v>
      </c>
      <c r="Q40" s="669" t="str">
        <f t="shared" si="3"/>
        <v xml:space="preserve">  </v>
      </c>
      <c r="R40" s="134">
        <v>37</v>
      </c>
      <c r="S40" s="384">
        <f>dtsiswa!D43</f>
        <v>0</v>
      </c>
      <c r="T40" s="385" t="str">
        <f t="shared" si="5"/>
        <v xml:space="preserve">    </v>
      </c>
      <c r="U40" s="386" t="str">
        <f t="shared" si="6"/>
        <v xml:space="preserve">    </v>
      </c>
    </row>
    <row r="41" spans="1:21" ht="15.95" customHeight="1" x14ac:dyDescent="0.25">
      <c r="A41" s="134">
        <v>38</v>
      </c>
      <c r="B41" s="382" t="e">
        <f t="shared" si="0"/>
        <v>#N/A</v>
      </c>
      <c r="C41" s="383">
        <f>pjok_ki3!N229</f>
        <v>0</v>
      </c>
      <c r="D41" s="383">
        <f>pjok_ki3!O229</f>
        <v>0</v>
      </c>
      <c r="E41" s="383">
        <f>pjok_ki3!P229</f>
        <v>0</v>
      </c>
      <c r="F41" s="383">
        <f>pjok_ki3!Q229</f>
        <v>0</v>
      </c>
      <c r="G41" s="383">
        <f>pjok_ki3!R229</f>
        <v>0</v>
      </c>
      <c r="H41" s="668" t="str">
        <f t="shared" si="1"/>
        <v xml:space="preserve">  </v>
      </c>
      <c r="J41" s="134">
        <v>38</v>
      </c>
      <c r="K41" s="382" t="e">
        <f t="shared" si="2"/>
        <v>#N/A</v>
      </c>
      <c r="L41" s="767">
        <f>pjok_ki4!X229</f>
        <v>0</v>
      </c>
      <c r="M41" s="767">
        <f>pjok_ki4!Y229</f>
        <v>0</v>
      </c>
      <c r="N41" s="767">
        <f>pjok_ki4!Z229</f>
        <v>0</v>
      </c>
      <c r="O41" s="767">
        <f>pjok_ki4!AA229</f>
        <v>0</v>
      </c>
      <c r="P41" s="767">
        <f>pjok_ki4!AB229</f>
        <v>0</v>
      </c>
      <c r="Q41" s="669" t="str">
        <f t="shared" si="3"/>
        <v xml:space="preserve">  </v>
      </c>
      <c r="R41" s="134">
        <v>38</v>
      </c>
      <c r="S41" s="384">
        <f>dtsiswa!D44</f>
        <v>0</v>
      </c>
      <c r="T41" s="385" t="str">
        <f t="shared" si="5"/>
        <v xml:space="preserve">    </v>
      </c>
      <c r="U41" s="386" t="str">
        <f t="shared" si="6"/>
        <v xml:space="preserve">    </v>
      </c>
    </row>
    <row r="42" spans="1:21" ht="15.95" customHeight="1" x14ac:dyDescent="0.25">
      <c r="A42" s="134">
        <v>39</v>
      </c>
      <c r="B42" s="382" t="e">
        <f t="shared" si="0"/>
        <v>#N/A</v>
      </c>
      <c r="C42" s="383">
        <f>pjok_ki3!N235</f>
        <v>0</v>
      </c>
      <c r="D42" s="383">
        <f>pjok_ki3!O235</f>
        <v>0</v>
      </c>
      <c r="E42" s="383">
        <f>pjok_ki3!P235</f>
        <v>0</v>
      </c>
      <c r="F42" s="383">
        <f>pjok_ki3!Q235</f>
        <v>0</v>
      </c>
      <c r="G42" s="383">
        <f>pjok_ki3!R235</f>
        <v>0</v>
      </c>
      <c r="H42" s="668" t="str">
        <f t="shared" si="1"/>
        <v xml:space="preserve">  </v>
      </c>
      <c r="J42" s="134">
        <v>39</v>
      </c>
      <c r="K42" s="382" t="e">
        <f t="shared" si="2"/>
        <v>#N/A</v>
      </c>
      <c r="L42" s="767">
        <f>pjok_ki4!X235</f>
        <v>0</v>
      </c>
      <c r="M42" s="767">
        <f>pjok_ki4!Y235</f>
        <v>0</v>
      </c>
      <c r="N42" s="767">
        <f>pjok_ki4!Z235</f>
        <v>0</v>
      </c>
      <c r="O42" s="767">
        <f>pjok_ki4!AA235</f>
        <v>0</v>
      </c>
      <c r="P42" s="767">
        <f>pjok_ki4!AB235</f>
        <v>0</v>
      </c>
      <c r="Q42" s="669" t="str">
        <f t="shared" si="3"/>
        <v xml:space="preserve">  </v>
      </c>
      <c r="R42" s="134">
        <v>39</v>
      </c>
      <c r="S42" s="384">
        <f>dtsiswa!D45</f>
        <v>0</v>
      </c>
      <c r="T42" s="385" t="str">
        <f t="shared" si="5"/>
        <v xml:space="preserve">    </v>
      </c>
      <c r="U42" s="386" t="str">
        <f t="shared" si="6"/>
        <v xml:space="preserve">    </v>
      </c>
    </row>
    <row r="43" spans="1:21" ht="15.95" customHeight="1" x14ac:dyDescent="0.25">
      <c r="A43" s="134">
        <v>40</v>
      </c>
      <c r="B43" s="382" t="e">
        <f t="shared" si="0"/>
        <v>#N/A</v>
      </c>
      <c r="C43" s="383">
        <f>pjok_ki3!N241</f>
        <v>0</v>
      </c>
      <c r="D43" s="383">
        <f>pjok_ki3!O241</f>
        <v>0</v>
      </c>
      <c r="E43" s="383">
        <f>pjok_ki3!P241</f>
        <v>0</v>
      </c>
      <c r="F43" s="383">
        <f>pjok_ki3!Q241</f>
        <v>0</v>
      </c>
      <c r="G43" s="383">
        <f>pjok_ki3!R241</f>
        <v>0</v>
      </c>
      <c r="H43" s="668" t="str">
        <f t="shared" si="1"/>
        <v xml:space="preserve">  </v>
      </c>
      <c r="J43" s="134">
        <v>40</v>
      </c>
      <c r="K43" s="382" t="e">
        <f t="shared" si="2"/>
        <v>#N/A</v>
      </c>
      <c r="L43" s="767">
        <f>pjok_ki4!X241</f>
        <v>0</v>
      </c>
      <c r="M43" s="767">
        <f>pjok_ki4!Y241</f>
        <v>0</v>
      </c>
      <c r="N43" s="767">
        <f>pjok_ki4!Z241</f>
        <v>0</v>
      </c>
      <c r="O43" s="767">
        <f>pjok_ki4!AA241</f>
        <v>0</v>
      </c>
      <c r="P43" s="767">
        <f>pjok_ki4!AB241</f>
        <v>0</v>
      </c>
      <c r="Q43" s="669" t="str">
        <f t="shared" si="3"/>
        <v xml:space="preserve">  </v>
      </c>
      <c r="R43" s="134">
        <v>40</v>
      </c>
      <c r="S43" s="384">
        <f>dtsiswa!D46</f>
        <v>0</v>
      </c>
      <c r="T43" s="385" t="str">
        <f t="shared" si="5"/>
        <v xml:space="preserve">    </v>
      </c>
      <c r="U43" s="386" t="str">
        <f t="shared" si="6"/>
        <v xml:space="preserve">    </v>
      </c>
    </row>
    <row r="44" spans="1:21" ht="21" x14ac:dyDescent="0.35">
      <c r="A44" s="388">
        <v>1</v>
      </c>
      <c r="B44" s="389">
        <v>2</v>
      </c>
      <c r="C44" s="388">
        <v>3</v>
      </c>
      <c r="D44" s="389">
        <v>4</v>
      </c>
      <c r="E44" s="388">
        <v>5</v>
      </c>
      <c r="F44" s="389">
        <v>6</v>
      </c>
      <c r="G44" s="389"/>
      <c r="H44" s="1126"/>
      <c r="I44" s="389">
        <v>12</v>
      </c>
      <c r="J44" s="388">
        <v>13</v>
      </c>
      <c r="K44" s="389">
        <v>14</v>
      </c>
      <c r="L44" s="388">
        <v>21</v>
      </c>
      <c r="M44" s="388"/>
      <c r="N44" s="388"/>
      <c r="O44" s="388"/>
      <c r="P44" s="388"/>
      <c r="Q44" s="391">
        <v>25</v>
      </c>
      <c r="R44" s="389">
        <v>26</v>
      </c>
      <c r="S44" s="388">
        <v>27</v>
      </c>
      <c r="T44" s="392">
        <v>28</v>
      </c>
      <c r="U44" s="393">
        <v>29</v>
      </c>
    </row>
    <row r="45" spans="1:21" x14ac:dyDescent="0.25">
      <c r="A45" s="373"/>
      <c r="B45" s="373"/>
      <c r="C45" s="373"/>
      <c r="D45" s="373"/>
      <c r="E45" s="373"/>
      <c r="F45" s="373"/>
      <c r="G45" s="373"/>
      <c r="H45" s="373"/>
      <c r="J45" s="771"/>
      <c r="K45" s="771"/>
      <c r="L45" s="771"/>
      <c r="M45" s="771"/>
      <c r="N45" s="771"/>
      <c r="O45" s="771"/>
      <c r="P45" s="771"/>
      <c r="Q45" s="771"/>
    </row>
    <row r="46" spans="1:21" s="394" customFormat="1" x14ac:dyDescent="0.25">
      <c r="A46" s="395"/>
      <c r="B46" s="395"/>
      <c r="C46" s="371"/>
      <c r="D46" s="371"/>
      <c r="E46" s="371"/>
      <c r="F46" s="371"/>
      <c r="G46" s="371"/>
      <c r="H46" s="371"/>
      <c r="I46" s="274"/>
      <c r="J46" s="371"/>
      <c r="K46" s="395"/>
      <c r="L46" s="395"/>
      <c r="M46" s="395"/>
      <c r="N46" s="395"/>
      <c r="O46" s="395"/>
      <c r="P46" s="395"/>
      <c r="Q46" s="395"/>
    </row>
    <row r="47" spans="1:21" x14ac:dyDescent="0.25">
      <c r="A47" s="373"/>
      <c r="B47" s="373"/>
      <c r="C47" s="373"/>
      <c r="D47" s="373"/>
      <c r="E47" s="373"/>
      <c r="F47" s="373"/>
      <c r="G47" s="373"/>
      <c r="H47" s="373"/>
      <c r="I47" s="364"/>
      <c r="J47" s="373"/>
      <c r="K47" s="373"/>
      <c r="L47" s="373"/>
      <c r="M47" s="373"/>
      <c r="N47" s="373"/>
      <c r="O47" s="373"/>
      <c r="P47" s="373"/>
      <c r="Q47" s="373"/>
    </row>
    <row r="48" spans="1:21" ht="23.25" x14ac:dyDescent="0.35">
      <c r="A48" s="2907" t="s">
        <v>700</v>
      </c>
      <c r="B48" s="2907"/>
      <c r="C48" s="2907"/>
      <c r="D48" s="2907"/>
      <c r="E48" s="2907"/>
      <c r="F48" s="2907"/>
      <c r="G48" s="765"/>
      <c r="H48" s="373"/>
      <c r="I48" s="364"/>
      <c r="J48" s="2907" t="s">
        <v>525</v>
      </c>
      <c r="K48" s="2907"/>
      <c r="L48" s="373"/>
      <c r="M48" s="373"/>
      <c r="N48" s="373"/>
      <c r="O48" s="373"/>
      <c r="P48" s="373"/>
      <c r="Q48" s="373"/>
    </row>
    <row r="49" spans="1:17" ht="26.25" x14ac:dyDescent="0.4">
      <c r="A49" s="396" t="s">
        <v>148</v>
      </c>
      <c r="B49" s="373"/>
      <c r="C49" s="373"/>
      <c r="D49" s="373"/>
      <c r="E49" s="373"/>
      <c r="F49" s="373"/>
      <c r="G49" s="373"/>
      <c r="H49" s="373"/>
      <c r="I49" s="364"/>
      <c r="J49" s="376" t="s">
        <v>175</v>
      </c>
      <c r="K49" s="373"/>
      <c r="L49" s="373"/>
      <c r="M49" s="373"/>
      <c r="N49" s="373"/>
      <c r="O49" s="373"/>
      <c r="P49" s="373"/>
      <c r="Q49" s="373"/>
    </row>
    <row r="50" spans="1:17" ht="30.75" customHeight="1" x14ac:dyDescent="0.25">
      <c r="A50" s="397" t="s">
        <v>0</v>
      </c>
      <c r="B50" s="397" t="s">
        <v>1</v>
      </c>
      <c r="C50" s="1127" t="s">
        <v>7</v>
      </c>
      <c r="D50" s="1127" t="s">
        <v>10</v>
      </c>
      <c r="E50" s="1127" t="s">
        <v>8</v>
      </c>
      <c r="F50" s="1127" t="s">
        <v>18</v>
      </c>
      <c r="G50" s="1127" t="s">
        <v>179</v>
      </c>
      <c r="H50" s="236" t="s">
        <v>138</v>
      </c>
      <c r="I50" s="364"/>
      <c r="J50" s="305" t="s">
        <v>0</v>
      </c>
      <c r="K50" s="305" t="s">
        <v>1</v>
      </c>
      <c r="L50" s="769" t="s">
        <v>154</v>
      </c>
      <c r="M50" s="769" t="s">
        <v>155</v>
      </c>
      <c r="N50" s="769" t="s">
        <v>9</v>
      </c>
      <c r="O50" s="769" t="s">
        <v>11</v>
      </c>
      <c r="P50" s="769" t="s">
        <v>16</v>
      </c>
      <c r="Q50" s="770" t="s">
        <v>138</v>
      </c>
    </row>
    <row r="51" spans="1:17" ht="18.75" customHeight="1" x14ac:dyDescent="0.25">
      <c r="A51" s="134">
        <v>1</v>
      </c>
      <c r="B51" s="382" t="str">
        <f t="shared" ref="B51:B90" si="7">VLOOKUP(A51,data_siswa,4,FALSE)</f>
        <v>Achmad Zacky</v>
      </c>
      <c r="C51" s="764">
        <f>pjok_ki3!S7</f>
        <v>0</v>
      </c>
      <c r="D51" s="1115">
        <f>pjok_ki3!T7</f>
        <v>0</v>
      </c>
      <c r="E51" s="1115">
        <f>pjok_ki3!U7</f>
        <v>0</v>
      </c>
      <c r="F51" s="1115">
        <f>pjok_ki3!V7</f>
        <v>3</v>
      </c>
      <c r="G51" s="1115">
        <f>pjok_ki3!W7</f>
        <v>0</v>
      </c>
      <c r="H51" s="557" t="str">
        <f t="shared" ref="H51:H90" si="8">IF(OR(C51=2,C51=3),VLOOKUP(C51,DES_KI4_PJOK,2,FALSE),IF(OR(D51=2,D51=3),VLOOKUP(D51,DES_KI4_PJOK,3,FALSE),IF(OR(E51=2,E51=3),VLOOKUP(E51,DES_KI4_PJOK,4,FALSE),IF(OR(F51=2,F51=3),VLOOKUP(F51,DES_KI4_PJOK,5,FALSE),IF(OR(G51=2,G51=3),VLOOKUP(G51,DES_KI4_PJOK,6,FALSE),"  ")))))</f>
        <v xml:space="preserve">Baik dalam  Mempraktikkan  kombinasi pola gerak dasar dominan statis dan dinamis untuk membentuk keterampilan/teknik dasar senam (seperti handstand, kayang,meroda,dsb). </v>
      </c>
      <c r="I51" s="764" t="e">
        <f>VLOOKUP($A$51,Ragm_ki3,29,FALSE)</f>
        <v>#NAME?</v>
      </c>
      <c r="J51" s="134">
        <v>1</v>
      </c>
      <c r="K51" s="382" t="str">
        <f t="shared" ref="K51:K90" si="9">VLOOKUP(J51,data_siswa,4,FALSE)</f>
        <v>Achmad Zacky</v>
      </c>
      <c r="L51" s="764">
        <f>pjok_ki4!AC7</f>
        <v>3</v>
      </c>
      <c r="M51" s="766">
        <f>pjok_ki4!AD7</f>
        <v>0</v>
      </c>
      <c r="N51" s="766">
        <f>pjok_ki4!AE7</f>
        <v>0</v>
      </c>
      <c r="O51" s="766">
        <f>pjok_ki4!AF7</f>
        <v>0</v>
      </c>
      <c r="P51" s="766">
        <f>pjok_ki4!AG7</f>
        <v>0</v>
      </c>
      <c r="Q51" s="1125" t="str">
        <f t="shared" ref="Q51:Q90" si="10">IF(OR(L51=2,L51=3),VLOOKUP(L51,DES_KI4_PJOK,2,FALSE),IF(OR(M51=2,M51=3),VLOOKUP(M51,DES_KI4_PJOK,3,FALSE),IF(OR(N51=2,N51=3),VLOOKUP(N51,DES_KI4_PJOK,4,FALSE),IF(OR(O51=2,O51=3),VLOOKUP(O51,DES_KI4_PJOK,5,FALSE),IF(OR(P51=2,P51=3),VLOOKUP(P51,DES_KI4_PJOK,6,FALSE),"  ")))))</f>
        <v xml:space="preserve">Baik dalam Mempraktikan variasi dan kombinasi pola gerak dasar lokomotor, non-lokomotor dan manipulatif yang dilandasi konsep gerak dalam berbagai permainan atau olahraga tradisional bola kecil. </v>
      </c>
    </row>
    <row r="52" spans="1:17" ht="15.75" x14ac:dyDescent="0.25">
      <c r="A52" s="134">
        <v>2</v>
      </c>
      <c r="B52" s="382" t="str">
        <f t="shared" si="7"/>
        <v>Angelia Vabel R</v>
      </c>
      <c r="C52" s="764">
        <f>pjok_ki3!S13</f>
        <v>0</v>
      </c>
      <c r="D52" s="1115">
        <f>pjok_ki3!T13</f>
        <v>0</v>
      </c>
      <c r="E52" s="1115">
        <f>pjok_ki3!U13</f>
        <v>0</v>
      </c>
      <c r="F52" s="1115">
        <f>pjok_ki3!V13</f>
        <v>0</v>
      </c>
      <c r="G52" s="1115">
        <f>pjok_ki3!W13</f>
        <v>0</v>
      </c>
      <c r="H52" s="557" t="str">
        <f t="shared" si="8"/>
        <v xml:space="preserve">  </v>
      </c>
      <c r="J52" s="764">
        <v>2</v>
      </c>
      <c r="K52" s="382" t="str">
        <f t="shared" si="9"/>
        <v>Angelia Vabel R</v>
      </c>
      <c r="L52" s="764">
        <f>pjok_ki4!AC13</f>
        <v>0</v>
      </c>
      <c r="M52" s="766">
        <f>pjok_ki4!AD13</f>
        <v>0</v>
      </c>
      <c r="N52" s="766">
        <f>pjok_ki4!AE13</f>
        <v>0</v>
      </c>
      <c r="O52" s="766">
        <f>pjok_ki4!AF13</f>
        <v>0</v>
      </c>
      <c r="P52" s="766">
        <f>pjok_ki4!AG13</f>
        <v>0</v>
      </c>
      <c r="Q52" s="1125" t="str">
        <f t="shared" si="10"/>
        <v xml:space="preserve">  </v>
      </c>
    </row>
    <row r="53" spans="1:17" ht="15.75" x14ac:dyDescent="0.25">
      <c r="A53" s="134">
        <v>3</v>
      </c>
      <c r="B53" s="382" t="str">
        <f t="shared" si="7"/>
        <v>Anggun Dwi P.I</v>
      </c>
      <c r="C53" s="764">
        <f>pjok_ki3!S19</f>
        <v>0</v>
      </c>
      <c r="D53" s="1115">
        <f>pjok_ki3!T19</f>
        <v>0</v>
      </c>
      <c r="E53" s="1115">
        <f>pjok_ki3!U19</f>
        <v>0</v>
      </c>
      <c r="F53" s="1115">
        <f>pjok_ki3!V19</f>
        <v>0</v>
      </c>
      <c r="G53" s="1115">
        <f>pjok_ki3!W19</f>
        <v>0</v>
      </c>
      <c r="H53" s="557" t="str">
        <f t="shared" si="8"/>
        <v xml:space="preserve">  </v>
      </c>
      <c r="J53" s="134">
        <v>3</v>
      </c>
      <c r="K53" s="382" t="str">
        <f t="shared" si="9"/>
        <v>Anggun Dwi P.I</v>
      </c>
      <c r="L53" s="764">
        <f>pjok_ki4!AC19</f>
        <v>0</v>
      </c>
      <c r="M53" s="766">
        <f>pjok_ki4!AD19</f>
        <v>0</v>
      </c>
      <c r="N53" s="766">
        <f>pjok_ki4!AE19</f>
        <v>0</v>
      </c>
      <c r="O53" s="766">
        <f>pjok_ki4!AF19</f>
        <v>0</v>
      </c>
      <c r="P53" s="766">
        <f>pjok_ki4!AG19</f>
        <v>0</v>
      </c>
      <c r="Q53" s="743" t="str">
        <f t="shared" si="10"/>
        <v xml:space="preserve">  </v>
      </c>
    </row>
    <row r="54" spans="1:17" ht="15.75" x14ac:dyDescent="0.25">
      <c r="A54" s="134">
        <v>4</v>
      </c>
      <c r="B54" s="382" t="str">
        <f t="shared" si="7"/>
        <v>Antonio Permata A</v>
      </c>
      <c r="C54" s="764">
        <f>pjok_ki3!S25</f>
        <v>0</v>
      </c>
      <c r="D54" s="1115">
        <f>pjok_ki3!T25</f>
        <v>0</v>
      </c>
      <c r="E54" s="1115">
        <f>pjok_ki3!U25</f>
        <v>0</v>
      </c>
      <c r="F54" s="1115">
        <f>pjok_ki3!V25</f>
        <v>0</v>
      </c>
      <c r="G54" s="1115">
        <f>pjok_ki3!W25</f>
        <v>0</v>
      </c>
      <c r="H54" s="557" t="str">
        <f t="shared" si="8"/>
        <v xml:space="preserve">  </v>
      </c>
      <c r="J54" s="764">
        <v>4</v>
      </c>
      <c r="K54" s="382" t="str">
        <f t="shared" si="9"/>
        <v>Antonio Permata A</v>
      </c>
      <c r="L54" s="764">
        <f>pjok_ki4!AC25</f>
        <v>0</v>
      </c>
      <c r="M54" s="766">
        <f>pjok_ki4!AD25</f>
        <v>0</v>
      </c>
      <c r="N54" s="766">
        <f>pjok_ki4!AE25</f>
        <v>0</v>
      </c>
      <c r="O54" s="766">
        <f>pjok_ki4!AF25</f>
        <v>0</v>
      </c>
      <c r="P54" s="766">
        <f>pjok_ki4!AG25</f>
        <v>0</v>
      </c>
      <c r="Q54" s="743" t="str">
        <f t="shared" si="10"/>
        <v xml:space="preserve">  </v>
      </c>
    </row>
    <row r="55" spans="1:17" ht="15.75" x14ac:dyDescent="0.25">
      <c r="A55" s="134">
        <v>5</v>
      </c>
      <c r="B55" s="382" t="str">
        <f t="shared" si="7"/>
        <v>Arya Pratama G</v>
      </c>
      <c r="C55" s="764">
        <f>pjok_ki3!S31</f>
        <v>0</v>
      </c>
      <c r="D55" s="1115">
        <f>pjok_ki3!T31</f>
        <v>0</v>
      </c>
      <c r="E55" s="1115">
        <f>pjok_ki3!U31</f>
        <v>0</v>
      </c>
      <c r="F55" s="1115">
        <f>pjok_ki3!V31</f>
        <v>0</v>
      </c>
      <c r="G55" s="1115">
        <f>pjok_ki3!W31</f>
        <v>0</v>
      </c>
      <c r="H55" s="557" t="str">
        <f t="shared" si="8"/>
        <v xml:space="preserve">  </v>
      </c>
      <c r="J55" s="134">
        <v>5</v>
      </c>
      <c r="K55" s="382" t="str">
        <f t="shared" si="9"/>
        <v>Arya Pratama G</v>
      </c>
      <c r="L55" s="764">
        <f>pjok_ki4!AC31</f>
        <v>0</v>
      </c>
      <c r="M55" s="766">
        <f>pjok_ki4!AD31</f>
        <v>0</v>
      </c>
      <c r="N55" s="766">
        <f>pjok_ki4!AE31</f>
        <v>0</v>
      </c>
      <c r="O55" s="766">
        <f>pjok_ki4!AF31</f>
        <v>0</v>
      </c>
      <c r="P55" s="766">
        <f>pjok_ki4!AG31</f>
        <v>0</v>
      </c>
      <c r="Q55" s="743" t="str">
        <f t="shared" si="10"/>
        <v xml:space="preserve">  </v>
      </c>
    </row>
    <row r="56" spans="1:17" ht="15.75" x14ac:dyDescent="0.25">
      <c r="A56" s="134">
        <v>6</v>
      </c>
      <c r="B56" s="382" t="str">
        <f t="shared" si="7"/>
        <v>Asyam Hanif Ihsan H</v>
      </c>
      <c r="C56" s="764">
        <f>pjok_ki3!S37</f>
        <v>0</v>
      </c>
      <c r="D56" s="1115">
        <f>pjok_ki3!T37</f>
        <v>0</v>
      </c>
      <c r="E56" s="1115">
        <f>pjok_ki3!U37</f>
        <v>0</v>
      </c>
      <c r="F56" s="1115">
        <f>pjok_ki3!V37</f>
        <v>0</v>
      </c>
      <c r="G56" s="1115">
        <f>pjok_ki3!W37</f>
        <v>0</v>
      </c>
      <c r="H56" s="557" t="str">
        <f t="shared" si="8"/>
        <v xml:space="preserve">  </v>
      </c>
      <c r="J56" s="764">
        <v>6</v>
      </c>
      <c r="K56" s="382" t="str">
        <f t="shared" si="9"/>
        <v>Asyam Hanif Ihsan H</v>
      </c>
      <c r="L56" s="764">
        <f>pjok_ki4!AC37</f>
        <v>0</v>
      </c>
      <c r="M56" s="766">
        <f>pjok_ki4!AD37</f>
        <v>0</v>
      </c>
      <c r="N56" s="766">
        <f>pjok_ki4!AE37</f>
        <v>0</v>
      </c>
      <c r="O56" s="766">
        <f>pjok_ki4!AF37</f>
        <v>0</v>
      </c>
      <c r="P56" s="766">
        <f>pjok_ki4!AG37</f>
        <v>0</v>
      </c>
      <c r="Q56" s="743" t="str">
        <f t="shared" si="10"/>
        <v xml:space="preserve">  </v>
      </c>
    </row>
    <row r="57" spans="1:17" ht="15.75" x14ac:dyDescent="0.25">
      <c r="A57" s="134">
        <v>7</v>
      </c>
      <c r="B57" s="382" t="str">
        <f t="shared" si="7"/>
        <v>Athaya Salsabilla Z</v>
      </c>
      <c r="C57" s="764">
        <f>pjok_ki3!S43</f>
        <v>0</v>
      </c>
      <c r="D57" s="1115">
        <f>pjok_ki3!T43</f>
        <v>0</v>
      </c>
      <c r="E57" s="1115">
        <f>pjok_ki3!U43</f>
        <v>0</v>
      </c>
      <c r="F57" s="1115">
        <f>pjok_ki3!V43</f>
        <v>0</v>
      </c>
      <c r="G57" s="1115">
        <f>pjok_ki3!W43</f>
        <v>0</v>
      </c>
      <c r="H57" s="557" t="str">
        <f t="shared" si="8"/>
        <v xml:space="preserve">  </v>
      </c>
      <c r="J57" s="134">
        <v>7</v>
      </c>
      <c r="K57" s="382" t="str">
        <f t="shared" si="9"/>
        <v>Athaya Salsabilla Z</v>
      </c>
      <c r="L57" s="764">
        <f>pjok_ki4!AC43</f>
        <v>0</v>
      </c>
      <c r="M57" s="766">
        <f>pjok_ki4!AD43</f>
        <v>0</v>
      </c>
      <c r="N57" s="766">
        <f>pjok_ki4!AE43</f>
        <v>0</v>
      </c>
      <c r="O57" s="766">
        <f>pjok_ki4!AF43</f>
        <v>0</v>
      </c>
      <c r="P57" s="766">
        <f>pjok_ki4!AG43</f>
        <v>0</v>
      </c>
      <c r="Q57" s="743" t="str">
        <f t="shared" si="10"/>
        <v xml:space="preserve">  </v>
      </c>
    </row>
    <row r="58" spans="1:17" ht="15.75" x14ac:dyDescent="0.25">
      <c r="A58" s="134">
        <v>8</v>
      </c>
      <c r="B58" s="382" t="str">
        <f t="shared" si="7"/>
        <v>Aulia Dea Rosalinda</v>
      </c>
      <c r="C58" s="764">
        <f>pjok_ki3!S49</f>
        <v>0</v>
      </c>
      <c r="D58" s="1115">
        <f>pjok_ki3!T49</f>
        <v>0</v>
      </c>
      <c r="E58" s="1115">
        <f>pjok_ki3!U49</f>
        <v>0</v>
      </c>
      <c r="F58" s="1115">
        <f>pjok_ki3!V49</f>
        <v>0</v>
      </c>
      <c r="G58" s="1115">
        <f>pjok_ki3!W49</f>
        <v>0</v>
      </c>
      <c r="H58" s="557" t="str">
        <f t="shared" si="8"/>
        <v xml:space="preserve">  </v>
      </c>
      <c r="J58" s="764">
        <v>8</v>
      </c>
      <c r="K58" s="382" t="str">
        <f t="shared" si="9"/>
        <v>Aulia Dea Rosalinda</v>
      </c>
      <c r="L58" s="764">
        <f>pjok_ki4!AC49</f>
        <v>0</v>
      </c>
      <c r="M58" s="766">
        <f>pjok_ki4!AD49</f>
        <v>0</v>
      </c>
      <c r="N58" s="766">
        <f>pjok_ki4!AE49</f>
        <v>0</v>
      </c>
      <c r="O58" s="766">
        <f>pjok_ki4!AF49</f>
        <v>0</v>
      </c>
      <c r="P58" s="766">
        <f>pjok_ki4!AG49</f>
        <v>0</v>
      </c>
      <c r="Q58" s="743" t="str">
        <f t="shared" si="10"/>
        <v xml:space="preserve">  </v>
      </c>
    </row>
    <row r="59" spans="1:17" ht="15.75" x14ac:dyDescent="0.25">
      <c r="A59" s="134">
        <v>9</v>
      </c>
      <c r="B59" s="382" t="str">
        <f t="shared" si="7"/>
        <v>Claudia Gabriella L</v>
      </c>
      <c r="C59" s="764">
        <f>pjok_ki3!S55</f>
        <v>0</v>
      </c>
      <c r="D59" s="1115">
        <f>pjok_ki3!T55</f>
        <v>0</v>
      </c>
      <c r="E59" s="1115">
        <f>pjok_ki3!U55</f>
        <v>0</v>
      </c>
      <c r="F59" s="1115">
        <f>pjok_ki3!V55</f>
        <v>0</v>
      </c>
      <c r="G59" s="1115">
        <f>pjok_ki3!W55</f>
        <v>0</v>
      </c>
      <c r="H59" s="557" t="str">
        <f t="shared" si="8"/>
        <v xml:space="preserve">  </v>
      </c>
      <c r="J59" s="134">
        <v>9</v>
      </c>
      <c r="K59" s="382" t="str">
        <f t="shared" si="9"/>
        <v>Claudia Gabriella L</v>
      </c>
      <c r="L59" s="764">
        <f>pjok_ki4!AC55</f>
        <v>0</v>
      </c>
      <c r="M59" s="766">
        <f>pjok_ki4!AD55</f>
        <v>0</v>
      </c>
      <c r="N59" s="766">
        <f>pjok_ki4!AE55</f>
        <v>0</v>
      </c>
      <c r="O59" s="766">
        <f>pjok_ki4!AF55</f>
        <v>0</v>
      </c>
      <c r="P59" s="766">
        <f>pjok_ki4!AG55</f>
        <v>0</v>
      </c>
      <c r="Q59" s="743" t="str">
        <f t="shared" si="10"/>
        <v xml:space="preserve">  </v>
      </c>
    </row>
    <row r="60" spans="1:17" ht="15.75" x14ac:dyDescent="0.25">
      <c r="A60" s="134">
        <v>10</v>
      </c>
      <c r="B60" s="382" t="str">
        <f t="shared" si="7"/>
        <v xml:space="preserve">Deco Badarus Zaman </v>
      </c>
      <c r="C60" s="764">
        <f>pjok_ki3!S61</f>
        <v>0</v>
      </c>
      <c r="D60" s="1115">
        <f>pjok_ki3!T61</f>
        <v>0</v>
      </c>
      <c r="E60" s="1115">
        <f>pjok_ki3!U61</f>
        <v>0</v>
      </c>
      <c r="F60" s="1115">
        <f>pjok_ki3!V61</f>
        <v>0</v>
      </c>
      <c r="G60" s="1115">
        <f>pjok_ki3!W61</f>
        <v>0</v>
      </c>
      <c r="H60" s="557" t="str">
        <f t="shared" si="8"/>
        <v xml:space="preserve">  </v>
      </c>
      <c r="J60" s="764">
        <v>10</v>
      </c>
      <c r="K60" s="382" t="str">
        <f t="shared" si="9"/>
        <v xml:space="preserve">Deco Badarus Zaman </v>
      </c>
      <c r="L60" s="764">
        <f>pjok_ki4!AC61</f>
        <v>0</v>
      </c>
      <c r="M60" s="766">
        <f>pjok_ki4!AD61</f>
        <v>0</v>
      </c>
      <c r="N60" s="766">
        <f>pjok_ki4!AE61</f>
        <v>0</v>
      </c>
      <c r="O60" s="766">
        <f>pjok_ki4!AF61</f>
        <v>0</v>
      </c>
      <c r="P60" s="766">
        <f>pjok_ki4!AG61</f>
        <v>0</v>
      </c>
      <c r="Q60" s="743" t="str">
        <f t="shared" si="10"/>
        <v xml:space="preserve">  </v>
      </c>
    </row>
    <row r="61" spans="1:17" ht="15.75" x14ac:dyDescent="0.25">
      <c r="A61" s="134">
        <v>11</v>
      </c>
      <c r="B61" s="382" t="str">
        <f t="shared" si="7"/>
        <v>Fania Mutiara Felichia</v>
      </c>
      <c r="C61" s="764">
        <f>pjok_ki3!S67</f>
        <v>0</v>
      </c>
      <c r="D61" s="1115">
        <f>pjok_ki3!T67</f>
        <v>0</v>
      </c>
      <c r="E61" s="1115">
        <f>pjok_ki3!U67</f>
        <v>0</v>
      </c>
      <c r="F61" s="1115">
        <f>pjok_ki3!V67</f>
        <v>0</v>
      </c>
      <c r="G61" s="1115">
        <f>pjok_ki3!W67</f>
        <v>0</v>
      </c>
      <c r="H61" s="557" t="str">
        <f t="shared" si="8"/>
        <v xml:space="preserve">  </v>
      </c>
      <c r="J61" s="134">
        <v>11</v>
      </c>
      <c r="K61" s="382" t="str">
        <f t="shared" si="9"/>
        <v>Fania Mutiara Felichia</v>
      </c>
      <c r="L61" s="764">
        <f>pjok_ki4!AC67</f>
        <v>0</v>
      </c>
      <c r="M61" s="766">
        <f>pjok_ki4!AD67</f>
        <v>0</v>
      </c>
      <c r="N61" s="766">
        <f>pjok_ki4!AE67</f>
        <v>0</v>
      </c>
      <c r="O61" s="766">
        <f>pjok_ki4!AF67</f>
        <v>0</v>
      </c>
      <c r="P61" s="766">
        <f>pjok_ki4!AG67</f>
        <v>0</v>
      </c>
      <c r="Q61" s="743" t="str">
        <f t="shared" si="10"/>
        <v xml:space="preserve">  </v>
      </c>
    </row>
    <row r="62" spans="1:17" ht="15.75" x14ac:dyDescent="0.25">
      <c r="A62" s="134">
        <v>12</v>
      </c>
      <c r="B62" s="382" t="str">
        <f t="shared" si="7"/>
        <v>Intan Dyah Nowari</v>
      </c>
      <c r="C62" s="764">
        <f>pjok_ki3!S73</f>
        <v>0</v>
      </c>
      <c r="D62" s="1115">
        <f>pjok_ki3!T73</f>
        <v>0</v>
      </c>
      <c r="E62" s="1115">
        <f>pjok_ki3!U73</f>
        <v>0</v>
      </c>
      <c r="F62" s="1115">
        <f>pjok_ki3!V73</f>
        <v>0</v>
      </c>
      <c r="G62" s="1115">
        <f>pjok_ki3!W73</f>
        <v>0</v>
      </c>
      <c r="H62" s="557" t="str">
        <f t="shared" si="8"/>
        <v xml:space="preserve">  </v>
      </c>
      <c r="J62" s="764">
        <v>12</v>
      </c>
      <c r="K62" s="382" t="str">
        <f t="shared" si="9"/>
        <v>Intan Dyah Nowari</v>
      </c>
      <c r="L62" s="764">
        <f>pjok_ki4!AC73</f>
        <v>0</v>
      </c>
      <c r="M62" s="766">
        <f>pjok_ki4!AD73</f>
        <v>0</v>
      </c>
      <c r="N62" s="766">
        <f>pjok_ki4!AE73</f>
        <v>0</v>
      </c>
      <c r="O62" s="766">
        <f>pjok_ki4!AF73</f>
        <v>0</v>
      </c>
      <c r="P62" s="766">
        <f>pjok_ki4!AG73</f>
        <v>0</v>
      </c>
      <c r="Q62" s="743" t="str">
        <f t="shared" si="10"/>
        <v xml:space="preserve">  </v>
      </c>
    </row>
    <row r="63" spans="1:17" ht="15.75" x14ac:dyDescent="0.25">
      <c r="A63" s="134">
        <v>13</v>
      </c>
      <c r="B63" s="382" t="str">
        <f t="shared" si="7"/>
        <v>Misyanita Nurfitri S</v>
      </c>
      <c r="C63" s="764">
        <f>pjok_ki3!S79</f>
        <v>0</v>
      </c>
      <c r="D63" s="1115">
        <f>pjok_ki3!T79</f>
        <v>0</v>
      </c>
      <c r="E63" s="1115">
        <f>pjok_ki3!U79</f>
        <v>0</v>
      </c>
      <c r="F63" s="1115">
        <f>pjok_ki3!V79</f>
        <v>0</v>
      </c>
      <c r="G63" s="1115">
        <f>pjok_ki3!W79</f>
        <v>0</v>
      </c>
      <c r="H63" s="557" t="str">
        <f t="shared" si="8"/>
        <v xml:space="preserve">  </v>
      </c>
      <c r="J63" s="134">
        <v>13</v>
      </c>
      <c r="K63" s="382" t="str">
        <f t="shared" si="9"/>
        <v>Misyanita Nurfitri S</v>
      </c>
      <c r="L63" s="764">
        <f>pjok_ki4!AC79</f>
        <v>0</v>
      </c>
      <c r="M63" s="766">
        <f>pjok_ki4!AD79</f>
        <v>0</v>
      </c>
      <c r="N63" s="766">
        <f>pjok_ki4!AE79</f>
        <v>0</v>
      </c>
      <c r="O63" s="766">
        <f>pjok_ki4!AF79</f>
        <v>0</v>
      </c>
      <c r="P63" s="766">
        <f>pjok_ki4!AG79</f>
        <v>0</v>
      </c>
      <c r="Q63" s="743" t="str">
        <f t="shared" si="10"/>
        <v xml:space="preserve">  </v>
      </c>
    </row>
    <row r="64" spans="1:17" ht="15.75" x14ac:dyDescent="0.25">
      <c r="A64" s="134">
        <v>14</v>
      </c>
      <c r="B64" s="382" t="str">
        <f t="shared" si="7"/>
        <v>Moch Zidane Hita L. U</v>
      </c>
      <c r="C64" s="764">
        <f>pjok_ki3!S85</f>
        <v>0</v>
      </c>
      <c r="D64" s="1115">
        <f>pjok_ki3!T85</f>
        <v>0</v>
      </c>
      <c r="E64" s="1115">
        <f>pjok_ki3!U85</f>
        <v>0</v>
      </c>
      <c r="F64" s="1115">
        <f>pjok_ki3!V85</f>
        <v>0</v>
      </c>
      <c r="G64" s="1115">
        <f>pjok_ki3!W85</f>
        <v>0</v>
      </c>
      <c r="H64" s="557" t="str">
        <f t="shared" si="8"/>
        <v xml:space="preserve">  </v>
      </c>
      <c r="J64" s="764">
        <v>14</v>
      </c>
      <c r="K64" s="382" t="str">
        <f t="shared" si="9"/>
        <v>Moch Zidane Hita L. U</v>
      </c>
      <c r="L64" s="764">
        <f>pjok_ki4!AC85</f>
        <v>0</v>
      </c>
      <c r="M64" s="766">
        <f>pjok_ki4!AD85</f>
        <v>0</v>
      </c>
      <c r="N64" s="766">
        <f>pjok_ki4!AE85</f>
        <v>0</v>
      </c>
      <c r="O64" s="766">
        <f>pjok_ki4!AF85</f>
        <v>0</v>
      </c>
      <c r="P64" s="766">
        <f>pjok_ki4!AG85</f>
        <v>0</v>
      </c>
      <c r="Q64" s="743" t="str">
        <f t="shared" si="10"/>
        <v xml:space="preserve">  </v>
      </c>
    </row>
    <row r="65" spans="1:17" ht="15.75" x14ac:dyDescent="0.25">
      <c r="A65" s="134">
        <v>15</v>
      </c>
      <c r="B65" s="382" t="str">
        <f t="shared" si="7"/>
        <v>Muhammad Ibra Maulana</v>
      </c>
      <c r="C65" s="764">
        <f>pjok_ki3!S91</f>
        <v>0</v>
      </c>
      <c r="D65" s="1115">
        <f>pjok_ki3!T91</f>
        <v>0</v>
      </c>
      <c r="E65" s="1115">
        <f>pjok_ki3!U91</f>
        <v>0</v>
      </c>
      <c r="F65" s="1115">
        <f>pjok_ki3!V91</f>
        <v>0</v>
      </c>
      <c r="G65" s="1115">
        <f>pjok_ki3!W91</f>
        <v>0</v>
      </c>
      <c r="H65" s="557" t="str">
        <f t="shared" si="8"/>
        <v xml:space="preserve">  </v>
      </c>
      <c r="J65" s="134">
        <v>15</v>
      </c>
      <c r="K65" s="382" t="str">
        <f t="shared" si="9"/>
        <v>Muhammad Ibra Maulana</v>
      </c>
      <c r="L65" s="764">
        <f>pjok_ki4!AC91</f>
        <v>0</v>
      </c>
      <c r="M65" s="766">
        <f>pjok_ki4!AD91</f>
        <v>0</v>
      </c>
      <c r="N65" s="766">
        <f>pjok_ki4!AE91</f>
        <v>0</v>
      </c>
      <c r="O65" s="766">
        <f>pjok_ki4!AF91</f>
        <v>0</v>
      </c>
      <c r="P65" s="766">
        <f>pjok_ki4!AG91</f>
        <v>0</v>
      </c>
      <c r="Q65" s="743" t="str">
        <f t="shared" si="10"/>
        <v xml:space="preserve">  </v>
      </c>
    </row>
    <row r="66" spans="1:17" ht="15.75" x14ac:dyDescent="0.25">
      <c r="A66" s="134">
        <v>16</v>
      </c>
      <c r="B66" s="382" t="str">
        <f t="shared" si="7"/>
        <v>Nabilla Shiva Putri</v>
      </c>
      <c r="C66" s="764">
        <f>pjok_ki3!S97</f>
        <v>0</v>
      </c>
      <c r="D66" s="1115">
        <f>pjok_ki3!T97</f>
        <v>0</v>
      </c>
      <c r="E66" s="1115">
        <f>pjok_ki3!U97</f>
        <v>0</v>
      </c>
      <c r="F66" s="1115">
        <f>pjok_ki3!V97</f>
        <v>0</v>
      </c>
      <c r="G66" s="1115">
        <f>pjok_ki3!W97</f>
        <v>0</v>
      </c>
      <c r="H66" s="557" t="str">
        <f t="shared" si="8"/>
        <v xml:space="preserve">  </v>
      </c>
      <c r="J66" s="764">
        <v>16</v>
      </c>
      <c r="K66" s="382" t="str">
        <f t="shared" si="9"/>
        <v>Nabilla Shiva Putri</v>
      </c>
      <c r="L66" s="764">
        <f>pjok_ki4!AC97</f>
        <v>0</v>
      </c>
      <c r="M66" s="766">
        <f>pjok_ki4!AD97</f>
        <v>0</v>
      </c>
      <c r="N66" s="766">
        <f>pjok_ki4!AE97</f>
        <v>0</v>
      </c>
      <c r="O66" s="766">
        <f>pjok_ki4!AF97</f>
        <v>0</v>
      </c>
      <c r="P66" s="766">
        <f>pjok_ki4!AG97</f>
        <v>0</v>
      </c>
      <c r="Q66" s="743" t="str">
        <f t="shared" si="10"/>
        <v xml:space="preserve">  </v>
      </c>
    </row>
    <row r="67" spans="1:17" ht="15.75" x14ac:dyDescent="0.25">
      <c r="A67" s="134">
        <v>17</v>
      </c>
      <c r="B67" s="382" t="str">
        <f t="shared" si="7"/>
        <v>Naufal Falih F</v>
      </c>
      <c r="C67" s="764">
        <f>pjok_ki3!S103</f>
        <v>0</v>
      </c>
      <c r="D67" s="1115">
        <f>pjok_ki3!T103</f>
        <v>0</v>
      </c>
      <c r="E67" s="1115">
        <f>pjok_ki3!U103</f>
        <v>0</v>
      </c>
      <c r="F67" s="1115">
        <f>pjok_ki3!V103</f>
        <v>0</v>
      </c>
      <c r="G67" s="1115">
        <f>pjok_ki3!W103</f>
        <v>0</v>
      </c>
      <c r="H67" s="557" t="str">
        <f t="shared" si="8"/>
        <v xml:space="preserve">  </v>
      </c>
      <c r="J67" s="134">
        <v>17</v>
      </c>
      <c r="K67" s="382" t="str">
        <f t="shared" si="9"/>
        <v>Naufal Falih F</v>
      </c>
      <c r="L67" s="764">
        <f>pjok_ki4!AC103</f>
        <v>0</v>
      </c>
      <c r="M67" s="766">
        <f>pjok_ki4!AD103</f>
        <v>0</v>
      </c>
      <c r="N67" s="766">
        <f>pjok_ki4!AE103</f>
        <v>0</v>
      </c>
      <c r="O67" s="766">
        <f>pjok_ki4!AF103</f>
        <v>0</v>
      </c>
      <c r="P67" s="766">
        <f>pjok_ki4!AG103</f>
        <v>0</v>
      </c>
      <c r="Q67" s="743" t="str">
        <f t="shared" si="10"/>
        <v xml:space="preserve">  </v>
      </c>
    </row>
    <row r="68" spans="1:17" ht="15.75" x14ac:dyDescent="0.25">
      <c r="A68" s="134">
        <v>18</v>
      </c>
      <c r="B68" s="382" t="str">
        <f t="shared" si="7"/>
        <v>Nayla Annora Nobel W</v>
      </c>
      <c r="C68" s="764">
        <f>pjok_ki3!S109</f>
        <v>0</v>
      </c>
      <c r="D68" s="1115">
        <f>pjok_ki3!T109</f>
        <v>0</v>
      </c>
      <c r="E68" s="1115">
        <f>pjok_ki3!U109</f>
        <v>0</v>
      </c>
      <c r="F68" s="1115">
        <f>pjok_ki3!V109</f>
        <v>0</v>
      </c>
      <c r="G68" s="1115">
        <f>pjok_ki3!W109</f>
        <v>0</v>
      </c>
      <c r="H68" s="557" t="str">
        <f t="shared" si="8"/>
        <v xml:space="preserve">  </v>
      </c>
      <c r="J68" s="764">
        <v>18</v>
      </c>
      <c r="K68" s="382" t="str">
        <f t="shared" si="9"/>
        <v>Nayla Annora Nobel W</v>
      </c>
      <c r="L68" s="764">
        <f>pjok_ki4!AC109</f>
        <v>0</v>
      </c>
      <c r="M68" s="766">
        <f>pjok_ki4!AD109</f>
        <v>0</v>
      </c>
      <c r="N68" s="766">
        <f>pjok_ki4!AE109</f>
        <v>0</v>
      </c>
      <c r="O68" s="766">
        <f>pjok_ki4!AF109</f>
        <v>0</v>
      </c>
      <c r="P68" s="766">
        <f>pjok_ki4!AG109</f>
        <v>0</v>
      </c>
      <c r="Q68" s="743" t="str">
        <f t="shared" si="10"/>
        <v xml:space="preserve">  </v>
      </c>
    </row>
    <row r="69" spans="1:17" ht="15.75" x14ac:dyDescent="0.25">
      <c r="A69" s="134">
        <v>19</v>
      </c>
      <c r="B69" s="382" t="str">
        <f t="shared" si="7"/>
        <v>Raihan Danang P</v>
      </c>
      <c r="C69" s="764">
        <f>pjok_ki3!S115</f>
        <v>0</v>
      </c>
      <c r="D69" s="1115">
        <f>pjok_ki3!T115</f>
        <v>0</v>
      </c>
      <c r="E69" s="1115">
        <f>pjok_ki3!U115</f>
        <v>0</v>
      </c>
      <c r="F69" s="1115">
        <f>pjok_ki3!V115</f>
        <v>0</v>
      </c>
      <c r="G69" s="1115">
        <f>pjok_ki3!W115</f>
        <v>0</v>
      </c>
      <c r="H69" s="557" t="str">
        <f t="shared" si="8"/>
        <v xml:space="preserve">  </v>
      </c>
      <c r="J69" s="134">
        <v>19</v>
      </c>
      <c r="K69" s="382" t="str">
        <f t="shared" si="9"/>
        <v>Raihan Danang P</v>
      </c>
      <c r="L69" s="764">
        <f>pjok_ki4!AC121</f>
        <v>0</v>
      </c>
      <c r="M69" s="766">
        <f>pjok_ki4!AD121</f>
        <v>0</v>
      </c>
      <c r="N69" s="766">
        <f>pjok_ki4!AE121</f>
        <v>0</v>
      </c>
      <c r="O69" s="766">
        <f>pjok_ki4!AF121</f>
        <v>0</v>
      </c>
      <c r="P69" s="766">
        <f>pjok_ki4!AG121</f>
        <v>0</v>
      </c>
      <c r="Q69" s="743" t="str">
        <f t="shared" si="10"/>
        <v xml:space="preserve">  </v>
      </c>
    </row>
    <row r="70" spans="1:17" ht="15.75" x14ac:dyDescent="0.25">
      <c r="A70" s="134">
        <v>20</v>
      </c>
      <c r="B70" s="382" t="str">
        <f t="shared" si="7"/>
        <v>Roby Ardiyansyah</v>
      </c>
      <c r="C70" s="764">
        <f>pjok_ki3!S121</f>
        <v>0</v>
      </c>
      <c r="D70" s="1115">
        <f>pjok_ki3!T121</f>
        <v>0</v>
      </c>
      <c r="E70" s="1115">
        <f>pjok_ki3!U121</f>
        <v>0</v>
      </c>
      <c r="F70" s="1115">
        <f>pjok_ki3!V121</f>
        <v>0</v>
      </c>
      <c r="G70" s="1115">
        <f>pjok_ki3!W121</f>
        <v>0</v>
      </c>
      <c r="H70" s="557" t="str">
        <f t="shared" si="8"/>
        <v xml:space="preserve">  </v>
      </c>
      <c r="J70" s="764">
        <v>20</v>
      </c>
      <c r="K70" s="382" t="str">
        <f t="shared" si="9"/>
        <v>Roby Ardiyansyah</v>
      </c>
      <c r="L70" s="764">
        <f>pjok_ki4!AC121</f>
        <v>0</v>
      </c>
      <c r="M70" s="766">
        <f>pjok_ki4!AD121</f>
        <v>0</v>
      </c>
      <c r="N70" s="766">
        <f>pjok_ki4!AE121</f>
        <v>0</v>
      </c>
      <c r="O70" s="766">
        <f>pjok_ki4!AF121</f>
        <v>0</v>
      </c>
      <c r="P70" s="766">
        <f>pjok_ki4!AG121</f>
        <v>0</v>
      </c>
      <c r="Q70" s="743" t="str">
        <f t="shared" si="10"/>
        <v xml:space="preserve">  </v>
      </c>
    </row>
    <row r="71" spans="1:17" ht="15.75" x14ac:dyDescent="0.25">
      <c r="A71" s="134">
        <v>21</v>
      </c>
      <c r="B71" s="382" t="str">
        <f t="shared" si="7"/>
        <v>Rojalingga Prana A</v>
      </c>
      <c r="C71" s="764">
        <f>pjok_ki3!S127</f>
        <v>0</v>
      </c>
      <c r="D71" s="1115">
        <f>pjok_ki3!T127</f>
        <v>0</v>
      </c>
      <c r="E71" s="1115">
        <f>pjok_ki3!U127</f>
        <v>0</v>
      </c>
      <c r="F71" s="1115">
        <f>pjok_ki3!V127</f>
        <v>0</v>
      </c>
      <c r="G71" s="1115">
        <f>pjok_ki3!W127</f>
        <v>0</v>
      </c>
      <c r="H71" s="557" t="str">
        <f t="shared" si="8"/>
        <v xml:space="preserve">  </v>
      </c>
      <c r="J71" s="134">
        <v>21</v>
      </c>
      <c r="K71" s="382" t="str">
        <f t="shared" si="9"/>
        <v>Rojalingga Prana A</v>
      </c>
      <c r="L71" s="764">
        <f>pjok_ki4!AC127</f>
        <v>0</v>
      </c>
      <c r="M71" s="766">
        <f>pjok_ki4!AD127</f>
        <v>0</v>
      </c>
      <c r="N71" s="766">
        <f>pjok_ki4!AE127</f>
        <v>0</v>
      </c>
      <c r="O71" s="766">
        <f>pjok_ki4!AF127</f>
        <v>0</v>
      </c>
      <c r="P71" s="766">
        <f>pjok_ki4!AG127</f>
        <v>0</v>
      </c>
      <c r="Q71" s="743" t="str">
        <f t="shared" si="10"/>
        <v xml:space="preserve">  </v>
      </c>
    </row>
    <row r="72" spans="1:17" ht="15.75" x14ac:dyDescent="0.25">
      <c r="A72" s="134">
        <v>22</v>
      </c>
      <c r="B72" s="382" t="str">
        <f t="shared" si="7"/>
        <v>Sally Savista A</v>
      </c>
      <c r="C72" s="764">
        <f>pjok_ki3!S133</f>
        <v>0</v>
      </c>
      <c r="D72" s="1115">
        <f>pjok_ki3!T133</f>
        <v>0</v>
      </c>
      <c r="E72" s="1115">
        <f>pjok_ki3!U133</f>
        <v>0</v>
      </c>
      <c r="F72" s="1115">
        <f>pjok_ki3!V133</f>
        <v>0</v>
      </c>
      <c r="G72" s="1115">
        <f>pjok_ki3!W133</f>
        <v>0</v>
      </c>
      <c r="H72" s="557" t="str">
        <f t="shared" si="8"/>
        <v xml:space="preserve">  </v>
      </c>
      <c r="J72" s="764">
        <v>22</v>
      </c>
      <c r="K72" s="382" t="str">
        <f t="shared" si="9"/>
        <v>Sally Savista A</v>
      </c>
      <c r="L72" s="764">
        <f>pjok_ki4!AC133</f>
        <v>0</v>
      </c>
      <c r="M72" s="766">
        <f>pjok_ki4!AD133</f>
        <v>0</v>
      </c>
      <c r="N72" s="766">
        <f>pjok_ki4!AE133</f>
        <v>0</v>
      </c>
      <c r="O72" s="766">
        <f>pjok_ki4!AF133</f>
        <v>0</v>
      </c>
      <c r="P72" s="766">
        <f>pjok_ki4!AG133</f>
        <v>0</v>
      </c>
      <c r="Q72" s="743" t="str">
        <f t="shared" si="10"/>
        <v xml:space="preserve">  </v>
      </c>
    </row>
    <row r="73" spans="1:17" ht="15.75" x14ac:dyDescent="0.25">
      <c r="A73" s="134">
        <v>23</v>
      </c>
      <c r="B73" s="382" t="str">
        <f t="shared" si="7"/>
        <v xml:space="preserve">Tania Kaori Angelita </v>
      </c>
      <c r="C73" s="764">
        <f>pjok_ki3!S139</f>
        <v>0</v>
      </c>
      <c r="D73" s="1115">
        <f>pjok_ki3!T139</f>
        <v>0</v>
      </c>
      <c r="E73" s="1115">
        <f>pjok_ki3!U139</f>
        <v>0</v>
      </c>
      <c r="F73" s="1115">
        <f>pjok_ki3!V139</f>
        <v>0</v>
      </c>
      <c r="G73" s="1115">
        <f>pjok_ki3!W139</f>
        <v>0</v>
      </c>
      <c r="H73" s="557" t="str">
        <f t="shared" si="8"/>
        <v xml:space="preserve">  </v>
      </c>
      <c r="J73" s="134">
        <v>23</v>
      </c>
      <c r="K73" s="382" t="str">
        <f t="shared" si="9"/>
        <v xml:space="preserve">Tania Kaori Angelita </v>
      </c>
      <c r="L73" s="764">
        <f>pjok_ki4!AC139</f>
        <v>0</v>
      </c>
      <c r="M73" s="766">
        <f>pjok_ki4!AD139</f>
        <v>0</v>
      </c>
      <c r="N73" s="766">
        <f>pjok_ki4!AE139</f>
        <v>0</v>
      </c>
      <c r="O73" s="766">
        <f>pjok_ki4!AF139</f>
        <v>0</v>
      </c>
      <c r="P73" s="766">
        <f>pjok_ki4!AG139</f>
        <v>0</v>
      </c>
      <c r="Q73" s="743" t="str">
        <f t="shared" si="10"/>
        <v xml:space="preserve">  </v>
      </c>
    </row>
    <row r="74" spans="1:17" ht="15.75" x14ac:dyDescent="0.25">
      <c r="A74" s="134">
        <v>24</v>
      </c>
      <c r="B74" s="382" t="str">
        <f t="shared" si="7"/>
        <v>Romzy Oka Ramadhani P</v>
      </c>
      <c r="C74" s="764">
        <f>pjok_ki3!S145</f>
        <v>0</v>
      </c>
      <c r="D74" s="1115">
        <f>pjok_ki3!T145</f>
        <v>0</v>
      </c>
      <c r="E74" s="1115">
        <f>pjok_ki3!U145</f>
        <v>0</v>
      </c>
      <c r="F74" s="1115">
        <f>pjok_ki3!V145</f>
        <v>0</v>
      </c>
      <c r="G74" s="1115">
        <f>pjok_ki3!W145</f>
        <v>0</v>
      </c>
      <c r="H74" s="557" t="str">
        <f t="shared" si="8"/>
        <v xml:space="preserve">  </v>
      </c>
      <c r="J74" s="764">
        <v>24</v>
      </c>
      <c r="K74" s="382" t="str">
        <f t="shared" si="9"/>
        <v>Romzy Oka Ramadhani P</v>
      </c>
      <c r="L74" s="764">
        <f>pjok_ki4!AC145</f>
        <v>0</v>
      </c>
      <c r="M74" s="766">
        <f>pjok_ki4!AD145</f>
        <v>0</v>
      </c>
      <c r="N74" s="766">
        <f>pjok_ki4!AE145</f>
        <v>0</v>
      </c>
      <c r="O74" s="766">
        <f>pjok_ki4!AF145</f>
        <v>0</v>
      </c>
      <c r="P74" s="766">
        <f>pjok_ki4!AG145</f>
        <v>0</v>
      </c>
      <c r="Q74" s="743" t="str">
        <f t="shared" si="10"/>
        <v xml:space="preserve">  </v>
      </c>
    </row>
    <row r="75" spans="1:17" ht="15.75" x14ac:dyDescent="0.25">
      <c r="A75" s="134">
        <v>25</v>
      </c>
      <c r="B75" s="382" t="str">
        <f t="shared" si="7"/>
        <v>Larasati Jagadhita P</v>
      </c>
      <c r="C75" s="764">
        <f>pjok_ki3!S151</f>
        <v>0</v>
      </c>
      <c r="D75" s="1115">
        <f>pjok_ki3!T151</f>
        <v>0</v>
      </c>
      <c r="E75" s="1115">
        <f>pjok_ki3!U151</f>
        <v>0</v>
      </c>
      <c r="F75" s="1115">
        <f>pjok_ki3!V151</f>
        <v>0</v>
      </c>
      <c r="G75" s="1115">
        <f>pjok_ki3!W151</f>
        <v>0</v>
      </c>
      <c r="H75" s="557" t="str">
        <f t="shared" si="8"/>
        <v xml:space="preserve">  </v>
      </c>
      <c r="J75" s="134">
        <v>25</v>
      </c>
      <c r="K75" s="382" t="str">
        <f t="shared" si="9"/>
        <v>Larasati Jagadhita P</v>
      </c>
      <c r="L75" s="764">
        <f>pjok_ki4!AC151</f>
        <v>0</v>
      </c>
      <c r="M75" s="766">
        <f>pjok_ki4!AD151</f>
        <v>0</v>
      </c>
      <c r="N75" s="766">
        <f>pjok_ki4!AE151</f>
        <v>0</v>
      </c>
      <c r="O75" s="766">
        <f>pjok_ki4!AF151</f>
        <v>0</v>
      </c>
      <c r="P75" s="766">
        <f>pjok_ki4!AG151</f>
        <v>0</v>
      </c>
      <c r="Q75" s="743" t="str">
        <f t="shared" si="10"/>
        <v xml:space="preserve">  </v>
      </c>
    </row>
    <row r="76" spans="1:17" ht="15.75" x14ac:dyDescent="0.25">
      <c r="A76" s="134">
        <v>26</v>
      </c>
      <c r="B76" s="382" t="str">
        <f t="shared" si="7"/>
        <v>Meliana Citra A</v>
      </c>
      <c r="C76" s="764">
        <f>pjok_ki3!S157</f>
        <v>0</v>
      </c>
      <c r="D76" s="1115">
        <f>pjok_ki3!T157</f>
        <v>0</v>
      </c>
      <c r="E76" s="1115">
        <f>pjok_ki3!U157</f>
        <v>0</v>
      </c>
      <c r="F76" s="1115">
        <f>pjok_ki3!V157</f>
        <v>0</v>
      </c>
      <c r="G76" s="1115">
        <f>pjok_ki3!W157</f>
        <v>0</v>
      </c>
      <c r="H76" s="557" t="str">
        <f t="shared" si="8"/>
        <v xml:space="preserve">  </v>
      </c>
      <c r="J76" s="764">
        <v>26</v>
      </c>
      <c r="K76" s="382" t="str">
        <f t="shared" si="9"/>
        <v>Meliana Citra A</v>
      </c>
      <c r="L76" s="764">
        <f>pjok_ki4!AC157</f>
        <v>0</v>
      </c>
      <c r="M76" s="766">
        <f>pjok_ki4!AD157</f>
        <v>0</v>
      </c>
      <c r="N76" s="766">
        <f>pjok_ki4!AE157</f>
        <v>0</v>
      </c>
      <c r="O76" s="766">
        <f>pjok_ki4!AF157</f>
        <v>0</v>
      </c>
      <c r="P76" s="766">
        <f>pjok_ki4!AG157</f>
        <v>0</v>
      </c>
      <c r="Q76" s="743" t="str">
        <f t="shared" si="10"/>
        <v xml:space="preserve">  </v>
      </c>
    </row>
    <row r="77" spans="1:17" ht="15.75" x14ac:dyDescent="0.25">
      <c r="A77" s="134">
        <v>27</v>
      </c>
      <c r="B77" s="382" t="str">
        <f t="shared" si="7"/>
        <v>Mohammad Rizky</v>
      </c>
      <c r="C77" s="764">
        <f>pjok_ki3!S163</f>
        <v>0</v>
      </c>
      <c r="D77" s="1115">
        <f>pjok_ki3!T163</f>
        <v>0</v>
      </c>
      <c r="E77" s="1115">
        <f>pjok_ki3!U163</f>
        <v>0</v>
      </c>
      <c r="F77" s="1115">
        <f>pjok_ki3!V163</f>
        <v>0</v>
      </c>
      <c r="G77" s="1115">
        <f>pjok_ki3!W163</f>
        <v>0</v>
      </c>
      <c r="H77" s="557" t="str">
        <f t="shared" si="8"/>
        <v xml:space="preserve">  </v>
      </c>
      <c r="J77" s="134">
        <v>27</v>
      </c>
      <c r="K77" s="382" t="str">
        <f t="shared" si="9"/>
        <v>Mohammad Rizky</v>
      </c>
      <c r="L77" s="764">
        <f>pjok_ki4!AC163</f>
        <v>0</v>
      </c>
      <c r="M77" s="766">
        <f>pjok_ki4!AD163</f>
        <v>0</v>
      </c>
      <c r="N77" s="766">
        <f>pjok_ki4!AE163</f>
        <v>0</v>
      </c>
      <c r="O77" s="766">
        <f>pjok_ki4!AF163</f>
        <v>0</v>
      </c>
      <c r="P77" s="766">
        <f>pjok_ki4!AG163</f>
        <v>0</v>
      </c>
      <c r="Q77" s="743" t="str">
        <f t="shared" si="10"/>
        <v xml:space="preserve">  </v>
      </c>
    </row>
    <row r="78" spans="1:17" ht="15.75" x14ac:dyDescent="0.25">
      <c r="A78" s="134">
        <v>28</v>
      </c>
      <c r="B78" s="382" t="e">
        <f t="shared" si="7"/>
        <v>#N/A</v>
      </c>
      <c r="C78" s="764">
        <f>pjok_ki3!S169</f>
        <v>0</v>
      </c>
      <c r="D78" s="1115">
        <f>pjok_ki3!T169</f>
        <v>0</v>
      </c>
      <c r="E78" s="1115">
        <f>pjok_ki3!U169</f>
        <v>0</v>
      </c>
      <c r="F78" s="1115">
        <f>pjok_ki3!V169</f>
        <v>0</v>
      </c>
      <c r="G78" s="1115">
        <f>pjok_ki3!W169</f>
        <v>0</v>
      </c>
      <c r="H78" s="557" t="str">
        <f t="shared" si="8"/>
        <v xml:space="preserve">  </v>
      </c>
      <c r="J78" s="764">
        <v>28</v>
      </c>
      <c r="K78" s="382" t="e">
        <f t="shared" si="9"/>
        <v>#N/A</v>
      </c>
      <c r="L78" s="764">
        <f>pjok_ki4!AC169</f>
        <v>0</v>
      </c>
      <c r="M78" s="766">
        <f>pjok_ki4!AD169</f>
        <v>0</v>
      </c>
      <c r="N78" s="766">
        <f>pjok_ki4!AE169</f>
        <v>0</v>
      </c>
      <c r="O78" s="766">
        <f>pjok_ki4!AF169</f>
        <v>0</v>
      </c>
      <c r="P78" s="766">
        <f>pjok_ki4!AG169</f>
        <v>0</v>
      </c>
      <c r="Q78" s="743" t="str">
        <f t="shared" si="10"/>
        <v xml:space="preserve">  </v>
      </c>
    </row>
    <row r="79" spans="1:17" ht="15.75" x14ac:dyDescent="0.25">
      <c r="A79" s="134">
        <v>29</v>
      </c>
      <c r="B79" s="382" t="e">
        <f t="shared" si="7"/>
        <v>#N/A</v>
      </c>
      <c r="C79" s="764">
        <f>pjok_ki3!S175</f>
        <v>0</v>
      </c>
      <c r="D79" s="1115">
        <f>pjok_ki3!T175</f>
        <v>0</v>
      </c>
      <c r="E79" s="1115">
        <f>pjok_ki3!U175</f>
        <v>0</v>
      </c>
      <c r="F79" s="1115">
        <f>pjok_ki3!V175</f>
        <v>0</v>
      </c>
      <c r="G79" s="1115">
        <f>pjok_ki3!W175</f>
        <v>0</v>
      </c>
      <c r="H79" s="557" t="str">
        <f t="shared" si="8"/>
        <v xml:space="preserve">  </v>
      </c>
      <c r="J79" s="134">
        <v>29</v>
      </c>
      <c r="K79" s="382" t="e">
        <f t="shared" si="9"/>
        <v>#N/A</v>
      </c>
      <c r="L79" s="764">
        <f>pjok_ki4!AC181</f>
        <v>0</v>
      </c>
      <c r="M79" s="766">
        <f>pjok_ki4!AD181</f>
        <v>0</v>
      </c>
      <c r="N79" s="766">
        <f>pjok_ki4!AE181</f>
        <v>0</v>
      </c>
      <c r="O79" s="766">
        <f>pjok_ki4!AF181</f>
        <v>0</v>
      </c>
      <c r="P79" s="766">
        <f>pjok_ki4!AG181</f>
        <v>0</v>
      </c>
      <c r="Q79" s="743" t="str">
        <f t="shared" si="10"/>
        <v xml:space="preserve">  </v>
      </c>
    </row>
    <row r="80" spans="1:17" ht="15.75" x14ac:dyDescent="0.25">
      <c r="A80" s="134">
        <v>30</v>
      </c>
      <c r="B80" s="382" t="e">
        <f t="shared" si="7"/>
        <v>#N/A</v>
      </c>
      <c r="C80" s="764">
        <f>pjok_ki3!S181</f>
        <v>0</v>
      </c>
      <c r="D80" s="1115">
        <f>pjok_ki3!T181</f>
        <v>0</v>
      </c>
      <c r="E80" s="1115">
        <f>pjok_ki3!U181</f>
        <v>0</v>
      </c>
      <c r="F80" s="1115">
        <f>pjok_ki3!V181</f>
        <v>0</v>
      </c>
      <c r="G80" s="1115">
        <f>pjok_ki3!W181</f>
        <v>0</v>
      </c>
      <c r="H80" s="557" t="str">
        <f t="shared" si="8"/>
        <v xml:space="preserve">  </v>
      </c>
      <c r="J80" s="764">
        <v>30</v>
      </c>
      <c r="K80" s="382" t="e">
        <f t="shared" si="9"/>
        <v>#N/A</v>
      </c>
      <c r="L80" s="764">
        <f>pjok_ki4!AC181</f>
        <v>0</v>
      </c>
      <c r="M80" s="766">
        <f>pjok_ki4!AD181</f>
        <v>0</v>
      </c>
      <c r="N80" s="766">
        <f>pjok_ki4!AE181</f>
        <v>0</v>
      </c>
      <c r="O80" s="766">
        <f>pjok_ki4!AF181</f>
        <v>0</v>
      </c>
      <c r="P80" s="766">
        <f>pjok_ki4!AG181</f>
        <v>0</v>
      </c>
      <c r="Q80" s="743" t="str">
        <f t="shared" si="10"/>
        <v xml:space="preserve">  </v>
      </c>
    </row>
    <row r="81" spans="1:17" ht="15.75" x14ac:dyDescent="0.25">
      <c r="A81" s="134">
        <v>31</v>
      </c>
      <c r="B81" s="382" t="e">
        <f t="shared" si="7"/>
        <v>#N/A</v>
      </c>
      <c r="C81" s="764">
        <f>pjok_ki3!S187</f>
        <v>0</v>
      </c>
      <c r="D81" s="1115">
        <f>pjok_ki3!T187</f>
        <v>0</v>
      </c>
      <c r="E81" s="1115">
        <f>pjok_ki3!U187</f>
        <v>0</v>
      </c>
      <c r="F81" s="1115">
        <f>pjok_ki3!V187</f>
        <v>0</v>
      </c>
      <c r="G81" s="1115">
        <f>pjok_ki3!W187</f>
        <v>0</v>
      </c>
      <c r="H81" s="557" t="str">
        <f t="shared" si="8"/>
        <v xml:space="preserve">  </v>
      </c>
      <c r="J81" s="134">
        <v>31</v>
      </c>
      <c r="K81" s="382" t="e">
        <f t="shared" si="9"/>
        <v>#N/A</v>
      </c>
      <c r="L81" s="764">
        <f>pjok_ki4!AC187</f>
        <v>0</v>
      </c>
      <c r="M81" s="766">
        <f>pjok_ki4!AD187</f>
        <v>0</v>
      </c>
      <c r="N81" s="766">
        <f>pjok_ki4!AE187</f>
        <v>0</v>
      </c>
      <c r="O81" s="766">
        <f>pjok_ki4!AF187</f>
        <v>0</v>
      </c>
      <c r="P81" s="766">
        <f>pjok_ki4!AG187</f>
        <v>0</v>
      </c>
      <c r="Q81" s="743" t="str">
        <f t="shared" si="10"/>
        <v xml:space="preserve">  </v>
      </c>
    </row>
    <row r="82" spans="1:17" ht="15.75" x14ac:dyDescent="0.25">
      <c r="A82" s="134">
        <v>32</v>
      </c>
      <c r="B82" s="382" t="e">
        <f t="shared" si="7"/>
        <v>#N/A</v>
      </c>
      <c r="C82" s="764">
        <f>pjok_ki3!S193</f>
        <v>0</v>
      </c>
      <c r="D82" s="1115">
        <f>pjok_ki3!T193</f>
        <v>0</v>
      </c>
      <c r="E82" s="1115">
        <f>pjok_ki3!U193</f>
        <v>0</v>
      </c>
      <c r="F82" s="1115">
        <f>pjok_ki3!V193</f>
        <v>0</v>
      </c>
      <c r="G82" s="1115">
        <f>pjok_ki3!W193</f>
        <v>0</v>
      </c>
      <c r="H82" s="557" t="str">
        <f t="shared" si="8"/>
        <v xml:space="preserve">  </v>
      </c>
      <c r="J82" s="764">
        <v>32</v>
      </c>
      <c r="K82" s="382" t="e">
        <f t="shared" si="9"/>
        <v>#N/A</v>
      </c>
      <c r="L82" s="764">
        <f>pjok_ki4!AC193</f>
        <v>0</v>
      </c>
      <c r="M82" s="766">
        <f>pjok_ki4!AD193</f>
        <v>0</v>
      </c>
      <c r="N82" s="766">
        <f>pjok_ki4!AE193</f>
        <v>0</v>
      </c>
      <c r="O82" s="766">
        <f>pjok_ki4!AF193</f>
        <v>0</v>
      </c>
      <c r="P82" s="766">
        <f>pjok_ki4!AG193</f>
        <v>0</v>
      </c>
      <c r="Q82" s="743" t="str">
        <f t="shared" si="10"/>
        <v xml:space="preserve">  </v>
      </c>
    </row>
    <row r="83" spans="1:17" ht="15.75" x14ac:dyDescent="0.25">
      <c r="A83" s="134">
        <v>33</v>
      </c>
      <c r="B83" s="382" t="e">
        <f t="shared" si="7"/>
        <v>#N/A</v>
      </c>
      <c r="C83" s="764">
        <f>pjok_ki3!S199</f>
        <v>0</v>
      </c>
      <c r="D83" s="1115">
        <f>pjok_ki3!T199</f>
        <v>0</v>
      </c>
      <c r="E83" s="1115">
        <f>pjok_ki3!U199</f>
        <v>0</v>
      </c>
      <c r="F83" s="1115">
        <f>pjok_ki3!V199</f>
        <v>0</v>
      </c>
      <c r="G83" s="1115">
        <f>pjok_ki3!W199</f>
        <v>0</v>
      </c>
      <c r="H83" s="557" t="str">
        <f t="shared" si="8"/>
        <v xml:space="preserve">  </v>
      </c>
      <c r="J83" s="134">
        <v>33</v>
      </c>
      <c r="K83" s="382" t="e">
        <f t="shared" si="9"/>
        <v>#N/A</v>
      </c>
      <c r="L83" s="764">
        <f>pjok_ki4!AC199</f>
        <v>0</v>
      </c>
      <c r="M83" s="766">
        <f>pjok_ki4!AD199</f>
        <v>0</v>
      </c>
      <c r="N83" s="766">
        <f>pjok_ki4!AE199</f>
        <v>0</v>
      </c>
      <c r="O83" s="766">
        <f>pjok_ki4!AF199</f>
        <v>0</v>
      </c>
      <c r="P83" s="766">
        <f>pjok_ki4!AG199</f>
        <v>0</v>
      </c>
      <c r="Q83" s="743" t="str">
        <f t="shared" si="10"/>
        <v xml:space="preserve">  </v>
      </c>
    </row>
    <row r="84" spans="1:17" ht="15.75" x14ac:dyDescent="0.25">
      <c r="A84" s="134">
        <v>34</v>
      </c>
      <c r="B84" s="382" t="e">
        <f t="shared" si="7"/>
        <v>#N/A</v>
      </c>
      <c r="C84" s="764">
        <f>pjok_ki3!S205</f>
        <v>0</v>
      </c>
      <c r="D84" s="1115">
        <f>pjok_ki3!T205</f>
        <v>0</v>
      </c>
      <c r="E84" s="1115">
        <f>pjok_ki3!U205</f>
        <v>0</v>
      </c>
      <c r="F84" s="1115">
        <f>pjok_ki3!V205</f>
        <v>0</v>
      </c>
      <c r="G84" s="1115">
        <f>pjok_ki3!W205</f>
        <v>0</v>
      </c>
      <c r="H84" s="557" t="str">
        <f t="shared" si="8"/>
        <v xml:space="preserve">  </v>
      </c>
      <c r="J84" s="764">
        <v>34</v>
      </c>
      <c r="K84" s="382" t="e">
        <f t="shared" si="9"/>
        <v>#N/A</v>
      </c>
      <c r="L84" s="764">
        <f>pjok_ki4!AC205</f>
        <v>0</v>
      </c>
      <c r="M84" s="766">
        <f>pjok_ki4!AD205</f>
        <v>0</v>
      </c>
      <c r="N84" s="766">
        <f>pjok_ki4!AE205</f>
        <v>0</v>
      </c>
      <c r="O84" s="766">
        <f>pjok_ki4!AF205</f>
        <v>0</v>
      </c>
      <c r="P84" s="766">
        <f>pjok_ki4!AG205</f>
        <v>0</v>
      </c>
      <c r="Q84" s="743" t="str">
        <f t="shared" si="10"/>
        <v xml:space="preserve">  </v>
      </c>
    </row>
    <row r="85" spans="1:17" ht="15.75" x14ac:dyDescent="0.25">
      <c r="A85" s="134">
        <v>35</v>
      </c>
      <c r="B85" s="382" t="e">
        <f t="shared" si="7"/>
        <v>#N/A</v>
      </c>
      <c r="C85" s="764">
        <f>pjok_ki3!S211</f>
        <v>0</v>
      </c>
      <c r="D85" s="1115">
        <f>pjok_ki3!T211</f>
        <v>0</v>
      </c>
      <c r="E85" s="1115">
        <f>pjok_ki3!U211</f>
        <v>0</v>
      </c>
      <c r="F85" s="1115">
        <f>pjok_ki3!V211</f>
        <v>0</v>
      </c>
      <c r="G85" s="1115">
        <f>pjok_ki3!W211</f>
        <v>0</v>
      </c>
      <c r="H85" s="557" t="str">
        <f t="shared" si="8"/>
        <v xml:space="preserve">  </v>
      </c>
      <c r="J85" s="134">
        <v>35</v>
      </c>
      <c r="K85" s="382" t="e">
        <f t="shared" si="9"/>
        <v>#N/A</v>
      </c>
      <c r="L85" s="764">
        <f>pjok_ki4!AC211</f>
        <v>0</v>
      </c>
      <c r="M85" s="766">
        <f>pjok_ki4!AD211</f>
        <v>0</v>
      </c>
      <c r="N85" s="766">
        <f>pjok_ki4!AE211</f>
        <v>0</v>
      </c>
      <c r="O85" s="766">
        <f>pjok_ki4!AF211</f>
        <v>0</v>
      </c>
      <c r="P85" s="766">
        <f>pjok_ki4!AG211</f>
        <v>0</v>
      </c>
      <c r="Q85" s="743" t="str">
        <f t="shared" si="10"/>
        <v xml:space="preserve">  </v>
      </c>
    </row>
    <row r="86" spans="1:17" ht="15.75" x14ac:dyDescent="0.25">
      <c r="A86" s="134">
        <v>36</v>
      </c>
      <c r="B86" s="382" t="e">
        <f t="shared" si="7"/>
        <v>#N/A</v>
      </c>
      <c r="C86" s="764">
        <f>pjok_ki3!S217</f>
        <v>0</v>
      </c>
      <c r="D86" s="1115">
        <f>pjok_ki3!T217</f>
        <v>0</v>
      </c>
      <c r="E86" s="1115">
        <f>pjok_ki3!U217</f>
        <v>0</v>
      </c>
      <c r="F86" s="1115">
        <f>pjok_ki3!V217</f>
        <v>0</v>
      </c>
      <c r="G86" s="1115">
        <f>pjok_ki3!W217</f>
        <v>0</v>
      </c>
      <c r="H86" s="557" t="str">
        <f t="shared" si="8"/>
        <v xml:space="preserve">  </v>
      </c>
      <c r="J86" s="764">
        <v>36</v>
      </c>
      <c r="K86" s="382" t="e">
        <f t="shared" si="9"/>
        <v>#N/A</v>
      </c>
      <c r="L86" s="764">
        <f>pjok_ki4!AC217</f>
        <v>0</v>
      </c>
      <c r="M86" s="766">
        <f>pjok_ki4!AD217</f>
        <v>0</v>
      </c>
      <c r="N86" s="766">
        <f>pjok_ki4!AE217</f>
        <v>0</v>
      </c>
      <c r="O86" s="766">
        <f>pjok_ki4!AF217</f>
        <v>0</v>
      </c>
      <c r="P86" s="766">
        <f>pjok_ki4!AG217</f>
        <v>0</v>
      </c>
      <c r="Q86" s="743" t="str">
        <f t="shared" si="10"/>
        <v xml:space="preserve">  </v>
      </c>
    </row>
    <row r="87" spans="1:17" ht="15.75" x14ac:dyDescent="0.25">
      <c r="A87" s="134">
        <v>37</v>
      </c>
      <c r="B87" s="382" t="e">
        <f t="shared" si="7"/>
        <v>#N/A</v>
      </c>
      <c r="C87" s="764">
        <f>pjok_ki3!S223</f>
        <v>0</v>
      </c>
      <c r="D87" s="1115">
        <f>pjok_ki3!T223</f>
        <v>0</v>
      </c>
      <c r="E87" s="1115">
        <f>pjok_ki3!U223</f>
        <v>0</v>
      </c>
      <c r="F87" s="1115">
        <f>pjok_ki3!V223</f>
        <v>0</v>
      </c>
      <c r="G87" s="1115">
        <f>pjok_ki3!W223</f>
        <v>0</v>
      </c>
      <c r="H87" s="557" t="str">
        <f t="shared" si="8"/>
        <v xml:space="preserve">  </v>
      </c>
      <c r="J87" s="134">
        <v>37</v>
      </c>
      <c r="K87" s="382" t="e">
        <f t="shared" si="9"/>
        <v>#N/A</v>
      </c>
      <c r="L87" s="764">
        <f>pjok_ki4!AC223</f>
        <v>0</v>
      </c>
      <c r="M87" s="766">
        <f>pjok_ki4!AD223</f>
        <v>0</v>
      </c>
      <c r="N87" s="766">
        <f>pjok_ki4!AE223</f>
        <v>0</v>
      </c>
      <c r="O87" s="766">
        <f>pjok_ki4!AF223</f>
        <v>0</v>
      </c>
      <c r="P87" s="766">
        <f>pjok_ki4!AG223</f>
        <v>0</v>
      </c>
      <c r="Q87" s="743" t="str">
        <f t="shared" si="10"/>
        <v xml:space="preserve">  </v>
      </c>
    </row>
    <row r="88" spans="1:17" ht="15.75" x14ac:dyDescent="0.25">
      <c r="A88" s="134">
        <v>38</v>
      </c>
      <c r="B88" s="382" t="e">
        <f t="shared" si="7"/>
        <v>#N/A</v>
      </c>
      <c r="C88" s="764">
        <f>pjok_ki3!S229</f>
        <v>0</v>
      </c>
      <c r="D88" s="1115">
        <f>pjok_ki3!T229</f>
        <v>0</v>
      </c>
      <c r="E88" s="1115">
        <f>pjok_ki3!U229</f>
        <v>0</v>
      </c>
      <c r="F88" s="1115">
        <f>pjok_ki3!V229</f>
        <v>0</v>
      </c>
      <c r="G88" s="1115">
        <f>pjok_ki3!W229</f>
        <v>0</v>
      </c>
      <c r="H88" s="557" t="str">
        <f t="shared" si="8"/>
        <v xml:space="preserve">  </v>
      </c>
      <c r="J88" s="764">
        <v>38</v>
      </c>
      <c r="K88" s="382" t="e">
        <f t="shared" si="9"/>
        <v>#N/A</v>
      </c>
      <c r="L88" s="764">
        <f>pjok_ki4!AC229</f>
        <v>0</v>
      </c>
      <c r="M88" s="766">
        <f>pjok_ki4!AD229</f>
        <v>0</v>
      </c>
      <c r="N88" s="766">
        <f>pjok_ki4!AE229</f>
        <v>0</v>
      </c>
      <c r="O88" s="766">
        <f>pjok_ki4!AF229</f>
        <v>0</v>
      </c>
      <c r="P88" s="766">
        <f>pjok_ki4!AG229</f>
        <v>0</v>
      </c>
      <c r="Q88" s="743" t="str">
        <f t="shared" si="10"/>
        <v xml:space="preserve">  </v>
      </c>
    </row>
    <row r="89" spans="1:17" ht="15.75" x14ac:dyDescent="0.25">
      <c r="A89" s="134">
        <v>39</v>
      </c>
      <c r="B89" s="382" t="e">
        <f t="shared" si="7"/>
        <v>#N/A</v>
      </c>
      <c r="C89" s="764">
        <f>pjok_ki3!S235</f>
        <v>0</v>
      </c>
      <c r="D89" s="1115">
        <f>pjok_ki3!T235</f>
        <v>0</v>
      </c>
      <c r="E89" s="1115">
        <f>pjok_ki3!U235</f>
        <v>0</v>
      </c>
      <c r="F89" s="1115">
        <f>pjok_ki3!V235</f>
        <v>0</v>
      </c>
      <c r="G89" s="1115">
        <f>pjok_ki3!W235</f>
        <v>0</v>
      </c>
      <c r="H89" s="557" t="str">
        <f t="shared" si="8"/>
        <v xml:space="preserve">  </v>
      </c>
      <c r="J89" s="134">
        <v>39</v>
      </c>
      <c r="K89" s="382" t="e">
        <f t="shared" si="9"/>
        <v>#N/A</v>
      </c>
      <c r="L89" s="764">
        <f>pjok_ki4!AC235</f>
        <v>0</v>
      </c>
      <c r="M89" s="766">
        <f>pjok_ki4!AD235</f>
        <v>0</v>
      </c>
      <c r="N89" s="766">
        <f>pjok_ki4!AE235</f>
        <v>0</v>
      </c>
      <c r="O89" s="766">
        <f>pjok_ki4!AF235</f>
        <v>0</v>
      </c>
      <c r="P89" s="766">
        <f>pjok_ki4!AG235</f>
        <v>0</v>
      </c>
      <c r="Q89" s="743" t="str">
        <f t="shared" si="10"/>
        <v xml:space="preserve">  </v>
      </c>
    </row>
    <row r="90" spans="1:17" ht="15.75" x14ac:dyDescent="0.25">
      <c r="A90" s="134">
        <v>40</v>
      </c>
      <c r="B90" s="382" t="e">
        <f t="shared" si="7"/>
        <v>#N/A</v>
      </c>
      <c r="C90" s="764">
        <f>pjok_ki3!S241</f>
        <v>0</v>
      </c>
      <c r="D90" s="1115">
        <f>pjok_ki3!T241</f>
        <v>0</v>
      </c>
      <c r="E90" s="1115">
        <f>pjok_ki3!U241</f>
        <v>0</v>
      </c>
      <c r="F90" s="1115">
        <f>pjok_ki3!V241</f>
        <v>0</v>
      </c>
      <c r="G90" s="1115">
        <f>pjok_ki3!W241</f>
        <v>0</v>
      </c>
      <c r="H90" s="557" t="str">
        <f t="shared" si="8"/>
        <v xml:space="preserve">  </v>
      </c>
      <c r="J90" s="764">
        <v>40</v>
      </c>
      <c r="K90" s="382" t="e">
        <f t="shared" si="9"/>
        <v>#N/A</v>
      </c>
      <c r="L90" s="764">
        <f>pjok_ki4!AC241</f>
        <v>0</v>
      </c>
      <c r="M90" s="766">
        <f>pjok_ki4!AD241</f>
        <v>0</v>
      </c>
      <c r="N90" s="766">
        <f>pjok_ki4!AE241</f>
        <v>0</v>
      </c>
      <c r="O90" s="766">
        <f>pjok_ki4!AF241</f>
        <v>0</v>
      </c>
      <c r="P90" s="766">
        <f>pjok_ki4!AG241</f>
        <v>0</v>
      </c>
      <c r="Q90" s="743" t="str">
        <f t="shared" si="10"/>
        <v xml:space="preserve">  </v>
      </c>
    </row>
  </sheetData>
  <mergeCells count="4">
    <mergeCell ref="A1:F1"/>
    <mergeCell ref="J1:K1"/>
    <mergeCell ref="A48:F48"/>
    <mergeCell ref="J48:K48"/>
  </mergeCells>
  <conditionalFormatting sqref="L4:P43">
    <cfRule type="top10" dxfId="124" priority="2591" rank="1"/>
  </conditionalFormatting>
  <conditionalFormatting sqref="L5:P5">
    <cfRule type="top10" dxfId="123" priority="2592" rank="1"/>
  </conditionalFormatting>
  <conditionalFormatting sqref="L6:P6">
    <cfRule type="top10" dxfId="122" priority="2593" rank="1"/>
  </conditionalFormatting>
  <conditionalFormatting sqref="L7:P7">
    <cfRule type="top10" dxfId="121" priority="2594" rank="1"/>
  </conditionalFormatting>
  <conditionalFormatting sqref="L8:P8">
    <cfRule type="top10" dxfId="120" priority="2595" rank="1"/>
  </conditionalFormatting>
  <conditionalFormatting sqref="L9:P9">
    <cfRule type="top10" dxfId="119" priority="2596" rank="1"/>
  </conditionalFormatting>
  <conditionalFormatting sqref="L10:P10">
    <cfRule type="top10" dxfId="118" priority="2597" rank="1"/>
  </conditionalFormatting>
  <conditionalFormatting sqref="L11:P11">
    <cfRule type="top10" dxfId="117" priority="2598" rank="1"/>
  </conditionalFormatting>
  <conditionalFormatting sqref="L12:P12">
    <cfRule type="top10" dxfId="116" priority="2599" rank="1"/>
  </conditionalFormatting>
  <conditionalFormatting sqref="L13:P13">
    <cfRule type="top10" dxfId="115" priority="2600" rank="1"/>
  </conditionalFormatting>
  <conditionalFormatting sqref="L14:P14">
    <cfRule type="top10" dxfId="114" priority="2601" rank="1"/>
  </conditionalFormatting>
  <conditionalFormatting sqref="L15:P15">
    <cfRule type="top10" dxfId="113" priority="2602" rank="1"/>
  </conditionalFormatting>
  <conditionalFormatting sqref="L16:P16">
    <cfRule type="top10" dxfId="112" priority="2603" rank="1"/>
  </conditionalFormatting>
  <conditionalFormatting sqref="L17:P17">
    <cfRule type="top10" dxfId="111" priority="2604" rank="1"/>
  </conditionalFormatting>
  <conditionalFormatting sqref="L18:P18">
    <cfRule type="top10" dxfId="110" priority="2605" rank="1"/>
  </conditionalFormatting>
  <conditionalFormatting sqref="L19:P19">
    <cfRule type="top10" dxfId="109" priority="2606" rank="1"/>
  </conditionalFormatting>
  <conditionalFormatting sqref="L20:P20">
    <cfRule type="top10" dxfId="108" priority="2607" rank="1"/>
  </conditionalFormatting>
  <conditionalFormatting sqref="L21:P21">
    <cfRule type="top10" dxfId="107" priority="2608" rank="1"/>
  </conditionalFormatting>
  <conditionalFormatting sqref="L22:P22">
    <cfRule type="top10" dxfId="106" priority="2609" rank="1"/>
  </conditionalFormatting>
  <conditionalFormatting sqref="L23:P23">
    <cfRule type="top10" dxfId="105" priority="2610" rank="1"/>
  </conditionalFormatting>
  <conditionalFormatting sqref="L24:P24">
    <cfRule type="top10" dxfId="104" priority="2611" rank="1"/>
  </conditionalFormatting>
  <conditionalFormatting sqref="L51:P51">
    <cfRule type="top10" dxfId="103" priority="2612" rank="1"/>
  </conditionalFormatting>
  <conditionalFormatting sqref="L52:P52">
    <cfRule type="top10" dxfId="102" priority="2613" rank="1"/>
  </conditionalFormatting>
  <conditionalFormatting sqref="L53:P53">
    <cfRule type="top10" dxfId="101" priority="2614" rank="1"/>
  </conditionalFormatting>
  <conditionalFormatting sqref="L54:P54">
    <cfRule type="top10" dxfId="100" priority="2615" rank="1"/>
  </conditionalFormatting>
  <conditionalFormatting sqref="L55:P55">
    <cfRule type="top10" dxfId="99" priority="2616" rank="1"/>
  </conditionalFormatting>
  <conditionalFormatting sqref="L56:P56">
    <cfRule type="top10" dxfId="98" priority="2617" rank="1"/>
  </conditionalFormatting>
  <conditionalFormatting sqref="L57:P57">
    <cfRule type="top10" dxfId="97" priority="2618" rank="1"/>
  </conditionalFormatting>
  <conditionalFormatting sqref="L58:P58">
    <cfRule type="top10" dxfId="96" priority="2619" rank="1"/>
  </conditionalFormatting>
  <conditionalFormatting sqref="L59:P59">
    <cfRule type="top10" dxfId="95" priority="2620" rank="1"/>
  </conditionalFormatting>
  <conditionalFormatting sqref="L60:P60">
    <cfRule type="top10" dxfId="94" priority="2621" rank="1"/>
  </conditionalFormatting>
  <conditionalFormatting sqref="L61:P61">
    <cfRule type="top10" dxfId="93" priority="2622" rank="1"/>
  </conditionalFormatting>
  <conditionalFormatting sqref="L62:P62">
    <cfRule type="top10" dxfId="92" priority="2623" rank="1"/>
  </conditionalFormatting>
  <conditionalFormatting sqref="L63:P63">
    <cfRule type="top10" dxfId="91" priority="2624" rank="1"/>
  </conditionalFormatting>
  <conditionalFormatting sqref="M5:M34 N5:N43 L4:P4">
    <cfRule type="top10" dxfId="90" priority="2625" rank="1"/>
  </conditionalFormatting>
  <conditionalFormatting sqref="L64:P64">
    <cfRule type="top10" dxfId="89" priority="2628" rank="1"/>
  </conditionalFormatting>
  <conditionalFormatting sqref="L65:P65">
    <cfRule type="top10" dxfId="88" priority="2629" rank="1"/>
  </conditionalFormatting>
  <conditionalFormatting sqref="L66:P66">
    <cfRule type="top10" dxfId="87" priority="2630" rank="1"/>
  </conditionalFormatting>
  <conditionalFormatting sqref="L67:P67">
    <cfRule type="top10" dxfId="86" priority="2631" rank="1"/>
  </conditionalFormatting>
  <conditionalFormatting sqref="L68:P68">
    <cfRule type="top10" dxfId="85" priority="2632" rank="1"/>
  </conditionalFormatting>
  <conditionalFormatting sqref="L69:P69">
    <cfRule type="top10" dxfId="84" priority="2633" rank="1"/>
  </conditionalFormatting>
  <conditionalFormatting sqref="L70:P70">
    <cfRule type="top10" dxfId="83" priority="2634" rank="1"/>
  </conditionalFormatting>
  <conditionalFormatting sqref="L71:P71">
    <cfRule type="top10" dxfId="82" priority="2635" rank="1"/>
  </conditionalFormatting>
  <conditionalFormatting sqref="L72:P72">
    <cfRule type="top10" dxfId="81" priority="2636" rank="1"/>
  </conditionalFormatting>
  <conditionalFormatting sqref="L73:P73">
    <cfRule type="top10" dxfId="80" priority="2637" rank="1"/>
  </conditionalFormatting>
  <conditionalFormatting sqref="L74:P74">
    <cfRule type="top10" dxfId="79" priority="2638" rank="1"/>
  </conditionalFormatting>
  <conditionalFormatting sqref="L75:P75">
    <cfRule type="top10" dxfId="78" priority="2639" rank="1"/>
  </conditionalFormatting>
  <conditionalFormatting sqref="L76:P76">
    <cfRule type="top10" dxfId="77" priority="2640" rank="1"/>
  </conditionalFormatting>
  <conditionalFormatting sqref="L77:P77">
    <cfRule type="top10" dxfId="76" priority="2641" rank="1"/>
  </conditionalFormatting>
  <conditionalFormatting sqref="L78:P78">
    <cfRule type="top10" dxfId="75" priority="2642" rank="1"/>
  </conditionalFormatting>
  <conditionalFormatting sqref="L79:P79">
    <cfRule type="top10" dxfId="74" priority="2643" rank="1"/>
  </conditionalFormatting>
  <conditionalFormatting sqref="L80:P80">
    <cfRule type="top10" dxfId="73" priority="2644" rank="1"/>
  </conditionalFormatting>
  <conditionalFormatting sqref="L81:P81">
    <cfRule type="top10" dxfId="72" priority="2645" rank="1"/>
  </conditionalFormatting>
  <conditionalFormatting sqref="L82:P82">
    <cfRule type="top10" dxfId="71" priority="2646" rank="1"/>
  </conditionalFormatting>
  <conditionalFormatting sqref="L83:P83">
    <cfRule type="top10" dxfId="70" priority="2647" rank="1"/>
  </conditionalFormatting>
  <conditionalFormatting sqref="L84:P84">
    <cfRule type="top10" dxfId="69" priority="2648" rank="1"/>
  </conditionalFormatting>
  <conditionalFormatting sqref="L85:P85">
    <cfRule type="top10" dxfId="68" priority="2649" rank="1"/>
  </conditionalFormatting>
  <conditionalFormatting sqref="L86:P86">
    <cfRule type="top10" dxfId="67" priority="2650" rank="1"/>
  </conditionalFormatting>
  <conditionalFormatting sqref="L87:P87">
    <cfRule type="top10" dxfId="66" priority="2651" rank="1"/>
  </conditionalFormatting>
  <conditionalFormatting sqref="L88:P88">
    <cfRule type="top10" dxfId="65" priority="2652" rank="1"/>
  </conditionalFormatting>
  <conditionalFormatting sqref="L89:P89">
    <cfRule type="top10" dxfId="64" priority="2653" rank="1"/>
  </conditionalFormatting>
  <conditionalFormatting sqref="L90:P90">
    <cfRule type="top10" dxfId="63" priority="2654" rank="1"/>
  </conditionalFormatting>
  <conditionalFormatting sqref="L25:P25">
    <cfRule type="top10" dxfId="62" priority="2655" rank="1"/>
  </conditionalFormatting>
  <conditionalFormatting sqref="L26:P26">
    <cfRule type="top10" dxfId="61" priority="2656" rank="1"/>
  </conditionalFormatting>
  <conditionalFormatting sqref="L27:P27">
    <cfRule type="top10" dxfId="60" priority="2657" rank="1"/>
  </conditionalFormatting>
  <conditionalFormatting sqref="L28:P28">
    <cfRule type="top10" dxfId="59" priority="2658" rank="1"/>
  </conditionalFormatting>
  <conditionalFormatting sqref="L29:P29">
    <cfRule type="top10" dxfId="58" priority="2659" rank="1"/>
  </conditionalFormatting>
  <conditionalFormatting sqref="L29:P30">
    <cfRule type="top10" dxfId="57" priority="2660" rank="1"/>
  </conditionalFormatting>
  <conditionalFormatting sqref="L31:P31">
    <cfRule type="top10" dxfId="56" priority="2661" rank="1"/>
  </conditionalFormatting>
  <conditionalFormatting sqref="L32:P32">
    <cfRule type="top10" dxfId="55" priority="2662" rank="1"/>
  </conditionalFormatting>
  <conditionalFormatting sqref="L33:P33">
    <cfRule type="top10" dxfId="54" priority="2663" rank="1"/>
  </conditionalFormatting>
  <conditionalFormatting sqref="L34:P34">
    <cfRule type="top10" dxfId="53" priority="2664" rank="1"/>
  </conditionalFormatting>
  <conditionalFormatting sqref="L35:P35">
    <cfRule type="top10" dxfId="52" priority="2665" rank="1"/>
  </conditionalFormatting>
  <conditionalFormatting sqref="L36:P36">
    <cfRule type="top10" dxfId="51" priority="2666" rank="1"/>
  </conditionalFormatting>
  <conditionalFormatting sqref="L37:P37">
    <cfRule type="top10" dxfId="50" priority="2667" rank="1"/>
  </conditionalFormatting>
  <conditionalFormatting sqref="L38:P38">
    <cfRule type="top10" dxfId="49" priority="2668" rank="1"/>
  </conditionalFormatting>
  <conditionalFormatting sqref="L39:P39">
    <cfRule type="top10" dxfId="48" priority="2669" rank="1"/>
  </conditionalFormatting>
  <conditionalFormatting sqref="L40:P40">
    <cfRule type="top10" dxfId="47" priority="2670" rank="1"/>
  </conditionalFormatting>
  <conditionalFormatting sqref="L41:P41">
    <cfRule type="top10" dxfId="46" priority="2671" rank="1"/>
  </conditionalFormatting>
  <conditionalFormatting sqref="L41:P42">
    <cfRule type="top10" dxfId="45" priority="2672" rank="1"/>
  </conditionalFormatting>
  <conditionalFormatting sqref="L41:P43">
    <cfRule type="top10" dxfId="44" priority="2673" rank="1"/>
  </conditionalFormatting>
  <conditionalFormatting sqref="C4:G43">
    <cfRule type="top10" dxfId="43" priority="2686" rank="1"/>
  </conditionalFormatting>
  <conditionalFormatting sqref="C51:G90">
    <cfRule type="top10" dxfId="42" priority="2687" rank="1"/>
  </conditionalFormatting>
  <conditionalFormatting sqref="C5:G5">
    <cfRule type="top10" dxfId="41" priority="2688" rank="1"/>
  </conditionalFormatting>
  <conditionalFormatting sqref="C4:G4">
    <cfRule type="top10" dxfId="40" priority="2689" rank="1"/>
  </conditionalFormatting>
  <conditionalFormatting sqref="C4:G4">
    <cfRule type="top10" dxfId="39" priority="2690" rank="1"/>
    <cfRule type="top10" dxfId="38" priority="2691" rank="1"/>
  </conditionalFormatting>
  <pageMargins left="0.7" right="0.7" top="0.75" bottom="0.75" header="0.3" footer="0.3"/>
  <pageSetup paperSize="9" orientation="portrait" horizontalDpi="0" verticalDpi="0"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C00000"/>
  </sheetPr>
  <dimension ref="A1:Q90"/>
  <sheetViews>
    <sheetView topLeftCell="H1" workbookViewId="0">
      <selection activeCell="M1" sqref="M1"/>
    </sheetView>
  </sheetViews>
  <sheetFormatPr defaultRowHeight="15" x14ac:dyDescent="0.25"/>
  <cols>
    <col min="1" max="1" width="6.28515625" style="352" customWidth="1"/>
    <col min="2" max="2" width="48.28515625" style="352" customWidth="1"/>
    <col min="3" max="3" width="10.140625" style="352" customWidth="1"/>
    <col min="4" max="4" width="11.28515625" style="352" customWidth="1"/>
    <col min="5" max="5" width="12.42578125" style="352" customWidth="1"/>
    <col min="6" max="7" width="99.42578125" style="352" customWidth="1"/>
    <col min="8" max="8" width="8.28515625" style="352" customWidth="1"/>
    <col min="9" max="9" width="42" style="352" customWidth="1"/>
    <col min="10" max="10" width="11.42578125" style="352" customWidth="1"/>
    <col min="11" max="11" width="10.42578125" style="352" customWidth="1"/>
    <col min="12" max="12" width="10.7109375" style="352" customWidth="1"/>
    <col min="13" max="13" width="104.7109375" style="352" customWidth="1"/>
    <col min="14" max="14" width="6.140625" style="352" customWidth="1"/>
    <col min="15" max="15" width="37.5703125" style="352" customWidth="1"/>
    <col min="16" max="16" width="66.28515625" style="352" customWidth="1"/>
    <col min="17" max="17" width="75.42578125" style="352" customWidth="1"/>
    <col min="18" max="18" width="9.140625" style="352"/>
    <col min="19" max="19" width="6.42578125" style="352" customWidth="1"/>
    <col min="20" max="16384" width="9.140625" style="352"/>
  </cols>
  <sheetData>
    <row r="1" spans="1:17" ht="26.25" x14ac:dyDescent="0.4">
      <c r="A1" s="2907" t="s">
        <v>639</v>
      </c>
      <c r="B1" s="2907"/>
      <c r="C1" s="2907"/>
      <c r="D1" s="2907"/>
      <c r="E1" s="2907"/>
      <c r="F1" s="373"/>
      <c r="G1" s="364"/>
      <c r="H1" s="2907" t="s">
        <v>705</v>
      </c>
      <c r="I1" s="2907"/>
      <c r="J1" s="2907"/>
      <c r="K1" s="2907"/>
      <c r="L1" s="373"/>
      <c r="M1" s="373"/>
      <c r="N1" s="374" t="s">
        <v>707</v>
      </c>
    </row>
    <row r="2" spans="1:17" ht="27" thickBot="1" x14ac:dyDescent="0.45">
      <c r="A2" s="375" t="s">
        <v>147</v>
      </c>
      <c r="B2" s="373"/>
      <c r="C2" s="373"/>
      <c r="D2" s="373"/>
      <c r="E2" s="373"/>
      <c r="F2" s="373"/>
      <c r="G2" s="364"/>
      <c r="H2" s="376" t="s">
        <v>25</v>
      </c>
      <c r="I2" s="373"/>
      <c r="J2" s="373"/>
      <c r="K2" s="373"/>
      <c r="L2" s="373"/>
      <c r="M2" s="373"/>
    </row>
    <row r="3" spans="1:17" ht="49.5" customHeight="1" thickBot="1" x14ac:dyDescent="0.3">
      <c r="A3" s="377" t="s">
        <v>0</v>
      </c>
      <c r="B3" s="377" t="s">
        <v>1</v>
      </c>
      <c r="C3" s="1128" t="s">
        <v>18</v>
      </c>
      <c r="D3" s="1128" t="s">
        <v>179</v>
      </c>
      <c r="E3" s="1128" t="s">
        <v>20</v>
      </c>
      <c r="F3" s="273" t="s">
        <v>138</v>
      </c>
      <c r="H3" s="305" t="s">
        <v>0</v>
      </c>
      <c r="I3" s="305" t="s">
        <v>1</v>
      </c>
      <c r="J3" s="1129" t="s">
        <v>16</v>
      </c>
      <c r="K3" s="1129" t="s">
        <v>189</v>
      </c>
      <c r="L3" s="1129" t="s">
        <v>186</v>
      </c>
      <c r="M3" s="152" t="s">
        <v>138</v>
      </c>
      <c r="N3" s="378" t="s">
        <v>0</v>
      </c>
      <c r="O3" s="379" t="s">
        <v>1</v>
      </c>
      <c r="P3" s="380" t="s">
        <v>145</v>
      </c>
      <c r="Q3" s="381" t="s">
        <v>146</v>
      </c>
    </row>
    <row r="4" spans="1:17" ht="18.75" customHeight="1" x14ac:dyDescent="0.25">
      <c r="A4" s="134">
        <v>1</v>
      </c>
      <c r="B4" s="382" t="str">
        <f>dtsiswa!D7</f>
        <v>Achmad Zacky</v>
      </c>
      <c r="C4" s="383">
        <f>mulok_ki3!N7</f>
        <v>0</v>
      </c>
      <c r="D4" s="383">
        <f>mulok_ki3!O7</f>
        <v>3</v>
      </c>
      <c r="E4" s="383">
        <f>mulok_ki3!P7</f>
        <v>0</v>
      </c>
      <c r="F4" s="467" t="str">
        <f t="shared" ref="F4:F43" si="0">IF(OR(C4=3,C4=4),VLOOKUP(C4,DES_KI3jawa,2,FALSE),IF(OR(D4=3,D4=4),VLOOKUP(D4,DES_KI3jawa,3,FALSE),IF(OR(E4=3,E4=4),VLOOKUP(E4,DES_KI3jawa,4,FALSE),"  ")))</f>
        <v xml:space="preserve">Baik dalam mengenal dan memahami sandhangan aksara Jawa. </v>
      </c>
      <c r="H4" s="134">
        <v>1</v>
      </c>
      <c r="I4" s="382" t="str">
        <f>dtsiswa!D7</f>
        <v>Achmad Zacky</v>
      </c>
      <c r="J4" s="383">
        <f>mulok_ki4!U9</f>
        <v>0</v>
      </c>
      <c r="K4" s="383">
        <f>mulok_ki4!V9</f>
        <v>4</v>
      </c>
      <c r="L4" s="383">
        <f>mulok_ki4!W9</f>
        <v>0</v>
      </c>
      <c r="M4" s="400" t="str">
        <f t="shared" ref="M4:M43" si="1">IF(OR(J4=3,J4=4),VLOOKUP(J4,DES_KI4jawa,2,FALSE),IF(OR(K4=3,K4=4),VLOOKUP(K4,DES_KI4jawa,3,FALSE),IF(OR(L4=3,L4=4),VLOOKUP(L4,DES_KI4jawa,4,FALSE),"  ")))</f>
        <v xml:space="preserve">Sangat baik dalam Menulis kalimat dengan huruf  Latin dan huruf  Jawa menggunakan sandhangan aksara Jawa. </v>
      </c>
      <c r="N4" s="134">
        <v>1</v>
      </c>
      <c r="O4" s="384" t="str">
        <f>dtsiswa!D7</f>
        <v>Achmad Zacky</v>
      </c>
      <c r="P4" s="385" t="str">
        <f>IFERROR(CONCATENATE(F4,F51),"  ")</f>
        <v xml:space="preserve">Baik dalam mengenal dan memahami sandhangan aksara Jawa. Baik dalam mengenal, memahami, dan mengidentifikasi kata berimbuhan dalam teks sesuai kaidah. </v>
      </c>
      <c r="Q4" s="386" t="str">
        <f t="shared" ref="Q4:Q43" si="2">CONCATENATE(M4,M51)</f>
        <v xml:space="preserve">Sangat baik dalam Menulis kalimat dengan huruf  Latin dan huruf  Jawa menggunakan sandhangan aksara Jawa. Cukup baik dalam Menulis kalimat dengan huruf  Latin dan huruf  Jawa menggunakan sandhangan aksara Jawa. </v>
      </c>
    </row>
    <row r="5" spans="1:17" ht="18.75" customHeight="1" x14ac:dyDescent="0.25">
      <c r="A5" s="134">
        <v>2</v>
      </c>
      <c r="B5" s="382" t="str">
        <f>dtsiswa!D8</f>
        <v>Angelia Vabel R</v>
      </c>
      <c r="C5" s="383">
        <f>mulok_ki3!N11</f>
        <v>0</v>
      </c>
      <c r="D5" s="383">
        <f>mulok_ki3!O11</f>
        <v>0</v>
      </c>
      <c r="E5" s="383">
        <f>mulok_ki3!P11</f>
        <v>0</v>
      </c>
      <c r="F5" s="467" t="str">
        <f t="shared" si="0"/>
        <v xml:space="preserve">  </v>
      </c>
      <c r="H5" s="134">
        <v>2</v>
      </c>
      <c r="I5" s="382" t="str">
        <f>dtsiswa!D8</f>
        <v>Angelia Vabel R</v>
      </c>
      <c r="J5" s="383">
        <f>mulok_ki4!U13</f>
        <v>0</v>
      </c>
      <c r="K5" s="383">
        <f>mulok_ki4!V13</f>
        <v>0</v>
      </c>
      <c r="L5" s="383">
        <f>mulok_ki4!W13</f>
        <v>0</v>
      </c>
      <c r="M5" s="400" t="str">
        <f t="shared" si="1"/>
        <v xml:space="preserve">  </v>
      </c>
      <c r="N5" s="134">
        <v>2</v>
      </c>
      <c r="O5" s="384" t="str">
        <f>dtsiswa!D8</f>
        <v>Angelia Vabel R</v>
      </c>
      <c r="P5" s="385" t="str">
        <f>IFERROR(CONCATENATE(F5,F51),"  ")</f>
        <v xml:space="preserve">  Baik dalam mengenal, memahami, dan mengidentifikasi kata berimbuhan dalam teks sesuai kaidah. </v>
      </c>
      <c r="Q5" s="386" t="str">
        <f>CONCATENATE(M5,M51)</f>
        <v xml:space="preserve">  Cukup baik dalam Menulis kalimat dengan huruf  Latin dan huruf  Jawa menggunakan sandhangan aksara Jawa. </v>
      </c>
    </row>
    <row r="6" spans="1:17" ht="15.95" customHeight="1" x14ac:dyDescent="0.25">
      <c r="A6" s="134">
        <v>3</v>
      </c>
      <c r="B6" s="382" t="str">
        <f>dtsiswa!D9</f>
        <v>Anggun Dwi P.I</v>
      </c>
      <c r="C6" s="383">
        <f>mulok_ki3!N15</f>
        <v>0</v>
      </c>
      <c r="D6" s="383">
        <f>mulok_ki3!O15</f>
        <v>0</v>
      </c>
      <c r="E6" s="383">
        <f>mulok_ki3!P15</f>
        <v>0</v>
      </c>
      <c r="F6" s="467" t="str">
        <f t="shared" si="0"/>
        <v xml:space="preserve">  </v>
      </c>
      <c r="H6" s="134">
        <v>3</v>
      </c>
      <c r="I6" s="382" t="str">
        <f>dtsiswa!D9</f>
        <v>Anggun Dwi P.I</v>
      </c>
      <c r="J6" s="383">
        <f>mulok_ki4!U17</f>
        <v>0</v>
      </c>
      <c r="K6" s="383">
        <f>mulok_ki4!V17</f>
        <v>0</v>
      </c>
      <c r="L6" s="383">
        <f>mulok_ki4!W17</f>
        <v>0</v>
      </c>
      <c r="M6" s="400" t="str">
        <f t="shared" si="1"/>
        <v xml:space="preserve">  </v>
      </c>
      <c r="N6" s="134">
        <v>3</v>
      </c>
      <c r="O6" s="384" t="str">
        <f>dtsiswa!D9</f>
        <v>Anggun Dwi P.I</v>
      </c>
      <c r="P6" s="385" t="str">
        <f t="shared" ref="P6:P43" si="3">IFERROR(CONCATENATE(F6,F53),"  ")</f>
        <v xml:space="preserve">    </v>
      </c>
      <c r="Q6" s="386" t="str">
        <f t="shared" si="2"/>
        <v xml:space="preserve">    </v>
      </c>
    </row>
    <row r="7" spans="1:17" ht="15.95" customHeight="1" x14ac:dyDescent="0.25">
      <c r="A7" s="134">
        <v>4</v>
      </c>
      <c r="B7" s="382" t="str">
        <f>dtsiswa!D10</f>
        <v>Antonio Permata A</v>
      </c>
      <c r="C7" s="383">
        <f>mulok_ki3!N19</f>
        <v>0</v>
      </c>
      <c r="D7" s="383">
        <f>mulok_ki3!O19</f>
        <v>0</v>
      </c>
      <c r="E7" s="383">
        <f>mulok_ki3!P19</f>
        <v>0</v>
      </c>
      <c r="F7" s="467" t="str">
        <f t="shared" si="0"/>
        <v xml:space="preserve">  </v>
      </c>
      <c r="H7" s="134">
        <v>4</v>
      </c>
      <c r="I7" s="382" t="str">
        <f>dtsiswa!D10</f>
        <v>Antonio Permata A</v>
      </c>
      <c r="J7" s="383">
        <f>mulok_ki4!U21</f>
        <v>0</v>
      </c>
      <c r="K7" s="383">
        <f>mulok_ki4!V21</f>
        <v>0</v>
      </c>
      <c r="L7" s="383">
        <f>mulok_ki4!W21</f>
        <v>0</v>
      </c>
      <c r="M7" s="400" t="str">
        <f t="shared" si="1"/>
        <v xml:space="preserve">  </v>
      </c>
      <c r="N7" s="134">
        <v>4</v>
      </c>
      <c r="O7" s="384" t="str">
        <f>dtsiswa!D10</f>
        <v>Antonio Permata A</v>
      </c>
      <c r="P7" s="385" t="str">
        <f t="shared" si="3"/>
        <v xml:space="preserve">    </v>
      </c>
      <c r="Q7" s="386" t="str">
        <f t="shared" si="2"/>
        <v xml:space="preserve">    </v>
      </c>
    </row>
    <row r="8" spans="1:17" ht="15.95" customHeight="1" x14ac:dyDescent="0.25">
      <c r="A8" s="134">
        <v>5</v>
      </c>
      <c r="B8" s="382" t="str">
        <f>dtsiswa!D11</f>
        <v>Arya Pratama G</v>
      </c>
      <c r="C8" s="383">
        <f>mulok_ki3!N23</f>
        <v>0</v>
      </c>
      <c r="D8" s="383">
        <f>mulok_ki3!O23</f>
        <v>0</v>
      </c>
      <c r="E8" s="383">
        <f>mulok_ki3!P23</f>
        <v>0</v>
      </c>
      <c r="F8" s="467" t="str">
        <f t="shared" si="0"/>
        <v xml:space="preserve">  </v>
      </c>
      <c r="H8" s="134">
        <v>5</v>
      </c>
      <c r="I8" s="382" t="str">
        <f>dtsiswa!D11</f>
        <v>Arya Pratama G</v>
      </c>
      <c r="J8" s="383">
        <f>mulok_ki4!U25</f>
        <v>0</v>
      </c>
      <c r="K8" s="383">
        <f>mulok_ki4!V25</f>
        <v>0</v>
      </c>
      <c r="L8" s="383">
        <f>mulok_ki4!W25</f>
        <v>0</v>
      </c>
      <c r="M8" s="400" t="str">
        <f t="shared" si="1"/>
        <v xml:space="preserve">  </v>
      </c>
      <c r="N8" s="134">
        <v>5</v>
      </c>
      <c r="O8" s="384" t="str">
        <f>dtsiswa!D11</f>
        <v>Arya Pratama G</v>
      </c>
      <c r="P8" s="385" t="str">
        <f t="shared" si="3"/>
        <v xml:space="preserve">    </v>
      </c>
      <c r="Q8" s="386" t="str">
        <f t="shared" si="2"/>
        <v xml:space="preserve">    </v>
      </c>
    </row>
    <row r="9" spans="1:17" ht="15.95" customHeight="1" x14ac:dyDescent="0.25">
      <c r="A9" s="134">
        <v>6</v>
      </c>
      <c r="B9" s="382" t="str">
        <f>dtsiswa!D12</f>
        <v>Asyam Hanif Ihsan H</v>
      </c>
      <c r="C9" s="383">
        <f>mulok_ki3!N27</f>
        <v>0</v>
      </c>
      <c r="D9" s="383">
        <f>mulok_ki3!O27</f>
        <v>0</v>
      </c>
      <c r="E9" s="383">
        <f>mulok_ki3!P27</f>
        <v>0</v>
      </c>
      <c r="F9" s="467" t="str">
        <f t="shared" si="0"/>
        <v xml:space="preserve">  </v>
      </c>
      <c r="H9" s="134">
        <v>6</v>
      </c>
      <c r="I9" s="382" t="str">
        <f>dtsiswa!D12</f>
        <v>Asyam Hanif Ihsan H</v>
      </c>
      <c r="J9" s="383">
        <f>mulok_ki4!U29</f>
        <v>0</v>
      </c>
      <c r="K9" s="383">
        <f>mulok_ki4!V29</f>
        <v>0</v>
      </c>
      <c r="L9" s="383">
        <f>mulok_ki4!W29</f>
        <v>0</v>
      </c>
      <c r="M9" s="400" t="str">
        <f t="shared" si="1"/>
        <v xml:space="preserve">  </v>
      </c>
      <c r="N9" s="134">
        <v>6</v>
      </c>
      <c r="O9" s="384" t="str">
        <f>dtsiswa!D12</f>
        <v>Asyam Hanif Ihsan H</v>
      </c>
      <c r="P9" s="385" t="str">
        <f t="shared" si="3"/>
        <v xml:space="preserve">    </v>
      </c>
      <c r="Q9" s="386" t="str">
        <f t="shared" si="2"/>
        <v xml:space="preserve">    </v>
      </c>
    </row>
    <row r="10" spans="1:17" ht="15.95" customHeight="1" x14ac:dyDescent="0.25">
      <c r="A10" s="134">
        <v>7</v>
      </c>
      <c r="B10" s="382" t="str">
        <f>dtsiswa!D13</f>
        <v>Athaya Salsabilla Z</v>
      </c>
      <c r="C10" s="383">
        <f>mulok_ki3!N31</f>
        <v>0</v>
      </c>
      <c r="D10" s="383">
        <f>mulok_ki3!O31</f>
        <v>0</v>
      </c>
      <c r="E10" s="383">
        <f>mulok_ki3!P31</f>
        <v>0</v>
      </c>
      <c r="F10" s="467" t="str">
        <f t="shared" si="0"/>
        <v xml:space="preserve">  </v>
      </c>
      <c r="H10" s="134">
        <v>7</v>
      </c>
      <c r="I10" s="382" t="str">
        <f>dtsiswa!D13</f>
        <v>Athaya Salsabilla Z</v>
      </c>
      <c r="J10" s="383">
        <f>mulok_ki4!U33</f>
        <v>0</v>
      </c>
      <c r="K10" s="383">
        <f>mulok_ki4!V33</f>
        <v>0</v>
      </c>
      <c r="L10" s="383">
        <f>mulok_ki4!W33</f>
        <v>0</v>
      </c>
      <c r="M10" s="400" t="str">
        <f t="shared" si="1"/>
        <v xml:space="preserve">  </v>
      </c>
      <c r="N10" s="134">
        <v>7</v>
      </c>
      <c r="O10" s="384" t="str">
        <f>dtsiswa!D13</f>
        <v>Athaya Salsabilla Z</v>
      </c>
      <c r="P10" s="385" t="str">
        <f t="shared" si="3"/>
        <v xml:space="preserve">    </v>
      </c>
      <c r="Q10" s="386" t="str">
        <f t="shared" si="2"/>
        <v xml:space="preserve">    </v>
      </c>
    </row>
    <row r="11" spans="1:17" ht="15.95" customHeight="1" x14ac:dyDescent="0.25">
      <c r="A11" s="134">
        <v>8</v>
      </c>
      <c r="B11" s="382" t="str">
        <f>dtsiswa!D14</f>
        <v>Aulia Dea Rosalinda</v>
      </c>
      <c r="C11" s="383">
        <f>mulok_ki3!N35</f>
        <v>0</v>
      </c>
      <c r="D11" s="383">
        <f>mulok_ki3!O35</f>
        <v>0</v>
      </c>
      <c r="E11" s="383">
        <f>mulok_ki3!P35</f>
        <v>0</v>
      </c>
      <c r="F11" s="467" t="str">
        <f t="shared" si="0"/>
        <v xml:space="preserve">  </v>
      </c>
      <c r="H11" s="134">
        <v>8</v>
      </c>
      <c r="I11" s="382" t="str">
        <f>dtsiswa!D14</f>
        <v>Aulia Dea Rosalinda</v>
      </c>
      <c r="J11" s="383">
        <f>mulok_ki4!U37</f>
        <v>0</v>
      </c>
      <c r="K11" s="383">
        <f>mulok_ki4!V37</f>
        <v>0</v>
      </c>
      <c r="L11" s="383">
        <f>mulok_ki4!W37</f>
        <v>0</v>
      </c>
      <c r="M11" s="400" t="str">
        <f t="shared" si="1"/>
        <v xml:space="preserve">  </v>
      </c>
      <c r="N11" s="134">
        <v>8</v>
      </c>
      <c r="O11" s="384" t="str">
        <f>dtsiswa!D14</f>
        <v>Aulia Dea Rosalinda</v>
      </c>
      <c r="P11" s="385" t="str">
        <f t="shared" si="3"/>
        <v xml:space="preserve">    </v>
      </c>
      <c r="Q11" s="386" t="str">
        <f t="shared" si="2"/>
        <v xml:space="preserve">    </v>
      </c>
    </row>
    <row r="12" spans="1:17" ht="15.95" customHeight="1" x14ac:dyDescent="0.25">
      <c r="A12" s="134">
        <v>9</v>
      </c>
      <c r="B12" s="382" t="str">
        <f>dtsiswa!D15</f>
        <v>Claudia Gabriella L</v>
      </c>
      <c r="C12" s="383">
        <f>mulok_ki3!N39</f>
        <v>0</v>
      </c>
      <c r="D12" s="383">
        <f>mulok_ki3!O39</f>
        <v>0</v>
      </c>
      <c r="E12" s="383">
        <f>mulok_ki3!P39</f>
        <v>0</v>
      </c>
      <c r="F12" s="467" t="str">
        <f t="shared" si="0"/>
        <v xml:space="preserve">  </v>
      </c>
      <c r="H12" s="134">
        <v>9</v>
      </c>
      <c r="I12" s="382" t="str">
        <f>dtsiswa!D15</f>
        <v>Claudia Gabriella L</v>
      </c>
      <c r="J12" s="383">
        <f>mulok_ki4!U41</f>
        <v>0</v>
      </c>
      <c r="K12" s="383">
        <f>mulok_ki4!V41</f>
        <v>0</v>
      </c>
      <c r="L12" s="383">
        <f>mulok_ki4!W41</f>
        <v>0</v>
      </c>
      <c r="M12" s="400" t="str">
        <f t="shared" si="1"/>
        <v xml:space="preserve">  </v>
      </c>
      <c r="N12" s="134">
        <v>9</v>
      </c>
      <c r="O12" s="384" t="str">
        <f>dtsiswa!D15</f>
        <v>Claudia Gabriella L</v>
      </c>
      <c r="P12" s="385" t="str">
        <f t="shared" si="3"/>
        <v xml:space="preserve">    </v>
      </c>
      <c r="Q12" s="386" t="str">
        <f t="shared" si="2"/>
        <v xml:space="preserve">    </v>
      </c>
    </row>
    <row r="13" spans="1:17" ht="15.95" customHeight="1" x14ac:dyDescent="0.25">
      <c r="A13" s="134">
        <v>10</v>
      </c>
      <c r="B13" s="382" t="str">
        <f>dtsiswa!D16</f>
        <v xml:space="preserve">Deco Badarus Zaman </v>
      </c>
      <c r="C13" s="383">
        <f>mulok_ki3!N43</f>
        <v>0</v>
      </c>
      <c r="D13" s="383">
        <f>mulok_ki3!O43</f>
        <v>0</v>
      </c>
      <c r="E13" s="383">
        <f>mulok_ki3!P43</f>
        <v>0</v>
      </c>
      <c r="F13" s="467" t="str">
        <f t="shared" si="0"/>
        <v xml:space="preserve">  </v>
      </c>
      <c r="H13" s="134">
        <v>10</v>
      </c>
      <c r="I13" s="382" t="str">
        <f>dtsiswa!D16</f>
        <v xml:space="preserve">Deco Badarus Zaman </v>
      </c>
      <c r="J13" s="383">
        <f>mulok_ki4!U45</f>
        <v>0</v>
      </c>
      <c r="K13" s="383">
        <f>mulok_ki4!V45</f>
        <v>0</v>
      </c>
      <c r="L13" s="383">
        <f>mulok_ki4!W45</f>
        <v>0</v>
      </c>
      <c r="M13" s="400" t="str">
        <f t="shared" si="1"/>
        <v xml:space="preserve">  </v>
      </c>
      <c r="N13" s="134">
        <v>10</v>
      </c>
      <c r="O13" s="384" t="str">
        <f>dtsiswa!D16</f>
        <v xml:space="preserve">Deco Badarus Zaman </v>
      </c>
      <c r="P13" s="385" t="str">
        <f t="shared" si="3"/>
        <v xml:space="preserve">    </v>
      </c>
      <c r="Q13" s="386" t="str">
        <f t="shared" si="2"/>
        <v xml:space="preserve">    </v>
      </c>
    </row>
    <row r="14" spans="1:17" ht="15.95" customHeight="1" x14ac:dyDescent="0.25">
      <c r="A14" s="134">
        <v>11</v>
      </c>
      <c r="B14" s="382" t="str">
        <f>dtsiswa!D17</f>
        <v>Fania Mutiara Felichia</v>
      </c>
      <c r="C14" s="383">
        <f>mulok_ki3!N47</f>
        <v>0</v>
      </c>
      <c r="D14" s="383">
        <f>mulok_ki3!O47</f>
        <v>0</v>
      </c>
      <c r="E14" s="383">
        <f>mulok_ki3!P47</f>
        <v>0</v>
      </c>
      <c r="F14" s="467" t="str">
        <f t="shared" si="0"/>
        <v xml:space="preserve">  </v>
      </c>
      <c r="H14" s="134">
        <v>11</v>
      </c>
      <c r="I14" s="382" t="str">
        <f>dtsiswa!D17</f>
        <v>Fania Mutiara Felichia</v>
      </c>
      <c r="J14" s="383">
        <f>mulok_ki4!U49</f>
        <v>0</v>
      </c>
      <c r="K14" s="383">
        <f>mulok_ki4!V49</f>
        <v>0</v>
      </c>
      <c r="L14" s="383">
        <f>mulok_ki4!W49</f>
        <v>0</v>
      </c>
      <c r="M14" s="400" t="str">
        <f t="shared" si="1"/>
        <v xml:space="preserve">  </v>
      </c>
      <c r="N14" s="134">
        <v>11</v>
      </c>
      <c r="O14" s="384" t="str">
        <f>dtsiswa!D17</f>
        <v>Fania Mutiara Felichia</v>
      </c>
      <c r="P14" s="385" t="str">
        <f t="shared" si="3"/>
        <v xml:space="preserve">    </v>
      </c>
      <c r="Q14" s="386" t="str">
        <f t="shared" si="2"/>
        <v xml:space="preserve">    </v>
      </c>
    </row>
    <row r="15" spans="1:17" ht="15.95" customHeight="1" x14ac:dyDescent="0.25">
      <c r="A15" s="134">
        <v>12</v>
      </c>
      <c r="B15" s="382" t="str">
        <f>dtsiswa!D18</f>
        <v>Intan Dyah Nowari</v>
      </c>
      <c r="C15" s="383">
        <f>mulok_ki3!N51</f>
        <v>0</v>
      </c>
      <c r="D15" s="383">
        <f>mulok_ki3!O51</f>
        <v>0</v>
      </c>
      <c r="E15" s="383">
        <f>mulok_ki3!P51</f>
        <v>0</v>
      </c>
      <c r="F15" s="467" t="str">
        <f t="shared" si="0"/>
        <v xml:space="preserve">  </v>
      </c>
      <c r="H15" s="134">
        <v>12</v>
      </c>
      <c r="I15" s="382" t="str">
        <f>dtsiswa!D18</f>
        <v>Intan Dyah Nowari</v>
      </c>
      <c r="J15" s="383">
        <f>mulok_ki4!U53</f>
        <v>0</v>
      </c>
      <c r="K15" s="383">
        <f>mulok_ki4!V53</f>
        <v>0</v>
      </c>
      <c r="L15" s="383">
        <f>mulok_ki4!W53</f>
        <v>0</v>
      </c>
      <c r="M15" s="400" t="str">
        <f t="shared" si="1"/>
        <v xml:space="preserve">  </v>
      </c>
      <c r="N15" s="134">
        <v>12</v>
      </c>
      <c r="O15" s="384" t="str">
        <f>dtsiswa!D18</f>
        <v>Intan Dyah Nowari</v>
      </c>
      <c r="P15" s="385" t="str">
        <f t="shared" si="3"/>
        <v xml:space="preserve">    </v>
      </c>
      <c r="Q15" s="386" t="str">
        <f t="shared" si="2"/>
        <v xml:space="preserve">    </v>
      </c>
    </row>
    <row r="16" spans="1:17" ht="15.95" customHeight="1" x14ac:dyDescent="0.25">
      <c r="A16" s="134">
        <v>13</v>
      </c>
      <c r="B16" s="382" t="str">
        <f>dtsiswa!D19</f>
        <v>Misyanita Nurfitri S</v>
      </c>
      <c r="C16" s="383">
        <f>mulok_ki3!N55</f>
        <v>0</v>
      </c>
      <c r="D16" s="383">
        <f>mulok_ki3!O55</f>
        <v>0</v>
      </c>
      <c r="E16" s="383">
        <f>mulok_ki3!P55</f>
        <v>0</v>
      </c>
      <c r="F16" s="467" t="str">
        <f t="shared" si="0"/>
        <v xml:space="preserve">  </v>
      </c>
      <c r="H16" s="134">
        <v>13</v>
      </c>
      <c r="I16" s="382" t="str">
        <f>dtsiswa!D19</f>
        <v>Misyanita Nurfitri S</v>
      </c>
      <c r="J16" s="383">
        <f>mulok_ki4!U57</f>
        <v>0</v>
      </c>
      <c r="K16" s="383">
        <f>mulok_ki4!V57</f>
        <v>0</v>
      </c>
      <c r="L16" s="383">
        <f>mulok_ki4!W57</f>
        <v>0</v>
      </c>
      <c r="M16" s="400" t="str">
        <f t="shared" si="1"/>
        <v xml:space="preserve">  </v>
      </c>
      <c r="N16" s="134">
        <v>13</v>
      </c>
      <c r="O16" s="384" t="str">
        <f>dtsiswa!D19</f>
        <v>Misyanita Nurfitri S</v>
      </c>
      <c r="P16" s="385" t="str">
        <f t="shared" si="3"/>
        <v xml:space="preserve">    </v>
      </c>
      <c r="Q16" s="386" t="str">
        <f t="shared" si="2"/>
        <v xml:space="preserve">    </v>
      </c>
    </row>
    <row r="17" spans="1:17" ht="15.95" customHeight="1" x14ac:dyDescent="0.25">
      <c r="A17" s="134">
        <v>14</v>
      </c>
      <c r="B17" s="382" t="str">
        <f>dtsiswa!D20</f>
        <v>Moch Zidane Hita L. U</v>
      </c>
      <c r="C17" s="383">
        <f>mulok_ki3!N59</f>
        <v>0</v>
      </c>
      <c r="D17" s="383">
        <f>mulok_ki3!O59</f>
        <v>0</v>
      </c>
      <c r="E17" s="383">
        <f>mulok_ki3!P59</f>
        <v>0</v>
      </c>
      <c r="F17" s="467" t="str">
        <f t="shared" si="0"/>
        <v xml:space="preserve">  </v>
      </c>
      <c r="H17" s="134">
        <v>14</v>
      </c>
      <c r="I17" s="382" t="str">
        <f>dtsiswa!D20</f>
        <v>Moch Zidane Hita L. U</v>
      </c>
      <c r="J17" s="383">
        <f>mulok_ki4!U61</f>
        <v>0</v>
      </c>
      <c r="K17" s="383">
        <f>mulok_ki4!V61</f>
        <v>0</v>
      </c>
      <c r="L17" s="383">
        <f>mulok_ki4!W61</f>
        <v>0</v>
      </c>
      <c r="M17" s="400" t="str">
        <f t="shared" si="1"/>
        <v xml:space="preserve">  </v>
      </c>
      <c r="N17" s="134">
        <v>14</v>
      </c>
      <c r="O17" s="384" t="str">
        <f>dtsiswa!D20</f>
        <v>Moch Zidane Hita L. U</v>
      </c>
      <c r="P17" s="385" t="str">
        <f t="shared" si="3"/>
        <v xml:space="preserve">    </v>
      </c>
      <c r="Q17" s="386" t="str">
        <f t="shared" si="2"/>
        <v xml:space="preserve">    </v>
      </c>
    </row>
    <row r="18" spans="1:17" ht="15.95" customHeight="1" x14ac:dyDescent="0.25">
      <c r="A18" s="134">
        <v>15</v>
      </c>
      <c r="B18" s="382" t="str">
        <f>dtsiswa!D21</f>
        <v>Muhammad Ibra Maulana</v>
      </c>
      <c r="C18" s="383">
        <f>mulok_ki3!N63</f>
        <v>0</v>
      </c>
      <c r="D18" s="383">
        <f>mulok_ki3!O63</f>
        <v>0</v>
      </c>
      <c r="E18" s="383">
        <f>mulok_ki3!P63</f>
        <v>0</v>
      </c>
      <c r="F18" s="467" t="str">
        <f t="shared" si="0"/>
        <v xml:space="preserve">  </v>
      </c>
      <c r="H18" s="134">
        <v>15</v>
      </c>
      <c r="I18" s="382" t="str">
        <f>dtsiswa!D21</f>
        <v>Muhammad Ibra Maulana</v>
      </c>
      <c r="J18" s="383">
        <f>mulok_ki4!U65</f>
        <v>0</v>
      </c>
      <c r="K18" s="383">
        <f>mulok_ki4!V65</f>
        <v>0</v>
      </c>
      <c r="L18" s="383">
        <f>mulok_ki4!W65</f>
        <v>0</v>
      </c>
      <c r="M18" s="400" t="str">
        <f t="shared" si="1"/>
        <v xml:space="preserve">  </v>
      </c>
      <c r="N18" s="134">
        <v>15</v>
      </c>
      <c r="O18" s="384" t="str">
        <f>dtsiswa!D21</f>
        <v>Muhammad Ibra Maulana</v>
      </c>
      <c r="P18" s="385" t="str">
        <f t="shared" si="3"/>
        <v xml:space="preserve">    </v>
      </c>
      <c r="Q18" s="386" t="str">
        <f t="shared" si="2"/>
        <v xml:space="preserve">    </v>
      </c>
    </row>
    <row r="19" spans="1:17" ht="15.95" customHeight="1" x14ac:dyDescent="0.25">
      <c r="A19" s="134">
        <v>16</v>
      </c>
      <c r="B19" s="382" t="str">
        <f>dtsiswa!D22</f>
        <v>Nabilla Shiva Putri</v>
      </c>
      <c r="C19" s="383">
        <f>mulok_ki3!N67</f>
        <v>0</v>
      </c>
      <c r="D19" s="383">
        <f>mulok_ki3!O67</f>
        <v>0</v>
      </c>
      <c r="E19" s="383">
        <f>mulok_ki3!P67</f>
        <v>0</v>
      </c>
      <c r="F19" s="467" t="str">
        <f t="shared" si="0"/>
        <v xml:space="preserve">  </v>
      </c>
      <c r="H19" s="134">
        <v>16</v>
      </c>
      <c r="I19" s="382" t="str">
        <f>dtsiswa!D22</f>
        <v>Nabilla Shiva Putri</v>
      </c>
      <c r="J19" s="383">
        <f>mulok_ki4!U69</f>
        <v>0</v>
      </c>
      <c r="K19" s="383">
        <f>mulok_ki4!V69</f>
        <v>0</v>
      </c>
      <c r="L19" s="383">
        <f>mulok_ki4!W69</f>
        <v>0</v>
      </c>
      <c r="M19" s="400" t="str">
        <f t="shared" si="1"/>
        <v xml:space="preserve">  </v>
      </c>
      <c r="N19" s="134">
        <v>16</v>
      </c>
      <c r="O19" s="384" t="str">
        <f>dtsiswa!D22</f>
        <v>Nabilla Shiva Putri</v>
      </c>
      <c r="P19" s="385" t="str">
        <f t="shared" si="3"/>
        <v xml:space="preserve">    </v>
      </c>
      <c r="Q19" s="386" t="str">
        <f t="shared" si="2"/>
        <v xml:space="preserve">    </v>
      </c>
    </row>
    <row r="20" spans="1:17" ht="15.95" customHeight="1" x14ac:dyDescent="0.25">
      <c r="A20" s="134">
        <v>17</v>
      </c>
      <c r="B20" s="382" t="str">
        <f>dtsiswa!D23</f>
        <v>Naufal Falih F</v>
      </c>
      <c r="C20" s="383">
        <f>mulok_ki3!N71</f>
        <v>0</v>
      </c>
      <c r="D20" s="383">
        <f>mulok_ki3!O71</f>
        <v>0</v>
      </c>
      <c r="E20" s="383">
        <f>mulok_ki3!P71</f>
        <v>0</v>
      </c>
      <c r="F20" s="467" t="str">
        <f t="shared" si="0"/>
        <v xml:space="preserve">  </v>
      </c>
      <c r="H20" s="134">
        <v>17</v>
      </c>
      <c r="I20" s="382" t="str">
        <f>dtsiswa!D23</f>
        <v>Naufal Falih F</v>
      </c>
      <c r="J20" s="383">
        <f>mulok_ki4!U73</f>
        <v>0</v>
      </c>
      <c r="K20" s="383">
        <f>mulok_ki4!V73</f>
        <v>0</v>
      </c>
      <c r="L20" s="383">
        <f>mulok_ki4!W73</f>
        <v>0</v>
      </c>
      <c r="M20" s="400" t="str">
        <f t="shared" si="1"/>
        <v xml:space="preserve">  </v>
      </c>
      <c r="N20" s="134">
        <v>17</v>
      </c>
      <c r="O20" s="384" t="str">
        <f>dtsiswa!D23</f>
        <v>Naufal Falih F</v>
      </c>
      <c r="P20" s="385" t="str">
        <f t="shared" si="3"/>
        <v xml:space="preserve">    </v>
      </c>
      <c r="Q20" s="386" t="str">
        <f t="shared" si="2"/>
        <v xml:space="preserve">    </v>
      </c>
    </row>
    <row r="21" spans="1:17" ht="15.95" customHeight="1" x14ac:dyDescent="0.25">
      <c r="A21" s="134">
        <v>18</v>
      </c>
      <c r="B21" s="382" t="str">
        <f>dtsiswa!D24</f>
        <v>Nayla Annora Nobel W</v>
      </c>
      <c r="C21" s="383">
        <f>mulok_ki3!N75</f>
        <v>0</v>
      </c>
      <c r="D21" s="383">
        <f>mulok_ki3!O75</f>
        <v>0</v>
      </c>
      <c r="E21" s="383">
        <f>mulok_ki3!P75</f>
        <v>0</v>
      </c>
      <c r="F21" s="467" t="str">
        <f t="shared" si="0"/>
        <v xml:space="preserve">  </v>
      </c>
      <c r="H21" s="134">
        <v>18</v>
      </c>
      <c r="I21" s="382" t="str">
        <f>dtsiswa!D24</f>
        <v>Nayla Annora Nobel W</v>
      </c>
      <c r="J21" s="383">
        <f>mulok_ki4!U77</f>
        <v>0</v>
      </c>
      <c r="K21" s="383">
        <f>mulok_ki4!V77</f>
        <v>0</v>
      </c>
      <c r="L21" s="383">
        <f>mulok_ki4!W77</f>
        <v>0</v>
      </c>
      <c r="M21" s="400" t="str">
        <f t="shared" si="1"/>
        <v xml:space="preserve">  </v>
      </c>
      <c r="N21" s="134">
        <v>18</v>
      </c>
      <c r="O21" s="384" t="str">
        <f>dtsiswa!D24</f>
        <v>Nayla Annora Nobel W</v>
      </c>
      <c r="P21" s="385" t="str">
        <f t="shared" si="3"/>
        <v xml:space="preserve">    </v>
      </c>
      <c r="Q21" s="386" t="str">
        <f t="shared" si="2"/>
        <v xml:space="preserve">    </v>
      </c>
    </row>
    <row r="22" spans="1:17" ht="15.95" customHeight="1" x14ac:dyDescent="0.25">
      <c r="A22" s="134">
        <v>19</v>
      </c>
      <c r="B22" s="382" t="str">
        <f>dtsiswa!D25</f>
        <v>Raihan Danang P</v>
      </c>
      <c r="C22" s="383">
        <f>mulok_ki3!N79</f>
        <v>0</v>
      </c>
      <c r="D22" s="383">
        <f>mulok_ki3!O79</f>
        <v>0</v>
      </c>
      <c r="E22" s="383">
        <f>mulok_ki3!P79</f>
        <v>0</v>
      </c>
      <c r="F22" s="467" t="str">
        <f t="shared" si="0"/>
        <v xml:space="preserve">  </v>
      </c>
      <c r="H22" s="134">
        <v>19</v>
      </c>
      <c r="I22" s="382" t="str">
        <f>dtsiswa!D25</f>
        <v>Raihan Danang P</v>
      </c>
      <c r="J22" s="383">
        <f>mulok_ki4!U81</f>
        <v>0</v>
      </c>
      <c r="K22" s="383">
        <f>mulok_ki4!V81</f>
        <v>0</v>
      </c>
      <c r="L22" s="383">
        <f>mulok_ki4!W81</f>
        <v>0</v>
      </c>
      <c r="M22" s="400" t="str">
        <f t="shared" si="1"/>
        <v xml:space="preserve">  </v>
      </c>
      <c r="N22" s="134">
        <v>19</v>
      </c>
      <c r="O22" s="384" t="str">
        <f>dtsiswa!D25</f>
        <v>Raihan Danang P</v>
      </c>
      <c r="P22" s="385" t="str">
        <f t="shared" si="3"/>
        <v xml:space="preserve">    </v>
      </c>
      <c r="Q22" s="386" t="str">
        <f t="shared" si="2"/>
        <v xml:space="preserve">    </v>
      </c>
    </row>
    <row r="23" spans="1:17" ht="15.95" customHeight="1" x14ac:dyDescent="0.25">
      <c r="A23" s="134">
        <v>20</v>
      </c>
      <c r="B23" s="382" t="str">
        <f>dtsiswa!D26</f>
        <v>Roby Ardiyansyah</v>
      </c>
      <c r="C23" s="383">
        <f>mulok_ki3!N83</f>
        <v>0</v>
      </c>
      <c r="D23" s="383">
        <f>mulok_ki3!O83</f>
        <v>0</v>
      </c>
      <c r="E23" s="383">
        <f>mulok_ki3!P83</f>
        <v>0</v>
      </c>
      <c r="F23" s="467" t="str">
        <f t="shared" si="0"/>
        <v xml:space="preserve">  </v>
      </c>
      <c r="H23" s="134">
        <v>20</v>
      </c>
      <c r="I23" s="382" t="str">
        <f>dtsiswa!D26</f>
        <v>Roby Ardiyansyah</v>
      </c>
      <c r="J23" s="383">
        <f>mulok_ki4!U85</f>
        <v>0</v>
      </c>
      <c r="K23" s="383">
        <f>mulok_ki4!V85</f>
        <v>0</v>
      </c>
      <c r="L23" s="383">
        <f>mulok_ki4!W85</f>
        <v>0</v>
      </c>
      <c r="M23" s="400" t="str">
        <f t="shared" si="1"/>
        <v xml:space="preserve">  </v>
      </c>
      <c r="N23" s="134">
        <v>20</v>
      </c>
      <c r="O23" s="384" t="str">
        <f>dtsiswa!D26</f>
        <v>Roby Ardiyansyah</v>
      </c>
      <c r="P23" s="385" t="str">
        <f t="shared" si="3"/>
        <v xml:space="preserve">    </v>
      </c>
      <c r="Q23" s="386" t="str">
        <f t="shared" si="2"/>
        <v xml:space="preserve">    </v>
      </c>
    </row>
    <row r="24" spans="1:17" ht="15.95" customHeight="1" x14ac:dyDescent="0.25">
      <c r="A24" s="134">
        <v>21</v>
      </c>
      <c r="B24" s="382" t="str">
        <f>dtsiswa!D27</f>
        <v>Rojalingga Prana A</v>
      </c>
      <c r="C24" s="383">
        <f>mulok_ki3!N87</f>
        <v>0</v>
      </c>
      <c r="D24" s="383">
        <f>mulok_ki3!O87</f>
        <v>0</v>
      </c>
      <c r="E24" s="383">
        <f>mulok_ki3!P87</f>
        <v>0</v>
      </c>
      <c r="F24" s="467" t="str">
        <f t="shared" si="0"/>
        <v xml:space="preserve">  </v>
      </c>
      <c r="H24" s="134">
        <v>21</v>
      </c>
      <c r="I24" s="382" t="str">
        <f>dtsiswa!D27</f>
        <v>Rojalingga Prana A</v>
      </c>
      <c r="J24" s="383">
        <f>mulok_ki4!U89</f>
        <v>0</v>
      </c>
      <c r="K24" s="383">
        <f>mulok_ki4!V89</f>
        <v>0</v>
      </c>
      <c r="L24" s="383">
        <f>mulok_ki4!W89</f>
        <v>0</v>
      </c>
      <c r="M24" s="400" t="str">
        <f t="shared" si="1"/>
        <v xml:space="preserve">  </v>
      </c>
      <c r="N24" s="134">
        <v>21</v>
      </c>
      <c r="O24" s="384" t="str">
        <f>dtsiswa!D27</f>
        <v>Rojalingga Prana A</v>
      </c>
      <c r="P24" s="385" t="str">
        <f t="shared" si="3"/>
        <v xml:space="preserve">    </v>
      </c>
      <c r="Q24" s="386" t="str">
        <f t="shared" si="2"/>
        <v xml:space="preserve">    </v>
      </c>
    </row>
    <row r="25" spans="1:17" ht="15.95" customHeight="1" x14ac:dyDescent="0.25">
      <c r="A25" s="134">
        <v>22</v>
      </c>
      <c r="B25" s="382" t="str">
        <f>dtsiswa!D28</f>
        <v>Sally Savista A</v>
      </c>
      <c r="C25" s="383">
        <f>mulok_ki3!N91</f>
        <v>0</v>
      </c>
      <c r="D25" s="383">
        <f>mulok_ki3!O91</f>
        <v>0</v>
      </c>
      <c r="E25" s="383">
        <f>mulok_ki3!P91</f>
        <v>0</v>
      </c>
      <c r="F25" s="467" t="str">
        <f t="shared" si="0"/>
        <v xml:space="preserve">  </v>
      </c>
      <c r="H25" s="134">
        <v>22</v>
      </c>
      <c r="I25" s="382" t="str">
        <f>dtsiswa!D28</f>
        <v>Sally Savista A</v>
      </c>
      <c r="J25" s="383">
        <f>mulok_ki4!U93</f>
        <v>0</v>
      </c>
      <c r="K25" s="383">
        <f>mulok_ki4!V93</f>
        <v>0</v>
      </c>
      <c r="L25" s="383">
        <f>mulok_ki4!W93</f>
        <v>0</v>
      </c>
      <c r="M25" s="400" t="str">
        <f t="shared" si="1"/>
        <v xml:space="preserve">  </v>
      </c>
      <c r="N25" s="134">
        <v>22</v>
      </c>
      <c r="O25" s="384" t="str">
        <f>dtsiswa!D28</f>
        <v>Sally Savista A</v>
      </c>
      <c r="P25" s="385" t="str">
        <f t="shared" si="3"/>
        <v xml:space="preserve">    </v>
      </c>
      <c r="Q25" s="386" t="str">
        <f t="shared" si="2"/>
        <v xml:space="preserve">    </v>
      </c>
    </row>
    <row r="26" spans="1:17" ht="15.95" customHeight="1" x14ac:dyDescent="0.25">
      <c r="A26" s="134">
        <v>23</v>
      </c>
      <c r="B26" s="382" t="str">
        <f>dtsiswa!D29</f>
        <v xml:space="preserve">Tania Kaori Angelita </v>
      </c>
      <c r="C26" s="383">
        <f>mulok_ki3!N95</f>
        <v>0</v>
      </c>
      <c r="D26" s="383">
        <f>mulok_ki3!O95</f>
        <v>0</v>
      </c>
      <c r="E26" s="383">
        <f>mulok_ki3!P95</f>
        <v>0</v>
      </c>
      <c r="F26" s="467" t="str">
        <f t="shared" si="0"/>
        <v xml:space="preserve">  </v>
      </c>
      <c r="H26" s="134">
        <v>23</v>
      </c>
      <c r="I26" s="382" t="str">
        <f>dtsiswa!D29</f>
        <v xml:space="preserve">Tania Kaori Angelita </v>
      </c>
      <c r="J26" s="383">
        <f>mulok_ki4!U97</f>
        <v>0</v>
      </c>
      <c r="K26" s="383">
        <f>mulok_ki4!V97</f>
        <v>0</v>
      </c>
      <c r="L26" s="383">
        <f>mulok_ki4!W97</f>
        <v>0</v>
      </c>
      <c r="M26" s="400" t="str">
        <f t="shared" si="1"/>
        <v xml:space="preserve">  </v>
      </c>
      <c r="N26" s="134">
        <v>23</v>
      </c>
      <c r="O26" s="384" t="str">
        <f>dtsiswa!D29</f>
        <v xml:space="preserve">Tania Kaori Angelita </v>
      </c>
      <c r="P26" s="385" t="str">
        <f t="shared" si="3"/>
        <v xml:space="preserve">    </v>
      </c>
      <c r="Q26" s="386" t="str">
        <f t="shared" si="2"/>
        <v xml:space="preserve">    </v>
      </c>
    </row>
    <row r="27" spans="1:17" ht="15.95" customHeight="1" x14ac:dyDescent="0.25">
      <c r="A27" s="134">
        <v>24</v>
      </c>
      <c r="B27" s="382" t="str">
        <f>dtsiswa!D30</f>
        <v>Romzy Oka Ramadhani P</v>
      </c>
      <c r="C27" s="383">
        <f>mulok_ki3!N99</f>
        <v>0</v>
      </c>
      <c r="D27" s="383">
        <f>mulok_ki3!O99</f>
        <v>0</v>
      </c>
      <c r="E27" s="383">
        <f>mulok_ki3!P99</f>
        <v>0</v>
      </c>
      <c r="F27" s="467" t="str">
        <f t="shared" si="0"/>
        <v xml:space="preserve">  </v>
      </c>
      <c r="H27" s="134">
        <v>24</v>
      </c>
      <c r="I27" s="382" t="str">
        <f>dtsiswa!D30</f>
        <v>Romzy Oka Ramadhani P</v>
      </c>
      <c r="J27" s="383">
        <f>mulok_ki4!U101</f>
        <v>0</v>
      </c>
      <c r="K27" s="383">
        <f>mulok_ki4!V101</f>
        <v>0</v>
      </c>
      <c r="L27" s="383">
        <f>mulok_ki4!W101</f>
        <v>0</v>
      </c>
      <c r="M27" s="400" t="str">
        <f t="shared" si="1"/>
        <v xml:space="preserve">  </v>
      </c>
      <c r="N27" s="134">
        <v>24</v>
      </c>
      <c r="O27" s="384" t="str">
        <f>dtsiswa!D30</f>
        <v>Romzy Oka Ramadhani P</v>
      </c>
      <c r="P27" s="385" t="str">
        <f t="shared" si="3"/>
        <v xml:space="preserve">    </v>
      </c>
      <c r="Q27" s="386" t="str">
        <f t="shared" si="2"/>
        <v xml:space="preserve">    </v>
      </c>
    </row>
    <row r="28" spans="1:17" ht="15.95" customHeight="1" x14ac:dyDescent="0.25">
      <c r="A28" s="134">
        <v>25</v>
      </c>
      <c r="B28" s="382" t="str">
        <f>dtsiswa!D31</f>
        <v>Larasati Jagadhita P</v>
      </c>
      <c r="C28" s="383">
        <f>mulok_ki3!N103</f>
        <v>0</v>
      </c>
      <c r="D28" s="383">
        <f>mulok_ki3!O103</f>
        <v>0</v>
      </c>
      <c r="E28" s="383">
        <f>mulok_ki3!P103</f>
        <v>0</v>
      </c>
      <c r="F28" s="467" t="str">
        <f t="shared" si="0"/>
        <v xml:space="preserve">  </v>
      </c>
      <c r="H28" s="134">
        <v>25</v>
      </c>
      <c r="I28" s="382" t="str">
        <f>dtsiswa!D31</f>
        <v>Larasati Jagadhita P</v>
      </c>
      <c r="J28" s="383">
        <f>mulok_ki4!U105</f>
        <v>0</v>
      </c>
      <c r="K28" s="383">
        <f>mulok_ki4!V105</f>
        <v>0</v>
      </c>
      <c r="L28" s="383">
        <f>mulok_ki4!W105</f>
        <v>0</v>
      </c>
      <c r="M28" s="400" t="str">
        <f t="shared" si="1"/>
        <v xml:space="preserve">  </v>
      </c>
      <c r="N28" s="134">
        <v>25</v>
      </c>
      <c r="O28" s="384" t="str">
        <f>dtsiswa!D31</f>
        <v>Larasati Jagadhita P</v>
      </c>
      <c r="P28" s="385" t="str">
        <f t="shared" si="3"/>
        <v xml:space="preserve">    </v>
      </c>
      <c r="Q28" s="386" t="str">
        <f t="shared" si="2"/>
        <v xml:space="preserve">    </v>
      </c>
    </row>
    <row r="29" spans="1:17" ht="15.95" customHeight="1" x14ac:dyDescent="0.25">
      <c r="A29" s="134">
        <v>26</v>
      </c>
      <c r="B29" s="382" t="str">
        <f>dtsiswa!D32</f>
        <v>Meliana Citra A</v>
      </c>
      <c r="C29" s="383">
        <f>mulok_ki3!N107</f>
        <v>0</v>
      </c>
      <c r="D29" s="383">
        <f>mulok_ki3!O107</f>
        <v>0</v>
      </c>
      <c r="E29" s="383">
        <f>mulok_ki3!P107</f>
        <v>0</v>
      </c>
      <c r="F29" s="467" t="str">
        <f t="shared" si="0"/>
        <v xml:space="preserve">  </v>
      </c>
      <c r="H29" s="134">
        <v>26</v>
      </c>
      <c r="I29" s="382" t="str">
        <f>dtsiswa!D32</f>
        <v>Meliana Citra A</v>
      </c>
      <c r="J29" s="383">
        <f>mulok_ki4!U109</f>
        <v>0</v>
      </c>
      <c r="K29" s="383">
        <f>mulok_ki4!V109</f>
        <v>0</v>
      </c>
      <c r="L29" s="383">
        <f>mulok_ki4!W109</f>
        <v>0</v>
      </c>
      <c r="M29" s="400" t="str">
        <f t="shared" si="1"/>
        <v xml:space="preserve">  </v>
      </c>
      <c r="N29" s="134">
        <v>26</v>
      </c>
      <c r="O29" s="384" t="str">
        <f>dtsiswa!D32</f>
        <v>Meliana Citra A</v>
      </c>
      <c r="P29" s="385" t="str">
        <f t="shared" si="3"/>
        <v xml:space="preserve">    </v>
      </c>
      <c r="Q29" s="386" t="str">
        <f t="shared" si="2"/>
        <v xml:space="preserve">    </v>
      </c>
    </row>
    <row r="30" spans="1:17" ht="15.95" customHeight="1" x14ac:dyDescent="0.25">
      <c r="A30" s="134">
        <v>27</v>
      </c>
      <c r="B30" s="382" t="str">
        <f>dtsiswa!D33</f>
        <v>Mohammad Rizky</v>
      </c>
      <c r="C30" s="383">
        <f>mulok_ki3!N111</f>
        <v>0</v>
      </c>
      <c r="D30" s="383">
        <f>mulok_ki3!O111</f>
        <v>0</v>
      </c>
      <c r="E30" s="383">
        <f>mulok_ki3!P111</f>
        <v>0</v>
      </c>
      <c r="F30" s="467" t="str">
        <f t="shared" si="0"/>
        <v xml:space="preserve">  </v>
      </c>
      <c r="H30" s="134">
        <v>27</v>
      </c>
      <c r="I30" s="382" t="str">
        <f>dtsiswa!D33</f>
        <v>Mohammad Rizky</v>
      </c>
      <c r="J30" s="383">
        <f>mulok_ki4!U113</f>
        <v>0</v>
      </c>
      <c r="K30" s="383">
        <f>mulok_ki4!V113</f>
        <v>0</v>
      </c>
      <c r="L30" s="383">
        <f>mulok_ki4!W113</f>
        <v>0</v>
      </c>
      <c r="M30" s="400" t="str">
        <f t="shared" si="1"/>
        <v xml:space="preserve">  </v>
      </c>
      <c r="N30" s="134">
        <v>27</v>
      </c>
      <c r="O30" s="384" t="str">
        <f>dtsiswa!D33</f>
        <v>Mohammad Rizky</v>
      </c>
      <c r="P30" s="385" t="str">
        <f t="shared" si="3"/>
        <v xml:space="preserve">    </v>
      </c>
      <c r="Q30" s="386" t="str">
        <f t="shared" si="2"/>
        <v xml:space="preserve">    </v>
      </c>
    </row>
    <row r="31" spans="1:17" ht="15.95" customHeight="1" x14ac:dyDescent="0.25">
      <c r="A31" s="134">
        <v>28</v>
      </c>
      <c r="B31" s="382">
        <f>dtsiswa!D34</f>
        <v>0</v>
      </c>
      <c r="C31" s="383">
        <f>mulok_ki3!N115</f>
        <v>0</v>
      </c>
      <c r="D31" s="383">
        <f>mulok_ki3!O115</f>
        <v>0</v>
      </c>
      <c r="E31" s="383">
        <f>mulok_ki3!P115</f>
        <v>0</v>
      </c>
      <c r="F31" s="467" t="str">
        <f t="shared" si="0"/>
        <v xml:space="preserve">  </v>
      </c>
      <c r="H31" s="134">
        <v>28</v>
      </c>
      <c r="I31" s="382">
        <f>dtsiswa!D34</f>
        <v>0</v>
      </c>
      <c r="J31" s="383">
        <f>mulok_ki4!U117</f>
        <v>0</v>
      </c>
      <c r="K31" s="383">
        <f>mulok_ki4!V117</f>
        <v>0</v>
      </c>
      <c r="L31" s="383">
        <f>mulok_ki4!W117</f>
        <v>0</v>
      </c>
      <c r="M31" s="400" t="str">
        <f t="shared" si="1"/>
        <v xml:space="preserve">  </v>
      </c>
      <c r="N31" s="134">
        <v>28</v>
      </c>
      <c r="O31" s="384">
        <f>dtsiswa!D34</f>
        <v>0</v>
      </c>
      <c r="P31" s="385" t="str">
        <f t="shared" si="3"/>
        <v xml:space="preserve">    </v>
      </c>
      <c r="Q31" s="386" t="str">
        <f t="shared" si="2"/>
        <v xml:space="preserve">    </v>
      </c>
    </row>
    <row r="32" spans="1:17" ht="15.95" customHeight="1" x14ac:dyDescent="0.25">
      <c r="A32" s="134">
        <v>29</v>
      </c>
      <c r="B32" s="382">
        <f>dtsiswa!D35</f>
        <v>0</v>
      </c>
      <c r="C32" s="383">
        <f>mulok_ki3!N119</f>
        <v>0</v>
      </c>
      <c r="D32" s="383">
        <f>mulok_ki3!O119</f>
        <v>0</v>
      </c>
      <c r="E32" s="383">
        <f>mulok_ki3!P119</f>
        <v>0</v>
      </c>
      <c r="F32" s="467" t="str">
        <f t="shared" si="0"/>
        <v xml:space="preserve">  </v>
      </c>
      <c r="H32" s="134">
        <v>29</v>
      </c>
      <c r="I32" s="382">
        <f>dtsiswa!D35</f>
        <v>0</v>
      </c>
      <c r="J32" s="383">
        <f>mulok_ki4!U121</f>
        <v>0</v>
      </c>
      <c r="K32" s="383">
        <f>mulok_ki4!V121</f>
        <v>0</v>
      </c>
      <c r="L32" s="383">
        <f>mulok_ki4!W121</f>
        <v>0</v>
      </c>
      <c r="M32" s="400" t="str">
        <f t="shared" si="1"/>
        <v xml:space="preserve">  </v>
      </c>
      <c r="N32" s="134">
        <v>29</v>
      </c>
      <c r="O32" s="384">
        <f>dtsiswa!D35</f>
        <v>0</v>
      </c>
      <c r="P32" s="385" t="str">
        <f t="shared" si="3"/>
        <v xml:space="preserve">    </v>
      </c>
      <c r="Q32" s="386" t="str">
        <f t="shared" si="2"/>
        <v xml:space="preserve">    </v>
      </c>
    </row>
    <row r="33" spans="1:17" ht="15.95" customHeight="1" x14ac:dyDescent="0.25">
      <c r="A33" s="134">
        <v>30</v>
      </c>
      <c r="B33" s="382">
        <f>dtsiswa!D36</f>
        <v>0</v>
      </c>
      <c r="C33" s="383">
        <f>mulok_ki3!N123</f>
        <v>0</v>
      </c>
      <c r="D33" s="383">
        <f>mulok_ki3!O123</f>
        <v>0</v>
      </c>
      <c r="E33" s="383">
        <f>mulok_ki3!P123</f>
        <v>0</v>
      </c>
      <c r="F33" s="467" t="str">
        <f t="shared" si="0"/>
        <v xml:space="preserve">  </v>
      </c>
      <c r="H33" s="134">
        <v>30</v>
      </c>
      <c r="I33" s="382">
        <f>dtsiswa!D36</f>
        <v>0</v>
      </c>
      <c r="J33" s="383">
        <f>mulok_ki4!U125</f>
        <v>0</v>
      </c>
      <c r="K33" s="383">
        <f>mulok_ki4!V125</f>
        <v>0</v>
      </c>
      <c r="L33" s="383">
        <f>mulok_ki4!W125</f>
        <v>0</v>
      </c>
      <c r="M33" s="400" t="str">
        <f t="shared" si="1"/>
        <v xml:space="preserve">  </v>
      </c>
      <c r="N33" s="134">
        <v>30</v>
      </c>
      <c r="O33" s="384">
        <f>dtsiswa!D36</f>
        <v>0</v>
      </c>
      <c r="P33" s="385" t="str">
        <f t="shared" si="3"/>
        <v xml:space="preserve">    </v>
      </c>
      <c r="Q33" s="386" t="str">
        <f t="shared" si="2"/>
        <v xml:space="preserve">    </v>
      </c>
    </row>
    <row r="34" spans="1:17" ht="15.95" customHeight="1" x14ac:dyDescent="0.25">
      <c r="A34" s="134">
        <v>31</v>
      </c>
      <c r="B34" s="382">
        <f>dtsiswa!D37</f>
        <v>0</v>
      </c>
      <c r="C34" s="383">
        <f>mulok_ki3!N127</f>
        <v>0</v>
      </c>
      <c r="D34" s="383">
        <f>mulok_ki3!O127</f>
        <v>0</v>
      </c>
      <c r="E34" s="383">
        <f>mulok_ki3!P127</f>
        <v>0</v>
      </c>
      <c r="F34" s="467" t="str">
        <f t="shared" si="0"/>
        <v xml:space="preserve">  </v>
      </c>
      <c r="H34" s="134">
        <v>31</v>
      </c>
      <c r="I34" s="382">
        <f>dtsiswa!D37</f>
        <v>0</v>
      </c>
      <c r="J34" s="383">
        <f>mulok_ki4!U129</f>
        <v>0</v>
      </c>
      <c r="K34" s="383">
        <f>mulok_ki4!V129</f>
        <v>0</v>
      </c>
      <c r="L34" s="383">
        <f>mulok_ki4!W129</f>
        <v>0</v>
      </c>
      <c r="M34" s="400" t="str">
        <f t="shared" si="1"/>
        <v xml:space="preserve">  </v>
      </c>
      <c r="N34" s="134">
        <v>31</v>
      </c>
      <c r="O34" s="384">
        <f>dtsiswa!D37</f>
        <v>0</v>
      </c>
      <c r="P34" s="385" t="str">
        <f t="shared" si="3"/>
        <v xml:space="preserve">    </v>
      </c>
      <c r="Q34" s="386" t="str">
        <f t="shared" si="2"/>
        <v xml:space="preserve">    </v>
      </c>
    </row>
    <row r="35" spans="1:17" ht="15.95" customHeight="1" x14ac:dyDescent="0.25">
      <c r="A35" s="134">
        <v>32</v>
      </c>
      <c r="B35" s="382">
        <f>dtsiswa!D38</f>
        <v>0</v>
      </c>
      <c r="C35" s="383">
        <f>mulok_ki3!N131</f>
        <v>0</v>
      </c>
      <c r="D35" s="383">
        <f>mulok_ki3!O131</f>
        <v>0</v>
      </c>
      <c r="E35" s="383">
        <f>mulok_ki3!P131</f>
        <v>0</v>
      </c>
      <c r="F35" s="467" t="str">
        <f t="shared" si="0"/>
        <v xml:space="preserve">  </v>
      </c>
      <c r="H35" s="134">
        <v>32</v>
      </c>
      <c r="I35" s="382">
        <f>dtsiswa!D38</f>
        <v>0</v>
      </c>
      <c r="J35" s="383">
        <f>mulok_ki4!U133</f>
        <v>0</v>
      </c>
      <c r="K35" s="383">
        <f>mulok_ki4!V133</f>
        <v>0</v>
      </c>
      <c r="L35" s="383">
        <f>mulok_ki4!W133</f>
        <v>0</v>
      </c>
      <c r="M35" s="400" t="str">
        <f t="shared" si="1"/>
        <v xml:space="preserve">  </v>
      </c>
      <c r="N35" s="134">
        <v>32</v>
      </c>
      <c r="O35" s="384">
        <f>dtsiswa!D38</f>
        <v>0</v>
      </c>
      <c r="P35" s="385" t="str">
        <f t="shared" si="3"/>
        <v xml:space="preserve">    </v>
      </c>
      <c r="Q35" s="386" t="str">
        <f t="shared" si="2"/>
        <v xml:space="preserve">    </v>
      </c>
    </row>
    <row r="36" spans="1:17" ht="15.95" customHeight="1" x14ac:dyDescent="0.25">
      <c r="A36" s="134">
        <v>33</v>
      </c>
      <c r="B36" s="382">
        <f>dtsiswa!D39</f>
        <v>0</v>
      </c>
      <c r="C36" s="383">
        <f>mulok_ki3!N135</f>
        <v>0</v>
      </c>
      <c r="D36" s="383">
        <f>mulok_ki3!O135</f>
        <v>0</v>
      </c>
      <c r="E36" s="383">
        <f>mulok_ki3!P135</f>
        <v>0</v>
      </c>
      <c r="F36" s="467" t="str">
        <f t="shared" si="0"/>
        <v xml:space="preserve">  </v>
      </c>
      <c r="H36" s="134">
        <v>33</v>
      </c>
      <c r="I36" s="382">
        <f>dtsiswa!D39</f>
        <v>0</v>
      </c>
      <c r="J36" s="383">
        <f>mulok_ki4!U137</f>
        <v>0</v>
      </c>
      <c r="K36" s="383">
        <f>mulok_ki4!V137</f>
        <v>0</v>
      </c>
      <c r="L36" s="383">
        <f>mulok_ki4!W137</f>
        <v>0</v>
      </c>
      <c r="M36" s="400" t="str">
        <f t="shared" si="1"/>
        <v xml:space="preserve">  </v>
      </c>
      <c r="N36" s="134">
        <v>33</v>
      </c>
      <c r="O36" s="384">
        <f>dtsiswa!D39</f>
        <v>0</v>
      </c>
      <c r="P36" s="385" t="str">
        <f t="shared" si="3"/>
        <v xml:space="preserve">    </v>
      </c>
      <c r="Q36" s="386" t="str">
        <f t="shared" si="2"/>
        <v xml:space="preserve">    </v>
      </c>
    </row>
    <row r="37" spans="1:17" ht="15.95" customHeight="1" x14ac:dyDescent="0.25">
      <c r="A37" s="134">
        <v>34</v>
      </c>
      <c r="B37" s="382">
        <f>dtsiswa!D40</f>
        <v>0</v>
      </c>
      <c r="C37" s="383">
        <f>mulok_ki3!N139</f>
        <v>0</v>
      </c>
      <c r="D37" s="383">
        <f>mulok_ki3!O139</f>
        <v>0</v>
      </c>
      <c r="E37" s="383">
        <f>mulok_ki3!P139</f>
        <v>0</v>
      </c>
      <c r="F37" s="467" t="str">
        <f t="shared" si="0"/>
        <v xml:space="preserve">  </v>
      </c>
      <c r="H37" s="134">
        <v>34</v>
      </c>
      <c r="I37" s="382">
        <f>dtsiswa!D40</f>
        <v>0</v>
      </c>
      <c r="J37" s="383">
        <f>mulok_ki4!U141</f>
        <v>0</v>
      </c>
      <c r="K37" s="383">
        <f>mulok_ki4!V141</f>
        <v>0</v>
      </c>
      <c r="L37" s="383">
        <f>mulok_ki4!W141</f>
        <v>0</v>
      </c>
      <c r="M37" s="400" t="str">
        <f t="shared" si="1"/>
        <v xml:space="preserve">  </v>
      </c>
      <c r="N37" s="134">
        <v>34</v>
      </c>
      <c r="O37" s="384">
        <f>dtsiswa!D40</f>
        <v>0</v>
      </c>
      <c r="P37" s="385" t="str">
        <f t="shared" si="3"/>
        <v xml:space="preserve">    </v>
      </c>
      <c r="Q37" s="386" t="str">
        <f t="shared" si="2"/>
        <v xml:space="preserve">    </v>
      </c>
    </row>
    <row r="38" spans="1:17" ht="15.95" customHeight="1" x14ac:dyDescent="0.25">
      <c r="A38" s="134">
        <v>35</v>
      </c>
      <c r="B38" s="382">
        <f>dtsiswa!D41</f>
        <v>0</v>
      </c>
      <c r="C38" s="383">
        <f>mulok_ki3!N143</f>
        <v>0</v>
      </c>
      <c r="D38" s="383">
        <f>mulok_ki3!O143</f>
        <v>0</v>
      </c>
      <c r="E38" s="383">
        <f>mulok_ki3!P143</f>
        <v>0</v>
      </c>
      <c r="F38" s="467" t="str">
        <f t="shared" si="0"/>
        <v xml:space="preserve">  </v>
      </c>
      <c r="H38" s="134">
        <v>35</v>
      </c>
      <c r="I38" s="382">
        <f>dtsiswa!D41</f>
        <v>0</v>
      </c>
      <c r="J38" s="383">
        <f>mulok_ki4!U145</f>
        <v>0</v>
      </c>
      <c r="K38" s="383">
        <f>mulok_ki4!V145</f>
        <v>0</v>
      </c>
      <c r="L38" s="383">
        <f>mulok_ki4!W145</f>
        <v>0</v>
      </c>
      <c r="M38" s="400" t="str">
        <f t="shared" si="1"/>
        <v xml:space="preserve">  </v>
      </c>
      <c r="N38" s="134">
        <v>35</v>
      </c>
      <c r="O38" s="384">
        <f>dtsiswa!D41</f>
        <v>0</v>
      </c>
      <c r="P38" s="385" t="str">
        <f t="shared" si="3"/>
        <v xml:space="preserve">    </v>
      </c>
      <c r="Q38" s="386" t="str">
        <f t="shared" si="2"/>
        <v xml:space="preserve">    </v>
      </c>
    </row>
    <row r="39" spans="1:17" ht="15.95" customHeight="1" x14ac:dyDescent="0.25">
      <c r="A39" s="134">
        <v>36</v>
      </c>
      <c r="B39" s="382">
        <f>dtsiswa!D42</f>
        <v>0</v>
      </c>
      <c r="C39" s="383">
        <f>mulok_ki3!N147</f>
        <v>0</v>
      </c>
      <c r="D39" s="383">
        <f>mulok_ki3!O147</f>
        <v>0</v>
      </c>
      <c r="E39" s="383">
        <f>mulok_ki3!P147</f>
        <v>0</v>
      </c>
      <c r="F39" s="467" t="str">
        <f t="shared" si="0"/>
        <v xml:space="preserve">  </v>
      </c>
      <c r="H39" s="134">
        <v>36</v>
      </c>
      <c r="I39" s="382">
        <f>dtsiswa!D42</f>
        <v>0</v>
      </c>
      <c r="J39" s="383">
        <f>mulok_ki4!U149</f>
        <v>0</v>
      </c>
      <c r="K39" s="383">
        <f>mulok_ki4!V149</f>
        <v>0</v>
      </c>
      <c r="L39" s="383">
        <f>mulok_ki4!W149</f>
        <v>0</v>
      </c>
      <c r="M39" s="400" t="str">
        <f t="shared" si="1"/>
        <v xml:space="preserve">  </v>
      </c>
      <c r="N39" s="134">
        <v>36</v>
      </c>
      <c r="O39" s="384">
        <f>dtsiswa!D42</f>
        <v>0</v>
      </c>
      <c r="P39" s="385" t="str">
        <f t="shared" si="3"/>
        <v xml:space="preserve">    </v>
      </c>
      <c r="Q39" s="386" t="str">
        <f t="shared" si="2"/>
        <v xml:space="preserve">    </v>
      </c>
    </row>
    <row r="40" spans="1:17" ht="15.95" customHeight="1" x14ac:dyDescent="0.25">
      <c r="A40" s="134">
        <v>37</v>
      </c>
      <c r="B40" s="382">
        <f>dtsiswa!D43</f>
        <v>0</v>
      </c>
      <c r="C40" s="383">
        <f>mulok_ki3!N151</f>
        <v>0</v>
      </c>
      <c r="D40" s="383">
        <f>mulok_ki3!O151</f>
        <v>0</v>
      </c>
      <c r="E40" s="383">
        <f>mulok_ki3!P151</f>
        <v>0</v>
      </c>
      <c r="F40" s="467" t="str">
        <f t="shared" si="0"/>
        <v xml:space="preserve">  </v>
      </c>
      <c r="H40" s="134">
        <v>37</v>
      </c>
      <c r="I40" s="382">
        <f>dtsiswa!D43</f>
        <v>0</v>
      </c>
      <c r="J40" s="383">
        <f>mulok_ki4!U153</f>
        <v>0</v>
      </c>
      <c r="K40" s="383">
        <f>mulok_ki4!V153</f>
        <v>0</v>
      </c>
      <c r="L40" s="383">
        <f>mulok_ki4!W153</f>
        <v>0</v>
      </c>
      <c r="M40" s="400" t="str">
        <f t="shared" si="1"/>
        <v xml:space="preserve">  </v>
      </c>
      <c r="N40" s="134">
        <v>37</v>
      </c>
      <c r="O40" s="384">
        <f>dtsiswa!D43</f>
        <v>0</v>
      </c>
      <c r="P40" s="385" t="str">
        <f t="shared" si="3"/>
        <v xml:space="preserve">    </v>
      </c>
      <c r="Q40" s="386" t="str">
        <f t="shared" si="2"/>
        <v xml:space="preserve">    </v>
      </c>
    </row>
    <row r="41" spans="1:17" ht="15.95" customHeight="1" x14ac:dyDescent="0.25">
      <c r="A41" s="134">
        <v>38</v>
      </c>
      <c r="B41" s="382">
        <f>dtsiswa!D44</f>
        <v>0</v>
      </c>
      <c r="C41" s="383">
        <f>mulok_ki3!N155</f>
        <v>0</v>
      </c>
      <c r="D41" s="383">
        <f>mulok_ki3!O155</f>
        <v>0</v>
      </c>
      <c r="E41" s="383">
        <f>mulok_ki3!P155</f>
        <v>0</v>
      </c>
      <c r="F41" s="467" t="str">
        <f t="shared" si="0"/>
        <v xml:space="preserve">  </v>
      </c>
      <c r="H41" s="134">
        <v>38</v>
      </c>
      <c r="I41" s="382">
        <f>dtsiswa!D44</f>
        <v>0</v>
      </c>
      <c r="J41" s="383">
        <f>mulok_ki4!U1157</f>
        <v>0</v>
      </c>
      <c r="K41" s="383">
        <f>mulok_ki4!V1157</f>
        <v>0</v>
      </c>
      <c r="L41" s="383">
        <f>mulok_ki4!W1157</f>
        <v>0</v>
      </c>
      <c r="M41" s="400" t="str">
        <f t="shared" si="1"/>
        <v xml:space="preserve">  </v>
      </c>
      <c r="N41" s="134">
        <v>38</v>
      </c>
      <c r="O41" s="384">
        <f>dtsiswa!D44</f>
        <v>0</v>
      </c>
      <c r="P41" s="385" t="str">
        <f t="shared" si="3"/>
        <v xml:space="preserve">    </v>
      </c>
      <c r="Q41" s="386" t="str">
        <f t="shared" si="2"/>
        <v xml:space="preserve">    </v>
      </c>
    </row>
    <row r="42" spans="1:17" ht="15.95" customHeight="1" x14ac:dyDescent="0.25">
      <c r="A42" s="134">
        <v>39</v>
      </c>
      <c r="B42" s="382">
        <f>dtsiswa!D45</f>
        <v>0</v>
      </c>
      <c r="C42" s="383">
        <f>mulok_ki3!N159</f>
        <v>0</v>
      </c>
      <c r="D42" s="383">
        <f>mulok_ki3!O159</f>
        <v>0</v>
      </c>
      <c r="E42" s="383">
        <f>mulok_ki3!P159</f>
        <v>0</v>
      </c>
      <c r="F42" s="467" t="str">
        <f t="shared" si="0"/>
        <v xml:space="preserve">  </v>
      </c>
      <c r="H42" s="134">
        <v>39</v>
      </c>
      <c r="I42" s="382">
        <f>dtsiswa!D45</f>
        <v>0</v>
      </c>
      <c r="J42" s="383">
        <f>mulok_ki4!U161</f>
        <v>0</v>
      </c>
      <c r="K42" s="383">
        <f>mulok_ki4!V161</f>
        <v>0</v>
      </c>
      <c r="L42" s="383">
        <f>mulok_ki4!W161</f>
        <v>0</v>
      </c>
      <c r="M42" s="400" t="str">
        <f t="shared" si="1"/>
        <v xml:space="preserve">  </v>
      </c>
      <c r="N42" s="134">
        <v>39</v>
      </c>
      <c r="O42" s="384">
        <f>dtsiswa!D45</f>
        <v>0</v>
      </c>
      <c r="P42" s="385" t="str">
        <f t="shared" si="3"/>
        <v xml:space="preserve">    </v>
      </c>
      <c r="Q42" s="386" t="str">
        <f t="shared" si="2"/>
        <v xml:space="preserve">    </v>
      </c>
    </row>
    <row r="43" spans="1:17" ht="15.95" customHeight="1" x14ac:dyDescent="0.25">
      <c r="A43" s="134">
        <v>40</v>
      </c>
      <c r="B43" s="382">
        <f>dtsiswa!D46</f>
        <v>0</v>
      </c>
      <c r="C43" s="383">
        <f>mulok_ki3!N163</f>
        <v>0</v>
      </c>
      <c r="D43" s="383">
        <f>mulok_ki3!O163</f>
        <v>0</v>
      </c>
      <c r="E43" s="383">
        <f>mulok_ki3!P163</f>
        <v>0</v>
      </c>
      <c r="F43" s="467" t="str">
        <f t="shared" si="0"/>
        <v xml:space="preserve">  </v>
      </c>
      <c r="H43" s="134">
        <v>40</v>
      </c>
      <c r="I43" s="382">
        <f>dtsiswa!D46</f>
        <v>0</v>
      </c>
      <c r="J43" s="383">
        <f>mulok_ki4!U165</f>
        <v>0</v>
      </c>
      <c r="K43" s="383">
        <f>mulok_ki4!V165</f>
        <v>0</v>
      </c>
      <c r="L43" s="383">
        <f>mulok_ki4!W165</f>
        <v>0</v>
      </c>
      <c r="M43" s="400" t="str">
        <f t="shared" si="1"/>
        <v xml:space="preserve">  </v>
      </c>
      <c r="N43" s="134">
        <v>40</v>
      </c>
      <c r="O43" s="384">
        <f>dtsiswa!D46</f>
        <v>0</v>
      </c>
      <c r="P43" s="385" t="str">
        <f t="shared" si="3"/>
        <v xml:space="preserve">    </v>
      </c>
      <c r="Q43" s="386" t="str">
        <f t="shared" si="2"/>
        <v xml:space="preserve">    </v>
      </c>
    </row>
    <row r="44" spans="1:17" ht="21" x14ac:dyDescent="0.35">
      <c r="A44" s="388">
        <v>1</v>
      </c>
      <c r="B44" s="389">
        <v>2</v>
      </c>
      <c r="C44" s="388">
        <v>3</v>
      </c>
      <c r="D44" s="389">
        <v>4</v>
      </c>
      <c r="E44" s="388">
        <v>5</v>
      </c>
      <c r="F44" s="391">
        <v>11</v>
      </c>
      <c r="G44" s="389">
        <v>12</v>
      </c>
      <c r="H44" s="388">
        <v>13</v>
      </c>
      <c r="I44" s="389">
        <v>14</v>
      </c>
      <c r="J44" s="388">
        <v>15</v>
      </c>
      <c r="K44" s="389">
        <v>16</v>
      </c>
      <c r="L44" s="388">
        <v>17</v>
      </c>
      <c r="M44" s="391">
        <v>25</v>
      </c>
      <c r="N44" s="389">
        <v>26</v>
      </c>
      <c r="O44" s="388">
        <v>27</v>
      </c>
      <c r="P44" s="392">
        <v>28</v>
      </c>
      <c r="Q44" s="393">
        <v>29</v>
      </c>
    </row>
    <row r="45" spans="1:17" x14ac:dyDescent="0.25">
      <c r="A45" s="373"/>
      <c r="B45" s="373"/>
      <c r="C45" s="373"/>
      <c r="D45" s="373"/>
      <c r="E45" s="373"/>
      <c r="F45" s="373"/>
      <c r="H45" s="1178"/>
      <c r="I45" s="1178"/>
      <c r="J45" s="1178"/>
      <c r="K45" s="1178"/>
      <c r="L45" s="1178"/>
      <c r="M45" s="1178"/>
    </row>
    <row r="46" spans="1:17" s="394" customFormat="1" x14ac:dyDescent="0.25">
      <c r="A46" s="395"/>
      <c r="B46" s="395"/>
      <c r="C46" s="371"/>
      <c r="D46" s="371"/>
      <c r="E46" s="371"/>
      <c r="F46" s="371"/>
      <c r="G46" s="274"/>
      <c r="H46" s="371"/>
      <c r="I46" s="395"/>
      <c r="J46" s="395"/>
      <c r="K46" s="395"/>
      <c r="L46" s="395"/>
      <c r="M46" s="395"/>
    </row>
    <row r="47" spans="1:17" x14ac:dyDescent="0.25">
      <c r="A47" s="373"/>
      <c r="B47" s="373"/>
      <c r="C47" s="373"/>
      <c r="D47" s="373"/>
      <c r="E47" s="373"/>
      <c r="F47" s="373"/>
      <c r="G47" s="364"/>
      <c r="H47" s="373"/>
      <c r="I47" s="373"/>
      <c r="J47" s="373"/>
      <c r="K47" s="373"/>
      <c r="L47" s="373"/>
      <c r="M47" s="373"/>
    </row>
    <row r="48" spans="1:17" ht="23.25" x14ac:dyDescent="0.35">
      <c r="A48" s="2907" t="s">
        <v>451</v>
      </c>
      <c r="B48" s="2907"/>
      <c r="C48" s="2907"/>
      <c r="D48" s="2907"/>
      <c r="E48" s="2907"/>
      <c r="F48" s="373"/>
      <c r="G48" s="364"/>
      <c r="H48" s="2907" t="s">
        <v>706</v>
      </c>
      <c r="I48" s="2907"/>
      <c r="J48" s="2907"/>
      <c r="K48" s="2907"/>
      <c r="L48" s="373"/>
      <c r="M48" s="373"/>
    </row>
    <row r="49" spans="1:13" ht="26.25" x14ac:dyDescent="0.4">
      <c r="A49" s="396" t="s">
        <v>148</v>
      </c>
      <c r="B49" s="373"/>
      <c r="C49" s="373"/>
      <c r="D49" s="373"/>
      <c r="E49" s="373"/>
      <c r="F49" s="373"/>
      <c r="G49" s="364"/>
      <c r="H49" s="376" t="s">
        <v>175</v>
      </c>
      <c r="I49" s="373"/>
      <c r="J49" s="373"/>
      <c r="K49" s="373"/>
      <c r="L49" s="373"/>
      <c r="M49" s="373"/>
    </row>
    <row r="50" spans="1:13" ht="30.75" customHeight="1" thickBot="1" x14ac:dyDescent="0.3">
      <c r="A50" s="377" t="s">
        <v>0</v>
      </c>
      <c r="B50" s="377" t="s">
        <v>1</v>
      </c>
      <c r="C50" s="1128" t="s">
        <v>18</v>
      </c>
      <c r="D50" s="1128" t="s">
        <v>179</v>
      </c>
      <c r="E50" s="1128" t="s">
        <v>20</v>
      </c>
      <c r="F50" s="236" t="s">
        <v>138</v>
      </c>
      <c r="G50" s="364"/>
      <c r="H50" s="305" t="s">
        <v>0</v>
      </c>
      <c r="I50" s="305" t="s">
        <v>1</v>
      </c>
      <c r="J50" s="1129" t="s">
        <v>16</v>
      </c>
      <c r="K50" s="1129" t="s">
        <v>189</v>
      </c>
      <c r="L50" s="1129" t="s">
        <v>186</v>
      </c>
      <c r="M50" s="152" t="s">
        <v>138</v>
      </c>
    </row>
    <row r="51" spans="1:13" ht="18.75" customHeight="1" x14ac:dyDescent="0.25">
      <c r="A51" s="134">
        <v>1</v>
      </c>
      <c r="B51" s="382" t="str">
        <f>dtsiswa!D7</f>
        <v>Achmad Zacky</v>
      </c>
      <c r="C51" s="387">
        <f>mulok_ki3!Q7</f>
        <v>0</v>
      </c>
      <c r="D51" s="1115">
        <f>mulok_ki3!R7</f>
        <v>0</v>
      </c>
      <c r="E51" s="1115">
        <f>mulok_ki3!S7</f>
        <v>3</v>
      </c>
      <c r="F51" s="557" t="str">
        <f t="shared" ref="F51:F90" si="4">IF(OR(C51=2,C51=3),VLOOKUP(C51,DES_KI3jawa,2,FALSE),IF(OR(D51=2,D51=3),VLOOKUP(D51,DES_KI3jawa,3,FALSE),IF(OR(E51=2,E51=3),VLOOKUP(E51,DES_KI3jawa,4,FALSE),"  ")))</f>
        <v xml:space="preserve">Baik dalam mengenal, memahami, dan mengidentifikasi kata berimbuhan dalam teks sesuai kaidah. </v>
      </c>
      <c r="G51" s="387" t="e">
        <f>VLOOKUP($A$51,Ragm_ki3,29,FALSE)</f>
        <v>#NAME?</v>
      </c>
      <c r="H51" s="134">
        <v>1</v>
      </c>
      <c r="I51" s="382" t="str">
        <f>dtsiswa!D7</f>
        <v>Achmad Zacky</v>
      </c>
      <c r="J51" s="399">
        <f>mulok_ki4!X9</f>
        <v>0</v>
      </c>
      <c r="K51" s="399">
        <f>mulok_ki4!Y9</f>
        <v>2</v>
      </c>
      <c r="L51" s="399">
        <f>mulok_ki4!Z9</f>
        <v>0</v>
      </c>
      <c r="M51" s="372" t="str">
        <f t="shared" ref="M51:M90" si="5">IF(OR(J51=2,J51=3),VLOOKUP(J51,DES_KI4jawa,2,FALSE),IF(OR(K51=2,K51=3),VLOOKUP(K51,DES_KI4jawa,3,FALSE),IF(OR(L51=2,L51=3),VLOOKUP(L51,DES_KI4jawa,4,FALSE),"  ")))</f>
        <v xml:space="preserve">Cukup baik dalam Menulis kalimat dengan huruf  Latin dan huruf  Jawa menggunakan sandhangan aksara Jawa. </v>
      </c>
    </row>
    <row r="52" spans="1:13" ht="15.75" x14ac:dyDescent="0.25">
      <c r="A52" s="134">
        <v>2</v>
      </c>
      <c r="B52" s="382" t="str">
        <f>dtsiswa!D8</f>
        <v>Angelia Vabel R</v>
      </c>
      <c r="C52" s="387">
        <f>mulok_ki3!Q11</f>
        <v>0</v>
      </c>
      <c r="D52" s="1115">
        <f>mulok_ki3!R11</f>
        <v>0</v>
      </c>
      <c r="E52" s="1115">
        <f>mulok_ki3!S11</f>
        <v>0</v>
      </c>
      <c r="F52" s="557" t="str">
        <f t="shared" si="4"/>
        <v xml:space="preserve">  </v>
      </c>
      <c r="H52" s="387">
        <v>2</v>
      </c>
      <c r="I52" s="382" t="str">
        <f>dtsiswa!D8</f>
        <v>Angelia Vabel R</v>
      </c>
      <c r="J52" s="387">
        <f>mulok_ki4!X13</f>
        <v>0</v>
      </c>
      <c r="K52" s="1130">
        <f>mulok_ki4!Y13</f>
        <v>3</v>
      </c>
      <c r="L52" s="1130">
        <f>mulok_ki4!Z13</f>
        <v>0</v>
      </c>
      <c r="M52" s="372" t="str">
        <f t="shared" si="5"/>
        <v xml:space="preserve">Baik dalam Menulis kalimat dengan huruf  Latin dan huruf  Jawa menggunakan sandhangan aksara Jawa. </v>
      </c>
    </row>
    <row r="53" spans="1:13" ht="15.75" x14ac:dyDescent="0.25">
      <c r="A53" s="134">
        <v>3</v>
      </c>
      <c r="B53" s="382" t="str">
        <f>dtsiswa!D9</f>
        <v>Anggun Dwi P.I</v>
      </c>
      <c r="C53" s="1115">
        <f>mulok_ki3!Q15</f>
        <v>0</v>
      </c>
      <c r="D53" s="1115">
        <f>mulok_ki3!R15</f>
        <v>0</v>
      </c>
      <c r="E53" s="1115">
        <f>mulok_ki3!S15</f>
        <v>0</v>
      </c>
      <c r="F53" s="557" t="str">
        <f t="shared" si="4"/>
        <v xml:space="preserve">  </v>
      </c>
      <c r="H53" s="134">
        <v>3</v>
      </c>
      <c r="I53" s="382" t="str">
        <f>dtsiswa!D9</f>
        <v>Anggun Dwi P.I</v>
      </c>
      <c r="J53" s="1124">
        <f>mulok_ki4!X17</f>
        <v>0</v>
      </c>
      <c r="K53" s="1130">
        <f>mulok_ki4!Y17</f>
        <v>0</v>
      </c>
      <c r="L53" s="1130">
        <f>mulok_ki4!Z17</f>
        <v>0</v>
      </c>
      <c r="M53" s="372" t="str">
        <f t="shared" si="5"/>
        <v xml:space="preserve">  </v>
      </c>
    </row>
    <row r="54" spans="1:13" ht="15.75" x14ac:dyDescent="0.25">
      <c r="A54" s="134">
        <v>4</v>
      </c>
      <c r="B54" s="382" t="str">
        <f>dtsiswa!D10</f>
        <v>Antonio Permata A</v>
      </c>
      <c r="C54" s="1115">
        <f>mulok_ki3!Q19</f>
        <v>0</v>
      </c>
      <c r="D54" s="1115">
        <f>mulok_ki3!R19</f>
        <v>0</v>
      </c>
      <c r="E54" s="1115">
        <f>mulok_ki3!S19</f>
        <v>0</v>
      </c>
      <c r="F54" s="557" t="str">
        <f t="shared" si="4"/>
        <v xml:space="preserve">  </v>
      </c>
      <c r="H54" s="387">
        <v>4</v>
      </c>
      <c r="I54" s="382" t="str">
        <f>dtsiswa!D10</f>
        <v>Antonio Permata A</v>
      </c>
      <c r="J54" s="1124">
        <f>mulok_ki4!X21</f>
        <v>0</v>
      </c>
      <c r="K54" s="1130">
        <f>mulok_ki4!Y21</f>
        <v>0</v>
      </c>
      <c r="L54" s="1130">
        <f>mulok_ki4!Z21</f>
        <v>0</v>
      </c>
      <c r="M54" s="372" t="str">
        <f t="shared" si="5"/>
        <v xml:space="preserve">  </v>
      </c>
    </row>
    <row r="55" spans="1:13" ht="15.75" x14ac:dyDescent="0.25">
      <c r="A55" s="134">
        <v>5</v>
      </c>
      <c r="B55" s="382" t="str">
        <f>dtsiswa!D11</f>
        <v>Arya Pratama G</v>
      </c>
      <c r="C55" s="1115">
        <f>mulok_ki3!Q23</f>
        <v>0</v>
      </c>
      <c r="D55" s="1115">
        <f>mulok_ki3!R23</f>
        <v>0</v>
      </c>
      <c r="E55" s="1115">
        <f>mulok_ki3!S23</f>
        <v>0</v>
      </c>
      <c r="F55" s="557" t="str">
        <f t="shared" si="4"/>
        <v xml:space="preserve">  </v>
      </c>
      <c r="H55" s="134">
        <v>5</v>
      </c>
      <c r="I55" s="382" t="str">
        <f>dtsiswa!D11</f>
        <v>Arya Pratama G</v>
      </c>
      <c r="J55" s="1124">
        <f>mulok_ki4!X25</f>
        <v>0</v>
      </c>
      <c r="K55" s="1130">
        <f>mulok_ki4!Y25</f>
        <v>0</v>
      </c>
      <c r="L55" s="1130">
        <f>mulok_ki4!Z25</f>
        <v>0</v>
      </c>
      <c r="M55" s="372" t="str">
        <f t="shared" si="5"/>
        <v xml:space="preserve">  </v>
      </c>
    </row>
    <row r="56" spans="1:13" ht="15.75" x14ac:dyDescent="0.25">
      <c r="A56" s="134">
        <v>6</v>
      </c>
      <c r="B56" s="382" t="str">
        <f>dtsiswa!D12</f>
        <v>Asyam Hanif Ihsan H</v>
      </c>
      <c r="C56" s="1115">
        <f>mulok_ki3!Q27</f>
        <v>0</v>
      </c>
      <c r="D56" s="1115">
        <f>mulok_ki3!R27</f>
        <v>0</v>
      </c>
      <c r="E56" s="1115">
        <f>mulok_ki3!S27</f>
        <v>0</v>
      </c>
      <c r="F56" s="557" t="str">
        <f t="shared" si="4"/>
        <v xml:space="preserve">  </v>
      </c>
      <c r="H56" s="387">
        <v>6</v>
      </c>
      <c r="I56" s="382" t="str">
        <f>dtsiswa!D12</f>
        <v>Asyam Hanif Ihsan H</v>
      </c>
      <c r="J56" s="1124">
        <f>mulok_ki4!X29</f>
        <v>0</v>
      </c>
      <c r="K56" s="1130">
        <f>mulok_ki4!Y29</f>
        <v>0</v>
      </c>
      <c r="L56" s="1130">
        <f>mulok_ki4!Z29</f>
        <v>0</v>
      </c>
      <c r="M56" s="372" t="str">
        <f t="shared" si="5"/>
        <v xml:space="preserve">  </v>
      </c>
    </row>
    <row r="57" spans="1:13" ht="15.75" x14ac:dyDescent="0.25">
      <c r="A57" s="134">
        <v>7</v>
      </c>
      <c r="B57" s="382" t="str">
        <f>dtsiswa!D13</f>
        <v>Athaya Salsabilla Z</v>
      </c>
      <c r="C57" s="1115">
        <f>mulok_ki3!Q31</f>
        <v>0</v>
      </c>
      <c r="D57" s="1115">
        <f>mulok_ki3!R31</f>
        <v>0</v>
      </c>
      <c r="E57" s="1115">
        <f>mulok_ki3!S31</f>
        <v>0</v>
      </c>
      <c r="F57" s="557" t="str">
        <f t="shared" si="4"/>
        <v xml:space="preserve">  </v>
      </c>
      <c r="H57" s="134">
        <v>7</v>
      </c>
      <c r="I57" s="382" t="str">
        <f>dtsiswa!D13</f>
        <v>Athaya Salsabilla Z</v>
      </c>
      <c r="J57" s="1124">
        <f>mulok_ki4!X33</f>
        <v>0</v>
      </c>
      <c r="K57" s="1130">
        <f>mulok_ki4!Y33</f>
        <v>0</v>
      </c>
      <c r="L57" s="1130">
        <f>mulok_ki4!Z33</f>
        <v>0</v>
      </c>
      <c r="M57" s="372" t="str">
        <f t="shared" si="5"/>
        <v xml:space="preserve">  </v>
      </c>
    </row>
    <row r="58" spans="1:13" ht="15.75" x14ac:dyDescent="0.25">
      <c r="A58" s="134">
        <v>8</v>
      </c>
      <c r="B58" s="382" t="str">
        <f>dtsiswa!D14</f>
        <v>Aulia Dea Rosalinda</v>
      </c>
      <c r="C58" s="1115">
        <f>mulok_ki3!Q35</f>
        <v>0</v>
      </c>
      <c r="D58" s="1115">
        <f>mulok_ki3!R35</f>
        <v>0</v>
      </c>
      <c r="E58" s="1115">
        <f>mulok_ki3!S35</f>
        <v>0</v>
      </c>
      <c r="F58" s="557" t="str">
        <f t="shared" si="4"/>
        <v xml:space="preserve">  </v>
      </c>
      <c r="H58" s="387">
        <v>8</v>
      </c>
      <c r="I58" s="382" t="str">
        <f>dtsiswa!D14</f>
        <v>Aulia Dea Rosalinda</v>
      </c>
      <c r="J58" s="1124">
        <f>mulok_ki4!X37</f>
        <v>0</v>
      </c>
      <c r="K58" s="1130">
        <f>mulok_ki4!Y37</f>
        <v>0</v>
      </c>
      <c r="L58" s="1130">
        <f>mulok_ki4!Z37</f>
        <v>0</v>
      </c>
      <c r="M58" s="372" t="str">
        <f t="shared" si="5"/>
        <v xml:space="preserve">  </v>
      </c>
    </row>
    <row r="59" spans="1:13" ht="15.75" x14ac:dyDescent="0.25">
      <c r="A59" s="134">
        <v>9</v>
      </c>
      <c r="B59" s="382" t="str">
        <f>dtsiswa!D15</f>
        <v>Claudia Gabriella L</v>
      </c>
      <c r="C59" s="1115">
        <f>mulok_ki3!Q39</f>
        <v>0</v>
      </c>
      <c r="D59" s="1115">
        <f>mulok_ki3!R39</f>
        <v>0</v>
      </c>
      <c r="E59" s="1115">
        <f>mulok_ki3!S39</f>
        <v>0</v>
      </c>
      <c r="F59" s="557" t="str">
        <f t="shared" si="4"/>
        <v xml:space="preserve">  </v>
      </c>
      <c r="H59" s="134">
        <v>9</v>
      </c>
      <c r="I59" s="382" t="str">
        <f>dtsiswa!D15</f>
        <v>Claudia Gabriella L</v>
      </c>
      <c r="J59" s="1124">
        <f>mulok_ki4!X41</f>
        <v>0</v>
      </c>
      <c r="K59" s="1130">
        <f>mulok_ki4!Y41</f>
        <v>0</v>
      </c>
      <c r="L59" s="1130">
        <f>mulok_ki4!Z41</f>
        <v>0</v>
      </c>
      <c r="M59" s="372" t="str">
        <f t="shared" si="5"/>
        <v xml:space="preserve">  </v>
      </c>
    </row>
    <row r="60" spans="1:13" ht="15.75" x14ac:dyDescent="0.25">
      <c r="A60" s="134">
        <v>10</v>
      </c>
      <c r="B60" s="382" t="str">
        <f>dtsiswa!D16</f>
        <v xml:space="preserve">Deco Badarus Zaman </v>
      </c>
      <c r="C60" s="1115">
        <f>mulok_ki3!Q43</f>
        <v>0</v>
      </c>
      <c r="D60" s="1115">
        <f>mulok_ki3!R43</f>
        <v>0</v>
      </c>
      <c r="E60" s="1115">
        <f>mulok_ki3!S43</f>
        <v>0</v>
      </c>
      <c r="F60" s="557" t="str">
        <f t="shared" si="4"/>
        <v xml:space="preserve">  </v>
      </c>
      <c r="H60" s="387">
        <v>10</v>
      </c>
      <c r="I60" s="382" t="str">
        <f>dtsiswa!D16</f>
        <v xml:space="preserve">Deco Badarus Zaman </v>
      </c>
      <c r="J60" s="1124">
        <f>mulok_ki4!X45</f>
        <v>0</v>
      </c>
      <c r="K60" s="1130">
        <f>mulok_ki4!Y45</f>
        <v>0</v>
      </c>
      <c r="L60" s="1130">
        <f>mulok_ki4!Z45</f>
        <v>0</v>
      </c>
      <c r="M60" s="372" t="str">
        <f t="shared" si="5"/>
        <v xml:space="preserve">  </v>
      </c>
    </row>
    <row r="61" spans="1:13" ht="15.75" x14ac:dyDescent="0.25">
      <c r="A61" s="134">
        <v>11</v>
      </c>
      <c r="B61" s="382" t="str">
        <f>dtsiswa!D17</f>
        <v>Fania Mutiara Felichia</v>
      </c>
      <c r="C61" s="1115">
        <f>mulok_ki3!Q47</f>
        <v>0</v>
      </c>
      <c r="D61" s="1115">
        <f>mulok_ki3!R47</f>
        <v>0</v>
      </c>
      <c r="E61" s="1115">
        <f>mulok_ki3!S47</f>
        <v>0</v>
      </c>
      <c r="F61" s="557" t="str">
        <f t="shared" si="4"/>
        <v xml:space="preserve">  </v>
      </c>
      <c r="H61" s="134">
        <v>11</v>
      </c>
      <c r="I61" s="382" t="str">
        <f>dtsiswa!D17</f>
        <v>Fania Mutiara Felichia</v>
      </c>
      <c r="J61" s="1130">
        <f>mulok_ki4!X49</f>
        <v>0</v>
      </c>
      <c r="K61" s="1130">
        <f>mulok_ki4!Y49</f>
        <v>0</v>
      </c>
      <c r="L61" s="1130">
        <f>mulok_ki4!Z49</f>
        <v>0</v>
      </c>
      <c r="M61" s="372" t="str">
        <f t="shared" si="5"/>
        <v xml:space="preserve">  </v>
      </c>
    </row>
    <row r="62" spans="1:13" ht="15.75" x14ac:dyDescent="0.25">
      <c r="A62" s="134">
        <v>12</v>
      </c>
      <c r="B62" s="382" t="str">
        <f>dtsiswa!D18</f>
        <v>Intan Dyah Nowari</v>
      </c>
      <c r="C62" s="1115">
        <f>mulok_ki3!Q51</f>
        <v>0</v>
      </c>
      <c r="D62" s="1115">
        <f>mulok_ki3!R51</f>
        <v>0</v>
      </c>
      <c r="E62" s="1115">
        <f>mulok_ki3!S51</f>
        <v>0</v>
      </c>
      <c r="F62" s="557" t="str">
        <f t="shared" si="4"/>
        <v xml:space="preserve">  </v>
      </c>
      <c r="H62" s="387">
        <v>12</v>
      </c>
      <c r="I62" s="382" t="str">
        <f>dtsiswa!D18</f>
        <v>Intan Dyah Nowari</v>
      </c>
      <c r="J62" s="1130">
        <f>mulok_ki4!X53</f>
        <v>0</v>
      </c>
      <c r="K62" s="1130">
        <f>mulok_ki4!Y53</f>
        <v>0</v>
      </c>
      <c r="L62" s="1130">
        <f>mulok_ki4!Z53</f>
        <v>0</v>
      </c>
      <c r="M62" s="372" t="str">
        <f t="shared" si="5"/>
        <v xml:space="preserve">  </v>
      </c>
    </row>
    <row r="63" spans="1:13" ht="15.75" x14ac:dyDescent="0.25">
      <c r="A63" s="134">
        <v>13</v>
      </c>
      <c r="B63" s="382" t="str">
        <f>dtsiswa!D19</f>
        <v>Misyanita Nurfitri S</v>
      </c>
      <c r="C63" s="1115">
        <f>mulok_ki3!Q55</f>
        <v>0</v>
      </c>
      <c r="D63" s="1115">
        <f>mulok_ki3!R55</f>
        <v>0</v>
      </c>
      <c r="E63" s="1115">
        <f>mulok_ki3!S55</f>
        <v>0</v>
      </c>
      <c r="F63" s="557" t="str">
        <f t="shared" si="4"/>
        <v xml:space="preserve">  </v>
      </c>
      <c r="H63" s="134">
        <v>13</v>
      </c>
      <c r="I63" s="382" t="str">
        <f>dtsiswa!D19</f>
        <v>Misyanita Nurfitri S</v>
      </c>
      <c r="J63" s="1130">
        <f>mulok_ki4!X57</f>
        <v>0</v>
      </c>
      <c r="K63" s="1130">
        <f>mulok_ki4!Y57</f>
        <v>0</v>
      </c>
      <c r="L63" s="1130">
        <f>mulok_ki4!Z57</f>
        <v>0</v>
      </c>
      <c r="M63" s="372" t="str">
        <f t="shared" si="5"/>
        <v xml:space="preserve">  </v>
      </c>
    </row>
    <row r="64" spans="1:13" ht="15.75" x14ac:dyDescent="0.25">
      <c r="A64" s="134">
        <v>14</v>
      </c>
      <c r="B64" s="382" t="str">
        <f>dtsiswa!D20</f>
        <v>Moch Zidane Hita L. U</v>
      </c>
      <c r="C64" s="1115">
        <f>mulok_ki3!Q59</f>
        <v>0</v>
      </c>
      <c r="D64" s="1115">
        <f>mulok_ki3!R59</f>
        <v>0</v>
      </c>
      <c r="E64" s="1115">
        <f>mulok_ki3!S59</f>
        <v>0</v>
      </c>
      <c r="F64" s="557" t="str">
        <f t="shared" si="4"/>
        <v xml:space="preserve">  </v>
      </c>
      <c r="H64" s="387">
        <v>14</v>
      </c>
      <c r="I64" s="382" t="str">
        <f>dtsiswa!D20</f>
        <v>Moch Zidane Hita L. U</v>
      </c>
      <c r="J64" s="1130">
        <f>mulok_ki4!X61</f>
        <v>0</v>
      </c>
      <c r="K64" s="1130">
        <f>mulok_ki4!Y61</f>
        <v>0</v>
      </c>
      <c r="L64" s="1130">
        <f>mulok_ki4!Z61</f>
        <v>0</v>
      </c>
      <c r="M64" s="372" t="str">
        <f t="shared" si="5"/>
        <v xml:space="preserve">  </v>
      </c>
    </row>
    <row r="65" spans="1:13" ht="15.75" x14ac:dyDescent="0.25">
      <c r="A65" s="134">
        <v>15</v>
      </c>
      <c r="B65" s="382" t="str">
        <f>dtsiswa!D21</f>
        <v>Muhammad Ibra Maulana</v>
      </c>
      <c r="C65" s="1115">
        <f>mulok_ki3!Q63</f>
        <v>0</v>
      </c>
      <c r="D65" s="1115">
        <f>mulok_ki3!R63</f>
        <v>0</v>
      </c>
      <c r="E65" s="1115">
        <f>mulok_ki3!S63</f>
        <v>0</v>
      </c>
      <c r="F65" s="557" t="str">
        <f t="shared" si="4"/>
        <v xml:space="preserve">  </v>
      </c>
      <c r="H65" s="134">
        <v>15</v>
      </c>
      <c r="I65" s="382" t="str">
        <f>dtsiswa!D21</f>
        <v>Muhammad Ibra Maulana</v>
      </c>
      <c r="J65" s="1130">
        <f>mulok_ki4!X65</f>
        <v>0</v>
      </c>
      <c r="K65" s="1130">
        <f>mulok_ki4!Y65</f>
        <v>0</v>
      </c>
      <c r="L65" s="1130">
        <f>mulok_ki4!Z65</f>
        <v>0</v>
      </c>
      <c r="M65" s="372" t="str">
        <f t="shared" si="5"/>
        <v xml:space="preserve">  </v>
      </c>
    </row>
    <row r="66" spans="1:13" ht="15.75" x14ac:dyDescent="0.25">
      <c r="A66" s="134">
        <v>16</v>
      </c>
      <c r="B66" s="382" t="str">
        <f>dtsiswa!D22</f>
        <v>Nabilla Shiva Putri</v>
      </c>
      <c r="C66" s="1115">
        <f>mulok_ki3!Q67</f>
        <v>0</v>
      </c>
      <c r="D66" s="1115">
        <f>mulok_ki3!R67</f>
        <v>0</v>
      </c>
      <c r="E66" s="1115">
        <f>mulok_ki3!S67</f>
        <v>0</v>
      </c>
      <c r="F66" s="557" t="str">
        <f t="shared" si="4"/>
        <v xml:space="preserve">  </v>
      </c>
      <c r="H66" s="387">
        <v>16</v>
      </c>
      <c r="I66" s="382" t="str">
        <f>dtsiswa!D22</f>
        <v>Nabilla Shiva Putri</v>
      </c>
      <c r="J66" s="1130">
        <f>mulok_ki4!X69</f>
        <v>0</v>
      </c>
      <c r="K66" s="1130">
        <f>mulok_ki4!Y69</f>
        <v>0</v>
      </c>
      <c r="L66" s="1130">
        <f>mulok_ki4!Z69</f>
        <v>0</v>
      </c>
      <c r="M66" s="372" t="str">
        <f t="shared" si="5"/>
        <v xml:space="preserve">  </v>
      </c>
    </row>
    <row r="67" spans="1:13" ht="15.75" x14ac:dyDescent="0.25">
      <c r="A67" s="134">
        <v>17</v>
      </c>
      <c r="B67" s="382" t="str">
        <f>dtsiswa!D23</f>
        <v>Naufal Falih F</v>
      </c>
      <c r="C67" s="1115">
        <f>mulok_ki3!Q71</f>
        <v>0</v>
      </c>
      <c r="D67" s="1115">
        <f>mulok_ki3!R71</f>
        <v>0</v>
      </c>
      <c r="E67" s="1115">
        <f>mulok_ki3!S71</f>
        <v>0</v>
      </c>
      <c r="F67" s="557" t="str">
        <f t="shared" si="4"/>
        <v xml:space="preserve">  </v>
      </c>
      <c r="H67" s="134">
        <v>17</v>
      </c>
      <c r="I67" s="382" t="str">
        <f>dtsiswa!D23</f>
        <v>Naufal Falih F</v>
      </c>
      <c r="J67" s="1130">
        <f>mulok_ki4!X73</f>
        <v>0</v>
      </c>
      <c r="K67" s="1130">
        <f>mulok_ki4!Y73</f>
        <v>0</v>
      </c>
      <c r="L67" s="1130">
        <f>mulok_ki4!Z73</f>
        <v>0</v>
      </c>
      <c r="M67" s="372" t="str">
        <f t="shared" si="5"/>
        <v xml:space="preserve">  </v>
      </c>
    </row>
    <row r="68" spans="1:13" ht="15.75" x14ac:dyDescent="0.25">
      <c r="A68" s="134">
        <v>18</v>
      </c>
      <c r="B68" s="382" t="str">
        <f>dtsiswa!D24</f>
        <v>Nayla Annora Nobel W</v>
      </c>
      <c r="C68" s="1115">
        <f>mulok_ki3!Q75</f>
        <v>0</v>
      </c>
      <c r="D68" s="1115">
        <f>mulok_ki3!R75</f>
        <v>0</v>
      </c>
      <c r="E68" s="1115">
        <f>mulok_ki3!S75</f>
        <v>0</v>
      </c>
      <c r="F68" s="557" t="str">
        <f t="shared" si="4"/>
        <v xml:space="preserve">  </v>
      </c>
      <c r="H68" s="387">
        <v>18</v>
      </c>
      <c r="I68" s="382" t="str">
        <f>dtsiswa!D24</f>
        <v>Nayla Annora Nobel W</v>
      </c>
      <c r="J68" s="1130">
        <f>mulok_ki4!X77</f>
        <v>0</v>
      </c>
      <c r="K68" s="1130">
        <f>mulok_ki4!Y77</f>
        <v>0</v>
      </c>
      <c r="L68" s="1130">
        <f>mulok_ki4!Z77</f>
        <v>0</v>
      </c>
      <c r="M68" s="372" t="str">
        <f t="shared" si="5"/>
        <v xml:space="preserve">  </v>
      </c>
    </row>
    <row r="69" spans="1:13" ht="15.75" x14ac:dyDescent="0.25">
      <c r="A69" s="134">
        <v>19</v>
      </c>
      <c r="B69" s="382" t="str">
        <f>dtsiswa!D25</f>
        <v>Raihan Danang P</v>
      </c>
      <c r="C69" s="1115">
        <f>mulok_ki3!Q79</f>
        <v>0</v>
      </c>
      <c r="D69" s="1115">
        <f>mulok_ki3!R79</f>
        <v>0</v>
      </c>
      <c r="E69" s="1115">
        <f>mulok_ki3!S79</f>
        <v>0</v>
      </c>
      <c r="F69" s="557" t="str">
        <f t="shared" si="4"/>
        <v xml:space="preserve">  </v>
      </c>
      <c r="H69" s="134">
        <v>19</v>
      </c>
      <c r="I69" s="382" t="str">
        <f>dtsiswa!D25</f>
        <v>Raihan Danang P</v>
      </c>
      <c r="J69" s="1130">
        <f>mulok_ki4!X81</f>
        <v>0</v>
      </c>
      <c r="K69" s="1130">
        <f>mulok_ki4!Y81</f>
        <v>0</v>
      </c>
      <c r="L69" s="1130">
        <f>mulok_ki4!Z81</f>
        <v>0</v>
      </c>
      <c r="M69" s="372" t="str">
        <f t="shared" si="5"/>
        <v xml:space="preserve">  </v>
      </c>
    </row>
    <row r="70" spans="1:13" ht="15.75" x14ac:dyDescent="0.25">
      <c r="A70" s="134">
        <v>20</v>
      </c>
      <c r="B70" s="382" t="str">
        <f>dtsiswa!D26</f>
        <v>Roby Ardiyansyah</v>
      </c>
      <c r="C70" s="1115">
        <f>mulok_ki3!Q83</f>
        <v>0</v>
      </c>
      <c r="D70" s="1115">
        <f>mulok_ki3!R83</f>
        <v>0</v>
      </c>
      <c r="E70" s="1115">
        <f>mulok_ki3!S83</f>
        <v>0</v>
      </c>
      <c r="F70" s="557" t="str">
        <f t="shared" si="4"/>
        <v xml:space="preserve">  </v>
      </c>
      <c r="H70" s="387">
        <v>20</v>
      </c>
      <c r="I70" s="382" t="str">
        <f>dtsiswa!D26</f>
        <v>Roby Ardiyansyah</v>
      </c>
      <c r="J70" s="1130">
        <f>mulok_ki4!X85</f>
        <v>0</v>
      </c>
      <c r="K70" s="1130">
        <f>mulok_ki4!Y85</f>
        <v>0</v>
      </c>
      <c r="L70" s="1130">
        <f>mulok_ki4!Z85</f>
        <v>0</v>
      </c>
      <c r="M70" s="372" t="str">
        <f t="shared" si="5"/>
        <v xml:space="preserve">  </v>
      </c>
    </row>
    <row r="71" spans="1:13" ht="15.75" x14ac:dyDescent="0.25">
      <c r="A71" s="134">
        <v>21</v>
      </c>
      <c r="B71" s="382" t="str">
        <f>dtsiswa!D27</f>
        <v>Rojalingga Prana A</v>
      </c>
      <c r="C71" s="1115">
        <f>mulok_ki3!Q87</f>
        <v>0</v>
      </c>
      <c r="D71" s="1115">
        <f>mulok_ki3!R87</f>
        <v>0</v>
      </c>
      <c r="E71" s="1115">
        <f>mulok_ki3!S87</f>
        <v>0</v>
      </c>
      <c r="F71" s="557" t="str">
        <f t="shared" si="4"/>
        <v xml:space="preserve">  </v>
      </c>
      <c r="H71" s="134">
        <v>21</v>
      </c>
      <c r="I71" s="382" t="str">
        <f>dtsiswa!D27</f>
        <v>Rojalingga Prana A</v>
      </c>
      <c r="J71" s="1130">
        <f>mulok_ki4!X89</f>
        <v>0</v>
      </c>
      <c r="K71" s="1130">
        <f>mulok_ki4!Y89</f>
        <v>0</v>
      </c>
      <c r="L71" s="1130">
        <f>mulok_ki4!Z89</f>
        <v>0</v>
      </c>
      <c r="M71" s="372" t="str">
        <f t="shared" si="5"/>
        <v xml:space="preserve">  </v>
      </c>
    </row>
    <row r="72" spans="1:13" ht="15.75" x14ac:dyDescent="0.25">
      <c r="A72" s="134">
        <v>22</v>
      </c>
      <c r="B72" s="382" t="str">
        <f>dtsiswa!D28</f>
        <v>Sally Savista A</v>
      </c>
      <c r="C72" s="1115">
        <f>mulok_ki3!Q91</f>
        <v>0</v>
      </c>
      <c r="D72" s="1115">
        <f>mulok_ki3!R91</f>
        <v>0</v>
      </c>
      <c r="E72" s="1115">
        <f>mulok_ki3!S91</f>
        <v>0</v>
      </c>
      <c r="F72" s="557" t="str">
        <f t="shared" si="4"/>
        <v xml:space="preserve">  </v>
      </c>
      <c r="H72" s="387">
        <v>22</v>
      </c>
      <c r="I72" s="382" t="str">
        <f>dtsiswa!D28</f>
        <v>Sally Savista A</v>
      </c>
      <c r="J72" s="1130">
        <f>mulok_ki4!X93</f>
        <v>0</v>
      </c>
      <c r="K72" s="1130">
        <f>mulok_ki4!Y93</f>
        <v>0</v>
      </c>
      <c r="L72" s="1130">
        <f>mulok_ki4!Z93</f>
        <v>0</v>
      </c>
      <c r="M72" s="372" t="str">
        <f t="shared" si="5"/>
        <v xml:space="preserve">  </v>
      </c>
    </row>
    <row r="73" spans="1:13" ht="15.75" x14ac:dyDescent="0.25">
      <c r="A73" s="134">
        <v>23</v>
      </c>
      <c r="B73" s="382" t="str">
        <f>dtsiswa!D29</f>
        <v xml:space="preserve">Tania Kaori Angelita </v>
      </c>
      <c r="C73" s="1115">
        <f>mulok_ki3!Q95</f>
        <v>0</v>
      </c>
      <c r="D73" s="1115">
        <f>mulok_ki3!R95</f>
        <v>0</v>
      </c>
      <c r="E73" s="1115">
        <f>mulok_ki3!S95</f>
        <v>0</v>
      </c>
      <c r="F73" s="557" t="str">
        <f t="shared" si="4"/>
        <v xml:space="preserve">  </v>
      </c>
      <c r="H73" s="134">
        <v>23</v>
      </c>
      <c r="I73" s="382" t="str">
        <f>dtsiswa!D29</f>
        <v xml:space="preserve">Tania Kaori Angelita </v>
      </c>
      <c r="J73" s="1130">
        <f>mulok_ki4!X97</f>
        <v>0</v>
      </c>
      <c r="K73" s="1130">
        <f>mulok_ki4!Y97</f>
        <v>0</v>
      </c>
      <c r="L73" s="1130">
        <f>mulok_ki4!Z97</f>
        <v>0</v>
      </c>
      <c r="M73" s="372" t="str">
        <f t="shared" si="5"/>
        <v xml:space="preserve">  </v>
      </c>
    </row>
    <row r="74" spans="1:13" ht="15.75" x14ac:dyDescent="0.25">
      <c r="A74" s="134">
        <v>24</v>
      </c>
      <c r="B74" s="382" t="str">
        <f>dtsiswa!D30</f>
        <v>Romzy Oka Ramadhani P</v>
      </c>
      <c r="C74" s="1115">
        <f>mulok_ki3!Q99</f>
        <v>0</v>
      </c>
      <c r="D74" s="1115">
        <f>mulok_ki3!R99</f>
        <v>0</v>
      </c>
      <c r="E74" s="1115">
        <f>mulok_ki3!S99</f>
        <v>0</v>
      </c>
      <c r="F74" s="557" t="str">
        <f t="shared" si="4"/>
        <v xml:space="preserve">  </v>
      </c>
      <c r="H74" s="387">
        <v>24</v>
      </c>
      <c r="I74" s="382" t="str">
        <f>dtsiswa!D30</f>
        <v>Romzy Oka Ramadhani P</v>
      </c>
      <c r="J74" s="1130">
        <f>mulok_ki4!X101</f>
        <v>0</v>
      </c>
      <c r="K74" s="1130">
        <f>mulok_ki4!Y101</f>
        <v>0</v>
      </c>
      <c r="L74" s="1130">
        <f>mulok_ki4!Z101</f>
        <v>0</v>
      </c>
      <c r="M74" s="372" t="str">
        <f t="shared" si="5"/>
        <v xml:space="preserve">  </v>
      </c>
    </row>
    <row r="75" spans="1:13" ht="15.75" x14ac:dyDescent="0.25">
      <c r="A75" s="134">
        <v>25</v>
      </c>
      <c r="B75" s="382" t="str">
        <f>dtsiswa!D31</f>
        <v>Larasati Jagadhita P</v>
      </c>
      <c r="C75" s="1115">
        <f>mulok_ki3!Q103</f>
        <v>0</v>
      </c>
      <c r="D75" s="1115">
        <f>mulok_ki3!R103</f>
        <v>0</v>
      </c>
      <c r="E75" s="1115">
        <f>mulok_ki3!S103</f>
        <v>0</v>
      </c>
      <c r="F75" s="557" t="str">
        <f t="shared" si="4"/>
        <v xml:space="preserve">  </v>
      </c>
      <c r="H75" s="134">
        <v>25</v>
      </c>
      <c r="I75" s="382" t="str">
        <f>dtsiswa!D31</f>
        <v>Larasati Jagadhita P</v>
      </c>
      <c r="J75" s="1130">
        <f>mulok_ki4!X105</f>
        <v>0</v>
      </c>
      <c r="K75" s="1130">
        <f>mulok_ki4!Y105</f>
        <v>0</v>
      </c>
      <c r="L75" s="1130">
        <f>mulok_ki4!Z105</f>
        <v>0</v>
      </c>
      <c r="M75" s="372" t="str">
        <f t="shared" si="5"/>
        <v xml:space="preserve">  </v>
      </c>
    </row>
    <row r="76" spans="1:13" ht="15.75" x14ac:dyDescent="0.25">
      <c r="A76" s="134">
        <v>26</v>
      </c>
      <c r="B76" s="382" t="str">
        <f>dtsiswa!D32</f>
        <v>Meliana Citra A</v>
      </c>
      <c r="C76" s="1115">
        <f>mulok_ki3!Q107</f>
        <v>0</v>
      </c>
      <c r="D76" s="1115">
        <f>mulok_ki3!R107</f>
        <v>0</v>
      </c>
      <c r="E76" s="1115">
        <f>mulok_ki3!S107</f>
        <v>0</v>
      </c>
      <c r="F76" s="557" t="str">
        <f t="shared" si="4"/>
        <v xml:space="preserve">  </v>
      </c>
      <c r="H76" s="387">
        <v>26</v>
      </c>
      <c r="I76" s="382" t="str">
        <f>dtsiswa!D32</f>
        <v>Meliana Citra A</v>
      </c>
      <c r="J76" s="1130">
        <f>mulok_ki4!X109</f>
        <v>0</v>
      </c>
      <c r="K76" s="1130">
        <f>mulok_ki4!Y109</f>
        <v>0</v>
      </c>
      <c r="L76" s="1130">
        <f>mulok_ki4!Z109</f>
        <v>0</v>
      </c>
      <c r="M76" s="372" t="str">
        <f t="shared" si="5"/>
        <v xml:space="preserve">  </v>
      </c>
    </row>
    <row r="77" spans="1:13" ht="15.75" x14ac:dyDescent="0.25">
      <c r="A77" s="134">
        <v>27</v>
      </c>
      <c r="B77" s="382" t="str">
        <f>dtsiswa!D33</f>
        <v>Mohammad Rizky</v>
      </c>
      <c r="C77" s="1115">
        <f>mulok_ki3!Q111</f>
        <v>0</v>
      </c>
      <c r="D77" s="1115">
        <f>mulok_ki3!R111</f>
        <v>0</v>
      </c>
      <c r="E77" s="1115">
        <f>mulok_ki3!S111</f>
        <v>0</v>
      </c>
      <c r="F77" s="557" t="str">
        <f t="shared" si="4"/>
        <v xml:space="preserve">  </v>
      </c>
      <c r="H77" s="134">
        <v>27</v>
      </c>
      <c r="I77" s="382" t="str">
        <f>dtsiswa!D33</f>
        <v>Mohammad Rizky</v>
      </c>
      <c r="J77" s="1130">
        <f>mulok_ki4!X113</f>
        <v>0</v>
      </c>
      <c r="K77" s="1130">
        <f>mulok_ki4!Y113</f>
        <v>0</v>
      </c>
      <c r="L77" s="1130">
        <f>mulok_ki4!Z113</f>
        <v>0</v>
      </c>
      <c r="M77" s="372" t="str">
        <f t="shared" si="5"/>
        <v xml:space="preserve">  </v>
      </c>
    </row>
    <row r="78" spans="1:13" ht="15.75" x14ac:dyDescent="0.25">
      <c r="A78" s="134">
        <v>28</v>
      </c>
      <c r="B78" s="382">
        <f>dtsiswa!D34</f>
        <v>0</v>
      </c>
      <c r="C78" s="1115">
        <f>mulok_ki3!Q115</f>
        <v>0</v>
      </c>
      <c r="D78" s="1115">
        <f>mulok_ki3!R115</f>
        <v>0</v>
      </c>
      <c r="E78" s="1115">
        <f>mulok_ki3!S115</f>
        <v>0</v>
      </c>
      <c r="F78" s="557" t="str">
        <f t="shared" si="4"/>
        <v xml:space="preserve">  </v>
      </c>
      <c r="H78" s="387">
        <v>28</v>
      </c>
      <c r="I78" s="382">
        <f>dtsiswa!D34</f>
        <v>0</v>
      </c>
      <c r="J78" s="1130">
        <f>mulok_ki4!X117</f>
        <v>0</v>
      </c>
      <c r="K78" s="1130">
        <f>mulok_ki4!Y117</f>
        <v>0</v>
      </c>
      <c r="L78" s="1130">
        <f>mulok_ki4!Z117</f>
        <v>0</v>
      </c>
      <c r="M78" s="372" t="str">
        <f t="shared" si="5"/>
        <v xml:space="preserve">  </v>
      </c>
    </row>
    <row r="79" spans="1:13" ht="15.75" x14ac:dyDescent="0.25">
      <c r="A79" s="134">
        <v>29</v>
      </c>
      <c r="B79" s="382">
        <f>dtsiswa!D35</f>
        <v>0</v>
      </c>
      <c r="C79" s="1115">
        <f>mulok_ki3!Q119</f>
        <v>0</v>
      </c>
      <c r="D79" s="1115">
        <f>mulok_ki3!R119</f>
        <v>0</v>
      </c>
      <c r="E79" s="1115">
        <f>mulok_ki3!S119</f>
        <v>0</v>
      </c>
      <c r="F79" s="557" t="str">
        <f t="shared" si="4"/>
        <v xml:space="preserve">  </v>
      </c>
      <c r="H79" s="134">
        <v>29</v>
      </c>
      <c r="I79" s="382">
        <f>dtsiswa!D35</f>
        <v>0</v>
      </c>
      <c r="J79" s="1130">
        <f>mulok_ki4!X121</f>
        <v>0</v>
      </c>
      <c r="K79" s="1130">
        <f>mulok_ki4!Y121</f>
        <v>0</v>
      </c>
      <c r="L79" s="1130">
        <f>mulok_ki4!Z121</f>
        <v>0</v>
      </c>
      <c r="M79" s="372" t="str">
        <f t="shared" si="5"/>
        <v xml:space="preserve">  </v>
      </c>
    </row>
    <row r="80" spans="1:13" ht="15.75" x14ac:dyDescent="0.25">
      <c r="A80" s="134">
        <v>30</v>
      </c>
      <c r="B80" s="382">
        <f>dtsiswa!D36</f>
        <v>0</v>
      </c>
      <c r="C80" s="1115">
        <f>mulok_ki3!Q123</f>
        <v>0</v>
      </c>
      <c r="D80" s="1115">
        <f>mulok_ki3!R123</f>
        <v>0</v>
      </c>
      <c r="E80" s="1115">
        <f>mulok_ki3!S123</f>
        <v>0</v>
      </c>
      <c r="F80" s="557" t="str">
        <f t="shared" si="4"/>
        <v xml:space="preserve">  </v>
      </c>
      <c r="H80" s="387">
        <v>30</v>
      </c>
      <c r="I80" s="382">
        <f>dtsiswa!D36</f>
        <v>0</v>
      </c>
      <c r="J80" s="1130">
        <f>mulok_ki4!X125</f>
        <v>0</v>
      </c>
      <c r="K80" s="1130">
        <f>mulok_ki4!Y125</f>
        <v>0</v>
      </c>
      <c r="L80" s="1130">
        <f>mulok_ki4!Z125</f>
        <v>0</v>
      </c>
      <c r="M80" s="372" t="str">
        <f t="shared" si="5"/>
        <v xml:space="preserve">  </v>
      </c>
    </row>
    <row r="81" spans="1:13" ht="15.75" x14ac:dyDescent="0.25">
      <c r="A81" s="134">
        <v>31</v>
      </c>
      <c r="B81" s="382">
        <f>dtsiswa!D37</f>
        <v>0</v>
      </c>
      <c r="C81" s="1115">
        <f>mulok_ki3!Q127</f>
        <v>0</v>
      </c>
      <c r="D81" s="1115">
        <f>mulok_ki3!R127</f>
        <v>0</v>
      </c>
      <c r="E81" s="1115">
        <f>mulok_ki3!S127</f>
        <v>0</v>
      </c>
      <c r="F81" s="557" t="str">
        <f t="shared" si="4"/>
        <v xml:space="preserve">  </v>
      </c>
      <c r="H81" s="134">
        <v>31</v>
      </c>
      <c r="I81" s="382">
        <f>dtsiswa!D37</f>
        <v>0</v>
      </c>
      <c r="J81" s="1130">
        <f>mulok_ki4!X129</f>
        <v>0</v>
      </c>
      <c r="K81" s="1130">
        <f>mulok_ki4!Y129</f>
        <v>0</v>
      </c>
      <c r="L81" s="1130">
        <f>mulok_ki4!Z129</f>
        <v>0</v>
      </c>
      <c r="M81" s="372" t="str">
        <f t="shared" si="5"/>
        <v xml:space="preserve">  </v>
      </c>
    </row>
    <row r="82" spans="1:13" ht="15.75" x14ac:dyDescent="0.25">
      <c r="A82" s="134">
        <v>32</v>
      </c>
      <c r="B82" s="382">
        <f>dtsiswa!D38</f>
        <v>0</v>
      </c>
      <c r="C82" s="1115">
        <f>mulok_ki3!Q131</f>
        <v>0</v>
      </c>
      <c r="D82" s="1115">
        <f>mulok_ki3!R131</f>
        <v>0</v>
      </c>
      <c r="E82" s="1115">
        <f>mulok_ki3!S131</f>
        <v>0</v>
      </c>
      <c r="F82" s="557" t="str">
        <f t="shared" si="4"/>
        <v xml:space="preserve">  </v>
      </c>
      <c r="H82" s="387">
        <v>32</v>
      </c>
      <c r="I82" s="382">
        <f>dtsiswa!D38</f>
        <v>0</v>
      </c>
      <c r="J82" s="1130">
        <f>mulok_ki4!X133</f>
        <v>0</v>
      </c>
      <c r="K82" s="1130">
        <f>mulok_ki4!Y133</f>
        <v>0</v>
      </c>
      <c r="L82" s="1130">
        <f>mulok_ki4!Z133</f>
        <v>0</v>
      </c>
      <c r="M82" s="372" t="str">
        <f t="shared" si="5"/>
        <v xml:space="preserve">  </v>
      </c>
    </row>
    <row r="83" spans="1:13" ht="15.75" x14ac:dyDescent="0.25">
      <c r="A83" s="134">
        <v>33</v>
      </c>
      <c r="B83" s="382">
        <f>dtsiswa!D39</f>
        <v>0</v>
      </c>
      <c r="C83" s="1115">
        <f>mulok_ki3!Q135</f>
        <v>0</v>
      </c>
      <c r="D83" s="1115">
        <f>mulok_ki3!R135</f>
        <v>0</v>
      </c>
      <c r="E83" s="1115">
        <f>mulok_ki3!S135</f>
        <v>0</v>
      </c>
      <c r="F83" s="557" t="str">
        <f t="shared" si="4"/>
        <v xml:space="preserve">  </v>
      </c>
      <c r="H83" s="134">
        <v>33</v>
      </c>
      <c r="I83" s="382">
        <f>dtsiswa!D39</f>
        <v>0</v>
      </c>
      <c r="J83" s="1130">
        <f>mulok_ki4!X137</f>
        <v>0</v>
      </c>
      <c r="K83" s="1130">
        <f>mulok_ki4!Y137</f>
        <v>0</v>
      </c>
      <c r="L83" s="1130">
        <f>mulok_ki4!Z137</f>
        <v>0</v>
      </c>
      <c r="M83" s="372" t="str">
        <f t="shared" si="5"/>
        <v xml:space="preserve">  </v>
      </c>
    </row>
    <row r="84" spans="1:13" ht="15.75" x14ac:dyDescent="0.25">
      <c r="A84" s="134">
        <v>34</v>
      </c>
      <c r="B84" s="382">
        <f>dtsiswa!D40</f>
        <v>0</v>
      </c>
      <c r="C84" s="1115">
        <f>mulok_ki3!Q139</f>
        <v>0</v>
      </c>
      <c r="D84" s="1115">
        <f>mulok_ki3!R139</f>
        <v>0</v>
      </c>
      <c r="E84" s="1115">
        <f>mulok_ki3!S139</f>
        <v>0</v>
      </c>
      <c r="F84" s="557" t="str">
        <f t="shared" si="4"/>
        <v xml:space="preserve">  </v>
      </c>
      <c r="H84" s="387">
        <v>34</v>
      </c>
      <c r="I84" s="382">
        <f>dtsiswa!D40</f>
        <v>0</v>
      </c>
      <c r="J84" s="1130">
        <f>mulok_ki4!X141</f>
        <v>0</v>
      </c>
      <c r="K84" s="1130">
        <f>mulok_ki4!Y141</f>
        <v>0</v>
      </c>
      <c r="L84" s="1130">
        <f>mulok_ki4!Z141</f>
        <v>0</v>
      </c>
      <c r="M84" s="372" t="str">
        <f t="shared" si="5"/>
        <v xml:space="preserve">  </v>
      </c>
    </row>
    <row r="85" spans="1:13" ht="15.75" x14ac:dyDescent="0.25">
      <c r="A85" s="134">
        <v>35</v>
      </c>
      <c r="B85" s="382">
        <f>dtsiswa!D41</f>
        <v>0</v>
      </c>
      <c r="C85" s="1115">
        <f>mulok_ki3!Q143</f>
        <v>0</v>
      </c>
      <c r="D85" s="1115">
        <f>mulok_ki3!R143</f>
        <v>0</v>
      </c>
      <c r="E85" s="1115">
        <f>mulok_ki3!S143</f>
        <v>0</v>
      </c>
      <c r="F85" s="557" t="str">
        <f t="shared" si="4"/>
        <v xml:space="preserve">  </v>
      </c>
      <c r="H85" s="134">
        <v>35</v>
      </c>
      <c r="I85" s="382">
        <f>dtsiswa!D41</f>
        <v>0</v>
      </c>
      <c r="J85" s="1130">
        <f>mulok_ki4!X145</f>
        <v>0</v>
      </c>
      <c r="K85" s="1130">
        <f>mulok_ki4!Y145</f>
        <v>0</v>
      </c>
      <c r="L85" s="1130">
        <f>mulok_ki4!Z145</f>
        <v>0</v>
      </c>
      <c r="M85" s="372" t="str">
        <f t="shared" si="5"/>
        <v xml:space="preserve">  </v>
      </c>
    </row>
    <row r="86" spans="1:13" ht="15.75" x14ac:dyDescent="0.25">
      <c r="A86" s="134">
        <v>36</v>
      </c>
      <c r="B86" s="382">
        <f>dtsiswa!D42</f>
        <v>0</v>
      </c>
      <c r="C86" s="1115">
        <f>mulok_ki3!Q147</f>
        <v>0</v>
      </c>
      <c r="D86" s="1115">
        <f>mulok_ki3!R147</f>
        <v>0</v>
      </c>
      <c r="E86" s="1115">
        <f>mulok_ki3!S147</f>
        <v>0</v>
      </c>
      <c r="F86" s="557" t="str">
        <f t="shared" si="4"/>
        <v xml:space="preserve">  </v>
      </c>
      <c r="H86" s="387">
        <v>36</v>
      </c>
      <c r="I86" s="382">
        <f>dtsiswa!D42</f>
        <v>0</v>
      </c>
      <c r="J86" s="1130">
        <f>mulok_ki4!X149</f>
        <v>0</v>
      </c>
      <c r="K86" s="1130">
        <f>mulok_ki4!Y149</f>
        <v>0</v>
      </c>
      <c r="L86" s="1130">
        <f>mulok_ki4!Z149</f>
        <v>0</v>
      </c>
      <c r="M86" s="372" t="str">
        <f t="shared" si="5"/>
        <v xml:space="preserve">  </v>
      </c>
    </row>
    <row r="87" spans="1:13" ht="15.75" x14ac:dyDescent="0.25">
      <c r="A87" s="134">
        <v>37</v>
      </c>
      <c r="B87" s="382">
        <f>dtsiswa!D43</f>
        <v>0</v>
      </c>
      <c r="C87" s="1115">
        <f>mulok_ki3!Q151</f>
        <v>0</v>
      </c>
      <c r="D87" s="1115">
        <f>mulok_ki3!R151</f>
        <v>0</v>
      </c>
      <c r="E87" s="1115">
        <f>mulok_ki3!S151</f>
        <v>0</v>
      </c>
      <c r="F87" s="557" t="str">
        <f t="shared" si="4"/>
        <v xml:space="preserve">  </v>
      </c>
      <c r="H87" s="134">
        <v>37</v>
      </c>
      <c r="I87" s="382">
        <f>dtsiswa!D43</f>
        <v>0</v>
      </c>
      <c r="J87" s="1130">
        <f>mulok_ki4!X153</f>
        <v>0</v>
      </c>
      <c r="K87" s="1130">
        <f>mulok_ki4!Y153</f>
        <v>0</v>
      </c>
      <c r="L87" s="1130">
        <f>mulok_ki4!Z153</f>
        <v>0</v>
      </c>
      <c r="M87" s="372" t="str">
        <f t="shared" si="5"/>
        <v xml:space="preserve">  </v>
      </c>
    </row>
    <row r="88" spans="1:13" ht="15.75" x14ac:dyDescent="0.25">
      <c r="A88" s="134">
        <v>38</v>
      </c>
      <c r="B88" s="382">
        <f>dtsiswa!D44</f>
        <v>0</v>
      </c>
      <c r="C88" s="1115">
        <f>mulok_ki3!Q155</f>
        <v>0</v>
      </c>
      <c r="D88" s="1115">
        <f>mulok_ki3!R155</f>
        <v>0</v>
      </c>
      <c r="E88" s="1115">
        <f>mulok_ki3!S155</f>
        <v>0</v>
      </c>
      <c r="F88" s="557" t="str">
        <f t="shared" si="4"/>
        <v xml:space="preserve">  </v>
      </c>
      <c r="H88" s="387">
        <v>38</v>
      </c>
      <c r="I88" s="382">
        <f>dtsiswa!D44</f>
        <v>0</v>
      </c>
      <c r="J88" s="1130">
        <f>mulok_ki4!X157</f>
        <v>0</v>
      </c>
      <c r="K88" s="1130">
        <f>mulok_ki4!Y157</f>
        <v>0</v>
      </c>
      <c r="L88" s="1130">
        <f>mulok_ki4!Z157</f>
        <v>0</v>
      </c>
      <c r="M88" s="372" t="str">
        <f t="shared" si="5"/>
        <v xml:space="preserve">  </v>
      </c>
    </row>
    <row r="89" spans="1:13" ht="15.75" x14ac:dyDescent="0.25">
      <c r="A89" s="134">
        <v>39</v>
      </c>
      <c r="B89" s="382">
        <f>dtsiswa!D45</f>
        <v>0</v>
      </c>
      <c r="C89" s="1115">
        <f>mulok_ki3!Q159</f>
        <v>0</v>
      </c>
      <c r="D89" s="1115">
        <f>mulok_ki3!R159</f>
        <v>0</v>
      </c>
      <c r="E89" s="1115">
        <f>mulok_ki3!S159</f>
        <v>0</v>
      </c>
      <c r="F89" s="557" t="str">
        <f t="shared" si="4"/>
        <v xml:space="preserve">  </v>
      </c>
      <c r="H89" s="134">
        <v>39</v>
      </c>
      <c r="I89" s="382">
        <f>dtsiswa!D45</f>
        <v>0</v>
      </c>
      <c r="J89" s="1130">
        <f>mulok_ki4!X161</f>
        <v>0</v>
      </c>
      <c r="K89" s="1130">
        <f>mulok_ki4!Y161</f>
        <v>0</v>
      </c>
      <c r="L89" s="1130">
        <f>mulok_ki4!Z161</f>
        <v>0</v>
      </c>
      <c r="M89" s="372" t="str">
        <f t="shared" si="5"/>
        <v xml:space="preserve">  </v>
      </c>
    </row>
    <row r="90" spans="1:13" ht="15.75" x14ac:dyDescent="0.25">
      <c r="A90" s="134">
        <v>40</v>
      </c>
      <c r="B90" s="382">
        <f>dtsiswa!D46</f>
        <v>0</v>
      </c>
      <c r="C90" s="1115">
        <f>mulok_ki3!Q163</f>
        <v>0</v>
      </c>
      <c r="D90" s="1115">
        <f>mulok_ki3!R163</f>
        <v>0</v>
      </c>
      <c r="E90" s="1115">
        <f>mulok_ki3!S163</f>
        <v>0</v>
      </c>
      <c r="F90" s="557" t="str">
        <f t="shared" si="4"/>
        <v xml:space="preserve">  </v>
      </c>
      <c r="H90" s="387">
        <v>40</v>
      </c>
      <c r="I90" s="382">
        <f>dtsiswa!D46</f>
        <v>0</v>
      </c>
      <c r="J90" s="1130">
        <f>mulok_ki4!X165</f>
        <v>0</v>
      </c>
      <c r="K90" s="1130">
        <f>mulok_ki4!Y165</f>
        <v>0</v>
      </c>
      <c r="L90" s="1130">
        <f>mulok_ki4!Z165</f>
        <v>0</v>
      </c>
      <c r="M90" s="372" t="str">
        <f t="shared" si="5"/>
        <v xml:space="preserve">  </v>
      </c>
    </row>
  </sheetData>
  <mergeCells count="4">
    <mergeCell ref="A1:E1"/>
    <mergeCell ref="H1:K1"/>
    <mergeCell ref="A48:E48"/>
    <mergeCell ref="H48:K48"/>
  </mergeCells>
  <conditionalFormatting sqref="C4:E43">
    <cfRule type="top10" dxfId="37" priority="2674" rank="1"/>
  </conditionalFormatting>
  <conditionalFormatting sqref="C51:E90">
    <cfRule type="top10" dxfId="36" priority="2675" rank="1"/>
  </conditionalFormatting>
  <conditionalFormatting sqref="C5:E43">
    <cfRule type="top10" dxfId="35" priority="2676" rank="1"/>
  </conditionalFormatting>
  <conditionalFormatting sqref="C4:E4">
    <cfRule type="top10" dxfId="34" priority="2677" rank="1"/>
  </conditionalFormatting>
  <conditionalFormatting sqref="C4:E4">
    <cfRule type="top10" dxfId="33" priority="2678" rank="1"/>
    <cfRule type="top10" dxfId="32" priority="2679" rank="1"/>
  </conditionalFormatting>
  <conditionalFormatting sqref="J4:L43">
    <cfRule type="top10" dxfId="31" priority="2692" rank="1"/>
  </conditionalFormatting>
  <conditionalFormatting sqref="J5:L43">
    <cfRule type="top10" dxfId="30" priority="2693" rank="1"/>
  </conditionalFormatting>
  <conditionalFormatting sqref="J6:L6">
    <cfRule type="top10" dxfId="29" priority="2694" rank="1"/>
  </conditionalFormatting>
  <conditionalFormatting sqref="J7:L7">
    <cfRule type="top10" dxfId="28" priority="2695" rank="1"/>
  </conditionalFormatting>
  <conditionalFormatting sqref="J8:L8">
    <cfRule type="top10" dxfId="27" priority="2696" rank="1"/>
  </conditionalFormatting>
  <conditionalFormatting sqref="J9:L9">
    <cfRule type="top10" dxfId="26" priority="2697" rank="1"/>
  </conditionalFormatting>
  <conditionalFormatting sqref="J10:L10">
    <cfRule type="top10" dxfId="25" priority="2698" rank="1"/>
  </conditionalFormatting>
  <conditionalFormatting sqref="J11:L11">
    <cfRule type="top10" dxfId="24" priority="2699" rank="1"/>
  </conditionalFormatting>
  <conditionalFormatting sqref="J12:L12">
    <cfRule type="top10" dxfId="23" priority="2700" rank="1"/>
  </conditionalFormatting>
  <conditionalFormatting sqref="J13:L43">
    <cfRule type="top10" dxfId="22" priority="2701" rank="1"/>
  </conditionalFormatting>
  <conditionalFormatting sqref="J14:L14">
    <cfRule type="top10" dxfId="21" priority="2702" rank="1"/>
  </conditionalFormatting>
  <conditionalFormatting sqref="J15:L15">
    <cfRule type="top10" dxfId="20" priority="2703" rank="1"/>
  </conditionalFormatting>
  <conditionalFormatting sqref="J16:L16">
    <cfRule type="top10" dxfId="19" priority="2704" rank="1"/>
  </conditionalFormatting>
  <conditionalFormatting sqref="J17:L17">
    <cfRule type="top10" dxfId="18" priority="2705" rank="1"/>
  </conditionalFormatting>
  <conditionalFormatting sqref="J18:L18">
    <cfRule type="top10" dxfId="17" priority="2706" rank="1"/>
  </conditionalFormatting>
  <conditionalFormatting sqref="J19:L19">
    <cfRule type="top10" dxfId="16" priority="2707" rank="1"/>
  </conditionalFormatting>
  <conditionalFormatting sqref="J20:L20">
    <cfRule type="top10" dxfId="15" priority="2708" rank="1"/>
  </conditionalFormatting>
  <conditionalFormatting sqref="J21:L21">
    <cfRule type="top10" dxfId="14" priority="2709" rank="1"/>
  </conditionalFormatting>
  <conditionalFormatting sqref="J22:L22">
    <cfRule type="top10" dxfId="13" priority="2710" rank="1"/>
  </conditionalFormatting>
  <conditionalFormatting sqref="J23:L43">
    <cfRule type="top10" dxfId="12" priority="2711" rank="1"/>
  </conditionalFormatting>
  <conditionalFormatting sqref="J24:L24">
    <cfRule type="top10" dxfId="11" priority="2712" rank="1"/>
  </conditionalFormatting>
  <conditionalFormatting sqref="J51:L51">
    <cfRule type="top10" dxfId="10" priority="2713" rank="1"/>
  </conditionalFormatting>
  <conditionalFormatting sqref="J52:L90">
    <cfRule type="top10" dxfId="9" priority="2714" rank="1"/>
  </conditionalFormatting>
  <pageMargins left="0.7" right="0.7" top="0.75" bottom="0.75" header="0.3" footer="0.3"/>
  <pageSetup paperSize="9" orientation="portrait" horizontalDpi="0" verticalDpi="0"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C2:N14"/>
  <sheetViews>
    <sheetView topLeftCell="A7" workbookViewId="0">
      <selection activeCell="C11" sqref="C11:D11"/>
    </sheetView>
  </sheetViews>
  <sheetFormatPr defaultRowHeight="15" x14ac:dyDescent="0.25"/>
  <cols>
    <col min="6" max="6" width="9.140625" style="149"/>
    <col min="7" max="7" width="52.7109375" customWidth="1"/>
    <col min="8" max="8" width="5" customWidth="1"/>
    <col min="9" max="9" width="9.28515625" hidden="1" customWidth="1"/>
    <col min="10" max="10" width="39.5703125" hidden="1" customWidth="1"/>
    <col min="11" max="11" width="45.42578125" hidden="1" customWidth="1"/>
    <col min="12" max="12" width="43.5703125" hidden="1" customWidth="1"/>
    <col min="13" max="13" width="46.140625" hidden="1" customWidth="1"/>
  </cols>
  <sheetData>
    <row r="2" spans="3:14" x14ac:dyDescent="0.25">
      <c r="G2" t="s">
        <v>980</v>
      </c>
    </row>
    <row r="5" spans="3:14" ht="18.75" x14ac:dyDescent="0.25">
      <c r="G5" s="307"/>
    </row>
    <row r="6" spans="3:14" ht="15" customHeight="1" x14ac:dyDescent="0.25">
      <c r="I6" s="1959">
        <v>4</v>
      </c>
      <c r="J6" s="1960" t="s">
        <v>978</v>
      </c>
      <c r="K6" s="1960" t="s">
        <v>978</v>
      </c>
      <c r="L6" s="1960" t="s">
        <v>978</v>
      </c>
      <c r="M6" s="1960" t="s">
        <v>978</v>
      </c>
    </row>
    <row r="7" spans="3:14" ht="15" customHeight="1" x14ac:dyDescent="0.25">
      <c r="I7" s="1954">
        <v>2</v>
      </c>
      <c r="J7" s="1956" t="s">
        <v>986</v>
      </c>
      <c r="K7" s="1955" t="s">
        <v>979</v>
      </c>
      <c r="L7" s="1957" t="s">
        <v>981</v>
      </c>
      <c r="M7" s="1958" t="s">
        <v>992</v>
      </c>
    </row>
    <row r="9" spans="3:14" x14ac:dyDescent="0.25">
      <c r="C9" s="149" t="s">
        <v>982</v>
      </c>
      <c r="D9" s="149" t="s">
        <v>983</v>
      </c>
      <c r="E9" s="149" t="s">
        <v>984</v>
      </c>
      <c r="F9" s="149" t="s">
        <v>985</v>
      </c>
    </row>
    <row r="10" spans="3:14" ht="45" x14ac:dyDescent="0.25">
      <c r="C10" s="1961">
        <v>4</v>
      </c>
      <c r="D10" s="1962">
        <v>4</v>
      </c>
      <c r="E10" s="1963">
        <v>4</v>
      </c>
      <c r="F10" s="1964">
        <v>4</v>
      </c>
      <c r="G10" s="329" t="str">
        <f>IF(OR(C10=4,C10=2),VLOOKUP(C10,RELIGIUS,2,FALSE),IF(OR(D10=4,D10=2),VLOOKUP(D10,RELIGIUS,3,FALSE),IF(OR(E10=4,E10=2),VLOOKUP(E10,RELIGIUS,4,FALSE),IF(OR(F10=4,F10=2),VLOOKUP(F10,RELIGIUS,5,FALSE),"  "))))</f>
        <v>Sangat taat dalam beribadah, berperllaku syukur, selalu berdo'a sebelum melakukan kegiatan, serta bersikap toleransi dalam beragama</v>
      </c>
      <c r="N10" s="136" t="s">
        <v>987</v>
      </c>
    </row>
    <row r="11" spans="3:14" ht="60" x14ac:dyDescent="0.25">
      <c r="C11" s="1961"/>
      <c r="D11" s="1962"/>
      <c r="E11" s="1963">
        <v>2</v>
      </c>
      <c r="F11" s="1964"/>
      <c r="G11" s="329" t="str">
        <f>IF(OR(C11=4,C11=2),VLOOKUP(C11,RELIGIUS,2,FALSE),IF(OR(D11=4,D11=2),VLOOKUP(D11,RELIGIUS,3,FALSE),IF(OR(E11=4,E11=2),VLOOKUP(E11,RELIGIUS,4,FALSE),IF(OR(F11=4,F11=2),VLOOKUP(F11,RELIGIUS,5,FALSE),"  "))))</f>
        <v>Sangat taat dalam beribadah, bersikap toleransi, serta berperilaku bersyukur. Dengan bimbingan dan pendampingan yang lebih akan mampu meningkatkan sikap berdo'a sebelum melakukan kegiatan.</v>
      </c>
      <c r="N11" s="136" t="s">
        <v>988</v>
      </c>
    </row>
    <row r="12" spans="3:14" ht="60" x14ac:dyDescent="0.25">
      <c r="C12" s="1961"/>
      <c r="D12" s="1962">
        <v>2</v>
      </c>
      <c r="E12" s="1963"/>
      <c r="F12" s="1964"/>
      <c r="G12" s="329" t="str">
        <f>IF(OR(C12=4,C12=2),VLOOKUP(C12,RELIGIUS,2,FALSE),IF(OR(D12=4,D12=2),VLOOKUP(D12,RELIGIUS,3,FALSE),IF(OR(E12=4,E12=2),VLOOKUP(E12,RELIGIUS,4,FALSE),IF(OR(F12=4,F12=2),VLOOKUP(F12,RELIGIUS,5,FALSE),"  "))))</f>
        <v>Sangat taat dalam beribadah, berdo'a sebelum melakukan kegiatan, bersikap toleransi. Dengan bimbingan dan pendampingan yang lebih akan mampu meningkatkan sikap berperilaku bersyukur.</v>
      </c>
      <c r="N12" s="136" t="s">
        <v>989</v>
      </c>
    </row>
    <row r="13" spans="3:14" ht="60" x14ac:dyDescent="0.25">
      <c r="C13" s="1961"/>
      <c r="D13" s="1962"/>
      <c r="E13" s="1963">
        <v>2</v>
      </c>
      <c r="F13" s="1964"/>
      <c r="G13" s="329" t="str">
        <f>IF(OR(C13=4,C13=2),VLOOKUP(C13,RELIGIUS,2,FALSE),IF(OR(D13=4,D13=2),VLOOKUP(D13,RELIGIUS,3,FALSE),IF(OR(E13=4,E13=2),VLOOKUP(E13,RELIGIUS,4,FALSE),IF(OR(F13=4,F13=2),VLOOKUP(F13,RELIGIUS,5,FALSE),"  "))))</f>
        <v>Sangat taat dalam beribadah, bersikap toleransi, serta berperilaku bersyukur. Dengan bimbingan dan pendampingan yang lebih akan mampu meningkatkan sikap berdo'a sebelum melakukan kegiatan.</v>
      </c>
      <c r="N13" s="136" t="s">
        <v>990</v>
      </c>
    </row>
    <row r="14" spans="3:14" ht="60" x14ac:dyDescent="0.25">
      <c r="C14" s="1961"/>
      <c r="D14" s="1962"/>
      <c r="E14" s="1963"/>
      <c r="F14" s="1964">
        <v>2</v>
      </c>
      <c r="G14" s="329" t="str">
        <f>IF(OR(C14=4,C14=2),VLOOKUP(C14,RELIGIUS,2,FALSE),IF(OR(D14=4,D14=2),VLOOKUP(D14,RELIGIUS,3,FALSE),IF(OR(E14=4,E14=2),VLOOKUP(E14,RELIGIUS,4,FALSE),IF(OR(F14=4,F14=2),VLOOKUP(F14,RELIGIUS,5,FALSE),"  "))))</f>
        <v xml:space="preserve">Sangat ta'at dalam beribadah, selalu berdo'a sebelum melakukan kegiatan, serta berperilaku bersyukur. Dengan bimbingan dan pendampingan yang lebih akan mampu meningkatkan sikap toleransi dalam beragama. </v>
      </c>
      <c r="N14" s="136" t="s">
        <v>991</v>
      </c>
    </row>
  </sheetData>
  <pageMargins left="0.7" right="0.7" top="0.75" bottom="0.75" header="0.3" footer="0.3"/>
  <pageSetup paperSize="9" orientation="portrait" horizontalDpi="0" verticalDpi="0"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2"/>
  <sheetViews>
    <sheetView workbookViewId="0">
      <selection activeCell="J7" sqref="J7"/>
    </sheetView>
  </sheetViews>
  <sheetFormatPr defaultRowHeight="15" x14ac:dyDescent="0.25"/>
  <cols>
    <col min="2" max="5" width="12.7109375" customWidth="1"/>
    <col min="6" max="6" width="17.5703125" customWidth="1"/>
    <col min="7" max="12" width="12.7109375" customWidth="1"/>
  </cols>
  <sheetData>
    <row r="1" spans="1:12" ht="21" x14ac:dyDescent="0.35">
      <c r="B1" s="169" t="s">
        <v>150</v>
      </c>
      <c r="C1" s="169"/>
    </row>
    <row r="2" spans="1:12" ht="23.25" x14ac:dyDescent="0.35">
      <c r="A2" s="148"/>
      <c r="B2" s="29" t="s">
        <v>143</v>
      </c>
      <c r="H2" s="225"/>
      <c r="I2" s="225"/>
      <c r="J2" s="225"/>
    </row>
    <row r="3" spans="1:12" s="149" customFormat="1" ht="27.75" customHeight="1" x14ac:dyDescent="0.25">
      <c r="B3" s="1014" t="s">
        <v>7</v>
      </c>
      <c r="C3" s="1014" t="s">
        <v>18</v>
      </c>
      <c r="D3" s="1014" t="s">
        <v>179</v>
      </c>
      <c r="E3" s="1014" t="s">
        <v>180</v>
      </c>
      <c r="F3" s="1014" t="s">
        <v>19</v>
      </c>
      <c r="G3" s="1014" t="s">
        <v>181</v>
      </c>
      <c r="H3" s="1009"/>
      <c r="I3" s="301"/>
      <c r="J3" s="1010"/>
    </row>
    <row r="4" spans="1:12" s="149" customFormat="1" x14ac:dyDescent="0.25">
      <c r="B4" s="1003">
        <v>2</v>
      </c>
      <c r="C4" s="1003">
        <v>3</v>
      </c>
      <c r="D4" s="1003">
        <v>4</v>
      </c>
      <c r="E4" s="1003">
        <v>5</v>
      </c>
      <c r="F4" s="1003">
        <v>6</v>
      </c>
      <c r="G4" s="1003">
        <v>7</v>
      </c>
      <c r="H4" s="1010"/>
      <c r="I4" s="1010"/>
      <c r="J4" s="1010"/>
    </row>
    <row r="5" spans="1:12" s="149" customFormat="1" ht="33.75" customHeight="1" x14ac:dyDescent="0.25">
      <c r="A5" s="1013">
        <v>2</v>
      </c>
      <c r="B5" s="170" t="s">
        <v>809</v>
      </c>
      <c r="C5" s="170" t="s">
        <v>810</v>
      </c>
      <c r="D5" s="170" t="s">
        <v>811</v>
      </c>
      <c r="E5" s="170" t="s">
        <v>812</v>
      </c>
      <c r="F5" s="170" t="s">
        <v>813</v>
      </c>
      <c r="G5" s="170" t="s">
        <v>814</v>
      </c>
      <c r="H5" s="1011"/>
      <c r="I5" s="1011"/>
      <c r="J5" s="1010"/>
    </row>
    <row r="6" spans="1:12" s="136" customFormat="1" ht="45" customHeight="1" x14ac:dyDescent="0.25">
      <c r="A6" s="1013">
        <v>3</v>
      </c>
      <c r="B6" s="1022" t="s">
        <v>935</v>
      </c>
      <c r="C6" s="1022" t="s">
        <v>936</v>
      </c>
      <c r="D6" s="1022" t="s">
        <v>937</v>
      </c>
      <c r="E6" s="1022" t="s">
        <v>938</v>
      </c>
      <c r="F6" s="1022" t="s">
        <v>939</v>
      </c>
      <c r="G6" s="1022" t="s">
        <v>940</v>
      </c>
      <c r="H6" s="1011"/>
      <c r="I6" s="1011"/>
      <c r="J6" s="1012"/>
    </row>
    <row r="7" spans="1:12" ht="39.75" customHeight="1" x14ac:dyDescent="0.25">
      <c r="A7" s="1013">
        <v>4</v>
      </c>
      <c r="B7" s="171" t="s">
        <v>640</v>
      </c>
      <c r="C7" s="171" t="s">
        <v>641</v>
      </c>
      <c r="D7" s="171" t="s">
        <v>642</v>
      </c>
      <c r="E7" s="171" t="s">
        <v>643</v>
      </c>
      <c r="F7" s="171" t="s">
        <v>644</v>
      </c>
      <c r="G7" s="171" t="s">
        <v>645</v>
      </c>
      <c r="H7" s="1011"/>
      <c r="I7" s="1011"/>
      <c r="J7" s="225"/>
    </row>
    <row r="8" spans="1:12" s="168" customFormat="1" ht="23.25" x14ac:dyDescent="0.25">
      <c r="A8" s="165"/>
      <c r="B8" s="166"/>
      <c r="C8" s="167"/>
      <c r="D8" s="167"/>
      <c r="E8" s="166"/>
      <c r="F8" s="166"/>
      <c r="G8" s="166"/>
      <c r="H8" s="1008"/>
      <c r="I8" s="1008"/>
      <c r="J8" s="225"/>
    </row>
    <row r="9" spans="1:12" s="168" customFormat="1" ht="23.25" x14ac:dyDescent="0.35">
      <c r="B9" s="205" t="s">
        <v>168</v>
      </c>
      <c r="E9" s="225"/>
      <c r="F9" s="225"/>
      <c r="H9" s="225"/>
      <c r="I9" s="225"/>
      <c r="J9" s="225"/>
    </row>
    <row r="10" spans="1:12" s="168" customFormat="1" ht="18.75" x14ac:dyDescent="0.25">
      <c r="B10" s="1015" t="s">
        <v>12</v>
      </c>
      <c r="C10" s="1015" t="s">
        <v>7</v>
      </c>
      <c r="D10" s="1017" t="s">
        <v>10</v>
      </c>
      <c r="E10" s="805"/>
      <c r="F10" s="225"/>
      <c r="H10" s="2910"/>
      <c r="I10" s="2910"/>
      <c r="J10" s="207"/>
    </row>
    <row r="11" spans="1:12" s="168" customFormat="1" ht="48.75" customHeight="1" x14ac:dyDescent="0.25">
      <c r="A11" s="165">
        <v>2</v>
      </c>
      <c r="B11" s="208" t="s">
        <v>815</v>
      </c>
      <c r="C11" s="208" t="s">
        <v>816</v>
      </c>
      <c r="D11" s="208" t="s">
        <v>817</v>
      </c>
      <c r="E11" s="1016"/>
      <c r="F11" s="225"/>
      <c r="H11" s="2910"/>
      <c r="I11" s="2910"/>
      <c r="J11" s="207"/>
    </row>
    <row r="12" spans="1:12" ht="48.75" customHeight="1" x14ac:dyDescent="0.25">
      <c r="A12" s="206">
        <v>3</v>
      </c>
      <c r="B12" s="208" t="s">
        <v>941</v>
      </c>
      <c r="C12" s="208" t="s">
        <v>942</v>
      </c>
      <c r="D12" s="208" t="s">
        <v>943</v>
      </c>
      <c r="E12" s="1016"/>
      <c r="F12" s="225"/>
      <c r="G12" s="168"/>
      <c r="H12" s="2910"/>
      <c r="I12" s="2910"/>
      <c r="J12" s="207"/>
      <c r="K12" s="168"/>
      <c r="L12" s="168"/>
    </row>
    <row r="13" spans="1:12" ht="53.25" customHeight="1" x14ac:dyDescent="0.25">
      <c r="A13" s="206">
        <v>4</v>
      </c>
      <c r="B13" s="208" t="s">
        <v>818</v>
      </c>
      <c r="C13" s="208" t="s">
        <v>622</v>
      </c>
      <c r="D13" s="208" t="s">
        <v>623</v>
      </c>
      <c r="E13" s="1016"/>
      <c r="F13" s="225"/>
      <c r="G13" s="168"/>
      <c r="H13" s="2910"/>
      <c r="I13" s="2910"/>
      <c r="J13" s="207"/>
      <c r="K13" s="168"/>
      <c r="L13" s="168"/>
    </row>
    <row r="14" spans="1:12" x14ac:dyDescent="0.25">
      <c r="E14" s="225"/>
      <c r="F14" s="225"/>
      <c r="G14" s="168"/>
      <c r="H14" s="168"/>
      <c r="I14" s="168"/>
      <c r="J14" s="168"/>
      <c r="K14" s="168"/>
      <c r="L14" s="168"/>
    </row>
    <row r="15" spans="1:12" x14ac:dyDescent="0.25">
      <c r="E15" s="225"/>
      <c r="F15" s="225"/>
    </row>
    <row r="16" spans="1:12" ht="21" x14ac:dyDescent="0.35">
      <c r="A16" s="161"/>
      <c r="B16" s="212" t="s">
        <v>171</v>
      </c>
      <c r="C16" s="161"/>
      <c r="D16" s="161"/>
    </row>
    <row r="17" spans="1:13" ht="30.75" customHeight="1" x14ac:dyDescent="0.25">
      <c r="A17" s="293"/>
      <c r="B17" s="1019" t="s">
        <v>12</v>
      </c>
      <c r="C17" s="1019" t="s">
        <v>7</v>
      </c>
      <c r="D17" s="1019" t="s">
        <v>10</v>
      </c>
      <c r="E17" s="1019" t="s">
        <v>8</v>
      </c>
      <c r="F17" s="1019" t="s">
        <v>18</v>
      </c>
    </row>
    <row r="18" spans="1:13" ht="63.75" customHeight="1" x14ac:dyDescent="0.25">
      <c r="A18" s="244">
        <v>2</v>
      </c>
      <c r="B18" s="243" t="s">
        <v>819</v>
      </c>
      <c r="C18" s="243" t="s">
        <v>820</v>
      </c>
      <c r="D18" s="243" t="s">
        <v>821</v>
      </c>
      <c r="E18" s="243" t="s">
        <v>822</v>
      </c>
      <c r="F18" s="243" t="s">
        <v>823</v>
      </c>
      <c r="G18" s="168"/>
      <c r="H18" s="168"/>
      <c r="I18" s="168"/>
    </row>
    <row r="19" spans="1:13" ht="68.25" customHeight="1" x14ac:dyDescent="0.25">
      <c r="A19" s="245">
        <v>3</v>
      </c>
      <c r="B19" s="243" t="s">
        <v>944</v>
      </c>
      <c r="C19" s="243" t="s">
        <v>945</v>
      </c>
      <c r="D19" s="243" t="s">
        <v>946</v>
      </c>
      <c r="E19" s="243" t="s">
        <v>947</v>
      </c>
      <c r="F19" s="243" t="s">
        <v>948</v>
      </c>
      <c r="G19" s="168"/>
      <c r="H19" s="168"/>
      <c r="I19" s="168"/>
    </row>
    <row r="20" spans="1:13" ht="72" customHeight="1" x14ac:dyDescent="0.25">
      <c r="A20" s="246">
        <v>4</v>
      </c>
      <c r="B20" s="243" t="s">
        <v>824</v>
      </c>
      <c r="C20" s="243" t="s">
        <v>178</v>
      </c>
      <c r="D20" s="243" t="s">
        <v>624</v>
      </c>
      <c r="E20" s="243" t="s">
        <v>625</v>
      </c>
      <c r="F20" s="243" t="s">
        <v>626</v>
      </c>
      <c r="G20" s="168"/>
      <c r="H20" s="168"/>
      <c r="I20" s="168"/>
    </row>
    <row r="21" spans="1:13" x14ac:dyDescent="0.25">
      <c r="G21" s="168"/>
      <c r="H21" s="168"/>
      <c r="I21" s="168"/>
    </row>
    <row r="23" spans="1:13" ht="21" x14ac:dyDescent="0.35">
      <c r="A23" s="161"/>
      <c r="B23" s="212" t="s">
        <v>196</v>
      </c>
      <c r="C23" s="161"/>
      <c r="D23" s="161"/>
      <c r="I23" s="225"/>
      <c r="J23" s="225"/>
      <c r="K23" s="225"/>
      <c r="L23" s="225"/>
      <c r="M23" s="225"/>
    </row>
    <row r="24" spans="1:13" ht="23.25" customHeight="1" x14ac:dyDescent="0.25">
      <c r="A24" s="293"/>
      <c r="B24" s="1021" t="s">
        <v>10</v>
      </c>
      <c r="C24" s="1021" t="s">
        <v>20</v>
      </c>
      <c r="D24" s="1021" t="s">
        <v>19</v>
      </c>
      <c r="E24" s="1021" t="s">
        <v>181</v>
      </c>
      <c r="F24" s="1021" t="s">
        <v>182</v>
      </c>
      <c r="G24" s="1021" t="s">
        <v>566</v>
      </c>
      <c r="H24" s="1021" t="s">
        <v>567</v>
      </c>
      <c r="I24" s="1020"/>
      <c r="J24" s="1020"/>
      <c r="K24" s="1020"/>
      <c r="L24" s="1020"/>
      <c r="M24" s="225"/>
    </row>
    <row r="25" spans="1:13" ht="49.5" customHeight="1" x14ac:dyDescent="0.25">
      <c r="A25" s="244">
        <v>2</v>
      </c>
      <c r="B25" s="277" t="s">
        <v>825</v>
      </c>
      <c r="C25" s="278" t="s">
        <v>826</v>
      </c>
      <c r="D25" s="278" t="s">
        <v>827</v>
      </c>
      <c r="E25" s="278" t="s">
        <v>828</v>
      </c>
      <c r="F25" s="278" t="s">
        <v>805</v>
      </c>
      <c r="G25" s="279" t="s">
        <v>806</v>
      </c>
      <c r="H25" s="279" t="s">
        <v>807</v>
      </c>
      <c r="I25" s="296"/>
      <c r="J25" s="296"/>
      <c r="K25" s="296"/>
      <c r="L25" s="296"/>
      <c r="M25" s="225"/>
    </row>
    <row r="26" spans="1:13" ht="42.75" customHeight="1" x14ac:dyDescent="0.25">
      <c r="A26" s="245">
        <v>3</v>
      </c>
      <c r="B26" s="277" t="s">
        <v>949</v>
      </c>
      <c r="C26" s="278" t="s">
        <v>950</v>
      </c>
      <c r="D26" s="278" t="s">
        <v>951</v>
      </c>
      <c r="E26" s="278" t="s">
        <v>952</v>
      </c>
      <c r="F26" s="278" t="s">
        <v>953</v>
      </c>
      <c r="G26" s="279" t="s">
        <v>954</v>
      </c>
      <c r="H26" s="279" t="s">
        <v>955</v>
      </c>
      <c r="I26" s="296"/>
      <c r="J26" s="296"/>
      <c r="K26" s="296"/>
      <c r="L26" s="296"/>
      <c r="M26" s="225"/>
    </row>
    <row r="27" spans="1:13" ht="48" customHeight="1" x14ac:dyDescent="0.25">
      <c r="A27" s="246">
        <v>4</v>
      </c>
      <c r="B27" s="277" t="s">
        <v>627</v>
      </c>
      <c r="C27" s="278" t="s">
        <v>628</v>
      </c>
      <c r="D27" s="278" t="s">
        <v>629</v>
      </c>
      <c r="E27" s="278" t="s">
        <v>630</v>
      </c>
      <c r="F27" s="278" t="s">
        <v>631</v>
      </c>
      <c r="G27" s="279" t="s">
        <v>632</v>
      </c>
      <c r="H27" s="279" t="s">
        <v>829</v>
      </c>
      <c r="I27" s="296"/>
      <c r="J27" s="296"/>
      <c r="K27" s="296"/>
      <c r="L27" s="296"/>
      <c r="M27" s="225"/>
    </row>
    <row r="28" spans="1:13" x14ac:dyDescent="0.25">
      <c r="I28" s="225"/>
      <c r="J28" s="225"/>
      <c r="K28" s="225"/>
      <c r="L28" s="225"/>
      <c r="M28" s="225"/>
    </row>
    <row r="29" spans="1:13" x14ac:dyDescent="0.25">
      <c r="I29" s="225"/>
      <c r="J29" s="225"/>
      <c r="K29" s="225"/>
      <c r="L29" s="225"/>
      <c r="M29" s="225"/>
    </row>
    <row r="30" spans="1:13" ht="21" x14ac:dyDescent="0.35">
      <c r="A30" s="161"/>
      <c r="B30" s="212" t="s">
        <v>206</v>
      </c>
      <c r="C30" s="161"/>
      <c r="D30" s="161"/>
    </row>
    <row r="31" spans="1:13" ht="33" customHeight="1" x14ac:dyDescent="0.25">
      <c r="A31" s="294"/>
      <c r="B31" s="1018" t="s">
        <v>12</v>
      </c>
      <c r="C31" s="1018" t="s">
        <v>7</v>
      </c>
      <c r="D31" s="1018" t="s">
        <v>10</v>
      </c>
      <c r="E31" s="1018" t="s">
        <v>8</v>
      </c>
      <c r="F31" s="1020"/>
      <c r="G31" s="295"/>
      <c r="H31" s="295"/>
      <c r="I31" s="295"/>
      <c r="J31" s="295"/>
      <c r="K31" s="295"/>
      <c r="L31" s="295"/>
      <c r="M31" s="225"/>
    </row>
    <row r="32" spans="1:13" ht="54.75" customHeight="1" x14ac:dyDescent="0.25">
      <c r="A32" s="297">
        <v>2</v>
      </c>
      <c r="B32" s="1027" t="s">
        <v>830</v>
      </c>
      <c r="C32" s="1028" t="s">
        <v>831</v>
      </c>
      <c r="D32" s="278" t="s">
        <v>832</v>
      </c>
      <c r="E32" s="762" t="s">
        <v>808</v>
      </c>
      <c r="F32" s="1025"/>
      <c r="G32" s="296"/>
      <c r="H32" s="296"/>
      <c r="I32" s="296"/>
      <c r="J32" s="296"/>
      <c r="K32" s="296"/>
      <c r="L32" s="296"/>
      <c r="M32" s="225"/>
    </row>
    <row r="33" spans="1:14" ht="69" customHeight="1" x14ac:dyDescent="0.25">
      <c r="A33" s="298">
        <v>3</v>
      </c>
      <c r="B33" s="1027" t="s">
        <v>956</v>
      </c>
      <c r="C33" s="1028" t="s">
        <v>957</v>
      </c>
      <c r="D33" s="278" t="s">
        <v>958</v>
      </c>
      <c r="E33" s="762" t="s">
        <v>959</v>
      </c>
      <c r="F33" s="1025"/>
      <c r="G33" s="296"/>
      <c r="H33" s="296"/>
      <c r="I33" s="296"/>
      <c r="J33" s="296"/>
      <c r="K33" s="296"/>
      <c r="L33" s="296"/>
      <c r="M33" s="225"/>
    </row>
    <row r="34" spans="1:14" ht="66" customHeight="1" x14ac:dyDescent="0.25">
      <c r="A34" s="299">
        <v>4</v>
      </c>
      <c r="B34" s="1027" t="s">
        <v>721</v>
      </c>
      <c r="C34" s="1028" t="s">
        <v>775</v>
      </c>
      <c r="D34" s="278" t="s">
        <v>776</v>
      </c>
      <c r="E34" s="762" t="s">
        <v>777</v>
      </c>
      <c r="F34" s="1026"/>
      <c r="G34" s="296"/>
      <c r="H34" s="296"/>
      <c r="I34" s="296"/>
      <c r="J34" s="296"/>
      <c r="K34" s="296"/>
      <c r="L34" s="296"/>
      <c r="M34" s="225"/>
      <c r="N34" s="225"/>
    </row>
    <row r="35" spans="1:14" x14ac:dyDescent="0.25">
      <c r="F35" s="225"/>
      <c r="G35" s="225"/>
      <c r="H35" s="225"/>
      <c r="I35" s="69"/>
      <c r="J35" s="69"/>
      <c r="K35" s="69"/>
      <c r="L35" s="69"/>
      <c r="M35" s="69"/>
      <c r="N35" s="225"/>
    </row>
    <row r="36" spans="1:14" x14ac:dyDescent="0.25">
      <c r="H36" s="225"/>
      <c r="I36" s="225"/>
      <c r="J36" s="225"/>
      <c r="K36" s="225"/>
      <c r="L36" s="225"/>
      <c r="M36" s="225"/>
      <c r="N36" s="225"/>
    </row>
    <row r="37" spans="1:14" ht="18" customHeight="1" x14ac:dyDescent="0.35">
      <c r="A37" s="161"/>
      <c r="B37" s="164" t="s">
        <v>207</v>
      </c>
      <c r="C37" s="161"/>
      <c r="D37" s="161"/>
      <c r="H37" s="225"/>
      <c r="I37" s="225"/>
      <c r="J37" s="225"/>
      <c r="K37" s="225"/>
      <c r="L37" s="225"/>
      <c r="M37" s="225"/>
      <c r="N37" s="225"/>
    </row>
    <row r="38" spans="1:14" ht="34.5" customHeight="1" x14ac:dyDescent="0.25">
      <c r="A38" s="293"/>
      <c r="B38" s="1024" t="s">
        <v>7</v>
      </c>
      <c r="C38" s="1024" t="s">
        <v>10</v>
      </c>
      <c r="D38" s="1024" t="s">
        <v>8</v>
      </c>
      <c r="E38" s="1024" t="s">
        <v>18</v>
      </c>
      <c r="F38" s="1024" t="s">
        <v>179</v>
      </c>
      <c r="G38" s="1023"/>
      <c r="H38" s="1023"/>
      <c r="I38" s="225"/>
      <c r="J38" s="225"/>
      <c r="K38" s="225"/>
      <c r="L38" s="225"/>
      <c r="M38" s="225"/>
      <c r="N38" s="225"/>
    </row>
    <row r="39" spans="1:14" ht="42" customHeight="1" x14ac:dyDescent="0.25">
      <c r="A39" s="244">
        <v>2</v>
      </c>
      <c r="B39" s="1027" t="s">
        <v>833</v>
      </c>
      <c r="C39" s="1029" t="s">
        <v>834</v>
      </c>
      <c r="D39" s="1029" t="s">
        <v>835</v>
      </c>
      <c r="E39" s="1029" t="s">
        <v>836</v>
      </c>
      <c r="F39" s="1029" t="s">
        <v>837</v>
      </c>
      <c r="G39" s="296"/>
      <c r="H39" s="296"/>
      <c r="I39" s="225"/>
    </row>
    <row r="40" spans="1:14" ht="42.75" customHeight="1" x14ac:dyDescent="0.25">
      <c r="A40" s="245">
        <v>3</v>
      </c>
      <c r="B40" s="1027" t="s">
        <v>960</v>
      </c>
      <c r="C40" s="1029" t="s">
        <v>961</v>
      </c>
      <c r="D40" s="1029" t="s">
        <v>962</v>
      </c>
      <c r="E40" s="1029" t="s">
        <v>963</v>
      </c>
      <c r="F40" s="1029" t="s">
        <v>964</v>
      </c>
      <c r="G40" s="296"/>
      <c r="H40" s="296"/>
      <c r="I40" s="225"/>
    </row>
    <row r="41" spans="1:14" ht="52.5" customHeight="1" x14ac:dyDescent="0.25">
      <c r="A41" s="246">
        <v>4</v>
      </c>
      <c r="B41" s="1027" t="s">
        <v>633</v>
      </c>
      <c r="C41" s="1029" t="s">
        <v>634</v>
      </c>
      <c r="D41" s="1029" t="s">
        <v>635</v>
      </c>
      <c r="E41" s="1029" t="s">
        <v>774</v>
      </c>
      <c r="F41" s="1029" t="s">
        <v>636</v>
      </c>
      <c r="G41" s="296"/>
      <c r="H41" s="296"/>
      <c r="I41" s="225"/>
    </row>
    <row r="42" spans="1:14" x14ac:dyDescent="0.25">
      <c r="G42" s="225"/>
      <c r="H42" s="225"/>
      <c r="I42" s="225"/>
    </row>
    <row r="44" spans="1:14" ht="23.25" x14ac:dyDescent="0.35">
      <c r="A44" s="161"/>
      <c r="B44" s="164" t="s">
        <v>637</v>
      </c>
      <c r="C44" s="161"/>
      <c r="D44" s="225"/>
      <c r="E44" s="225"/>
      <c r="F44" s="225"/>
      <c r="G44" s="225"/>
    </row>
    <row r="45" spans="1:14" ht="21" x14ac:dyDescent="0.25">
      <c r="A45" s="293"/>
      <c r="B45" s="1018" t="s">
        <v>18</v>
      </c>
      <c r="C45" s="1018" t="s">
        <v>20</v>
      </c>
      <c r="D45" s="1042"/>
      <c r="E45" s="1042"/>
      <c r="F45" s="1042"/>
      <c r="G45" s="225"/>
    </row>
    <row r="46" spans="1:14" ht="69.75" customHeight="1" x14ac:dyDescent="0.25">
      <c r="A46" s="244">
        <v>2</v>
      </c>
      <c r="B46" s="1027" t="s">
        <v>838</v>
      </c>
      <c r="C46" s="1029" t="s">
        <v>839</v>
      </c>
      <c r="D46" s="1043"/>
      <c r="E46" s="1043"/>
      <c r="F46" s="1043"/>
      <c r="G46" s="225"/>
    </row>
    <row r="47" spans="1:14" ht="58.5" customHeight="1" x14ac:dyDescent="0.25">
      <c r="A47" s="245">
        <v>3</v>
      </c>
      <c r="B47" s="1027" t="s">
        <v>965</v>
      </c>
      <c r="C47" s="1029" t="s">
        <v>966</v>
      </c>
      <c r="D47" s="1043"/>
      <c r="E47" s="1043"/>
      <c r="F47" s="1043"/>
      <c r="G47" s="225"/>
    </row>
    <row r="48" spans="1:14" ht="58.5" customHeight="1" x14ac:dyDescent="0.25">
      <c r="A48" s="246">
        <v>4</v>
      </c>
      <c r="B48" s="1027" t="s">
        <v>769</v>
      </c>
      <c r="C48" s="1029" t="s">
        <v>770</v>
      </c>
      <c r="D48" s="1043"/>
      <c r="E48" s="1043"/>
      <c r="F48" s="1043"/>
      <c r="G48" s="225"/>
    </row>
    <row r="49" spans="1:8" x14ac:dyDescent="0.25">
      <c r="D49" s="225"/>
      <c r="E49" s="225"/>
      <c r="F49" s="225"/>
      <c r="G49" s="225"/>
    </row>
    <row r="51" spans="1:8" ht="39.950000000000003" customHeight="1" x14ac:dyDescent="0.35">
      <c r="A51" s="161"/>
      <c r="B51" s="164" t="s">
        <v>638</v>
      </c>
      <c r="C51" s="161"/>
      <c r="D51" s="161"/>
    </row>
    <row r="52" spans="1:8" ht="29.25" customHeight="1" x14ac:dyDescent="0.25">
      <c r="A52" s="293"/>
      <c r="B52" s="1024" t="s">
        <v>10</v>
      </c>
      <c r="C52" s="1024" t="s">
        <v>8</v>
      </c>
      <c r="D52" s="1024" t="s">
        <v>18</v>
      </c>
      <c r="E52" s="1042"/>
      <c r="F52" s="1042"/>
      <c r="G52" s="225"/>
    </row>
    <row r="53" spans="1:8" ht="39.950000000000003" customHeight="1" x14ac:dyDescent="0.25">
      <c r="A53" s="244">
        <v>2</v>
      </c>
      <c r="B53" s="1027" t="s">
        <v>840</v>
      </c>
      <c r="C53" s="1029" t="s">
        <v>841</v>
      </c>
      <c r="D53" s="1029" t="s">
        <v>842</v>
      </c>
      <c r="E53" s="1043"/>
      <c r="F53" s="1043"/>
      <c r="G53" s="225"/>
    </row>
    <row r="54" spans="1:8" ht="39.950000000000003" customHeight="1" x14ac:dyDescent="0.25">
      <c r="A54" s="245">
        <v>3</v>
      </c>
      <c r="B54" s="1027" t="s">
        <v>967</v>
      </c>
      <c r="C54" s="1029" t="s">
        <v>968</v>
      </c>
      <c r="D54" s="1029" t="s">
        <v>969</v>
      </c>
      <c r="E54" s="1043"/>
      <c r="F54" s="1043"/>
      <c r="G54" s="225"/>
    </row>
    <row r="55" spans="1:8" ht="39.950000000000003" customHeight="1" x14ac:dyDescent="0.25">
      <c r="A55" s="246">
        <v>4</v>
      </c>
      <c r="B55" s="1027" t="s">
        <v>771</v>
      </c>
      <c r="C55" s="1029" t="s">
        <v>772</v>
      </c>
      <c r="D55" s="1029" t="s">
        <v>773</v>
      </c>
      <c r="E55" s="1043"/>
      <c r="F55" s="1043"/>
      <c r="G55" s="225"/>
    </row>
    <row r="56" spans="1:8" x14ac:dyDescent="0.25">
      <c r="E56" s="225"/>
      <c r="F56" s="225"/>
      <c r="G56" s="225"/>
      <c r="H56" s="168"/>
    </row>
    <row r="57" spans="1:8" x14ac:dyDescent="0.25">
      <c r="F57" s="168"/>
      <c r="G57" s="168"/>
      <c r="H57" s="168"/>
    </row>
    <row r="58" spans="1:8" ht="23.25" x14ac:dyDescent="0.35">
      <c r="A58" s="161"/>
      <c r="B58" s="164" t="s">
        <v>701</v>
      </c>
      <c r="C58" s="161"/>
      <c r="D58" s="161"/>
      <c r="F58" s="168"/>
      <c r="G58" s="168"/>
      <c r="H58" s="168"/>
    </row>
    <row r="59" spans="1:8" ht="21" x14ac:dyDescent="0.25">
      <c r="A59" s="293"/>
      <c r="B59" s="1024" t="s">
        <v>18</v>
      </c>
      <c r="C59" s="1024" t="s">
        <v>179</v>
      </c>
      <c r="D59" s="1024" t="s">
        <v>20</v>
      </c>
      <c r="F59" s="168"/>
      <c r="G59" s="1001"/>
      <c r="H59" s="168"/>
    </row>
    <row r="60" spans="1:8" ht="43.5" customHeight="1" x14ac:dyDescent="0.25">
      <c r="A60" s="244">
        <v>2</v>
      </c>
      <c r="B60" s="1027" t="s">
        <v>843</v>
      </c>
      <c r="C60" s="1029" t="s">
        <v>844</v>
      </c>
      <c r="D60" s="1029" t="s">
        <v>845</v>
      </c>
      <c r="F60" s="168"/>
      <c r="G60" s="1001"/>
      <c r="H60" s="168"/>
    </row>
    <row r="61" spans="1:8" ht="56.25" customHeight="1" x14ac:dyDescent="0.25">
      <c r="A61" s="245">
        <v>3</v>
      </c>
      <c r="B61" s="1027" t="s">
        <v>970</v>
      </c>
      <c r="C61" s="1029" t="s">
        <v>971</v>
      </c>
      <c r="D61" s="1029" t="s">
        <v>972</v>
      </c>
      <c r="F61" s="168"/>
      <c r="G61" s="1001"/>
      <c r="H61" s="168"/>
    </row>
    <row r="62" spans="1:8" ht="66.75" customHeight="1" x14ac:dyDescent="0.25">
      <c r="A62" s="246">
        <v>4</v>
      </c>
      <c r="B62" s="1027" t="s">
        <v>702</v>
      </c>
      <c r="C62" s="1029" t="s">
        <v>703</v>
      </c>
      <c r="D62" s="1029" t="s">
        <v>778</v>
      </c>
      <c r="F62" s="168"/>
      <c r="G62" s="168"/>
      <c r="H62" s="168"/>
    </row>
  </sheetData>
  <mergeCells count="4">
    <mergeCell ref="H10:I10"/>
    <mergeCell ref="H11:I11"/>
    <mergeCell ref="H12:I12"/>
    <mergeCell ref="H13:I13"/>
  </mergeCells>
  <pageMargins left="0.7" right="0.7" top="0.75" bottom="0.75" header="0.3" footer="0.3"/>
  <pageSetup paperSize="9" orientation="portrait" horizontalDpi="0" verticalDpi="0"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61"/>
  <sheetViews>
    <sheetView topLeftCell="A55" workbookViewId="0">
      <selection activeCell="B53" sqref="B53"/>
    </sheetView>
  </sheetViews>
  <sheetFormatPr defaultRowHeight="15" x14ac:dyDescent="0.25"/>
  <sheetData>
    <row r="1" spans="1:14" ht="21" x14ac:dyDescent="0.35">
      <c r="B1" s="2912" t="s">
        <v>151</v>
      </c>
      <c r="C1" s="2912"/>
      <c r="D1" s="2912"/>
      <c r="E1" s="2912"/>
      <c r="F1" s="2912"/>
      <c r="G1" s="2912"/>
      <c r="H1" s="2912"/>
    </row>
    <row r="2" spans="1:14" ht="23.25" x14ac:dyDescent="0.35">
      <c r="B2" s="29" t="s">
        <v>143</v>
      </c>
    </row>
    <row r="3" spans="1:14" ht="17.25" customHeight="1" x14ac:dyDescent="0.3">
      <c r="B3" s="149">
        <v>2</v>
      </c>
      <c r="C3" s="149">
        <v>3</v>
      </c>
      <c r="D3" s="149">
        <v>4</v>
      </c>
      <c r="E3" s="149">
        <v>5</v>
      </c>
      <c r="F3" s="149">
        <v>6</v>
      </c>
      <c r="G3" s="149">
        <v>7</v>
      </c>
      <c r="H3" s="149">
        <v>8</v>
      </c>
      <c r="I3" s="149">
        <v>9</v>
      </c>
      <c r="J3" s="149">
        <v>10</v>
      </c>
      <c r="K3" s="1010"/>
      <c r="N3" s="78"/>
    </row>
    <row r="4" spans="1:14" ht="18.75" x14ac:dyDescent="0.25">
      <c r="B4" s="217" t="s">
        <v>155</v>
      </c>
      <c r="C4" s="217" t="s">
        <v>606</v>
      </c>
      <c r="D4" s="217" t="s">
        <v>607</v>
      </c>
      <c r="E4" s="217" t="s">
        <v>603</v>
      </c>
      <c r="F4" s="217" t="s">
        <v>604</v>
      </c>
      <c r="G4" s="217" t="s">
        <v>605</v>
      </c>
      <c r="H4" s="217" t="s">
        <v>187</v>
      </c>
      <c r="I4" s="217" t="s">
        <v>17</v>
      </c>
      <c r="J4" s="217" t="s">
        <v>22</v>
      </c>
      <c r="K4" s="301"/>
      <c r="N4" s="201"/>
    </row>
    <row r="5" spans="1:14" s="182" customFormat="1" ht="40.5" customHeight="1" x14ac:dyDescent="0.2">
      <c r="A5" s="302">
        <v>2</v>
      </c>
      <c r="B5" s="1031" t="s">
        <v>846</v>
      </c>
      <c r="C5" s="1031" t="s">
        <v>847</v>
      </c>
      <c r="D5" s="1031" t="s">
        <v>848</v>
      </c>
      <c r="E5" s="1031" t="s">
        <v>849</v>
      </c>
      <c r="F5" s="1031" t="s">
        <v>850</v>
      </c>
      <c r="G5" s="1031" t="s">
        <v>851</v>
      </c>
      <c r="H5" s="1031" t="s">
        <v>852</v>
      </c>
      <c r="I5" s="1031" t="s">
        <v>853</v>
      </c>
      <c r="J5" s="1031" t="s">
        <v>854</v>
      </c>
      <c r="K5" s="1030"/>
    </row>
    <row r="6" spans="1:14" ht="49.5" customHeight="1" x14ac:dyDescent="0.25">
      <c r="A6" s="303">
        <v>3</v>
      </c>
      <c r="B6" s="183" t="s">
        <v>890</v>
      </c>
      <c r="C6" s="183" t="s">
        <v>891</v>
      </c>
      <c r="D6" s="183" t="s">
        <v>892</v>
      </c>
      <c r="E6" s="183" t="s">
        <v>893</v>
      </c>
      <c r="F6" s="183" t="s">
        <v>894</v>
      </c>
      <c r="G6" s="183" t="s">
        <v>895</v>
      </c>
      <c r="H6" s="183" t="s">
        <v>896</v>
      </c>
      <c r="I6" s="183" t="s">
        <v>897</v>
      </c>
      <c r="J6" s="183" t="s">
        <v>898</v>
      </c>
      <c r="K6" s="1030"/>
    </row>
    <row r="7" spans="1:14" ht="49.5" customHeight="1" x14ac:dyDescent="0.25">
      <c r="A7" s="304">
        <v>4</v>
      </c>
      <c r="B7" s="184" t="s">
        <v>646</v>
      </c>
      <c r="C7" s="184" t="s">
        <v>647</v>
      </c>
      <c r="D7" s="184" t="s">
        <v>648</v>
      </c>
      <c r="E7" s="184" t="s">
        <v>649</v>
      </c>
      <c r="F7" s="184" t="s">
        <v>650</v>
      </c>
      <c r="G7" s="184" t="s">
        <v>651</v>
      </c>
      <c r="H7" s="184" t="s">
        <v>652</v>
      </c>
      <c r="I7" s="184" t="s">
        <v>653</v>
      </c>
      <c r="J7" s="184" t="s">
        <v>654</v>
      </c>
      <c r="K7" s="1030"/>
    </row>
    <row r="8" spans="1:14" x14ac:dyDescent="0.25">
      <c r="K8" s="225"/>
    </row>
    <row r="9" spans="1:14" ht="21" x14ac:dyDescent="0.35">
      <c r="B9" s="209" t="s">
        <v>170</v>
      </c>
      <c r="C9" s="210"/>
      <c r="K9" s="225"/>
    </row>
    <row r="11" spans="1:14" x14ac:dyDescent="0.25">
      <c r="B11" s="149">
        <v>2</v>
      </c>
      <c r="C11" s="149">
        <v>3</v>
      </c>
      <c r="D11" s="149">
        <v>4</v>
      </c>
      <c r="E11" s="1010"/>
    </row>
    <row r="12" spans="1:14" ht="18.75" x14ac:dyDescent="0.25">
      <c r="B12" s="1063" t="s">
        <v>154</v>
      </c>
      <c r="C12" s="1063" t="s">
        <v>155</v>
      </c>
      <c r="D12" s="1063" t="s">
        <v>9</v>
      </c>
      <c r="E12" s="301"/>
    </row>
    <row r="13" spans="1:14" ht="47.25" customHeight="1" x14ac:dyDescent="0.25">
      <c r="A13" s="302">
        <v>2</v>
      </c>
      <c r="B13" s="1031" t="s">
        <v>855</v>
      </c>
      <c r="C13" s="1031" t="s">
        <v>856</v>
      </c>
      <c r="D13" s="1031" t="s">
        <v>857</v>
      </c>
      <c r="E13" s="1032"/>
    </row>
    <row r="14" spans="1:14" ht="48" customHeight="1" x14ac:dyDescent="0.25">
      <c r="A14" s="303">
        <v>3</v>
      </c>
      <c r="B14" s="1031" t="s">
        <v>899</v>
      </c>
      <c r="C14" s="1031" t="s">
        <v>900</v>
      </c>
      <c r="D14" s="1031" t="s">
        <v>901</v>
      </c>
      <c r="E14" s="1032"/>
    </row>
    <row r="15" spans="1:14" ht="46.5" customHeight="1" x14ac:dyDescent="0.25">
      <c r="A15" s="304">
        <v>4</v>
      </c>
      <c r="B15" s="1031" t="s">
        <v>655</v>
      </c>
      <c r="C15" s="1031" t="s">
        <v>724</v>
      </c>
      <c r="D15" s="1031" t="s">
        <v>656</v>
      </c>
      <c r="E15" s="1032"/>
    </row>
    <row r="17" spans="1:16" x14ac:dyDescent="0.25">
      <c r="J17" s="168"/>
      <c r="K17" s="168"/>
      <c r="L17" s="168"/>
      <c r="M17" s="168"/>
      <c r="N17" s="168"/>
      <c r="O17" s="168"/>
      <c r="P17" s="168"/>
    </row>
    <row r="18" spans="1:16" ht="21" x14ac:dyDescent="0.35">
      <c r="A18" s="2913" t="s">
        <v>171</v>
      </c>
      <c r="B18" s="2913"/>
      <c r="C18" s="2913"/>
      <c r="D18" s="2913"/>
      <c r="E18" s="2913"/>
      <c r="J18" s="168"/>
      <c r="K18" s="2911"/>
      <c r="L18" s="2911"/>
      <c r="M18" s="1132"/>
      <c r="N18" s="168"/>
      <c r="O18" s="168"/>
      <c r="P18" s="168"/>
    </row>
    <row r="19" spans="1:16" ht="23.25" customHeight="1" x14ac:dyDescent="0.25">
      <c r="B19" s="223" t="s">
        <v>154</v>
      </c>
      <c r="C19" s="223" t="s">
        <v>155</v>
      </c>
      <c r="D19" s="223" t="s">
        <v>9</v>
      </c>
      <c r="E19" s="223" t="s">
        <v>11</v>
      </c>
      <c r="F19" s="805"/>
      <c r="G19" s="225"/>
      <c r="H19" s="225"/>
      <c r="J19" s="168"/>
      <c r="K19" s="2911"/>
      <c r="L19" s="2911"/>
      <c r="M19" s="1132"/>
      <c r="N19" s="168"/>
      <c r="O19" s="168"/>
      <c r="P19" s="168"/>
    </row>
    <row r="20" spans="1:16" ht="33.75" customHeight="1" x14ac:dyDescent="0.25">
      <c r="A20" s="213">
        <v>2</v>
      </c>
      <c r="B20" s="1064" t="s">
        <v>855</v>
      </c>
      <c r="C20" s="208" t="s">
        <v>856</v>
      </c>
      <c r="D20" s="1065" t="s">
        <v>857</v>
      </c>
      <c r="E20" s="208" t="s">
        <v>858</v>
      </c>
      <c r="F20" s="1008"/>
      <c r="G20" s="225"/>
      <c r="H20" s="225"/>
      <c r="J20" s="168"/>
      <c r="K20" s="2911"/>
      <c r="L20" s="2911"/>
      <c r="M20" s="1133"/>
      <c r="N20" s="168"/>
      <c r="O20" s="168"/>
      <c r="P20" s="168"/>
    </row>
    <row r="21" spans="1:16" ht="30.75" customHeight="1" x14ac:dyDescent="0.25">
      <c r="A21" s="214">
        <v>3</v>
      </c>
      <c r="B21" s="208" t="s">
        <v>899</v>
      </c>
      <c r="C21" s="208" t="s">
        <v>902</v>
      </c>
      <c r="D21" s="208" t="s">
        <v>901</v>
      </c>
      <c r="E21" s="208" t="s">
        <v>903</v>
      </c>
      <c r="F21" s="1008"/>
      <c r="G21" s="225"/>
      <c r="H21" s="225"/>
      <c r="J21" s="168"/>
      <c r="K21" s="2911"/>
      <c r="L21" s="2911"/>
      <c r="M21" s="1132"/>
      <c r="N21" s="168"/>
      <c r="O21" s="168"/>
      <c r="P21" s="168"/>
    </row>
    <row r="22" spans="1:16" ht="42.75" customHeight="1" x14ac:dyDescent="0.25">
      <c r="A22" s="215">
        <v>4</v>
      </c>
      <c r="B22" s="208" t="s">
        <v>655</v>
      </c>
      <c r="C22" s="208" t="s">
        <v>711</v>
      </c>
      <c r="D22" s="208" t="s">
        <v>656</v>
      </c>
      <c r="E22" s="208" t="s">
        <v>712</v>
      </c>
      <c r="F22" s="1008"/>
      <c r="G22" s="225"/>
      <c r="H22" s="225"/>
    </row>
    <row r="23" spans="1:16" x14ac:dyDescent="0.25">
      <c r="F23" s="225"/>
      <c r="G23" s="225"/>
      <c r="H23" s="225"/>
    </row>
    <row r="24" spans="1:16" x14ac:dyDescent="0.25">
      <c r="F24" s="225"/>
      <c r="G24" s="225"/>
      <c r="H24" s="225"/>
    </row>
    <row r="25" spans="1:16" ht="23.25" x14ac:dyDescent="0.35">
      <c r="A25" s="210"/>
      <c r="B25" s="300" t="s">
        <v>197</v>
      </c>
      <c r="C25" s="210"/>
      <c r="D25" s="210"/>
    </row>
    <row r="26" spans="1:16" x14ac:dyDescent="0.25">
      <c r="B26" s="149">
        <v>2</v>
      </c>
      <c r="C26" s="149">
        <v>3</v>
      </c>
      <c r="D26" s="149">
        <v>4</v>
      </c>
      <c r="E26" s="149">
        <v>5</v>
      </c>
      <c r="F26" s="149">
        <v>6</v>
      </c>
      <c r="G26" s="149">
        <v>7</v>
      </c>
      <c r="H26" s="149">
        <v>8</v>
      </c>
      <c r="I26" s="149">
        <v>9</v>
      </c>
      <c r="J26" s="149">
        <v>10</v>
      </c>
      <c r="K26" s="149">
        <v>11</v>
      </c>
      <c r="L26" s="149">
        <v>12</v>
      </c>
    </row>
    <row r="27" spans="1:16" ht="27" customHeight="1" x14ac:dyDescent="0.25">
      <c r="B27" s="583" t="s">
        <v>154</v>
      </c>
      <c r="C27" s="583" t="s">
        <v>155</v>
      </c>
      <c r="D27" s="583" t="s">
        <v>16</v>
      </c>
      <c r="E27" s="583" t="s">
        <v>189</v>
      </c>
      <c r="F27" s="583" t="s">
        <v>186</v>
      </c>
      <c r="G27" s="583" t="s">
        <v>187</v>
      </c>
      <c r="H27" s="583" t="s">
        <v>17</v>
      </c>
      <c r="I27" s="583" t="s">
        <v>188</v>
      </c>
      <c r="J27" s="583" t="s">
        <v>569</v>
      </c>
      <c r="K27" s="583" t="s">
        <v>209</v>
      </c>
      <c r="L27" s="583" t="s">
        <v>210</v>
      </c>
    </row>
    <row r="28" spans="1:16" ht="50.25" customHeight="1" x14ac:dyDescent="0.25">
      <c r="A28" s="302">
        <v>2</v>
      </c>
      <c r="B28" s="208" t="s">
        <v>859</v>
      </c>
      <c r="C28" s="208" t="s">
        <v>860</v>
      </c>
      <c r="D28" s="208" t="s">
        <v>861</v>
      </c>
      <c r="E28" s="208" t="s">
        <v>862</v>
      </c>
      <c r="F28" s="208" t="s">
        <v>863</v>
      </c>
      <c r="G28" s="208" t="s">
        <v>864</v>
      </c>
      <c r="H28" s="208" t="s">
        <v>865</v>
      </c>
      <c r="I28" s="208" t="s">
        <v>866</v>
      </c>
      <c r="J28" s="208" t="s">
        <v>867</v>
      </c>
      <c r="K28" s="208" t="s">
        <v>868</v>
      </c>
      <c r="L28" s="208" t="s">
        <v>869</v>
      </c>
    </row>
    <row r="29" spans="1:16" ht="48" customHeight="1" x14ac:dyDescent="0.25">
      <c r="A29" s="303">
        <v>3</v>
      </c>
      <c r="B29" s="243" t="s">
        <v>924</v>
      </c>
      <c r="C29" s="243" t="s">
        <v>925</v>
      </c>
      <c r="D29" s="243" t="s">
        <v>926</v>
      </c>
      <c r="E29" s="243" t="s">
        <v>927</v>
      </c>
      <c r="F29" s="243" t="s">
        <v>928</v>
      </c>
      <c r="G29" s="243" t="s">
        <v>929</v>
      </c>
      <c r="H29" s="243" t="s">
        <v>930</v>
      </c>
      <c r="I29" s="243" t="s">
        <v>904</v>
      </c>
      <c r="J29" s="243" t="s">
        <v>931</v>
      </c>
      <c r="K29" s="243" t="s">
        <v>932</v>
      </c>
      <c r="L29" s="243" t="s">
        <v>932</v>
      </c>
    </row>
    <row r="30" spans="1:16" ht="50.25" customHeight="1" x14ac:dyDescent="0.25">
      <c r="A30" s="304">
        <v>4</v>
      </c>
      <c r="B30" s="243" t="s">
        <v>657</v>
      </c>
      <c r="C30" s="243" t="s">
        <v>658</v>
      </c>
      <c r="D30" s="243" t="s">
        <v>659</v>
      </c>
      <c r="E30" s="243" t="s">
        <v>660</v>
      </c>
      <c r="F30" s="243" t="s">
        <v>661</v>
      </c>
      <c r="G30" s="243" t="s">
        <v>662</v>
      </c>
      <c r="H30" s="243" t="s">
        <v>663</v>
      </c>
      <c r="I30" s="243" t="s">
        <v>664</v>
      </c>
      <c r="J30" s="243" t="s">
        <v>665</v>
      </c>
      <c r="K30" s="243" t="s">
        <v>666</v>
      </c>
      <c r="L30" s="243" t="s">
        <v>666</v>
      </c>
    </row>
    <row r="31" spans="1:16" x14ac:dyDescent="0.25">
      <c r="J31" s="225"/>
      <c r="K31" s="225"/>
    </row>
    <row r="32" spans="1:16" x14ac:dyDescent="0.25">
      <c r="J32" s="225"/>
      <c r="K32" s="225"/>
    </row>
    <row r="33" spans="1:15" ht="30" customHeight="1" x14ac:dyDescent="0.25">
      <c r="A33" s="210"/>
      <c r="B33" s="306" t="s">
        <v>211</v>
      </c>
      <c r="C33" s="210"/>
      <c r="D33" s="210"/>
      <c r="H33" s="225"/>
      <c r="I33" s="225"/>
      <c r="J33" s="225"/>
      <c r="K33" s="225"/>
      <c r="L33" s="225"/>
      <c r="M33" s="225"/>
      <c r="N33" s="225"/>
      <c r="O33" s="225"/>
    </row>
    <row r="34" spans="1:15" ht="30" customHeight="1" x14ac:dyDescent="0.25">
      <c r="B34" s="307">
        <v>2</v>
      </c>
      <c r="C34" s="307">
        <v>3</v>
      </c>
      <c r="D34" s="307">
        <v>4</v>
      </c>
      <c r="E34" s="307">
        <v>5</v>
      </c>
      <c r="F34" s="307">
        <v>6</v>
      </c>
      <c r="G34" s="307">
        <v>7</v>
      </c>
      <c r="H34" s="301"/>
      <c r="I34" s="301"/>
      <c r="J34" s="301"/>
      <c r="K34" s="301"/>
      <c r="L34" s="301"/>
      <c r="M34" s="301"/>
      <c r="N34" s="225"/>
      <c r="O34" s="225"/>
    </row>
    <row r="35" spans="1:15" ht="30" customHeight="1" x14ac:dyDescent="0.25">
      <c r="B35" s="1036" t="s">
        <v>154</v>
      </c>
      <c r="C35" s="1036" t="s">
        <v>155</v>
      </c>
      <c r="D35" s="1036" t="s">
        <v>11</v>
      </c>
      <c r="E35" s="1036" t="s">
        <v>16</v>
      </c>
      <c r="F35" s="1036" t="s">
        <v>186</v>
      </c>
      <c r="G35" s="1036" t="s">
        <v>22</v>
      </c>
      <c r="H35" s="309"/>
      <c r="I35" s="309"/>
      <c r="J35" s="309"/>
      <c r="K35" s="309"/>
      <c r="L35" s="309"/>
      <c r="M35" s="309"/>
      <c r="N35" s="225"/>
      <c r="O35" s="225"/>
    </row>
    <row r="36" spans="1:15" ht="44.25" customHeight="1" x14ac:dyDescent="0.25">
      <c r="A36" s="302">
        <v>2</v>
      </c>
      <c r="B36" s="208" t="s">
        <v>870</v>
      </c>
      <c r="C36" s="208" t="s">
        <v>871</v>
      </c>
      <c r="D36" s="208" t="s">
        <v>872</v>
      </c>
      <c r="E36" s="208" t="s">
        <v>873</v>
      </c>
      <c r="F36" s="208" t="s">
        <v>874</v>
      </c>
      <c r="G36" s="208" t="s">
        <v>875</v>
      </c>
      <c r="H36" s="1035"/>
      <c r="I36" s="1035"/>
      <c r="J36" s="1034"/>
      <c r="K36" s="1034"/>
      <c r="L36" s="1034"/>
      <c r="M36" s="1034"/>
      <c r="N36" s="225"/>
      <c r="O36" s="225"/>
    </row>
    <row r="37" spans="1:15" ht="46.5" customHeight="1" x14ac:dyDescent="0.25">
      <c r="A37" s="303">
        <v>3</v>
      </c>
      <c r="B37" s="243" t="s">
        <v>905</v>
      </c>
      <c r="C37" s="243" t="s">
        <v>906</v>
      </c>
      <c r="D37" s="243" t="s">
        <v>907</v>
      </c>
      <c r="E37" s="243" t="s">
        <v>908</v>
      </c>
      <c r="F37" s="243" t="s">
        <v>909</v>
      </c>
      <c r="G37" s="243" t="s">
        <v>910</v>
      </c>
      <c r="H37" s="1035"/>
      <c r="I37" s="1035"/>
      <c r="J37" s="1034"/>
      <c r="K37" s="1034"/>
      <c r="L37" s="1034"/>
      <c r="M37" s="1034"/>
      <c r="N37" s="225"/>
      <c r="O37" s="225"/>
    </row>
    <row r="38" spans="1:15" ht="48.75" customHeight="1" x14ac:dyDescent="0.25">
      <c r="A38" s="304">
        <v>4</v>
      </c>
      <c r="B38" s="243" t="s">
        <v>699</v>
      </c>
      <c r="C38" s="243" t="s">
        <v>673</v>
      </c>
      <c r="D38" s="243" t="s">
        <v>674</v>
      </c>
      <c r="E38" s="243" t="s">
        <v>675</v>
      </c>
      <c r="F38" s="243" t="s">
        <v>676</v>
      </c>
      <c r="G38" s="243" t="s">
        <v>677</v>
      </c>
      <c r="H38" s="1035"/>
      <c r="I38" s="1035"/>
      <c r="J38" s="1034"/>
      <c r="K38" s="1034"/>
      <c r="L38" s="1034"/>
      <c r="M38" s="1034"/>
      <c r="N38" s="225"/>
      <c r="O38" s="225"/>
    </row>
    <row r="39" spans="1:15" x14ac:dyDescent="0.25">
      <c r="H39" s="225"/>
      <c r="I39" s="225"/>
      <c r="J39" s="225"/>
      <c r="K39" s="225"/>
      <c r="L39" s="225"/>
      <c r="M39" s="225"/>
      <c r="N39" s="225"/>
      <c r="O39" s="225"/>
    </row>
    <row r="40" spans="1:15" x14ac:dyDescent="0.25">
      <c r="H40" s="225"/>
      <c r="I40" s="225"/>
      <c r="J40" s="225"/>
      <c r="K40" s="225"/>
      <c r="L40" s="225"/>
      <c r="M40" s="225"/>
      <c r="N40" s="225"/>
      <c r="O40" s="225"/>
    </row>
    <row r="41" spans="1:15" ht="26.1" customHeight="1" x14ac:dyDescent="0.25">
      <c r="A41" s="312"/>
      <c r="B41" s="313" t="s">
        <v>202</v>
      </c>
      <c r="C41" s="312"/>
      <c r="D41" s="312"/>
    </row>
    <row r="42" spans="1:15" ht="26.1" customHeight="1" x14ac:dyDescent="0.25">
      <c r="B42" s="307">
        <v>2</v>
      </c>
      <c r="C42" s="307">
        <v>3</v>
      </c>
      <c r="D42" s="307">
        <v>4</v>
      </c>
      <c r="E42" s="307">
        <v>5</v>
      </c>
      <c r="F42" s="307">
        <v>6</v>
      </c>
      <c r="G42" s="301"/>
      <c r="H42" s="301"/>
      <c r="I42" s="301"/>
      <c r="J42" s="301"/>
      <c r="K42" s="301"/>
      <c r="L42" s="301"/>
      <c r="M42" s="301"/>
      <c r="N42" s="225"/>
    </row>
    <row r="43" spans="1:15" ht="26.1" customHeight="1" x14ac:dyDescent="0.25">
      <c r="B43" s="311" t="s">
        <v>155</v>
      </c>
      <c r="C43" s="311" t="s">
        <v>9</v>
      </c>
      <c r="D43" s="311" t="s">
        <v>11</v>
      </c>
      <c r="E43" s="311" t="s">
        <v>16</v>
      </c>
      <c r="F43" s="311" t="s">
        <v>189</v>
      </c>
      <c r="G43" s="309"/>
      <c r="H43" s="309"/>
      <c r="I43" s="309"/>
      <c r="J43" s="309"/>
      <c r="K43" s="309"/>
      <c r="L43" s="309"/>
      <c r="M43" s="309"/>
      <c r="N43" s="225"/>
    </row>
    <row r="44" spans="1:15" ht="45" customHeight="1" x14ac:dyDescent="0.25">
      <c r="A44" s="302">
        <v>2</v>
      </c>
      <c r="B44" s="208" t="s">
        <v>876</v>
      </c>
      <c r="C44" s="208" t="s">
        <v>618</v>
      </c>
      <c r="D44" s="208" t="s">
        <v>877</v>
      </c>
      <c r="E44" s="208" t="s">
        <v>878</v>
      </c>
      <c r="F44" s="208" t="s">
        <v>879</v>
      </c>
      <c r="G44" s="1037"/>
      <c r="H44" s="1037"/>
      <c r="I44" s="310"/>
      <c r="J44" s="308"/>
      <c r="K44" s="308"/>
      <c r="L44" s="308"/>
      <c r="M44" s="308"/>
      <c r="N44" s="225"/>
    </row>
    <row r="45" spans="1:15" ht="39.75" customHeight="1" x14ac:dyDescent="0.25">
      <c r="A45" s="303">
        <v>3</v>
      </c>
      <c r="B45" s="243" t="s">
        <v>933</v>
      </c>
      <c r="C45" s="243" t="s">
        <v>911</v>
      </c>
      <c r="D45" s="243" t="s">
        <v>912</v>
      </c>
      <c r="E45" s="243" t="s">
        <v>913</v>
      </c>
      <c r="F45" s="243" t="s">
        <v>914</v>
      </c>
      <c r="G45" s="1037"/>
      <c r="H45" s="1037"/>
      <c r="I45" s="310"/>
      <c r="J45" s="308"/>
      <c r="K45" s="308"/>
      <c r="L45" s="308"/>
      <c r="M45" s="308"/>
      <c r="N45" s="225"/>
    </row>
    <row r="46" spans="1:15" ht="40.5" customHeight="1" x14ac:dyDescent="0.25">
      <c r="A46" s="304">
        <v>4</v>
      </c>
      <c r="B46" s="243" t="s">
        <v>934</v>
      </c>
      <c r="C46" s="243" t="s">
        <v>678</v>
      </c>
      <c r="D46" s="243" t="s">
        <v>679</v>
      </c>
      <c r="E46" s="243" t="s">
        <v>680</v>
      </c>
      <c r="F46" s="243" t="s">
        <v>681</v>
      </c>
      <c r="G46" s="1037"/>
      <c r="H46" s="1037"/>
      <c r="I46" s="310"/>
      <c r="J46" s="308"/>
      <c r="K46" s="308"/>
      <c r="L46" s="308"/>
      <c r="M46" s="308"/>
      <c r="N46" s="225"/>
    </row>
    <row r="47" spans="1:15" x14ac:dyDescent="0.25">
      <c r="G47" s="225"/>
      <c r="H47" s="225"/>
      <c r="I47" s="225"/>
      <c r="J47" s="225"/>
      <c r="K47" s="225"/>
      <c r="L47" s="225"/>
      <c r="M47" s="225"/>
      <c r="N47" s="225"/>
    </row>
    <row r="48" spans="1:15" x14ac:dyDescent="0.25">
      <c r="G48" s="225"/>
      <c r="H48" s="225"/>
      <c r="I48" s="225"/>
      <c r="J48" s="225"/>
    </row>
    <row r="49" spans="1:11" ht="23.25" x14ac:dyDescent="0.25">
      <c r="A49" s="210"/>
      <c r="B49" s="1038" t="s">
        <v>616</v>
      </c>
      <c r="C49" s="210"/>
      <c r="D49" s="210"/>
      <c r="G49" s="225"/>
      <c r="H49" s="225"/>
      <c r="I49" s="225"/>
      <c r="J49" s="225"/>
    </row>
    <row r="50" spans="1:11" x14ac:dyDescent="0.25">
      <c r="G50" s="225"/>
      <c r="H50" s="225"/>
      <c r="I50" s="1012"/>
      <c r="J50" s="225"/>
    </row>
    <row r="51" spans="1:11" ht="38.25" customHeight="1" thickBot="1" x14ac:dyDescent="0.3">
      <c r="B51" s="1033" t="s">
        <v>11</v>
      </c>
      <c r="C51" s="1033" t="s">
        <v>189</v>
      </c>
      <c r="D51" s="1033" t="s">
        <v>186</v>
      </c>
    </row>
    <row r="52" spans="1:11" ht="50.1" customHeight="1" x14ac:dyDescent="0.25">
      <c r="A52" s="302">
        <v>2</v>
      </c>
      <c r="B52" s="314" t="s">
        <v>880</v>
      </c>
      <c r="C52" s="314" t="s">
        <v>881</v>
      </c>
      <c r="D52" s="314" t="s">
        <v>882</v>
      </c>
    </row>
    <row r="53" spans="1:11" ht="50.1" customHeight="1" x14ac:dyDescent="0.25">
      <c r="A53" s="303">
        <v>3</v>
      </c>
      <c r="B53" s="314" t="s">
        <v>915</v>
      </c>
      <c r="C53" s="314" t="s">
        <v>915</v>
      </c>
      <c r="D53" s="314" t="s">
        <v>916</v>
      </c>
    </row>
    <row r="54" spans="1:11" ht="50.1" customHeight="1" x14ac:dyDescent="0.25">
      <c r="A54" s="304">
        <v>4</v>
      </c>
      <c r="B54" s="314" t="s">
        <v>667</v>
      </c>
      <c r="C54" s="314" t="s">
        <v>668</v>
      </c>
      <c r="D54" s="314" t="s">
        <v>669</v>
      </c>
    </row>
    <row r="57" spans="1:11" ht="23.25" x14ac:dyDescent="0.35">
      <c r="B57" s="1066" t="s">
        <v>617</v>
      </c>
      <c r="H57" s="161"/>
      <c r="I57" s="164" t="s">
        <v>701</v>
      </c>
      <c r="J57" s="161"/>
      <c r="K57" s="161"/>
    </row>
    <row r="58" spans="1:11" ht="31.5" customHeight="1" x14ac:dyDescent="0.25">
      <c r="B58" s="1039" t="s">
        <v>154</v>
      </c>
      <c r="C58" s="1040" t="s">
        <v>9</v>
      </c>
      <c r="D58" s="1040" t="s">
        <v>11</v>
      </c>
      <c r="E58" s="1040" t="s">
        <v>16</v>
      </c>
      <c r="H58" s="293"/>
      <c r="I58" s="1024" t="s">
        <v>18</v>
      </c>
      <c r="J58" s="1024" t="s">
        <v>179</v>
      </c>
      <c r="K58" s="1024" t="s">
        <v>20</v>
      </c>
    </row>
    <row r="59" spans="1:11" ht="50.1" customHeight="1" x14ac:dyDescent="0.25">
      <c r="A59" s="302">
        <v>2</v>
      </c>
      <c r="B59" s="1041" t="s">
        <v>883</v>
      </c>
      <c r="C59" s="1041" t="s">
        <v>884</v>
      </c>
      <c r="D59" s="1041" t="s">
        <v>885</v>
      </c>
      <c r="E59" s="1041" t="s">
        <v>886</v>
      </c>
      <c r="H59" s="244">
        <v>2</v>
      </c>
      <c r="I59" s="1027" t="s">
        <v>887</v>
      </c>
      <c r="J59" s="1029" t="s">
        <v>888</v>
      </c>
      <c r="K59" s="1029" t="s">
        <v>889</v>
      </c>
    </row>
    <row r="60" spans="1:11" ht="50.1" customHeight="1" x14ac:dyDescent="0.25">
      <c r="A60" s="303">
        <v>3</v>
      </c>
      <c r="B60" s="1041" t="s">
        <v>917</v>
      </c>
      <c r="C60" s="1041" t="s">
        <v>918</v>
      </c>
      <c r="D60" s="1041" t="s">
        <v>919</v>
      </c>
      <c r="E60" s="1041" t="s">
        <v>920</v>
      </c>
      <c r="H60" s="245">
        <v>3</v>
      </c>
      <c r="I60" s="1027" t="s">
        <v>921</v>
      </c>
      <c r="J60" s="1029" t="s">
        <v>922</v>
      </c>
      <c r="K60" s="1029" t="s">
        <v>923</v>
      </c>
    </row>
    <row r="61" spans="1:11" ht="50.1" customHeight="1" x14ac:dyDescent="0.25">
      <c r="A61" s="304">
        <v>4</v>
      </c>
      <c r="B61" s="1041" t="s">
        <v>670</v>
      </c>
      <c r="C61" s="1041" t="s">
        <v>714</v>
      </c>
      <c r="D61" s="1041" t="s">
        <v>671</v>
      </c>
      <c r="E61" s="1041" t="s">
        <v>672</v>
      </c>
      <c r="H61" s="246">
        <v>4</v>
      </c>
      <c r="I61" s="1027" t="s">
        <v>708</v>
      </c>
      <c r="J61" s="1029" t="s">
        <v>709</v>
      </c>
      <c r="K61" s="1029" t="s">
        <v>704</v>
      </c>
    </row>
  </sheetData>
  <mergeCells count="6">
    <mergeCell ref="K21:L21"/>
    <mergeCell ref="B1:H1"/>
    <mergeCell ref="A18:E18"/>
    <mergeCell ref="K18:L18"/>
    <mergeCell ref="K19:L19"/>
    <mergeCell ref="K20:L20"/>
  </mergeCells>
  <pageMargins left="0.7" right="0.7" top="0.75" bottom="0.75" header="0.3" footer="0.3"/>
  <pageSetup paperSize="9" orientation="portrait" horizontalDpi="0" verticalDpi="0" r:id="rId1"/>
  <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K645"/>
  <sheetViews>
    <sheetView showGridLines="0" workbookViewId="0">
      <selection activeCell="AF9" sqref="AF9"/>
    </sheetView>
  </sheetViews>
  <sheetFormatPr defaultRowHeight="14.25" x14ac:dyDescent="0.2"/>
  <cols>
    <col min="1" max="1" width="3.28515625" style="404" customWidth="1"/>
    <col min="2" max="2" width="3" style="404" customWidth="1"/>
    <col min="3" max="5" width="3.7109375" style="404" customWidth="1"/>
    <col min="6" max="6" width="2.7109375" style="404" customWidth="1"/>
    <col min="7" max="11" width="3.7109375" style="404" customWidth="1"/>
    <col min="12" max="12" width="3.42578125" style="404" customWidth="1"/>
    <col min="13" max="15" width="3.7109375" style="404" customWidth="1"/>
    <col min="16" max="16" width="3.85546875" style="404" customWidth="1"/>
    <col min="17" max="17" width="2.140625" style="404" customWidth="1"/>
    <col min="18" max="20" width="3.7109375" style="404" customWidth="1"/>
    <col min="21" max="21" width="4.28515625" style="404" customWidth="1"/>
    <col min="22" max="24" width="3.7109375" style="404" customWidth="1"/>
    <col min="25" max="25" width="4.28515625" style="404" customWidth="1"/>
    <col min="26" max="26" width="3.28515625" style="404" customWidth="1"/>
    <col min="27" max="27" width="0.7109375" style="1706" hidden="1" customWidth="1"/>
    <col min="28" max="34" width="9.140625" style="404"/>
    <col min="35" max="35" width="9.140625" style="404" customWidth="1"/>
    <col min="36" max="37" width="9.140625" style="1706"/>
    <col min="38" max="16384" width="9.140625" style="404"/>
  </cols>
  <sheetData>
    <row r="1" spans="1:35" x14ac:dyDescent="0.2">
      <c r="A1" s="1720"/>
      <c r="B1" s="1720"/>
      <c r="C1" s="1720"/>
      <c r="D1" s="1720"/>
      <c r="E1" s="1720"/>
      <c r="F1" s="1720"/>
      <c r="G1" s="1720"/>
      <c r="H1" s="1720"/>
      <c r="I1" s="1720"/>
      <c r="J1" s="1720"/>
      <c r="K1" s="1720"/>
      <c r="L1" s="1720"/>
      <c r="M1" s="1720"/>
      <c r="N1" s="1720"/>
      <c r="O1" s="1720"/>
      <c r="P1" s="1720"/>
      <c r="Q1" s="1720"/>
      <c r="R1" s="1720"/>
      <c r="S1" s="1720"/>
      <c r="T1" s="1720"/>
      <c r="U1" s="1720"/>
      <c r="V1" s="1720"/>
      <c r="W1" s="1720"/>
      <c r="X1" s="1720"/>
      <c r="Y1" s="1720"/>
      <c r="Z1" s="1720"/>
      <c r="AA1" s="1721"/>
      <c r="AB1" s="1706" t="s">
        <v>426</v>
      </c>
      <c r="AC1" s="1707"/>
      <c r="AD1" s="1706"/>
      <c r="AE1" s="1706"/>
      <c r="AF1" s="1706"/>
      <c r="AG1" s="1706"/>
      <c r="AH1" s="1706"/>
      <c r="AI1" s="1706"/>
    </row>
    <row r="2" spans="1:35" x14ac:dyDescent="0.2">
      <c r="A2" s="1720"/>
      <c r="B2" s="1720"/>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1"/>
      <c r="AB2" s="3042">
        <v>1</v>
      </c>
      <c r="AC2" s="3022">
        <v>6</v>
      </c>
      <c r="AD2" s="2999" t="str">
        <f>VLOOKUP(AC2,data_siswa,4,FALSE)</f>
        <v>Asyam Hanif Ihsan H</v>
      </c>
      <c r="AE2" s="3000"/>
      <c r="AF2" s="3000"/>
      <c r="AG2" s="3001"/>
      <c r="AH2" s="1706"/>
      <c r="AI2" s="1706"/>
    </row>
    <row r="3" spans="1:35" x14ac:dyDescent="0.2">
      <c r="A3" s="1720"/>
      <c r="B3" s="1720"/>
      <c r="C3" s="1720"/>
      <c r="D3" s="1720"/>
      <c r="E3" s="1720"/>
      <c r="F3" s="1720"/>
      <c r="G3" s="1720"/>
      <c r="H3" s="1720"/>
      <c r="I3" s="1720"/>
      <c r="J3" s="1720"/>
      <c r="K3" s="1720"/>
      <c r="L3" s="1720"/>
      <c r="M3" s="1720"/>
      <c r="N3" s="1720"/>
      <c r="O3" s="1720"/>
      <c r="P3" s="1720"/>
      <c r="Q3" s="1720"/>
      <c r="R3" s="1720"/>
      <c r="S3" s="1720"/>
      <c r="T3" s="1720"/>
      <c r="U3" s="1720"/>
      <c r="V3" s="1720"/>
      <c r="W3" s="1720"/>
      <c r="X3" s="1720"/>
      <c r="Y3" s="1720"/>
      <c r="Z3" s="1720"/>
      <c r="AA3" s="1721"/>
      <c r="AB3" s="3042"/>
      <c r="AC3" s="3023"/>
      <c r="AD3" s="3002"/>
      <c r="AE3" s="3003"/>
      <c r="AF3" s="3003"/>
      <c r="AG3" s="3004"/>
      <c r="AH3" s="1706"/>
      <c r="AI3" s="1706"/>
    </row>
    <row r="4" spans="1:35" x14ac:dyDescent="0.2">
      <c r="A4" s="1720"/>
      <c r="B4" s="1720"/>
      <c r="C4" s="1720"/>
      <c r="D4" s="1720"/>
      <c r="E4" s="1720"/>
      <c r="F4" s="1720"/>
      <c r="G4" s="1720"/>
      <c r="H4" s="1720"/>
      <c r="I4" s="1720"/>
      <c r="J4" s="1720"/>
      <c r="K4" s="1720"/>
      <c r="L4" s="1720"/>
      <c r="M4" s="1720"/>
      <c r="N4" s="1720"/>
      <c r="O4" s="1720"/>
      <c r="P4" s="1720"/>
      <c r="Q4" s="1720"/>
      <c r="R4" s="1720"/>
      <c r="S4" s="1720"/>
      <c r="T4" s="1720"/>
      <c r="U4" s="1720"/>
      <c r="V4" s="1720"/>
      <c r="W4" s="1720"/>
      <c r="X4" s="1720"/>
      <c r="Y4" s="1720"/>
      <c r="Z4" s="1720"/>
      <c r="AA4" s="1721"/>
      <c r="AB4" s="1706"/>
      <c r="AC4" s="1706"/>
      <c r="AD4" s="1706"/>
      <c r="AE4" s="1706"/>
      <c r="AF4" s="1706"/>
      <c r="AG4" s="1706"/>
      <c r="AH4" s="1706"/>
      <c r="AI4" s="1706"/>
    </row>
    <row r="5" spans="1:35" x14ac:dyDescent="0.2">
      <c r="A5" s="1720"/>
      <c r="B5" s="1720"/>
      <c r="C5" s="1720"/>
      <c r="D5" s="1720"/>
      <c r="E5" s="1720"/>
      <c r="F5" s="1720"/>
      <c r="G5" s="1720"/>
      <c r="H5" s="1720"/>
      <c r="I5" s="1720"/>
      <c r="J5" s="1720"/>
      <c r="K5" s="1720"/>
      <c r="L5" s="1720"/>
      <c r="M5" s="1720"/>
      <c r="N5" s="1720"/>
      <c r="O5" s="1720"/>
      <c r="P5" s="1720"/>
      <c r="Q5" s="1720"/>
      <c r="R5" s="1720"/>
      <c r="S5" s="1720"/>
      <c r="T5" s="1720"/>
      <c r="U5" s="1720"/>
      <c r="V5" s="1720"/>
      <c r="W5" s="1720"/>
      <c r="X5" s="1720"/>
      <c r="Y5" s="1720"/>
      <c r="Z5" s="1720"/>
      <c r="AA5" s="1721"/>
      <c r="AB5" s="1706"/>
      <c r="AC5" s="3024"/>
      <c r="AD5" s="3024"/>
      <c r="AE5" s="3024"/>
      <c r="AF5" s="3024"/>
      <c r="AG5" s="3024"/>
      <c r="AH5" s="1706"/>
      <c r="AI5" s="1706"/>
    </row>
    <row r="6" spans="1:35" x14ac:dyDescent="0.2">
      <c r="A6" s="1720"/>
      <c r="B6" s="1720"/>
      <c r="C6" s="1720"/>
      <c r="D6" s="1720"/>
      <c r="E6" s="1720"/>
      <c r="F6" s="1720"/>
      <c r="G6" s="1720"/>
      <c r="H6" s="1720"/>
      <c r="I6" s="1720"/>
      <c r="J6" s="1720"/>
      <c r="K6" s="1720"/>
      <c r="L6" s="1720"/>
      <c r="M6" s="1720"/>
      <c r="N6" s="1720"/>
      <c r="O6" s="1720"/>
      <c r="P6" s="1720"/>
      <c r="Q6" s="1720"/>
      <c r="R6" s="1720"/>
      <c r="S6" s="1720"/>
      <c r="T6" s="1720"/>
      <c r="U6" s="1720"/>
      <c r="V6" s="1720"/>
      <c r="W6" s="1720"/>
      <c r="X6" s="1720"/>
      <c r="Y6" s="1720"/>
      <c r="Z6" s="1720"/>
      <c r="AA6" s="1721"/>
      <c r="AB6" s="1706"/>
      <c r="AC6" s="3024"/>
      <c r="AD6" s="3024"/>
      <c r="AE6" s="3024"/>
      <c r="AF6" s="3024"/>
      <c r="AG6" s="3024"/>
      <c r="AH6" s="1706"/>
      <c r="AI6" s="1706"/>
    </row>
    <row r="7" spans="1:35" x14ac:dyDescent="0.2">
      <c r="A7" s="1720"/>
      <c r="B7" s="1720"/>
      <c r="C7" s="1720"/>
      <c r="D7" s="1720"/>
      <c r="E7" s="1720"/>
      <c r="F7" s="1720"/>
      <c r="G7" s="1720"/>
      <c r="H7" s="1720"/>
      <c r="I7" s="1720"/>
      <c r="J7" s="1720"/>
      <c r="K7" s="1720"/>
      <c r="L7" s="1720"/>
      <c r="M7" s="1720"/>
      <c r="N7" s="1720"/>
      <c r="O7" s="1720"/>
      <c r="P7" s="1720"/>
      <c r="Q7" s="1720"/>
      <c r="R7" s="1720"/>
      <c r="S7" s="1720"/>
      <c r="T7" s="1720"/>
      <c r="U7" s="1720"/>
      <c r="V7" s="1720"/>
      <c r="W7" s="1720"/>
      <c r="X7" s="1720"/>
      <c r="Y7" s="1720"/>
      <c r="Z7" s="1720"/>
      <c r="AA7" s="1721"/>
      <c r="AB7" s="1706"/>
      <c r="AC7" s="1706"/>
      <c r="AD7" s="1706"/>
      <c r="AE7" s="1706"/>
      <c r="AF7" s="1706"/>
      <c r="AG7" s="1706"/>
      <c r="AH7" s="1706"/>
      <c r="AI7" s="1706"/>
    </row>
    <row r="8" spans="1:35" ht="24.95" customHeight="1" x14ac:dyDescent="0.2">
      <c r="A8" s="3032" t="s">
        <v>217</v>
      </c>
      <c r="B8" s="3032"/>
      <c r="C8" s="3032"/>
      <c r="D8" s="3032"/>
      <c r="E8" s="3032"/>
      <c r="F8" s="3032"/>
      <c r="G8" s="3032"/>
      <c r="H8" s="3032"/>
      <c r="I8" s="3032"/>
      <c r="J8" s="3032"/>
      <c r="K8" s="3032"/>
      <c r="L8" s="3032"/>
      <c r="M8" s="3032"/>
      <c r="N8" s="3032"/>
      <c r="O8" s="3032"/>
      <c r="P8" s="3032"/>
      <c r="Q8" s="3032"/>
      <c r="R8" s="3032"/>
      <c r="S8" s="3032"/>
      <c r="T8" s="3032"/>
      <c r="U8" s="3032"/>
      <c r="V8" s="3032"/>
      <c r="W8" s="3032"/>
      <c r="X8" s="3032"/>
      <c r="Y8" s="3032"/>
      <c r="Z8" s="3032"/>
      <c r="AA8" s="3032"/>
      <c r="AB8" s="1706"/>
      <c r="AC8" s="1706"/>
      <c r="AD8" s="1706"/>
      <c r="AE8" s="1706"/>
      <c r="AF8" s="1706"/>
      <c r="AG8" s="1706"/>
      <c r="AH8" s="1706"/>
      <c r="AI8" s="1706"/>
    </row>
    <row r="9" spans="1:35" ht="24.95" customHeight="1" x14ac:dyDescent="0.2">
      <c r="A9" s="3033" t="s">
        <v>218</v>
      </c>
      <c r="B9" s="3033"/>
      <c r="C9" s="3033"/>
      <c r="D9" s="3033"/>
      <c r="E9" s="3033"/>
      <c r="F9" s="3033"/>
      <c r="G9" s="3033"/>
      <c r="H9" s="3033"/>
      <c r="I9" s="3033"/>
      <c r="J9" s="3033"/>
      <c r="K9" s="3033"/>
      <c r="L9" s="3033"/>
      <c r="M9" s="3033"/>
      <c r="N9" s="3033"/>
      <c r="O9" s="3033"/>
      <c r="P9" s="3033"/>
      <c r="Q9" s="3033"/>
      <c r="R9" s="3033"/>
      <c r="S9" s="3033"/>
      <c r="T9" s="3033"/>
      <c r="U9" s="3033"/>
      <c r="V9" s="3033"/>
      <c r="W9" s="3033"/>
      <c r="X9" s="3033"/>
      <c r="Y9" s="3033"/>
      <c r="Z9" s="3033"/>
      <c r="AA9" s="3033"/>
      <c r="AB9" s="1706"/>
      <c r="AC9" s="1706"/>
      <c r="AD9" s="1706"/>
      <c r="AE9" s="1706"/>
      <c r="AF9" s="1706"/>
      <c r="AG9" s="1706"/>
      <c r="AH9" s="1706"/>
      <c r="AI9" s="1706"/>
    </row>
    <row r="10" spans="1:35" ht="24.95" customHeight="1" x14ac:dyDescent="0.2">
      <c r="A10" s="3033" t="s">
        <v>219</v>
      </c>
      <c r="B10" s="3033"/>
      <c r="C10" s="3033"/>
      <c r="D10" s="3033"/>
      <c r="E10" s="3033"/>
      <c r="F10" s="3033"/>
      <c r="G10" s="3033"/>
      <c r="H10" s="3033"/>
      <c r="I10" s="3033"/>
      <c r="J10" s="3033"/>
      <c r="K10" s="3033"/>
      <c r="L10" s="3033"/>
      <c r="M10" s="3033"/>
      <c r="N10" s="3033"/>
      <c r="O10" s="3033"/>
      <c r="P10" s="3033"/>
      <c r="Q10" s="3033"/>
      <c r="R10" s="3033"/>
      <c r="S10" s="3033"/>
      <c r="T10" s="3033"/>
      <c r="U10" s="3033"/>
      <c r="V10" s="3033"/>
      <c r="W10" s="3033"/>
      <c r="X10" s="3033"/>
      <c r="Y10" s="3033"/>
      <c r="Z10" s="3033"/>
      <c r="AA10" s="3033"/>
      <c r="AB10" s="1706"/>
      <c r="AC10" s="1706"/>
      <c r="AD10" s="1706"/>
      <c r="AE10" s="1706"/>
      <c r="AF10" s="1706"/>
      <c r="AG10" s="1706"/>
      <c r="AH10" s="1706"/>
      <c r="AI10" s="1706"/>
    </row>
    <row r="11" spans="1:35" x14ac:dyDescent="0.2">
      <c r="A11" s="1720"/>
      <c r="B11" s="1720"/>
      <c r="C11" s="1720"/>
      <c r="D11" s="1720"/>
      <c r="E11" s="1720"/>
      <c r="F11" s="1720"/>
      <c r="G11" s="1720"/>
      <c r="H11" s="1720"/>
      <c r="I11" s="1720"/>
      <c r="J11" s="1720"/>
      <c r="K11" s="1720"/>
      <c r="L11" s="1720"/>
      <c r="M11" s="1720"/>
      <c r="N11" s="1720"/>
      <c r="O11" s="1720"/>
      <c r="P11" s="1720"/>
      <c r="Q11" s="1720"/>
      <c r="R11" s="1720"/>
      <c r="S11" s="1720"/>
      <c r="T11" s="1720"/>
      <c r="U11" s="1720"/>
      <c r="V11" s="1720"/>
      <c r="W11" s="1720"/>
      <c r="X11" s="1720"/>
      <c r="Y11" s="1720"/>
      <c r="Z11" s="1720"/>
      <c r="AA11" s="1721"/>
      <c r="AB11" s="1706"/>
      <c r="AC11" s="1706"/>
      <c r="AD11" s="1706"/>
      <c r="AE11" s="1706"/>
      <c r="AF11" s="1706"/>
      <c r="AG11" s="1706"/>
      <c r="AH11" s="1706"/>
      <c r="AI11" s="1706"/>
    </row>
    <row r="12" spans="1:35" x14ac:dyDescent="0.2">
      <c r="A12" s="1720"/>
      <c r="B12" s="1720"/>
      <c r="C12" s="1720"/>
      <c r="D12" s="1720"/>
      <c r="E12" s="1720"/>
      <c r="F12" s="1720"/>
      <c r="G12" s="1720"/>
      <c r="H12" s="1720"/>
      <c r="I12" s="1720"/>
      <c r="J12" s="1720"/>
      <c r="K12" s="1720"/>
      <c r="L12" s="1720"/>
      <c r="M12" s="1720"/>
      <c r="N12" s="1720"/>
      <c r="O12" s="1720"/>
      <c r="P12" s="1720"/>
      <c r="Q12" s="1720"/>
      <c r="R12" s="1720"/>
      <c r="S12" s="1720"/>
      <c r="T12" s="1720"/>
      <c r="U12" s="1720"/>
      <c r="V12" s="1720"/>
      <c r="W12" s="1720"/>
      <c r="X12" s="1720"/>
      <c r="Y12" s="1720"/>
      <c r="Z12" s="1720"/>
      <c r="AA12" s="1721"/>
      <c r="AB12" s="1706"/>
      <c r="AC12" s="1706"/>
      <c r="AD12" s="1706"/>
      <c r="AE12" s="1706"/>
      <c r="AF12" s="1706"/>
      <c r="AG12" s="1706"/>
      <c r="AH12" s="1706"/>
      <c r="AI12" s="1706"/>
    </row>
    <row r="13" spans="1:35" x14ac:dyDescent="0.2">
      <c r="A13" s="1720"/>
      <c r="B13" s="1720"/>
      <c r="C13" s="1720"/>
      <c r="D13" s="1720"/>
      <c r="E13" s="1720"/>
      <c r="F13" s="1720"/>
      <c r="G13" s="1720"/>
      <c r="H13" s="1720"/>
      <c r="I13" s="1720"/>
      <c r="J13" s="1720"/>
      <c r="K13" s="1720"/>
      <c r="L13" s="1720"/>
      <c r="M13" s="1720"/>
      <c r="N13" s="1720"/>
      <c r="O13" s="1720"/>
      <c r="P13" s="1720"/>
      <c r="Q13" s="1720"/>
      <c r="R13" s="1720"/>
      <c r="S13" s="1720"/>
      <c r="T13" s="1720"/>
      <c r="U13" s="1720"/>
      <c r="V13" s="1720"/>
      <c r="W13" s="1720"/>
      <c r="X13" s="1720"/>
      <c r="Y13" s="1720"/>
      <c r="Z13" s="1720"/>
      <c r="AA13" s="1721"/>
      <c r="AB13" s="1706"/>
      <c r="AC13" s="1706"/>
      <c r="AD13" s="1706"/>
      <c r="AE13" s="1706"/>
      <c r="AF13" s="1706"/>
      <c r="AG13" s="1706"/>
      <c r="AH13" s="1706"/>
      <c r="AI13" s="1706"/>
    </row>
    <row r="14" spans="1:35" x14ac:dyDescent="0.2">
      <c r="A14" s="1720"/>
      <c r="B14" s="1720"/>
      <c r="C14" s="1720"/>
      <c r="D14" s="1720"/>
      <c r="E14" s="1720"/>
      <c r="F14" s="1720"/>
      <c r="G14" s="1720"/>
      <c r="H14" s="1720"/>
      <c r="I14" s="1720"/>
      <c r="J14" s="1720"/>
      <c r="K14" s="1720"/>
      <c r="L14" s="1720"/>
      <c r="M14" s="1720"/>
      <c r="N14" s="1720"/>
      <c r="O14" s="1720"/>
      <c r="P14" s="1720"/>
      <c r="Q14" s="1720"/>
      <c r="R14" s="1720"/>
      <c r="S14" s="1720"/>
      <c r="T14" s="1720"/>
      <c r="U14" s="1720"/>
      <c r="V14" s="1720"/>
      <c r="W14" s="1720"/>
      <c r="X14" s="1720"/>
      <c r="Y14" s="1720"/>
      <c r="Z14" s="1720"/>
      <c r="AA14" s="1721"/>
      <c r="AB14" s="1706"/>
      <c r="AC14" s="1706"/>
      <c r="AD14" s="1706"/>
      <c r="AE14" s="1706"/>
      <c r="AF14" s="1706"/>
      <c r="AG14" s="1706"/>
      <c r="AH14" s="1706"/>
      <c r="AI14" s="1706"/>
    </row>
    <row r="15" spans="1:35" x14ac:dyDescent="0.2">
      <c r="A15" s="1720"/>
      <c r="B15" s="1720"/>
      <c r="C15" s="1720"/>
      <c r="D15" s="1720"/>
      <c r="E15" s="1720"/>
      <c r="F15" s="1720"/>
      <c r="G15" s="1720"/>
      <c r="H15" s="1720"/>
      <c r="I15" s="1720"/>
      <c r="J15" s="1720"/>
      <c r="K15" s="1720"/>
      <c r="L15" s="1720"/>
      <c r="M15" s="1720"/>
      <c r="N15" s="1720"/>
      <c r="O15" s="1720"/>
      <c r="P15" s="1720"/>
      <c r="Q15" s="1720"/>
      <c r="R15" s="1720"/>
      <c r="S15" s="1720"/>
      <c r="T15" s="1720"/>
      <c r="U15" s="1720"/>
      <c r="V15" s="1720"/>
      <c r="W15" s="1720"/>
      <c r="X15" s="1720"/>
      <c r="Y15" s="1720"/>
      <c r="Z15" s="1720"/>
      <c r="AA15" s="1721"/>
      <c r="AB15" s="1706"/>
      <c r="AC15" s="1706"/>
      <c r="AD15" s="1706"/>
      <c r="AE15" s="1706"/>
      <c r="AF15" s="1706"/>
      <c r="AG15" s="1706"/>
      <c r="AH15" s="1706"/>
      <c r="AI15" s="1706"/>
    </row>
    <row r="16" spans="1:35" x14ac:dyDescent="0.2">
      <c r="A16" s="1720"/>
      <c r="B16" s="1720"/>
      <c r="C16" s="1720"/>
      <c r="D16" s="1720"/>
      <c r="E16" s="1720"/>
      <c r="F16" s="1720"/>
      <c r="G16" s="1720"/>
      <c r="H16" s="1720"/>
      <c r="I16" s="1720"/>
      <c r="J16" s="1720"/>
      <c r="K16" s="1720"/>
      <c r="L16" s="1720"/>
      <c r="M16" s="1720"/>
      <c r="N16" s="1720"/>
      <c r="O16" s="1720"/>
      <c r="P16" s="1720"/>
      <c r="Q16" s="1720"/>
      <c r="R16" s="1720"/>
      <c r="S16" s="1720"/>
      <c r="T16" s="1720"/>
      <c r="U16" s="1720"/>
      <c r="V16" s="1720"/>
      <c r="W16" s="1720"/>
      <c r="X16" s="1720"/>
      <c r="Y16" s="1720"/>
      <c r="Z16" s="1720"/>
      <c r="AA16" s="1721"/>
      <c r="AB16" s="1706"/>
      <c r="AC16" s="1706"/>
      <c r="AD16" s="1706"/>
      <c r="AE16" s="1706"/>
      <c r="AF16" s="1706"/>
      <c r="AG16" s="1706"/>
      <c r="AH16" s="1706"/>
      <c r="AI16" s="1706"/>
    </row>
    <row r="17" spans="1:35" x14ac:dyDescent="0.2">
      <c r="A17" s="1720"/>
      <c r="B17" s="1720"/>
      <c r="C17" s="1720"/>
      <c r="D17" s="1720"/>
      <c r="E17" s="1720"/>
      <c r="F17" s="1720"/>
      <c r="G17" s="1720"/>
      <c r="H17" s="1720"/>
      <c r="I17" s="1720"/>
      <c r="J17" s="1720"/>
      <c r="K17" s="1720"/>
      <c r="L17" s="1720"/>
      <c r="M17" s="1720"/>
      <c r="N17" s="1720"/>
      <c r="O17" s="1720"/>
      <c r="P17" s="1720"/>
      <c r="Q17" s="1720"/>
      <c r="R17" s="1720"/>
      <c r="S17" s="1720"/>
      <c r="T17" s="1720"/>
      <c r="U17" s="1720"/>
      <c r="V17" s="1720"/>
      <c r="W17" s="1720"/>
      <c r="X17" s="1720"/>
      <c r="Y17" s="1720"/>
      <c r="Z17" s="1720"/>
      <c r="AA17" s="1721"/>
      <c r="AB17" s="1706"/>
      <c r="AC17" s="1706"/>
      <c r="AD17" s="1706"/>
      <c r="AE17" s="1706"/>
      <c r="AF17" s="1706"/>
      <c r="AG17" s="1706"/>
      <c r="AH17" s="1706"/>
      <c r="AI17" s="1706"/>
    </row>
    <row r="18" spans="1:35" x14ac:dyDescent="0.2">
      <c r="A18" s="1720"/>
      <c r="B18" s="1720"/>
      <c r="C18" s="1720"/>
      <c r="D18" s="1720"/>
      <c r="E18" s="1720"/>
      <c r="F18" s="1720"/>
      <c r="G18" s="1720"/>
      <c r="H18" s="1720"/>
      <c r="I18" s="1720"/>
      <c r="J18" s="1720"/>
      <c r="K18" s="1720"/>
      <c r="L18" s="1720"/>
      <c r="M18" s="1720"/>
      <c r="N18" s="1720"/>
      <c r="O18" s="1720"/>
      <c r="P18" s="1720"/>
      <c r="Q18" s="1720"/>
      <c r="R18" s="1720"/>
      <c r="S18" s="1720"/>
      <c r="T18" s="1720"/>
      <c r="U18" s="1720"/>
      <c r="V18" s="1720"/>
      <c r="W18" s="1720"/>
      <c r="X18" s="1720"/>
      <c r="Y18" s="1720"/>
      <c r="Z18" s="1720"/>
      <c r="AA18" s="1721"/>
      <c r="AB18" s="1706"/>
      <c r="AC18" s="1706"/>
      <c r="AD18" s="1706"/>
      <c r="AE18" s="1706"/>
      <c r="AF18" s="1706"/>
      <c r="AG18" s="1706"/>
      <c r="AH18" s="1706"/>
      <c r="AI18" s="1706"/>
    </row>
    <row r="19" spans="1:35" x14ac:dyDescent="0.2">
      <c r="A19" s="1720"/>
      <c r="B19" s="1720"/>
      <c r="C19" s="1720"/>
      <c r="D19" s="1720"/>
      <c r="E19" s="1720"/>
      <c r="F19" s="1720"/>
      <c r="G19" s="1720"/>
      <c r="H19" s="1720"/>
      <c r="I19" s="1720"/>
      <c r="J19" s="1720"/>
      <c r="K19" s="1720"/>
      <c r="L19" s="1720"/>
      <c r="M19" s="1720"/>
      <c r="N19" s="1720"/>
      <c r="O19" s="1720"/>
      <c r="P19" s="1720"/>
      <c r="Q19" s="1720"/>
      <c r="R19" s="1720"/>
      <c r="S19" s="1720"/>
      <c r="T19" s="1720"/>
      <c r="U19" s="1720"/>
      <c r="V19" s="1720"/>
      <c r="W19" s="1720"/>
      <c r="X19" s="1720"/>
      <c r="Y19" s="1720"/>
      <c r="Z19" s="1720"/>
      <c r="AA19" s="1721"/>
      <c r="AB19" s="1706"/>
      <c r="AC19" s="1706"/>
      <c r="AD19" s="1706"/>
      <c r="AE19" s="1706"/>
      <c r="AF19" s="1706"/>
      <c r="AG19" s="1706"/>
      <c r="AH19" s="1706"/>
      <c r="AI19" s="1706"/>
    </row>
    <row r="20" spans="1:35" x14ac:dyDescent="0.2">
      <c r="A20" s="1720"/>
      <c r="B20" s="1720"/>
      <c r="C20" s="1720"/>
      <c r="D20" s="1720"/>
      <c r="E20" s="1720"/>
      <c r="F20" s="1720"/>
      <c r="G20" s="1720"/>
      <c r="H20" s="1720"/>
      <c r="I20" s="1720"/>
      <c r="J20" s="1720"/>
      <c r="K20" s="1720"/>
      <c r="L20" s="1720"/>
      <c r="M20" s="1720"/>
      <c r="N20" s="1720"/>
      <c r="O20" s="1720"/>
      <c r="P20" s="1720"/>
      <c r="Q20" s="1720"/>
      <c r="R20" s="1720"/>
      <c r="S20" s="1720"/>
      <c r="T20" s="1720"/>
      <c r="U20" s="1720"/>
      <c r="V20" s="1720"/>
      <c r="W20" s="1720"/>
      <c r="X20" s="1720"/>
      <c r="Y20" s="1720"/>
      <c r="Z20" s="1720"/>
      <c r="AA20" s="1721"/>
      <c r="AB20" s="1706"/>
      <c r="AC20" s="1706"/>
      <c r="AD20" s="1706"/>
      <c r="AE20" s="1706"/>
      <c r="AF20" s="1706"/>
      <c r="AG20" s="1706"/>
      <c r="AH20" s="1706"/>
      <c r="AI20" s="1706"/>
    </row>
    <row r="21" spans="1:35" x14ac:dyDescent="0.2">
      <c r="A21" s="1720"/>
      <c r="B21" s="1720"/>
      <c r="C21" s="1720"/>
      <c r="D21" s="1720"/>
      <c r="E21" s="1720"/>
      <c r="F21" s="1720"/>
      <c r="G21" s="1720"/>
      <c r="H21" s="1720"/>
      <c r="I21" s="1720"/>
      <c r="J21" s="1720"/>
      <c r="K21" s="1720"/>
      <c r="L21" s="1720"/>
      <c r="M21" s="1720"/>
      <c r="N21" s="1720"/>
      <c r="O21" s="1720"/>
      <c r="P21" s="1720"/>
      <c r="Q21" s="1720"/>
      <c r="R21" s="1720"/>
      <c r="S21" s="1720"/>
      <c r="T21" s="1720"/>
      <c r="U21" s="1720"/>
      <c r="V21" s="1720"/>
      <c r="W21" s="1720"/>
      <c r="X21" s="1720"/>
      <c r="Y21" s="1720"/>
      <c r="Z21" s="1720"/>
      <c r="AA21" s="1721"/>
      <c r="AB21" s="1706"/>
      <c r="AC21" s="1706"/>
      <c r="AD21" s="1706"/>
      <c r="AE21" s="1706"/>
      <c r="AF21" s="1706"/>
      <c r="AG21" s="1706"/>
      <c r="AH21" s="1706"/>
      <c r="AI21" s="1706"/>
    </row>
    <row r="22" spans="1:35" x14ac:dyDescent="0.2">
      <c r="A22" s="1720"/>
      <c r="B22" s="1720"/>
      <c r="C22" s="1720"/>
      <c r="D22" s="1720"/>
      <c r="E22" s="1720"/>
      <c r="F22" s="1720"/>
      <c r="G22" s="1720"/>
      <c r="H22" s="1720"/>
      <c r="I22" s="1720"/>
      <c r="J22" s="1720"/>
      <c r="K22" s="1720"/>
      <c r="L22" s="1720"/>
      <c r="M22" s="1720"/>
      <c r="N22" s="1720"/>
      <c r="O22" s="1720"/>
      <c r="P22" s="1720"/>
      <c r="Q22" s="1720"/>
      <c r="R22" s="1720"/>
      <c r="S22" s="1720"/>
      <c r="T22" s="1720"/>
      <c r="U22" s="1720"/>
      <c r="V22" s="1720"/>
      <c r="W22" s="1720"/>
      <c r="X22" s="1720"/>
      <c r="Y22" s="1720"/>
      <c r="Z22" s="1720"/>
      <c r="AA22" s="1721"/>
      <c r="AB22" s="1706"/>
      <c r="AC22" s="1706"/>
      <c r="AD22" s="1706"/>
      <c r="AE22" s="1706"/>
      <c r="AF22" s="1706"/>
      <c r="AG22" s="1706"/>
      <c r="AH22" s="1706"/>
      <c r="AI22" s="1706"/>
    </row>
    <row r="23" spans="1:35" x14ac:dyDescent="0.2">
      <c r="A23" s="1720"/>
      <c r="B23" s="1720"/>
      <c r="C23" s="1720"/>
      <c r="D23" s="1720"/>
      <c r="E23" s="1720"/>
      <c r="F23" s="1720"/>
      <c r="G23" s="1720"/>
      <c r="H23" s="1720"/>
      <c r="I23" s="1720"/>
      <c r="J23" s="1720"/>
      <c r="K23" s="1720"/>
      <c r="L23" s="1720"/>
      <c r="M23" s="1720"/>
      <c r="N23" s="1720"/>
      <c r="O23" s="1720"/>
      <c r="P23" s="1720"/>
      <c r="Q23" s="1720"/>
      <c r="R23" s="1720"/>
      <c r="S23" s="1720"/>
      <c r="T23" s="1720"/>
      <c r="U23" s="1720"/>
      <c r="V23" s="1720"/>
      <c r="W23" s="1720"/>
      <c r="X23" s="1720"/>
      <c r="Y23" s="1720"/>
      <c r="Z23" s="1720"/>
      <c r="AA23" s="1721"/>
      <c r="AB23" s="1706"/>
      <c r="AC23" s="1706"/>
      <c r="AD23" s="1706"/>
      <c r="AE23" s="1706"/>
      <c r="AF23" s="1706"/>
      <c r="AG23" s="1706"/>
      <c r="AH23" s="1706"/>
      <c r="AI23" s="1706"/>
    </row>
    <row r="24" spans="1:35" x14ac:dyDescent="0.2">
      <c r="A24" s="1720"/>
      <c r="B24" s="1720"/>
      <c r="C24" s="1720"/>
      <c r="D24" s="1720"/>
      <c r="E24" s="1720"/>
      <c r="F24" s="1720"/>
      <c r="G24" s="1720"/>
      <c r="H24" s="1720"/>
      <c r="I24" s="1720"/>
      <c r="J24" s="1720"/>
      <c r="K24" s="1720"/>
      <c r="L24" s="1720"/>
      <c r="M24" s="1720"/>
      <c r="N24" s="1720"/>
      <c r="O24" s="1720"/>
      <c r="P24" s="1720"/>
      <c r="Q24" s="1720"/>
      <c r="R24" s="1720"/>
      <c r="S24" s="1720"/>
      <c r="T24" s="1720"/>
      <c r="U24" s="1720"/>
      <c r="V24" s="1720"/>
      <c r="W24" s="1720"/>
      <c r="X24" s="1720"/>
      <c r="Y24" s="1720"/>
      <c r="Z24" s="1720"/>
      <c r="AA24" s="1721"/>
      <c r="AB24" s="1706"/>
      <c r="AC24" s="1706"/>
      <c r="AD24" s="1706"/>
      <c r="AE24" s="1706"/>
      <c r="AF24" s="1706"/>
      <c r="AG24" s="1706"/>
      <c r="AH24" s="1706"/>
      <c r="AI24" s="1706"/>
    </row>
    <row r="25" spans="1:35" x14ac:dyDescent="0.2">
      <c r="A25" s="1720"/>
      <c r="B25" s="1720"/>
      <c r="C25" s="1720"/>
      <c r="D25" s="1720"/>
      <c r="E25" s="1720"/>
      <c r="F25" s="1720"/>
      <c r="G25" s="1720"/>
      <c r="H25" s="1720"/>
      <c r="I25" s="1720"/>
      <c r="J25" s="1720"/>
      <c r="K25" s="1720"/>
      <c r="L25" s="1720"/>
      <c r="M25" s="1720"/>
      <c r="N25" s="1720"/>
      <c r="O25" s="1720"/>
      <c r="P25" s="1720"/>
      <c r="Q25" s="1720"/>
      <c r="R25" s="1720"/>
      <c r="S25" s="1720"/>
      <c r="T25" s="1720"/>
      <c r="U25" s="1720"/>
      <c r="V25" s="1720"/>
      <c r="W25" s="1720"/>
      <c r="X25" s="1720"/>
      <c r="Y25" s="1720"/>
      <c r="Z25" s="1720"/>
      <c r="AA25" s="1721"/>
      <c r="AB25" s="1706"/>
      <c r="AC25" s="1706"/>
      <c r="AD25" s="1706"/>
      <c r="AE25" s="1706"/>
      <c r="AF25" s="1706"/>
      <c r="AG25" s="1706"/>
      <c r="AH25" s="1706"/>
      <c r="AI25" s="1706"/>
    </row>
    <row r="26" spans="1:35" ht="15" x14ac:dyDescent="0.2">
      <c r="A26" s="3034" t="s">
        <v>220</v>
      </c>
      <c r="B26" s="3034"/>
      <c r="C26" s="3034"/>
      <c r="D26" s="3034"/>
      <c r="E26" s="3034"/>
      <c r="F26" s="3034"/>
      <c r="G26" s="3034"/>
      <c r="H26" s="3034"/>
      <c r="I26" s="3034"/>
      <c r="J26" s="3034"/>
      <c r="K26" s="3034"/>
      <c r="L26" s="3034"/>
      <c r="M26" s="3034"/>
      <c r="N26" s="3034"/>
      <c r="O26" s="3034"/>
      <c r="P26" s="3034"/>
      <c r="Q26" s="3034"/>
      <c r="R26" s="3034"/>
      <c r="S26" s="3034"/>
      <c r="T26" s="3034"/>
      <c r="U26" s="3034"/>
      <c r="V26" s="3034"/>
      <c r="W26" s="3034"/>
      <c r="X26" s="3034"/>
      <c r="Y26" s="3034"/>
      <c r="Z26" s="3034"/>
      <c r="AA26" s="3034"/>
      <c r="AB26" s="1706"/>
      <c r="AC26" s="1706"/>
      <c r="AD26" s="1706"/>
      <c r="AE26" s="1706"/>
      <c r="AF26" s="1706"/>
      <c r="AG26" s="1706"/>
      <c r="AH26" s="1706"/>
      <c r="AI26" s="1706"/>
    </row>
    <row r="27" spans="1:35" ht="9" customHeight="1" x14ac:dyDescent="0.2">
      <c r="A27" s="1720"/>
      <c r="B27" s="1720"/>
      <c r="C27" s="1720"/>
      <c r="D27" s="1720"/>
      <c r="E27" s="1720"/>
      <c r="F27" s="1720"/>
      <c r="G27" s="1720"/>
      <c r="H27" s="1720"/>
      <c r="I27" s="1720"/>
      <c r="J27" s="1720"/>
      <c r="K27" s="1720"/>
      <c r="L27" s="1720"/>
      <c r="M27" s="1720"/>
      <c r="N27" s="1720"/>
      <c r="O27" s="1720"/>
      <c r="P27" s="1720"/>
      <c r="Q27" s="1720"/>
      <c r="R27" s="1720"/>
      <c r="S27" s="1720"/>
      <c r="T27" s="1720"/>
      <c r="U27" s="1720"/>
      <c r="V27" s="1720"/>
      <c r="W27" s="1720"/>
      <c r="X27" s="1720"/>
      <c r="Y27" s="1720"/>
      <c r="Z27" s="1720"/>
      <c r="AA27" s="1721"/>
      <c r="AB27" s="1706"/>
      <c r="AC27" s="1706"/>
      <c r="AD27" s="1706"/>
      <c r="AE27" s="1706"/>
      <c r="AF27" s="1706"/>
      <c r="AG27" s="1706"/>
      <c r="AH27" s="1706"/>
      <c r="AI27" s="1706"/>
    </row>
    <row r="28" spans="1:35" x14ac:dyDescent="0.2">
      <c r="A28" s="1720"/>
      <c r="B28" s="1720"/>
      <c r="C28" s="1720"/>
      <c r="D28" s="1720"/>
      <c r="E28" s="3035" t="str">
        <f>VLOOKUP(AC2,data_siswa,4,FALSE)</f>
        <v>Asyam Hanif Ihsan H</v>
      </c>
      <c r="F28" s="3036"/>
      <c r="G28" s="3036"/>
      <c r="H28" s="3036"/>
      <c r="I28" s="3036"/>
      <c r="J28" s="3036"/>
      <c r="K28" s="3036"/>
      <c r="L28" s="3036"/>
      <c r="M28" s="3036"/>
      <c r="N28" s="3036"/>
      <c r="O28" s="3036"/>
      <c r="P28" s="3036"/>
      <c r="Q28" s="3036"/>
      <c r="R28" s="3036"/>
      <c r="S28" s="3036"/>
      <c r="T28" s="3036"/>
      <c r="U28" s="3036"/>
      <c r="V28" s="3036"/>
      <c r="W28" s="3037"/>
      <c r="X28" s="1720"/>
      <c r="Y28" s="1720"/>
      <c r="Z28" s="1720"/>
      <c r="AA28" s="1721"/>
      <c r="AB28" s="1706"/>
      <c r="AC28" s="1706"/>
      <c r="AD28" s="1706"/>
      <c r="AE28" s="1706"/>
      <c r="AF28" s="1706"/>
      <c r="AG28" s="1706"/>
      <c r="AH28" s="1706"/>
      <c r="AI28" s="1706"/>
    </row>
    <row r="29" spans="1:35" x14ac:dyDescent="0.2">
      <c r="A29" s="1720"/>
      <c r="B29" s="1720"/>
      <c r="C29" s="1720"/>
      <c r="D29" s="1720"/>
      <c r="E29" s="3038"/>
      <c r="F29" s="3039"/>
      <c r="G29" s="3039"/>
      <c r="H29" s="3039"/>
      <c r="I29" s="3039"/>
      <c r="J29" s="3039"/>
      <c r="K29" s="3039"/>
      <c r="L29" s="3039"/>
      <c r="M29" s="3039"/>
      <c r="N29" s="3039"/>
      <c r="O29" s="3039"/>
      <c r="P29" s="3039"/>
      <c r="Q29" s="3039"/>
      <c r="R29" s="3039"/>
      <c r="S29" s="3039"/>
      <c r="T29" s="3039"/>
      <c r="U29" s="3039"/>
      <c r="V29" s="3039"/>
      <c r="W29" s="3040"/>
      <c r="X29" s="1720"/>
      <c r="Y29" s="1720"/>
      <c r="Z29" s="1720"/>
      <c r="AA29" s="1721"/>
      <c r="AB29" s="1706"/>
      <c r="AC29" s="1706"/>
      <c r="AD29" s="1706"/>
      <c r="AE29" s="1706"/>
      <c r="AF29" s="1706"/>
      <c r="AG29" s="1706"/>
      <c r="AH29" s="1706"/>
      <c r="AI29" s="1706"/>
    </row>
    <row r="30" spans="1:35" x14ac:dyDescent="0.2">
      <c r="A30" s="1720"/>
      <c r="B30" s="1720"/>
      <c r="C30" s="1720"/>
      <c r="D30" s="1720"/>
      <c r="E30" s="1720"/>
      <c r="F30" s="1720"/>
      <c r="G30" s="1720"/>
      <c r="H30" s="1720"/>
      <c r="I30" s="1720"/>
      <c r="J30" s="1720"/>
      <c r="K30" s="1720"/>
      <c r="L30" s="1720"/>
      <c r="M30" s="1720"/>
      <c r="N30" s="1720"/>
      <c r="O30" s="1720"/>
      <c r="P30" s="1720"/>
      <c r="Q30" s="1720"/>
      <c r="R30" s="1720"/>
      <c r="S30" s="1720"/>
      <c r="T30" s="1720"/>
      <c r="U30" s="1720"/>
      <c r="V30" s="1720"/>
      <c r="W30" s="1720"/>
      <c r="X30" s="1720"/>
      <c r="Y30" s="1720"/>
      <c r="Z30" s="1720"/>
      <c r="AA30" s="1721"/>
      <c r="AB30" s="1706"/>
      <c r="AC30" s="1706"/>
      <c r="AD30" s="1706"/>
      <c r="AE30" s="1706"/>
      <c r="AF30" s="1706"/>
      <c r="AG30" s="1706"/>
      <c r="AH30" s="1706"/>
      <c r="AI30" s="1706"/>
    </row>
    <row r="31" spans="1:35" x14ac:dyDescent="0.2">
      <c r="A31" s="1720"/>
      <c r="B31" s="1720"/>
      <c r="C31" s="1720"/>
      <c r="D31" s="1720"/>
      <c r="E31" s="1720"/>
      <c r="F31" s="1720"/>
      <c r="G31" s="1720"/>
      <c r="H31" s="1720"/>
      <c r="I31" s="1720"/>
      <c r="J31" s="1720"/>
      <c r="K31" s="1720"/>
      <c r="L31" s="1720"/>
      <c r="M31" s="1720"/>
      <c r="N31" s="1720"/>
      <c r="O31" s="1720"/>
      <c r="P31" s="1720"/>
      <c r="Q31" s="1720"/>
      <c r="R31" s="1720"/>
      <c r="S31" s="1720"/>
      <c r="T31" s="1720"/>
      <c r="U31" s="1720"/>
      <c r="V31" s="1720"/>
      <c r="W31" s="1720"/>
      <c r="X31" s="1720"/>
      <c r="Y31" s="1720"/>
      <c r="Z31" s="1720"/>
      <c r="AA31" s="1721"/>
      <c r="AB31" s="1706"/>
      <c r="AC31" s="1706"/>
      <c r="AD31" s="1706"/>
      <c r="AE31" s="1706"/>
      <c r="AF31" s="1706"/>
      <c r="AG31" s="1706"/>
      <c r="AH31" s="1706"/>
      <c r="AI31" s="1706"/>
    </row>
    <row r="32" spans="1:35" x14ac:dyDescent="0.2">
      <c r="A32" s="1720"/>
      <c r="B32" s="1720"/>
      <c r="C32" s="1720"/>
      <c r="D32" s="1720"/>
      <c r="E32" s="1720"/>
      <c r="F32" s="1720"/>
      <c r="G32" s="1720"/>
      <c r="H32" s="1720"/>
      <c r="I32" s="1720"/>
      <c r="J32" s="1720"/>
      <c r="K32" s="1720"/>
      <c r="L32" s="1720"/>
      <c r="M32" s="1720"/>
      <c r="N32" s="1720"/>
      <c r="O32" s="1720"/>
      <c r="P32" s="1720"/>
      <c r="Q32" s="1720"/>
      <c r="R32" s="1720"/>
      <c r="S32" s="1720"/>
      <c r="T32" s="1720"/>
      <c r="U32" s="1720"/>
      <c r="V32" s="1720"/>
      <c r="W32" s="1720"/>
      <c r="X32" s="1720"/>
      <c r="Y32" s="1720"/>
      <c r="Z32" s="1720"/>
      <c r="AA32" s="1721"/>
      <c r="AB32" s="1706"/>
      <c r="AC32" s="1706"/>
      <c r="AD32" s="1706"/>
      <c r="AE32" s="1706"/>
      <c r="AF32" s="1706"/>
      <c r="AG32" s="1706"/>
      <c r="AH32" s="1706"/>
      <c r="AI32" s="1706"/>
    </row>
    <row r="33" spans="1:35" ht="15" x14ac:dyDescent="0.2">
      <c r="A33" s="3041" t="s">
        <v>221</v>
      </c>
      <c r="B33" s="3041"/>
      <c r="C33" s="3041"/>
      <c r="D33" s="3041"/>
      <c r="E33" s="3041"/>
      <c r="F33" s="3041"/>
      <c r="G33" s="3041"/>
      <c r="H33" s="3041"/>
      <c r="I33" s="3041"/>
      <c r="J33" s="3041"/>
      <c r="K33" s="3041"/>
      <c r="L33" s="3041"/>
      <c r="M33" s="3041"/>
      <c r="N33" s="3041"/>
      <c r="O33" s="3041"/>
      <c r="P33" s="3041"/>
      <c r="Q33" s="3041"/>
      <c r="R33" s="3041"/>
      <c r="S33" s="3041"/>
      <c r="T33" s="3041"/>
      <c r="U33" s="3041"/>
      <c r="V33" s="3041"/>
      <c r="W33" s="3041"/>
      <c r="X33" s="3041"/>
      <c r="Y33" s="3041"/>
      <c r="Z33" s="3041"/>
      <c r="AA33" s="3041"/>
      <c r="AB33" s="1706"/>
      <c r="AC33" s="1706"/>
      <c r="AD33" s="1706"/>
      <c r="AE33" s="1706"/>
      <c r="AF33" s="1706"/>
      <c r="AG33" s="1706"/>
      <c r="AH33" s="1706"/>
      <c r="AI33" s="1706"/>
    </row>
    <row r="34" spans="1:35" ht="8.25" customHeight="1" x14ac:dyDescent="0.2">
      <c r="A34" s="1720"/>
      <c r="B34" s="1720"/>
      <c r="C34" s="1720"/>
      <c r="D34" s="1720"/>
      <c r="E34" s="1720"/>
      <c r="F34" s="1720"/>
      <c r="G34" s="1720"/>
      <c r="H34" s="1720"/>
      <c r="I34" s="1720"/>
      <c r="J34" s="1720"/>
      <c r="K34" s="1720"/>
      <c r="L34" s="1720"/>
      <c r="M34" s="1720"/>
      <c r="N34" s="1720"/>
      <c r="O34" s="1720"/>
      <c r="P34" s="1720"/>
      <c r="Q34" s="1720"/>
      <c r="R34" s="1720"/>
      <c r="S34" s="1720"/>
      <c r="T34" s="1720"/>
      <c r="U34" s="1720"/>
      <c r="V34" s="1720"/>
      <c r="W34" s="1720"/>
      <c r="X34" s="1720"/>
      <c r="Y34" s="1720"/>
      <c r="Z34" s="1720"/>
      <c r="AA34" s="1721"/>
      <c r="AB34" s="1706"/>
      <c r="AC34" s="1706"/>
      <c r="AD34" s="1706"/>
      <c r="AE34" s="1706"/>
      <c r="AF34" s="1706"/>
      <c r="AG34" s="1706"/>
      <c r="AH34" s="1706"/>
      <c r="AI34" s="1706"/>
    </row>
    <row r="35" spans="1:35" ht="29.25" customHeight="1" x14ac:dyDescent="0.2">
      <c r="A35" s="1722"/>
      <c r="B35" s="1722"/>
      <c r="C35" s="1722"/>
      <c r="D35" s="1722"/>
      <c r="E35" s="3027">
        <f>VLOOKUP(AC2,data_siswa,2,FALSE)</f>
        <v>2529</v>
      </c>
      <c r="F35" s="3028"/>
      <c r="G35" s="3028"/>
      <c r="H35" s="3028"/>
      <c r="I35" s="3028"/>
      <c r="J35" s="3028"/>
      <c r="K35" s="3028"/>
      <c r="L35" s="3028"/>
      <c r="M35" s="3028"/>
      <c r="N35" s="1723" t="s">
        <v>222</v>
      </c>
      <c r="O35" s="3029" t="str">
        <f>VLOOKUP(AC2,data_siswa,3,FALSE)</f>
        <v>0050973524</v>
      </c>
      <c r="P35" s="3029"/>
      <c r="Q35" s="3029"/>
      <c r="R35" s="3029"/>
      <c r="S35" s="3029"/>
      <c r="T35" s="3029"/>
      <c r="U35" s="3029"/>
      <c r="V35" s="3029"/>
      <c r="W35" s="3030"/>
      <c r="X35" s="1722"/>
      <c r="Y35" s="1722"/>
      <c r="Z35" s="1722"/>
      <c r="AA35" s="1724"/>
      <c r="AB35" s="1706"/>
      <c r="AC35" s="1706"/>
      <c r="AD35" s="1706"/>
      <c r="AE35" s="1706"/>
      <c r="AF35" s="1706"/>
      <c r="AG35" s="1706"/>
      <c r="AH35" s="1706"/>
      <c r="AI35" s="1706"/>
    </row>
    <row r="36" spans="1:35" x14ac:dyDescent="0.2">
      <c r="A36" s="1720"/>
      <c r="B36" s="1720"/>
      <c r="C36" s="1720"/>
      <c r="D36" s="1720"/>
      <c r="E36" s="1720"/>
      <c r="F36" s="1720"/>
      <c r="G36" s="1720"/>
      <c r="H36" s="1720"/>
      <c r="I36" s="1720"/>
      <c r="J36" s="1720"/>
      <c r="K36" s="1720"/>
      <c r="L36" s="1720"/>
      <c r="M36" s="1720"/>
      <c r="N36" s="1725"/>
      <c r="O36" s="1720"/>
      <c r="P36" s="1720"/>
      <c r="Q36" s="1720"/>
      <c r="R36" s="1720"/>
      <c r="S36" s="1720"/>
      <c r="T36" s="1720"/>
      <c r="U36" s="1720"/>
      <c r="V36" s="1720"/>
      <c r="W36" s="1720"/>
      <c r="X36" s="1720"/>
      <c r="Y36" s="1720"/>
      <c r="Z36" s="1720"/>
      <c r="AA36" s="1721"/>
      <c r="AB36" s="1706"/>
      <c r="AC36" s="1706"/>
      <c r="AD36" s="1706"/>
      <c r="AE36" s="1706"/>
      <c r="AF36" s="1706"/>
      <c r="AG36" s="1706"/>
      <c r="AH36" s="1706"/>
      <c r="AI36" s="1706"/>
    </row>
    <row r="37" spans="1:35" x14ac:dyDescent="0.2">
      <c r="A37" s="1720"/>
      <c r="B37" s="1720"/>
      <c r="C37" s="1720"/>
      <c r="D37" s="1720"/>
      <c r="E37" s="1720"/>
      <c r="F37" s="1720"/>
      <c r="G37" s="1720"/>
      <c r="H37" s="1720"/>
      <c r="I37" s="1720"/>
      <c r="J37" s="1720"/>
      <c r="K37" s="1720"/>
      <c r="L37" s="1720"/>
      <c r="M37" s="1720"/>
      <c r="N37" s="1720"/>
      <c r="O37" s="1720"/>
      <c r="P37" s="1720"/>
      <c r="Q37" s="1720"/>
      <c r="R37" s="1720"/>
      <c r="S37" s="1720"/>
      <c r="T37" s="1720"/>
      <c r="U37" s="1720"/>
      <c r="V37" s="1720"/>
      <c r="W37" s="1720"/>
      <c r="X37" s="1720"/>
      <c r="Y37" s="1720"/>
      <c r="Z37" s="1720"/>
      <c r="AA37" s="1721"/>
      <c r="AB37" s="1706"/>
      <c r="AC37" s="1706"/>
      <c r="AD37" s="1706"/>
      <c r="AE37" s="1706"/>
      <c r="AF37" s="1706"/>
      <c r="AG37" s="1706"/>
      <c r="AH37" s="1706"/>
      <c r="AI37" s="1706"/>
    </row>
    <row r="38" spans="1:35" x14ac:dyDescent="0.2">
      <c r="A38" s="1720"/>
      <c r="B38" s="1720"/>
      <c r="C38" s="1720"/>
      <c r="D38" s="1720"/>
      <c r="E38" s="1720"/>
      <c r="F38" s="1720"/>
      <c r="G38" s="1720"/>
      <c r="H38" s="1720"/>
      <c r="I38" s="1720"/>
      <c r="J38" s="1720"/>
      <c r="K38" s="1720"/>
      <c r="L38" s="1720"/>
      <c r="M38" s="1720"/>
      <c r="N38" s="1720"/>
      <c r="O38" s="1720"/>
      <c r="P38" s="1720"/>
      <c r="Q38" s="1720"/>
      <c r="R38" s="1720"/>
      <c r="S38" s="1720"/>
      <c r="T38" s="1720"/>
      <c r="U38" s="1720"/>
      <c r="V38" s="1720"/>
      <c r="W38" s="1720"/>
      <c r="X38" s="1720"/>
      <c r="Y38" s="1720"/>
      <c r="Z38" s="1720"/>
      <c r="AA38" s="1721"/>
      <c r="AB38" s="1706"/>
      <c r="AC38" s="1706"/>
      <c r="AD38" s="1706"/>
      <c r="AE38" s="1706"/>
      <c r="AF38" s="1706"/>
      <c r="AG38" s="1706"/>
      <c r="AH38" s="1706"/>
      <c r="AI38" s="1706"/>
    </row>
    <row r="39" spans="1:35" x14ac:dyDescent="0.2">
      <c r="A39" s="1720"/>
      <c r="B39" s="1720"/>
      <c r="C39" s="1720"/>
      <c r="D39" s="1720"/>
      <c r="E39" s="1720"/>
      <c r="F39" s="1720"/>
      <c r="G39" s="1720"/>
      <c r="H39" s="1720"/>
      <c r="I39" s="1720"/>
      <c r="J39" s="1720"/>
      <c r="K39" s="1720"/>
      <c r="L39" s="1720"/>
      <c r="M39" s="1720"/>
      <c r="N39" s="1720"/>
      <c r="O39" s="1720"/>
      <c r="P39" s="1720"/>
      <c r="Q39" s="1720"/>
      <c r="R39" s="1720"/>
      <c r="S39" s="1720"/>
      <c r="T39" s="1720"/>
      <c r="U39" s="1720"/>
      <c r="V39" s="1720"/>
      <c r="W39" s="1720"/>
      <c r="X39" s="1720"/>
      <c r="Y39" s="1720"/>
      <c r="Z39" s="1720"/>
      <c r="AA39" s="1721"/>
      <c r="AB39" s="1706"/>
      <c r="AC39" s="1706"/>
      <c r="AD39" s="1706"/>
      <c r="AE39" s="1706"/>
      <c r="AF39" s="1706"/>
      <c r="AG39" s="1706"/>
      <c r="AH39" s="1706"/>
      <c r="AI39" s="1706"/>
    </row>
    <row r="40" spans="1:35" x14ac:dyDescent="0.2">
      <c r="A40" s="1720"/>
      <c r="B40" s="1720"/>
      <c r="C40" s="1720"/>
      <c r="D40" s="1720"/>
      <c r="E40" s="1720"/>
      <c r="F40" s="1720"/>
      <c r="G40" s="1720"/>
      <c r="H40" s="1720"/>
      <c r="I40" s="1720"/>
      <c r="J40" s="1720"/>
      <c r="K40" s="1720"/>
      <c r="L40" s="1720"/>
      <c r="M40" s="1720"/>
      <c r="N40" s="1720"/>
      <c r="O40" s="1720"/>
      <c r="P40" s="1720"/>
      <c r="Q40" s="1720"/>
      <c r="R40" s="1720"/>
      <c r="S40" s="1720"/>
      <c r="T40" s="1720"/>
      <c r="U40" s="1720"/>
      <c r="V40" s="1720"/>
      <c r="W40" s="1720"/>
      <c r="X40" s="1720"/>
      <c r="Y40" s="1720"/>
      <c r="Z40" s="1720"/>
      <c r="AA40" s="1721"/>
      <c r="AB40" s="1706"/>
      <c r="AC40" s="1706"/>
      <c r="AD40" s="1706"/>
      <c r="AE40" s="1706"/>
      <c r="AF40" s="1706"/>
      <c r="AG40" s="1706"/>
      <c r="AH40" s="1706"/>
      <c r="AI40" s="1706"/>
    </row>
    <row r="41" spans="1:35" x14ac:dyDescent="0.2">
      <c r="A41" s="1720"/>
      <c r="B41" s="1720"/>
      <c r="C41" s="1720"/>
      <c r="D41" s="1720"/>
      <c r="E41" s="1720"/>
      <c r="F41" s="1720"/>
      <c r="G41" s="1720"/>
      <c r="H41" s="1720"/>
      <c r="I41" s="1720"/>
      <c r="J41" s="1720"/>
      <c r="K41" s="1720"/>
      <c r="L41" s="1720"/>
      <c r="M41" s="1720"/>
      <c r="N41" s="1720"/>
      <c r="O41" s="1720"/>
      <c r="P41" s="1720"/>
      <c r="Q41" s="1720"/>
      <c r="R41" s="1720"/>
      <c r="S41" s="1720"/>
      <c r="T41" s="1720"/>
      <c r="U41" s="1720"/>
      <c r="V41" s="1720"/>
      <c r="W41" s="1720"/>
      <c r="X41" s="1720"/>
      <c r="Y41" s="1720"/>
      <c r="Z41" s="1720"/>
      <c r="AA41" s="1721"/>
      <c r="AB41" s="1706"/>
      <c r="AC41" s="1706"/>
      <c r="AD41" s="1706"/>
      <c r="AE41" s="1706"/>
      <c r="AF41" s="1706"/>
      <c r="AG41" s="1706"/>
      <c r="AH41" s="1706"/>
      <c r="AI41" s="1706"/>
    </row>
    <row r="42" spans="1:35" x14ac:dyDescent="0.2">
      <c r="A42" s="1720"/>
      <c r="B42" s="1720"/>
      <c r="C42" s="1720"/>
      <c r="D42" s="1720"/>
      <c r="E42" s="1720"/>
      <c r="F42" s="1720"/>
      <c r="G42" s="1720"/>
      <c r="H42" s="1720"/>
      <c r="I42" s="1720"/>
      <c r="J42" s="1720"/>
      <c r="K42" s="1720"/>
      <c r="L42" s="1720"/>
      <c r="M42" s="1720"/>
      <c r="N42" s="1720"/>
      <c r="O42" s="1720"/>
      <c r="P42" s="1720"/>
      <c r="Q42" s="1720"/>
      <c r="R42" s="1720"/>
      <c r="S42" s="1720"/>
      <c r="T42" s="1720"/>
      <c r="U42" s="1720"/>
      <c r="V42" s="1720"/>
      <c r="W42" s="1720"/>
      <c r="X42" s="1720"/>
      <c r="Y42" s="1720"/>
      <c r="Z42" s="1720"/>
      <c r="AA42" s="1721"/>
      <c r="AB42" s="1706"/>
      <c r="AC42" s="1706"/>
      <c r="AD42" s="1706"/>
      <c r="AE42" s="1706"/>
      <c r="AF42" s="1706"/>
      <c r="AG42" s="1706"/>
      <c r="AH42" s="1706"/>
      <c r="AI42" s="1706"/>
    </row>
    <row r="43" spans="1:35" x14ac:dyDescent="0.2">
      <c r="A43" s="1720"/>
      <c r="B43" s="1720"/>
      <c r="C43" s="1720"/>
      <c r="D43" s="1720"/>
      <c r="E43" s="1720"/>
      <c r="F43" s="1720"/>
      <c r="G43" s="1720"/>
      <c r="H43" s="1720"/>
      <c r="I43" s="1720"/>
      <c r="J43" s="1720"/>
      <c r="K43" s="1720"/>
      <c r="L43" s="1720"/>
      <c r="M43" s="1720"/>
      <c r="N43" s="1720"/>
      <c r="O43" s="1720"/>
      <c r="P43" s="1720"/>
      <c r="Q43" s="1720"/>
      <c r="R43" s="1720"/>
      <c r="S43" s="1720"/>
      <c r="T43" s="1720"/>
      <c r="U43" s="1720"/>
      <c r="V43" s="1720"/>
      <c r="W43" s="1720"/>
      <c r="X43" s="1720"/>
      <c r="Y43" s="1720"/>
      <c r="Z43" s="1720"/>
      <c r="AA43" s="1721"/>
      <c r="AB43" s="1706"/>
      <c r="AC43" s="1706"/>
      <c r="AD43" s="1706"/>
      <c r="AE43" s="1706"/>
      <c r="AF43" s="1706"/>
      <c r="AG43" s="1706"/>
      <c r="AH43" s="1706"/>
      <c r="AI43" s="1706"/>
    </row>
    <row r="44" spans="1:35" x14ac:dyDescent="0.2">
      <c r="A44" s="1720"/>
      <c r="B44" s="1720"/>
      <c r="C44" s="1720"/>
      <c r="D44" s="1720"/>
      <c r="E44" s="1720"/>
      <c r="F44" s="1720"/>
      <c r="G44" s="1720"/>
      <c r="H44" s="1720"/>
      <c r="I44" s="1720"/>
      <c r="J44" s="1720"/>
      <c r="K44" s="1720"/>
      <c r="L44" s="1720"/>
      <c r="M44" s="1720"/>
      <c r="N44" s="1720"/>
      <c r="O44" s="1720"/>
      <c r="P44" s="1720"/>
      <c r="Q44" s="1720"/>
      <c r="R44" s="1720"/>
      <c r="S44" s="1720"/>
      <c r="T44" s="1720"/>
      <c r="U44" s="1720"/>
      <c r="V44" s="1720"/>
      <c r="W44" s="1720"/>
      <c r="X44" s="1720"/>
      <c r="Y44" s="1720"/>
      <c r="Z44" s="1720"/>
      <c r="AA44" s="1721"/>
      <c r="AB44" s="1706"/>
      <c r="AC44" s="1706"/>
      <c r="AD44" s="1706"/>
      <c r="AE44" s="1706"/>
      <c r="AF44" s="1706"/>
      <c r="AG44" s="1706"/>
      <c r="AH44" s="1706"/>
      <c r="AI44" s="1706"/>
    </row>
    <row r="45" spans="1:35" x14ac:dyDescent="0.2">
      <c r="A45" s="1720"/>
      <c r="B45" s="1720"/>
      <c r="C45" s="1720"/>
      <c r="D45" s="1720"/>
      <c r="E45" s="1720"/>
      <c r="F45" s="1720"/>
      <c r="G45" s="1720"/>
      <c r="H45" s="1720"/>
      <c r="I45" s="1720"/>
      <c r="J45" s="1720"/>
      <c r="K45" s="1720"/>
      <c r="L45" s="1720"/>
      <c r="M45" s="1720"/>
      <c r="N45" s="1720"/>
      <c r="O45" s="1720"/>
      <c r="P45" s="1720"/>
      <c r="Q45" s="1720"/>
      <c r="R45" s="1720"/>
      <c r="S45" s="1720"/>
      <c r="T45" s="1720"/>
      <c r="U45" s="1720"/>
      <c r="V45" s="1720"/>
      <c r="W45" s="1720"/>
      <c r="X45" s="1720"/>
      <c r="Y45" s="1720"/>
      <c r="Z45" s="1720"/>
      <c r="AA45" s="1721"/>
      <c r="AB45" s="1706"/>
      <c r="AC45" s="1706"/>
      <c r="AD45" s="1706"/>
      <c r="AE45" s="1706"/>
      <c r="AF45" s="1706"/>
      <c r="AG45" s="1706"/>
      <c r="AH45" s="1706"/>
      <c r="AI45" s="1706"/>
    </row>
    <row r="46" spans="1:35" ht="24.95" customHeight="1" x14ac:dyDescent="0.2">
      <c r="A46" s="3031" t="s">
        <v>223</v>
      </c>
      <c r="B46" s="3031"/>
      <c r="C46" s="3031"/>
      <c r="D46" s="3031"/>
      <c r="E46" s="3031"/>
      <c r="F46" s="3031"/>
      <c r="G46" s="3031"/>
      <c r="H46" s="3031"/>
      <c r="I46" s="3031"/>
      <c r="J46" s="3031"/>
      <c r="K46" s="3031"/>
      <c r="L46" s="3031"/>
      <c r="M46" s="3031"/>
      <c r="N46" s="3031"/>
      <c r="O46" s="3031"/>
      <c r="P46" s="3031"/>
      <c r="Q46" s="3031"/>
      <c r="R46" s="3031"/>
      <c r="S46" s="3031"/>
      <c r="T46" s="3031"/>
      <c r="U46" s="3031"/>
      <c r="V46" s="3031"/>
      <c r="W46" s="3031"/>
      <c r="X46" s="3031"/>
      <c r="Y46" s="3031"/>
      <c r="Z46" s="3031"/>
      <c r="AA46" s="3031"/>
      <c r="AB46" s="1706"/>
      <c r="AC46" s="1706"/>
      <c r="AD46" s="1706"/>
      <c r="AE46" s="1706"/>
      <c r="AF46" s="1706"/>
      <c r="AG46" s="1706"/>
      <c r="AH46" s="1706"/>
      <c r="AI46" s="1706"/>
    </row>
    <row r="47" spans="1:35" ht="20.100000000000001" customHeight="1" x14ac:dyDescent="0.2">
      <c r="A47" s="3031" t="s">
        <v>224</v>
      </c>
      <c r="B47" s="3031"/>
      <c r="C47" s="3031"/>
      <c r="D47" s="3031"/>
      <c r="E47" s="3031"/>
      <c r="F47" s="3031"/>
      <c r="G47" s="3031"/>
      <c r="H47" s="3031"/>
      <c r="I47" s="3031"/>
      <c r="J47" s="3031"/>
      <c r="K47" s="3031"/>
      <c r="L47" s="3031"/>
      <c r="M47" s="3031"/>
      <c r="N47" s="3031"/>
      <c r="O47" s="3031"/>
      <c r="P47" s="3031"/>
      <c r="Q47" s="3031"/>
      <c r="R47" s="3031"/>
      <c r="S47" s="3031"/>
      <c r="T47" s="3031"/>
      <c r="U47" s="3031"/>
      <c r="V47" s="3031"/>
      <c r="W47" s="3031"/>
      <c r="X47" s="3031"/>
      <c r="Y47" s="3031"/>
      <c r="Z47" s="3031"/>
      <c r="AA47" s="3031"/>
      <c r="AB47" s="1706"/>
      <c r="AC47" s="1706"/>
      <c r="AD47" s="1706"/>
      <c r="AE47" s="1706"/>
      <c r="AF47" s="1706"/>
      <c r="AG47" s="1706"/>
      <c r="AH47" s="1706"/>
      <c r="AI47" s="1706"/>
    </row>
    <row r="48" spans="1:35" x14ac:dyDescent="0.2">
      <c r="A48" s="1720"/>
      <c r="B48" s="1720"/>
      <c r="C48" s="1720"/>
      <c r="D48" s="1720"/>
      <c r="E48" s="1720"/>
      <c r="F48" s="1720"/>
      <c r="G48" s="1720"/>
      <c r="H48" s="1720"/>
      <c r="I48" s="1720"/>
      <c r="J48" s="1720"/>
      <c r="K48" s="1720"/>
      <c r="L48" s="1720"/>
      <c r="M48" s="1720"/>
      <c r="N48" s="1720"/>
      <c r="O48" s="1720"/>
      <c r="P48" s="1720"/>
      <c r="Q48" s="1720"/>
      <c r="R48" s="1720"/>
      <c r="S48" s="1720"/>
      <c r="T48" s="1720"/>
      <c r="U48" s="1720"/>
      <c r="V48" s="1720"/>
      <c r="W48" s="1720"/>
      <c r="X48" s="1720"/>
      <c r="Y48" s="1720"/>
      <c r="Z48" s="1720"/>
      <c r="AA48" s="1721"/>
      <c r="AB48" s="1706"/>
      <c r="AC48" s="1706"/>
      <c r="AD48" s="1706"/>
      <c r="AE48" s="1706"/>
      <c r="AF48" s="1706"/>
      <c r="AG48" s="1706"/>
      <c r="AH48" s="1706"/>
      <c r="AI48" s="1706"/>
    </row>
    <row r="49" spans="1:37" x14ac:dyDescent="0.2">
      <c r="A49" s="1720"/>
      <c r="B49" s="1720"/>
      <c r="C49" s="1720"/>
      <c r="D49" s="1720"/>
      <c r="E49" s="1720"/>
      <c r="F49" s="1720"/>
      <c r="G49" s="1720"/>
      <c r="H49" s="1720"/>
      <c r="I49" s="1720"/>
      <c r="J49" s="1720"/>
      <c r="K49" s="1720"/>
      <c r="L49" s="1720"/>
      <c r="M49" s="1720"/>
      <c r="N49" s="1720"/>
      <c r="O49" s="1720"/>
      <c r="P49" s="1720"/>
      <c r="Q49" s="1720"/>
      <c r="R49" s="1720"/>
      <c r="S49" s="1720"/>
      <c r="T49" s="1720"/>
      <c r="U49" s="1720"/>
      <c r="V49" s="1720"/>
      <c r="W49" s="1720"/>
      <c r="X49" s="1720"/>
      <c r="Y49" s="1720"/>
      <c r="Z49" s="1720"/>
      <c r="AA49" s="1721"/>
      <c r="AB49" s="1706"/>
      <c r="AC49" s="1706"/>
      <c r="AD49" s="1706"/>
      <c r="AE49" s="1706"/>
      <c r="AF49" s="1706"/>
      <c r="AG49" s="1706"/>
      <c r="AH49" s="1706"/>
      <c r="AI49" s="1706"/>
    </row>
    <row r="50" spans="1:37" x14ac:dyDescent="0.2">
      <c r="A50" s="1720"/>
      <c r="B50" s="1720"/>
      <c r="C50" s="1720"/>
      <c r="D50" s="1720"/>
      <c r="E50" s="1720"/>
      <c r="F50" s="1720"/>
      <c r="G50" s="1720"/>
      <c r="H50" s="1720"/>
      <c r="I50" s="1720"/>
      <c r="J50" s="1720"/>
      <c r="K50" s="1720"/>
      <c r="L50" s="1720"/>
      <c r="M50" s="1720"/>
      <c r="N50" s="1720"/>
      <c r="O50" s="1720"/>
      <c r="P50" s="1720"/>
      <c r="Q50" s="1720"/>
      <c r="R50" s="1720"/>
      <c r="S50" s="1720"/>
      <c r="T50" s="1720"/>
      <c r="U50" s="1720"/>
      <c r="V50" s="1720"/>
      <c r="W50" s="1720"/>
      <c r="X50" s="1720"/>
      <c r="Y50" s="1720"/>
      <c r="Z50" s="1720"/>
      <c r="AA50" s="1721"/>
      <c r="AB50" s="1706"/>
      <c r="AC50" s="1706"/>
      <c r="AD50" s="1706"/>
      <c r="AE50" s="1706"/>
      <c r="AF50" s="1706"/>
      <c r="AG50" s="1706"/>
      <c r="AH50" s="1706"/>
      <c r="AI50" s="1706"/>
    </row>
    <row r="51" spans="1:37" x14ac:dyDescent="0.2">
      <c r="A51" s="1720"/>
      <c r="B51" s="1720"/>
      <c r="C51" s="1720"/>
      <c r="D51" s="1720"/>
      <c r="E51" s="1720"/>
      <c r="F51" s="1720"/>
      <c r="G51" s="1720"/>
      <c r="H51" s="1720"/>
      <c r="I51" s="1720"/>
      <c r="J51" s="1720"/>
      <c r="K51" s="1720"/>
      <c r="L51" s="1720"/>
      <c r="M51" s="1720"/>
      <c r="N51" s="1720"/>
      <c r="O51" s="1720"/>
      <c r="P51" s="1720"/>
      <c r="Q51" s="1720"/>
      <c r="R51" s="1720"/>
      <c r="S51" s="1720"/>
      <c r="T51" s="1720"/>
      <c r="U51" s="1720"/>
      <c r="V51" s="1720"/>
      <c r="W51" s="1720"/>
      <c r="X51" s="1720"/>
      <c r="Y51" s="1720"/>
      <c r="Z51" s="1720"/>
      <c r="AA51" s="1721"/>
      <c r="AB51" s="1706"/>
      <c r="AC51" s="1706"/>
      <c r="AD51" s="1706"/>
      <c r="AE51" s="1706"/>
      <c r="AF51" s="1706"/>
      <c r="AG51" s="1706"/>
      <c r="AH51" s="1706"/>
      <c r="AI51" s="1706"/>
    </row>
    <row r="52" spans="1:37" x14ac:dyDescent="0.2">
      <c r="A52" s="1720"/>
      <c r="B52" s="1720"/>
      <c r="C52" s="1720"/>
      <c r="D52" s="1720"/>
      <c r="E52" s="1720"/>
      <c r="F52" s="1720"/>
      <c r="G52" s="1720"/>
      <c r="H52" s="1720"/>
      <c r="I52" s="1720"/>
      <c r="J52" s="1720"/>
      <c r="K52" s="1720"/>
      <c r="L52" s="1720"/>
      <c r="M52" s="1720"/>
      <c r="N52" s="1720"/>
      <c r="O52" s="1720"/>
      <c r="P52" s="1720"/>
      <c r="Q52" s="1720"/>
      <c r="R52" s="1720"/>
      <c r="S52" s="1720"/>
      <c r="T52" s="1720"/>
      <c r="U52" s="1720"/>
      <c r="V52" s="1720"/>
      <c r="W52" s="1720"/>
      <c r="X52" s="1720"/>
      <c r="Y52" s="1720"/>
      <c r="Z52" s="1720"/>
      <c r="AA52" s="1721"/>
      <c r="AB52" s="1706"/>
      <c r="AC52" s="1706"/>
      <c r="AD52" s="1706"/>
      <c r="AE52" s="1706"/>
      <c r="AF52" s="1706"/>
      <c r="AG52" s="1706"/>
      <c r="AH52" s="1706"/>
      <c r="AI52" s="1706"/>
    </row>
    <row r="53" spans="1:37" x14ac:dyDescent="0.2">
      <c r="A53" s="1720"/>
      <c r="B53" s="1720"/>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1"/>
      <c r="AB53" s="3006" t="s">
        <v>256</v>
      </c>
      <c r="AC53" s="3006"/>
      <c r="AD53" s="3006"/>
      <c r="AE53" s="3006"/>
      <c r="AF53" s="3006"/>
      <c r="AG53" s="3006"/>
      <c r="AH53" s="3006"/>
      <c r="AI53" s="3006"/>
      <c r="AJ53" s="3006"/>
      <c r="AK53" s="3006"/>
    </row>
    <row r="54" spans="1:37" ht="15" thickBot="1" x14ac:dyDescent="0.25">
      <c r="A54" s="1720"/>
      <c r="B54" s="1720"/>
      <c r="C54" s="1720"/>
      <c r="D54" s="1720"/>
      <c r="E54" s="1720"/>
      <c r="F54" s="1720"/>
      <c r="G54" s="1720"/>
      <c r="H54" s="1720"/>
      <c r="I54" s="1720"/>
      <c r="J54" s="1720"/>
      <c r="K54" s="1720"/>
      <c r="L54" s="1720"/>
      <c r="M54" s="1720"/>
      <c r="N54" s="1720"/>
      <c r="O54" s="1720"/>
      <c r="P54" s="1720"/>
      <c r="Q54" s="1720"/>
      <c r="R54" s="1720"/>
      <c r="S54" s="1720"/>
      <c r="T54" s="1720"/>
      <c r="U54" s="1720"/>
      <c r="V54" s="1720"/>
      <c r="W54" s="1720"/>
      <c r="X54" s="1720"/>
      <c r="Y54" s="1720"/>
      <c r="Z54" s="1720"/>
      <c r="AA54" s="1721"/>
      <c r="AB54" s="3006" t="s">
        <v>256</v>
      </c>
      <c r="AC54" s="3006"/>
      <c r="AD54" s="3006"/>
      <c r="AE54" s="3006"/>
      <c r="AF54" s="3006"/>
      <c r="AG54" s="3006"/>
      <c r="AH54" s="3006"/>
      <c r="AI54" s="3006"/>
      <c r="AJ54" s="3006"/>
      <c r="AK54" s="3006"/>
    </row>
    <row r="55" spans="1:37" ht="15" customHeight="1" x14ac:dyDescent="0.2">
      <c r="A55" s="1720"/>
      <c r="B55" s="1720"/>
      <c r="C55" s="1720"/>
      <c r="D55" s="1720"/>
      <c r="E55" s="1720"/>
      <c r="F55" s="1720"/>
      <c r="G55" s="1720"/>
      <c r="H55" s="1720"/>
      <c r="I55" s="1720"/>
      <c r="J55" s="1720"/>
      <c r="K55" s="1720"/>
      <c r="L55" s="1720"/>
      <c r="M55" s="1720"/>
      <c r="N55" s="1720"/>
      <c r="O55" s="1720"/>
      <c r="P55" s="1720"/>
      <c r="Q55" s="1720"/>
      <c r="R55" s="1720"/>
      <c r="S55" s="1720"/>
      <c r="T55" s="1720"/>
      <c r="U55" s="1720"/>
      <c r="V55" s="1720"/>
      <c r="W55" s="1720"/>
      <c r="X55" s="1720"/>
      <c r="Y55" s="1720"/>
      <c r="Z55" s="1720"/>
      <c r="AA55" s="1721"/>
      <c r="AB55" s="3043">
        <v>2</v>
      </c>
      <c r="AC55" s="3025">
        <f>AC2</f>
        <v>6</v>
      </c>
      <c r="AD55" s="1706"/>
      <c r="AE55" s="1706"/>
      <c r="AF55" s="1706"/>
      <c r="AG55" s="1706"/>
      <c r="AH55" s="1706"/>
      <c r="AI55" s="1706"/>
    </row>
    <row r="56" spans="1:37" ht="15" thickBot="1" x14ac:dyDescent="0.25">
      <c r="A56" s="1720"/>
      <c r="B56" s="1720"/>
      <c r="C56" s="1720"/>
      <c r="D56" s="1720"/>
      <c r="E56" s="1720"/>
      <c r="F56" s="1720"/>
      <c r="G56" s="1720"/>
      <c r="H56" s="1720"/>
      <c r="I56" s="1720"/>
      <c r="J56" s="1720"/>
      <c r="K56" s="1720"/>
      <c r="L56" s="1720"/>
      <c r="M56" s="1720"/>
      <c r="N56" s="1720"/>
      <c r="O56" s="1720"/>
      <c r="P56" s="1720"/>
      <c r="Q56" s="1720"/>
      <c r="R56" s="1720"/>
      <c r="S56" s="1720"/>
      <c r="T56" s="1720"/>
      <c r="U56" s="1720"/>
      <c r="V56" s="1720"/>
      <c r="W56" s="1720"/>
      <c r="X56" s="1720"/>
      <c r="Y56" s="1720"/>
      <c r="Z56" s="1720"/>
      <c r="AA56" s="1721"/>
      <c r="AB56" s="3044"/>
      <c r="AC56" s="3026"/>
      <c r="AD56" s="1706"/>
      <c r="AE56" s="1706"/>
      <c r="AF56" s="1706"/>
      <c r="AG56" s="1706"/>
      <c r="AH56" s="1706"/>
      <c r="AI56" s="1706"/>
    </row>
    <row r="57" spans="1:37" ht="15" thickBot="1" x14ac:dyDescent="0.25">
      <c r="A57" s="1720"/>
      <c r="B57" s="1720"/>
      <c r="C57" s="1720"/>
      <c r="D57" s="1720"/>
      <c r="E57" s="1720"/>
      <c r="F57" s="1720"/>
      <c r="G57" s="1720"/>
      <c r="H57" s="1720"/>
      <c r="I57" s="1720"/>
      <c r="J57" s="1720"/>
      <c r="K57" s="1720"/>
      <c r="L57" s="1720"/>
      <c r="M57" s="1720"/>
      <c r="N57" s="1720"/>
      <c r="O57" s="1720"/>
      <c r="P57" s="1720"/>
      <c r="Q57" s="1720"/>
      <c r="R57" s="1720"/>
      <c r="S57" s="1720"/>
      <c r="T57" s="1720"/>
      <c r="U57" s="1720"/>
      <c r="V57" s="1720"/>
      <c r="W57" s="1720"/>
      <c r="X57" s="1720"/>
      <c r="Y57" s="1720"/>
      <c r="Z57" s="1720"/>
      <c r="AA57" s="1721"/>
      <c r="AB57" s="1708" t="s">
        <v>426</v>
      </c>
      <c r="AC57" s="1706"/>
      <c r="AD57" s="1706"/>
      <c r="AE57" s="1706"/>
      <c r="AF57" s="1706"/>
      <c r="AG57" s="1706"/>
      <c r="AH57" s="1706"/>
      <c r="AI57" s="1706"/>
    </row>
    <row r="58" spans="1:37" ht="18" x14ac:dyDescent="0.25">
      <c r="A58" s="3010" t="s">
        <v>225</v>
      </c>
      <c r="B58" s="3010"/>
      <c r="C58" s="3010"/>
      <c r="D58" s="3010"/>
      <c r="E58" s="3010"/>
      <c r="F58" s="3010"/>
      <c r="G58" s="3010"/>
      <c r="H58" s="3010"/>
      <c r="I58" s="3010"/>
      <c r="J58" s="3010"/>
      <c r="K58" s="3010"/>
      <c r="L58" s="3010"/>
      <c r="M58" s="3010"/>
      <c r="N58" s="3010"/>
      <c r="O58" s="3010"/>
      <c r="P58" s="3010"/>
      <c r="Q58" s="3010"/>
      <c r="R58" s="3010"/>
      <c r="S58" s="3010"/>
      <c r="T58" s="3010"/>
      <c r="U58" s="3010"/>
      <c r="V58" s="3010"/>
      <c r="W58" s="3010"/>
      <c r="X58" s="3010"/>
      <c r="Y58" s="3010"/>
      <c r="Z58" s="3010"/>
      <c r="AA58" s="3010"/>
      <c r="AB58" s="1706"/>
      <c r="AC58" s="3011" t="str">
        <f>AD2</f>
        <v>Asyam Hanif Ihsan H</v>
      </c>
      <c r="AD58" s="3011"/>
      <c r="AE58" s="3011"/>
      <c r="AF58" s="3011"/>
      <c r="AG58" s="3011"/>
      <c r="AH58" s="1706"/>
      <c r="AI58" s="1706"/>
    </row>
    <row r="59" spans="1:37" x14ac:dyDescent="0.2">
      <c r="A59" s="1720"/>
      <c r="B59" s="1720"/>
      <c r="C59" s="1720"/>
      <c r="D59" s="1720"/>
      <c r="E59" s="1720"/>
      <c r="F59" s="1720"/>
      <c r="G59" s="1720"/>
      <c r="H59" s="1720"/>
      <c r="I59" s="1720"/>
      <c r="J59" s="1720"/>
      <c r="K59" s="1720"/>
      <c r="L59" s="1720"/>
      <c r="M59" s="1720"/>
      <c r="N59" s="1720"/>
      <c r="O59" s="1720"/>
      <c r="P59" s="1720"/>
      <c r="Q59" s="1720"/>
      <c r="R59" s="1720"/>
      <c r="S59" s="1720"/>
      <c r="T59" s="1720"/>
      <c r="U59" s="1720"/>
      <c r="V59" s="1720"/>
      <c r="W59" s="1720"/>
      <c r="X59" s="1720"/>
      <c r="Y59" s="1720"/>
      <c r="Z59" s="1720"/>
      <c r="AA59" s="1721"/>
      <c r="AB59" s="1706"/>
      <c r="AC59" s="3012"/>
      <c r="AD59" s="3012"/>
      <c r="AE59" s="3012"/>
      <c r="AF59" s="3012"/>
      <c r="AG59" s="3012"/>
      <c r="AH59" s="1706"/>
      <c r="AI59" s="1706"/>
    </row>
    <row r="60" spans="1:37" x14ac:dyDescent="0.2">
      <c r="A60" s="1720"/>
      <c r="B60" s="1720"/>
      <c r="C60" s="1720"/>
      <c r="D60" s="1720"/>
      <c r="E60" s="1720"/>
      <c r="F60" s="1720"/>
      <c r="G60" s="1720"/>
      <c r="H60" s="1720"/>
      <c r="I60" s="1720"/>
      <c r="J60" s="1720"/>
      <c r="K60" s="1720"/>
      <c r="L60" s="1720"/>
      <c r="M60" s="1720"/>
      <c r="N60" s="1720"/>
      <c r="O60" s="1720"/>
      <c r="P60" s="1720"/>
      <c r="Q60" s="1720"/>
      <c r="R60" s="1720"/>
      <c r="S60" s="1720"/>
      <c r="T60" s="1720"/>
      <c r="U60" s="1720"/>
      <c r="V60" s="1720"/>
      <c r="W60" s="1720"/>
      <c r="X60" s="1720"/>
      <c r="Y60" s="1720"/>
      <c r="Z60" s="1720"/>
      <c r="AA60" s="1721"/>
      <c r="AB60" s="1706"/>
      <c r="AC60" s="1706"/>
      <c r="AD60" s="1706"/>
      <c r="AE60" s="1706"/>
      <c r="AF60" s="1706"/>
      <c r="AG60" s="1706"/>
      <c r="AH60" s="1706"/>
      <c r="AI60" s="1706"/>
    </row>
    <row r="61" spans="1:37" x14ac:dyDescent="0.2">
      <c r="A61" s="1720"/>
      <c r="B61" s="1720"/>
      <c r="C61" s="1720"/>
      <c r="D61" s="1720"/>
      <c r="E61" s="1720"/>
      <c r="F61" s="1720"/>
      <c r="G61" s="1720"/>
      <c r="H61" s="1720"/>
      <c r="I61" s="1720"/>
      <c r="J61" s="1720"/>
      <c r="K61" s="1720"/>
      <c r="L61" s="1720"/>
      <c r="M61" s="1720"/>
      <c r="N61" s="1720"/>
      <c r="O61" s="1720"/>
      <c r="P61" s="1720"/>
      <c r="Q61" s="1720"/>
      <c r="R61" s="1720"/>
      <c r="S61" s="1720"/>
      <c r="T61" s="1720"/>
      <c r="U61" s="1720"/>
      <c r="V61" s="1720"/>
      <c r="W61" s="1720"/>
      <c r="X61" s="1720"/>
      <c r="Y61" s="1720"/>
      <c r="Z61" s="1720"/>
      <c r="AA61" s="1721"/>
      <c r="AB61" s="1706"/>
      <c r="AC61" s="1706"/>
      <c r="AD61" s="1706"/>
      <c r="AE61" s="1706"/>
      <c r="AF61" s="1706"/>
      <c r="AG61" s="1706"/>
      <c r="AH61" s="1706"/>
      <c r="AI61" s="1706"/>
    </row>
    <row r="62" spans="1:37" ht="20.100000000000001" customHeight="1" x14ac:dyDescent="0.2">
      <c r="A62" s="1720"/>
      <c r="B62" s="1720"/>
      <c r="C62" s="326" t="s">
        <v>226</v>
      </c>
      <c r="D62" s="326" t="s">
        <v>220</v>
      </c>
      <c r="E62" s="326"/>
      <c r="F62" s="326"/>
      <c r="G62" s="326"/>
      <c r="H62" s="326"/>
      <c r="I62" s="326"/>
      <c r="J62" s="326"/>
      <c r="K62" s="326"/>
      <c r="L62" s="1726" t="s">
        <v>255</v>
      </c>
      <c r="M62" s="1727"/>
      <c r="N62" s="1728" t="str">
        <f>VLOOKUP(AC2,data_siswa,4,FALSE)</f>
        <v>Asyam Hanif Ihsan H</v>
      </c>
      <c r="O62" s="326"/>
      <c r="P62" s="326"/>
      <c r="Q62" s="326"/>
      <c r="R62" s="326"/>
      <c r="S62" s="326"/>
      <c r="T62" s="326"/>
      <c r="U62" s="326"/>
      <c r="V62" s="326"/>
      <c r="W62" s="326"/>
      <c r="X62" s="326"/>
      <c r="Y62" s="326"/>
      <c r="Z62" s="326"/>
      <c r="AA62" s="1721"/>
      <c r="AB62" s="1706"/>
      <c r="AC62" s="1706"/>
      <c r="AD62" s="1706"/>
      <c r="AE62" s="1706"/>
      <c r="AF62" s="1706"/>
      <c r="AG62" s="1706"/>
      <c r="AH62" s="1706"/>
      <c r="AI62" s="1706"/>
    </row>
    <row r="63" spans="1:37" ht="20.100000000000001" customHeight="1" x14ac:dyDescent="0.2">
      <c r="A63" s="1720"/>
      <c r="B63" s="1720"/>
      <c r="C63" s="326" t="s">
        <v>227</v>
      </c>
      <c r="D63" s="326" t="s">
        <v>228</v>
      </c>
      <c r="E63" s="326"/>
      <c r="F63" s="326"/>
      <c r="G63" s="326"/>
      <c r="H63" s="326"/>
      <c r="I63" s="326"/>
      <c r="J63" s="326"/>
      <c r="K63" s="326"/>
      <c r="L63" s="1726" t="s">
        <v>255</v>
      </c>
      <c r="M63" s="1727"/>
      <c r="N63" s="3016">
        <f>VLOOKUP(AC55,data_siswa,2,FALSE)</f>
        <v>2529</v>
      </c>
      <c r="O63" s="3016"/>
      <c r="P63" s="3016"/>
      <c r="Q63" s="3016"/>
      <c r="R63" s="3016"/>
      <c r="S63" s="3016"/>
      <c r="T63" s="326"/>
      <c r="U63" s="326"/>
      <c r="V63" s="326"/>
      <c r="W63" s="326"/>
      <c r="X63" s="326"/>
      <c r="Y63" s="326"/>
      <c r="Z63" s="326"/>
      <c r="AA63" s="1721"/>
      <c r="AB63" s="1706"/>
      <c r="AC63" s="1706"/>
      <c r="AD63" s="1706"/>
      <c r="AE63" s="1706"/>
      <c r="AF63" s="1706"/>
      <c r="AG63" s="1706"/>
      <c r="AH63" s="1706"/>
      <c r="AI63" s="1706"/>
    </row>
    <row r="64" spans="1:37" ht="20.100000000000001" customHeight="1" x14ac:dyDescent="0.2">
      <c r="A64" s="1720"/>
      <c r="B64" s="1720"/>
      <c r="C64" s="326" t="s">
        <v>245</v>
      </c>
      <c r="D64" s="326" t="s">
        <v>229</v>
      </c>
      <c r="E64" s="326"/>
      <c r="F64" s="326"/>
      <c r="G64" s="326"/>
      <c r="H64" s="326"/>
      <c r="I64" s="326"/>
      <c r="J64" s="326"/>
      <c r="K64" s="326"/>
      <c r="L64" s="1726" t="s">
        <v>255</v>
      </c>
      <c r="M64" s="1727"/>
      <c r="N64" s="3016" t="str">
        <f>VLOOKUP(AC2,data_siswa,5,FALSE)</f>
        <v>Malang</v>
      </c>
      <c r="O64" s="3016"/>
      <c r="P64" s="3016"/>
      <c r="Q64" s="326" t="s">
        <v>402</v>
      </c>
      <c r="R64" s="3017">
        <f>VLOOKUP(AC2,data_siswa,6,FALSE)</f>
        <v>38478</v>
      </c>
      <c r="S64" s="3017"/>
      <c r="T64" s="3017"/>
      <c r="U64" s="3017"/>
      <c r="V64" s="3017"/>
      <c r="W64" s="326"/>
      <c r="X64" s="326"/>
      <c r="Y64" s="326"/>
      <c r="Z64" s="326"/>
      <c r="AA64" s="1721"/>
      <c r="AB64" s="1706"/>
      <c r="AC64" s="1706"/>
      <c r="AD64" s="1706"/>
      <c r="AE64" s="1706"/>
      <c r="AF64" s="1706"/>
      <c r="AG64" s="1706"/>
      <c r="AH64" s="1706"/>
      <c r="AI64" s="1706"/>
    </row>
    <row r="65" spans="1:35" ht="20.100000000000001" customHeight="1" x14ac:dyDescent="0.2">
      <c r="A65" s="1720"/>
      <c r="B65" s="1720"/>
      <c r="C65" s="326" t="s">
        <v>246</v>
      </c>
      <c r="D65" s="326" t="s">
        <v>230</v>
      </c>
      <c r="E65" s="326"/>
      <c r="F65" s="326"/>
      <c r="G65" s="326"/>
      <c r="H65" s="326"/>
      <c r="I65" s="326"/>
      <c r="J65" s="326"/>
      <c r="K65" s="326"/>
      <c r="L65" s="1726" t="s">
        <v>255</v>
      </c>
      <c r="M65" s="1727"/>
      <c r="N65" s="1729" t="str">
        <f>VLOOKUP(AC2,data_siswa,7,FALSE)</f>
        <v>Laki</v>
      </c>
      <c r="O65" s="326"/>
      <c r="P65" s="326"/>
      <c r="Q65" s="326"/>
      <c r="R65" s="326"/>
      <c r="S65" s="326"/>
      <c r="T65" s="326"/>
      <c r="U65" s="326"/>
      <c r="V65" s="326"/>
      <c r="W65" s="326"/>
      <c r="X65" s="326"/>
      <c r="Y65" s="326"/>
      <c r="Z65" s="326"/>
      <c r="AA65" s="1721"/>
      <c r="AB65" s="1706"/>
      <c r="AC65" s="1706"/>
      <c r="AD65" s="1706"/>
      <c r="AE65" s="1706"/>
      <c r="AF65" s="1706"/>
      <c r="AG65" s="1706"/>
      <c r="AH65" s="1706"/>
      <c r="AI65" s="1706"/>
    </row>
    <row r="66" spans="1:35" ht="20.100000000000001" customHeight="1" x14ac:dyDescent="0.2">
      <c r="A66" s="1720"/>
      <c r="B66" s="1720"/>
      <c r="C66" s="326" t="s">
        <v>247</v>
      </c>
      <c r="D66" s="326" t="s">
        <v>231</v>
      </c>
      <c r="E66" s="326"/>
      <c r="F66" s="326"/>
      <c r="G66" s="326"/>
      <c r="H66" s="326"/>
      <c r="I66" s="326"/>
      <c r="J66" s="326"/>
      <c r="K66" s="326"/>
      <c r="L66" s="1726" t="s">
        <v>255</v>
      </c>
      <c r="M66" s="1727"/>
      <c r="N66" s="1729" t="str">
        <f>VLOOKUP(AC2,data_siswa,8,FALSE)</f>
        <v xml:space="preserve">Islam </v>
      </c>
      <c r="O66" s="326"/>
      <c r="P66" s="326"/>
      <c r="Q66" s="326"/>
      <c r="R66" s="326"/>
      <c r="S66" s="326"/>
      <c r="T66" s="326"/>
      <c r="U66" s="326"/>
      <c r="V66" s="326"/>
      <c r="W66" s="326"/>
      <c r="X66" s="326"/>
      <c r="Y66" s="326"/>
      <c r="Z66" s="326"/>
      <c r="AA66" s="1721"/>
      <c r="AB66" s="1706"/>
      <c r="AC66" s="1706"/>
      <c r="AD66" s="1706"/>
      <c r="AE66" s="1706"/>
      <c r="AF66" s="1706"/>
      <c r="AG66" s="1706"/>
      <c r="AH66" s="1706"/>
      <c r="AI66" s="1706"/>
    </row>
    <row r="67" spans="1:35" ht="20.100000000000001" customHeight="1" x14ac:dyDescent="0.2">
      <c r="A67" s="1720"/>
      <c r="B67" s="1720"/>
      <c r="C67" s="326" t="s">
        <v>248</v>
      </c>
      <c r="D67" s="326" t="s">
        <v>232</v>
      </c>
      <c r="E67" s="326"/>
      <c r="F67" s="326"/>
      <c r="G67" s="326"/>
      <c r="H67" s="326"/>
      <c r="I67" s="326"/>
      <c r="J67" s="326"/>
      <c r="K67" s="326"/>
      <c r="L67" s="1726" t="s">
        <v>255</v>
      </c>
      <c r="M67" s="1727"/>
      <c r="N67" s="1729" t="str">
        <f>VLOOKUP(AC2,data_siswa,9,FALSE)</f>
        <v>TK</v>
      </c>
      <c r="O67" s="326"/>
      <c r="P67" s="326"/>
      <c r="Q67" s="326"/>
      <c r="R67" s="326"/>
      <c r="S67" s="326"/>
      <c r="T67" s="326"/>
      <c r="U67" s="326"/>
      <c r="V67" s="326"/>
      <c r="W67" s="326"/>
      <c r="X67" s="326"/>
      <c r="Y67" s="326"/>
      <c r="Z67" s="326"/>
      <c r="AA67" s="1721"/>
      <c r="AB67" s="1706"/>
      <c r="AC67" s="1706"/>
      <c r="AD67" s="1706"/>
      <c r="AE67" s="1706"/>
      <c r="AF67" s="1706"/>
      <c r="AG67" s="1706"/>
      <c r="AH67" s="1706"/>
      <c r="AI67" s="1706"/>
    </row>
    <row r="68" spans="1:35" ht="20.100000000000001" customHeight="1" x14ac:dyDescent="0.2">
      <c r="A68" s="1720"/>
      <c r="B68" s="1720"/>
      <c r="C68" s="326" t="s">
        <v>249</v>
      </c>
      <c r="D68" s="326" t="s">
        <v>233</v>
      </c>
      <c r="E68" s="326"/>
      <c r="F68" s="326"/>
      <c r="G68" s="326"/>
      <c r="H68" s="326"/>
      <c r="I68" s="326"/>
      <c r="J68" s="326"/>
      <c r="K68" s="326"/>
      <c r="L68" s="1726" t="s">
        <v>255</v>
      </c>
      <c r="M68" s="1727"/>
      <c r="N68" s="1729" t="str">
        <f>VLOOKUP(AC2,data_siswa,10,FALSE)</f>
        <v>Narotama H-52</v>
      </c>
      <c r="O68" s="326"/>
      <c r="P68" s="326"/>
      <c r="Q68" s="326"/>
      <c r="R68" s="326"/>
      <c r="S68" s="326"/>
      <c r="T68" s="326"/>
      <c r="U68" s="326"/>
      <c r="V68" s="326"/>
      <c r="W68" s="326"/>
      <c r="X68" s="326"/>
      <c r="Y68" s="326"/>
      <c r="Z68" s="326"/>
      <c r="AA68" s="1721"/>
      <c r="AB68" s="1706"/>
      <c r="AC68" s="1706"/>
      <c r="AD68" s="1706"/>
      <c r="AE68" s="1706"/>
      <c r="AF68" s="1706"/>
      <c r="AG68" s="1706"/>
      <c r="AH68" s="1706"/>
      <c r="AI68" s="1706"/>
    </row>
    <row r="69" spans="1:35" ht="20.100000000000001" customHeight="1" x14ac:dyDescent="0.2">
      <c r="A69" s="1720"/>
      <c r="B69" s="1720"/>
      <c r="C69" s="326" t="s">
        <v>250</v>
      </c>
      <c r="D69" s="326" t="s">
        <v>234</v>
      </c>
      <c r="E69" s="326"/>
      <c r="F69" s="326"/>
      <c r="G69" s="326"/>
      <c r="H69" s="326"/>
      <c r="I69" s="326"/>
      <c r="J69" s="326"/>
      <c r="K69" s="326"/>
      <c r="L69" s="1726"/>
      <c r="M69" s="1727"/>
      <c r="N69" s="1729"/>
      <c r="O69" s="326"/>
      <c r="P69" s="326"/>
      <c r="Q69" s="326"/>
      <c r="R69" s="326"/>
      <c r="S69" s="326"/>
      <c r="T69" s="326"/>
      <c r="U69" s="326"/>
      <c r="V69" s="326"/>
      <c r="W69" s="326"/>
      <c r="X69" s="326"/>
      <c r="Y69" s="326"/>
      <c r="Z69" s="326"/>
      <c r="AA69" s="1721"/>
      <c r="AB69" s="1706"/>
      <c r="AC69" s="1706"/>
      <c r="AD69" s="1706"/>
      <c r="AE69" s="1706"/>
      <c r="AF69" s="1706"/>
      <c r="AG69" s="1706"/>
      <c r="AH69" s="1706"/>
      <c r="AI69" s="1706"/>
    </row>
    <row r="70" spans="1:35" ht="20.100000000000001" customHeight="1" x14ac:dyDescent="0.2">
      <c r="A70" s="1720"/>
      <c r="B70" s="1720"/>
      <c r="C70" s="326"/>
      <c r="D70" s="326" t="s">
        <v>235</v>
      </c>
      <c r="E70" s="326"/>
      <c r="F70" s="326"/>
      <c r="G70" s="326"/>
      <c r="H70" s="326"/>
      <c r="I70" s="326"/>
      <c r="J70" s="326"/>
      <c r="K70" s="326"/>
      <c r="L70" s="1726" t="s">
        <v>255</v>
      </c>
      <c r="M70" s="1727"/>
      <c r="N70" s="1729" t="str">
        <f>VLOOKUP(AC2,data_siswa,11,FALSE)</f>
        <v>Sudarmaji</v>
      </c>
      <c r="O70" s="326"/>
      <c r="P70" s="326"/>
      <c r="Q70" s="326"/>
      <c r="R70" s="326"/>
      <c r="S70" s="326"/>
      <c r="T70" s="326"/>
      <c r="U70" s="326"/>
      <c r="V70" s="326"/>
      <c r="W70" s="326"/>
      <c r="X70" s="326"/>
      <c r="Y70" s="326"/>
      <c r="Z70" s="326"/>
      <c r="AA70" s="1721"/>
      <c r="AB70" s="1706"/>
      <c r="AC70" s="1706"/>
      <c r="AD70" s="1706"/>
      <c r="AE70" s="1706"/>
      <c r="AF70" s="1706"/>
      <c r="AG70" s="1706"/>
      <c r="AH70" s="1706"/>
      <c r="AI70" s="1706"/>
    </row>
    <row r="71" spans="1:35" ht="20.100000000000001" customHeight="1" x14ac:dyDescent="0.2">
      <c r="A71" s="1720"/>
      <c r="B71" s="1720"/>
      <c r="C71" s="326"/>
      <c r="D71" s="326" t="s">
        <v>236</v>
      </c>
      <c r="E71" s="326"/>
      <c r="F71" s="326"/>
      <c r="G71" s="326"/>
      <c r="H71" s="326"/>
      <c r="I71" s="326"/>
      <c r="J71" s="326"/>
      <c r="K71" s="326"/>
      <c r="L71" s="1726" t="s">
        <v>255</v>
      </c>
      <c r="M71" s="1727"/>
      <c r="N71" s="1729" t="str">
        <f>VLOOKUP(AC2,data_siswa,12,FALSE)</f>
        <v>Widyanti</v>
      </c>
      <c r="O71" s="326"/>
      <c r="P71" s="326"/>
      <c r="Q71" s="326"/>
      <c r="R71" s="326"/>
      <c r="S71" s="326"/>
      <c r="T71" s="326"/>
      <c r="U71" s="326"/>
      <c r="V71" s="326"/>
      <c r="W71" s="326"/>
      <c r="X71" s="326"/>
      <c r="Y71" s="326"/>
      <c r="Z71" s="326"/>
      <c r="AA71" s="1721"/>
      <c r="AB71" s="1706"/>
      <c r="AC71" s="1706"/>
      <c r="AD71" s="1706"/>
      <c r="AE71" s="1706"/>
      <c r="AF71" s="1706"/>
      <c r="AG71" s="1706"/>
      <c r="AH71" s="1706"/>
      <c r="AI71" s="1706"/>
    </row>
    <row r="72" spans="1:35" ht="20.100000000000001" customHeight="1" x14ac:dyDescent="0.2">
      <c r="A72" s="1720"/>
      <c r="B72" s="1720"/>
      <c r="C72" s="326" t="s">
        <v>251</v>
      </c>
      <c r="D72" s="326" t="s">
        <v>237</v>
      </c>
      <c r="E72" s="326"/>
      <c r="F72" s="326"/>
      <c r="G72" s="326"/>
      <c r="H72" s="326"/>
      <c r="I72" s="326"/>
      <c r="J72" s="326"/>
      <c r="K72" s="326"/>
      <c r="L72" s="1726"/>
      <c r="M72" s="1727"/>
      <c r="N72" s="1729"/>
      <c r="O72" s="326"/>
      <c r="P72" s="326"/>
      <c r="Q72" s="326"/>
      <c r="R72" s="326"/>
      <c r="S72" s="326"/>
      <c r="T72" s="326"/>
      <c r="U72" s="326"/>
      <c r="V72" s="326"/>
      <c r="W72" s="326"/>
      <c r="X72" s="326"/>
      <c r="Y72" s="326"/>
      <c r="Z72" s="326"/>
      <c r="AA72" s="1721"/>
      <c r="AB72" s="1706"/>
      <c r="AC72" s="1706"/>
      <c r="AD72" s="1706"/>
      <c r="AE72" s="1706"/>
      <c r="AF72" s="1706"/>
      <c r="AG72" s="1706"/>
      <c r="AH72" s="1706"/>
      <c r="AI72" s="1706"/>
    </row>
    <row r="73" spans="1:35" ht="20.100000000000001" customHeight="1" x14ac:dyDescent="0.2">
      <c r="A73" s="1720"/>
      <c r="B73" s="1720"/>
      <c r="C73" s="326"/>
      <c r="D73" s="326" t="s">
        <v>235</v>
      </c>
      <c r="E73" s="326"/>
      <c r="F73" s="326"/>
      <c r="G73" s="326"/>
      <c r="H73" s="326"/>
      <c r="I73" s="326"/>
      <c r="J73" s="326"/>
      <c r="K73" s="326"/>
      <c r="L73" s="1726" t="s">
        <v>255</v>
      </c>
      <c r="M73" s="1727"/>
      <c r="N73" s="1729" t="str">
        <f>VLOOKUP(AC2,data_siswa,13,FALSE)</f>
        <v xml:space="preserve">Karyawan Swasta </v>
      </c>
      <c r="O73" s="326"/>
      <c r="P73" s="326"/>
      <c r="Q73" s="326"/>
      <c r="R73" s="326"/>
      <c r="S73" s="326"/>
      <c r="T73" s="326"/>
      <c r="U73" s="326"/>
      <c r="V73" s="326"/>
      <c r="W73" s="326"/>
      <c r="X73" s="326"/>
      <c r="Y73" s="326"/>
      <c r="Z73" s="326"/>
      <c r="AA73" s="1721"/>
      <c r="AB73" s="1706"/>
      <c r="AC73" s="1706"/>
      <c r="AD73" s="1706"/>
      <c r="AE73" s="1706"/>
      <c r="AF73" s="1706"/>
      <c r="AG73" s="1706"/>
      <c r="AH73" s="1706"/>
      <c r="AI73" s="1706"/>
    </row>
    <row r="74" spans="1:35" ht="20.100000000000001" customHeight="1" x14ac:dyDescent="0.2">
      <c r="A74" s="1720"/>
      <c r="B74" s="1720"/>
      <c r="C74" s="326"/>
      <c r="D74" s="326" t="s">
        <v>236</v>
      </c>
      <c r="E74" s="326"/>
      <c r="F74" s="326"/>
      <c r="G74" s="326"/>
      <c r="H74" s="326"/>
      <c r="I74" s="326"/>
      <c r="J74" s="326"/>
      <c r="K74" s="326"/>
      <c r="L74" s="1726" t="s">
        <v>255</v>
      </c>
      <c r="M74" s="1727"/>
      <c r="N74" s="1729" t="str">
        <f>VLOOKUP(AC2,data_siswa,14,FALSE)</f>
        <v xml:space="preserve">Karyawan Swasta </v>
      </c>
      <c r="O74" s="326"/>
      <c r="P74" s="326"/>
      <c r="Q74" s="326"/>
      <c r="R74" s="326"/>
      <c r="S74" s="326"/>
      <c r="T74" s="326"/>
      <c r="U74" s="326"/>
      <c r="V74" s="326"/>
      <c r="W74" s="326"/>
      <c r="X74" s="326"/>
      <c r="Y74" s="326"/>
      <c r="Z74" s="326"/>
      <c r="AA74" s="1721"/>
      <c r="AB74" s="1706"/>
      <c r="AC74" s="1706"/>
      <c r="AD74" s="1706"/>
      <c r="AE74" s="1706"/>
      <c r="AF74" s="1706"/>
      <c r="AG74" s="1706"/>
      <c r="AH74" s="1706"/>
      <c r="AI74" s="1706"/>
    </row>
    <row r="75" spans="1:35" ht="20.100000000000001" customHeight="1" x14ac:dyDescent="0.2">
      <c r="A75" s="1720"/>
      <c r="B75" s="1720"/>
      <c r="C75" s="326" t="s">
        <v>252</v>
      </c>
      <c r="D75" s="326" t="s">
        <v>238</v>
      </c>
      <c r="E75" s="326"/>
      <c r="F75" s="326"/>
      <c r="G75" s="326"/>
      <c r="H75" s="326"/>
      <c r="I75" s="326"/>
      <c r="J75" s="326"/>
      <c r="K75" s="326"/>
      <c r="L75" s="1726"/>
      <c r="M75" s="1727"/>
      <c r="N75" s="1729"/>
      <c r="O75" s="326"/>
      <c r="P75" s="326"/>
      <c r="Q75" s="326"/>
      <c r="R75" s="326"/>
      <c r="S75" s="326"/>
      <c r="T75" s="326"/>
      <c r="U75" s="326"/>
      <c r="V75" s="326"/>
      <c r="W75" s="326"/>
      <c r="X75" s="326"/>
      <c r="Y75" s="326"/>
      <c r="Z75" s="326"/>
      <c r="AA75" s="1721"/>
      <c r="AB75" s="1706"/>
      <c r="AC75" s="1706"/>
      <c r="AD75" s="1706"/>
      <c r="AE75" s="1706"/>
      <c r="AF75" s="1706"/>
      <c r="AG75" s="1706"/>
      <c r="AH75" s="1706"/>
      <c r="AI75" s="1706"/>
    </row>
    <row r="76" spans="1:35" ht="20.100000000000001" customHeight="1" x14ac:dyDescent="0.2">
      <c r="A76" s="1720"/>
      <c r="B76" s="1720"/>
      <c r="C76" s="326"/>
      <c r="D76" s="326" t="s">
        <v>239</v>
      </c>
      <c r="E76" s="326"/>
      <c r="F76" s="326"/>
      <c r="G76" s="326"/>
      <c r="H76" s="326"/>
      <c r="I76" s="326"/>
      <c r="J76" s="326"/>
      <c r="K76" s="326"/>
      <c r="L76" s="1726" t="s">
        <v>255</v>
      </c>
      <c r="M76" s="1727"/>
      <c r="N76" s="1729" t="str">
        <f>VLOOKUP(AC2,data_siswa,15,FALSE)</f>
        <v>Narotama H-52</v>
      </c>
      <c r="O76" s="326"/>
      <c r="P76" s="326"/>
      <c r="Q76" s="326"/>
      <c r="R76" s="326"/>
      <c r="S76" s="326"/>
      <c r="T76" s="326"/>
      <c r="U76" s="326"/>
      <c r="V76" s="326"/>
      <c r="W76" s="326"/>
      <c r="X76" s="326"/>
      <c r="Y76" s="326"/>
      <c r="Z76" s="326"/>
      <c r="AA76" s="1721"/>
      <c r="AB76" s="1706"/>
      <c r="AC76" s="1706"/>
      <c r="AD76" s="1706"/>
      <c r="AE76" s="1706"/>
      <c r="AF76" s="1706"/>
      <c r="AG76" s="1706"/>
      <c r="AH76" s="1706"/>
      <c r="AI76" s="1706"/>
    </row>
    <row r="77" spans="1:35" ht="20.100000000000001" customHeight="1" x14ac:dyDescent="0.2">
      <c r="A77" s="1720"/>
      <c r="B77" s="1720"/>
      <c r="C77" s="326"/>
      <c r="D77" s="326" t="s">
        <v>98</v>
      </c>
      <c r="E77" s="326"/>
      <c r="F77" s="326"/>
      <c r="G77" s="326"/>
      <c r="H77" s="326"/>
      <c r="I77" s="326"/>
      <c r="J77" s="326"/>
      <c r="K77" s="326"/>
      <c r="L77" s="1726" t="s">
        <v>255</v>
      </c>
      <c r="M77" s="1727"/>
      <c r="N77" s="1729" t="str">
        <f>VLOOKUP(AC2,data_siswa,16,FALSE)</f>
        <v xml:space="preserve">Kesatrian </v>
      </c>
      <c r="O77" s="326"/>
      <c r="P77" s="326"/>
      <c r="Q77" s="326"/>
      <c r="R77" s="326"/>
      <c r="S77" s="326"/>
      <c r="T77" s="326"/>
      <c r="U77" s="326"/>
      <c r="V77" s="326"/>
      <c r="W77" s="326"/>
      <c r="X77" s="326"/>
      <c r="Y77" s="326"/>
      <c r="Z77" s="326"/>
      <c r="AA77" s="1721"/>
      <c r="AB77" s="1706"/>
      <c r="AC77" s="1706"/>
      <c r="AD77" s="1706"/>
      <c r="AE77" s="1706"/>
      <c r="AF77" s="1706"/>
      <c r="AG77" s="1706"/>
      <c r="AH77" s="1706"/>
      <c r="AI77" s="1706"/>
    </row>
    <row r="78" spans="1:35" ht="20.100000000000001" customHeight="1" x14ac:dyDescent="0.2">
      <c r="A78" s="1720"/>
      <c r="B78" s="1720"/>
      <c r="C78" s="326"/>
      <c r="D78" s="326" t="s">
        <v>99</v>
      </c>
      <c r="E78" s="326"/>
      <c r="F78" s="326"/>
      <c r="G78" s="326"/>
      <c r="H78" s="326"/>
      <c r="I78" s="326"/>
      <c r="J78" s="326"/>
      <c r="K78" s="326"/>
      <c r="L78" s="1726" t="s">
        <v>255</v>
      </c>
      <c r="M78" s="1727"/>
      <c r="N78" s="1729" t="str">
        <f>VLOOKUP(AC2,data_siswa,17,FALSE)</f>
        <v>Blimbing</v>
      </c>
      <c r="O78" s="326"/>
      <c r="P78" s="326"/>
      <c r="Q78" s="326"/>
      <c r="R78" s="326"/>
      <c r="S78" s="326"/>
      <c r="T78" s="326"/>
      <c r="U78" s="326"/>
      <c r="V78" s="326"/>
      <c r="W78" s="326"/>
      <c r="X78" s="326"/>
      <c r="Y78" s="326"/>
      <c r="Z78" s="326"/>
      <c r="AA78" s="1721"/>
      <c r="AB78" s="1706"/>
      <c r="AC78" s="1706"/>
      <c r="AD78" s="1706"/>
      <c r="AE78" s="1706"/>
      <c r="AF78" s="1706"/>
      <c r="AG78" s="1706"/>
      <c r="AH78" s="1706"/>
      <c r="AI78" s="1706"/>
    </row>
    <row r="79" spans="1:35" ht="20.100000000000001" customHeight="1" x14ac:dyDescent="0.2">
      <c r="A79" s="1720"/>
      <c r="B79" s="1720"/>
      <c r="C79" s="326"/>
      <c r="D79" s="326" t="s">
        <v>240</v>
      </c>
      <c r="E79" s="326"/>
      <c r="F79" s="326"/>
      <c r="G79" s="326"/>
      <c r="H79" s="326"/>
      <c r="I79" s="326"/>
      <c r="J79" s="326"/>
      <c r="K79" s="326"/>
      <c r="L79" s="1726" t="s">
        <v>255</v>
      </c>
      <c r="M79" s="1727"/>
      <c r="N79" s="1729" t="str">
        <f>VLOOKUP(AC2,data_siswa,18,FALSE)</f>
        <v>Kota Malang</v>
      </c>
      <c r="O79" s="326"/>
      <c r="P79" s="326"/>
      <c r="Q79" s="326"/>
      <c r="R79" s="326"/>
      <c r="S79" s="326"/>
      <c r="T79" s="326"/>
      <c r="U79" s="326"/>
      <c r="V79" s="326"/>
      <c r="W79" s="326"/>
      <c r="X79" s="326"/>
      <c r="Y79" s="326"/>
      <c r="Z79" s="326"/>
      <c r="AA79" s="1721"/>
      <c r="AB79" s="1706"/>
      <c r="AC79" s="1706"/>
      <c r="AD79" s="1706"/>
      <c r="AE79" s="1706"/>
      <c r="AF79" s="1706"/>
      <c r="AG79" s="1706"/>
      <c r="AH79" s="1706"/>
      <c r="AI79" s="1706"/>
    </row>
    <row r="80" spans="1:35" ht="20.100000000000001" customHeight="1" x14ac:dyDescent="0.2">
      <c r="A80" s="1720"/>
      <c r="B80" s="1720"/>
      <c r="C80" s="326"/>
      <c r="D80" s="326" t="s">
        <v>241</v>
      </c>
      <c r="E80" s="326"/>
      <c r="F80" s="326"/>
      <c r="G80" s="326"/>
      <c r="H80" s="326"/>
      <c r="I80" s="326"/>
      <c r="J80" s="326"/>
      <c r="K80" s="326"/>
      <c r="L80" s="1726" t="s">
        <v>255</v>
      </c>
      <c r="M80" s="1727"/>
      <c r="N80" s="1729" t="str">
        <f>VLOOKUP(AC2,data_siswa,19,FALSE)</f>
        <v>Jawa Timur</v>
      </c>
      <c r="O80" s="326"/>
      <c r="P80" s="326"/>
      <c r="Q80" s="326"/>
      <c r="R80" s="326"/>
      <c r="S80" s="326"/>
      <c r="T80" s="326"/>
      <c r="U80" s="326"/>
      <c r="V80" s="326"/>
      <c r="W80" s="326"/>
      <c r="X80" s="326"/>
      <c r="Y80" s="326"/>
      <c r="Z80" s="326"/>
      <c r="AA80" s="1721"/>
      <c r="AB80" s="1706"/>
      <c r="AC80" s="1706"/>
      <c r="AD80" s="1706"/>
      <c r="AE80" s="1706"/>
      <c r="AF80" s="1706"/>
      <c r="AG80" s="1706"/>
      <c r="AH80" s="1706"/>
      <c r="AI80" s="1706"/>
    </row>
    <row r="81" spans="1:37" ht="20.100000000000001" customHeight="1" x14ac:dyDescent="0.2">
      <c r="A81" s="1720"/>
      <c r="B81" s="1720"/>
      <c r="C81" s="326" t="s">
        <v>253</v>
      </c>
      <c r="D81" s="326" t="s">
        <v>242</v>
      </c>
      <c r="E81" s="326"/>
      <c r="F81" s="326"/>
      <c r="G81" s="326"/>
      <c r="H81" s="326"/>
      <c r="I81" s="326"/>
      <c r="J81" s="326"/>
      <c r="K81" s="326"/>
      <c r="L81" s="1726" t="s">
        <v>255</v>
      </c>
      <c r="M81" s="1727"/>
      <c r="N81" s="1729"/>
      <c r="O81" s="326"/>
      <c r="P81" s="326"/>
      <c r="Q81" s="326"/>
      <c r="R81" s="326"/>
      <c r="S81" s="326"/>
      <c r="T81" s="326"/>
      <c r="U81" s="326"/>
      <c r="V81" s="326"/>
      <c r="W81" s="326"/>
      <c r="X81" s="326"/>
      <c r="Y81" s="326"/>
      <c r="Z81" s="326"/>
      <c r="AA81" s="1721"/>
      <c r="AB81" s="1706"/>
      <c r="AC81" s="1706"/>
      <c r="AD81" s="1706"/>
      <c r="AE81" s="1706"/>
      <c r="AF81" s="1706"/>
      <c r="AG81" s="1706"/>
      <c r="AH81" s="1706"/>
      <c r="AI81" s="1706"/>
    </row>
    <row r="82" spans="1:37" ht="20.100000000000001" customHeight="1" x14ac:dyDescent="0.2">
      <c r="A82" s="1720"/>
      <c r="B82" s="1720"/>
      <c r="C82" s="326"/>
      <c r="D82" s="326" t="s">
        <v>243</v>
      </c>
      <c r="E82" s="326"/>
      <c r="F82" s="326"/>
      <c r="G82" s="326"/>
      <c r="H82" s="326"/>
      <c r="I82" s="326"/>
      <c r="J82" s="326"/>
      <c r="K82" s="326"/>
      <c r="L82" s="1726" t="s">
        <v>255</v>
      </c>
      <c r="M82" s="1727"/>
      <c r="N82" s="1730">
        <f>VLOOKUP(AC2,data_siswa,20,FALSE)</f>
        <v>0</v>
      </c>
      <c r="O82" s="326"/>
      <c r="P82" s="326"/>
      <c r="Q82" s="326"/>
      <c r="R82" s="326"/>
      <c r="S82" s="326"/>
      <c r="T82" s="326"/>
      <c r="U82" s="326"/>
      <c r="V82" s="326"/>
      <c r="W82" s="326"/>
      <c r="X82" s="326"/>
      <c r="Y82" s="326"/>
      <c r="Z82" s="326"/>
      <c r="AA82" s="1721"/>
      <c r="AB82" s="1706"/>
      <c r="AC82" s="1706"/>
      <c r="AD82" s="1706"/>
      <c r="AE82" s="1706"/>
      <c r="AF82" s="1706"/>
      <c r="AG82" s="1706"/>
      <c r="AH82" s="1706"/>
      <c r="AI82" s="1706"/>
    </row>
    <row r="83" spans="1:37" ht="20.100000000000001" customHeight="1" x14ac:dyDescent="0.2">
      <c r="A83" s="1720"/>
      <c r="B83" s="1720"/>
      <c r="C83" s="1720"/>
      <c r="D83" s="326" t="s">
        <v>244</v>
      </c>
      <c r="E83" s="1720"/>
      <c r="F83" s="1720"/>
      <c r="G83" s="1720"/>
      <c r="H83" s="1720"/>
      <c r="I83" s="1720"/>
      <c r="J83" s="1720"/>
      <c r="K83" s="1720"/>
      <c r="L83" s="1726" t="s">
        <v>255</v>
      </c>
      <c r="M83" s="1731"/>
      <c r="N83" s="1732">
        <f>VLOOKUP(AC2,data_siswa,21,FALSE)</f>
        <v>0</v>
      </c>
      <c r="O83" s="1720"/>
      <c r="P83" s="1720"/>
      <c r="Q83" s="1720"/>
      <c r="R83" s="1720"/>
      <c r="S83" s="1720"/>
      <c r="T83" s="1720"/>
      <c r="U83" s="1720"/>
      <c r="V83" s="1720"/>
      <c r="W83" s="1720"/>
      <c r="X83" s="1720"/>
      <c r="Y83" s="1720"/>
      <c r="Z83" s="1720"/>
      <c r="AA83" s="1721"/>
      <c r="AB83" s="1706"/>
      <c r="AC83" s="1706"/>
      <c r="AD83" s="1706"/>
      <c r="AE83" s="1706"/>
      <c r="AF83" s="1706"/>
      <c r="AG83" s="1706"/>
      <c r="AH83" s="1706"/>
      <c r="AI83" s="1706"/>
    </row>
    <row r="84" spans="1:37" ht="20.100000000000001" customHeight="1" x14ac:dyDescent="0.2">
      <c r="A84" s="1720"/>
      <c r="B84" s="1720"/>
      <c r="C84" s="1720"/>
      <c r="D84" s="326" t="s">
        <v>254</v>
      </c>
      <c r="E84" s="1720"/>
      <c r="F84" s="1720"/>
      <c r="G84" s="1720"/>
      <c r="H84" s="1720"/>
      <c r="I84" s="1720"/>
      <c r="J84" s="1720"/>
      <c r="K84" s="1720"/>
      <c r="L84" s="1726" t="s">
        <v>255</v>
      </c>
      <c r="M84" s="1731"/>
      <c r="N84" s="1732">
        <f>VLOOKUP(AC2,data_siswa,22,FALSE)</f>
        <v>0</v>
      </c>
      <c r="O84" s="1720"/>
      <c r="P84" s="1720"/>
      <c r="Q84" s="1720"/>
      <c r="R84" s="1720"/>
      <c r="S84" s="1720"/>
      <c r="T84" s="1720"/>
      <c r="U84" s="1720"/>
      <c r="V84" s="1720"/>
      <c r="W84" s="1720"/>
      <c r="X84" s="1720"/>
      <c r="Y84" s="1720"/>
      <c r="Z84" s="1720"/>
      <c r="AA84" s="1721"/>
      <c r="AB84" s="1706"/>
      <c r="AC84" s="1706"/>
      <c r="AD84" s="1706"/>
      <c r="AE84" s="1706"/>
      <c r="AF84" s="1706"/>
      <c r="AG84" s="1706"/>
      <c r="AH84" s="1706"/>
      <c r="AI84" s="1706"/>
    </row>
    <row r="85" spans="1:37" ht="20.100000000000001" customHeight="1" x14ac:dyDescent="0.2">
      <c r="A85" s="1720"/>
      <c r="B85" s="1720"/>
      <c r="C85" s="1720"/>
      <c r="D85" s="1720"/>
      <c r="E85" s="1720"/>
      <c r="F85" s="1720"/>
      <c r="G85" s="1720"/>
      <c r="H85" s="1720"/>
      <c r="I85" s="1720"/>
      <c r="J85" s="1720"/>
      <c r="K85" s="1720"/>
      <c r="L85" s="1720"/>
      <c r="M85" s="1720"/>
      <c r="N85" s="1733"/>
      <c r="O85" s="1720"/>
      <c r="P85" s="1720"/>
      <c r="Q85" s="1720"/>
      <c r="R85" s="1720"/>
      <c r="S85" s="1720"/>
      <c r="T85" s="1720"/>
      <c r="U85" s="1720"/>
      <c r="V85" s="1720"/>
      <c r="W85" s="1720"/>
      <c r="X85" s="1720"/>
      <c r="Y85" s="1720"/>
      <c r="Z85" s="1720"/>
      <c r="AA85" s="1721"/>
      <c r="AB85" s="1706"/>
      <c r="AC85" s="1706"/>
      <c r="AD85" s="1706"/>
      <c r="AE85" s="1706"/>
      <c r="AF85" s="1706"/>
      <c r="AG85" s="1706"/>
      <c r="AH85" s="1706"/>
      <c r="AI85" s="1706"/>
    </row>
    <row r="86" spans="1:37" ht="20.100000000000001" customHeight="1" x14ac:dyDescent="0.2">
      <c r="A86" s="1720"/>
      <c r="B86" s="1720"/>
      <c r="C86" s="1720"/>
      <c r="D86" s="1720"/>
      <c r="E86" s="1720"/>
      <c r="F86" s="1720"/>
      <c r="G86" s="1720"/>
      <c r="H86" s="1720"/>
      <c r="I86" s="1720"/>
      <c r="J86" s="1720"/>
      <c r="K86" s="1720"/>
      <c r="L86" s="1720"/>
      <c r="M86" s="1720"/>
      <c r="N86" s="1733"/>
      <c r="O86" s="1720"/>
      <c r="P86" s="1720"/>
      <c r="Q86" s="1720"/>
      <c r="R86" s="1720"/>
      <c r="S86" s="1720"/>
      <c r="T86" s="1720"/>
      <c r="U86" s="1720"/>
      <c r="V86" s="1720"/>
      <c r="W86" s="1720"/>
      <c r="X86" s="1720"/>
      <c r="Y86" s="1720"/>
      <c r="Z86" s="1720"/>
      <c r="AA86" s="1721"/>
      <c r="AB86" s="1706"/>
      <c r="AC86" s="1706"/>
      <c r="AD86" s="1706"/>
      <c r="AE86" s="1706"/>
      <c r="AF86" s="1706"/>
      <c r="AG86" s="1706"/>
      <c r="AH86" s="1706"/>
      <c r="AI86" s="1706"/>
    </row>
    <row r="87" spans="1:37" ht="20.100000000000001" customHeight="1" x14ac:dyDescent="0.2">
      <c r="A87" s="1720"/>
      <c r="B87" s="1720"/>
      <c r="C87" s="1720"/>
      <c r="D87" s="1720"/>
      <c r="E87" s="1720"/>
      <c r="F87" s="1720"/>
      <c r="G87" s="1720"/>
      <c r="H87" s="1720"/>
      <c r="I87" s="1720"/>
      <c r="J87" s="1720"/>
      <c r="K87" s="1720"/>
      <c r="L87" s="1720"/>
      <c r="M87" s="1720"/>
      <c r="N87" s="3018" t="s">
        <v>403</v>
      </c>
      <c r="O87" s="3018"/>
      <c r="P87" s="3018"/>
      <c r="Q87" s="3018"/>
      <c r="R87" s="3018"/>
      <c r="S87" s="3018"/>
      <c r="T87" s="3018"/>
      <c r="U87" s="1720"/>
      <c r="V87" s="1720"/>
      <c r="W87" s="1720"/>
      <c r="X87" s="1720"/>
      <c r="Y87" s="1720"/>
      <c r="Z87" s="1720"/>
      <c r="AA87" s="1721"/>
      <c r="AB87" s="1706"/>
      <c r="AC87" s="1706"/>
      <c r="AD87" s="1706"/>
      <c r="AE87" s="1706"/>
      <c r="AF87" s="1706"/>
      <c r="AG87" s="1706"/>
      <c r="AH87" s="1706"/>
      <c r="AI87" s="1706"/>
    </row>
    <row r="88" spans="1:37" ht="20.100000000000001" customHeight="1" x14ac:dyDescent="0.2">
      <c r="A88" s="1720"/>
      <c r="B88" s="1720"/>
      <c r="C88" s="1720"/>
      <c r="D88" s="1720"/>
      <c r="E88" s="1720"/>
      <c r="F88" s="1720"/>
      <c r="G88" s="1720"/>
      <c r="H88" s="1720"/>
      <c r="I88" s="1720"/>
      <c r="J88" s="1720"/>
      <c r="K88" s="1720"/>
      <c r="L88" s="1720"/>
      <c r="M88" s="1720"/>
      <c r="N88" s="3018" t="s">
        <v>404</v>
      </c>
      <c r="O88" s="3018"/>
      <c r="P88" s="3018"/>
      <c r="Q88" s="3018"/>
      <c r="R88" s="3018"/>
      <c r="S88" s="3018"/>
      <c r="T88" s="3018"/>
      <c r="U88" s="1720"/>
      <c r="V88" s="1720"/>
      <c r="W88" s="1720"/>
      <c r="X88" s="1720"/>
      <c r="Y88" s="1720"/>
      <c r="Z88" s="1720"/>
      <c r="AA88" s="1721"/>
      <c r="AB88" s="1706"/>
      <c r="AC88" s="1706"/>
      <c r="AD88" s="1706"/>
      <c r="AE88" s="1706"/>
      <c r="AF88" s="1706"/>
      <c r="AG88" s="1706"/>
      <c r="AH88" s="1706"/>
      <c r="AI88" s="1706"/>
    </row>
    <row r="89" spans="1:37" ht="20.100000000000001" customHeight="1" x14ac:dyDescent="0.2">
      <c r="A89" s="1720"/>
      <c r="B89" s="1720"/>
      <c r="C89" s="1720"/>
      <c r="D89" s="1720"/>
      <c r="E89" s="1720"/>
      <c r="F89" s="1720"/>
      <c r="G89" s="1720"/>
      <c r="H89" s="1720"/>
      <c r="I89" s="1720"/>
      <c r="J89" s="1720"/>
      <c r="K89" s="1720"/>
      <c r="L89" s="1720"/>
      <c r="M89" s="1720"/>
      <c r="N89" s="1733"/>
      <c r="O89" s="1720"/>
      <c r="P89" s="1720"/>
      <c r="Q89" s="1720"/>
      <c r="R89" s="1720"/>
      <c r="S89" s="1720"/>
      <c r="T89" s="1720"/>
      <c r="U89" s="1720"/>
      <c r="V89" s="1720"/>
      <c r="W89" s="1720"/>
      <c r="X89" s="1720"/>
      <c r="Y89" s="1720"/>
      <c r="Z89" s="1720"/>
      <c r="AA89" s="1721"/>
      <c r="AB89" s="1706"/>
      <c r="AC89" s="1706"/>
      <c r="AD89" s="1706"/>
      <c r="AE89" s="1706"/>
      <c r="AF89" s="1706"/>
      <c r="AG89" s="1706"/>
      <c r="AH89" s="1706"/>
      <c r="AI89" s="1706"/>
    </row>
    <row r="90" spans="1:37" ht="20.100000000000001" customHeight="1" x14ac:dyDescent="0.2">
      <c r="A90" s="1720"/>
      <c r="B90" s="1720"/>
      <c r="C90" s="1720"/>
      <c r="D90" s="1720"/>
      <c r="E90" s="1720"/>
      <c r="F90" s="1720"/>
      <c r="G90" s="1720"/>
      <c r="H90" s="1720"/>
      <c r="I90" s="1720"/>
      <c r="J90" s="1720"/>
      <c r="K90" s="1720"/>
      <c r="L90" s="1720"/>
      <c r="M90" s="1720"/>
      <c r="N90" s="1733"/>
      <c r="O90" s="1720"/>
      <c r="P90" s="1720"/>
      <c r="Q90" s="1720"/>
      <c r="R90" s="1720"/>
      <c r="S90" s="1720"/>
      <c r="T90" s="1720"/>
      <c r="U90" s="1720"/>
      <c r="V90" s="1720"/>
      <c r="W90" s="1720"/>
      <c r="X90" s="1720"/>
      <c r="Y90" s="1720"/>
      <c r="Z90" s="1720"/>
      <c r="AA90" s="1721"/>
      <c r="AB90" s="1706"/>
      <c r="AC90" s="1706"/>
      <c r="AD90" s="1706"/>
      <c r="AE90" s="1706"/>
      <c r="AF90" s="1706"/>
      <c r="AG90" s="1706"/>
      <c r="AH90" s="1706"/>
      <c r="AI90" s="1706"/>
    </row>
    <row r="91" spans="1:37" ht="20.100000000000001" customHeight="1" x14ac:dyDescent="0.2">
      <c r="A91" s="1720"/>
      <c r="B91" s="1720"/>
      <c r="C91" s="1734">
        <v>1</v>
      </c>
      <c r="D91" s="1720"/>
      <c r="E91" s="1720"/>
      <c r="F91" s="1720"/>
      <c r="G91" s="1720"/>
      <c r="H91" s="1720"/>
      <c r="I91" s="1720"/>
      <c r="J91" s="1720"/>
      <c r="K91" s="1720"/>
      <c r="L91" s="1720"/>
      <c r="M91" s="1720"/>
      <c r="N91" s="3019" t="str">
        <f>VLOOKUP(C91,data_guru,3,FALSE)</f>
        <v>Yusuf Nur Ikhsan , S.Pd</v>
      </c>
      <c r="O91" s="3019"/>
      <c r="P91" s="3019"/>
      <c r="Q91" s="3019"/>
      <c r="R91" s="3019"/>
      <c r="S91" s="3019"/>
      <c r="T91" s="3019"/>
      <c r="U91" s="1720"/>
      <c r="V91" s="1720"/>
      <c r="W91" s="1720"/>
      <c r="X91" s="1720"/>
      <c r="Y91" s="1720"/>
      <c r="Z91" s="1720"/>
      <c r="AA91" s="1721"/>
      <c r="AB91" s="1706"/>
      <c r="AC91" s="1706"/>
      <c r="AD91" s="1706"/>
      <c r="AE91" s="1706"/>
      <c r="AF91" s="1706"/>
      <c r="AG91" s="1706"/>
      <c r="AH91" s="1706"/>
      <c r="AI91" s="1706"/>
    </row>
    <row r="92" spans="1:37" ht="20.100000000000001" customHeight="1" x14ac:dyDescent="0.2">
      <c r="A92" s="1720"/>
      <c r="B92" s="1720"/>
      <c r="C92" s="1734">
        <v>2</v>
      </c>
      <c r="D92" s="1720"/>
      <c r="E92" s="1720"/>
      <c r="F92" s="1720"/>
      <c r="G92" s="1720"/>
      <c r="H92" s="1720"/>
      <c r="I92" s="1720"/>
      <c r="J92" s="1720"/>
      <c r="K92" s="1720"/>
      <c r="L92" s="1720"/>
      <c r="M92" s="1720"/>
      <c r="N92" s="3021" t="str">
        <f>VLOOKUP(C92,data_guru,3,FALSE)</f>
        <v>NIP.   196004051979121009</v>
      </c>
      <c r="O92" s="3021"/>
      <c r="P92" s="3021"/>
      <c r="Q92" s="3021"/>
      <c r="R92" s="3021"/>
      <c r="S92" s="3021"/>
      <c r="T92" s="3021"/>
      <c r="U92" s="1720"/>
      <c r="V92" s="1720"/>
      <c r="W92" s="1720"/>
      <c r="X92" s="1720"/>
      <c r="Y92" s="1720"/>
      <c r="Z92" s="1720"/>
      <c r="AA92" s="1721"/>
      <c r="AB92" s="1706"/>
      <c r="AC92" s="1706"/>
      <c r="AD92" s="1706"/>
      <c r="AE92" s="1706"/>
      <c r="AF92" s="1706"/>
      <c r="AG92" s="1706"/>
      <c r="AH92" s="1706"/>
      <c r="AI92" s="1706"/>
    </row>
    <row r="93" spans="1:37" ht="20.100000000000001" customHeight="1" x14ac:dyDescent="0.2">
      <c r="A93" s="1720"/>
      <c r="B93" s="1720"/>
      <c r="C93" s="1720"/>
      <c r="D93" s="1720"/>
      <c r="E93" s="1720"/>
      <c r="F93" s="1720"/>
      <c r="G93" s="1720"/>
      <c r="H93" s="1720"/>
      <c r="I93" s="1720"/>
      <c r="J93" s="1720"/>
      <c r="K93" s="1720"/>
      <c r="L93" s="1720"/>
      <c r="M93" s="1720"/>
      <c r="N93" s="1720"/>
      <c r="O93" s="1720"/>
      <c r="P93" s="1720"/>
      <c r="Q93" s="1720"/>
      <c r="R93" s="1720"/>
      <c r="S93" s="1720"/>
      <c r="T93" s="1720"/>
      <c r="U93" s="1720"/>
      <c r="V93" s="1720"/>
      <c r="W93" s="1720"/>
      <c r="X93" s="1720"/>
      <c r="Y93" s="1720"/>
      <c r="Z93" s="1720"/>
      <c r="AA93" s="1721"/>
      <c r="AB93" s="1706"/>
      <c r="AC93" s="1706"/>
      <c r="AD93" s="1706"/>
      <c r="AE93" s="1706"/>
      <c r="AF93" s="1706"/>
      <c r="AG93" s="1706"/>
      <c r="AH93" s="1706"/>
      <c r="AI93" s="1706"/>
    </row>
    <row r="94" spans="1:37" ht="20.100000000000001" customHeight="1" x14ac:dyDescent="0.2">
      <c r="A94" s="1720"/>
      <c r="B94" s="1720"/>
      <c r="C94" s="1720"/>
      <c r="D94" s="1720"/>
      <c r="E94" s="1720"/>
      <c r="F94" s="1720"/>
      <c r="G94" s="1720"/>
      <c r="H94" s="1720"/>
      <c r="I94" s="1720"/>
      <c r="J94" s="1720"/>
      <c r="K94" s="1720"/>
      <c r="L94" s="1720"/>
      <c r="M94" s="1720"/>
      <c r="N94" s="1720"/>
      <c r="O94" s="1720"/>
      <c r="P94" s="1720"/>
      <c r="Q94" s="1720"/>
      <c r="R94" s="1720"/>
      <c r="S94" s="1720"/>
      <c r="T94" s="1720"/>
      <c r="U94" s="1720"/>
      <c r="V94" s="1720"/>
      <c r="W94" s="1720"/>
      <c r="X94" s="1720"/>
      <c r="Y94" s="1720"/>
      <c r="Z94" s="1720"/>
      <c r="AA94" s="1721"/>
      <c r="AB94" s="1706"/>
      <c r="AC94" s="1706"/>
      <c r="AD94" s="1706"/>
      <c r="AE94" s="1706"/>
      <c r="AF94" s="1706"/>
      <c r="AG94" s="1706"/>
      <c r="AH94" s="1706"/>
      <c r="AI94" s="1706"/>
    </row>
    <row r="95" spans="1:37" ht="20.100000000000001" customHeight="1" x14ac:dyDescent="0.2">
      <c r="A95" s="1720"/>
      <c r="B95" s="1720"/>
      <c r="C95" s="1720"/>
      <c r="D95" s="1720"/>
      <c r="E95" s="1720"/>
      <c r="F95" s="1720"/>
      <c r="G95" s="1720"/>
      <c r="H95" s="1720"/>
      <c r="I95" s="1720"/>
      <c r="J95" s="1720"/>
      <c r="K95" s="1720"/>
      <c r="L95" s="1720"/>
      <c r="M95" s="1720"/>
      <c r="N95" s="1720"/>
      <c r="O95" s="1720"/>
      <c r="P95" s="1720"/>
      <c r="Q95" s="1720"/>
      <c r="R95" s="1720"/>
      <c r="S95" s="1720"/>
      <c r="T95" s="1720"/>
      <c r="U95" s="1720"/>
      <c r="V95" s="1720"/>
      <c r="W95" s="1720"/>
      <c r="X95" s="1720"/>
      <c r="Y95" s="1720"/>
      <c r="Z95" s="1720"/>
      <c r="AA95" s="1721"/>
      <c r="AB95" s="1706"/>
      <c r="AC95" s="1706"/>
      <c r="AD95" s="1706"/>
      <c r="AE95" s="1706"/>
      <c r="AF95" s="1706"/>
      <c r="AG95" s="1706"/>
      <c r="AH95" s="1706"/>
      <c r="AI95" s="1706"/>
    </row>
    <row r="96" spans="1:37" ht="20.100000000000001" customHeight="1" x14ac:dyDescent="0.2">
      <c r="A96" s="1720"/>
      <c r="B96" s="1720"/>
      <c r="C96" s="1720"/>
      <c r="D96" s="1720"/>
      <c r="E96" s="1720"/>
      <c r="F96" s="1720"/>
      <c r="G96" s="1720"/>
      <c r="H96" s="1720"/>
      <c r="I96" s="1720"/>
      <c r="J96" s="1720"/>
      <c r="K96" s="1720"/>
      <c r="L96" s="1720"/>
      <c r="M96" s="1720"/>
      <c r="N96" s="1720"/>
      <c r="O96" s="1720"/>
      <c r="P96" s="1720"/>
      <c r="Q96" s="1720"/>
      <c r="R96" s="1720"/>
      <c r="S96" s="1720"/>
      <c r="T96" s="1720"/>
      <c r="U96" s="1720"/>
      <c r="V96" s="1720"/>
      <c r="W96" s="1720"/>
      <c r="X96" s="1720"/>
      <c r="Y96" s="1720"/>
      <c r="Z96" s="1720"/>
      <c r="AA96" s="1721"/>
      <c r="AB96" s="3006" t="s">
        <v>256</v>
      </c>
      <c r="AC96" s="3006"/>
      <c r="AD96" s="3006"/>
      <c r="AE96" s="3006"/>
      <c r="AF96" s="3006"/>
      <c r="AG96" s="3006"/>
      <c r="AH96" s="3006"/>
      <c r="AI96" s="3006"/>
      <c r="AJ96" s="3006"/>
      <c r="AK96" s="3006"/>
    </row>
    <row r="97" spans="1:37" ht="20.100000000000001" customHeight="1" x14ac:dyDescent="0.2">
      <c r="A97" s="1720"/>
      <c r="B97" s="1720"/>
      <c r="C97" s="1720"/>
      <c r="D97" s="1720"/>
      <c r="E97" s="1720"/>
      <c r="F97" s="1720"/>
      <c r="G97" s="1720"/>
      <c r="H97" s="1720"/>
      <c r="I97" s="1720"/>
      <c r="J97" s="1720"/>
      <c r="K97" s="1720"/>
      <c r="L97" s="1720"/>
      <c r="M97" s="1720"/>
      <c r="N97" s="1720"/>
      <c r="O97" s="1720"/>
      <c r="P97" s="1720"/>
      <c r="Q97" s="1720"/>
      <c r="R97" s="1720"/>
      <c r="S97" s="1720"/>
      <c r="T97" s="1720"/>
      <c r="U97" s="1720"/>
      <c r="V97" s="1720"/>
      <c r="W97" s="1720"/>
      <c r="X97" s="1720"/>
      <c r="Y97" s="1720"/>
      <c r="Z97" s="1720"/>
      <c r="AA97" s="1721"/>
      <c r="AB97" s="3006" t="s">
        <v>256</v>
      </c>
      <c r="AC97" s="3006"/>
      <c r="AD97" s="3006"/>
      <c r="AE97" s="3006"/>
      <c r="AF97" s="3006"/>
      <c r="AG97" s="3006"/>
      <c r="AH97" s="3006"/>
      <c r="AI97" s="3006"/>
      <c r="AJ97" s="3006"/>
      <c r="AK97" s="3006"/>
    </row>
    <row r="98" spans="1:37" ht="20.100000000000001" customHeight="1" x14ac:dyDescent="0.2">
      <c r="A98" s="1720"/>
      <c r="B98" s="1720"/>
      <c r="C98" s="1720"/>
      <c r="D98" s="1720"/>
      <c r="E98" s="1720"/>
      <c r="F98" s="1720"/>
      <c r="G98" s="1720"/>
      <c r="H98" s="1720"/>
      <c r="I98" s="1720"/>
      <c r="J98" s="1720"/>
      <c r="K98" s="1720"/>
      <c r="L98" s="1720"/>
      <c r="M98" s="1720"/>
      <c r="N98" s="1720"/>
      <c r="O98" s="1720"/>
      <c r="P98" s="1720"/>
      <c r="Q98" s="1720"/>
      <c r="R98" s="1720"/>
      <c r="S98" s="1720"/>
      <c r="T98" s="1720"/>
      <c r="U98" s="1720"/>
      <c r="V98" s="1720"/>
      <c r="W98" s="1720"/>
      <c r="X98" s="1720"/>
      <c r="Y98" s="1720"/>
      <c r="Z98" s="1735">
        <v>1</v>
      </c>
      <c r="AA98" s="1721"/>
      <c r="AB98" s="1709" t="s">
        <v>426</v>
      </c>
      <c r="AC98" s="1706"/>
      <c r="AD98" s="1706"/>
      <c r="AE98" s="1706"/>
      <c r="AF98" s="1706"/>
      <c r="AG98" s="1706"/>
      <c r="AH98" s="1706"/>
      <c r="AI98" s="1706"/>
    </row>
    <row r="99" spans="1:37" ht="20.100000000000001" customHeight="1" x14ac:dyDescent="0.2">
      <c r="A99" s="3013" t="s">
        <v>405</v>
      </c>
      <c r="B99" s="3013"/>
      <c r="C99" s="3013"/>
      <c r="D99" s="3013"/>
      <c r="E99" s="3013"/>
      <c r="F99" s="3013"/>
      <c r="G99" s="3013"/>
      <c r="H99" s="3013"/>
      <c r="I99" s="3013"/>
      <c r="J99" s="3013"/>
      <c r="K99" s="3013"/>
      <c r="L99" s="3013"/>
      <c r="M99" s="3013"/>
      <c r="N99" s="3013"/>
      <c r="O99" s="3013"/>
      <c r="P99" s="3013"/>
      <c r="Q99" s="3013"/>
      <c r="R99" s="3013"/>
      <c r="S99" s="3013"/>
      <c r="T99" s="3013"/>
      <c r="U99" s="3013"/>
      <c r="V99" s="3013"/>
      <c r="W99" s="3013"/>
      <c r="X99" s="3013"/>
      <c r="Y99" s="3013"/>
      <c r="Z99" s="3013"/>
      <c r="AA99" s="3014"/>
      <c r="AB99" s="3007">
        <v>3</v>
      </c>
      <c r="AC99" s="3009">
        <f>AC55</f>
        <v>6</v>
      </c>
      <c r="AD99" s="3008" t="str">
        <f>AC58</f>
        <v>Asyam Hanif Ihsan H</v>
      </c>
      <c r="AE99" s="3008"/>
      <c r="AF99" s="3008"/>
      <c r="AG99" s="3008"/>
      <c r="AH99" s="3008"/>
      <c r="AI99" s="1706"/>
    </row>
    <row r="100" spans="1:37" ht="20.100000000000001" customHeight="1" x14ac:dyDescent="0.2">
      <c r="A100" s="1720"/>
      <c r="B100" s="1720"/>
      <c r="C100" s="1720"/>
      <c r="D100" s="1720"/>
      <c r="E100" s="1720"/>
      <c r="F100" s="1720"/>
      <c r="G100" s="1720"/>
      <c r="H100" s="1720"/>
      <c r="I100" s="1720"/>
      <c r="J100" s="1720"/>
      <c r="K100" s="1720"/>
      <c r="L100" s="1720"/>
      <c r="M100" s="1720"/>
      <c r="N100" s="1720"/>
      <c r="O100" s="1720"/>
      <c r="P100" s="1720"/>
      <c r="Q100" s="1720"/>
      <c r="R100" s="1720"/>
      <c r="S100" s="1720"/>
      <c r="T100" s="1720"/>
      <c r="U100" s="1720"/>
      <c r="V100" s="1720"/>
      <c r="W100" s="1720"/>
      <c r="X100" s="1720"/>
      <c r="Y100" s="1720"/>
      <c r="Z100" s="1735">
        <v>3</v>
      </c>
      <c r="AA100" s="1721"/>
      <c r="AB100" s="3007"/>
      <c r="AC100" s="3009"/>
      <c r="AD100" s="3008"/>
      <c r="AE100" s="3008"/>
      <c r="AF100" s="3008"/>
      <c r="AG100" s="3008"/>
      <c r="AH100" s="3008"/>
      <c r="AI100" s="1706"/>
    </row>
    <row r="101" spans="1:37" ht="20.100000000000001" customHeight="1" x14ac:dyDescent="0.2">
      <c r="A101" s="1736" t="s">
        <v>220</v>
      </c>
      <c r="B101" s="1737"/>
      <c r="C101" s="1737"/>
      <c r="D101" s="1737"/>
      <c r="E101" s="1737"/>
      <c r="F101" s="1737"/>
      <c r="G101" s="1736" t="s">
        <v>255</v>
      </c>
      <c r="H101" s="1738" t="str">
        <f>VLOOKUP(AC2,data_siswa,4,FALSE)</f>
        <v>Asyam Hanif Ihsan H</v>
      </c>
      <c r="I101" s="1737"/>
      <c r="J101" s="1737"/>
      <c r="K101" s="1737"/>
      <c r="L101" s="1737"/>
      <c r="M101" s="1737"/>
      <c r="N101" s="1737"/>
      <c r="O101" s="1737"/>
      <c r="P101" s="1739">
        <v>5</v>
      </c>
      <c r="Q101" s="1736" t="s">
        <v>108</v>
      </c>
      <c r="R101" s="1736"/>
      <c r="S101" s="1736"/>
      <c r="T101" s="1736"/>
      <c r="U101" s="1736"/>
      <c r="V101" s="1736" t="s">
        <v>255</v>
      </c>
      <c r="W101" s="3015" t="str">
        <f>VLOOKUP(P101,data_guru,3,FALSE)</f>
        <v>4 ( empat )</v>
      </c>
      <c r="X101" s="3015"/>
      <c r="Y101" s="3015"/>
      <c r="Z101" s="1736"/>
      <c r="AA101" s="1721"/>
      <c r="AB101" s="1706"/>
      <c r="AC101" s="1706"/>
      <c r="AD101" s="1706"/>
      <c r="AE101" s="1706"/>
      <c r="AF101" s="1706"/>
      <c r="AG101" s="1706"/>
      <c r="AH101" s="1706"/>
      <c r="AI101" s="1706"/>
    </row>
    <row r="102" spans="1:37" ht="20.100000000000001" customHeight="1" x14ac:dyDescent="0.2">
      <c r="A102" s="1736" t="s">
        <v>406</v>
      </c>
      <c r="B102" s="1737"/>
      <c r="C102" s="1737"/>
      <c r="D102" s="1737"/>
      <c r="E102" s="1737"/>
      <c r="F102" s="1737"/>
      <c r="G102" s="1736" t="s">
        <v>255</v>
      </c>
      <c r="H102" s="3015">
        <f>VLOOKUP(AC2,data_siswa,2,FALSE)</f>
        <v>2529</v>
      </c>
      <c r="I102" s="3015"/>
      <c r="J102" s="1736" t="s">
        <v>222</v>
      </c>
      <c r="K102" s="1736" t="str">
        <f>VLOOKUP(AC2,data_siswa,3,FALSE)</f>
        <v>0050973524</v>
      </c>
      <c r="L102" s="1736"/>
      <c r="M102" s="1736"/>
      <c r="N102" s="1736"/>
      <c r="O102" s="1736"/>
      <c r="P102" s="1736"/>
      <c r="Q102" s="1736" t="s">
        <v>407</v>
      </c>
      <c r="R102" s="1736"/>
      <c r="S102" s="1736"/>
      <c r="T102" s="1736"/>
      <c r="U102" s="1736"/>
      <c r="V102" s="1736" t="s">
        <v>255</v>
      </c>
      <c r="W102" s="1740" t="s">
        <v>116</v>
      </c>
      <c r="X102" s="1736"/>
      <c r="Y102" s="1736"/>
      <c r="Z102" s="1736"/>
      <c r="AA102" s="1721"/>
      <c r="AB102" s="1706"/>
      <c r="AC102" s="1706"/>
      <c r="AD102" s="1706"/>
      <c r="AE102" s="1706"/>
      <c r="AF102" s="1706"/>
      <c r="AG102" s="1706"/>
      <c r="AH102" s="1706"/>
      <c r="AI102" s="1706"/>
    </row>
    <row r="103" spans="1:37" ht="20.100000000000001" customHeight="1" x14ac:dyDescent="0.2">
      <c r="A103" s="1736" t="s">
        <v>93</v>
      </c>
      <c r="B103" s="1737"/>
      <c r="C103" s="1737"/>
      <c r="D103" s="1737"/>
      <c r="E103" s="1737"/>
      <c r="F103" s="1737"/>
      <c r="G103" s="1736" t="s">
        <v>255</v>
      </c>
      <c r="H103" s="1736" t="str">
        <f>VLOOKUP(Z98,data_sekolah,3,FALSE)</f>
        <v>SDN SIRNABAKTI 01</v>
      </c>
      <c r="I103" s="1737"/>
      <c r="J103" s="1737"/>
      <c r="K103" s="1737"/>
      <c r="L103" s="1737"/>
      <c r="M103" s="1737"/>
      <c r="N103" s="1737"/>
      <c r="O103" s="1737"/>
      <c r="P103" s="1737"/>
      <c r="Q103" s="1736" t="s">
        <v>408</v>
      </c>
      <c r="R103" s="1736"/>
      <c r="S103" s="1736"/>
      <c r="T103" s="1736"/>
      <c r="U103" s="1736"/>
      <c r="V103" s="1736" t="s">
        <v>255</v>
      </c>
      <c r="W103" s="1740" t="s">
        <v>409</v>
      </c>
      <c r="X103" s="1736"/>
      <c r="Y103" s="1736"/>
      <c r="Z103" s="1736"/>
      <c r="AA103" s="1721"/>
      <c r="AB103" s="1706"/>
      <c r="AC103" s="1706"/>
      <c r="AD103" s="1706"/>
      <c r="AE103" s="1706"/>
      <c r="AF103" s="1706"/>
      <c r="AG103" s="1706"/>
      <c r="AH103" s="1706"/>
      <c r="AI103" s="1706"/>
    </row>
    <row r="104" spans="1:37" ht="20.100000000000001" customHeight="1" x14ac:dyDescent="0.2">
      <c r="A104" s="1736" t="s">
        <v>95</v>
      </c>
      <c r="B104" s="1737"/>
      <c r="C104" s="1737"/>
      <c r="D104" s="1737"/>
      <c r="E104" s="1737"/>
      <c r="F104" s="1737"/>
      <c r="G104" s="1736" t="s">
        <v>255</v>
      </c>
      <c r="H104" s="1736" t="str">
        <f>VLOOKUP(Z100,data_sekolah,3,FALSE)</f>
        <v>Jl.Miramare</v>
      </c>
      <c r="I104" s="1737"/>
      <c r="J104" s="1737"/>
      <c r="K104" s="1737"/>
      <c r="L104" s="1737"/>
      <c r="M104" s="1737"/>
      <c r="N104" s="1737"/>
      <c r="O104" s="1737"/>
      <c r="P104" s="1737"/>
      <c r="Q104" s="1737"/>
      <c r="R104" s="1737"/>
      <c r="S104" s="1737"/>
      <c r="T104" s="1737"/>
      <c r="U104" s="1737"/>
      <c r="V104" s="1737"/>
      <c r="W104" s="1737"/>
      <c r="X104" s="1737"/>
      <c r="Y104" s="1737"/>
      <c r="Z104" s="1737"/>
      <c r="AA104" s="1721"/>
      <c r="AB104" s="1706"/>
      <c r="AC104" s="1706"/>
      <c r="AD104" s="1706"/>
      <c r="AE104" s="1706"/>
      <c r="AF104" s="1706"/>
      <c r="AG104" s="1706"/>
      <c r="AH104" s="1706"/>
      <c r="AI104" s="1706"/>
    </row>
    <row r="105" spans="1:37" ht="20.100000000000001" customHeight="1" x14ac:dyDescent="0.2">
      <c r="A105" s="1720"/>
      <c r="B105" s="1720"/>
      <c r="C105" s="1720"/>
      <c r="D105" s="1720"/>
      <c r="E105" s="1720"/>
      <c r="F105" s="1720"/>
      <c r="G105" s="1720"/>
      <c r="H105" s="1720"/>
      <c r="I105" s="1720"/>
      <c r="J105" s="1720"/>
      <c r="K105" s="1720"/>
      <c r="L105" s="1720"/>
      <c r="M105" s="1720"/>
      <c r="N105" s="1720"/>
      <c r="O105" s="1720"/>
      <c r="P105" s="1720"/>
      <c r="Q105" s="1720"/>
      <c r="R105" s="1720"/>
      <c r="S105" s="1720"/>
      <c r="T105" s="1720"/>
      <c r="U105" s="1720"/>
      <c r="V105" s="1720"/>
      <c r="W105" s="1720"/>
      <c r="X105" s="1720"/>
      <c r="Y105" s="1720"/>
      <c r="Z105" s="1720"/>
      <c r="AA105" s="1721"/>
      <c r="AB105" s="1706"/>
      <c r="AC105" s="1706"/>
      <c r="AD105" s="1706"/>
      <c r="AE105" s="1706"/>
      <c r="AF105" s="1706"/>
      <c r="AG105" s="1706"/>
      <c r="AH105" s="1706"/>
      <c r="AI105" s="1706"/>
    </row>
    <row r="106" spans="1:37" ht="20.100000000000001" customHeight="1" x14ac:dyDescent="0.2">
      <c r="A106" s="1741" t="s">
        <v>410</v>
      </c>
      <c r="B106" s="1720"/>
      <c r="C106" s="1720"/>
      <c r="D106" s="1720"/>
      <c r="E106" s="1720"/>
      <c r="F106" s="1720"/>
      <c r="G106" s="1720"/>
      <c r="H106" s="1720"/>
      <c r="I106" s="1720"/>
      <c r="J106" s="1720"/>
      <c r="K106" s="1720"/>
      <c r="L106" s="1720"/>
      <c r="M106" s="1720"/>
      <c r="N106" s="1720"/>
      <c r="O106" s="1720"/>
      <c r="P106" s="1720"/>
      <c r="Q106" s="1720"/>
      <c r="R106" s="1720"/>
      <c r="S106" s="1720"/>
      <c r="T106" s="1720"/>
      <c r="U106" s="1720"/>
      <c r="V106" s="1720"/>
      <c r="W106" s="1720"/>
      <c r="X106" s="1720"/>
      <c r="Y106" s="1720"/>
      <c r="Z106" s="1720"/>
      <c r="AA106" s="1721"/>
      <c r="AB106" s="1706"/>
      <c r="AC106" s="1706"/>
      <c r="AD106" s="1706"/>
      <c r="AE106" s="1706"/>
      <c r="AF106" s="1706"/>
      <c r="AG106" s="1706"/>
      <c r="AH106" s="1706"/>
      <c r="AI106" s="1706"/>
    </row>
    <row r="107" spans="1:37" ht="20.100000000000001" customHeight="1" x14ac:dyDescent="0.2">
      <c r="A107" s="1720"/>
      <c r="B107" s="1720"/>
      <c r="C107" s="1720"/>
      <c r="D107" s="1720"/>
      <c r="E107" s="1720"/>
      <c r="F107" s="1720"/>
      <c r="G107" s="1720"/>
      <c r="H107" s="1720"/>
      <c r="I107" s="1720"/>
      <c r="J107" s="1720"/>
      <c r="K107" s="1720"/>
      <c r="L107" s="1720"/>
      <c r="M107" s="1720"/>
      <c r="N107" s="1720"/>
      <c r="O107" s="1720"/>
      <c r="P107" s="1720"/>
      <c r="Q107" s="1720"/>
      <c r="R107" s="1720"/>
      <c r="S107" s="1720"/>
      <c r="T107" s="1720"/>
      <c r="U107" s="1720"/>
      <c r="V107" s="1720"/>
      <c r="W107" s="1720"/>
      <c r="X107" s="1720"/>
      <c r="Y107" s="1720"/>
      <c r="Z107" s="1720"/>
      <c r="AA107" s="1721"/>
      <c r="AB107" s="1706"/>
      <c r="AC107" s="1706"/>
      <c r="AD107" s="1706"/>
      <c r="AE107" s="1706"/>
      <c r="AF107" s="1706"/>
      <c r="AG107" s="1706"/>
      <c r="AH107" s="1706"/>
      <c r="AI107" s="1706"/>
    </row>
    <row r="108" spans="1:37" ht="22.5" customHeight="1" x14ac:dyDescent="0.2">
      <c r="A108" s="3020" t="s">
        <v>411</v>
      </c>
      <c r="B108" s="3020"/>
      <c r="C108" s="3020"/>
      <c r="D108" s="3020"/>
      <c r="E108" s="3020"/>
      <c r="F108" s="3020"/>
      <c r="G108" s="3020"/>
      <c r="H108" s="3020"/>
      <c r="I108" s="3020"/>
      <c r="J108" s="3020" t="s">
        <v>412</v>
      </c>
      <c r="K108" s="3020"/>
      <c r="L108" s="3020"/>
      <c r="M108" s="3020"/>
      <c r="N108" s="3020"/>
      <c r="O108" s="3020"/>
      <c r="P108" s="3020"/>
      <c r="Q108" s="3020"/>
      <c r="R108" s="3020"/>
      <c r="S108" s="3020"/>
      <c r="T108" s="3020"/>
      <c r="U108" s="3020"/>
      <c r="V108" s="3020"/>
      <c r="W108" s="3020"/>
      <c r="X108" s="3020"/>
      <c r="Y108" s="3020"/>
      <c r="Z108" s="3020"/>
      <c r="AA108" s="1721"/>
      <c r="AB108" s="1706"/>
      <c r="AC108" s="1706"/>
      <c r="AD108" s="1706"/>
      <c r="AE108" s="1706"/>
      <c r="AF108" s="1706"/>
      <c r="AG108" s="1706"/>
      <c r="AH108" s="1706"/>
      <c r="AI108" s="1706"/>
    </row>
    <row r="109" spans="1:37" ht="20.100000000000001" customHeight="1" x14ac:dyDescent="0.2">
      <c r="A109" s="1742" t="s">
        <v>413</v>
      </c>
      <c r="B109" s="1743" t="s">
        <v>414</v>
      </c>
      <c r="C109" s="1744"/>
      <c r="D109" s="1744"/>
      <c r="E109" s="1744"/>
      <c r="F109" s="1744"/>
      <c r="G109" s="1745"/>
      <c r="H109" s="1745"/>
      <c r="I109" s="1746"/>
      <c r="J109" s="2927" t="str">
        <f>VLOOKUP(AC2,SPIRITUAL1,8,FALSE)</f>
        <v xml:space="preserve">                            </v>
      </c>
      <c r="K109" s="2928"/>
      <c r="L109" s="2928"/>
      <c r="M109" s="2928"/>
      <c r="N109" s="2928"/>
      <c r="O109" s="2928"/>
      <c r="P109" s="2928"/>
      <c r="Q109" s="2928"/>
      <c r="R109" s="2928"/>
      <c r="S109" s="2928"/>
      <c r="T109" s="2928"/>
      <c r="U109" s="2928"/>
      <c r="V109" s="2928"/>
      <c r="W109" s="2928"/>
      <c r="X109" s="2928"/>
      <c r="Y109" s="2928"/>
      <c r="Z109" s="2929"/>
      <c r="AA109" s="1721"/>
      <c r="AB109" s="1706"/>
      <c r="AC109" s="1706"/>
      <c r="AD109" s="1706"/>
      <c r="AE109" s="1706"/>
      <c r="AF109" s="1706"/>
      <c r="AG109" s="1706"/>
      <c r="AH109" s="1706"/>
      <c r="AI109" s="1706"/>
    </row>
    <row r="110" spans="1:37" ht="20.100000000000001" customHeight="1" x14ac:dyDescent="0.2">
      <c r="A110" s="1747"/>
      <c r="B110" s="1748" t="s">
        <v>415</v>
      </c>
      <c r="C110" s="1748"/>
      <c r="D110" s="1749"/>
      <c r="E110" s="1749"/>
      <c r="F110" s="1749"/>
      <c r="G110" s="1749"/>
      <c r="H110" s="1749"/>
      <c r="I110" s="1750"/>
      <c r="J110" s="2930"/>
      <c r="K110" s="2931"/>
      <c r="L110" s="2931"/>
      <c r="M110" s="2931"/>
      <c r="N110" s="2931"/>
      <c r="O110" s="2931"/>
      <c r="P110" s="2931"/>
      <c r="Q110" s="2931"/>
      <c r="R110" s="2931"/>
      <c r="S110" s="2931"/>
      <c r="T110" s="2931"/>
      <c r="U110" s="2931"/>
      <c r="V110" s="2931"/>
      <c r="W110" s="2931"/>
      <c r="X110" s="2931"/>
      <c r="Y110" s="2931"/>
      <c r="Z110" s="2932"/>
      <c r="AA110" s="1721"/>
      <c r="AB110" s="1706"/>
      <c r="AC110" s="1706"/>
      <c r="AD110" s="1706"/>
      <c r="AE110" s="1706"/>
      <c r="AF110" s="1706"/>
      <c r="AG110" s="1706"/>
      <c r="AH110" s="1706"/>
      <c r="AI110" s="1706"/>
    </row>
    <row r="111" spans="1:37" ht="20.100000000000001" customHeight="1" x14ac:dyDescent="0.2">
      <c r="A111" s="1747"/>
      <c r="B111" s="1748" t="s">
        <v>416</v>
      </c>
      <c r="C111" s="1748"/>
      <c r="D111" s="1749"/>
      <c r="E111" s="1749"/>
      <c r="F111" s="1749"/>
      <c r="G111" s="1749"/>
      <c r="H111" s="1749"/>
      <c r="I111" s="1750"/>
      <c r="J111" s="2930"/>
      <c r="K111" s="2931"/>
      <c r="L111" s="2931"/>
      <c r="M111" s="2931"/>
      <c r="N111" s="2931"/>
      <c r="O111" s="2931"/>
      <c r="P111" s="2931"/>
      <c r="Q111" s="2931"/>
      <c r="R111" s="2931"/>
      <c r="S111" s="2931"/>
      <c r="T111" s="2931"/>
      <c r="U111" s="2931"/>
      <c r="V111" s="2931"/>
      <c r="W111" s="2931"/>
      <c r="X111" s="2931"/>
      <c r="Y111" s="2931"/>
      <c r="Z111" s="2932"/>
      <c r="AA111" s="1721"/>
      <c r="AB111" s="1706"/>
      <c r="AC111" s="1706"/>
      <c r="AD111" s="1706"/>
      <c r="AE111" s="1706"/>
      <c r="AF111" s="1706"/>
      <c r="AG111" s="1706"/>
      <c r="AH111" s="1706"/>
      <c r="AI111" s="1706"/>
    </row>
    <row r="112" spans="1:37" x14ac:dyDescent="0.2">
      <c r="A112" s="1747"/>
      <c r="B112" s="1749"/>
      <c r="C112" s="1749"/>
      <c r="D112" s="1749"/>
      <c r="E112" s="1749"/>
      <c r="F112" s="1749"/>
      <c r="G112" s="1749"/>
      <c r="H112" s="1749"/>
      <c r="I112" s="1750"/>
      <c r="J112" s="2930"/>
      <c r="K112" s="2931"/>
      <c r="L112" s="2931"/>
      <c r="M112" s="2931"/>
      <c r="N112" s="2931"/>
      <c r="O112" s="2931"/>
      <c r="P112" s="2931"/>
      <c r="Q112" s="2931"/>
      <c r="R112" s="2931"/>
      <c r="S112" s="2931"/>
      <c r="T112" s="2931"/>
      <c r="U112" s="2931"/>
      <c r="V112" s="2931"/>
      <c r="W112" s="2931"/>
      <c r="X112" s="2931"/>
      <c r="Y112" s="2931"/>
      <c r="Z112" s="2932"/>
      <c r="AA112" s="1721"/>
      <c r="AB112" s="1706"/>
      <c r="AC112" s="1706"/>
      <c r="AD112" s="1706"/>
      <c r="AE112" s="1706"/>
      <c r="AF112" s="1706"/>
      <c r="AG112" s="1706"/>
      <c r="AH112" s="1706"/>
      <c r="AI112" s="1706"/>
    </row>
    <row r="113" spans="1:35" x14ac:dyDescent="0.2">
      <c r="A113" s="1751"/>
      <c r="B113" s="1752"/>
      <c r="C113" s="1752"/>
      <c r="D113" s="1752"/>
      <c r="E113" s="1752"/>
      <c r="F113" s="1752"/>
      <c r="G113" s="1752"/>
      <c r="H113" s="1752"/>
      <c r="I113" s="1753"/>
      <c r="J113" s="2933"/>
      <c r="K113" s="2934"/>
      <c r="L113" s="2934"/>
      <c r="M113" s="2934"/>
      <c r="N113" s="2934"/>
      <c r="O113" s="2934"/>
      <c r="P113" s="2934"/>
      <c r="Q113" s="2934"/>
      <c r="R113" s="2934"/>
      <c r="S113" s="2934"/>
      <c r="T113" s="2934"/>
      <c r="U113" s="2934"/>
      <c r="V113" s="2934"/>
      <c r="W113" s="2934"/>
      <c r="X113" s="2934"/>
      <c r="Y113" s="2934"/>
      <c r="Z113" s="2935"/>
      <c r="AA113" s="1721"/>
      <c r="AB113" s="1706"/>
      <c r="AC113" s="1706"/>
      <c r="AD113" s="1706"/>
      <c r="AE113" s="1706"/>
      <c r="AF113" s="1706"/>
      <c r="AG113" s="1706"/>
      <c r="AH113" s="1706"/>
      <c r="AI113" s="1706"/>
    </row>
    <row r="114" spans="1:35" ht="17.100000000000001" customHeight="1" x14ac:dyDescent="0.2">
      <c r="A114" s="1742" t="s">
        <v>227</v>
      </c>
      <c r="B114" s="1754" t="s">
        <v>417</v>
      </c>
      <c r="C114" s="1745"/>
      <c r="D114" s="1744"/>
      <c r="E114" s="1744"/>
      <c r="F114" s="1744"/>
      <c r="G114" s="1744"/>
      <c r="H114" s="1744"/>
      <c r="I114" s="1755"/>
      <c r="J114" s="2927" t="str">
        <f>VLOOKUP(AC2,SOSIAL,8,FALSE)</f>
        <v xml:space="preserve">                      </v>
      </c>
      <c r="K114" s="2928"/>
      <c r="L114" s="2928"/>
      <c r="M114" s="2928"/>
      <c r="N114" s="2928"/>
      <c r="O114" s="2928"/>
      <c r="P114" s="2928"/>
      <c r="Q114" s="2928"/>
      <c r="R114" s="2928"/>
      <c r="S114" s="2928"/>
      <c r="T114" s="2928"/>
      <c r="U114" s="2928"/>
      <c r="V114" s="2928"/>
      <c r="W114" s="2928"/>
      <c r="X114" s="2928"/>
      <c r="Y114" s="2928"/>
      <c r="Z114" s="2929"/>
      <c r="AA114" s="1721"/>
      <c r="AB114" s="1706"/>
      <c r="AC114" s="1706"/>
      <c r="AD114" s="1706"/>
      <c r="AE114" s="1706"/>
      <c r="AF114" s="1706"/>
      <c r="AG114" s="1706"/>
      <c r="AH114" s="1706"/>
      <c r="AI114" s="1706"/>
    </row>
    <row r="115" spans="1:35" ht="17.100000000000001" customHeight="1" x14ac:dyDescent="0.2">
      <c r="A115" s="1756"/>
      <c r="B115" s="1748" t="s">
        <v>415</v>
      </c>
      <c r="C115" s="1748"/>
      <c r="D115" s="1748"/>
      <c r="E115" s="1748"/>
      <c r="F115" s="1748"/>
      <c r="G115" s="1748"/>
      <c r="H115" s="1748"/>
      <c r="I115" s="1757"/>
      <c r="J115" s="2930"/>
      <c r="K115" s="2931"/>
      <c r="L115" s="2931"/>
      <c r="M115" s="2931"/>
      <c r="N115" s="2931"/>
      <c r="O115" s="2931"/>
      <c r="P115" s="2931"/>
      <c r="Q115" s="2931"/>
      <c r="R115" s="2931"/>
      <c r="S115" s="2931"/>
      <c r="T115" s="2931"/>
      <c r="U115" s="2931"/>
      <c r="V115" s="2931"/>
      <c r="W115" s="2931"/>
      <c r="X115" s="2931"/>
      <c r="Y115" s="2931"/>
      <c r="Z115" s="2932"/>
      <c r="AA115" s="1721"/>
      <c r="AB115" s="1706"/>
      <c r="AC115" s="1706"/>
      <c r="AD115" s="1706"/>
      <c r="AE115" s="1706"/>
      <c r="AF115" s="1706"/>
      <c r="AG115" s="1706"/>
      <c r="AH115" s="1706"/>
      <c r="AI115" s="1706"/>
    </row>
    <row r="116" spans="1:35" ht="17.100000000000001" customHeight="1" x14ac:dyDescent="0.2">
      <c r="A116" s="1756"/>
      <c r="B116" s="1748" t="s">
        <v>416</v>
      </c>
      <c r="C116" s="1748"/>
      <c r="D116" s="1748"/>
      <c r="E116" s="1748"/>
      <c r="F116" s="1748"/>
      <c r="G116" s="1748"/>
      <c r="H116" s="1748"/>
      <c r="I116" s="1757"/>
      <c r="J116" s="2930"/>
      <c r="K116" s="2931"/>
      <c r="L116" s="2931"/>
      <c r="M116" s="2931"/>
      <c r="N116" s="2931"/>
      <c r="O116" s="2931"/>
      <c r="P116" s="2931"/>
      <c r="Q116" s="2931"/>
      <c r="R116" s="2931"/>
      <c r="S116" s="2931"/>
      <c r="T116" s="2931"/>
      <c r="U116" s="2931"/>
      <c r="V116" s="2931"/>
      <c r="W116" s="2931"/>
      <c r="X116" s="2931"/>
      <c r="Y116" s="2931"/>
      <c r="Z116" s="2932"/>
      <c r="AA116" s="1721"/>
      <c r="AB116" s="1706"/>
      <c r="AC116" s="1706"/>
      <c r="AD116" s="1706"/>
      <c r="AE116" s="1706"/>
      <c r="AF116" s="1706"/>
      <c r="AG116" s="1706"/>
      <c r="AH116" s="1706"/>
      <c r="AI116" s="1706"/>
    </row>
    <row r="117" spans="1:35" ht="17.100000000000001" customHeight="1" x14ac:dyDescent="0.2">
      <c r="A117" s="1756"/>
      <c r="B117" s="1748"/>
      <c r="C117" s="1748"/>
      <c r="D117" s="1748"/>
      <c r="E117" s="1748"/>
      <c r="F117" s="1748"/>
      <c r="G117" s="1748"/>
      <c r="H117" s="1748"/>
      <c r="I117" s="1757"/>
      <c r="J117" s="2930"/>
      <c r="K117" s="2931"/>
      <c r="L117" s="2931"/>
      <c r="M117" s="2931"/>
      <c r="N117" s="2931"/>
      <c r="O117" s="2931"/>
      <c r="P117" s="2931"/>
      <c r="Q117" s="2931"/>
      <c r="R117" s="2931"/>
      <c r="S117" s="2931"/>
      <c r="T117" s="2931"/>
      <c r="U117" s="2931"/>
      <c r="V117" s="2931"/>
      <c r="W117" s="2931"/>
      <c r="X117" s="2931"/>
      <c r="Y117" s="2931"/>
      <c r="Z117" s="2932"/>
      <c r="AA117" s="1721"/>
      <c r="AB117" s="1706"/>
      <c r="AC117" s="1706"/>
      <c r="AD117" s="1706"/>
      <c r="AE117" s="1706"/>
      <c r="AF117" s="1706"/>
      <c r="AG117" s="1706"/>
      <c r="AH117" s="1706"/>
      <c r="AI117" s="1706"/>
    </row>
    <row r="118" spans="1:35" ht="17.100000000000001" customHeight="1" x14ac:dyDescent="0.2">
      <c r="A118" s="1747"/>
      <c r="B118" s="1749"/>
      <c r="C118" s="1749"/>
      <c r="D118" s="1749"/>
      <c r="E118" s="1749"/>
      <c r="F118" s="1749"/>
      <c r="G118" s="1749"/>
      <c r="H118" s="1749"/>
      <c r="I118" s="1750"/>
      <c r="J118" s="2930"/>
      <c r="K118" s="2931"/>
      <c r="L118" s="2931"/>
      <c r="M118" s="2931"/>
      <c r="N118" s="2931"/>
      <c r="O118" s="2931"/>
      <c r="P118" s="2931"/>
      <c r="Q118" s="2931"/>
      <c r="R118" s="2931"/>
      <c r="S118" s="2931"/>
      <c r="T118" s="2931"/>
      <c r="U118" s="2931"/>
      <c r="V118" s="2931"/>
      <c r="W118" s="2931"/>
      <c r="X118" s="2931"/>
      <c r="Y118" s="2931"/>
      <c r="Z118" s="2932"/>
      <c r="AA118" s="1721"/>
      <c r="AB118" s="1706"/>
      <c r="AC118" s="1706"/>
      <c r="AD118" s="1706"/>
      <c r="AE118" s="1706"/>
      <c r="AF118" s="1706"/>
      <c r="AG118" s="1706"/>
      <c r="AH118" s="1706"/>
      <c r="AI118" s="1706"/>
    </row>
    <row r="119" spans="1:35" ht="17.100000000000001" customHeight="1" x14ac:dyDescent="0.2">
      <c r="A119" s="1751"/>
      <c r="B119" s="1752"/>
      <c r="C119" s="1752"/>
      <c r="D119" s="1752"/>
      <c r="E119" s="1752"/>
      <c r="F119" s="1752"/>
      <c r="G119" s="1752"/>
      <c r="H119" s="1752"/>
      <c r="I119" s="1753"/>
      <c r="J119" s="2933"/>
      <c r="K119" s="2934"/>
      <c r="L119" s="2934"/>
      <c r="M119" s="2934"/>
      <c r="N119" s="2934"/>
      <c r="O119" s="2934"/>
      <c r="P119" s="2934"/>
      <c r="Q119" s="2934"/>
      <c r="R119" s="2934"/>
      <c r="S119" s="2934"/>
      <c r="T119" s="2934"/>
      <c r="U119" s="2934"/>
      <c r="V119" s="2934"/>
      <c r="W119" s="2934"/>
      <c r="X119" s="2934"/>
      <c r="Y119" s="2934"/>
      <c r="Z119" s="2935"/>
      <c r="AA119" s="1721"/>
      <c r="AB119" s="1706"/>
      <c r="AC119" s="1706"/>
      <c r="AD119" s="1706"/>
      <c r="AE119" s="1706"/>
      <c r="AF119" s="1706"/>
      <c r="AG119" s="1706"/>
      <c r="AH119" s="1706"/>
      <c r="AI119" s="1706"/>
    </row>
    <row r="120" spans="1:35" x14ac:dyDescent="0.2">
      <c r="A120" s="1720"/>
      <c r="B120" s="1720"/>
      <c r="C120" s="1720"/>
      <c r="D120" s="1720"/>
      <c r="E120" s="1720"/>
      <c r="F120" s="1720"/>
      <c r="G120" s="1720"/>
      <c r="H120" s="1720"/>
      <c r="I120" s="1720"/>
      <c r="J120" s="1720"/>
      <c r="K120" s="1720"/>
      <c r="L120" s="1720"/>
      <c r="M120" s="1720"/>
      <c r="N120" s="1720"/>
      <c r="O120" s="1720"/>
      <c r="P120" s="1720"/>
      <c r="Q120" s="1720"/>
      <c r="R120" s="1720"/>
      <c r="S120" s="1720"/>
      <c r="T120" s="1720"/>
      <c r="U120" s="1720"/>
      <c r="V120" s="1720"/>
      <c r="W120" s="1720"/>
      <c r="X120" s="1720"/>
      <c r="Y120" s="1720"/>
      <c r="Z120" s="1720"/>
      <c r="AA120" s="1721"/>
      <c r="AB120" s="1706"/>
      <c r="AC120" s="1706"/>
      <c r="AD120" s="1706"/>
      <c r="AE120" s="1706"/>
      <c r="AF120" s="1706"/>
      <c r="AG120" s="1706"/>
      <c r="AH120" s="1706"/>
      <c r="AI120" s="1706"/>
    </row>
    <row r="121" spans="1:35" x14ac:dyDescent="0.2">
      <c r="A121" s="1720"/>
      <c r="B121" s="1720"/>
      <c r="C121" s="1720"/>
      <c r="D121" s="1720"/>
      <c r="E121" s="1720"/>
      <c r="F121" s="1720"/>
      <c r="G121" s="1720"/>
      <c r="H121" s="1720"/>
      <c r="I121" s="1720"/>
      <c r="J121" s="1720"/>
      <c r="K121" s="1720"/>
      <c r="L121" s="1720"/>
      <c r="M121" s="1720"/>
      <c r="N121" s="1720"/>
      <c r="O121" s="1720"/>
      <c r="P121" s="1720"/>
      <c r="Q121" s="1720"/>
      <c r="R121" s="1720"/>
      <c r="S121" s="1720"/>
      <c r="T121" s="1720"/>
      <c r="U121" s="1720"/>
      <c r="V121" s="1720"/>
      <c r="W121" s="1720"/>
      <c r="X121" s="1720"/>
      <c r="Y121" s="1720"/>
      <c r="Z121" s="1720"/>
      <c r="AA121" s="1721"/>
      <c r="AB121" s="1706"/>
      <c r="AC121" s="1706"/>
      <c r="AD121" s="1706"/>
      <c r="AE121" s="1706"/>
      <c r="AF121" s="1706"/>
      <c r="AG121" s="1706"/>
      <c r="AH121" s="1706"/>
      <c r="AI121" s="1706"/>
    </row>
    <row r="122" spans="1:35" x14ac:dyDescent="0.2">
      <c r="A122" s="1741" t="s">
        <v>418</v>
      </c>
      <c r="B122" s="1720"/>
      <c r="C122" s="1720"/>
      <c r="D122" s="1720"/>
      <c r="E122" s="1720"/>
      <c r="F122" s="1720"/>
      <c r="G122" s="1720"/>
      <c r="H122" s="1720"/>
      <c r="I122" s="1720"/>
      <c r="J122" s="1720"/>
      <c r="K122" s="1720"/>
      <c r="L122" s="1720"/>
      <c r="M122" s="1720"/>
      <c r="N122" s="1720"/>
      <c r="O122" s="1720"/>
      <c r="P122" s="1720"/>
      <c r="Q122" s="1720"/>
      <c r="R122" s="1720"/>
      <c r="S122" s="1720"/>
      <c r="T122" s="1720"/>
      <c r="U122" s="1720"/>
      <c r="V122" s="1720"/>
      <c r="W122" s="1720"/>
      <c r="X122" s="1720"/>
      <c r="Y122" s="1720"/>
      <c r="Z122" s="1720"/>
      <c r="AA122" s="1721"/>
      <c r="AB122" s="1706"/>
      <c r="AC122" s="1706"/>
      <c r="AD122" s="1706"/>
      <c r="AE122" s="1706"/>
      <c r="AF122" s="1706"/>
      <c r="AG122" s="1706"/>
      <c r="AH122" s="1706"/>
      <c r="AI122" s="1706"/>
    </row>
    <row r="123" spans="1:35" x14ac:dyDescent="0.2">
      <c r="A123" s="1720"/>
      <c r="B123" s="1720"/>
      <c r="C123" s="1720"/>
      <c r="D123" s="1720"/>
      <c r="E123" s="1720"/>
      <c r="F123" s="1720"/>
      <c r="G123" s="1720"/>
      <c r="H123" s="1720"/>
      <c r="I123" s="1720"/>
      <c r="J123" s="1720"/>
      <c r="K123" s="1720"/>
      <c r="L123" s="1720"/>
      <c r="M123" s="1720"/>
      <c r="N123" s="1720"/>
      <c r="O123" s="1720"/>
      <c r="P123" s="1720"/>
      <c r="Q123" s="1720"/>
      <c r="R123" s="1720"/>
      <c r="S123" s="1720"/>
      <c r="T123" s="1720"/>
      <c r="U123" s="1720"/>
      <c r="V123" s="1720"/>
      <c r="W123" s="1720"/>
      <c r="X123" s="1720"/>
      <c r="Y123" s="1720"/>
      <c r="Z123" s="1720"/>
      <c r="AA123" s="1721"/>
      <c r="AB123" s="1706"/>
      <c r="AC123" s="1706"/>
      <c r="AD123" s="1706"/>
      <c r="AE123" s="1706"/>
      <c r="AF123" s="1706"/>
      <c r="AG123" s="1706"/>
      <c r="AH123" s="1706"/>
      <c r="AI123" s="1706"/>
    </row>
    <row r="124" spans="1:35" ht="21" customHeight="1" x14ac:dyDescent="0.2">
      <c r="A124" s="2979" t="s">
        <v>419</v>
      </c>
      <c r="B124" s="2979"/>
      <c r="C124" s="2979" t="s">
        <v>420</v>
      </c>
      <c r="D124" s="2979"/>
      <c r="E124" s="2979"/>
      <c r="F124" s="2979"/>
      <c r="G124" s="2979"/>
      <c r="H124" s="2979"/>
      <c r="I124" s="2979" t="s">
        <v>421</v>
      </c>
      <c r="J124" s="2979"/>
      <c r="K124" s="2979"/>
      <c r="L124" s="2979"/>
      <c r="M124" s="2979"/>
      <c r="N124" s="2979"/>
      <c r="O124" s="2979"/>
      <c r="P124" s="2979"/>
      <c r="Q124" s="2979"/>
      <c r="R124" s="2979" t="s">
        <v>424</v>
      </c>
      <c r="S124" s="2979"/>
      <c r="T124" s="2979"/>
      <c r="U124" s="2979"/>
      <c r="V124" s="2979"/>
      <c r="W124" s="2979"/>
      <c r="X124" s="2979"/>
      <c r="Y124" s="2979"/>
      <c r="Z124" s="2979"/>
      <c r="AA124" s="1721"/>
      <c r="AB124" s="1706"/>
      <c r="AC124" s="1706"/>
      <c r="AD124" s="1706"/>
      <c r="AE124" s="1706"/>
      <c r="AF124" s="1706"/>
      <c r="AG124" s="1706"/>
      <c r="AH124" s="1706"/>
      <c r="AI124" s="1706"/>
    </row>
    <row r="125" spans="1:35" ht="18.75" customHeight="1" x14ac:dyDescent="0.2">
      <c r="A125" s="2979"/>
      <c r="B125" s="2979"/>
      <c r="C125" s="2979"/>
      <c r="D125" s="2979"/>
      <c r="E125" s="2979"/>
      <c r="F125" s="2979"/>
      <c r="G125" s="2979"/>
      <c r="H125" s="2979"/>
      <c r="I125" s="2979" t="s">
        <v>422</v>
      </c>
      <c r="J125" s="2979"/>
      <c r="K125" s="2979" t="s">
        <v>423</v>
      </c>
      <c r="L125" s="2979"/>
      <c r="M125" s="2979" t="s">
        <v>412</v>
      </c>
      <c r="N125" s="2979"/>
      <c r="O125" s="2979"/>
      <c r="P125" s="2979"/>
      <c r="Q125" s="2979"/>
      <c r="R125" s="2979" t="s">
        <v>422</v>
      </c>
      <c r="S125" s="2979"/>
      <c r="T125" s="2979" t="s">
        <v>423</v>
      </c>
      <c r="U125" s="2979"/>
      <c r="V125" s="2979" t="s">
        <v>412</v>
      </c>
      <c r="W125" s="2979"/>
      <c r="X125" s="2979"/>
      <c r="Y125" s="2979"/>
      <c r="Z125" s="2979"/>
      <c r="AA125" s="1721"/>
      <c r="AB125" s="1706"/>
      <c r="AC125" s="1706"/>
      <c r="AD125" s="1706"/>
      <c r="AE125" s="1706"/>
      <c r="AF125" s="1706"/>
      <c r="AG125" s="1706"/>
      <c r="AH125" s="1706"/>
      <c r="AI125" s="1706"/>
    </row>
    <row r="126" spans="1:35" x14ac:dyDescent="0.2">
      <c r="A126" s="2962">
        <v>1</v>
      </c>
      <c r="B126" s="2963"/>
      <c r="C126" s="3045" t="s">
        <v>425</v>
      </c>
      <c r="D126" s="3046"/>
      <c r="E126" s="3046"/>
      <c r="F126" s="3046"/>
      <c r="G126" s="3046"/>
      <c r="H126" s="3047"/>
      <c r="I126" s="2914">
        <f>VLOOKUP(AC2,ki3_agama,26,FALSE)</f>
        <v>0</v>
      </c>
      <c r="J126" s="2915"/>
      <c r="K126" s="2920" t="str">
        <f>VLOOKUP(A126,ki3_agama,27,FALSE)</f>
        <v>B+</v>
      </c>
      <c r="L126" s="2921"/>
      <c r="M126" s="2927" t="str">
        <f>VLOOKUP(AC2,DESGAB_AGAMA,3,FALSE)</f>
        <v xml:space="preserve">    </v>
      </c>
      <c r="N126" s="2928"/>
      <c r="O126" s="2928"/>
      <c r="P126" s="2928"/>
      <c r="Q126" s="2929"/>
      <c r="R126" s="2914">
        <f>VLOOKUP(AC2,KI4_AGAMA,32,FALSE)</f>
        <v>0</v>
      </c>
      <c r="S126" s="2915"/>
      <c r="T126" s="2920">
        <f>VLOOKUP(AC2,KI4_AGAMA,33,FALSE)</f>
        <v>0</v>
      </c>
      <c r="U126" s="2921"/>
      <c r="V126" s="2927" t="str">
        <f>VLOOKUP(AC2,DESGAB_AGAMA,4,FALSE)</f>
        <v xml:space="preserve">  </v>
      </c>
      <c r="W126" s="2928"/>
      <c r="X126" s="2928"/>
      <c r="Y126" s="2928"/>
      <c r="Z126" s="2929"/>
      <c r="AA126" s="1721"/>
      <c r="AB126" s="1706"/>
      <c r="AC126" s="1706"/>
      <c r="AD126" s="1706"/>
      <c r="AE126" s="1706"/>
      <c r="AF126" s="1706"/>
      <c r="AG126" s="1706"/>
      <c r="AH126" s="1706"/>
      <c r="AI126" s="1706"/>
    </row>
    <row r="127" spans="1:35" x14ac:dyDescent="0.2">
      <c r="A127" s="2964"/>
      <c r="B127" s="2965"/>
      <c r="C127" s="3048"/>
      <c r="D127" s="3049"/>
      <c r="E127" s="3049"/>
      <c r="F127" s="3049"/>
      <c r="G127" s="3049"/>
      <c r="H127" s="3050"/>
      <c r="I127" s="2916"/>
      <c r="J127" s="2917"/>
      <c r="K127" s="2922"/>
      <c r="L127" s="2923"/>
      <c r="M127" s="2930"/>
      <c r="N127" s="2931"/>
      <c r="O127" s="2931"/>
      <c r="P127" s="2931"/>
      <c r="Q127" s="2932"/>
      <c r="R127" s="2916"/>
      <c r="S127" s="2917"/>
      <c r="T127" s="2922"/>
      <c r="U127" s="2923"/>
      <c r="V127" s="2930"/>
      <c r="W127" s="2931"/>
      <c r="X127" s="2931"/>
      <c r="Y127" s="2931"/>
      <c r="Z127" s="2932"/>
      <c r="AA127" s="1721"/>
      <c r="AB127" s="1706"/>
      <c r="AC127" s="1706"/>
      <c r="AD127" s="1706"/>
      <c r="AE127" s="1706"/>
      <c r="AF127" s="1706"/>
      <c r="AG127" s="1706"/>
      <c r="AH127" s="1706"/>
      <c r="AI127" s="1706"/>
    </row>
    <row r="128" spans="1:35" x14ac:dyDescent="0.2">
      <c r="A128" s="2964"/>
      <c r="B128" s="2965"/>
      <c r="C128" s="3048"/>
      <c r="D128" s="3049"/>
      <c r="E128" s="3049"/>
      <c r="F128" s="3049"/>
      <c r="G128" s="3049"/>
      <c r="H128" s="3050"/>
      <c r="I128" s="2916"/>
      <c r="J128" s="2917"/>
      <c r="K128" s="2922"/>
      <c r="L128" s="2923"/>
      <c r="M128" s="2930"/>
      <c r="N128" s="2931"/>
      <c r="O128" s="2931"/>
      <c r="P128" s="2931"/>
      <c r="Q128" s="2932"/>
      <c r="R128" s="2916"/>
      <c r="S128" s="2917"/>
      <c r="T128" s="2922"/>
      <c r="U128" s="2923"/>
      <c r="V128" s="2930"/>
      <c r="W128" s="2931"/>
      <c r="X128" s="2931"/>
      <c r="Y128" s="2931"/>
      <c r="Z128" s="2932"/>
      <c r="AA128" s="1721"/>
      <c r="AB128" s="1706"/>
      <c r="AC128" s="1706"/>
      <c r="AD128" s="1706"/>
      <c r="AE128" s="1706"/>
      <c r="AF128" s="1706"/>
      <c r="AG128" s="1706"/>
      <c r="AH128" s="1706"/>
      <c r="AI128" s="1706"/>
    </row>
    <row r="129" spans="1:35" x14ac:dyDescent="0.2">
      <c r="A129" s="2964"/>
      <c r="B129" s="2965"/>
      <c r="C129" s="3048"/>
      <c r="D129" s="3049"/>
      <c r="E129" s="3049"/>
      <c r="F129" s="3049"/>
      <c r="G129" s="3049"/>
      <c r="H129" s="3050"/>
      <c r="I129" s="2916"/>
      <c r="J129" s="2917"/>
      <c r="K129" s="2922"/>
      <c r="L129" s="2923"/>
      <c r="M129" s="2930"/>
      <c r="N129" s="2931"/>
      <c r="O129" s="2931"/>
      <c r="P129" s="2931"/>
      <c r="Q129" s="2932"/>
      <c r="R129" s="2916"/>
      <c r="S129" s="2917"/>
      <c r="T129" s="2922"/>
      <c r="U129" s="2923"/>
      <c r="V129" s="2930"/>
      <c r="W129" s="2931"/>
      <c r="X129" s="2931"/>
      <c r="Y129" s="2931"/>
      <c r="Z129" s="2932"/>
      <c r="AA129" s="1721"/>
      <c r="AB129" s="1706"/>
      <c r="AC129" s="1706"/>
      <c r="AD129" s="1706"/>
      <c r="AE129" s="1706"/>
      <c r="AF129" s="1706"/>
      <c r="AG129" s="1706"/>
      <c r="AH129" s="1706"/>
      <c r="AI129" s="1706"/>
    </row>
    <row r="130" spans="1:35" x14ac:dyDescent="0.2">
      <c r="A130" s="2964"/>
      <c r="B130" s="2965"/>
      <c r="C130" s="3048"/>
      <c r="D130" s="3049"/>
      <c r="E130" s="3049"/>
      <c r="F130" s="3049"/>
      <c r="G130" s="3049"/>
      <c r="H130" s="3050"/>
      <c r="I130" s="2916"/>
      <c r="J130" s="2917"/>
      <c r="K130" s="2922"/>
      <c r="L130" s="2923"/>
      <c r="M130" s="2930"/>
      <c r="N130" s="2931"/>
      <c r="O130" s="2931"/>
      <c r="P130" s="2931"/>
      <c r="Q130" s="2932"/>
      <c r="R130" s="2916"/>
      <c r="S130" s="2917"/>
      <c r="T130" s="2922"/>
      <c r="U130" s="2923"/>
      <c r="V130" s="2930"/>
      <c r="W130" s="2931"/>
      <c r="X130" s="2931"/>
      <c r="Y130" s="2931"/>
      <c r="Z130" s="2932"/>
      <c r="AA130" s="1721"/>
      <c r="AB130" s="1706"/>
      <c r="AC130" s="1706"/>
      <c r="AD130" s="1706"/>
      <c r="AE130" s="1706"/>
      <c r="AF130" s="1706"/>
      <c r="AG130" s="1706"/>
      <c r="AH130" s="1706"/>
      <c r="AI130" s="1706"/>
    </row>
    <row r="131" spans="1:35" x14ac:dyDescent="0.2">
      <c r="A131" s="2964"/>
      <c r="B131" s="2965"/>
      <c r="C131" s="3048"/>
      <c r="D131" s="3049"/>
      <c r="E131" s="3049"/>
      <c r="F131" s="3049"/>
      <c r="G131" s="3049"/>
      <c r="H131" s="3050"/>
      <c r="I131" s="2916"/>
      <c r="J131" s="2917"/>
      <c r="K131" s="2922"/>
      <c r="L131" s="2923"/>
      <c r="M131" s="2930"/>
      <c r="N131" s="2931"/>
      <c r="O131" s="2931"/>
      <c r="P131" s="2931"/>
      <c r="Q131" s="2932"/>
      <c r="R131" s="2916"/>
      <c r="S131" s="2917"/>
      <c r="T131" s="2922"/>
      <c r="U131" s="2923"/>
      <c r="V131" s="2930"/>
      <c r="W131" s="2931"/>
      <c r="X131" s="2931"/>
      <c r="Y131" s="2931"/>
      <c r="Z131" s="2932"/>
      <c r="AA131" s="1721"/>
      <c r="AB131" s="1706"/>
      <c r="AC131" s="1706"/>
      <c r="AD131" s="1706"/>
      <c r="AE131" s="1706"/>
      <c r="AF131" s="1706"/>
      <c r="AG131" s="1706"/>
      <c r="AH131" s="1706"/>
      <c r="AI131" s="1706"/>
    </row>
    <row r="132" spans="1:35" x14ac:dyDescent="0.2">
      <c r="A132" s="2964"/>
      <c r="B132" s="2965"/>
      <c r="C132" s="3048"/>
      <c r="D132" s="3049"/>
      <c r="E132" s="3049"/>
      <c r="F132" s="3049"/>
      <c r="G132" s="3049"/>
      <c r="H132" s="3050"/>
      <c r="I132" s="2916"/>
      <c r="J132" s="2917"/>
      <c r="K132" s="2922"/>
      <c r="L132" s="2923"/>
      <c r="M132" s="2930"/>
      <c r="N132" s="2931"/>
      <c r="O132" s="2931"/>
      <c r="P132" s="2931"/>
      <c r="Q132" s="2932"/>
      <c r="R132" s="2916"/>
      <c r="S132" s="2917"/>
      <c r="T132" s="2922"/>
      <c r="U132" s="2923"/>
      <c r="V132" s="2930"/>
      <c r="W132" s="2931"/>
      <c r="X132" s="2931"/>
      <c r="Y132" s="2931"/>
      <c r="Z132" s="2932"/>
      <c r="AA132" s="1721"/>
      <c r="AB132" s="1706"/>
      <c r="AC132" s="1706"/>
      <c r="AD132" s="1706"/>
      <c r="AE132" s="1706"/>
      <c r="AF132" s="1706"/>
      <c r="AG132" s="1706"/>
      <c r="AH132" s="1706"/>
      <c r="AI132" s="1706"/>
    </row>
    <row r="133" spans="1:35" x14ac:dyDescent="0.2">
      <c r="A133" s="2964"/>
      <c r="B133" s="2965"/>
      <c r="C133" s="3048"/>
      <c r="D133" s="3049"/>
      <c r="E133" s="3049"/>
      <c r="F133" s="3049"/>
      <c r="G133" s="3049"/>
      <c r="H133" s="3050"/>
      <c r="I133" s="2916"/>
      <c r="J133" s="2917"/>
      <c r="K133" s="2922"/>
      <c r="L133" s="2923"/>
      <c r="M133" s="2930"/>
      <c r="N133" s="2931"/>
      <c r="O133" s="2931"/>
      <c r="P133" s="2931"/>
      <c r="Q133" s="2932"/>
      <c r="R133" s="2916"/>
      <c r="S133" s="2917"/>
      <c r="T133" s="2922"/>
      <c r="U133" s="2923"/>
      <c r="V133" s="2930"/>
      <c r="W133" s="2931"/>
      <c r="X133" s="2931"/>
      <c r="Y133" s="2931"/>
      <c r="Z133" s="2932"/>
      <c r="AA133" s="1721"/>
      <c r="AB133" s="1706"/>
      <c r="AC133" s="1706"/>
      <c r="AD133" s="1706"/>
      <c r="AE133" s="1706"/>
      <c r="AF133" s="1706"/>
      <c r="AG133" s="1706"/>
      <c r="AH133" s="1706"/>
      <c r="AI133" s="1706"/>
    </row>
    <row r="134" spans="1:35" x14ac:dyDescent="0.2">
      <c r="A134" s="2964"/>
      <c r="B134" s="2965"/>
      <c r="C134" s="3048"/>
      <c r="D134" s="3049"/>
      <c r="E134" s="3049"/>
      <c r="F134" s="3049"/>
      <c r="G134" s="3049"/>
      <c r="H134" s="3050"/>
      <c r="I134" s="2916"/>
      <c r="J134" s="2917"/>
      <c r="K134" s="2922"/>
      <c r="L134" s="2923"/>
      <c r="M134" s="2930"/>
      <c r="N134" s="2931"/>
      <c r="O134" s="2931"/>
      <c r="P134" s="2931"/>
      <c r="Q134" s="2932"/>
      <c r="R134" s="2916"/>
      <c r="S134" s="2917"/>
      <c r="T134" s="2922"/>
      <c r="U134" s="2923"/>
      <c r="V134" s="2930"/>
      <c r="W134" s="2931"/>
      <c r="X134" s="2931"/>
      <c r="Y134" s="2931"/>
      <c r="Z134" s="2932"/>
      <c r="AA134" s="1721"/>
      <c r="AB134" s="1706"/>
      <c r="AC134" s="1706"/>
      <c r="AD134" s="1706"/>
      <c r="AE134" s="1706"/>
      <c r="AF134" s="1706"/>
      <c r="AG134" s="1706"/>
      <c r="AH134" s="1706"/>
      <c r="AI134" s="1706"/>
    </row>
    <row r="135" spans="1:35" x14ac:dyDescent="0.2">
      <c r="A135" s="2964"/>
      <c r="B135" s="2965"/>
      <c r="C135" s="3048"/>
      <c r="D135" s="3049"/>
      <c r="E135" s="3049"/>
      <c r="F135" s="3049"/>
      <c r="G135" s="3049"/>
      <c r="H135" s="3050"/>
      <c r="I135" s="2916"/>
      <c r="J135" s="2917"/>
      <c r="K135" s="2922"/>
      <c r="L135" s="2923"/>
      <c r="M135" s="2930"/>
      <c r="N135" s="2931"/>
      <c r="O135" s="2931"/>
      <c r="P135" s="2931"/>
      <c r="Q135" s="2932"/>
      <c r="R135" s="2916"/>
      <c r="S135" s="2917"/>
      <c r="T135" s="2922"/>
      <c r="U135" s="2923"/>
      <c r="V135" s="2930"/>
      <c r="W135" s="2931"/>
      <c r="X135" s="2931"/>
      <c r="Y135" s="2931"/>
      <c r="Z135" s="2932"/>
      <c r="AA135" s="1721"/>
      <c r="AB135" s="1706"/>
      <c r="AC135" s="1706"/>
      <c r="AD135" s="1706"/>
      <c r="AE135" s="1706"/>
      <c r="AF135" s="1706"/>
      <c r="AG135" s="1706"/>
      <c r="AH135" s="1706"/>
      <c r="AI135" s="1706"/>
    </row>
    <row r="136" spans="1:35" x14ac:dyDescent="0.2">
      <c r="A136" s="2964"/>
      <c r="B136" s="2965"/>
      <c r="C136" s="3048"/>
      <c r="D136" s="3049"/>
      <c r="E136" s="3049"/>
      <c r="F136" s="3049"/>
      <c r="G136" s="3049"/>
      <c r="H136" s="3050"/>
      <c r="I136" s="2916"/>
      <c r="J136" s="2917"/>
      <c r="K136" s="2922"/>
      <c r="L136" s="2923"/>
      <c r="M136" s="2930"/>
      <c r="N136" s="2931"/>
      <c r="O136" s="2931"/>
      <c r="P136" s="2931"/>
      <c r="Q136" s="2932"/>
      <c r="R136" s="2916"/>
      <c r="S136" s="2917"/>
      <c r="T136" s="2922"/>
      <c r="U136" s="2923"/>
      <c r="V136" s="2930"/>
      <c r="W136" s="2931"/>
      <c r="X136" s="2931"/>
      <c r="Y136" s="2931"/>
      <c r="Z136" s="2932"/>
      <c r="AA136" s="1721"/>
      <c r="AB136" s="1706"/>
      <c r="AC136" s="1706"/>
      <c r="AD136" s="1706"/>
      <c r="AE136" s="1706"/>
      <c r="AF136" s="1706"/>
      <c r="AG136" s="1706"/>
      <c r="AH136" s="1706"/>
      <c r="AI136" s="1706"/>
    </row>
    <row r="137" spans="1:35" x14ac:dyDescent="0.2">
      <c r="A137" s="2964"/>
      <c r="B137" s="2965"/>
      <c r="C137" s="3048"/>
      <c r="D137" s="3049"/>
      <c r="E137" s="3049"/>
      <c r="F137" s="3049"/>
      <c r="G137" s="3049"/>
      <c r="H137" s="3050"/>
      <c r="I137" s="2916"/>
      <c r="J137" s="2917"/>
      <c r="K137" s="2922"/>
      <c r="L137" s="2923"/>
      <c r="M137" s="2930"/>
      <c r="N137" s="2931"/>
      <c r="O137" s="2931"/>
      <c r="P137" s="2931"/>
      <c r="Q137" s="2932"/>
      <c r="R137" s="2916"/>
      <c r="S137" s="2917"/>
      <c r="T137" s="2922"/>
      <c r="U137" s="2923"/>
      <c r="V137" s="2930"/>
      <c r="W137" s="2931"/>
      <c r="X137" s="2931"/>
      <c r="Y137" s="2931"/>
      <c r="Z137" s="2932"/>
      <c r="AA137" s="1721"/>
      <c r="AB137" s="1706"/>
      <c r="AC137" s="1706"/>
      <c r="AD137" s="1706"/>
      <c r="AE137" s="1706"/>
      <c r="AF137" s="1706"/>
      <c r="AG137" s="1706"/>
      <c r="AH137" s="1706"/>
      <c r="AI137" s="1706"/>
    </row>
    <row r="138" spans="1:35" x14ac:dyDescent="0.2">
      <c r="A138" s="2964"/>
      <c r="B138" s="2965"/>
      <c r="C138" s="3048"/>
      <c r="D138" s="3049"/>
      <c r="E138" s="3049"/>
      <c r="F138" s="3049"/>
      <c r="G138" s="3049"/>
      <c r="H138" s="3050"/>
      <c r="I138" s="2916"/>
      <c r="J138" s="2917"/>
      <c r="K138" s="2922"/>
      <c r="L138" s="2923"/>
      <c r="M138" s="2930"/>
      <c r="N138" s="2931"/>
      <c r="O138" s="2931"/>
      <c r="P138" s="2931"/>
      <c r="Q138" s="2932"/>
      <c r="R138" s="2916"/>
      <c r="S138" s="2917"/>
      <c r="T138" s="2922"/>
      <c r="U138" s="2923"/>
      <c r="V138" s="2930"/>
      <c r="W138" s="2931"/>
      <c r="X138" s="2931"/>
      <c r="Y138" s="2931"/>
      <c r="Z138" s="2932"/>
      <c r="AA138" s="1721"/>
      <c r="AB138" s="1706"/>
      <c r="AC138" s="1706"/>
      <c r="AD138" s="1706"/>
      <c r="AE138" s="1706"/>
      <c r="AF138" s="1706"/>
      <c r="AG138" s="1706"/>
      <c r="AH138" s="1706"/>
      <c r="AI138" s="1706"/>
    </row>
    <row r="139" spans="1:35" x14ac:dyDescent="0.2">
      <c r="A139" s="2964"/>
      <c r="B139" s="2965"/>
      <c r="C139" s="3048"/>
      <c r="D139" s="3049"/>
      <c r="E139" s="3049"/>
      <c r="F139" s="3049"/>
      <c r="G139" s="3049"/>
      <c r="H139" s="3050"/>
      <c r="I139" s="2916"/>
      <c r="J139" s="2917"/>
      <c r="K139" s="2922"/>
      <c r="L139" s="2923"/>
      <c r="M139" s="2930"/>
      <c r="N139" s="2931"/>
      <c r="O139" s="2931"/>
      <c r="P139" s="2931"/>
      <c r="Q139" s="2932"/>
      <c r="R139" s="2916"/>
      <c r="S139" s="2917"/>
      <c r="T139" s="2922"/>
      <c r="U139" s="2923"/>
      <c r="V139" s="2930"/>
      <c r="W139" s="2931"/>
      <c r="X139" s="2931"/>
      <c r="Y139" s="2931"/>
      <c r="Z139" s="2932"/>
      <c r="AA139" s="1721"/>
      <c r="AB139" s="1706"/>
      <c r="AC139" s="1706"/>
      <c r="AD139" s="1706"/>
      <c r="AE139" s="1706"/>
      <c r="AF139" s="1706"/>
      <c r="AG139" s="1706"/>
      <c r="AH139" s="1706"/>
      <c r="AI139" s="1706"/>
    </row>
    <row r="140" spans="1:35" x14ac:dyDescent="0.2">
      <c r="A140" s="2964"/>
      <c r="B140" s="2965"/>
      <c r="C140" s="3048"/>
      <c r="D140" s="3049"/>
      <c r="E140" s="3049"/>
      <c r="F140" s="3049"/>
      <c r="G140" s="3049"/>
      <c r="H140" s="3050"/>
      <c r="I140" s="2916"/>
      <c r="J140" s="2917"/>
      <c r="K140" s="2922"/>
      <c r="L140" s="2923"/>
      <c r="M140" s="2930"/>
      <c r="N140" s="2931"/>
      <c r="O140" s="2931"/>
      <c r="P140" s="2931"/>
      <c r="Q140" s="2932"/>
      <c r="R140" s="2916"/>
      <c r="S140" s="2917"/>
      <c r="T140" s="2922"/>
      <c r="U140" s="2923"/>
      <c r="V140" s="2930"/>
      <c r="W140" s="2931"/>
      <c r="X140" s="2931"/>
      <c r="Y140" s="2931"/>
      <c r="Z140" s="2932"/>
      <c r="AA140" s="1721"/>
      <c r="AB140" s="1706"/>
      <c r="AC140" s="1706"/>
      <c r="AD140" s="1706"/>
      <c r="AE140" s="1706"/>
      <c r="AF140" s="1706"/>
      <c r="AG140" s="1706"/>
      <c r="AH140" s="1706"/>
      <c r="AI140" s="1706"/>
    </row>
    <row r="141" spans="1:35" x14ac:dyDescent="0.2">
      <c r="A141" s="2964"/>
      <c r="B141" s="2965"/>
      <c r="C141" s="3048"/>
      <c r="D141" s="3049"/>
      <c r="E141" s="3049"/>
      <c r="F141" s="3049"/>
      <c r="G141" s="3049"/>
      <c r="H141" s="3050"/>
      <c r="I141" s="2916"/>
      <c r="J141" s="2917"/>
      <c r="K141" s="2922"/>
      <c r="L141" s="2923"/>
      <c r="M141" s="2930"/>
      <c r="N141" s="2931"/>
      <c r="O141" s="2931"/>
      <c r="P141" s="2931"/>
      <c r="Q141" s="2932"/>
      <c r="R141" s="2916"/>
      <c r="S141" s="2917"/>
      <c r="T141" s="2922"/>
      <c r="U141" s="2923"/>
      <c r="V141" s="2930"/>
      <c r="W141" s="2931"/>
      <c r="X141" s="2931"/>
      <c r="Y141" s="2931"/>
      <c r="Z141" s="2932"/>
      <c r="AA141" s="1721"/>
      <c r="AB141" s="1706"/>
      <c r="AC141" s="1706"/>
      <c r="AD141" s="1706"/>
      <c r="AE141" s="1706"/>
      <c r="AF141" s="1706"/>
      <c r="AG141" s="1706"/>
      <c r="AH141" s="1706"/>
      <c r="AI141" s="1706"/>
    </row>
    <row r="142" spans="1:35" x14ac:dyDescent="0.2">
      <c r="A142" s="2964"/>
      <c r="B142" s="2965"/>
      <c r="C142" s="3048"/>
      <c r="D142" s="3049"/>
      <c r="E142" s="3049"/>
      <c r="F142" s="3049"/>
      <c r="G142" s="3049"/>
      <c r="H142" s="3050"/>
      <c r="I142" s="2916"/>
      <c r="J142" s="2917"/>
      <c r="K142" s="2922"/>
      <c r="L142" s="2923"/>
      <c r="M142" s="2930"/>
      <c r="N142" s="2931"/>
      <c r="O142" s="2931"/>
      <c r="P142" s="2931"/>
      <c r="Q142" s="2932"/>
      <c r="R142" s="2916"/>
      <c r="S142" s="2917"/>
      <c r="T142" s="2922"/>
      <c r="U142" s="2923"/>
      <c r="V142" s="2930"/>
      <c r="W142" s="2931"/>
      <c r="X142" s="2931"/>
      <c r="Y142" s="2931"/>
      <c r="Z142" s="2932"/>
      <c r="AA142" s="1721"/>
      <c r="AB142" s="1706"/>
      <c r="AC142" s="1706"/>
      <c r="AD142" s="1706"/>
      <c r="AE142" s="1706"/>
      <c r="AF142" s="1706"/>
      <c r="AG142" s="1706"/>
      <c r="AH142" s="1706"/>
      <c r="AI142" s="1706"/>
    </row>
    <row r="143" spans="1:35" x14ac:dyDescent="0.2">
      <c r="A143" s="2964"/>
      <c r="B143" s="2965"/>
      <c r="C143" s="3048"/>
      <c r="D143" s="3049"/>
      <c r="E143" s="3049"/>
      <c r="F143" s="3049"/>
      <c r="G143" s="3049"/>
      <c r="H143" s="3050"/>
      <c r="I143" s="2916"/>
      <c r="J143" s="2917"/>
      <c r="K143" s="2922"/>
      <c r="L143" s="2923"/>
      <c r="M143" s="2930"/>
      <c r="N143" s="2931"/>
      <c r="O143" s="2931"/>
      <c r="P143" s="2931"/>
      <c r="Q143" s="2932"/>
      <c r="R143" s="2916"/>
      <c r="S143" s="2917"/>
      <c r="T143" s="2922"/>
      <c r="U143" s="2923"/>
      <c r="V143" s="2930"/>
      <c r="W143" s="2931"/>
      <c r="X143" s="2931"/>
      <c r="Y143" s="2931"/>
      <c r="Z143" s="2932"/>
      <c r="AA143" s="1721"/>
      <c r="AB143" s="1706"/>
      <c r="AC143" s="1706"/>
      <c r="AD143" s="1706"/>
      <c r="AE143" s="1706"/>
      <c r="AF143" s="1706"/>
      <c r="AG143" s="1706"/>
      <c r="AH143" s="1706"/>
      <c r="AI143" s="1706"/>
    </row>
    <row r="144" spans="1:35" x14ac:dyDescent="0.2">
      <c r="A144" s="2964"/>
      <c r="B144" s="2965"/>
      <c r="C144" s="3048"/>
      <c r="D144" s="3049"/>
      <c r="E144" s="3049"/>
      <c r="F144" s="3049"/>
      <c r="G144" s="3049"/>
      <c r="H144" s="3050"/>
      <c r="I144" s="2916"/>
      <c r="J144" s="2917"/>
      <c r="K144" s="2922"/>
      <c r="L144" s="2923"/>
      <c r="M144" s="2930"/>
      <c r="N144" s="2931"/>
      <c r="O144" s="2931"/>
      <c r="P144" s="2931"/>
      <c r="Q144" s="2932"/>
      <c r="R144" s="2916"/>
      <c r="S144" s="2917"/>
      <c r="T144" s="2922"/>
      <c r="U144" s="2923"/>
      <c r="V144" s="2930"/>
      <c r="W144" s="2931"/>
      <c r="X144" s="2931"/>
      <c r="Y144" s="2931"/>
      <c r="Z144" s="2932"/>
      <c r="AA144" s="1721"/>
      <c r="AB144" s="1706"/>
      <c r="AC144" s="1706"/>
      <c r="AD144" s="1706"/>
      <c r="AE144" s="1706"/>
      <c r="AF144" s="1706"/>
      <c r="AG144" s="1706"/>
      <c r="AH144" s="1706"/>
      <c r="AI144" s="1706"/>
    </row>
    <row r="145" spans="1:37" x14ac:dyDescent="0.2">
      <c r="A145" s="2964"/>
      <c r="B145" s="2965"/>
      <c r="C145" s="3048"/>
      <c r="D145" s="3049"/>
      <c r="E145" s="3049"/>
      <c r="F145" s="3049"/>
      <c r="G145" s="3049"/>
      <c r="H145" s="3050"/>
      <c r="I145" s="2916"/>
      <c r="J145" s="2917"/>
      <c r="K145" s="2922"/>
      <c r="L145" s="2923"/>
      <c r="M145" s="2930"/>
      <c r="N145" s="2931"/>
      <c r="O145" s="2931"/>
      <c r="P145" s="2931"/>
      <c r="Q145" s="2932"/>
      <c r="R145" s="2916"/>
      <c r="S145" s="2917"/>
      <c r="T145" s="2922"/>
      <c r="U145" s="2923"/>
      <c r="V145" s="2930"/>
      <c r="W145" s="2931"/>
      <c r="X145" s="2931"/>
      <c r="Y145" s="2931"/>
      <c r="Z145" s="2932"/>
      <c r="AA145" s="1721"/>
      <c r="AB145" s="1706"/>
      <c r="AC145" s="1706"/>
      <c r="AD145" s="1706"/>
      <c r="AE145" s="1706"/>
      <c r="AF145" s="1706"/>
      <c r="AG145" s="1706"/>
      <c r="AH145" s="1706"/>
      <c r="AI145" s="1706"/>
    </row>
    <row r="146" spans="1:37" x14ac:dyDescent="0.2">
      <c r="A146" s="2966"/>
      <c r="B146" s="2967"/>
      <c r="C146" s="3051"/>
      <c r="D146" s="3052"/>
      <c r="E146" s="3052"/>
      <c r="F146" s="3052"/>
      <c r="G146" s="3052"/>
      <c r="H146" s="3053"/>
      <c r="I146" s="2918"/>
      <c r="J146" s="2919"/>
      <c r="K146" s="2924"/>
      <c r="L146" s="2925"/>
      <c r="M146" s="2933"/>
      <c r="N146" s="2934"/>
      <c r="O146" s="2934"/>
      <c r="P146" s="2934"/>
      <c r="Q146" s="2935"/>
      <c r="R146" s="2918"/>
      <c r="S146" s="2919"/>
      <c r="T146" s="2924"/>
      <c r="U146" s="2925"/>
      <c r="V146" s="2933"/>
      <c r="W146" s="2934"/>
      <c r="X146" s="2934"/>
      <c r="Y146" s="2934"/>
      <c r="Z146" s="2935"/>
      <c r="AA146" s="1721"/>
      <c r="AB146" s="1706"/>
      <c r="AC146" s="1706"/>
      <c r="AD146" s="1706"/>
      <c r="AE146" s="1706"/>
      <c r="AF146" s="1706"/>
      <c r="AG146" s="1706"/>
      <c r="AH146" s="1706"/>
      <c r="AI146" s="1706"/>
    </row>
    <row r="147" spans="1:37" x14ac:dyDescent="0.2">
      <c r="A147" s="1720"/>
      <c r="B147" s="1720"/>
      <c r="C147" s="1720"/>
      <c r="D147" s="1720"/>
      <c r="E147" s="1720"/>
      <c r="F147" s="1720"/>
      <c r="G147" s="1720"/>
      <c r="H147" s="1720"/>
      <c r="I147" s="1720"/>
      <c r="J147" s="1720"/>
      <c r="K147" s="1720"/>
      <c r="L147" s="1720"/>
      <c r="M147" s="1720"/>
      <c r="N147" s="1720"/>
      <c r="O147" s="1720"/>
      <c r="P147" s="1720"/>
      <c r="Q147" s="1720"/>
      <c r="R147" s="1720"/>
      <c r="S147" s="1720"/>
      <c r="T147" s="1720"/>
      <c r="U147" s="1720"/>
      <c r="V147" s="1720"/>
      <c r="W147" s="1720"/>
      <c r="X147" s="1720"/>
      <c r="Y147" s="1720"/>
      <c r="Z147" s="1720"/>
      <c r="AA147" s="1721"/>
      <c r="AB147" s="3006" t="s">
        <v>256</v>
      </c>
      <c r="AC147" s="3006"/>
      <c r="AD147" s="3006"/>
      <c r="AE147" s="3006"/>
      <c r="AF147" s="3006"/>
      <c r="AG147" s="3006"/>
      <c r="AH147" s="3006"/>
      <c r="AI147" s="3006"/>
      <c r="AJ147" s="3006"/>
      <c r="AK147" s="3006"/>
    </row>
    <row r="148" spans="1:37" ht="18" customHeight="1" x14ac:dyDescent="0.2">
      <c r="A148" s="2979" t="s">
        <v>419</v>
      </c>
      <c r="B148" s="2979"/>
      <c r="C148" s="2979" t="s">
        <v>420</v>
      </c>
      <c r="D148" s="2979"/>
      <c r="E148" s="2979"/>
      <c r="F148" s="2979"/>
      <c r="G148" s="2979"/>
      <c r="H148" s="2979"/>
      <c r="I148" s="2979" t="s">
        <v>421</v>
      </c>
      <c r="J148" s="2979"/>
      <c r="K148" s="2979"/>
      <c r="L148" s="2979"/>
      <c r="M148" s="2979"/>
      <c r="N148" s="2979"/>
      <c r="O148" s="2979"/>
      <c r="P148" s="2979"/>
      <c r="Q148" s="2979"/>
      <c r="R148" s="2979" t="s">
        <v>424</v>
      </c>
      <c r="S148" s="2979"/>
      <c r="T148" s="2979"/>
      <c r="U148" s="2979"/>
      <c r="V148" s="2979"/>
      <c r="W148" s="2979"/>
      <c r="X148" s="2979"/>
      <c r="Y148" s="2979"/>
      <c r="Z148" s="2979"/>
      <c r="AA148" s="1721"/>
      <c r="AB148" s="2981">
        <f>AC99</f>
        <v>6</v>
      </c>
      <c r="AC148" s="2983" t="str">
        <f>AD99</f>
        <v>Asyam Hanif Ihsan H</v>
      </c>
      <c r="AD148" s="2984"/>
      <c r="AE148" s="2984"/>
      <c r="AF148" s="2985"/>
      <c r="AG148" s="1710"/>
      <c r="AH148" s="1710"/>
      <c r="AI148" s="1710"/>
      <c r="AJ148" s="1710"/>
      <c r="AK148" s="1710"/>
    </row>
    <row r="149" spans="1:37" ht="19.5" customHeight="1" x14ac:dyDescent="0.2">
      <c r="A149" s="2979"/>
      <c r="B149" s="2979"/>
      <c r="C149" s="2979"/>
      <c r="D149" s="2979"/>
      <c r="E149" s="2979"/>
      <c r="F149" s="2979"/>
      <c r="G149" s="2979"/>
      <c r="H149" s="2979"/>
      <c r="I149" s="2979" t="s">
        <v>422</v>
      </c>
      <c r="J149" s="2979"/>
      <c r="K149" s="2979" t="s">
        <v>423</v>
      </c>
      <c r="L149" s="2979"/>
      <c r="M149" s="2979" t="s">
        <v>412</v>
      </c>
      <c r="N149" s="2979"/>
      <c r="O149" s="2979"/>
      <c r="P149" s="2979"/>
      <c r="Q149" s="2979"/>
      <c r="R149" s="2979" t="s">
        <v>422</v>
      </c>
      <c r="S149" s="2979"/>
      <c r="T149" s="2979" t="s">
        <v>423</v>
      </c>
      <c r="U149" s="2979"/>
      <c r="V149" s="2979" t="s">
        <v>412</v>
      </c>
      <c r="W149" s="2979"/>
      <c r="X149" s="2979"/>
      <c r="Y149" s="2979"/>
      <c r="Z149" s="2979"/>
      <c r="AA149" s="1721"/>
      <c r="AB149" s="2982"/>
      <c r="AC149" s="2986"/>
      <c r="AD149" s="2987"/>
      <c r="AE149" s="2987"/>
      <c r="AF149" s="2988"/>
      <c r="AG149" s="1711"/>
      <c r="AH149" s="1711"/>
      <c r="AI149" s="1711"/>
    </row>
    <row r="150" spans="1:37" ht="14.25" customHeight="1" x14ac:dyDescent="0.2">
      <c r="A150" s="2926">
        <v>2</v>
      </c>
      <c r="B150" s="2926"/>
      <c r="C150" s="2968" t="s">
        <v>427</v>
      </c>
      <c r="D150" s="2969"/>
      <c r="E150" s="2969"/>
      <c r="F150" s="2969"/>
      <c r="G150" s="2969"/>
      <c r="H150" s="2970"/>
      <c r="I150" s="2914">
        <f>VLOOKUP(AC2,KI3_PKNRapot,20,FALSE)</f>
        <v>0</v>
      </c>
      <c r="J150" s="2915"/>
      <c r="K150" s="2914" t="str">
        <f>VLOOKUP(AC2,KI3_PKNRapot,21,FALSE)</f>
        <v>D+</v>
      </c>
      <c r="L150" s="2915"/>
      <c r="M150" s="2927" t="str">
        <f>VLOOKUP(AC2,DESGAB_PKN,3,FALSE)</f>
        <v xml:space="preserve">    </v>
      </c>
      <c r="N150" s="2928"/>
      <c r="O150" s="2928"/>
      <c r="P150" s="2928"/>
      <c r="Q150" s="2929"/>
      <c r="R150" s="2914">
        <f>VLOOKUP(AC2,KI4_PKNrapot,30,FALSE)</f>
        <v>0</v>
      </c>
      <c r="S150" s="2915"/>
      <c r="T150" s="2920" t="str">
        <f>VLOOKUP(AC2,KI4_PKNrapot,31,FALSE)</f>
        <v>D+</v>
      </c>
      <c r="U150" s="2921"/>
      <c r="V150" s="2927" t="str">
        <f>VLOOKUP(AC2,DESGAB_PKN,4,FALSE)</f>
        <v xml:space="preserve">    </v>
      </c>
      <c r="W150" s="2928"/>
      <c r="X150" s="2928"/>
      <c r="Y150" s="2928"/>
      <c r="Z150" s="2929"/>
      <c r="AA150" s="1721"/>
      <c r="AB150" s="2956" t="s">
        <v>459</v>
      </c>
      <c r="AC150" s="2957"/>
      <c r="AD150" s="2957"/>
      <c r="AE150" s="2957"/>
      <c r="AF150" s="2958"/>
      <c r="AG150" s="1712"/>
      <c r="AH150" s="1712"/>
      <c r="AI150" s="1711"/>
    </row>
    <row r="151" spans="1:37" ht="14.25" customHeight="1" x14ac:dyDescent="0.2">
      <c r="A151" s="2926"/>
      <c r="B151" s="2926"/>
      <c r="C151" s="2971"/>
      <c r="D151" s="2972"/>
      <c r="E151" s="2972"/>
      <c r="F151" s="2972"/>
      <c r="G151" s="2972"/>
      <c r="H151" s="2973"/>
      <c r="I151" s="2916"/>
      <c r="J151" s="2917"/>
      <c r="K151" s="2916"/>
      <c r="L151" s="2917"/>
      <c r="M151" s="2930"/>
      <c r="N151" s="2931"/>
      <c r="O151" s="2931"/>
      <c r="P151" s="2931"/>
      <c r="Q151" s="2932"/>
      <c r="R151" s="2916"/>
      <c r="S151" s="2917"/>
      <c r="T151" s="2922"/>
      <c r="U151" s="2923"/>
      <c r="V151" s="2930"/>
      <c r="W151" s="2931"/>
      <c r="X151" s="2931"/>
      <c r="Y151" s="2931"/>
      <c r="Z151" s="2932"/>
      <c r="AA151" s="1721"/>
      <c r="AB151" s="2959"/>
      <c r="AC151" s="2960"/>
      <c r="AD151" s="2960"/>
      <c r="AE151" s="2960"/>
      <c r="AF151" s="2961"/>
      <c r="AG151" s="1712"/>
      <c r="AH151" s="1712"/>
      <c r="AI151" s="1711"/>
    </row>
    <row r="152" spans="1:37" x14ac:dyDescent="0.2">
      <c r="A152" s="2926"/>
      <c r="B152" s="2926"/>
      <c r="C152" s="2971"/>
      <c r="D152" s="2972"/>
      <c r="E152" s="2972"/>
      <c r="F152" s="2972"/>
      <c r="G152" s="2972"/>
      <c r="H152" s="2973"/>
      <c r="I152" s="2916"/>
      <c r="J152" s="2917"/>
      <c r="K152" s="2916"/>
      <c r="L152" s="2917"/>
      <c r="M152" s="2930"/>
      <c r="N152" s="2931"/>
      <c r="O152" s="2931"/>
      <c r="P152" s="2931"/>
      <c r="Q152" s="2932"/>
      <c r="R152" s="2916"/>
      <c r="S152" s="2917"/>
      <c r="T152" s="2922"/>
      <c r="U152" s="2923"/>
      <c r="V152" s="2930"/>
      <c r="W152" s="2931"/>
      <c r="X152" s="2931"/>
      <c r="Y152" s="2931"/>
      <c r="Z152" s="2932"/>
      <c r="AA152" s="1721"/>
      <c r="AB152" s="1706"/>
      <c r="AC152" s="1706"/>
      <c r="AD152" s="1706"/>
      <c r="AE152" s="1706"/>
      <c r="AF152" s="1706"/>
      <c r="AG152" s="1706"/>
      <c r="AH152" s="1706"/>
      <c r="AI152" s="1706"/>
    </row>
    <row r="153" spans="1:37" x14ac:dyDescent="0.2">
      <c r="A153" s="2926"/>
      <c r="B153" s="2926"/>
      <c r="C153" s="2971"/>
      <c r="D153" s="2972"/>
      <c r="E153" s="2972"/>
      <c r="F153" s="2972"/>
      <c r="G153" s="2972"/>
      <c r="H153" s="2973"/>
      <c r="I153" s="2916"/>
      <c r="J153" s="2917"/>
      <c r="K153" s="2916"/>
      <c r="L153" s="2917"/>
      <c r="M153" s="2930"/>
      <c r="N153" s="2931"/>
      <c r="O153" s="2931"/>
      <c r="P153" s="2931"/>
      <c r="Q153" s="2932"/>
      <c r="R153" s="2916"/>
      <c r="S153" s="2917"/>
      <c r="T153" s="2922"/>
      <c r="U153" s="2923"/>
      <c r="V153" s="2930"/>
      <c r="W153" s="2931"/>
      <c r="X153" s="2931"/>
      <c r="Y153" s="2931"/>
      <c r="Z153" s="2932"/>
      <c r="AA153" s="1721"/>
      <c r="AB153" s="1706"/>
      <c r="AC153" s="1706"/>
      <c r="AD153" s="1706"/>
      <c r="AE153" s="1706"/>
      <c r="AF153" s="1706"/>
      <c r="AG153" s="1706"/>
      <c r="AH153" s="1706"/>
      <c r="AI153" s="1706"/>
    </row>
    <row r="154" spans="1:37" x14ac:dyDescent="0.2">
      <c r="A154" s="2926"/>
      <c r="B154" s="2926"/>
      <c r="C154" s="2971"/>
      <c r="D154" s="2972"/>
      <c r="E154" s="2972"/>
      <c r="F154" s="2972"/>
      <c r="G154" s="2972"/>
      <c r="H154" s="2973"/>
      <c r="I154" s="2916"/>
      <c r="J154" s="2917"/>
      <c r="K154" s="2916"/>
      <c r="L154" s="2917"/>
      <c r="M154" s="2930"/>
      <c r="N154" s="2931"/>
      <c r="O154" s="2931"/>
      <c r="P154" s="2931"/>
      <c r="Q154" s="2932"/>
      <c r="R154" s="2916"/>
      <c r="S154" s="2917"/>
      <c r="T154" s="2922"/>
      <c r="U154" s="2923"/>
      <c r="V154" s="2930"/>
      <c r="W154" s="2931"/>
      <c r="X154" s="2931"/>
      <c r="Y154" s="2931"/>
      <c r="Z154" s="2932"/>
      <c r="AA154" s="1721"/>
      <c r="AB154" s="1706"/>
      <c r="AC154" s="1706"/>
      <c r="AD154" s="1706"/>
      <c r="AE154" s="1706"/>
      <c r="AF154" s="1706"/>
      <c r="AG154" s="1706"/>
      <c r="AH154" s="1706"/>
      <c r="AI154" s="1706"/>
    </row>
    <row r="155" spans="1:37" x14ac:dyDescent="0.2">
      <c r="A155" s="2926"/>
      <c r="B155" s="2926"/>
      <c r="C155" s="2971"/>
      <c r="D155" s="2972"/>
      <c r="E155" s="2972"/>
      <c r="F155" s="2972"/>
      <c r="G155" s="2972"/>
      <c r="H155" s="2973"/>
      <c r="I155" s="2916"/>
      <c r="J155" s="2917"/>
      <c r="K155" s="2916"/>
      <c r="L155" s="2917"/>
      <c r="M155" s="2930"/>
      <c r="N155" s="2931"/>
      <c r="O155" s="2931"/>
      <c r="P155" s="2931"/>
      <c r="Q155" s="2932"/>
      <c r="R155" s="2916"/>
      <c r="S155" s="2917"/>
      <c r="T155" s="2922"/>
      <c r="U155" s="2923"/>
      <c r="V155" s="2930"/>
      <c r="W155" s="2931"/>
      <c r="X155" s="2931"/>
      <c r="Y155" s="2931"/>
      <c r="Z155" s="2932"/>
      <c r="AA155" s="1721"/>
      <c r="AB155" s="1706"/>
      <c r="AC155" s="1706"/>
      <c r="AD155" s="1706"/>
      <c r="AE155" s="1706"/>
      <c r="AF155" s="1706"/>
      <c r="AG155" s="1706"/>
      <c r="AH155" s="1706"/>
      <c r="AI155" s="1706"/>
    </row>
    <row r="156" spans="1:37" x14ac:dyDescent="0.2">
      <c r="A156" s="2926"/>
      <c r="B156" s="2926"/>
      <c r="C156" s="2971"/>
      <c r="D156" s="2972"/>
      <c r="E156" s="2972"/>
      <c r="F156" s="2972"/>
      <c r="G156" s="2972"/>
      <c r="H156" s="2973"/>
      <c r="I156" s="2916"/>
      <c r="J156" s="2917"/>
      <c r="K156" s="2916"/>
      <c r="L156" s="2917"/>
      <c r="M156" s="2930"/>
      <c r="N156" s="2931"/>
      <c r="O156" s="2931"/>
      <c r="P156" s="2931"/>
      <c r="Q156" s="2932"/>
      <c r="R156" s="2916"/>
      <c r="S156" s="2917"/>
      <c r="T156" s="2922"/>
      <c r="U156" s="2923"/>
      <c r="V156" s="2930"/>
      <c r="W156" s="2931"/>
      <c r="X156" s="2931"/>
      <c r="Y156" s="2931"/>
      <c r="Z156" s="2932"/>
      <c r="AA156" s="1721"/>
      <c r="AB156" s="1706"/>
      <c r="AC156" s="1706"/>
      <c r="AD156" s="1706"/>
      <c r="AE156" s="1706"/>
      <c r="AF156" s="1706"/>
      <c r="AG156" s="1706"/>
      <c r="AH156" s="1706"/>
      <c r="AI156" s="1706"/>
    </row>
    <row r="157" spans="1:37" x14ac:dyDescent="0.2">
      <c r="A157" s="2926"/>
      <c r="B157" s="2926"/>
      <c r="C157" s="2971"/>
      <c r="D157" s="2972"/>
      <c r="E157" s="2972"/>
      <c r="F157" s="2972"/>
      <c r="G157" s="2972"/>
      <c r="H157" s="2973"/>
      <c r="I157" s="2916"/>
      <c r="J157" s="2917"/>
      <c r="K157" s="2916"/>
      <c r="L157" s="2917"/>
      <c r="M157" s="2930"/>
      <c r="N157" s="2931"/>
      <c r="O157" s="2931"/>
      <c r="P157" s="2931"/>
      <c r="Q157" s="2932"/>
      <c r="R157" s="2916"/>
      <c r="S157" s="2917"/>
      <c r="T157" s="2922"/>
      <c r="U157" s="2923"/>
      <c r="V157" s="2930"/>
      <c r="W157" s="2931"/>
      <c r="X157" s="2931"/>
      <c r="Y157" s="2931"/>
      <c r="Z157" s="2932"/>
      <c r="AA157" s="1721"/>
      <c r="AB157" s="1706"/>
      <c r="AC157" s="1706"/>
      <c r="AD157" s="1706"/>
      <c r="AE157" s="1706"/>
      <c r="AF157" s="1706"/>
      <c r="AG157" s="1706"/>
      <c r="AH157" s="1706"/>
      <c r="AI157" s="1706"/>
    </row>
    <row r="158" spans="1:37" x14ac:dyDescent="0.2">
      <c r="A158" s="2926"/>
      <c r="B158" s="2926"/>
      <c r="C158" s="2971"/>
      <c r="D158" s="2972"/>
      <c r="E158" s="2972"/>
      <c r="F158" s="2972"/>
      <c r="G158" s="2972"/>
      <c r="H158" s="2973"/>
      <c r="I158" s="2916"/>
      <c r="J158" s="2917"/>
      <c r="K158" s="2916"/>
      <c r="L158" s="2917"/>
      <c r="M158" s="2930"/>
      <c r="N158" s="2931"/>
      <c r="O158" s="2931"/>
      <c r="P158" s="2931"/>
      <c r="Q158" s="2932"/>
      <c r="R158" s="2916"/>
      <c r="S158" s="2917"/>
      <c r="T158" s="2922"/>
      <c r="U158" s="2923"/>
      <c r="V158" s="2930"/>
      <c r="W158" s="2931"/>
      <c r="X158" s="2931"/>
      <c r="Y158" s="2931"/>
      <c r="Z158" s="2932"/>
      <c r="AA158" s="1721"/>
      <c r="AB158" s="1706"/>
      <c r="AC158" s="1706"/>
      <c r="AD158" s="1706"/>
      <c r="AE158" s="1706"/>
      <c r="AF158" s="1706"/>
      <c r="AG158" s="1706"/>
      <c r="AH158" s="1706"/>
      <c r="AI158" s="1706"/>
    </row>
    <row r="159" spans="1:37" x14ac:dyDescent="0.2">
      <c r="A159" s="2926"/>
      <c r="B159" s="2926"/>
      <c r="C159" s="2971"/>
      <c r="D159" s="2972"/>
      <c r="E159" s="2972"/>
      <c r="F159" s="2972"/>
      <c r="G159" s="2972"/>
      <c r="H159" s="2973"/>
      <c r="I159" s="2916"/>
      <c r="J159" s="2917"/>
      <c r="K159" s="2916"/>
      <c r="L159" s="2917"/>
      <c r="M159" s="2930"/>
      <c r="N159" s="2931"/>
      <c r="O159" s="2931"/>
      <c r="P159" s="2931"/>
      <c r="Q159" s="2932"/>
      <c r="R159" s="2916"/>
      <c r="S159" s="2917"/>
      <c r="T159" s="2922"/>
      <c r="U159" s="2923"/>
      <c r="V159" s="2930"/>
      <c r="W159" s="2931"/>
      <c r="X159" s="2931"/>
      <c r="Y159" s="2931"/>
      <c r="Z159" s="2932"/>
      <c r="AA159" s="1721"/>
      <c r="AB159" s="1706"/>
      <c r="AC159" s="1706"/>
      <c r="AD159" s="1706"/>
      <c r="AE159" s="1706"/>
      <c r="AF159" s="1706"/>
      <c r="AG159" s="1706"/>
      <c r="AH159" s="1706"/>
      <c r="AI159" s="1706"/>
    </row>
    <row r="160" spans="1:37" x14ac:dyDescent="0.2">
      <c r="A160" s="2926"/>
      <c r="B160" s="2926"/>
      <c r="C160" s="2971"/>
      <c r="D160" s="2972"/>
      <c r="E160" s="2972"/>
      <c r="F160" s="2972"/>
      <c r="G160" s="2972"/>
      <c r="H160" s="2973"/>
      <c r="I160" s="2916"/>
      <c r="J160" s="2917"/>
      <c r="K160" s="2916"/>
      <c r="L160" s="2917"/>
      <c r="M160" s="2930"/>
      <c r="N160" s="2931"/>
      <c r="O160" s="2931"/>
      <c r="P160" s="2931"/>
      <c r="Q160" s="2932"/>
      <c r="R160" s="2916"/>
      <c r="S160" s="2917"/>
      <c r="T160" s="2922"/>
      <c r="U160" s="2923"/>
      <c r="V160" s="2930"/>
      <c r="W160" s="2931"/>
      <c r="X160" s="2931"/>
      <c r="Y160" s="2931"/>
      <c r="Z160" s="2932"/>
      <c r="AA160" s="1721"/>
      <c r="AB160" s="1706"/>
      <c r="AC160" s="1706"/>
      <c r="AD160" s="1706"/>
      <c r="AE160" s="1706"/>
      <c r="AF160" s="1706"/>
      <c r="AG160" s="1706"/>
      <c r="AH160" s="1706"/>
      <c r="AI160" s="1706"/>
    </row>
    <row r="161" spans="1:35" x14ac:dyDescent="0.2">
      <c r="A161" s="2926"/>
      <c r="B161" s="2926"/>
      <c r="C161" s="2971"/>
      <c r="D161" s="2972"/>
      <c r="E161" s="2972"/>
      <c r="F161" s="2972"/>
      <c r="G161" s="2972"/>
      <c r="H161" s="2973"/>
      <c r="I161" s="2916"/>
      <c r="J161" s="2917"/>
      <c r="K161" s="2916"/>
      <c r="L161" s="2917"/>
      <c r="M161" s="2930"/>
      <c r="N161" s="2931"/>
      <c r="O161" s="2931"/>
      <c r="P161" s="2931"/>
      <c r="Q161" s="2932"/>
      <c r="R161" s="2916"/>
      <c r="S161" s="2917"/>
      <c r="T161" s="2922"/>
      <c r="U161" s="2923"/>
      <c r="V161" s="2930"/>
      <c r="W161" s="2931"/>
      <c r="X161" s="2931"/>
      <c r="Y161" s="2931"/>
      <c r="Z161" s="2932"/>
      <c r="AA161" s="1721"/>
      <c r="AB161" s="1706"/>
      <c r="AC161" s="1706"/>
      <c r="AD161" s="1706"/>
      <c r="AE161" s="1706"/>
      <c r="AF161" s="1706"/>
      <c r="AG161" s="1706"/>
      <c r="AH161" s="1706"/>
      <c r="AI161" s="1706"/>
    </row>
    <row r="162" spans="1:35" x14ac:dyDescent="0.2">
      <c r="A162" s="2926"/>
      <c r="B162" s="2926"/>
      <c r="C162" s="2971"/>
      <c r="D162" s="2972"/>
      <c r="E162" s="2972"/>
      <c r="F162" s="2972"/>
      <c r="G162" s="2972"/>
      <c r="H162" s="2973"/>
      <c r="I162" s="2916"/>
      <c r="J162" s="2917"/>
      <c r="K162" s="2916"/>
      <c r="L162" s="2917"/>
      <c r="M162" s="2930"/>
      <c r="N162" s="2931"/>
      <c r="O162" s="2931"/>
      <c r="P162" s="2931"/>
      <c r="Q162" s="2932"/>
      <c r="R162" s="2916"/>
      <c r="S162" s="2917"/>
      <c r="T162" s="2922"/>
      <c r="U162" s="2923"/>
      <c r="V162" s="2930"/>
      <c r="W162" s="2931"/>
      <c r="X162" s="2931"/>
      <c r="Y162" s="2931"/>
      <c r="Z162" s="2932"/>
      <c r="AA162" s="1721"/>
      <c r="AB162" s="1706"/>
      <c r="AC162" s="1706"/>
      <c r="AD162" s="1706"/>
      <c r="AE162" s="1706"/>
      <c r="AF162" s="1706"/>
      <c r="AG162" s="1706"/>
      <c r="AH162" s="1706"/>
      <c r="AI162" s="1706"/>
    </row>
    <row r="163" spans="1:35" x14ac:dyDescent="0.2">
      <c r="A163" s="2926"/>
      <c r="B163" s="2926"/>
      <c r="C163" s="2971"/>
      <c r="D163" s="2972"/>
      <c r="E163" s="2972"/>
      <c r="F163" s="2972"/>
      <c r="G163" s="2972"/>
      <c r="H163" s="2973"/>
      <c r="I163" s="2916"/>
      <c r="J163" s="2917"/>
      <c r="K163" s="2916"/>
      <c r="L163" s="2917"/>
      <c r="M163" s="2930"/>
      <c r="N163" s="2931"/>
      <c r="O163" s="2931"/>
      <c r="P163" s="2931"/>
      <c r="Q163" s="2932"/>
      <c r="R163" s="2916"/>
      <c r="S163" s="2917"/>
      <c r="T163" s="2922"/>
      <c r="U163" s="2923"/>
      <c r="V163" s="2930"/>
      <c r="W163" s="2931"/>
      <c r="X163" s="2931"/>
      <c r="Y163" s="2931"/>
      <c r="Z163" s="2932"/>
      <c r="AA163" s="1721"/>
      <c r="AB163" s="1706"/>
      <c r="AC163" s="1706"/>
      <c r="AD163" s="1706"/>
      <c r="AE163" s="1706"/>
      <c r="AF163" s="1706"/>
      <c r="AG163" s="1706"/>
      <c r="AH163" s="1706"/>
      <c r="AI163" s="1706"/>
    </row>
    <row r="164" spans="1:35" x14ac:dyDescent="0.2">
      <c r="A164" s="2926"/>
      <c r="B164" s="2926"/>
      <c r="C164" s="2971"/>
      <c r="D164" s="2972"/>
      <c r="E164" s="2972"/>
      <c r="F164" s="2972"/>
      <c r="G164" s="2972"/>
      <c r="H164" s="2973"/>
      <c r="I164" s="2916"/>
      <c r="J164" s="2917"/>
      <c r="K164" s="2916"/>
      <c r="L164" s="2917"/>
      <c r="M164" s="2930"/>
      <c r="N164" s="2931"/>
      <c r="O164" s="2931"/>
      <c r="P164" s="2931"/>
      <c r="Q164" s="2932"/>
      <c r="R164" s="2916"/>
      <c r="S164" s="2917"/>
      <c r="T164" s="2922"/>
      <c r="U164" s="2923"/>
      <c r="V164" s="2930"/>
      <c r="W164" s="2931"/>
      <c r="X164" s="2931"/>
      <c r="Y164" s="2931"/>
      <c r="Z164" s="2932"/>
      <c r="AA164" s="1721"/>
      <c r="AB164" s="1706"/>
      <c r="AC164" s="1706"/>
      <c r="AD164" s="1706"/>
      <c r="AE164" s="1706"/>
      <c r="AF164" s="1706"/>
      <c r="AG164" s="1706"/>
      <c r="AH164" s="1706"/>
      <c r="AI164" s="1706"/>
    </row>
    <row r="165" spans="1:35" x14ac:dyDescent="0.2">
      <c r="A165" s="2926"/>
      <c r="B165" s="2926"/>
      <c r="C165" s="2971"/>
      <c r="D165" s="2972"/>
      <c r="E165" s="2972"/>
      <c r="F165" s="2972"/>
      <c r="G165" s="2972"/>
      <c r="H165" s="2973"/>
      <c r="I165" s="2916"/>
      <c r="J165" s="2917"/>
      <c r="K165" s="2916"/>
      <c r="L165" s="2917"/>
      <c r="M165" s="2930"/>
      <c r="N165" s="2931"/>
      <c r="O165" s="2931"/>
      <c r="P165" s="2931"/>
      <c r="Q165" s="2932"/>
      <c r="R165" s="2916"/>
      <c r="S165" s="2917"/>
      <c r="T165" s="2922"/>
      <c r="U165" s="2923"/>
      <c r="V165" s="2930"/>
      <c r="W165" s="2931"/>
      <c r="X165" s="2931"/>
      <c r="Y165" s="2931"/>
      <c r="Z165" s="2932"/>
      <c r="AA165" s="1721"/>
      <c r="AB165" s="1706"/>
      <c r="AC165" s="1706"/>
      <c r="AD165" s="1706"/>
      <c r="AE165" s="1706"/>
      <c r="AF165" s="1706"/>
      <c r="AG165" s="1706"/>
      <c r="AH165" s="1706"/>
      <c r="AI165" s="1706"/>
    </row>
    <row r="166" spans="1:35" x14ac:dyDescent="0.2">
      <c r="A166" s="2926"/>
      <c r="B166" s="2926"/>
      <c r="C166" s="2971"/>
      <c r="D166" s="2972"/>
      <c r="E166" s="2972"/>
      <c r="F166" s="2972"/>
      <c r="G166" s="2972"/>
      <c r="H166" s="2973"/>
      <c r="I166" s="2916"/>
      <c r="J166" s="2917"/>
      <c r="K166" s="2916"/>
      <c r="L166" s="2917"/>
      <c r="M166" s="2930"/>
      <c r="N166" s="2931"/>
      <c r="O166" s="2931"/>
      <c r="P166" s="2931"/>
      <c r="Q166" s="2932"/>
      <c r="R166" s="2916"/>
      <c r="S166" s="2917"/>
      <c r="T166" s="2922"/>
      <c r="U166" s="2923"/>
      <c r="V166" s="2930"/>
      <c r="W166" s="2931"/>
      <c r="X166" s="2931"/>
      <c r="Y166" s="2931"/>
      <c r="Z166" s="2932"/>
      <c r="AA166" s="1721"/>
      <c r="AB166" s="1706"/>
      <c r="AC166" s="1706"/>
      <c r="AD166" s="1706"/>
      <c r="AE166" s="1706"/>
      <c r="AF166" s="1706"/>
      <c r="AG166" s="1706"/>
      <c r="AH166" s="1706"/>
      <c r="AI166" s="1706"/>
    </row>
    <row r="167" spans="1:35" ht="14.25" customHeight="1" x14ac:dyDescent="0.2">
      <c r="A167" s="2926"/>
      <c r="B167" s="2926"/>
      <c r="C167" s="2971"/>
      <c r="D167" s="2972"/>
      <c r="E167" s="2972"/>
      <c r="F167" s="2972"/>
      <c r="G167" s="2972"/>
      <c r="H167" s="2973"/>
      <c r="I167" s="2916"/>
      <c r="J167" s="2917"/>
      <c r="K167" s="2916"/>
      <c r="L167" s="2917"/>
      <c r="M167" s="2930"/>
      <c r="N167" s="2931"/>
      <c r="O167" s="2931"/>
      <c r="P167" s="2931"/>
      <c r="Q167" s="2932"/>
      <c r="R167" s="2916"/>
      <c r="S167" s="2917"/>
      <c r="T167" s="2922"/>
      <c r="U167" s="2923"/>
      <c r="V167" s="2930"/>
      <c r="W167" s="2931"/>
      <c r="X167" s="2931"/>
      <c r="Y167" s="2931"/>
      <c r="Z167" s="2932"/>
      <c r="AA167" s="1721"/>
      <c r="AB167" s="1706"/>
      <c r="AC167" s="1706"/>
      <c r="AD167" s="1706"/>
      <c r="AE167" s="1706"/>
      <c r="AF167" s="1706"/>
      <c r="AG167" s="1706"/>
      <c r="AH167" s="1706"/>
      <c r="AI167" s="1706"/>
    </row>
    <row r="168" spans="1:35" x14ac:dyDescent="0.2">
      <c r="A168" s="2926"/>
      <c r="B168" s="2926"/>
      <c r="C168" s="2974"/>
      <c r="D168" s="2975"/>
      <c r="E168" s="2975"/>
      <c r="F168" s="2975"/>
      <c r="G168" s="2975"/>
      <c r="H168" s="2976"/>
      <c r="I168" s="2918"/>
      <c r="J168" s="2919"/>
      <c r="K168" s="2918"/>
      <c r="L168" s="2919"/>
      <c r="M168" s="2933"/>
      <c r="N168" s="2934"/>
      <c r="O168" s="2934"/>
      <c r="P168" s="2934"/>
      <c r="Q168" s="2935"/>
      <c r="R168" s="2918"/>
      <c r="S168" s="2919"/>
      <c r="T168" s="2924"/>
      <c r="U168" s="2925"/>
      <c r="V168" s="2933"/>
      <c r="W168" s="2934"/>
      <c r="X168" s="2934"/>
      <c r="Y168" s="2934"/>
      <c r="Z168" s="2935"/>
      <c r="AA168" s="1721"/>
      <c r="AB168" s="1706"/>
      <c r="AC168" s="1706"/>
      <c r="AD168" s="1706"/>
      <c r="AE168" s="1706"/>
      <c r="AF168" s="1706"/>
      <c r="AG168" s="1706"/>
      <c r="AH168" s="1706"/>
      <c r="AI168" s="1706"/>
    </row>
    <row r="169" spans="1:35" x14ac:dyDescent="0.2">
      <c r="A169" s="2962">
        <v>3</v>
      </c>
      <c r="B169" s="2963"/>
      <c r="C169" s="2962" t="s">
        <v>428</v>
      </c>
      <c r="D169" s="3063"/>
      <c r="E169" s="3063"/>
      <c r="F169" s="3063"/>
      <c r="G169" s="3063"/>
      <c r="H169" s="2963"/>
      <c r="I169" s="2914">
        <f>VLOOKUP(AC2,KI3_BIRapot,24,FALSE)</f>
        <v>0</v>
      </c>
      <c r="J169" s="2915"/>
      <c r="K169" s="2914" t="str">
        <f>VLOOKUP(AC2,KI3_BIRapot,25,FALSE)</f>
        <v>D+</v>
      </c>
      <c r="L169" s="2915"/>
      <c r="M169" s="2927" t="str">
        <f>VLOOKUP(AC2,DESGAB_BI,3,FALSE)</f>
        <v xml:space="preserve">    </v>
      </c>
      <c r="N169" s="2928"/>
      <c r="O169" s="2928"/>
      <c r="P169" s="2928"/>
      <c r="Q169" s="2929"/>
      <c r="R169" s="2914">
        <f>VLOOKUP(AC2,KI4_BIrapot,32,FALSE)</f>
        <v>0</v>
      </c>
      <c r="S169" s="2915"/>
      <c r="T169" s="2914" t="str">
        <f>VLOOKUP(AC2,KI4_BIrapot,33,FALSE)</f>
        <v>D+</v>
      </c>
      <c r="U169" s="2915"/>
      <c r="V169" s="2927" t="str">
        <f>VLOOKUP(AC2,DESGAB_BI,4,FALSE)</f>
        <v xml:space="preserve">    </v>
      </c>
      <c r="W169" s="2928"/>
      <c r="X169" s="2928"/>
      <c r="Y169" s="2928"/>
      <c r="Z169" s="2929"/>
      <c r="AA169" s="1721"/>
      <c r="AB169" s="1706"/>
      <c r="AC169" s="1706"/>
      <c r="AD169" s="1706"/>
      <c r="AE169" s="1706"/>
      <c r="AF169" s="1706"/>
      <c r="AG169" s="1706"/>
      <c r="AH169" s="1706"/>
      <c r="AI169" s="1706"/>
    </row>
    <row r="170" spans="1:35" x14ac:dyDescent="0.2">
      <c r="A170" s="2964"/>
      <c r="B170" s="2965"/>
      <c r="C170" s="2964"/>
      <c r="D170" s="3064"/>
      <c r="E170" s="3064"/>
      <c r="F170" s="3064"/>
      <c r="G170" s="3064"/>
      <c r="H170" s="2965"/>
      <c r="I170" s="2916"/>
      <c r="J170" s="2917"/>
      <c r="K170" s="2916"/>
      <c r="L170" s="2917"/>
      <c r="M170" s="2930"/>
      <c r="N170" s="2931"/>
      <c r="O170" s="2931"/>
      <c r="P170" s="2931"/>
      <c r="Q170" s="2932"/>
      <c r="R170" s="2916"/>
      <c r="S170" s="2917"/>
      <c r="T170" s="2916"/>
      <c r="U170" s="2917"/>
      <c r="V170" s="2930"/>
      <c r="W170" s="2931"/>
      <c r="X170" s="2931"/>
      <c r="Y170" s="2931"/>
      <c r="Z170" s="2932"/>
      <c r="AA170" s="1721"/>
      <c r="AB170" s="1706"/>
      <c r="AC170" s="1706"/>
      <c r="AD170" s="1706"/>
      <c r="AE170" s="1706"/>
      <c r="AF170" s="1706"/>
      <c r="AG170" s="1706"/>
      <c r="AH170" s="1706"/>
      <c r="AI170" s="1706"/>
    </row>
    <row r="171" spans="1:35" x14ac:dyDescent="0.2">
      <c r="A171" s="2964"/>
      <c r="B171" s="2965"/>
      <c r="C171" s="2964"/>
      <c r="D171" s="3064"/>
      <c r="E171" s="3064"/>
      <c r="F171" s="3064"/>
      <c r="G171" s="3064"/>
      <c r="H171" s="2965"/>
      <c r="I171" s="2916"/>
      <c r="J171" s="2917"/>
      <c r="K171" s="2916"/>
      <c r="L171" s="2917"/>
      <c r="M171" s="2930"/>
      <c r="N171" s="2931"/>
      <c r="O171" s="2931"/>
      <c r="P171" s="2931"/>
      <c r="Q171" s="2932"/>
      <c r="R171" s="2916"/>
      <c r="S171" s="2917"/>
      <c r="T171" s="2916"/>
      <c r="U171" s="2917"/>
      <c r="V171" s="2930"/>
      <c r="W171" s="2931"/>
      <c r="X171" s="2931"/>
      <c r="Y171" s="2931"/>
      <c r="Z171" s="2932"/>
      <c r="AA171" s="1721"/>
      <c r="AB171" s="1706"/>
      <c r="AC171" s="1706"/>
      <c r="AD171" s="1706"/>
      <c r="AE171" s="1706"/>
      <c r="AF171" s="1706"/>
      <c r="AG171" s="1706"/>
      <c r="AH171" s="1706"/>
      <c r="AI171" s="1706"/>
    </row>
    <row r="172" spans="1:35" x14ac:dyDescent="0.2">
      <c r="A172" s="2964"/>
      <c r="B172" s="2965"/>
      <c r="C172" s="2964"/>
      <c r="D172" s="3064"/>
      <c r="E172" s="3064"/>
      <c r="F172" s="3064"/>
      <c r="G172" s="3064"/>
      <c r="H172" s="2965"/>
      <c r="I172" s="2916"/>
      <c r="J172" s="2917"/>
      <c r="K172" s="2916"/>
      <c r="L172" s="2917"/>
      <c r="M172" s="2930"/>
      <c r="N172" s="2931"/>
      <c r="O172" s="2931"/>
      <c r="P172" s="2931"/>
      <c r="Q172" s="2932"/>
      <c r="R172" s="2916"/>
      <c r="S172" s="2917"/>
      <c r="T172" s="2916"/>
      <c r="U172" s="2917"/>
      <c r="V172" s="2930"/>
      <c r="W172" s="2931"/>
      <c r="X172" s="2931"/>
      <c r="Y172" s="2931"/>
      <c r="Z172" s="2932"/>
      <c r="AA172" s="1721"/>
      <c r="AB172" s="1706"/>
      <c r="AC172" s="1706"/>
      <c r="AD172" s="1706"/>
      <c r="AE172" s="1706"/>
      <c r="AF172" s="1706"/>
      <c r="AG172" s="1706"/>
      <c r="AH172" s="1706"/>
      <c r="AI172" s="1706"/>
    </row>
    <row r="173" spans="1:35" x14ac:dyDescent="0.2">
      <c r="A173" s="2964"/>
      <c r="B173" s="2965"/>
      <c r="C173" s="2964"/>
      <c r="D173" s="3064"/>
      <c r="E173" s="3064"/>
      <c r="F173" s="3064"/>
      <c r="G173" s="3064"/>
      <c r="H173" s="2965"/>
      <c r="I173" s="2916"/>
      <c r="J173" s="2917"/>
      <c r="K173" s="2916"/>
      <c r="L173" s="2917"/>
      <c r="M173" s="2930"/>
      <c r="N173" s="2931"/>
      <c r="O173" s="2931"/>
      <c r="P173" s="2931"/>
      <c r="Q173" s="2932"/>
      <c r="R173" s="2916"/>
      <c r="S173" s="2917"/>
      <c r="T173" s="2916"/>
      <c r="U173" s="2917"/>
      <c r="V173" s="2930"/>
      <c r="W173" s="2931"/>
      <c r="X173" s="2931"/>
      <c r="Y173" s="2931"/>
      <c r="Z173" s="2932"/>
      <c r="AA173" s="1721"/>
      <c r="AB173" s="1706"/>
      <c r="AC173" s="1706"/>
      <c r="AD173" s="1706"/>
      <c r="AE173" s="1706"/>
      <c r="AF173" s="1706"/>
      <c r="AG173" s="1706"/>
      <c r="AH173" s="1706"/>
      <c r="AI173" s="1706"/>
    </row>
    <row r="174" spans="1:35" x14ac:dyDescent="0.2">
      <c r="A174" s="2964"/>
      <c r="B174" s="2965"/>
      <c r="C174" s="2964"/>
      <c r="D174" s="3064"/>
      <c r="E174" s="3064"/>
      <c r="F174" s="3064"/>
      <c r="G174" s="3064"/>
      <c r="H174" s="2965"/>
      <c r="I174" s="2916"/>
      <c r="J174" s="2917"/>
      <c r="K174" s="2916"/>
      <c r="L174" s="2917"/>
      <c r="M174" s="2930"/>
      <c r="N174" s="2931"/>
      <c r="O174" s="2931"/>
      <c r="P174" s="2931"/>
      <c r="Q174" s="2932"/>
      <c r="R174" s="2916"/>
      <c r="S174" s="2917"/>
      <c r="T174" s="2916"/>
      <c r="U174" s="2917"/>
      <c r="V174" s="2930"/>
      <c r="W174" s="2931"/>
      <c r="X174" s="2931"/>
      <c r="Y174" s="2931"/>
      <c r="Z174" s="2932"/>
      <c r="AA174" s="1721"/>
      <c r="AB174" s="1706"/>
      <c r="AC174" s="1706"/>
      <c r="AD174" s="1706"/>
      <c r="AE174" s="1706"/>
      <c r="AF174" s="1706"/>
      <c r="AG174" s="1706"/>
      <c r="AH174" s="1706"/>
      <c r="AI174" s="1706"/>
    </row>
    <row r="175" spans="1:35" x14ac:dyDescent="0.2">
      <c r="A175" s="2964"/>
      <c r="B175" s="2965"/>
      <c r="C175" s="2964"/>
      <c r="D175" s="3064"/>
      <c r="E175" s="3064"/>
      <c r="F175" s="3064"/>
      <c r="G175" s="3064"/>
      <c r="H175" s="2965"/>
      <c r="I175" s="2916"/>
      <c r="J175" s="2917"/>
      <c r="K175" s="2916"/>
      <c r="L175" s="2917"/>
      <c r="M175" s="2930"/>
      <c r="N175" s="2931"/>
      <c r="O175" s="2931"/>
      <c r="P175" s="2931"/>
      <c r="Q175" s="2932"/>
      <c r="R175" s="2916"/>
      <c r="S175" s="2917"/>
      <c r="T175" s="2916"/>
      <c r="U175" s="2917"/>
      <c r="V175" s="2930"/>
      <c r="W175" s="2931"/>
      <c r="X175" s="2931"/>
      <c r="Y175" s="2931"/>
      <c r="Z175" s="2932"/>
      <c r="AA175" s="1721"/>
      <c r="AB175" s="1706"/>
      <c r="AC175" s="1706"/>
      <c r="AD175" s="1706"/>
      <c r="AE175" s="1706"/>
      <c r="AF175" s="1706"/>
      <c r="AG175" s="1706"/>
      <c r="AH175" s="1706"/>
      <c r="AI175" s="1706"/>
    </row>
    <row r="176" spans="1:35" x14ac:dyDescent="0.2">
      <c r="A176" s="2964"/>
      <c r="B176" s="2965"/>
      <c r="C176" s="2964"/>
      <c r="D176" s="3064"/>
      <c r="E176" s="3064"/>
      <c r="F176" s="3064"/>
      <c r="G176" s="3064"/>
      <c r="H176" s="2965"/>
      <c r="I176" s="2916"/>
      <c r="J176" s="2917"/>
      <c r="K176" s="2916"/>
      <c r="L176" s="2917"/>
      <c r="M176" s="2930"/>
      <c r="N176" s="2931"/>
      <c r="O176" s="2931"/>
      <c r="P176" s="2931"/>
      <c r="Q176" s="2932"/>
      <c r="R176" s="2916"/>
      <c r="S176" s="2917"/>
      <c r="T176" s="2916"/>
      <c r="U176" s="2917"/>
      <c r="V176" s="2930"/>
      <c r="W176" s="2931"/>
      <c r="X176" s="2931"/>
      <c r="Y176" s="2931"/>
      <c r="Z176" s="2932"/>
      <c r="AA176" s="1721"/>
      <c r="AB176" s="1706"/>
      <c r="AC176" s="1706"/>
      <c r="AD176" s="1706"/>
      <c r="AE176" s="1706"/>
      <c r="AF176" s="1706"/>
      <c r="AG176" s="1706"/>
      <c r="AH176" s="1706"/>
      <c r="AI176" s="1706"/>
    </row>
    <row r="177" spans="1:35" x14ac:dyDescent="0.2">
      <c r="A177" s="2964"/>
      <c r="B177" s="2965"/>
      <c r="C177" s="2964"/>
      <c r="D177" s="3064"/>
      <c r="E177" s="3064"/>
      <c r="F177" s="3064"/>
      <c r="G177" s="3064"/>
      <c r="H177" s="2965"/>
      <c r="I177" s="2916"/>
      <c r="J177" s="2917"/>
      <c r="K177" s="2916"/>
      <c r="L177" s="2917"/>
      <c r="M177" s="2930"/>
      <c r="N177" s="2931"/>
      <c r="O177" s="2931"/>
      <c r="P177" s="2931"/>
      <c r="Q177" s="2932"/>
      <c r="R177" s="2916"/>
      <c r="S177" s="2917"/>
      <c r="T177" s="2916"/>
      <c r="U177" s="2917"/>
      <c r="V177" s="2930"/>
      <c r="W177" s="2931"/>
      <c r="X177" s="2931"/>
      <c r="Y177" s="2931"/>
      <c r="Z177" s="2932"/>
      <c r="AA177" s="1721"/>
      <c r="AB177" s="1706"/>
      <c r="AC177" s="1706"/>
      <c r="AD177" s="1706"/>
      <c r="AE177" s="1706"/>
      <c r="AF177" s="1706"/>
      <c r="AG177" s="1706"/>
      <c r="AH177" s="1706"/>
      <c r="AI177" s="1706"/>
    </row>
    <row r="178" spans="1:35" x14ac:dyDescent="0.2">
      <c r="A178" s="2964"/>
      <c r="B178" s="2965"/>
      <c r="C178" s="2964"/>
      <c r="D178" s="3064"/>
      <c r="E178" s="3064"/>
      <c r="F178" s="3064"/>
      <c r="G178" s="3064"/>
      <c r="H178" s="2965"/>
      <c r="I178" s="2916"/>
      <c r="J178" s="2917"/>
      <c r="K178" s="2916"/>
      <c r="L178" s="2917"/>
      <c r="M178" s="2930"/>
      <c r="N178" s="2931"/>
      <c r="O178" s="2931"/>
      <c r="P178" s="2931"/>
      <c r="Q178" s="2932"/>
      <c r="R178" s="2916"/>
      <c r="S178" s="2917"/>
      <c r="T178" s="2916"/>
      <c r="U178" s="2917"/>
      <c r="V178" s="2930"/>
      <c r="W178" s="2931"/>
      <c r="X178" s="2931"/>
      <c r="Y178" s="2931"/>
      <c r="Z178" s="2932"/>
      <c r="AA178" s="1721"/>
      <c r="AB178" s="1706"/>
      <c r="AC178" s="1706"/>
      <c r="AD178" s="1706"/>
      <c r="AE178" s="1706"/>
      <c r="AF178" s="1706"/>
      <c r="AG178" s="1706"/>
      <c r="AH178" s="1706"/>
      <c r="AI178" s="1706"/>
    </row>
    <row r="179" spans="1:35" x14ac:dyDescent="0.2">
      <c r="A179" s="2964"/>
      <c r="B179" s="2965"/>
      <c r="C179" s="2964"/>
      <c r="D179" s="3064"/>
      <c r="E179" s="3064"/>
      <c r="F179" s="3064"/>
      <c r="G179" s="3064"/>
      <c r="H179" s="2965"/>
      <c r="I179" s="2916"/>
      <c r="J179" s="2917"/>
      <c r="K179" s="2916"/>
      <c r="L179" s="2917"/>
      <c r="M179" s="2930"/>
      <c r="N179" s="2931"/>
      <c r="O179" s="2931"/>
      <c r="P179" s="2931"/>
      <c r="Q179" s="2932"/>
      <c r="R179" s="2916"/>
      <c r="S179" s="2917"/>
      <c r="T179" s="2916"/>
      <c r="U179" s="2917"/>
      <c r="V179" s="2930"/>
      <c r="W179" s="2931"/>
      <c r="X179" s="2931"/>
      <c r="Y179" s="2931"/>
      <c r="Z179" s="2932"/>
      <c r="AA179" s="1721"/>
      <c r="AB179" s="1706"/>
      <c r="AC179" s="1706"/>
      <c r="AD179" s="1706"/>
      <c r="AE179" s="1706"/>
      <c r="AF179" s="1706"/>
      <c r="AG179" s="1706"/>
      <c r="AH179" s="1706"/>
      <c r="AI179" s="1706"/>
    </row>
    <row r="180" spans="1:35" x14ac:dyDescent="0.2">
      <c r="A180" s="2964"/>
      <c r="B180" s="2965"/>
      <c r="C180" s="2964"/>
      <c r="D180" s="3064"/>
      <c r="E180" s="3064"/>
      <c r="F180" s="3064"/>
      <c r="G180" s="3064"/>
      <c r="H180" s="2965"/>
      <c r="I180" s="2916"/>
      <c r="J180" s="2917"/>
      <c r="K180" s="2916"/>
      <c r="L180" s="2917"/>
      <c r="M180" s="2930"/>
      <c r="N180" s="2931"/>
      <c r="O180" s="2931"/>
      <c r="P180" s="2931"/>
      <c r="Q180" s="2932"/>
      <c r="R180" s="2916"/>
      <c r="S180" s="2917"/>
      <c r="T180" s="2916"/>
      <c r="U180" s="2917"/>
      <c r="V180" s="2930"/>
      <c r="W180" s="2931"/>
      <c r="X180" s="2931"/>
      <c r="Y180" s="2931"/>
      <c r="Z180" s="2932"/>
      <c r="AA180" s="1721"/>
      <c r="AB180" s="1706"/>
      <c r="AC180" s="1706"/>
      <c r="AD180" s="1706"/>
      <c r="AE180" s="1706"/>
      <c r="AF180" s="1706"/>
      <c r="AG180" s="1706"/>
      <c r="AH180" s="1706"/>
      <c r="AI180" s="1706"/>
    </row>
    <row r="181" spans="1:35" x14ac:dyDescent="0.2">
      <c r="A181" s="2964"/>
      <c r="B181" s="2965"/>
      <c r="C181" s="2964"/>
      <c r="D181" s="3064"/>
      <c r="E181" s="3064"/>
      <c r="F181" s="3064"/>
      <c r="G181" s="3064"/>
      <c r="H181" s="2965"/>
      <c r="I181" s="2916"/>
      <c r="J181" s="2917"/>
      <c r="K181" s="2916"/>
      <c r="L181" s="2917"/>
      <c r="M181" s="2930"/>
      <c r="N181" s="2931"/>
      <c r="O181" s="2931"/>
      <c r="P181" s="2931"/>
      <c r="Q181" s="2932"/>
      <c r="R181" s="2916"/>
      <c r="S181" s="2917"/>
      <c r="T181" s="2916"/>
      <c r="U181" s="2917"/>
      <c r="V181" s="2930"/>
      <c r="W181" s="2931"/>
      <c r="X181" s="2931"/>
      <c r="Y181" s="2931"/>
      <c r="Z181" s="2932"/>
      <c r="AA181" s="1721"/>
      <c r="AB181" s="1706"/>
      <c r="AC181" s="1706"/>
      <c r="AD181" s="1706"/>
      <c r="AE181" s="1706"/>
      <c r="AF181" s="1706"/>
      <c r="AG181" s="1706"/>
      <c r="AH181" s="1706"/>
      <c r="AI181" s="1706"/>
    </row>
    <row r="182" spans="1:35" x14ac:dyDescent="0.2">
      <c r="A182" s="2964"/>
      <c r="B182" s="2965"/>
      <c r="C182" s="2964"/>
      <c r="D182" s="3064"/>
      <c r="E182" s="3064"/>
      <c r="F182" s="3064"/>
      <c r="G182" s="3064"/>
      <c r="H182" s="2965"/>
      <c r="I182" s="2916"/>
      <c r="J182" s="2917"/>
      <c r="K182" s="2916"/>
      <c r="L182" s="2917"/>
      <c r="M182" s="2930"/>
      <c r="N182" s="2931"/>
      <c r="O182" s="2931"/>
      <c r="P182" s="2931"/>
      <c r="Q182" s="2932"/>
      <c r="R182" s="2916"/>
      <c r="S182" s="2917"/>
      <c r="T182" s="2916"/>
      <c r="U182" s="2917"/>
      <c r="V182" s="2930"/>
      <c r="W182" s="2931"/>
      <c r="X182" s="2931"/>
      <c r="Y182" s="2931"/>
      <c r="Z182" s="2932"/>
      <c r="AA182" s="1721"/>
      <c r="AB182" s="1706"/>
      <c r="AC182" s="1706"/>
      <c r="AD182" s="1706"/>
      <c r="AE182" s="1706"/>
      <c r="AF182" s="1706"/>
      <c r="AG182" s="1706"/>
      <c r="AH182" s="1706"/>
      <c r="AI182" s="1706"/>
    </row>
    <row r="183" spans="1:35" x14ac:dyDescent="0.2">
      <c r="A183" s="2964"/>
      <c r="B183" s="2965"/>
      <c r="C183" s="2964"/>
      <c r="D183" s="3064"/>
      <c r="E183" s="3064"/>
      <c r="F183" s="3064"/>
      <c r="G183" s="3064"/>
      <c r="H183" s="2965"/>
      <c r="I183" s="2916"/>
      <c r="J183" s="2917"/>
      <c r="K183" s="2916"/>
      <c r="L183" s="2917"/>
      <c r="M183" s="2930"/>
      <c r="N183" s="2931"/>
      <c r="O183" s="2931"/>
      <c r="P183" s="2931"/>
      <c r="Q183" s="2932"/>
      <c r="R183" s="2916"/>
      <c r="S183" s="2917"/>
      <c r="T183" s="2916"/>
      <c r="U183" s="2917"/>
      <c r="V183" s="2930"/>
      <c r="W183" s="2931"/>
      <c r="X183" s="2931"/>
      <c r="Y183" s="2931"/>
      <c r="Z183" s="2932"/>
      <c r="AA183" s="1721"/>
      <c r="AB183" s="1706"/>
      <c r="AC183" s="1706"/>
      <c r="AD183" s="1706"/>
      <c r="AE183" s="1706"/>
      <c r="AF183" s="1706"/>
      <c r="AG183" s="1706"/>
      <c r="AH183" s="1706"/>
      <c r="AI183" s="1706"/>
    </row>
    <row r="184" spans="1:35" x14ac:dyDescent="0.2">
      <c r="A184" s="2964"/>
      <c r="B184" s="2965"/>
      <c r="C184" s="2964"/>
      <c r="D184" s="3064"/>
      <c r="E184" s="3064"/>
      <c r="F184" s="3064"/>
      <c r="G184" s="3064"/>
      <c r="H184" s="2965"/>
      <c r="I184" s="2916"/>
      <c r="J184" s="2917"/>
      <c r="K184" s="2916"/>
      <c r="L184" s="2917"/>
      <c r="M184" s="2930"/>
      <c r="N184" s="2931"/>
      <c r="O184" s="2931"/>
      <c r="P184" s="2931"/>
      <c r="Q184" s="2932"/>
      <c r="R184" s="2916"/>
      <c r="S184" s="2917"/>
      <c r="T184" s="2916"/>
      <c r="U184" s="2917"/>
      <c r="V184" s="2930"/>
      <c r="W184" s="2931"/>
      <c r="X184" s="2931"/>
      <c r="Y184" s="2931"/>
      <c r="Z184" s="2932"/>
      <c r="AA184" s="1721"/>
      <c r="AB184" s="1706"/>
      <c r="AC184" s="1706"/>
      <c r="AD184" s="1706"/>
      <c r="AE184" s="1706"/>
      <c r="AF184" s="1706"/>
      <c r="AG184" s="1706"/>
      <c r="AH184" s="1706"/>
      <c r="AI184" s="1706"/>
    </row>
    <row r="185" spans="1:35" x14ac:dyDescent="0.2">
      <c r="A185" s="2964"/>
      <c r="B185" s="2965"/>
      <c r="C185" s="2964"/>
      <c r="D185" s="3064"/>
      <c r="E185" s="3064"/>
      <c r="F185" s="3064"/>
      <c r="G185" s="3064"/>
      <c r="H185" s="2965"/>
      <c r="I185" s="2916"/>
      <c r="J185" s="2917"/>
      <c r="K185" s="2916"/>
      <c r="L185" s="2917"/>
      <c r="M185" s="2930"/>
      <c r="N185" s="2931"/>
      <c r="O185" s="2931"/>
      <c r="P185" s="2931"/>
      <c r="Q185" s="2932"/>
      <c r="R185" s="2916"/>
      <c r="S185" s="2917"/>
      <c r="T185" s="2916"/>
      <c r="U185" s="2917"/>
      <c r="V185" s="2930"/>
      <c r="W185" s="2931"/>
      <c r="X185" s="2931"/>
      <c r="Y185" s="2931"/>
      <c r="Z185" s="2932"/>
      <c r="AA185" s="1721"/>
      <c r="AB185" s="1706"/>
      <c r="AC185" s="1706"/>
      <c r="AD185" s="1706"/>
      <c r="AE185" s="1706"/>
      <c r="AF185" s="1706"/>
      <c r="AG185" s="1706"/>
      <c r="AH185" s="1706"/>
      <c r="AI185" s="1706"/>
    </row>
    <row r="186" spans="1:35" x14ac:dyDescent="0.2">
      <c r="A186" s="2964"/>
      <c r="B186" s="2965"/>
      <c r="C186" s="2964"/>
      <c r="D186" s="3064"/>
      <c r="E186" s="3064"/>
      <c r="F186" s="3064"/>
      <c r="G186" s="3064"/>
      <c r="H186" s="2965"/>
      <c r="I186" s="2916"/>
      <c r="J186" s="2917"/>
      <c r="K186" s="2916"/>
      <c r="L186" s="2917"/>
      <c r="M186" s="2930"/>
      <c r="N186" s="2931"/>
      <c r="O186" s="2931"/>
      <c r="P186" s="2931"/>
      <c r="Q186" s="2932"/>
      <c r="R186" s="2916"/>
      <c r="S186" s="2917"/>
      <c r="T186" s="2916"/>
      <c r="U186" s="2917"/>
      <c r="V186" s="2930"/>
      <c r="W186" s="2931"/>
      <c r="X186" s="2931"/>
      <c r="Y186" s="2931"/>
      <c r="Z186" s="2932"/>
      <c r="AA186" s="1721"/>
      <c r="AB186" s="1706"/>
      <c r="AC186" s="1706"/>
      <c r="AD186" s="1706"/>
      <c r="AE186" s="1706"/>
      <c r="AF186" s="1706"/>
      <c r="AG186" s="1706"/>
      <c r="AH186" s="1706"/>
      <c r="AI186" s="1706"/>
    </row>
    <row r="187" spans="1:35" x14ac:dyDescent="0.2">
      <c r="A187" s="2964"/>
      <c r="B187" s="2965"/>
      <c r="C187" s="2964"/>
      <c r="D187" s="3064"/>
      <c r="E187" s="3064"/>
      <c r="F187" s="3064"/>
      <c r="G187" s="3064"/>
      <c r="H187" s="2965"/>
      <c r="I187" s="2916"/>
      <c r="J187" s="2917"/>
      <c r="K187" s="2916"/>
      <c r="L187" s="2917"/>
      <c r="M187" s="2930"/>
      <c r="N187" s="2931"/>
      <c r="O187" s="2931"/>
      <c r="P187" s="2931"/>
      <c r="Q187" s="2932"/>
      <c r="R187" s="2916"/>
      <c r="S187" s="2917"/>
      <c r="T187" s="2916"/>
      <c r="U187" s="2917"/>
      <c r="V187" s="2930"/>
      <c r="W187" s="2931"/>
      <c r="X187" s="2931"/>
      <c r="Y187" s="2931"/>
      <c r="Z187" s="2932"/>
      <c r="AA187" s="1721"/>
      <c r="AB187" s="1706"/>
      <c r="AC187" s="1706"/>
      <c r="AD187" s="1706"/>
      <c r="AE187" s="1706"/>
      <c r="AF187" s="1706"/>
      <c r="AG187" s="1706"/>
      <c r="AH187" s="1706"/>
      <c r="AI187" s="1706"/>
    </row>
    <row r="188" spans="1:35" x14ac:dyDescent="0.2">
      <c r="A188" s="2964"/>
      <c r="B188" s="2965"/>
      <c r="C188" s="2964"/>
      <c r="D188" s="3064"/>
      <c r="E188" s="3064"/>
      <c r="F188" s="3064"/>
      <c r="G188" s="3064"/>
      <c r="H188" s="2965"/>
      <c r="I188" s="2916"/>
      <c r="J188" s="2917"/>
      <c r="K188" s="2916"/>
      <c r="L188" s="2917"/>
      <c r="M188" s="2930"/>
      <c r="N188" s="2931"/>
      <c r="O188" s="2931"/>
      <c r="P188" s="2931"/>
      <c r="Q188" s="2932"/>
      <c r="R188" s="2916"/>
      <c r="S188" s="2917"/>
      <c r="T188" s="2916"/>
      <c r="U188" s="2917"/>
      <c r="V188" s="2930"/>
      <c r="W188" s="2931"/>
      <c r="X188" s="2931"/>
      <c r="Y188" s="2931"/>
      <c r="Z188" s="2932"/>
      <c r="AA188" s="1721"/>
      <c r="AB188" s="1706"/>
      <c r="AC188" s="1706"/>
      <c r="AD188" s="1706"/>
      <c r="AE188" s="1706"/>
      <c r="AF188" s="1706"/>
      <c r="AG188" s="1706"/>
      <c r="AH188" s="1706"/>
      <c r="AI188" s="1706"/>
    </row>
    <row r="189" spans="1:35" x14ac:dyDescent="0.2">
      <c r="A189" s="2964"/>
      <c r="B189" s="2965"/>
      <c r="C189" s="2964"/>
      <c r="D189" s="3064"/>
      <c r="E189" s="3064"/>
      <c r="F189" s="3064"/>
      <c r="G189" s="3064"/>
      <c r="H189" s="2965"/>
      <c r="I189" s="2916"/>
      <c r="J189" s="2917"/>
      <c r="K189" s="2916"/>
      <c r="L189" s="2917"/>
      <c r="M189" s="2930"/>
      <c r="N189" s="2931"/>
      <c r="O189" s="2931"/>
      <c r="P189" s="2931"/>
      <c r="Q189" s="2932"/>
      <c r="R189" s="2916"/>
      <c r="S189" s="2917"/>
      <c r="T189" s="2916"/>
      <c r="U189" s="2917"/>
      <c r="V189" s="2930"/>
      <c r="W189" s="2931"/>
      <c r="X189" s="2931"/>
      <c r="Y189" s="2931"/>
      <c r="Z189" s="2932"/>
      <c r="AA189" s="1721"/>
      <c r="AB189" s="1706"/>
      <c r="AC189" s="1706"/>
      <c r="AD189" s="1706"/>
      <c r="AE189" s="1706"/>
      <c r="AF189" s="1706"/>
      <c r="AG189" s="1706"/>
      <c r="AH189" s="1706"/>
      <c r="AI189" s="1706"/>
    </row>
    <row r="190" spans="1:35" x14ac:dyDescent="0.2">
      <c r="A190" s="2964"/>
      <c r="B190" s="2965"/>
      <c r="C190" s="2964"/>
      <c r="D190" s="3064"/>
      <c r="E190" s="3064"/>
      <c r="F190" s="3064"/>
      <c r="G190" s="3064"/>
      <c r="H190" s="2965"/>
      <c r="I190" s="2916"/>
      <c r="J190" s="2917"/>
      <c r="K190" s="2916"/>
      <c r="L190" s="2917"/>
      <c r="M190" s="2930"/>
      <c r="N190" s="2931"/>
      <c r="O190" s="2931"/>
      <c r="P190" s="2931"/>
      <c r="Q190" s="2932"/>
      <c r="R190" s="2916"/>
      <c r="S190" s="2917"/>
      <c r="T190" s="2916"/>
      <c r="U190" s="2917"/>
      <c r="V190" s="2930"/>
      <c r="W190" s="2931"/>
      <c r="X190" s="2931"/>
      <c r="Y190" s="2931"/>
      <c r="Z190" s="2932"/>
      <c r="AA190" s="1721"/>
      <c r="AB190" s="1706"/>
      <c r="AC190" s="1706"/>
      <c r="AD190" s="1706"/>
      <c r="AE190" s="1706"/>
      <c r="AF190" s="1706"/>
      <c r="AG190" s="1706"/>
      <c r="AH190" s="1706"/>
      <c r="AI190" s="1706"/>
    </row>
    <row r="191" spans="1:35" x14ac:dyDescent="0.2">
      <c r="A191" s="2964"/>
      <c r="B191" s="2965"/>
      <c r="C191" s="2964"/>
      <c r="D191" s="3064"/>
      <c r="E191" s="3064"/>
      <c r="F191" s="3064"/>
      <c r="G191" s="3064"/>
      <c r="H191" s="2965"/>
      <c r="I191" s="2916"/>
      <c r="J191" s="2917"/>
      <c r="K191" s="2916"/>
      <c r="L191" s="2917"/>
      <c r="M191" s="2930"/>
      <c r="N191" s="2931"/>
      <c r="O191" s="2931"/>
      <c r="P191" s="2931"/>
      <c r="Q191" s="2932"/>
      <c r="R191" s="2916"/>
      <c r="S191" s="2917"/>
      <c r="T191" s="2916"/>
      <c r="U191" s="2917"/>
      <c r="V191" s="2930"/>
      <c r="W191" s="2931"/>
      <c r="X191" s="2931"/>
      <c r="Y191" s="2931"/>
      <c r="Z191" s="2932"/>
      <c r="AA191" s="1721"/>
      <c r="AB191" s="1706"/>
      <c r="AC191" s="1706"/>
      <c r="AD191" s="1706"/>
      <c r="AE191" s="1706"/>
      <c r="AF191" s="1706"/>
      <c r="AG191" s="1706"/>
      <c r="AH191" s="1706"/>
      <c r="AI191" s="1706"/>
    </row>
    <row r="192" spans="1:35" x14ac:dyDescent="0.2">
      <c r="A192" s="2964"/>
      <c r="B192" s="2965"/>
      <c r="C192" s="2964"/>
      <c r="D192" s="3064"/>
      <c r="E192" s="3064"/>
      <c r="F192" s="3064"/>
      <c r="G192" s="3064"/>
      <c r="H192" s="2965"/>
      <c r="I192" s="2916"/>
      <c r="J192" s="2917"/>
      <c r="K192" s="2916"/>
      <c r="L192" s="2917"/>
      <c r="M192" s="2930"/>
      <c r="N192" s="2931"/>
      <c r="O192" s="2931"/>
      <c r="P192" s="2931"/>
      <c r="Q192" s="2932"/>
      <c r="R192" s="2916"/>
      <c r="S192" s="2917"/>
      <c r="T192" s="2916"/>
      <c r="U192" s="2917"/>
      <c r="V192" s="2930"/>
      <c r="W192" s="2931"/>
      <c r="X192" s="2931"/>
      <c r="Y192" s="2931"/>
      <c r="Z192" s="2932"/>
      <c r="AA192" s="1721"/>
      <c r="AB192" s="1706"/>
      <c r="AC192" s="1706"/>
      <c r="AD192" s="1706"/>
      <c r="AE192" s="1706"/>
      <c r="AF192" s="1706"/>
      <c r="AG192" s="1706"/>
      <c r="AH192" s="1706"/>
      <c r="AI192" s="1706"/>
    </row>
    <row r="193" spans="1:37" x14ac:dyDescent="0.2">
      <c r="A193" s="2964"/>
      <c r="B193" s="2965"/>
      <c r="C193" s="2964"/>
      <c r="D193" s="3064"/>
      <c r="E193" s="3064"/>
      <c r="F193" s="3064"/>
      <c r="G193" s="3064"/>
      <c r="H193" s="2965"/>
      <c r="I193" s="2916"/>
      <c r="J193" s="2917"/>
      <c r="K193" s="2916"/>
      <c r="L193" s="2917"/>
      <c r="M193" s="2930"/>
      <c r="N193" s="2931"/>
      <c r="O193" s="2931"/>
      <c r="P193" s="2931"/>
      <c r="Q193" s="2932"/>
      <c r="R193" s="2916"/>
      <c r="S193" s="2917"/>
      <c r="T193" s="2916"/>
      <c r="U193" s="2917"/>
      <c r="V193" s="2930"/>
      <c r="W193" s="2931"/>
      <c r="X193" s="2931"/>
      <c r="Y193" s="2931"/>
      <c r="Z193" s="2932"/>
      <c r="AA193" s="1721"/>
      <c r="AB193" s="1706"/>
      <c r="AC193" s="1706"/>
      <c r="AD193" s="1706"/>
      <c r="AE193" s="1706"/>
      <c r="AF193" s="1706"/>
      <c r="AG193" s="1706"/>
      <c r="AH193" s="1706"/>
      <c r="AI193" s="1706"/>
    </row>
    <row r="194" spans="1:37" x14ac:dyDescent="0.2">
      <c r="A194" s="2964"/>
      <c r="B194" s="2965"/>
      <c r="C194" s="2964"/>
      <c r="D194" s="3064"/>
      <c r="E194" s="3064"/>
      <c r="F194" s="3064"/>
      <c r="G194" s="3064"/>
      <c r="H194" s="2965"/>
      <c r="I194" s="2916"/>
      <c r="J194" s="2917"/>
      <c r="K194" s="2916"/>
      <c r="L194" s="2917"/>
      <c r="M194" s="2930"/>
      <c r="N194" s="2931"/>
      <c r="O194" s="2931"/>
      <c r="P194" s="2931"/>
      <c r="Q194" s="2932"/>
      <c r="R194" s="2916"/>
      <c r="S194" s="2917"/>
      <c r="T194" s="2916"/>
      <c r="U194" s="2917"/>
      <c r="V194" s="2930"/>
      <c r="W194" s="2931"/>
      <c r="X194" s="2931"/>
      <c r="Y194" s="2931"/>
      <c r="Z194" s="2932"/>
      <c r="AA194" s="1721"/>
      <c r="AB194" s="1706"/>
      <c r="AC194" s="1706"/>
      <c r="AD194" s="1706"/>
      <c r="AE194" s="1706"/>
      <c r="AF194" s="1706"/>
      <c r="AG194" s="1706"/>
      <c r="AH194" s="1706"/>
      <c r="AI194" s="1706"/>
    </row>
    <row r="195" spans="1:37" x14ac:dyDescent="0.2">
      <c r="A195" s="2964"/>
      <c r="B195" s="2965"/>
      <c r="C195" s="2964"/>
      <c r="D195" s="3064"/>
      <c r="E195" s="3064"/>
      <c r="F195" s="3064"/>
      <c r="G195" s="3064"/>
      <c r="H195" s="2965"/>
      <c r="I195" s="2916"/>
      <c r="J195" s="2917"/>
      <c r="K195" s="2916"/>
      <c r="L195" s="2917"/>
      <c r="M195" s="2930"/>
      <c r="N195" s="2931"/>
      <c r="O195" s="2931"/>
      <c r="P195" s="2931"/>
      <c r="Q195" s="2932"/>
      <c r="R195" s="2916"/>
      <c r="S195" s="2917"/>
      <c r="T195" s="2916"/>
      <c r="U195" s="2917"/>
      <c r="V195" s="2930"/>
      <c r="W195" s="2931"/>
      <c r="X195" s="2931"/>
      <c r="Y195" s="2931"/>
      <c r="Z195" s="2932"/>
      <c r="AA195" s="1721"/>
      <c r="AB195" s="1706"/>
      <c r="AC195" s="1706"/>
      <c r="AD195" s="1706"/>
      <c r="AE195" s="1706"/>
      <c r="AF195" s="1706"/>
      <c r="AG195" s="1706"/>
      <c r="AH195" s="1706"/>
      <c r="AI195" s="1706"/>
    </row>
    <row r="196" spans="1:37" x14ac:dyDescent="0.2">
      <c r="A196" s="2964"/>
      <c r="B196" s="2965"/>
      <c r="C196" s="2964"/>
      <c r="D196" s="3064"/>
      <c r="E196" s="3064"/>
      <c r="F196" s="3064"/>
      <c r="G196" s="3064"/>
      <c r="H196" s="2965"/>
      <c r="I196" s="2916"/>
      <c r="J196" s="2917"/>
      <c r="K196" s="2916"/>
      <c r="L196" s="2917"/>
      <c r="M196" s="2930"/>
      <c r="N196" s="2931"/>
      <c r="O196" s="2931"/>
      <c r="P196" s="2931"/>
      <c r="Q196" s="2932"/>
      <c r="R196" s="2916"/>
      <c r="S196" s="2917"/>
      <c r="T196" s="2916"/>
      <c r="U196" s="2917"/>
      <c r="V196" s="2930"/>
      <c r="W196" s="2931"/>
      <c r="X196" s="2931"/>
      <c r="Y196" s="2931"/>
      <c r="Z196" s="2932"/>
      <c r="AA196" s="1721"/>
      <c r="AB196" s="1706"/>
      <c r="AC196" s="1706"/>
      <c r="AD196" s="1706"/>
      <c r="AE196" s="1706"/>
      <c r="AF196" s="1706"/>
      <c r="AG196" s="1706"/>
      <c r="AH196" s="1706"/>
      <c r="AI196" s="1706"/>
    </row>
    <row r="197" spans="1:37" x14ac:dyDescent="0.2">
      <c r="A197" s="2964"/>
      <c r="B197" s="2965"/>
      <c r="C197" s="2964"/>
      <c r="D197" s="3064"/>
      <c r="E197" s="3064"/>
      <c r="F197" s="3064"/>
      <c r="G197" s="3064"/>
      <c r="H197" s="2965"/>
      <c r="I197" s="2916"/>
      <c r="J197" s="2917"/>
      <c r="K197" s="2916"/>
      <c r="L197" s="2917"/>
      <c r="M197" s="2930"/>
      <c r="N197" s="2931"/>
      <c r="O197" s="2931"/>
      <c r="P197" s="2931"/>
      <c r="Q197" s="2932"/>
      <c r="R197" s="2916"/>
      <c r="S197" s="2917"/>
      <c r="T197" s="2916"/>
      <c r="U197" s="2917"/>
      <c r="V197" s="2930"/>
      <c r="W197" s="2931"/>
      <c r="X197" s="2931"/>
      <c r="Y197" s="2931"/>
      <c r="Z197" s="2932"/>
      <c r="AA197" s="1721"/>
      <c r="AB197" s="1706"/>
      <c r="AC197" s="1706"/>
      <c r="AD197" s="1706"/>
      <c r="AE197" s="1706"/>
      <c r="AF197" s="1706"/>
      <c r="AG197" s="1706"/>
      <c r="AH197" s="1706"/>
      <c r="AI197" s="1706"/>
    </row>
    <row r="198" spans="1:37" x14ac:dyDescent="0.2">
      <c r="A198" s="2964"/>
      <c r="B198" s="2965"/>
      <c r="C198" s="2964"/>
      <c r="D198" s="3064"/>
      <c r="E198" s="3064"/>
      <c r="F198" s="3064"/>
      <c r="G198" s="3064"/>
      <c r="H198" s="2965"/>
      <c r="I198" s="2916"/>
      <c r="J198" s="2917"/>
      <c r="K198" s="2916"/>
      <c r="L198" s="2917"/>
      <c r="M198" s="2930"/>
      <c r="N198" s="2931"/>
      <c r="O198" s="2931"/>
      <c r="P198" s="2931"/>
      <c r="Q198" s="2932"/>
      <c r="R198" s="2916"/>
      <c r="S198" s="2917"/>
      <c r="T198" s="2916"/>
      <c r="U198" s="2917"/>
      <c r="V198" s="2930"/>
      <c r="W198" s="2931"/>
      <c r="X198" s="2931"/>
      <c r="Y198" s="2931"/>
      <c r="Z198" s="2932"/>
      <c r="AA198" s="1721"/>
      <c r="AB198" s="1706"/>
      <c r="AC198" s="1706"/>
      <c r="AD198" s="1706"/>
      <c r="AE198" s="1706"/>
      <c r="AF198" s="1706"/>
      <c r="AG198" s="1706"/>
      <c r="AH198" s="1706"/>
      <c r="AI198" s="1706"/>
    </row>
    <row r="199" spans="1:37" x14ac:dyDescent="0.2">
      <c r="A199" s="2964"/>
      <c r="B199" s="2965"/>
      <c r="C199" s="2964"/>
      <c r="D199" s="3064"/>
      <c r="E199" s="3064"/>
      <c r="F199" s="3064"/>
      <c r="G199" s="3064"/>
      <c r="H199" s="2965"/>
      <c r="I199" s="2916"/>
      <c r="J199" s="2917"/>
      <c r="K199" s="2916"/>
      <c r="L199" s="2917"/>
      <c r="M199" s="2930"/>
      <c r="N199" s="2931"/>
      <c r="O199" s="2931"/>
      <c r="P199" s="2931"/>
      <c r="Q199" s="2932"/>
      <c r="R199" s="2916"/>
      <c r="S199" s="2917"/>
      <c r="T199" s="2916"/>
      <c r="U199" s="2917"/>
      <c r="V199" s="2930"/>
      <c r="W199" s="2931"/>
      <c r="X199" s="2931"/>
      <c r="Y199" s="2931"/>
      <c r="Z199" s="2932"/>
      <c r="AA199" s="1721"/>
      <c r="AB199" s="1706"/>
      <c r="AC199" s="1706"/>
      <c r="AD199" s="1706"/>
      <c r="AE199" s="1706"/>
      <c r="AF199" s="1706"/>
      <c r="AG199" s="1706"/>
      <c r="AH199" s="1706"/>
      <c r="AI199" s="1706"/>
    </row>
    <row r="200" spans="1:37" x14ac:dyDescent="0.2">
      <c r="A200" s="2964"/>
      <c r="B200" s="2965"/>
      <c r="C200" s="2964"/>
      <c r="D200" s="3064"/>
      <c r="E200" s="3064"/>
      <c r="F200" s="3064"/>
      <c r="G200" s="3064"/>
      <c r="H200" s="2965"/>
      <c r="I200" s="2916"/>
      <c r="J200" s="2917"/>
      <c r="K200" s="2916"/>
      <c r="L200" s="2917"/>
      <c r="M200" s="2930"/>
      <c r="N200" s="2931"/>
      <c r="O200" s="2931"/>
      <c r="P200" s="2931"/>
      <c r="Q200" s="2932"/>
      <c r="R200" s="2916"/>
      <c r="S200" s="2917"/>
      <c r="T200" s="2916"/>
      <c r="U200" s="2917"/>
      <c r="V200" s="2930"/>
      <c r="W200" s="2931"/>
      <c r="X200" s="2931"/>
      <c r="Y200" s="2931"/>
      <c r="Z200" s="2932"/>
      <c r="AA200" s="1721"/>
      <c r="AB200" s="1706"/>
      <c r="AC200" s="1706"/>
      <c r="AD200" s="1706"/>
      <c r="AE200" s="1706"/>
      <c r="AF200" s="1706"/>
      <c r="AG200" s="1706"/>
      <c r="AH200" s="1706"/>
      <c r="AI200" s="1706"/>
    </row>
    <row r="201" spans="1:37" x14ac:dyDescent="0.2">
      <c r="A201" s="2964"/>
      <c r="B201" s="2965"/>
      <c r="C201" s="2964"/>
      <c r="D201" s="3064"/>
      <c r="E201" s="3064"/>
      <c r="F201" s="3064"/>
      <c r="G201" s="3064"/>
      <c r="H201" s="2965"/>
      <c r="I201" s="2916"/>
      <c r="J201" s="2917"/>
      <c r="K201" s="2916"/>
      <c r="L201" s="2917"/>
      <c r="M201" s="2930"/>
      <c r="N201" s="2931"/>
      <c r="O201" s="2931"/>
      <c r="P201" s="2931"/>
      <c r="Q201" s="2932"/>
      <c r="R201" s="2916"/>
      <c r="S201" s="2917"/>
      <c r="T201" s="2916"/>
      <c r="U201" s="2917"/>
      <c r="V201" s="2930"/>
      <c r="W201" s="2931"/>
      <c r="X201" s="2931"/>
      <c r="Y201" s="2931"/>
      <c r="Z201" s="2932"/>
      <c r="AA201" s="1721"/>
      <c r="AB201" s="1706"/>
      <c r="AC201" s="1706"/>
      <c r="AD201" s="1706"/>
      <c r="AE201" s="1706"/>
      <c r="AF201" s="1706"/>
      <c r="AG201" s="1706"/>
      <c r="AH201" s="1706"/>
      <c r="AI201" s="1706"/>
    </row>
    <row r="202" spans="1:37" x14ac:dyDescent="0.2">
      <c r="A202" s="2964"/>
      <c r="B202" s="2965"/>
      <c r="C202" s="2964"/>
      <c r="D202" s="3064"/>
      <c r="E202" s="3064"/>
      <c r="F202" s="3064"/>
      <c r="G202" s="3064"/>
      <c r="H202" s="2965"/>
      <c r="I202" s="2916"/>
      <c r="J202" s="2917"/>
      <c r="K202" s="2916"/>
      <c r="L202" s="2917"/>
      <c r="M202" s="2930"/>
      <c r="N202" s="2931"/>
      <c r="O202" s="2931"/>
      <c r="P202" s="2931"/>
      <c r="Q202" s="2932"/>
      <c r="R202" s="2916"/>
      <c r="S202" s="2917"/>
      <c r="T202" s="2916"/>
      <c r="U202" s="2917"/>
      <c r="V202" s="2930"/>
      <c r="W202" s="2931"/>
      <c r="X202" s="2931"/>
      <c r="Y202" s="2931"/>
      <c r="Z202" s="2932"/>
      <c r="AA202" s="1721"/>
      <c r="AB202" s="1706"/>
      <c r="AC202" s="1706"/>
      <c r="AD202" s="1706"/>
      <c r="AE202" s="1706"/>
      <c r="AF202" s="1706"/>
      <c r="AG202" s="1706"/>
      <c r="AH202" s="1706"/>
      <c r="AI202" s="1706"/>
    </row>
    <row r="203" spans="1:37" ht="15" customHeight="1" x14ac:dyDescent="0.2">
      <c r="A203" s="2964"/>
      <c r="B203" s="2965"/>
      <c r="C203" s="2964"/>
      <c r="D203" s="3064"/>
      <c r="E203" s="3064"/>
      <c r="F203" s="3064"/>
      <c r="G203" s="3064"/>
      <c r="H203" s="2965"/>
      <c r="I203" s="2916"/>
      <c r="J203" s="2917"/>
      <c r="K203" s="2916"/>
      <c r="L203" s="2917"/>
      <c r="M203" s="2930"/>
      <c r="N203" s="2931"/>
      <c r="O203" s="2931"/>
      <c r="P203" s="2931"/>
      <c r="Q203" s="2932"/>
      <c r="R203" s="2916"/>
      <c r="S203" s="2917"/>
      <c r="T203" s="2916"/>
      <c r="U203" s="2917"/>
      <c r="V203" s="2930"/>
      <c r="W203" s="2931"/>
      <c r="X203" s="2931"/>
      <c r="Y203" s="2931"/>
      <c r="Z203" s="2932"/>
      <c r="AA203" s="1721"/>
      <c r="AB203" s="3005" t="s">
        <v>257</v>
      </c>
      <c r="AC203" s="3005"/>
      <c r="AD203" s="3005"/>
      <c r="AE203" s="3005"/>
      <c r="AF203" s="3005"/>
      <c r="AG203" s="3005"/>
      <c r="AH203" s="3005"/>
      <c r="AI203" s="3005"/>
      <c r="AJ203" s="3005"/>
      <c r="AK203" s="3005"/>
    </row>
    <row r="204" spans="1:37" ht="14.25" customHeight="1" x14ac:dyDescent="0.2">
      <c r="A204" s="2966"/>
      <c r="B204" s="2967"/>
      <c r="C204" s="2966"/>
      <c r="D204" s="3065"/>
      <c r="E204" s="3065"/>
      <c r="F204" s="3065"/>
      <c r="G204" s="3065"/>
      <c r="H204" s="2967"/>
      <c r="I204" s="2918"/>
      <c r="J204" s="2919"/>
      <c r="K204" s="2918"/>
      <c r="L204" s="2919"/>
      <c r="M204" s="2933"/>
      <c r="N204" s="2934"/>
      <c r="O204" s="2934"/>
      <c r="P204" s="2934"/>
      <c r="Q204" s="2935"/>
      <c r="R204" s="2918"/>
      <c r="S204" s="2919"/>
      <c r="T204" s="2918"/>
      <c r="U204" s="2919"/>
      <c r="V204" s="2933"/>
      <c r="W204" s="2934"/>
      <c r="X204" s="2934"/>
      <c r="Y204" s="2934"/>
      <c r="Z204" s="2935"/>
      <c r="AA204" s="1721"/>
      <c r="AB204" s="3005"/>
      <c r="AC204" s="3005"/>
      <c r="AD204" s="3005"/>
      <c r="AE204" s="3005"/>
      <c r="AF204" s="3005"/>
      <c r="AG204" s="3005"/>
      <c r="AH204" s="3005"/>
      <c r="AI204" s="3005"/>
      <c r="AJ204" s="3005"/>
      <c r="AK204" s="3005"/>
    </row>
    <row r="205" spans="1:37" ht="14.25" customHeight="1" x14ac:dyDescent="0.2">
      <c r="A205" s="1720"/>
      <c r="B205" s="1720"/>
      <c r="C205" s="1720"/>
      <c r="D205" s="1720"/>
      <c r="E205" s="1720"/>
      <c r="F205" s="1720"/>
      <c r="G205" s="1720"/>
      <c r="H205" s="1720"/>
      <c r="I205" s="1720"/>
      <c r="J205" s="1720"/>
      <c r="K205" s="1720"/>
      <c r="L205" s="1720"/>
      <c r="M205" s="1720"/>
      <c r="N205" s="1720"/>
      <c r="O205" s="1720"/>
      <c r="P205" s="1720"/>
      <c r="Q205" s="1720"/>
      <c r="R205" s="1720"/>
      <c r="S205" s="1720"/>
      <c r="T205" s="1720"/>
      <c r="U205" s="1720"/>
      <c r="V205" s="1720"/>
      <c r="W205" s="1720"/>
      <c r="X205" s="1720"/>
      <c r="Y205" s="1720"/>
      <c r="Z205" s="1720"/>
      <c r="AA205" s="1721"/>
      <c r="AB205" s="1706"/>
      <c r="AC205" s="1706"/>
      <c r="AD205" s="1706"/>
      <c r="AE205" s="1706"/>
      <c r="AF205" s="1706"/>
      <c r="AG205" s="1706"/>
      <c r="AH205" s="1706"/>
      <c r="AI205" s="1706"/>
    </row>
    <row r="206" spans="1:37" ht="18" customHeight="1" x14ac:dyDescent="0.2">
      <c r="A206" s="2979" t="s">
        <v>419</v>
      </c>
      <c r="B206" s="2979"/>
      <c r="C206" s="2979" t="s">
        <v>420</v>
      </c>
      <c r="D206" s="2979"/>
      <c r="E206" s="2979"/>
      <c r="F206" s="2979"/>
      <c r="G206" s="2979"/>
      <c r="H206" s="2979"/>
      <c r="I206" s="2979" t="s">
        <v>421</v>
      </c>
      <c r="J206" s="2979"/>
      <c r="K206" s="2979"/>
      <c r="L206" s="2979"/>
      <c r="M206" s="2979"/>
      <c r="N206" s="2979"/>
      <c r="O206" s="2979"/>
      <c r="P206" s="2979"/>
      <c r="Q206" s="2979"/>
      <c r="R206" s="2979" t="s">
        <v>424</v>
      </c>
      <c r="S206" s="2979"/>
      <c r="T206" s="2979"/>
      <c r="U206" s="2979"/>
      <c r="V206" s="2979"/>
      <c r="W206" s="2979"/>
      <c r="X206" s="2979"/>
      <c r="Y206" s="2979"/>
      <c r="Z206" s="2979"/>
      <c r="AA206" s="1721"/>
      <c r="AB206" s="2981">
        <f>AB148</f>
        <v>6</v>
      </c>
      <c r="AC206" s="2983" t="str">
        <f>AC148</f>
        <v>Asyam Hanif Ihsan H</v>
      </c>
      <c r="AD206" s="2984"/>
      <c r="AE206" s="2984"/>
      <c r="AF206" s="2985"/>
      <c r="AG206" s="1706"/>
      <c r="AH206" s="1706"/>
      <c r="AI206" s="1706"/>
    </row>
    <row r="207" spans="1:37" ht="18" customHeight="1" x14ac:dyDescent="0.2">
      <c r="A207" s="2979"/>
      <c r="B207" s="2979"/>
      <c r="C207" s="2979"/>
      <c r="D207" s="2979"/>
      <c r="E207" s="2979"/>
      <c r="F207" s="2979"/>
      <c r="G207" s="2979"/>
      <c r="H207" s="2979"/>
      <c r="I207" s="2979" t="s">
        <v>422</v>
      </c>
      <c r="J207" s="2979"/>
      <c r="K207" s="2979" t="s">
        <v>423</v>
      </c>
      <c r="L207" s="2979"/>
      <c r="M207" s="2979" t="s">
        <v>412</v>
      </c>
      <c r="N207" s="2979"/>
      <c r="O207" s="2979"/>
      <c r="P207" s="2979"/>
      <c r="Q207" s="2979"/>
      <c r="R207" s="2979" t="s">
        <v>422</v>
      </c>
      <c r="S207" s="2979"/>
      <c r="T207" s="2979" t="s">
        <v>423</v>
      </c>
      <c r="U207" s="2979"/>
      <c r="V207" s="2979" t="s">
        <v>412</v>
      </c>
      <c r="W207" s="2979"/>
      <c r="X207" s="2979"/>
      <c r="Y207" s="2979"/>
      <c r="Z207" s="2979"/>
      <c r="AA207" s="1721"/>
      <c r="AB207" s="2982"/>
      <c r="AC207" s="2986"/>
      <c r="AD207" s="2987"/>
      <c r="AE207" s="2987"/>
      <c r="AF207" s="2988"/>
      <c r="AG207" s="1706"/>
      <c r="AH207" s="1706"/>
      <c r="AI207" s="1706"/>
    </row>
    <row r="208" spans="1:37" ht="14.25" customHeight="1" x14ac:dyDescent="0.2">
      <c r="A208" s="2962">
        <v>4</v>
      </c>
      <c r="B208" s="2963"/>
      <c r="C208" s="3045" t="s">
        <v>454</v>
      </c>
      <c r="D208" s="3046"/>
      <c r="E208" s="3046"/>
      <c r="F208" s="3046"/>
      <c r="G208" s="3046"/>
      <c r="H208" s="3047"/>
      <c r="I208" s="2914">
        <f>VLOOKUP(AC2,KI3_MATrapot,28,FALSE)</f>
        <v>0</v>
      </c>
      <c r="J208" s="2915"/>
      <c r="K208" s="2914" t="str">
        <f>VLOOKUP(AC2,KI3_MATrapot,29,FALSE)</f>
        <v>D+</v>
      </c>
      <c r="L208" s="2915"/>
      <c r="M208" s="2927" t="str">
        <f>VLOOKUP(AC2,DESGAB_MAT,3,FALSE)</f>
        <v xml:space="preserve">    </v>
      </c>
      <c r="N208" s="2928"/>
      <c r="O208" s="2928"/>
      <c r="P208" s="2928"/>
      <c r="Q208" s="2929"/>
      <c r="R208" s="2914">
        <f>VLOOKUP(AC2,KI4_MATrapot,47,FALSE)</f>
        <v>0</v>
      </c>
      <c r="S208" s="2915"/>
      <c r="T208" s="2914" t="str">
        <f>VLOOKUP(AC2,KI4_MATrapot,48,FALSE)</f>
        <v>D+</v>
      </c>
      <c r="U208" s="2915"/>
      <c r="V208" s="2927" t="str">
        <f>VLOOKUP(AC2,DESGAB_MAT,4,FALSE)</f>
        <v xml:space="preserve">    </v>
      </c>
      <c r="W208" s="2928"/>
      <c r="X208" s="2928"/>
      <c r="Y208" s="2928"/>
      <c r="Z208" s="2929"/>
      <c r="AA208" s="1721"/>
      <c r="AB208" s="2956" t="s">
        <v>453</v>
      </c>
      <c r="AC208" s="2957"/>
      <c r="AD208" s="2957"/>
      <c r="AE208" s="2957"/>
      <c r="AF208" s="2958"/>
      <c r="AG208" s="1706"/>
      <c r="AH208" s="1706"/>
      <c r="AI208" s="1706"/>
    </row>
    <row r="209" spans="1:35" ht="14.25" customHeight="1" x14ac:dyDescent="0.2">
      <c r="A209" s="2964"/>
      <c r="B209" s="2965"/>
      <c r="C209" s="3048"/>
      <c r="D209" s="3049"/>
      <c r="E209" s="3049"/>
      <c r="F209" s="3049"/>
      <c r="G209" s="3049"/>
      <c r="H209" s="3050"/>
      <c r="I209" s="2916"/>
      <c r="J209" s="2917"/>
      <c r="K209" s="2916"/>
      <c r="L209" s="2917"/>
      <c r="M209" s="2930"/>
      <c r="N209" s="2931"/>
      <c r="O209" s="2931"/>
      <c r="P209" s="2931"/>
      <c r="Q209" s="2932"/>
      <c r="R209" s="2916"/>
      <c r="S209" s="2917"/>
      <c r="T209" s="2916"/>
      <c r="U209" s="2917"/>
      <c r="V209" s="2930"/>
      <c r="W209" s="2931"/>
      <c r="X209" s="2931"/>
      <c r="Y209" s="2931"/>
      <c r="Z209" s="2932"/>
      <c r="AA209" s="1721"/>
      <c r="AB209" s="2959"/>
      <c r="AC209" s="2960"/>
      <c r="AD209" s="2960"/>
      <c r="AE209" s="2960"/>
      <c r="AF209" s="2961"/>
      <c r="AG209" s="1706"/>
      <c r="AH209" s="1706"/>
      <c r="AI209" s="1706"/>
    </row>
    <row r="210" spans="1:35" x14ac:dyDescent="0.2">
      <c r="A210" s="2964"/>
      <c r="B210" s="2965"/>
      <c r="C210" s="3048"/>
      <c r="D210" s="3049"/>
      <c r="E210" s="3049"/>
      <c r="F210" s="3049"/>
      <c r="G210" s="3049"/>
      <c r="H210" s="3050"/>
      <c r="I210" s="2916"/>
      <c r="J210" s="2917"/>
      <c r="K210" s="2916"/>
      <c r="L210" s="2917"/>
      <c r="M210" s="2930"/>
      <c r="N210" s="2931"/>
      <c r="O210" s="2931"/>
      <c r="P210" s="2931"/>
      <c r="Q210" s="2932"/>
      <c r="R210" s="2916"/>
      <c r="S210" s="2917"/>
      <c r="T210" s="2916"/>
      <c r="U210" s="2917"/>
      <c r="V210" s="2930"/>
      <c r="W210" s="2931"/>
      <c r="X210" s="2931"/>
      <c r="Y210" s="2931"/>
      <c r="Z210" s="2932"/>
      <c r="AA210" s="1721"/>
      <c r="AB210" s="1706"/>
      <c r="AC210" s="1706"/>
      <c r="AD210" s="1706"/>
      <c r="AE210" s="1706"/>
      <c r="AF210" s="1706"/>
      <c r="AG210" s="1706"/>
      <c r="AH210" s="1706"/>
      <c r="AI210" s="1706"/>
    </row>
    <row r="211" spans="1:35" x14ac:dyDescent="0.2">
      <c r="A211" s="2964"/>
      <c r="B211" s="2965"/>
      <c r="C211" s="3048"/>
      <c r="D211" s="3049"/>
      <c r="E211" s="3049"/>
      <c r="F211" s="3049"/>
      <c r="G211" s="3049"/>
      <c r="H211" s="3050"/>
      <c r="I211" s="2916"/>
      <c r="J211" s="2917"/>
      <c r="K211" s="2916"/>
      <c r="L211" s="2917"/>
      <c r="M211" s="2930"/>
      <c r="N211" s="2931"/>
      <c r="O211" s="2931"/>
      <c r="P211" s="2931"/>
      <c r="Q211" s="2932"/>
      <c r="R211" s="2916"/>
      <c r="S211" s="2917"/>
      <c r="T211" s="2916"/>
      <c r="U211" s="2917"/>
      <c r="V211" s="2930"/>
      <c r="W211" s="2931"/>
      <c r="X211" s="2931"/>
      <c r="Y211" s="2931"/>
      <c r="Z211" s="2932"/>
      <c r="AA211" s="1721"/>
      <c r="AB211" s="1706"/>
      <c r="AC211" s="1706"/>
      <c r="AD211" s="1706"/>
      <c r="AE211" s="1706"/>
      <c r="AF211" s="1706"/>
      <c r="AG211" s="1706"/>
      <c r="AH211" s="1706"/>
      <c r="AI211" s="1706"/>
    </row>
    <row r="212" spans="1:35" x14ac:dyDescent="0.2">
      <c r="A212" s="2964"/>
      <c r="B212" s="2965"/>
      <c r="C212" s="3048"/>
      <c r="D212" s="3049"/>
      <c r="E212" s="3049"/>
      <c r="F212" s="3049"/>
      <c r="G212" s="3049"/>
      <c r="H212" s="3050"/>
      <c r="I212" s="2916"/>
      <c r="J212" s="2917"/>
      <c r="K212" s="2916"/>
      <c r="L212" s="2917"/>
      <c r="M212" s="2930"/>
      <c r="N212" s="2931"/>
      <c r="O212" s="2931"/>
      <c r="P212" s="2931"/>
      <c r="Q212" s="2932"/>
      <c r="R212" s="2916"/>
      <c r="S212" s="2917"/>
      <c r="T212" s="2916"/>
      <c r="U212" s="2917"/>
      <c r="V212" s="2930"/>
      <c r="W212" s="2931"/>
      <c r="X212" s="2931"/>
      <c r="Y212" s="2931"/>
      <c r="Z212" s="2932"/>
      <c r="AA212" s="1721"/>
      <c r="AB212" s="1706"/>
      <c r="AC212" s="1706"/>
      <c r="AD212" s="1706"/>
      <c r="AE212" s="1706"/>
      <c r="AF212" s="1706"/>
      <c r="AG212" s="1706"/>
      <c r="AH212" s="1706"/>
      <c r="AI212" s="1706"/>
    </row>
    <row r="213" spans="1:35" x14ac:dyDescent="0.2">
      <c r="A213" s="2964"/>
      <c r="B213" s="2965"/>
      <c r="C213" s="3048"/>
      <c r="D213" s="3049"/>
      <c r="E213" s="3049"/>
      <c r="F213" s="3049"/>
      <c r="G213" s="3049"/>
      <c r="H213" s="3050"/>
      <c r="I213" s="2916"/>
      <c r="J213" s="2917"/>
      <c r="K213" s="2916"/>
      <c r="L213" s="2917"/>
      <c r="M213" s="2930"/>
      <c r="N213" s="2931"/>
      <c r="O213" s="2931"/>
      <c r="P213" s="2931"/>
      <c r="Q213" s="2932"/>
      <c r="R213" s="2916"/>
      <c r="S213" s="2917"/>
      <c r="T213" s="2916"/>
      <c r="U213" s="2917"/>
      <c r="V213" s="2930"/>
      <c r="W213" s="2931"/>
      <c r="X213" s="2931"/>
      <c r="Y213" s="2931"/>
      <c r="Z213" s="2932"/>
      <c r="AA213" s="1721"/>
      <c r="AB213" s="1706"/>
      <c r="AC213" s="1706"/>
      <c r="AD213" s="1706"/>
      <c r="AE213" s="1706"/>
      <c r="AF213" s="1706"/>
      <c r="AG213" s="1706"/>
      <c r="AH213" s="1706"/>
      <c r="AI213" s="1706"/>
    </row>
    <row r="214" spans="1:35" x14ac:dyDescent="0.2">
      <c r="A214" s="2964"/>
      <c r="B214" s="2965"/>
      <c r="C214" s="3048"/>
      <c r="D214" s="3049"/>
      <c r="E214" s="3049"/>
      <c r="F214" s="3049"/>
      <c r="G214" s="3049"/>
      <c r="H214" s="3050"/>
      <c r="I214" s="2916"/>
      <c r="J214" s="2917"/>
      <c r="K214" s="2916"/>
      <c r="L214" s="2917"/>
      <c r="M214" s="2930"/>
      <c r="N214" s="2931"/>
      <c r="O214" s="2931"/>
      <c r="P214" s="2931"/>
      <c r="Q214" s="2932"/>
      <c r="R214" s="2916"/>
      <c r="S214" s="2917"/>
      <c r="T214" s="2916"/>
      <c r="U214" s="2917"/>
      <c r="V214" s="2930"/>
      <c r="W214" s="2931"/>
      <c r="X214" s="2931"/>
      <c r="Y214" s="2931"/>
      <c r="Z214" s="2932"/>
      <c r="AA214" s="1721"/>
      <c r="AB214" s="1706"/>
      <c r="AC214" s="1706"/>
      <c r="AD214" s="1706"/>
      <c r="AE214" s="1706"/>
      <c r="AF214" s="1706"/>
      <c r="AG214" s="1706"/>
      <c r="AH214" s="1706"/>
      <c r="AI214" s="1706"/>
    </row>
    <row r="215" spans="1:35" x14ac:dyDescent="0.2">
      <c r="A215" s="2964"/>
      <c r="B215" s="2965"/>
      <c r="C215" s="3048"/>
      <c r="D215" s="3049"/>
      <c r="E215" s="3049"/>
      <c r="F215" s="3049"/>
      <c r="G215" s="3049"/>
      <c r="H215" s="3050"/>
      <c r="I215" s="2916"/>
      <c r="J215" s="2917"/>
      <c r="K215" s="2916"/>
      <c r="L215" s="2917"/>
      <c r="M215" s="2930"/>
      <c r="N215" s="2931"/>
      <c r="O215" s="2931"/>
      <c r="P215" s="2931"/>
      <c r="Q215" s="2932"/>
      <c r="R215" s="2916"/>
      <c r="S215" s="2917"/>
      <c r="T215" s="2916"/>
      <c r="U215" s="2917"/>
      <c r="V215" s="2930"/>
      <c r="W215" s="2931"/>
      <c r="X215" s="2931"/>
      <c r="Y215" s="2931"/>
      <c r="Z215" s="2932"/>
      <c r="AA215" s="1721"/>
      <c r="AB215" s="1706"/>
      <c r="AC215" s="1706"/>
      <c r="AD215" s="1706"/>
      <c r="AE215" s="1706"/>
      <c r="AF215" s="1706"/>
      <c r="AG215" s="1706"/>
      <c r="AH215" s="1706"/>
      <c r="AI215" s="1706"/>
    </row>
    <row r="216" spans="1:35" x14ac:dyDescent="0.2">
      <c r="A216" s="2964"/>
      <c r="B216" s="2965"/>
      <c r="C216" s="3048"/>
      <c r="D216" s="3049"/>
      <c r="E216" s="3049"/>
      <c r="F216" s="3049"/>
      <c r="G216" s="3049"/>
      <c r="H216" s="3050"/>
      <c r="I216" s="2916"/>
      <c r="J216" s="2917"/>
      <c r="K216" s="2916"/>
      <c r="L216" s="2917"/>
      <c r="M216" s="2930"/>
      <c r="N216" s="2931"/>
      <c r="O216" s="2931"/>
      <c r="P216" s="2931"/>
      <c r="Q216" s="2932"/>
      <c r="R216" s="2916"/>
      <c r="S216" s="2917"/>
      <c r="T216" s="2916"/>
      <c r="U216" s="2917"/>
      <c r="V216" s="2930"/>
      <c r="W216" s="2931"/>
      <c r="X216" s="2931"/>
      <c r="Y216" s="2931"/>
      <c r="Z216" s="2932"/>
      <c r="AA216" s="1721"/>
      <c r="AB216" s="1706"/>
      <c r="AC216" s="1706"/>
      <c r="AD216" s="1706"/>
      <c r="AE216" s="1706"/>
      <c r="AF216" s="1706"/>
      <c r="AG216" s="1706"/>
      <c r="AH216" s="1706"/>
      <c r="AI216" s="1706"/>
    </row>
    <row r="217" spans="1:35" x14ac:dyDescent="0.2">
      <c r="A217" s="2964"/>
      <c r="B217" s="2965"/>
      <c r="C217" s="3048"/>
      <c r="D217" s="3049"/>
      <c r="E217" s="3049"/>
      <c r="F217" s="3049"/>
      <c r="G217" s="3049"/>
      <c r="H217" s="3050"/>
      <c r="I217" s="2916"/>
      <c r="J217" s="2917"/>
      <c r="K217" s="2916"/>
      <c r="L217" s="2917"/>
      <c r="M217" s="2930"/>
      <c r="N217" s="2931"/>
      <c r="O217" s="2931"/>
      <c r="P217" s="2931"/>
      <c r="Q217" s="2932"/>
      <c r="R217" s="2916"/>
      <c r="S217" s="2917"/>
      <c r="T217" s="2916"/>
      <c r="U217" s="2917"/>
      <c r="V217" s="2930"/>
      <c r="W217" s="2931"/>
      <c r="X217" s="2931"/>
      <c r="Y217" s="2931"/>
      <c r="Z217" s="2932"/>
      <c r="AA217" s="1721"/>
      <c r="AB217" s="1706"/>
      <c r="AC217" s="1706"/>
      <c r="AD217" s="1706"/>
      <c r="AE217" s="1706"/>
      <c r="AF217" s="1706"/>
      <c r="AG217" s="1706"/>
      <c r="AH217" s="1706"/>
      <c r="AI217" s="1706"/>
    </row>
    <row r="218" spans="1:35" x14ac:dyDescent="0.2">
      <c r="A218" s="2964"/>
      <c r="B218" s="2965"/>
      <c r="C218" s="3048"/>
      <c r="D218" s="3049"/>
      <c r="E218" s="3049"/>
      <c r="F218" s="3049"/>
      <c r="G218" s="3049"/>
      <c r="H218" s="3050"/>
      <c r="I218" s="2916"/>
      <c r="J218" s="2917"/>
      <c r="K218" s="2916"/>
      <c r="L218" s="2917"/>
      <c r="M218" s="2930"/>
      <c r="N218" s="2931"/>
      <c r="O218" s="2931"/>
      <c r="P218" s="2931"/>
      <c r="Q218" s="2932"/>
      <c r="R218" s="2916"/>
      <c r="S218" s="2917"/>
      <c r="T218" s="2916"/>
      <c r="U218" s="2917"/>
      <c r="V218" s="2930"/>
      <c r="W218" s="2931"/>
      <c r="X218" s="2931"/>
      <c r="Y218" s="2931"/>
      <c r="Z218" s="2932"/>
      <c r="AA218" s="1721"/>
      <c r="AB218" s="1706"/>
      <c r="AC218" s="1706"/>
      <c r="AD218" s="1706"/>
      <c r="AE218" s="1706"/>
      <c r="AF218" s="1706"/>
      <c r="AG218" s="1706"/>
      <c r="AH218" s="1706"/>
      <c r="AI218" s="1706"/>
    </row>
    <row r="219" spans="1:35" x14ac:dyDescent="0.2">
      <c r="A219" s="2964"/>
      <c r="B219" s="2965"/>
      <c r="C219" s="3048"/>
      <c r="D219" s="3049"/>
      <c r="E219" s="3049"/>
      <c r="F219" s="3049"/>
      <c r="G219" s="3049"/>
      <c r="H219" s="3050"/>
      <c r="I219" s="2916"/>
      <c r="J219" s="2917"/>
      <c r="K219" s="2916"/>
      <c r="L219" s="2917"/>
      <c r="M219" s="2930"/>
      <c r="N219" s="2931"/>
      <c r="O219" s="2931"/>
      <c r="P219" s="2931"/>
      <c r="Q219" s="2932"/>
      <c r="R219" s="2916"/>
      <c r="S219" s="2917"/>
      <c r="T219" s="2916"/>
      <c r="U219" s="2917"/>
      <c r="V219" s="2930"/>
      <c r="W219" s="2931"/>
      <c r="X219" s="2931"/>
      <c r="Y219" s="2931"/>
      <c r="Z219" s="2932"/>
      <c r="AA219" s="1721"/>
      <c r="AB219" s="1706"/>
      <c r="AC219" s="1706"/>
      <c r="AD219" s="1706"/>
      <c r="AE219" s="1706"/>
      <c r="AF219" s="1706"/>
      <c r="AG219" s="1706"/>
      <c r="AH219" s="1706"/>
      <c r="AI219" s="1706"/>
    </row>
    <row r="220" spans="1:35" x14ac:dyDescent="0.2">
      <c r="A220" s="2964"/>
      <c r="B220" s="2965"/>
      <c r="C220" s="3048"/>
      <c r="D220" s="3049"/>
      <c r="E220" s="3049"/>
      <c r="F220" s="3049"/>
      <c r="G220" s="3049"/>
      <c r="H220" s="3050"/>
      <c r="I220" s="2916"/>
      <c r="J220" s="2917"/>
      <c r="K220" s="2916"/>
      <c r="L220" s="2917"/>
      <c r="M220" s="2930"/>
      <c r="N220" s="2931"/>
      <c r="O220" s="2931"/>
      <c r="P220" s="2931"/>
      <c r="Q220" s="2932"/>
      <c r="R220" s="2916"/>
      <c r="S220" s="2917"/>
      <c r="T220" s="2916"/>
      <c r="U220" s="2917"/>
      <c r="V220" s="2930"/>
      <c r="W220" s="2931"/>
      <c r="X220" s="2931"/>
      <c r="Y220" s="2931"/>
      <c r="Z220" s="2932"/>
      <c r="AA220" s="1721"/>
      <c r="AB220" s="1706"/>
      <c r="AC220" s="1706"/>
      <c r="AD220" s="1706"/>
      <c r="AE220" s="1706"/>
      <c r="AF220" s="1706"/>
      <c r="AG220" s="1706"/>
      <c r="AH220" s="1706"/>
      <c r="AI220" s="1706"/>
    </row>
    <row r="221" spans="1:35" x14ac:dyDescent="0.2">
      <c r="A221" s="2964"/>
      <c r="B221" s="2965"/>
      <c r="C221" s="3048"/>
      <c r="D221" s="3049"/>
      <c r="E221" s="3049"/>
      <c r="F221" s="3049"/>
      <c r="G221" s="3049"/>
      <c r="H221" s="3050"/>
      <c r="I221" s="2916"/>
      <c r="J221" s="2917"/>
      <c r="K221" s="2916"/>
      <c r="L221" s="2917"/>
      <c r="M221" s="2930"/>
      <c r="N221" s="2931"/>
      <c r="O221" s="2931"/>
      <c r="P221" s="2931"/>
      <c r="Q221" s="2932"/>
      <c r="R221" s="2916"/>
      <c r="S221" s="2917"/>
      <c r="T221" s="2916"/>
      <c r="U221" s="2917"/>
      <c r="V221" s="2930"/>
      <c r="W221" s="2931"/>
      <c r="X221" s="2931"/>
      <c r="Y221" s="2931"/>
      <c r="Z221" s="2932"/>
      <c r="AA221" s="1721"/>
      <c r="AB221" s="1706"/>
      <c r="AC221" s="1706"/>
      <c r="AD221" s="1706"/>
      <c r="AE221" s="1706"/>
      <c r="AF221" s="1706"/>
      <c r="AG221" s="1706"/>
      <c r="AH221" s="1706"/>
      <c r="AI221" s="1706"/>
    </row>
    <row r="222" spans="1:35" x14ac:dyDescent="0.2">
      <c r="A222" s="2964"/>
      <c r="B222" s="2965"/>
      <c r="C222" s="3048"/>
      <c r="D222" s="3049"/>
      <c r="E222" s="3049"/>
      <c r="F222" s="3049"/>
      <c r="G222" s="3049"/>
      <c r="H222" s="3050"/>
      <c r="I222" s="2916"/>
      <c r="J222" s="2917"/>
      <c r="K222" s="2916"/>
      <c r="L222" s="2917"/>
      <c r="M222" s="2930"/>
      <c r="N222" s="2931"/>
      <c r="O222" s="2931"/>
      <c r="P222" s="2931"/>
      <c r="Q222" s="2932"/>
      <c r="R222" s="2916"/>
      <c r="S222" s="2917"/>
      <c r="T222" s="2916"/>
      <c r="U222" s="2917"/>
      <c r="V222" s="2930"/>
      <c r="W222" s="2931"/>
      <c r="X222" s="2931"/>
      <c r="Y222" s="2931"/>
      <c r="Z222" s="2932"/>
      <c r="AA222" s="1721"/>
      <c r="AB222" s="1706"/>
      <c r="AC222" s="1706"/>
      <c r="AD222" s="1706"/>
      <c r="AE222" s="1706"/>
      <c r="AF222" s="1706"/>
      <c r="AG222" s="1706"/>
      <c r="AH222" s="1706"/>
      <c r="AI222" s="1706"/>
    </row>
    <row r="223" spans="1:35" x14ac:dyDescent="0.2">
      <c r="A223" s="2964"/>
      <c r="B223" s="2965"/>
      <c r="C223" s="3048"/>
      <c r="D223" s="3049"/>
      <c r="E223" s="3049"/>
      <c r="F223" s="3049"/>
      <c r="G223" s="3049"/>
      <c r="H223" s="3050"/>
      <c r="I223" s="2916"/>
      <c r="J223" s="2917"/>
      <c r="K223" s="2916"/>
      <c r="L223" s="2917"/>
      <c r="M223" s="2930"/>
      <c r="N223" s="2931"/>
      <c r="O223" s="2931"/>
      <c r="P223" s="2931"/>
      <c r="Q223" s="2932"/>
      <c r="R223" s="2916"/>
      <c r="S223" s="2917"/>
      <c r="T223" s="2916"/>
      <c r="U223" s="2917"/>
      <c r="V223" s="2930"/>
      <c r="W223" s="2931"/>
      <c r="X223" s="2931"/>
      <c r="Y223" s="2931"/>
      <c r="Z223" s="2932"/>
      <c r="AA223" s="1721"/>
      <c r="AB223" s="1706"/>
      <c r="AC223" s="1706"/>
      <c r="AD223" s="1706"/>
      <c r="AE223" s="1706"/>
      <c r="AF223" s="1706"/>
      <c r="AG223" s="1706"/>
      <c r="AH223" s="1706"/>
      <c r="AI223" s="1706"/>
    </row>
    <row r="224" spans="1:35" x14ac:dyDescent="0.2">
      <c r="A224" s="2964"/>
      <c r="B224" s="2965"/>
      <c r="C224" s="3048"/>
      <c r="D224" s="3049"/>
      <c r="E224" s="3049"/>
      <c r="F224" s="3049"/>
      <c r="G224" s="3049"/>
      <c r="H224" s="3050"/>
      <c r="I224" s="2916"/>
      <c r="J224" s="2917"/>
      <c r="K224" s="2916"/>
      <c r="L224" s="2917"/>
      <c r="M224" s="2930"/>
      <c r="N224" s="2931"/>
      <c r="O224" s="2931"/>
      <c r="P224" s="2931"/>
      <c r="Q224" s="2932"/>
      <c r="R224" s="2916"/>
      <c r="S224" s="2917"/>
      <c r="T224" s="2916"/>
      <c r="U224" s="2917"/>
      <c r="V224" s="2930"/>
      <c r="W224" s="2931"/>
      <c r="X224" s="2931"/>
      <c r="Y224" s="2931"/>
      <c r="Z224" s="2932"/>
      <c r="AA224" s="1721"/>
      <c r="AB224" s="1706"/>
      <c r="AC224" s="1706"/>
      <c r="AD224" s="1706"/>
      <c r="AE224" s="1706"/>
      <c r="AF224" s="1706"/>
      <c r="AG224" s="1706"/>
      <c r="AH224" s="1706"/>
      <c r="AI224" s="1706"/>
    </row>
    <row r="225" spans="1:35" x14ac:dyDescent="0.2">
      <c r="A225" s="2964"/>
      <c r="B225" s="2965"/>
      <c r="C225" s="3048"/>
      <c r="D225" s="3049"/>
      <c r="E225" s="3049"/>
      <c r="F225" s="3049"/>
      <c r="G225" s="3049"/>
      <c r="H225" s="3050"/>
      <c r="I225" s="2916"/>
      <c r="J225" s="2917"/>
      <c r="K225" s="2916"/>
      <c r="L225" s="2917"/>
      <c r="M225" s="2930"/>
      <c r="N225" s="2931"/>
      <c r="O225" s="2931"/>
      <c r="P225" s="2931"/>
      <c r="Q225" s="2932"/>
      <c r="R225" s="2916"/>
      <c r="S225" s="2917"/>
      <c r="T225" s="2916"/>
      <c r="U225" s="2917"/>
      <c r="V225" s="2930"/>
      <c r="W225" s="2931"/>
      <c r="X225" s="2931"/>
      <c r="Y225" s="2931"/>
      <c r="Z225" s="2932"/>
      <c r="AA225" s="1721"/>
      <c r="AB225" s="1706"/>
      <c r="AC225" s="1706"/>
      <c r="AD225" s="1706"/>
      <c r="AE225" s="1706"/>
      <c r="AF225" s="1706"/>
      <c r="AG225" s="1706"/>
      <c r="AH225" s="1706"/>
      <c r="AI225" s="1706"/>
    </row>
    <row r="226" spans="1:35" x14ac:dyDescent="0.2">
      <c r="A226" s="2964"/>
      <c r="B226" s="2965"/>
      <c r="C226" s="3048"/>
      <c r="D226" s="3049"/>
      <c r="E226" s="3049"/>
      <c r="F226" s="3049"/>
      <c r="G226" s="3049"/>
      <c r="H226" s="3050"/>
      <c r="I226" s="2916"/>
      <c r="J226" s="2917"/>
      <c r="K226" s="2916"/>
      <c r="L226" s="2917"/>
      <c r="M226" s="2930"/>
      <c r="N226" s="2931"/>
      <c r="O226" s="2931"/>
      <c r="P226" s="2931"/>
      <c r="Q226" s="2932"/>
      <c r="R226" s="2916"/>
      <c r="S226" s="2917"/>
      <c r="T226" s="2916"/>
      <c r="U226" s="2917"/>
      <c r="V226" s="2930"/>
      <c r="W226" s="2931"/>
      <c r="X226" s="2931"/>
      <c r="Y226" s="2931"/>
      <c r="Z226" s="2932"/>
      <c r="AA226" s="1721"/>
      <c r="AB226" s="1706"/>
      <c r="AC226" s="1706"/>
      <c r="AD226" s="1706"/>
      <c r="AE226" s="1706"/>
      <c r="AF226" s="1706"/>
      <c r="AG226" s="1706"/>
      <c r="AH226" s="1706"/>
      <c r="AI226" s="1706"/>
    </row>
    <row r="227" spans="1:35" x14ac:dyDescent="0.2">
      <c r="A227" s="2964"/>
      <c r="B227" s="2965"/>
      <c r="C227" s="3048"/>
      <c r="D227" s="3049"/>
      <c r="E227" s="3049"/>
      <c r="F227" s="3049"/>
      <c r="G227" s="3049"/>
      <c r="H227" s="3050"/>
      <c r="I227" s="2916"/>
      <c r="J227" s="2917"/>
      <c r="K227" s="2916"/>
      <c r="L227" s="2917"/>
      <c r="M227" s="2930"/>
      <c r="N227" s="2931"/>
      <c r="O227" s="2931"/>
      <c r="P227" s="2931"/>
      <c r="Q227" s="2932"/>
      <c r="R227" s="2916"/>
      <c r="S227" s="2917"/>
      <c r="T227" s="2916"/>
      <c r="U227" s="2917"/>
      <c r="V227" s="2930"/>
      <c r="W227" s="2931"/>
      <c r="X227" s="2931"/>
      <c r="Y227" s="2931"/>
      <c r="Z227" s="2932"/>
      <c r="AA227" s="1721"/>
      <c r="AB227" s="1706"/>
      <c r="AC227" s="1706"/>
      <c r="AD227" s="1706"/>
      <c r="AE227" s="1706"/>
      <c r="AF227" s="1706"/>
      <c r="AG227" s="1706"/>
      <c r="AH227" s="1706"/>
      <c r="AI227" s="1706"/>
    </row>
    <row r="228" spans="1:35" x14ac:dyDescent="0.2">
      <c r="A228" s="2964"/>
      <c r="B228" s="2965"/>
      <c r="C228" s="3048"/>
      <c r="D228" s="3049"/>
      <c r="E228" s="3049"/>
      <c r="F228" s="3049"/>
      <c r="G228" s="3049"/>
      <c r="H228" s="3050"/>
      <c r="I228" s="2916"/>
      <c r="J228" s="2917"/>
      <c r="K228" s="2916"/>
      <c r="L228" s="2917"/>
      <c r="M228" s="2930"/>
      <c r="N228" s="2931"/>
      <c r="O228" s="2931"/>
      <c r="P228" s="2931"/>
      <c r="Q228" s="2932"/>
      <c r="R228" s="2916"/>
      <c r="S228" s="2917"/>
      <c r="T228" s="2916"/>
      <c r="U228" s="2917"/>
      <c r="V228" s="2930"/>
      <c r="W228" s="2931"/>
      <c r="X228" s="2931"/>
      <c r="Y228" s="2931"/>
      <c r="Z228" s="2932"/>
      <c r="AA228" s="1721"/>
      <c r="AB228" s="1706"/>
      <c r="AC228" s="1706"/>
      <c r="AD228" s="1706"/>
      <c r="AE228" s="1706"/>
      <c r="AF228" s="1706"/>
      <c r="AG228" s="1706"/>
      <c r="AH228" s="1706"/>
      <c r="AI228" s="1706"/>
    </row>
    <row r="229" spans="1:35" x14ac:dyDescent="0.2">
      <c r="A229" s="2964"/>
      <c r="B229" s="2965"/>
      <c r="C229" s="3048"/>
      <c r="D229" s="3049"/>
      <c r="E229" s="3049"/>
      <c r="F229" s="3049"/>
      <c r="G229" s="3049"/>
      <c r="H229" s="3050"/>
      <c r="I229" s="2916"/>
      <c r="J229" s="2917"/>
      <c r="K229" s="2916"/>
      <c r="L229" s="2917"/>
      <c r="M229" s="2930"/>
      <c r="N229" s="2931"/>
      <c r="O229" s="2931"/>
      <c r="P229" s="2931"/>
      <c r="Q229" s="2932"/>
      <c r="R229" s="2916"/>
      <c r="S229" s="2917"/>
      <c r="T229" s="2916"/>
      <c r="U229" s="2917"/>
      <c r="V229" s="2930"/>
      <c r="W229" s="2931"/>
      <c r="X229" s="2931"/>
      <c r="Y229" s="2931"/>
      <c r="Z229" s="2932"/>
      <c r="AA229" s="1721"/>
      <c r="AB229" s="1706"/>
      <c r="AC229" s="1706"/>
      <c r="AD229" s="1706"/>
      <c r="AE229" s="1706"/>
      <c r="AF229" s="1706"/>
      <c r="AG229" s="1706"/>
      <c r="AH229" s="1706"/>
      <c r="AI229" s="1706"/>
    </row>
    <row r="230" spans="1:35" x14ac:dyDescent="0.2">
      <c r="A230" s="2964"/>
      <c r="B230" s="2965"/>
      <c r="C230" s="3048"/>
      <c r="D230" s="3049"/>
      <c r="E230" s="3049"/>
      <c r="F230" s="3049"/>
      <c r="G230" s="3049"/>
      <c r="H230" s="3050"/>
      <c r="I230" s="2916"/>
      <c r="J230" s="2917"/>
      <c r="K230" s="2916"/>
      <c r="L230" s="2917"/>
      <c r="M230" s="2930"/>
      <c r="N230" s="2931"/>
      <c r="O230" s="2931"/>
      <c r="P230" s="2931"/>
      <c r="Q230" s="2932"/>
      <c r="R230" s="2916"/>
      <c r="S230" s="2917"/>
      <c r="T230" s="2916"/>
      <c r="U230" s="2917"/>
      <c r="V230" s="2930"/>
      <c r="W230" s="2931"/>
      <c r="X230" s="2931"/>
      <c r="Y230" s="2931"/>
      <c r="Z230" s="2932"/>
      <c r="AA230" s="1721"/>
      <c r="AB230" s="1706"/>
      <c r="AC230" s="1706"/>
      <c r="AD230" s="1706"/>
      <c r="AE230" s="1706"/>
      <c r="AF230" s="1706"/>
      <c r="AG230" s="1706"/>
      <c r="AH230" s="1706"/>
      <c r="AI230" s="1706"/>
    </row>
    <row r="231" spans="1:35" x14ac:dyDescent="0.2">
      <c r="A231" s="2964"/>
      <c r="B231" s="2965"/>
      <c r="C231" s="3048"/>
      <c r="D231" s="3049"/>
      <c r="E231" s="3049"/>
      <c r="F231" s="3049"/>
      <c r="G231" s="3049"/>
      <c r="H231" s="3050"/>
      <c r="I231" s="2916"/>
      <c r="J231" s="2917"/>
      <c r="K231" s="2916"/>
      <c r="L231" s="2917"/>
      <c r="M231" s="2930"/>
      <c r="N231" s="2931"/>
      <c r="O231" s="2931"/>
      <c r="P231" s="2931"/>
      <c r="Q231" s="2932"/>
      <c r="R231" s="2916"/>
      <c r="S231" s="2917"/>
      <c r="T231" s="2916"/>
      <c r="U231" s="2917"/>
      <c r="V231" s="2930"/>
      <c r="W231" s="2931"/>
      <c r="X231" s="2931"/>
      <c r="Y231" s="2931"/>
      <c r="Z231" s="2932"/>
      <c r="AA231" s="1721"/>
      <c r="AB231" s="1706"/>
      <c r="AC231" s="1706"/>
      <c r="AD231" s="1706"/>
      <c r="AE231" s="1706"/>
      <c r="AF231" s="1706"/>
      <c r="AG231" s="1706"/>
      <c r="AH231" s="1706"/>
      <c r="AI231" s="1706"/>
    </row>
    <row r="232" spans="1:35" x14ac:dyDescent="0.2">
      <c r="A232" s="2964"/>
      <c r="B232" s="2965"/>
      <c r="C232" s="3048"/>
      <c r="D232" s="3049"/>
      <c r="E232" s="3049"/>
      <c r="F232" s="3049"/>
      <c r="G232" s="3049"/>
      <c r="H232" s="3050"/>
      <c r="I232" s="2916"/>
      <c r="J232" s="2917"/>
      <c r="K232" s="2916"/>
      <c r="L232" s="2917"/>
      <c r="M232" s="2930"/>
      <c r="N232" s="2931"/>
      <c r="O232" s="2931"/>
      <c r="P232" s="2931"/>
      <c r="Q232" s="2932"/>
      <c r="R232" s="2916"/>
      <c r="S232" s="2917"/>
      <c r="T232" s="2916"/>
      <c r="U232" s="2917"/>
      <c r="V232" s="2930"/>
      <c r="W232" s="2931"/>
      <c r="X232" s="2931"/>
      <c r="Y232" s="2931"/>
      <c r="Z232" s="2932"/>
      <c r="AA232" s="1721"/>
      <c r="AB232" s="1706"/>
      <c r="AC232" s="1706"/>
      <c r="AD232" s="1706"/>
      <c r="AE232" s="1706"/>
      <c r="AF232" s="1706"/>
      <c r="AG232" s="1706"/>
      <c r="AH232" s="1706"/>
      <c r="AI232" s="1706"/>
    </row>
    <row r="233" spans="1:35" x14ac:dyDescent="0.2">
      <c r="A233" s="2964"/>
      <c r="B233" s="2965"/>
      <c r="C233" s="3048"/>
      <c r="D233" s="3049"/>
      <c r="E233" s="3049"/>
      <c r="F233" s="3049"/>
      <c r="G233" s="3049"/>
      <c r="H233" s="3050"/>
      <c r="I233" s="2916"/>
      <c r="J233" s="2917"/>
      <c r="K233" s="2916"/>
      <c r="L233" s="2917"/>
      <c r="M233" s="2930"/>
      <c r="N233" s="2931"/>
      <c r="O233" s="2931"/>
      <c r="P233" s="2931"/>
      <c r="Q233" s="2932"/>
      <c r="R233" s="2916"/>
      <c r="S233" s="2917"/>
      <c r="T233" s="2916"/>
      <c r="U233" s="2917"/>
      <c r="V233" s="2930"/>
      <c r="W233" s="2931"/>
      <c r="X233" s="2931"/>
      <c r="Y233" s="2931"/>
      <c r="Z233" s="2932"/>
      <c r="AA233" s="1721"/>
      <c r="AB233" s="1706"/>
      <c r="AC233" s="1706"/>
      <c r="AD233" s="1706"/>
      <c r="AE233" s="1706"/>
      <c r="AF233" s="1706"/>
      <c r="AG233" s="1706"/>
      <c r="AH233" s="1706"/>
      <c r="AI233" s="1706"/>
    </row>
    <row r="234" spans="1:35" x14ac:dyDescent="0.2">
      <c r="A234" s="2964"/>
      <c r="B234" s="2965"/>
      <c r="C234" s="3048"/>
      <c r="D234" s="3049"/>
      <c r="E234" s="3049"/>
      <c r="F234" s="3049"/>
      <c r="G234" s="3049"/>
      <c r="H234" s="3050"/>
      <c r="I234" s="2916"/>
      <c r="J234" s="2917"/>
      <c r="K234" s="2916"/>
      <c r="L234" s="2917"/>
      <c r="M234" s="2930"/>
      <c r="N234" s="2931"/>
      <c r="O234" s="2931"/>
      <c r="P234" s="2931"/>
      <c r="Q234" s="2932"/>
      <c r="R234" s="2916"/>
      <c r="S234" s="2917"/>
      <c r="T234" s="2916"/>
      <c r="U234" s="2917"/>
      <c r="V234" s="2930"/>
      <c r="W234" s="2931"/>
      <c r="X234" s="2931"/>
      <c r="Y234" s="2931"/>
      <c r="Z234" s="2932"/>
      <c r="AA234" s="1721"/>
      <c r="AB234" s="1706"/>
      <c r="AC234" s="1706"/>
      <c r="AD234" s="1706"/>
      <c r="AE234" s="1706"/>
      <c r="AF234" s="1706"/>
      <c r="AG234" s="1706"/>
      <c r="AH234" s="1706"/>
      <c r="AI234" s="1706"/>
    </row>
    <row r="235" spans="1:35" x14ac:dyDescent="0.2">
      <c r="A235" s="2964"/>
      <c r="B235" s="2965"/>
      <c r="C235" s="3048"/>
      <c r="D235" s="3049"/>
      <c r="E235" s="3049"/>
      <c r="F235" s="3049"/>
      <c r="G235" s="3049"/>
      <c r="H235" s="3050"/>
      <c r="I235" s="2916"/>
      <c r="J235" s="2917"/>
      <c r="K235" s="2916"/>
      <c r="L235" s="2917"/>
      <c r="M235" s="2930"/>
      <c r="N235" s="2931"/>
      <c r="O235" s="2931"/>
      <c r="P235" s="2931"/>
      <c r="Q235" s="2932"/>
      <c r="R235" s="2916"/>
      <c r="S235" s="2917"/>
      <c r="T235" s="2916"/>
      <c r="U235" s="2917"/>
      <c r="V235" s="2930"/>
      <c r="W235" s="2931"/>
      <c r="X235" s="2931"/>
      <c r="Y235" s="2931"/>
      <c r="Z235" s="2932"/>
      <c r="AA235" s="1721"/>
      <c r="AB235" s="1706"/>
      <c r="AC235" s="1706"/>
      <c r="AD235" s="1706"/>
      <c r="AE235" s="1706"/>
      <c r="AF235" s="1706"/>
      <c r="AG235" s="1706"/>
      <c r="AH235" s="1706"/>
      <c r="AI235" s="1706"/>
    </row>
    <row r="236" spans="1:35" x14ac:dyDescent="0.2">
      <c r="A236" s="2964"/>
      <c r="B236" s="2965"/>
      <c r="C236" s="3048"/>
      <c r="D236" s="3049"/>
      <c r="E236" s="3049"/>
      <c r="F236" s="3049"/>
      <c r="G236" s="3049"/>
      <c r="H236" s="3050"/>
      <c r="I236" s="2916"/>
      <c r="J236" s="2917"/>
      <c r="K236" s="2916"/>
      <c r="L236" s="2917"/>
      <c r="M236" s="2930"/>
      <c r="N236" s="2931"/>
      <c r="O236" s="2931"/>
      <c r="P236" s="2931"/>
      <c r="Q236" s="2932"/>
      <c r="R236" s="2916"/>
      <c r="S236" s="2917"/>
      <c r="T236" s="2916"/>
      <c r="U236" s="2917"/>
      <c r="V236" s="2930"/>
      <c r="W236" s="2931"/>
      <c r="X236" s="2931"/>
      <c r="Y236" s="2931"/>
      <c r="Z236" s="2932"/>
      <c r="AA236" s="1721"/>
      <c r="AB236" s="1706"/>
      <c r="AC236" s="1706"/>
      <c r="AD236" s="1706"/>
      <c r="AE236" s="1706"/>
      <c r="AF236" s="1706"/>
      <c r="AG236" s="1706"/>
      <c r="AH236" s="1706"/>
      <c r="AI236" s="1706"/>
    </row>
    <row r="237" spans="1:35" x14ac:dyDescent="0.2">
      <c r="A237" s="2964"/>
      <c r="B237" s="2965"/>
      <c r="C237" s="3048"/>
      <c r="D237" s="3049"/>
      <c r="E237" s="3049"/>
      <c r="F237" s="3049"/>
      <c r="G237" s="3049"/>
      <c r="H237" s="3050"/>
      <c r="I237" s="2916"/>
      <c r="J237" s="2917"/>
      <c r="K237" s="2916"/>
      <c r="L237" s="2917"/>
      <c r="M237" s="2930"/>
      <c r="N237" s="2931"/>
      <c r="O237" s="2931"/>
      <c r="P237" s="2931"/>
      <c r="Q237" s="2932"/>
      <c r="R237" s="2916"/>
      <c r="S237" s="2917"/>
      <c r="T237" s="2916"/>
      <c r="U237" s="2917"/>
      <c r="V237" s="2930"/>
      <c r="W237" s="2931"/>
      <c r="X237" s="2931"/>
      <c r="Y237" s="2931"/>
      <c r="Z237" s="2932"/>
      <c r="AA237" s="1721"/>
      <c r="AB237" s="1706"/>
      <c r="AC237" s="1706"/>
      <c r="AD237" s="1706"/>
      <c r="AE237" s="1706"/>
      <c r="AF237" s="1706"/>
      <c r="AG237" s="1706"/>
      <c r="AH237" s="1706"/>
      <c r="AI237" s="1706"/>
    </row>
    <row r="238" spans="1:35" x14ac:dyDescent="0.2">
      <c r="A238" s="2964"/>
      <c r="B238" s="2965"/>
      <c r="C238" s="3048"/>
      <c r="D238" s="3049"/>
      <c r="E238" s="3049"/>
      <c r="F238" s="3049"/>
      <c r="G238" s="3049"/>
      <c r="H238" s="3050"/>
      <c r="I238" s="2916"/>
      <c r="J238" s="2917"/>
      <c r="K238" s="2916"/>
      <c r="L238" s="2917"/>
      <c r="M238" s="2930"/>
      <c r="N238" s="2931"/>
      <c r="O238" s="2931"/>
      <c r="P238" s="2931"/>
      <c r="Q238" s="2932"/>
      <c r="R238" s="2916"/>
      <c r="S238" s="2917"/>
      <c r="T238" s="2916"/>
      <c r="U238" s="2917"/>
      <c r="V238" s="2930"/>
      <c r="W238" s="2931"/>
      <c r="X238" s="2931"/>
      <c r="Y238" s="2931"/>
      <c r="Z238" s="2932"/>
      <c r="AA238" s="1721"/>
      <c r="AB238" s="1706"/>
      <c r="AC238" s="1706"/>
      <c r="AD238" s="1706"/>
      <c r="AE238" s="1706"/>
      <c r="AF238" s="1706"/>
      <c r="AG238" s="1706"/>
      <c r="AH238" s="1706"/>
      <c r="AI238" s="1706"/>
    </row>
    <row r="239" spans="1:35" x14ac:dyDescent="0.2">
      <c r="A239" s="2966"/>
      <c r="B239" s="2967"/>
      <c r="C239" s="3051"/>
      <c r="D239" s="3052"/>
      <c r="E239" s="3052"/>
      <c r="F239" s="3052"/>
      <c r="G239" s="3052"/>
      <c r="H239" s="3053"/>
      <c r="I239" s="2918"/>
      <c r="J239" s="2919"/>
      <c r="K239" s="2918"/>
      <c r="L239" s="2919"/>
      <c r="M239" s="2933"/>
      <c r="N239" s="2934"/>
      <c r="O239" s="2934"/>
      <c r="P239" s="2934"/>
      <c r="Q239" s="2935"/>
      <c r="R239" s="2918"/>
      <c r="S239" s="2919"/>
      <c r="T239" s="2918"/>
      <c r="U239" s="2919"/>
      <c r="V239" s="2933"/>
      <c r="W239" s="2934"/>
      <c r="X239" s="2934"/>
      <c r="Y239" s="2934"/>
      <c r="Z239" s="2935"/>
      <c r="AA239" s="1721"/>
      <c r="AB239" s="1706"/>
      <c r="AC239" s="1706"/>
      <c r="AD239" s="1706"/>
      <c r="AE239" s="1706"/>
      <c r="AF239" s="1706"/>
      <c r="AG239" s="1706"/>
      <c r="AH239" s="1706"/>
      <c r="AI239" s="1706"/>
    </row>
    <row r="240" spans="1:35" x14ac:dyDescent="0.2">
      <c r="A240" s="2962">
        <v>5</v>
      </c>
      <c r="B240" s="2963"/>
      <c r="C240" s="3045" t="s">
        <v>713</v>
      </c>
      <c r="D240" s="3046"/>
      <c r="E240" s="3046"/>
      <c r="F240" s="3046"/>
      <c r="G240" s="3046"/>
      <c r="H240" s="3047"/>
      <c r="I240" s="2914">
        <f>VLOOKUP(AC2,KI3_IPArapot,18,FALSE)</f>
        <v>0</v>
      </c>
      <c r="J240" s="2915"/>
      <c r="K240" s="2914" t="str">
        <f>VLOOKUP(AC2,KI3_IPArapot,19,FALSE)</f>
        <v>D+</v>
      </c>
      <c r="L240" s="2915"/>
      <c r="M240" s="2927" t="str">
        <f>VLOOKUP(AC2,DESGAB_IPA,3,FALSE)</f>
        <v xml:space="preserve">    </v>
      </c>
      <c r="N240" s="2928"/>
      <c r="O240" s="2928"/>
      <c r="P240" s="2928"/>
      <c r="Q240" s="2929"/>
      <c r="R240" s="2914">
        <f>VLOOKUP(AC2,KI4_IPArapot,30,FALSE)</f>
        <v>0</v>
      </c>
      <c r="S240" s="2915"/>
      <c r="T240" s="2914" t="str">
        <f>VLOOKUP(AC2,KI4_IPArapot,31,FALSE)</f>
        <v>D+</v>
      </c>
      <c r="U240" s="2915"/>
      <c r="V240" s="2927" t="str">
        <f>VLOOKUP(AC2,DESGAB_IPA,4,FALSE)</f>
        <v xml:space="preserve">Baik dalam Menyajikan laporan tentang sumberdaya alam dan pemanfaatannya oleh masyarakat.   </v>
      </c>
      <c r="W240" s="2928"/>
      <c r="X240" s="2928"/>
      <c r="Y240" s="2928"/>
      <c r="Z240" s="2929"/>
      <c r="AA240" s="1721"/>
      <c r="AB240" s="1706"/>
      <c r="AC240" s="1706"/>
      <c r="AD240" s="1706"/>
      <c r="AE240" s="1706"/>
      <c r="AF240" s="1706"/>
      <c r="AG240" s="1706"/>
      <c r="AH240" s="1706"/>
      <c r="AI240" s="1706"/>
    </row>
    <row r="241" spans="1:35" x14ac:dyDescent="0.2">
      <c r="A241" s="2964"/>
      <c r="B241" s="2965"/>
      <c r="C241" s="3048"/>
      <c r="D241" s="3049"/>
      <c r="E241" s="3049"/>
      <c r="F241" s="3049"/>
      <c r="G241" s="3049"/>
      <c r="H241" s="3050"/>
      <c r="I241" s="2916"/>
      <c r="J241" s="2917"/>
      <c r="K241" s="2916"/>
      <c r="L241" s="2917"/>
      <c r="M241" s="2930"/>
      <c r="N241" s="2931"/>
      <c r="O241" s="2931"/>
      <c r="P241" s="2931"/>
      <c r="Q241" s="2932"/>
      <c r="R241" s="2916"/>
      <c r="S241" s="2917"/>
      <c r="T241" s="2916"/>
      <c r="U241" s="2917"/>
      <c r="V241" s="2930"/>
      <c r="W241" s="2931"/>
      <c r="X241" s="2931"/>
      <c r="Y241" s="2931"/>
      <c r="Z241" s="2932"/>
      <c r="AA241" s="1721"/>
      <c r="AB241" s="1706"/>
      <c r="AC241" s="1706"/>
      <c r="AD241" s="1706"/>
      <c r="AE241" s="1706"/>
      <c r="AF241" s="1706"/>
      <c r="AG241" s="1706"/>
      <c r="AH241" s="1706"/>
      <c r="AI241" s="1706"/>
    </row>
    <row r="242" spans="1:35" x14ac:dyDescent="0.2">
      <c r="A242" s="2964"/>
      <c r="B242" s="2965"/>
      <c r="C242" s="3048"/>
      <c r="D242" s="3049"/>
      <c r="E242" s="3049"/>
      <c r="F242" s="3049"/>
      <c r="G242" s="3049"/>
      <c r="H242" s="3050"/>
      <c r="I242" s="2916"/>
      <c r="J242" s="2917"/>
      <c r="K242" s="2916"/>
      <c r="L242" s="2917"/>
      <c r="M242" s="2930"/>
      <c r="N242" s="2931"/>
      <c r="O242" s="2931"/>
      <c r="P242" s="2931"/>
      <c r="Q242" s="2932"/>
      <c r="R242" s="2916"/>
      <c r="S242" s="2917"/>
      <c r="T242" s="2916"/>
      <c r="U242" s="2917"/>
      <c r="V242" s="2930"/>
      <c r="W242" s="2931"/>
      <c r="X242" s="2931"/>
      <c r="Y242" s="2931"/>
      <c r="Z242" s="2932"/>
      <c r="AA242" s="1721"/>
      <c r="AB242" s="1706"/>
      <c r="AC242" s="1706"/>
      <c r="AD242" s="1706"/>
      <c r="AE242" s="1706"/>
      <c r="AF242" s="1706"/>
      <c r="AG242" s="1706"/>
      <c r="AH242" s="1706"/>
      <c r="AI242" s="1706"/>
    </row>
    <row r="243" spans="1:35" x14ac:dyDescent="0.2">
      <c r="A243" s="2964"/>
      <c r="B243" s="2965"/>
      <c r="C243" s="3048"/>
      <c r="D243" s="3049"/>
      <c r="E243" s="3049"/>
      <c r="F243" s="3049"/>
      <c r="G243" s="3049"/>
      <c r="H243" s="3050"/>
      <c r="I243" s="2916"/>
      <c r="J243" s="2917"/>
      <c r="K243" s="2916"/>
      <c r="L243" s="2917"/>
      <c r="M243" s="2930"/>
      <c r="N243" s="2931"/>
      <c r="O243" s="2931"/>
      <c r="P243" s="2931"/>
      <c r="Q243" s="2932"/>
      <c r="R243" s="2916"/>
      <c r="S243" s="2917"/>
      <c r="T243" s="2916"/>
      <c r="U243" s="2917"/>
      <c r="V243" s="2930"/>
      <c r="W243" s="2931"/>
      <c r="X243" s="2931"/>
      <c r="Y243" s="2931"/>
      <c r="Z243" s="2932"/>
      <c r="AA243" s="1721"/>
      <c r="AB243" s="1706"/>
      <c r="AC243" s="1706"/>
      <c r="AD243" s="1706"/>
      <c r="AE243" s="1706"/>
      <c r="AF243" s="1706"/>
      <c r="AG243" s="1706"/>
      <c r="AH243" s="1706"/>
      <c r="AI243" s="1706"/>
    </row>
    <row r="244" spans="1:35" x14ac:dyDescent="0.2">
      <c r="A244" s="2964"/>
      <c r="B244" s="2965"/>
      <c r="C244" s="3048"/>
      <c r="D244" s="3049"/>
      <c r="E244" s="3049"/>
      <c r="F244" s="3049"/>
      <c r="G244" s="3049"/>
      <c r="H244" s="3050"/>
      <c r="I244" s="2916"/>
      <c r="J244" s="2917"/>
      <c r="K244" s="2916"/>
      <c r="L244" s="2917"/>
      <c r="M244" s="2930"/>
      <c r="N244" s="2931"/>
      <c r="O244" s="2931"/>
      <c r="P244" s="2931"/>
      <c r="Q244" s="2932"/>
      <c r="R244" s="2916"/>
      <c r="S244" s="2917"/>
      <c r="T244" s="2916"/>
      <c r="U244" s="2917"/>
      <c r="V244" s="2930"/>
      <c r="W244" s="2931"/>
      <c r="X244" s="2931"/>
      <c r="Y244" s="2931"/>
      <c r="Z244" s="2932"/>
      <c r="AA244" s="1721"/>
      <c r="AB244" s="1706"/>
      <c r="AC244" s="1706"/>
      <c r="AD244" s="1706"/>
      <c r="AE244" s="1706"/>
      <c r="AF244" s="1706"/>
      <c r="AG244" s="1706"/>
      <c r="AH244" s="1706"/>
      <c r="AI244" s="1706"/>
    </row>
    <row r="245" spans="1:35" x14ac:dyDescent="0.2">
      <c r="A245" s="2964"/>
      <c r="B245" s="2965"/>
      <c r="C245" s="3048"/>
      <c r="D245" s="3049"/>
      <c r="E245" s="3049"/>
      <c r="F245" s="3049"/>
      <c r="G245" s="3049"/>
      <c r="H245" s="3050"/>
      <c r="I245" s="2916"/>
      <c r="J245" s="2917"/>
      <c r="K245" s="2916"/>
      <c r="L245" s="2917"/>
      <c r="M245" s="2930"/>
      <c r="N245" s="2931"/>
      <c r="O245" s="2931"/>
      <c r="P245" s="2931"/>
      <c r="Q245" s="2932"/>
      <c r="R245" s="2916"/>
      <c r="S245" s="2917"/>
      <c r="T245" s="2916"/>
      <c r="U245" s="2917"/>
      <c r="V245" s="2930"/>
      <c r="W245" s="2931"/>
      <c r="X245" s="2931"/>
      <c r="Y245" s="2931"/>
      <c r="Z245" s="2932"/>
      <c r="AA245" s="1721"/>
      <c r="AB245" s="1706"/>
      <c r="AC245" s="1706"/>
      <c r="AD245" s="1706"/>
      <c r="AE245" s="1706"/>
      <c r="AF245" s="1706"/>
      <c r="AG245" s="1706"/>
      <c r="AH245" s="1706"/>
      <c r="AI245" s="1706"/>
    </row>
    <row r="246" spans="1:35" x14ac:dyDescent="0.2">
      <c r="A246" s="2964"/>
      <c r="B246" s="2965"/>
      <c r="C246" s="3048"/>
      <c r="D246" s="3049"/>
      <c r="E246" s="3049"/>
      <c r="F246" s="3049"/>
      <c r="G246" s="3049"/>
      <c r="H246" s="3050"/>
      <c r="I246" s="2916"/>
      <c r="J246" s="2917"/>
      <c r="K246" s="2916"/>
      <c r="L246" s="2917"/>
      <c r="M246" s="2930"/>
      <c r="N246" s="2931"/>
      <c r="O246" s="2931"/>
      <c r="P246" s="2931"/>
      <c r="Q246" s="2932"/>
      <c r="R246" s="2916"/>
      <c r="S246" s="2917"/>
      <c r="T246" s="2916"/>
      <c r="U246" s="2917"/>
      <c r="V246" s="2930"/>
      <c r="W246" s="2931"/>
      <c r="X246" s="2931"/>
      <c r="Y246" s="2931"/>
      <c r="Z246" s="2932"/>
      <c r="AA246" s="1721"/>
      <c r="AB246" s="1706"/>
      <c r="AC246" s="1706"/>
      <c r="AD246" s="1706"/>
      <c r="AE246" s="1706"/>
      <c r="AF246" s="1706"/>
      <c r="AG246" s="1706"/>
      <c r="AH246" s="1706"/>
      <c r="AI246" s="1706"/>
    </row>
    <row r="247" spans="1:35" x14ac:dyDescent="0.2">
      <c r="A247" s="2964"/>
      <c r="B247" s="2965"/>
      <c r="C247" s="3048"/>
      <c r="D247" s="3049"/>
      <c r="E247" s="3049"/>
      <c r="F247" s="3049"/>
      <c r="G247" s="3049"/>
      <c r="H247" s="3050"/>
      <c r="I247" s="2916"/>
      <c r="J247" s="2917"/>
      <c r="K247" s="2916"/>
      <c r="L247" s="2917"/>
      <c r="M247" s="2930"/>
      <c r="N247" s="2931"/>
      <c r="O247" s="2931"/>
      <c r="P247" s="2931"/>
      <c r="Q247" s="2932"/>
      <c r="R247" s="2916"/>
      <c r="S247" s="2917"/>
      <c r="T247" s="2916"/>
      <c r="U247" s="2917"/>
      <c r="V247" s="2930"/>
      <c r="W247" s="2931"/>
      <c r="X247" s="2931"/>
      <c r="Y247" s="2931"/>
      <c r="Z247" s="2932"/>
      <c r="AA247" s="1721"/>
      <c r="AB247" s="1706"/>
      <c r="AC247" s="1706"/>
      <c r="AD247" s="1706"/>
      <c r="AE247" s="1706"/>
      <c r="AF247" s="1706"/>
      <c r="AG247" s="1706"/>
      <c r="AH247" s="1706"/>
      <c r="AI247" s="1706"/>
    </row>
    <row r="248" spans="1:35" x14ac:dyDescent="0.2">
      <c r="A248" s="2964"/>
      <c r="B248" s="2965"/>
      <c r="C248" s="3048"/>
      <c r="D248" s="3049"/>
      <c r="E248" s="3049"/>
      <c r="F248" s="3049"/>
      <c r="G248" s="3049"/>
      <c r="H248" s="3050"/>
      <c r="I248" s="2916"/>
      <c r="J248" s="2917"/>
      <c r="K248" s="2916"/>
      <c r="L248" s="2917"/>
      <c r="M248" s="2930"/>
      <c r="N248" s="2931"/>
      <c r="O248" s="2931"/>
      <c r="P248" s="2931"/>
      <c r="Q248" s="2932"/>
      <c r="R248" s="2916"/>
      <c r="S248" s="2917"/>
      <c r="T248" s="2916"/>
      <c r="U248" s="2917"/>
      <c r="V248" s="2930"/>
      <c r="W248" s="2931"/>
      <c r="X248" s="2931"/>
      <c r="Y248" s="2931"/>
      <c r="Z248" s="2932"/>
      <c r="AA248" s="1721"/>
      <c r="AB248" s="1706"/>
      <c r="AC248" s="1706"/>
      <c r="AD248" s="1706"/>
      <c r="AE248" s="1706"/>
      <c r="AF248" s="1706"/>
      <c r="AG248" s="1706"/>
      <c r="AH248" s="1706"/>
      <c r="AI248" s="1706"/>
    </row>
    <row r="249" spans="1:35" x14ac:dyDescent="0.2">
      <c r="A249" s="2964"/>
      <c r="B249" s="2965"/>
      <c r="C249" s="3048"/>
      <c r="D249" s="3049"/>
      <c r="E249" s="3049"/>
      <c r="F249" s="3049"/>
      <c r="G249" s="3049"/>
      <c r="H249" s="3050"/>
      <c r="I249" s="2916"/>
      <c r="J249" s="2917"/>
      <c r="K249" s="2916"/>
      <c r="L249" s="2917"/>
      <c r="M249" s="2930"/>
      <c r="N249" s="2931"/>
      <c r="O249" s="2931"/>
      <c r="P249" s="2931"/>
      <c r="Q249" s="2932"/>
      <c r="R249" s="2916"/>
      <c r="S249" s="2917"/>
      <c r="T249" s="2916"/>
      <c r="U249" s="2917"/>
      <c r="V249" s="2930"/>
      <c r="W249" s="2931"/>
      <c r="X249" s="2931"/>
      <c r="Y249" s="2931"/>
      <c r="Z249" s="2932"/>
      <c r="AA249" s="1721"/>
      <c r="AB249" s="1706"/>
      <c r="AC249" s="1706"/>
      <c r="AD249" s="1706"/>
      <c r="AE249" s="1706"/>
      <c r="AF249" s="1706"/>
      <c r="AG249" s="1706"/>
      <c r="AH249" s="1706"/>
      <c r="AI249" s="1706"/>
    </row>
    <row r="250" spans="1:35" x14ac:dyDescent="0.2">
      <c r="A250" s="2964"/>
      <c r="B250" s="2965"/>
      <c r="C250" s="3048"/>
      <c r="D250" s="3049"/>
      <c r="E250" s="3049"/>
      <c r="F250" s="3049"/>
      <c r="G250" s="3049"/>
      <c r="H250" s="3050"/>
      <c r="I250" s="2916"/>
      <c r="J250" s="2917"/>
      <c r="K250" s="2916"/>
      <c r="L250" s="2917"/>
      <c r="M250" s="2930"/>
      <c r="N250" s="2931"/>
      <c r="O250" s="2931"/>
      <c r="P250" s="2931"/>
      <c r="Q250" s="2932"/>
      <c r="R250" s="2916"/>
      <c r="S250" s="2917"/>
      <c r="T250" s="2916"/>
      <c r="U250" s="2917"/>
      <c r="V250" s="2930"/>
      <c r="W250" s="2931"/>
      <c r="X250" s="2931"/>
      <c r="Y250" s="2931"/>
      <c r="Z250" s="2932"/>
      <c r="AA250" s="1721"/>
      <c r="AB250" s="1706"/>
      <c r="AC250" s="1706"/>
      <c r="AD250" s="1706"/>
      <c r="AE250" s="1706"/>
      <c r="AF250" s="1706"/>
      <c r="AG250" s="1706"/>
      <c r="AH250" s="1706"/>
      <c r="AI250" s="1706"/>
    </row>
    <row r="251" spans="1:35" x14ac:dyDescent="0.2">
      <c r="A251" s="2964"/>
      <c r="B251" s="2965"/>
      <c r="C251" s="3048"/>
      <c r="D251" s="3049"/>
      <c r="E251" s="3049"/>
      <c r="F251" s="3049"/>
      <c r="G251" s="3049"/>
      <c r="H251" s="3050"/>
      <c r="I251" s="2916"/>
      <c r="J251" s="2917"/>
      <c r="K251" s="2916"/>
      <c r="L251" s="2917"/>
      <c r="M251" s="2930"/>
      <c r="N251" s="2931"/>
      <c r="O251" s="2931"/>
      <c r="P251" s="2931"/>
      <c r="Q251" s="2932"/>
      <c r="R251" s="2916"/>
      <c r="S251" s="2917"/>
      <c r="T251" s="2916"/>
      <c r="U251" s="2917"/>
      <c r="V251" s="2930"/>
      <c r="W251" s="2931"/>
      <c r="X251" s="2931"/>
      <c r="Y251" s="2931"/>
      <c r="Z251" s="2932"/>
      <c r="AA251" s="1721"/>
      <c r="AB251" s="1706"/>
      <c r="AC251" s="1706"/>
      <c r="AD251" s="1706"/>
      <c r="AE251" s="1706"/>
      <c r="AF251" s="1706"/>
      <c r="AG251" s="1706"/>
      <c r="AH251" s="1706"/>
      <c r="AI251" s="1706"/>
    </row>
    <row r="252" spans="1:35" x14ac:dyDescent="0.2">
      <c r="A252" s="2964"/>
      <c r="B252" s="2965"/>
      <c r="C252" s="3048"/>
      <c r="D252" s="3049"/>
      <c r="E252" s="3049"/>
      <c r="F252" s="3049"/>
      <c r="G252" s="3049"/>
      <c r="H252" s="3050"/>
      <c r="I252" s="2916"/>
      <c r="J252" s="2917"/>
      <c r="K252" s="2916"/>
      <c r="L252" s="2917"/>
      <c r="M252" s="2930"/>
      <c r="N252" s="2931"/>
      <c r="O252" s="2931"/>
      <c r="P252" s="2931"/>
      <c r="Q252" s="2932"/>
      <c r="R252" s="2916"/>
      <c r="S252" s="2917"/>
      <c r="T252" s="2916"/>
      <c r="U252" s="2917"/>
      <c r="V252" s="2930"/>
      <c r="W252" s="2931"/>
      <c r="X252" s="2931"/>
      <c r="Y252" s="2931"/>
      <c r="Z252" s="2932"/>
      <c r="AA252" s="1721"/>
      <c r="AB252" s="1706"/>
      <c r="AC252" s="1706"/>
      <c r="AD252" s="1706"/>
      <c r="AE252" s="1706"/>
      <c r="AF252" s="1706"/>
      <c r="AG252" s="1706"/>
      <c r="AH252" s="1706"/>
      <c r="AI252" s="1706"/>
    </row>
    <row r="253" spans="1:35" x14ac:dyDescent="0.2">
      <c r="A253" s="2964"/>
      <c r="B253" s="2965"/>
      <c r="C253" s="3048"/>
      <c r="D253" s="3049"/>
      <c r="E253" s="3049"/>
      <c r="F253" s="3049"/>
      <c r="G253" s="3049"/>
      <c r="H253" s="3050"/>
      <c r="I253" s="2916"/>
      <c r="J253" s="2917"/>
      <c r="K253" s="2916"/>
      <c r="L253" s="2917"/>
      <c r="M253" s="2930"/>
      <c r="N253" s="2931"/>
      <c r="O253" s="2931"/>
      <c r="P253" s="2931"/>
      <c r="Q253" s="2932"/>
      <c r="R253" s="2916"/>
      <c r="S253" s="2917"/>
      <c r="T253" s="2916"/>
      <c r="U253" s="2917"/>
      <c r="V253" s="2930"/>
      <c r="W253" s="2931"/>
      <c r="X253" s="2931"/>
      <c r="Y253" s="2931"/>
      <c r="Z253" s="2932"/>
      <c r="AA253" s="1721"/>
      <c r="AB253" s="1706"/>
      <c r="AC253" s="1706"/>
      <c r="AD253" s="1706"/>
      <c r="AE253" s="1706"/>
      <c r="AF253" s="1706"/>
      <c r="AG253" s="1706"/>
      <c r="AH253" s="1706"/>
      <c r="AI253" s="1706"/>
    </row>
    <row r="254" spans="1:35" x14ac:dyDescent="0.2">
      <c r="A254" s="2964"/>
      <c r="B254" s="2965"/>
      <c r="C254" s="3048"/>
      <c r="D254" s="3049"/>
      <c r="E254" s="3049"/>
      <c r="F254" s="3049"/>
      <c r="G254" s="3049"/>
      <c r="H254" s="3050"/>
      <c r="I254" s="2916"/>
      <c r="J254" s="2917"/>
      <c r="K254" s="2916"/>
      <c r="L254" s="2917"/>
      <c r="M254" s="2930"/>
      <c r="N254" s="2931"/>
      <c r="O254" s="2931"/>
      <c r="P254" s="2931"/>
      <c r="Q254" s="2932"/>
      <c r="R254" s="2916"/>
      <c r="S254" s="2917"/>
      <c r="T254" s="2916"/>
      <c r="U254" s="2917"/>
      <c r="V254" s="2930"/>
      <c r="W254" s="2931"/>
      <c r="X254" s="2931"/>
      <c r="Y254" s="2931"/>
      <c r="Z254" s="2932"/>
      <c r="AA254" s="1721"/>
      <c r="AB254" s="1706"/>
      <c r="AC254" s="1706"/>
      <c r="AD254" s="1706"/>
      <c r="AE254" s="1706"/>
      <c r="AF254" s="1706"/>
      <c r="AG254" s="1706"/>
      <c r="AH254" s="1706"/>
      <c r="AI254" s="1706"/>
    </row>
    <row r="255" spans="1:35" x14ac:dyDescent="0.2">
      <c r="A255" s="2964"/>
      <c r="B255" s="2965"/>
      <c r="C255" s="3048"/>
      <c r="D255" s="3049"/>
      <c r="E255" s="3049"/>
      <c r="F255" s="3049"/>
      <c r="G255" s="3049"/>
      <c r="H255" s="3050"/>
      <c r="I255" s="2916"/>
      <c r="J255" s="2917"/>
      <c r="K255" s="2916"/>
      <c r="L255" s="2917"/>
      <c r="M255" s="2930"/>
      <c r="N255" s="2931"/>
      <c r="O255" s="2931"/>
      <c r="P255" s="2931"/>
      <c r="Q255" s="2932"/>
      <c r="R255" s="2916"/>
      <c r="S255" s="2917"/>
      <c r="T255" s="2916"/>
      <c r="U255" s="2917"/>
      <c r="V255" s="2930"/>
      <c r="W255" s="2931"/>
      <c r="X255" s="2931"/>
      <c r="Y255" s="2931"/>
      <c r="Z255" s="2932"/>
      <c r="AA255" s="1721"/>
      <c r="AB255" s="1706"/>
      <c r="AC255" s="1706"/>
      <c r="AD255" s="1706"/>
      <c r="AE255" s="1706"/>
      <c r="AF255" s="1706"/>
      <c r="AG255" s="1706"/>
      <c r="AH255" s="1706"/>
      <c r="AI255" s="1706"/>
    </row>
    <row r="256" spans="1:35" x14ac:dyDescent="0.2">
      <c r="A256" s="2964"/>
      <c r="B256" s="2965"/>
      <c r="C256" s="3048"/>
      <c r="D256" s="3049"/>
      <c r="E256" s="3049"/>
      <c r="F256" s="3049"/>
      <c r="G256" s="3049"/>
      <c r="H256" s="3050"/>
      <c r="I256" s="2916"/>
      <c r="J256" s="2917"/>
      <c r="K256" s="2916"/>
      <c r="L256" s="2917"/>
      <c r="M256" s="2930"/>
      <c r="N256" s="2931"/>
      <c r="O256" s="2931"/>
      <c r="P256" s="2931"/>
      <c r="Q256" s="2932"/>
      <c r="R256" s="2916"/>
      <c r="S256" s="2917"/>
      <c r="T256" s="2916"/>
      <c r="U256" s="2917"/>
      <c r="V256" s="2930"/>
      <c r="W256" s="2931"/>
      <c r="X256" s="2931"/>
      <c r="Y256" s="2931"/>
      <c r="Z256" s="2932"/>
      <c r="AA256" s="1721"/>
      <c r="AB256" s="1706"/>
      <c r="AC256" s="1706"/>
      <c r="AD256" s="1706"/>
      <c r="AE256" s="1706"/>
      <c r="AF256" s="1706"/>
      <c r="AG256" s="1706"/>
      <c r="AH256" s="1706"/>
      <c r="AI256" s="1706"/>
    </row>
    <row r="257" spans="1:37" x14ac:dyDescent="0.2">
      <c r="A257" s="2964"/>
      <c r="B257" s="2965"/>
      <c r="C257" s="3048"/>
      <c r="D257" s="3049"/>
      <c r="E257" s="3049"/>
      <c r="F257" s="3049"/>
      <c r="G257" s="3049"/>
      <c r="H257" s="3050"/>
      <c r="I257" s="2916"/>
      <c r="J257" s="2917"/>
      <c r="K257" s="2916"/>
      <c r="L257" s="2917"/>
      <c r="M257" s="2930"/>
      <c r="N257" s="2931"/>
      <c r="O257" s="2931"/>
      <c r="P257" s="2931"/>
      <c r="Q257" s="2932"/>
      <c r="R257" s="2916"/>
      <c r="S257" s="2917"/>
      <c r="T257" s="2916"/>
      <c r="U257" s="2917"/>
      <c r="V257" s="2930"/>
      <c r="W257" s="2931"/>
      <c r="X257" s="2931"/>
      <c r="Y257" s="2931"/>
      <c r="Z257" s="2932"/>
      <c r="AA257" s="1721"/>
      <c r="AB257" s="1706"/>
      <c r="AC257" s="1706"/>
      <c r="AD257" s="1706"/>
      <c r="AE257" s="1706"/>
      <c r="AF257" s="1706"/>
      <c r="AG257" s="1706"/>
      <c r="AH257" s="1706"/>
      <c r="AI257" s="1706"/>
    </row>
    <row r="258" spans="1:37" x14ac:dyDescent="0.2">
      <c r="A258" s="2964"/>
      <c r="B258" s="2965"/>
      <c r="C258" s="3048"/>
      <c r="D258" s="3049"/>
      <c r="E258" s="3049"/>
      <c r="F258" s="3049"/>
      <c r="G258" s="3049"/>
      <c r="H258" s="3050"/>
      <c r="I258" s="2916"/>
      <c r="J258" s="2917"/>
      <c r="K258" s="2916"/>
      <c r="L258" s="2917"/>
      <c r="M258" s="2930"/>
      <c r="N258" s="2931"/>
      <c r="O258" s="2931"/>
      <c r="P258" s="2931"/>
      <c r="Q258" s="2932"/>
      <c r="R258" s="2916"/>
      <c r="S258" s="2917"/>
      <c r="T258" s="2916"/>
      <c r="U258" s="2917"/>
      <c r="V258" s="2930"/>
      <c r="W258" s="2931"/>
      <c r="X258" s="2931"/>
      <c r="Y258" s="2931"/>
      <c r="Z258" s="2932"/>
      <c r="AA258" s="1721"/>
      <c r="AB258" s="1706"/>
      <c r="AC258" s="1706"/>
      <c r="AD258" s="1706"/>
      <c r="AE258" s="1706"/>
      <c r="AF258" s="1706"/>
      <c r="AG258" s="1706"/>
      <c r="AH258" s="1706"/>
      <c r="AI258" s="1706"/>
    </row>
    <row r="259" spans="1:37" x14ac:dyDescent="0.2">
      <c r="A259" s="2964"/>
      <c r="B259" s="2965"/>
      <c r="C259" s="3048"/>
      <c r="D259" s="3049"/>
      <c r="E259" s="3049"/>
      <c r="F259" s="3049"/>
      <c r="G259" s="3049"/>
      <c r="H259" s="3050"/>
      <c r="I259" s="2916"/>
      <c r="J259" s="2917"/>
      <c r="K259" s="2916"/>
      <c r="L259" s="2917"/>
      <c r="M259" s="2930"/>
      <c r="N259" s="2931"/>
      <c r="O259" s="2931"/>
      <c r="P259" s="2931"/>
      <c r="Q259" s="2932"/>
      <c r="R259" s="2916"/>
      <c r="S259" s="2917"/>
      <c r="T259" s="2916"/>
      <c r="U259" s="2917"/>
      <c r="V259" s="2930"/>
      <c r="W259" s="2931"/>
      <c r="X259" s="2931"/>
      <c r="Y259" s="2931"/>
      <c r="Z259" s="2932"/>
      <c r="AA259" s="1721"/>
      <c r="AB259" s="1706"/>
      <c r="AC259" s="1706"/>
      <c r="AD259" s="1706"/>
      <c r="AE259" s="1706"/>
      <c r="AF259" s="1706"/>
      <c r="AG259" s="1706"/>
      <c r="AH259" s="1706"/>
      <c r="AI259" s="1706"/>
    </row>
    <row r="260" spans="1:37" x14ac:dyDescent="0.2">
      <c r="A260" s="2964"/>
      <c r="B260" s="2965"/>
      <c r="C260" s="3048"/>
      <c r="D260" s="3049"/>
      <c r="E260" s="3049"/>
      <c r="F260" s="3049"/>
      <c r="G260" s="3049"/>
      <c r="H260" s="3050"/>
      <c r="I260" s="2916"/>
      <c r="J260" s="2917"/>
      <c r="K260" s="2916"/>
      <c r="L260" s="2917"/>
      <c r="M260" s="2930"/>
      <c r="N260" s="2931"/>
      <c r="O260" s="2931"/>
      <c r="P260" s="2931"/>
      <c r="Q260" s="2932"/>
      <c r="R260" s="2916"/>
      <c r="S260" s="2917"/>
      <c r="T260" s="2916"/>
      <c r="U260" s="2917"/>
      <c r="V260" s="2930"/>
      <c r="W260" s="2931"/>
      <c r="X260" s="2931"/>
      <c r="Y260" s="2931"/>
      <c r="Z260" s="2932"/>
      <c r="AA260" s="1721"/>
      <c r="AB260" s="2978" t="s">
        <v>257</v>
      </c>
      <c r="AC260" s="2978"/>
      <c r="AD260" s="2978"/>
      <c r="AE260" s="2978"/>
      <c r="AF260" s="2978"/>
      <c r="AG260" s="2978"/>
      <c r="AH260" s="2978"/>
      <c r="AI260" s="2978"/>
      <c r="AJ260" s="2978"/>
      <c r="AK260" s="2978"/>
    </row>
    <row r="261" spans="1:37" x14ac:dyDescent="0.2">
      <c r="A261" s="2966"/>
      <c r="B261" s="2967"/>
      <c r="C261" s="3051"/>
      <c r="D261" s="3052"/>
      <c r="E261" s="3052"/>
      <c r="F261" s="3052"/>
      <c r="G261" s="3052"/>
      <c r="H261" s="3053"/>
      <c r="I261" s="2918"/>
      <c r="J261" s="2919"/>
      <c r="K261" s="2918"/>
      <c r="L261" s="2919"/>
      <c r="M261" s="2933"/>
      <c r="N261" s="2934"/>
      <c r="O261" s="2934"/>
      <c r="P261" s="2934"/>
      <c r="Q261" s="2935"/>
      <c r="R261" s="2918"/>
      <c r="S261" s="2919"/>
      <c r="T261" s="2918"/>
      <c r="U261" s="2919"/>
      <c r="V261" s="2933"/>
      <c r="W261" s="2934"/>
      <c r="X261" s="2934"/>
      <c r="Y261" s="2934"/>
      <c r="Z261" s="2935"/>
      <c r="AA261" s="1721"/>
      <c r="AB261" s="2978"/>
      <c r="AC261" s="2978"/>
      <c r="AD261" s="2978"/>
      <c r="AE261" s="2978"/>
      <c r="AF261" s="2978"/>
      <c r="AG261" s="2978"/>
      <c r="AH261" s="2978"/>
      <c r="AI261" s="2978"/>
      <c r="AJ261" s="2978"/>
      <c r="AK261" s="2978"/>
    </row>
    <row r="262" spans="1:37" x14ac:dyDescent="0.2">
      <c r="A262" s="1749"/>
      <c r="B262" s="1720"/>
      <c r="C262" s="1720"/>
      <c r="D262" s="1720"/>
      <c r="E262" s="1720"/>
      <c r="F262" s="1720"/>
      <c r="G262" s="1720"/>
      <c r="H262" s="1720"/>
      <c r="I262" s="1720"/>
      <c r="J262" s="1720"/>
      <c r="K262" s="1720"/>
      <c r="L262" s="1720"/>
      <c r="M262" s="1720"/>
      <c r="N262" s="1720"/>
      <c r="O262" s="1720"/>
      <c r="P262" s="1720"/>
      <c r="Q262" s="1720"/>
      <c r="R262" s="1720"/>
      <c r="S262" s="1720"/>
      <c r="T262" s="1720"/>
      <c r="U262" s="1720"/>
      <c r="V262" s="1720"/>
      <c r="W262" s="1720"/>
      <c r="X262" s="1720"/>
      <c r="Y262" s="1720"/>
      <c r="Z262" s="1720"/>
      <c r="AA262" s="1721"/>
      <c r="AB262" s="1706"/>
      <c r="AC262" s="1706"/>
      <c r="AD262" s="1706"/>
      <c r="AE262" s="1706"/>
      <c r="AF262" s="1706"/>
      <c r="AG262" s="1706"/>
      <c r="AH262" s="1706"/>
      <c r="AI262" s="1706"/>
    </row>
    <row r="263" spans="1:37" ht="17.25" customHeight="1" x14ac:dyDescent="0.2">
      <c r="A263" s="2979" t="s">
        <v>419</v>
      </c>
      <c r="B263" s="2979"/>
      <c r="C263" s="2979" t="s">
        <v>420</v>
      </c>
      <c r="D263" s="2979"/>
      <c r="E263" s="2979"/>
      <c r="F263" s="2979"/>
      <c r="G263" s="2979"/>
      <c r="H263" s="2979"/>
      <c r="I263" s="2979" t="s">
        <v>421</v>
      </c>
      <c r="J263" s="2979"/>
      <c r="K263" s="2979"/>
      <c r="L263" s="2979"/>
      <c r="M263" s="2979"/>
      <c r="N263" s="2979"/>
      <c r="O263" s="2979"/>
      <c r="P263" s="2979"/>
      <c r="Q263" s="2979"/>
      <c r="R263" s="2979" t="s">
        <v>424</v>
      </c>
      <c r="S263" s="2979"/>
      <c r="T263" s="2979"/>
      <c r="U263" s="2979"/>
      <c r="V263" s="2979"/>
      <c r="W263" s="2979"/>
      <c r="X263" s="2979"/>
      <c r="Y263" s="2979"/>
      <c r="Z263" s="2979"/>
      <c r="AA263" s="1721"/>
      <c r="AB263" s="2981">
        <f>AB206</f>
        <v>6</v>
      </c>
      <c r="AC263" s="2983" t="str">
        <f>AC206</f>
        <v>Asyam Hanif Ihsan H</v>
      </c>
      <c r="AD263" s="2984"/>
      <c r="AE263" s="2984"/>
      <c r="AF263" s="2985"/>
      <c r="AG263" s="1706"/>
      <c r="AH263" s="1706"/>
      <c r="AI263" s="1706"/>
    </row>
    <row r="264" spans="1:37" ht="20.25" customHeight="1" x14ac:dyDescent="0.2">
      <c r="A264" s="2979"/>
      <c r="B264" s="2979"/>
      <c r="C264" s="2979"/>
      <c r="D264" s="2979"/>
      <c r="E264" s="2979"/>
      <c r="F264" s="2979"/>
      <c r="G264" s="2979"/>
      <c r="H264" s="2979"/>
      <c r="I264" s="2979" t="s">
        <v>422</v>
      </c>
      <c r="J264" s="2979"/>
      <c r="K264" s="2979" t="s">
        <v>423</v>
      </c>
      <c r="L264" s="2979"/>
      <c r="M264" s="2979" t="s">
        <v>412</v>
      </c>
      <c r="N264" s="2979"/>
      <c r="O264" s="2979"/>
      <c r="P264" s="2979"/>
      <c r="Q264" s="2979"/>
      <c r="R264" s="2979" t="s">
        <v>422</v>
      </c>
      <c r="S264" s="2979"/>
      <c r="T264" s="2979" t="s">
        <v>423</v>
      </c>
      <c r="U264" s="2979"/>
      <c r="V264" s="2979" t="s">
        <v>412</v>
      </c>
      <c r="W264" s="2979"/>
      <c r="X264" s="2979"/>
      <c r="Y264" s="2979"/>
      <c r="Z264" s="2979"/>
      <c r="AA264" s="1721"/>
      <c r="AB264" s="2982"/>
      <c r="AC264" s="2986"/>
      <c r="AD264" s="2987"/>
      <c r="AE264" s="2987"/>
      <c r="AF264" s="2988"/>
      <c r="AG264" s="1706"/>
      <c r="AH264" s="1706"/>
      <c r="AI264" s="1706"/>
    </row>
    <row r="265" spans="1:37" ht="14.25" customHeight="1" x14ac:dyDescent="0.2">
      <c r="A265" s="2926">
        <v>6</v>
      </c>
      <c r="B265" s="2926"/>
      <c r="C265" s="3085" t="s">
        <v>715</v>
      </c>
      <c r="D265" s="3085"/>
      <c r="E265" s="3085"/>
      <c r="F265" s="3085"/>
      <c r="G265" s="3085"/>
      <c r="H265" s="3085"/>
      <c r="I265" s="2914">
        <f>VLOOKUP(AC2,KI3_IPSrapot,20,FALSE)</f>
        <v>0</v>
      </c>
      <c r="J265" s="2915"/>
      <c r="K265" s="2914" t="str">
        <f>VLOOKUP(AC2,KI3_IPSrapot,21,FALSE)</f>
        <v>D+</v>
      </c>
      <c r="L265" s="2915"/>
      <c r="M265" s="2927" t="str">
        <f>VLOOKUP(AC2,DESGAB_IPS,3,FALSE)</f>
        <v xml:space="preserve">    </v>
      </c>
      <c r="N265" s="2928"/>
      <c r="O265" s="2928"/>
      <c r="P265" s="2928"/>
      <c r="Q265" s="2929"/>
      <c r="R265" s="2914">
        <f>VLOOKUP(AC2,KI4_IPSrapot,32,FALSE)</f>
        <v>0</v>
      </c>
      <c r="S265" s="2915"/>
      <c r="T265" s="2914" t="str">
        <f>VLOOKUP(AC2,KI4_IPSrapot,33,FALSE)</f>
        <v>D+</v>
      </c>
      <c r="U265" s="2915"/>
      <c r="V265" s="2927" t="str">
        <f>VLOOKUP(AC2,DESGAB_IPS,4,FALSE)</f>
        <v xml:space="preserve">    </v>
      </c>
      <c r="W265" s="2928"/>
      <c r="X265" s="2928"/>
      <c r="Y265" s="2928"/>
      <c r="Z265" s="2929"/>
      <c r="AA265" s="1721"/>
      <c r="AB265" s="2956" t="s">
        <v>456</v>
      </c>
      <c r="AC265" s="2957"/>
      <c r="AD265" s="2957"/>
      <c r="AE265" s="2957"/>
      <c r="AF265" s="2958"/>
      <c r="AG265" s="1706"/>
      <c r="AH265" s="1706"/>
      <c r="AI265" s="1706"/>
    </row>
    <row r="266" spans="1:37" ht="14.25" customHeight="1" x14ac:dyDescent="0.2">
      <c r="A266" s="2926"/>
      <c r="B266" s="2926"/>
      <c r="C266" s="3085"/>
      <c r="D266" s="3085"/>
      <c r="E266" s="3085"/>
      <c r="F266" s="3085"/>
      <c r="G266" s="3085"/>
      <c r="H266" s="3085"/>
      <c r="I266" s="2916"/>
      <c r="J266" s="2917"/>
      <c r="K266" s="2916"/>
      <c r="L266" s="2917"/>
      <c r="M266" s="2930"/>
      <c r="N266" s="2931"/>
      <c r="O266" s="2931"/>
      <c r="P266" s="2931"/>
      <c r="Q266" s="2932"/>
      <c r="R266" s="2916"/>
      <c r="S266" s="2917"/>
      <c r="T266" s="2916"/>
      <c r="U266" s="2917"/>
      <c r="V266" s="2930"/>
      <c r="W266" s="2931"/>
      <c r="X266" s="2931"/>
      <c r="Y266" s="2931"/>
      <c r="Z266" s="2932"/>
      <c r="AA266" s="1721"/>
      <c r="AB266" s="2959"/>
      <c r="AC266" s="2960"/>
      <c r="AD266" s="2960"/>
      <c r="AE266" s="2960"/>
      <c r="AF266" s="2961"/>
      <c r="AG266" s="1706"/>
      <c r="AH266" s="1706"/>
      <c r="AI266" s="1706"/>
    </row>
    <row r="267" spans="1:37" x14ac:dyDescent="0.2">
      <c r="A267" s="2926"/>
      <c r="B267" s="2926"/>
      <c r="C267" s="3085"/>
      <c r="D267" s="3085"/>
      <c r="E267" s="3085"/>
      <c r="F267" s="3085"/>
      <c r="G267" s="3085"/>
      <c r="H267" s="3085"/>
      <c r="I267" s="2916"/>
      <c r="J267" s="2917"/>
      <c r="K267" s="2916"/>
      <c r="L267" s="2917"/>
      <c r="M267" s="2930"/>
      <c r="N267" s="2931"/>
      <c r="O267" s="2931"/>
      <c r="P267" s="2931"/>
      <c r="Q267" s="2932"/>
      <c r="R267" s="2916"/>
      <c r="S267" s="2917"/>
      <c r="T267" s="2916"/>
      <c r="U267" s="2917"/>
      <c r="V267" s="2930"/>
      <c r="W267" s="2931"/>
      <c r="X267" s="2931"/>
      <c r="Y267" s="2931"/>
      <c r="Z267" s="2932"/>
      <c r="AA267" s="1721"/>
      <c r="AB267" s="1706"/>
      <c r="AC267" s="1706"/>
      <c r="AD267" s="1706"/>
      <c r="AE267" s="1706"/>
      <c r="AF267" s="1706"/>
      <c r="AG267" s="1706"/>
      <c r="AH267" s="1706"/>
      <c r="AI267" s="1706"/>
    </row>
    <row r="268" spans="1:37" x14ac:dyDescent="0.2">
      <c r="A268" s="2926"/>
      <c r="B268" s="2926"/>
      <c r="C268" s="3085"/>
      <c r="D268" s="3085"/>
      <c r="E268" s="3085"/>
      <c r="F268" s="3085"/>
      <c r="G268" s="3085"/>
      <c r="H268" s="3085"/>
      <c r="I268" s="2916"/>
      <c r="J268" s="2917"/>
      <c r="K268" s="2916"/>
      <c r="L268" s="2917"/>
      <c r="M268" s="2930"/>
      <c r="N268" s="2931"/>
      <c r="O268" s="2931"/>
      <c r="P268" s="2931"/>
      <c r="Q268" s="2932"/>
      <c r="R268" s="2916"/>
      <c r="S268" s="2917"/>
      <c r="T268" s="2916"/>
      <c r="U268" s="2917"/>
      <c r="V268" s="2930"/>
      <c r="W268" s="2931"/>
      <c r="X268" s="2931"/>
      <c r="Y268" s="2931"/>
      <c r="Z268" s="2932"/>
      <c r="AA268" s="1721"/>
      <c r="AB268" s="1706"/>
      <c r="AC268" s="1706"/>
      <c r="AD268" s="1706"/>
      <c r="AE268" s="1706"/>
      <c r="AF268" s="1706"/>
      <c r="AG268" s="1706"/>
      <c r="AH268" s="1706"/>
      <c r="AI268" s="1706"/>
    </row>
    <row r="269" spans="1:37" x14ac:dyDescent="0.2">
      <c r="A269" s="2926"/>
      <c r="B269" s="2926"/>
      <c r="C269" s="3085"/>
      <c r="D269" s="3085"/>
      <c r="E269" s="3085"/>
      <c r="F269" s="3085"/>
      <c r="G269" s="3085"/>
      <c r="H269" s="3085"/>
      <c r="I269" s="2916"/>
      <c r="J269" s="2917"/>
      <c r="K269" s="2916"/>
      <c r="L269" s="2917"/>
      <c r="M269" s="2930"/>
      <c r="N269" s="2931"/>
      <c r="O269" s="2931"/>
      <c r="P269" s="2931"/>
      <c r="Q269" s="2932"/>
      <c r="R269" s="2916"/>
      <c r="S269" s="2917"/>
      <c r="T269" s="2916"/>
      <c r="U269" s="2917"/>
      <c r="V269" s="2930"/>
      <c r="W269" s="2931"/>
      <c r="X269" s="2931"/>
      <c r="Y269" s="2931"/>
      <c r="Z269" s="2932"/>
      <c r="AA269" s="1721"/>
      <c r="AB269" s="1706"/>
      <c r="AC269" s="1706"/>
      <c r="AD269" s="1706"/>
      <c r="AE269" s="1706"/>
      <c r="AF269" s="1706"/>
      <c r="AG269" s="1706"/>
      <c r="AH269" s="1706"/>
      <c r="AI269" s="1706"/>
    </row>
    <row r="270" spans="1:37" x14ac:dyDescent="0.2">
      <c r="A270" s="2926"/>
      <c r="B270" s="2926"/>
      <c r="C270" s="3085"/>
      <c r="D270" s="3085"/>
      <c r="E270" s="3085"/>
      <c r="F270" s="3085"/>
      <c r="G270" s="3085"/>
      <c r="H270" s="3085"/>
      <c r="I270" s="2916"/>
      <c r="J270" s="2917"/>
      <c r="K270" s="2916"/>
      <c r="L270" s="2917"/>
      <c r="M270" s="2930"/>
      <c r="N270" s="2931"/>
      <c r="O270" s="2931"/>
      <c r="P270" s="2931"/>
      <c r="Q270" s="2932"/>
      <c r="R270" s="2916"/>
      <c r="S270" s="2917"/>
      <c r="T270" s="2916"/>
      <c r="U270" s="2917"/>
      <c r="V270" s="2930"/>
      <c r="W270" s="2931"/>
      <c r="X270" s="2931"/>
      <c r="Y270" s="2931"/>
      <c r="Z270" s="2932"/>
      <c r="AA270" s="1721"/>
      <c r="AB270" s="1706"/>
      <c r="AC270" s="1706"/>
      <c r="AD270" s="1706"/>
      <c r="AE270" s="1706"/>
      <c r="AF270" s="1706"/>
      <c r="AG270" s="1706"/>
      <c r="AH270" s="1706"/>
      <c r="AI270" s="1706"/>
    </row>
    <row r="271" spans="1:37" x14ac:dyDescent="0.2">
      <c r="A271" s="2926"/>
      <c r="B271" s="2926"/>
      <c r="C271" s="3085"/>
      <c r="D271" s="3085"/>
      <c r="E271" s="3085"/>
      <c r="F271" s="3085"/>
      <c r="G271" s="3085"/>
      <c r="H271" s="3085"/>
      <c r="I271" s="2916"/>
      <c r="J271" s="2917"/>
      <c r="K271" s="2916"/>
      <c r="L271" s="2917"/>
      <c r="M271" s="2930"/>
      <c r="N271" s="2931"/>
      <c r="O271" s="2931"/>
      <c r="P271" s="2931"/>
      <c r="Q271" s="2932"/>
      <c r="R271" s="2916"/>
      <c r="S271" s="2917"/>
      <c r="T271" s="2916"/>
      <c r="U271" s="2917"/>
      <c r="V271" s="2930"/>
      <c r="W271" s="2931"/>
      <c r="X271" s="2931"/>
      <c r="Y271" s="2931"/>
      <c r="Z271" s="2932"/>
      <c r="AA271" s="1721"/>
      <c r="AB271" s="1706"/>
      <c r="AC271" s="1706"/>
      <c r="AD271" s="1706"/>
      <c r="AE271" s="1706"/>
      <c r="AF271" s="1706"/>
      <c r="AG271" s="1706"/>
      <c r="AH271" s="1706"/>
      <c r="AI271" s="1706"/>
    </row>
    <row r="272" spans="1:37" x14ac:dyDescent="0.2">
      <c r="A272" s="2926"/>
      <c r="B272" s="2926"/>
      <c r="C272" s="3085"/>
      <c r="D272" s="3085"/>
      <c r="E272" s="3085"/>
      <c r="F272" s="3085"/>
      <c r="G272" s="3085"/>
      <c r="H272" s="3085"/>
      <c r="I272" s="2916"/>
      <c r="J272" s="2917"/>
      <c r="K272" s="2916"/>
      <c r="L272" s="2917"/>
      <c r="M272" s="2930"/>
      <c r="N272" s="2931"/>
      <c r="O272" s="2931"/>
      <c r="P272" s="2931"/>
      <c r="Q272" s="2932"/>
      <c r="R272" s="2916"/>
      <c r="S272" s="2917"/>
      <c r="T272" s="2916"/>
      <c r="U272" s="2917"/>
      <c r="V272" s="2930"/>
      <c r="W272" s="2931"/>
      <c r="X272" s="2931"/>
      <c r="Y272" s="2931"/>
      <c r="Z272" s="2932"/>
      <c r="AA272" s="1721"/>
      <c r="AB272" s="1706"/>
      <c r="AC272" s="1706"/>
      <c r="AD272" s="1706"/>
      <c r="AE272" s="1706"/>
      <c r="AF272" s="1706"/>
      <c r="AG272" s="1706"/>
      <c r="AH272" s="1706"/>
      <c r="AI272" s="1706"/>
    </row>
    <row r="273" spans="1:35" x14ac:dyDescent="0.2">
      <c r="A273" s="2926"/>
      <c r="B273" s="2926"/>
      <c r="C273" s="3085"/>
      <c r="D273" s="3085"/>
      <c r="E273" s="3085"/>
      <c r="F273" s="3085"/>
      <c r="G273" s="3085"/>
      <c r="H273" s="3085"/>
      <c r="I273" s="2916"/>
      <c r="J273" s="2917"/>
      <c r="K273" s="2916"/>
      <c r="L273" s="2917"/>
      <c r="M273" s="2930"/>
      <c r="N273" s="2931"/>
      <c r="O273" s="2931"/>
      <c r="P273" s="2931"/>
      <c r="Q273" s="2932"/>
      <c r="R273" s="2916"/>
      <c r="S273" s="2917"/>
      <c r="T273" s="2916"/>
      <c r="U273" s="2917"/>
      <c r="V273" s="2930"/>
      <c r="W273" s="2931"/>
      <c r="X273" s="2931"/>
      <c r="Y273" s="2931"/>
      <c r="Z273" s="2932"/>
      <c r="AA273" s="1721"/>
      <c r="AB273" s="1706"/>
      <c r="AC273" s="1706"/>
      <c r="AD273" s="1706"/>
      <c r="AE273" s="1706"/>
      <c r="AF273" s="1706"/>
      <c r="AG273" s="1706"/>
      <c r="AH273" s="1706"/>
      <c r="AI273" s="1706"/>
    </row>
    <row r="274" spans="1:35" x14ac:dyDescent="0.2">
      <c r="A274" s="2926"/>
      <c r="B274" s="2926"/>
      <c r="C274" s="3085"/>
      <c r="D274" s="3085"/>
      <c r="E274" s="3085"/>
      <c r="F274" s="3085"/>
      <c r="G274" s="3085"/>
      <c r="H274" s="3085"/>
      <c r="I274" s="2916"/>
      <c r="J274" s="2917"/>
      <c r="K274" s="2916"/>
      <c r="L274" s="2917"/>
      <c r="M274" s="2930"/>
      <c r="N274" s="2931"/>
      <c r="O274" s="2931"/>
      <c r="P274" s="2931"/>
      <c r="Q274" s="2932"/>
      <c r="R274" s="2916"/>
      <c r="S274" s="2917"/>
      <c r="T274" s="2916"/>
      <c r="U274" s="2917"/>
      <c r="V274" s="2930"/>
      <c r="W274" s="2931"/>
      <c r="X274" s="2931"/>
      <c r="Y274" s="2931"/>
      <c r="Z274" s="2932"/>
      <c r="AA274" s="1721"/>
      <c r="AB274" s="1706"/>
      <c r="AC274" s="1706"/>
      <c r="AD274" s="1706"/>
      <c r="AE274" s="1706"/>
      <c r="AF274" s="1706"/>
      <c r="AG274" s="1706"/>
      <c r="AH274" s="1706"/>
      <c r="AI274" s="1706"/>
    </row>
    <row r="275" spans="1:35" x14ac:dyDescent="0.2">
      <c r="A275" s="2926"/>
      <c r="B275" s="2926"/>
      <c r="C275" s="3085"/>
      <c r="D275" s="3085"/>
      <c r="E275" s="3085"/>
      <c r="F275" s="3085"/>
      <c r="G275" s="3085"/>
      <c r="H275" s="3085"/>
      <c r="I275" s="2916"/>
      <c r="J275" s="2917"/>
      <c r="K275" s="2916"/>
      <c r="L275" s="2917"/>
      <c r="M275" s="2930"/>
      <c r="N275" s="2931"/>
      <c r="O275" s="2931"/>
      <c r="P275" s="2931"/>
      <c r="Q275" s="2932"/>
      <c r="R275" s="2916"/>
      <c r="S275" s="2917"/>
      <c r="T275" s="2916"/>
      <c r="U275" s="2917"/>
      <c r="V275" s="2930"/>
      <c r="W275" s="2931"/>
      <c r="X275" s="2931"/>
      <c r="Y275" s="2931"/>
      <c r="Z275" s="2932"/>
      <c r="AA275" s="1721"/>
      <c r="AB275" s="1706"/>
      <c r="AC275" s="1706"/>
      <c r="AD275" s="1706"/>
      <c r="AE275" s="1706"/>
      <c r="AF275" s="1706"/>
      <c r="AG275" s="1706"/>
      <c r="AH275" s="1706"/>
      <c r="AI275" s="1706"/>
    </row>
    <row r="276" spans="1:35" x14ac:dyDescent="0.2">
      <c r="A276" s="2926"/>
      <c r="B276" s="2926"/>
      <c r="C276" s="3085"/>
      <c r="D276" s="3085"/>
      <c r="E276" s="3085"/>
      <c r="F276" s="3085"/>
      <c r="G276" s="3085"/>
      <c r="H276" s="3085"/>
      <c r="I276" s="2916"/>
      <c r="J276" s="2917"/>
      <c r="K276" s="2916"/>
      <c r="L276" s="2917"/>
      <c r="M276" s="2930"/>
      <c r="N276" s="2931"/>
      <c r="O276" s="2931"/>
      <c r="P276" s="2931"/>
      <c r="Q276" s="2932"/>
      <c r="R276" s="2916"/>
      <c r="S276" s="2917"/>
      <c r="T276" s="2916"/>
      <c r="U276" s="2917"/>
      <c r="V276" s="2930"/>
      <c r="W276" s="2931"/>
      <c r="X276" s="2931"/>
      <c r="Y276" s="2931"/>
      <c r="Z276" s="2932"/>
      <c r="AA276" s="1721"/>
      <c r="AB276" s="1706"/>
      <c r="AC276" s="1706"/>
      <c r="AD276" s="1706"/>
      <c r="AE276" s="1706"/>
      <c r="AF276" s="1706"/>
      <c r="AG276" s="1706"/>
      <c r="AH276" s="1706"/>
      <c r="AI276" s="1706"/>
    </row>
    <row r="277" spans="1:35" x14ac:dyDescent="0.2">
      <c r="A277" s="2926"/>
      <c r="B277" s="2926"/>
      <c r="C277" s="3085"/>
      <c r="D277" s="3085"/>
      <c r="E277" s="3085"/>
      <c r="F277" s="3085"/>
      <c r="G277" s="3085"/>
      <c r="H277" s="3085"/>
      <c r="I277" s="2916"/>
      <c r="J277" s="2917"/>
      <c r="K277" s="2916"/>
      <c r="L277" s="2917"/>
      <c r="M277" s="2930"/>
      <c r="N277" s="2931"/>
      <c r="O277" s="2931"/>
      <c r="P277" s="2931"/>
      <c r="Q277" s="2932"/>
      <c r="R277" s="2916"/>
      <c r="S277" s="2917"/>
      <c r="T277" s="2916"/>
      <c r="U277" s="2917"/>
      <c r="V277" s="2930"/>
      <c r="W277" s="2931"/>
      <c r="X277" s="2931"/>
      <c r="Y277" s="2931"/>
      <c r="Z277" s="2932"/>
      <c r="AA277" s="1721"/>
      <c r="AB277" s="1706"/>
      <c r="AC277" s="1706"/>
      <c r="AD277" s="1706"/>
      <c r="AE277" s="1706"/>
      <c r="AF277" s="1706"/>
      <c r="AG277" s="1706"/>
      <c r="AH277" s="1706"/>
      <c r="AI277" s="1706"/>
    </row>
    <row r="278" spans="1:35" x14ac:dyDescent="0.2">
      <c r="A278" s="2926"/>
      <c r="B278" s="2926"/>
      <c r="C278" s="3085"/>
      <c r="D278" s="3085"/>
      <c r="E278" s="3085"/>
      <c r="F278" s="3085"/>
      <c r="G278" s="3085"/>
      <c r="H278" s="3085"/>
      <c r="I278" s="2916"/>
      <c r="J278" s="2917"/>
      <c r="K278" s="2916"/>
      <c r="L278" s="2917"/>
      <c r="M278" s="2930"/>
      <c r="N278" s="2931"/>
      <c r="O278" s="2931"/>
      <c r="P278" s="2931"/>
      <c r="Q278" s="2932"/>
      <c r="R278" s="2916"/>
      <c r="S278" s="2917"/>
      <c r="T278" s="2916"/>
      <c r="U278" s="2917"/>
      <c r="V278" s="2930"/>
      <c r="W278" s="2931"/>
      <c r="X278" s="2931"/>
      <c r="Y278" s="2931"/>
      <c r="Z278" s="2932"/>
      <c r="AA278" s="1721"/>
      <c r="AB278" s="1706"/>
      <c r="AC278" s="1706"/>
      <c r="AD278" s="1706"/>
      <c r="AE278" s="1706"/>
      <c r="AF278" s="1706"/>
      <c r="AG278" s="1706"/>
      <c r="AH278" s="1706"/>
      <c r="AI278" s="1706"/>
    </row>
    <row r="279" spans="1:35" x14ac:dyDescent="0.2">
      <c r="A279" s="2926"/>
      <c r="B279" s="2926"/>
      <c r="C279" s="3085"/>
      <c r="D279" s="3085"/>
      <c r="E279" s="3085"/>
      <c r="F279" s="3085"/>
      <c r="G279" s="3085"/>
      <c r="H279" s="3085"/>
      <c r="I279" s="2916"/>
      <c r="J279" s="2917"/>
      <c r="K279" s="2916"/>
      <c r="L279" s="2917"/>
      <c r="M279" s="2930"/>
      <c r="N279" s="2931"/>
      <c r="O279" s="2931"/>
      <c r="P279" s="2931"/>
      <c r="Q279" s="2932"/>
      <c r="R279" s="2916"/>
      <c r="S279" s="2917"/>
      <c r="T279" s="2916"/>
      <c r="U279" s="2917"/>
      <c r="V279" s="2930"/>
      <c r="W279" s="2931"/>
      <c r="X279" s="2931"/>
      <c r="Y279" s="2931"/>
      <c r="Z279" s="2932"/>
      <c r="AA279" s="1721"/>
      <c r="AB279" s="1706"/>
      <c r="AC279" s="1706"/>
      <c r="AD279" s="1706"/>
      <c r="AE279" s="1706"/>
      <c r="AF279" s="1706"/>
      <c r="AG279" s="1706"/>
      <c r="AH279" s="1706"/>
      <c r="AI279" s="1706"/>
    </row>
    <row r="280" spans="1:35" x14ac:dyDescent="0.2">
      <c r="A280" s="2926"/>
      <c r="B280" s="2926"/>
      <c r="C280" s="3085"/>
      <c r="D280" s="3085"/>
      <c r="E280" s="3085"/>
      <c r="F280" s="3085"/>
      <c r="G280" s="3085"/>
      <c r="H280" s="3085"/>
      <c r="I280" s="2916"/>
      <c r="J280" s="2917"/>
      <c r="K280" s="2916"/>
      <c r="L280" s="2917"/>
      <c r="M280" s="2930"/>
      <c r="N280" s="2931"/>
      <c r="O280" s="2931"/>
      <c r="P280" s="2931"/>
      <c r="Q280" s="2932"/>
      <c r="R280" s="2916"/>
      <c r="S280" s="2917"/>
      <c r="T280" s="2916"/>
      <c r="U280" s="2917"/>
      <c r="V280" s="2930"/>
      <c r="W280" s="2931"/>
      <c r="X280" s="2931"/>
      <c r="Y280" s="2931"/>
      <c r="Z280" s="2932"/>
      <c r="AA280" s="1721"/>
      <c r="AB280" s="1706"/>
      <c r="AC280" s="1706"/>
      <c r="AD280" s="1706"/>
      <c r="AE280" s="1706"/>
      <c r="AF280" s="1706"/>
      <c r="AG280" s="1706"/>
      <c r="AH280" s="1706"/>
      <c r="AI280" s="1706"/>
    </row>
    <row r="281" spans="1:35" x14ac:dyDescent="0.2">
      <c r="A281" s="2926"/>
      <c r="B281" s="2926"/>
      <c r="C281" s="3085"/>
      <c r="D281" s="3085"/>
      <c r="E281" s="3085"/>
      <c r="F281" s="3085"/>
      <c r="G281" s="3085"/>
      <c r="H281" s="3085"/>
      <c r="I281" s="2916"/>
      <c r="J281" s="2917"/>
      <c r="K281" s="2916"/>
      <c r="L281" s="2917"/>
      <c r="M281" s="2930"/>
      <c r="N281" s="2931"/>
      <c r="O281" s="2931"/>
      <c r="P281" s="2931"/>
      <c r="Q281" s="2932"/>
      <c r="R281" s="2916"/>
      <c r="S281" s="2917"/>
      <c r="T281" s="2916"/>
      <c r="U281" s="2917"/>
      <c r="V281" s="2930"/>
      <c r="W281" s="2931"/>
      <c r="X281" s="2931"/>
      <c r="Y281" s="2931"/>
      <c r="Z281" s="2932"/>
      <c r="AA281" s="1721"/>
      <c r="AB281" s="1706"/>
      <c r="AC281" s="1706"/>
      <c r="AD281" s="1706"/>
      <c r="AE281" s="1706"/>
      <c r="AF281" s="1706"/>
      <c r="AG281" s="1706"/>
      <c r="AH281" s="1706"/>
      <c r="AI281" s="1706"/>
    </row>
    <row r="282" spans="1:35" x14ac:dyDescent="0.2">
      <c r="A282" s="2926"/>
      <c r="B282" s="2926"/>
      <c r="C282" s="3085"/>
      <c r="D282" s="3085"/>
      <c r="E282" s="3085"/>
      <c r="F282" s="3085"/>
      <c r="G282" s="3085"/>
      <c r="H282" s="3085"/>
      <c r="I282" s="2916"/>
      <c r="J282" s="2917"/>
      <c r="K282" s="2916"/>
      <c r="L282" s="2917"/>
      <c r="M282" s="2930"/>
      <c r="N282" s="2931"/>
      <c r="O282" s="2931"/>
      <c r="P282" s="2931"/>
      <c r="Q282" s="2932"/>
      <c r="R282" s="2916"/>
      <c r="S282" s="2917"/>
      <c r="T282" s="2916"/>
      <c r="U282" s="2917"/>
      <c r="V282" s="2930"/>
      <c r="W282" s="2931"/>
      <c r="X282" s="2931"/>
      <c r="Y282" s="2931"/>
      <c r="Z282" s="2932"/>
      <c r="AA282" s="1721"/>
      <c r="AB282" s="1706"/>
      <c r="AC282" s="1706"/>
      <c r="AD282" s="1706"/>
      <c r="AE282" s="1706"/>
      <c r="AF282" s="1706"/>
      <c r="AG282" s="1706"/>
      <c r="AH282" s="1706"/>
      <c r="AI282" s="1706"/>
    </row>
    <row r="283" spans="1:35" x14ac:dyDescent="0.2">
      <c r="A283" s="2926"/>
      <c r="B283" s="2926"/>
      <c r="C283" s="3085"/>
      <c r="D283" s="3085"/>
      <c r="E283" s="3085"/>
      <c r="F283" s="3085"/>
      <c r="G283" s="3085"/>
      <c r="H283" s="3085"/>
      <c r="I283" s="2916"/>
      <c r="J283" s="2917"/>
      <c r="K283" s="2916"/>
      <c r="L283" s="2917"/>
      <c r="M283" s="2930"/>
      <c r="N283" s="2931"/>
      <c r="O283" s="2931"/>
      <c r="P283" s="2931"/>
      <c r="Q283" s="2932"/>
      <c r="R283" s="2916"/>
      <c r="S283" s="2917"/>
      <c r="T283" s="2916"/>
      <c r="U283" s="2917"/>
      <c r="V283" s="2930"/>
      <c r="W283" s="2931"/>
      <c r="X283" s="2931"/>
      <c r="Y283" s="2931"/>
      <c r="Z283" s="2932"/>
      <c r="AA283" s="1721"/>
      <c r="AB283" s="1706"/>
      <c r="AC283" s="1706"/>
      <c r="AD283" s="1706"/>
      <c r="AE283" s="1706"/>
      <c r="AF283" s="1706"/>
      <c r="AG283" s="1706"/>
      <c r="AH283" s="1706"/>
      <c r="AI283" s="1706"/>
    </row>
    <row r="284" spans="1:35" x14ac:dyDescent="0.2">
      <c r="A284" s="2926"/>
      <c r="B284" s="2926"/>
      <c r="C284" s="3085"/>
      <c r="D284" s="3085"/>
      <c r="E284" s="3085"/>
      <c r="F284" s="3085"/>
      <c r="G284" s="3085"/>
      <c r="H284" s="3085"/>
      <c r="I284" s="2916"/>
      <c r="J284" s="2917"/>
      <c r="K284" s="2916"/>
      <c r="L284" s="2917"/>
      <c r="M284" s="2930"/>
      <c r="N284" s="2931"/>
      <c r="O284" s="2931"/>
      <c r="P284" s="2931"/>
      <c r="Q284" s="2932"/>
      <c r="R284" s="2916"/>
      <c r="S284" s="2917"/>
      <c r="T284" s="2916"/>
      <c r="U284" s="2917"/>
      <c r="V284" s="2930"/>
      <c r="W284" s="2931"/>
      <c r="X284" s="2931"/>
      <c r="Y284" s="2931"/>
      <c r="Z284" s="2932"/>
      <c r="AA284" s="1721"/>
      <c r="AB284" s="1706"/>
      <c r="AC284" s="1706"/>
      <c r="AD284" s="1706"/>
      <c r="AE284" s="1706"/>
      <c r="AF284" s="1706"/>
      <c r="AG284" s="1706"/>
      <c r="AH284" s="1706"/>
      <c r="AI284" s="1706"/>
    </row>
    <row r="285" spans="1:35" x14ac:dyDescent="0.2">
      <c r="A285" s="2926"/>
      <c r="B285" s="2926"/>
      <c r="C285" s="3085"/>
      <c r="D285" s="3085"/>
      <c r="E285" s="3085"/>
      <c r="F285" s="3085"/>
      <c r="G285" s="3085"/>
      <c r="H285" s="3085"/>
      <c r="I285" s="2916"/>
      <c r="J285" s="2917"/>
      <c r="K285" s="2916"/>
      <c r="L285" s="2917"/>
      <c r="M285" s="2930"/>
      <c r="N285" s="2931"/>
      <c r="O285" s="2931"/>
      <c r="P285" s="2931"/>
      <c r="Q285" s="2932"/>
      <c r="R285" s="2916"/>
      <c r="S285" s="2917"/>
      <c r="T285" s="2916"/>
      <c r="U285" s="2917"/>
      <c r="V285" s="2930"/>
      <c r="W285" s="2931"/>
      <c r="X285" s="2931"/>
      <c r="Y285" s="2931"/>
      <c r="Z285" s="2932"/>
      <c r="AA285" s="1721"/>
      <c r="AB285" s="1706"/>
      <c r="AC285" s="1706"/>
      <c r="AD285" s="1706"/>
      <c r="AE285" s="1706"/>
      <c r="AF285" s="1706"/>
      <c r="AG285" s="1706"/>
      <c r="AH285" s="1706"/>
      <c r="AI285" s="1706"/>
    </row>
    <row r="286" spans="1:35" x14ac:dyDescent="0.2">
      <c r="A286" s="2926"/>
      <c r="B286" s="2926"/>
      <c r="C286" s="3085"/>
      <c r="D286" s="3085"/>
      <c r="E286" s="3085"/>
      <c r="F286" s="3085"/>
      <c r="G286" s="3085"/>
      <c r="H286" s="3085"/>
      <c r="I286" s="2918"/>
      <c r="J286" s="2919"/>
      <c r="K286" s="2918"/>
      <c r="L286" s="2919"/>
      <c r="M286" s="2933"/>
      <c r="N286" s="2934"/>
      <c r="O286" s="2934"/>
      <c r="P286" s="2934"/>
      <c r="Q286" s="2935"/>
      <c r="R286" s="2918"/>
      <c r="S286" s="2919"/>
      <c r="T286" s="2918"/>
      <c r="U286" s="2919"/>
      <c r="V286" s="2933"/>
      <c r="W286" s="2934"/>
      <c r="X286" s="2934"/>
      <c r="Y286" s="2934"/>
      <c r="Z286" s="2935"/>
      <c r="AA286" s="1721"/>
      <c r="AB286" s="1706"/>
      <c r="AC286" s="1706"/>
      <c r="AD286" s="1706"/>
      <c r="AE286" s="1706"/>
      <c r="AF286" s="1706"/>
      <c r="AG286" s="1706"/>
      <c r="AH286" s="1706"/>
      <c r="AI286" s="1706"/>
    </row>
    <row r="287" spans="1:35" ht="14.25" customHeight="1" x14ac:dyDescent="0.2">
      <c r="A287" s="2962">
        <v>7</v>
      </c>
      <c r="B287" s="2963"/>
      <c r="C287" s="2968" t="s">
        <v>716</v>
      </c>
      <c r="D287" s="2969"/>
      <c r="E287" s="2969"/>
      <c r="F287" s="2969"/>
      <c r="G287" s="2969"/>
      <c r="H287" s="2970"/>
      <c r="I287" s="2914">
        <f>VLOOKUP(AC2,KI3_PJOKrapot,24,FALSE)</f>
        <v>0</v>
      </c>
      <c r="J287" s="2915"/>
      <c r="K287" s="2914" t="str">
        <f>VLOOKUP(AC2,KI3_PJOKrapot,25,FALSE)</f>
        <v>D+</v>
      </c>
      <c r="L287" s="2915"/>
      <c r="M287" s="2927" t="str">
        <f>VLOOKUP(AC2,DESGAB_PJOK,3,FALSE)</f>
        <v xml:space="preserve">    </v>
      </c>
      <c r="N287" s="2928"/>
      <c r="O287" s="2928"/>
      <c r="P287" s="2928"/>
      <c r="Q287" s="2929"/>
      <c r="R287" s="2914">
        <f>VLOOKUP(AC2,KI4_PJOKrapot,34,FALSE)</f>
        <v>0</v>
      </c>
      <c r="S287" s="2915"/>
      <c r="T287" s="2914" t="str">
        <f>VLOOKUP(AC2,KI4_PJOKrapot,35,FALSE)</f>
        <v>D+</v>
      </c>
      <c r="U287" s="2915"/>
      <c r="V287" s="2927" t="str">
        <f>VLOOKUP(AC2,DESGAB_PJOK,4,FALSE)</f>
        <v xml:space="preserve">    </v>
      </c>
      <c r="W287" s="2928"/>
      <c r="X287" s="2928"/>
      <c r="Y287" s="2928"/>
      <c r="Z287" s="2929"/>
      <c r="AA287" s="1721"/>
      <c r="AB287" s="1706"/>
      <c r="AC287" s="1706"/>
      <c r="AD287" s="1706"/>
      <c r="AE287" s="1706"/>
      <c r="AF287" s="1706"/>
      <c r="AG287" s="1706"/>
      <c r="AH287" s="1706"/>
      <c r="AI287" s="1706"/>
    </row>
    <row r="288" spans="1:35" x14ac:dyDescent="0.2">
      <c r="A288" s="2964"/>
      <c r="B288" s="2965"/>
      <c r="C288" s="2971"/>
      <c r="D288" s="2972"/>
      <c r="E288" s="2972"/>
      <c r="F288" s="2972"/>
      <c r="G288" s="2972"/>
      <c r="H288" s="2973"/>
      <c r="I288" s="2916"/>
      <c r="J288" s="2917"/>
      <c r="K288" s="2916"/>
      <c r="L288" s="2917"/>
      <c r="M288" s="2930"/>
      <c r="N288" s="2931"/>
      <c r="O288" s="2931"/>
      <c r="P288" s="2931"/>
      <c r="Q288" s="2932"/>
      <c r="R288" s="2916"/>
      <c r="S288" s="2917"/>
      <c r="T288" s="2916"/>
      <c r="U288" s="2917"/>
      <c r="V288" s="2930"/>
      <c r="W288" s="2931"/>
      <c r="X288" s="2931"/>
      <c r="Y288" s="2931"/>
      <c r="Z288" s="2932"/>
      <c r="AA288" s="1721"/>
      <c r="AB288" s="1706"/>
      <c r="AC288" s="1706"/>
      <c r="AD288" s="1706"/>
      <c r="AE288" s="1706"/>
      <c r="AF288" s="1706"/>
      <c r="AG288" s="1706"/>
      <c r="AH288" s="1706"/>
      <c r="AI288" s="1706"/>
    </row>
    <row r="289" spans="1:35" x14ac:dyDescent="0.2">
      <c r="A289" s="2964"/>
      <c r="B289" s="2965"/>
      <c r="C289" s="2971"/>
      <c r="D289" s="2972"/>
      <c r="E289" s="2972"/>
      <c r="F289" s="2972"/>
      <c r="G289" s="2972"/>
      <c r="H289" s="2973"/>
      <c r="I289" s="2916"/>
      <c r="J289" s="2917"/>
      <c r="K289" s="2916"/>
      <c r="L289" s="2917"/>
      <c r="M289" s="2930"/>
      <c r="N289" s="2931"/>
      <c r="O289" s="2931"/>
      <c r="P289" s="2931"/>
      <c r="Q289" s="2932"/>
      <c r="R289" s="2916"/>
      <c r="S289" s="2917"/>
      <c r="T289" s="2916"/>
      <c r="U289" s="2917"/>
      <c r="V289" s="2930"/>
      <c r="W289" s="2931"/>
      <c r="X289" s="2931"/>
      <c r="Y289" s="2931"/>
      <c r="Z289" s="2932"/>
      <c r="AA289" s="1721"/>
      <c r="AB289" s="1706"/>
      <c r="AC289" s="1706"/>
      <c r="AD289" s="1706"/>
      <c r="AE289" s="1706"/>
      <c r="AF289" s="1706"/>
      <c r="AG289" s="1706"/>
      <c r="AH289" s="1706"/>
      <c r="AI289" s="1706"/>
    </row>
    <row r="290" spans="1:35" x14ac:dyDescent="0.2">
      <c r="A290" s="2964"/>
      <c r="B290" s="2965"/>
      <c r="C290" s="2971"/>
      <c r="D290" s="2972"/>
      <c r="E290" s="2972"/>
      <c r="F290" s="2972"/>
      <c r="G290" s="2972"/>
      <c r="H290" s="2973"/>
      <c r="I290" s="2916"/>
      <c r="J290" s="2917"/>
      <c r="K290" s="2916"/>
      <c r="L290" s="2917"/>
      <c r="M290" s="2930"/>
      <c r="N290" s="2931"/>
      <c r="O290" s="2931"/>
      <c r="P290" s="2931"/>
      <c r="Q290" s="2932"/>
      <c r="R290" s="2916"/>
      <c r="S290" s="2917"/>
      <c r="T290" s="2916"/>
      <c r="U290" s="2917"/>
      <c r="V290" s="2930"/>
      <c r="W290" s="2931"/>
      <c r="X290" s="2931"/>
      <c r="Y290" s="2931"/>
      <c r="Z290" s="2932"/>
      <c r="AA290" s="1721"/>
      <c r="AB290" s="1706"/>
      <c r="AC290" s="1706"/>
      <c r="AD290" s="1706"/>
      <c r="AE290" s="1706"/>
      <c r="AF290" s="1706"/>
      <c r="AG290" s="1706"/>
      <c r="AH290" s="1706"/>
      <c r="AI290" s="1706"/>
    </row>
    <row r="291" spans="1:35" x14ac:dyDescent="0.2">
      <c r="A291" s="2964"/>
      <c r="B291" s="2965"/>
      <c r="C291" s="2971"/>
      <c r="D291" s="2972"/>
      <c r="E291" s="2972"/>
      <c r="F291" s="2972"/>
      <c r="G291" s="2972"/>
      <c r="H291" s="2973"/>
      <c r="I291" s="2916"/>
      <c r="J291" s="2917"/>
      <c r="K291" s="2916"/>
      <c r="L291" s="2917"/>
      <c r="M291" s="2930"/>
      <c r="N291" s="2931"/>
      <c r="O291" s="2931"/>
      <c r="P291" s="2931"/>
      <c r="Q291" s="2932"/>
      <c r="R291" s="2916"/>
      <c r="S291" s="2917"/>
      <c r="T291" s="2916"/>
      <c r="U291" s="2917"/>
      <c r="V291" s="2930"/>
      <c r="W291" s="2931"/>
      <c r="X291" s="2931"/>
      <c r="Y291" s="2931"/>
      <c r="Z291" s="2932"/>
      <c r="AA291" s="1721"/>
      <c r="AB291" s="1706"/>
      <c r="AC291" s="1706"/>
      <c r="AD291" s="1706"/>
      <c r="AE291" s="1706"/>
      <c r="AF291" s="1706"/>
      <c r="AG291" s="1706"/>
      <c r="AH291" s="1706"/>
      <c r="AI291" s="1706"/>
    </row>
    <row r="292" spans="1:35" x14ac:dyDescent="0.2">
      <c r="A292" s="2964"/>
      <c r="B292" s="2965"/>
      <c r="C292" s="2971"/>
      <c r="D292" s="2972"/>
      <c r="E292" s="2972"/>
      <c r="F292" s="2972"/>
      <c r="G292" s="2972"/>
      <c r="H292" s="2973"/>
      <c r="I292" s="2916"/>
      <c r="J292" s="2917"/>
      <c r="K292" s="2916"/>
      <c r="L292" s="2917"/>
      <c r="M292" s="2930"/>
      <c r="N292" s="2931"/>
      <c r="O292" s="2931"/>
      <c r="P292" s="2931"/>
      <c r="Q292" s="2932"/>
      <c r="R292" s="2916"/>
      <c r="S292" s="2917"/>
      <c r="T292" s="2916"/>
      <c r="U292" s="2917"/>
      <c r="V292" s="2930"/>
      <c r="W292" s="2931"/>
      <c r="X292" s="2931"/>
      <c r="Y292" s="2931"/>
      <c r="Z292" s="2932"/>
      <c r="AA292" s="1721"/>
      <c r="AB292" s="1706"/>
      <c r="AC292" s="1706"/>
      <c r="AD292" s="1706"/>
      <c r="AE292" s="1706"/>
      <c r="AF292" s="1706"/>
      <c r="AG292" s="1706"/>
      <c r="AH292" s="1706"/>
      <c r="AI292" s="1706"/>
    </row>
    <row r="293" spans="1:35" x14ac:dyDescent="0.2">
      <c r="A293" s="2964"/>
      <c r="B293" s="2965"/>
      <c r="C293" s="2971"/>
      <c r="D293" s="2972"/>
      <c r="E293" s="2972"/>
      <c r="F293" s="2972"/>
      <c r="G293" s="2972"/>
      <c r="H293" s="2973"/>
      <c r="I293" s="2916"/>
      <c r="J293" s="2917"/>
      <c r="K293" s="2916"/>
      <c r="L293" s="2917"/>
      <c r="M293" s="2930"/>
      <c r="N293" s="2931"/>
      <c r="O293" s="2931"/>
      <c r="P293" s="2931"/>
      <c r="Q293" s="2932"/>
      <c r="R293" s="2916"/>
      <c r="S293" s="2917"/>
      <c r="T293" s="2916"/>
      <c r="U293" s="2917"/>
      <c r="V293" s="2930"/>
      <c r="W293" s="2931"/>
      <c r="X293" s="2931"/>
      <c r="Y293" s="2931"/>
      <c r="Z293" s="2932"/>
      <c r="AA293" s="1721"/>
      <c r="AB293" s="1706"/>
      <c r="AC293" s="1706"/>
      <c r="AD293" s="1706"/>
      <c r="AE293" s="1706"/>
      <c r="AF293" s="1706"/>
      <c r="AG293" s="1706"/>
      <c r="AH293" s="1706"/>
      <c r="AI293" s="1706"/>
    </row>
    <row r="294" spans="1:35" x14ac:dyDescent="0.2">
      <c r="A294" s="2964"/>
      <c r="B294" s="2965"/>
      <c r="C294" s="2971"/>
      <c r="D294" s="2972"/>
      <c r="E294" s="2972"/>
      <c r="F294" s="2972"/>
      <c r="G294" s="2972"/>
      <c r="H294" s="2973"/>
      <c r="I294" s="2916"/>
      <c r="J294" s="2917"/>
      <c r="K294" s="2916"/>
      <c r="L294" s="2917"/>
      <c r="M294" s="2930"/>
      <c r="N294" s="2931"/>
      <c r="O294" s="2931"/>
      <c r="P294" s="2931"/>
      <c r="Q294" s="2932"/>
      <c r="R294" s="2916"/>
      <c r="S294" s="2917"/>
      <c r="T294" s="2916"/>
      <c r="U294" s="2917"/>
      <c r="V294" s="2930"/>
      <c r="W294" s="2931"/>
      <c r="X294" s="2931"/>
      <c r="Y294" s="2931"/>
      <c r="Z294" s="2932"/>
      <c r="AA294" s="1721"/>
      <c r="AB294" s="1706"/>
      <c r="AC294" s="1706"/>
      <c r="AD294" s="1706"/>
      <c r="AE294" s="1706"/>
      <c r="AF294" s="1706"/>
      <c r="AG294" s="1706"/>
      <c r="AH294" s="1706"/>
      <c r="AI294" s="1706"/>
    </row>
    <row r="295" spans="1:35" x14ac:dyDescent="0.2">
      <c r="A295" s="2964"/>
      <c r="B295" s="2965"/>
      <c r="C295" s="2971"/>
      <c r="D295" s="2972"/>
      <c r="E295" s="2972"/>
      <c r="F295" s="2972"/>
      <c r="G295" s="2972"/>
      <c r="H295" s="2973"/>
      <c r="I295" s="2916"/>
      <c r="J295" s="2917"/>
      <c r="K295" s="2916"/>
      <c r="L295" s="2917"/>
      <c r="M295" s="2930"/>
      <c r="N295" s="2931"/>
      <c r="O295" s="2931"/>
      <c r="P295" s="2931"/>
      <c r="Q295" s="2932"/>
      <c r="R295" s="2916"/>
      <c r="S295" s="2917"/>
      <c r="T295" s="2916"/>
      <c r="U295" s="2917"/>
      <c r="V295" s="2930"/>
      <c r="W295" s="2931"/>
      <c r="X295" s="2931"/>
      <c r="Y295" s="2931"/>
      <c r="Z295" s="2932"/>
      <c r="AA295" s="1721"/>
      <c r="AB295" s="1706"/>
      <c r="AC295" s="1706"/>
      <c r="AD295" s="1706"/>
      <c r="AE295" s="1706"/>
      <c r="AF295" s="1706"/>
      <c r="AG295" s="1706"/>
      <c r="AH295" s="1706"/>
      <c r="AI295" s="1706"/>
    </row>
    <row r="296" spans="1:35" x14ac:dyDescent="0.2">
      <c r="A296" s="2964"/>
      <c r="B296" s="2965"/>
      <c r="C296" s="2971"/>
      <c r="D296" s="2972"/>
      <c r="E296" s="2972"/>
      <c r="F296" s="2972"/>
      <c r="G296" s="2972"/>
      <c r="H296" s="2973"/>
      <c r="I296" s="2916"/>
      <c r="J296" s="2917"/>
      <c r="K296" s="2916"/>
      <c r="L296" s="2917"/>
      <c r="M296" s="2930"/>
      <c r="N296" s="2931"/>
      <c r="O296" s="2931"/>
      <c r="P296" s="2931"/>
      <c r="Q296" s="2932"/>
      <c r="R296" s="2916"/>
      <c r="S296" s="2917"/>
      <c r="T296" s="2916"/>
      <c r="U296" s="2917"/>
      <c r="V296" s="2930"/>
      <c r="W296" s="2931"/>
      <c r="X296" s="2931"/>
      <c r="Y296" s="2931"/>
      <c r="Z296" s="2932"/>
      <c r="AA296" s="1721"/>
      <c r="AB296" s="1706"/>
      <c r="AC296" s="1706"/>
      <c r="AD296" s="1706"/>
      <c r="AE296" s="1706"/>
      <c r="AF296" s="1706"/>
      <c r="AG296" s="1706"/>
      <c r="AH296" s="1706"/>
      <c r="AI296" s="1706"/>
    </row>
    <row r="297" spans="1:35" x14ac:dyDescent="0.2">
      <c r="A297" s="2964"/>
      <c r="B297" s="2965"/>
      <c r="C297" s="2971"/>
      <c r="D297" s="2972"/>
      <c r="E297" s="2972"/>
      <c r="F297" s="2972"/>
      <c r="G297" s="2972"/>
      <c r="H297" s="2973"/>
      <c r="I297" s="2916"/>
      <c r="J297" s="2917"/>
      <c r="K297" s="2916"/>
      <c r="L297" s="2917"/>
      <c r="M297" s="2930"/>
      <c r="N297" s="2931"/>
      <c r="O297" s="2931"/>
      <c r="P297" s="2931"/>
      <c r="Q297" s="2932"/>
      <c r="R297" s="2916"/>
      <c r="S297" s="2917"/>
      <c r="T297" s="2916"/>
      <c r="U297" s="2917"/>
      <c r="V297" s="2930"/>
      <c r="W297" s="2931"/>
      <c r="X297" s="2931"/>
      <c r="Y297" s="2931"/>
      <c r="Z297" s="2932"/>
      <c r="AA297" s="1721"/>
      <c r="AB297" s="1706"/>
      <c r="AC297" s="1706"/>
      <c r="AD297" s="1706"/>
      <c r="AE297" s="1706"/>
      <c r="AF297" s="1706"/>
      <c r="AG297" s="1706"/>
      <c r="AH297" s="1706"/>
      <c r="AI297" s="1706"/>
    </row>
    <row r="298" spans="1:35" ht="14.25" customHeight="1" x14ac:dyDescent="0.2">
      <c r="A298" s="2964"/>
      <c r="B298" s="2965"/>
      <c r="C298" s="2971"/>
      <c r="D298" s="2972"/>
      <c r="E298" s="2972"/>
      <c r="F298" s="2972"/>
      <c r="G298" s="2972"/>
      <c r="H298" s="2973"/>
      <c r="I298" s="2916"/>
      <c r="J298" s="2917"/>
      <c r="K298" s="2916"/>
      <c r="L298" s="2917"/>
      <c r="M298" s="2930"/>
      <c r="N298" s="2931"/>
      <c r="O298" s="2931"/>
      <c r="P298" s="2931"/>
      <c r="Q298" s="2932"/>
      <c r="R298" s="2916"/>
      <c r="S298" s="2917"/>
      <c r="T298" s="2916"/>
      <c r="U298" s="2917"/>
      <c r="V298" s="2930"/>
      <c r="W298" s="2931"/>
      <c r="X298" s="2931"/>
      <c r="Y298" s="2931"/>
      <c r="Z298" s="2932"/>
      <c r="AA298" s="1721"/>
      <c r="AB298" s="1706"/>
      <c r="AC298" s="1706"/>
      <c r="AD298" s="1706"/>
      <c r="AE298" s="1706"/>
      <c r="AF298" s="1706"/>
      <c r="AG298" s="1706"/>
      <c r="AH298" s="1706"/>
      <c r="AI298" s="1706"/>
    </row>
    <row r="299" spans="1:35" x14ac:dyDescent="0.2">
      <c r="A299" s="2964"/>
      <c r="B299" s="2965"/>
      <c r="C299" s="2971"/>
      <c r="D299" s="2972"/>
      <c r="E299" s="2972"/>
      <c r="F299" s="2972"/>
      <c r="G299" s="2972"/>
      <c r="H299" s="2973"/>
      <c r="I299" s="2916"/>
      <c r="J299" s="2917"/>
      <c r="K299" s="2916"/>
      <c r="L299" s="2917"/>
      <c r="M299" s="2930"/>
      <c r="N299" s="2931"/>
      <c r="O299" s="2931"/>
      <c r="P299" s="2931"/>
      <c r="Q299" s="2932"/>
      <c r="R299" s="2916"/>
      <c r="S299" s="2917"/>
      <c r="T299" s="2916"/>
      <c r="U299" s="2917"/>
      <c r="V299" s="2930"/>
      <c r="W299" s="2931"/>
      <c r="X299" s="2931"/>
      <c r="Y299" s="2931"/>
      <c r="Z299" s="2932"/>
      <c r="AA299" s="1721"/>
      <c r="AB299" s="1706"/>
      <c r="AC299" s="1706"/>
      <c r="AD299" s="1706"/>
      <c r="AE299" s="1706"/>
      <c r="AF299" s="1706"/>
      <c r="AG299" s="1706"/>
      <c r="AH299" s="1706"/>
      <c r="AI299" s="1706"/>
    </row>
    <row r="300" spans="1:35" ht="14.25" customHeight="1" x14ac:dyDescent="0.2">
      <c r="A300" s="2964"/>
      <c r="B300" s="2965"/>
      <c r="C300" s="2971"/>
      <c r="D300" s="2972"/>
      <c r="E300" s="2972"/>
      <c r="F300" s="2972"/>
      <c r="G300" s="2972"/>
      <c r="H300" s="2973"/>
      <c r="I300" s="2916"/>
      <c r="J300" s="2917"/>
      <c r="K300" s="2916"/>
      <c r="L300" s="2917"/>
      <c r="M300" s="2930"/>
      <c r="N300" s="2931"/>
      <c r="O300" s="2931"/>
      <c r="P300" s="2931"/>
      <c r="Q300" s="2932"/>
      <c r="R300" s="2916"/>
      <c r="S300" s="2917"/>
      <c r="T300" s="2916"/>
      <c r="U300" s="2917"/>
      <c r="V300" s="2930"/>
      <c r="W300" s="2931"/>
      <c r="X300" s="2931"/>
      <c r="Y300" s="2931"/>
      <c r="Z300" s="2932"/>
      <c r="AA300" s="1721"/>
      <c r="AB300" s="1706"/>
      <c r="AC300" s="1706"/>
      <c r="AD300" s="1706"/>
      <c r="AE300" s="1706"/>
      <c r="AF300" s="1706"/>
      <c r="AG300" s="1706"/>
      <c r="AH300" s="1706"/>
      <c r="AI300" s="1706"/>
    </row>
    <row r="301" spans="1:35" x14ac:dyDescent="0.2">
      <c r="A301" s="2964"/>
      <c r="B301" s="2965"/>
      <c r="C301" s="2971"/>
      <c r="D301" s="2972"/>
      <c r="E301" s="2972"/>
      <c r="F301" s="2972"/>
      <c r="G301" s="2972"/>
      <c r="H301" s="2973"/>
      <c r="I301" s="2916"/>
      <c r="J301" s="2917"/>
      <c r="K301" s="2916"/>
      <c r="L301" s="2917"/>
      <c r="M301" s="2930"/>
      <c r="N301" s="2931"/>
      <c r="O301" s="2931"/>
      <c r="P301" s="2931"/>
      <c r="Q301" s="2932"/>
      <c r="R301" s="2916"/>
      <c r="S301" s="2917"/>
      <c r="T301" s="2916"/>
      <c r="U301" s="2917"/>
      <c r="V301" s="2930"/>
      <c r="W301" s="2931"/>
      <c r="X301" s="2931"/>
      <c r="Y301" s="2931"/>
      <c r="Z301" s="2932"/>
      <c r="AA301" s="1721"/>
      <c r="AB301" s="1706"/>
      <c r="AC301" s="1706"/>
      <c r="AD301" s="1706"/>
      <c r="AE301" s="1706"/>
      <c r="AF301" s="1706"/>
      <c r="AG301" s="1706"/>
      <c r="AH301" s="1706"/>
      <c r="AI301" s="1706"/>
    </row>
    <row r="302" spans="1:35" x14ac:dyDescent="0.2">
      <c r="A302" s="2964"/>
      <c r="B302" s="2965"/>
      <c r="C302" s="2971"/>
      <c r="D302" s="2972"/>
      <c r="E302" s="2972"/>
      <c r="F302" s="2972"/>
      <c r="G302" s="2972"/>
      <c r="H302" s="2973"/>
      <c r="I302" s="2916"/>
      <c r="J302" s="2917"/>
      <c r="K302" s="2916"/>
      <c r="L302" s="2917"/>
      <c r="M302" s="2930"/>
      <c r="N302" s="2931"/>
      <c r="O302" s="2931"/>
      <c r="P302" s="2931"/>
      <c r="Q302" s="2932"/>
      <c r="R302" s="2916"/>
      <c r="S302" s="2917"/>
      <c r="T302" s="2916"/>
      <c r="U302" s="2917"/>
      <c r="V302" s="2930"/>
      <c r="W302" s="2931"/>
      <c r="X302" s="2931"/>
      <c r="Y302" s="2931"/>
      <c r="Z302" s="2932"/>
      <c r="AA302" s="1721"/>
      <c r="AB302" s="1706"/>
      <c r="AC302" s="1706"/>
      <c r="AD302" s="1706"/>
      <c r="AE302" s="1706"/>
      <c r="AF302" s="1706"/>
      <c r="AG302" s="1706"/>
      <c r="AH302" s="1706"/>
      <c r="AI302" s="1706"/>
    </row>
    <row r="303" spans="1:35" x14ac:dyDescent="0.2">
      <c r="A303" s="2964"/>
      <c r="B303" s="2965"/>
      <c r="C303" s="2971"/>
      <c r="D303" s="2972"/>
      <c r="E303" s="2972"/>
      <c r="F303" s="2972"/>
      <c r="G303" s="2972"/>
      <c r="H303" s="2973"/>
      <c r="I303" s="2916"/>
      <c r="J303" s="2917"/>
      <c r="K303" s="2916"/>
      <c r="L303" s="2917"/>
      <c r="M303" s="2930"/>
      <c r="N303" s="2931"/>
      <c r="O303" s="2931"/>
      <c r="P303" s="2931"/>
      <c r="Q303" s="2932"/>
      <c r="R303" s="2916"/>
      <c r="S303" s="2917"/>
      <c r="T303" s="2916"/>
      <c r="U303" s="2917"/>
      <c r="V303" s="2930"/>
      <c r="W303" s="2931"/>
      <c r="X303" s="2931"/>
      <c r="Y303" s="2931"/>
      <c r="Z303" s="2932"/>
      <c r="AA303" s="1721"/>
      <c r="AB303" s="1706"/>
      <c r="AC303" s="1706"/>
      <c r="AD303" s="1706"/>
      <c r="AE303" s="1706"/>
      <c r="AF303" s="1706"/>
      <c r="AG303" s="1706"/>
      <c r="AH303" s="1706"/>
      <c r="AI303" s="1706"/>
    </row>
    <row r="304" spans="1:35" x14ac:dyDescent="0.2">
      <c r="A304" s="2964"/>
      <c r="B304" s="2965"/>
      <c r="C304" s="2971"/>
      <c r="D304" s="2972"/>
      <c r="E304" s="2972"/>
      <c r="F304" s="2972"/>
      <c r="G304" s="2972"/>
      <c r="H304" s="2973"/>
      <c r="I304" s="2916"/>
      <c r="J304" s="2917"/>
      <c r="K304" s="2916"/>
      <c r="L304" s="2917"/>
      <c r="M304" s="2930"/>
      <c r="N304" s="2931"/>
      <c r="O304" s="2931"/>
      <c r="P304" s="2931"/>
      <c r="Q304" s="2932"/>
      <c r="R304" s="2916"/>
      <c r="S304" s="2917"/>
      <c r="T304" s="2916"/>
      <c r="U304" s="2917"/>
      <c r="V304" s="2930"/>
      <c r="W304" s="2931"/>
      <c r="X304" s="2931"/>
      <c r="Y304" s="2931"/>
      <c r="Z304" s="2932"/>
      <c r="AA304" s="1721"/>
      <c r="AB304" s="1706"/>
      <c r="AC304" s="1706"/>
      <c r="AD304" s="1706"/>
      <c r="AE304" s="1706"/>
      <c r="AF304" s="1706"/>
      <c r="AG304" s="1706"/>
      <c r="AH304" s="1706"/>
      <c r="AI304" s="1706"/>
    </row>
    <row r="305" spans="1:37" x14ac:dyDescent="0.2">
      <c r="A305" s="2964"/>
      <c r="B305" s="2965"/>
      <c r="C305" s="2971"/>
      <c r="D305" s="2972"/>
      <c r="E305" s="2972"/>
      <c r="F305" s="2972"/>
      <c r="G305" s="2972"/>
      <c r="H305" s="2973"/>
      <c r="I305" s="2916"/>
      <c r="J305" s="2917"/>
      <c r="K305" s="2916"/>
      <c r="L305" s="2917"/>
      <c r="M305" s="2930"/>
      <c r="N305" s="2931"/>
      <c r="O305" s="2931"/>
      <c r="P305" s="2931"/>
      <c r="Q305" s="2932"/>
      <c r="R305" s="2916"/>
      <c r="S305" s="2917"/>
      <c r="T305" s="2916"/>
      <c r="U305" s="2917"/>
      <c r="V305" s="2930"/>
      <c r="W305" s="2931"/>
      <c r="X305" s="2931"/>
      <c r="Y305" s="2931"/>
      <c r="Z305" s="2932"/>
      <c r="AA305" s="1721"/>
      <c r="AB305" s="1706"/>
      <c r="AC305" s="1706"/>
      <c r="AD305" s="1706"/>
      <c r="AE305" s="1706"/>
      <c r="AF305" s="1706"/>
      <c r="AG305" s="1706"/>
      <c r="AH305" s="1706"/>
      <c r="AI305" s="1706"/>
    </row>
    <row r="306" spans="1:37" ht="14.25" customHeight="1" x14ac:dyDescent="0.2">
      <c r="A306" s="2964"/>
      <c r="B306" s="2965"/>
      <c r="C306" s="2971"/>
      <c r="D306" s="2972"/>
      <c r="E306" s="2972"/>
      <c r="F306" s="2972"/>
      <c r="G306" s="2972"/>
      <c r="H306" s="2973"/>
      <c r="I306" s="2916"/>
      <c r="J306" s="2917"/>
      <c r="K306" s="2916"/>
      <c r="L306" s="2917"/>
      <c r="M306" s="2930"/>
      <c r="N306" s="2931"/>
      <c r="O306" s="2931"/>
      <c r="P306" s="2931"/>
      <c r="Q306" s="2932"/>
      <c r="R306" s="2916"/>
      <c r="S306" s="2917"/>
      <c r="T306" s="2916"/>
      <c r="U306" s="2917"/>
      <c r="V306" s="2930"/>
      <c r="W306" s="2931"/>
      <c r="X306" s="2931"/>
      <c r="Y306" s="2931"/>
      <c r="Z306" s="2932"/>
      <c r="AA306" s="1721"/>
      <c r="AB306" s="1706"/>
      <c r="AC306" s="1706"/>
      <c r="AD306" s="1706"/>
      <c r="AE306" s="1706"/>
      <c r="AF306" s="1706"/>
      <c r="AG306" s="1706"/>
      <c r="AH306" s="1706"/>
      <c r="AI306" s="1706"/>
    </row>
    <row r="307" spans="1:37" x14ac:dyDescent="0.2">
      <c r="A307" s="2964"/>
      <c r="B307" s="2965"/>
      <c r="C307" s="2971"/>
      <c r="D307" s="2972"/>
      <c r="E307" s="2972"/>
      <c r="F307" s="2972"/>
      <c r="G307" s="2972"/>
      <c r="H307" s="2973"/>
      <c r="I307" s="2916"/>
      <c r="J307" s="2917"/>
      <c r="K307" s="2916"/>
      <c r="L307" s="2917"/>
      <c r="M307" s="2930"/>
      <c r="N307" s="2931"/>
      <c r="O307" s="2931"/>
      <c r="P307" s="2931"/>
      <c r="Q307" s="2932"/>
      <c r="R307" s="2916"/>
      <c r="S307" s="2917"/>
      <c r="T307" s="2916"/>
      <c r="U307" s="2917"/>
      <c r="V307" s="2930"/>
      <c r="W307" s="2931"/>
      <c r="X307" s="2931"/>
      <c r="Y307" s="2931"/>
      <c r="Z307" s="2932"/>
      <c r="AA307" s="1721"/>
      <c r="AB307" s="1706"/>
      <c r="AC307" s="1706"/>
      <c r="AD307" s="1706"/>
      <c r="AE307" s="1706"/>
      <c r="AF307" s="1706"/>
      <c r="AG307" s="1706"/>
      <c r="AH307" s="1706"/>
      <c r="AI307" s="1706"/>
    </row>
    <row r="308" spans="1:37" x14ac:dyDescent="0.2">
      <c r="A308" s="2964"/>
      <c r="B308" s="2965"/>
      <c r="C308" s="2971"/>
      <c r="D308" s="2972"/>
      <c r="E308" s="2972"/>
      <c r="F308" s="2972"/>
      <c r="G308" s="2972"/>
      <c r="H308" s="2973"/>
      <c r="I308" s="2916"/>
      <c r="J308" s="2917"/>
      <c r="K308" s="2916"/>
      <c r="L308" s="2917"/>
      <c r="M308" s="2930"/>
      <c r="N308" s="2931"/>
      <c r="O308" s="2931"/>
      <c r="P308" s="2931"/>
      <c r="Q308" s="2932"/>
      <c r="R308" s="2916"/>
      <c r="S308" s="2917"/>
      <c r="T308" s="2916"/>
      <c r="U308" s="2917"/>
      <c r="V308" s="2930"/>
      <c r="W308" s="2931"/>
      <c r="X308" s="2931"/>
      <c r="Y308" s="2931"/>
      <c r="Z308" s="2932"/>
      <c r="AA308" s="1721"/>
      <c r="AB308" s="1706"/>
      <c r="AC308" s="1706"/>
      <c r="AD308" s="1706"/>
      <c r="AE308" s="1706"/>
      <c r="AF308" s="1706"/>
      <c r="AG308" s="1706"/>
      <c r="AH308" s="1706"/>
      <c r="AI308" s="1706"/>
    </row>
    <row r="309" spans="1:37" x14ac:dyDescent="0.2">
      <c r="A309" s="2964"/>
      <c r="B309" s="2965"/>
      <c r="C309" s="2971"/>
      <c r="D309" s="2972"/>
      <c r="E309" s="2972"/>
      <c r="F309" s="2972"/>
      <c r="G309" s="2972"/>
      <c r="H309" s="2973"/>
      <c r="I309" s="2916"/>
      <c r="J309" s="2917"/>
      <c r="K309" s="2916"/>
      <c r="L309" s="2917"/>
      <c r="M309" s="2930"/>
      <c r="N309" s="2931"/>
      <c r="O309" s="2931"/>
      <c r="P309" s="2931"/>
      <c r="Q309" s="2932"/>
      <c r="R309" s="2916"/>
      <c r="S309" s="2917"/>
      <c r="T309" s="2916"/>
      <c r="U309" s="2917"/>
      <c r="V309" s="2930"/>
      <c r="W309" s="2931"/>
      <c r="X309" s="2931"/>
      <c r="Y309" s="2931"/>
      <c r="Z309" s="2932"/>
      <c r="AA309" s="1721"/>
      <c r="AB309" s="1706"/>
      <c r="AC309" s="1706"/>
      <c r="AD309" s="1706"/>
      <c r="AE309" s="1706"/>
      <c r="AF309" s="1706"/>
      <c r="AG309" s="1706"/>
      <c r="AH309" s="1706"/>
      <c r="AI309" s="1706"/>
    </row>
    <row r="310" spans="1:37" x14ac:dyDescent="0.2">
      <c r="A310" s="2964"/>
      <c r="B310" s="2965"/>
      <c r="C310" s="2971"/>
      <c r="D310" s="2972"/>
      <c r="E310" s="2972"/>
      <c r="F310" s="2972"/>
      <c r="G310" s="2972"/>
      <c r="H310" s="2973"/>
      <c r="I310" s="2916"/>
      <c r="J310" s="2917"/>
      <c r="K310" s="2916"/>
      <c r="L310" s="2917"/>
      <c r="M310" s="2930"/>
      <c r="N310" s="2931"/>
      <c r="O310" s="2931"/>
      <c r="P310" s="2931"/>
      <c r="Q310" s="2932"/>
      <c r="R310" s="2916"/>
      <c r="S310" s="2917"/>
      <c r="T310" s="2916"/>
      <c r="U310" s="2917"/>
      <c r="V310" s="2930"/>
      <c r="W310" s="2931"/>
      <c r="X310" s="2931"/>
      <c r="Y310" s="2931"/>
      <c r="Z310" s="2932"/>
      <c r="AA310" s="1721"/>
      <c r="AB310" s="1706"/>
      <c r="AC310" s="1706"/>
      <c r="AD310" s="1706"/>
      <c r="AE310" s="1706"/>
      <c r="AF310" s="1706"/>
      <c r="AG310" s="1706"/>
      <c r="AH310" s="1706"/>
      <c r="AI310" s="1706"/>
    </row>
    <row r="311" spans="1:37" x14ac:dyDescent="0.2">
      <c r="A311" s="2964"/>
      <c r="B311" s="2965"/>
      <c r="C311" s="2971"/>
      <c r="D311" s="2972"/>
      <c r="E311" s="2972"/>
      <c r="F311" s="2972"/>
      <c r="G311" s="2972"/>
      <c r="H311" s="2973"/>
      <c r="I311" s="2916"/>
      <c r="J311" s="2917"/>
      <c r="K311" s="2916"/>
      <c r="L311" s="2917"/>
      <c r="M311" s="2930"/>
      <c r="N311" s="2931"/>
      <c r="O311" s="2931"/>
      <c r="P311" s="2931"/>
      <c r="Q311" s="2932"/>
      <c r="R311" s="2916"/>
      <c r="S311" s="2917"/>
      <c r="T311" s="2916"/>
      <c r="U311" s="2917"/>
      <c r="V311" s="2930"/>
      <c r="W311" s="2931"/>
      <c r="X311" s="2931"/>
      <c r="Y311" s="2931"/>
      <c r="Z311" s="2932"/>
      <c r="AA311" s="1721"/>
      <c r="AB311" s="1706"/>
      <c r="AC311" s="1706"/>
      <c r="AD311" s="1706"/>
      <c r="AE311" s="1706"/>
      <c r="AF311" s="1706"/>
      <c r="AG311" s="1706"/>
      <c r="AH311" s="1706"/>
      <c r="AI311" s="1706"/>
    </row>
    <row r="312" spans="1:37" x14ac:dyDescent="0.2">
      <c r="A312" s="2966"/>
      <c r="B312" s="2967"/>
      <c r="C312" s="2974"/>
      <c r="D312" s="2975"/>
      <c r="E312" s="2975"/>
      <c r="F312" s="2975"/>
      <c r="G312" s="2975"/>
      <c r="H312" s="2976"/>
      <c r="I312" s="2918"/>
      <c r="J312" s="2919"/>
      <c r="K312" s="2918"/>
      <c r="L312" s="2919"/>
      <c r="M312" s="2933"/>
      <c r="N312" s="2934"/>
      <c r="O312" s="2934"/>
      <c r="P312" s="2934"/>
      <c r="Q312" s="2935"/>
      <c r="R312" s="2918"/>
      <c r="S312" s="2919"/>
      <c r="T312" s="2918"/>
      <c r="U312" s="2919"/>
      <c r="V312" s="2933"/>
      <c r="W312" s="2934"/>
      <c r="X312" s="2934"/>
      <c r="Y312" s="2934"/>
      <c r="Z312" s="2935"/>
      <c r="AA312" s="1721"/>
      <c r="AB312" s="1706"/>
      <c r="AC312" s="1706"/>
      <c r="AD312" s="1706"/>
      <c r="AE312" s="1706"/>
      <c r="AF312" s="1706"/>
      <c r="AG312" s="1706"/>
      <c r="AH312" s="1706"/>
      <c r="AI312" s="1706"/>
    </row>
    <row r="313" spans="1:37" x14ac:dyDescent="0.2">
      <c r="A313" s="1758"/>
      <c r="B313" s="1758"/>
      <c r="C313" s="1759"/>
      <c r="D313" s="1759"/>
      <c r="E313" s="1759"/>
      <c r="F313" s="1759"/>
      <c r="G313" s="1759"/>
      <c r="H313" s="1759"/>
      <c r="I313" s="1760"/>
      <c r="J313" s="1760"/>
      <c r="K313" s="1760"/>
      <c r="L313" s="1760"/>
      <c r="M313" s="1761"/>
      <c r="N313" s="1761"/>
      <c r="O313" s="1761"/>
      <c r="P313" s="1761"/>
      <c r="Q313" s="1761"/>
      <c r="R313" s="1760"/>
      <c r="S313" s="1760"/>
      <c r="T313" s="1760"/>
      <c r="U313" s="1760"/>
      <c r="V313" s="1761"/>
      <c r="W313" s="1761"/>
      <c r="X313" s="1761"/>
      <c r="Y313" s="1761"/>
      <c r="Z313" s="1761"/>
      <c r="AA313" s="1721"/>
      <c r="AB313" s="1706"/>
      <c r="AC313" s="1706"/>
      <c r="AD313" s="1706"/>
      <c r="AE313" s="1706"/>
      <c r="AF313" s="1706"/>
      <c r="AG313" s="1706"/>
      <c r="AH313" s="1706"/>
      <c r="AI313" s="1706"/>
    </row>
    <row r="314" spans="1:37" x14ac:dyDescent="0.2">
      <c r="A314" s="1758"/>
      <c r="B314" s="1758"/>
      <c r="C314" s="1759"/>
      <c r="D314" s="1759"/>
      <c r="E314" s="1759"/>
      <c r="F314" s="1759"/>
      <c r="G314" s="1759"/>
      <c r="H314" s="1759"/>
      <c r="I314" s="1760"/>
      <c r="J314" s="1760"/>
      <c r="K314" s="1760"/>
      <c r="L314" s="1760"/>
      <c r="M314" s="1761"/>
      <c r="N314" s="1761"/>
      <c r="O314" s="1761"/>
      <c r="P314" s="1761"/>
      <c r="Q314" s="1761"/>
      <c r="R314" s="1760"/>
      <c r="S314" s="1760"/>
      <c r="T314" s="1760"/>
      <c r="U314" s="1760"/>
      <c r="V314" s="1761"/>
      <c r="W314" s="1761"/>
      <c r="X314" s="1761"/>
      <c r="Y314" s="1761"/>
      <c r="Z314" s="1761"/>
      <c r="AA314" s="1721"/>
      <c r="AB314" s="1706"/>
      <c r="AC314" s="1706"/>
      <c r="AD314" s="1706"/>
      <c r="AE314" s="1706"/>
      <c r="AF314" s="1706"/>
      <c r="AG314" s="1706"/>
      <c r="AH314" s="1706"/>
      <c r="AI314" s="1706"/>
    </row>
    <row r="315" spans="1:37" x14ac:dyDescent="0.2">
      <c r="A315" s="1758"/>
      <c r="B315" s="1758"/>
      <c r="C315" s="1759"/>
      <c r="D315" s="1759"/>
      <c r="E315" s="1759"/>
      <c r="F315" s="1759"/>
      <c r="G315" s="1759"/>
      <c r="H315" s="1759"/>
      <c r="I315" s="1760"/>
      <c r="J315" s="1760"/>
      <c r="K315" s="1760"/>
      <c r="L315" s="1760"/>
      <c r="M315" s="1761"/>
      <c r="N315" s="1761"/>
      <c r="O315" s="1761"/>
      <c r="P315" s="1761"/>
      <c r="Q315" s="1761"/>
      <c r="R315" s="1760"/>
      <c r="S315" s="1760"/>
      <c r="T315" s="1760"/>
      <c r="U315" s="1760"/>
      <c r="V315" s="1761"/>
      <c r="W315" s="1761"/>
      <c r="X315" s="1761"/>
      <c r="Y315" s="1761"/>
      <c r="Z315" s="1761"/>
      <c r="AA315" s="1721"/>
      <c r="AB315" s="1706"/>
      <c r="AC315" s="1706"/>
      <c r="AD315" s="1706"/>
      <c r="AE315" s="1706"/>
      <c r="AF315" s="1706"/>
      <c r="AG315" s="1706"/>
      <c r="AH315" s="1706"/>
      <c r="AI315" s="1706"/>
    </row>
    <row r="316" spans="1:37" ht="14.25" customHeight="1" x14ac:dyDescent="0.2">
      <c r="A316" s="1758"/>
      <c r="B316" s="1758"/>
      <c r="C316" s="1759"/>
      <c r="D316" s="1759"/>
      <c r="E316" s="1759"/>
      <c r="F316" s="1759"/>
      <c r="G316" s="1759"/>
      <c r="H316" s="1759"/>
      <c r="I316" s="1760"/>
      <c r="J316" s="1760"/>
      <c r="K316" s="1760"/>
      <c r="L316" s="1760"/>
      <c r="M316" s="1761"/>
      <c r="N316" s="1761"/>
      <c r="O316" s="1761"/>
      <c r="P316" s="1761"/>
      <c r="Q316" s="1761"/>
      <c r="R316" s="1760"/>
      <c r="S316" s="1760"/>
      <c r="T316" s="1760"/>
      <c r="U316" s="1760"/>
      <c r="V316" s="1761"/>
      <c r="W316" s="1761"/>
      <c r="X316" s="1761"/>
      <c r="Y316" s="1761"/>
      <c r="Z316" s="1761"/>
      <c r="AA316" s="1721"/>
      <c r="AB316" s="1706"/>
      <c r="AC316" s="1706"/>
      <c r="AD316" s="1706"/>
      <c r="AE316" s="1706"/>
      <c r="AF316" s="1706"/>
      <c r="AG316" s="1706"/>
      <c r="AH316" s="1706"/>
      <c r="AI316" s="1706"/>
    </row>
    <row r="317" spans="1:37" ht="14.25" customHeight="1" x14ac:dyDescent="0.2">
      <c r="A317" s="1758"/>
      <c r="B317" s="1758"/>
      <c r="C317" s="1759"/>
      <c r="D317" s="1759"/>
      <c r="E317" s="1759"/>
      <c r="F317" s="1759"/>
      <c r="G317" s="1759"/>
      <c r="H317" s="1759"/>
      <c r="I317" s="1760"/>
      <c r="J317" s="1760"/>
      <c r="K317" s="1760"/>
      <c r="L317" s="1760"/>
      <c r="M317" s="1761"/>
      <c r="N317" s="1761"/>
      <c r="O317" s="1761"/>
      <c r="P317" s="1761"/>
      <c r="Q317" s="1761"/>
      <c r="R317" s="1760"/>
      <c r="S317" s="1760"/>
      <c r="T317" s="1760"/>
      <c r="U317" s="1760"/>
      <c r="V317" s="1761"/>
      <c r="W317" s="1761"/>
      <c r="X317" s="1761"/>
      <c r="Y317" s="1761"/>
      <c r="Z317" s="1761"/>
      <c r="AA317" s="1721"/>
      <c r="AB317" s="2978" t="s">
        <v>257</v>
      </c>
      <c r="AC317" s="2978"/>
      <c r="AD317" s="2978"/>
      <c r="AE317" s="2978"/>
      <c r="AF317" s="2978"/>
      <c r="AG317" s="2978"/>
      <c r="AH317" s="2978"/>
      <c r="AI317" s="2978"/>
      <c r="AJ317" s="2978"/>
      <c r="AK317" s="2978"/>
    </row>
    <row r="318" spans="1:37" x14ac:dyDescent="0.2">
      <c r="A318" s="1758"/>
      <c r="B318" s="1758"/>
      <c r="C318" s="1759"/>
      <c r="D318" s="1759"/>
      <c r="E318" s="1759"/>
      <c r="F318" s="1759"/>
      <c r="G318" s="1759"/>
      <c r="H318" s="1759"/>
      <c r="I318" s="1760"/>
      <c r="J318" s="1760"/>
      <c r="K318" s="1760"/>
      <c r="L318" s="1760"/>
      <c r="M318" s="1761"/>
      <c r="N318" s="1761"/>
      <c r="O318" s="1761"/>
      <c r="P318" s="1761"/>
      <c r="Q318" s="1761"/>
      <c r="R318" s="1760"/>
      <c r="S318" s="1760"/>
      <c r="T318" s="1760"/>
      <c r="U318" s="1760"/>
      <c r="V318" s="1761"/>
      <c r="W318" s="1761"/>
      <c r="X318" s="1761"/>
      <c r="Y318" s="1761"/>
      <c r="Z318" s="1761"/>
      <c r="AA318" s="1721"/>
      <c r="AB318" s="2978"/>
      <c r="AC318" s="2978"/>
      <c r="AD318" s="2978"/>
      <c r="AE318" s="2978"/>
      <c r="AF318" s="2978"/>
      <c r="AG318" s="2978"/>
      <c r="AH318" s="2978"/>
      <c r="AI318" s="2978"/>
      <c r="AJ318" s="2978"/>
      <c r="AK318" s="2978"/>
    </row>
    <row r="319" spans="1:37" x14ac:dyDescent="0.2">
      <c r="A319" s="1758"/>
      <c r="B319" s="1758"/>
      <c r="C319" s="1759"/>
      <c r="D319" s="1759"/>
      <c r="E319" s="1759"/>
      <c r="F319" s="1759"/>
      <c r="G319" s="1759"/>
      <c r="H319" s="1759"/>
      <c r="I319" s="1760"/>
      <c r="J319" s="1760"/>
      <c r="K319" s="1760"/>
      <c r="L319" s="1760"/>
      <c r="M319" s="1761"/>
      <c r="N319" s="1761"/>
      <c r="O319" s="1761"/>
      <c r="P319" s="1761"/>
      <c r="Q319" s="1761"/>
      <c r="R319" s="1760"/>
      <c r="S319" s="1760"/>
      <c r="T319" s="1760"/>
      <c r="U319" s="1760"/>
      <c r="V319" s="1761"/>
      <c r="W319" s="1761"/>
      <c r="X319" s="1761"/>
      <c r="Y319" s="1761"/>
      <c r="Z319" s="1761"/>
      <c r="AA319" s="1721"/>
      <c r="AB319" s="1706"/>
      <c r="AC319" s="1706"/>
      <c r="AD319" s="1706"/>
      <c r="AE319" s="1706"/>
      <c r="AF319" s="1706"/>
      <c r="AG319" s="1706"/>
      <c r="AH319" s="1706"/>
      <c r="AI319" s="1706"/>
    </row>
    <row r="320" spans="1:37" ht="19.5" customHeight="1" x14ac:dyDescent="0.2">
      <c r="A320" s="2979" t="s">
        <v>419</v>
      </c>
      <c r="B320" s="2979"/>
      <c r="C320" s="2979" t="s">
        <v>420</v>
      </c>
      <c r="D320" s="2979"/>
      <c r="E320" s="2979"/>
      <c r="F320" s="2979"/>
      <c r="G320" s="2979"/>
      <c r="H320" s="2979"/>
      <c r="I320" s="2979" t="s">
        <v>421</v>
      </c>
      <c r="J320" s="2979"/>
      <c r="K320" s="2979"/>
      <c r="L320" s="2979"/>
      <c r="M320" s="2979"/>
      <c r="N320" s="2979"/>
      <c r="O320" s="2979"/>
      <c r="P320" s="2979"/>
      <c r="Q320" s="2979"/>
      <c r="R320" s="2979" t="s">
        <v>424</v>
      </c>
      <c r="S320" s="2979"/>
      <c r="T320" s="2979"/>
      <c r="U320" s="2979"/>
      <c r="V320" s="2979"/>
      <c r="W320" s="2979"/>
      <c r="X320" s="2979"/>
      <c r="Y320" s="2979"/>
      <c r="Z320" s="2979"/>
      <c r="AA320" s="1721"/>
      <c r="AB320" s="1706"/>
      <c r="AC320" s="2977">
        <f>AB263</f>
        <v>6</v>
      </c>
      <c r="AD320" s="2955" t="str">
        <f>AC263</f>
        <v>Asyam Hanif Ihsan H</v>
      </c>
      <c r="AE320" s="2955"/>
      <c r="AF320" s="2955"/>
      <c r="AG320" s="2955"/>
      <c r="AH320" s="1706"/>
      <c r="AI320" s="1706"/>
    </row>
    <row r="321" spans="1:35" ht="21.75" customHeight="1" x14ac:dyDescent="0.2">
      <c r="A321" s="2979"/>
      <c r="B321" s="2979"/>
      <c r="C321" s="2979"/>
      <c r="D321" s="2979"/>
      <c r="E321" s="2979"/>
      <c r="F321" s="2979"/>
      <c r="G321" s="2979"/>
      <c r="H321" s="2979"/>
      <c r="I321" s="2979" t="s">
        <v>422</v>
      </c>
      <c r="J321" s="2979"/>
      <c r="K321" s="2979" t="s">
        <v>423</v>
      </c>
      <c r="L321" s="2979"/>
      <c r="M321" s="2979" t="s">
        <v>412</v>
      </c>
      <c r="N321" s="2979"/>
      <c r="O321" s="2979"/>
      <c r="P321" s="2979"/>
      <c r="Q321" s="2979"/>
      <c r="R321" s="2979" t="s">
        <v>422</v>
      </c>
      <c r="S321" s="2979"/>
      <c r="T321" s="2979" t="s">
        <v>423</v>
      </c>
      <c r="U321" s="2979"/>
      <c r="V321" s="2979" t="s">
        <v>412</v>
      </c>
      <c r="W321" s="2979"/>
      <c r="X321" s="2979"/>
      <c r="Y321" s="2979"/>
      <c r="Z321" s="2979"/>
      <c r="AA321" s="1721"/>
      <c r="AB321" s="1706"/>
      <c r="AC321" s="2977"/>
      <c r="AD321" s="2955"/>
      <c r="AE321" s="2955"/>
      <c r="AF321" s="2955"/>
      <c r="AG321" s="2955"/>
      <c r="AH321" s="1706"/>
      <c r="AI321" s="1706"/>
    </row>
    <row r="322" spans="1:35" ht="14.25" customHeight="1" x14ac:dyDescent="0.2">
      <c r="A322" s="2962" t="s">
        <v>250</v>
      </c>
      <c r="B322" s="2963"/>
      <c r="C322" s="2968" t="s">
        <v>455</v>
      </c>
      <c r="D322" s="2969"/>
      <c r="E322" s="2969"/>
      <c r="F322" s="2969"/>
      <c r="G322" s="2969"/>
      <c r="H322" s="2970"/>
      <c r="I322" s="2914">
        <f>VLOOKUP(AC2,KI3_SBDPrapot,22,FALSE)</f>
        <v>0</v>
      </c>
      <c r="J322" s="2915"/>
      <c r="K322" s="2914" t="str">
        <f>VLOOKUP(AC2,KI3_SBDPrapot,23,FALSE)</f>
        <v>D+</v>
      </c>
      <c r="L322" s="2915"/>
      <c r="M322" s="2927" t="str">
        <f>VLOOKUP(AC2,DESGAB_SBDP,3,FALSE)</f>
        <v xml:space="preserve">    </v>
      </c>
      <c r="N322" s="2928"/>
      <c r="O322" s="2928"/>
      <c r="P322" s="2928"/>
      <c r="Q322" s="2929"/>
      <c r="R322" s="2914">
        <f>VLOOKUP(AC2,KI4_SBDPrapot,36,FALSE)</f>
        <v>0</v>
      </c>
      <c r="S322" s="2915"/>
      <c r="T322" s="2920" t="str">
        <f>VLOOKUP(AC2,KI4_SBDPrapot,37,FALSE)</f>
        <v>D+</v>
      </c>
      <c r="U322" s="2921"/>
      <c r="V322" s="2927" t="str">
        <f>VLOOKUP(AC2,DESGAB_SBDP,4,FALSE)</f>
        <v xml:space="preserve">    </v>
      </c>
      <c r="W322" s="2928"/>
      <c r="X322" s="2928"/>
      <c r="Y322" s="2928"/>
      <c r="Z322" s="2929"/>
      <c r="AA322" s="1721"/>
      <c r="AB322" s="1706"/>
      <c r="AC322" s="2956" t="s">
        <v>503</v>
      </c>
      <c r="AD322" s="2957"/>
      <c r="AE322" s="2957"/>
      <c r="AF322" s="2957"/>
      <c r="AG322" s="2958"/>
      <c r="AH322" s="1706"/>
      <c r="AI322" s="1706"/>
    </row>
    <row r="323" spans="1:35" ht="14.25" customHeight="1" x14ac:dyDescent="0.2">
      <c r="A323" s="2964"/>
      <c r="B323" s="2965"/>
      <c r="C323" s="2971"/>
      <c r="D323" s="2972"/>
      <c r="E323" s="2972"/>
      <c r="F323" s="2972"/>
      <c r="G323" s="2972"/>
      <c r="H323" s="2973"/>
      <c r="I323" s="2916"/>
      <c r="J323" s="2917"/>
      <c r="K323" s="2916"/>
      <c r="L323" s="2917"/>
      <c r="M323" s="2930"/>
      <c r="N323" s="2931"/>
      <c r="O323" s="2931"/>
      <c r="P323" s="2931"/>
      <c r="Q323" s="2932"/>
      <c r="R323" s="2916"/>
      <c r="S323" s="2917"/>
      <c r="T323" s="2922"/>
      <c r="U323" s="2923"/>
      <c r="V323" s="2930"/>
      <c r="W323" s="2931"/>
      <c r="X323" s="2931"/>
      <c r="Y323" s="2931"/>
      <c r="Z323" s="2932"/>
      <c r="AA323" s="1721"/>
      <c r="AB323" s="1706"/>
      <c r="AC323" s="2959"/>
      <c r="AD323" s="2960"/>
      <c r="AE323" s="2960"/>
      <c r="AF323" s="2960"/>
      <c r="AG323" s="2961"/>
      <c r="AH323" s="1706"/>
      <c r="AI323" s="1706"/>
    </row>
    <row r="324" spans="1:35" x14ac:dyDescent="0.2">
      <c r="A324" s="2964"/>
      <c r="B324" s="2965"/>
      <c r="C324" s="2971"/>
      <c r="D324" s="2972"/>
      <c r="E324" s="2972"/>
      <c r="F324" s="2972"/>
      <c r="G324" s="2972"/>
      <c r="H324" s="2973"/>
      <c r="I324" s="2916"/>
      <c r="J324" s="2917"/>
      <c r="K324" s="2916"/>
      <c r="L324" s="2917"/>
      <c r="M324" s="2930"/>
      <c r="N324" s="2931"/>
      <c r="O324" s="2931"/>
      <c r="P324" s="2931"/>
      <c r="Q324" s="2932"/>
      <c r="R324" s="2916"/>
      <c r="S324" s="2917"/>
      <c r="T324" s="2922"/>
      <c r="U324" s="2923"/>
      <c r="V324" s="2930"/>
      <c r="W324" s="2931"/>
      <c r="X324" s="2931"/>
      <c r="Y324" s="2931"/>
      <c r="Z324" s="2932"/>
      <c r="AA324" s="1721"/>
      <c r="AB324" s="1706"/>
      <c r="AC324" s="1706"/>
      <c r="AD324" s="1706"/>
      <c r="AE324" s="1706"/>
      <c r="AF324" s="1706"/>
      <c r="AG324" s="1706"/>
      <c r="AH324" s="1706"/>
      <c r="AI324" s="1706"/>
    </row>
    <row r="325" spans="1:35" x14ac:dyDescent="0.2">
      <c r="A325" s="2964"/>
      <c r="B325" s="2965"/>
      <c r="C325" s="2971"/>
      <c r="D325" s="2972"/>
      <c r="E325" s="2972"/>
      <c r="F325" s="2972"/>
      <c r="G325" s="2972"/>
      <c r="H325" s="2973"/>
      <c r="I325" s="2916"/>
      <c r="J325" s="2917"/>
      <c r="K325" s="2916"/>
      <c r="L325" s="2917"/>
      <c r="M325" s="2930"/>
      <c r="N325" s="2931"/>
      <c r="O325" s="2931"/>
      <c r="P325" s="2931"/>
      <c r="Q325" s="2932"/>
      <c r="R325" s="2916"/>
      <c r="S325" s="2917"/>
      <c r="T325" s="2922"/>
      <c r="U325" s="2923"/>
      <c r="V325" s="2930"/>
      <c r="W325" s="2931"/>
      <c r="X325" s="2931"/>
      <c r="Y325" s="2931"/>
      <c r="Z325" s="2932"/>
      <c r="AA325" s="1721"/>
      <c r="AB325" s="1706"/>
      <c r="AC325" s="1706"/>
      <c r="AD325" s="1706"/>
      <c r="AE325" s="1706"/>
      <c r="AF325" s="1706"/>
      <c r="AG325" s="1706"/>
      <c r="AH325" s="1706"/>
      <c r="AI325" s="1706"/>
    </row>
    <row r="326" spans="1:35" x14ac:dyDescent="0.2">
      <c r="A326" s="2964"/>
      <c r="B326" s="2965"/>
      <c r="C326" s="2971"/>
      <c r="D326" s="2972"/>
      <c r="E326" s="2972"/>
      <c r="F326" s="2972"/>
      <c r="G326" s="2972"/>
      <c r="H326" s="2973"/>
      <c r="I326" s="2916"/>
      <c r="J326" s="2917"/>
      <c r="K326" s="2916"/>
      <c r="L326" s="2917"/>
      <c r="M326" s="2930"/>
      <c r="N326" s="2931"/>
      <c r="O326" s="2931"/>
      <c r="P326" s="2931"/>
      <c r="Q326" s="2932"/>
      <c r="R326" s="2916"/>
      <c r="S326" s="2917"/>
      <c r="T326" s="2922"/>
      <c r="U326" s="2923"/>
      <c r="V326" s="2930"/>
      <c r="W326" s="2931"/>
      <c r="X326" s="2931"/>
      <c r="Y326" s="2931"/>
      <c r="Z326" s="2932"/>
      <c r="AA326" s="1721"/>
      <c r="AB326" s="1706"/>
      <c r="AC326" s="1706"/>
      <c r="AD326" s="1706"/>
      <c r="AE326" s="1706"/>
      <c r="AF326" s="1706"/>
      <c r="AG326" s="1706"/>
      <c r="AH326" s="1706"/>
      <c r="AI326" s="1706"/>
    </row>
    <row r="327" spans="1:35" x14ac:dyDescent="0.2">
      <c r="A327" s="2964"/>
      <c r="B327" s="2965"/>
      <c r="C327" s="2971"/>
      <c r="D327" s="2972"/>
      <c r="E327" s="2972"/>
      <c r="F327" s="2972"/>
      <c r="G327" s="2972"/>
      <c r="H327" s="2973"/>
      <c r="I327" s="2916"/>
      <c r="J327" s="2917"/>
      <c r="K327" s="2916"/>
      <c r="L327" s="2917"/>
      <c r="M327" s="2930"/>
      <c r="N327" s="2931"/>
      <c r="O327" s="2931"/>
      <c r="P327" s="2931"/>
      <c r="Q327" s="2932"/>
      <c r="R327" s="2916"/>
      <c r="S327" s="2917"/>
      <c r="T327" s="2922"/>
      <c r="U327" s="2923"/>
      <c r="V327" s="2930"/>
      <c r="W327" s="2931"/>
      <c r="X327" s="2931"/>
      <c r="Y327" s="2931"/>
      <c r="Z327" s="2932"/>
      <c r="AA327" s="1721"/>
      <c r="AB327" s="1706"/>
      <c r="AC327" s="1706"/>
      <c r="AD327" s="1706"/>
      <c r="AE327" s="1706"/>
      <c r="AF327" s="1706"/>
      <c r="AG327" s="1706"/>
      <c r="AH327" s="1706"/>
      <c r="AI327" s="1706"/>
    </row>
    <row r="328" spans="1:35" x14ac:dyDescent="0.2">
      <c r="A328" s="2964"/>
      <c r="B328" s="2965"/>
      <c r="C328" s="2971"/>
      <c r="D328" s="2972"/>
      <c r="E328" s="2972"/>
      <c r="F328" s="2972"/>
      <c r="G328" s="2972"/>
      <c r="H328" s="2973"/>
      <c r="I328" s="2916"/>
      <c r="J328" s="2917"/>
      <c r="K328" s="2916"/>
      <c r="L328" s="2917"/>
      <c r="M328" s="2930"/>
      <c r="N328" s="2931"/>
      <c r="O328" s="2931"/>
      <c r="P328" s="2931"/>
      <c r="Q328" s="2932"/>
      <c r="R328" s="2916"/>
      <c r="S328" s="2917"/>
      <c r="T328" s="2922"/>
      <c r="U328" s="2923"/>
      <c r="V328" s="2930"/>
      <c r="W328" s="2931"/>
      <c r="X328" s="2931"/>
      <c r="Y328" s="2931"/>
      <c r="Z328" s="2932"/>
      <c r="AA328" s="1721"/>
      <c r="AB328" s="1706"/>
      <c r="AC328" s="1706"/>
      <c r="AD328" s="1706"/>
      <c r="AE328" s="1706"/>
      <c r="AF328" s="1706"/>
      <c r="AG328" s="1706"/>
      <c r="AH328" s="1706"/>
      <c r="AI328" s="1706"/>
    </row>
    <row r="329" spans="1:35" x14ac:dyDescent="0.2">
      <c r="A329" s="2964"/>
      <c r="B329" s="2965"/>
      <c r="C329" s="2971"/>
      <c r="D329" s="2972"/>
      <c r="E329" s="2972"/>
      <c r="F329" s="2972"/>
      <c r="G329" s="2972"/>
      <c r="H329" s="2973"/>
      <c r="I329" s="2916"/>
      <c r="J329" s="2917"/>
      <c r="K329" s="2916"/>
      <c r="L329" s="2917"/>
      <c r="M329" s="2930"/>
      <c r="N329" s="2931"/>
      <c r="O329" s="2931"/>
      <c r="P329" s="2931"/>
      <c r="Q329" s="2932"/>
      <c r="R329" s="2916"/>
      <c r="S329" s="2917"/>
      <c r="T329" s="2922"/>
      <c r="U329" s="2923"/>
      <c r="V329" s="2930"/>
      <c r="W329" s="2931"/>
      <c r="X329" s="2931"/>
      <c r="Y329" s="2931"/>
      <c r="Z329" s="2932"/>
      <c r="AA329" s="1721"/>
      <c r="AB329" s="1706"/>
      <c r="AC329" s="1706"/>
      <c r="AD329" s="1706"/>
      <c r="AE329" s="1706"/>
      <c r="AF329" s="1706"/>
      <c r="AG329" s="1706"/>
      <c r="AH329" s="1706"/>
      <c r="AI329" s="1706"/>
    </row>
    <row r="330" spans="1:35" x14ac:dyDescent="0.2">
      <c r="A330" s="2964"/>
      <c r="B330" s="2965"/>
      <c r="C330" s="2971"/>
      <c r="D330" s="2972"/>
      <c r="E330" s="2972"/>
      <c r="F330" s="2972"/>
      <c r="G330" s="2972"/>
      <c r="H330" s="2973"/>
      <c r="I330" s="2916"/>
      <c r="J330" s="2917"/>
      <c r="K330" s="2916"/>
      <c r="L330" s="2917"/>
      <c r="M330" s="2930"/>
      <c r="N330" s="2931"/>
      <c r="O330" s="2931"/>
      <c r="P330" s="2931"/>
      <c r="Q330" s="2932"/>
      <c r="R330" s="2916"/>
      <c r="S330" s="2917"/>
      <c r="T330" s="2922"/>
      <c r="U330" s="2923"/>
      <c r="V330" s="2930"/>
      <c r="W330" s="2931"/>
      <c r="X330" s="2931"/>
      <c r="Y330" s="2931"/>
      <c r="Z330" s="2932"/>
      <c r="AA330" s="1721"/>
      <c r="AB330" s="1706"/>
      <c r="AC330" s="1706"/>
      <c r="AD330" s="1706"/>
      <c r="AE330" s="1706"/>
      <c r="AF330" s="1706"/>
      <c r="AG330" s="1706"/>
      <c r="AH330" s="1706"/>
      <c r="AI330" s="1706"/>
    </row>
    <row r="331" spans="1:35" x14ac:dyDescent="0.2">
      <c r="A331" s="2964"/>
      <c r="B331" s="2965"/>
      <c r="C331" s="2971"/>
      <c r="D331" s="2972"/>
      <c r="E331" s="2972"/>
      <c r="F331" s="2972"/>
      <c r="G331" s="2972"/>
      <c r="H331" s="2973"/>
      <c r="I331" s="2916"/>
      <c r="J331" s="2917"/>
      <c r="K331" s="2916"/>
      <c r="L331" s="2917"/>
      <c r="M331" s="2930"/>
      <c r="N331" s="2931"/>
      <c r="O331" s="2931"/>
      <c r="P331" s="2931"/>
      <c r="Q331" s="2932"/>
      <c r="R331" s="2916"/>
      <c r="S331" s="2917"/>
      <c r="T331" s="2922"/>
      <c r="U331" s="2923"/>
      <c r="V331" s="2930"/>
      <c r="W331" s="2931"/>
      <c r="X331" s="2931"/>
      <c r="Y331" s="2931"/>
      <c r="Z331" s="2932"/>
      <c r="AA331" s="1721"/>
      <c r="AB331" s="1706"/>
      <c r="AC331" s="1706"/>
      <c r="AD331" s="1706"/>
      <c r="AE331" s="1706"/>
      <c r="AF331" s="1706"/>
      <c r="AG331" s="1706"/>
      <c r="AH331" s="1706"/>
      <c r="AI331" s="1706"/>
    </row>
    <row r="332" spans="1:35" x14ac:dyDescent="0.2">
      <c r="A332" s="2964"/>
      <c r="B332" s="2965"/>
      <c r="C332" s="2971"/>
      <c r="D332" s="2972"/>
      <c r="E332" s="2972"/>
      <c r="F332" s="2972"/>
      <c r="G332" s="2972"/>
      <c r="H332" s="2973"/>
      <c r="I332" s="2916"/>
      <c r="J332" s="2917"/>
      <c r="K332" s="2916"/>
      <c r="L332" s="2917"/>
      <c r="M332" s="2930"/>
      <c r="N332" s="2931"/>
      <c r="O332" s="2931"/>
      <c r="P332" s="2931"/>
      <c r="Q332" s="2932"/>
      <c r="R332" s="2916"/>
      <c r="S332" s="2917"/>
      <c r="T332" s="2922"/>
      <c r="U332" s="2923"/>
      <c r="V332" s="2930"/>
      <c r="W332" s="2931"/>
      <c r="X332" s="2931"/>
      <c r="Y332" s="2931"/>
      <c r="Z332" s="2932"/>
      <c r="AA332" s="1721"/>
      <c r="AB332" s="1706"/>
      <c r="AC332" s="1706"/>
      <c r="AD332" s="1706"/>
      <c r="AE332" s="1706"/>
      <c r="AF332" s="1706"/>
      <c r="AG332" s="1706"/>
      <c r="AH332" s="1706"/>
      <c r="AI332" s="1706"/>
    </row>
    <row r="333" spans="1:35" x14ac:dyDescent="0.2">
      <c r="A333" s="2964"/>
      <c r="B333" s="2965"/>
      <c r="C333" s="2971"/>
      <c r="D333" s="2972"/>
      <c r="E333" s="2972"/>
      <c r="F333" s="2972"/>
      <c r="G333" s="2972"/>
      <c r="H333" s="2973"/>
      <c r="I333" s="2916"/>
      <c r="J333" s="2917"/>
      <c r="K333" s="2916"/>
      <c r="L333" s="2917"/>
      <c r="M333" s="2930"/>
      <c r="N333" s="2931"/>
      <c r="O333" s="2931"/>
      <c r="P333" s="2931"/>
      <c r="Q333" s="2932"/>
      <c r="R333" s="2916"/>
      <c r="S333" s="2917"/>
      <c r="T333" s="2922"/>
      <c r="U333" s="2923"/>
      <c r="V333" s="2930"/>
      <c r="W333" s="2931"/>
      <c r="X333" s="2931"/>
      <c r="Y333" s="2931"/>
      <c r="Z333" s="2932"/>
      <c r="AA333" s="1721"/>
      <c r="AB333" s="1706"/>
      <c r="AC333" s="1706"/>
      <c r="AD333" s="1706"/>
      <c r="AE333" s="1706"/>
      <c r="AF333" s="1706"/>
      <c r="AG333" s="1706"/>
      <c r="AH333" s="1706"/>
      <c r="AI333" s="1706"/>
    </row>
    <row r="334" spans="1:35" x14ac:dyDescent="0.2">
      <c r="A334" s="2964"/>
      <c r="B334" s="2965"/>
      <c r="C334" s="2971"/>
      <c r="D334" s="2972"/>
      <c r="E334" s="2972"/>
      <c r="F334" s="2972"/>
      <c r="G334" s="2972"/>
      <c r="H334" s="2973"/>
      <c r="I334" s="2916"/>
      <c r="J334" s="2917"/>
      <c r="K334" s="2916"/>
      <c r="L334" s="2917"/>
      <c r="M334" s="2930"/>
      <c r="N334" s="2931"/>
      <c r="O334" s="2931"/>
      <c r="P334" s="2931"/>
      <c r="Q334" s="2932"/>
      <c r="R334" s="2916"/>
      <c r="S334" s="2917"/>
      <c r="T334" s="2922"/>
      <c r="U334" s="2923"/>
      <c r="V334" s="2930"/>
      <c r="W334" s="2931"/>
      <c r="X334" s="2931"/>
      <c r="Y334" s="2931"/>
      <c r="Z334" s="2932"/>
      <c r="AA334" s="1721"/>
      <c r="AB334" s="1706"/>
      <c r="AC334" s="1706"/>
      <c r="AD334" s="1706"/>
      <c r="AE334" s="1706"/>
      <c r="AF334" s="1706"/>
      <c r="AG334" s="1706"/>
      <c r="AH334" s="1706"/>
      <c r="AI334" s="1706"/>
    </row>
    <row r="335" spans="1:35" x14ac:dyDescent="0.2">
      <c r="A335" s="2964"/>
      <c r="B335" s="2965"/>
      <c r="C335" s="2971"/>
      <c r="D335" s="2972"/>
      <c r="E335" s="2972"/>
      <c r="F335" s="2972"/>
      <c r="G335" s="2972"/>
      <c r="H335" s="2973"/>
      <c r="I335" s="2916"/>
      <c r="J335" s="2917"/>
      <c r="K335" s="2916"/>
      <c r="L335" s="2917"/>
      <c r="M335" s="2930"/>
      <c r="N335" s="2931"/>
      <c r="O335" s="2931"/>
      <c r="P335" s="2931"/>
      <c r="Q335" s="2932"/>
      <c r="R335" s="2916"/>
      <c r="S335" s="2917"/>
      <c r="T335" s="2922"/>
      <c r="U335" s="2923"/>
      <c r="V335" s="2930"/>
      <c r="W335" s="2931"/>
      <c r="X335" s="2931"/>
      <c r="Y335" s="2931"/>
      <c r="Z335" s="2932"/>
      <c r="AA335" s="1721"/>
      <c r="AB335" s="1706"/>
      <c r="AC335" s="1706"/>
      <c r="AD335" s="1706"/>
      <c r="AE335" s="1706"/>
      <c r="AF335" s="1706"/>
      <c r="AG335" s="1706"/>
      <c r="AH335" s="1706"/>
      <c r="AI335" s="1706"/>
    </row>
    <row r="336" spans="1:35" x14ac:dyDescent="0.2">
      <c r="A336" s="2966"/>
      <c r="B336" s="2967"/>
      <c r="C336" s="2974"/>
      <c r="D336" s="2975"/>
      <c r="E336" s="2975"/>
      <c r="F336" s="2975"/>
      <c r="G336" s="2975"/>
      <c r="H336" s="2976"/>
      <c r="I336" s="2918"/>
      <c r="J336" s="2919"/>
      <c r="K336" s="2918"/>
      <c r="L336" s="2919"/>
      <c r="M336" s="2933"/>
      <c r="N336" s="2934"/>
      <c r="O336" s="2934"/>
      <c r="P336" s="2934"/>
      <c r="Q336" s="2935"/>
      <c r="R336" s="2918"/>
      <c r="S336" s="2919"/>
      <c r="T336" s="2924"/>
      <c r="U336" s="2925"/>
      <c r="V336" s="2933"/>
      <c r="W336" s="2934"/>
      <c r="X336" s="2934"/>
      <c r="Y336" s="2934"/>
      <c r="Z336" s="2935"/>
      <c r="AA336" s="1721"/>
      <c r="AB336" s="1706"/>
      <c r="AC336" s="1706"/>
      <c r="AD336" s="1706"/>
      <c r="AE336" s="1706"/>
      <c r="AF336" s="1706"/>
      <c r="AG336" s="1706"/>
      <c r="AH336" s="1706"/>
      <c r="AI336" s="1706"/>
    </row>
    <row r="337" spans="1:35" x14ac:dyDescent="0.2">
      <c r="A337" s="3086" t="s">
        <v>722</v>
      </c>
      <c r="B337" s="3087"/>
      <c r="C337" s="3087"/>
      <c r="D337" s="3087"/>
      <c r="E337" s="3087"/>
      <c r="F337" s="3087"/>
      <c r="G337" s="3087"/>
      <c r="H337" s="3087"/>
      <c r="I337" s="3087"/>
      <c r="J337" s="3087"/>
      <c r="K337" s="3087"/>
      <c r="L337" s="3087"/>
      <c r="M337" s="3087"/>
      <c r="N337" s="3087"/>
      <c r="O337" s="3087"/>
      <c r="P337" s="3087"/>
      <c r="Q337" s="3087"/>
      <c r="R337" s="3087"/>
      <c r="S337" s="3087"/>
      <c r="T337" s="3087"/>
      <c r="U337" s="3087"/>
      <c r="V337" s="3087"/>
      <c r="W337" s="3087"/>
      <c r="X337" s="3087"/>
      <c r="Y337" s="3087"/>
      <c r="Z337" s="3088"/>
      <c r="AA337" s="1762"/>
      <c r="AB337" s="1711"/>
      <c r="AC337" s="1706"/>
      <c r="AD337" s="1706"/>
      <c r="AE337" s="1706"/>
      <c r="AF337" s="1706"/>
      <c r="AG337" s="1706"/>
      <c r="AH337" s="1706"/>
      <c r="AI337" s="1706"/>
    </row>
    <row r="338" spans="1:35" ht="6" customHeight="1" x14ac:dyDescent="0.2">
      <c r="A338" s="3089"/>
      <c r="B338" s="3090"/>
      <c r="C338" s="3090"/>
      <c r="D338" s="3090"/>
      <c r="E338" s="3090"/>
      <c r="F338" s="3090"/>
      <c r="G338" s="3090"/>
      <c r="H338" s="3090"/>
      <c r="I338" s="3090"/>
      <c r="J338" s="3090"/>
      <c r="K338" s="3090"/>
      <c r="L338" s="3090"/>
      <c r="M338" s="3090"/>
      <c r="N338" s="3090"/>
      <c r="O338" s="3090"/>
      <c r="P338" s="3090"/>
      <c r="Q338" s="3090"/>
      <c r="R338" s="3090"/>
      <c r="S338" s="3090"/>
      <c r="T338" s="3090"/>
      <c r="U338" s="3090"/>
      <c r="V338" s="3090"/>
      <c r="W338" s="3090"/>
      <c r="X338" s="3090"/>
      <c r="Y338" s="3090"/>
      <c r="Z338" s="3091"/>
      <c r="AA338" s="1762"/>
      <c r="AB338" s="1711"/>
      <c r="AC338" s="1706"/>
      <c r="AD338" s="1706"/>
      <c r="AE338" s="1706"/>
      <c r="AF338" s="1706"/>
      <c r="AG338" s="1706"/>
      <c r="AH338" s="1706"/>
      <c r="AI338" s="1706"/>
    </row>
    <row r="339" spans="1:35" x14ac:dyDescent="0.2">
      <c r="A339" s="2962" t="s">
        <v>458</v>
      </c>
      <c r="B339" s="2963"/>
      <c r="C339" s="2968" t="s">
        <v>457</v>
      </c>
      <c r="D339" s="2969"/>
      <c r="E339" s="2969"/>
      <c r="F339" s="2969"/>
      <c r="G339" s="2969"/>
      <c r="H339" s="2970"/>
      <c r="I339" s="2914">
        <f>VLOOKUP(AC2,KI3_JAWArapot,20,FALSE)</f>
        <v>0</v>
      </c>
      <c r="J339" s="2915"/>
      <c r="K339" s="2920" t="str">
        <f>VLOOKUP(AC2,KI3_JAWArapot,21,FALSE)</f>
        <v>D+</v>
      </c>
      <c r="L339" s="2921"/>
      <c r="M339" s="2927" t="str">
        <f>VLOOKUP(AC2,DESGAB_JAWA,3,FALSE)</f>
        <v xml:space="preserve">    </v>
      </c>
      <c r="N339" s="2928"/>
      <c r="O339" s="2928"/>
      <c r="P339" s="2928"/>
      <c r="Q339" s="2929"/>
      <c r="R339" s="2914">
        <f>VLOOKUP(AC2,KI4_JAWArapot,27,FALSE)</f>
        <v>0</v>
      </c>
      <c r="S339" s="2915"/>
      <c r="T339" s="2920" t="str">
        <f>VLOOKUP(AC2,KI4_JAWArapot,28,FALSE)</f>
        <v>D+</v>
      </c>
      <c r="U339" s="2921"/>
      <c r="V339" s="2927" t="str">
        <f>VLOOKUP(AC2,DESGAB_JAWA,4,FALSE)</f>
        <v xml:space="preserve">    </v>
      </c>
      <c r="W339" s="2928"/>
      <c r="X339" s="2928"/>
      <c r="Y339" s="2928"/>
      <c r="Z339" s="2929"/>
      <c r="AA339" s="1762"/>
      <c r="AB339" s="1711"/>
      <c r="AC339" s="1706"/>
      <c r="AD339" s="1706"/>
      <c r="AE339" s="1706"/>
      <c r="AF339" s="1706"/>
      <c r="AG339" s="1706"/>
      <c r="AH339" s="1706"/>
      <c r="AI339" s="1706"/>
    </row>
    <row r="340" spans="1:35" x14ac:dyDescent="0.2">
      <c r="A340" s="2964"/>
      <c r="B340" s="2965"/>
      <c r="C340" s="2971"/>
      <c r="D340" s="2972"/>
      <c r="E340" s="2972"/>
      <c r="F340" s="2972"/>
      <c r="G340" s="2972"/>
      <c r="H340" s="2973"/>
      <c r="I340" s="2916"/>
      <c r="J340" s="2917"/>
      <c r="K340" s="2922"/>
      <c r="L340" s="2923"/>
      <c r="M340" s="2930"/>
      <c r="N340" s="2931"/>
      <c r="O340" s="2931"/>
      <c r="P340" s="2931"/>
      <c r="Q340" s="2932"/>
      <c r="R340" s="2916"/>
      <c r="S340" s="2917"/>
      <c r="T340" s="2922"/>
      <c r="U340" s="2923"/>
      <c r="V340" s="2930"/>
      <c r="W340" s="2931"/>
      <c r="X340" s="2931"/>
      <c r="Y340" s="2931"/>
      <c r="Z340" s="2932"/>
      <c r="AA340" s="1762"/>
      <c r="AB340" s="1711"/>
      <c r="AC340" s="1706"/>
      <c r="AD340" s="1706"/>
      <c r="AE340" s="1706"/>
      <c r="AF340" s="1706"/>
      <c r="AG340" s="1706"/>
      <c r="AH340" s="1706"/>
      <c r="AI340" s="1706"/>
    </row>
    <row r="341" spans="1:35" x14ac:dyDescent="0.2">
      <c r="A341" s="2964"/>
      <c r="B341" s="2965"/>
      <c r="C341" s="2971"/>
      <c r="D341" s="2972"/>
      <c r="E341" s="2972"/>
      <c r="F341" s="2972"/>
      <c r="G341" s="2972"/>
      <c r="H341" s="2973"/>
      <c r="I341" s="2916"/>
      <c r="J341" s="2917"/>
      <c r="K341" s="2922"/>
      <c r="L341" s="2923"/>
      <c r="M341" s="2930"/>
      <c r="N341" s="2931"/>
      <c r="O341" s="2931"/>
      <c r="P341" s="2931"/>
      <c r="Q341" s="2932"/>
      <c r="R341" s="2916"/>
      <c r="S341" s="2917"/>
      <c r="T341" s="2922"/>
      <c r="U341" s="2923"/>
      <c r="V341" s="2930"/>
      <c r="W341" s="2931"/>
      <c r="X341" s="2931"/>
      <c r="Y341" s="2931"/>
      <c r="Z341" s="2932"/>
      <c r="AA341" s="1762"/>
      <c r="AB341" s="1711"/>
      <c r="AC341" s="1706"/>
      <c r="AD341" s="1706"/>
      <c r="AE341" s="1706"/>
      <c r="AF341" s="1706"/>
      <c r="AG341" s="1706"/>
      <c r="AH341" s="1706"/>
      <c r="AI341" s="1706"/>
    </row>
    <row r="342" spans="1:35" x14ac:dyDescent="0.2">
      <c r="A342" s="2964"/>
      <c r="B342" s="2965"/>
      <c r="C342" s="2971"/>
      <c r="D342" s="2972"/>
      <c r="E342" s="2972"/>
      <c r="F342" s="2972"/>
      <c r="G342" s="2972"/>
      <c r="H342" s="2973"/>
      <c r="I342" s="2916"/>
      <c r="J342" s="2917"/>
      <c r="K342" s="2922"/>
      <c r="L342" s="2923"/>
      <c r="M342" s="2930"/>
      <c r="N342" s="2931"/>
      <c r="O342" s="2931"/>
      <c r="P342" s="2931"/>
      <c r="Q342" s="2932"/>
      <c r="R342" s="2916"/>
      <c r="S342" s="2917"/>
      <c r="T342" s="2922"/>
      <c r="U342" s="2923"/>
      <c r="V342" s="2930"/>
      <c r="W342" s="2931"/>
      <c r="X342" s="2931"/>
      <c r="Y342" s="2931"/>
      <c r="Z342" s="2932"/>
      <c r="AA342" s="1721"/>
      <c r="AB342" s="1706"/>
      <c r="AC342" s="1706"/>
      <c r="AD342" s="1706"/>
      <c r="AE342" s="1706"/>
      <c r="AF342" s="1706"/>
      <c r="AG342" s="1706"/>
      <c r="AH342" s="1706"/>
      <c r="AI342" s="1706"/>
    </row>
    <row r="343" spans="1:35" x14ac:dyDescent="0.2">
      <c r="A343" s="2964"/>
      <c r="B343" s="2965"/>
      <c r="C343" s="2971"/>
      <c r="D343" s="2972"/>
      <c r="E343" s="2972"/>
      <c r="F343" s="2972"/>
      <c r="G343" s="2972"/>
      <c r="H343" s="2973"/>
      <c r="I343" s="2916"/>
      <c r="J343" s="2917"/>
      <c r="K343" s="2922"/>
      <c r="L343" s="2923"/>
      <c r="M343" s="2930"/>
      <c r="N343" s="2931"/>
      <c r="O343" s="2931"/>
      <c r="P343" s="2931"/>
      <c r="Q343" s="2932"/>
      <c r="R343" s="2916"/>
      <c r="S343" s="2917"/>
      <c r="T343" s="2922"/>
      <c r="U343" s="2923"/>
      <c r="V343" s="2930"/>
      <c r="W343" s="2931"/>
      <c r="X343" s="2931"/>
      <c r="Y343" s="2931"/>
      <c r="Z343" s="2932"/>
      <c r="AA343" s="1721"/>
      <c r="AB343" s="1706"/>
      <c r="AC343" s="1706"/>
      <c r="AD343" s="1706"/>
      <c r="AE343" s="1706"/>
      <c r="AF343" s="1706"/>
      <c r="AG343" s="1706"/>
      <c r="AH343" s="1706"/>
      <c r="AI343" s="1706"/>
    </row>
    <row r="344" spans="1:35" x14ac:dyDescent="0.2">
      <c r="A344" s="2964"/>
      <c r="B344" s="2965"/>
      <c r="C344" s="2971"/>
      <c r="D344" s="2972"/>
      <c r="E344" s="2972"/>
      <c r="F344" s="2972"/>
      <c r="G344" s="2972"/>
      <c r="H344" s="2973"/>
      <c r="I344" s="2916"/>
      <c r="J344" s="2917"/>
      <c r="K344" s="2922"/>
      <c r="L344" s="2923"/>
      <c r="M344" s="2930"/>
      <c r="N344" s="2931"/>
      <c r="O344" s="2931"/>
      <c r="P344" s="2931"/>
      <c r="Q344" s="2932"/>
      <c r="R344" s="2916"/>
      <c r="S344" s="2917"/>
      <c r="T344" s="2922"/>
      <c r="U344" s="2923"/>
      <c r="V344" s="2930"/>
      <c r="W344" s="2931"/>
      <c r="X344" s="2931"/>
      <c r="Y344" s="2931"/>
      <c r="Z344" s="2932"/>
      <c r="AA344" s="1721"/>
      <c r="AB344" s="1706"/>
      <c r="AC344" s="1706"/>
      <c r="AD344" s="1706"/>
      <c r="AE344" s="1706"/>
      <c r="AF344" s="1706"/>
      <c r="AG344" s="1706"/>
      <c r="AH344" s="1706"/>
      <c r="AI344" s="1706"/>
    </row>
    <row r="345" spans="1:35" x14ac:dyDescent="0.2">
      <c r="A345" s="2964"/>
      <c r="B345" s="2965"/>
      <c r="C345" s="2971"/>
      <c r="D345" s="2972"/>
      <c r="E345" s="2972"/>
      <c r="F345" s="2972"/>
      <c r="G345" s="2972"/>
      <c r="H345" s="2973"/>
      <c r="I345" s="2916"/>
      <c r="J345" s="2917"/>
      <c r="K345" s="2922"/>
      <c r="L345" s="2923"/>
      <c r="M345" s="2930"/>
      <c r="N345" s="2931"/>
      <c r="O345" s="2931"/>
      <c r="P345" s="2931"/>
      <c r="Q345" s="2932"/>
      <c r="R345" s="2916"/>
      <c r="S345" s="2917"/>
      <c r="T345" s="2922"/>
      <c r="U345" s="2923"/>
      <c r="V345" s="2930"/>
      <c r="W345" s="2931"/>
      <c r="X345" s="2931"/>
      <c r="Y345" s="2931"/>
      <c r="Z345" s="2932"/>
      <c r="AA345" s="1721"/>
      <c r="AB345" s="1706"/>
      <c r="AC345" s="1706"/>
      <c r="AD345" s="1706"/>
      <c r="AE345" s="1706"/>
      <c r="AF345" s="1706"/>
      <c r="AG345" s="1706"/>
      <c r="AH345" s="1706"/>
      <c r="AI345" s="1706"/>
    </row>
    <row r="346" spans="1:35" x14ac:dyDescent="0.2">
      <c r="A346" s="2964"/>
      <c r="B346" s="2965"/>
      <c r="C346" s="2971"/>
      <c r="D346" s="2972"/>
      <c r="E346" s="2972"/>
      <c r="F346" s="2972"/>
      <c r="G346" s="2972"/>
      <c r="H346" s="2973"/>
      <c r="I346" s="2916"/>
      <c r="J346" s="2917"/>
      <c r="K346" s="2922"/>
      <c r="L346" s="2923"/>
      <c r="M346" s="2930"/>
      <c r="N346" s="2931"/>
      <c r="O346" s="2931"/>
      <c r="P346" s="2931"/>
      <c r="Q346" s="2932"/>
      <c r="R346" s="2916"/>
      <c r="S346" s="2917"/>
      <c r="T346" s="2922"/>
      <c r="U346" s="2923"/>
      <c r="V346" s="2930"/>
      <c r="W346" s="2931"/>
      <c r="X346" s="2931"/>
      <c r="Y346" s="2931"/>
      <c r="Z346" s="2932"/>
      <c r="AA346" s="1721"/>
      <c r="AB346" s="1706"/>
      <c r="AC346" s="1706"/>
      <c r="AD346" s="1706"/>
      <c r="AE346" s="1706"/>
      <c r="AF346" s="1706"/>
      <c r="AG346" s="1706"/>
      <c r="AH346" s="1706"/>
      <c r="AI346" s="1706"/>
    </row>
    <row r="347" spans="1:35" x14ac:dyDescent="0.2">
      <c r="A347" s="2964"/>
      <c r="B347" s="2965"/>
      <c r="C347" s="2971"/>
      <c r="D347" s="2972"/>
      <c r="E347" s="2972"/>
      <c r="F347" s="2972"/>
      <c r="G347" s="2972"/>
      <c r="H347" s="2973"/>
      <c r="I347" s="2916"/>
      <c r="J347" s="2917"/>
      <c r="K347" s="2922"/>
      <c r="L347" s="2923"/>
      <c r="M347" s="2930"/>
      <c r="N347" s="2931"/>
      <c r="O347" s="2931"/>
      <c r="P347" s="2931"/>
      <c r="Q347" s="2932"/>
      <c r="R347" s="2916"/>
      <c r="S347" s="2917"/>
      <c r="T347" s="2922"/>
      <c r="U347" s="2923"/>
      <c r="V347" s="2930"/>
      <c r="W347" s="2931"/>
      <c r="X347" s="2931"/>
      <c r="Y347" s="2931"/>
      <c r="Z347" s="2932"/>
      <c r="AA347" s="1721"/>
      <c r="AB347" s="1706"/>
      <c r="AC347" s="1706"/>
      <c r="AD347" s="1706"/>
      <c r="AE347" s="1706"/>
      <c r="AF347" s="1706"/>
      <c r="AG347" s="1706"/>
      <c r="AH347" s="1706"/>
      <c r="AI347" s="1706"/>
    </row>
    <row r="348" spans="1:35" x14ac:dyDescent="0.2">
      <c r="A348" s="2964"/>
      <c r="B348" s="2965"/>
      <c r="C348" s="2971"/>
      <c r="D348" s="2972"/>
      <c r="E348" s="2972"/>
      <c r="F348" s="2972"/>
      <c r="G348" s="2972"/>
      <c r="H348" s="2973"/>
      <c r="I348" s="2916"/>
      <c r="J348" s="2917"/>
      <c r="K348" s="2922"/>
      <c r="L348" s="2923"/>
      <c r="M348" s="2930"/>
      <c r="N348" s="2931"/>
      <c r="O348" s="2931"/>
      <c r="P348" s="2931"/>
      <c r="Q348" s="2932"/>
      <c r="R348" s="2916"/>
      <c r="S348" s="2917"/>
      <c r="T348" s="2922"/>
      <c r="U348" s="2923"/>
      <c r="V348" s="2930"/>
      <c r="W348" s="2931"/>
      <c r="X348" s="2931"/>
      <c r="Y348" s="2931"/>
      <c r="Z348" s="2932"/>
      <c r="AA348" s="1721"/>
      <c r="AB348" s="1706"/>
      <c r="AC348" s="1706"/>
      <c r="AD348" s="1706"/>
      <c r="AE348" s="1706"/>
      <c r="AF348" s="1706"/>
      <c r="AG348" s="1706"/>
      <c r="AH348" s="1706"/>
      <c r="AI348" s="1706"/>
    </row>
    <row r="349" spans="1:35" x14ac:dyDescent="0.2">
      <c r="A349" s="2964"/>
      <c r="B349" s="2965"/>
      <c r="C349" s="2971"/>
      <c r="D349" s="2972"/>
      <c r="E349" s="2972"/>
      <c r="F349" s="2972"/>
      <c r="G349" s="2972"/>
      <c r="H349" s="2973"/>
      <c r="I349" s="2916"/>
      <c r="J349" s="2917"/>
      <c r="K349" s="2922"/>
      <c r="L349" s="2923"/>
      <c r="M349" s="2930"/>
      <c r="N349" s="2931"/>
      <c r="O349" s="2931"/>
      <c r="P349" s="2931"/>
      <c r="Q349" s="2932"/>
      <c r="R349" s="2916"/>
      <c r="S349" s="2917"/>
      <c r="T349" s="2922"/>
      <c r="U349" s="2923"/>
      <c r="V349" s="2930"/>
      <c r="W349" s="2931"/>
      <c r="X349" s="2931"/>
      <c r="Y349" s="2931"/>
      <c r="Z349" s="2932"/>
      <c r="AA349" s="1721"/>
      <c r="AB349" s="1706"/>
      <c r="AC349" s="1706"/>
      <c r="AD349" s="1706"/>
      <c r="AE349" s="1706"/>
      <c r="AF349" s="1706"/>
      <c r="AG349" s="1706"/>
      <c r="AH349" s="1706"/>
      <c r="AI349" s="1706"/>
    </row>
    <row r="350" spans="1:35" x14ac:dyDescent="0.2">
      <c r="A350" s="2964"/>
      <c r="B350" s="2965"/>
      <c r="C350" s="2971"/>
      <c r="D350" s="2972"/>
      <c r="E350" s="2972"/>
      <c r="F350" s="2972"/>
      <c r="G350" s="2972"/>
      <c r="H350" s="2973"/>
      <c r="I350" s="2916"/>
      <c r="J350" s="2917"/>
      <c r="K350" s="2922"/>
      <c r="L350" s="2923"/>
      <c r="M350" s="2930"/>
      <c r="N350" s="2931"/>
      <c r="O350" s="2931"/>
      <c r="P350" s="2931"/>
      <c r="Q350" s="2932"/>
      <c r="R350" s="2916"/>
      <c r="S350" s="2917"/>
      <c r="T350" s="2922"/>
      <c r="U350" s="2923"/>
      <c r="V350" s="2930"/>
      <c r="W350" s="2931"/>
      <c r="X350" s="2931"/>
      <c r="Y350" s="2931"/>
      <c r="Z350" s="2932"/>
      <c r="AA350" s="1721"/>
      <c r="AB350" s="1706"/>
      <c r="AC350" s="1706"/>
      <c r="AD350" s="1706"/>
      <c r="AE350" s="1706"/>
      <c r="AF350" s="1706"/>
      <c r="AG350" s="1706"/>
      <c r="AH350" s="1706"/>
      <c r="AI350" s="1706"/>
    </row>
    <row r="351" spans="1:35" x14ac:dyDescent="0.2">
      <c r="A351" s="2964"/>
      <c r="B351" s="2965"/>
      <c r="C351" s="2971"/>
      <c r="D351" s="2972"/>
      <c r="E351" s="2972"/>
      <c r="F351" s="2972"/>
      <c r="G351" s="2972"/>
      <c r="H351" s="2973"/>
      <c r="I351" s="2916"/>
      <c r="J351" s="2917"/>
      <c r="K351" s="2922"/>
      <c r="L351" s="2923"/>
      <c r="M351" s="2930"/>
      <c r="N351" s="2931"/>
      <c r="O351" s="2931"/>
      <c r="P351" s="2931"/>
      <c r="Q351" s="2932"/>
      <c r="R351" s="2916"/>
      <c r="S351" s="2917"/>
      <c r="T351" s="2922"/>
      <c r="U351" s="2923"/>
      <c r="V351" s="2930"/>
      <c r="W351" s="2931"/>
      <c r="X351" s="2931"/>
      <c r="Y351" s="2931"/>
      <c r="Z351" s="2932"/>
      <c r="AA351" s="1721"/>
      <c r="AB351" s="1706"/>
      <c r="AC351" s="1706"/>
      <c r="AD351" s="1706"/>
      <c r="AE351" s="1706"/>
      <c r="AF351" s="1706"/>
      <c r="AG351" s="1706"/>
      <c r="AH351" s="1706"/>
      <c r="AI351" s="1706"/>
    </row>
    <row r="352" spans="1:35" x14ac:dyDescent="0.2">
      <c r="A352" s="2966"/>
      <c r="B352" s="2967"/>
      <c r="C352" s="2974"/>
      <c r="D352" s="2975"/>
      <c r="E352" s="2975"/>
      <c r="F352" s="2975"/>
      <c r="G352" s="2975"/>
      <c r="H352" s="2976"/>
      <c r="I352" s="2918"/>
      <c r="J352" s="2919"/>
      <c r="K352" s="2924"/>
      <c r="L352" s="2925"/>
      <c r="M352" s="2933"/>
      <c r="N352" s="2934"/>
      <c r="O352" s="2934"/>
      <c r="P352" s="2934"/>
      <c r="Q352" s="2935"/>
      <c r="R352" s="2918"/>
      <c r="S352" s="2919"/>
      <c r="T352" s="2924"/>
      <c r="U352" s="2925"/>
      <c r="V352" s="2933"/>
      <c r="W352" s="2934"/>
      <c r="X352" s="2934"/>
      <c r="Y352" s="2934"/>
      <c r="Z352" s="2935"/>
      <c r="AA352" s="1721"/>
      <c r="AB352" s="1706"/>
      <c r="AC352" s="1706"/>
      <c r="AD352" s="1706"/>
      <c r="AE352" s="1706"/>
      <c r="AF352" s="1706"/>
      <c r="AG352" s="1706"/>
      <c r="AH352" s="1706"/>
      <c r="AI352" s="1706"/>
    </row>
    <row r="353" spans="1:37" ht="15" x14ac:dyDescent="0.2">
      <c r="A353" s="1763"/>
      <c r="B353" s="1763"/>
      <c r="C353" s="1764"/>
      <c r="D353" s="1764"/>
      <c r="E353" s="1764"/>
      <c r="F353" s="1764"/>
      <c r="G353" s="1764"/>
      <c r="H353" s="1764"/>
      <c r="I353" s="1765"/>
      <c r="J353" s="1765"/>
      <c r="K353" s="1766"/>
      <c r="L353" s="1766"/>
      <c r="M353" s="1767"/>
      <c r="N353" s="1767"/>
      <c r="O353" s="1767"/>
      <c r="P353" s="1767"/>
      <c r="Q353" s="1767"/>
      <c r="R353" s="1765"/>
      <c r="S353" s="1765"/>
      <c r="T353" s="1766"/>
      <c r="U353" s="1766"/>
      <c r="V353" s="1767"/>
      <c r="W353" s="1767"/>
      <c r="X353" s="1767"/>
      <c r="Y353" s="1767"/>
      <c r="Z353" s="1767"/>
      <c r="AA353" s="1721"/>
      <c r="AB353" s="1713"/>
      <c r="AC353" s="1713"/>
      <c r="AD353" s="1713"/>
      <c r="AE353" s="1713"/>
      <c r="AF353" s="1713"/>
      <c r="AG353" s="1713"/>
      <c r="AH353" s="1713"/>
      <c r="AI353" s="1713"/>
      <c r="AJ353" s="1713"/>
      <c r="AK353" s="1713"/>
    </row>
    <row r="354" spans="1:37" ht="15" x14ac:dyDescent="0.2">
      <c r="A354" s="1763"/>
      <c r="B354" s="1763"/>
      <c r="C354" s="1764"/>
      <c r="D354" s="1764"/>
      <c r="E354" s="1764"/>
      <c r="F354" s="1764"/>
      <c r="G354" s="1764"/>
      <c r="H354" s="1764"/>
      <c r="I354" s="1765"/>
      <c r="J354" s="1765"/>
      <c r="K354" s="1766"/>
      <c r="L354" s="1766"/>
      <c r="M354" s="1767"/>
      <c r="N354" s="1767"/>
      <c r="O354" s="1767"/>
      <c r="P354" s="1767"/>
      <c r="Q354" s="1767"/>
      <c r="R354" s="1765"/>
      <c r="S354" s="1765"/>
      <c r="T354" s="1766"/>
      <c r="U354" s="1766"/>
      <c r="V354" s="1767"/>
      <c r="W354" s="1767"/>
      <c r="X354" s="1767"/>
      <c r="Y354" s="1767"/>
      <c r="Z354" s="1767"/>
      <c r="AA354" s="1721"/>
      <c r="AB354" s="1713"/>
      <c r="AC354" s="1713"/>
      <c r="AD354" s="1713"/>
      <c r="AE354" s="1713"/>
      <c r="AF354" s="1713"/>
      <c r="AG354" s="1713"/>
      <c r="AH354" s="1713"/>
      <c r="AI354" s="1713"/>
      <c r="AJ354" s="1713"/>
      <c r="AK354" s="1713"/>
    </row>
    <row r="355" spans="1:37" ht="15" x14ac:dyDescent="0.2">
      <c r="A355" s="1763"/>
      <c r="B355" s="1763"/>
      <c r="C355" s="1764"/>
      <c r="D355" s="1764"/>
      <c r="E355" s="1764"/>
      <c r="F355" s="1764"/>
      <c r="G355" s="1764"/>
      <c r="H355" s="1764"/>
      <c r="I355" s="1765"/>
      <c r="J355" s="1765"/>
      <c r="K355" s="1766"/>
      <c r="L355" s="1766"/>
      <c r="M355" s="1767"/>
      <c r="N355" s="1767"/>
      <c r="O355" s="1767"/>
      <c r="P355" s="1767"/>
      <c r="Q355" s="1767"/>
      <c r="R355" s="1765"/>
      <c r="S355" s="1765"/>
      <c r="T355" s="1766"/>
      <c r="U355" s="1766"/>
      <c r="V355" s="1767"/>
      <c r="W355" s="1767"/>
      <c r="X355" s="1767"/>
      <c r="Y355" s="1767"/>
      <c r="Z355" s="1767"/>
      <c r="AA355" s="1721"/>
      <c r="AB355" s="1713"/>
      <c r="AC355" s="1713"/>
      <c r="AD355" s="1713"/>
      <c r="AE355" s="1713"/>
      <c r="AF355" s="1713"/>
      <c r="AG355" s="1713"/>
      <c r="AH355" s="1713"/>
      <c r="AI355" s="1713"/>
      <c r="AJ355" s="1713"/>
      <c r="AK355" s="1713"/>
    </row>
    <row r="356" spans="1:37" ht="15" x14ac:dyDescent="0.2">
      <c r="A356" s="1763"/>
      <c r="B356" s="1763"/>
      <c r="C356" s="1764"/>
      <c r="D356" s="1764"/>
      <c r="E356" s="1764"/>
      <c r="F356" s="1764"/>
      <c r="G356" s="1764"/>
      <c r="H356" s="1764"/>
      <c r="I356" s="1765"/>
      <c r="J356" s="1765"/>
      <c r="K356" s="1766"/>
      <c r="L356" s="1766"/>
      <c r="M356" s="1767"/>
      <c r="N356" s="1767"/>
      <c r="O356" s="1767"/>
      <c r="P356" s="1767"/>
      <c r="Q356" s="1767"/>
      <c r="R356" s="1765"/>
      <c r="S356" s="1765"/>
      <c r="T356" s="1766"/>
      <c r="U356" s="1766"/>
      <c r="V356" s="1767"/>
      <c r="W356" s="1767"/>
      <c r="X356" s="1767"/>
      <c r="Y356" s="1767"/>
      <c r="Z356" s="1767"/>
      <c r="AA356" s="1721"/>
      <c r="AB356" s="1713"/>
      <c r="AC356" s="1713"/>
      <c r="AD356" s="1713"/>
      <c r="AE356" s="1713"/>
      <c r="AF356" s="1713"/>
      <c r="AG356" s="1713"/>
      <c r="AH356" s="1713"/>
      <c r="AI356" s="1713"/>
      <c r="AJ356" s="1713"/>
      <c r="AK356" s="1713"/>
    </row>
    <row r="357" spans="1:37" ht="15" x14ac:dyDescent="0.2">
      <c r="A357" s="1763"/>
      <c r="B357" s="1763"/>
      <c r="C357" s="1764"/>
      <c r="D357" s="1764"/>
      <c r="E357" s="1764"/>
      <c r="F357" s="1764"/>
      <c r="G357" s="1764"/>
      <c r="H357" s="1764"/>
      <c r="I357" s="1765"/>
      <c r="J357" s="1765"/>
      <c r="K357" s="1766"/>
      <c r="L357" s="1766"/>
      <c r="M357" s="1767"/>
      <c r="N357" s="1767"/>
      <c r="O357" s="1767"/>
      <c r="P357" s="1767"/>
      <c r="Q357" s="1767"/>
      <c r="R357" s="1765"/>
      <c r="S357" s="1765"/>
      <c r="T357" s="1766"/>
      <c r="U357" s="1766"/>
      <c r="V357" s="1767"/>
      <c r="W357" s="1767"/>
      <c r="X357" s="1767"/>
      <c r="Y357" s="1767"/>
      <c r="Z357" s="1767"/>
      <c r="AA357" s="1721"/>
      <c r="AB357" s="1713"/>
      <c r="AC357" s="1713"/>
      <c r="AD357" s="1713"/>
      <c r="AE357" s="1713"/>
      <c r="AF357" s="1713"/>
      <c r="AG357" s="1713"/>
      <c r="AH357" s="1713"/>
      <c r="AI357" s="1713"/>
      <c r="AJ357" s="1713"/>
      <c r="AK357" s="1713"/>
    </row>
    <row r="358" spans="1:37" ht="15" x14ac:dyDescent="0.2">
      <c r="A358" s="1763"/>
      <c r="B358" s="1763"/>
      <c r="C358" s="1764"/>
      <c r="D358" s="1764"/>
      <c r="E358" s="1764"/>
      <c r="F358" s="1764"/>
      <c r="G358" s="1764"/>
      <c r="H358" s="1764"/>
      <c r="I358" s="1765"/>
      <c r="J358" s="1765"/>
      <c r="K358" s="1766"/>
      <c r="L358" s="1766"/>
      <c r="M358" s="1767"/>
      <c r="N358" s="1767"/>
      <c r="O358" s="1767"/>
      <c r="P358" s="1767"/>
      <c r="Q358" s="1767"/>
      <c r="R358" s="1765"/>
      <c r="S358" s="1765"/>
      <c r="T358" s="1766"/>
      <c r="U358" s="1766"/>
      <c r="V358" s="1767"/>
      <c r="W358" s="1767"/>
      <c r="X358" s="1767"/>
      <c r="Y358" s="1767"/>
      <c r="Z358" s="1767"/>
      <c r="AA358" s="1721"/>
      <c r="AB358" s="1713"/>
      <c r="AC358" s="1713"/>
      <c r="AD358" s="1713"/>
      <c r="AE358" s="1713"/>
      <c r="AF358" s="1713"/>
      <c r="AG358" s="1713"/>
      <c r="AH358" s="1713"/>
      <c r="AI358" s="1713"/>
      <c r="AJ358" s="1713"/>
      <c r="AK358" s="1713"/>
    </row>
    <row r="359" spans="1:37" ht="15" x14ac:dyDescent="0.2">
      <c r="A359" s="1763"/>
      <c r="B359" s="1763"/>
      <c r="C359" s="1764"/>
      <c r="D359" s="1764"/>
      <c r="E359" s="1764"/>
      <c r="F359" s="1764"/>
      <c r="G359" s="1764"/>
      <c r="H359" s="1764"/>
      <c r="I359" s="1765"/>
      <c r="J359" s="1765"/>
      <c r="K359" s="1766"/>
      <c r="L359" s="1766"/>
      <c r="M359" s="1767"/>
      <c r="N359" s="1767"/>
      <c r="O359" s="1767"/>
      <c r="P359" s="1767"/>
      <c r="Q359" s="1767"/>
      <c r="R359" s="1765"/>
      <c r="S359" s="1765"/>
      <c r="T359" s="1766"/>
      <c r="U359" s="1766"/>
      <c r="V359" s="1767"/>
      <c r="W359" s="1767"/>
      <c r="X359" s="1767"/>
      <c r="Y359" s="1767"/>
      <c r="Z359" s="1767"/>
      <c r="AA359" s="1721"/>
      <c r="AB359" s="1713"/>
      <c r="AC359" s="1713"/>
      <c r="AD359" s="1713"/>
      <c r="AE359" s="1713"/>
      <c r="AF359" s="1713"/>
      <c r="AG359" s="1713"/>
      <c r="AH359" s="1713"/>
      <c r="AI359" s="1713"/>
      <c r="AJ359" s="1713"/>
      <c r="AK359" s="1713"/>
    </row>
    <row r="360" spans="1:37" ht="15" x14ac:dyDescent="0.2">
      <c r="A360" s="1763"/>
      <c r="B360" s="1763"/>
      <c r="C360" s="1764"/>
      <c r="D360" s="1764"/>
      <c r="E360" s="1764"/>
      <c r="F360" s="1764"/>
      <c r="G360" s="1764"/>
      <c r="H360" s="1764"/>
      <c r="I360" s="1765"/>
      <c r="J360" s="1765"/>
      <c r="K360" s="1766"/>
      <c r="L360" s="1766"/>
      <c r="M360" s="1767"/>
      <c r="N360" s="1767"/>
      <c r="O360" s="1767"/>
      <c r="P360" s="1767"/>
      <c r="Q360" s="1767"/>
      <c r="R360" s="1765"/>
      <c r="S360" s="1765"/>
      <c r="T360" s="1766"/>
      <c r="U360" s="1766"/>
      <c r="V360" s="1767"/>
      <c r="W360" s="1767"/>
      <c r="X360" s="1767"/>
      <c r="Y360" s="1767"/>
      <c r="Z360" s="1767"/>
      <c r="AA360" s="1721"/>
      <c r="AB360" s="1713"/>
      <c r="AC360" s="1713"/>
      <c r="AD360" s="1713"/>
      <c r="AE360" s="1713"/>
      <c r="AF360" s="1713"/>
      <c r="AG360" s="1713"/>
      <c r="AH360" s="1713"/>
      <c r="AI360" s="1713"/>
      <c r="AJ360" s="1713"/>
      <c r="AK360" s="1713"/>
    </row>
    <row r="361" spans="1:37" ht="15" x14ac:dyDescent="0.2">
      <c r="A361" s="1763"/>
      <c r="B361" s="1763"/>
      <c r="C361" s="1764"/>
      <c r="D361" s="1764"/>
      <c r="E361" s="1764"/>
      <c r="F361" s="1764"/>
      <c r="G361" s="1764"/>
      <c r="H361" s="1764"/>
      <c r="I361" s="1765"/>
      <c r="J361" s="1765"/>
      <c r="K361" s="1766"/>
      <c r="L361" s="1766"/>
      <c r="M361" s="1767"/>
      <c r="N361" s="1767"/>
      <c r="O361" s="1767"/>
      <c r="P361" s="1767"/>
      <c r="Q361" s="1767"/>
      <c r="R361" s="1765"/>
      <c r="S361" s="1765"/>
      <c r="T361" s="1766"/>
      <c r="U361" s="1766"/>
      <c r="V361" s="1767"/>
      <c r="W361" s="1767"/>
      <c r="X361" s="1767"/>
      <c r="Y361" s="1767"/>
      <c r="Z361" s="1767"/>
      <c r="AA361" s="1721"/>
      <c r="AB361" s="1713"/>
      <c r="AC361" s="1713"/>
      <c r="AD361" s="1713"/>
      <c r="AE361" s="1713"/>
      <c r="AF361" s="1713"/>
      <c r="AG361" s="1713"/>
      <c r="AH361" s="1713"/>
      <c r="AI361" s="1713"/>
      <c r="AJ361" s="1713"/>
      <c r="AK361" s="1713"/>
    </row>
    <row r="362" spans="1:37" ht="15" x14ac:dyDescent="0.2">
      <c r="A362" s="1763"/>
      <c r="B362" s="1763"/>
      <c r="C362" s="1764"/>
      <c r="D362" s="1764"/>
      <c r="E362" s="1764"/>
      <c r="F362" s="1764"/>
      <c r="G362" s="1764"/>
      <c r="H362" s="1764"/>
      <c r="I362" s="1765"/>
      <c r="J362" s="1765"/>
      <c r="K362" s="1766"/>
      <c r="L362" s="1766"/>
      <c r="M362" s="1767"/>
      <c r="N362" s="1767"/>
      <c r="O362" s="1767"/>
      <c r="P362" s="1767"/>
      <c r="Q362" s="1767"/>
      <c r="R362" s="1765"/>
      <c r="S362" s="1765"/>
      <c r="T362" s="1766"/>
      <c r="U362" s="1766"/>
      <c r="V362" s="1767"/>
      <c r="W362" s="1767"/>
      <c r="X362" s="1767"/>
      <c r="Y362" s="1767"/>
      <c r="Z362" s="1767"/>
      <c r="AA362" s="1721"/>
      <c r="AB362" s="1713"/>
      <c r="AC362" s="1713"/>
      <c r="AD362" s="1713"/>
      <c r="AE362" s="1713"/>
      <c r="AF362" s="1713"/>
      <c r="AG362" s="1713"/>
      <c r="AH362" s="1713"/>
      <c r="AI362" s="1713"/>
      <c r="AJ362" s="1713"/>
      <c r="AK362" s="1713"/>
    </row>
    <row r="363" spans="1:37" ht="15" x14ac:dyDescent="0.2">
      <c r="A363" s="1763"/>
      <c r="B363" s="1763"/>
      <c r="C363" s="1764"/>
      <c r="D363" s="1764"/>
      <c r="E363" s="1764"/>
      <c r="F363" s="1764"/>
      <c r="G363" s="1764"/>
      <c r="H363" s="1764"/>
      <c r="I363" s="1765"/>
      <c r="J363" s="1765"/>
      <c r="K363" s="1766"/>
      <c r="L363" s="1766"/>
      <c r="M363" s="1767"/>
      <c r="N363" s="1767"/>
      <c r="O363" s="1767"/>
      <c r="P363" s="1767"/>
      <c r="Q363" s="1767"/>
      <c r="R363" s="1765"/>
      <c r="S363" s="1765"/>
      <c r="T363" s="1766"/>
      <c r="U363" s="1766"/>
      <c r="V363" s="1767"/>
      <c r="W363" s="1767"/>
      <c r="X363" s="1767"/>
      <c r="Y363" s="1767"/>
      <c r="Z363" s="1767"/>
      <c r="AA363" s="1721"/>
      <c r="AB363" s="1713"/>
      <c r="AC363" s="1713"/>
      <c r="AD363" s="1713"/>
      <c r="AE363" s="1713"/>
      <c r="AF363" s="1713"/>
      <c r="AG363" s="1713"/>
      <c r="AH363" s="1713"/>
      <c r="AI363" s="1713"/>
      <c r="AJ363" s="1713"/>
      <c r="AK363" s="1713"/>
    </row>
    <row r="364" spans="1:37" ht="15" x14ac:dyDescent="0.2">
      <c r="A364" s="1763"/>
      <c r="B364" s="1763"/>
      <c r="C364" s="1764"/>
      <c r="D364" s="1764"/>
      <c r="E364" s="1764"/>
      <c r="F364" s="1764"/>
      <c r="G364" s="1764"/>
      <c r="H364" s="1764"/>
      <c r="I364" s="1765"/>
      <c r="J364" s="1765"/>
      <c r="K364" s="1766"/>
      <c r="L364" s="1766"/>
      <c r="M364" s="1767"/>
      <c r="N364" s="1767"/>
      <c r="O364" s="1767"/>
      <c r="P364" s="1767"/>
      <c r="Q364" s="1767"/>
      <c r="R364" s="1765"/>
      <c r="S364" s="1765"/>
      <c r="T364" s="1766"/>
      <c r="U364" s="1766"/>
      <c r="V364" s="1767"/>
      <c r="W364" s="1767"/>
      <c r="X364" s="1767"/>
      <c r="Y364" s="1767"/>
      <c r="Z364" s="1767"/>
      <c r="AA364" s="1721"/>
      <c r="AB364" s="1713"/>
      <c r="AC364" s="1713"/>
      <c r="AD364" s="1713"/>
      <c r="AE364" s="1713"/>
      <c r="AF364" s="1713"/>
      <c r="AG364" s="1713"/>
      <c r="AH364" s="1713"/>
      <c r="AI364" s="1713"/>
      <c r="AJ364" s="1713"/>
      <c r="AK364" s="1713"/>
    </row>
    <row r="365" spans="1:37" ht="15" x14ac:dyDescent="0.2">
      <c r="A365" s="1763"/>
      <c r="B365" s="1763"/>
      <c r="C365" s="1764"/>
      <c r="D365" s="1764"/>
      <c r="E365" s="1764"/>
      <c r="F365" s="1764"/>
      <c r="G365" s="1764"/>
      <c r="H365" s="1764"/>
      <c r="I365" s="1765"/>
      <c r="J365" s="1765"/>
      <c r="K365" s="1766"/>
      <c r="L365" s="1766"/>
      <c r="M365" s="1767"/>
      <c r="N365" s="1767"/>
      <c r="O365" s="1767"/>
      <c r="P365" s="1767"/>
      <c r="Q365" s="1767"/>
      <c r="R365" s="1765"/>
      <c r="S365" s="1765"/>
      <c r="T365" s="1766"/>
      <c r="U365" s="1766"/>
      <c r="V365" s="1767"/>
      <c r="W365" s="1767"/>
      <c r="X365" s="1767"/>
      <c r="Y365" s="1767"/>
      <c r="Z365" s="1767"/>
      <c r="AA365" s="1721"/>
      <c r="AB365" s="1713"/>
      <c r="AC365" s="1713"/>
      <c r="AD365" s="1713"/>
      <c r="AE365" s="1713"/>
      <c r="AF365" s="1713"/>
      <c r="AG365" s="1713"/>
      <c r="AH365" s="1713"/>
      <c r="AI365" s="1713"/>
      <c r="AJ365" s="1713"/>
      <c r="AK365" s="1713"/>
    </row>
    <row r="366" spans="1:37" ht="15" x14ac:dyDescent="0.2">
      <c r="A366" s="1763"/>
      <c r="B366" s="1763"/>
      <c r="C366" s="1764"/>
      <c r="D366" s="1764"/>
      <c r="E366" s="1764"/>
      <c r="F366" s="1764"/>
      <c r="G366" s="1764"/>
      <c r="H366" s="1764"/>
      <c r="I366" s="1765"/>
      <c r="J366" s="1765"/>
      <c r="K366" s="1766"/>
      <c r="L366" s="1766"/>
      <c r="M366" s="1767"/>
      <c r="N366" s="1767"/>
      <c r="O366" s="1767"/>
      <c r="P366" s="1767"/>
      <c r="Q366" s="1767"/>
      <c r="R366" s="1765"/>
      <c r="S366" s="1765"/>
      <c r="T366" s="1766"/>
      <c r="U366" s="1766"/>
      <c r="V366" s="1767"/>
      <c r="W366" s="1767"/>
      <c r="X366" s="1767"/>
      <c r="Y366" s="1767"/>
      <c r="Z366" s="1767"/>
      <c r="AA366" s="1721"/>
      <c r="AB366" s="1713"/>
      <c r="AC366" s="1713"/>
      <c r="AD366" s="1713"/>
      <c r="AE366" s="1713"/>
      <c r="AF366" s="1713"/>
      <c r="AG366" s="1713"/>
      <c r="AH366" s="1713"/>
      <c r="AI366" s="1713"/>
      <c r="AJ366" s="1713"/>
      <c r="AK366" s="1713"/>
    </row>
    <row r="367" spans="1:37" ht="15" x14ac:dyDescent="0.2">
      <c r="A367" s="1763"/>
      <c r="B367" s="1763"/>
      <c r="C367" s="1764"/>
      <c r="D367" s="1764"/>
      <c r="E367" s="1764"/>
      <c r="F367" s="1764"/>
      <c r="G367" s="1764"/>
      <c r="H367" s="1764"/>
      <c r="I367" s="1765"/>
      <c r="J367" s="1765"/>
      <c r="K367" s="1766"/>
      <c r="L367" s="1766"/>
      <c r="M367" s="1767"/>
      <c r="N367" s="1767"/>
      <c r="O367" s="1767"/>
      <c r="P367" s="1767"/>
      <c r="Q367" s="1767"/>
      <c r="R367" s="1765"/>
      <c r="S367" s="1765"/>
      <c r="T367" s="1766"/>
      <c r="U367" s="1766"/>
      <c r="V367" s="1767"/>
      <c r="W367" s="1767"/>
      <c r="X367" s="1767"/>
      <c r="Y367" s="1767"/>
      <c r="Z367" s="1767"/>
      <c r="AA367" s="1721"/>
      <c r="AB367" s="1713"/>
      <c r="AC367" s="1713"/>
      <c r="AD367" s="1713"/>
      <c r="AE367" s="1713"/>
      <c r="AF367" s="1713"/>
      <c r="AG367" s="1713"/>
      <c r="AH367" s="1713"/>
      <c r="AI367" s="1713"/>
      <c r="AJ367" s="1713"/>
      <c r="AK367" s="1713"/>
    </row>
    <row r="368" spans="1:37" ht="15" x14ac:dyDescent="0.2">
      <c r="A368" s="1763"/>
      <c r="B368" s="1763"/>
      <c r="C368" s="1764"/>
      <c r="D368" s="1764"/>
      <c r="E368" s="1764"/>
      <c r="F368" s="1764"/>
      <c r="G368" s="1764"/>
      <c r="H368" s="1764"/>
      <c r="I368" s="1765"/>
      <c r="J368" s="1765"/>
      <c r="K368" s="1766"/>
      <c r="L368" s="1766"/>
      <c r="M368" s="1767"/>
      <c r="N368" s="1767"/>
      <c r="O368" s="1767"/>
      <c r="P368" s="1767"/>
      <c r="Q368" s="1767"/>
      <c r="R368" s="1765"/>
      <c r="S368" s="1765"/>
      <c r="T368" s="1766"/>
      <c r="U368" s="1766"/>
      <c r="V368" s="1767"/>
      <c r="W368" s="1767"/>
      <c r="X368" s="1767"/>
      <c r="Y368" s="1767"/>
      <c r="Z368" s="1767"/>
      <c r="AA368" s="1721"/>
      <c r="AB368" s="1713"/>
      <c r="AC368" s="1713"/>
      <c r="AD368" s="1713"/>
      <c r="AE368" s="1713"/>
      <c r="AF368" s="1713"/>
      <c r="AG368" s="1713"/>
      <c r="AH368" s="1713"/>
      <c r="AI368" s="1713"/>
      <c r="AJ368" s="1713"/>
      <c r="AK368" s="1713"/>
    </row>
    <row r="369" spans="1:37" ht="15" x14ac:dyDescent="0.2">
      <c r="A369" s="1763"/>
      <c r="B369" s="1763"/>
      <c r="C369" s="1764"/>
      <c r="D369" s="1764"/>
      <c r="E369" s="1764"/>
      <c r="F369" s="1764"/>
      <c r="G369" s="1764"/>
      <c r="H369" s="1764"/>
      <c r="I369" s="1765"/>
      <c r="J369" s="1765"/>
      <c r="K369" s="1766"/>
      <c r="L369" s="1766"/>
      <c r="M369" s="1767"/>
      <c r="N369" s="1767"/>
      <c r="O369" s="1767"/>
      <c r="P369" s="1767"/>
      <c r="Q369" s="1767"/>
      <c r="R369" s="1765"/>
      <c r="S369" s="1765"/>
      <c r="T369" s="1766"/>
      <c r="U369" s="1766"/>
      <c r="V369" s="1767"/>
      <c r="W369" s="1767"/>
      <c r="X369" s="1767"/>
      <c r="Y369" s="1767"/>
      <c r="Z369" s="1767"/>
      <c r="AA369" s="1721"/>
      <c r="AB369" s="1713"/>
      <c r="AC369" s="1713"/>
      <c r="AD369" s="1713"/>
      <c r="AE369" s="1713"/>
      <c r="AF369" s="1713"/>
      <c r="AG369" s="1713"/>
      <c r="AH369" s="1713"/>
      <c r="AI369" s="1713"/>
      <c r="AJ369" s="1713"/>
      <c r="AK369" s="1713"/>
    </row>
    <row r="370" spans="1:37" ht="15" x14ac:dyDescent="0.2">
      <c r="A370" s="1763"/>
      <c r="B370" s="1763"/>
      <c r="C370" s="1764"/>
      <c r="D370" s="1764"/>
      <c r="E370" s="1764"/>
      <c r="F370" s="1764"/>
      <c r="G370" s="1764"/>
      <c r="H370" s="1764"/>
      <c r="I370" s="1765"/>
      <c r="J370" s="1765"/>
      <c r="K370" s="1766"/>
      <c r="L370" s="1766"/>
      <c r="M370" s="1767"/>
      <c r="N370" s="1767"/>
      <c r="O370" s="1767"/>
      <c r="P370" s="1767"/>
      <c r="Q370" s="1767"/>
      <c r="R370" s="1765"/>
      <c r="S370" s="1765"/>
      <c r="T370" s="1766"/>
      <c r="U370" s="1766"/>
      <c r="V370" s="1767"/>
      <c r="W370" s="1767"/>
      <c r="X370" s="1767"/>
      <c r="Y370" s="1767"/>
      <c r="Z370" s="1767"/>
      <c r="AA370" s="1721"/>
      <c r="AB370" s="1713"/>
      <c r="AC370" s="1713"/>
      <c r="AD370" s="1713"/>
      <c r="AE370" s="1713"/>
      <c r="AF370" s="1713"/>
      <c r="AG370" s="1713"/>
      <c r="AH370" s="1713"/>
      <c r="AI370" s="1713"/>
      <c r="AJ370" s="1713"/>
      <c r="AK370" s="1713"/>
    </row>
    <row r="371" spans="1:37" ht="15" x14ac:dyDescent="0.2">
      <c r="A371" s="1763"/>
      <c r="B371" s="1763"/>
      <c r="C371" s="1764"/>
      <c r="D371" s="1764"/>
      <c r="E371" s="1764"/>
      <c r="F371" s="1764"/>
      <c r="G371" s="1764"/>
      <c r="H371" s="1764"/>
      <c r="I371" s="1765"/>
      <c r="J371" s="1765"/>
      <c r="K371" s="1766"/>
      <c r="L371" s="1766"/>
      <c r="M371" s="1767"/>
      <c r="N371" s="1767"/>
      <c r="O371" s="1767"/>
      <c r="P371" s="1767"/>
      <c r="Q371" s="1767"/>
      <c r="R371" s="1765"/>
      <c r="S371" s="1765"/>
      <c r="T371" s="1766"/>
      <c r="U371" s="1766"/>
      <c r="V371" s="1767"/>
      <c r="W371" s="1767"/>
      <c r="X371" s="1767"/>
      <c r="Y371" s="1767"/>
      <c r="Z371" s="1767"/>
      <c r="AA371" s="1721"/>
      <c r="AB371" s="1713"/>
      <c r="AC371" s="1713"/>
      <c r="AD371" s="1713"/>
      <c r="AE371" s="1713"/>
      <c r="AF371" s="1713"/>
      <c r="AG371" s="1713"/>
      <c r="AH371" s="1713"/>
      <c r="AI371" s="1713"/>
      <c r="AJ371" s="1713"/>
      <c r="AK371" s="1713"/>
    </row>
    <row r="372" spans="1:37" x14ac:dyDescent="0.2">
      <c r="A372" s="1763"/>
      <c r="B372" s="1763"/>
      <c r="C372" s="1764"/>
      <c r="D372" s="1764"/>
      <c r="E372" s="1764"/>
      <c r="F372" s="1764"/>
      <c r="G372" s="1764"/>
      <c r="H372" s="1764"/>
      <c r="I372" s="1765"/>
      <c r="J372" s="1765"/>
      <c r="K372" s="1766"/>
      <c r="L372" s="1766"/>
      <c r="M372" s="1767"/>
      <c r="N372" s="1767"/>
      <c r="O372" s="1767"/>
      <c r="P372" s="1767"/>
      <c r="Q372" s="1767"/>
      <c r="R372" s="1765"/>
      <c r="S372" s="1765"/>
      <c r="T372" s="1766"/>
      <c r="U372" s="1766"/>
      <c r="V372" s="1767"/>
      <c r="W372" s="1767"/>
      <c r="X372" s="1767"/>
      <c r="Y372" s="1767"/>
      <c r="Z372" s="1767"/>
      <c r="AA372" s="1721"/>
      <c r="AB372" s="2978" t="s">
        <v>257</v>
      </c>
      <c r="AC372" s="2978"/>
      <c r="AD372" s="2978"/>
      <c r="AE372" s="2978"/>
      <c r="AF372" s="2978"/>
      <c r="AG372" s="2978"/>
      <c r="AH372" s="2978"/>
      <c r="AI372" s="2978"/>
      <c r="AJ372" s="2978"/>
      <c r="AK372" s="2978"/>
    </row>
    <row r="373" spans="1:37" x14ac:dyDescent="0.2">
      <c r="A373" s="1763"/>
      <c r="B373" s="1763"/>
      <c r="C373" s="1764"/>
      <c r="D373" s="1764"/>
      <c r="E373" s="1764"/>
      <c r="F373" s="1764"/>
      <c r="G373" s="1764"/>
      <c r="H373" s="1764"/>
      <c r="I373" s="1765"/>
      <c r="J373" s="1765"/>
      <c r="K373" s="1766"/>
      <c r="L373" s="1766"/>
      <c r="M373" s="1767"/>
      <c r="N373" s="1767"/>
      <c r="O373" s="1767"/>
      <c r="P373" s="1767"/>
      <c r="Q373" s="1767"/>
      <c r="R373" s="1765"/>
      <c r="S373" s="1765"/>
      <c r="T373" s="1766"/>
      <c r="U373" s="1766"/>
      <c r="V373" s="1767"/>
      <c r="W373" s="1767"/>
      <c r="X373" s="1767"/>
      <c r="Y373" s="1767"/>
      <c r="Z373" s="1767"/>
      <c r="AA373" s="1721"/>
      <c r="AB373" s="2978"/>
      <c r="AC373" s="2978"/>
      <c r="AD373" s="2978"/>
      <c r="AE373" s="2978"/>
      <c r="AF373" s="2978"/>
      <c r="AG373" s="2978"/>
      <c r="AH373" s="2978"/>
      <c r="AI373" s="2978"/>
      <c r="AJ373" s="2978"/>
      <c r="AK373" s="2978"/>
    </row>
    <row r="374" spans="1:37" x14ac:dyDescent="0.2">
      <c r="A374" s="1763"/>
      <c r="B374" s="1763"/>
      <c r="C374" s="1764"/>
      <c r="D374" s="1764"/>
      <c r="E374" s="1764"/>
      <c r="F374" s="1764"/>
      <c r="G374" s="1764"/>
      <c r="H374" s="1764"/>
      <c r="I374" s="1765"/>
      <c r="J374" s="1765"/>
      <c r="K374" s="1766"/>
      <c r="L374" s="1766"/>
      <c r="M374" s="1767"/>
      <c r="N374" s="1767"/>
      <c r="O374" s="1767"/>
      <c r="P374" s="1767"/>
      <c r="Q374" s="1767"/>
      <c r="R374" s="1765"/>
      <c r="S374" s="1765"/>
      <c r="T374" s="1766"/>
      <c r="U374" s="1766"/>
      <c r="V374" s="1767"/>
      <c r="W374" s="1767"/>
      <c r="X374" s="1767"/>
      <c r="Y374" s="1767"/>
      <c r="Z374" s="1767"/>
      <c r="AA374" s="1721"/>
      <c r="AB374" s="2978"/>
      <c r="AC374" s="2978"/>
      <c r="AD374" s="2978"/>
      <c r="AE374" s="2978"/>
      <c r="AF374" s="2978"/>
      <c r="AG374" s="2978"/>
      <c r="AH374" s="2978"/>
      <c r="AI374" s="2978"/>
      <c r="AJ374" s="2978"/>
      <c r="AK374" s="2978"/>
    </row>
    <row r="375" spans="1:37" x14ac:dyDescent="0.2">
      <c r="A375" s="1749"/>
      <c r="B375" s="1749"/>
      <c r="C375" s="1749"/>
      <c r="D375" s="1749"/>
      <c r="E375" s="1749"/>
      <c r="F375" s="1749"/>
      <c r="G375" s="1749"/>
      <c r="H375" s="1749"/>
      <c r="I375" s="1749"/>
      <c r="J375" s="1749"/>
      <c r="K375" s="1749"/>
      <c r="L375" s="1749"/>
      <c r="M375" s="1749"/>
      <c r="N375" s="1749"/>
      <c r="O375" s="1749"/>
      <c r="P375" s="1749"/>
      <c r="Q375" s="1749"/>
      <c r="R375" s="1749"/>
      <c r="S375" s="1749"/>
      <c r="T375" s="1749"/>
      <c r="U375" s="1749"/>
      <c r="V375" s="1749"/>
      <c r="W375" s="1749"/>
      <c r="X375" s="1749"/>
      <c r="Y375" s="1749"/>
      <c r="Z375" s="1749"/>
      <c r="AA375" s="1721"/>
      <c r="AB375" s="1706"/>
      <c r="AC375" s="1706"/>
      <c r="AD375" s="1706"/>
      <c r="AE375" s="1706"/>
      <c r="AF375" s="1706"/>
      <c r="AG375" s="1706"/>
      <c r="AH375" s="1706"/>
      <c r="AI375" s="1706"/>
    </row>
    <row r="376" spans="1:37" x14ac:dyDescent="0.2">
      <c r="A376" s="1741" t="s">
        <v>471</v>
      </c>
      <c r="B376" s="1720"/>
      <c r="C376" s="1720"/>
      <c r="D376" s="1720"/>
      <c r="E376" s="1720"/>
      <c r="F376" s="1720"/>
      <c r="G376" s="1720"/>
      <c r="H376" s="1720"/>
      <c r="I376" s="1720"/>
      <c r="J376" s="1720"/>
      <c r="K376" s="1720"/>
      <c r="L376" s="1720"/>
      <c r="M376" s="1720"/>
      <c r="N376" s="1720"/>
      <c r="O376" s="1720"/>
      <c r="P376" s="1720"/>
      <c r="Q376" s="1720"/>
      <c r="R376" s="1720"/>
      <c r="S376" s="1720"/>
      <c r="T376" s="1720"/>
      <c r="U376" s="1720"/>
      <c r="V376" s="1720"/>
      <c r="W376" s="1720"/>
      <c r="X376" s="1720"/>
      <c r="Y376" s="1720"/>
      <c r="Z376" s="1720"/>
      <c r="AA376" s="1721"/>
      <c r="AB376" s="2981">
        <f>AB263</f>
        <v>6</v>
      </c>
      <c r="AC376" s="2983" t="str">
        <f>AC263</f>
        <v>Asyam Hanif Ihsan H</v>
      </c>
      <c r="AD376" s="2984"/>
      <c r="AE376" s="2984"/>
      <c r="AF376" s="2985"/>
      <c r="AG376" s="1706"/>
      <c r="AH376" s="1706"/>
      <c r="AI376" s="1706"/>
    </row>
    <row r="377" spans="1:37" x14ac:dyDescent="0.2">
      <c r="A377" s="1741"/>
      <c r="B377" s="1720"/>
      <c r="C377" s="1720"/>
      <c r="D377" s="1720"/>
      <c r="E377" s="1720"/>
      <c r="F377" s="1720"/>
      <c r="G377" s="1720"/>
      <c r="H377" s="1720"/>
      <c r="I377" s="1720"/>
      <c r="J377" s="1720"/>
      <c r="K377" s="1720"/>
      <c r="L377" s="1720"/>
      <c r="M377" s="1720"/>
      <c r="N377" s="1720"/>
      <c r="O377" s="1720"/>
      <c r="P377" s="1720"/>
      <c r="Q377" s="1720"/>
      <c r="R377" s="1720"/>
      <c r="S377" s="1720"/>
      <c r="T377" s="1720"/>
      <c r="U377" s="1720"/>
      <c r="V377" s="1720"/>
      <c r="W377" s="1720"/>
      <c r="X377" s="1720"/>
      <c r="Y377" s="1720"/>
      <c r="Z377" s="1720"/>
      <c r="AA377" s="1721"/>
      <c r="AB377" s="2982"/>
      <c r="AC377" s="2986"/>
      <c r="AD377" s="2987"/>
      <c r="AE377" s="2987"/>
      <c r="AF377" s="2988"/>
      <c r="AG377" s="1706"/>
      <c r="AH377" s="1706"/>
      <c r="AI377" s="1706"/>
    </row>
    <row r="378" spans="1:37" x14ac:dyDescent="0.2">
      <c r="A378" s="2947" t="s">
        <v>468</v>
      </c>
      <c r="B378" s="2949"/>
      <c r="C378" s="2947" t="s">
        <v>469</v>
      </c>
      <c r="D378" s="2948"/>
      <c r="E378" s="2948"/>
      <c r="F378" s="2948"/>
      <c r="G378" s="2948"/>
      <c r="H378" s="2948"/>
      <c r="I378" s="2948"/>
      <c r="J378" s="2948"/>
      <c r="K378" s="2948"/>
      <c r="L378" s="2949"/>
      <c r="M378" s="2947" t="s">
        <v>470</v>
      </c>
      <c r="N378" s="2948"/>
      <c r="O378" s="2948"/>
      <c r="P378" s="2948"/>
      <c r="Q378" s="2948"/>
      <c r="R378" s="2948"/>
      <c r="S378" s="2948"/>
      <c r="T378" s="2948"/>
      <c r="U378" s="2948"/>
      <c r="V378" s="2948"/>
      <c r="W378" s="2949"/>
      <c r="X378" s="1720"/>
      <c r="Y378" s="1720"/>
      <c r="Z378" s="1720"/>
      <c r="AA378" s="1721"/>
      <c r="AB378" s="2956" t="s">
        <v>504</v>
      </c>
      <c r="AC378" s="2957"/>
      <c r="AD378" s="2957"/>
      <c r="AE378" s="2957"/>
      <c r="AF378" s="2958"/>
      <c r="AG378" s="1706"/>
      <c r="AH378" s="1706"/>
      <c r="AI378" s="1706"/>
    </row>
    <row r="379" spans="1:37" ht="6.75" customHeight="1" x14ac:dyDescent="0.2">
      <c r="A379" s="2950"/>
      <c r="B379" s="2952"/>
      <c r="C379" s="2950"/>
      <c r="D379" s="2951"/>
      <c r="E379" s="2951"/>
      <c r="F379" s="2951"/>
      <c r="G379" s="2951"/>
      <c r="H379" s="2951"/>
      <c r="I379" s="2951"/>
      <c r="J379" s="2951"/>
      <c r="K379" s="2951"/>
      <c r="L379" s="2952"/>
      <c r="M379" s="2950"/>
      <c r="N379" s="2951"/>
      <c r="O379" s="2951"/>
      <c r="P379" s="2951"/>
      <c r="Q379" s="2951"/>
      <c r="R379" s="2951"/>
      <c r="S379" s="2951"/>
      <c r="T379" s="2951"/>
      <c r="U379" s="2951"/>
      <c r="V379" s="2951"/>
      <c r="W379" s="2952"/>
      <c r="X379" s="1720"/>
      <c r="Y379" s="1720"/>
      <c r="Z379" s="1720"/>
      <c r="AA379" s="1721"/>
      <c r="AB379" s="2959"/>
      <c r="AC379" s="2960"/>
      <c r="AD379" s="2960"/>
      <c r="AE379" s="2960"/>
      <c r="AF379" s="2961"/>
      <c r="AG379" s="1706"/>
      <c r="AH379" s="1706"/>
      <c r="AI379" s="1706"/>
    </row>
    <row r="380" spans="1:37" ht="18" customHeight="1" x14ac:dyDescent="0.2">
      <c r="A380" s="2926">
        <v>1</v>
      </c>
      <c r="B380" s="2926"/>
      <c r="C380" s="2990" t="str">
        <f>dtesku!N8</f>
        <v>Diniyah</v>
      </c>
      <c r="D380" s="2991"/>
      <c r="E380" s="2991"/>
      <c r="F380" s="2991"/>
      <c r="G380" s="2991"/>
      <c r="H380" s="2991"/>
      <c r="I380" s="2991"/>
      <c r="J380" s="2991"/>
      <c r="K380" s="2991"/>
      <c r="L380" s="2992"/>
      <c r="M380" s="2936" t="str">
        <f>VLOOKUP(A380,data_eskulkes,14,FALSE)</f>
        <v>A</v>
      </c>
      <c r="N380" s="2936"/>
      <c r="O380" s="2936"/>
      <c r="P380" s="2936"/>
      <c r="Q380" s="2936"/>
      <c r="R380" s="2936"/>
      <c r="S380" s="2936"/>
      <c r="T380" s="2936"/>
      <c r="U380" s="2936"/>
      <c r="V380" s="2936"/>
      <c r="W380" s="2936"/>
      <c r="X380" s="1720"/>
      <c r="Y380" s="1720"/>
      <c r="Z380" s="1720"/>
      <c r="AA380" s="1721"/>
      <c r="AB380" s="1706"/>
      <c r="AC380" s="1706"/>
      <c r="AD380" s="1706"/>
      <c r="AE380" s="1706"/>
      <c r="AF380" s="1706"/>
      <c r="AG380" s="1706"/>
      <c r="AH380" s="1706"/>
      <c r="AI380" s="1706"/>
    </row>
    <row r="381" spans="1:37" ht="18" customHeight="1" x14ac:dyDescent="0.2">
      <c r="A381" s="2926">
        <v>2</v>
      </c>
      <c r="B381" s="2926"/>
      <c r="C381" s="2990" t="str">
        <f>dtesku!O8</f>
        <v>Pramuka</v>
      </c>
      <c r="D381" s="2991"/>
      <c r="E381" s="2991"/>
      <c r="F381" s="2991"/>
      <c r="G381" s="2991"/>
      <c r="H381" s="2991"/>
      <c r="I381" s="2991"/>
      <c r="J381" s="2991"/>
      <c r="K381" s="2991"/>
      <c r="L381" s="2992"/>
      <c r="M381" s="2936" t="str">
        <f>VLOOKUP(A381,data_eskulkes,15,FALSE)</f>
        <v>A</v>
      </c>
      <c r="N381" s="2936"/>
      <c r="O381" s="2936"/>
      <c r="P381" s="2936"/>
      <c r="Q381" s="2936"/>
      <c r="R381" s="2936"/>
      <c r="S381" s="2936"/>
      <c r="T381" s="2936"/>
      <c r="U381" s="2936"/>
      <c r="V381" s="2936"/>
      <c r="W381" s="2936"/>
      <c r="X381" s="1720"/>
      <c r="Y381" s="1720"/>
      <c r="Z381" s="1720"/>
      <c r="AA381" s="1721"/>
      <c r="AB381" s="1706"/>
      <c r="AC381" s="1706"/>
      <c r="AD381" s="1706"/>
      <c r="AE381" s="1706"/>
      <c r="AF381" s="1706"/>
      <c r="AG381" s="1706"/>
      <c r="AH381" s="1706"/>
      <c r="AI381" s="1706"/>
    </row>
    <row r="382" spans="1:37" ht="18" customHeight="1" x14ac:dyDescent="0.2">
      <c r="A382" s="2926">
        <v>3</v>
      </c>
      <c r="B382" s="2926"/>
      <c r="C382" s="2990" t="str">
        <f>dtesku!P8</f>
        <v>Tari</v>
      </c>
      <c r="D382" s="2991"/>
      <c r="E382" s="2991"/>
      <c r="F382" s="2991"/>
      <c r="G382" s="2991"/>
      <c r="H382" s="2991"/>
      <c r="I382" s="2991"/>
      <c r="J382" s="2991"/>
      <c r="K382" s="2991"/>
      <c r="L382" s="2992"/>
      <c r="M382" s="2936" t="str">
        <f>VLOOKUP(A382,data_eskulkes,16,FALSE)</f>
        <v>A</v>
      </c>
      <c r="N382" s="2936"/>
      <c r="O382" s="2936"/>
      <c r="P382" s="2936"/>
      <c r="Q382" s="2936"/>
      <c r="R382" s="2936"/>
      <c r="S382" s="2936"/>
      <c r="T382" s="2936"/>
      <c r="U382" s="2936"/>
      <c r="V382" s="2936"/>
      <c r="W382" s="2936"/>
      <c r="X382" s="1720"/>
      <c r="Y382" s="1720"/>
      <c r="Z382" s="1720"/>
      <c r="AA382" s="1721"/>
      <c r="AB382" s="1706"/>
      <c r="AC382" s="1706"/>
      <c r="AD382" s="1706"/>
      <c r="AE382" s="1706"/>
      <c r="AF382" s="1706"/>
      <c r="AG382" s="1706"/>
      <c r="AH382" s="1706"/>
      <c r="AI382" s="1706"/>
    </row>
    <row r="383" spans="1:37" ht="18" customHeight="1" x14ac:dyDescent="0.2">
      <c r="A383" s="2926">
        <v>4</v>
      </c>
      <c r="B383" s="2926"/>
      <c r="C383" s="2990" t="str">
        <f>dtesku!Q8</f>
        <v>Komputer</v>
      </c>
      <c r="D383" s="2991"/>
      <c r="E383" s="2991"/>
      <c r="F383" s="2991"/>
      <c r="G383" s="2991"/>
      <c r="H383" s="2991"/>
      <c r="I383" s="2991"/>
      <c r="J383" s="2991"/>
      <c r="K383" s="2991"/>
      <c r="L383" s="2992"/>
      <c r="M383" s="2936" t="str">
        <f>VLOOKUP(A383,data_eskulkes,17,FALSE)</f>
        <v>-</v>
      </c>
      <c r="N383" s="2936"/>
      <c r="O383" s="2936"/>
      <c r="P383" s="2936"/>
      <c r="Q383" s="2936"/>
      <c r="R383" s="2936"/>
      <c r="S383" s="2936"/>
      <c r="T383" s="2936"/>
      <c r="U383" s="2936"/>
      <c r="V383" s="2936"/>
      <c r="W383" s="2936"/>
      <c r="X383" s="1720"/>
      <c r="Y383" s="1720"/>
      <c r="Z383" s="1720"/>
      <c r="AA383" s="1721"/>
      <c r="AB383" s="1706"/>
      <c r="AC383" s="1706"/>
      <c r="AD383" s="1706"/>
      <c r="AE383" s="1706"/>
      <c r="AF383" s="1706"/>
      <c r="AG383" s="1706"/>
      <c r="AH383" s="1706"/>
      <c r="AI383" s="1706"/>
    </row>
    <row r="384" spans="1:37" ht="18" customHeight="1" x14ac:dyDescent="0.2">
      <c r="A384" s="2926">
        <v>5</v>
      </c>
      <c r="B384" s="2926"/>
      <c r="C384" s="2990" t="str">
        <f>dtesku!R8</f>
        <v>Karate</v>
      </c>
      <c r="D384" s="2991"/>
      <c r="E384" s="2991"/>
      <c r="F384" s="2991"/>
      <c r="G384" s="2991"/>
      <c r="H384" s="2991"/>
      <c r="I384" s="2991"/>
      <c r="J384" s="2991"/>
      <c r="K384" s="2991"/>
      <c r="L384" s="2992"/>
      <c r="M384" s="2936" t="str">
        <f>VLOOKUP(A384,data_eskulkes,18,FALSE)</f>
        <v>-</v>
      </c>
      <c r="N384" s="2936"/>
      <c r="O384" s="2936"/>
      <c r="P384" s="2936"/>
      <c r="Q384" s="2936"/>
      <c r="R384" s="2936"/>
      <c r="S384" s="2936"/>
      <c r="T384" s="2936"/>
      <c r="U384" s="2936"/>
      <c r="V384" s="2936"/>
      <c r="W384" s="2936"/>
      <c r="X384" s="1720"/>
      <c r="Y384" s="1720"/>
      <c r="Z384" s="1720"/>
      <c r="AA384" s="1721"/>
      <c r="AB384" s="1706"/>
      <c r="AC384" s="1706"/>
      <c r="AD384" s="1706"/>
      <c r="AE384" s="1706"/>
      <c r="AF384" s="1706"/>
      <c r="AG384" s="1706"/>
      <c r="AH384" s="1706"/>
      <c r="AI384" s="1706"/>
    </row>
    <row r="385" spans="1:35" ht="18" customHeight="1" x14ac:dyDescent="0.2">
      <c r="A385" s="2926">
        <v>6</v>
      </c>
      <c r="B385" s="2926"/>
      <c r="C385" s="2993" t="e">
        <f>VLOOKUP($A$380,jenis_eskul,19,FALSE)</f>
        <v>#NAME?</v>
      </c>
      <c r="D385" s="2994"/>
      <c r="E385" s="2994"/>
      <c r="F385" s="2994"/>
      <c r="G385" s="2994"/>
      <c r="H385" s="2994"/>
      <c r="I385" s="2994"/>
      <c r="J385" s="2994"/>
      <c r="K385" s="2994"/>
      <c r="L385" s="2995"/>
      <c r="M385" s="2937">
        <f>VLOOKUP(A385,data_eskulkes,19,FALSE)</f>
        <v>0</v>
      </c>
      <c r="N385" s="2937"/>
      <c r="O385" s="2937"/>
      <c r="P385" s="2937"/>
      <c r="Q385" s="2937"/>
      <c r="R385" s="2937"/>
      <c r="S385" s="2937"/>
      <c r="T385" s="2937"/>
      <c r="U385" s="2937"/>
      <c r="V385" s="2937"/>
      <c r="W385" s="2937"/>
      <c r="X385" s="1720"/>
      <c r="Y385" s="1720"/>
      <c r="Z385" s="1720"/>
      <c r="AA385" s="1721"/>
      <c r="AB385" s="1706"/>
      <c r="AC385" s="1706"/>
      <c r="AD385" s="1706"/>
      <c r="AE385" s="1706"/>
      <c r="AF385" s="1706"/>
      <c r="AG385" s="1706"/>
      <c r="AH385" s="1706"/>
      <c r="AI385" s="1706"/>
    </row>
    <row r="386" spans="1:35" ht="15.95" customHeight="1" x14ac:dyDescent="0.2">
      <c r="A386" s="1720"/>
      <c r="B386" s="1720"/>
      <c r="C386" s="1720"/>
      <c r="D386" s="1720"/>
      <c r="E386" s="1720"/>
      <c r="F386" s="1720"/>
      <c r="G386" s="1720"/>
      <c r="H386" s="1720"/>
      <c r="I386" s="1720"/>
      <c r="J386" s="1720"/>
      <c r="K386" s="1720"/>
      <c r="L386" s="1720"/>
      <c r="M386" s="1720"/>
      <c r="N386" s="1720"/>
      <c r="O386" s="1720"/>
      <c r="P386" s="1720"/>
      <c r="Q386" s="1720"/>
      <c r="R386" s="1720"/>
      <c r="S386" s="1720"/>
      <c r="T386" s="1720"/>
      <c r="U386" s="1720"/>
      <c r="V386" s="1720"/>
      <c r="W386" s="1720"/>
      <c r="X386" s="1720"/>
      <c r="Y386" s="1720"/>
      <c r="Z386" s="1720"/>
      <c r="AA386" s="1721"/>
      <c r="AB386" s="1706"/>
      <c r="AC386" s="1706"/>
      <c r="AD386" s="1706"/>
      <c r="AE386" s="1706"/>
      <c r="AF386" s="1706"/>
      <c r="AG386" s="1706"/>
      <c r="AH386" s="1706"/>
      <c r="AI386" s="1706"/>
    </row>
    <row r="387" spans="1:35" ht="15.95" customHeight="1" x14ac:dyDescent="0.2">
      <c r="A387" s="1720"/>
      <c r="B387" s="1720"/>
      <c r="C387" s="1720"/>
      <c r="D387" s="1720"/>
      <c r="E387" s="1720"/>
      <c r="F387" s="1720"/>
      <c r="G387" s="1720"/>
      <c r="H387" s="1720"/>
      <c r="I387" s="1720"/>
      <c r="J387" s="1720"/>
      <c r="K387" s="1720"/>
      <c r="L387" s="1720"/>
      <c r="M387" s="1720"/>
      <c r="N387" s="1720"/>
      <c r="O387" s="1720"/>
      <c r="P387" s="1720"/>
      <c r="Q387" s="1720"/>
      <c r="R387" s="1720"/>
      <c r="S387" s="1720"/>
      <c r="T387" s="1720"/>
      <c r="U387" s="1720"/>
      <c r="V387" s="1720"/>
      <c r="W387" s="1720"/>
      <c r="X387" s="1720"/>
      <c r="Y387" s="1720"/>
      <c r="Z387" s="1720"/>
      <c r="AA387" s="1721"/>
      <c r="AB387" s="1706"/>
      <c r="AC387" s="1706"/>
      <c r="AD387" s="1706"/>
      <c r="AE387" s="1706"/>
      <c r="AF387" s="1706"/>
      <c r="AG387" s="1706"/>
      <c r="AH387" s="1706"/>
      <c r="AI387" s="1706"/>
    </row>
    <row r="388" spans="1:35" ht="15.95" customHeight="1" x14ac:dyDescent="0.2">
      <c r="A388" s="1741" t="s">
        <v>472</v>
      </c>
      <c r="B388" s="1720"/>
      <c r="C388" s="1720"/>
      <c r="D388" s="1720"/>
      <c r="E388" s="1720"/>
      <c r="F388" s="1720"/>
      <c r="G388" s="1720"/>
      <c r="H388" s="1720"/>
      <c r="I388" s="1720"/>
      <c r="J388" s="1720"/>
      <c r="K388" s="1720"/>
      <c r="L388" s="1720"/>
      <c r="M388" s="1720"/>
      <c r="N388" s="1720"/>
      <c r="O388" s="1720"/>
      <c r="P388" s="1720"/>
      <c r="Q388" s="1720"/>
      <c r="R388" s="1720"/>
      <c r="S388" s="1720"/>
      <c r="T388" s="1720"/>
      <c r="U388" s="1720"/>
      <c r="V388" s="1720"/>
      <c r="W388" s="1720"/>
      <c r="X388" s="1720"/>
      <c r="Y388" s="1720"/>
      <c r="Z388" s="1720"/>
      <c r="AA388" s="1721"/>
      <c r="AB388" s="1706"/>
      <c r="AC388" s="1706"/>
      <c r="AD388" s="1706"/>
      <c r="AE388" s="1706"/>
      <c r="AF388" s="1706"/>
      <c r="AG388" s="1706"/>
      <c r="AH388" s="1706"/>
      <c r="AI388" s="1706"/>
    </row>
    <row r="389" spans="1:35" ht="15.95" customHeight="1" x14ac:dyDescent="0.2">
      <c r="A389" s="1720"/>
      <c r="B389" s="1720"/>
      <c r="C389" s="1720"/>
      <c r="D389" s="1720"/>
      <c r="E389" s="1720"/>
      <c r="F389" s="1720"/>
      <c r="G389" s="1720"/>
      <c r="H389" s="1720"/>
      <c r="I389" s="1720"/>
      <c r="J389" s="1720"/>
      <c r="K389" s="1720"/>
      <c r="L389" s="1720"/>
      <c r="M389" s="1720"/>
      <c r="N389" s="1720"/>
      <c r="O389" s="1720"/>
      <c r="P389" s="1720"/>
      <c r="Q389" s="1720"/>
      <c r="R389" s="1720"/>
      <c r="S389" s="1720"/>
      <c r="T389" s="1720"/>
      <c r="U389" s="1720"/>
      <c r="V389" s="1720"/>
      <c r="W389" s="1720"/>
      <c r="X389" s="1749"/>
      <c r="Y389" s="1720"/>
      <c r="Z389" s="1720"/>
      <c r="AA389" s="1721"/>
      <c r="AB389" s="1706"/>
      <c r="AC389" s="1706"/>
      <c r="AD389" s="1706"/>
      <c r="AE389" s="1706"/>
      <c r="AF389" s="1706"/>
      <c r="AG389" s="1706"/>
      <c r="AH389" s="1706"/>
      <c r="AI389" s="1706"/>
    </row>
    <row r="390" spans="1:35" ht="24.95" customHeight="1" x14ac:dyDescent="0.2">
      <c r="A390" s="2938">
        <f>VLOOKUP(AC2,data_eskulkes,19,FALSE)</f>
        <v>0</v>
      </c>
      <c r="B390" s="2939"/>
      <c r="C390" s="2939"/>
      <c r="D390" s="2939"/>
      <c r="E390" s="2939"/>
      <c r="F390" s="2939"/>
      <c r="G390" s="2939"/>
      <c r="H390" s="2939"/>
      <c r="I390" s="2939"/>
      <c r="J390" s="2939"/>
      <c r="K390" s="2939"/>
      <c r="L390" s="2939"/>
      <c r="M390" s="2939"/>
      <c r="N390" s="2939"/>
      <c r="O390" s="2939"/>
      <c r="P390" s="2939"/>
      <c r="Q390" s="2939"/>
      <c r="R390" s="2939"/>
      <c r="S390" s="2939"/>
      <c r="T390" s="2939"/>
      <c r="U390" s="2939"/>
      <c r="V390" s="2939"/>
      <c r="W390" s="2940"/>
      <c r="X390" s="1749"/>
      <c r="Y390" s="1720"/>
      <c r="Z390" s="1720"/>
      <c r="AA390" s="1721"/>
      <c r="AB390" s="1706"/>
      <c r="AC390" s="1706"/>
      <c r="AD390" s="1706"/>
      <c r="AE390" s="1706"/>
      <c r="AF390" s="1706"/>
      <c r="AG390" s="1706"/>
      <c r="AH390" s="1706"/>
      <c r="AI390" s="1706"/>
    </row>
    <row r="391" spans="1:35" ht="24.95" customHeight="1" x14ac:dyDescent="0.2">
      <c r="A391" s="2941"/>
      <c r="B391" s="2942"/>
      <c r="C391" s="2942"/>
      <c r="D391" s="2942"/>
      <c r="E391" s="2942"/>
      <c r="F391" s="2942"/>
      <c r="G391" s="2942"/>
      <c r="H391" s="2942"/>
      <c r="I391" s="2942"/>
      <c r="J391" s="2942"/>
      <c r="K391" s="2942"/>
      <c r="L391" s="2942"/>
      <c r="M391" s="2942"/>
      <c r="N391" s="2942"/>
      <c r="O391" s="2942"/>
      <c r="P391" s="2942"/>
      <c r="Q391" s="2942"/>
      <c r="R391" s="2942"/>
      <c r="S391" s="2942"/>
      <c r="T391" s="2942"/>
      <c r="U391" s="2942"/>
      <c r="V391" s="2942"/>
      <c r="W391" s="2943"/>
      <c r="X391" s="1749"/>
      <c r="Y391" s="1720"/>
      <c r="Z391" s="1720"/>
      <c r="AA391" s="1721"/>
      <c r="AB391" s="1706"/>
      <c r="AC391" s="1706"/>
      <c r="AD391" s="1706"/>
      <c r="AE391" s="1706"/>
      <c r="AF391" s="1706"/>
      <c r="AG391" s="1706"/>
      <c r="AH391" s="1706"/>
      <c r="AI391" s="1706"/>
    </row>
    <row r="392" spans="1:35" ht="24.95" customHeight="1" x14ac:dyDescent="0.2">
      <c r="A392" s="2944"/>
      <c r="B392" s="2945"/>
      <c r="C392" s="2945"/>
      <c r="D392" s="2945"/>
      <c r="E392" s="2945"/>
      <c r="F392" s="2945"/>
      <c r="G392" s="2945"/>
      <c r="H392" s="2945"/>
      <c r="I392" s="2945"/>
      <c r="J392" s="2945"/>
      <c r="K392" s="2945"/>
      <c r="L392" s="2945"/>
      <c r="M392" s="2945"/>
      <c r="N392" s="2945"/>
      <c r="O392" s="2945"/>
      <c r="P392" s="2945"/>
      <c r="Q392" s="2945"/>
      <c r="R392" s="2945"/>
      <c r="S392" s="2945"/>
      <c r="T392" s="2945"/>
      <c r="U392" s="2945"/>
      <c r="V392" s="2945"/>
      <c r="W392" s="2946"/>
      <c r="X392" s="1749"/>
      <c r="Y392" s="1720"/>
      <c r="Z392" s="1720"/>
      <c r="AA392" s="1721"/>
      <c r="AB392" s="1706"/>
      <c r="AC392" s="1706"/>
      <c r="AD392" s="1706"/>
      <c r="AE392" s="1706"/>
      <c r="AF392" s="1706"/>
      <c r="AG392" s="1706"/>
      <c r="AH392" s="1706"/>
      <c r="AI392" s="1706"/>
    </row>
    <row r="393" spans="1:35" x14ac:dyDescent="0.2">
      <c r="A393" s="1720"/>
      <c r="B393" s="1720"/>
      <c r="C393" s="1720"/>
      <c r="D393" s="1720"/>
      <c r="E393" s="1720"/>
      <c r="F393" s="1720"/>
      <c r="G393" s="1720"/>
      <c r="H393" s="1720"/>
      <c r="I393" s="1720"/>
      <c r="J393" s="1720"/>
      <c r="K393" s="1720"/>
      <c r="L393" s="1720"/>
      <c r="M393" s="1720"/>
      <c r="N393" s="1720"/>
      <c r="O393" s="1720"/>
      <c r="P393" s="1720"/>
      <c r="Q393" s="1720"/>
      <c r="R393" s="1720"/>
      <c r="S393" s="1720"/>
      <c r="T393" s="1720"/>
      <c r="U393" s="1720"/>
      <c r="V393" s="1720"/>
      <c r="W393" s="1720"/>
      <c r="X393" s="1749"/>
      <c r="Y393" s="1720"/>
      <c r="Z393" s="1720"/>
      <c r="AA393" s="1721"/>
      <c r="AB393" s="1706"/>
      <c r="AC393" s="1706"/>
      <c r="AD393" s="1706"/>
      <c r="AE393" s="1706"/>
      <c r="AF393" s="1706"/>
      <c r="AG393" s="1706"/>
      <c r="AH393" s="1706"/>
      <c r="AI393" s="1706"/>
    </row>
    <row r="394" spans="1:35" x14ac:dyDescent="0.2">
      <c r="A394" s="1720"/>
      <c r="B394" s="1720"/>
      <c r="C394" s="1720"/>
      <c r="D394" s="1720"/>
      <c r="E394" s="1720"/>
      <c r="F394" s="1720"/>
      <c r="G394" s="1720"/>
      <c r="H394" s="1720"/>
      <c r="I394" s="1720"/>
      <c r="J394" s="1720"/>
      <c r="K394" s="1720"/>
      <c r="L394" s="1720"/>
      <c r="M394" s="1720"/>
      <c r="N394" s="1720"/>
      <c r="O394" s="1720"/>
      <c r="P394" s="1720"/>
      <c r="Q394" s="1720"/>
      <c r="R394" s="1720"/>
      <c r="S394" s="1720"/>
      <c r="T394" s="1720"/>
      <c r="U394" s="1720"/>
      <c r="V394" s="1720"/>
      <c r="W394" s="1720"/>
      <c r="X394" s="1749"/>
      <c r="Y394" s="1720"/>
      <c r="Z394" s="1720"/>
      <c r="AA394" s="1721"/>
      <c r="AB394" s="1706"/>
      <c r="AC394" s="1706"/>
      <c r="AD394" s="1706"/>
      <c r="AE394" s="1706"/>
      <c r="AF394" s="1706"/>
      <c r="AG394" s="1706"/>
      <c r="AH394" s="1706"/>
      <c r="AI394" s="1706"/>
    </row>
    <row r="395" spans="1:35" x14ac:dyDescent="0.2">
      <c r="A395" s="1728" t="s">
        <v>475</v>
      </c>
      <c r="B395" s="1720"/>
      <c r="C395" s="1720"/>
      <c r="D395" s="1720"/>
      <c r="E395" s="1720"/>
      <c r="F395" s="1720"/>
      <c r="G395" s="1720"/>
      <c r="H395" s="1720"/>
      <c r="I395" s="1720"/>
      <c r="J395" s="1720"/>
      <c r="K395" s="1720"/>
      <c r="L395" s="1720"/>
      <c r="M395" s="1720"/>
      <c r="N395" s="1720"/>
      <c r="O395" s="1720"/>
      <c r="P395" s="1720"/>
      <c r="Q395" s="1720"/>
      <c r="R395" s="1720"/>
      <c r="S395" s="1720"/>
      <c r="T395" s="1720"/>
      <c r="U395" s="1720"/>
      <c r="V395" s="1720"/>
      <c r="W395" s="1720"/>
      <c r="X395" s="1720"/>
      <c r="Y395" s="1720"/>
      <c r="Z395" s="1720"/>
      <c r="AA395" s="1721"/>
      <c r="AB395" s="1706"/>
      <c r="AC395" s="1706"/>
      <c r="AD395" s="1706"/>
      <c r="AE395" s="1706"/>
      <c r="AF395" s="1706"/>
      <c r="AG395" s="1706"/>
      <c r="AH395" s="1706"/>
      <c r="AI395" s="1706"/>
    </row>
    <row r="396" spans="1:35" x14ac:dyDescent="0.2">
      <c r="A396" s="1720"/>
      <c r="B396" s="1720"/>
      <c r="C396" s="1720"/>
      <c r="D396" s="1720"/>
      <c r="E396" s="1720"/>
      <c r="F396" s="1720"/>
      <c r="G396" s="1720"/>
      <c r="H396" s="1720"/>
      <c r="I396" s="1720"/>
      <c r="J396" s="1720"/>
      <c r="K396" s="1720"/>
      <c r="L396" s="1720"/>
      <c r="M396" s="1720"/>
      <c r="N396" s="1720"/>
      <c r="O396" s="1720"/>
      <c r="P396" s="1720"/>
      <c r="Q396" s="1720"/>
      <c r="R396" s="1720"/>
      <c r="S396" s="1720"/>
      <c r="T396" s="1720"/>
      <c r="U396" s="1720"/>
      <c r="V396" s="1720"/>
      <c r="W396" s="1720"/>
      <c r="X396" s="1720"/>
      <c r="Y396" s="1720"/>
      <c r="Z396" s="1720"/>
      <c r="AA396" s="1721"/>
      <c r="AB396" s="1706"/>
      <c r="AC396" s="1706"/>
      <c r="AD396" s="1706"/>
      <c r="AE396" s="1706"/>
      <c r="AF396" s="1706"/>
      <c r="AG396" s="1706"/>
      <c r="AH396" s="1706"/>
      <c r="AI396" s="1706"/>
    </row>
    <row r="397" spans="1:35" ht="17.25" customHeight="1" x14ac:dyDescent="0.2">
      <c r="A397" s="2954" t="s">
        <v>476</v>
      </c>
      <c r="B397" s="2954"/>
      <c r="C397" s="2947" t="s">
        <v>477</v>
      </c>
      <c r="D397" s="2948"/>
      <c r="E397" s="2948"/>
      <c r="F397" s="2948"/>
      <c r="G397" s="2948"/>
      <c r="H397" s="2948"/>
      <c r="I397" s="2948"/>
      <c r="J397" s="2949"/>
      <c r="K397" s="2954" t="s">
        <v>109</v>
      </c>
      <c r="L397" s="2954"/>
      <c r="M397" s="2954"/>
      <c r="N397" s="2954"/>
      <c r="O397" s="2954"/>
      <c r="P397" s="2954"/>
      <c r="Q397" s="2954"/>
      <c r="R397" s="2954"/>
      <c r="S397" s="2954"/>
      <c r="T397" s="2954"/>
      <c r="U397" s="2954"/>
      <c r="V397" s="2954"/>
      <c r="W397" s="1720"/>
      <c r="X397" s="1720"/>
      <c r="Y397" s="1720"/>
      <c r="Z397" s="1720"/>
      <c r="AA397" s="1721"/>
      <c r="AB397" s="1706"/>
      <c r="AC397" s="1706"/>
      <c r="AD397" s="1706"/>
      <c r="AE397" s="1706"/>
      <c r="AF397" s="1706"/>
      <c r="AG397" s="1706"/>
      <c r="AH397" s="1706"/>
      <c r="AI397" s="1706"/>
    </row>
    <row r="398" spans="1:35" x14ac:dyDescent="0.2">
      <c r="A398" s="2954"/>
      <c r="B398" s="2954"/>
      <c r="C398" s="2950"/>
      <c r="D398" s="2951"/>
      <c r="E398" s="2951"/>
      <c r="F398" s="2951"/>
      <c r="G398" s="2951"/>
      <c r="H398" s="2951"/>
      <c r="I398" s="2951"/>
      <c r="J398" s="2952"/>
      <c r="K398" s="3066">
        <v>1</v>
      </c>
      <c r="L398" s="3066"/>
      <c r="M398" s="3066"/>
      <c r="N398" s="3066"/>
      <c r="O398" s="3066"/>
      <c r="P398" s="3066"/>
      <c r="Q398" s="3066">
        <v>2</v>
      </c>
      <c r="R398" s="3066"/>
      <c r="S398" s="3066"/>
      <c r="T398" s="3066"/>
      <c r="U398" s="3066"/>
      <c r="V398" s="3066"/>
      <c r="W398" s="1720"/>
      <c r="X398" s="1720"/>
      <c r="Y398" s="1720"/>
      <c r="Z398" s="1720"/>
      <c r="AA398" s="1721"/>
      <c r="AB398" s="1706"/>
      <c r="AC398" s="1706"/>
      <c r="AD398" s="1706"/>
      <c r="AE398" s="1706"/>
      <c r="AF398" s="1706"/>
      <c r="AG398" s="1706"/>
      <c r="AH398" s="1706"/>
      <c r="AI398" s="1706"/>
    </row>
    <row r="399" spans="1:35" ht="20.100000000000001" customHeight="1" x14ac:dyDescent="0.2">
      <c r="A399" s="2926">
        <v>1</v>
      </c>
      <c r="B399" s="2926"/>
      <c r="C399" s="2953" t="s">
        <v>120</v>
      </c>
      <c r="D399" s="2953"/>
      <c r="E399" s="2953"/>
      <c r="F399" s="2953"/>
      <c r="G399" s="2953"/>
      <c r="H399" s="2953"/>
      <c r="I399" s="2953"/>
      <c r="J399" s="2953"/>
      <c r="K399" s="2926">
        <f>VLOOKUP($AC$2,data_eskulkes,3,FALSE)</f>
        <v>142</v>
      </c>
      <c r="L399" s="2926"/>
      <c r="M399" s="2926"/>
      <c r="N399" s="2926"/>
      <c r="O399" s="2926"/>
      <c r="P399" s="2926"/>
      <c r="Q399" s="2926">
        <f>VLOOKUP($AC$2,data_eskulkes,4,FALSE)</f>
        <v>0</v>
      </c>
      <c r="R399" s="2926"/>
      <c r="S399" s="2926"/>
      <c r="T399" s="2926"/>
      <c r="U399" s="2926"/>
      <c r="V399" s="2926"/>
      <c r="W399" s="1720"/>
      <c r="X399" s="1720"/>
      <c r="Y399" s="1720"/>
      <c r="Z399" s="1720"/>
      <c r="AA399" s="1721"/>
      <c r="AB399" s="1706"/>
      <c r="AC399" s="1706"/>
      <c r="AD399" s="1706"/>
      <c r="AE399" s="1706"/>
      <c r="AF399" s="1706"/>
      <c r="AG399" s="1706"/>
      <c r="AH399" s="1706"/>
      <c r="AI399" s="1706"/>
    </row>
    <row r="400" spans="1:35" ht="20.100000000000001" customHeight="1" x14ac:dyDescent="0.2">
      <c r="A400" s="2926">
        <v>2</v>
      </c>
      <c r="B400" s="2926"/>
      <c r="C400" s="2953" t="s">
        <v>121</v>
      </c>
      <c r="D400" s="2953"/>
      <c r="E400" s="2953"/>
      <c r="F400" s="2953"/>
      <c r="G400" s="2953"/>
      <c r="H400" s="2953"/>
      <c r="I400" s="2953"/>
      <c r="J400" s="2953"/>
      <c r="K400" s="2926">
        <f>VLOOKUP($AC$2,data_eskulkes,5,FALSE)</f>
        <v>39</v>
      </c>
      <c r="L400" s="2926"/>
      <c r="M400" s="2926"/>
      <c r="N400" s="2926"/>
      <c r="O400" s="2926"/>
      <c r="P400" s="2926"/>
      <c r="Q400" s="2926">
        <f>VLOOKUP($AC$2,data_eskulkes,6,FALSE)</f>
        <v>0</v>
      </c>
      <c r="R400" s="2926"/>
      <c r="S400" s="2926"/>
      <c r="T400" s="2926"/>
      <c r="U400" s="2926"/>
      <c r="V400" s="2926"/>
      <c r="W400" s="1720"/>
      <c r="X400" s="1720"/>
      <c r="Y400" s="1720"/>
      <c r="Z400" s="1720"/>
      <c r="AA400" s="1721"/>
      <c r="AB400" s="1706"/>
      <c r="AC400" s="1706"/>
      <c r="AD400" s="1706"/>
      <c r="AE400" s="1706"/>
      <c r="AF400" s="1706"/>
      <c r="AG400" s="1706"/>
      <c r="AH400" s="1706"/>
      <c r="AI400" s="1706"/>
    </row>
    <row r="401" spans="1:35" ht="15.75" customHeight="1" x14ac:dyDescent="0.2">
      <c r="A401" s="1720"/>
      <c r="B401" s="1720"/>
      <c r="C401" s="1720"/>
      <c r="D401" s="1720"/>
      <c r="E401" s="1720"/>
      <c r="F401" s="1720"/>
      <c r="G401" s="1720"/>
      <c r="H401" s="1720"/>
      <c r="I401" s="1720"/>
      <c r="J401" s="1720"/>
      <c r="K401" s="1720"/>
      <c r="L401" s="1720"/>
      <c r="M401" s="1720"/>
      <c r="N401" s="1720"/>
      <c r="O401" s="1720"/>
      <c r="P401" s="1720"/>
      <c r="Q401" s="1720"/>
      <c r="R401" s="1720"/>
      <c r="S401" s="1720"/>
      <c r="T401" s="1720"/>
      <c r="U401" s="1720"/>
      <c r="V401" s="1720"/>
      <c r="W401" s="1720"/>
      <c r="X401" s="1720"/>
      <c r="Y401" s="1720"/>
      <c r="Z401" s="1720"/>
      <c r="AA401" s="1721"/>
      <c r="AB401" s="1706"/>
      <c r="AC401" s="1706"/>
      <c r="AD401" s="1706"/>
      <c r="AE401" s="1706"/>
      <c r="AF401" s="1706"/>
      <c r="AG401" s="1706"/>
      <c r="AH401" s="1706"/>
      <c r="AI401" s="1706"/>
    </row>
    <row r="402" spans="1:35" x14ac:dyDescent="0.2">
      <c r="A402" s="1720"/>
      <c r="B402" s="1720"/>
      <c r="C402" s="1720"/>
      <c r="D402" s="1720"/>
      <c r="E402" s="1720"/>
      <c r="F402" s="1720"/>
      <c r="G402" s="1720"/>
      <c r="H402" s="1720"/>
      <c r="I402" s="1720"/>
      <c r="J402" s="1720"/>
      <c r="K402" s="1720"/>
      <c r="L402" s="1720"/>
      <c r="M402" s="1720"/>
      <c r="N402" s="1720"/>
      <c r="O402" s="1720"/>
      <c r="P402" s="1720"/>
      <c r="Q402" s="1720"/>
      <c r="R402" s="1720"/>
      <c r="S402" s="1720"/>
      <c r="T402" s="1720"/>
      <c r="U402" s="1720"/>
      <c r="V402" s="1720"/>
      <c r="W402" s="1720"/>
      <c r="X402" s="1720"/>
      <c r="Y402" s="1720"/>
      <c r="Z402" s="1720"/>
      <c r="AA402" s="1721"/>
      <c r="AB402" s="1706"/>
      <c r="AC402" s="1706"/>
      <c r="AD402" s="1706"/>
      <c r="AE402" s="1706"/>
      <c r="AF402" s="1706"/>
      <c r="AG402" s="1706"/>
      <c r="AH402" s="1706"/>
      <c r="AI402" s="1706"/>
    </row>
    <row r="403" spans="1:35" x14ac:dyDescent="0.2">
      <c r="A403" s="1728" t="s">
        <v>478</v>
      </c>
      <c r="B403" s="1720"/>
      <c r="C403" s="1720"/>
      <c r="D403" s="1720"/>
      <c r="E403" s="1720"/>
      <c r="F403" s="1720"/>
      <c r="G403" s="1720"/>
      <c r="H403" s="1720"/>
      <c r="I403" s="1720"/>
      <c r="J403" s="1720"/>
      <c r="K403" s="1720"/>
      <c r="L403" s="1720"/>
      <c r="M403" s="1720"/>
      <c r="N403" s="1720"/>
      <c r="O403" s="1720"/>
      <c r="P403" s="1720"/>
      <c r="Q403" s="1720"/>
      <c r="R403" s="1720"/>
      <c r="S403" s="1720"/>
      <c r="T403" s="1720"/>
      <c r="U403" s="1720"/>
      <c r="V403" s="1720"/>
      <c r="W403" s="1720"/>
      <c r="X403" s="1720"/>
      <c r="Y403" s="1720"/>
      <c r="Z403" s="1720"/>
      <c r="AA403" s="1721"/>
      <c r="AB403" s="1706"/>
      <c r="AC403" s="1706"/>
      <c r="AD403" s="1706"/>
      <c r="AE403" s="1706"/>
      <c r="AF403" s="1706"/>
      <c r="AG403" s="1706"/>
      <c r="AH403" s="1706"/>
      <c r="AI403" s="1706"/>
    </row>
    <row r="404" spans="1:35" x14ac:dyDescent="0.2">
      <c r="A404" s="1720"/>
      <c r="B404" s="1720"/>
      <c r="C404" s="1720"/>
      <c r="D404" s="1720"/>
      <c r="E404" s="1720"/>
      <c r="F404" s="1720"/>
      <c r="G404" s="1720"/>
      <c r="H404" s="1720"/>
      <c r="I404" s="1720"/>
      <c r="J404" s="1720"/>
      <c r="K404" s="1720"/>
      <c r="L404" s="1720"/>
      <c r="M404" s="1720"/>
      <c r="N404" s="1720"/>
      <c r="O404" s="1720"/>
      <c r="P404" s="1720"/>
      <c r="Q404" s="1720"/>
      <c r="R404" s="1720"/>
      <c r="S404" s="1720"/>
      <c r="T404" s="1720"/>
      <c r="U404" s="1720"/>
      <c r="V404" s="1720"/>
      <c r="W404" s="1720"/>
      <c r="X404" s="1720"/>
      <c r="Y404" s="1720"/>
      <c r="Z404" s="1720"/>
      <c r="AA404" s="1721"/>
      <c r="AB404" s="1706"/>
      <c r="AC404" s="1706"/>
      <c r="AD404" s="1706"/>
      <c r="AE404" s="1706"/>
      <c r="AF404" s="1706"/>
      <c r="AG404" s="1706"/>
      <c r="AH404" s="1706"/>
      <c r="AI404" s="1706"/>
    </row>
    <row r="405" spans="1:35" x14ac:dyDescent="0.2">
      <c r="A405" s="2954" t="s">
        <v>476</v>
      </c>
      <c r="B405" s="2954"/>
      <c r="C405" s="2947" t="s">
        <v>477</v>
      </c>
      <c r="D405" s="2948"/>
      <c r="E405" s="2948"/>
      <c r="F405" s="2948"/>
      <c r="G405" s="2948"/>
      <c r="H405" s="2948"/>
      <c r="I405" s="2948"/>
      <c r="J405" s="2949"/>
      <c r="K405" s="2954" t="s">
        <v>470</v>
      </c>
      <c r="L405" s="2954"/>
      <c r="M405" s="2954"/>
      <c r="N405" s="2954"/>
      <c r="O405" s="2954"/>
      <c r="P405" s="2954"/>
      <c r="Q405" s="1720"/>
      <c r="R405" s="1720"/>
      <c r="S405" s="1720"/>
      <c r="T405" s="1720"/>
      <c r="U405" s="1720"/>
      <c r="V405" s="1720"/>
      <c r="W405" s="1720"/>
      <c r="X405" s="1720"/>
      <c r="Y405" s="1720"/>
      <c r="Z405" s="1720"/>
      <c r="AA405" s="1721"/>
      <c r="AB405" s="1706"/>
      <c r="AC405" s="1706"/>
      <c r="AD405" s="1706"/>
      <c r="AE405" s="1706"/>
      <c r="AF405" s="1706"/>
      <c r="AG405" s="1706"/>
      <c r="AH405" s="1706"/>
      <c r="AI405" s="1706"/>
    </row>
    <row r="406" spans="1:35" ht="9.75" customHeight="1" x14ac:dyDescent="0.2">
      <c r="A406" s="2954"/>
      <c r="B406" s="2954"/>
      <c r="C406" s="2950"/>
      <c r="D406" s="2951"/>
      <c r="E406" s="2951"/>
      <c r="F406" s="2951"/>
      <c r="G406" s="2951"/>
      <c r="H406" s="2951"/>
      <c r="I406" s="2951"/>
      <c r="J406" s="2952"/>
      <c r="K406" s="2954"/>
      <c r="L406" s="2954"/>
      <c r="M406" s="2954"/>
      <c r="N406" s="2954"/>
      <c r="O406" s="2954"/>
      <c r="P406" s="2954"/>
      <c r="Q406" s="1720"/>
      <c r="R406" s="1720"/>
      <c r="S406" s="1720"/>
      <c r="T406" s="1720"/>
      <c r="U406" s="1720"/>
      <c r="V406" s="1720"/>
      <c r="W406" s="1720"/>
      <c r="X406" s="1720"/>
      <c r="Y406" s="1720"/>
      <c r="Z406" s="1720"/>
      <c r="AA406" s="1721"/>
      <c r="AB406" s="1706"/>
      <c r="AC406" s="1706"/>
      <c r="AD406" s="1706"/>
      <c r="AE406" s="1706"/>
      <c r="AF406" s="1706"/>
      <c r="AG406" s="1706"/>
      <c r="AH406" s="1706"/>
      <c r="AI406" s="1706"/>
    </row>
    <row r="407" spans="1:35" ht="18" customHeight="1" x14ac:dyDescent="0.2">
      <c r="A407" s="2926">
        <v>1</v>
      </c>
      <c r="B407" s="2926"/>
      <c r="C407" s="2953" t="s">
        <v>127</v>
      </c>
      <c r="D407" s="2953"/>
      <c r="E407" s="2953"/>
      <c r="F407" s="2953"/>
      <c r="G407" s="2953"/>
      <c r="H407" s="2953"/>
      <c r="I407" s="2953"/>
      <c r="J407" s="2953"/>
      <c r="K407" s="2926" t="str">
        <f>VLOOKUP($AC$2,data_eskulkes,7,FALSE)</f>
        <v>-</v>
      </c>
      <c r="L407" s="2926"/>
      <c r="M407" s="2926"/>
      <c r="N407" s="2926"/>
      <c r="O407" s="2926"/>
      <c r="P407" s="2926"/>
      <c r="Q407" s="1720"/>
      <c r="R407" s="1720"/>
      <c r="S407" s="1720"/>
      <c r="T407" s="1720"/>
      <c r="U407" s="1720"/>
      <c r="V407" s="1720"/>
      <c r="W407" s="1720"/>
      <c r="X407" s="1720"/>
      <c r="Y407" s="1720"/>
      <c r="Z407" s="1720"/>
      <c r="AA407" s="1721"/>
      <c r="AB407" s="1706"/>
      <c r="AC407" s="1706"/>
      <c r="AD407" s="1706"/>
      <c r="AE407" s="1706"/>
      <c r="AF407" s="1706"/>
      <c r="AG407" s="1706"/>
      <c r="AH407" s="1706"/>
      <c r="AI407" s="1706"/>
    </row>
    <row r="408" spans="1:35" ht="18" customHeight="1" x14ac:dyDescent="0.2">
      <c r="A408" s="2926">
        <v>2</v>
      </c>
      <c r="B408" s="2926"/>
      <c r="C408" s="2953" t="s">
        <v>128</v>
      </c>
      <c r="D408" s="2953"/>
      <c r="E408" s="2953"/>
      <c r="F408" s="2953"/>
      <c r="G408" s="2953"/>
      <c r="H408" s="2953"/>
      <c r="I408" s="2953"/>
      <c r="J408" s="2953"/>
      <c r="K408" s="2926" t="str">
        <f>VLOOKUP($AC$2,data_eskulkes,8,FALSE)</f>
        <v>-</v>
      </c>
      <c r="L408" s="2926"/>
      <c r="M408" s="2926"/>
      <c r="N408" s="2926"/>
      <c r="O408" s="2926"/>
      <c r="P408" s="2926"/>
      <c r="Q408" s="1720"/>
      <c r="R408" s="1720"/>
      <c r="S408" s="1720"/>
      <c r="T408" s="1720"/>
      <c r="U408" s="1720"/>
      <c r="V408" s="1720"/>
      <c r="W408" s="1720"/>
      <c r="X408" s="1720"/>
      <c r="Y408" s="1720"/>
      <c r="Z408" s="1720"/>
      <c r="AA408" s="1721"/>
      <c r="AB408" s="1706"/>
      <c r="AC408" s="1706"/>
      <c r="AD408" s="1706"/>
      <c r="AE408" s="1706"/>
      <c r="AF408" s="1706"/>
      <c r="AG408" s="1706"/>
      <c r="AH408" s="1706"/>
      <c r="AI408" s="1706"/>
    </row>
    <row r="409" spans="1:35" ht="18" customHeight="1" x14ac:dyDescent="0.2">
      <c r="A409" s="2926">
        <v>3</v>
      </c>
      <c r="B409" s="2926"/>
      <c r="C409" s="2953" t="s">
        <v>559</v>
      </c>
      <c r="D409" s="2953"/>
      <c r="E409" s="2953"/>
      <c r="F409" s="2953"/>
      <c r="G409" s="2953"/>
      <c r="H409" s="2953"/>
      <c r="I409" s="2953"/>
      <c r="J409" s="2953"/>
      <c r="K409" s="2926" t="str">
        <f>VLOOKUP($AC$2,data_eskulkes,9,FALSE)</f>
        <v>-</v>
      </c>
      <c r="L409" s="2926"/>
      <c r="M409" s="2926"/>
      <c r="N409" s="2926"/>
      <c r="O409" s="2926"/>
      <c r="P409" s="2926"/>
      <c r="Q409" s="1720"/>
      <c r="R409" s="1720"/>
      <c r="S409" s="1720"/>
      <c r="T409" s="1720"/>
      <c r="U409" s="1720"/>
      <c r="V409" s="1720"/>
      <c r="W409" s="1720"/>
      <c r="X409" s="1720"/>
      <c r="Y409" s="1720"/>
      <c r="Z409" s="1720"/>
      <c r="AA409" s="1721"/>
      <c r="AB409" s="1706"/>
      <c r="AC409" s="1706"/>
      <c r="AD409" s="1706"/>
      <c r="AE409" s="1706"/>
      <c r="AF409" s="1706"/>
      <c r="AG409" s="1706"/>
      <c r="AH409" s="1706"/>
      <c r="AI409" s="1706"/>
    </row>
    <row r="410" spans="1:35" ht="18" customHeight="1" x14ac:dyDescent="0.2">
      <c r="A410" s="2926">
        <v>4</v>
      </c>
      <c r="B410" s="2926"/>
      <c r="C410" s="2953" t="s">
        <v>35</v>
      </c>
      <c r="D410" s="2953"/>
      <c r="E410" s="2953"/>
      <c r="F410" s="2953"/>
      <c r="G410" s="2953"/>
      <c r="H410" s="2953"/>
      <c r="I410" s="2953"/>
      <c r="J410" s="2953"/>
      <c r="K410" s="2926" t="str">
        <f>VLOOKUP($AC$2,data_eskulkes,10,FALSE)</f>
        <v>-</v>
      </c>
      <c r="L410" s="2926"/>
      <c r="M410" s="2926"/>
      <c r="N410" s="2926"/>
      <c r="O410" s="2926"/>
      <c r="P410" s="2926"/>
      <c r="Q410" s="1720"/>
      <c r="R410" s="1720"/>
      <c r="S410" s="1720"/>
      <c r="T410" s="1720"/>
      <c r="U410" s="1720"/>
      <c r="V410" s="1720"/>
      <c r="W410" s="1720"/>
      <c r="X410" s="1720"/>
      <c r="Y410" s="1720"/>
      <c r="Z410" s="1720"/>
      <c r="AA410" s="1721"/>
      <c r="AB410" s="1706"/>
      <c r="AC410" s="1706"/>
      <c r="AD410" s="1706"/>
      <c r="AE410" s="1706"/>
      <c r="AF410" s="1706"/>
      <c r="AG410" s="1706"/>
      <c r="AH410" s="1706"/>
      <c r="AI410" s="1706"/>
    </row>
    <row r="411" spans="1:35" x14ac:dyDescent="0.2">
      <c r="A411" s="1720"/>
      <c r="B411" s="1720"/>
      <c r="C411" s="1720"/>
      <c r="D411" s="1720"/>
      <c r="E411" s="1720"/>
      <c r="F411" s="1720"/>
      <c r="G411" s="1720"/>
      <c r="H411" s="1720"/>
      <c r="I411" s="1720"/>
      <c r="J411" s="1720"/>
      <c r="K411" s="1720"/>
      <c r="L411" s="1720"/>
      <c r="M411" s="1720"/>
      <c r="N411" s="1720"/>
      <c r="O411" s="1720"/>
      <c r="P411" s="1720"/>
      <c r="Q411" s="1720"/>
      <c r="R411" s="1720"/>
      <c r="S411" s="1720"/>
      <c r="T411" s="1720"/>
      <c r="U411" s="1720"/>
      <c r="V411" s="1720"/>
      <c r="W411" s="1720"/>
      <c r="X411" s="1720"/>
      <c r="Y411" s="1720"/>
      <c r="Z411" s="1720"/>
      <c r="AA411" s="1721"/>
      <c r="AB411" s="1706"/>
      <c r="AC411" s="1706"/>
      <c r="AD411" s="1706"/>
      <c r="AE411" s="1706"/>
      <c r="AF411" s="1706"/>
      <c r="AG411" s="1706"/>
      <c r="AH411" s="1706"/>
      <c r="AI411" s="1706"/>
    </row>
    <row r="412" spans="1:35" ht="8.25" customHeight="1" x14ac:dyDescent="0.2">
      <c r="A412" s="1720"/>
      <c r="B412" s="1720"/>
      <c r="C412" s="1720"/>
      <c r="D412" s="1720"/>
      <c r="E412" s="1720"/>
      <c r="F412" s="1720"/>
      <c r="G412" s="1720"/>
      <c r="H412" s="1720"/>
      <c r="I412" s="1720"/>
      <c r="J412" s="1720"/>
      <c r="K412" s="1720"/>
      <c r="L412" s="1720"/>
      <c r="M412" s="1720"/>
      <c r="N412" s="1720"/>
      <c r="O412" s="1720"/>
      <c r="P412" s="1720"/>
      <c r="Q412" s="1720"/>
      <c r="R412" s="1720"/>
      <c r="S412" s="1720"/>
      <c r="T412" s="1720"/>
      <c r="U412" s="1720"/>
      <c r="V412" s="1720"/>
      <c r="W412" s="1720"/>
      <c r="X412" s="1720"/>
      <c r="Y412" s="1720"/>
      <c r="Z412" s="1720"/>
      <c r="AA412" s="1721"/>
      <c r="AB412" s="1706"/>
      <c r="AC412" s="1706"/>
      <c r="AD412" s="1706"/>
      <c r="AE412" s="1706"/>
      <c r="AF412" s="1706"/>
      <c r="AG412" s="1706"/>
      <c r="AH412" s="1706"/>
      <c r="AI412" s="1706"/>
    </row>
    <row r="413" spans="1:35" x14ac:dyDescent="0.2">
      <c r="A413" s="1728" t="s">
        <v>481</v>
      </c>
      <c r="B413" s="1720"/>
      <c r="C413" s="1720"/>
      <c r="D413" s="1720"/>
      <c r="E413" s="1720"/>
      <c r="F413" s="1720"/>
      <c r="G413" s="1720"/>
      <c r="H413" s="1720"/>
      <c r="I413" s="1720"/>
      <c r="J413" s="1720"/>
      <c r="K413" s="1720"/>
      <c r="L413" s="1720"/>
      <c r="M413" s="1720"/>
      <c r="N413" s="1720"/>
      <c r="O413" s="1720"/>
      <c r="P413" s="1720"/>
      <c r="Q413" s="1720"/>
      <c r="R413" s="1720"/>
      <c r="S413" s="1720"/>
      <c r="T413" s="1720"/>
      <c r="U413" s="1720"/>
      <c r="V413" s="1720"/>
      <c r="W413" s="1720"/>
      <c r="X413" s="1720"/>
      <c r="Y413" s="1720"/>
      <c r="Z413" s="1720"/>
      <c r="AA413" s="1721"/>
      <c r="AB413" s="1706"/>
      <c r="AC413" s="1706"/>
      <c r="AD413" s="1706"/>
      <c r="AE413" s="1706"/>
      <c r="AF413" s="1706"/>
      <c r="AG413" s="1706"/>
      <c r="AH413" s="1706"/>
      <c r="AI413" s="1706"/>
    </row>
    <row r="414" spans="1:35" x14ac:dyDescent="0.2">
      <c r="A414" s="1720"/>
      <c r="B414" s="1720"/>
      <c r="C414" s="1720"/>
      <c r="D414" s="1720"/>
      <c r="E414" s="1720"/>
      <c r="F414" s="1720"/>
      <c r="G414" s="1720"/>
      <c r="H414" s="1720"/>
      <c r="I414" s="1720"/>
      <c r="J414" s="1720"/>
      <c r="K414" s="1720"/>
      <c r="L414" s="1720"/>
      <c r="M414" s="1720"/>
      <c r="N414" s="1720"/>
      <c r="O414" s="1720"/>
      <c r="P414" s="1720"/>
      <c r="Q414" s="1720"/>
      <c r="R414" s="1720"/>
      <c r="S414" s="1720"/>
      <c r="T414" s="1720"/>
      <c r="U414" s="1720"/>
      <c r="V414" s="1720"/>
      <c r="W414" s="1720"/>
      <c r="X414" s="1720"/>
      <c r="Y414" s="1720"/>
      <c r="Z414" s="1720"/>
      <c r="AA414" s="1721"/>
      <c r="AB414" s="1706"/>
      <c r="AC414" s="1706"/>
      <c r="AD414" s="1706"/>
      <c r="AE414" s="1706"/>
      <c r="AF414" s="1706"/>
      <c r="AG414" s="1706"/>
      <c r="AH414" s="1706"/>
      <c r="AI414" s="1706"/>
    </row>
    <row r="415" spans="1:35" ht="15" customHeight="1" x14ac:dyDescent="0.2">
      <c r="A415" s="2954" t="s">
        <v>476</v>
      </c>
      <c r="B415" s="2954"/>
      <c r="C415" s="2954" t="s">
        <v>482</v>
      </c>
      <c r="D415" s="2954"/>
      <c r="E415" s="2954"/>
      <c r="F415" s="2954"/>
      <c r="G415" s="2954"/>
      <c r="H415" s="2954"/>
      <c r="I415" s="2954"/>
      <c r="J415" s="2954"/>
      <c r="K415" s="2954"/>
      <c r="L415" s="2947" t="s">
        <v>470</v>
      </c>
      <c r="M415" s="2948"/>
      <c r="N415" s="2948"/>
      <c r="O415" s="2948"/>
      <c r="P415" s="2948"/>
      <c r="Q415" s="2948"/>
      <c r="R415" s="2948"/>
      <c r="S415" s="2948"/>
      <c r="T415" s="2948"/>
      <c r="U415" s="2948"/>
      <c r="V415" s="2948"/>
      <c r="W415" s="2948"/>
      <c r="X415" s="2949"/>
      <c r="Y415" s="1720"/>
      <c r="Z415" s="1720"/>
      <c r="AA415" s="1721"/>
      <c r="AB415" s="1706"/>
      <c r="AC415" s="1706"/>
      <c r="AD415" s="1706"/>
      <c r="AE415" s="1706"/>
      <c r="AF415" s="1706"/>
      <c r="AG415" s="1706"/>
      <c r="AH415" s="1706"/>
      <c r="AI415" s="1706"/>
    </row>
    <row r="416" spans="1:35" ht="9" customHeight="1" x14ac:dyDescent="0.2">
      <c r="A416" s="2954"/>
      <c r="B416" s="2954"/>
      <c r="C416" s="2954"/>
      <c r="D416" s="2954"/>
      <c r="E416" s="2954"/>
      <c r="F416" s="2954"/>
      <c r="G416" s="2954"/>
      <c r="H416" s="2954"/>
      <c r="I416" s="2954"/>
      <c r="J416" s="2954"/>
      <c r="K416" s="2954"/>
      <c r="L416" s="2950"/>
      <c r="M416" s="2951"/>
      <c r="N416" s="2951"/>
      <c r="O416" s="2951"/>
      <c r="P416" s="2951"/>
      <c r="Q416" s="2951"/>
      <c r="R416" s="2951"/>
      <c r="S416" s="2951"/>
      <c r="T416" s="2951"/>
      <c r="U416" s="2951"/>
      <c r="V416" s="2951"/>
      <c r="W416" s="2951"/>
      <c r="X416" s="2952"/>
      <c r="Y416" s="1720"/>
      <c r="Z416" s="1720"/>
      <c r="AA416" s="1721"/>
      <c r="AB416" s="1706"/>
      <c r="AC416" s="1706"/>
      <c r="AD416" s="1706"/>
      <c r="AE416" s="1706"/>
      <c r="AF416" s="1706"/>
      <c r="AG416" s="1706"/>
      <c r="AH416" s="1706"/>
      <c r="AI416" s="1706"/>
    </row>
    <row r="417" spans="1:37" ht="18" customHeight="1" x14ac:dyDescent="0.2">
      <c r="A417" s="2926">
        <v>1</v>
      </c>
      <c r="B417" s="2926"/>
      <c r="C417" s="2953" t="str">
        <f>prestasi!C5</f>
        <v xml:space="preserve">Renang </v>
      </c>
      <c r="D417" s="2953"/>
      <c r="E417" s="2953"/>
      <c r="F417" s="2953"/>
      <c r="G417" s="2953"/>
      <c r="H417" s="2953"/>
      <c r="I417" s="2953"/>
      <c r="J417" s="2953"/>
      <c r="K417" s="2953"/>
      <c r="L417" s="2990">
        <f>VLOOKUP($AC$2,PRESTASI_SISWA,3,FALSE)</f>
        <v>0</v>
      </c>
      <c r="M417" s="2991"/>
      <c r="N417" s="2991"/>
      <c r="O417" s="2991"/>
      <c r="P417" s="2991"/>
      <c r="Q417" s="2991"/>
      <c r="R417" s="2991"/>
      <c r="S417" s="2991"/>
      <c r="T417" s="2991"/>
      <c r="U417" s="2991"/>
      <c r="V417" s="2991"/>
      <c r="W417" s="2991"/>
      <c r="X417" s="2992"/>
      <c r="Y417" s="1720"/>
      <c r="Z417" s="1720"/>
      <c r="AA417" s="1721"/>
      <c r="AB417" s="1706"/>
      <c r="AC417" s="1706"/>
      <c r="AD417" s="1706"/>
      <c r="AE417" s="1706"/>
      <c r="AF417" s="1706"/>
      <c r="AG417" s="1706"/>
      <c r="AH417" s="1706"/>
      <c r="AI417" s="1706"/>
    </row>
    <row r="418" spans="1:37" ht="18" customHeight="1" x14ac:dyDescent="0.2">
      <c r="A418" s="2926">
        <v>2</v>
      </c>
      <c r="B418" s="2926"/>
      <c r="C418" s="2953" t="str">
        <f>prestasi!D5</f>
        <v>Karate</v>
      </c>
      <c r="D418" s="2953"/>
      <c r="E418" s="2953"/>
      <c r="F418" s="2953"/>
      <c r="G418" s="2953"/>
      <c r="H418" s="2953"/>
      <c r="I418" s="2953"/>
      <c r="J418" s="2953"/>
      <c r="K418" s="2953"/>
      <c r="L418" s="2990">
        <f>VLOOKUP($AC$2,PRESTASI_SISWA,4,FALSE)</f>
        <v>0</v>
      </c>
      <c r="M418" s="2991"/>
      <c r="N418" s="2991"/>
      <c r="O418" s="2991"/>
      <c r="P418" s="2991"/>
      <c r="Q418" s="2991"/>
      <c r="R418" s="2991"/>
      <c r="S418" s="2991"/>
      <c r="T418" s="2991"/>
      <c r="U418" s="2991"/>
      <c r="V418" s="2991"/>
      <c r="W418" s="2991"/>
      <c r="X418" s="2992"/>
      <c r="Y418" s="1720"/>
      <c r="Z418" s="1720"/>
      <c r="AA418" s="1721"/>
      <c r="AB418" s="1706"/>
      <c r="AC418" s="1706"/>
      <c r="AD418" s="1706"/>
      <c r="AE418" s="1706"/>
      <c r="AF418" s="1706"/>
      <c r="AG418" s="1706"/>
      <c r="AH418" s="1706"/>
      <c r="AI418" s="1706"/>
    </row>
    <row r="419" spans="1:37" ht="18" customHeight="1" x14ac:dyDescent="0.2">
      <c r="A419" s="2926">
        <v>3</v>
      </c>
      <c r="B419" s="2926"/>
      <c r="C419" s="2953" t="str">
        <f>prestasi!E5</f>
        <v>Atletik</v>
      </c>
      <c r="D419" s="2953"/>
      <c r="E419" s="2953"/>
      <c r="F419" s="2953"/>
      <c r="G419" s="2953"/>
      <c r="H419" s="2953"/>
      <c r="I419" s="2953"/>
      <c r="J419" s="2953"/>
      <c r="K419" s="2953"/>
      <c r="L419" s="2990">
        <f>VLOOKUP($AC$2,PRESTASI_SISWA,5,FALSE)</f>
        <v>0</v>
      </c>
      <c r="M419" s="2991"/>
      <c r="N419" s="2991"/>
      <c r="O419" s="2991"/>
      <c r="P419" s="2991"/>
      <c r="Q419" s="2991"/>
      <c r="R419" s="2991"/>
      <c r="S419" s="2991"/>
      <c r="T419" s="2991"/>
      <c r="U419" s="2991"/>
      <c r="V419" s="2991"/>
      <c r="W419" s="2991"/>
      <c r="X419" s="2992"/>
      <c r="Y419" s="1720"/>
      <c r="Z419" s="1720"/>
      <c r="AA419" s="1721"/>
      <c r="AB419" s="1706"/>
      <c r="AC419" s="1706"/>
      <c r="AD419" s="1706"/>
      <c r="AE419" s="1706"/>
      <c r="AF419" s="1706"/>
      <c r="AG419" s="1706"/>
      <c r="AH419" s="1706"/>
      <c r="AI419" s="1706"/>
    </row>
    <row r="420" spans="1:37" ht="18" customHeight="1" x14ac:dyDescent="0.2">
      <c r="A420" s="2926">
        <v>4</v>
      </c>
      <c r="B420" s="2926"/>
      <c r="C420" s="2953" t="str">
        <f>prestasi!F5</f>
        <v>Catur</v>
      </c>
      <c r="D420" s="2953"/>
      <c r="E420" s="2953"/>
      <c r="F420" s="2953"/>
      <c r="G420" s="2953"/>
      <c r="H420" s="2953"/>
      <c r="I420" s="2953"/>
      <c r="J420" s="2953"/>
      <c r="K420" s="2953"/>
      <c r="L420" s="2990">
        <f>VLOOKUP($AC$2,PRESTASI_SISWA,6,FALSE)</f>
        <v>0</v>
      </c>
      <c r="M420" s="2991"/>
      <c r="N420" s="2991"/>
      <c r="O420" s="2991"/>
      <c r="P420" s="2991"/>
      <c r="Q420" s="2991"/>
      <c r="R420" s="2991"/>
      <c r="S420" s="2991"/>
      <c r="T420" s="2991"/>
      <c r="U420" s="2991"/>
      <c r="V420" s="2991"/>
      <c r="W420" s="2991"/>
      <c r="X420" s="2992"/>
      <c r="Y420" s="1720"/>
      <c r="Z420" s="1720"/>
      <c r="AA420" s="1721"/>
      <c r="AB420" s="1706"/>
      <c r="AC420" s="1706"/>
      <c r="AD420" s="1706"/>
      <c r="AE420" s="1706"/>
      <c r="AF420" s="1706"/>
      <c r="AG420" s="1706"/>
      <c r="AH420" s="1706"/>
      <c r="AI420" s="1706"/>
    </row>
    <row r="421" spans="1:37" x14ac:dyDescent="0.2">
      <c r="A421" s="1720"/>
      <c r="B421" s="1720"/>
      <c r="C421" s="1720"/>
      <c r="D421" s="1720"/>
      <c r="E421" s="1720"/>
      <c r="F421" s="1720"/>
      <c r="G421" s="1720"/>
      <c r="H421" s="1720"/>
      <c r="I421" s="1720"/>
      <c r="J421" s="1720"/>
      <c r="K421" s="1720"/>
      <c r="L421" s="1720"/>
      <c r="M421" s="1720"/>
      <c r="N421" s="1720"/>
      <c r="O421" s="1720"/>
      <c r="P421" s="1720"/>
      <c r="Q421" s="1720"/>
      <c r="R421" s="1720"/>
      <c r="S421" s="1720"/>
      <c r="T421" s="1720"/>
      <c r="U421" s="1720"/>
      <c r="V421" s="1720"/>
      <c r="W421" s="1720"/>
      <c r="X421" s="1720"/>
      <c r="Y421" s="1720"/>
      <c r="Z421" s="1720"/>
      <c r="AA421" s="1721"/>
      <c r="AB421" s="1706"/>
      <c r="AC421" s="1706"/>
      <c r="AD421" s="1706"/>
      <c r="AE421" s="1706"/>
      <c r="AF421" s="1706"/>
      <c r="AG421" s="1706"/>
      <c r="AH421" s="1706"/>
      <c r="AI421" s="1706"/>
    </row>
    <row r="422" spans="1:37" x14ac:dyDescent="0.2">
      <c r="A422" s="1720"/>
      <c r="B422" s="1720"/>
      <c r="C422" s="1720"/>
      <c r="D422" s="1720"/>
      <c r="E422" s="1720"/>
      <c r="F422" s="1720"/>
      <c r="G422" s="1720"/>
      <c r="H422" s="1720"/>
      <c r="I422" s="1720"/>
      <c r="J422" s="1720"/>
      <c r="K422" s="1720"/>
      <c r="L422" s="1720"/>
      <c r="M422" s="1720"/>
      <c r="N422" s="1720"/>
      <c r="O422" s="1720"/>
      <c r="P422" s="1720"/>
      <c r="Q422" s="1720"/>
      <c r="R422" s="1720"/>
      <c r="S422" s="1720"/>
      <c r="T422" s="1720"/>
      <c r="U422" s="1720"/>
      <c r="V422" s="1720"/>
      <c r="W422" s="1720"/>
      <c r="X422" s="1720"/>
      <c r="Y422" s="1720"/>
      <c r="Z422" s="1720"/>
      <c r="AA422" s="1721"/>
      <c r="AB422" s="1706"/>
      <c r="AC422" s="1706"/>
      <c r="AD422" s="1706"/>
      <c r="AE422" s="1706"/>
      <c r="AF422" s="1706"/>
      <c r="AG422" s="1706"/>
      <c r="AH422" s="1706"/>
      <c r="AI422" s="1706"/>
    </row>
    <row r="423" spans="1:37" x14ac:dyDescent="0.2">
      <c r="A423" s="1720"/>
      <c r="B423" s="1720"/>
      <c r="C423" s="1720"/>
      <c r="D423" s="1720"/>
      <c r="E423" s="1720"/>
      <c r="F423" s="1720"/>
      <c r="G423" s="1720"/>
      <c r="H423" s="1720"/>
      <c r="I423" s="1720"/>
      <c r="J423" s="1720"/>
      <c r="K423" s="1720"/>
      <c r="L423" s="1720"/>
      <c r="M423" s="1720"/>
      <c r="N423" s="1720"/>
      <c r="O423" s="1720"/>
      <c r="P423" s="1720"/>
      <c r="Q423" s="1720"/>
      <c r="R423" s="1720"/>
      <c r="S423" s="1720"/>
      <c r="T423" s="1720"/>
      <c r="U423" s="1720"/>
      <c r="V423" s="1720"/>
      <c r="W423" s="1720"/>
      <c r="X423" s="1720"/>
      <c r="Y423" s="1720"/>
      <c r="Z423" s="1720"/>
      <c r="AA423" s="1721"/>
      <c r="AB423" s="1706"/>
      <c r="AC423" s="1706"/>
      <c r="AD423" s="1706"/>
      <c r="AE423" s="1706"/>
      <c r="AF423" s="1706"/>
      <c r="AG423" s="1706"/>
      <c r="AH423" s="1706"/>
      <c r="AI423" s="1706"/>
    </row>
    <row r="424" spans="1:37" ht="14.25" customHeight="1" x14ac:dyDescent="0.2">
      <c r="A424" s="1720"/>
      <c r="B424" s="1720"/>
      <c r="C424" s="1720"/>
      <c r="D424" s="1720"/>
      <c r="E424" s="1720"/>
      <c r="F424" s="1720"/>
      <c r="G424" s="1720"/>
      <c r="H424" s="1720"/>
      <c r="I424" s="1720"/>
      <c r="J424" s="1720"/>
      <c r="K424" s="1720"/>
      <c r="L424" s="1720"/>
      <c r="M424" s="1720"/>
      <c r="N424" s="1720"/>
      <c r="O424" s="1720"/>
      <c r="P424" s="1720"/>
      <c r="Q424" s="1720"/>
      <c r="R424" s="1720"/>
      <c r="S424" s="1720"/>
      <c r="T424" s="1720"/>
      <c r="U424" s="1720"/>
      <c r="V424" s="1720"/>
      <c r="W424" s="1720"/>
      <c r="X424" s="1720"/>
      <c r="Y424" s="1720"/>
      <c r="Z424" s="1720"/>
      <c r="AA424" s="1721"/>
      <c r="AB424" s="2989" t="s">
        <v>257</v>
      </c>
      <c r="AC424" s="2989"/>
      <c r="AD424" s="2989"/>
      <c r="AE424" s="2989"/>
      <c r="AF424" s="2989"/>
      <c r="AG424" s="2989"/>
      <c r="AH424" s="2989"/>
      <c r="AI424" s="2989"/>
      <c r="AJ424" s="2989"/>
      <c r="AK424" s="2989"/>
    </row>
    <row r="425" spans="1:37" ht="14.25" customHeight="1" x14ac:dyDescent="0.2">
      <c r="A425" s="1720"/>
      <c r="B425" s="1720"/>
      <c r="C425" s="1720"/>
      <c r="D425" s="1720"/>
      <c r="E425" s="1720"/>
      <c r="F425" s="1720"/>
      <c r="G425" s="1720"/>
      <c r="H425" s="1720"/>
      <c r="I425" s="1720"/>
      <c r="J425" s="1720"/>
      <c r="K425" s="1720"/>
      <c r="L425" s="1720"/>
      <c r="M425" s="1720"/>
      <c r="N425" s="1720"/>
      <c r="O425" s="1720"/>
      <c r="P425" s="1720"/>
      <c r="Q425" s="1720"/>
      <c r="R425" s="1720"/>
      <c r="S425" s="1720"/>
      <c r="T425" s="1720"/>
      <c r="U425" s="1720"/>
      <c r="V425" s="1720"/>
      <c r="W425" s="1720"/>
      <c r="X425" s="1720"/>
      <c r="Y425" s="1720"/>
      <c r="Z425" s="1720"/>
      <c r="AA425" s="1721"/>
      <c r="AB425" s="2989"/>
      <c r="AC425" s="2989"/>
      <c r="AD425" s="2989"/>
      <c r="AE425" s="2989"/>
      <c r="AF425" s="2989"/>
      <c r="AG425" s="2989"/>
      <c r="AH425" s="2989"/>
      <c r="AI425" s="2989"/>
      <c r="AJ425" s="2989"/>
      <c r="AK425" s="2989"/>
    </row>
    <row r="426" spans="1:37" x14ac:dyDescent="0.2">
      <c r="A426" s="1720"/>
      <c r="B426" s="1720"/>
      <c r="C426" s="1720"/>
      <c r="D426" s="1720"/>
      <c r="E426" s="1720"/>
      <c r="F426" s="1720"/>
      <c r="G426" s="1720"/>
      <c r="H426" s="1720"/>
      <c r="I426" s="1720"/>
      <c r="J426" s="1720"/>
      <c r="K426" s="1720"/>
      <c r="L426" s="1720"/>
      <c r="M426" s="1720"/>
      <c r="N426" s="1720"/>
      <c r="O426" s="1720"/>
      <c r="P426" s="1720"/>
      <c r="Q426" s="1720"/>
      <c r="R426" s="1720"/>
      <c r="S426" s="1720"/>
      <c r="T426" s="1720"/>
      <c r="U426" s="1720"/>
      <c r="V426" s="1720"/>
      <c r="W426" s="1720"/>
      <c r="X426" s="1720"/>
      <c r="Y426" s="1720"/>
      <c r="Z426" s="1720"/>
      <c r="AA426" s="1721"/>
      <c r="AB426" s="2989"/>
      <c r="AC426" s="2989"/>
      <c r="AD426" s="2989"/>
      <c r="AE426" s="2989"/>
      <c r="AF426" s="2989"/>
      <c r="AG426" s="2989"/>
      <c r="AH426" s="2989"/>
      <c r="AI426" s="2989"/>
      <c r="AJ426" s="2989"/>
      <c r="AK426" s="2989"/>
    </row>
    <row r="427" spans="1:37" ht="15" x14ac:dyDescent="0.2">
      <c r="A427" s="1720"/>
      <c r="B427" s="1720"/>
      <c r="C427" s="1720"/>
      <c r="D427" s="1720"/>
      <c r="E427" s="1720"/>
      <c r="F427" s="1720"/>
      <c r="G427" s="1720"/>
      <c r="H427" s="1720"/>
      <c r="I427" s="1720"/>
      <c r="J427" s="1720"/>
      <c r="K427" s="1720"/>
      <c r="L427" s="1720"/>
      <c r="M427" s="1720"/>
      <c r="N427" s="1720"/>
      <c r="O427" s="1720"/>
      <c r="P427" s="1720"/>
      <c r="Q427" s="1720"/>
      <c r="R427" s="1720"/>
      <c r="S427" s="1720"/>
      <c r="T427" s="1720"/>
      <c r="U427" s="1720"/>
      <c r="V427" s="1720"/>
      <c r="W427" s="1720"/>
      <c r="X427" s="1720"/>
      <c r="Y427" s="1720"/>
      <c r="Z427" s="1720"/>
      <c r="AA427" s="1721"/>
      <c r="AB427" s="1714"/>
      <c r="AC427" s="1714"/>
      <c r="AD427" s="1714"/>
      <c r="AE427" s="1714"/>
      <c r="AF427" s="1714"/>
      <c r="AG427" s="1714"/>
      <c r="AH427" s="1714"/>
      <c r="AI427" s="1714"/>
      <c r="AJ427" s="1714"/>
      <c r="AK427" s="1714"/>
    </row>
    <row r="428" spans="1:37" x14ac:dyDescent="0.2">
      <c r="A428" s="1768" t="s">
        <v>717</v>
      </c>
      <c r="B428" s="1720"/>
      <c r="C428" s="1720"/>
      <c r="D428" s="1720"/>
      <c r="E428" s="1720"/>
      <c r="F428" s="1720"/>
      <c r="G428" s="1720"/>
      <c r="H428" s="1720"/>
      <c r="I428" s="1720"/>
      <c r="J428" s="1720"/>
      <c r="K428" s="1720"/>
      <c r="L428" s="1720"/>
      <c r="M428" s="1720"/>
      <c r="N428" s="1720"/>
      <c r="O428" s="1720"/>
      <c r="P428" s="1720"/>
      <c r="Q428" s="1720"/>
      <c r="R428" s="1720"/>
      <c r="S428" s="1720"/>
      <c r="T428" s="1720"/>
      <c r="U428" s="1720"/>
      <c r="V428" s="1720"/>
      <c r="W428" s="1720"/>
      <c r="X428" s="1720"/>
      <c r="Y428" s="1720"/>
      <c r="Z428" s="1720"/>
      <c r="AA428" s="1721"/>
      <c r="AB428" s="2981">
        <f>AB376</f>
        <v>6</v>
      </c>
      <c r="AC428" s="2983" t="str">
        <f>AC376</f>
        <v>Asyam Hanif Ihsan H</v>
      </c>
      <c r="AD428" s="2984"/>
      <c r="AE428" s="2984"/>
      <c r="AF428" s="2985"/>
      <c r="AG428" s="1706"/>
      <c r="AH428" s="1706"/>
      <c r="AI428" s="1706"/>
    </row>
    <row r="429" spans="1:37" x14ac:dyDescent="0.2">
      <c r="A429" s="1720"/>
      <c r="B429" s="1720"/>
      <c r="C429" s="1720"/>
      <c r="D429" s="1720"/>
      <c r="E429" s="1720"/>
      <c r="F429" s="1720"/>
      <c r="G429" s="1720"/>
      <c r="H429" s="1720"/>
      <c r="I429" s="1720"/>
      <c r="J429" s="1720"/>
      <c r="K429" s="1720"/>
      <c r="L429" s="1720"/>
      <c r="M429" s="1720"/>
      <c r="N429" s="1720"/>
      <c r="O429" s="1720"/>
      <c r="P429" s="1720"/>
      <c r="Q429" s="1720"/>
      <c r="R429" s="1720"/>
      <c r="S429" s="1720"/>
      <c r="T429" s="1720"/>
      <c r="U429" s="1720"/>
      <c r="V429" s="1720"/>
      <c r="W429" s="1720"/>
      <c r="X429" s="1720"/>
      <c r="Y429" s="1720"/>
      <c r="Z429" s="1720"/>
      <c r="AA429" s="1721"/>
      <c r="AB429" s="2982"/>
      <c r="AC429" s="2986"/>
      <c r="AD429" s="2987"/>
      <c r="AE429" s="2987"/>
      <c r="AF429" s="2988"/>
      <c r="AG429" s="1706"/>
      <c r="AH429" s="1706"/>
      <c r="AI429" s="1706"/>
    </row>
    <row r="430" spans="1:37" x14ac:dyDescent="0.2">
      <c r="A430" s="2954" t="s">
        <v>476</v>
      </c>
      <c r="B430" s="2954"/>
      <c r="C430" s="2954" t="s">
        <v>482</v>
      </c>
      <c r="D430" s="2954"/>
      <c r="E430" s="2954"/>
      <c r="F430" s="2954"/>
      <c r="G430" s="2954"/>
      <c r="H430" s="2954"/>
      <c r="I430" s="2954"/>
      <c r="J430" s="2954"/>
      <c r="K430" s="2954"/>
      <c r="L430" s="2947" t="s">
        <v>470</v>
      </c>
      <c r="M430" s="2948"/>
      <c r="N430" s="2948"/>
      <c r="O430" s="2948"/>
      <c r="P430" s="2948"/>
      <c r="Q430" s="2948"/>
      <c r="R430" s="2948"/>
      <c r="S430" s="2948"/>
      <c r="T430" s="2948"/>
      <c r="U430" s="2948"/>
      <c r="V430" s="2948"/>
      <c r="W430" s="2948"/>
      <c r="X430" s="2949"/>
      <c r="Y430" s="1720"/>
      <c r="Z430" s="1720"/>
      <c r="AA430" s="1721"/>
      <c r="AB430" s="2956" t="s">
        <v>505</v>
      </c>
      <c r="AC430" s="2957"/>
      <c r="AD430" s="2957"/>
      <c r="AE430" s="2957"/>
      <c r="AF430" s="2958"/>
      <c r="AG430" s="1706"/>
      <c r="AH430" s="1706"/>
      <c r="AI430" s="1706"/>
    </row>
    <row r="431" spans="1:37" ht="8.25" customHeight="1" x14ac:dyDescent="0.2">
      <c r="A431" s="2954"/>
      <c r="B431" s="2954"/>
      <c r="C431" s="2954"/>
      <c r="D431" s="2954"/>
      <c r="E431" s="2954"/>
      <c r="F431" s="2954"/>
      <c r="G431" s="2954"/>
      <c r="H431" s="2954"/>
      <c r="I431" s="2954"/>
      <c r="J431" s="2954"/>
      <c r="K431" s="2954"/>
      <c r="L431" s="2950"/>
      <c r="M431" s="2951"/>
      <c r="N431" s="2951"/>
      <c r="O431" s="2951"/>
      <c r="P431" s="2951"/>
      <c r="Q431" s="2951"/>
      <c r="R431" s="2951"/>
      <c r="S431" s="2951"/>
      <c r="T431" s="2951"/>
      <c r="U431" s="2951"/>
      <c r="V431" s="2951"/>
      <c r="W431" s="2951"/>
      <c r="X431" s="2952"/>
      <c r="Y431" s="1720"/>
      <c r="Z431" s="1720"/>
      <c r="AA431" s="1721"/>
      <c r="AB431" s="2959"/>
      <c r="AC431" s="2960"/>
      <c r="AD431" s="2960"/>
      <c r="AE431" s="2960"/>
      <c r="AF431" s="2961"/>
      <c r="AG431" s="1706"/>
      <c r="AH431" s="1706"/>
      <c r="AI431" s="1706"/>
    </row>
    <row r="432" spans="1:37" ht="20.100000000000001" customHeight="1" x14ac:dyDescent="0.2">
      <c r="A432" s="2926">
        <v>1</v>
      </c>
      <c r="B432" s="2926"/>
      <c r="C432" s="2953" t="s">
        <v>492</v>
      </c>
      <c r="D432" s="2953"/>
      <c r="E432" s="2953"/>
      <c r="F432" s="2953"/>
      <c r="G432" s="2953"/>
      <c r="H432" s="2953"/>
      <c r="I432" s="2953"/>
      <c r="J432" s="2953"/>
      <c r="K432" s="2953"/>
      <c r="L432" s="2996" t="str">
        <f>VLOOKUP($AC$2,data_eskulkes,11,FALSE)&amp;" Hari  "</f>
        <v xml:space="preserve">- Hari  </v>
      </c>
      <c r="M432" s="2997"/>
      <c r="N432" s="2997"/>
      <c r="O432" s="2997"/>
      <c r="P432" s="2997"/>
      <c r="Q432" s="2997"/>
      <c r="R432" s="2997"/>
      <c r="S432" s="2997"/>
      <c r="T432" s="2997"/>
      <c r="U432" s="2997"/>
      <c r="V432" s="2997"/>
      <c r="W432" s="2997"/>
      <c r="X432" s="2998"/>
      <c r="Y432" s="1720"/>
      <c r="Z432" s="1720"/>
      <c r="AA432" s="1721"/>
      <c r="AB432" s="1706"/>
      <c r="AC432" s="1706"/>
      <c r="AD432" s="1706"/>
      <c r="AE432" s="1706"/>
      <c r="AF432" s="1706"/>
      <c r="AG432" s="1706"/>
      <c r="AH432" s="1706"/>
      <c r="AI432" s="1706"/>
    </row>
    <row r="433" spans="1:35" ht="20.100000000000001" customHeight="1" x14ac:dyDescent="0.2">
      <c r="A433" s="2926">
        <v>2</v>
      </c>
      <c r="B433" s="2926"/>
      <c r="C433" s="2953" t="s">
        <v>493</v>
      </c>
      <c r="D433" s="2953"/>
      <c r="E433" s="2953"/>
      <c r="F433" s="2953"/>
      <c r="G433" s="2953"/>
      <c r="H433" s="2953"/>
      <c r="I433" s="2953"/>
      <c r="J433" s="2953"/>
      <c r="K433" s="2953"/>
      <c r="L433" s="2996" t="str">
        <f>VLOOKUP($AC$2,data_eskulkes,12,FALSE)&amp;" Hari "</f>
        <v xml:space="preserve">- Hari </v>
      </c>
      <c r="M433" s="2997"/>
      <c r="N433" s="2997"/>
      <c r="O433" s="2997"/>
      <c r="P433" s="2997"/>
      <c r="Q433" s="2997"/>
      <c r="R433" s="2997"/>
      <c r="S433" s="2997"/>
      <c r="T433" s="2997"/>
      <c r="U433" s="2997"/>
      <c r="V433" s="2997"/>
      <c r="W433" s="2997"/>
      <c r="X433" s="2998"/>
      <c r="Y433" s="1720"/>
      <c r="Z433" s="1720"/>
      <c r="AA433" s="1721"/>
      <c r="AB433" s="1706"/>
      <c r="AC433" s="1706"/>
      <c r="AD433" s="1706"/>
      <c r="AE433" s="1706"/>
      <c r="AF433" s="1706"/>
      <c r="AG433" s="1706"/>
      <c r="AH433" s="1706"/>
      <c r="AI433" s="1706"/>
    </row>
    <row r="434" spans="1:35" ht="20.100000000000001" customHeight="1" x14ac:dyDescent="0.2">
      <c r="A434" s="2926">
        <v>3</v>
      </c>
      <c r="B434" s="2926"/>
      <c r="C434" s="2953" t="s">
        <v>494</v>
      </c>
      <c r="D434" s="2953"/>
      <c r="E434" s="2953"/>
      <c r="F434" s="2953"/>
      <c r="G434" s="2953"/>
      <c r="H434" s="2953"/>
      <c r="I434" s="2953"/>
      <c r="J434" s="2953"/>
      <c r="K434" s="2953"/>
      <c r="L434" s="2996" t="str">
        <f>VLOOKUP($AC$2,data_eskulkes,13,FALSE)&amp;" Hari "</f>
        <v xml:space="preserve">- Hari </v>
      </c>
      <c r="M434" s="2997"/>
      <c r="N434" s="2997"/>
      <c r="O434" s="2997"/>
      <c r="P434" s="2997"/>
      <c r="Q434" s="2997"/>
      <c r="R434" s="2997"/>
      <c r="S434" s="2997"/>
      <c r="T434" s="2997"/>
      <c r="U434" s="2997"/>
      <c r="V434" s="2997"/>
      <c r="W434" s="2997"/>
      <c r="X434" s="2998"/>
      <c r="Y434" s="1720"/>
      <c r="Z434" s="1720"/>
      <c r="AA434" s="1721"/>
      <c r="AB434" s="1706"/>
      <c r="AC434" s="1706"/>
      <c r="AD434" s="1706"/>
      <c r="AE434" s="1706"/>
      <c r="AF434" s="1706"/>
      <c r="AG434" s="1706"/>
      <c r="AH434" s="1706"/>
      <c r="AI434" s="1706"/>
    </row>
    <row r="435" spans="1:35" x14ac:dyDescent="0.2">
      <c r="A435" s="1720"/>
      <c r="B435" s="1720"/>
      <c r="C435" s="1720"/>
      <c r="D435" s="1720"/>
      <c r="E435" s="1720"/>
      <c r="F435" s="1720"/>
      <c r="G435" s="1720"/>
      <c r="H435" s="1720"/>
      <c r="I435" s="1720"/>
      <c r="J435" s="1720"/>
      <c r="K435" s="1720"/>
      <c r="L435" s="1720"/>
      <c r="M435" s="1720"/>
      <c r="N435" s="1720"/>
      <c r="O435" s="1720"/>
      <c r="P435" s="1720"/>
      <c r="Q435" s="1720"/>
      <c r="R435" s="1720"/>
      <c r="S435" s="1720"/>
      <c r="T435" s="1720"/>
      <c r="U435" s="1720"/>
      <c r="V435" s="1720"/>
      <c r="W435" s="1720"/>
      <c r="X435" s="1720"/>
      <c r="Y435" s="1720"/>
      <c r="Z435" s="1720"/>
      <c r="AA435" s="1721"/>
      <c r="AB435" s="1706"/>
      <c r="AC435" s="1706"/>
      <c r="AD435" s="1706"/>
      <c r="AE435" s="1706"/>
      <c r="AF435" s="1706"/>
      <c r="AG435" s="1706"/>
      <c r="AH435" s="1706"/>
      <c r="AI435" s="1706"/>
    </row>
    <row r="436" spans="1:35" x14ac:dyDescent="0.2">
      <c r="A436" s="1720"/>
      <c r="B436" s="1720"/>
      <c r="C436" s="1720"/>
      <c r="D436" s="1720"/>
      <c r="E436" s="1720"/>
      <c r="F436" s="1720"/>
      <c r="G436" s="1720"/>
      <c r="H436" s="1720"/>
      <c r="I436" s="1720"/>
      <c r="J436" s="1720"/>
      <c r="K436" s="1720"/>
      <c r="L436" s="1720"/>
      <c r="M436" s="1720"/>
      <c r="N436" s="1720"/>
      <c r="O436" s="1720"/>
      <c r="P436" s="1720"/>
      <c r="Q436" s="1720"/>
      <c r="R436" s="1720"/>
      <c r="S436" s="1720"/>
      <c r="T436" s="1720"/>
      <c r="U436" s="1720"/>
      <c r="V436" s="1720"/>
      <c r="W436" s="1720"/>
      <c r="X436" s="1720"/>
      <c r="Y436" s="1720"/>
      <c r="Z436" s="1720"/>
      <c r="AA436" s="1721"/>
      <c r="AB436" s="1706"/>
      <c r="AC436" s="1706"/>
      <c r="AD436" s="1706"/>
      <c r="AE436" s="1706"/>
      <c r="AF436" s="1706"/>
      <c r="AG436" s="1706"/>
      <c r="AH436" s="1706"/>
      <c r="AI436" s="1706"/>
    </row>
    <row r="437" spans="1:35" x14ac:dyDescent="0.2">
      <c r="A437" s="1769"/>
      <c r="B437" s="1745"/>
      <c r="C437" s="1745"/>
      <c r="D437" s="1745"/>
      <c r="E437" s="1745"/>
      <c r="F437" s="1745"/>
      <c r="G437" s="1745"/>
      <c r="H437" s="1745"/>
      <c r="I437" s="1745"/>
      <c r="J437" s="1745"/>
      <c r="K437" s="1745"/>
      <c r="L437" s="1745"/>
      <c r="M437" s="1745"/>
      <c r="N437" s="1745"/>
      <c r="O437" s="1745"/>
      <c r="P437" s="1745"/>
      <c r="Q437" s="1745"/>
      <c r="R437" s="1745"/>
      <c r="S437" s="1745"/>
      <c r="T437" s="1745"/>
      <c r="U437" s="1746"/>
      <c r="V437" s="1720"/>
      <c r="W437" s="1720"/>
      <c r="X437" s="1720"/>
      <c r="Y437" s="1720"/>
      <c r="Z437" s="1720"/>
      <c r="AA437" s="1721"/>
      <c r="AB437" s="1706"/>
      <c r="AC437" s="1706"/>
      <c r="AD437" s="1706"/>
      <c r="AE437" s="1706"/>
      <c r="AF437" s="1706"/>
      <c r="AG437" s="1706"/>
      <c r="AH437" s="1706"/>
      <c r="AI437" s="1706"/>
    </row>
    <row r="438" spans="1:35" ht="18" x14ac:dyDescent="0.25">
      <c r="A438" s="1747"/>
      <c r="B438" s="1749"/>
      <c r="C438" s="1770" t="s">
        <v>725</v>
      </c>
      <c r="D438" s="1749"/>
      <c r="E438" s="1749"/>
      <c r="F438" s="1749"/>
      <c r="G438" s="1749"/>
      <c r="H438" s="1749"/>
      <c r="I438" s="1749"/>
      <c r="J438" s="1749"/>
      <c r="K438" s="1749"/>
      <c r="L438" s="1749"/>
      <c r="M438" s="1749"/>
      <c r="N438" s="1749"/>
      <c r="O438" s="1749"/>
      <c r="P438" s="1749"/>
      <c r="Q438" s="1749"/>
      <c r="R438" s="1749"/>
      <c r="S438" s="1749"/>
      <c r="T438" s="1749"/>
      <c r="U438" s="1750"/>
      <c r="V438" s="1720"/>
      <c r="W438" s="1720"/>
      <c r="X438" s="1720"/>
      <c r="Y438" s="1720"/>
      <c r="Z438" s="1720"/>
      <c r="AA438" s="1721"/>
      <c r="AB438" s="1706"/>
      <c r="AC438" s="1706"/>
      <c r="AD438" s="1706"/>
      <c r="AE438" s="1706"/>
      <c r="AF438" s="1706"/>
      <c r="AG438" s="1706"/>
      <c r="AH438" s="1706"/>
      <c r="AI438" s="1706"/>
    </row>
    <row r="439" spans="1:35" ht="20.100000000000001" customHeight="1" x14ac:dyDescent="0.3">
      <c r="A439" s="1747"/>
      <c r="B439" s="1749"/>
      <c r="C439" s="1771" t="s">
        <v>974</v>
      </c>
      <c r="D439" s="1749"/>
      <c r="E439" s="1749"/>
      <c r="F439" s="1749"/>
      <c r="G439" s="1749"/>
      <c r="H439" s="1749"/>
      <c r="I439" s="1749"/>
      <c r="J439" s="1749"/>
      <c r="K439" s="1749"/>
      <c r="L439" s="1749"/>
      <c r="M439" s="1749"/>
      <c r="N439" s="1749"/>
      <c r="O439" s="1749"/>
      <c r="P439" s="1749"/>
      <c r="Q439" s="1749"/>
      <c r="R439" s="1749"/>
      <c r="S439" s="1749"/>
      <c r="T439" s="1749"/>
      <c r="U439" s="1750"/>
      <c r="V439" s="1720"/>
      <c r="W439" s="1720"/>
      <c r="X439" s="1720"/>
      <c r="Y439" s="1720"/>
      <c r="Z439" s="1720"/>
      <c r="AA439" s="1721"/>
      <c r="AB439" s="1706"/>
      <c r="AC439" s="1706"/>
      <c r="AD439" s="1706"/>
      <c r="AE439" s="1715"/>
      <c r="AF439" s="1716"/>
      <c r="AG439" s="1716"/>
      <c r="AH439" s="1706"/>
      <c r="AI439" s="1706"/>
    </row>
    <row r="440" spans="1:35" ht="20.100000000000001" customHeight="1" x14ac:dyDescent="0.3">
      <c r="A440" s="1747"/>
      <c r="B440" s="1749"/>
      <c r="C440" s="1771" t="s">
        <v>975</v>
      </c>
      <c r="D440" s="1749"/>
      <c r="E440" s="1749"/>
      <c r="F440" s="1749"/>
      <c r="G440" s="1749"/>
      <c r="H440" s="1749"/>
      <c r="I440" s="1749"/>
      <c r="J440" s="1749"/>
      <c r="K440" s="1749"/>
      <c r="L440" s="1749"/>
      <c r="M440" s="1749"/>
      <c r="N440" s="1749"/>
      <c r="O440" s="1749"/>
      <c r="P440" s="1749"/>
      <c r="Q440" s="1749"/>
      <c r="R440" s="1749"/>
      <c r="S440" s="1749"/>
      <c r="T440" s="1749"/>
      <c r="U440" s="1750"/>
      <c r="V440" s="1720"/>
      <c r="W440" s="1720"/>
      <c r="X440" s="1720"/>
      <c r="Y440" s="1720"/>
      <c r="Z440" s="1720"/>
      <c r="AA440" s="1721"/>
      <c r="AB440" s="1706"/>
      <c r="AC440" s="1706"/>
      <c r="AD440" s="1706"/>
      <c r="AE440" s="1717"/>
      <c r="AF440" s="1716"/>
      <c r="AG440" s="1716"/>
      <c r="AH440" s="1706"/>
      <c r="AI440" s="1706"/>
    </row>
    <row r="441" spans="1:35" ht="18.75" customHeight="1" x14ac:dyDescent="0.3">
      <c r="A441" s="1747"/>
      <c r="B441" s="1749"/>
      <c r="C441" s="1771" t="s">
        <v>726</v>
      </c>
      <c r="D441" s="1771"/>
      <c r="E441" s="1771"/>
      <c r="F441" s="1771"/>
      <c r="G441" s="1771"/>
      <c r="H441" s="1771"/>
      <c r="I441" s="1771"/>
      <c r="J441" s="1771"/>
      <c r="K441" s="1771"/>
      <c r="L441" s="1771"/>
      <c r="M441" s="1771"/>
      <c r="N441" s="1771"/>
      <c r="O441" s="1771"/>
      <c r="P441" s="1771"/>
      <c r="Q441" s="1749"/>
      <c r="R441" s="1749"/>
      <c r="S441" s="1749"/>
      <c r="T441" s="1749"/>
      <c r="U441" s="1750"/>
      <c r="V441" s="1720"/>
      <c r="W441" s="1720"/>
      <c r="X441" s="1720"/>
      <c r="Y441" s="1720"/>
      <c r="Z441" s="1720"/>
      <c r="AA441" s="1721"/>
      <c r="AB441" s="1706"/>
      <c r="AC441" s="1706"/>
      <c r="AD441" s="1706"/>
      <c r="AE441" s="1717"/>
      <c r="AF441" s="1716"/>
      <c r="AG441" s="1716"/>
      <c r="AH441" s="1706"/>
      <c r="AI441" s="1706"/>
    </row>
    <row r="442" spans="1:35" ht="17.25" customHeight="1" x14ac:dyDescent="0.3">
      <c r="A442" s="1747"/>
      <c r="B442" s="1749"/>
      <c r="C442" s="1771" t="s">
        <v>727</v>
      </c>
      <c r="D442" s="1749"/>
      <c r="E442" s="1749"/>
      <c r="F442" s="1749"/>
      <c r="G442" s="1749"/>
      <c r="H442" s="1749"/>
      <c r="I442" s="1749"/>
      <c r="J442" s="1749"/>
      <c r="K442" s="1749"/>
      <c r="L442" s="1749"/>
      <c r="M442" s="1749"/>
      <c r="N442" s="1749"/>
      <c r="O442" s="1749"/>
      <c r="P442" s="1749"/>
      <c r="Q442" s="1749"/>
      <c r="R442" s="1749"/>
      <c r="S442" s="1749"/>
      <c r="T442" s="1749"/>
      <c r="U442" s="1750"/>
      <c r="V442" s="1720"/>
      <c r="W442" s="1720"/>
      <c r="X442" s="1720"/>
      <c r="Y442" s="1720"/>
      <c r="Z442" s="1720"/>
      <c r="AA442" s="1721"/>
      <c r="AB442" s="1706"/>
      <c r="AC442" s="1706"/>
      <c r="AD442" s="1706"/>
      <c r="AE442" s="1718"/>
      <c r="AF442" s="1716"/>
      <c r="AG442" s="1716"/>
      <c r="AH442" s="1706"/>
      <c r="AI442" s="1706"/>
    </row>
    <row r="443" spans="1:35" ht="17.25" x14ac:dyDescent="0.3">
      <c r="A443" s="1747"/>
      <c r="B443" s="1749"/>
      <c r="C443" s="1749"/>
      <c r="D443" s="1749"/>
      <c r="E443" s="1749"/>
      <c r="F443" s="1749"/>
      <c r="G443" s="1749"/>
      <c r="H443" s="1749"/>
      <c r="I443" s="1749"/>
      <c r="J443" s="1749"/>
      <c r="K443" s="1749"/>
      <c r="L443" s="1749"/>
      <c r="M443" s="1749"/>
      <c r="N443" s="1749"/>
      <c r="O443" s="1749"/>
      <c r="P443" s="1749"/>
      <c r="Q443" s="1749"/>
      <c r="R443" s="1749"/>
      <c r="S443" s="1749"/>
      <c r="T443" s="1749"/>
      <c r="U443" s="1750"/>
      <c r="V443" s="1720"/>
      <c r="W443" s="1720"/>
      <c r="X443" s="1720"/>
      <c r="Y443" s="1720"/>
      <c r="Z443" s="1720"/>
      <c r="AA443" s="1721"/>
      <c r="AB443" s="1706"/>
      <c r="AC443" s="1706"/>
      <c r="AD443" s="1706"/>
      <c r="AE443" s="1717"/>
      <c r="AF443" s="1716"/>
      <c r="AG443" s="1716"/>
      <c r="AH443" s="1706"/>
      <c r="AI443" s="1706"/>
    </row>
    <row r="444" spans="1:35" ht="17.25" hidden="1" x14ac:dyDescent="0.3">
      <c r="A444" s="1747"/>
      <c r="B444" s="1749"/>
      <c r="C444" s="1749" t="s">
        <v>728</v>
      </c>
      <c r="D444" s="1749"/>
      <c r="E444" s="1749"/>
      <c r="F444" s="1749"/>
      <c r="G444" s="1749"/>
      <c r="H444" s="1749"/>
      <c r="I444" s="1749"/>
      <c r="J444" s="1749"/>
      <c r="K444" s="1749"/>
      <c r="L444" s="1749"/>
      <c r="M444" s="1749"/>
      <c r="N444" s="1749"/>
      <c r="O444" s="1749"/>
      <c r="P444" s="1749"/>
      <c r="Q444" s="1749"/>
      <c r="R444" s="1749"/>
      <c r="S444" s="1749"/>
      <c r="T444" s="1749"/>
      <c r="U444" s="1750"/>
      <c r="V444" s="1720"/>
      <c r="W444" s="1720"/>
      <c r="X444" s="1720"/>
      <c r="Y444" s="1720"/>
      <c r="Z444" s="1720"/>
      <c r="AA444" s="1721"/>
      <c r="AB444" s="1706"/>
      <c r="AC444" s="1706"/>
      <c r="AD444" s="1706"/>
      <c r="AE444" s="1717"/>
      <c r="AF444" s="1716"/>
      <c r="AG444" s="1716"/>
      <c r="AH444" s="1706"/>
      <c r="AI444" s="1706"/>
    </row>
    <row r="445" spans="1:35" ht="17.25" hidden="1" x14ac:dyDescent="0.3">
      <c r="A445" s="1747"/>
      <c r="B445" s="1749"/>
      <c r="C445" s="1772" t="s">
        <v>729</v>
      </c>
      <c r="D445" s="1749"/>
      <c r="E445" s="1749"/>
      <c r="F445" s="1749"/>
      <c r="G445" s="1749"/>
      <c r="H445" s="1749"/>
      <c r="I445" s="1749"/>
      <c r="J445" s="1749"/>
      <c r="K445" s="1749"/>
      <c r="L445" s="1749"/>
      <c r="M445" s="1749"/>
      <c r="N445" s="1749"/>
      <c r="O445" s="1749"/>
      <c r="P445" s="1749"/>
      <c r="Q445" s="1749"/>
      <c r="R445" s="1749"/>
      <c r="S445" s="1749"/>
      <c r="T445" s="1749"/>
      <c r="U445" s="1750"/>
      <c r="V445" s="1720"/>
      <c r="W445" s="1720"/>
      <c r="X445" s="1720"/>
      <c r="Y445" s="1720"/>
      <c r="Z445" s="1720"/>
      <c r="AA445" s="1721"/>
      <c r="AB445" s="1706"/>
      <c r="AC445" s="1706"/>
      <c r="AD445" s="1706"/>
      <c r="AE445" s="1718"/>
      <c r="AF445" s="1716"/>
      <c r="AG445" s="1716"/>
      <c r="AH445" s="1706"/>
      <c r="AI445" s="1706"/>
    </row>
    <row r="446" spans="1:35" ht="17.25" hidden="1" x14ac:dyDescent="0.3">
      <c r="A446" s="1747"/>
      <c r="B446" s="1749"/>
      <c r="C446" s="1749"/>
      <c r="D446" s="1749"/>
      <c r="E446" s="1749"/>
      <c r="F446" s="1749"/>
      <c r="G446" s="1749"/>
      <c r="H446" s="1749"/>
      <c r="I446" s="1749"/>
      <c r="J446" s="1749"/>
      <c r="K446" s="1749"/>
      <c r="L446" s="1749"/>
      <c r="M446" s="1749"/>
      <c r="N446" s="1749"/>
      <c r="O446" s="1749"/>
      <c r="P446" s="1749"/>
      <c r="Q446" s="1749"/>
      <c r="R446" s="1749"/>
      <c r="S446" s="1749"/>
      <c r="T446" s="1749"/>
      <c r="U446" s="1750"/>
      <c r="V446" s="1720"/>
      <c r="W446" s="1720"/>
      <c r="X446" s="1720"/>
      <c r="Y446" s="1720"/>
      <c r="Z446" s="1720"/>
      <c r="AA446" s="1721"/>
      <c r="AB446" s="1706"/>
      <c r="AC446" s="1706"/>
      <c r="AD446" s="1706"/>
      <c r="AE446" s="1717"/>
      <c r="AF446" s="1716"/>
      <c r="AG446" s="1716"/>
      <c r="AH446" s="1706"/>
      <c r="AI446" s="1706"/>
    </row>
    <row r="447" spans="1:35" ht="17.25" hidden="1" x14ac:dyDescent="0.3">
      <c r="A447" s="1747"/>
      <c r="B447" s="1749"/>
      <c r="C447" s="1749"/>
      <c r="D447" s="1749"/>
      <c r="E447" s="1749"/>
      <c r="F447" s="1749"/>
      <c r="G447" s="1749"/>
      <c r="H447" s="1749"/>
      <c r="I447" s="1749"/>
      <c r="J447" s="1749"/>
      <c r="K447" s="1749"/>
      <c r="L447" s="1749"/>
      <c r="M447" s="1749"/>
      <c r="N447" s="1749"/>
      <c r="O447" s="1749"/>
      <c r="P447" s="1749"/>
      <c r="Q447" s="1749"/>
      <c r="R447" s="1749"/>
      <c r="S447" s="1749"/>
      <c r="T447" s="1749"/>
      <c r="U447" s="1750"/>
      <c r="V447" s="1720"/>
      <c r="W447" s="1720"/>
      <c r="X447" s="1720"/>
      <c r="Y447" s="1720"/>
      <c r="Z447" s="1720"/>
      <c r="AA447" s="1721"/>
      <c r="AB447" s="1706"/>
      <c r="AC447" s="1706"/>
      <c r="AD447" s="1706"/>
      <c r="AE447" s="1717"/>
      <c r="AF447" s="1716"/>
      <c r="AG447" s="1716"/>
      <c r="AH447" s="1706"/>
      <c r="AI447" s="1706"/>
    </row>
    <row r="448" spans="1:35" ht="17.25" hidden="1" x14ac:dyDescent="0.3">
      <c r="A448" s="1747"/>
      <c r="B448" s="1749"/>
      <c r="C448" s="1772" t="str">
        <f>H474</f>
        <v>Yusuf Nur Ikhsan , S.Pd</v>
      </c>
      <c r="D448" s="1749"/>
      <c r="E448" s="1749"/>
      <c r="F448" s="1749"/>
      <c r="G448" s="1749"/>
      <c r="H448" s="1749"/>
      <c r="I448" s="1749"/>
      <c r="J448" s="1749"/>
      <c r="K448" s="1749"/>
      <c r="L448" s="1749"/>
      <c r="M448" s="1749"/>
      <c r="N448" s="1749"/>
      <c r="O448" s="1749"/>
      <c r="P448" s="1749"/>
      <c r="Q448" s="1749"/>
      <c r="R448" s="1749"/>
      <c r="S448" s="1749"/>
      <c r="T448" s="1749"/>
      <c r="U448" s="1750"/>
      <c r="V448" s="1720"/>
      <c r="W448" s="1720"/>
      <c r="X448" s="1720"/>
      <c r="Y448" s="1720"/>
      <c r="Z448" s="1720"/>
      <c r="AA448" s="1721"/>
      <c r="AB448" s="1706"/>
      <c r="AC448" s="1706"/>
      <c r="AD448" s="1706"/>
      <c r="AE448" s="1718"/>
      <c r="AF448" s="1716"/>
      <c r="AG448" s="1716"/>
      <c r="AH448" s="1706"/>
      <c r="AI448" s="1706"/>
    </row>
    <row r="449" spans="1:35" ht="17.25" hidden="1" x14ac:dyDescent="0.3">
      <c r="A449" s="1747"/>
      <c r="B449" s="1749"/>
      <c r="C449" s="1749" t="str">
        <f>J475</f>
        <v>NIP.   196004051979121009</v>
      </c>
      <c r="D449" s="1749"/>
      <c r="E449" s="1749"/>
      <c r="F449" s="1749"/>
      <c r="G449" s="1749"/>
      <c r="H449" s="1749"/>
      <c r="I449" s="1749"/>
      <c r="J449" s="1749"/>
      <c r="K449" s="1749"/>
      <c r="L449" s="1749"/>
      <c r="M449" s="1749"/>
      <c r="N449" s="1749"/>
      <c r="O449" s="1749"/>
      <c r="P449" s="1749"/>
      <c r="Q449" s="1749"/>
      <c r="R449" s="1749"/>
      <c r="S449" s="1749"/>
      <c r="T449" s="1749"/>
      <c r="U449" s="1750"/>
      <c r="V449" s="1720"/>
      <c r="W449" s="1720"/>
      <c r="X449" s="1720"/>
      <c r="Y449" s="1720"/>
      <c r="Z449" s="1720"/>
      <c r="AA449" s="1721"/>
      <c r="AB449" s="1706"/>
      <c r="AC449" s="1706"/>
      <c r="AD449" s="1706"/>
      <c r="AE449" s="1717"/>
      <c r="AF449" s="1716"/>
      <c r="AG449" s="1716"/>
      <c r="AH449" s="1706"/>
      <c r="AI449" s="1706"/>
    </row>
    <row r="450" spans="1:35" x14ac:dyDescent="0.2">
      <c r="A450" s="1751"/>
      <c r="B450" s="1752"/>
      <c r="C450" s="1752"/>
      <c r="D450" s="1752"/>
      <c r="E450" s="1752"/>
      <c r="F450" s="1752"/>
      <c r="G450" s="1752"/>
      <c r="H450" s="1752"/>
      <c r="I450" s="1752"/>
      <c r="J450" s="1752"/>
      <c r="K450" s="1752"/>
      <c r="L450" s="1752"/>
      <c r="M450" s="1752"/>
      <c r="N450" s="1752"/>
      <c r="O450" s="1752"/>
      <c r="P450" s="1752"/>
      <c r="Q450" s="1752"/>
      <c r="R450" s="1752"/>
      <c r="S450" s="1752"/>
      <c r="T450" s="1752"/>
      <c r="U450" s="1753"/>
      <c r="V450" s="1720"/>
      <c r="W450" s="1720"/>
      <c r="X450" s="1720"/>
      <c r="Y450" s="1720"/>
      <c r="Z450" s="1720"/>
      <c r="AA450" s="1721"/>
      <c r="AB450" s="1706"/>
      <c r="AC450" s="1706"/>
      <c r="AD450" s="1706"/>
      <c r="AE450" s="1706"/>
      <c r="AF450" s="1706"/>
      <c r="AG450" s="1706"/>
      <c r="AH450" s="1706"/>
      <c r="AI450" s="1706"/>
    </row>
    <row r="451" spans="1:35" x14ac:dyDescent="0.2">
      <c r="A451" s="1720"/>
      <c r="B451" s="1720"/>
      <c r="C451" s="1720"/>
      <c r="D451" s="1720"/>
      <c r="E451" s="1720"/>
      <c r="F451" s="1720"/>
      <c r="G451" s="1720"/>
      <c r="H451" s="1720"/>
      <c r="I451" s="1720"/>
      <c r="J451" s="1720"/>
      <c r="K451" s="1720"/>
      <c r="L451" s="1720"/>
      <c r="M451" s="1720"/>
      <c r="N451" s="1720"/>
      <c r="O451" s="1720"/>
      <c r="P451" s="1720"/>
      <c r="Q451" s="1720"/>
      <c r="R451" s="1720"/>
      <c r="S451" s="1720"/>
      <c r="T451" s="1720"/>
      <c r="U451" s="1720"/>
      <c r="V451" s="1720"/>
      <c r="W451" s="1720"/>
      <c r="X451" s="1720"/>
      <c r="Y451" s="1720"/>
      <c r="Z451" s="1720"/>
      <c r="AA451" s="1721"/>
      <c r="AB451" s="1706"/>
      <c r="AC451" s="1706"/>
      <c r="AD451" s="1706"/>
      <c r="AE451" s="1706"/>
      <c r="AF451" s="1706"/>
      <c r="AG451" s="1706"/>
      <c r="AH451" s="1706"/>
      <c r="AI451" s="1706"/>
    </row>
    <row r="452" spans="1:35" ht="16.5" customHeight="1" x14ac:dyDescent="0.2">
      <c r="A452" s="1720"/>
      <c r="B452" s="1720"/>
      <c r="C452" s="1720"/>
      <c r="D452" s="1720"/>
      <c r="E452" s="1720"/>
      <c r="F452" s="1720"/>
      <c r="G452" s="1720"/>
      <c r="H452" s="1720"/>
      <c r="I452" s="1720"/>
      <c r="J452" s="1720"/>
      <c r="K452" s="1720"/>
      <c r="L452" s="1720"/>
      <c r="M452" s="1720"/>
      <c r="N452" s="1720"/>
      <c r="O452" s="1720"/>
      <c r="P452" s="1720"/>
      <c r="Q452" s="1720"/>
      <c r="R452" s="1720"/>
      <c r="S452" s="1720"/>
      <c r="T452" s="1720"/>
      <c r="U452" s="1720"/>
      <c r="V452" s="1720"/>
      <c r="W452" s="1720"/>
      <c r="X452" s="1720"/>
      <c r="Y452" s="1720"/>
      <c r="Z452" s="1720"/>
      <c r="AA452" s="1721"/>
      <c r="AB452" s="1706"/>
      <c r="AC452" s="1706"/>
      <c r="AD452" s="1706"/>
      <c r="AE452" s="1706"/>
      <c r="AF452" s="1706"/>
      <c r="AG452" s="1706"/>
      <c r="AH452" s="1706"/>
      <c r="AI452" s="1706"/>
    </row>
    <row r="453" spans="1:35" x14ac:dyDescent="0.2">
      <c r="A453" s="1720"/>
      <c r="B453" s="1720"/>
      <c r="C453" s="1720"/>
      <c r="D453" s="1720"/>
      <c r="E453" s="1720"/>
      <c r="F453" s="1720"/>
      <c r="G453" s="1720"/>
      <c r="H453" s="1720"/>
      <c r="I453" s="1720"/>
      <c r="J453" s="1720"/>
      <c r="K453" s="1720"/>
      <c r="L453" s="1720"/>
      <c r="M453" s="1720"/>
      <c r="N453" s="1720"/>
      <c r="O453" s="1720"/>
      <c r="P453" s="1720"/>
      <c r="Q453" s="1720"/>
      <c r="R453" s="1720"/>
      <c r="S453" s="1720"/>
      <c r="T453" s="1720"/>
      <c r="U453" s="1720"/>
      <c r="V453" s="1720"/>
      <c r="W453" s="1720"/>
      <c r="X453" s="1720"/>
      <c r="Y453" s="1720"/>
      <c r="Z453" s="1720"/>
      <c r="AA453" s="1721"/>
      <c r="AB453" s="1706"/>
      <c r="AC453" s="1706"/>
      <c r="AD453" s="1706"/>
      <c r="AE453" s="1706"/>
      <c r="AF453" s="1706"/>
      <c r="AG453" s="1706"/>
      <c r="AH453" s="1706"/>
      <c r="AI453" s="1706"/>
    </row>
    <row r="454" spans="1:35" x14ac:dyDescent="0.2">
      <c r="A454" s="1720"/>
      <c r="B454" s="1720"/>
      <c r="C454" s="1720"/>
      <c r="D454" s="1720"/>
      <c r="E454" s="1720"/>
      <c r="F454" s="1720"/>
      <c r="G454" s="1720"/>
      <c r="H454" s="1720"/>
      <c r="I454" s="1720"/>
      <c r="J454" s="1720"/>
      <c r="K454" s="1720"/>
      <c r="L454" s="1720"/>
      <c r="M454" s="1720"/>
      <c r="N454" s="1720"/>
      <c r="O454" s="1720"/>
      <c r="P454" s="1720"/>
      <c r="Q454" s="1720"/>
      <c r="R454" s="1720"/>
      <c r="S454" s="1720"/>
      <c r="T454" s="1720"/>
      <c r="U454" s="1720"/>
      <c r="V454" s="1720"/>
      <c r="W454" s="1720"/>
      <c r="X454" s="1720"/>
      <c r="Y454" s="1720"/>
      <c r="Z454" s="1720"/>
      <c r="AA454" s="1721"/>
      <c r="AB454" s="1706"/>
      <c r="AC454" s="1706"/>
      <c r="AD454" s="1706"/>
      <c r="AE454" s="1706"/>
      <c r="AF454" s="1706"/>
      <c r="AG454" s="1706"/>
      <c r="AH454" s="1706"/>
      <c r="AI454" s="1706"/>
    </row>
    <row r="455" spans="1:35" x14ac:dyDescent="0.2">
      <c r="A455" s="1720"/>
      <c r="B455" s="1720"/>
      <c r="C455" s="1720"/>
      <c r="D455" s="1720"/>
      <c r="E455" s="1720"/>
      <c r="F455" s="1720"/>
      <c r="G455" s="1720"/>
      <c r="H455" s="1720"/>
      <c r="I455" s="1720"/>
      <c r="J455" s="1720"/>
      <c r="K455" s="1720"/>
      <c r="L455" s="1720"/>
      <c r="M455" s="1720"/>
      <c r="N455" s="1720"/>
      <c r="O455" s="1720"/>
      <c r="P455" s="1720"/>
      <c r="Q455" s="1720"/>
      <c r="R455" s="1720"/>
      <c r="S455" s="1720"/>
      <c r="T455" s="1720"/>
      <c r="U455" s="1720"/>
      <c r="V455" s="1720"/>
      <c r="W455" s="1720"/>
      <c r="X455" s="1720"/>
      <c r="Y455" s="1720"/>
      <c r="Z455" s="1720"/>
      <c r="AA455" s="1721"/>
      <c r="AB455" s="1706"/>
      <c r="AC455" s="1706"/>
      <c r="AD455" s="1706"/>
      <c r="AE455" s="1706"/>
      <c r="AF455" s="1706"/>
      <c r="AG455" s="1706"/>
      <c r="AH455" s="1706"/>
      <c r="AI455" s="1706"/>
    </row>
    <row r="456" spans="1:35" x14ac:dyDescent="0.2">
      <c r="A456" s="1720"/>
      <c r="B456" s="1720"/>
      <c r="C456" s="1720"/>
      <c r="D456" s="1720"/>
      <c r="E456" s="1720"/>
      <c r="F456" s="1720"/>
      <c r="G456" s="1720"/>
      <c r="H456" s="1720"/>
      <c r="I456" s="1720"/>
      <c r="J456" s="1720"/>
      <c r="K456" s="1720"/>
      <c r="L456" s="1720"/>
      <c r="M456" s="1720"/>
      <c r="N456" s="1720"/>
      <c r="O456" s="1720"/>
      <c r="P456" s="1720"/>
      <c r="Q456" s="1720"/>
      <c r="R456" s="1720"/>
      <c r="S456" s="1720"/>
      <c r="T456" s="1720"/>
      <c r="U456" s="1720"/>
      <c r="V456" s="1720"/>
      <c r="W456" s="1720"/>
      <c r="X456" s="1720"/>
      <c r="Y456" s="1720"/>
      <c r="Z456" s="1720"/>
      <c r="AA456" s="1721"/>
      <c r="AB456" s="1706"/>
      <c r="AC456" s="1706"/>
      <c r="AD456" s="1706"/>
      <c r="AE456" s="1706"/>
      <c r="AF456" s="1706"/>
      <c r="AG456" s="1706"/>
      <c r="AH456" s="1706"/>
      <c r="AI456" s="1706"/>
    </row>
    <row r="457" spans="1:35" x14ac:dyDescent="0.2">
      <c r="A457" s="1720"/>
      <c r="B457" s="1720" t="s">
        <v>495</v>
      </c>
      <c r="C457" s="1720"/>
      <c r="D457" s="1720"/>
      <c r="E457" s="1720"/>
      <c r="F457" s="1720"/>
      <c r="G457" s="1720"/>
      <c r="H457" s="1720"/>
      <c r="I457" s="1720"/>
      <c r="J457" s="1720"/>
      <c r="K457" s="1720"/>
      <c r="L457" s="1720"/>
      <c r="M457" s="1720"/>
      <c r="N457" s="1720"/>
      <c r="O457" s="1720"/>
      <c r="P457" s="1733" t="s">
        <v>498</v>
      </c>
      <c r="Q457" s="1720"/>
      <c r="R457" s="1720"/>
      <c r="S457" s="1720"/>
      <c r="T457" s="1720"/>
      <c r="U457" s="1720"/>
      <c r="V457" s="1720"/>
      <c r="W457" s="1720"/>
      <c r="X457" s="1720"/>
      <c r="Y457" s="1720"/>
      <c r="Z457" s="1720"/>
      <c r="AA457" s="1721"/>
      <c r="AB457" s="1706"/>
      <c r="AC457" s="1706"/>
      <c r="AD457" s="1706"/>
      <c r="AE457" s="1706"/>
      <c r="AF457" s="1706"/>
      <c r="AG457" s="1706"/>
      <c r="AH457" s="1706"/>
      <c r="AI457" s="1706"/>
    </row>
    <row r="458" spans="1:35" x14ac:dyDescent="0.2">
      <c r="A458" s="1720"/>
      <c r="B458" s="1720" t="s">
        <v>496</v>
      </c>
      <c r="C458" s="1720"/>
      <c r="D458" s="1720"/>
      <c r="E458" s="1720"/>
      <c r="F458" s="1720"/>
      <c r="G458" s="1720"/>
      <c r="H458" s="1720"/>
      <c r="I458" s="1720"/>
      <c r="J458" s="1720"/>
      <c r="K458" s="1720"/>
      <c r="L458" s="1720"/>
      <c r="M458" s="1720"/>
      <c r="N458" s="1720"/>
      <c r="O458" s="1720"/>
      <c r="P458" s="1733" t="s">
        <v>502</v>
      </c>
      <c r="Q458" s="1720"/>
      <c r="R458" s="1720"/>
      <c r="S458" s="1720"/>
      <c r="T458" s="1720"/>
      <c r="U458" s="1720"/>
      <c r="V458" s="1720"/>
      <c r="W458" s="1720"/>
      <c r="X458" s="1720"/>
      <c r="Y458" s="1720"/>
      <c r="Z458" s="1720"/>
      <c r="AA458" s="1721"/>
      <c r="AB458" s="1706"/>
      <c r="AC458" s="1706"/>
      <c r="AD458" s="1706"/>
      <c r="AE458" s="1706"/>
      <c r="AF458" s="1706"/>
      <c r="AG458" s="1706"/>
      <c r="AH458" s="1706"/>
      <c r="AI458" s="1706"/>
    </row>
    <row r="459" spans="1:35" x14ac:dyDescent="0.2">
      <c r="A459" s="1720"/>
      <c r="B459" s="1720"/>
      <c r="C459" s="1720"/>
      <c r="D459" s="1720"/>
      <c r="E459" s="1720"/>
      <c r="F459" s="1720"/>
      <c r="G459" s="1720"/>
      <c r="H459" s="1720"/>
      <c r="I459" s="1720"/>
      <c r="J459" s="1720"/>
      <c r="K459" s="1720"/>
      <c r="L459" s="1720"/>
      <c r="M459" s="1720"/>
      <c r="N459" s="1720"/>
      <c r="O459" s="1720"/>
      <c r="P459" s="1720"/>
      <c r="Q459" s="1720"/>
      <c r="R459" s="1720"/>
      <c r="S459" s="1720"/>
      <c r="T459" s="1720"/>
      <c r="U459" s="1720"/>
      <c r="V459" s="1720"/>
      <c r="W459" s="1720"/>
      <c r="X459" s="1720"/>
      <c r="Y459" s="1720"/>
      <c r="Z459" s="1720"/>
      <c r="AA459" s="1721"/>
      <c r="AB459" s="1706"/>
      <c r="AC459" s="1706"/>
      <c r="AD459" s="1706"/>
      <c r="AE459" s="1706"/>
      <c r="AF459" s="1706"/>
      <c r="AG459" s="1706"/>
      <c r="AH459" s="1706"/>
      <c r="AI459" s="1706"/>
    </row>
    <row r="460" spans="1:35" x14ac:dyDescent="0.2">
      <c r="A460" s="1720"/>
      <c r="B460" s="1720"/>
      <c r="C460" s="1720"/>
      <c r="D460" s="1720"/>
      <c r="E460" s="1720"/>
      <c r="F460" s="1720"/>
      <c r="G460" s="1720"/>
      <c r="H460" s="1720"/>
      <c r="I460" s="1720"/>
      <c r="J460" s="1720"/>
      <c r="K460" s="1720"/>
      <c r="L460" s="1720"/>
      <c r="M460" s="1720"/>
      <c r="N460" s="1720"/>
      <c r="O460" s="1720"/>
      <c r="P460" s="1720"/>
      <c r="Q460" s="1720"/>
      <c r="R460" s="1720"/>
      <c r="S460" s="1720"/>
      <c r="T460" s="1720"/>
      <c r="U460" s="1720"/>
      <c r="V460" s="1720"/>
      <c r="W460" s="1720"/>
      <c r="X460" s="1720"/>
      <c r="Y460" s="1720"/>
      <c r="Z460" s="1720"/>
      <c r="AA460" s="1721"/>
      <c r="AB460" s="1706"/>
      <c r="AC460" s="1706"/>
      <c r="AD460" s="1706"/>
      <c r="AE460" s="1706"/>
      <c r="AF460" s="1706"/>
      <c r="AG460" s="1706"/>
      <c r="AH460" s="1706"/>
      <c r="AI460" s="1706"/>
    </row>
    <row r="461" spans="1:35" x14ac:dyDescent="0.2">
      <c r="A461" s="1720"/>
      <c r="B461" s="1720"/>
      <c r="C461" s="1720"/>
      <c r="D461" s="1720"/>
      <c r="E461" s="1720"/>
      <c r="F461" s="1720"/>
      <c r="G461" s="1720"/>
      <c r="H461" s="1720"/>
      <c r="I461" s="1720"/>
      <c r="J461" s="1720"/>
      <c r="K461" s="1720"/>
      <c r="L461" s="1720"/>
      <c r="M461" s="1720"/>
      <c r="N461" s="1720"/>
      <c r="O461" s="1720"/>
      <c r="P461" s="1720"/>
      <c r="Q461" s="1720"/>
      <c r="R461" s="1720"/>
      <c r="S461" s="1720"/>
      <c r="T461" s="1720"/>
      <c r="U461" s="1720"/>
      <c r="V461" s="1720"/>
      <c r="W461" s="1720"/>
      <c r="X461" s="1720"/>
      <c r="Y461" s="1720"/>
      <c r="Z461" s="1720"/>
      <c r="AA461" s="1721"/>
      <c r="AB461" s="1706"/>
      <c r="AC461" s="1706"/>
      <c r="AD461" s="1706"/>
      <c r="AE461" s="1706"/>
      <c r="AF461" s="1706"/>
      <c r="AG461" s="1706"/>
      <c r="AH461" s="1706"/>
      <c r="AI461" s="1706"/>
    </row>
    <row r="462" spans="1:35" x14ac:dyDescent="0.2">
      <c r="A462" s="1720"/>
      <c r="B462" s="1720" t="s">
        <v>497</v>
      </c>
      <c r="C462" s="1720"/>
      <c r="D462" s="1720"/>
      <c r="E462" s="1720"/>
      <c r="F462" s="1720"/>
      <c r="G462" s="1720"/>
      <c r="H462" s="1720"/>
      <c r="I462" s="1720"/>
      <c r="J462" s="1720"/>
      <c r="K462" s="1720"/>
      <c r="L462" s="1720"/>
      <c r="M462" s="1720"/>
      <c r="N462" s="1734">
        <v>3</v>
      </c>
      <c r="O462" s="1720"/>
      <c r="P462" s="1773" t="str">
        <f>VLOOKUP(N462,data_guru,3,FALSE)</f>
        <v>Ahmad, S.Pd</v>
      </c>
      <c r="Q462" s="1720"/>
      <c r="R462" s="1720"/>
      <c r="S462" s="1720"/>
      <c r="T462" s="1720"/>
      <c r="U462" s="1720"/>
      <c r="V462" s="1720"/>
      <c r="W462" s="1720"/>
      <c r="X462" s="1720"/>
      <c r="Y462" s="1720"/>
      <c r="Z462" s="1720"/>
      <c r="AA462" s="1721"/>
      <c r="AB462" s="1706"/>
      <c r="AC462" s="1706"/>
      <c r="AD462" s="1706"/>
      <c r="AE462" s="1706"/>
      <c r="AF462" s="1706"/>
      <c r="AG462" s="1706"/>
      <c r="AH462" s="1706"/>
      <c r="AI462" s="1706"/>
    </row>
    <row r="463" spans="1:35" x14ac:dyDescent="0.2">
      <c r="A463" s="1720"/>
      <c r="B463" s="1720"/>
      <c r="C463" s="1720"/>
      <c r="D463" s="1720"/>
      <c r="E463" s="1720"/>
      <c r="F463" s="1720"/>
      <c r="G463" s="1720"/>
      <c r="H463" s="1720"/>
      <c r="I463" s="1720"/>
      <c r="J463" s="1720"/>
      <c r="K463" s="1720"/>
      <c r="L463" s="1720"/>
      <c r="M463" s="1720"/>
      <c r="N463" s="1734">
        <v>4</v>
      </c>
      <c r="O463" s="1720"/>
      <c r="P463" s="3079" t="s">
        <v>499</v>
      </c>
      <c r="Q463" s="3079"/>
      <c r="R463" s="1722" t="str">
        <f>VLOOKUP(N463,data_guru,3,FALSE)</f>
        <v>19671892127181021</v>
      </c>
      <c r="S463" s="1722"/>
      <c r="T463" s="1722"/>
      <c r="U463" s="1722"/>
      <c r="V463" s="1722"/>
      <c r="W463" s="1722"/>
      <c r="X463" s="1720"/>
      <c r="Y463" s="1720"/>
      <c r="Z463" s="1720"/>
      <c r="AA463" s="1721"/>
      <c r="AB463" s="1706"/>
      <c r="AC463" s="1706"/>
      <c r="AD463" s="1706"/>
      <c r="AE463" s="1706"/>
      <c r="AF463" s="1706"/>
      <c r="AG463" s="1706"/>
      <c r="AH463" s="1706"/>
      <c r="AI463" s="1706"/>
    </row>
    <row r="464" spans="1:35" x14ac:dyDescent="0.2">
      <c r="A464" s="1720"/>
      <c r="B464" s="1720"/>
      <c r="C464" s="1720"/>
      <c r="D464" s="1720"/>
      <c r="E464" s="1720"/>
      <c r="F464" s="1720"/>
      <c r="G464" s="1720"/>
      <c r="H464" s="1720"/>
      <c r="I464" s="1720"/>
      <c r="J464" s="1720"/>
      <c r="K464" s="1720"/>
      <c r="L464" s="1720"/>
      <c r="M464" s="1720"/>
      <c r="N464" s="1720"/>
      <c r="O464" s="1720"/>
      <c r="P464" s="1720"/>
      <c r="Q464" s="1720"/>
      <c r="R464" s="1720"/>
      <c r="S464" s="1720"/>
      <c r="T464" s="1720"/>
      <c r="U464" s="1720"/>
      <c r="V464" s="1720"/>
      <c r="W464" s="1720"/>
      <c r="X464" s="1720"/>
      <c r="Y464" s="1720"/>
      <c r="Z464" s="1720"/>
      <c r="AA464" s="1721"/>
      <c r="AB464" s="1706"/>
      <c r="AC464" s="1706"/>
      <c r="AD464" s="1706"/>
      <c r="AE464" s="1706"/>
      <c r="AF464" s="1706"/>
      <c r="AG464" s="1706"/>
      <c r="AH464" s="1706"/>
      <c r="AI464" s="1706"/>
    </row>
    <row r="465" spans="1:35" x14ac:dyDescent="0.2">
      <c r="A465" s="1720"/>
      <c r="B465" s="1720"/>
      <c r="C465" s="1720"/>
      <c r="D465" s="1720"/>
      <c r="E465" s="1720"/>
      <c r="F465" s="1720"/>
      <c r="G465" s="1720"/>
      <c r="H465" s="1720"/>
      <c r="I465" s="1720"/>
      <c r="J465" s="1720"/>
      <c r="K465" s="1720"/>
      <c r="L465" s="1720"/>
      <c r="M465" s="1720"/>
      <c r="N465" s="1720"/>
      <c r="O465" s="1720"/>
      <c r="P465" s="1720"/>
      <c r="Q465" s="1720"/>
      <c r="R465" s="1720"/>
      <c r="S465" s="1720"/>
      <c r="T465" s="1720"/>
      <c r="U465" s="1720"/>
      <c r="V465" s="1720"/>
      <c r="W465" s="1720"/>
      <c r="X465" s="1720"/>
      <c r="Y465" s="1720"/>
      <c r="Z465" s="1720"/>
      <c r="AA465" s="1721"/>
      <c r="AB465" s="1706"/>
      <c r="AC465" s="1706"/>
      <c r="AD465" s="1706"/>
      <c r="AE465" s="1706"/>
      <c r="AF465" s="1706"/>
      <c r="AG465" s="1706"/>
      <c r="AH465" s="1706"/>
      <c r="AI465" s="1706"/>
    </row>
    <row r="466" spans="1:35" x14ac:dyDescent="0.2">
      <c r="A466" s="1720"/>
      <c r="B466" s="1720"/>
      <c r="C466" s="1720"/>
      <c r="D466" s="1720"/>
      <c r="E466" s="1720"/>
      <c r="F466" s="1720"/>
      <c r="G466" s="1720"/>
      <c r="H466" s="1720"/>
      <c r="I466" s="1720"/>
      <c r="J466" s="1720"/>
      <c r="K466" s="1720"/>
      <c r="L466" s="1720"/>
      <c r="M466" s="1720"/>
      <c r="N466" s="1720"/>
      <c r="O466" s="1720"/>
      <c r="P466" s="1720"/>
      <c r="Q466" s="1720"/>
      <c r="R466" s="1720"/>
      <c r="S466" s="1720"/>
      <c r="T466" s="1720"/>
      <c r="U466" s="1720"/>
      <c r="V466" s="1720"/>
      <c r="W466" s="1720"/>
      <c r="X466" s="1720"/>
      <c r="Y466" s="1720"/>
      <c r="Z466" s="1720"/>
      <c r="AA466" s="1721"/>
      <c r="AB466" s="1706"/>
      <c r="AC466" s="1706"/>
      <c r="AD466" s="1706"/>
      <c r="AE466" s="1706"/>
      <c r="AF466" s="1706"/>
      <c r="AG466" s="1706"/>
      <c r="AH466" s="1706"/>
      <c r="AI466" s="1706"/>
    </row>
    <row r="467" spans="1:35" x14ac:dyDescent="0.2">
      <c r="A467" s="1720"/>
      <c r="B467" s="1720"/>
      <c r="C467" s="1720"/>
      <c r="D467" s="1720"/>
      <c r="E467" s="1720"/>
      <c r="F467" s="1720"/>
      <c r="G467" s="1720"/>
      <c r="H467" s="2980" t="s">
        <v>500</v>
      </c>
      <c r="I467" s="2980"/>
      <c r="J467" s="2980"/>
      <c r="K467" s="2980"/>
      <c r="L467" s="2980"/>
      <c r="M467" s="2980"/>
      <c r="N467" s="2980"/>
      <c r="O467" s="2980"/>
      <c r="P467" s="2980"/>
      <c r="Q467" s="2980"/>
      <c r="R467" s="1720"/>
      <c r="S467" s="1720"/>
      <c r="T467" s="1720"/>
      <c r="U467" s="1720"/>
      <c r="V467" s="1720"/>
      <c r="W467" s="1720"/>
      <c r="X467" s="1720"/>
      <c r="Y467" s="1720"/>
      <c r="Z467" s="1720"/>
      <c r="AA467" s="1721"/>
      <c r="AB467" s="1706"/>
      <c r="AC467" s="1706"/>
      <c r="AD467" s="1706"/>
      <c r="AE467" s="1706"/>
      <c r="AF467" s="1706"/>
      <c r="AG467" s="1706"/>
      <c r="AH467" s="1706"/>
      <c r="AI467" s="1706"/>
    </row>
    <row r="468" spans="1:35" x14ac:dyDescent="0.2">
      <c r="A468" s="1720"/>
      <c r="B468" s="1720"/>
      <c r="C468" s="1720"/>
      <c r="D468" s="1720"/>
      <c r="E468" s="1720"/>
      <c r="F468" s="1720"/>
      <c r="G468" s="1720"/>
      <c r="H468" s="2980" t="s">
        <v>501</v>
      </c>
      <c r="I468" s="2980"/>
      <c r="J468" s="2980"/>
      <c r="K468" s="2980"/>
      <c r="L468" s="2980"/>
      <c r="M468" s="2980"/>
      <c r="N468" s="2980"/>
      <c r="O468" s="2980"/>
      <c r="P468" s="2980"/>
      <c r="Q468" s="2980"/>
      <c r="R468" s="1720"/>
      <c r="S468" s="1720"/>
      <c r="T468" s="1720"/>
      <c r="U468" s="1720"/>
      <c r="V468" s="1720"/>
      <c r="W468" s="1720"/>
      <c r="X468" s="1720"/>
      <c r="Y468" s="1720"/>
      <c r="Z468" s="1720"/>
      <c r="AA468" s="1721"/>
      <c r="AB468" s="1706"/>
      <c r="AC468" s="1706"/>
      <c r="AD468" s="1706"/>
      <c r="AE468" s="1706"/>
      <c r="AF468" s="1706"/>
      <c r="AG468" s="1706"/>
      <c r="AH468" s="1706"/>
      <c r="AI468" s="1706"/>
    </row>
    <row r="469" spans="1:35" x14ac:dyDescent="0.2">
      <c r="A469" s="1720"/>
      <c r="B469" s="1720"/>
      <c r="C469" s="1720"/>
      <c r="D469" s="1720"/>
      <c r="E469" s="1720"/>
      <c r="F469" s="1720"/>
      <c r="G469" s="1720"/>
      <c r="H469" s="1720"/>
      <c r="I469" s="1720"/>
      <c r="J469" s="1720"/>
      <c r="K469" s="1720"/>
      <c r="L469" s="1720"/>
      <c r="M469" s="1720"/>
      <c r="N469" s="1720"/>
      <c r="O469" s="1720"/>
      <c r="P469" s="1720"/>
      <c r="Q469" s="1720"/>
      <c r="R469" s="1720"/>
      <c r="S469" s="1720"/>
      <c r="T469" s="1720"/>
      <c r="U469" s="1720"/>
      <c r="V469" s="1720"/>
      <c r="W469" s="1720"/>
      <c r="X469" s="1720"/>
      <c r="Y469" s="1720"/>
      <c r="Z469" s="1720"/>
      <c r="AA469" s="1721"/>
      <c r="AB469" s="1706"/>
      <c r="AC469" s="1706"/>
      <c r="AD469" s="1706"/>
      <c r="AE469" s="1706"/>
      <c r="AF469" s="1706"/>
      <c r="AG469" s="1706"/>
      <c r="AH469" s="1706"/>
      <c r="AI469" s="1706"/>
    </row>
    <row r="470" spans="1:35" x14ac:dyDescent="0.2">
      <c r="A470" s="1720"/>
      <c r="B470" s="1720"/>
      <c r="C470" s="1720"/>
      <c r="D470" s="1720"/>
      <c r="E470" s="1720"/>
      <c r="F470" s="1720"/>
      <c r="G470" s="1720"/>
      <c r="H470" s="1720"/>
      <c r="I470" s="1720"/>
      <c r="J470" s="1720"/>
      <c r="K470" s="1720"/>
      <c r="L470" s="1720"/>
      <c r="M470" s="1720"/>
      <c r="N470" s="1720"/>
      <c r="O470" s="1720"/>
      <c r="P470" s="1720"/>
      <c r="Q470" s="1720"/>
      <c r="R470" s="1720"/>
      <c r="S470" s="1720"/>
      <c r="T470" s="1720"/>
      <c r="U470" s="1720"/>
      <c r="V470" s="1720"/>
      <c r="W470" s="1720"/>
      <c r="X470" s="1720"/>
      <c r="Y470" s="1720"/>
      <c r="Z470" s="1720"/>
      <c r="AA470" s="1721"/>
      <c r="AB470" s="1706"/>
      <c r="AC470" s="1706"/>
      <c r="AD470" s="1706"/>
      <c r="AE470" s="1706"/>
      <c r="AF470" s="1706"/>
      <c r="AG470" s="1706"/>
      <c r="AH470" s="1706"/>
      <c r="AI470" s="1706"/>
    </row>
    <row r="471" spans="1:35" x14ac:dyDescent="0.2">
      <c r="A471" s="1720"/>
      <c r="B471" s="1720"/>
      <c r="C471" s="1720"/>
      <c r="D471" s="1720"/>
      <c r="E471" s="1720"/>
      <c r="F471" s="1720"/>
      <c r="G471" s="1720"/>
      <c r="H471" s="1720"/>
      <c r="I471" s="1720"/>
      <c r="J471" s="1720"/>
      <c r="K471" s="1720"/>
      <c r="L471" s="1720"/>
      <c r="M471" s="1720"/>
      <c r="N471" s="1720"/>
      <c r="O471" s="1720"/>
      <c r="P471" s="1720"/>
      <c r="Q471" s="1720"/>
      <c r="R471" s="1720"/>
      <c r="S471" s="1720"/>
      <c r="T471" s="1720"/>
      <c r="U471" s="1720"/>
      <c r="V471" s="1720"/>
      <c r="W471" s="1720"/>
      <c r="X471" s="1720"/>
      <c r="Y471" s="1720"/>
      <c r="Z471" s="1720"/>
      <c r="AA471" s="1721"/>
      <c r="AB471" s="1706"/>
      <c r="AC471" s="1706"/>
      <c r="AD471" s="1706"/>
      <c r="AE471" s="1706"/>
      <c r="AF471" s="1706"/>
      <c r="AG471" s="1706"/>
      <c r="AH471" s="1706"/>
      <c r="AI471" s="1706"/>
    </row>
    <row r="472" spans="1:35" x14ac:dyDescent="0.2">
      <c r="A472" s="1720"/>
      <c r="B472" s="1720"/>
      <c r="C472" s="1720"/>
      <c r="D472" s="1720"/>
      <c r="E472" s="1720"/>
      <c r="F472" s="1720"/>
      <c r="G472" s="1720"/>
      <c r="H472" s="1720"/>
      <c r="I472" s="1720"/>
      <c r="J472" s="1720"/>
      <c r="K472" s="1720"/>
      <c r="L472" s="1720"/>
      <c r="M472" s="1720"/>
      <c r="N472" s="1720"/>
      <c r="O472" s="1720"/>
      <c r="P472" s="1720"/>
      <c r="Q472" s="1720"/>
      <c r="R472" s="1720"/>
      <c r="S472" s="1720"/>
      <c r="T472" s="1720"/>
      <c r="U472" s="1720"/>
      <c r="V472" s="1720"/>
      <c r="W472" s="1720"/>
      <c r="X472" s="1720"/>
      <c r="Y472" s="1720"/>
      <c r="Z472" s="1720"/>
      <c r="AA472" s="1721"/>
      <c r="AB472" s="1706"/>
      <c r="AC472" s="1706"/>
      <c r="AD472" s="1706"/>
      <c r="AE472" s="1706"/>
      <c r="AF472" s="1706"/>
      <c r="AG472" s="1706"/>
      <c r="AH472" s="1706"/>
      <c r="AI472" s="1706"/>
    </row>
    <row r="473" spans="1:35" x14ac:dyDescent="0.2">
      <c r="A473" s="1720"/>
      <c r="B473" s="1720"/>
      <c r="C473" s="1720"/>
      <c r="D473" s="1720"/>
      <c r="E473" s="1720"/>
      <c r="F473" s="1720"/>
      <c r="G473" s="1720"/>
      <c r="H473" s="1720"/>
      <c r="I473" s="1720"/>
      <c r="J473" s="1720"/>
      <c r="K473" s="1720"/>
      <c r="L473" s="1720"/>
      <c r="M473" s="1720"/>
      <c r="N473" s="1720"/>
      <c r="O473" s="1720"/>
      <c r="P473" s="1720"/>
      <c r="Q473" s="1720"/>
      <c r="R473" s="1720"/>
      <c r="S473" s="1720"/>
      <c r="T473" s="1720"/>
      <c r="U473" s="1720"/>
      <c r="V473" s="1720"/>
      <c r="W473" s="1720"/>
      <c r="X473" s="1720"/>
      <c r="Y473" s="1720"/>
      <c r="Z473" s="1720"/>
      <c r="AA473" s="1721"/>
      <c r="AB473" s="1706"/>
      <c r="AC473" s="1706"/>
      <c r="AD473" s="1706"/>
      <c r="AE473" s="1706"/>
      <c r="AF473" s="1706"/>
      <c r="AG473" s="1706"/>
      <c r="AH473" s="1706"/>
      <c r="AI473" s="1706"/>
    </row>
    <row r="474" spans="1:35" x14ac:dyDescent="0.2">
      <c r="A474" s="1720"/>
      <c r="B474" s="1720"/>
      <c r="C474" s="1720"/>
      <c r="D474" s="1720"/>
      <c r="E474" s="1774">
        <v>1</v>
      </c>
      <c r="F474" s="1720"/>
      <c r="G474" s="1720"/>
      <c r="H474" s="3084" t="str">
        <f>VLOOKUP(E474,data_guru,3,FALSE)</f>
        <v>Yusuf Nur Ikhsan , S.Pd</v>
      </c>
      <c r="I474" s="3084"/>
      <c r="J474" s="3084"/>
      <c r="K474" s="3084"/>
      <c r="L474" s="3084"/>
      <c r="M474" s="3084"/>
      <c r="N474" s="3084"/>
      <c r="O474" s="3084"/>
      <c r="P474" s="3084"/>
      <c r="Q474" s="3084"/>
      <c r="R474" s="1720"/>
      <c r="S474" s="1720"/>
      <c r="T474" s="1720"/>
      <c r="U474" s="1720"/>
      <c r="V474" s="1720"/>
      <c r="W474" s="1720"/>
      <c r="X474" s="1720"/>
      <c r="Y474" s="1720"/>
      <c r="Z474" s="1720"/>
      <c r="AA474" s="1721"/>
      <c r="AB474" s="1706"/>
      <c r="AC474" s="1706"/>
      <c r="AD474" s="1706"/>
      <c r="AE474" s="1706"/>
      <c r="AF474" s="1706"/>
      <c r="AG474" s="1706"/>
      <c r="AH474" s="1706"/>
      <c r="AI474" s="1706"/>
    </row>
    <row r="475" spans="1:35" x14ac:dyDescent="0.2">
      <c r="A475" s="1720"/>
      <c r="B475" s="1720"/>
      <c r="C475" s="1720"/>
      <c r="D475" s="1720"/>
      <c r="E475" s="1774">
        <v>2</v>
      </c>
      <c r="F475" s="1720"/>
      <c r="G475" s="1720"/>
      <c r="H475" s="1775"/>
      <c r="I475" s="1775"/>
      <c r="J475" s="1733" t="str">
        <f>VLOOKUP(E475,data_guru,3,FALSE)</f>
        <v>NIP.   196004051979121009</v>
      </c>
      <c r="K475" s="1733"/>
      <c r="L475" s="1733"/>
      <c r="M475" s="1733"/>
      <c r="N475" s="1733"/>
      <c r="O475" s="1733"/>
      <c r="P475" s="1733"/>
      <c r="Q475" s="1733"/>
      <c r="R475" s="1720"/>
      <c r="S475" s="1720"/>
      <c r="T475" s="1720"/>
      <c r="U475" s="1720"/>
      <c r="V475" s="1720"/>
      <c r="W475" s="1720"/>
      <c r="X475" s="1720"/>
      <c r="Y475" s="1720"/>
      <c r="Z475" s="1720"/>
      <c r="AA475" s="1721"/>
      <c r="AB475" s="1706"/>
      <c r="AC475" s="1706"/>
      <c r="AD475" s="1706"/>
      <c r="AE475" s="1706"/>
      <c r="AF475" s="1706"/>
      <c r="AG475" s="1706"/>
      <c r="AH475" s="1706"/>
      <c r="AI475" s="1706"/>
    </row>
    <row r="476" spans="1:35" x14ac:dyDescent="0.2">
      <c r="A476" s="1720"/>
      <c r="B476" s="1720"/>
      <c r="C476" s="1720"/>
      <c r="D476" s="1720"/>
      <c r="E476" s="1720"/>
      <c r="F476" s="1720"/>
      <c r="G476" s="1720"/>
      <c r="H476" s="1720"/>
      <c r="I476" s="1720"/>
      <c r="J476" s="1720"/>
      <c r="K476" s="1720"/>
      <c r="L476" s="1720"/>
      <c r="M476" s="1720"/>
      <c r="N476" s="1720"/>
      <c r="O476" s="1720"/>
      <c r="P476" s="1720"/>
      <c r="Q476" s="1720"/>
      <c r="R476" s="1720"/>
      <c r="S476" s="1720"/>
      <c r="T476" s="1720"/>
      <c r="U476" s="1720"/>
      <c r="V476" s="1720"/>
      <c r="W476" s="1720"/>
      <c r="X476" s="1720"/>
      <c r="Y476" s="1720"/>
      <c r="Z476" s="1720"/>
      <c r="AA476" s="1721"/>
      <c r="AB476" s="1706"/>
      <c r="AC476" s="1706"/>
      <c r="AD476" s="1706"/>
      <c r="AE476" s="1706"/>
      <c r="AF476" s="1706"/>
      <c r="AG476" s="1706"/>
      <c r="AH476" s="1706"/>
      <c r="AI476" s="1706"/>
    </row>
    <row r="477" spans="1:35" x14ac:dyDescent="0.2">
      <c r="A477" s="1720"/>
      <c r="B477" s="1720"/>
      <c r="C477" s="1720"/>
      <c r="D477" s="1720"/>
      <c r="E477" s="1720"/>
      <c r="F477" s="1720"/>
      <c r="G477" s="1720"/>
      <c r="H477" s="1720"/>
      <c r="I477" s="1720"/>
      <c r="J477" s="1720"/>
      <c r="K477" s="1720"/>
      <c r="L477" s="1720"/>
      <c r="M477" s="1720"/>
      <c r="N477" s="1720"/>
      <c r="O477" s="1720"/>
      <c r="P477" s="1720"/>
      <c r="Q477" s="1720"/>
      <c r="R477" s="1720"/>
      <c r="S477" s="1720"/>
      <c r="T477" s="1720"/>
      <c r="U477" s="1720"/>
      <c r="V477" s="1720"/>
      <c r="W477" s="1720"/>
      <c r="X477" s="1720"/>
      <c r="Y477" s="1720"/>
      <c r="Z477" s="1720"/>
      <c r="AA477" s="1721"/>
      <c r="AB477" s="1706"/>
      <c r="AC477" s="1706"/>
      <c r="AD477" s="1706"/>
      <c r="AE477" s="1706"/>
      <c r="AF477" s="1706"/>
      <c r="AG477" s="1706"/>
      <c r="AH477" s="1706"/>
      <c r="AI477" s="1706"/>
    </row>
    <row r="478" spans="1:35" x14ac:dyDescent="0.2">
      <c r="A478" s="1720"/>
      <c r="B478" s="1720"/>
      <c r="C478" s="1720"/>
      <c r="D478" s="1720"/>
      <c r="E478" s="1720"/>
      <c r="F478" s="1720"/>
      <c r="G478" s="1720"/>
      <c r="H478" s="1720"/>
      <c r="I478" s="1720"/>
      <c r="J478" s="1720"/>
      <c r="K478" s="1720"/>
      <c r="L478" s="1720"/>
      <c r="M478" s="1720"/>
      <c r="N478" s="1720"/>
      <c r="O478" s="1720"/>
      <c r="P478" s="1720"/>
      <c r="Q478" s="1720"/>
      <c r="R478" s="1720"/>
      <c r="S478" s="1720"/>
      <c r="T478" s="1720"/>
      <c r="U478" s="1720"/>
      <c r="V478" s="1720"/>
      <c r="W478" s="1720"/>
      <c r="X478" s="1720"/>
      <c r="Y478" s="1720"/>
      <c r="Z478" s="1720"/>
      <c r="AA478" s="1721"/>
      <c r="AB478" s="1706"/>
      <c r="AC478" s="1706"/>
      <c r="AD478" s="1706"/>
      <c r="AE478" s="1706"/>
      <c r="AF478" s="1706"/>
      <c r="AG478" s="1706"/>
      <c r="AH478" s="1706"/>
      <c r="AI478" s="1706"/>
    </row>
    <row r="479" spans="1:35" x14ac:dyDescent="0.2">
      <c r="A479" s="1720"/>
      <c r="B479" s="1720"/>
      <c r="C479" s="1720"/>
      <c r="D479" s="1720"/>
      <c r="E479" s="1720"/>
      <c r="F479" s="1720"/>
      <c r="G479" s="1720"/>
      <c r="H479" s="1720"/>
      <c r="I479" s="1720"/>
      <c r="J479" s="1720"/>
      <c r="K479" s="1720"/>
      <c r="L479" s="1720"/>
      <c r="M479" s="1720"/>
      <c r="N479" s="1720"/>
      <c r="O479" s="1720"/>
      <c r="P479" s="1720"/>
      <c r="Q479" s="1720"/>
      <c r="R479" s="1720"/>
      <c r="S479" s="1720"/>
      <c r="T479" s="1720"/>
      <c r="U479" s="1720"/>
      <c r="V479" s="1720"/>
      <c r="W479" s="1720"/>
      <c r="X479" s="1720"/>
      <c r="Y479" s="1720"/>
      <c r="Z479" s="1720"/>
      <c r="AA479" s="1721"/>
      <c r="AB479" s="1706"/>
      <c r="AC479" s="1706"/>
      <c r="AD479" s="1706"/>
      <c r="AE479" s="1706"/>
      <c r="AF479" s="1706"/>
      <c r="AG479" s="1706"/>
      <c r="AH479" s="1706"/>
      <c r="AI479" s="1706"/>
    </row>
    <row r="480" spans="1:35" x14ac:dyDescent="0.2">
      <c r="A480" s="1720"/>
      <c r="B480" s="1720"/>
      <c r="C480" s="1720"/>
      <c r="D480" s="1720"/>
      <c r="E480" s="1720"/>
      <c r="F480" s="1720"/>
      <c r="G480" s="1720"/>
      <c r="H480" s="1720"/>
      <c r="I480" s="1720"/>
      <c r="J480" s="1720"/>
      <c r="K480" s="1720"/>
      <c r="L480" s="1720"/>
      <c r="M480" s="1720"/>
      <c r="N480" s="1720"/>
      <c r="O480" s="1720"/>
      <c r="P480" s="1720"/>
      <c r="Q480" s="1720"/>
      <c r="R480" s="1720"/>
      <c r="S480" s="1720"/>
      <c r="T480" s="1720"/>
      <c r="U480" s="1720"/>
      <c r="V480" s="1720"/>
      <c r="W480" s="1720"/>
      <c r="X480" s="1720"/>
      <c r="Y480" s="1720"/>
      <c r="Z480" s="1720"/>
      <c r="AA480" s="1721"/>
      <c r="AB480" s="1706"/>
      <c r="AC480" s="1706"/>
      <c r="AD480" s="1706"/>
      <c r="AE480" s="1706"/>
      <c r="AF480" s="1706"/>
      <c r="AG480" s="1706"/>
      <c r="AH480" s="1706"/>
      <c r="AI480" s="1706"/>
    </row>
    <row r="481" spans="1:35" x14ac:dyDescent="0.2">
      <c r="A481" s="1720"/>
      <c r="B481" s="1720"/>
      <c r="C481" s="1720"/>
      <c r="D481" s="1720"/>
      <c r="E481" s="1720"/>
      <c r="F481" s="1720"/>
      <c r="G481" s="1720"/>
      <c r="H481" s="1720"/>
      <c r="I481" s="1720"/>
      <c r="J481" s="1720"/>
      <c r="K481" s="1720"/>
      <c r="L481" s="1720"/>
      <c r="M481" s="1720"/>
      <c r="N481" s="1720"/>
      <c r="O481" s="1720"/>
      <c r="P481" s="1720"/>
      <c r="Q481" s="1720"/>
      <c r="R481" s="1720"/>
      <c r="S481" s="1720"/>
      <c r="T481" s="1720"/>
      <c r="U481" s="1720"/>
      <c r="V481" s="1720"/>
      <c r="W481" s="1720"/>
      <c r="X481" s="1720"/>
      <c r="Y481" s="1720"/>
      <c r="Z481" s="1720"/>
      <c r="AA481" s="1721"/>
      <c r="AB481" s="1706"/>
      <c r="AC481" s="1706"/>
      <c r="AD481" s="1706"/>
      <c r="AE481" s="1706"/>
      <c r="AF481" s="1706"/>
      <c r="AG481" s="1706"/>
      <c r="AH481" s="1706"/>
      <c r="AI481" s="1706"/>
    </row>
    <row r="482" spans="1:35" x14ac:dyDescent="0.2">
      <c r="A482" s="1720"/>
      <c r="B482" s="1720"/>
      <c r="C482" s="1720"/>
      <c r="D482" s="1720"/>
      <c r="E482" s="1720"/>
      <c r="F482" s="1720"/>
      <c r="G482" s="1720"/>
      <c r="H482" s="1720"/>
      <c r="I482" s="1720"/>
      <c r="J482" s="1720"/>
      <c r="K482" s="1720"/>
      <c r="L482" s="1720"/>
      <c r="M482" s="1720"/>
      <c r="N482" s="1720"/>
      <c r="O482" s="1720"/>
      <c r="P482" s="1720"/>
      <c r="Q482" s="1720"/>
      <c r="R482" s="1720"/>
      <c r="S482" s="1720"/>
      <c r="T482" s="1720"/>
      <c r="U482" s="1720"/>
      <c r="V482" s="1720"/>
      <c r="W482" s="1720"/>
      <c r="X482" s="1720"/>
      <c r="Y482" s="1720"/>
      <c r="Z482" s="1720"/>
      <c r="AA482" s="1721"/>
      <c r="AB482" s="1706"/>
      <c r="AC482" s="1706"/>
      <c r="AD482" s="1706"/>
      <c r="AE482" s="1706"/>
      <c r="AF482" s="1706"/>
      <c r="AG482" s="1706"/>
      <c r="AH482" s="1706"/>
      <c r="AI482" s="1706"/>
    </row>
    <row r="483" spans="1:35" x14ac:dyDescent="0.2">
      <c r="A483" s="1720"/>
      <c r="B483" s="1720"/>
      <c r="C483" s="1720"/>
      <c r="D483" s="1720"/>
      <c r="E483" s="1720"/>
      <c r="F483" s="1720"/>
      <c r="G483" s="1720"/>
      <c r="H483" s="1720"/>
      <c r="I483" s="1720"/>
      <c r="J483" s="1720"/>
      <c r="K483" s="1720"/>
      <c r="L483" s="1720"/>
      <c r="M483" s="1720"/>
      <c r="N483" s="1720"/>
      <c r="O483" s="1720"/>
      <c r="P483" s="1720"/>
      <c r="Q483" s="1720"/>
      <c r="R483" s="1720"/>
      <c r="S483" s="1720"/>
      <c r="T483" s="1720"/>
      <c r="U483" s="1720"/>
      <c r="V483" s="1720"/>
      <c r="W483" s="1720"/>
      <c r="X483" s="1720"/>
      <c r="Y483" s="1720"/>
      <c r="Z483" s="1720"/>
      <c r="AA483" s="1721"/>
      <c r="AB483" s="1706"/>
      <c r="AC483" s="1706"/>
      <c r="AD483" s="1706"/>
      <c r="AE483" s="1706"/>
      <c r="AF483" s="1706"/>
      <c r="AG483" s="1706"/>
      <c r="AH483" s="1706"/>
      <c r="AI483" s="1706"/>
    </row>
    <row r="484" spans="1:35" x14ac:dyDescent="0.2">
      <c r="A484" s="1720"/>
      <c r="B484" s="1720"/>
      <c r="C484" s="1720"/>
      <c r="D484" s="1720"/>
      <c r="E484" s="1720"/>
      <c r="F484" s="1720"/>
      <c r="G484" s="1720"/>
      <c r="H484" s="1720"/>
      <c r="I484" s="1720"/>
      <c r="J484" s="1720"/>
      <c r="K484" s="1720"/>
      <c r="L484" s="1720"/>
      <c r="M484" s="1720"/>
      <c r="N484" s="1720"/>
      <c r="O484" s="1720"/>
      <c r="P484" s="1720"/>
      <c r="Q484" s="1720"/>
      <c r="R484" s="1720"/>
      <c r="S484" s="1720"/>
      <c r="T484" s="1720"/>
      <c r="U484" s="1720"/>
      <c r="V484" s="1720"/>
      <c r="W484" s="1720"/>
      <c r="X484" s="1720"/>
      <c r="Y484" s="1720"/>
      <c r="Z484" s="1720"/>
      <c r="AA484" s="1721"/>
      <c r="AB484" s="1706"/>
      <c r="AC484" s="1706"/>
      <c r="AD484" s="1706"/>
      <c r="AE484" s="1706"/>
      <c r="AF484" s="1706"/>
      <c r="AG484" s="1706"/>
      <c r="AH484" s="1706"/>
      <c r="AI484" s="1706"/>
    </row>
    <row r="485" spans="1:35" x14ac:dyDescent="0.2">
      <c r="A485" s="1720"/>
      <c r="B485" s="1720"/>
      <c r="C485" s="1720"/>
      <c r="D485" s="1720"/>
      <c r="E485" s="1720"/>
      <c r="F485" s="1720"/>
      <c r="G485" s="1720"/>
      <c r="H485" s="1720"/>
      <c r="I485" s="1720"/>
      <c r="J485" s="1720"/>
      <c r="K485" s="1720"/>
      <c r="L485" s="1720"/>
      <c r="M485" s="1720"/>
      <c r="N485" s="1720"/>
      <c r="O485" s="1720"/>
      <c r="P485" s="1720"/>
      <c r="Q485" s="1720"/>
      <c r="R485" s="1720"/>
      <c r="S485" s="1720"/>
      <c r="T485" s="1720"/>
      <c r="U485" s="1720"/>
      <c r="V485" s="1720"/>
      <c r="W485" s="1720"/>
      <c r="X485" s="1720"/>
      <c r="Y485" s="1720"/>
      <c r="Z485" s="1720"/>
      <c r="AA485" s="1721"/>
      <c r="AB485" s="1706"/>
      <c r="AC485" s="1706"/>
      <c r="AD485" s="1706"/>
      <c r="AE485" s="1706"/>
      <c r="AF485" s="1706"/>
      <c r="AG485" s="1706"/>
      <c r="AH485" s="1706"/>
      <c r="AI485" s="1706"/>
    </row>
    <row r="486" spans="1:35" x14ac:dyDescent="0.2">
      <c r="A486" s="1720"/>
      <c r="B486" s="1720"/>
      <c r="C486" s="1720"/>
      <c r="D486" s="1720"/>
      <c r="E486" s="1720"/>
      <c r="F486" s="1720"/>
      <c r="G486" s="1720"/>
      <c r="H486" s="1720"/>
      <c r="I486" s="1720"/>
      <c r="J486" s="1720"/>
      <c r="K486" s="1720"/>
      <c r="L486" s="1720"/>
      <c r="M486" s="1720"/>
      <c r="N486" s="1720"/>
      <c r="O486" s="1720"/>
      <c r="P486" s="1720"/>
      <c r="Q486" s="1720"/>
      <c r="R486" s="1720"/>
      <c r="S486" s="1720"/>
      <c r="T486" s="1720"/>
      <c r="U486" s="1720"/>
      <c r="V486" s="1720"/>
      <c r="W486" s="1720"/>
      <c r="X486" s="1720"/>
      <c r="Y486" s="1720"/>
      <c r="Z486" s="1720"/>
      <c r="AA486" s="1721"/>
      <c r="AB486" s="2978" t="s">
        <v>257</v>
      </c>
      <c r="AC486" s="2978"/>
      <c r="AD486" s="2978"/>
      <c r="AE486" s="2978"/>
      <c r="AF486" s="2978"/>
      <c r="AG486" s="2978"/>
      <c r="AH486" s="2978"/>
      <c r="AI486" s="2978"/>
    </row>
    <row r="487" spans="1:35" x14ac:dyDescent="0.2">
      <c r="A487" s="1720"/>
      <c r="B487" s="1720"/>
      <c r="C487" s="1720"/>
      <c r="D487" s="1720"/>
      <c r="E487" s="1720"/>
      <c r="F487" s="1720"/>
      <c r="G487" s="1720"/>
      <c r="H487" s="1720"/>
      <c r="I487" s="1720"/>
      <c r="J487" s="1720"/>
      <c r="K487" s="1720"/>
      <c r="L487" s="1720"/>
      <c r="M487" s="1720"/>
      <c r="N487" s="1720"/>
      <c r="O487" s="1720"/>
      <c r="P487" s="1720"/>
      <c r="Q487" s="1720"/>
      <c r="R487" s="1720"/>
      <c r="S487" s="1720"/>
      <c r="T487" s="1720"/>
      <c r="U487" s="1720"/>
      <c r="V487" s="1720"/>
      <c r="W487" s="1720"/>
      <c r="X487" s="1720"/>
      <c r="Y487" s="1720"/>
      <c r="Z487" s="1720"/>
      <c r="AA487" s="1721"/>
      <c r="AB487" s="2978"/>
      <c r="AC487" s="2978"/>
      <c r="AD487" s="2978"/>
      <c r="AE487" s="2978"/>
      <c r="AF487" s="2978"/>
      <c r="AG487" s="2978"/>
      <c r="AH487" s="2978"/>
      <c r="AI487" s="2978"/>
    </row>
    <row r="488" spans="1:35" x14ac:dyDescent="0.2">
      <c r="A488" s="1720"/>
      <c r="B488" s="1720"/>
      <c r="C488" s="1720"/>
      <c r="D488" s="1720"/>
      <c r="E488" s="1720"/>
      <c r="F488" s="1720"/>
      <c r="G488" s="1720"/>
      <c r="H488" s="1720"/>
      <c r="I488" s="1720"/>
      <c r="J488" s="1720"/>
      <c r="K488" s="1720"/>
      <c r="L488" s="1720"/>
      <c r="M488" s="1720"/>
      <c r="N488" s="1720"/>
      <c r="O488" s="1720"/>
      <c r="P488" s="1720"/>
      <c r="Q488" s="1720"/>
      <c r="R488" s="1720"/>
      <c r="S488" s="1720"/>
      <c r="T488" s="1720"/>
      <c r="U488" s="1720"/>
      <c r="V488" s="1720"/>
      <c r="W488" s="1720"/>
      <c r="X488" s="1720"/>
      <c r="Y488" s="1720"/>
      <c r="Z488" s="1720"/>
      <c r="AA488" s="1721"/>
      <c r="AB488" s="1706"/>
      <c r="AC488" s="1706"/>
      <c r="AD488" s="1706"/>
      <c r="AE488" s="1706"/>
      <c r="AF488" s="1706"/>
      <c r="AG488" s="1706"/>
      <c r="AH488" s="1706"/>
      <c r="AI488" s="1706"/>
    </row>
    <row r="489" spans="1:35" ht="20.25" customHeight="1" x14ac:dyDescent="0.2">
      <c r="A489" s="3013" t="s">
        <v>510</v>
      </c>
      <c r="B489" s="3013"/>
      <c r="C489" s="3013"/>
      <c r="D489" s="3013"/>
      <c r="E489" s="3013"/>
      <c r="F489" s="3013"/>
      <c r="G489" s="3013"/>
      <c r="H489" s="3013"/>
      <c r="I489" s="3013"/>
      <c r="J489" s="3013"/>
      <c r="K489" s="3013"/>
      <c r="L489" s="3013"/>
      <c r="M489" s="3013"/>
      <c r="N489" s="3013"/>
      <c r="O489" s="3013"/>
      <c r="P489" s="3013"/>
      <c r="Q489" s="3013"/>
      <c r="R489" s="3013"/>
      <c r="S489" s="3013"/>
      <c r="T489" s="3013"/>
      <c r="U489" s="3013"/>
      <c r="V489" s="3013"/>
      <c r="W489" s="3013"/>
      <c r="X489" s="3013"/>
      <c r="Y489" s="3013"/>
      <c r="Z489" s="3013"/>
      <c r="AA489" s="1721"/>
      <c r="AB489" s="2981">
        <f>AB428</f>
        <v>6</v>
      </c>
      <c r="AC489" s="2983" t="str">
        <f>AC428</f>
        <v>Asyam Hanif Ihsan H</v>
      </c>
      <c r="AD489" s="2984"/>
      <c r="AE489" s="2984"/>
      <c r="AF489" s="2985"/>
      <c r="AG489" s="1706"/>
      <c r="AH489" s="1706"/>
      <c r="AI489" s="1706"/>
    </row>
    <row r="490" spans="1:35" x14ac:dyDescent="0.2">
      <c r="A490" s="1720"/>
      <c r="B490" s="1720"/>
      <c r="C490" s="1720"/>
      <c r="D490" s="1720"/>
      <c r="E490" s="1720"/>
      <c r="F490" s="1720"/>
      <c r="G490" s="1720"/>
      <c r="H490" s="1720"/>
      <c r="I490" s="1720"/>
      <c r="J490" s="1720"/>
      <c r="K490" s="1720"/>
      <c r="L490" s="1720"/>
      <c r="M490" s="1720"/>
      <c r="N490" s="1720"/>
      <c r="O490" s="1720"/>
      <c r="P490" s="1720"/>
      <c r="Q490" s="1720"/>
      <c r="R490" s="1720"/>
      <c r="S490" s="1720"/>
      <c r="T490" s="1720"/>
      <c r="U490" s="1720"/>
      <c r="V490" s="1720"/>
      <c r="W490" s="1720"/>
      <c r="X490" s="1720"/>
      <c r="Y490" s="1720"/>
      <c r="Z490" s="1720"/>
      <c r="AA490" s="1721"/>
      <c r="AB490" s="2982"/>
      <c r="AC490" s="2986"/>
      <c r="AD490" s="2987"/>
      <c r="AE490" s="2987"/>
      <c r="AF490" s="2988"/>
      <c r="AG490" s="1706"/>
      <c r="AH490" s="1706"/>
      <c r="AI490" s="1706"/>
    </row>
    <row r="491" spans="1:35" ht="15" x14ac:dyDescent="0.2">
      <c r="A491" s="1720"/>
      <c r="B491" s="1731" t="s">
        <v>511</v>
      </c>
      <c r="C491" s="1720"/>
      <c r="D491" s="1720"/>
      <c r="E491" s="1720"/>
      <c r="F491" s="1720"/>
      <c r="G491" s="1720"/>
      <c r="H491" s="1722"/>
      <c r="I491" s="3083"/>
      <c r="J491" s="3083"/>
      <c r="K491" s="3083"/>
      <c r="L491" s="3083"/>
      <c r="M491" s="3083"/>
      <c r="N491" s="3083"/>
      <c r="O491" s="3083"/>
      <c r="P491" s="3083"/>
      <c r="Q491" s="3083"/>
      <c r="R491" s="3083"/>
      <c r="S491" s="3083"/>
      <c r="T491" s="3083"/>
      <c r="U491" s="3083"/>
      <c r="V491" s="3083"/>
      <c r="W491" s="1720"/>
      <c r="X491" s="1720"/>
      <c r="Y491" s="1720"/>
      <c r="Z491" s="1720"/>
      <c r="AA491" s="1721"/>
      <c r="AB491" s="2956" t="s">
        <v>506</v>
      </c>
      <c r="AC491" s="2957"/>
      <c r="AD491" s="2957"/>
      <c r="AE491" s="2957"/>
      <c r="AF491" s="2958"/>
      <c r="AG491" s="1706"/>
      <c r="AH491" s="1706"/>
      <c r="AI491" s="1706"/>
    </row>
    <row r="492" spans="1:35" x14ac:dyDescent="0.2">
      <c r="A492" s="1720"/>
      <c r="B492" s="1720"/>
      <c r="C492" s="1720"/>
      <c r="D492" s="1720"/>
      <c r="E492" s="1720"/>
      <c r="F492" s="1720"/>
      <c r="G492" s="1720"/>
      <c r="H492" s="1720"/>
      <c r="I492" s="1720"/>
      <c r="J492" s="1720"/>
      <c r="K492" s="1720"/>
      <c r="L492" s="1720"/>
      <c r="M492" s="1720"/>
      <c r="N492" s="1720"/>
      <c r="O492" s="1720"/>
      <c r="P492" s="1720"/>
      <c r="Q492" s="1720"/>
      <c r="R492" s="1720"/>
      <c r="S492" s="1720"/>
      <c r="T492" s="1720"/>
      <c r="U492" s="1720"/>
      <c r="V492" s="1720"/>
      <c r="W492" s="1720"/>
      <c r="X492" s="1720"/>
      <c r="Y492" s="1720"/>
      <c r="Z492" s="1720"/>
      <c r="AA492" s="1721"/>
      <c r="AB492" s="2959"/>
      <c r="AC492" s="2960"/>
      <c r="AD492" s="2960"/>
      <c r="AE492" s="2960"/>
      <c r="AF492" s="2961"/>
      <c r="AG492" s="1706"/>
      <c r="AH492" s="1706"/>
      <c r="AI492" s="1706"/>
    </row>
    <row r="493" spans="1:35" ht="21" customHeight="1" x14ac:dyDescent="0.2">
      <c r="A493" s="1720"/>
      <c r="B493" s="3067" t="s">
        <v>512</v>
      </c>
      <c r="C493" s="3068"/>
      <c r="D493" s="3068"/>
      <c r="E493" s="3068"/>
      <c r="F493" s="3068"/>
      <c r="G493" s="3068"/>
      <c r="H493" s="3068"/>
      <c r="I493" s="3068"/>
      <c r="J493" s="3068"/>
      <c r="K493" s="3068"/>
      <c r="L493" s="3068"/>
      <c r="M493" s="3068"/>
      <c r="N493" s="3068"/>
      <c r="O493" s="3068"/>
      <c r="P493" s="3068"/>
      <c r="Q493" s="3068"/>
      <c r="R493" s="3068"/>
      <c r="S493" s="3068"/>
      <c r="T493" s="3068"/>
      <c r="U493" s="3068"/>
      <c r="V493" s="3068"/>
      <c r="W493" s="3068"/>
      <c r="X493" s="3068"/>
      <c r="Y493" s="3069"/>
      <c r="Z493" s="1720"/>
      <c r="AA493" s="1721"/>
      <c r="AB493" s="1706"/>
      <c r="AC493" s="1706"/>
      <c r="AD493" s="1706"/>
      <c r="AE493" s="1706"/>
      <c r="AF493" s="1706"/>
      <c r="AG493" s="1706"/>
      <c r="AH493" s="1706"/>
      <c r="AI493" s="1706"/>
    </row>
    <row r="494" spans="1:35" ht="14.25" customHeight="1" x14ac:dyDescent="0.2">
      <c r="A494" s="1720"/>
      <c r="B494" s="2962" t="s">
        <v>513</v>
      </c>
      <c r="C494" s="3063"/>
      <c r="D494" s="3063"/>
      <c r="E494" s="3063"/>
      <c r="F494" s="3063"/>
      <c r="G494" s="2963"/>
      <c r="H494" s="3070" t="s">
        <v>514</v>
      </c>
      <c r="I494" s="3071"/>
      <c r="J494" s="3071"/>
      <c r="K494" s="3071"/>
      <c r="L494" s="3072"/>
      <c r="M494" s="3070" t="s">
        <v>519</v>
      </c>
      <c r="N494" s="3071"/>
      <c r="O494" s="3071"/>
      <c r="P494" s="3071"/>
      <c r="Q494" s="3071"/>
      <c r="R494" s="3071"/>
      <c r="S494" s="3072"/>
      <c r="T494" s="3070" t="s">
        <v>515</v>
      </c>
      <c r="U494" s="3071"/>
      <c r="V494" s="3071"/>
      <c r="W494" s="3071"/>
      <c r="X494" s="3071"/>
      <c r="Y494" s="3072"/>
      <c r="Z494" s="1720"/>
      <c r="AA494" s="1721"/>
      <c r="AB494" s="1706"/>
      <c r="AC494" s="1706"/>
      <c r="AD494" s="1706"/>
      <c r="AE494" s="1706"/>
      <c r="AF494" s="1706"/>
      <c r="AG494" s="1706"/>
      <c r="AH494" s="1706"/>
      <c r="AI494" s="1706"/>
    </row>
    <row r="495" spans="1:35" x14ac:dyDescent="0.2">
      <c r="A495" s="1720"/>
      <c r="B495" s="2964"/>
      <c r="C495" s="3064"/>
      <c r="D495" s="3064"/>
      <c r="E495" s="3064"/>
      <c r="F495" s="3064"/>
      <c r="G495" s="2965"/>
      <c r="H495" s="3073"/>
      <c r="I495" s="3074"/>
      <c r="J495" s="3074"/>
      <c r="K495" s="3074"/>
      <c r="L495" s="3075"/>
      <c r="M495" s="3073"/>
      <c r="N495" s="3074"/>
      <c r="O495" s="3074"/>
      <c r="P495" s="3074"/>
      <c r="Q495" s="3074"/>
      <c r="R495" s="3074"/>
      <c r="S495" s="3075"/>
      <c r="T495" s="3073"/>
      <c r="U495" s="3074"/>
      <c r="V495" s="3074"/>
      <c r="W495" s="3074"/>
      <c r="X495" s="3074"/>
      <c r="Y495" s="3075"/>
      <c r="Z495" s="1720"/>
      <c r="AA495" s="1721"/>
      <c r="AB495" s="1706"/>
      <c r="AC495" s="1706"/>
      <c r="AD495" s="1706"/>
      <c r="AE495" s="1706"/>
      <c r="AF495" s="1706"/>
      <c r="AG495" s="1706"/>
      <c r="AH495" s="1706"/>
      <c r="AI495" s="1706"/>
    </row>
    <row r="496" spans="1:35" x14ac:dyDescent="0.2">
      <c r="A496" s="1720"/>
      <c r="B496" s="2964"/>
      <c r="C496" s="3064"/>
      <c r="D496" s="3064"/>
      <c r="E496" s="3064"/>
      <c r="F496" s="3064"/>
      <c r="G496" s="2965"/>
      <c r="H496" s="3073"/>
      <c r="I496" s="3074"/>
      <c r="J496" s="3074"/>
      <c r="K496" s="3074"/>
      <c r="L496" s="3075"/>
      <c r="M496" s="3073"/>
      <c r="N496" s="3074"/>
      <c r="O496" s="3074"/>
      <c r="P496" s="3074"/>
      <c r="Q496" s="3074"/>
      <c r="R496" s="3074"/>
      <c r="S496" s="3075"/>
      <c r="T496" s="3073"/>
      <c r="U496" s="3074"/>
      <c r="V496" s="3074"/>
      <c r="W496" s="3074"/>
      <c r="X496" s="3074"/>
      <c r="Y496" s="3075"/>
      <c r="Z496" s="1720"/>
      <c r="AA496" s="1721"/>
      <c r="AB496" s="1706"/>
      <c r="AC496" s="1706"/>
      <c r="AD496" s="1706"/>
      <c r="AE496" s="1706"/>
      <c r="AF496" s="1706"/>
      <c r="AG496" s="1706"/>
      <c r="AH496" s="1706"/>
      <c r="AI496" s="1706"/>
    </row>
    <row r="497" spans="1:35" x14ac:dyDescent="0.2">
      <c r="A497" s="1720"/>
      <c r="B497" s="2964"/>
      <c r="C497" s="3064"/>
      <c r="D497" s="3064"/>
      <c r="E497" s="3064"/>
      <c r="F497" s="3064"/>
      <c r="G497" s="2965"/>
      <c r="H497" s="3073"/>
      <c r="I497" s="3074"/>
      <c r="J497" s="3074"/>
      <c r="K497" s="3074"/>
      <c r="L497" s="3075"/>
      <c r="M497" s="3073"/>
      <c r="N497" s="3074"/>
      <c r="O497" s="3074"/>
      <c r="P497" s="3074"/>
      <c r="Q497" s="3074"/>
      <c r="R497" s="3074"/>
      <c r="S497" s="3075"/>
      <c r="T497" s="3073"/>
      <c r="U497" s="3074"/>
      <c r="V497" s="3074"/>
      <c r="W497" s="3074"/>
      <c r="X497" s="3074"/>
      <c r="Y497" s="3075"/>
      <c r="Z497" s="1720"/>
      <c r="AA497" s="1721"/>
      <c r="AB497" s="1706"/>
      <c r="AC497" s="1706"/>
      <c r="AD497" s="1706"/>
      <c r="AE497" s="1706"/>
      <c r="AF497" s="1706"/>
      <c r="AG497" s="1706"/>
      <c r="AH497" s="1706"/>
      <c r="AI497" s="1706"/>
    </row>
    <row r="498" spans="1:35" x14ac:dyDescent="0.2">
      <c r="A498" s="1720"/>
      <c r="B498" s="2964"/>
      <c r="C498" s="3064"/>
      <c r="D498" s="3064"/>
      <c r="E498" s="3064"/>
      <c r="F498" s="3064"/>
      <c r="G498" s="2965"/>
      <c r="H498" s="3073"/>
      <c r="I498" s="3074"/>
      <c r="J498" s="3074"/>
      <c r="K498" s="3074"/>
      <c r="L498" s="3075"/>
      <c r="M498" s="3073"/>
      <c r="N498" s="3074"/>
      <c r="O498" s="3074"/>
      <c r="P498" s="3074"/>
      <c r="Q498" s="3074"/>
      <c r="R498" s="3074"/>
      <c r="S498" s="3075"/>
      <c r="T498" s="3073"/>
      <c r="U498" s="3074"/>
      <c r="V498" s="3074"/>
      <c r="W498" s="3074"/>
      <c r="X498" s="3074"/>
      <c r="Y498" s="3075"/>
      <c r="Z498" s="1720"/>
      <c r="AA498" s="1721"/>
      <c r="AB498" s="1706"/>
      <c r="AC498" s="1706"/>
      <c r="AD498" s="1706"/>
      <c r="AE498" s="1706"/>
      <c r="AF498" s="1706"/>
      <c r="AG498" s="1706"/>
      <c r="AH498" s="1706"/>
      <c r="AI498" s="1706"/>
    </row>
    <row r="499" spans="1:35" x14ac:dyDescent="0.2">
      <c r="A499" s="1720"/>
      <c r="B499" s="2964"/>
      <c r="C499" s="3064"/>
      <c r="D499" s="3064"/>
      <c r="E499" s="3064"/>
      <c r="F499" s="3064"/>
      <c r="G499" s="2965"/>
      <c r="H499" s="3073"/>
      <c r="I499" s="3074"/>
      <c r="J499" s="3074"/>
      <c r="K499" s="3074"/>
      <c r="L499" s="3075"/>
      <c r="M499" s="3073"/>
      <c r="N499" s="3074"/>
      <c r="O499" s="3074"/>
      <c r="P499" s="3074"/>
      <c r="Q499" s="3074"/>
      <c r="R499" s="3074"/>
      <c r="S499" s="3075"/>
      <c r="T499" s="3073"/>
      <c r="U499" s="3074"/>
      <c r="V499" s="3074"/>
      <c r="W499" s="3074"/>
      <c r="X499" s="3074"/>
      <c r="Y499" s="3075"/>
      <c r="Z499" s="1720"/>
      <c r="AA499" s="1721"/>
      <c r="AB499" s="1706"/>
      <c r="AC499" s="1706"/>
      <c r="AD499" s="1706"/>
      <c r="AE499" s="1706"/>
      <c r="AF499" s="1706"/>
      <c r="AG499" s="1706"/>
      <c r="AH499" s="1706"/>
      <c r="AI499" s="1706"/>
    </row>
    <row r="500" spans="1:35" x14ac:dyDescent="0.2">
      <c r="A500" s="1720"/>
      <c r="B500" s="2964"/>
      <c r="C500" s="3064"/>
      <c r="D500" s="3064"/>
      <c r="E500" s="3064"/>
      <c r="F500" s="3064"/>
      <c r="G500" s="2965"/>
      <c r="H500" s="3073"/>
      <c r="I500" s="3074"/>
      <c r="J500" s="3074"/>
      <c r="K500" s="3074"/>
      <c r="L500" s="3075"/>
      <c r="M500" s="3076"/>
      <c r="N500" s="3077"/>
      <c r="O500" s="3077"/>
      <c r="P500" s="3077"/>
      <c r="Q500" s="3077"/>
      <c r="R500" s="3077"/>
      <c r="S500" s="3078"/>
      <c r="T500" s="3073"/>
      <c r="U500" s="3074"/>
      <c r="V500" s="3074"/>
      <c r="W500" s="3074"/>
      <c r="X500" s="3074"/>
      <c r="Y500" s="3075"/>
      <c r="Z500" s="1720"/>
      <c r="AA500" s="1721"/>
      <c r="AB500" s="1706"/>
      <c r="AC500" s="1706"/>
      <c r="AD500" s="1706"/>
      <c r="AE500" s="1706"/>
      <c r="AF500" s="1706"/>
      <c r="AG500" s="1706"/>
      <c r="AH500" s="1706"/>
      <c r="AI500" s="1706"/>
    </row>
    <row r="501" spans="1:35" ht="15" customHeight="1" x14ac:dyDescent="0.2">
      <c r="A501" s="1720"/>
      <c r="B501" s="3060"/>
      <c r="C501" s="3054"/>
      <c r="D501" s="3054"/>
      <c r="E501" s="3054"/>
      <c r="F501" s="3054"/>
      <c r="G501" s="3055"/>
      <c r="H501" s="3060"/>
      <c r="I501" s="3054"/>
      <c r="J501" s="3054"/>
      <c r="K501" s="3054"/>
      <c r="L501" s="3055"/>
      <c r="M501" s="3054"/>
      <c r="N501" s="3054"/>
      <c r="O501" s="3054"/>
      <c r="P501" s="3054"/>
      <c r="Q501" s="3054"/>
      <c r="R501" s="3054"/>
      <c r="S501" s="3055"/>
      <c r="T501" s="1776" t="s">
        <v>516</v>
      </c>
      <c r="U501" s="1777"/>
      <c r="V501" s="1777"/>
      <c r="W501" s="1777"/>
      <c r="X501" s="1777"/>
      <c r="Y501" s="1778"/>
      <c r="Z501" s="1720"/>
      <c r="AA501" s="1721"/>
      <c r="AB501" s="1706"/>
      <c r="AC501" s="1706"/>
      <c r="AD501" s="1706"/>
      <c r="AE501" s="1706"/>
      <c r="AF501" s="1706"/>
      <c r="AG501" s="1706"/>
      <c r="AH501" s="1706"/>
      <c r="AI501" s="1706"/>
    </row>
    <row r="502" spans="1:35" x14ac:dyDescent="0.2">
      <c r="A502" s="1720"/>
      <c r="B502" s="3061"/>
      <c r="C502" s="3056"/>
      <c r="D502" s="3056"/>
      <c r="E502" s="3056"/>
      <c r="F502" s="3056"/>
      <c r="G502" s="3057"/>
      <c r="H502" s="3061"/>
      <c r="I502" s="3056"/>
      <c r="J502" s="3056"/>
      <c r="K502" s="3056"/>
      <c r="L502" s="3057"/>
      <c r="M502" s="3056"/>
      <c r="N502" s="3056"/>
      <c r="O502" s="3056"/>
      <c r="P502" s="3056"/>
      <c r="Q502" s="3056"/>
      <c r="R502" s="3056"/>
      <c r="S502" s="3057"/>
      <c r="T502" s="1779" t="s">
        <v>501</v>
      </c>
      <c r="U502" s="1771"/>
      <c r="V502" s="1771"/>
      <c r="W502" s="1771"/>
      <c r="X502" s="1771"/>
      <c r="Y502" s="1780"/>
      <c r="Z502" s="1720"/>
      <c r="AA502" s="1721"/>
      <c r="AB502" s="1706"/>
      <c r="AC502" s="1706"/>
      <c r="AD502" s="1706"/>
      <c r="AE502" s="1706"/>
      <c r="AF502" s="1706"/>
      <c r="AG502" s="1706"/>
      <c r="AH502" s="1706"/>
      <c r="AI502" s="1706"/>
    </row>
    <row r="503" spans="1:35" x14ac:dyDescent="0.2">
      <c r="A503" s="1720"/>
      <c r="B503" s="3061"/>
      <c r="C503" s="3056"/>
      <c r="D503" s="3056"/>
      <c r="E503" s="3056"/>
      <c r="F503" s="3056"/>
      <c r="G503" s="3057"/>
      <c r="H503" s="3061"/>
      <c r="I503" s="3056"/>
      <c r="J503" s="3056"/>
      <c r="K503" s="3056"/>
      <c r="L503" s="3057"/>
      <c r="M503" s="3056"/>
      <c r="N503" s="3056"/>
      <c r="O503" s="3056"/>
      <c r="P503" s="3056"/>
      <c r="Q503" s="3056"/>
      <c r="R503" s="3056"/>
      <c r="S503" s="3057"/>
      <c r="T503" s="1779"/>
      <c r="U503" s="1771"/>
      <c r="V503" s="1771"/>
      <c r="W503" s="1771"/>
      <c r="X503" s="1771"/>
      <c r="Y503" s="1780"/>
      <c r="Z503" s="1720"/>
      <c r="AA503" s="1721"/>
      <c r="AB503" s="1706"/>
      <c r="AC503" s="1706"/>
      <c r="AD503" s="1706"/>
      <c r="AE503" s="1706"/>
      <c r="AF503" s="1706"/>
      <c r="AG503" s="1706"/>
      <c r="AH503" s="1706"/>
      <c r="AI503" s="1706"/>
    </row>
    <row r="504" spans="1:35" x14ac:dyDescent="0.2">
      <c r="A504" s="1720"/>
      <c r="B504" s="3061"/>
      <c r="C504" s="3056"/>
      <c r="D504" s="3056"/>
      <c r="E504" s="3056"/>
      <c r="F504" s="3056"/>
      <c r="G504" s="3057"/>
      <c r="H504" s="3061"/>
      <c r="I504" s="3056"/>
      <c r="J504" s="3056"/>
      <c r="K504" s="3056"/>
      <c r="L504" s="3057"/>
      <c r="M504" s="3056"/>
      <c r="N504" s="3056"/>
      <c r="O504" s="3056"/>
      <c r="P504" s="3056"/>
      <c r="Q504" s="3056"/>
      <c r="R504" s="3056"/>
      <c r="S504" s="3057"/>
      <c r="T504" s="1779"/>
      <c r="U504" s="1771"/>
      <c r="V504" s="1771"/>
      <c r="W504" s="1771"/>
      <c r="X504" s="1771"/>
      <c r="Y504" s="1780"/>
      <c r="Z504" s="1720"/>
      <c r="AA504" s="1721"/>
      <c r="AB504" s="1706"/>
      <c r="AC504" s="1706"/>
      <c r="AD504" s="1706"/>
      <c r="AE504" s="1706"/>
      <c r="AF504" s="1706"/>
      <c r="AG504" s="1706"/>
      <c r="AH504" s="1706"/>
      <c r="AI504" s="1706"/>
    </row>
    <row r="505" spans="1:35" x14ac:dyDescent="0.2">
      <c r="A505" s="1720"/>
      <c r="B505" s="3061"/>
      <c r="C505" s="3056"/>
      <c r="D505" s="3056"/>
      <c r="E505" s="3056"/>
      <c r="F505" s="3056"/>
      <c r="G505" s="3057"/>
      <c r="H505" s="3061"/>
      <c r="I505" s="3056"/>
      <c r="J505" s="3056"/>
      <c r="K505" s="3056"/>
      <c r="L505" s="3057"/>
      <c r="M505" s="3056"/>
      <c r="N505" s="3056"/>
      <c r="O505" s="3056"/>
      <c r="P505" s="3056"/>
      <c r="Q505" s="3056"/>
      <c r="R505" s="3056"/>
      <c r="S505" s="3057"/>
      <c r="T505" s="1779"/>
      <c r="U505" s="1771"/>
      <c r="V505" s="1771"/>
      <c r="W505" s="1771"/>
      <c r="X505" s="1771"/>
      <c r="Y505" s="1780"/>
      <c r="Z505" s="1720"/>
      <c r="AA505" s="1721"/>
      <c r="AB505" s="1706"/>
      <c r="AC505" s="1706"/>
      <c r="AD505" s="1706"/>
      <c r="AE505" s="1706"/>
      <c r="AF505" s="1706"/>
      <c r="AG505" s="1706"/>
      <c r="AH505" s="1706"/>
      <c r="AI505" s="1706"/>
    </row>
    <row r="506" spans="1:35" x14ac:dyDescent="0.2">
      <c r="A506" s="1720"/>
      <c r="B506" s="3061"/>
      <c r="C506" s="3056"/>
      <c r="D506" s="3056"/>
      <c r="E506" s="3056"/>
      <c r="F506" s="3056"/>
      <c r="G506" s="3057"/>
      <c r="H506" s="3061"/>
      <c r="I506" s="3056"/>
      <c r="J506" s="3056"/>
      <c r="K506" s="3056"/>
      <c r="L506" s="3057"/>
      <c r="M506" s="3056"/>
      <c r="N506" s="3056"/>
      <c r="O506" s="3056"/>
      <c r="P506" s="3056"/>
      <c r="Q506" s="3056"/>
      <c r="R506" s="3056"/>
      <c r="S506" s="3057"/>
      <c r="T506" s="1781" t="s">
        <v>499</v>
      </c>
      <c r="U506" s="1782"/>
      <c r="V506" s="1782"/>
      <c r="W506" s="1782"/>
      <c r="X506" s="1782"/>
      <c r="Y506" s="1783"/>
      <c r="Z506" s="1720"/>
      <c r="AA506" s="1721"/>
      <c r="AB506" s="1706"/>
      <c r="AC506" s="1706"/>
      <c r="AD506" s="1706"/>
      <c r="AE506" s="1706"/>
      <c r="AF506" s="1706"/>
      <c r="AG506" s="1706"/>
      <c r="AH506" s="1706"/>
      <c r="AI506" s="1706"/>
    </row>
    <row r="507" spans="1:35" x14ac:dyDescent="0.2">
      <c r="A507" s="1720"/>
      <c r="B507" s="3061"/>
      <c r="C507" s="3056"/>
      <c r="D507" s="3056"/>
      <c r="E507" s="3056"/>
      <c r="F507" s="3056"/>
      <c r="G507" s="3057"/>
      <c r="H507" s="3061"/>
      <c r="I507" s="3056"/>
      <c r="J507" s="3056"/>
      <c r="K507" s="3056"/>
      <c r="L507" s="3057"/>
      <c r="M507" s="3056"/>
      <c r="N507" s="3056"/>
      <c r="O507" s="3056"/>
      <c r="P507" s="3056"/>
      <c r="Q507" s="3056"/>
      <c r="R507" s="3056"/>
      <c r="S507" s="3057"/>
      <c r="T507" s="1784"/>
      <c r="U507" s="1777"/>
      <c r="V507" s="1777"/>
      <c r="W507" s="1777"/>
      <c r="X507" s="1777"/>
      <c r="Y507" s="1778"/>
      <c r="Z507" s="1720"/>
      <c r="AA507" s="1721"/>
      <c r="AB507" s="1706"/>
      <c r="AC507" s="1706"/>
      <c r="AD507" s="1706"/>
      <c r="AE507" s="1706"/>
      <c r="AF507" s="1706"/>
      <c r="AG507" s="1706"/>
      <c r="AH507" s="1706"/>
      <c r="AI507" s="1706"/>
    </row>
    <row r="508" spans="1:35" x14ac:dyDescent="0.2">
      <c r="A508" s="1720"/>
      <c r="B508" s="3061"/>
      <c r="C508" s="3056"/>
      <c r="D508" s="3056"/>
      <c r="E508" s="3056"/>
      <c r="F508" s="3056"/>
      <c r="G508" s="3057"/>
      <c r="H508" s="3061"/>
      <c r="I508" s="3056"/>
      <c r="J508" s="3056"/>
      <c r="K508" s="3056"/>
      <c r="L508" s="3057"/>
      <c r="M508" s="3056"/>
      <c r="N508" s="3056"/>
      <c r="O508" s="3056"/>
      <c r="P508" s="3056"/>
      <c r="Q508" s="3056"/>
      <c r="R508" s="3056"/>
      <c r="S508" s="3057"/>
      <c r="T508" s="1785" t="s">
        <v>517</v>
      </c>
      <c r="U508" s="1771"/>
      <c r="V508" s="1771"/>
      <c r="W508" s="1771"/>
      <c r="X508" s="1771"/>
      <c r="Y508" s="1780"/>
      <c r="Z508" s="1720"/>
      <c r="AA508" s="1721"/>
      <c r="AB508" s="1706"/>
      <c r="AC508" s="1706"/>
      <c r="AD508" s="1706"/>
      <c r="AE508" s="1706"/>
      <c r="AF508" s="1706"/>
      <c r="AG508" s="1706"/>
      <c r="AH508" s="1706"/>
      <c r="AI508" s="1706"/>
    </row>
    <row r="509" spans="1:35" x14ac:dyDescent="0.2">
      <c r="A509" s="1720"/>
      <c r="B509" s="3061"/>
      <c r="C509" s="3056"/>
      <c r="D509" s="3056"/>
      <c r="E509" s="3056"/>
      <c r="F509" s="3056"/>
      <c r="G509" s="3057"/>
      <c r="H509" s="3061"/>
      <c r="I509" s="3056"/>
      <c r="J509" s="3056"/>
      <c r="K509" s="3056"/>
      <c r="L509" s="3057"/>
      <c r="M509" s="3056"/>
      <c r="N509" s="3056"/>
      <c r="O509" s="3056"/>
      <c r="P509" s="3056"/>
      <c r="Q509" s="3056"/>
      <c r="R509" s="3056"/>
      <c r="S509" s="3057"/>
      <c r="T509" s="1785"/>
      <c r="U509" s="1771"/>
      <c r="V509" s="1771"/>
      <c r="W509" s="1771"/>
      <c r="X509" s="1771"/>
      <c r="Y509" s="1780"/>
      <c r="Z509" s="1720"/>
      <c r="AA509" s="1721"/>
      <c r="AB509" s="1706"/>
      <c r="AC509" s="1706"/>
      <c r="AD509" s="1706"/>
      <c r="AE509" s="1706"/>
      <c r="AF509" s="1706"/>
      <c r="AG509" s="1706"/>
      <c r="AH509" s="1706"/>
      <c r="AI509" s="1706"/>
    </row>
    <row r="510" spans="1:35" x14ac:dyDescent="0.2">
      <c r="A510" s="1720"/>
      <c r="B510" s="3061"/>
      <c r="C510" s="3056"/>
      <c r="D510" s="3056"/>
      <c r="E510" s="3056"/>
      <c r="F510" s="3056"/>
      <c r="G510" s="3057"/>
      <c r="H510" s="3061"/>
      <c r="I510" s="3056"/>
      <c r="J510" s="3056"/>
      <c r="K510" s="3056"/>
      <c r="L510" s="3057"/>
      <c r="M510" s="3056"/>
      <c r="N510" s="3056"/>
      <c r="O510" s="3056"/>
      <c r="P510" s="3056"/>
      <c r="Q510" s="3056"/>
      <c r="R510" s="3056"/>
      <c r="S510" s="3057"/>
      <c r="T510" s="1785"/>
      <c r="U510" s="1771"/>
      <c r="V510" s="1771"/>
      <c r="W510" s="1771"/>
      <c r="X510" s="1771"/>
      <c r="Y510" s="1780"/>
      <c r="Z510" s="1720"/>
      <c r="AA510" s="1721"/>
      <c r="AB510" s="1706"/>
      <c r="AC510" s="1706"/>
      <c r="AD510" s="1706"/>
      <c r="AE510" s="1706"/>
      <c r="AF510" s="1706"/>
      <c r="AG510" s="1706"/>
      <c r="AH510" s="1706"/>
      <c r="AI510" s="1706"/>
    </row>
    <row r="511" spans="1:35" x14ac:dyDescent="0.2">
      <c r="A511" s="1720"/>
      <c r="B511" s="3061"/>
      <c r="C511" s="3056"/>
      <c r="D511" s="3056"/>
      <c r="E511" s="3056"/>
      <c r="F511" s="3056"/>
      <c r="G511" s="3057"/>
      <c r="H511" s="3061"/>
      <c r="I511" s="3056"/>
      <c r="J511" s="3056"/>
      <c r="K511" s="3056"/>
      <c r="L511" s="3057"/>
      <c r="M511" s="3056"/>
      <c r="N511" s="3056"/>
      <c r="O511" s="3056"/>
      <c r="P511" s="3056"/>
      <c r="Q511" s="3056"/>
      <c r="R511" s="3056"/>
      <c r="S511" s="3057"/>
      <c r="T511" s="1785" t="s">
        <v>518</v>
      </c>
      <c r="U511" s="1771"/>
      <c r="V511" s="1771"/>
      <c r="W511" s="1771"/>
      <c r="X511" s="1771"/>
      <c r="Y511" s="1780"/>
      <c r="Z511" s="1720"/>
      <c r="AA511" s="1721"/>
      <c r="AB511" s="1706"/>
      <c r="AC511" s="1706"/>
      <c r="AD511" s="1706"/>
      <c r="AE511" s="1706"/>
      <c r="AF511" s="1706"/>
      <c r="AG511" s="1706"/>
      <c r="AH511" s="1706"/>
      <c r="AI511" s="1706"/>
    </row>
    <row r="512" spans="1:35" x14ac:dyDescent="0.2">
      <c r="A512" s="1720"/>
      <c r="B512" s="3062"/>
      <c r="C512" s="3058"/>
      <c r="D512" s="3058"/>
      <c r="E512" s="3058"/>
      <c r="F512" s="3058"/>
      <c r="G512" s="3059"/>
      <c r="H512" s="3062"/>
      <c r="I512" s="3058"/>
      <c r="J512" s="3058"/>
      <c r="K512" s="3058"/>
      <c r="L512" s="3059"/>
      <c r="M512" s="3058"/>
      <c r="N512" s="3058"/>
      <c r="O512" s="3058"/>
      <c r="P512" s="3058"/>
      <c r="Q512" s="3058"/>
      <c r="R512" s="3058"/>
      <c r="S512" s="3059"/>
      <c r="T512" s="1751"/>
      <c r="U512" s="1752"/>
      <c r="V512" s="1752"/>
      <c r="W512" s="1752"/>
      <c r="X512" s="1752"/>
      <c r="Y512" s="1753"/>
      <c r="Z512" s="1720"/>
      <c r="AA512" s="1721"/>
      <c r="AB512" s="1706"/>
      <c r="AC512" s="1706"/>
      <c r="AD512" s="1706"/>
      <c r="AE512" s="1706"/>
      <c r="AF512" s="1706"/>
      <c r="AG512" s="1706"/>
      <c r="AH512" s="1706"/>
      <c r="AI512" s="1706"/>
    </row>
    <row r="513" spans="1:35" ht="15" x14ac:dyDescent="0.2">
      <c r="A513" s="1720"/>
      <c r="B513" s="3060"/>
      <c r="C513" s="3054"/>
      <c r="D513" s="3054"/>
      <c r="E513" s="3054"/>
      <c r="F513" s="3054"/>
      <c r="G513" s="3055"/>
      <c r="H513" s="3060"/>
      <c r="I513" s="3054"/>
      <c r="J513" s="3054"/>
      <c r="K513" s="3054"/>
      <c r="L513" s="3055"/>
      <c r="M513" s="3054"/>
      <c r="N513" s="3054"/>
      <c r="O513" s="3054"/>
      <c r="P513" s="3054"/>
      <c r="Q513" s="3054"/>
      <c r="R513" s="3054"/>
      <c r="S513" s="3055"/>
      <c r="T513" s="1776" t="s">
        <v>516</v>
      </c>
      <c r="U513" s="1777"/>
      <c r="V513" s="1777"/>
      <c r="W513" s="1777"/>
      <c r="X513" s="1777"/>
      <c r="Y513" s="1778"/>
      <c r="Z513" s="1720"/>
      <c r="AA513" s="1721"/>
      <c r="AB513" s="1706"/>
      <c r="AC513" s="1706"/>
      <c r="AD513" s="1706"/>
      <c r="AE513" s="1706"/>
      <c r="AF513" s="1706"/>
      <c r="AG513" s="1706"/>
      <c r="AH513" s="1706"/>
      <c r="AI513" s="1706"/>
    </row>
    <row r="514" spans="1:35" x14ac:dyDescent="0.2">
      <c r="A514" s="1720"/>
      <c r="B514" s="3061"/>
      <c r="C514" s="3056"/>
      <c r="D514" s="3056"/>
      <c r="E514" s="3056"/>
      <c r="F514" s="3056"/>
      <c r="G514" s="3057"/>
      <c r="H514" s="3061"/>
      <c r="I514" s="3056"/>
      <c r="J514" s="3056"/>
      <c r="K514" s="3056"/>
      <c r="L514" s="3057"/>
      <c r="M514" s="3056"/>
      <c r="N514" s="3056"/>
      <c r="O514" s="3056"/>
      <c r="P514" s="3056"/>
      <c r="Q514" s="3056"/>
      <c r="R514" s="3056"/>
      <c r="S514" s="3057"/>
      <c r="T514" s="1779" t="s">
        <v>501</v>
      </c>
      <c r="U514" s="1771"/>
      <c r="V514" s="1771"/>
      <c r="W514" s="1771"/>
      <c r="X514" s="1771"/>
      <c r="Y514" s="1780"/>
      <c r="Z514" s="1720"/>
      <c r="AA514" s="1721"/>
      <c r="AB514" s="1706"/>
      <c r="AC514" s="1706"/>
      <c r="AD514" s="1706"/>
      <c r="AE514" s="1706"/>
      <c r="AF514" s="1706"/>
      <c r="AG514" s="1706"/>
      <c r="AH514" s="1706"/>
      <c r="AI514" s="1706"/>
    </row>
    <row r="515" spans="1:35" x14ac:dyDescent="0.2">
      <c r="A515" s="1720"/>
      <c r="B515" s="3061"/>
      <c r="C515" s="3056"/>
      <c r="D515" s="3056"/>
      <c r="E515" s="3056"/>
      <c r="F515" s="3056"/>
      <c r="G515" s="3057"/>
      <c r="H515" s="3061"/>
      <c r="I515" s="3056"/>
      <c r="J515" s="3056"/>
      <c r="K515" s="3056"/>
      <c r="L515" s="3057"/>
      <c r="M515" s="3056"/>
      <c r="N515" s="3056"/>
      <c r="O515" s="3056"/>
      <c r="P515" s="3056"/>
      <c r="Q515" s="3056"/>
      <c r="R515" s="3056"/>
      <c r="S515" s="3057"/>
      <c r="T515" s="1779"/>
      <c r="U515" s="1771"/>
      <c r="V515" s="1771"/>
      <c r="W515" s="1771"/>
      <c r="X515" s="1771"/>
      <c r="Y515" s="1780"/>
      <c r="Z515" s="1720"/>
      <c r="AA515" s="1721"/>
      <c r="AB515" s="1706"/>
      <c r="AC515" s="1706"/>
      <c r="AD515" s="1706"/>
      <c r="AE515" s="1706"/>
      <c r="AF515" s="1706"/>
      <c r="AG515" s="1706"/>
      <c r="AH515" s="1706"/>
      <c r="AI515" s="1706"/>
    </row>
    <row r="516" spans="1:35" x14ac:dyDescent="0.2">
      <c r="A516" s="1720"/>
      <c r="B516" s="3061"/>
      <c r="C516" s="3056"/>
      <c r="D516" s="3056"/>
      <c r="E516" s="3056"/>
      <c r="F516" s="3056"/>
      <c r="G516" s="3057"/>
      <c r="H516" s="3061"/>
      <c r="I516" s="3056"/>
      <c r="J516" s="3056"/>
      <c r="K516" s="3056"/>
      <c r="L516" s="3057"/>
      <c r="M516" s="3056"/>
      <c r="N516" s="3056"/>
      <c r="O516" s="3056"/>
      <c r="P516" s="3056"/>
      <c r="Q516" s="3056"/>
      <c r="R516" s="3056"/>
      <c r="S516" s="3057"/>
      <c r="T516" s="1779"/>
      <c r="U516" s="1771"/>
      <c r="V516" s="1771"/>
      <c r="W516" s="1771"/>
      <c r="X516" s="1771"/>
      <c r="Y516" s="1780"/>
      <c r="Z516" s="1720"/>
      <c r="AA516" s="1721"/>
      <c r="AB516" s="1706"/>
      <c r="AC516" s="1706"/>
      <c r="AD516" s="1706"/>
      <c r="AE516" s="1706"/>
      <c r="AF516" s="1706"/>
      <c r="AG516" s="1706"/>
      <c r="AH516" s="1706"/>
      <c r="AI516" s="1706"/>
    </row>
    <row r="517" spans="1:35" x14ac:dyDescent="0.2">
      <c r="A517" s="1720"/>
      <c r="B517" s="3061"/>
      <c r="C517" s="3056"/>
      <c r="D517" s="3056"/>
      <c r="E517" s="3056"/>
      <c r="F517" s="3056"/>
      <c r="G517" s="3057"/>
      <c r="H517" s="3061"/>
      <c r="I517" s="3056"/>
      <c r="J517" s="3056"/>
      <c r="K517" s="3056"/>
      <c r="L517" s="3057"/>
      <c r="M517" s="3056"/>
      <c r="N517" s="3056"/>
      <c r="O517" s="3056"/>
      <c r="P517" s="3056"/>
      <c r="Q517" s="3056"/>
      <c r="R517" s="3056"/>
      <c r="S517" s="3057"/>
      <c r="T517" s="1779"/>
      <c r="U517" s="1771"/>
      <c r="V517" s="1771"/>
      <c r="W517" s="1771"/>
      <c r="X517" s="1771"/>
      <c r="Y517" s="1780"/>
      <c r="Z517" s="1720"/>
      <c r="AA517" s="1721"/>
      <c r="AB517" s="1706"/>
      <c r="AC517" s="1706"/>
      <c r="AD517" s="1706"/>
      <c r="AE517" s="1706"/>
      <c r="AF517" s="1706"/>
      <c r="AG517" s="1706"/>
      <c r="AH517" s="1706"/>
      <c r="AI517" s="1706"/>
    </row>
    <row r="518" spans="1:35" x14ac:dyDescent="0.2">
      <c r="A518" s="1720"/>
      <c r="B518" s="3061"/>
      <c r="C518" s="3056"/>
      <c r="D518" s="3056"/>
      <c r="E518" s="3056"/>
      <c r="F518" s="3056"/>
      <c r="G518" s="3057"/>
      <c r="H518" s="3061"/>
      <c r="I518" s="3056"/>
      <c r="J518" s="3056"/>
      <c r="K518" s="3056"/>
      <c r="L518" s="3057"/>
      <c r="M518" s="3056"/>
      <c r="N518" s="3056"/>
      <c r="O518" s="3056"/>
      <c r="P518" s="3056"/>
      <c r="Q518" s="3056"/>
      <c r="R518" s="3056"/>
      <c r="S518" s="3057"/>
      <c r="T518" s="1781" t="s">
        <v>499</v>
      </c>
      <c r="U518" s="1782"/>
      <c r="V518" s="1782"/>
      <c r="W518" s="1782"/>
      <c r="X518" s="1782"/>
      <c r="Y518" s="1783"/>
      <c r="Z518" s="1720"/>
      <c r="AA518" s="1721"/>
      <c r="AB518" s="1706"/>
      <c r="AC518" s="1706"/>
      <c r="AD518" s="1706"/>
      <c r="AE518" s="1706"/>
      <c r="AF518" s="1706"/>
      <c r="AG518" s="1706"/>
      <c r="AH518" s="1706"/>
      <c r="AI518" s="1706"/>
    </row>
    <row r="519" spans="1:35" x14ac:dyDescent="0.2">
      <c r="A519" s="1720"/>
      <c r="B519" s="3061"/>
      <c r="C519" s="3056"/>
      <c r="D519" s="3056"/>
      <c r="E519" s="3056"/>
      <c r="F519" s="3056"/>
      <c r="G519" s="3057"/>
      <c r="H519" s="3061"/>
      <c r="I519" s="3056"/>
      <c r="J519" s="3056"/>
      <c r="K519" s="3056"/>
      <c r="L519" s="3057"/>
      <c r="M519" s="3056"/>
      <c r="N519" s="3056"/>
      <c r="O519" s="3056"/>
      <c r="P519" s="3056"/>
      <c r="Q519" s="3056"/>
      <c r="R519" s="3056"/>
      <c r="S519" s="3057"/>
      <c r="T519" s="1784"/>
      <c r="U519" s="1777"/>
      <c r="V519" s="1777"/>
      <c r="W519" s="1777"/>
      <c r="X519" s="1777"/>
      <c r="Y519" s="1778"/>
      <c r="Z519" s="1720"/>
      <c r="AA519" s="1721"/>
      <c r="AB519" s="1706"/>
      <c r="AC519" s="1706"/>
      <c r="AD519" s="1706"/>
      <c r="AE519" s="1706"/>
      <c r="AF519" s="1706"/>
      <c r="AG519" s="1706"/>
      <c r="AH519" s="1706"/>
      <c r="AI519" s="1706"/>
    </row>
    <row r="520" spans="1:35" x14ac:dyDescent="0.2">
      <c r="A520" s="1720"/>
      <c r="B520" s="3061"/>
      <c r="C520" s="3056"/>
      <c r="D520" s="3056"/>
      <c r="E520" s="3056"/>
      <c r="F520" s="3056"/>
      <c r="G520" s="3057"/>
      <c r="H520" s="3061"/>
      <c r="I520" s="3056"/>
      <c r="J520" s="3056"/>
      <c r="K520" s="3056"/>
      <c r="L520" s="3057"/>
      <c r="M520" s="3056"/>
      <c r="N520" s="3056"/>
      <c r="O520" s="3056"/>
      <c r="P520" s="3056"/>
      <c r="Q520" s="3056"/>
      <c r="R520" s="3056"/>
      <c r="S520" s="3057"/>
      <c r="T520" s="1785" t="s">
        <v>517</v>
      </c>
      <c r="U520" s="1771"/>
      <c r="V520" s="1771"/>
      <c r="W520" s="1771"/>
      <c r="X520" s="1771"/>
      <c r="Y520" s="1780"/>
      <c r="Z520" s="1720"/>
      <c r="AA520" s="1721"/>
      <c r="AB520" s="1706"/>
      <c r="AC520" s="1706"/>
      <c r="AD520" s="1706"/>
      <c r="AE520" s="1706"/>
      <c r="AF520" s="1706"/>
      <c r="AG520" s="1706"/>
      <c r="AH520" s="1706"/>
      <c r="AI520" s="1706"/>
    </row>
    <row r="521" spans="1:35" x14ac:dyDescent="0.2">
      <c r="A521" s="1720"/>
      <c r="B521" s="3061"/>
      <c r="C521" s="3056"/>
      <c r="D521" s="3056"/>
      <c r="E521" s="3056"/>
      <c r="F521" s="3056"/>
      <c r="G521" s="3057"/>
      <c r="H521" s="3061"/>
      <c r="I521" s="3056"/>
      <c r="J521" s="3056"/>
      <c r="K521" s="3056"/>
      <c r="L521" s="3057"/>
      <c r="M521" s="3056"/>
      <c r="N521" s="3056"/>
      <c r="O521" s="3056"/>
      <c r="P521" s="3056"/>
      <c r="Q521" s="3056"/>
      <c r="R521" s="3056"/>
      <c r="S521" s="3057"/>
      <c r="T521" s="1785"/>
      <c r="U521" s="1771"/>
      <c r="V521" s="1771"/>
      <c r="W521" s="1771"/>
      <c r="X521" s="1771"/>
      <c r="Y521" s="1780"/>
      <c r="Z521" s="1720"/>
      <c r="AA521" s="1721"/>
      <c r="AB521" s="1706"/>
      <c r="AC521" s="1706"/>
      <c r="AD521" s="1706"/>
      <c r="AE521" s="1706"/>
      <c r="AF521" s="1706"/>
      <c r="AG521" s="1706"/>
      <c r="AH521" s="1706"/>
      <c r="AI521" s="1706"/>
    </row>
    <row r="522" spans="1:35" x14ac:dyDescent="0.2">
      <c r="A522" s="1720"/>
      <c r="B522" s="3061"/>
      <c r="C522" s="3056"/>
      <c r="D522" s="3056"/>
      <c r="E522" s="3056"/>
      <c r="F522" s="3056"/>
      <c r="G522" s="3057"/>
      <c r="H522" s="3061"/>
      <c r="I522" s="3056"/>
      <c r="J522" s="3056"/>
      <c r="K522" s="3056"/>
      <c r="L522" s="3057"/>
      <c r="M522" s="3056"/>
      <c r="N522" s="3056"/>
      <c r="O522" s="3056"/>
      <c r="P522" s="3056"/>
      <c r="Q522" s="3056"/>
      <c r="R522" s="3056"/>
      <c r="S522" s="3057"/>
      <c r="T522" s="1785"/>
      <c r="U522" s="1771"/>
      <c r="V522" s="1771"/>
      <c r="W522" s="1771"/>
      <c r="X522" s="1771"/>
      <c r="Y522" s="1780"/>
      <c r="Z522" s="1720"/>
      <c r="AA522" s="1721"/>
      <c r="AB522" s="1706"/>
      <c r="AC522" s="1706"/>
      <c r="AD522" s="1706"/>
      <c r="AE522" s="1706"/>
      <c r="AF522" s="1706"/>
      <c r="AG522" s="1706"/>
      <c r="AH522" s="1706"/>
      <c r="AI522" s="1706"/>
    </row>
    <row r="523" spans="1:35" x14ac:dyDescent="0.2">
      <c r="A523" s="1720"/>
      <c r="B523" s="3061"/>
      <c r="C523" s="3056"/>
      <c r="D523" s="3056"/>
      <c r="E523" s="3056"/>
      <c r="F523" s="3056"/>
      <c r="G523" s="3057"/>
      <c r="H523" s="3061"/>
      <c r="I523" s="3056"/>
      <c r="J523" s="3056"/>
      <c r="K523" s="3056"/>
      <c r="L523" s="3057"/>
      <c r="M523" s="3056"/>
      <c r="N523" s="3056"/>
      <c r="O523" s="3056"/>
      <c r="P523" s="3056"/>
      <c r="Q523" s="3056"/>
      <c r="R523" s="3056"/>
      <c r="S523" s="3057"/>
      <c r="T523" s="1785" t="s">
        <v>518</v>
      </c>
      <c r="U523" s="1771"/>
      <c r="V523" s="1771"/>
      <c r="W523" s="1771"/>
      <c r="X523" s="1771"/>
      <c r="Y523" s="1780"/>
      <c r="Z523" s="1720"/>
      <c r="AA523" s="1721"/>
      <c r="AB523" s="1706"/>
      <c r="AC523" s="1706"/>
      <c r="AD523" s="1706"/>
      <c r="AE523" s="1706"/>
      <c r="AF523" s="1706"/>
      <c r="AG523" s="1706"/>
      <c r="AH523" s="1706"/>
      <c r="AI523" s="1706"/>
    </row>
    <row r="524" spans="1:35" x14ac:dyDescent="0.2">
      <c r="A524" s="1720"/>
      <c r="B524" s="3062"/>
      <c r="C524" s="3058"/>
      <c r="D524" s="3058"/>
      <c r="E524" s="3058"/>
      <c r="F524" s="3058"/>
      <c r="G524" s="3059"/>
      <c r="H524" s="3062"/>
      <c r="I524" s="3058"/>
      <c r="J524" s="3058"/>
      <c r="K524" s="3058"/>
      <c r="L524" s="3059"/>
      <c r="M524" s="3058"/>
      <c r="N524" s="3058"/>
      <c r="O524" s="3058"/>
      <c r="P524" s="3058"/>
      <c r="Q524" s="3058"/>
      <c r="R524" s="3058"/>
      <c r="S524" s="3059"/>
      <c r="T524" s="1751"/>
      <c r="U524" s="1752"/>
      <c r="V524" s="1752"/>
      <c r="W524" s="1752"/>
      <c r="X524" s="1752"/>
      <c r="Y524" s="1753"/>
      <c r="Z524" s="1720"/>
      <c r="AA524" s="1721"/>
      <c r="AB524" s="1706"/>
      <c r="AC524" s="1706"/>
      <c r="AD524" s="1706"/>
      <c r="AE524" s="1706"/>
      <c r="AF524" s="1706"/>
      <c r="AG524" s="1706"/>
      <c r="AH524" s="1706"/>
      <c r="AI524" s="1706"/>
    </row>
    <row r="525" spans="1:35" ht="15" x14ac:dyDescent="0.2">
      <c r="A525" s="1720"/>
      <c r="B525" s="3060"/>
      <c r="C525" s="3054"/>
      <c r="D525" s="3054"/>
      <c r="E525" s="3054"/>
      <c r="F525" s="3054"/>
      <c r="G525" s="3055"/>
      <c r="H525" s="3060"/>
      <c r="I525" s="3054"/>
      <c r="J525" s="3054"/>
      <c r="K525" s="3054"/>
      <c r="L525" s="3055"/>
      <c r="M525" s="3054"/>
      <c r="N525" s="3054"/>
      <c r="O525" s="3054"/>
      <c r="P525" s="3054"/>
      <c r="Q525" s="3054"/>
      <c r="R525" s="3054"/>
      <c r="S525" s="3055"/>
      <c r="T525" s="1776" t="s">
        <v>516</v>
      </c>
      <c r="U525" s="1777"/>
      <c r="V525" s="1777"/>
      <c r="W525" s="1777"/>
      <c r="X525" s="1777"/>
      <c r="Y525" s="1778"/>
      <c r="Z525" s="1720"/>
      <c r="AA525" s="1721"/>
      <c r="AB525" s="1706"/>
      <c r="AC525" s="1706"/>
      <c r="AD525" s="1706"/>
      <c r="AE525" s="1706"/>
      <c r="AF525" s="1706"/>
      <c r="AG525" s="1706"/>
      <c r="AH525" s="1706"/>
      <c r="AI525" s="1706"/>
    </row>
    <row r="526" spans="1:35" x14ac:dyDescent="0.2">
      <c r="A526" s="1720"/>
      <c r="B526" s="3061"/>
      <c r="C526" s="3056"/>
      <c r="D526" s="3056"/>
      <c r="E526" s="3056"/>
      <c r="F526" s="3056"/>
      <c r="G526" s="3057"/>
      <c r="H526" s="3061"/>
      <c r="I526" s="3056"/>
      <c r="J526" s="3056"/>
      <c r="K526" s="3056"/>
      <c r="L526" s="3057"/>
      <c r="M526" s="3056"/>
      <c r="N526" s="3056"/>
      <c r="O526" s="3056"/>
      <c r="P526" s="3056"/>
      <c r="Q526" s="3056"/>
      <c r="R526" s="3056"/>
      <c r="S526" s="3057"/>
      <c r="T526" s="1779" t="s">
        <v>501</v>
      </c>
      <c r="U526" s="1771"/>
      <c r="V526" s="1771"/>
      <c r="W526" s="1771"/>
      <c r="X526" s="1771"/>
      <c r="Y526" s="1780"/>
      <c r="Z526" s="1720"/>
      <c r="AA526" s="1721"/>
      <c r="AB526" s="1706"/>
      <c r="AC526" s="1706"/>
      <c r="AD526" s="1706"/>
      <c r="AE526" s="1706"/>
      <c r="AF526" s="1706"/>
      <c r="AG526" s="1706"/>
      <c r="AH526" s="1706"/>
      <c r="AI526" s="1706"/>
    </row>
    <row r="527" spans="1:35" x14ac:dyDescent="0.2">
      <c r="A527" s="1720"/>
      <c r="B527" s="3061"/>
      <c r="C527" s="3056"/>
      <c r="D527" s="3056"/>
      <c r="E527" s="3056"/>
      <c r="F527" s="3056"/>
      <c r="G527" s="3057"/>
      <c r="H527" s="3061"/>
      <c r="I527" s="3056"/>
      <c r="J527" s="3056"/>
      <c r="K527" s="3056"/>
      <c r="L527" s="3057"/>
      <c r="M527" s="3056"/>
      <c r="N527" s="3056"/>
      <c r="O527" s="3056"/>
      <c r="P527" s="3056"/>
      <c r="Q527" s="3056"/>
      <c r="R527" s="3056"/>
      <c r="S527" s="3057"/>
      <c r="T527" s="1779"/>
      <c r="U527" s="1771"/>
      <c r="V527" s="1771"/>
      <c r="W527" s="1771"/>
      <c r="X527" s="1771"/>
      <c r="Y527" s="1780"/>
      <c r="Z527" s="1720"/>
      <c r="AA527" s="1721"/>
      <c r="AB527" s="1706"/>
      <c r="AC527" s="1706"/>
      <c r="AD527" s="1706"/>
      <c r="AE527" s="1706"/>
      <c r="AF527" s="1706"/>
      <c r="AG527" s="1706"/>
      <c r="AH527" s="1706"/>
      <c r="AI527" s="1706"/>
    </row>
    <row r="528" spans="1:35" x14ac:dyDescent="0.2">
      <c r="A528" s="1720"/>
      <c r="B528" s="3061"/>
      <c r="C528" s="3056"/>
      <c r="D528" s="3056"/>
      <c r="E528" s="3056"/>
      <c r="F528" s="3056"/>
      <c r="G528" s="3057"/>
      <c r="H528" s="3061"/>
      <c r="I528" s="3056"/>
      <c r="J528" s="3056"/>
      <c r="K528" s="3056"/>
      <c r="L528" s="3057"/>
      <c r="M528" s="3056"/>
      <c r="N528" s="3056"/>
      <c r="O528" s="3056"/>
      <c r="P528" s="3056"/>
      <c r="Q528" s="3056"/>
      <c r="R528" s="3056"/>
      <c r="S528" s="3057"/>
      <c r="T528" s="1779"/>
      <c r="U528" s="1771"/>
      <c r="V528" s="1771"/>
      <c r="W528" s="1771"/>
      <c r="X528" s="1771"/>
      <c r="Y528" s="1780"/>
      <c r="Z528" s="1720"/>
      <c r="AA528" s="1721"/>
      <c r="AB528" s="1706"/>
      <c r="AC528" s="1706"/>
      <c r="AD528" s="1706"/>
      <c r="AE528" s="1706"/>
      <c r="AF528" s="1706"/>
      <c r="AG528" s="1706"/>
      <c r="AH528" s="1706"/>
      <c r="AI528" s="1706"/>
    </row>
    <row r="529" spans="1:37" x14ac:dyDescent="0.2">
      <c r="A529" s="1720"/>
      <c r="B529" s="3061"/>
      <c r="C529" s="3056"/>
      <c r="D529" s="3056"/>
      <c r="E529" s="3056"/>
      <c r="F529" s="3056"/>
      <c r="G529" s="3057"/>
      <c r="H529" s="3061"/>
      <c r="I529" s="3056"/>
      <c r="J529" s="3056"/>
      <c r="K529" s="3056"/>
      <c r="L529" s="3057"/>
      <c r="M529" s="3056"/>
      <c r="N529" s="3056"/>
      <c r="O529" s="3056"/>
      <c r="P529" s="3056"/>
      <c r="Q529" s="3056"/>
      <c r="R529" s="3056"/>
      <c r="S529" s="3057"/>
      <c r="T529" s="1779"/>
      <c r="U529" s="1771"/>
      <c r="V529" s="1771"/>
      <c r="W529" s="1771"/>
      <c r="X529" s="1771"/>
      <c r="Y529" s="1780"/>
      <c r="Z529" s="1720"/>
      <c r="AA529" s="1721"/>
      <c r="AB529" s="1706"/>
      <c r="AC529" s="1706"/>
      <c r="AD529" s="1706"/>
      <c r="AE529" s="1706"/>
      <c r="AF529" s="1706"/>
      <c r="AG529" s="1706"/>
      <c r="AH529" s="1706"/>
      <c r="AI529" s="1706"/>
    </row>
    <row r="530" spans="1:37" x14ac:dyDescent="0.2">
      <c r="A530" s="1720"/>
      <c r="B530" s="3061"/>
      <c r="C530" s="3056"/>
      <c r="D530" s="3056"/>
      <c r="E530" s="3056"/>
      <c r="F530" s="3056"/>
      <c r="G530" s="3057"/>
      <c r="H530" s="3061"/>
      <c r="I530" s="3056"/>
      <c r="J530" s="3056"/>
      <c r="K530" s="3056"/>
      <c r="L530" s="3057"/>
      <c r="M530" s="3056"/>
      <c r="N530" s="3056"/>
      <c r="O530" s="3056"/>
      <c r="P530" s="3056"/>
      <c r="Q530" s="3056"/>
      <c r="R530" s="3056"/>
      <c r="S530" s="3057"/>
      <c r="T530" s="1781" t="s">
        <v>499</v>
      </c>
      <c r="U530" s="1782"/>
      <c r="V530" s="1782"/>
      <c r="W530" s="1782"/>
      <c r="X530" s="1782"/>
      <c r="Y530" s="1783"/>
      <c r="Z530" s="1720"/>
      <c r="AA530" s="1721"/>
      <c r="AB530" s="1706"/>
      <c r="AC530" s="1706"/>
      <c r="AD530" s="1706"/>
      <c r="AE530" s="1706"/>
      <c r="AF530" s="1706"/>
      <c r="AG530" s="1706"/>
      <c r="AH530" s="1706"/>
      <c r="AI530" s="1706"/>
    </row>
    <row r="531" spans="1:37" x14ac:dyDescent="0.2">
      <c r="A531" s="1720"/>
      <c r="B531" s="3061"/>
      <c r="C531" s="3056"/>
      <c r="D531" s="3056"/>
      <c r="E531" s="3056"/>
      <c r="F531" s="3056"/>
      <c r="G531" s="3057"/>
      <c r="H531" s="3061"/>
      <c r="I531" s="3056"/>
      <c r="J531" s="3056"/>
      <c r="K531" s="3056"/>
      <c r="L531" s="3057"/>
      <c r="M531" s="3056"/>
      <c r="N531" s="3056"/>
      <c r="O531" s="3056"/>
      <c r="P531" s="3056"/>
      <c r="Q531" s="3056"/>
      <c r="R531" s="3056"/>
      <c r="S531" s="3057"/>
      <c r="T531" s="1784"/>
      <c r="U531" s="1777"/>
      <c r="V531" s="1777"/>
      <c r="W531" s="1777"/>
      <c r="X531" s="1777"/>
      <c r="Y531" s="1778"/>
      <c r="Z531" s="1720"/>
      <c r="AA531" s="1721"/>
      <c r="AB531" s="1706"/>
      <c r="AC531" s="1706"/>
      <c r="AD531" s="1706"/>
      <c r="AE531" s="1706"/>
      <c r="AF531" s="1706"/>
      <c r="AG531" s="1706"/>
      <c r="AH531" s="1706"/>
      <c r="AI531" s="1706"/>
    </row>
    <row r="532" spans="1:37" x14ac:dyDescent="0.2">
      <c r="A532" s="1720"/>
      <c r="B532" s="3061"/>
      <c r="C532" s="3056"/>
      <c r="D532" s="3056"/>
      <c r="E532" s="3056"/>
      <c r="F532" s="3056"/>
      <c r="G532" s="3057"/>
      <c r="H532" s="3061"/>
      <c r="I532" s="3056"/>
      <c r="J532" s="3056"/>
      <c r="K532" s="3056"/>
      <c r="L532" s="3057"/>
      <c r="M532" s="3056"/>
      <c r="N532" s="3056"/>
      <c r="O532" s="3056"/>
      <c r="P532" s="3056"/>
      <c r="Q532" s="3056"/>
      <c r="R532" s="3056"/>
      <c r="S532" s="3057"/>
      <c r="T532" s="1785" t="s">
        <v>517</v>
      </c>
      <c r="U532" s="1771"/>
      <c r="V532" s="1771"/>
      <c r="W532" s="1771"/>
      <c r="X532" s="1771"/>
      <c r="Y532" s="1780"/>
      <c r="Z532" s="1720"/>
      <c r="AA532" s="1721"/>
      <c r="AB532" s="1706"/>
      <c r="AC532" s="1706"/>
      <c r="AD532" s="1706"/>
      <c r="AE532" s="1706"/>
      <c r="AF532" s="1706"/>
      <c r="AG532" s="1706"/>
      <c r="AH532" s="1706"/>
      <c r="AI532" s="1706"/>
    </row>
    <row r="533" spans="1:37" x14ac:dyDescent="0.2">
      <c r="A533" s="1720"/>
      <c r="B533" s="3061"/>
      <c r="C533" s="3056"/>
      <c r="D533" s="3056"/>
      <c r="E533" s="3056"/>
      <c r="F533" s="3056"/>
      <c r="G533" s="3057"/>
      <c r="H533" s="3061"/>
      <c r="I533" s="3056"/>
      <c r="J533" s="3056"/>
      <c r="K533" s="3056"/>
      <c r="L533" s="3057"/>
      <c r="M533" s="3056"/>
      <c r="N533" s="3056"/>
      <c r="O533" s="3056"/>
      <c r="P533" s="3056"/>
      <c r="Q533" s="3056"/>
      <c r="R533" s="3056"/>
      <c r="S533" s="3057"/>
      <c r="T533" s="1785"/>
      <c r="U533" s="1771"/>
      <c r="V533" s="1771"/>
      <c r="W533" s="1771"/>
      <c r="X533" s="1771"/>
      <c r="Y533" s="1780"/>
      <c r="Z533" s="1720"/>
      <c r="AA533" s="1721"/>
      <c r="AB533" s="1706"/>
      <c r="AC533" s="1706"/>
      <c r="AD533" s="1706"/>
      <c r="AE533" s="1706"/>
      <c r="AF533" s="1706"/>
      <c r="AG533" s="1706"/>
      <c r="AH533" s="1706"/>
      <c r="AI533" s="1706"/>
    </row>
    <row r="534" spans="1:37" x14ac:dyDescent="0.2">
      <c r="A534" s="1720"/>
      <c r="B534" s="3061"/>
      <c r="C534" s="3056"/>
      <c r="D534" s="3056"/>
      <c r="E534" s="3056"/>
      <c r="F534" s="3056"/>
      <c r="G534" s="3057"/>
      <c r="H534" s="3061"/>
      <c r="I534" s="3056"/>
      <c r="J534" s="3056"/>
      <c r="K534" s="3056"/>
      <c r="L534" s="3057"/>
      <c r="M534" s="3056"/>
      <c r="N534" s="3056"/>
      <c r="O534" s="3056"/>
      <c r="P534" s="3056"/>
      <c r="Q534" s="3056"/>
      <c r="R534" s="3056"/>
      <c r="S534" s="3057"/>
      <c r="T534" s="1785"/>
      <c r="U534" s="1771"/>
      <c r="V534" s="1771"/>
      <c r="W534" s="1771"/>
      <c r="X534" s="1771"/>
      <c r="Y534" s="1780"/>
      <c r="Z534" s="1720"/>
      <c r="AA534" s="1721"/>
      <c r="AB534" s="1706"/>
      <c r="AC534" s="1706"/>
      <c r="AD534" s="1706"/>
      <c r="AE534" s="1706"/>
      <c r="AF534" s="1706"/>
      <c r="AG534" s="1706"/>
      <c r="AH534" s="1706"/>
      <c r="AI534" s="1706"/>
    </row>
    <row r="535" spans="1:37" x14ac:dyDescent="0.2">
      <c r="A535" s="1720"/>
      <c r="B535" s="3061"/>
      <c r="C535" s="3056"/>
      <c r="D535" s="3056"/>
      <c r="E535" s="3056"/>
      <c r="F535" s="3056"/>
      <c r="G535" s="3057"/>
      <c r="H535" s="3061"/>
      <c r="I535" s="3056"/>
      <c r="J535" s="3056"/>
      <c r="K535" s="3056"/>
      <c r="L535" s="3057"/>
      <c r="M535" s="3056"/>
      <c r="N535" s="3056"/>
      <c r="O535" s="3056"/>
      <c r="P535" s="3056"/>
      <c r="Q535" s="3056"/>
      <c r="R535" s="3056"/>
      <c r="S535" s="3057"/>
      <c r="T535" s="1785" t="s">
        <v>518</v>
      </c>
      <c r="U535" s="1771"/>
      <c r="V535" s="1771"/>
      <c r="W535" s="1771"/>
      <c r="X535" s="1771"/>
      <c r="Y535" s="1780"/>
      <c r="Z535" s="1720"/>
      <c r="AA535" s="1721"/>
      <c r="AB535" s="1706"/>
      <c r="AC535" s="1706"/>
      <c r="AD535" s="1706"/>
      <c r="AE535" s="1706"/>
      <c r="AF535" s="1706"/>
      <c r="AG535" s="1706"/>
      <c r="AH535" s="1706"/>
      <c r="AI535" s="1706"/>
    </row>
    <row r="536" spans="1:37" x14ac:dyDescent="0.2">
      <c r="A536" s="1720"/>
      <c r="B536" s="3062"/>
      <c r="C536" s="3058"/>
      <c r="D536" s="3058"/>
      <c r="E536" s="3058"/>
      <c r="F536" s="3058"/>
      <c r="G536" s="3059"/>
      <c r="H536" s="3062"/>
      <c r="I536" s="3058"/>
      <c r="J536" s="3058"/>
      <c r="K536" s="3058"/>
      <c r="L536" s="3059"/>
      <c r="M536" s="3058"/>
      <c r="N536" s="3058"/>
      <c r="O536" s="3058"/>
      <c r="P536" s="3058"/>
      <c r="Q536" s="3058"/>
      <c r="R536" s="3058"/>
      <c r="S536" s="3059"/>
      <c r="T536" s="1751"/>
      <c r="U536" s="1752"/>
      <c r="V536" s="1752"/>
      <c r="W536" s="1752"/>
      <c r="X536" s="1752"/>
      <c r="Y536" s="1753"/>
      <c r="Z536" s="1720"/>
      <c r="AA536" s="1721"/>
      <c r="AB536" s="1706"/>
      <c r="AC536" s="1706"/>
      <c r="AD536" s="1706"/>
      <c r="AE536" s="1706"/>
      <c r="AF536" s="1706"/>
      <c r="AG536" s="1706"/>
      <c r="AH536" s="1706"/>
      <c r="AI536" s="1706"/>
    </row>
    <row r="537" spans="1:37" x14ac:dyDescent="0.2">
      <c r="A537" s="1720"/>
      <c r="B537" s="1720"/>
      <c r="C537" s="1720"/>
      <c r="D537" s="1720"/>
      <c r="E537" s="1720"/>
      <c r="F537" s="1720"/>
      <c r="G537" s="1720"/>
      <c r="H537" s="1720"/>
      <c r="I537" s="1720"/>
      <c r="J537" s="1720"/>
      <c r="K537" s="1720"/>
      <c r="L537" s="1720"/>
      <c r="M537" s="1720"/>
      <c r="N537" s="1720"/>
      <c r="O537" s="1720"/>
      <c r="P537" s="1720"/>
      <c r="Q537" s="1720"/>
      <c r="R537" s="1720"/>
      <c r="S537" s="1720"/>
      <c r="T537" s="1720"/>
      <c r="U537" s="1720"/>
      <c r="V537" s="1720"/>
      <c r="W537" s="1720"/>
      <c r="X537" s="1720"/>
      <c r="Y537" s="1720"/>
      <c r="Z537" s="1720"/>
      <c r="AA537" s="1721"/>
      <c r="AB537" s="1706"/>
      <c r="AC537" s="1706"/>
      <c r="AD537" s="1706"/>
      <c r="AE537" s="1706"/>
      <c r="AF537" s="1706"/>
      <c r="AG537" s="1706"/>
      <c r="AH537" s="1706"/>
      <c r="AI537" s="1706"/>
    </row>
    <row r="538" spans="1:37" x14ac:dyDescent="0.2">
      <c r="A538" s="1720"/>
      <c r="B538" s="1720"/>
      <c r="C538" s="1720"/>
      <c r="D538" s="1720"/>
      <c r="E538" s="1720"/>
      <c r="F538" s="1720"/>
      <c r="G538" s="1720"/>
      <c r="H538" s="1720"/>
      <c r="I538" s="1720"/>
      <c r="J538" s="1720"/>
      <c r="K538" s="1720"/>
      <c r="L538" s="1720"/>
      <c r="M538" s="1720"/>
      <c r="N538" s="1720"/>
      <c r="O538" s="1720"/>
      <c r="P538" s="1720"/>
      <c r="Q538" s="1720"/>
      <c r="R538" s="1720"/>
      <c r="S538" s="1720"/>
      <c r="T538" s="1720"/>
      <c r="U538" s="1720"/>
      <c r="V538" s="1720"/>
      <c r="W538" s="1720"/>
      <c r="X538" s="1720"/>
      <c r="Y538" s="1720"/>
      <c r="Z538" s="1720"/>
      <c r="AA538" s="1721"/>
      <c r="AB538" s="1706"/>
      <c r="AC538" s="1706"/>
      <c r="AD538" s="1706"/>
      <c r="AE538" s="1706"/>
      <c r="AF538" s="1706"/>
      <c r="AG538" s="1706"/>
      <c r="AH538" s="1706"/>
      <c r="AI538" s="1706"/>
    </row>
    <row r="539" spans="1:37" x14ac:dyDescent="0.2">
      <c r="A539" s="1720"/>
      <c r="B539" s="1720"/>
      <c r="C539" s="1720"/>
      <c r="D539" s="1720"/>
      <c r="E539" s="1720"/>
      <c r="F539" s="1720"/>
      <c r="G539" s="1720"/>
      <c r="H539" s="1720"/>
      <c r="I539" s="1720"/>
      <c r="J539" s="1720"/>
      <c r="K539" s="1720"/>
      <c r="L539" s="1720"/>
      <c r="M539" s="1720"/>
      <c r="N539" s="1720"/>
      <c r="O539" s="1720"/>
      <c r="P539" s="1720"/>
      <c r="Q539" s="1720"/>
      <c r="R539" s="1720"/>
      <c r="S539" s="1720"/>
      <c r="T539" s="1720"/>
      <c r="U539" s="1720"/>
      <c r="V539" s="1720"/>
      <c r="W539" s="1720"/>
      <c r="X539" s="1720"/>
      <c r="Y539" s="1720"/>
      <c r="Z539" s="1720"/>
      <c r="AA539" s="1721"/>
      <c r="AB539" s="1706"/>
      <c r="AC539" s="1706"/>
      <c r="AD539" s="1706"/>
      <c r="AE539" s="1706"/>
      <c r="AF539" s="1706"/>
      <c r="AG539" s="1706"/>
      <c r="AH539" s="1706"/>
      <c r="AI539" s="1706"/>
    </row>
    <row r="540" spans="1:37" x14ac:dyDescent="0.2">
      <c r="A540" s="1720"/>
      <c r="B540" s="1720"/>
      <c r="C540" s="1720"/>
      <c r="D540" s="1720"/>
      <c r="E540" s="1720"/>
      <c r="F540" s="1720"/>
      <c r="G540" s="1720"/>
      <c r="H540" s="1720"/>
      <c r="I540" s="1720"/>
      <c r="J540" s="1720"/>
      <c r="K540" s="1720"/>
      <c r="L540" s="1720"/>
      <c r="M540" s="1720"/>
      <c r="N540" s="1720"/>
      <c r="O540" s="1720"/>
      <c r="P540" s="1720"/>
      <c r="Q540" s="1720"/>
      <c r="R540" s="1720"/>
      <c r="S540" s="1720"/>
      <c r="T540" s="1720"/>
      <c r="U540" s="1720"/>
      <c r="V540" s="1720"/>
      <c r="W540" s="1720"/>
      <c r="X540" s="1720"/>
      <c r="Y540" s="1720"/>
      <c r="Z540" s="1720"/>
      <c r="AA540" s="1721"/>
      <c r="AB540" s="1706"/>
      <c r="AC540" s="1706"/>
      <c r="AD540" s="1706"/>
      <c r="AE540" s="1706"/>
      <c r="AF540" s="1706"/>
      <c r="AG540" s="1706"/>
      <c r="AH540" s="1706"/>
      <c r="AI540" s="1706"/>
    </row>
    <row r="541" spans="1:37" x14ac:dyDescent="0.2">
      <c r="A541" s="1720"/>
      <c r="B541" s="1720"/>
      <c r="C541" s="1720"/>
      <c r="D541" s="1720"/>
      <c r="E541" s="1720"/>
      <c r="F541" s="1720"/>
      <c r="G541" s="1720"/>
      <c r="H541" s="1720"/>
      <c r="I541" s="1720"/>
      <c r="J541" s="1720"/>
      <c r="K541" s="1720"/>
      <c r="L541" s="1720"/>
      <c r="M541" s="1720"/>
      <c r="N541" s="1720"/>
      <c r="O541" s="1720"/>
      <c r="P541" s="1720"/>
      <c r="Q541" s="1720"/>
      <c r="R541" s="1720"/>
      <c r="S541" s="1720"/>
      <c r="T541" s="1720"/>
      <c r="U541" s="1720"/>
      <c r="V541" s="1720"/>
      <c r="W541" s="1720"/>
      <c r="X541" s="1720"/>
      <c r="Y541" s="1720"/>
      <c r="Z541" s="1720"/>
      <c r="AA541" s="1721"/>
      <c r="AB541" s="1706"/>
      <c r="AC541" s="1706"/>
      <c r="AD541" s="1706"/>
      <c r="AE541" s="1706"/>
      <c r="AF541" s="1706"/>
      <c r="AG541" s="1706"/>
      <c r="AH541" s="1706"/>
      <c r="AI541" s="1706"/>
    </row>
    <row r="542" spans="1:37" x14ac:dyDescent="0.2">
      <c r="A542" s="1720"/>
      <c r="B542" s="1720"/>
      <c r="C542" s="1720"/>
      <c r="D542" s="1720"/>
      <c r="E542" s="1720"/>
      <c r="F542" s="1720"/>
      <c r="G542" s="1720"/>
      <c r="H542" s="1720"/>
      <c r="I542" s="1720"/>
      <c r="J542" s="1720"/>
      <c r="K542" s="1720"/>
      <c r="L542" s="1720"/>
      <c r="M542" s="1720"/>
      <c r="N542" s="1720"/>
      <c r="O542" s="1720"/>
      <c r="P542" s="1720"/>
      <c r="Q542" s="1720"/>
      <c r="R542" s="1720"/>
      <c r="S542" s="1720"/>
      <c r="T542" s="1720"/>
      <c r="U542" s="1720"/>
      <c r="V542" s="1720"/>
      <c r="W542" s="1720"/>
      <c r="X542" s="1720"/>
      <c r="Y542" s="1720"/>
      <c r="Z542" s="1720"/>
      <c r="AA542" s="1721"/>
      <c r="AB542" s="2978" t="s">
        <v>257</v>
      </c>
      <c r="AC542" s="2978"/>
      <c r="AD542" s="2978"/>
      <c r="AE542" s="2978"/>
      <c r="AF542" s="2978"/>
      <c r="AG542" s="2978"/>
      <c r="AH542" s="2978"/>
      <c r="AI542" s="2978"/>
      <c r="AJ542" s="2978"/>
      <c r="AK542" s="2978"/>
    </row>
    <row r="543" spans="1:37" x14ac:dyDescent="0.2">
      <c r="A543" s="1720"/>
      <c r="B543" s="1720"/>
      <c r="C543" s="1720"/>
      <c r="D543" s="1720"/>
      <c r="E543" s="1720"/>
      <c r="F543" s="1720"/>
      <c r="G543" s="1720"/>
      <c r="H543" s="1720"/>
      <c r="I543" s="1720"/>
      <c r="J543" s="1720"/>
      <c r="K543" s="1720"/>
      <c r="L543" s="1720"/>
      <c r="M543" s="1720"/>
      <c r="N543" s="1720"/>
      <c r="O543" s="1720"/>
      <c r="P543" s="1720"/>
      <c r="Q543" s="1720"/>
      <c r="R543" s="1720"/>
      <c r="S543" s="1720"/>
      <c r="T543" s="1720"/>
      <c r="U543" s="1720"/>
      <c r="V543" s="1720"/>
      <c r="W543" s="1720"/>
      <c r="X543" s="1720"/>
      <c r="Y543" s="1720"/>
      <c r="Z543" s="1720"/>
      <c r="AA543" s="1721"/>
      <c r="AB543" s="2978"/>
      <c r="AC543" s="2978"/>
      <c r="AD543" s="2978"/>
      <c r="AE543" s="2978"/>
      <c r="AF543" s="2978"/>
      <c r="AG543" s="2978"/>
      <c r="AH543" s="2978"/>
      <c r="AI543" s="2978"/>
      <c r="AJ543" s="2978"/>
      <c r="AK543" s="2978"/>
    </row>
    <row r="544" spans="1:37" ht="15" x14ac:dyDescent="0.2">
      <c r="A544" s="1720"/>
      <c r="B544" s="1720"/>
      <c r="C544" s="1720"/>
      <c r="D544" s="1720"/>
      <c r="E544" s="1720"/>
      <c r="F544" s="1720"/>
      <c r="G544" s="1720"/>
      <c r="H544" s="1720"/>
      <c r="I544" s="1720"/>
      <c r="J544" s="1720"/>
      <c r="K544" s="1720"/>
      <c r="L544" s="1720"/>
      <c r="M544" s="1720"/>
      <c r="N544" s="1720"/>
      <c r="O544" s="1720"/>
      <c r="P544" s="1720"/>
      <c r="Q544" s="1720"/>
      <c r="R544" s="1720"/>
      <c r="S544" s="1720"/>
      <c r="T544" s="1720"/>
      <c r="U544" s="1720"/>
      <c r="V544" s="1720"/>
      <c r="W544" s="1720"/>
      <c r="X544" s="1720"/>
      <c r="Y544" s="1720"/>
      <c r="Z544" s="1720"/>
      <c r="AA544" s="1721"/>
      <c r="AB544" s="1719"/>
      <c r="AC544" s="1719"/>
      <c r="AD544" s="1719"/>
      <c r="AE544" s="1719"/>
      <c r="AF544" s="1719"/>
      <c r="AG544" s="1719"/>
      <c r="AH544" s="1719"/>
      <c r="AI544" s="1719"/>
      <c r="AJ544" s="1719"/>
      <c r="AK544" s="1719"/>
    </row>
    <row r="545" spans="1:37" ht="15" x14ac:dyDescent="0.2">
      <c r="A545" s="1720"/>
      <c r="B545" s="1720"/>
      <c r="C545" s="1720"/>
      <c r="D545" s="1720"/>
      <c r="E545" s="1720"/>
      <c r="F545" s="1720"/>
      <c r="G545" s="1720"/>
      <c r="H545" s="1720"/>
      <c r="I545" s="1720"/>
      <c r="J545" s="1720"/>
      <c r="K545" s="1720"/>
      <c r="L545" s="1720"/>
      <c r="M545" s="1720"/>
      <c r="N545" s="1720"/>
      <c r="O545" s="1720"/>
      <c r="P545" s="1720"/>
      <c r="Q545" s="1720"/>
      <c r="R545" s="1720"/>
      <c r="S545" s="1720"/>
      <c r="T545" s="1720"/>
      <c r="U545" s="1720"/>
      <c r="V545" s="1720"/>
      <c r="W545" s="1720"/>
      <c r="X545" s="1720"/>
      <c r="Y545" s="1720"/>
      <c r="Z545" s="1720"/>
      <c r="AA545" s="1721"/>
      <c r="AB545" s="1713"/>
      <c r="AC545" s="1713"/>
      <c r="AD545" s="1713"/>
      <c r="AE545" s="1713"/>
      <c r="AF545" s="1713"/>
      <c r="AG545" s="1713"/>
      <c r="AH545" s="1713"/>
      <c r="AI545" s="1713"/>
      <c r="AJ545" s="1713"/>
      <c r="AK545" s="1713"/>
    </row>
    <row r="546" spans="1:37" x14ac:dyDescent="0.2">
      <c r="A546" s="1720"/>
      <c r="B546" s="1720"/>
      <c r="C546" s="1720"/>
      <c r="D546" s="1720"/>
      <c r="E546" s="1720"/>
      <c r="F546" s="1720"/>
      <c r="G546" s="1720"/>
      <c r="H546" s="1720"/>
      <c r="I546" s="1720"/>
      <c r="J546" s="1720"/>
      <c r="K546" s="1720"/>
      <c r="L546" s="1720"/>
      <c r="M546" s="1720"/>
      <c r="N546" s="1720"/>
      <c r="O546" s="1720"/>
      <c r="P546" s="1720"/>
      <c r="Q546" s="1720"/>
      <c r="R546" s="1720"/>
      <c r="S546" s="1720"/>
      <c r="T546" s="1720"/>
      <c r="U546" s="1720"/>
      <c r="V546" s="1720"/>
      <c r="W546" s="1720"/>
      <c r="X546" s="1720"/>
      <c r="Y546" s="1720"/>
      <c r="Z546" s="1720"/>
      <c r="AA546" s="1721"/>
      <c r="AB546" s="1706"/>
      <c r="AC546" s="1706"/>
      <c r="AD546" s="1706"/>
      <c r="AE546" s="1706"/>
      <c r="AF546" s="1706"/>
      <c r="AG546" s="1706"/>
      <c r="AH546" s="1706"/>
      <c r="AI546" s="1706"/>
    </row>
    <row r="547" spans="1:37" ht="18" customHeight="1" x14ac:dyDescent="0.2">
      <c r="A547" s="3013" t="s">
        <v>510</v>
      </c>
      <c r="B547" s="3013"/>
      <c r="C547" s="3013"/>
      <c r="D547" s="3013"/>
      <c r="E547" s="3013"/>
      <c r="F547" s="3013"/>
      <c r="G547" s="3013"/>
      <c r="H547" s="3013"/>
      <c r="I547" s="3013"/>
      <c r="J547" s="3013"/>
      <c r="K547" s="3013"/>
      <c r="L547" s="3013"/>
      <c r="M547" s="3013"/>
      <c r="N547" s="3013"/>
      <c r="O547" s="3013"/>
      <c r="P547" s="3013"/>
      <c r="Q547" s="3013"/>
      <c r="R547" s="3013"/>
      <c r="S547" s="3013"/>
      <c r="T547" s="3013"/>
      <c r="U547" s="3013"/>
      <c r="V547" s="3013"/>
      <c r="W547" s="3013"/>
      <c r="X547" s="3013"/>
      <c r="Y547" s="3013"/>
      <c r="Z547" s="3013"/>
      <c r="AA547" s="1721"/>
      <c r="AB547" s="2981">
        <f>AB489</f>
        <v>6</v>
      </c>
      <c r="AC547" s="2983" t="str">
        <f>AC489</f>
        <v>Asyam Hanif Ihsan H</v>
      </c>
      <c r="AD547" s="2984"/>
      <c r="AE547" s="2984"/>
      <c r="AF547" s="2985"/>
      <c r="AG547" s="1706"/>
      <c r="AH547" s="1706"/>
      <c r="AI547" s="1706"/>
    </row>
    <row r="548" spans="1:37" x14ac:dyDescent="0.2">
      <c r="A548" s="1720"/>
      <c r="B548" s="1720"/>
      <c r="C548" s="1720"/>
      <c r="D548" s="1720"/>
      <c r="E548" s="1720"/>
      <c r="F548" s="1720"/>
      <c r="G548" s="1720"/>
      <c r="H548" s="1720"/>
      <c r="I548" s="1720"/>
      <c r="J548" s="1720"/>
      <c r="K548" s="1720"/>
      <c r="L548" s="1720"/>
      <c r="M548" s="1720"/>
      <c r="N548" s="1720"/>
      <c r="O548" s="1720"/>
      <c r="P548" s="1720"/>
      <c r="Q548" s="1720"/>
      <c r="R548" s="1720"/>
      <c r="S548" s="1720"/>
      <c r="T548" s="1720"/>
      <c r="U548" s="1720"/>
      <c r="V548" s="1720"/>
      <c r="W548" s="1720"/>
      <c r="X548" s="1720"/>
      <c r="Y548" s="1720"/>
      <c r="Z548" s="1720"/>
      <c r="AA548" s="1721"/>
      <c r="AB548" s="2982"/>
      <c r="AC548" s="2986"/>
      <c r="AD548" s="2987"/>
      <c r="AE548" s="2987"/>
      <c r="AF548" s="2988"/>
      <c r="AG548" s="1706"/>
      <c r="AH548" s="1706"/>
      <c r="AI548" s="1706"/>
    </row>
    <row r="549" spans="1:37" x14ac:dyDescent="0.2">
      <c r="A549" s="1720"/>
      <c r="B549" s="1741" t="s">
        <v>511</v>
      </c>
      <c r="C549" s="1720"/>
      <c r="D549" s="1720"/>
      <c r="E549" s="1720"/>
      <c r="F549" s="1720"/>
      <c r="G549" s="1720"/>
      <c r="H549" s="1722"/>
      <c r="I549" s="3082"/>
      <c r="J549" s="3082"/>
      <c r="K549" s="3082"/>
      <c r="L549" s="3082"/>
      <c r="M549" s="3082"/>
      <c r="N549" s="3082"/>
      <c r="O549" s="3082"/>
      <c r="P549" s="3082"/>
      <c r="Q549" s="3082"/>
      <c r="R549" s="3082"/>
      <c r="S549" s="3082"/>
      <c r="T549" s="3082"/>
      <c r="U549" s="3082"/>
      <c r="V549" s="1720"/>
      <c r="W549" s="1720"/>
      <c r="X549" s="1720"/>
      <c r="Y549" s="1720"/>
      <c r="Z549" s="1720"/>
      <c r="AA549" s="1721"/>
      <c r="AB549" s="2956" t="s">
        <v>723</v>
      </c>
      <c r="AC549" s="2957"/>
      <c r="AD549" s="2957"/>
      <c r="AE549" s="2957"/>
      <c r="AF549" s="2958"/>
      <c r="AG549" s="1706"/>
      <c r="AH549" s="1706"/>
      <c r="AI549" s="1706"/>
    </row>
    <row r="550" spans="1:37" x14ac:dyDescent="0.2">
      <c r="A550" s="1720"/>
      <c r="B550" s="1720"/>
      <c r="C550" s="1720"/>
      <c r="D550" s="1720"/>
      <c r="E550" s="1720"/>
      <c r="F550" s="1720"/>
      <c r="G550" s="1720"/>
      <c r="H550" s="1720"/>
      <c r="I550" s="1720"/>
      <c r="J550" s="1720"/>
      <c r="K550" s="1720"/>
      <c r="L550" s="1720"/>
      <c r="M550" s="1720"/>
      <c r="N550" s="1720"/>
      <c r="O550" s="1720"/>
      <c r="P550" s="1720"/>
      <c r="Q550" s="1720"/>
      <c r="R550" s="1720"/>
      <c r="S550" s="1720"/>
      <c r="T550" s="1720"/>
      <c r="U550" s="1720"/>
      <c r="V550" s="1720"/>
      <c r="W550" s="1720"/>
      <c r="X550" s="1720"/>
      <c r="Y550" s="1720"/>
      <c r="Z550" s="1720"/>
      <c r="AA550" s="1721"/>
      <c r="AB550" s="2959"/>
      <c r="AC550" s="2960"/>
      <c r="AD550" s="2960"/>
      <c r="AE550" s="2960"/>
      <c r="AF550" s="2961"/>
      <c r="AG550" s="1706"/>
      <c r="AH550" s="1706"/>
      <c r="AI550" s="1706"/>
    </row>
    <row r="551" spans="1:37" ht="23.25" customHeight="1" x14ac:dyDescent="0.2">
      <c r="A551" s="1720"/>
      <c r="B551" s="2954" t="s">
        <v>468</v>
      </c>
      <c r="C551" s="2954"/>
      <c r="D551" s="2954" t="s">
        <v>520</v>
      </c>
      <c r="E551" s="2954"/>
      <c r="F551" s="2954"/>
      <c r="G551" s="2954"/>
      <c r="H551" s="2954"/>
      <c r="I551" s="2954"/>
      <c r="J551" s="2954"/>
      <c r="K551" s="2954"/>
      <c r="L551" s="2954"/>
      <c r="M551" s="2954"/>
      <c r="N551" s="2954"/>
      <c r="O551" s="2954"/>
      <c r="P551" s="2954"/>
      <c r="Q551" s="2954"/>
      <c r="R551" s="2954"/>
      <c r="S551" s="2954"/>
      <c r="T551" s="2954"/>
      <c r="U551" s="2954"/>
      <c r="V551" s="2954"/>
      <c r="W551" s="2954"/>
      <c r="X551" s="2954"/>
      <c r="Y551" s="2954"/>
      <c r="Z551" s="1720"/>
      <c r="AA551" s="1721"/>
      <c r="AB551" s="1706"/>
      <c r="AC551" s="1706"/>
      <c r="AD551" s="1706"/>
      <c r="AE551" s="1706"/>
      <c r="AF551" s="1706"/>
      <c r="AG551" s="1706"/>
      <c r="AH551" s="1706"/>
      <c r="AI551" s="1706"/>
    </row>
    <row r="552" spans="1:37" ht="20.100000000000001" customHeight="1" x14ac:dyDescent="0.2">
      <c r="A552" s="1720"/>
      <c r="B552" s="3080">
        <v>1</v>
      </c>
      <c r="C552" s="3081"/>
      <c r="D552" s="1779" t="s">
        <v>220</v>
      </c>
      <c r="E552" s="1786"/>
      <c r="F552" s="1749"/>
      <c r="G552" s="1749"/>
      <c r="H552" s="1749"/>
      <c r="I552" s="1749"/>
      <c r="J552" s="1750"/>
      <c r="K552" s="1787" t="s">
        <v>255</v>
      </c>
      <c r="L552" s="1749"/>
      <c r="M552" s="1749"/>
      <c r="N552" s="1749"/>
      <c r="O552" s="1749"/>
      <c r="P552" s="1749"/>
      <c r="Q552" s="1749"/>
      <c r="R552" s="1749"/>
      <c r="S552" s="1750"/>
      <c r="T552" s="1788" t="s">
        <v>524</v>
      </c>
      <c r="U552" s="1789"/>
      <c r="V552" s="1745"/>
      <c r="W552" s="1745"/>
      <c r="X552" s="1745"/>
      <c r="Y552" s="1746"/>
      <c r="Z552" s="1720"/>
      <c r="AA552" s="1721"/>
      <c r="AB552" s="1706"/>
      <c r="AC552" s="1706"/>
      <c r="AD552" s="1706"/>
      <c r="AE552" s="1706"/>
      <c r="AF552" s="1706"/>
      <c r="AG552" s="1706"/>
      <c r="AH552" s="1706"/>
      <c r="AI552" s="1706"/>
    </row>
    <row r="553" spans="1:37" ht="20.100000000000001" customHeight="1" x14ac:dyDescent="0.2">
      <c r="A553" s="1720"/>
      <c r="B553" s="1747"/>
      <c r="C553" s="1750"/>
      <c r="D553" s="1779" t="s">
        <v>228</v>
      </c>
      <c r="E553" s="1786"/>
      <c r="F553" s="1749"/>
      <c r="G553" s="1749"/>
      <c r="H553" s="1749"/>
      <c r="I553" s="1749"/>
      <c r="J553" s="1750"/>
      <c r="K553" s="1787" t="s">
        <v>255</v>
      </c>
      <c r="L553" s="1749"/>
      <c r="M553" s="1749"/>
      <c r="N553" s="1749"/>
      <c r="O553" s="1749"/>
      <c r="P553" s="1749"/>
      <c r="Q553" s="1749"/>
      <c r="R553" s="1749"/>
      <c r="S553" s="1750"/>
      <c r="T553" s="1790" t="s">
        <v>501</v>
      </c>
      <c r="U553" s="1791"/>
      <c r="V553" s="1749"/>
      <c r="W553" s="1749"/>
      <c r="X553" s="1749"/>
      <c r="Y553" s="1750"/>
      <c r="Z553" s="1720"/>
      <c r="AA553" s="1721"/>
      <c r="AB553" s="1706"/>
      <c r="AC553" s="1706"/>
      <c r="AD553" s="1706"/>
      <c r="AE553" s="1706"/>
      <c r="AF553" s="1706"/>
      <c r="AG553" s="1706"/>
      <c r="AH553" s="1706"/>
      <c r="AI553" s="1706"/>
    </row>
    <row r="554" spans="1:37" ht="20.100000000000001" customHeight="1" x14ac:dyDescent="0.2">
      <c r="A554" s="1720"/>
      <c r="B554" s="1747"/>
      <c r="C554" s="1750"/>
      <c r="D554" s="1779" t="s">
        <v>93</v>
      </c>
      <c r="E554" s="1786"/>
      <c r="F554" s="1749"/>
      <c r="G554" s="1749"/>
      <c r="H554" s="1749"/>
      <c r="I554" s="1749"/>
      <c r="J554" s="1750"/>
      <c r="K554" s="1787" t="s">
        <v>255</v>
      </c>
      <c r="L554" s="1749"/>
      <c r="M554" s="1749"/>
      <c r="N554" s="1749"/>
      <c r="O554" s="1749"/>
      <c r="P554" s="1749"/>
      <c r="Q554" s="1749"/>
      <c r="R554" s="1749"/>
      <c r="S554" s="1750"/>
      <c r="T554" s="1792"/>
      <c r="U554" s="1749"/>
      <c r="V554" s="1749"/>
      <c r="W554" s="1749"/>
      <c r="X554" s="1749"/>
      <c r="Y554" s="1750"/>
      <c r="Z554" s="1720"/>
      <c r="AA554" s="1721"/>
      <c r="AB554" s="1706"/>
      <c r="AC554" s="1706"/>
      <c r="AD554" s="1706"/>
      <c r="AE554" s="1706"/>
      <c r="AF554" s="1706"/>
      <c r="AG554" s="1706"/>
      <c r="AH554" s="1706"/>
      <c r="AI554" s="1706"/>
    </row>
    <row r="555" spans="1:37" ht="20.100000000000001" customHeight="1" x14ac:dyDescent="0.2">
      <c r="A555" s="1720"/>
      <c r="B555" s="1747"/>
      <c r="C555" s="1750"/>
      <c r="D555" s="1779" t="s">
        <v>521</v>
      </c>
      <c r="E555" s="1786"/>
      <c r="F555" s="1749"/>
      <c r="G555" s="1749"/>
      <c r="H555" s="1749"/>
      <c r="I555" s="1749"/>
      <c r="J555" s="1750"/>
      <c r="K555" s="1787" t="s">
        <v>255</v>
      </c>
      <c r="L555" s="1749"/>
      <c r="M555" s="1749"/>
      <c r="N555" s="1749"/>
      <c r="O555" s="1749"/>
      <c r="P555" s="1749"/>
      <c r="Q555" s="1749"/>
      <c r="R555" s="1749"/>
      <c r="S555" s="1750"/>
      <c r="T555" s="1792"/>
      <c r="U555" s="1749"/>
      <c r="V555" s="1749"/>
      <c r="W555" s="1749"/>
      <c r="X555" s="1749"/>
      <c r="Y555" s="1750"/>
      <c r="Z555" s="1720"/>
      <c r="AA555" s="1721"/>
      <c r="AB555" s="1706"/>
      <c r="AC555" s="1706"/>
      <c r="AD555" s="1706"/>
      <c r="AE555" s="1706"/>
      <c r="AF555" s="1706"/>
      <c r="AG555" s="1706"/>
      <c r="AH555" s="1706"/>
      <c r="AI555" s="1706"/>
    </row>
    <row r="556" spans="1:37" ht="20.100000000000001" customHeight="1" x14ac:dyDescent="0.2">
      <c r="A556" s="1720"/>
      <c r="B556" s="1747"/>
      <c r="C556" s="1750"/>
      <c r="D556" s="1779" t="s">
        <v>522</v>
      </c>
      <c r="E556" s="1786"/>
      <c r="F556" s="1749"/>
      <c r="G556" s="1749"/>
      <c r="H556" s="1749"/>
      <c r="I556" s="1749"/>
      <c r="J556" s="1750"/>
      <c r="K556" s="1787" t="s">
        <v>255</v>
      </c>
      <c r="L556" s="1749"/>
      <c r="M556" s="1749"/>
      <c r="N556" s="1749"/>
      <c r="O556" s="1749"/>
      <c r="P556" s="1749"/>
      <c r="Q556" s="1749"/>
      <c r="R556" s="1749"/>
      <c r="S556" s="1750"/>
      <c r="T556" s="1792"/>
      <c r="U556" s="1749"/>
      <c r="V556" s="1749"/>
      <c r="W556" s="1749"/>
      <c r="X556" s="1749"/>
      <c r="Y556" s="1750"/>
      <c r="Z556" s="1720"/>
      <c r="AA556" s="1721"/>
      <c r="AB556" s="1706"/>
      <c r="AC556" s="1706"/>
      <c r="AD556" s="1706"/>
      <c r="AE556" s="1706"/>
      <c r="AF556" s="1706"/>
      <c r="AG556" s="1706"/>
      <c r="AH556" s="1706"/>
      <c r="AI556" s="1706"/>
    </row>
    <row r="557" spans="1:37" ht="20.100000000000001" customHeight="1" x14ac:dyDescent="0.2">
      <c r="A557" s="1720"/>
      <c r="B557" s="1747"/>
      <c r="C557" s="1750"/>
      <c r="D557" s="1779" t="s">
        <v>523</v>
      </c>
      <c r="E557" s="1786"/>
      <c r="F557" s="1749"/>
      <c r="G557" s="1749"/>
      <c r="H557" s="1749"/>
      <c r="I557" s="1749"/>
      <c r="J557" s="1750"/>
      <c r="K557" s="1787" t="s">
        <v>255</v>
      </c>
      <c r="L557" s="1749"/>
      <c r="M557" s="1749"/>
      <c r="N557" s="1749"/>
      <c r="O557" s="1749"/>
      <c r="P557" s="1749"/>
      <c r="Q557" s="1749"/>
      <c r="R557" s="1749"/>
      <c r="S557" s="1750"/>
      <c r="T557" s="1790"/>
      <c r="U557" s="1749"/>
      <c r="V557" s="1749"/>
      <c r="W557" s="1749"/>
      <c r="X557" s="1749"/>
      <c r="Y557" s="1750"/>
      <c r="Z557" s="1720"/>
      <c r="AA557" s="1721"/>
      <c r="AB557" s="1706"/>
      <c r="AC557" s="1706"/>
      <c r="AD557" s="1706"/>
      <c r="AE557" s="1706"/>
      <c r="AF557" s="1706"/>
      <c r="AG557" s="1706"/>
      <c r="AH557" s="1706"/>
      <c r="AI557" s="1706"/>
    </row>
    <row r="558" spans="1:37" ht="20.100000000000001" customHeight="1" x14ac:dyDescent="0.2">
      <c r="A558" s="1720"/>
      <c r="B558" s="1751"/>
      <c r="C558" s="1753"/>
      <c r="D558" s="1781" t="s">
        <v>408</v>
      </c>
      <c r="E558" s="1793"/>
      <c r="F558" s="1752"/>
      <c r="G558" s="1752"/>
      <c r="H558" s="1752"/>
      <c r="I558" s="1752"/>
      <c r="J558" s="1753"/>
      <c r="K558" s="1794" t="s">
        <v>255</v>
      </c>
      <c r="L558" s="1752"/>
      <c r="M558" s="1752"/>
      <c r="N558" s="1752"/>
      <c r="O558" s="1752"/>
      <c r="P558" s="1752"/>
      <c r="Q558" s="1752"/>
      <c r="R558" s="1752"/>
      <c r="S558" s="1753"/>
      <c r="T558" s="1795" t="s">
        <v>499</v>
      </c>
      <c r="U558" s="1752"/>
      <c r="V558" s="1752"/>
      <c r="W558" s="1752"/>
      <c r="X558" s="1752"/>
      <c r="Y558" s="1753"/>
      <c r="Z558" s="1720"/>
      <c r="AA558" s="1721"/>
      <c r="AB558" s="1706"/>
      <c r="AC558" s="1706"/>
      <c r="AD558" s="1706"/>
      <c r="AE558" s="1706"/>
      <c r="AF558" s="1706"/>
      <c r="AG558" s="1706"/>
      <c r="AH558" s="1706"/>
      <c r="AI558" s="1706"/>
    </row>
    <row r="559" spans="1:37" ht="20.100000000000001" customHeight="1" x14ac:dyDescent="0.2">
      <c r="A559" s="1720"/>
      <c r="B559" s="3080">
        <v>2</v>
      </c>
      <c r="C559" s="3081"/>
      <c r="D559" s="1779" t="s">
        <v>220</v>
      </c>
      <c r="E559" s="1786"/>
      <c r="F559" s="1749"/>
      <c r="G559" s="1749"/>
      <c r="H559" s="1749"/>
      <c r="I559" s="1749"/>
      <c r="J559" s="1750"/>
      <c r="K559" s="1787" t="s">
        <v>255</v>
      </c>
      <c r="L559" s="1749"/>
      <c r="M559" s="1749"/>
      <c r="N559" s="1749"/>
      <c r="O559" s="1749"/>
      <c r="P559" s="1749"/>
      <c r="Q559" s="1749"/>
      <c r="R559" s="1749"/>
      <c r="S559" s="1750"/>
      <c r="T559" s="1788" t="s">
        <v>524</v>
      </c>
      <c r="U559" s="1789"/>
      <c r="V559" s="1745"/>
      <c r="W559" s="1745"/>
      <c r="X559" s="1745"/>
      <c r="Y559" s="1746"/>
      <c r="Z559" s="1720"/>
      <c r="AA559" s="1721"/>
      <c r="AB559" s="1706"/>
      <c r="AC559" s="1706"/>
      <c r="AD559" s="1706"/>
      <c r="AE559" s="1706"/>
      <c r="AF559" s="1706"/>
      <c r="AG559" s="1706"/>
      <c r="AH559" s="1706"/>
      <c r="AI559" s="1706"/>
    </row>
    <row r="560" spans="1:37" ht="20.100000000000001" customHeight="1" x14ac:dyDescent="0.2">
      <c r="A560" s="1720"/>
      <c r="B560" s="1747"/>
      <c r="C560" s="1750"/>
      <c r="D560" s="1779" t="s">
        <v>228</v>
      </c>
      <c r="E560" s="1786"/>
      <c r="F560" s="1749"/>
      <c r="G560" s="1749"/>
      <c r="H560" s="1749"/>
      <c r="I560" s="1749"/>
      <c r="J560" s="1750"/>
      <c r="K560" s="1787" t="s">
        <v>255</v>
      </c>
      <c r="L560" s="1749"/>
      <c r="M560" s="1749"/>
      <c r="N560" s="1749"/>
      <c r="O560" s="1749"/>
      <c r="P560" s="1749"/>
      <c r="Q560" s="1749"/>
      <c r="R560" s="1749"/>
      <c r="S560" s="1750"/>
      <c r="T560" s="1790" t="s">
        <v>501</v>
      </c>
      <c r="U560" s="1791"/>
      <c r="V560" s="1749"/>
      <c r="W560" s="1749"/>
      <c r="X560" s="1749"/>
      <c r="Y560" s="1750"/>
      <c r="Z560" s="1720"/>
      <c r="AA560" s="1721"/>
      <c r="AB560" s="1706"/>
      <c r="AC560" s="1706"/>
      <c r="AD560" s="1706"/>
      <c r="AE560" s="1706"/>
      <c r="AF560" s="1706"/>
      <c r="AG560" s="1706"/>
      <c r="AH560" s="1706"/>
      <c r="AI560" s="1706"/>
    </row>
    <row r="561" spans="1:35" ht="20.100000000000001" customHeight="1" x14ac:dyDescent="0.2">
      <c r="A561" s="1720"/>
      <c r="B561" s="1747"/>
      <c r="C561" s="1750"/>
      <c r="D561" s="1779" t="s">
        <v>93</v>
      </c>
      <c r="E561" s="1786"/>
      <c r="F561" s="1749"/>
      <c r="G561" s="1749"/>
      <c r="H561" s="1749"/>
      <c r="I561" s="1749"/>
      <c r="J561" s="1750"/>
      <c r="K561" s="1787" t="s">
        <v>255</v>
      </c>
      <c r="L561" s="1749"/>
      <c r="M561" s="1749"/>
      <c r="N561" s="1749"/>
      <c r="O561" s="1749"/>
      <c r="P561" s="1749"/>
      <c r="Q561" s="1749"/>
      <c r="R561" s="1749"/>
      <c r="S561" s="1750"/>
      <c r="T561" s="1792"/>
      <c r="U561" s="1749"/>
      <c r="V561" s="1749"/>
      <c r="W561" s="1749"/>
      <c r="X561" s="1749"/>
      <c r="Y561" s="1750"/>
      <c r="Z561" s="1720"/>
      <c r="AA561" s="1721"/>
      <c r="AB561" s="1706"/>
      <c r="AC561" s="1706"/>
      <c r="AD561" s="1706"/>
      <c r="AE561" s="1706"/>
      <c r="AF561" s="1706"/>
      <c r="AG561" s="1706"/>
      <c r="AH561" s="1706"/>
      <c r="AI561" s="1706"/>
    </row>
    <row r="562" spans="1:35" ht="20.100000000000001" customHeight="1" x14ac:dyDescent="0.2">
      <c r="A562" s="1720"/>
      <c r="B562" s="1747"/>
      <c r="C562" s="1750"/>
      <c r="D562" s="1779" t="s">
        <v>521</v>
      </c>
      <c r="E562" s="1786"/>
      <c r="F562" s="1749"/>
      <c r="G562" s="1749"/>
      <c r="H562" s="1749"/>
      <c r="I562" s="1749"/>
      <c r="J562" s="1750"/>
      <c r="K562" s="1787" t="s">
        <v>255</v>
      </c>
      <c r="L562" s="1749"/>
      <c r="M562" s="1749"/>
      <c r="N562" s="1749"/>
      <c r="O562" s="1749"/>
      <c r="P562" s="1749"/>
      <c r="Q562" s="1749"/>
      <c r="R562" s="1749"/>
      <c r="S562" s="1750"/>
      <c r="T562" s="1792"/>
      <c r="U562" s="1749"/>
      <c r="V562" s="1749"/>
      <c r="W562" s="1749"/>
      <c r="X562" s="1749"/>
      <c r="Y562" s="1750"/>
      <c r="Z562" s="1720"/>
      <c r="AA562" s="1721"/>
      <c r="AB562" s="1706"/>
      <c r="AC562" s="1706"/>
      <c r="AD562" s="1706"/>
      <c r="AE562" s="1706"/>
      <c r="AF562" s="1706"/>
      <c r="AG562" s="1706"/>
      <c r="AH562" s="1706"/>
      <c r="AI562" s="1706"/>
    </row>
    <row r="563" spans="1:35" ht="20.100000000000001" customHeight="1" x14ac:dyDescent="0.2">
      <c r="A563" s="1720"/>
      <c r="B563" s="1747"/>
      <c r="C563" s="1750"/>
      <c r="D563" s="1779" t="s">
        <v>522</v>
      </c>
      <c r="E563" s="1786"/>
      <c r="F563" s="1749"/>
      <c r="G563" s="1749"/>
      <c r="H563" s="1749"/>
      <c r="I563" s="1749"/>
      <c r="J563" s="1750"/>
      <c r="K563" s="1787" t="s">
        <v>255</v>
      </c>
      <c r="L563" s="1749"/>
      <c r="M563" s="1749"/>
      <c r="N563" s="1749"/>
      <c r="O563" s="1749"/>
      <c r="P563" s="1749"/>
      <c r="Q563" s="1749"/>
      <c r="R563" s="1749"/>
      <c r="S563" s="1750"/>
      <c r="T563" s="1792"/>
      <c r="U563" s="1749"/>
      <c r="V563" s="1749"/>
      <c r="W563" s="1749"/>
      <c r="X563" s="1749"/>
      <c r="Y563" s="1750"/>
      <c r="Z563" s="1720"/>
      <c r="AA563" s="1721"/>
      <c r="AB563" s="1706"/>
      <c r="AC563" s="1706"/>
      <c r="AD563" s="1706"/>
      <c r="AE563" s="1706"/>
      <c r="AF563" s="1706"/>
      <c r="AG563" s="1706"/>
      <c r="AH563" s="1706"/>
      <c r="AI563" s="1706"/>
    </row>
    <row r="564" spans="1:35" ht="20.100000000000001" customHeight="1" x14ac:dyDescent="0.2">
      <c r="A564" s="1720"/>
      <c r="B564" s="1747"/>
      <c r="C564" s="1750"/>
      <c r="D564" s="1779" t="s">
        <v>523</v>
      </c>
      <c r="E564" s="1786"/>
      <c r="F564" s="1749"/>
      <c r="G564" s="1749"/>
      <c r="H564" s="1749"/>
      <c r="I564" s="1749"/>
      <c r="J564" s="1750"/>
      <c r="K564" s="1787" t="s">
        <v>255</v>
      </c>
      <c r="L564" s="1749"/>
      <c r="M564" s="1749"/>
      <c r="N564" s="1749"/>
      <c r="O564" s="1749"/>
      <c r="P564" s="1749"/>
      <c r="Q564" s="1749"/>
      <c r="R564" s="1749"/>
      <c r="S564" s="1750"/>
      <c r="T564" s="1790"/>
      <c r="U564" s="1749"/>
      <c r="V564" s="1749"/>
      <c r="W564" s="1749"/>
      <c r="X564" s="1749"/>
      <c r="Y564" s="1750"/>
      <c r="Z564" s="1720"/>
      <c r="AA564" s="1721"/>
      <c r="AB564" s="1706"/>
      <c r="AC564" s="1706"/>
      <c r="AD564" s="1706"/>
      <c r="AE564" s="1706"/>
      <c r="AF564" s="1706"/>
      <c r="AG564" s="1706"/>
      <c r="AH564" s="1706"/>
      <c r="AI564" s="1706"/>
    </row>
    <row r="565" spans="1:35" ht="20.100000000000001" customHeight="1" x14ac:dyDescent="0.2">
      <c r="A565" s="1720"/>
      <c r="B565" s="1751"/>
      <c r="C565" s="1753"/>
      <c r="D565" s="1781" t="s">
        <v>408</v>
      </c>
      <c r="E565" s="1793"/>
      <c r="F565" s="1752"/>
      <c r="G565" s="1752"/>
      <c r="H565" s="1752"/>
      <c r="I565" s="1752"/>
      <c r="J565" s="1753"/>
      <c r="K565" s="1794" t="s">
        <v>255</v>
      </c>
      <c r="L565" s="1752"/>
      <c r="M565" s="1752"/>
      <c r="N565" s="1752"/>
      <c r="O565" s="1752"/>
      <c r="P565" s="1752"/>
      <c r="Q565" s="1752"/>
      <c r="R565" s="1752"/>
      <c r="S565" s="1753"/>
      <c r="T565" s="1795" t="s">
        <v>499</v>
      </c>
      <c r="U565" s="1752"/>
      <c r="V565" s="1752"/>
      <c r="W565" s="1752"/>
      <c r="X565" s="1752"/>
      <c r="Y565" s="1753"/>
      <c r="Z565" s="1720"/>
      <c r="AA565" s="1721"/>
      <c r="AB565" s="1706"/>
      <c r="AC565" s="1706"/>
      <c r="AD565" s="1706"/>
      <c r="AE565" s="1706"/>
      <c r="AF565" s="1706"/>
      <c r="AG565" s="1706"/>
      <c r="AH565" s="1706"/>
      <c r="AI565" s="1706"/>
    </row>
    <row r="566" spans="1:35" ht="20.100000000000001" customHeight="1" x14ac:dyDescent="0.2">
      <c r="A566" s="1720"/>
      <c r="B566" s="3080">
        <v>3</v>
      </c>
      <c r="C566" s="3081"/>
      <c r="D566" s="1779" t="s">
        <v>220</v>
      </c>
      <c r="E566" s="1786"/>
      <c r="F566" s="1749"/>
      <c r="G566" s="1749"/>
      <c r="H566" s="1749"/>
      <c r="I566" s="1749"/>
      <c r="J566" s="1750"/>
      <c r="K566" s="1787" t="s">
        <v>255</v>
      </c>
      <c r="L566" s="1749"/>
      <c r="M566" s="1749"/>
      <c r="N566" s="1749"/>
      <c r="O566" s="1749"/>
      <c r="P566" s="1749"/>
      <c r="Q566" s="1749"/>
      <c r="R566" s="1749"/>
      <c r="S566" s="1750"/>
      <c r="T566" s="1788" t="s">
        <v>524</v>
      </c>
      <c r="U566" s="1789"/>
      <c r="V566" s="1745"/>
      <c r="W566" s="1745"/>
      <c r="X566" s="1745"/>
      <c r="Y566" s="1746"/>
      <c r="Z566" s="1720"/>
      <c r="AA566" s="1721"/>
      <c r="AB566" s="1706"/>
      <c r="AC566" s="1706"/>
      <c r="AD566" s="1706"/>
      <c r="AE566" s="1706"/>
      <c r="AF566" s="1706"/>
      <c r="AG566" s="1706"/>
      <c r="AH566" s="1706"/>
      <c r="AI566" s="1706"/>
    </row>
    <row r="567" spans="1:35" ht="20.100000000000001" customHeight="1" x14ac:dyDescent="0.2">
      <c r="A567" s="1720"/>
      <c r="B567" s="1747"/>
      <c r="C567" s="1750"/>
      <c r="D567" s="1779" t="s">
        <v>228</v>
      </c>
      <c r="E567" s="1786"/>
      <c r="F567" s="1749"/>
      <c r="G567" s="1749"/>
      <c r="H567" s="1749"/>
      <c r="I567" s="1749"/>
      <c r="J567" s="1750"/>
      <c r="K567" s="1787" t="s">
        <v>255</v>
      </c>
      <c r="L567" s="1749"/>
      <c r="M567" s="1749"/>
      <c r="N567" s="1749"/>
      <c r="O567" s="1749"/>
      <c r="P567" s="1749"/>
      <c r="Q567" s="1749"/>
      <c r="R567" s="1749"/>
      <c r="S567" s="1750"/>
      <c r="T567" s="1790" t="s">
        <v>501</v>
      </c>
      <c r="U567" s="1791"/>
      <c r="V567" s="1749"/>
      <c r="W567" s="1749"/>
      <c r="X567" s="1749"/>
      <c r="Y567" s="1750"/>
      <c r="Z567" s="1720"/>
      <c r="AA567" s="1721"/>
      <c r="AB567" s="1706"/>
      <c r="AC567" s="1706"/>
      <c r="AD567" s="1706"/>
      <c r="AE567" s="1706"/>
      <c r="AF567" s="1706"/>
      <c r="AG567" s="1706"/>
      <c r="AH567" s="1706"/>
      <c r="AI567" s="1706"/>
    </row>
    <row r="568" spans="1:35" ht="20.100000000000001" customHeight="1" x14ac:dyDescent="0.2">
      <c r="A568" s="1720"/>
      <c r="B568" s="1747"/>
      <c r="C568" s="1750"/>
      <c r="D568" s="1779" t="s">
        <v>93</v>
      </c>
      <c r="E568" s="1786"/>
      <c r="F568" s="1749"/>
      <c r="G568" s="1749"/>
      <c r="H568" s="1749"/>
      <c r="I568" s="1749"/>
      <c r="J568" s="1750"/>
      <c r="K568" s="1787" t="s">
        <v>255</v>
      </c>
      <c r="L568" s="1749"/>
      <c r="M568" s="1749"/>
      <c r="N568" s="1749"/>
      <c r="O568" s="1749"/>
      <c r="P568" s="1749"/>
      <c r="Q568" s="1749"/>
      <c r="R568" s="1749"/>
      <c r="S568" s="1750"/>
      <c r="T568" s="1792"/>
      <c r="U568" s="1749"/>
      <c r="V568" s="1749"/>
      <c r="W568" s="1749"/>
      <c r="X568" s="1749"/>
      <c r="Y568" s="1750"/>
      <c r="Z568" s="1720"/>
      <c r="AA568" s="1721"/>
      <c r="AB568" s="1706"/>
      <c r="AC568" s="1706"/>
      <c r="AD568" s="1706"/>
      <c r="AE568" s="1706"/>
      <c r="AF568" s="1706"/>
      <c r="AG568" s="1706"/>
      <c r="AH568" s="1706"/>
      <c r="AI568" s="1706"/>
    </row>
    <row r="569" spans="1:35" ht="20.100000000000001" customHeight="1" x14ac:dyDescent="0.2">
      <c r="A569" s="1720"/>
      <c r="B569" s="1747"/>
      <c r="C569" s="1750"/>
      <c r="D569" s="1779" t="s">
        <v>521</v>
      </c>
      <c r="E569" s="1786"/>
      <c r="F569" s="1749"/>
      <c r="G569" s="1749"/>
      <c r="H569" s="1749"/>
      <c r="I569" s="1749"/>
      <c r="J569" s="1750"/>
      <c r="K569" s="1787" t="s">
        <v>255</v>
      </c>
      <c r="L569" s="1749"/>
      <c r="M569" s="1749"/>
      <c r="N569" s="1749"/>
      <c r="O569" s="1749"/>
      <c r="P569" s="1749"/>
      <c r="Q569" s="1749"/>
      <c r="R569" s="1749"/>
      <c r="S569" s="1750"/>
      <c r="T569" s="1792"/>
      <c r="U569" s="1749"/>
      <c r="V569" s="1749"/>
      <c r="W569" s="1749"/>
      <c r="X569" s="1749"/>
      <c r="Y569" s="1750"/>
      <c r="Z569" s="1720"/>
      <c r="AA569" s="1721"/>
      <c r="AB569" s="1706"/>
      <c r="AC569" s="1706"/>
      <c r="AD569" s="1706"/>
      <c r="AE569" s="1706"/>
      <c r="AF569" s="1706"/>
      <c r="AG569" s="1706"/>
      <c r="AH569" s="1706"/>
      <c r="AI569" s="1706"/>
    </row>
    <row r="570" spans="1:35" ht="20.100000000000001" customHeight="1" x14ac:dyDescent="0.2">
      <c r="A570" s="1720"/>
      <c r="B570" s="1747"/>
      <c r="C570" s="1750"/>
      <c r="D570" s="1779" t="s">
        <v>522</v>
      </c>
      <c r="E570" s="1786"/>
      <c r="F570" s="1749"/>
      <c r="G570" s="1749"/>
      <c r="H570" s="1749"/>
      <c r="I570" s="1749"/>
      <c r="J570" s="1750"/>
      <c r="K570" s="1787" t="s">
        <v>255</v>
      </c>
      <c r="L570" s="1749"/>
      <c r="M570" s="1749"/>
      <c r="N570" s="1749"/>
      <c r="O570" s="1749"/>
      <c r="P570" s="1749"/>
      <c r="Q570" s="1749"/>
      <c r="R570" s="1749"/>
      <c r="S570" s="1750"/>
      <c r="T570" s="1792"/>
      <c r="U570" s="1749"/>
      <c r="V570" s="1749"/>
      <c r="W570" s="1749"/>
      <c r="X570" s="1749"/>
      <c r="Y570" s="1750"/>
      <c r="Z570" s="1720"/>
      <c r="AA570" s="1721"/>
      <c r="AB570" s="1706"/>
      <c r="AC570" s="1706"/>
      <c r="AD570" s="1706"/>
      <c r="AE570" s="1706"/>
      <c r="AF570" s="1706"/>
      <c r="AG570" s="1706"/>
      <c r="AH570" s="1706"/>
      <c r="AI570" s="1706"/>
    </row>
    <row r="571" spans="1:35" ht="20.100000000000001" customHeight="1" x14ac:dyDescent="0.2">
      <c r="A571" s="1720"/>
      <c r="B571" s="1747"/>
      <c r="C571" s="1750"/>
      <c r="D571" s="1779" t="s">
        <v>523</v>
      </c>
      <c r="E571" s="1786"/>
      <c r="F571" s="1749"/>
      <c r="G571" s="1749"/>
      <c r="H571" s="1749"/>
      <c r="I571" s="1749"/>
      <c r="J571" s="1750"/>
      <c r="K571" s="1787" t="s">
        <v>255</v>
      </c>
      <c r="L571" s="1749"/>
      <c r="M571" s="1749"/>
      <c r="N571" s="1749"/>
      <c r="O571" s="1749"/>
      <c r="P571" s="1749"/>
      <c r="Q571" s="1749"/>
      <c r="R571" s="1749"/>
      <c r="S571" s="1750"/>
      <c r="T571" s="1790"/>
      <c r="U571" s="1749"/>
      <c r="V571" s="1749"/>
      <c r="W571" s="1749"/>
      <c r="X571" s="1749"/>
      <c r="Y571" s="1750"/>
      <c r="Z571" s="1720"/>
      <c r="AA571" s="1721"/>
      <c r="AB571" s="1706"/>
      <c r="AC571" s="1706"/>
      <c r="AD571" s="1706"/>
      <c r="AE571" s="1706"/>
      <c r="AF571" s="1706"/>
      <c r="AG571" s="1706"/>
      <c r="AH571" s="1706"/>
      <c r="AI571" s="1706"/>
    </row>
    <row r="572" spans="1:35" ht="20.100000000000001" customHeight="1" x14ac:dyDescent="0.2">
      <c r="A572" s="1720"/>
      <c r="B572" s="1751"/>
      <c r="C572" s="1753"/>
      <c r="D572" s="1781" t="s">
        <v>408</v>
      </c>
      <c r="E572" s="1793"/>
      <c r="F572" s="1752"/>
      <c r="G572" s="1752"/>
      <c r="H572" s="1752"/>
      <c r="I572" s="1752"/>
      <c r="J572" s="1753"/>
      <c r="K572" s="1794" t="s">
        <v>255</v>
      </c>
      <c r="L572" s="1752"/>
      <c r="M572" s="1752"/>
      <c r="N572" s="1752"/>
      <c r="O572" s="1752"/>
      <c r="P572" s="1752"/>
      <c r="Q572" s="1752"/>
      <c r="R572" s="1752"/>
      <c r="S572" s="1753"/>
      <c r="T572" s="1795" t="s">
        <v>499</v>
      </c>
      <c r="U572" s="1752"/>
      <c r="V572" s="1752"/>
      <c r="W572" s="1752"/>
      <c r="X572" s="1752"/>
      <c r="Y572" s="1753"/>
      <c r="Z572" s="1720"/>
      <c r="AA572" s="1721"/>
      <c r="AB572" s="1706"/>
      <c r="AC572" s="1706"/>
      <c r="AD572" s="1706"/>
      <c r="AE572" s="1706"/>
      <c r="AF572" s="1706"/>
      <c r="AG572" s="1706"/>
      <c r="AH572" s="1706"/>
      <c r="AI572" s="1706"/>
    </row>
    <row r="573" spans="1:35" ht="20.100000000000001" customHeight="1" x14ac:dyDescent="0.2">
      <c r="A573" s="1720"/>
      <c r="B573" s="3080">
        <v>4</v>
      </c>
      <c r="C573" s="3081"/>
      <c r="D573" s="1779" t="s">
        <v>220</v>
      </c>
      <c r="E573" s="1786"/>
      <c r="F573" s="1749"/>
      <c r="G573" s="1749"/>
      <c r="H573" s="1749"/>
      <c r="I573" s="1749"/>
      <c r="J573" s="1750"/>
      <c r="K573" s="1787" t="s">
        <v>255</v>
      </c>
      <c r="L573" s="1749"/>
      <c r="M573" s="1749"/>
      <c r="N573" s="1749"/>
      <c r="O573" s="1749"/>
      <c r="P573" s="1749"/>
      <c r="Q573" s="1749"/>
      <c r="R573" s="1749"/>
      <c r="S573" s="1750"/>
      <c r="T573" s="1788" t="s">
        <v>524</v>
      </c>
      <c r="U573" s="1789"/>
      <c r="V573" s="1745"/>
      <c r="W573" s="1745"/>
      <c r="X573" s="1745"/>
      <c r="Y573" s="1746"/>
      <c r="Z573" s="1720"/>
      <c r="AA573" s="1721"/>
      <c r="AB573" s="1706"/>
      <c r="AC573" s="1706"/>
      <c r="AD573" s="1706"/>
      <c r="AE573" s="1706"/>
      <c r="AF573" s="1706"/>
      <c r="AG573" s="1706"/>
      <c r="AH573" s="1706"/>
      <c r="AI573" s="1706"/>
    </row>
    <row r="574" spans="1:35" ht="20.100000000000001" customHeight="1" x14ac:dyDescent="0.2">
      <c r="A574" s="1720"/>
      <c r="B574" s="1747"/>
      <c r="C574" s="1750"/>
      <c r="D574" s="1779" t="s">
        <v>228</v>
      </c>
      <c r="E574" s="1786"/>
      <c r="F574" s="1749"/>
      <c r="G574" s="1749"/>
      <c r="H574" s="1749"/>
      <c r="I574" s="1749"/>
      <c r="J574" s="1750"/>
      <c r="K574" s="1787" t="s">
        <v>255</v>
      </c>
      <c r="L574" s="1749"/>
      <c r="M574" s="1749"/>
      <c r="N574" s="1749"/>
      <c r="O574" s="1749"/>
      <c r="P574" s="1749"/>
      <c r="Q574" s="1749"/>
      <c r="R574" s="1749"/>
      <c r="S574" s="1750"/>
      <c r="T574" s="1790" t="s">
        <v>501</v>
      </c>
      <c r="U574" s="1791"/>
      <c r="V574" s="1749"/>
      <c r="W574" s="1749"/>
      <c r="X574" s="1749"/>
      <c r="Y574" s="1750"/>
      <c r="Z574" s="1720"/>
      <c r="AA574" s="1721"/>
      <c r="AB574" s="1706"/>
      <c r="AC574" s="1706"/>
      <c r="AD574" s="1706"/>
      <c r="AE574" s="1706"/>
      <c r="AF574" s="1706"/>
      <c r="AG574" s="1706"/>
      <c r="AH574" s="1706"/>
      <c r="AI574" s="1706"/>
    </row>
    <row r="575" spans="1:35" ht="20.100000000000001" customHeight="1" x14ac:dyDescent="0.2">
      <c r="A575" s="1720"/>
      <c r="B575" s="1747"/>
      <c r="C575" s="1750"/>
      <c r="D575" s="1779" t="s">
        <v>93</v>
      </c>
      <c r="E575" s="1786"/>
      <c r="F575" s="1749"/>
      <c r="G575" s="1749"/>
      <c r="H575" s="1749"/>
      <c r="I575" s="1749"/>
      <c r="J575" s="1750"/>
      <c r="K575" s="1787" t="s">
        <v>255</v>
      </c>
      <c r="L575" s="1749"/>
      <c r="M575" s="1749"/>
      <c r="N575" s="1749"/>
      <c r="O575" s="1749"/>
      <c r="P575" s="1749"/>
      <c r="Q575" s="1749"/>
      <c r="R575" s="1749"/>
      <c r="S575" s="1750"/>
      <c r="T575" s="1792"/>
      <c r="U575" s="1749"/>
      <c r="V575" s="1749"/>
      <c r="W575" s="1749"/>
      <c r="X575" s="1749"/>
      <c r="Y575" s="1750"/>
      <c r="Z575" s="1720"/>
      <c r="AA575" s="1721"/>
      <c r="AB575" s="1706"/>
      <c r="AC575" s="1706"/>
      <c r="AD575" s="1706"/>
      <c r="AE575" s="1706"/>
      <c r="AF575" s="1706"/>
      <c r="AG575" s="1706"/>
      <c r="AH575" s="1706"/>
      <c r="AI575" s="1706"/>
    </row>
    <row r="576" spans="1:35" ht="20.100000000000001" customHeight="1" x14ac:dyDescent="0.2">
      <c r="A576" s="1720"/>
      <c r="B576" s="1747"/>
      <c r="C576" s="1750"/>
      <c r="D576" s="1779" t="s">
        <v>521</v>
      </c>
      <c r="E576" s="1786"/>
      <c r="F576" s="1749"/>
      <c r="G576" s="1749"/>
      <c r="H576" s="1749"/>
      <c r="I576" s="1749"/>
      <c r="J576" s="1750"/>
      <c r="K576" s="1787" t="s">
        <v>255</v>
      </c>
      <c r="L576" s="1749"/>
      <c r="M576" s="1749"/>
      <c r="N576" s="1749"/>
      <c r="O576" s="1749"/>
      <c r="P576" s="1749"/>
      <c r="Q576" s="1749"/>
      <c r="R576" s="1749"/>
      <c r="S576" s="1750"/>
      <c r="T576" s="1792"/>
      <c r="U576" s="1749"/>
      <c r="V576" s="1749"/>
      <c r="W576" s="1749"/>
      <c r="X576" s="1749"/>
      <c r="Y576" s="1750"/>
      <c r="Z576" s="1720"/>
      <c r="AA576" s="1721"/>
      <c r="AB576" s="1706"/>
      <c r="AC576" s="1706"/>
      <c r="AD576" s="1706"/>
      <c r="AE576" s="1706"/>
      <c r="AF576" s="1706"/>
      <c r="AG576" s="1706"/>
      <c r="AH576" s="1706"/>
      <c r="AI576" s="1706"/>
    </row>
    <row r="577" spans="1:37" ht="20.100000000000001" customHeight="1" x14ac:dyDescent="0.2">
      <c r="A577" s="1720"/>
      <c r="B577" s="1747"/>
      <c r="C577" s="1750"/>
      <c r="D577" s="1779" t="s">
        <v>522</v>
      </c>
      <c r="E577" s="1786"/>
      <c r="F577" s="1749"/>
      <c r="G577" s="1749"/>
      <c r="H577" s="1749"/>
      <c r="I577" s="1749"/>
      <c r="J577" s="1750"/>
      <c r="K577" s="1787" t="s">
        <v>255</v>
      </c>
      <c r="L577" s="1749"/>
      <c r="M577" s="1749"/>
      <c r="N577" s="1749"/>
      <c r="O577" s="1749"/>
      <c r="P577" s="1749"/>
      <c r="Q577" s="1749"/>
      <c r="R577" s="1749"/>
      <c r="S577" s="1750"/>
      <c r="T577" s="1792"/>
      <c r="U577" s="1749"/>
      <c r="V577" s="1749"/>
      <c r="W577" s="1749"/>
      <c r="X577" s="1749"/>
      <c r="Y577" s="1750"/>
      <c r="Z577" s="1720"/>
      <c r="AA577" s="1721"/>
      <c r="AB577" s="1706"/>
      <c r="AC577" s="1706"/>
      <c r="AD577" s="1706"/>
      <c r="AE577" s="1706"/>
      <c r="AF577" s="1706"/>
      <c r="AG577" s="1706"/>
      <c r="AH577" s="1706"/>
      <c r="AI577" s="1706"/>
    </row>
    <row r="578" spans="1:37" ht="20.100000000000001" customHeight="1" x14ac:dyDescent="0.2">
      <c r="A578" s="1720"/>
      <c r="B578" s="1747"/>
      <c r="C578" s="1750"/>
      <c r="D578" s="1779" t="s">
        <v>523</v>
      </c>
      <c r="E578" s="1786"/>
      <c r="F578" s="1749"/>
      <c r="G578" s="1749"/>
      <c r="H578" s="1749"/>
      <c r="I578" s="1749"/>
      <c r="J578" s="1750"/>
      <c r="K578" s="1787" t="s">
        <v>255</v>
      </c>
      <c r="L578" s="1749"/>
      <c r="M578" s="1749"/>
      <c r="N578" s="1749"/>
      <c r="O578" s="1749"/>
      <c r="P578" s="1749"/>
      <c r="Q578" s="1749"/>
      <c r="R578" s="1749"/>
      <c r="S578" s="1750"/>
      <c r="T578" s="1790"/>
      <c r="U578" s="1749"/>
      <c r="V578" s="1749"/>
      <c r="W578" s="1749"/>
      <c r="X578" s="1749"/>
      <c r="Y578" s="1750"/>
      <c r="Z578" s="1720"/>
      <c r="AA578" s="1721"/>
      <c r="AB578" s="1706"/>
      <c r="AC578" s="1706"/>
      <c r="AD578" s="1706"/>
      <c r="AE578" s="1706"/>
      <c r="AF578" s="1706"/>
      <c r="AG578" s="1706"/>
      <c r="AH578" s="1706"/>
      <c r="AI578" s="1706"/>
    </row>
    <row r="579" spans="1:37" ht="20.100000000000001" customHeight="1" x14ac:dyDescent="0.2">
      <c r="A579" s="1720"/>
      <c r="B579" s="1751"/>
      <c r="C579" s="1753"/>
      <c r="D579" s="1781" t="s">
        <v>408</v>
      </c>
      <c r="E579" s="1793"/>
      <c r="F579" s="1752"/>
      <c r="G579" s="1752"/>
      <c r="H579" s="1752"/>
      <c r="I579" s="1752"/>
      <c r="J579" s="1753"/>
      <c r="K579" s="1794" t="s">
        <v>255</v>
      </c>
      <c r="L579" s="1752"/>
      <c r="M579" s="1752"/>
      <c r="N579" s="1752"/>
      <c r="O579" s="1752"/>
      <c r="P579" s="1752"/>
      <c r="Q579" s="1752"/>
      <c r="R579" s="1752"/>
      <c r="S579" s="1753"/>
      <c r="T579" s="1795" t="s">
        <v>499</v>
      </c>
      <c r="U579" s="1752"/>
      <c r="V579" s="1752"/>
      <c r="W579" s="1752"/>
      <c r="X579" s="1752"/>
      <c r="Y579" s="1753"/>
      <c r="Z579" s="1720"/>
      <c r="AA579" s="1721"/>
      <c r="AB579" s="1706"/>
      <c r="AC579" s="1706"/>
      <c r="AD579" s="1706"/>
      <c r="AE579" s="1706"/>
      <c r="AF579" s="1706"/>
      <c r="AG579" s="1706"/>
      <c r="AH579" s="1706"/>
      <c r="AI579" s="1706"/>
    </row>
    <row r="580" spans="1:37" ht="20.100000000000001" customHeight="1" x14ac:dyDescent="0.2">
      <c r="A580" s="1720"/>
      <c r="B580" s="1720"/>
      <c r="C580" s="1720"/>
      <c r="D580" s="1720"/>
      <c r="E580" s="1720"/>
      <c r="F580" s="1720"/>
      <c r="G580" s="1720"/>
      <c r="H580" s="1720"/>
      <c r="I580" s="1720"/>
      <c r="J580" s="1720"/>
      <c r="K580" s="1720"/>
      <c r="L580" s="1720"/>
      <c r="M580" s="1720"/>
      <c r="N580" s="1720"/>
      <c r="O580" s="1720"/>
      <c r="P580" s="1720"/>
      <c r="Q580" s="1720"/>
      <c r="R580" s="1720"/>
      <c r="S580" s="1720"/>
      <c r="T580" s="1720"/>
      <c r="U580" s="1720"/>
      <c r="V580" s="1720"/>
      <c r="W580" s="1720"/>
      <c r="X580" s="1720"/>
      <c r="Y580" s="1720"/>
      <c r="Z580" s="1720"/>
      <c r="AA580" s="1721"/>
      <c r="AB580" s="1706"/>
      <c r="AC580" s="1706"/>
      <c r="AD580" s="1706"/>
      <c r="AE580" s="1706"/>
      <c r="AF580" s="1706"/>
      <c r="AG580" s="1706"/>
      <c r="AH580" s="1706"/>
      <c r="AI580" s="1706"/>
    </row>
    <row r="581" spans="1:37" ht="20.100000000000001" customHeight="1" x14ac:dyDescent="0.2">
      <c r="A581" s="1720"/>
      <c r="B581" s="1720"/>
      <c r="C581" s="1720"/>
      <c r="D581" s="1720"/>
      <c r="E581" s="1720"/>
      <c r="F581" s="1720"/>
      <c r="G581" s="1720"/>
      <c r="H581" s="1720"/>
      <c r="I581" s="1720"/>
      <c r="J581" s="1720"/>
      <c r="K581" s="1720"/>
      <c r="L581" s="1720"/>
      <c r="M581" s="1720"/>
      <c r="N581" s="1720"/>
      <c r="O581" s="1720"/>
      <c r="P581" s="1720"/>
      <c r="Q581" s="1720"/>
      <c r="R581" s="1720"/>
      <c r="S581" s="1720"/>
      <c r="T581" s="1720"/>
      <c r="U581" s="1720"/>
      <c r="V581" s="1720"/>
      <c r="W581" s="1720"/>
      <c r="X581" s="1720"/>
      <c r="Y581" s="1720"/>
      <c r="Z581" s="1720"/>
      <c r="AA581" s="1721"/>
      <c r="AB581" s="1706"/>
      <c r="AC581" s="1706"/>
      <c r="AD581" s="1706"/>
      <c r="AE581" s="1706"/>
      <c r="AF581" s="1706"/>
      <c r="AG581" s="1706"/>
      <c r="AH581" s="1706"/>
      <c r="AI581" s="1706"/>
    </row>
    <row r="582" spans="1:37" ht="20.100000000000001" customHeight="1" x14ac:dyDescent="0.2">
      <c r="A582" s="1720"/>
      <c r="B582" s="1720"/>
      <c r="C582" s="1720"/>
      <c r="D582" s="1720"/>
      <c r="E582" s="1720"/>
      <c r="F582" s="1720"/>
      <c r="G582" s="1720"/>
      <c r="H582" s="1720"/>
      <c r="I582" s="1720"/>
      <c r="J582" s="1720"/>
      <c r="K582" s="1720"/>
      <c r="L582" s="1720"/>
      <c r="M582" s="1720"/>
      <c r="N582" s="1720"/>
      <c r="O582" s="1720"/>
      <c r="P582" s="1720"/>
      <c r="Q582" s="1720"/>
      <c r="R582" s="1720"/>
      <c r="S582" s="1720"/>
      <c r="T582" s="1720"/>
      <c r="U582" s="1720"/>
      <c r="V582" s="1720"/>
      <c r="W582" s="1720"/>
      <c r="X582" s="1720"/>
      <c r="Y582" s="1720"/>
      <c r="Z582" s="1720"/>
      <c r="AA582" s="1721"/>
      <c r="AB582" s="1706"/>
      <c r="AC582" s="1706"/>
      <c r="AD582" s="1706"/>
      <c r="AE582" s="1706"/>
      <c r="AF582" s="1706"/>
      <c r="AG582" s="1706"/>
      <c r="AH582" s="1706"/>
      <c r="AI582" s="1706"/>
    </row>
    <row r="583" spans="1:37" ht="20.100000000000001" customHeight="1" x14ac:dyDescent="0.2">
      <c r="A583" s="1720"/>
      <c r="B583" s="1720"/>
      <c r="C583" s="1720"/>
      <c r="D583" s="1720"/>
      <c r="E583" s="1720"/>
      <c r="F583" s="1720"/>
      <c r="G583" s="1720"/>
      <c r="H583" s="1720"/>
      <c r="I583" s="1720"/>
      <c r="J583" s="1720"/>
      <c r="K583" s="1720"/>
      <c r="L583" s="1720"/>
      <c r="M583" s="1720"/>
      <c r="N583" s="1720"/>
      <c r="O583" s="1720"/>
      <c r="P583" s="1720"/>
      <c r="Q583" s="1720"/>
      <c r="R583" s="1720"/>
      <c r="S583" s="1720"/>
      <c r="T583" s="1720"/>
      <c r="U583" s="1720"/>
      <c r="V583" s="1720"/>
      <c r="W583" s="1720"/>
      <c r="X583" s="1720"/>
      <c r="Y583" s="1720"/>
      <c r="Z583" s="1720"/>
      <c r="AA583" s="1721"/>
      <c r="AB583" s="1706"/>
      <c r="AC583" s="1706"/>
      <c r="AD583" s="1706"/>
      <c r="AE583" s="1706"/>
      <c r="AF583" s="1706"/>
      <c r="AG583" s="1706"/>
      <c r="AH583" s="1706"/>
      <c r="AI583" s="1706"/>
    </row>
    <row r="584" spans="1:37" ht="20.100000000000001" customHeight="1" x14ac:dyDescent="0.2">
      <c r="A584" s="1720"/>
      <c r="B584" s="1720"/>
      <c r="C584" s="1720"/>
      <c r="D584" s="1720"/>
      <c r="E584" s="1720"/>
      <c r="F584" s="1720"/>
      <c r="G584" s="1720"/>
      <c r="H584" s="1720"/>
      <c r="I584" s="1720"/>
      <c r="J584" s="1720"/>
      <c r="K584" s="1720"/>
      <c r="L584" s="1720"/>
      <c r="M584" s="1720"/>
      <c r="N584" s="1720"/>
      <c r="O584" s="1720"/>
      <c r="P584" s="1720"/>
      <c r="Q584" s="1720"/>
      <c r="R584" s="1720"/>
      <c r="S584" s="1720"/>
      <c r="T584" s="1720"/>
      <c r="U584" s="1720"/>
      <c r="V584" s="1720"/>
      <c r="W584" s="1720"/>
      <c r="X584" s="1720"/>
      <c r="Y584" s="1720"/>
      <c r="Z584" s="1720"/>
      <c r="AA584" s="1721"/>
      <c r="AB584" s="1706"/>
      <c r="AC584" s="1706"/>
      <c r="AD584" s="1706"/>
      <c r="AE584" s="1706"/>
      <c r="AF584" s="1706"/>
      <c r="AG584" s="1706"/>
      <c r="AH584" s="1706"/>
      <c r="AI584" s="1706"/>
    </row>
    <row r="585" spans="1:37" ht="20.100000000000001" customHeight="1" x14ac:dyDescent="0.2">
      <c r="A585" s="1720"/>
      <c r="B585" s="1720"/>
      <c r="C585" s="1720"/>
      <c r="D585" s="1720"/>
      <c r="E585" s="1720"/>
      <c r="F585" s="1720"/>
      <c r="G585" s="1720"/>
      <c r="H585" s="1720"/>
      <c r="I585" s="1720"/>
      <c r="J585" s="1720"/>
      <c r="K585" s="1720"/>
      <c r="L585" s="1720"/>
      <c r="M585" s="1720"/>
      <c r="N585" s="1720"/>
      <c r="O585" s="1720"/>
      <c r="P585" s="1720"/>
      <c r="Q585" s="1720"/>
      <c r="R585" s="1720"/>
      <c r="S585" s="1720"/>
      <c r="T585" s="1720"/>
      <c r="U585" s="1720"/>
      <c r="V585" s="1720"/>
      <c r="W585" s="1720"/>
      <c r="X585" s="1720"/>
      <c r="Y585" s="1720"/>
      <c r="Z585" s="1720"/>
      <c r="AA585" s="1721"/>
      <c r="AB585" s="1706"/>
      <c r="AC585" s="1706"/>
      <c r="AD585" s="1706"/>
      <c r="AE585" s="1706"/>
      <c r="AF585" s="1706"/>
      <c r="AG585" s="1706"/>
      <c r="AH585" s="1706"/>
      <c r="AI585" s="1706"/>
    </row>
    <row r="586" spans="1:37" ht="14.25" customHeight="1" x14ac:dyDescent="0.2">
      <c r="A586" s="1720"/>
      <c r="B586" s="1720"/>
      <c r="C586" s="1720"/>
      <c r="D586" s="1720"/>
      <c r="E586" s="1720"/>
      <c r="F586" s="1720"/>
      <c r="G586" s="1720"/>
      <c r="H586" s="1720"/>
      <c r="I586" s="1720"/>
      <c r="J586" s="1720"/>
      <c r="K586" s="1720"/>
      <c r="L586" s="1720"/>
      <c r="M586" s="1720"/>
      <c r="N586" s="1720"/>
      <c r="O586" s="1720"/>
      <c r="P586" s="1720"/>
      <c r="Q586" s="1720"/>
      <c r="R586" s="1720"/>
      <c r="S586" s="1720"/>
      <c r="T586" s="1720"/>
      <c r="U586" s="1720"/>
      <c r="V586" s="1720"/>
      <c r="W586" s="1720"/>
      <c r="X586" s="1720"/>
      <c r="Y586" s="1720"/>
      <c r="Z586" s="1720"/>
      <c r="AA586" s="1720"/>
      <c r="AB586" s="1706"/>
      <c r="AC586" s="1706"/>
      <c r="AD586" s="1706"/>
      <c r="AE586" s="1706"/>
      <c r="AF586" s="1706"/>
      <c r="AG586" s="1706"/>
      <c r="AH586" s="1706"/>
      <c r="AI586" s="1706"/>
    </row>
    <row r="587" spans="1:37" ht="14.25" customHeight="1" x14ac:dyDescent="0.2">
      <c r="A587" s="1720"/>
      <c r="B587" s="1720"/>
      <c r="C587" s="1720"/>
      <c r="D587" s="1720"/>
      <c r="E587" s="1720"/>
      <c r="F587" s="1720"/>
      <c r="G587" s="1720"/>
      <c r="H587" s="1720"/>
      <c r="I587" s="1720"/>
      <c r="J587" s="1720"/>
      <c r="K587" s="1720"/>
      <c r="L587" s="1720"/>
      <c r="M587" s="1720"/>
      <c r="N587" s="1720"/>
      <c r="O587" s="1720"/>
      <c r="P587" s="1720"/>
      <c r="Q587" s="1720"/>
      <c r="R587" s="1720"/>
      <c r="S587" s="1720"/>
      <c r="T587" s="1720"/>
      <c r="U587" s="1720"/>
      <c r="V587" s="1720"/>
      <c r="W587" s="1720"/>
      <c r="X587" s="1720"/>
      <c r="Y587" s="1720"/>
      <c r="Z587" s="1720"/>
      <c r="AA587" s="1720"/>
      <c r="AB587" s="1706"/>
      <c r="AC587" s="1706"/>
      <c r="AD587" s="1706"/>
      <c r="AE587" s="1706"/>
      <c r="AF587" s="1706"/>
      <c r="AG587" s="1706"/>
      <c r="AH587" s="1706"/>
      <c r="AI587" s="1706"/>
    </row>
    <row r="588" spans="1:37" x14ac:dyDescent="0.2">
      <c r="A588" s="3005" t="s">
        <v>257</v>
      </c>
      <c r="B588" s="3005"/>
      <c r="C588" s="3005"/>
      <c r="D588" s="3005"/>
      <c r="E588" s="3005"/>
      <c r="F588" s="3005"/>
      <c r="G588" s="3005"/>
      <c r="H588" s="3005"/>
      <c r="I588" s="3005"/>
      <c r="J588" s="3005"/>
      <c r="K588" s="3005"/>
      <c r="L588" s="3005"/>
      <c r="M588" s="3005"/>
      <c r="N588" s="3005"/>
      <c r="O588" s="3005"/>
      <c r="P588" s="3005"/>
      <c r="Q588" s="3005"/>
      <c r="R588" s="3005"/>
      <c r="S588" s="3005"/>
      <c r="T588" s="3005"/>
      <c r="U588" s="3005"/>
      <c r="V588" s="3005"/>
      <c r="W588" s="3005"/>
      <c r="X588" s="3005"/>
      <c r="Y588" s="3005"/>
      <c r="Z588" s="3005"/>
      <c r="AB588" s="3005" t="s">
        <v>257</v>
      </c>
      <c r="AC588" s="3005"/>
      <c r="AD588" s="3005"/>
      <c r="AE588" s="3005"/>
      <c r="AF588" s="3005"/>
      <c r="AG588" s="3005"/>
      <c r="AH588" s="3005"/>
      <c r="AI588" s="3005"/>
      <c r="AJ588" s="3005"/>
      <c r="AK588" s="3005"/>
    </row>
    <row r="589" spans="1:37" x14ac:dyDescent="0.2">
      <c r="A589" s="3005"/>
      <c r="B589" s="3005"/>
      <c r="C589" s="3005"/>
      <c r="D589" s="3005"/>
      <c r="E589" s="3005"/>
      <c r="F589" s="3005"/>
      <c r="G589" s="3005"/>
      <c r="H589" s="3005"/>
      <c r="I589" s="3005"/>
      <c r="J589" s="3005"/>
      <c r="K589" s="3005"/>
      <c r="L589" s="3005"/>
      <c r="M589" s="3005"/>
      <c r="N589" s="3005"/>
      <c r="O589" s="3005"/>
      <c r="P589" s="3005"/>
      <c r="Q589" s="3005"/>
      <c r="R589" s="3005"/>
      <c r="S589" s="3005"/>
      <c r="T589" s="3005"/>
      <c r="U589" s="3005"/>
      <c r="V589" s="3005"/>
      <c r="W589" s="3005"/>
      <c r="X589" s="3005"/>
      <c r="Y589" s="3005"/>
      <c r="Z589" s="3005"/>
      <c r="AB589" s="3005"/>
      <c r="AC589" s="3005"/>
      <c r="AD589" s="3005"/>
      <c r="AE589" s="3005"/>
      <c r="AF589" s="3005"/>
      <c r="AG589" s="3005"/>
      <c r="AH589" s="3005"/>
      <c r="AI589" s="3005"/>
      <c r="AJ589" s="3005"/>
      <c r="AK589" s="3005"/>
    </row>
    <row r="590" spans="1:37" x14ac:dyDescent="0.2">
      <c r="A590" s="1706"/>
      <c r="B590" s="1706"/>
      <c r="C590" s="1706"/>
      <c r="D590" s="1706"/>
      <c r="E590" s="1706"/>
      <c r="F590" s="1706"/>
      <c r="G590" s="1706"/>
      <c r="H590" s="1706"/>
      <c r="I590" s="1706"/>
      <c r="J590" s="1706"/>
      <c r="K590" s="1706"/>
      <c r="L590" s="1706"/>
      <c r="M590" s="1706"/>
      <c r="N590" s="1706"/>
      <c r="O590" s="1706"/>
      <c r="P590" s="1706"/>
      <c r="Q590" s="1706"/>
      <c r="R590" s="1706"/>
      <c r="S590" s="1706"/>
      <c r="T590" s="1706"/>
      <c r="U590" s="1706"/>
      <c r="V590" s="1706"/>
      <c r="W590" s="1706"/>
      <c r="X590" s="1706"/>
      <c r="Y590" s="1706"/>
      <c r="Z590" s="1706"/>
      <c r="AB590" s="1706"/>
      <c r="AC590" s="1706"/>
      <c r="AD590" s="1706"/>
      <c r="AE590" s="1706"/>
      <c r="AF590" s="1706"/>
      <c r="AG590" s="1706"/>
      <c r="AH590" s="1706"/>
      <c r="AI590" s="1706"/>
    </row>
    <row r="591" spans="1:37" x14ac:dyDescent="0.2">
      <c r="A591" s="1706"/>
      <c r="B591" s="1706"/>
      <c r="C591" s="1706"/>
      <c r="D591" s="1706"/>
      <c r="E591" s="1706"/>
      <c r="F591" s="1706"/>
      <c r="G591" s="1706"/>
      <c r="H591" s="1706"/>
      <c r="I591" s="1706"/>
      <c r="J591" s="1706"/>
      <c r="K591" s="1706"/>
      <c r="L591" s="1706"/>
      <c r="M591" s="1706"/>
      <c r="N591" s="1706"/>
      <c r="O591" s="1706"/>
      <c r="P591" s="1706"/>
      <c r="Q591" s="1706"/>
      <c r="R591" s="1706"/>
      <c r="S591" s="1706"/>
      <c r="T591" s="1706"/>
      <c r="U591" s="1706"/>
      <c r="V591" s="1706"/>
      <c r="W591" s="1706"/>
      <c r="X591" s="1706"/>
      <c r="Y591" s="1706"/>
      <c r="Z591" s="1706"/>
      <c r="AB591" s="1706"/>
      <c r="AC591" s="1706"/>
      <c r="AD591" s="1706"/>
      <c r="AE591" s="1706"/>
      <c r="AF591" s="1706"/>
      <c r="AG591" s="1706"/>
      <c r="AH591" s="1706"/>
      <c r="AI591" s="1706"/>
    </row>
    <row r="592" spans="1:37" x14ac:dyDescent="0.2">
      <c r="A592" s="1706"/>
      <c r="B592" s="1706"/>
      <c r="C592" s="1706"/>
      <c r="D592" s="1706"/>
      <c r="E592" s="1706"/>
      <c r="F592" s="1706"/>
      <c r="G592" s="1706"/>
      <c r="H592" s="1706"/>
      <c r="I592" s="1706"/>
      <c r="J592" s="1706"/>
      <c r="K592" s="1706"/>
      <c r="L592" s="1706"/>
      <c r="M592" s="1706"/>
      <c r="N592" s="1706"/>
      <c r="O592" s="1706"/>
      <c r="P592" s="1706"/>
      <c r="Q592" s="1706"/>
      <c r="R592" s="1706"/>
      <c r="S592" s="1706"/>
      <c r="T592" s="1706"/>
      <c r="U592" s="1706"/>
      <c r="V592" s="1706"/>
      <c r="W592" s="1706"/>
      <c r="X592" s="1706"/>
      <c r="Y592" s="1706"/>
      <c r="Z592" s="1706"/>
      <c r="AB592" s="1706"/>
      <c r="AC592" s="1706"/>
      <c r="AD592" s="1706"/>
      <c r="AE592" s="1706"/>
      <c r="AF592" s="1706"/>
      <c r="AG592" s="1706"/>
      <c r="AH592" s="1706"/>
      <c r="AI592" s="1706"/>
    </row>
    <row r="593" spans="1:35" x14ac:dyDescent="0.2">
      <c r="A593" s="1706"/>
      <c r="B593" s="1706"/>
      <c r="C593" s="1706"/>
      <c r="D593" s="1706"/>
      <c r="E593" s="1706"/>
      <c r="F593" s="1706"/>
      <c r="G593" s="1706"/>
      <c r="H593" s="1706"/>
      <c r="I593" s="1706"/>
      <c r="J593" s="1706"/>
      <c r="K593" s="1706"/>
      <c r="L593" s="1706"/>
      <c r="M593" s="1706"/>
      <c r="N593" s="1706"/>
      <c r="O593" s="1706"/>
      <c r="P593" s="1706"/>
      <c r="Q593" s="1706"/>
      <c r="R593" s="1706"/>
      <c r="S593" s="1706"/>
      <c r="T593" s="1706"/>
      <c r="U593" s="1706"/>
      <c r="V593" s="1706"/>
      <c r="W593" s="1706"/>
      <c r="X593" s="1706"/>
      <c r="Y593" s="1706"/>
      <c r="Z593" s="1706"/>
      <c r="AB593" s="1706"/>
      <c r="AC593" s="1706"/>
      <c r="AD593" s="1706"/>
      <c r="AE593" s="1706"/>
      <c r="AF593" s="1706"/>
      <c r="AG593" s="1706"/>
      <c r="AH593" s="1706"/>
      <c r="AI593" s="1706"/>
    </row>
    <row r="594" spans="1:35" x14ac:dyDescent="0.2">
      <c r="A594" s="1706"/>
      <c r="B594" s="1706"/>
      <c r="C594" s="1706"/>
      <c r="D594" s="1706"/>
      <c r="E594" s="1706"/>
      <c r="F594" s="1706"/>
      <c r="G594" s="1706"/>
      <c r="H594" s="1706"/>
      <c r="I594" s="1706"/>
      <c r="J594" s="1706"/>
      <c r="K594" s="1706"/>
      <c r="L594" s="1706"/>
      <c r="M594" s="1706"/>
      <c r="N594" s="1706"/>
      <c r="O594" s="1706"/>
      <c r="P594" s="1706"/>
      <c r="Q594" s="1706"/>
      <c r="R594" s="1706"/>
      <c r="S594" s="1706"/>
      <c r="T594" s="1706"/>
      <c r="U594" s="1706"/>
      <c r="V594" s="1706"/>
      <c r="W594" s="1706"/>
      <c r="X594" s="1706"/>
      <c r="Y594" s="1706"/>
      <c r="Z594" s="1706"/>
      <c r="AB594" s="1706"/>
      <c r="AC594" s="1706"/>
      <c r="AD594" s="1706"/>
      <c r="AE594" s="1706"/>
      <c r="AF594" s="1706"/>
      <c r="AG594" s="1706"/>
      <c r="AH594" s="1706"/>
      <c r="AI594" s="1706"/>
    </row>
    <row r="595" spans="1:35" x14ac:dyDescent="0.2">
      <c r="A595" s="1706"/>
      <c r="B595" s="1706"/>
      <c r="C595" s="1706"/>
      <c r="D595" s="1706"/>
      <c r="E595" s="1706"/>
      <c r="F595" s="1706"/>
      <c r="G595" s="1706"/>
      <c r="H595" s="1706"/>
      <c r="I595" s="1706"/>
      <c r="J595" s="1706"/>
      <c r="K595" s="1706"/>
      <c r="L595" s="1706"/>
      <c r="M595" s="1706"/>
      <c r="N595" s="1706"/>
      <c r="O595" s="1706"/>
      <c r="P595" s="1706"/>
      <c r="Q595" s="1706"/>
      <c r="R595" s="1706"/>
      <c r="S595" s="1706"/>
      <c r="T595" s="1706"/>
      <c r="U595" s="1706"/>
      <c r="V595" s="1706"/>
      <c r="W595" s="1706"/>
      <c r="X595" s="1706"/>
      <c r="Y595" s="1706"/>
      <c r="Z595" s="1706"/>
      <c r="AB595" s="1706"/>
      <c r="AC595" s="1706"/>
      <c r="AD595" s="1706"/>
      <c r="AE595" s="1706"/>
      <c r="AF595" s="1706"/>
      <c r="AG595" s="1706"/>
      <c r="AH595" s="1706"/>
      <c r="AI595" s="1706"/>
    </row>
    <row r="596" spans="1:35" x14ac:dyDescent="0.2">
      <c r="A596" s="1706"/>
      <c r="B596" s="1706"/>
      <c r="C596" s="1706"/>
      <c r="D596" s="1706"/>
      <c r="E596" s="1706"/>
      <c r="F596" s="1706"/>
      <c r="G596" s="1706"/>
      <c r="H596" s="1706"/>
      <c r="I596" s="1706"/>
      <c r="J596" s="1706"/>
      <c r="K596" s="1706"/>
      <c r="L596" s="1706"/>
      <c r="M596" s="1706"/>
      <c r="N596" s="1706"/>
      <c r="O596" s="1706"/>
      <c r="P596" s="1706"/>
      <c r="Q596" s="1706"/>
      <c r="R596" s="1706"/>
      <c r="S596" s="1706"/>
      <c r="T596" s="1706"/>
      <c r="U596" s="1706"/>
      <c r="V596" s="1706"/>
      <c r="W596" s="1706"/>
      <c r="X596" s="1706"/>
      <c r="Y596" s="1706"/>
      <c r="Z596" s="1706"/>
      <c r="AB596" s="1706"/>
      <c r="AC596" s="1706"/>
      <c r="AD596" s="1706"/>
      <c r="AE596" s="1706"/>
      <c r="AF596" s="1706"/>
      <c r="AG596" s="1706"/>
      <c r="AH596" s="1706"/>
      <c r="AI596" s="1706"/>
    </row>
    <row r="597" spans="1:35" x14ac:dyDescent="0.2">
      <c r="A597" s="1706"/>
      <c r="B597" s="1706"/>
      <c r="C597" s="1706"/>
      <c r="D597" s="1706"/>
      <c r="E597" s="1706"/>
      <c r="F597" s="1706"/>
      <c r="G597" s="1706"/>
      <c r="H597" s="1706"/>
      <c r="I597" s="1706"/>
      <c r="J597" s="1706"/>
      <c r="K597" s="1706"/>
      <c r="L597" s="1706"/>
      <c r="M597" s="1706"/>
      <c r="N597" s="1706"/>
      <c r="O597" s="1706"/>
      <c r="P597" s="1706"/>
      <c r="Q597" s="1706"/>
      <c r="R597" s="1706"/>
      <c r="S597" s="1706"/>
      <c r="T597" s="1706"/>
      <c r="U597" s="1706"/>
      <c r="V597" s="1706"/>
      <c r="W597" s="1706"/>
      <c r="X597" s="1706"/>
      <c r="Y597" s="1706"/>
      <c r="Z597" s="1706"/>
      <c r="AB597" s="1706"/>
      <c r="AC597" s="1706"/>
      <c r="AD597" s="1706"/>
      <c r="AE597" s="1706"/>
      <c r="AF597" s="1706"/>
      <c r="AG597" s="1706"/>
      <c r="AH597" s="1706"/>
      <c r="AI597" s="1706"/>
    </row>
    <row r="598" spans="1:35" x14ac:dyDescent="0.2">
      <c r="A598" s="1706"/>
      <c r="B598" s="1706"/>
      <c r="C598" s="1706"/>
      <c r="D598" s="1706"/>
      <c r="E598" s="1706"/>
      <c r="F598" s="1706"/>
      <c r="G598" s="1706"/>
      <c r="H598" s="1706"/>
      <c r="I598" s="1706"/>
      <c r="J598" s="1706"/>
      <c r="K598" s="1706"/>
      <c r="L598" s="1706"/>
      <c r="M598" s="1706"/>
      <c r="N598" s="1706"/>
      <c r="O598" s="1706"/>
      <c r="P598" s="1706"/>
      <c r="Q598" s="1706"/>
      <c r="R598" s="1706"/>
      <c r="S598" s="1706"/>
      <c r="T598" s="1706"/>
      <c r="U598" s="1706"/>
      <c r="V598" s="1706"/>
      <c r="W598" s="1706"/>
      <c r="X598" s="1706"/>
      <c r="Y598" s="1706"/>
      <c r="Z598" s="1706"/>
      <c r="AB598" s="1706"/>
      <c r="AC598" s="1706"/>
      <c r="AD598" s="1706"/>
      <c r="AE598" s="1706"/>
      <c r="AF598" s="1706"/>
      <c r="AG598" s="1706"/>
      <c r="AH598" s="1706"/>
      <c r="AI598" s="1706"/>
    </row>
    <row r="599" spans="1:35" x14ac:dyDescent="0.2">
      <c r="A599" s="1706"/>
      <c r="B599" s="1706"/>
      <c r="C599" s="1706"/>
      <c r="D599" s="1706"/>
      <c r="E599" s="1706"/>
      <c r="F599" s="1706"/>
      <c r="G599" s="1706"/>
      <c r="H599" s="1706"/>
      <c r="I599" s="1706"/>
      <c r="J599" s="1706"/>
      <c r="K599" s="1706"/>
      <c r="L599" s="1706"/>
      <c r="M599" s="1706"/>
      <c r="N599" s="1706"/>
      <c r="O599" s="1706"/>
      <c r="P599" s="1706"/>
      <c r="Q599" s="1706"/>
      <c r="R599" s="1706"/>
      <c r="S599" s="1706"/>
      <c r="T599" s="1706"/>
      <c r="U599" s="1706"/>
      <c r="V599" s="1706"/>
      <c r="W599" s="1706"/>
      <c r="X599" s="1706"/>
      <c r="Y599" s="1706"/>
      <c r="Z599" s="1706"/>
      <c r="AB599" s="1706"/>
      <c r="AC599" s="1706"/>
      <c r="AD599" s="1706"/>
      <c r="AE599" s="1706"/>
      <c r="AF599" s="1706"/>
      <c r="AG599" s="1706"/>
      <c r="AH599" s="1706"/>
      <c r="AI599" s="1706"/>
    </row>
    <row r="600" spans="1:35" x14ac:dyDescent="0.2">
      <c r="A600" s="1706"/>
      <c r="B600" s="1706"/>
      <c r="C600" s="1706"/>
      <c r="D600" s="1706"/>
      <c r="E600" s="1706"/>
      <c r="F600" s="1706"/>
      <c r="G600" s="1706"/>
      <c r="H600" s="1706"/>
      <c r="I600" s="1706"/>
      <c r="J600" s="1706"/>
      <c r="K600" s="1706"/>
      <c r="L600" s="1706"/>
      <c r="M600" s="1706"/>
      <c r="N600" s="1706"/>
      <c r="O600" s="1706"/>
      <c r="P600" s="1706"/>
      <c r="Q600" s="1706"/>
      <c r="R600" s="1706"/>
      <c r="S600" s="1706"/>
      <c r="T600" s="1706"/>
      <c r="U600" s="1706"/>
      <c r="V600" s="1706"/>
      <c r="W600" s="1706"/>
      <c r="X600" s="1706"/>
      <c r="Y600" s="1706"/>
      <c r="Z600" s="1706"/>
      <c r="AB600" s="1706"/>
      <c r="AC600" s="1706"/>
      <c r="AD600" s="1706"/>
      <c r="AE600" s="1706"/>
      <c r="AF600" s="1706"/>
      <c r="AG600" s="1706"/>
      <c r="AH600" s="1706"/>
      <c r="AI600" s="1706"/>
    </row>
    <row r="601" spans="1:35" x14ac:dyDescent="0.2">
      <c r="A601" s="1706"/>
      <c r="B601" s="1706"/>
      <c r="C601" s="1706"/>
      <c r="D601" s="1706"/>
      <c r="E601" s="1706"/>
      <c r="F601" s="1706"/>
      <c r="G601" s="1706"/>
      <c r="H601" s="1706"/>
      <c r="I601" s="1706"/>
      <c r="J601" s="1706"/>
      <c r="K601" s="1706"/>
      <c r="L601" s="1706"/>
      <c r="M601" s="1706"/>
      <c r="N601" s="1706"/>
      <c r="O601" s="1706"/>
      <c r="P601" s="1706"/>
      <c r="Q601" s="1706"/>
      <c r="R601" s="1706"/>
      <c r="S601" s="1706"/>
      <c r="T601" s="1706"/>
      <c r="U601" s="1706"/>
      <c r="V601" s="1706"/>
      <c r="W601" s="1706"/>
      <c r="X601" s="1706"/>
      <c r="Y601" s="1706"/>
      <c r="Z601" s="1706"/>
      <c r="AB601" s="1706"/>
      <c r="AC601" s="1706"/>
      <c r="AD601" s="1706"/>
      <c r="AE601" s="1706"/>
      <c r="AF601" s="1706"/>
      <c r="AG601" s="1706"/>
      <c r="AH601" s="1706"/>
      <c r="AI601" s="1706"/>
    </row>
    <row r="602" spans="1:35" x14ac:dyDescent="0.2">
      <c r="A602" s="1706"/>
      <c r="B602" s="1706"/>
      <c r="C602" s="1706"/>
      <c r="D602" s="1706"/>
      <c r="E602" s="1706"/>
      <c r="F602" s="1706"/>
      <c r="G602" s="1706"/>
      <c r="H602" s="1706"/>
      <c r="I602" s="1706"/>
      <c r="J602" s="1706"/>
      <c r="K602" s="1706"/>
      <c r="L602" s="1706"/>
      <c r="M602" s="1706"/>
      <c r="N602" s="1706"/>
      <c r="O602" s="1706"/>
      <c r="P602" s="1706"/>
      <c r="Q602" s="1706"/>
      <c r="R602" s="1706"/>
      <c r="S602" s="1706"/>
      <c r="T602" s="1706"/>
      <c r="U602" s="1706"/>
      <c r="V602" s="1706"/>
      <c r="W602" s="1706"/>
      <c r="X602" s="1706"/>
      <c r="Y602" s="1706"/>
      <c r="Z602" s="1706"/>
      <c r="AB602" s="1706"/>
      <c r="AC602" s="1706"/>
      <c r="AD602" s="1706"/>
      <c r="AE602" s="1706"/>
      <c r="AF602" s="1706"/>
      <c r="AG602" s="1706"/>
      <c r="AH602" s="1706"/>
      <c r="AI602" s="1706"/>
    </row>
    <row r="603" spans="1:35" x14ac:dyDescent="0.2">
      <c r="A603" s="1706"/>
      <c r="B603" s="1706"/>
      <c r="C603" s="1706"/>
      <c r="D603" s="1706"/>
      <c r="E603" s="1706"/>
      <c r="F603" s="1706"/>
      <c r="G603" s="1706"/>
      <c r="H603" s="1706"/>
      <c r="I603" s="1706"/>
      <c r="J603" s="1706"/>
      <c r="K603" s="1706"/>
      <c r="L603" s="1706"/>
      <c r="M603" s="1706"/>
      <c r="N603" s="1706"/>
      <c r="O603" s="1706"/>
      <c r="P603" s="1706"/>
      <c r="Q603" s="1706"/>
      <c r="R603" s="1706"/>
      <c r="S603" s="1706"/>
      <c r="T603" s="1706"/>
      <c r="U603" s="1706"/>
      <c r="V603" s="1706"/>
      <c r="W603" s="1706"/>
      <c r="X603" s="1706"/>
      <c r="Y603" s="1706"/>
      <c r="Z603" s="1706"/>
      <c r="AB603" s="1706"/>
      <c r="AC603" s="1706"/>
      <c r="AD603" s="1706"/>
      <c r="AE603" s="1706"/>
      <c r="AF603" s="1706"/>
      <c r="AG603" s="1706"/>
      <c r="AH603" s="1706"/>
      <c r="AI603" s="1706"/>
    </row>
    <row r="604" spans="1:35" x14ac:dyDescent="0.2">
      <c r="A604" s="1706"/>
      <c r="B604" s="1706"/>
      <c r="C604" s="1706"/>
      <c r="D604" s="1706"/>
      <c r="E604" s="1706"/>
      <c r="F604" s="1706"/>
      <c r="G604" s="1706"/>
      <c r="H604" s="1706"/>
      <c r="I604" s="1706"/>
      <c r="J604" s="1706"/>
      <c r="K604" s="1706"/>
      <c r="L604" s="1706"/>
      <c r="M604" s="1706"/>
      <c r="N604" s="1706"/>
      <c r="O604" s="1706"/>
      <c r="P604" s="1706"/>
      <c r="Q604" s="1706"/>
      <c r="R604" s="1706"/>
      <c r="S604" s="1706"/>
      <c r="T604" s="1706"/>
      <c r="U604" s="1706"/>
      <c r="V604" s="1706"/>
      <c r="W604" s="1706"/>
      <c r="X604" s="1706"/>
      <c r="Y604" s="1706"/>
      <c r="Z604" s="1706"/>
      <c r="AB604" s="1706"/>
      <c r="AC604" s="1706"/>
      <c r="AD604" s="1706"/>
      <c r="AE604" s="1706"/>
      <c r="AF604" s="1706"/>
      <c r="AG604" s="1706"/>
      <c r="AH604" s="1706"/>
      <c r="AI604" s="1706"/>
    </row>
    <row r="605" spans="1:35" x14ac:dyDescent="0.2">
      <c r="A605" s="1706"/>
      <c r="B605" s="1706"/>
      <c r="C605" s="1706"/>
      <c r="D605" s="1706"/>
      <c r="E605" s="1706"/>
      <c r="F605" s="1706"/>
      <c r="G605" s="1706"/>
      <c r="H605" s="1706"/>
      <c r="I605" s="1706"/>
      <c r="J605" s="1706"/>
      <c r="K605" s="1706"/>
      <c r="L605" s="1706"/>
      <c r="M605" s="1706"/>
      <c r="N605" s="1706"/>
      <c r="O605" s="1706"/>
      <c r="P605" s="1706"/>
      <c r="Q605" s="1706"/>
      <c r="R605" s="1706"/>
      <c r="S605" s="1706"/>
      <c r="T605" s="1706"/>
      <c r="U605" s="1706"/>
      <c r="V605" s="1706"/>
      <c r="W605" s="1706"/>
      <c r="X605" s="1706"/>
      <c r="Y605" s="1706"/>
      <c r="Z605" s="1706"/>
      <c r="AB605" s="1706"/>
      <c r="AC605" s="1706"/>
      <c r="AD605" s="1706"/>
      <c r="AE605" s="1706"/>
      <c r="AF605" s="1706"/>
      <c r="AG605" s="1706"/>
      <c r="AH605" s="1706"/>
      <c r="AI605" s="1706"/>
    </row>
    <row r="606" spans="1:35" x14ac:dyDescent="0.2">
      <c r="A606" s="1706"/>
      <c r="B606" s="1706"/>
      <c r="C606" s="1706"/>
      <c r="D606" s="1706"/>
      <c r="E606" s="1706"/>
      <c r="F606" s="1706"/>
      <c r="G606" s="1706"/>
      <c r="H606" s="1706"/>
      <c r="I606" s="1706"/>
      <c r="J606" s="1706"/>
      <c r="K606" s="1706"/>
      <c r="L606" s="1706"/>
      <c r="M606" s="1706"/>
      <c r="N606" s="1706"/>
      <c r="O606" s="1706"/>
      <c r="P606" s="1706"/>
      <c r="Q606" s="1706"/>
      <c r="R606" s="1706"/>
      <c r="S606" s="1706"/>
      <c r="T606" s="1706"/>
      <c r="U606" s="1706"/>
      <c r="V606" s="1706"/>
      <c r="W606" s="1706"/>
      <c r="X606" s="1706"/>
      <c r="Y606" s="1706"/>
      <c r="Z606" s="1706"/>
      <c r="AB606" s="1706"/>
      <c r="AC606" s="1706"/>
      <c r="AD606" s="1706"/>
      <c r="AE606" s="1706"/>
      <c r="AF606" s="1706"/>
      <c r="AG606" s="1706"/>
      <c r="AH606" s="1706"/>
      <c r="AI606" s="1706"/>
    </row>
    <row r="607" spans="1:35" x14ac:dyDescent="0.2">
      <c r="A607" s="1706"/>
      <c r="B607" s="1706"/>
      <c r="C607" s="1706"/>
      <c r="D607" s="1706"/>
      <c r="E607" s="1706"/>
      <c r="F607" s="1706"/>
      <c r="G607" s="1706"/>
      <c r="H607" s="1706"/>
      <c r="I607" s="1706"/>
      <c r="J607" s="1706"/>
      <c r="K607" s="1706"/>
      <c r="L607" s="1706"/>
      <c r="M607" s="1706"/>
      <c r="N607" s="1706"/>
      <c r="O607" s="1706"/>
      <c r="P607" s="1706"/>
      <c r="Q607" s="1706"/>
      <c r="R607" s="1706"/>
      <c r="S607" s="1706"/>
      <c r="T607" s="1706"/>
      <c r="U607" s="1706"/>
      <c r="V607" s="1706"/>
      <c r="W607" s="1706"/>
      <c r="X607" s="1706"/>
      <c r="Y607" s="1706"/>
      <c r="Z607" s="1706"/>
      <c r="AB607" s="1706"/>
      <c r="AC607" s="1706"/>
      <c r="AD607" s="1706"/>
      <c r="AE607" s="1706"/>
      <c r="AF607" s="1706"/>
      <c r="AG607" s="1706"/>
      <c r="AH607" s="1706"/>
      <c r="AI607" s="1706"/>
    </row>
    <row r="608" spans="1:35" x14ac:dyDescent="0.2">
      <c r="A608" s="1706"/>
      <c r="B608" s="1706"/>
      <c r="C608" s="1706"/>
      <c r="D608" s="1706"/>
      <c r="E608" s="1706"/>
      <c r="F608" s="1706"/>
      <c r="G608" s="1706"/>
      <c r="H608" s="1706"/>
      <c r="I608" s="1706"/>
      <c r="J608" s="1706"/>
      <c r="K608" s="1706"/>
      <c r="L608" s="1706"/>
      <c r="M608" s="1706"/>
      <c r="N608" s="1706"/>
      <c r="O608" s="1706"/>
      <c r="P608" s="1706"/>
      <c r="Q608" s="1706"/>
      <c r="R608" s="1706"/>
      <c r="S608" s="1706"/>
      <c r="T608" s="1706"/>
      <c r="U608" s="1706"/>
      <c r="V608" s="1706"/>
      <c r="W608" s="1706"/>
      <c r="X608" s="1706"/>
      <c r="Y608" s="1706"/>
      <c r="Z608" s="1706"/>
      <c r="AB608" s="1706"/>
      <c r="AC608" s="1706"/>
      <c r="AD608" s="1706"/>
      <c r="AE608" s="1706"/>
      <c r="AF608" s="1706"/>
      <c r="AG608" s="1706"/>
      <c r="AH608" s="1706"/>
      <c r="AI608" s="1706"/>
    </row>
    <row r="609" spans="1:35" x14ac:dyDescent="0.2">
      <c r="A609" s="1706"/>
      <c r="B609" s="1706"/>
      <c r="C609" s="1706"/>
      <c r="D609" s="1706"/>
      <c r="E609" s="1706"/>
      <c r="F609" s="1706"/>
      <c r="G609" s="1706"/>
      <c r="H609" s="1706"/>
      <c r="I609" s="1706"/>
      <c r="J609" s="1706"/>
      <c r="K609" s="1706"/>
      <c r="L609" s="1706"/>
      <c r="M609" s="1706"/>
      <c r="N609" s="1706"/>
      <c r="O609" s="1706"/>
      <c r="P609" s="1706"/>
      <c r="Q609" s="1706"/>
      <c r="R609" s="1706"/>
      <c r="S609" s="1706"/>
      <c r="T609" s="1706"/>
      <c r="U609" s="1706"/>
      <c r="V609" s="1706"/>
      <c r="W609" s="1706"/>
      <c r="X609" s="1706"/>
      <c r="Y609" s="1706"/>
      <c r="Z609" s="1706"/>
      <c r="AB609" s="1706"/>
      <c r="AC609" s="1706"/>
      <c r="AD609" s="1706"/>
      <c r="AE609" s="1706"/>
      <c r="AF609" s="1706"/>
      <c r="AG609" s="1706"/>
      <c r="AH609" s="1706"/>
      <c r="AI609" s="1706"/>
    </row>
    <row r="610" spans="1:35" x14ac:dyDescent="0.2">
      <c r="A610" s="1706"/>
      <c r="B610" s="1706"/>
      <c r="C610" s="1706"/>
      <c r="D610" s="1706"/>
      <c r="E610" s="1706"/>
      <c r="F610" s="1706"/>
      <c r="G610" s="1706"/>
      <c r="H610" s="1706"/>
      <c r="I610" s="1706"/>
      <c r="J610" s="1706"/>
      <c r="K610" s="1706"/>
      <c r="L610" s="1706"/>
      <c r="M610" s="1706"/>
      <c r="N610" s="1706"/>
      <c r="O610" s="1706"/>
      <c r="P610" s="1706"/>
      <c r="Q610" s="1706"/>
      <c r="R610" s="1706"/>
      <c r="S610" s="1706"/>
      <c r="T610" s="1706"/>
      <c r="U610" s="1706"/>
      <c r="V610" s="1706"/>
      <c r="W610" s="1706"/>
      <c r="X610" s="1706"/>
      <c r="Y610" s="1706"/>
      <c r="Z610" s="1706"/>
      <c r="AB610" s="1706"/>
      <c r="AC610" s="1706"/>
      <c r="AD610" s="1706"/>
      <c r="AE610" s="1706"/>
      <c r="AF610" s="1706"/>
      <c r="AG610" s="1706"/>
      <c r="AH610" s="1706"/>
      <c r="AI610" s="1706"/>
    </row>
    <row r="611" spans="1:35" x14ac:dyDescent="0.2">
      <c r="A611" s="1706"/>
      <c r="B611" s="1706"/>
      <c r="C611" s="1706"/>
      <c r="D611" s="1706"/>
      <c r="E611" s="1706"/>
      <c r="F611" s="1706"/>
      <c r="G611" s="1706"/>
      <c r="H611" s="1706"/>
      <c r="I611" s="1706"/>
      <c r="J611" s="1706"/>
      <c r="K611" s="1706"/>
      <c r="L611" s="1706"/>
      <c r="M611" s="1706"/>
      <c r="N611" s="1706"/>
      <c r="O611" s="1706"/>
      <c r="P611" s="1706"/>
      <c r="Q611" s="1706"/>
      <c r="R611" s="1706"/>
      <c r="S611" s="1706"/>
      <c r="T611" s="1706"/>
      <c r="U611" s="1706"/>
      <c r="V611" s="1706"/>
      <c r="W611" s="1706"/>
      <c r="X611" s="1706"/>
      <c r="Y611" s="1706"/>
      <c r="Z611" s="1706"/>
      <c r="AB611" s="1706"/>
      <c r="AC611" s="1706"/>
      <c r="AD611" s="1706"/>
      <c r="AE611" s="1706"/>
      <c r="AF611" s="1706"/>
      <c r="AG611" s="1706"/>
      <c r="AH611" s="1706"/>
      <c r="AI611" s="1706"/>
    </row>
    <row r="612" spans="1:35" x14ac:dyDescent="0.2">
      <c r="A612" s="1706"/>
      <c r="B612" s="1706"/>
      <c r="C612" s="1706"/>
      <c r="D612" s="1706"/>
      <c r="E612" s="1706"/>
      <c r="F612" s="1706"/>
      <c r="G612" s="1706"/>
      <c r="H612" s="1706"/>
      <c r="I612" s="1706"/>
      <c r="J612" s="1706"/>
      <c r="K612" s="1706"/>
      <c r="L612" s="1706"/>
      <c r="M612" s="1706"/>
      <c r="N612" s="1706"/>
      <c r="O612" s="1706"/>
      <c r="P612" s="1706"/>
      <c r="Q612" s="1706"/>
      <c r="R612" s="1706"/>
      <c r="S612" s="1706"/>
      <c r="T612" s="1706"/>
      <c r="U612" s="1706"/>
      <c r="V612" s="1706"/>
      <c r="W612" s="1706"/>
      <c r="X612" s="1706"/>
      <c r="Y612" s="1706"/>
      <c r="Z612" s="1706"/>
      <c r="AB612" s="1706"/>
      <c r="AC612" s="1706"/>
      <c r="AD612" s="1706"/>
      <c r="AE612" s="1706"/>
      <c r="AF612" s="1706"/>
      <c r="AG612" s="1706"/>
      <c r="AH612" s="1706"/>
      <c r="AI612" s="1706"/>
    </row>
    <row r="613" spans="1:35" x14ac:dyDescent="0.2">
      <c r="A613" s="1706"/>
      <c r="B613" s="1706"/>
      <c r="C613" s="1706"/>
      <c r="D613" s="1706"/>
      <c r="E613" s="1706"/>
      <c r="F613" s="1706"/>
      <c r="G613" s="1706"/>
      <c r="H613" s="1706"/>
      <c r="I613" s="1706"/>
      <c r="J613" s="1706"/>
      <c r="K613" s="1706"/>
      <c r="L613" s="1706"/>
      <c r="M613" s="1706"/>
      <c r="N613" s="1706"/>
      <c r="O613" s="1706"/>
      <c r="P613" s="1706"/>
      <c r="Q613" s="1706"/>
      <c r="R613" s="1706"/>
      <c r="S613" s="1706"/>
      <c r="T613" s="1706"/>
      <c r="U613" s="1706"/>
      <c r="V613" s="1706"/>
      <c r="W613" s="1706"/>
      <c r="X613" s="1706"/>
      <c r="Y613" s="1706"/>
      <c r="Z613" s="1706"/>
      <c r="AB613" s="1706"/>
      <c r="AC613" s="1706"/>
      <c r="AD613" s="1706"/>
      <c r="AE613" s="1706"/>
      <c r="AF613" s="1706"/>
      <c r="AG613" s="1706"/>
      <c r="AH613" s="1706"/>
      <c r="AI613" s="1706"/>
    </row>
    <row r="614" spans="1:35" x14ac:dyDescent="0.2">
      <c r="A614" s="1706"/>
      <c r="B614" s="1706"/>
      <c r="C614" s="1706"/>
      <c r="D614" s="1706"/>
      <c r="E614" s="1706"/>
      <c r="F614" s="1706"/>
      <c r="G614" s="1706"/>
      <c r="H614" s="1706"/>
      <c r="I614" s="1706"/>
      <c r="J614" s="1706"/>
      <c r="K614" s="1706"/>
      <c r="L614" s="1706"/>
      <c r="M614" s="1706"/>
      <c r="N614" s="1706"/>
      <c r="O614" s="1706"/>
      <c r="P614" s="1706"/>
      <c r="Q614" s="1706"/>
      <c r="R614" s="1706"/>
      <c r="S614" s="1706"/>
      <c r="T614" s="1706"/>
      <c r="U614" s="1706"/>
      <c r="V614" s="1706"/>
      <c r="W614" s="1706"/>
      <c r="X614" s="1706"/>
      <c r="Y614" s="1706"/>
      <c r="Z614" s="1706"/>
      <c r="AB614" s="1706"/>
      <c r="AC614" s="1706"/>
      <c r="AD614" s="1706"/>
      <c r="AE614" s="1706"/>
      <c r="AF614" s="1706"/>
      <c r="AG614" s="1706"/>
      <c r="AH614" s="1706"/>
      <c r="AI614" s="1706"/>
    </row>
    <row r="615" spans="1:35" x14ac:dyDescent="0.2">
      <c r="A615" s="1706"/>
      <c r="B615" s="1706"/>
      <c r="C615" s="1706"/>
      <c r="D615" s="1706"/>
      <c r="E615" s="1706"/>
      <c r="F615" s="1706"/>
      <c r="G615" s="1706"/>
      <c r="H615" s="1706"/>
      <c r="I615" s="1706"/>
      <c r="J615" s="1706"/>
      <c r="K615" s="1706"/>
      <c r="L615" s="1706"/>
      <c r="M615" s="1706"/>
      <c r="N615" s="1706"/>
      <c r="O615" s="1706"/>
      <c r="P615" s="1706"/>
      <c r="Q615" s="1706"/>
      <c r="R615" s="1706"/>
      <c r="S615" s="1706"/>
      <c r="T615" s="1706"/>
      <c r="U615" s="1706"/>
      <c r="V615" s="1706"/>
      <c r="W615" s="1706"/>
      <c r="X615" s="1706"/>
      <c r="Y615" s="1706"/>
      <c r="Z615" s="1706"/>
      <c r="AB615" s="1706"/>
      <c r="AC615" s="1706"/>
      <c r="AD615" s="1706"/>
      <c r="AE615" s="1706"/>
      <c r="AF615" s="1706"/>
      <c r="AG615" s="1706"/>
      <c r="AH615" s="1706"/>
      <c r="AI615" s="1706"/>
    </row>
    <row r="616" spans="1:35" x14ac:dyDescent="0.2">
      <c r="A616" s="1706"/>
      <c r="B616" s="1706"/>
      <c r="C616" s="1706"/>
      <c r="D616" s="1706"/>
      <c r="E616" s="1706"/>
      <c r="F616" s="1706"/>
      <c r="G616" s="1706"/>
      <c r="H616" s="1706"/>
      <c r="I616" s="1706"/>
      <c r="J616" s="1706"/>
      <c r="K616" s="1706"/>
      <c r="L616" s="1706"/>
      <c r="M616" s="1706"/>
      <c r="N616" s="1706"/>
      <c r="O616" s="1706"/>
      <c r="P616" s="1706"/>
      <c r="Q616" s="1706"/>
      <c r="R616" s="1706"/>
      <c r="S616" s="1706"/>
      <c r="T616" s="1706"/>
      <c r="U616" s="1706"/>
      <c r="V616" s="1706"/>
      <c r="W616" s="1706"/>
      <c r="X616" s="1706"/>
      <c r="Y616" s="1706"/>
      <c r="Z616" s="1706"/>
      <c r="AB616" s="1706"/>
      <c r="AC616" s="1706"/>
      <c r="AD616" s="1706"/>
      <c r="AE616" s="1706"/>
      <c r="AF616" s="1706"/>
      <c r="AG616" s="1706"/>
      <c r="AH616" s="1706"/>
      <c r="AI616" s="1706"/>
    </row>
    <row r="617" spans="1:35" x14ac:dyDescent="0.2">
      <c r="A617" s="1706"/>
      <c r="B617" s="1706"/>
      <c r="C617" s="1706"/>
      <c r="D617" s="1706"/>
      <c r="E617" s="1706"/>
      <c r="F617" s="1706"/>
      <c r="G617" s="1706"/>
      <c r="H617" s="1706"/>
      <c r="I617" s="1706"/>
      <c r="J617" s="1706"/>
      <c r="K617" s="1706"/>
      <c r="L617" s="1706"/>
      <c r="M617" s="1706"/>
      <c r="N617" s="1706"/>
      <c r="O617" s="1706"/>
      <c r="P617" s="1706"/>
      <c r="Q617" s="1706"/>
      <c r="R617" s="1706"/>
      <c r="S617" s="1706"/>
      <c r="T617" s="1706"/>
      <c r="U617" s="1706"/>
      <c r="V617" s="1706"/>
      <c r="W617" s="1706"/>
      <c r="X617" s="1706"/>
      <c r="Y617" s="1706"/>
      <c r="Z617" s="1706"/>
      <c r="AB617" s="1706"/>
      <c r="AC617" s="1706"/>
      <c r="AD617" s="1706"/>
      <c r="AE617" s="1706"/>
      <c r="AF617" s="1706"/>
      <c r="AG617" s="1706"/>
      <c r="AH617" s="1706"/>
      <c r="AI617" s="1706"/>
    </row>
    <row r="618" spans="1:35" x14ac:dyDescent="0.2">
      <c r="A618" s="1706"/>
      <c r="B618" s="1706"/>
      <c r="C618" s="1706"/>
      <c r="D618" s="1706"/>
      <c r="E618" s="1706"/>
      <c r="F618" s="1706"/>
      <c r="G618" s="1706"/>
      <c r="H618" s="1706"/>
      <c r="I618" s="1706"/>
      <c r="J618" s="1706"/>
      <c r="K618" s="1706"/>
      <c r="L618" s="1706"/>
      <c r="M618" s="1706"/>
      <c r="N618" s="1706"/>
      <c r="O618" s="1706"/>
      <c r="P618" s="1706"/>
      <c r="Q618" s="1706"/>
      <c r="R618" s="1706"/>
      <c r="S618" s="1706"/>
      <c r="T618" s="1706"/>
      <c r="U618" s="1706"/>
      <c r="V618" s="1706"/>
      <c r="W618" s="1706"/>
      <c r="X618" s="1706"/>
      <c r="Y618" s="1706"/>
      <c r="Z618" s="1706"/>
      <c r="AB618" s="1706"/>
      <c r="AC618" s="1706"/>
      <c r="AD618" s="1706"/>
      <c r="AE618" s="1706"/>
      <c r="AF618" s="1706"/>
      <c r="AG618" s="1706"/>
      <c r="AH618" s="1706"/>
      <c r="AI618" s="1706"/>
    </row>
    <row r="619" spans="1:35" x14ac:dyDescent="0.2">
      <c r="A619" s="1706"/>
      <c r="B619" s="1706"/>
      <c r="C619" s="1706"/>
      <c r="D619" s="1706"/>
      <c r="E619" s="1706"/>
      <c r="F619" s="1706"/>
      <c r="G619" s="1706"/>
      <c r="H619" s="1706"/>
      <c r="I619" s="1706"/>
      <c r="J619" s="1706"/>
      <c r="K619" s="1706"/>
      <c r="L619" s="1706"/>
      <c r="M619" s="1706"/>
      <c r="N619" s="1706"/>
      <c r="O619" s="1706"/>
      <c r="P619" s="1706"/>
      <c r="Q619" s="1706"/>
      <c r="R619" s="1706"/>
      <c r="S619" s="1706"/>
      <c r="T619" s="1706"/>
      <c r="U619" s="1706"/>
      <c r="V619" s="1706"/>
      <c r="W619" s="1706"/>
      <c r="X619" s="1706"/>
      <c r="Y619" s="1706"/>
      <c r="Z619" s="1706"/>
      <c r="AB619" s="1706"/>
      <c r="AC619" s="1706"/>
      <c r="AD619" s="1706"/>
      <c r="AE619" s="1706"/>
      <c r="AF619" s="1706"/>
      <c r="AG619" s="1706"/>
      <c r="AH619" s="1706"/>
      <c r="AI619" s="1706"/>
    </row>
    <row r="620" spans="1:35" x14ac:dyDescent="0.2">
      <c r="A620" s="1706"/>
      <c r="B620" s="1706"/>
      <c r="C620" s="1706"/>
      <c r="D620" s="1706"/>
      <c r="E620" s="1706"/>
      <c r="F620" s="1706"/>
      <c r="G620" s="1706"/>
      <c r="H620" s="1706"/>
      <c r="I620" s="1706"/>
      <c r="J620" s="1706"/>
      <c r="K620" s="1706"/>
      <c r="L620" s="1706"/>
      <c r="M620" s="1706"/>
      <c r="N620" s="1706"/>
      <c r="O620" s="1706"/>
      <c r="P620" s="1706"/>
      <c r="Q620" s="1706"/>
      <c r="R620" s="1706"/>
      <c r="S620" s="1706"/>
      <c r="T620" s="1706"/>
      <c r="U620" s="1706"/>
      <c r="V620" s="1706"/>
      <c r="W620" s="1706"/>
      <c r="X620" s="1706"/>
      <c r="Y620" s="1706"/>
      <c r="Z620" s="1706"/>
      <c r="AB620" s="1706"/>
      <c r="AC620" s="1706"/>
      <c r="AD620" s="1706"/>
      <c r="AE620" s="1706"/>
      <c r="AF620" s="1706"/>
      <c r="AG620" s="1706"/>
      <c r="AH620" s="1706"/>
      <c r="AI620" s="1706"/>
    </row>
    <row r="621" spans="1:35" x14ac:dyDescent="0.2">
      <c r="A621" s="1706"/>
      <c r="B621" s="1706"/>
      <c r="C621" s="1706"/>
      <c r="D621" s="1706"/>
      <c r="E621" s="1706"/>
      <c r="F621" s="1706"/>
      <c r="G621" s="1706"/>
      <c r="H621" s="1706"/>
      <c r="I621" s="1706"/>
      <c r="J621" s="1706"/>
      <c r="K621" s="1706"/>
      <c r="L621" s="1706"/>
      <c r="M621" s="1706"/>
      <c r="N621" s="1706"/>
      <c r="O621" s="1706"/>
      <c r="P621" s="1706"/>
      <c r="Q621" s="1706"/>
      <c r="R621" s="1706"/>
      <c r="S621" s="1706"/>
      <c r="T621" s="1706"/>
      <c r="U621" s="1706"/>
      <c r="V621" s="1706"/>
      <c r="W621" s="1706"/>
      <c r="X621" s="1706"/>
      <c r="Y621" s="1706"/>
      <c r="Z621" s="1706"/>
      <c r="AB621" s="1706"/>
      <c r="AC621" s="1706"/>
      <c r="AD621" s="1706"/>
      <c r="AE621" s="1706"/>
      <c r="AF621" s="1706"/>
      <c r="AG621" s="1706"/>
      <c r="AH621" s="1706"/>
      <c r="AI621" s="1706"/>
    </row>
    <row r="622" spans="1:35" x14ac:dyDescent="0.2">
      <c r="A622" s="1706"/>
      <c r="B622" s="1706"/>
      <c r="C622" s="1706"/>
      <c r="D622" s="1706"/>
      <c r="E622" s="1706"/>
      <c r="F622" s="1706"/>
      <c r="G622" s="1706"/>
      <c r="H622" s="1706"/>
      <c r="I622" s="1706"/>
      <c r="J622" s="1706"/>
      <c r="K622" s="1706"/>
      <c r="L622" s="1706"/>
      <c r="M622" s="1706"/>
      <c r="N622" s="1706"/>
      <c r="O622" s="1706"/>
      <c r="P622" s="1706"/>
      <c r="Q622" s="1706"/>
      <c r="R622" s="1706"/>
      <c r="S622" s="1706"/>
      <c r="T622" s="1706"/>
      <c r="U622" s="1706"/>
      <c r="V622" s="1706"/>
      <c r="W622" s="1706"/>
      <c r="X622" s="1706"/>
      <c r="Y622" s="1706"/>
      <c r="Z622" s="1706"/>
      <c r="AB622" s="1706"/>
      <c r="AC622" s="1706"/>
      <c r="AD622" s="1706"/>
      <c r="AE622" s="1706"/>
      <c r="AF622" s="1706"/>
      <c r="AG622" s="1706"/>
      <c r="AH622" s="1706"/>
      <c r="AI622" s="1706"/>
    </row>
    <row r="623" spans="1:35" x14ac:dyDescent="0.2">
      <c r="A623" s="1706"/>
      <c r="B623" s="1706"/>
      <c r="C623" s="1706"/>
      <c r="D623" s="1706"/>
      <c r="E623" s="1706"/>
      <c r="F623" s="1706"/>
      <c r="G623" s="1706"/>
      <c r="H623" s="1706"/>
      <c r="I623" s="1706"/>
      <c r="J623" s="1706"/>
      <c r="K623" s="1706"/>
      <c r="L623" s="1706"/>
      <c r="M623" s="1706"/>
      <c r="N623" s="1706"/>
      <c r="O623" s="1706"/>
      <c r="P623" s="1706"/>
      <c r="Q623" s="1706"/>
      <c r="R623" s="1706"/>
      <c r="S623" s="1706"/>
      <c r="T623" s="1706"/>
      <c r="U623" s="1706"/>
      <c r="V623" s="1706"/>
      <c r="W623" s="1706"/>
      <c r="X623" s="1706"/>
      <c r="Y623" s="1706"/>
      <c r="Z623" s="1706"/>
      <c r="AB623" s="1706"/>
      <c r="AC623" s="1706"/>
      <c r="AD623" s="1706"/>
      <c r="AE623" s="1706"/>
      <c r="AF623" s="1706"/>
      <c r="AG623" s="1706"/>
      <c r="AH623" s="1706"/>
      <c r="AI623" s="1706"/>
    </row>
    <row r="624" spans="1:35" x14ac:dyDescent="0.2">
      <c r="A624" s="1706"/>
      <c r="B624" s="1706"/>
      <c r="C624" s="1706"/>
      <c r="D624" s="1706"/>
      <c r="E624" s="1706"/>
      <c r="F624" s="1706"/>
      <c r="G624" s="1706"/>
      <c r="H624" s="1706"/>
      <c r="I624" s="1706"/>
      <c r="J624" s="1706"/>
      <c r="K624" s="1706"/>
      <c r="L624" s="1706"/>
      <c r="M624" s="1706"/>
      <c r="N624" s="1706"/>
      <c r="O624" s="1706"/>
      <c r="P624" s="1706"/>
      <c r="Q624" s="1706"/>
      <c r="R624" s="1706"/>
      <c r="S624" s="1706"/>
      <c r="T624" s="1706"/>
      <c r="U624" s="1706"/>
      <c r="V624" s="1706"/>
      <c r="W624" s="1706"/>
      <c r="X624" s="1706"/>
      <c r="Y624" s="1706"/>
      <c r="Z624" s="1706"/>
      <c r="AB624" s="1706"/>
      <c r="AC624" s="1706"/>
      <c r="AD624" s="1706"/>
      <c r="AE624" s="1706"/>
      <c r="AF624" s="1706"/>
      <c r="AG624" s="1706"/>
      <c r="AH624" s="1706"/>
      <c r="AI624" s="1706"/>
    </row>
    <row r="625" spans="1:35" x14ac:dyDescent="0.2">
      <c r="A625" s="1706"/>
      <c r="B625" s="1706"/>
      <c r="C625" s="1706"/>
      <c r="D625" s="1706"/>
      <c r="E625" s="1706"/>
      <c r="F625" s="1706"/>
      <c r="G625" s="1706"/>
      <c r="H625" s="1706"/>
      <c r="I625" s="1706"/>
      <c r="J625" s="1706"/>
      <c r="K625" s="1706"/>
      <c r="L625" s="1706"/>
      <c r="M625" s="1706"/>
      <c r="N625" s="1706"/>
      <c r="O625" s="1706"/>
      <c r="P625" s="1706"/>
      <c r="Q625" s="1706"/>
      <c r="R625" s="1706"/>
      <c r="S625" s="1706"/>
      <c r="T625" s="1706"/>
      <c r="U625" s="1706"/>
      <c r="V625" s="1706"/>
      <c r="W625" s="1706"/>
      <c r="X625" s="1706"/>
      <c r="Y625" s="1706"/>
      <c r="Z625" s="1706"/>
      <c r="AB625" s="1706"/>
      <c r="AC625" s="1706"/>
      <c r="AD625" s="1706"/>
      <c r="AE625" s="1706"/>
      <c r="AF625" s="1706"/>
      <c r="AG625" s="1706"/>
      <c r="AH625" s="1706"/>
      <c r="AI625" s="1706"/>
    </row>
    <row r="626" spans="1:35" x14ac:dyDescent="0.2">
      <c r="A626" s="1706"/>
      <c r="B626" s="1706"/>
      <c r="C626" s="1706"/>
      <c r="D626" s="1706"/>
      <c r="E626" s="1706"/>
      <c r="F626" s="1706"/>
      <c r="G626" s="1706"/>
      <c r="H626" s="1706"/>
      <c r="I626" s="1706"/>
      <c r="J626" s="1706"/>
      <c r="K626" s="1706"/>
      <c r="L626" s="1706"/>
      <c r="M626" s="1706"/>
      <c r="N626" s="1706"/>
      <c r="O626" s="1706"/>
      <c r="P626" s="1706"/>
      <c r="Q626" s="1706"/>
      <c r="R626" s="1706"/>
      <c r="S626" s="1706"/>
      <c r="T626" s="1706"/>
      <c r="U626" s="1706"/>
      <c r="V626" s="1706"/>
      <c r="W626" s="1706"/>
      <c r="X626" s="1706"/>
      <c r="Y626" s="1706"/>
      <c r="Z626" s="1706"/>
      <c r="AB626" s="1706"/>
      <c r="AC626" s="1706"/>
      <c r="AD626" s="1706"/>
      <c r="AE626" s="1706"/>
      <c r="AF626" s="1706"/>
      <c r="AG626" s="1706"/>
      <c r="AH626" s="1706"/>
      <c r="AI626" s="1706"/>
    </row>
    <row r="627" spans="1:35" x14ac:dyDescent="0.2">
      <c r="A627" s="1706"/>
      <c r="B627" s="1706"/>
      <c r="C627" s="1706"/>
      <c r="D627" s="1706"/>
      <c r="E627" s="1706"/>
      <c r="F627" s="1706"/>
      <c r="G627" s="1706"/>
      <c r="H627" s="1706"/>
      <c r="I627" s="1706"/>
      <c r="J627" s="1706"/>
      <c r="K627" s="1706"/>
      <c r="L627" s="1706"/>
      <c r="M627" s="1706"/>
      <c r="N627" s="1706"/>
      <c r="O627" s="1706"/>
      <c r="P627" s="1706"/>
      <c r="Q627" s="1706"/>
      <c r="R627" s="1706"/>
      <c r="S627" s="1706"/>
      <c r="T627" s="1706"/>
      <c r="U627" s="1706"/>
      <c r="V627" s="1706"/>
      <c r="W627" s="1706"/>
      <c r="X627" s="1706"/>
      <c r="Y627" s="1706"/>
      <c r="Z627" s="1706"/>
      <c r="AB627" s="1706"/>
      <c r="AC627" s="1706"/>
      <c r="AD627" s="1706"/>
      <c r="AE627" s="1706"/>
      <c r="AF627" s="1706"/>
      <c r="AG627" s="1706"/>
      <c r="AH627" s="1706"/>
      <c r="AI627" s="1706"/>
    </row>
    <row r="628" spans="1:35" x14ac:dyDescent="0.2">
      <c r="A628" s="1706"/>
      <c r="B628" s="1706"/>
      <c r="C628" s="1706"/>
      <c r="D628" s="1706"/>
      <c r="E628" s="1706"/>
      <c r="F628" s="1706"/>
      <c r="G628" s="1706"/>
      <c r="H628" s="1706"/>
      <c r="I628" s="1706"/>
      <c r="J628" s="1706"/>
      <c r="K628" s="1706"/>
      <c r="L628" s="1706"/>
      <c r="M628" s="1706"/>
      <c r="N628" s="1706"/>
      <c r="O628" s="1706"/>
      <c r="P628" s="1706"/>
      <c r="Q628" s="1706"/>
      <c r="R628" s="1706"/>
      <c r="S628" s="1706"/>
      <c r="T628" s="1706"/>
      <c r="U628" s="1706"/>
      <c r="V628" s="1706"/>
      <c r="W628" s="1706"/>
      <c r="X628" s="1706"/>
      <c r="Y628" s="1706"/>
      <c r="Z628" s="1706"/>
      <c r="AB628" s="1706"/>
      <c r="AC628" s="1706"/>
      <c r="AD628" s="1706"/>
      <c r="AE628" s="1706"/>
      <c r="AF628" s="1706"/>
      <c r="AG628" s="1706"/>
      <c r="AH628" s="1706"/>
      <c r="AI628" s="1706"/>
    </row>
    <row r="629" spans="1:35" x14ac:dyDescent="0.2">
      <c r="A629" s="1706"/>
      <c r="B629" s="1706"/>
      <c r="C629" s="1706"/>
      <c r="D629" s="1706"/>
      <c r="E629" s="1706"/>
      <c r="F629" s="1706"/>
      <c r="G629" s="1706"/>
      <c r="H629" s="1706"/>
      <c r="I629" s="1706"/>
      <c r="J629" s="1706"/>
      <c r="K629" s="1706"/>
      <c r="L629" s="1706"/>
      <c r="M629" s="1706"/>
      <c r="N629" s="1706"/>
      <c r="O629" s="1706"/>
      <c r="P629" s="1706"/>
      <c r="Q629" s="1706"/>
      <c r="R629" s="1706"/>
      <c r="S629" s="1706"/>
      <c r="T629" s="1706"/>
      <c r="U629" s="1706"/>
      <c r="V629" s="1706"/>
      <c r="W629" s="1706"/>
      <c r="X629" s="1706"/>
      <c r="Y629" s="1706"/>
      <c r="Z629" s="1706"/>
      <c r="AB629" s="1706"/>
      <c r="AC629" s="1706"/>
      <c r="AD629" s="1706"/>
      <c r="AE629" s="1706"/>
      <c r="AF629" s="1706"/>
      <c r="AG629" s="1706"/>
      <c r="AH629" s="1706"/>
      <c r="AI629" s="1706"/>
    </row>
    <row r="630" spans="1:35" x14ac:dyDescent="0.2">
      <c r="A630" s="1706"/>
      <c r="B630" s="1706"/>
      <c r="C630" s="1706"/>
      <c r="D630" s="1706"/>
      <c r="E630" s="1706"/>
      <c r="F630" s="1706"/>
      <c r="G630" s="1706"/>
      <c r="H630" s="1706"/>
      <c r="I630" s="1706"/>
      <c r="J630" s="1706"/>
      <c r="K630" s="1706"/>
      <c r="L630" s="1706"/>
      <c r="M630" s="1706"/>
      <c r="N630" s="1706"/>
      <c r="O630" s="1706"/>
      <c r="P630" s="1706"/>
      <c r="Q630" s="1706"/>
      <c r="R630" s="1706"/>
      <c r="S630" s="1706"/>
      <c r="T630" s="1706"/>
      <c r="U630" s="1706"/>
      <c r="V630" s="1706"/>
      <c r="W630" s="1706"/>
      <c r="X630" s="1706"/>
      <c r="Y630" s="1706"/>
      <c r="Z630" s="1706"/>
      <c r="AB630" s="1706"/>
      <c r="AC630" s="1706"/>
      <c r="AD630" s="1706"/>
      <c r="AE630" s="1706"/>
      <c r="AF630" s="1706"/>
      <c r="AG630" s="1706"/>
      <c r="AH630" s="1706"/>
      <c r="AI630" s="1706"/>
    </row>
    <row r="631" spans="1:35" x14ac:dyDescent="0.2">
      <c r="A631" s="1706"/>
      <c r="B631" s="1706"/>
      <c r="C631" s="1706"/>
      <c r="D631" s="1706"/>
      <c r="E631" s="1706"/>
      <c r="F631" s="1706"/>
      <c r="G631" s="1706"/>
      <c r="H631" s="1706"/>
      <c r="I631" s="1706"/>
      <c r="J631" s="1706"/>
      <c r="K631" s="1706"/>
      <c r="L631" s="1706"/>
      <c r="M631" s="1706"/>
      <c r="N631" s="1706"/>
      <c r="O631" s="1706"/>
      <c r="P631" s="1706"/>
      <c r="Q631" s="1706"/>
      <c r="R631" s="1706"/>
      <c r="S631" s="1706"/>
      <c r="T631" s="1706"/>
      <c r="U631" s="1706"/>
      <c r="V631" s="1706"/>
      <c r="W631" s="1706"/>
      <c r="X631" s="1706"/>
      <c r="Y631" s="1706"/>
      <c r="Z631" s="1706"/>
      <c r="AB631" s="1706"/>
      <c r="AC631" s="1706"/>
      <c r="AD631" s="1706"/>
      <c r="AE631" s="1706"/>
      <c r="AF631" s="1706"/>
      <c r="AG631" s="1706"/>
      <c r="AH631" s="1706"/>
      <c r="AI631" s="1706"/>
    </row>
    <row r="632" spans="1:35" x14ac:dyDescent="0.2">
      <c r="A632" s="1706"/>
      <c r="B632" s="1706"/>
      <c r="C632" s="1706"/>
      <c r="D632" s="1706"/>
      <c r="E632" s="1706"/>
      <c r="F632" s="1706"/>
      <c r="G632" s="1706"/>
      <c r="H632" s="1706"/>
      <c r="I632" s="1706"/>
      <c r="J632" s="1706"/>
      <c r="K632" s="1706"/>
      <c r="L632" s="1706"/>
      <c r="M632" s="1706"/>
      <c r="N632" s="1706"/>
      <c r="O632" s="1706"/>
      <c r="P632" s="1706"/>
      <c r="Q632" s="1706"/>
      <c r="R632" s="1706"/>
      <c r="S632" s="1706"/>
      <c r="T632" s="1706"/>
      <c r="U632" s="1706"/>
      <c r="V632" s="1706"/>
      <c r="W632" s="1706"/>
      <c r="X632" s="1706"/>
      <c r="Y632" s="1706"/>
      <c r="Z632" s="1706"/>
      <c r="AB632" s="1706"/>
      <c r="AC632" s="1706"/>
      <c r="AD632" s="1706"/>
      <c r="AE632" s="1706"/>
      <c r="AF632" s="1706"/>
      <c r="AG632" s="1706"/>
      <c r="AH632" s="1706"/>
      <c r="AI632" s="1706"/>
    </row>
    <row r="633" spans="1:35" x14ac:dyDescent="0.2">
      <c r="A633" s="1706"/>
      <c r="B633" s="1706"/>
      <c r="C633" s="1706"/>
      <c r="D633" s="1706"/>
      <c r="E633" s="1706"/>
      <c r="F633" s="1706"/>
      <c r="G633" s="1706"/>
      <c r="H633" s="1706"/>
      <c r="I633" s="1706"/>
      <c r="J633" s="1706"/>
      <c r="K633" s="1706"/>
      <c r="L633" s="1706"/>
      <c r="M633" s="1706"/>
      <c r="N633" s="1706"/>
      <c r="O633" s="1706"/>
      <c r="P633" s="1706"/>
      <c r="Q633" s="1706"/>
      <c r="R633" s="1706"/>
      <c r="S633" s="1706"/>
      <c r="T633" s="1706"/>
      <c r="U633" s="1706"/>
      <c r="V633" s="1706"/>
      <c r="W633" s="1706"/>
      <c r="X633" s="1706"/>
      <c r="Y633" s="1706"/>
      <c r="Z633" s="1706"/>
      <c r="AB633" s="1706"/>
      <c r="AC633" s="1706"/>
      <c r="AD633" s="1706"/>
      <c r="AE633" s="1706"/>
      <c r="AF633" s="1706"/>
      <c r="AG633" s="1706"/>
      <c r="AH633" s="1706"/>
      <c r="AI633" s="1706"/>
    </row>
    <row r="634" spans="1:35" x14ac:dyDescent="0.2">
      <c r="A634" s="1706"/>
      <c r="B634" s="1706"/>
      <c r="C634" s="1706"/>
      <c r="D634" s="1706"/>
      <c r="E634" s="1706"/>
      <c r="F634" s="1706"/>
      <c r="G634" s="1706"/>
      <c r="H634" s="1706"/>
      <c r="I634" s="1706"/>
      <c r="J634" s="1706"/>
      <c r="K634" s="1706"/>
      <c r="L634" s="1706"/>
      <c r="M634" s="1706"/>
      <c r="N634" s="1706"/>
      <c r="O634" s="1706"/>
      <c r="P634" s="1706"/>
      <c r="Q634" s="1706"/>
      <c r="R634" s="1706"/>
      <c r="S634" s="1706"/>
      <c r="T634" s="1706"/>
      <c r="U634" s="1706"/>
      <c r="V634" s="1706"/>
      <c r="W634" s="1706"/>
      <c r="X634" s="1706"/>
      <c r="Y634" s="1706"/>
      <c r="Z634" s="1706"/>
      <c r="AB634" s="1706"/>
      <c r="AC634" s="1706"/>
      <c r="AD634" s="1706"/>
      <c r="AE634" s="1706"/>
      <c r="AF634" s="1706"/>
      <c r="AG634" s="1706"/>
      <c r="AH634" s="1706"/>
      <c r="AI634" s="1706"/>
    </row>
    <row r="635" spans="1:35" x14ac:dyDescent="0.2">
      <c r="A635" s="1706"/>
      <c r="B635" s="1706"/>
      <c r="C635" s="1706"/>
      <c r="D635" s="1706"/>
      <c r="E635" s="1706"/>
      <c r="F635" s="1706"/>
      <c r="G635" s="1706"/>
      <c r="H635" s="1706"/>
      <c r="I635" s="1706"/>
      <c r="J635" s="1706"/>
      <c r="K635" s="1706"/>
      <c r="L635" s="1706"/>
      <c r="M635" s="1706"/>
      <c r="N635" s="1706"/>
      <c r="O635" s="1706"/>
      <c r="P635" s="1706"/>
      <c r="Q635" s="1706"/>
      <c r="R635" s="1706"/>
      <c r="S635" s="1706"/>
      <c r="T635" s="1706"/>
      <c r="U635" s="1706"/>
      <c r="V635" s="1706"/>
      <c r="W635" s="1706"/>
      <c r="X635" s="1706"/>
      <c r="Y635" s="1706"/>
      <c r="Z635" s="1706"/>
      <c r="AB635" s="1706"/>
      <c r="AC635" s="1706"/>
      <c r="AD635" s="1706"/>
      <c r="AE635" s="1706"/>
      <c r="AF635" s="1706"/>
      <c r="AG635" s="1706"/>
      <c r="AH635" s="1706"/>
      <c r="AI635" s="1706"/>
    </row>
    <row r="636" spans="1:35" x14ac:dyDescent="0.2">
      <c r="A636" s="1706"/>
      <c r="B636" s="1706"/>
      <c r="C636" s="1706"/>
      <c r="D636" s="1706"/>
      <c r="E636" s="1706"/>
      <c r="F636" s="1706"/>
      <c r="G636" s="1706"/>
      <c r="H636" s="1706"/>
      <c r="I636" s="1706"/>
      <c r="J636" s="1706"/>
      <c r="K636" s="1706"/>
      <c r="L636" s="1706"/>
      <c r="M636" s="1706"/>
      <c r="N636" s="1706"/>
      <c r="O636" s="1706"/>
      <c r="P636" s="1706"/>
      <c r="Q636" s="1706"/>
      <c r="R636" s="1706"/>
      <c r="S636" s="1706"/>
      <c r="T636" s="1706"/>
      <c r="U636" s="1706"/>
      <c r="V636" s="1706"/>
      <c r="W636" s="1706"/>
      <c r="X636" s="1706"/>
      <c r="Y636" s="1706"/>
      <c r="Z636" s="1706"/>
      <c r="AB636" s="1706"/>
      <c r="AC636" s="1706"/>
      <c r="AD636" s="1706"/>
      <c r="AE636" s="1706"/>
      <c r="AF636" s="1706"/>
      <c r="AG636" s="1706"/>
      <c r="AH636" s="1706"/>
      <c r="AI636" s="1706"/>
    </row>
    <row r="637" spans="1:35" x14ac:dyDescent="0.2">
      <c r="A637" s="1706"/>
      <c r="B637" s="1706"/>
      <c r="C637" s="1706"/>
      <c r="D637" s="1706"/>
      <c r="E637" s="1706"/>
      <c r="F637" s="1706"/>
      <c r="G637" s="1706"/>
      <c r="H637" s="1706"/>
      <c r="I637" s="1706"/>
      <c r="J637" s="1706"/>
      <c r="K637" s="1706"/>
      <c r="L637" s="1706"/>
      <c r="M637" s="1706"/>
      <c r="N637" s="1706"/>
      <c r="O637" s="1706"/>
      <c r="P637" s="1706"/>
      <c r="Q637" s="1706"/>
      <c r="R637" s="1706"/>
      <c r="S637" s="1706"/>
      <c r="T637" s="1706"/>
      <c r="U637" s="1706"/>
      <c r="V637" s="1706"/>
      <c r="W637" s="1706"/>
      <c r="X637" s="1706"/>
      <c r="Y637" s="1706"/>
      <c r="Z637" s="1706"/>
      <c r="AB637" s="1706"/>
      <c r="AC637" s="1706"/>
      <c r="AD637" s="1706"/>
      <c r="AE637" s="1706"/>
      <c r="AF637" s="1706"/>
      <c r="AG637" s="1706"/>
      <c r="AH637" s="1706"/>
      <c r="AI637" s="1706"/>
    </row>
    <row r="638" spans="1:35" x14ac:dyDescent="0.2">
      <c r="A638" s="1706"/>
      <c r="B638" s="1706"/>
      <c r="C638" s="1706"/>
      <c r="D638" s="1706"/>
      <c r="E638" s="1706"/>
      <c r="F638" s="1706"/>
      <c r="G638" s="1706"/>
      <c r="H638" s="1706"/>
      <c r="I638" s="1706"/>
      <c r="J638" s="1706"/>
      <c r="K638" s="1706"/>
      <c r="L638" s="1706"/>
      <c r="M638" s="1706"/>
      <c r="N638" s="1706"/>
      <c r="O638" s="1706"/>
      <c r="P638" s="1706"/>
      <c r="Q638" s="1706"/>
      <c r="R638" s="1706"/>
      <c r="S638" s="1706"/>
      <c r="T638" s="1706"/>
      <c r="U638" s="1706"/>
      <c r="V638" s="1706"/>
      <c r="W638" s="1706"/>
      <c r="X638" s="1706"/>
      <c r="Y638" s="1706"/>
      <c r="Z638" s="1706"/>
      <c r="AB638" s="1706"/>
      <c r="AC638" s="1706"/>
      <c r="AD638" s="1706"/>
      <c r="AE638" s="1706"/>
      <c r="AF638" s="1706"/>
      <c r="AG638" s="1706"/>
      <c r="AH638" s="1706"/>
      <c r="AI638" s="1706"/>
    </row>
    <row r="639" spans="1:35" x14ac:dyDescent="0.2">
      <c r="A639" s="1706"/>
      <c r="B639" s="1706"/>
      <c r="C639" s="1706"/>
      <c r="D639" s="1706"/>
      <c r="E639" s="1706"/>
      <c r="F639" s="1706"/>
      <c r="G639" s="1706"/>
      <c r="H639" s="1706"/>
      <c r="I639" s="1706"/>
      <c r="J639" s="1706"/>
      <c r="K639" s="1706"/>
      <c r="L639" s="1706"/>
      <c r="M639" s="1706"/>
      <c r="N639" s="1706"/>
      <c r="O639" s="1706"/>
      <c r="P639" s="1706"/>
      <c r="Q639" s="1706"/>
      <c r="R639" s="1706"/>
      <c r="S639" s="1706"/>
      <c r="T639" s="1706"/>
      <c r="U639" s="1706"/>
      <c r="V639" s="1706"/>
      <c r="W639" s="1706"/>
      <c r="X639" s="1706"/>
      <c r="Y639" s="1706"/>
      <c r="Z639" s="1706"/>
      <c r="AB639" s="1706"/>
      <c r="AC639" s="1706"/>
      <c r="AD639" s="1706"/>
      <c r="AE639" s="1706"/>
      <c r="AF639" s="1706"/>
      <c r="AG639" s="1706"/>
      <c r="AH639" s="1706"/>
      <c r="AI639" s="1706"/>
    </row>
    <row r="640" spans="1:35" x14ac:dyDescent="0.2">
      <c r="A640" s="1706"/>
      <c r="B640" s="1706"/>
      <c r="C640" s="1706"/>
      <c r="D640" s="1706"/>
      <c r="E640" s="1706"/>
      <c r="F640" s="1706"/>
      <c r="G640" s="1706"/>
      <c r="H640" s="1706"/>
      <c r="I640" s="1706"/>
      <c r="J640" s="1706"/>
      <c r="K640" s="1706"/>
      <c r="L640" s="1706"/>
      <c r="M640" s="1706"/>
      <c r="N640" s="1706"/>
      <c r="O640" s="1706"/>
      <c r="P640" s="1706"/>
      <c r="Q640" s="1706"/>
      <c r="R640" s="1706"/>
      <c r="S640" s="1706"/>
      <c r="T640" s="1706"/>
      <c r="U640" s="1706"/>
      <c r="V640" s="1706"/>
      <c r="W640" s="1706"/>
      <c r="X640" s="1706"/>
      <c r="Y640" s="1706"/>
      <c r="Z640" s="1706"/>
      <c r="AB640" s="1706"/>
      <c r="AC640" s="1706"/>
      <c r="AD640" s="1706"/>
      <c r="AE640" s="1706"/>
      <c r="AF640" s="1706"/>
      <c r="AG640" s="1706"/>
      <c r="AH640" s="1706"/>
      <c r="AI640" s="1706"/>
    </row>
    <row r="641" spans="1:35" x14ac:dyDescent="0.2">
      <c r="A641" s="1706"/>
      <c r="B641" s="1706"/>
      <c r="C641" s="1706"/>
      <c r="D641" s="1706"/>
      <c r="E641" s="1706"/>
      <c r="F641" s="1706"/>
      <c r="G641" s="1706"/>
      <c r="H641" s="1706"/>
      <c r="I641" s="1706"/>
      <c r="J641" s="1706"/>
      <c r="K641" s="1706"/>
      <c r="L641" s="1706"/>
      <c r="M641" s="1706"/>
      <c r="N641" s="1706"/>
      <c r="O641" s="1706"/>
      <c r="P641" s="1706"/>
      <c r="Q641" s="1706"/>
      <c r="R641" s="1706"/>
      <c r="S641" s="1706"/>
      <c r="T641" s="1706"/>
      <c r="U641" s="1706"/>
      <c r="V641" s="1706"/>
      <c r="W641" s="1706"/>
      <c r="X641" s="1706"/>
      <c r="Y641" s="1706"/>
      <c r="Z641" s="1706"/>
      <c r="AB641" s="1706"/>
      <c r="AC641" s="1706"/>
      <c r="AD641" s="1706"/>
      <c r="AE641" s="1706"/>
      <c r="AF641" s="1706"/>
      <c r="AG641" s="1706"/>
      <c r="AH641" s="1706"/>
      <c r="AI641" s="1706"/>
    </row>
    <row r="642" spans="1:35" x14ac:dyDescent="0.2">
      <c r="A642" s="1706"/>
      <c r="B642" s="1706"/>
      <c r="C642" s="1706"/>
      <c r="D642" s="1706"/>
      <c r="E642" s="1706"/>
      <c r="F642" s="1706"/>
      <c r="G642" s="1706"/>
      <c r="H642" s="1706"/>
      <c r="I642" s="1706"/>
      <c r="J642" s="1706"/>
      <c r="K642" s="1706"/>
      <c r="L642" s="1706"/>
      <c r="M642" s="1706"/>
      <c r="N642" s="1706"/>
      <c r="O642" s="1706"/>
      <c r="P642" s="1706"/>
      <c r="Q642" s="1706"/>
      <c r="R642" s="1706"/>
      <c r="S642" s="1706"/>
      <c r="T642" s="1706"/>
      <c r="U642" s="1706"/>
      <c r="V642" s="1706"/>
      <c r="W642" s="1706"/>
      <c r="X642" s="1706"/>
      <c r="Y642" s="1706"/>
      <c r="Z642" s="1706"/>
      <c r="AB642" s="1706"/>
      <c r="AC642" s="1706"/>
      <c r="AD642" s="1706"/>
      <c r="AE642" s="1706"/>
      <c r="AF642" s="1706"/>
      <c r="AG642" s="1706"/>
      <c r="AH642" s="1706"/>
      <c r="AI642" s="1706"/>
    </row>
    <row r="643" spans="1:35" x14ac:dyDescent="0.2">
      <c r="A643" s="1706"/>
      <c r="B643" s="1706"/>
      <c r="C643" s="1706"/>
      <c r="D643" s="1706"/>
      <c r="E643" s="1706"/>
      <c r="F643" s="1706"/>
      <c r="G643" s="1706"/>
      <c r="H643" s="1706"/>
      <c r="I643" s="1706"/>
      <c r="J643" s="1706"/>
      <c r="K643" s="1706"/>
      <c r="L643" s="1706"/>
      <c r="M643" s="1706"/>
      <c r="N643" s="1706"/>
      <c r="O643" s="1706"/>
      <c r="P643" s="1706"/>
      <c r="Q643" s="1706"/>
      <c r="R643" s="1706"/>
      <c r="S643" s="1706"/>
      <c r="T643" s="1706"/>
      <c r="U643" s="1706"/>
      <c r="V643" s="1706"/>
      <c r="W643" s="1706"/>
      <c r="X643" s="1706"/>
      <c r="Y643" s="1706"/>
      <c r="Z643" s="1706"/>
      <c r="AB643" s="1706"/>
      <c r="AC643" s="1706"/>
      <c r="AD643" s="1706"/>
      <c r="AE643" s="1706"/>
      <c r="AF643" s="1706"/>
      <c r="AG643" s="1706"/>
      <c r="AH643" s="1706"/>
      <c r="AI643" s="1706"/>
    </row>
    <row r="644" spans="1:35" x14ac:dyDescent="0.2">
      <c r="A644" s="1706"/>
      <c r="B644" s="1706"/>
      <c r="C644" s="1706"/>
      <c r="D644" s="1706"/>
      <c r="E644" s="1706"/>
      <c r="F644" s="1706"/>
      <c r="G644" s="1706"/>
      <c r="H644" s="1706"/>
      <c r="I644" s="1706"/>
      <c r="J644" s="1706"/>
      <c r="K644" s="1706"/>
      <c r="L644" s="1706"/>
      <c r="M644" s="1706"/>
      <c r="N644" s="1706"/>
      <c r="O644" s="1706"/>
      <c r="P644" s="1706"/>
      <c r="Q644" s="1706"/>
      <c r="R644" s="1706"/>
      <c r="S644" s="1706"/>
      <c r="T644" s="1706"/>
      <c r="U644" s="1706"/>
      <c r="V644" s="1706"/>
      <c r="W644" s="1706"/>
      <c r="X644" s="1706"/>
      <c r="Y644" s="1706"/>
      <c r="Z644" s="1706"/>
      <c r="AB644" s="1706"/>
      <c r="AC644" s="1706"/>
      <c r="AD644" s="1706"/>
      <c r="AE644" s="1706"/>
      <c r="AF644" s="1706"/>
      <c r="AG644" s="1706"/>
      <c r="AH644" s="1706"/>
      <c r="AI644" s="1706"/>
    </row>
    <row r="645" spans="1:35" x14ac:dyDescent="0.2">
      <c r="A645" s="1706"/>
      <c r="B645" s="1706"/>
      <c r="C645" s="1706"/>
      <c r="D645" s="1706"/>
      <c r="E645" s="1706"/>
      <c r="F645" s="1706"/>
      <c r="G645" s="1706"/>
      <c r="H645" s="1706"/>
      <c r="I645" s="1706"/>
      <c r="J645" s="1706"/>
      <c r="K645" s="1706"/>
      <c r="L645" s="1706"/>
      <c r="M645" s="1706"/>
      <c r="N645" s="1706"/>
      <c r="O645" s="1706"/>
      <c r="P645" s="1706"/>
      <c r="Q645" s="1706"/>
      <c r="R645" s="1706"/>
      <c r="S645" s="1706"/>
      <c r="T645" s="1706"/>
      <c r="U645" s="1706"/>
      <c r="V645" s="1706"/>
      <c r="W645" s="1706"/>
      <c r="X645" s="1706"/>
      <c r="Y645" s="1706"/>
      <c r="Z645" s="1706"/>
      <c r="AB645" s="1706"/>
      <c r="AC645" s="1706"/>
      <c r="AD645" s="1706"/>
      <c r="AE645" s="1706"/>
      <c r="AF645" s="1706"/>
      <c r="AG645" s="1706"/>
      <c r="AH645" s="1706"/>
      <c r="AI645" s="1706"/>
    </row>
  </sheetData>
  <mergeCells count="301">
    <mergeCell ref="A240:B261"/>
    <mergeCell ref="C240:H261"/>
    <mergeCell ref="M240:Q261"/>
    <mergeCell ref="A263:B264"/>
    <mergeCell ref="C263:H264"/>
    <mergeCell ref="R264:S264"/>
    <mergeCell ref="T264:U264"/>
    <mergeCell ref="V264:Z264"/>
    <mergeCell ref="V265:Z286"/>
    <mergeCell ref="M265:Q286"/>
    <mergeCell ref="I263:Q263"/>
    <mergeCell ref="R263:Z263"/>
    <mergeCell ref="I264:J264"/>
    <mergeCell ref="K264:L264"/>
    <mergeCell ref="M264:Q264"/>
    <mergeCell ref="R265:S286"/>
    <mergeCell ref="T265:U286"/>
    <mergeCell ref="I240:J261"/>
    <mergeCell ref="K240:L261"/>
    <mergeCell ref="R240:S261"/>
    <mergeCell ref="T240:U261"/>
    <mergeCell ref="I265:J286"/>
    <mergeCell ref="K265:L286"/>
    <mergeCell ref="D551:Y551"/>
    <mergeCell ref="B552:C552"/>
    <mergeCell ref="AB486:AI487"/>
    <mergeCell ref="H474:Q474"/>
    <mergeCell ref="AB491:AF492"/>
    <mergeCell ref="AB547:AB548"/>
    <mergeCell ref="AC547:AF548"/>
    <mergeCell ref="AB549:AF550"/>
    <mergeCell ref="C265:H286"/>
    <mergeCell ref="A265:B286"/>
    <mergeCell ref="A339:B352"/>
    <mergeCell ref="C339:H352"/>
    <mergeCell ref="M339:Q352"/>
    <mergeCell ref="A337:Z338"/>
    <mergeCell ref="A322:B336"/>
    <mergeCell ref="C322:H336"/>
    <mergeCell ref="C417:K417"/>
    <mergeCell ref="C418:K418"/>
    <mergeCell ref="C419:K419"/>
    <mergeCell ref="C420:K420"/>
    <mergeCell ref="L417:X417"/>
    <mergeCell ref="L418:X418"/>
    <mergeCell ref="L419:X419"/>
    <mergeCell ref="K407:P407"/>
    <mergeCell ref="AB588:AK589"/>
    <mergeCell ref="A588:Z589"/>
    <mergeCell ref="A489:Z489"/>
    <mergeCell ref="B493:Y493"/>
    <mergeCell ref="B494:G500"/>
    <mergeCell ref="H494:L500"/>
    <mergeCell ref="M494:S500"/>
    <mergeCell ref="T494:Y500"/>
    <mergeCell ref="P463:Q463"/>
    <mergeCell ref="B559:C559"/>
    <mergeCell ref="B566:C566"/>
    <mergeCell ref="B573:C573"/>
    <mergeCell ref="I549:U549"/>
    <mergeCell ref="I491:V491"/>
    <mergeCell ref="A547:Z547"/>
    <mergeCell ref="B551:C551"/>
    <mergeCell ref="B525:G536"/>
    <mergeCell ref="H525:L536"/>
    <mergeCell ref="M525:S536"/>
    <mergeCell ref="AB542:AK543"/>
    <mergeCell ref="B501:G512"/>
    <mergeCell ref="B513:G524"/>
    <mergeCell ref="H513:L524"/>
    <mergeCell ref="M513:S524"/>
    <mergeCell ref="A378:B379"/>
    <mergeCell ref="C378:L379"/>
    <mergeCell ref="M378:W379"/>
    <mergeCell ref="K405:P406"/>
    <mergeCell ref="A397:B398"/>
    <mergeCell ref="C397:J398"/>
    <mergeCell ref="K397:V397"/>
    <mergeCell ref="K398:P398"/>
    <mergeCell ref="Q398:V398"/>
    <mergeCell ref="C400:J400"/>
    <mergeCell ref="K399:P399"/>
    <mergeCell ref="K400:P400"/>
    <mergeCell ref="Q399:V399"/>
    <mergeCell ref="Q400:V400"/>
    <mergeCell ref="A405:B406"/>
    <mergeCell ref="C405:J406"/>
    <mergeCell ref="A400:B400"/>
    <mergeCell ref="C399:J399"/>
    <mergeCell ref="A384:B384"/>
    <mergeCell ref="A385:B385"/>
    <mergeCell ref="C380:L380"/>
    <mergeCell ref="A380:B380"/>
    <mergeCell ref="A381:B381"/>
    <mergeCell ref="A382:B382"/>
    <mergeCell ref="A434:B434"/>
    <mergeCell ref="C434:K434"/>
    <mergeCell ref="L434:X434"/>
    <mergeCell ref="A409:B409"/>
    <mergeCell ref="C409:J409"/>
    <mergeCell ref="K409:P409"/>
    <mergeCell ref="AB489:AB490"/>
    <mergeCell ref="AC489:AF490"/>
    <mergeCell ref="A433:B433"/>
    <mergeCell ref="A410:B410"/>
    <mergeCell ref="C410:J410"/>
    <mergeCell ref="K410:P410"/>
    <mergeCell ref="A417:B417"/>
    <mergeCell ref="AB428:AB429"/>
    <mergeCell ref="AC428:AF429"/>
    <mergeCell ref="AB430:AF431"/>
    <mergeCell ref="M501:S512"/>
    <mergeCell ref="H501:L512"/>
    <mergeCell ref="L432:X432"/>
    <mergeCell ref="V150:Z168"/>
    <mergeCell ref="M150:Q168"/>
    <mergeCell ref="C150:H168"/>
    <mergeCell ref="A150:B168"/>
    <mergeCell ref="M169:Q204"/>
    <mergeCell ref="V169:Z204"/>
    <mergeCell ref="A208:B239"/>
    <mergeCell ref="C208:H239"/>
    <mergeCell ref="A169:B204"/>
    <mergeCell ref="C169:H204"/>
    <mergeCell ref="A206:B207"/>
    <mergeCell ref="C206:H207"/>
    <mergeCell ref="I206:Q206"/>
    <mergeCell ref="R206:Z206"/>
    <mergeCell ref="I207:J207"/>
    <mergeCell ref="K207:L207"/>
    <mergeCell ref="M207:Q207"/>
    <mergeCell ref="R207:S207"/>
    <mergeCell ref="T207:U207"/>
    <mergeCell ref="V207:Z207"/>
    <mergeCell ref="A399:B399"/>
    <mergeCell ref="J114:Z119"/>
    <mergeCell ref="R124:Z124"/>
    <mergeCell ref="R125:S125"/>
    <mergeCell ref="T125:U125"/>
    <mergeCell ref="V125:Z125"/>
    <mergeCell ref="A148:B149"/>
    <mergeCell ref="C148:H149"/>
    <mergeCell ref="I148:Q148"/>
    <mergeCell ref="R148:Z148"/>
    <mergeCell ref="I149:J149"/>
    <mergeCell ref="K149:L149"/>
    <mergeCell ref="M149:Q149"/>
    <mergeCell ref="R149:S149"/>
    <mergeCell ref="T149:U149"/>
    <mergeCell ref="V149:Z149"/>
    <mergeCell ref="C124:H125"/>
    <mergeCell ref="I125:J125"/>
    <mergeCell ref="K125:L125"/>
    <mergeCell ref="A126:B146"/>
    <mergeCell ref="C126:H146"/>
    <mergeCell ref="I126:J146"/>
    <mergeCell ref="J109:Z113"/>
    <mergeCell ref="A124:B125"/>
    <mergeCell ref="K126:L146"/>
    <mergeCell ref="I124:Q124"/>
    <mergeCell ref="M125:Q125"/>
    <mergeCell ref="M126:Q146"/>
    <mergeCell ref="AC2:AC3"/>
    <mergeCell ref="AC5:AG6"/>
    <mergeCell ref="AC55:AC56"/>
    <mergeCell ref="E35:M35"/>
    <mergeCell ref="O35:W35"/>
    <mergeCell ref="A46:AA46"/>
    <mergeCell ref="A47:AA47"/>
    <mergeCell ref="A8:AA8"/>
    <mergeCell ref="A9:AA9"/>
    <mergeCell ref="A10:AA10"/>
    <mergeCell ref="A26:AA26"/>
    <mergeCell ref="E28:W29"/>
    <mergeCell ref="A33:AA33"/>
    <mergeCell ref="AB2:AB3"/>
    <mergeCell ref="AB55:AB56"/>
    <mergeCell ref="R126:S146"/>
    <mergeCell ref="T126:U146"/>
    <mergeCell ref="V126:Z146"/>
    <mergeCell ref="AC58:AG59"/>
    <mergeCell ref="A99:AA99"/>
    <mergeCell ref="H102:I102"/>
    <mergeCell ref="N63:S63"/>
    <mergeCell ref="R64:V64"/>
    <mergeCell ref="N64:P64"/>
    <mergeCell ref="N88:T88"/>
    <mergeCell ref="N91:T91"/>
    <mergeCell ref="A108:I108"/>
    <mergeCell ref="J108:Z108"/>
    <mergeCell ref="N92:T92"/>
    <mergeCell ref="N87:T87"/>
    <mergeCell ref="W101:Y101"/>
    <mergeCell ref="AB260:AK261"/>
    <mergeCell ref="AD2:AG3"/>
    <mergeCell ref="AB263:AB264"/>
    <mergeCell ref="AC263:AF264"/>
    <mergeCell ref="AB265:AF266"/>
    <mergeCell ref="V240:Z261"/>
    <mergeCell ref="M208:Q239"/>
    <mergeCell ref="V208:Z239"/>
    <mergeCell ref="AB203:AK204"/>
    <mergeCell ref="AB206:AB207"/>
    <mergeCell ref="AC206:AF207"/>
    <mergeCell ref="AB208:AF209"/>
    <mergeCell ref="AB97:AK97"/>
    <mergeCell ref="AB53:AK53"/>
    <mergeCell ref="AB99:AB100"/>
    <mergeCell ref="AD99:AH100"/>
    <mergeCell ref="AC99:AC100"/>
    <mergeCell ref="AB96:AK96"/>
    <mergeCell ref="AB54:AK54"/>
    <mergeCell ref="AB147:AK147"/>
    <mergeCell ref="AB148:AB149"/>
    <mergeCell ref="AC148:AF149"/>
    <mergeCell ref="AB150:AF151"/>
    <mergeCell ref="A58:AA58"/>
    <mergeCell ref="AB372:AK374"/>
    <mergeCell ref="T321:U321"/>
    <mergeCell ref="V321:Z321"/>
    <mergeCell ref="A320:B321"/>
    <mergeCell ref="H468:Q468"/>
    <mergeCell ref="AB376:AB377"/>
    <mergeCell ref="AC376:AF377"/>
    <mergeCell ref="AB378:AF379"/>
    <mergeCell ref="AB424:AK426"/>
    <mergeCell ref="K408:P408"/>
    <mergeCell ref="V339:Z352"/>
    <mergeCell ref="C381:L381"/>
    <mergeCell ref="C382:L382"/>
    <mergeCell ref="C383:L383"/>
    <mergeCell ref="C384:L384"/>
    <mergeCell ref="C385:L385"/>
    <mergeCell ref="C433:K433"/>
    <mergeCell ref="L433:X433"/>
    <mergeCell ref="L420:X420"/>
    <mergeCell ref="C408:J408"/>
    <mergeCell ref="C432:K432"/>
    <mergeCell ref="H467:Q467"/>
    <mergeCell ref="A415:B416"/>
    <mergeCell ref="C415:K416"/>
    <mergeCell ref="AD320:AG321"/>
    <mergeCell ref="AC322:AG323"/>
    <mergeCell ref="M287:Q312"/>
    <mergeCell ref="A287:B312"/>
    <mergeCell ref="C287:H312"/>
    <mergeCell ref="V287:Z312"/>
    <mergeCell ref="AC320:AC321"/>
    <mergeCell ref="AB317:AK318"/>
    <mergeCell ref="M322:Q336"/>
    <mergeCell ref="R321:S321"/>
    <mergeCell ref="C320:H321"/>
    <mergeCell ref="I320:Q320"/>
    <mergeCell ref="I321:J321"/>
    <mergeCell ref="K321:L321"/>
    <mergeCell ref="M321:Q321"/>
    <mergeCell ref="R320:Z320"/>
    <mergeCell ref="I287:J312"/>
    <mergeCell ref="K287:L312"/>
    <mergeCell ref="R287:S312"/>
    <mergeCell ref="T287:U312"/>
    <mergeCell ref="A383:B383"/>
    <mergeCell ref="A418:B418"/>
    <mergeCell ref="A419:B419"/>
    <mergeCell ref="A432:B432"/>
    <mergeCell ref="V322:Z336"/>
    <mergeCell ref="M380:W380"/>
    <mergeCell ref="M381:W381"/>
    <mergeCell ref="M382:W382"/>
    <mergeCell ref="M383:W383"/>
    <mergeCell ref="M384:W384"/>
    <mergeCell ref="M385:W385"/>
    <mergeCell ref="A390:W392"/>
    <mergeCell ref="L415:X416"/>
    <mergeCell ref="A407:B407"/>
    <mergeCell ref="C407:J407"/>
    <mergeCell ref="A408:B408"/>
    <mergeCell ref="A430:B431"/>
    <mergeCell ref="C430:K431"/>
    <mergeCell ref="L430:X431"/>
    <mergeCell ref="A420:B420"/>
    <mergeCell ref="I322:J336"/>
    <mergeCell ref="K322:L336"/>
    <mergeCell ref="R322:S336"/>
    <mergeCell ref="T322:U336"/>
    <mergeCell ref="I339:J352"/>
    <mergeCell ref="K339:L352"/>
    <mergeCell ref="R339:S352"/>
    <mergeCell ref="T339:U352"/>
    <mergeCell ref="I150:J168"/>
    <mergeCell ref="K150:L168"/>
    <mergeCell ref="R150:S168"/>
    <mergeCell ref="T150:U168"/>
    <mergeCell ref="K169:L204"/>
    <mergeCell ref="R169:S204"/>
    <mergeCell ref="T169:U204"/>
    <mergeCell ref="I169:J204"/>
    <mergeCell ref="I208:J239"/>
    <mergeCell ref="K208:L239"/>
    <mergeCell ref="R208:S239"/>
    <mergeCell ref="T208:U239"/>
  </mergeCells>
  <printOptions horizontalCentered="1"/>
  <pageMargins left="0.27559055118110237" right="0.19685039370078741" top="0.39" bottom="0.27" header="0.48" footer="0.24"/>
  <pageSetup paperSize="9" orientation="portrait" horizontalDpi="0" verticalDpi="0" r:id="rId1"/>
  <drawing r:id="rId2"/>
  <legacyDrawing r:id="rId3"/>
  <controls>
    <mc:AlternateContent xmlns:mc="http://schemas.openxmlformats.org/markup-compatibility/2006">
      <mc:Choice Requires="x14">
        <control shapeId="35842" r:id="rId4" name="SpinButton1">
          <controlPr defaultSize="0" autoLine="0" linkedCell="RAPOT!AC2" r:id="rId5">
            <anchor moveWithCells="1">
              <from>
                <xdr:col>27</xdr:col>
                <xdr:colOff>590550</xdr:colOff>
                <xdr:row>3</xdr:row>
                <xdr:rowOff>123825</xdr:rowOff>
              </from>
              <to>
                <xdr:col>29</xdr:col>
                <xdr:colOff>295275</xdr:colOff>
                <xdr:row>6</xdr:row>
                <xdr:rowOff>9525</xdr:rowOff>
              </to>
            </anchor>
          </controlPr>
        </control>
      </mc:Choice>
      <mc:Fallback>
        <control shapeId="35842" r:id="rId4" name="SpinButton1"/>
      </mc:Fallback>
    </mc:AlternateContent>
  </control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Z248"/>
  <sheetViews>
    <sheetView showGridLines="0" workbookViewId="0">
      <pane xSplit="3" ySplit="7" topLeftCell="AF125" activePane="bottomRight" state="frozen"/>
      <selection pane="topRight" activeCell="D1" sqref="D1"/>
      <selection pane="bottomLeft" activeCell="A8" sqref="A8"/>
      <selection pane="bottomRight" activeCell="AQ218" sqref="AQ218:AS246"/>
    </sheetView>
  </sheetViews>
  <sheetFormatPr defaultRowHeight="15" x14ac:dyDescent="0.25"/>
  <cols>
    <col min="1" max="2" width="6.5703125" style="561" customWidth="1"/>
    <col min="3" max="3" width="37.85546875" customWidth="1"/>
    <col min="4" max="4" width="9" customWidth="1"/>
    <col min="5" max="6" width="5.140625" customWidth="1"/>
    <col min="7" max="7" width="5.28515625" customWidth="1"/>
    <col min="8" max="8" width="5.85546875" customWidth="1"/>
    <col min="9" max="9" width="9" customWidth="1"/>
    <col min="10" max="14" width="4.7109375" customWidth="1"/>
    <col min="15" max="15" width="5.5703125" customWidth="1"/>
    <col min="16" max="16" width="9" customWidth="1"/>
    <col min="17" max="17" width="5" customWidth="1"/>
    <col min="18" max="18" width="7.28515625" customWidth="1"/>
    <col min="19" max="19" width="4.7109375" customWidth="1"/>
    <col min="20" max="20" width="6.7109375" customWidth="1"/>
    <col min="21" max="23" width="4.7109375" customWidth="1"/>
    <col min="24" max="24" width="9" customWidth="1"/>
    <col min="25" max="25" width="5.140625" customWidth="1"/>
    <col min="26" max="26" width="5.7109375" customWidth="1"/>
    <col min="27" max="28" width="4.7109375" customWidth="1"/>
    <col min="29" max="29" width="9" customWidth="1"/>
    <col min="30" max="34" width="4.7109375" customWidth="1"/>
    <col min="35" max="35" width="9" customWidth="1"/>
    <col min="36" max="38" width="4.7109375" customWidth="1"/>
    <col min="39" max="39" width="6" customWidth="1"/>
    <col min="40" max="40" width="5.5703125" customWidth="1"/>
    <col min="41" max="41" width="4.7109375" customWidth="1"/>
    <col min="42" max="42" width="9" customWidth="1"/>
    <col min="43" max="45" width="6.7109375" customWidth="1"/>
    <col min="46" max="46" width="9" customWidth="1"/>
    <col min="47" max="48" width="6.7109375" customWidth="1"/>
    <col min="49" max="49" width="9" customWidth="1"/>
    <col min="50" max="52" width="6.7109375" customWidth="1"/>
  </cols>
  <sheetData>
    <row r="1" spans="1:52" x14ac:dyDescent="0.25">
      <c r="AB1" s="225"/>
      <c r="AC1" s="966"/>
      <c r="AD1" s="966"/>
      <c r="AE1" s="967"/>
      <c r="AF1" s="967"/>
      <c r="AG1" s="967"/>
      <c r="AH1" s="966"/>
      <c r="AI1" s="966"/>
      <c r="AJ1" s="225"/>
      <c r="AK1" s="225"/>
    </row>
    <row r="2" spans="1:52" x14ac:dyDescent="0.25">
      <c r="AB2" s="225"/>
      <c r="AC2" s="966"/>
      <c r="AD2" s="966"/>
      <c r="AE2" s="966"/>
      <c r="AF2" s="966"/>
      <c r="AG2" s="405"/>
      <c r="AH2" s="966"/>
      <c r="AI2" s="966"/>
      <c r="AJ2" s="225"/>
      <c r="AK2" s="225"/>
    </row>
    <row r="3" spans="1:52" ht="21" x14ac:dyDescent="0.25">
      <c r="A3" s="3098" t="s">
        <v>527</v>
      </c>
      <c r="B3" s="3099"/>
      <c r="C3" s="3100"/>
      <c r="AB3" s="225"/>
      <c r="AC3" s="225"/>
      <c r="AD3" s="225"/>
      <c r="AE3" s="225"/>
      <c r="AF3" s="225"/>
      <c r="AG3" s="225"/>
      <c r="AH3" s="225"/>
      <c r="AI3" s="225"/>
      <c r="AJ3" s="225"/>
      <c r="AK3" s="225"/>
    </row>
    <row r="4" spans="1:52" ht="21" x14ac:dyDescent="0.25">
      <c r="A4" s="625"/>
      <c r="B4" s="626">
        <v>1</v>
      </c>
      <c r="C4" s="626">
        <v>2</v>
      </c>
      <c r="D4" s="626">
        <v>3</v>
      </c>
      <c r="E4" s="626">
        <v>4</v>
      </c>
      <c r="F4" s="626">
        <v>5</v>
      </c>
      <c r="G4" s="626">
        <v>6</v>
      </c>
      <c r="H4" s="626">
        <v>7</v>
      </c>
      <c r="I4" s="626">
        <v>8</v>
      </c>
      <c r="J4" s="626">
        <v>9</v>
      </c>
      <c r="K4" s="626">
        <v>10</v>
      </c>
      <c r="L4" s="626">
        <v>11</v>
      </c>
      <c r="M4" s="626">
        <v>12</v>
      </c>
      <c r="N4" s="626">
        <v>13</v>
      </c>
      <c r="O4" s="626">
        <v>14</v>
      </c>
      <c r="P4" s="626">
        <v>15</v>
      </c>
      <c r="Q4" s="626">
        <v>16</v>
      </c>
      <c r="R4" s="626">
        <v>17</v>
      </c>
      <c r="S4" s="626">
        <v>18</v>
      </c>
      <c r="T4" s="626">
        <v>19</v>
      </c>
      <c r="U4" s="626">
        <v>20</v>
      </c>
      <c r="V4" s="626">
        <v>21</v>
      </c>
      <c r="W4" s="626">
        <v>22</v>
      </c>
      <c r="X4" s="626">
        <v>23</v>
      </c>
      <c r="Y4" s="1092">
        <v>24</v>
      </c>
      <c r="Z4" s="1092">
        <v>25</v>
      </c>
      <c r="AA4" s="1092">
        <v>26</v>
      </c>
      <c r="AB4" s="1092">
        <v>27</v>
      </c>
      <c r="AC4" s="626">
        <v>28</v>
      </c>
      <c r="AD4" s="1092">
        <v>29</v>
      </c>
      <c r="AE4" s="1092">
        <v>30</v>
      </c>
      <c r="AF4" s="1092">
        <v>31</v>
      </c>
      <c r="AG4" s="1092">
        <v>32</v>
      </c>
      <c r="AH4" s="1092">
        <v>33</v>
      </c>
      <c r="AI4" s="626">
        <v>34</v>
      </c>
      <c r="AJ4" s="626">
        <v>35</v>
      </c>
      <c r="AK4" s="626">
        <v>36</v>
      </c>
      <c r="AL4" s="626">
        <v>37</v>
      </c>
      <c r="AM4" s="626">
        <v>38</v>
      </c>
      <c r="AN4" s="626">
        <v>39</v>
      </c>
      <c r="AO4" s="626">
        <v>40</v>
      </c>
      <c r="AP4" s="626">
        <v>41</v>
      </c>
      <c r="AQ4" s="626">
        <v>42</v>
      </c>
      <c r="AR4" s="626">
        <v>43</v>
      </c>
      <c r="AS4" s="626">
        <v>44</v>
      </c>
      <c r="AT4" s="626">
        <v>45</v>
      </c>
      <c r="AU4" s="626">
        <v>46</v>
      </c>
      <c r="AV4" s="626">
        <v>47</v>
      </c>
      <c r="AW4" s="626">
        <v>48</v>
      </c>
      <c r="AX4" s="626">
        <v>49</v>
      </c>
      <c r="AY4" s="626">
        <v>50</v>
      </c>
      <c r="AZ4" s="626">
        <v>51</v>
      </c>
    </row>
    <row r="5" spans="1:52" x14ac:dyDescent="0.25">
      <c r="A5" s="598">
        <v>1</v>
      </c>
      <c r="B5" s="598">
        <v>2</v>
      </c>
      <c r="C5" s="598">
        <v>3</v>
      </c>
      <c r="D5" s="598">
        <v>4</v>
      </c>
      <c r="E5" s="598">
        <v>5</v>
      </c>
      <c r="F5" s="598">
        <v>6</v>
      </c>
      <c r="G5" s="598">
        <v>7</v>
      </c>
      <c r="H5" s="598">
        <v>8</v>
      </c>
      <c r="I5" s="598">
        <v>9</v>
      </c>
      <c r="J5" s="980">
        <v>10</v>
      </c>
      <c r="K5" s="980">
        <v>11</v>
      </c>
      <c r="L5" s="980">
        <v>12</v>
      </c>
      <c r="M5" s="980">
        <v>13</v>
      </c>
      <c r="N5" s="980">
        <v>14</v>
      </c>
      <c r="O5" s="598">
        <v>15</v>
      </c>
      <c r="P5" s="598">
        <v>16</v>
      </c>
      <c r="Q5" s="980">
        <v>17</v>
      </c>
      <c r="R5" s="980">
        <v>18</v>
      </c>
      <c r="S5" s="980">
        <v>19</v>
      </c>
      <c r="T5" s="980">
        <v>20</v>
      </c>
      <c r="U5" s="980">
        <v>21</v>
      </c>
      <c r="V5" s="980">
        <v>22</v>
      </c>
      <c r="W5" s="980">
        <v>23</v>
      </c>
      <c r="X5" s="598">
        <v>24</v>
      </c>
      <c r="Y5" s="598">
        <v>25</v>
      </c>
      <c r="Z5" s="598">
        <v>26</v>
      </c>
      <c r="AA5" s="598">
        <v>27</v>
      </c>
      <c r="AB5" s="598">
        <v>28</v>
      </c>
      <c r="AC5" s="598">
        <v>30</v>
      </c>
      <c r="AD5" s="598">
        <v>31</v>
      </c>
      <c r="AE5" s="598">
        <v>32</v>
      </c>
      <c r="AF5" s="598">
        <v>33</v>
      </c>
      <c r="AG5" s="598">
        <v>34</v>
      </c>
      <c r="AH5" s="598">
        <v>35</v>
      </c>
      <c r="AI5" s="598">
        <v>36</v>
      </c>
      <c r="AJ5" s="598">
        <v>37</v>
      </c>
      <c r="AK5" s="598">
        <v>38</v>
      </c>
      <c r="AL5" s="598">
        <v>39</v>
      </c>
      <c r="AM5" s="598">
        <v>40</v>
      </c>
      <c r="AN5" s="598">
        <v>41</v>
      </c>
      <c r="AO5" s="598">
        <v>42</v>
      </c>
      <c r="AP5" s="598">
        <v>43</v>
      </c>
      <c r="AQ5" s="598">
        <v>44</v>
      </c>
      <c r="AR5" s="598">
        <v>45</v>
      </c>
      <c r="AS5" s="598">
        <v>46</v>
      </c>
      <c r="AT5" s="598">
        <v>47</v>
      </c>
      <c r="AU5" s="598">
        <v>48</v>
      </c>
      <c r="AV5" s="598">
        <v>49</v>
      </c>
      <c r="AW5" s="598">
        <v>50</v>
      </c>
      <c r="AX5" s="598">
        <v>51</v>
      </c>
      <c r="AY5" s="598">
        <v>52</v>
      </c>
      <c r="AZ5" s="598">
        <v>53</v>
      </c>
    </row>
    <row r="6" spans="1:52" ht="18" customHeight="1" x14ac:dyDescent="0.25">
      <c r="A6" s="3094" t="s">
        <v>0</v>
      </c>
      <c r="B6" s="605"/>
      <c r="C6" s="2354" t="s">
        <v>1</v>
      </c>
      <c r="D6" s="2504" t="s">
        <v>213</v>
      </c>
      <c r="E6" s="3095" t="s">
        <v>191</v>
      </c>
      <c r="F6" s="3095"/>
      <c r="G6" s="3095"/>
      <c r="H6" s="3096" t="s">
        <v>160</v>
      </c>
      <c r="I6" s="2504" t="s">
        <v>213</v>
      </c>
      <c r="J6" s="3095" t="s">
        <v>201</v>
      </c>
      <c r="K6" s="3095"/>
      <c r="L6" s="3095"/>
      <c r="M6" s="3095"/>
      <c r="N6" s="3095"/>
      <c r="O6" s="3103"/>
      <c r="P6" s="2504" t="s">
        <v>213</v>
      </c>
      <c r="Q6" s="3093" t="s">
        <v>197</v>
      </c>
      <c r="R6" s="3093"/>
      <c r="S6" s="3093"/>
      <c r="T6" s="3093"/>
      <c r="U6" s="3093"/>
      <c r="V6" s="3093"/>
      <c r="W6" s="3093"/>
      <c r="X6" s="2504" t="s">
        <v>213</v>
      </c>
      <c r="Y6" s="3101" t="s">
        <v>198</v>
      </c>
      <c r="Z6" s="3102"/>
      <c r="AA6" s="3102"/>
      <c r="AB6" s="3102"/>
      <c r="AC6" s="2504" t="s">
        <v>213</v>
      </c>
      <c r="AD6" s="3093" t="s">
        <v>215</v>
      </c>
      <c r="AE6" s="3093"/>
      <c r="AF6" s="3093"/>
      <c r="AG6" s="3093"/>
      <c r="AH6" s="3093"/>
      <c r="AI6" s="2504" t="s">
        <v>213</v>
      </c>
      <c r="AJ6" s="3093" t="s">
        <v>72</v>
      </c>
      <c r="AK6" s="3093"/>
      <c r="AL6" s="3093"/>
      <c r="AM6" s="3093"/>
      <c r="AN6" s="3093"/>
      <c r="AO6" s="3093"/>
      <c r="AP6" s="2504" t="s">
        <v>213</v>
      </c>
      <c r="AQ6" s="3093" t="s">
        <v>216</v>
      </c>
      <c r="AR6" s="3093"/>
      <c r="AS6" s="3093"/>
      <c r="AT6" s="2504" t="s">
        <v>213</v>
      </c>
      <c r="AU6" s="3093" t="s">
        <v>594</v>
      </c>
      <c r="AV6" s="3093"/>
      <c r="AW6" s="2504" t="s">
        <v>213</v>
      </c>
      <c r="AX6" s="3093" t="s">
        <v>595</v>
      </c>
      <c r="AY6" s="3093"/>
      <c r="AZ6" s="3093"/>
    </row>
    <row r="7" spans="1:52" ht="18" customHeight="1" thickBot="1" x14ac:dyDescent="0.3">
      <c r="A7" s="3094"/>
      <c r="B7" s="605"/>
      <c r="C7" s="2354"/>
      <c r="D7" s="3092"/>
      <c r="E7" s="150" t="s">
        <v>12</v>
      </c>
      <c r="F7" s="150" t="s">
        <v>7</v>
      </c>
      <c r="G7" s="150" t="s">
        <v>10</v>
      </c>
      <c r="H7" s="3097"/>
      <c r="I7" s="3092"/>
      <c r="J7" s="214" t="s">
        <v>12</v>
      </c>
      <c r="K7" s="214" t="s">
        <v>7</v>
      </c>
      <c r="L7" s="214" t="s">
        <v>10</v>
      </c>
      <c r="M7" s="214" t="s">
        <v>8</v>
      </c>
      <c r="N7" s="214" t="s">
        <v>18</v>
      </c>
      <c r="O7" s="3104"/>
      <c r="P7" s="3092"/>
      <c r="Q7" s="1005" t="s">
        <v>10</v>
      </c>
      <c r="R7" s="1005" t="s">
        <v>20</v>
      </c>
      <c r="S7" s="1005" t="s">
        <v>19</v>
      </c>
      <c r="T7" s="1005" t="s">
        <v>181</v>
      </c>
      <c r="U7" s="1005" t="s">
        <v>182</v>
      </c>
      <c r="V7" s="1005" t="s">
        <v>566</v>
      </c>
      <c r="W7" s="1005" t="s">
        <v>567</v>
      </c>
      <c r="X7" s="3092"/>
      <c r="Y7" s="264" t="s">
        <v>12</v>
      </c>
      <c r="Z7" s="264" t="s">
        <v>7</v>
      </c>
      <c r="AA7" s="264" t="s">
        <v>10</v>
      </c>
      <c r="AB7" s="264" t="s">
        <v>8</v>
      </c>
      <c r="AC7" s="3092"/>
      <c r="AD7" s="563" t="s">
        <v>7</v>
      </c>
      <c r="AE7" s="563" t="s">
        <v>10</v>
      </c>
      <c r="AF7" s="563" t="s">
        <v>8</v>
      </c>
      <c r="AG7" s="563" t="s">
        <v>18</v>
      </c>
      <c r="AH7" s="563" t="s">
        <v>179</v>
      </c>
      <c r="AI7" s="3092"/>
      <c r="AJ7" s="970" t="s">
        <v>7</v>
      </c>
      <c r="AK7" s="891" t="s">
        <v>18</v>
      </c>
      <c r="AL7" s="891" t="s">
        <v>179</v>
      </c>
      <c r="AM7" s="891" t="s">
        <v>180</v>
      </c>
      <c r="AN7" s="891" t="s">
        <v>19</v>
      </c>
      <c r="AO7" s="891" t="s">
        <v>181</v>
      </c>
      <c r="AP7" s="3092"/>
      <c r="AQ7" s="998" t="s">
        <v>18</v>
      </c>
      <c r="AR7" s="998" t="s">
        <v>179</v>
      </c>
      <c r="AS7" s="998" t="s">
        <v>20</v>
      </c>
      <c r="AT7" s="3092"/>
      <c r="AU7" s="1006" t="s">
        <v>18</v>
      </c>
      <c r="AV7" s="1006" t="s">
        <v>20</v>
      </c>
      <c r="AW7" s="3092"/>
      <c r="AX7" s="1007" t="s">
        <v>10</v>
      </c>
      <c r="AY7" s="1007" t="s">
        <v>8</v>
      </c>
      <c r="AZ7" s="1007" t="s">
        <v>18</v>
      </c>
    </row>
    <row r="8" spans="1:52" ht="15" customHeight="1" x14ac:dyDescent="0.25">
      <c r="A8" s="599">
        <v>1</v>
      </c>
      <c r="B8" s="608"/>
      <c r="C8" s="292" t="str">
        <f>VLOOKUP(A8,data_siswa,4,FALSE)</f>
        <v>Achmad Zacky</v>
      </c>
      <c r="D8" s="316" t="s">
        <v>26</v>
      </c>
      <c r="E8" s="40"/>
      <c r="F8" s="1049">
        <f>VLOOKUP(A8,AN_PKN6_KI3,13,FALSE)</f>
        <v>84.615384615384613</v>
      </c>
      <c r="G8" s="1049"/>
      <c r="H8" s="324">
        <f>AVERAGE(E8:G8)</f>
        <v>84.615384615384613</v>
      </c>
      <c r="I8" s="316" t="s">
        <v>26</v>
      </c>
      <c r="J8" s="40"/>
      <c r="K8" s="40"/>
      <c r="L8" s="40"/>
      <c r="M8" s="606">
        <f>VLOOKUP(A8,AN_BI6,19,FALSE)</f>
        <v>83.333333333333329</v>
      </c>
      <c r="N8" s="1073">
        <f>VLOOKUP(A8,AN_BI6,19,FALSE)</f>
        <v>83.333333333333329</v>
      </c>
      <c r="O8" s="545">
        <f>AVERAGE(J8:N8)</f>
        <v>83.333333333333329</v>
      </c>
      <c r="P8" s="316" t="s">
        <v>26</v>
      </c>
      <c r="Q8" s="40"/>
      <c r="R8" s="628">
        <f>VLOOKUP(A8,AN_MAT6,16,FALSE)</f>
        <v>100</v>
      </c>
      <c r="S8" s="40"/>
      <c r="T8" s="628">
        <f>VLOOKUP(A8,AN_MAT6,16,FALSE)</f>
        <v>100</v>
      </c>
      <c r="U8" s="628"/>
      <c r="V8" s="40"/>
      <c r="W8" s="40"/>
      <c r="X8" s="316" t="s">
        <v>26</v>
      </c>
      <c r="Y8" s="325"/>
      <c r="Z8" s="325"/>
      <c r="AA8" s="325"/>
      <c r="AB8" s="325">
        <f>VLOOKUP(A8,AN_SBDP6,16,FALSE)</f>
        <v>66.666666666666671</v>
      </c>
      <c r="AC8" s="661" t="s">
        <v>156</v>
      </c>
      <c r="AD8" s="325">
        <f>VLOOKUP(A8,AN_SBDP6,16,FALSE)</f>
        <v>66.666666666666671</v>
      </c>
      <c r="AE8" s="325">
        <f>VLOOKUP(A8,AN_SBDP6,16,FALSE)</f>
        <v>66.666666666666671</v>
      </c>
      <c r="AF8" s="325"/>
      <c r="AG8" s="325"/>
      <c r="AH8" s="325">
        <f>VLOOKUP(A8,AN_SBDP6,16,FALSE)</f>
        <v>66.666666666666671</v>
      </c>
      <c r="AI8" s="661" t="s">
        <v>44</v>
      </c>
      <c r="AJ8" s="325"/>
      <c r="AK8" s="325"/>
      <c r="AL8" s="325">
        <f>VLOOKUP(A8,an_agm,51,FALSE)</f>
        <v>80</v>
      </c>
      <c r="AM8" s="325"/>
      <c r="AN8" s="325"/>
      <c r="AO8" s="325"/>
      <c r="AP8" s="315" t="s">
        <v>156</v>
      </c>
      <c r="AQ8" s="325">
        <f>VLOOKUP(A8,UHT_jawa,18,FALSE)</f>
        <v>67.5</v>
      </c>
      <c r="AR8" s="325"/>
      <c r="AS8" s="325"/>
      <c r="AT8" s="1122" t="s">
        <v>44</v>
      </c>
      <c r="AU8" s="325"/>
      <c r="AV8" s="325">
        <f>VLOOKUP(A8,AN_ipa6,16,FALSE)</f>
        <v>81.818181818181813</v>
      </c>
      <c r="AW8" s="1122" t="s">
        <v>44</v>
      </c>
      <c r="AX8" s="325"/>
      <c r="AY8" s="325"/>
      <c r="AZ8" s="325">
        <f>VLOOKUP(A8,AN_IPS6,16,FALSE)</f>
        <v>81.818181818181813</v>
      </c>
    </row>
    <row r="9" spans="1:52" ht="15" customHeight="1" x14ac:dyDescent="0.25">
      <c r="A9" s="599"/>
      <c r="B9" s="609"/>
      <c r="C9" s="71"/>
      <c r="D9" s="316" t="s">
        <v>50</v>
      </c>
      <c r="E9" s="40">
        <f>VLOOKUP(A8,AN_PKN7,12,FALSE)</f>
        <v>75</v>
      </c>
      <c r="F9" s="1056">
        <f>VLOOKUP(A8,AN_PKN7,12,FALSE)</f>
        <v>75</v>
      </c>
      <c r="G9" s="1056">
        <f>VLOOKUP(A8,AN_PKN7,12,FALSE)</f>
        <v>75</v>
      </c>
      <c r="H9" s="324">
        <f>AVERAGE(E9:G9)</f>
        <v>75</v>
      </c>
      <c r="I9" s="316" t="s">
        <v>50</v>
      </c>
      <c r="J9" s="40">
        <f>VLOOKUP(A8,AN_BI7,21,FALSE)</f>
        <v>91.666666666666671</v>
      </c>
      <c r="K9" s="1073">
        <f>VLOOKUP(A8,AN_BI7,21,FALSE)</f>
        <v>91.666666666666671</v>
      </c>
      <c r="L9" s="1073">
        <f>VLOOKUP(A8,AN_BI7,21,FALSE)</f>
        <v>91.666666666666671</v>
      </c>
      <c r="M9" s="1073">
        <f>VLOOKUP(A8,AN_BI7,21,FALSE)</f>
        <v>91.666666666666671</v>
      </c>
      <c r="N9" s="40"/>
      <c r="O9" s="545">
        <f t="shared" ref="O9:O11" si="0">AVERAGE(J9:N9)</f>
        <v>91.666666666666671</v>
      </c>
      <c r="P9" s="316" t="s">
        <v>50</v>
      </c>
      <c r="Q9" s="628"/>
      <c r="R9" s="628"/>
      <c r="S9" s="1073">
        <f>VLOOKUP(A8,AN_MAT7,16,FALSE)</f>
        <v>84.615384615384613</v>
      </c>
      <c r="T9" s="628">
        <f>VLOOKUP(A8,AN_MAT7,16,FALSE)</f>
        <v>84.615384615384613</v>
      </c>
      <c r="U9" s="628">
        <f>VLOOKUP(A8,AN_MAT7,16,FALSE)</f>
        <v>84.615384615384613</v>
      </c>
      <c r="V9" s="40">
        <f>VLOOKUP(A8,AN_MAT7,16,FALSE)</f>
        <v>84.615384615384613</v>
      </c>
      <c r="W9" s="40"/>
      <c r="X9" s="316" t="s">
        <v>50</v>
      </c>
      <c r="Y9" s="325">
        <f>VLOOKUP(A8,AN_SBDP7,16,FALSE)</f>
        <v>83.333333333333329</v>
      </c>
      <c r="Z9" s="325">
        <f>VLOOKUP(A8,AN_SBDP7,16,FALSE)</f>
        <v>83.333333333333329</v>
      </c>
      <c r="AA9" s="325"/>
      <c r="AB9" s="325">
        <f>VLOOKUP(A8,AN_SBDP7,16,FALSE)</f>
        <v>83.333333333333329</v>
      </c>
      <c r="AC9" s="661" t="s">
        <v>26</v>
      </c>
      <c r="AD9" s="325"/>
      <c r="AE9" s="325"/>
      <c r="AF9" s="325">
        <f>VLOOKUP(A8,AN_SBDP7,16,FALSE)</f>
        <v>83.333333333333329</v>
      </c>
      <c r="AG9" s="325">
        <f>VLOOKUP(A8,AN_SBDP7,16,FALSE)</f>
        <v>83.333333333333329</v>
      </c>
      <c r="AH9" s="325"/>
      <c r="AI9" s="661" t="s">
        <v>45</v>
      </c>
      <c r="AJ9" s="325">
        <f>VLOOKUP(A8,an_agm,49,FALSE)</f>
        <v>90</v>
      </c>
      <c r="AK9" s="325"/>
      <c r="AL9" s="325"/>
      <c r="AM9" s="325"/>
      <c r="AN9" s="325"/>
      <c r="AO9" s="325"/>
      <c r="AP9" s="315" t="s">
        <v>26</v>
      </c>
      <c r="AQ9" s="325"/>
      <c r="AR9" s="325">
        <f>VLOOKUP(A8,UHT_jawa,19,FALSE)</f>
        <v>71.5</v>
      </c>
      <c r="AS9" s="325"/>
      <c r="AT9" s="1122" t="s">
        <v>45</v>
      </c>
      <c r="AU9" s="325">
        <f>VLOOKUP(A8,AN_IPA7,16,FALSE)</f>
        <v>90.909090909090907</v>
      </c>
      <c r="AV9" s="325">
        <f>VLOOKUP(A8,AN_IPA7,16,FALSE)</f>
        <v>90.909090909090907</v>
      </c>
      <c r="AW9" s="1122" t="s">
        <v>45</v>
      </c>
      <c r="AX9" s="325">
        <f>VLOOKUP(A8,an_ips7,16,FALSE)</f>
        <v>90.909090909090907</v>
      </c>
      <c r="AY9" s="325">
        <f>VLOOKUP(A8,an_ips7,16,FALSE)</f>
        <v>90.909090909090907</v>
      </c>
      <c r="AZ9" s="325">
        <f>VLOOKUP(A8,an_ips7,16,FALSE)</f>
        <v>90.909090909090907</v>
      </c>
    </row>
    <row r="10" spans="1:52" x14ac:dyDescent="0.25">
      <c r="A10" s="599"/>
      <c r="B10" s="609"/>
      <c r="C10" s="71"/>
      <c r="D10" s="316" t="s">
        <v>51</v>
      </c>
      <c r="E10" s="1056"/>
      <c r="F10" s="40">
        <f>VLOOKUP(A8,AN_PKN8,17,FALSE)</f>
        <v>84.615384615384613</v>
      </c>
      <c r="G10" s="1056">
        <f>VLOOKUP(A8,AN_PKN8,17,FALSE)</f>
        <v>84.615384615384613</v>
      </c>
      <c r="H10" s="324">
        <f>AVERAGE(E10:G10)</f>
        <v>84.615384615384613</v>
      </c>
      <c r="I10" s="316" t="s">
        <v>51</v>
      </c>
      <c r="J10" s="40">
        <f>VLOOKUP(A8,AN_BI8,19,FALSE)</f>
        <v>83.333333333333329</v>
      </c>
      <c r="K10" s="40"/>
      <c r="L10" s="606"/>
      <c r="M10" s="40">
        <f>VLOOKUP(A8,AN_BI8,19,FALSE)</f>
        <v>83.333333333333329</v>
      </c>
      <c r="N10" s="40"/>
      <c r="O10" s="545">
        <f t="shared" si="0"/>
        <v>83.333333333333329</v>
      </c>
      <c r="P10" s="316" t="s">
        <v>51</v>
      </c>
      <c r="Q10" s="40">
        <f>VLOOKUP(A8,AN_MAT8,16,FALSE)</f>
        <v>71.428571428571431</v>
      </c>
      <c r="R10" s="1073">
        <f>VLOOKUP(A8,AN_MAT8,16,FALSE)</f>
        <v>71.428571428571431</v>
      </c>
      <c r="S10" s="40"/>
      <c r="T10" s="628"/>
      <c r="U10" s="40"/>
      <c r="V10" s="628"/>
      <c r="W10" s="628">
        <f>VLOOKUP(A8,AN_MAT8,16,FALSE)</f>
        <v>71.428571428571431</v>
      </c>
      <c r="X10" s="316" t="s">
        <v>51</v>
      </c>
      <c r="Y10" s="325"/>
      <c r="Z10" s="325">
        <f>VLOOKUP(A8,AN_SBDP8,16,FALSE)</f>
        <v>75</v>
      </c>
      <c r="AA10" s="325"/>
      <c r="AB10" s="325">
        <f>VLOOKUP(A8,AN_SBDP8,16,FALSE)</f>
        <v>75</v>
      </c>
      <c r="AC10" s="661" t="s">
        <v>50</v>
      </c>
      <c r="AD10" s="325"/>
      <c r="AE10" s="325"/>
      <c r="AF10" s="325">
        <f>VLOOKUP(A8,AN_SBDP8,16,FALSE)</f>
        <v>75</v>
      </c>
      <c r="AG10" s="325"/>
      <c r="AH10" s="325">
        <f>VLOOKUP(A8,AN_SBDP8,16,FALSE)</f>
        <v>75</v>
      </c>
      <c r="AI10" s="661" t="s">
        <v>46</v>
      </c>
      <c r="AJ10" s="325"/>
      <c r="AK10" s="325"/>
      <c r="AL10" s="325"/>
      <c r="AM10" s="325">
        <f>VLOOKUP(A8,an_agm,52,FALSE)</f>
        <v>100</v>
      </c>
      <c r="AN10" s="325">
        <f>VLOOKUP(A8,an_agm,53,FALSE)</f>
        <v>100</v>
      </c>
      <c r="AO10" s="325"/>
      <c r="AP10" s="315" t="s">
        <v>50</v>
      </c>
      <c r="AQ10" s="325"/>
      <c r="AR10" s="325"/>
      <c r="AS10" s="325">
        <f>VLOOKUP(A8,UHT_jawa,20,FALSE)</f>
        <v>68.5</v>
      </c>
      <c r="AT10" s="1122" t="s">
        <v>46</v>
      </c>
      <c r="AU10" s="325"/>
      <c r="AV10" s="325">
        <f>VLOOKUP(A8,AN_IPA7,16,FALSE)</f>
        <v>90.909090909090907</v>
      </c>
      <c r="AW10" s="1122" t="s">
        <v>46</v>
      </c>
      <c r="AX10" s="325">
        <f>VLOOKUP(A8,AN_ips8,16,FALSE)</f>
        <v>81.818181818181813</v>
      </c>
      <c r="AY10" s="325">
        <f>VLOOKUP(A8,AN_ips8,16,FALSE)</f>
        <v>81.818181818181813</v>
      </c>
      <c r="AZ10" s="325">
        <f>VLOOKUP(A8,AN_ips8,16,FALSE)</f>
        <v>81.818181818181813</v>
      </c>
    </row>
    <row r="11" spans="1:52" x14ac:dyDescent="0.25">
      <c r="A11" s="599"/>
      <c r="B11" s="609"/>
      <c r="C11" s="71"/>
      <c r="D11" s="316" t="s">
        <v>52</v>
      </c>
      <c r="E11" s="325">
        <f>VLOOKUP(A8,AN_PKN9,16,FALSE)</f>
        <v>91.666666666666671</v>
      </c>
      <c r="F11" s="325"/>
      <c r="G11" s="325"/>
      <c r="H11" s="324">
        <f>AVERAGE(E11:G11)</f>
        <v>91.666666666666671</v>
      </c>
      <c r="I11" s="316" t="s">
        <v>52</v>
      </c>
      <c r="J11" s="1073">
        <f>VLOOKUP(A8,AN_BI9,21,FALSE)</f>
        <v>83.333333333333329</v>
      </c>
      <c r="K11" s="1073">
        <f>VLOOKUP(A8,AN_BI9,21,FALSE)</f>
        <v>83.333333333333329</v>
      </c>
      <c r="L11" s="1073">
        <f>VLOOKUP(A8,AN_BI9,21,FALSE)</f>
        <v>83.333333333333329</v>
      </c>
      <c r="M11" s="1073">
        <f>VLOOKUP(A8,AN_BI9,21,FALSE)</f>
        <v>83.333333333333329</v>
      </c>
      <c r="N11" s="606"/>
      <c r="O11" s="545">
        <f t="shared" si="0"/>
        <v>83.333333333333329</v>
      </c>
      <c r="P11" s="316" t="s">
        <v>52</v>
      </c>
      <c r="Q11" s="40">
        <f>VLOOKUP(A8,AN_MAT9,16,FALSE)</f>
        <v>78.571428571428569</v>
      </c>
      <c r="R11" s="40">
        <f>VLOOKUP(A8,AN_MAT9,16,FALSE)</f>
        <v>78.571428571428569</v>
      </c>
      <c r="S11" s="628">
        <f>VLOOKUP(A8,AN_MAT9,16,FALSE)</f>
        <v>78.571428571428569</v>
      </c>
      <c r="T11" s="628">
        <f>VLOOKUP(A8,AN_MAT9,16,FALSE)</f>
        <v>78.571428571428569</v>
      </c>
      <c r="U11" s="40">
        <f>VLOOKUP(A8,AN_MAT9,16,FALSE)</f>
        <v>78.571428571428569</v>
      </c>
      <c r="V11" s="40">
        <f>VLOOKUP(A8,AN_MAT9,16,FALSE)</f>
        <v>78.571428571428569</v>
      </c>
      <c r="W11" s="628">
        <f>VLOOKUP(A8,AN_MAT9,16,FALSE)</f>
        <v>78.571428571428569</v>
      </c>
      <c r="X11" s="316" t="s">
        <v>52</v>
      </c>
      <c r="Y11" s="325"/>
      <c r="Z11" s="325">
        <f>VLOOKUP(A8,AN_SBDP9,16,FALSE)</f>
        <v>81.818181818181813</v>
      </c>
      <c r="AA11" s="325">
        <f>VLOOKUP(A8,AN_SBDP9,16,FALSE)</f>
        <v>81.818181818181813</v>
      </c>
      <c r="AB11" s="325"/>
      <c r="AC11" s="661" t="s">
        <v>51</v>
      </c>
      <c r="AD11" s="325"/>
      <c r="AE11" s="325">
        <f>VLOOKUP(A8,AN_SBDP9,16,FALSE)</f>
        <v>81.818181818181813</v>
      </c>
      <c r="AF11" s="325">
        <f>VLOOKUP(A8,AN_SBDP9,16,FALSE)</f>
        <v>81.818181818181813</v>
      </c>
      <c r="AG11" s="325"/>
      <c r="AH11" s="325"/>
      <c r="AI11" s="661" t="s">
        <v>47</v>
      </c>
      <c r="AJ11" s="325"/>
      <c r="AK11" s="325">
        <f>VLOOKUP(A8,an_agm,50,FALSE)</f>
        <v>90</v>
      </c>
      <c r="AL11" s="325"/>
      <c r="AM11" s="325"/>
      <c r="AN11" s="325"/>
      <c r="AO11" s="325"/>
      <c r="AP11" s="315" t="s">
        <v>51</v>
      </c>
      <c r="AQ11" s="325"/>
      <c r="AR11" s="325"/>
      <c r="AS11" s="325"/>
      <c r="AT11" s="1122" t="s">
        <v>47</v>
      </c>
      <c r="AU11" s="325"/>
      <c r="AV11" s="325">
        <f>VLOOKUP(A8,an_IPA9,16,FALSE)</f>
        <v>81.818181818181813</v>
      </c>
      <c r="AW11" s="1122" t="s">
        <v>47</v>
      </c>
      <c r="AX11" s="325">
        <f>VLOOKUP(A8,AN_IPS_9,16,FALSE)</f>
        <v>63.636363636363633</v>
      </c>
      <c r="AY11" s="325"/>
      <c r="AZ11" s="325">
        <f>VLOOKUP(A8,AN_IPS_9,16,FALSE)</f>
        <v>63.636363636363633</v>
      </c>
    </row>
    <row r="12" spans="1:52" x14ac:dyDescent="0.25">
      <c r="A12" s="599"/>
      <c r="B12" s="609"/>
      <c r="C12" s="71"/>
      <c r="D12" s="316"/>
      <c r="E12" s="40"/>
      <c r="F12" s="40"/>
      <c r="G12" s="40"/>
      <c r="H12" s="319"/>
      <c r="I12" s="316"/>
      <c r="J12" s="40"/>
      <c r="K12" s="40"/>
      <c r="L12" s="40"/>
      <c r="M12" s="40"/>
      <c r="N12" s="40"/>
      <c r="O12" s="322"/>
      <c r="P12" s="315"/>
      <c r="Q12" s="40"/>
      <c r="R12" s="40"/>
      <c r="S12" s="40"/>
      <c r="T12" s="40"/>
      <c r="U12" s="40"/>
      <c r="V12" s="40"/>
      <c r="W12" s="40"/>
      <c r="X12" s="315"/>
      <c r="Y12" s="325"/>
      <c r="Z12" s="325"/>
      <c r="AA12" s="325"/>
      <c r="AB12" s="325"/>
      <c r="AC12" s="661"/>
      <c r="AD12" s="659"/>
      <c r="AE12" s="659"/>
      <c r="AF12" s="659"/>
      <c r="AG12" s="659"/>
      <c r="AH12" s="659"/>
      <c r="AI12" s="661" t="s">
        <v>48</v>
      </c>
      <c r="AJ12" s="325"/>
      <c r="AK12" s="325"/>
      <c r="AL12" s="325"/>
      <c r="AM12" s="325"/>
      <c r="AN12" s="325"/>
      <c r="AO12" s="325">
        <f>VLOOKUP(A8,an_agm,54,FALSE)</f>
        <v>87.5</v>
      </c>
      <c r="AP12" s="315"/>
      <c r="AQ12" s="40"/>
      <c r="AR12" s="40"/>
      <c r="AS12" s="40"/>
      <c r="AT12" s="661"/>
      <c r="AU12" s="325"/>
      <c r="AV12" s="325"/>
      <c r="AW12" s="661"/>
      <c r="AX12" s="325"/>
      <c r="AY12" s="325"/>
      <c r="AZ12" s="325"/>
    </row>
    <row r="13" spans="1:52" x14ac:dyDescent="0.25">
      <c r="A13" s="603"/>
      <c r="B13" s="610">
        <v>1</v>
      </c>
      <c r="C13" s="72"/>
      <c r="D13" s="317" t="s">
        <v>214</v>
      </c>
      <c r="E13" s="318">
        <f>IFERROR(AVERAGE(E8:E12),"  ")</f>
        <v>83.333333333333343</v>
      </c>
      <c r="F13" s="318">
        <f t="shared" ref="F13:G13" si="1">IFERROR(AVERAGE(F8:F12),"  ")</f>
        <v>81.410256410256409</v>
      </c>
      <c r="G13" s="318">
        <f t="shared" si="1"/>
        <v>79.807692307692307</v>
      </c>
      <c r="H13" s="323"/>
      <c r="I13" s="317" t="s">
        <v>214</v>
      </c>
      <c r="J13" s="318">
        <f>IFERROR(AVERAGE(J8:J12),"  ")</f>
        <v>86.1111111111111</v>
      </c>
      <c r="K13" s="318">
        <f t="shared" ref="K13:N13" si="2">IFERROR(AVERAGE(K8:K12),"  ")</f>
        <v>87.5</v>
      </c>
      <c r="L13" s="318">
        <f t="shared" si="2"/>
        <v>87.5</v>
      </c>
      <c r="M13" s="318">
        <f t="shared" si="2"/>
        <v>85.416666666666657</v>
      </c>
      <c r="N13" s="318">
        <f t="shared" si="2"/>
        <v>83.333333333333329</v>
      </c>
      <c r="O13" s="597"/>
      <c r="P13" s="317" t="s">
        <v>214</v>
      </c>
      <c r="Q13" s="318">
        <f>IFERROR(AVERAGE(Q8:Q12),"  ")</f>
        <v>75</v>
      </c>
      <c r="R13" s="318">
        <f t="shared" ref="R13:Y13" si="3">IFERROR(AVERAGE(R8:R12),"  ")</f>
        <v>83.333333333333329</v>
      </c>
      <c r="S13" s="318">
        <f t="shared" si="3"/>
        <v>81.593406593406598</v>
      </c>
      <c r="T13" s="318">
        <f t="shared" si="3"/>
        <v>87.728937728937737</v>
      </c>
      <c r="U13" s="318">
        <f t="shared" si="3"/>
        <v>81.593406593406598</v>
      </c>
      <c r="V13" s="318">
        <f t="shared" si="3"/>
        <v>81.593406593406598</v>
      </c>
      <c r="W13" s="318">
        <f t="shared" si="3"/>
        <v>75</v>
      </c>
      <c r="X13" s="317" t="s">
        <v>214</v>
      </c>
      <c r="Y13" s="318">
        <f t="shared" si="3"/>
        <v>83.333333333333329</v>
      </c>
      <c r="Z13" s="318">
        <f t="shared" ref="Z13" si="4">IFERROR(AVERAGE(Z8:Z12),"  ")</f>
        <v>80.050505050505038</v>
      </c>
      <c r="AA13" s="318">
        <f t="shared" ref="AA13" si="5">IFERROR(AVERAGE(AA8:AA12),"  ")</f>
        <v>81.818181818181813</v>
      </c>
      <c r="AB13" s="318">
        <f t="shared" ref="AB13" si="6">IFERROR(AVERAGE(AB8:AB12),"  ")</f>
        <v>75</v>
      </c>
      <c r="AC13" s="317" t="s">
        <v>214</v>
      </c>
      <c r="AD13" s="318">
        <f t="shared" ref="AD13" si="7">IFERROR(AVERAGE(AD8:AD12),"  ")</f>
        <v>66.666666666666671</v>
      </c>
      <c r="AE13" s="318">
        <f t="shared" ref="AE13" si="8">IFERROR(AVERAGE(AE8:AE12),"  ")</f>
        <v>74.242424242424249</v>
      </c>
      <c r="AF13" s="318">
        <f t="shared" ref="AF13" si="9">IFERROR(AVERAGE(AF8:AF12),"  ")</f>
        <v>80.050505050505038</v>
      </c>
      <c r="AG13" s="318">
        <f t="shared" ref="AG13" si="10">IFERROR(AVERAGE(AG8:AG12),"  ")</f>
        <v>83.333333333333329</v>
      </c>
      <c r="AH13" s="318">
        <f t="shared" ref="AH13" si="11">IFERROR(AVERAGE(AH8:AH12),"  ")</f>
        <v>70.833333333333343</v>
      </c>
      <c r="AI13" s="317" t="s">
        <v>214</v>
      </c>
      <c r="AJ13" s="318">
        <f t="shared" ref="AJ13" si="12">IFERROR(AVERAGE(AJ8:AJ12),"  ")</f>
        <v>90</v>
      </c>
      <c r="AK13" s="318">
        <f t="shared" ref="AK13" si="13">IFERROR(AVERAGE(AK8:AK12),"  ")</f>
        <v>90</v>
      </c>
      <c r="AL13" s="318">
        <f t="shared" ref="AL13" si="14">IFERROR(AVERAGE(AL8:AL12),"  ")</f>
        <v>80</v>
      </c>
      <c r="AM13" s="318">
        <f t="shared" ref="AM13" si="15">IFERROR(AVERAGE(AM8:AM12),"  ")</f>
        <v>100</v>
      </c>
      <c r="AN13" s="318">
        <f t="shared" ref="AN13:AQ13" si="16">IFERROR(AVERAGE(AN8:AN12),"  ")</f>
        <v>100</v>
      </c>
      <c r="AO13" s="318">
        <f t="shared" si="16"/>
        <v>87.5</v>
      </c>
      <c r="AP13" s="317" t="s">
        <v>214</v>
      </c>
      <c r="AQ13" s="318">
        <f t="shared" si="16"/>
        <v>67.5</v>
      </c>
      <c r="AR13" s="318">
        <f t="shared" ref="AR13" si="17">IFERROR(AVERAGE(AR8:AR12),"  ")</f>
        <v>71.5</v>
      </c>
      <c r="AS13" s="318">
        <f t="shared" ref="AS13:AX13" si="18">IFERROR(AVERAGE(AS8:AS12),"  ")</f>
        <v>68.5</v>
      </c>
      <c r="AT13" s="317" t="s">
        <v>214</v>
      </c>
      <c r="AU13" s="318">
        <f t="shared" si="18"/>
        <v>90.909090909090907</v>
      </c>
      <c r="AV13" s="318">
        <f t="shared" si="18"/>
        <v>86.36363636363636</v>
      </c>
      <c r="AW13" s="317" t="s">
        <v>214</v>
      </c>
      <c r="AX13" s="318">
        <f t="shared" si="18"/>
        <v>78.787878787878782</v>
      </c>
      <c r="AY13" s="318">
        <f t="shared" ref="AY13" si="19">IFERROR(AVERAGE(AY8:AY12),"  ")</f>
        <v>86.36363636363636</v>
      </c>
      <c r="AZ13" s="318">
        <f t="shared" ref="AZ13" si="20">IFERROR(AVERAGE(AZ8:AZ12),"  ")</f>
        <v>79.545454545454547</v>
      </c>
    </row>
    <row r="14" spans="1:52" x14ac:dyDescent="0.25">
      <c r="A14" s="599">
        <v>2</v>
      </c>
      <c r="B14" s="608"/>
      <c r="C14" s="292" t="str">
        <f>VLOOKUP(A14,data_siswa,4,FALSE)</f>
        <v>Angelia Vabel R</v>
      </c>
      <c r="D14" s="316" t="s">
        <v>26</v>
      </c>
      <c r="E14" s="1112"/>
      <c r="F14" s="1112">
        <f>VLOOKUP(A14,AN_PKN6_KI3,13,FALSE)</f>
        <v>0</v>
      </c>
      <c r="G14" s="1112"/>
      <c r="H14" s="324">
        <f>AVERAGE(E14:G14)</f>
        <v>0</v>
      </c>
      <c r="I14" s="316" t="s">
        <v>26</v>
      </c>
      <c r="J14" s="1112"/>
      <c r="K14" s="1112"/>
      <c r="L14" s="1112"/>
      <c r="M14" s="1112">
        <f>VLOOKUP(A14,AN_BI6,19,FALSE)</f>
        <v>0</v>
      </c>
      <c r="N14" s="1112">
        <f>VLOOKUP(A14,AN_BI6,19,FALSE)</f>
        <v>0</v>
      </c>
      <c r="O14" s="545">
        <f>AVERAGE(J14:N14)</f>
        <v>0</v>
      </c>
      <c r="P14" s="316" t="s">
        <v>26</v>
      </c>
      <c r="Q14" s="1112"/>
      <c r="R14" s="1112">
        <f>VLOOKUP(A14,AN_MAT6,16,FALSE)</f>
        <v>0</v>
      </c>
      <c r="S14" s="1112"/>
      <c r="T14" s="1112">
        <f>VLOOKUP(A14,AN_MAT6,16,FALSE)</f>
        <v>0</v>
      </c>
      <c r="U14" s="1112"/>
      <c r="V14" s="1112"/>
      <c r="W14" s="1112"/>
      <c r="X14" s="316" t="s">
        <v>26</v>
      </c>
      <c r="Y14" s="325"/>
      <c r="Z14" s="325"/>
      <c r="AA14" s="325"/>
      <c r="AB14" s="325">
        <f>VLOOKUP(A14,AN_SBDP6,16,FALSE)</f>
        <v>0</v>
      </c>
      <c r="AC14" s="661" t="s">
        <v>156</v>
      </c>
      <c r="AD14" s="325">
        <f>VLOOKUP(A14,AN_SBDP6,16,FALSE)</f>
        <v>0</v>
      </c>
      <c r="AE14" s="325">
        <f>VLOOKUP(A14,AN_SBDP6,16,FALSE)</f>
        <v>0</v>
      </c>
      <c r="AF14" s="325"/>
      <c r="AG14" s="325"/>
      <c r="AH14" s="325">
        <f>VLOOKUP(A14,AN_SBDP6,16,FALSE)</f>
        <v>0</v>
      </c>
      <c r="AI14" s="661" t="s">
        <v>44</v>
      </c>
      <c r="AJ14" s="325"/>
      <c r="AK14" s="325"/>
      <c r="AL14" s="325">
        <f>VLOOKUP(A14,an_agm,51,FALSE)</f>
        <v>0</v>
      </c>
      <c r="AM14" s="325"/>
      <c r="AN14" s="325"/>
      <c r="AO14" s="325"/>
      <c r="AP14" s="315" t="s">
        <v>156</v>
      </c>
      <c r="AQ14" s="325">
        <f>VLOOKUP(A14,UHT_jawa,18,FALSE)</f>
        <v>0</v>
      </c>
      <c r="AR14" s="325"/>
      <c r="AS14" s="325"/>
      <c r="AT14" s="1122" t="s">
        <v>44</v>
      </c>
      <c r="AU14" s="325"/>
      <c r="AV14" s="325">
        <f>VLOOKUP(A14,AN_ipa6,16,FALSE)</f>
        <v>0</v>
      </c>
      <c r="AW14" s="1122" t="s">
        <v>44</v>
      </c>
      <c r="AX14" s="325"/>
      <c r="AY14" s="325"/>
      <c r="AZ14" s="325">
        <f>VLOOKUP(A14,AN_IPS6,16,FALSE)</f>
        <v>0</v>
      </c>
    </row>
    <row r="15" spans="1:52" x14ac:dyDescent="0.25">
      <c r="A15" s="599"/>
      <c r="B15" s="609"/>
      <c r="C15" s="71"/>
      <c r="D15" s="316" t="s">
        <v>50</v>
      </c>
      <c r="E15" s="1112">
        <f>VLOOKUP(A14,AN_PKN7,12,FALSE)</f>
        <v>0</v>
      </c>
      <c r="F15" s="1112">
        <f>VLOOKUP(A14,AN_PKN7,12,FALSE)</f>
        <v>0</v>
      </c>
      <c r="G15" s="1112">
        <f>VLOOKUP(A14,AN_PKN7,12,FALSE)</f>
        <v>0</v>
      </c>
      <c r="H15" s="324">
        <f>AVERAGE(E15:G15)</f>
        <v>0</v>
      </c>
      <c r="I15" s="316" t="s">
        <v>50</v>
      </c>
      <c r="J15" s="1112">
        <f>VLOOKUP(A14,AN_BI7,21,FALSE)</f>
        <v>0</v>
      </c>
      <c r="K15" s="1112">
        <f>VLOOKUP(A14,AN_BI7,21,FALSE)</f>
        <v>0</v>
      </c>
      <c r="L15" s="1112">
        <f>VLOOKUP(A14,AN_BI7,21,FALSE)</f>
        <v>0</v>
      </c>
      <c r="M15" s="1112">
        <f>VLOOKUP(A14,AN_BI7,21,FALSE)</f>
        <v>0</v>
      </c>
      <c r="N15" s="1112"/>
      <c r="O15" s="545">
        <f t="shared" ref="O15:O17" si="21">AVERAGE(J15:N15)</f>
        <v>0</v>
      </c>
      <c r="P15" s="316" t="s">
        <v>50</v>
      </c>
      <c r="Q15" s="1112"/>
      <c r="R15" s="1112"/>
      <c r="S15" s="1112">
        <f>VLOOKUP(A14,AN_MAT7,16,FALSE)</f>
        <v>0</v>
      </c>
      <c r="T15" s="1112">
        <f>VLOOKUP(A14,AN_MAT7,16,FALSE)</f>
        <v>0</v>
      </c>
      <c r="U15" s="1112">
        <f>VLOOKUP(A14,AN_MAT7,16,FALSE)</f>
        <v>0</v>
      </c>
      <c r="V15" s="1112">
        <f>VLOOKUP(A14,AN_MAT7,16,FALSE)</f>
        <v>0</v>
      </c>
      <c r="W15" s="1112"/>
      <c r="X15" s="316" t="s">
        <v>50</v>
      </c>
      <c r="Y15" s="325">
        <f>VLOOKUP(A14,AN_SBDP7,16,FALSE)</f>
        <v>0</v>
      </c>
      <c r="Z15" s="325">
        <f>VLOOKUP(A14,AN_SBDP7,16,FALSE)</f>
        <v>0</v>
      </c>
      <c r="AA15" s="325"/>
      <c r="AB15" s="325">
        <f>VLOOKUP(A14,AN_SBDP7,16,FALSE)</f>
        <v>0</v>
      </c>
      <c r="AC15" s="661" t="s">
        <v>26</v>
      </c>
      <c r="AD15" s="325"/>
      <c r="AE15" s="325"/>
      <c r="AF15" s="325">
        <f>VLOOKUP(A14,AN_SBDP7,16,FALSE)</f>
        <v>0</v>
      </c>
      <c r="AG15" s="325">
        <f>VLOOKUP(A14,AN_SBDP7,16,FALSE)</f>
        <v>0</v>
      </c>
      <c r="AH15" s="325"/>
      <c r="AI15" s="661" t="s">
        <v>45</v>
      </c>
      <c r="AJ15" s="325">
        <f>VLOOKUP(A14,an_agm,49,FALSE)</f>
        <v>0</v>
      </c>
      <c r="AK15" s="325"/>
      <c r="AL15" s="325"/>
      <c r="AM15" s="325"/>
      <c r="AN15" s="325"/>
      <c r="AO15" s="325"/>
      <c r="AP15" s="315" t="s">
        <v>26</v>
      </c>
      <c r="AQ15" s="325"/>
      <c r="AR15" s="325">
        <f>VLOOKUP(A14,UHT_jawa,19,FALSE)</f>
        <v>0</v>
      </c>
      <c r="AS15" s="325"/>
      <c r="AT15" s="1122" t="s">
        <v>45</v>
      </c>
      <c r="AU15" s="325">
        <f>VLOOKUP(A14,AN_IPA7,16,FALSE)</f>
        <v>0</v>
      </c>
      <c r="AV15" s="325">
        <f>VLOOKUP(A14,AN_IPA7,16,FALSE)</f>
        <v>0</v>
      </c>
      <c r="AW15" s="1122" t="s">
        <v>45</v>
      </c>
      <c r="AX15" s="325">
        <f>VLOOKUP(A14,an_ips7,16,FALSE)</f>
        <v>0</v>
      </c>
      <c r="AY15" s="325">
        <f>VLOOKUP(A14,an_ips7,16,FALSE)</f>
        <v>0</v>
      </c>
      <c r="AZ15" s="325">
        <f>VLOOKUP(A14,an_ips7,16,FALSE)</f>
        <v>0</v>
      </c>
    </row>
    <row r="16" spans="1:52" x14ac:dyDescent="0.25">
      <c r="A16" s="599"/>
      <c r="B16" s="609"/>
      <c r="C16" s="71"/>
      <c r="D16" s="316" t="s">
        <v>51</v>
      </c>
      <c r="E16" s="1112"/>
      <c r="F16" s="1112">
        <f>VLOOKUP(A14,AN_PKN8,17,FALSE)</f>
        <v>0</v>
      </c>
      <c r="G16" s="1112">
        <f>VLOOKUP(A14,AN_PKN8,17,FALSE)</f>
        <v>0</v>
      </c>
      <c r="H16" s="324">
        <f>AVERAGE(E16:G16)</f>
        <v>0</v>
      </c>
      <c r="I16" s="316" t="s">
        <v>51</v>
      </c>
      <c r="J16" s="1112">
        <f>VLOOKUP(A14,AN_BI8,19,FALSE)</f>
        <v>0</v>
      </c>
      <c r="K16" s="1112"/>
      <c r="L16" s="1112"/>
      <c r="M16" s="1112">
        <f>VLOOKUP(A14,AN_BI8,19,FALSE)</f>
        <v>0</v>
      </c>
      <c r="N16" s="1112"/>
      <c r="O16" s="545">
        <f t="shared" si="21"/>
        <v>0</v>
      </c>
      <c r="P16" s="316" t="s">
        <v>51</v>
      </c>
      <c r="Q16" s="1112">
        <f>VLOOKUP(A14,AN_MAT8,16,FALSE)</f>
        <v>0</v>
      </c>
      <c r="R16" s="1112">
        <f>VLOOKUP(A14,AN_MAT8,16,FALSE)</f>
        <v>0</v>
      </c>
      <c r="S16" s="1112"/>
      <c r="T16" s="1112"/>
      <c r="U16" s="1112"/>
      <c r="V16" s="1112"/>
      <c r="W16" s="1112">
        <f>VLOOKUP(A14,AN_MAT8,16,FALSE)</f>
        <v>0</v>
      </c>
      <c r="X16" s="316" t="s">
        <v>51</v>
      </c>
      <c r="Y16" s="325"/>
      <c r="Z16" s="325">
        <f>VLOOKUP(A14,AN_SBDP8,16,FALSE)</f>
        <v>0</v>
      </c>
      <c r="AA16" s="325"/>
      <c r="AB16" s="325">
        <f>VLOOKUP(A14,AN_SBDP8,16,FALSE)</f>
        <v>0</v>
      </c>
      <c r="AC16" s="661" t="s">
        <v>50</v>
      </c>
      <c r="AD16" s="325"/>
      <c r="AE16" s="325"/>
      <c r="AF16" s="325">
        <f>VLOOKUP(A14,AN_SBDP8,16,FALSE)</f>
        <v>0</v>
      </c>
      <c r="AG16" s="325"/>
      <c r="AH16" s="325">
        <f>VLOOKUP(A14,AN_SBDP8,16,FALSE)</f>
        <v>0</v>
      </c>
      <c r="AI16" s="661" t="s">
        <v>46</v>
      </c>
      <c r="AJ16" s="325"/>
      <c r="AK16" s="325"/>
      <c r="AL16" s="325"/>
      <c r="AM16" s="325">
        <f>VLOOKUP(A14,an_agm,52,FALSE)</f>
        <v>0</v>
      </c>
      <c r="AN16" s="325">
        <f>VLOOKUP(A14,an_agm,53,FALSE)</f>
        <v>0</v>
      </c>
      <c r="AO16" s="325"/>
      <c r="AP16" s="315" t="s">
        <v>50</v>
      </c>
      <c r="AQ16" s="325"/>
      <c r="AR16" s="325"/>
      <c r="AS16" s="325">
        <f>VLOOKUP(A14,UHT_jawa,20,FALSE)</f>
        <v>0</v>
      </c>
      <c r="AT16" s="1122" t="s">
        <v>46</v>
      </c>
      <c r="AU16" s="325"/>
      <c r="AV16" s="325">
        <f>VLOOKUP(A14,AN_IPA7,16,FALSE)</f>
        <v>0</v>
      </c>
      <c r="AW16" s="1122" t="s">
        <v>46</v>
      </c>
      <c r="AX16" s="325">
        <f>VLOOKUP(A14,AN_ips8,16,FALSE)</f>
        <v>0</v>
      </c>
      <c r="AY16" s="325">
        <f>VLOOKUP(A14,AN_ips8,16,FALSE)</f>
        <v>0</v>
      </c>
      <c r="AZ16" s="325">
        <f>VLOOKUP(A14,AN_ips8,16,FALSE)</f>
        <v>0</v>
      </c>
    </row>
    <row r="17" spans="1:52" x14ac:dyDescent="0.25">
      <c r="A17" s="599"/>
      <c r="B17" s="609"/>
      <c r="C17" s="71"/>
      <c r="D17" s="316" t="s">
        <v>52</v>
      </c>
      <c r="E17" s="325">
        <f>VLOOKUP(A14,AN_PKN9,16,FALSE)</f>
        <v>0</v>
      </c>
      <c r="F17" s="325"/>
      <c r="G17" s="325"/>
      <c r="H17" s="324">
        <f>AVERAGE(E17:G17)</f>
        <v>0</v>
      </c>
      <c r="I17" s="316" t="s">
        <v>52</v>
      </c>
      <c r="J17" s="1112">
        <f>VLOOKUP(A14,AN_BI9,21,FALSE)</f>
        <v>0</v>
      </c>
      <c r="K17" s="1112">
        <f>VLOOKUP(A14,AN_BI9,21,FALSE)</f>
        <v>0</v>
      </c>
      <c r="L17" s="1112">
        <f>VLOOKUP(A14,AN_BI9,21,FALSE)</f>
        <v>0</v>
      </c>
      <c r="M17" s="1112">
        <f>VLOOKUP(A14,AN_BI9,21,FALSE)</f>
        <v>0</v>
      </c>
      <c r="N17" s="1112"/>
      <c r="O17" s="545">
        <f t="shared" si="21"/>
        <v>0</v>
      </c>
      <c r="P17" s="316" t="s">
        <v>52</v>
      </c>
      <c r="Q17" s="1112">
        <f>VLOOKUP(A14,AN_MAT9,16,FALSE)</f>
        <v>0</v>
      </c>
      <c r="R17" s="1112">
        <f>VLOOKUP(A14,AN_MAT9,16,FALSE)</f>
        <v>0</v>
      </c>
      <c r="S17" s="1112">
        <f>VLOOKUP(A14,AN_MAT9,16,FALSE)</f>
        <v>0</v>
      </c>
      <c r="T17" s="1112">
        <f>VLOOKUP(A14,AN_MAT9,16,FALSE)</f>
        <v>0</v>
      </c>
      <c r="U17" s="1112">
        <f>VLOOKUP(A14,AN_MAT9,16,FALSE)</f>
        <v>0</v>
      </c>
      <c r="V17" s="1112">
        <f>VLOOKUP(A14,AN_MAT9,16,FALSE)</f>
        <v>0</v>
      </c>
      <c r="W17" s="1112">
        <f>VLOOKUP(A14,AN_MAT9,16,FALSE)</f>
        <v>0</v>
      </c>
      <c r="X17" s="316" t="s">
        <v>52</v>
      </c>
      <c r="Y17" s="325"/>
      <c r="Z17" s="325">
        <f>VLOOKUP(A14,AN_SBDP9,16,FALSE)</f>
        <v>0</v>
      </c>
      <c r="AA17" s="325">
        <f>VLOOKUP(A14,AN_SBDP9,16,FALSE)</f>
        <v>0</v>
      </c>
      <c r="AB17" s="325"/>
      <c r="AC17" s="661" t="s">
        <v>51</v>
      </c>
      <c r="AD17" s="325"/>
      <c r="AE17" s="325">
        <f>VLOOKUP(A14,AN_SBDP9,16,FALSE)</f>
        <v>0</v>
      </c>
      <c r="AF17" s="325">
        <f>VLOOKUP(A14,AN_SBDP9,16,FALSE)</f>
        <v>0</v>
      </c>
      <c r="AG17" s="325"/>
      <c r="AH17" s="325"/>
      <c r="AI17" s="661" t="s">
        <v>47</v>
      </c>
      <c r="AJ17" s="325"/>
      <c r="AK17" s="325">
        <f>VLOOKUP(A14,an_agm,50,FALSE)</f>
        <v>0</v>
      </c>
      <c r="AL17" s="325"/>
      <c r="AM17" s="325"/>
      <c r="AN17" s="325"/>
      <c r="AO17" s="325"/>
      <c r="AP17" s="315" t="s">
        <v>51</v>
      </c>
      <c r="AQ17" s="325"/>
      <c r="AR17" s="325"/>
      <c r="AS17" s="325"/>
      <c r="AT17" s="1122" t="s">
        <v>47</v>
      </c>
      <c r="AU17" s="325"/>
      <c r="AV17" s="325">
        <f>VLOOKUP(A14,an_IPA9,16,FALSE)</f>
        <v>0</v>
      </c>
      <c r="AW17" s="1122" t="s">
        <v>47</v>
      </c>
      <c r="AX17" s="325">
        <f>VLOOKUP(A14,AN_IPS_9,16,FALSE)</f>
        <v>0</v>
      </c>
      <c r="AY17" s="325"/>
      <c r="AZ17" s="325">
        <f>VLOOKUP(A14,AN_IPS_9,16,FALSE)</f>
        <v>0</v>
      </c>
    </row>
    <row r="18" spans="1:52" x14ac:dyDescent="0.25">
      <c r="A18" s="599"/>
      <c r="B18" s="609"/>
      <c r="C18" s="71"/>
      <c r="D18" s="316"/>
      <c r="E18" s="1112"/>
      <c r="F18" s="1112"/>
      <c r="G18" s="1112"/>
      <c r="H18" s="1074"/>
      <c r="I18" s="316"/>
      <c r="J18" s="1112"/>
      <c r="K18" s="1112"/>
      <c r="L18" s="1112"/>
      <c r="M18" s="1112"/>
      <c r="N18" s="1112"/>
      <c r="O18" s="1074"/>
      <c r="P18" s="315"/>
      <c r="Q18" s="1112"/>
      <c r="R18" s="1112"/>
      <c r="S18" s="1112"/>
      <c r="T18" s="1112"/>
      <c r="U18" s="1112"/>
      <c r="V18" s="1112"/>
      <c r="W18" s="1112"/>
      <c r="X18" s="315"/>
      <c r="Y18" s="325"/>
      <c r="Z18" s="325"/>
      <c r="AA18" s="325"/>
      <c r="AB18" s="325"/>
      <c r="AC18" s="661"/>
      <c r="AD18" s="1112"/>
      <c r="AE18" s="1112"/>
      <c r="AF18" s="1112"/>
      <c r="AG18" s="1112"/>
      <c r="AH18" s="1112"/>
      <c r="AI18" s="661" t="s">
        <v>48</v>
      </c>
      <c r="AJ18" s="325"/>
      <c r="AK18" s="325"/>
      <c r="AL18" s="325"/>
      <c r="AM18" s="325"/>
      <c r="AN18" s="325"/>
      <c r="AO18" s="325">
        <f>VLOOKUP(A14,an_agm,54,FALSE)</f>
        <v>0</v>
      </c>
      <c r="AP18" s="315"/>
      <c r="AQ18" s="1136"/>
      <c r="AR18" s="1136"/>
      <c r="AS18" s="1136"/>
      <c r="AT18" s="661"/>
      <c r="AU18" s="325"/>
      <c r="AV18" s="325"/>
      <c r="AW18" s="661"/>
      <c r="AX18" s="325"/>
      <c r="AY18" s="325"/>
      <c r="AZ18" s="325"/>
    </row>
    <row r="19" spans="1:52" x14ac:dyDescent="0.25">
      <c r="A19" s="604"/>
      <c r="B19" s="611">
        <v>2</v>
      </c>
      <c r="C19" s="72"/>
      <c r="D19" s="317" t="s">
        <v>214</v>
      </c>
      <c r="E19" s="318">
        <f>IFERROR(AVERAGE(E14:E18),"  ")</f>
        <v>0</v>
      </c>
      <c r="F19" s="318">
        <f t="shared" ref="F19:G19" si="22">IFERROR(AVERAGE(F14:F18),"  ")</f>
        <v>0</v>
      </c>
      <c r="G19" s="318">
        <f t="shared" si="22"/>
        <v>0</v>
      </c>
      <c r="H19" s="323"/>
      <c r="I19" s="317" t="s">
        <v>214</v>
      </c>
      <c r="J19" s="318">
        <f>IFERROR(AVERAGE(J14:J18),"  ")</f>
        <v>0</v>
      </c>
      <c r="K19" s="318">
        <f t="shared" ref="K19:N19" si="23">IFERROR(AVERAGE(K14:K18),"  ")</f>
        <v>0</v>
      </c>
      <c r="L19" s="318">
        <f t="shared" si="23"/>
        <v>0</v>
      </c>
      <c r="M19" s="318">
        <f t="shared" si="23"/>
        <v>0</v>
      </c>
      <c r="N19" s="318">
        <f t="shared" si="23"/>
        <v>0</v>
      </c>
      <c r="O19" s="597"/>
      <c r="P19" s="317" t="s">
        <v>214</v>
      </c>
      <c r="Q19" s="318">
        <f>IFERROR(AVERAGE(Q14:Q18),"  ")</f>
        <v>0</v>
      </c>
      <c r="R19" s="318">
        <f t="shared" ref="R19:W19" si="24">IFERROR(AVERAGE(R14:R18),"  ")</f>
        <v>0</v>
      </c>
      <c r="S19" s="318">
        <f t="shared" si="24"/>
        <v>0</v>
      </c>
      <c r="T19" s="318">
        <f t="shared" si="24"/>
        <v>0</v>
      </c>
      <c r="U19" s="318">
        <f t="shared" si="24"/>
        <v>0</v>
      </c>
      <c r="V19" s="318">
        <f t="shared" si="24"/>
        <v>0</v>
      </c>
      <c r="W19" s="318">
        <f t="shared" si="24"/>
        <v>0</v>
      </c>
      <c r="X19" s="317" t="s">
        <v>214</v>
      </c>
      <c r="Y19" s="318">
        <f t="shared" ref="Y19:AB19" si="25">IFERROR(AVERAGE(Y14:Y18),"  ")</f>
        <v>0</v>
      </c>
      <c r="Z19" s="318">
        <f t="shared" si="25"/>
        <v>0</v>
      </c>
      <c r="AA19" s="318">
        <f t="shared" si="25"/>
        <v>0</v>
      </c>
      <c r="AB19" s="318">
        <f t="shared" si="25"/>
        <v>0</v>
      </c>
      <c r="AC19" s="317" t="s">
        <v>214</v>
      </c>
      <c r="AD19" s="318">
        <f t="shared" ref="AD19:AH19" si="26">IFERROR(AVERAGE(AD14:AD18),"  ")</f>
        <v>0</v>
      </c>
      <c r="AE19" s="318">
        <f t="shared" si="26"/>
        <v>0</v>
      </c>
      <c r="AF19" s="318">
        <f t="shared" si="26"/>
        <v>0</v>
      </c>
      <c r="AG19" s="318">
        <f t="shared" si="26"/>
        <v>0</v>
      </c>
      <c r="AH19" s="318">
        <f t="shared" si="26"/>
        <v>0</v>
      </c>
      <c r="AI19" s="317" t="s">
        <v>214</v>
      </c>
      <c r="AJ19" s="318">
        <f t="shared" ref="AJ19:AO19" si="27">IFERROR(AVERAGE(AJ14:AJ18),"  ")</f>
        <v>0</v>
      </c>
      <c r="AK19" s="318">
        <f t="shared" si="27"/>
        <v>0</v>
      </c>
      <c r="AL19" s="318">
        <f t="shared" si="27"/>
        <v>0</v>
      </c>
      <c r="AM19" s="318">
        <f t="shared" si="27"/>
        <v>0</v>
      </c>
      <c r="AN19" s="318">
        <f t="shared" si="27"/>
        <v>0</v>
      </c>
      <c r="AO19" s="318">
        <f t="shared" si="27"/>
        <v>0</v>
      </c>
      <c r="AP19" s="317" t="s">
        <v>214</v>
      </c>
      <c r="AQ19" s="318">
        <f t="shared" ref="AQ19:AS19" si="28">IFERROR(AVERAGE(AQ14:AQ18),"  ")</f>
        <v>0</v>
      </c>
      <c r="AR19" s="318">
        <f t="shared" si="28"/>
        <v>0</v>
      </c>
      <c r="AS19" s="318">
        <f t="shared" si="28"/>
        <v>0</v>
      </c>
      <c r="AT19" s="317" t="s">
        <v>214</v>
      </c>
      <c r="AU19" s="318">
        <f t="shared" ref="AU19:AV19" si="29">IFERROR(AVERAGE(AU14:AU18),"  ")</f>
        <v>0</v>
      </c>
      <c r="AV19" s="318">
        <f t="shared" si="29"/>
        <v>0</v>
      </c>
      <c r="AW19" s="317" t="s">
        <v>214</v>
      </c>
      <c r="AX19" s="318">
        <f t="shared" ref="AX19:AZ19" si="30">IFERROR(AVERAGE(AX14:AX18),"  ")</f>
        <v>0</v>
      </c>
      <c r="AY19" s="318">
        <f t="shared" si="30"/>
        <v>0</v>
      </c>
      <c r="AZ19" s="318">
        <f t="shared" si="30"/>
        <v>0</v>
      </c>
    </row>
    <row r="20" spans="1:52" x14ac:dyDescent="0.25">
      <c r="A20" s="599">
        <v>3</v>
      </c>
      <c r="B20" s="608"/>
      <c r="C20" s="292" t="str">
        <f>VLOOKUP(A20,data_siswa,4,FALSE)</f>
        <v>Anggun Dwi P.I</v>
      </c>
      <c r="D20" s="316" t="s">
        <v>26</v>
      </c>
      <c r="E20" s="1112"/>
      <c r="F20" s="1112">
        <f>VLOOKUP(A20,AN_PKN6_KI3,13,FALSE)</f>
        <v>0</v>
      </c>
      <c r="G20" s="1112"/>
      <c r="H20" s="324">
        <f>AVERAGE(E20:G20)</f>
        <v>0</v>
      </c>
      <c r="I20" s="316" t="s">
        <v>26</v>
      </c>
      <c r="J20" s="1112"/>
      <c r="K20" s="1112"/>
      <c r="L20" s="1112"/>
      <c r="M20" s="1112">
        <f>VLOOKUP(A20,AN_BI6,19,FALSE)</f>
        <v>0</v>
      </c>
      <c r="N20" s="1112">
        <f>VLOOKUP(A20,AN_BI6,19,FALSE)</f>
        <v>0</v>
      </c>
      <c r="O20" s="545">
        <f>AVERAGE(J20:N20)</f>
        <v>0</v>
      </c>
      <c r="P20" s="316" t="s">
        <v>26</v>
      </c>
      <c r="Q20" s="1112"/>
      <c r="R20" s="1112">
        <f>VLOOKUP(A20,AN_MAT6,16,FALSE)</f>
        <v>0</v>
      </c>
      <c r="S20" s="1112"/>
      <c r="T20" s="1112">
        <f>VLOOKUP(A20,AN_MAT6,16,FALSE)</f>
        <v>0</v>
      </c>
      <c r="U20" s="1112"/>
      <c r="V20" s="1112"/>
      <c r="W20" s="1112"/>
      <c r="X20" s="316" t="s">
        <v>26</v>
      </c>
      <c r="Y20" s="325"/>
      <c r="Z20" s="325"/>
      <c r="AA20" s="325"/>
      <c r="AB20" s="325">
        <f>VLOOKUP(A20,AN_SBDP6,16,FALSE)</f>
        <v>0</v>
      </c>
      <c r="AC20" s="661" t="s">
        <v>156</v>
      </c>
      <c r="AD20" s="325">
        <f>VLOOKUP(A20,AN_SBDP6,16,FALSE)</f>
        <v>0</v>
      </c>
      <c r="AE20" s="325">
        <f>VLOOKUP(A20,AN_SBDP6,16,FALSE)</f>
        <v>0</v>
      </c>
      <c r="AF20" s="325"/>
      <c r="AG20" s="325"/>
      <c r="AH20" s="325">
        <f>VLOOKUP(A20,AN_SBDP6,16,FALSE)</f>
        <v>0</v>
      </c>
      <c r="AI20" s="661" t="s">
        <v>44</v>
      </c>
      <c r="AJ20" s="325"/>
      <c r="AK20" s="325"/>
      <c r="AL20" s="325">
        <f>VLOOKUP(A20,an_agm,51,FALSE)</f>
        <v>0</v>
      </c>
      <c r="AM20" s="325"/>
      <c r="AN20" s="325"/>
      <c r="AO20" s="325"/>
      <c r="AP20" s="315" t="s">
        <v>156</v>
      </c>
      <c r="AQ20" s="325">
        <f>VLOOKUP(A20,UHT_jawa,18,FALSE)</f>
        <v>0</v>
      </c>
      <c r="AR20" s="325"/>
      <c r="AS20" s="325"/>
      <c r="AT20" s="661" t="s">
        <v>44</v>
      </c>
      <c r="AU20" s="325"/>
      <c r="AV20" s="325">
        <f>VLOOKUP(A20,AN_ipa6,16,FALSE)</f>
        <v>0</v>
      </c>
      <c r="AW20" s="661" t="s">
        <v>44</v>
      </c>
      <c r="AX20" s="325"/>
      <c r="AY20" s="325"/>
      <c r="AZ20" s="325">
        <f>VLOOKUP(A20,AN_IPS6,16,FALSE)</f>
        <v>0</v>
      </c>
    </row>
    <row r="21" spans="1:52" x14ac:dyDescent="0.25">
      <c r="A21" s="599"/>
      <c r="B21" s="609"/>
      <c r="C21" s="71"/>
      <c r="D21" s="316" t="s">
        <v>50</v>
      </c>
      <c r="E21" s="1112">
        <f>VLOOKUP(A20,AN_PKN7,12,FALSE)</f>
        <v>0</v>
      </c>
      <c r="F21" s="1112">
        <f>VLOOKUP(A20,AN_PKN7,12,FALSE)</f>
        <v>0</v>
      </c>
      <c r="G21" s="1112">
        <f>VLOOKUP(A20,AN_PKN7,12,FALSE)</f>
        <v>0</v>
      </c>
      <c r="H21" s="324">
        <f>AVERAGE(E21:G21)</f>
        <v>0</v>
      </c>
      <c r="I21" s="316" t="s">
        <v>50</v>
      </c>
      <c r="J21" s="1112">
        <f>VLOOKUP(A20,AN_BI7,21,FALSE)</f>
        <v>0</v>
      </c>
      <c r="K21" s="1112">
        <f>VLOOKUP(A20,AN_BI7,21,FALSE)</f>
        <v>0</v>
      </c>
      <c r="L21" s="1112">
        <f>VLOOKUP(A20,AN_BI7,21,FALSE)</f>
        <v>0</v>
      </c>
      <c r="M21" s="1112">
        <f>VLOOKUP(A20,AN_BI7,21,FALSE)</f>
        <v>0</v>
      </c>
      <c r="N21" s="1112"/>
      <c r="O21" s="545">
        <f t="shared" ref="O21:O23" si="31">AVERAGE(J21:N21)</f>
        <v>0</v>
      </c>
      <c r="P21" s="316" t="s">
        <v>50</v>
      </c>
      <c r="Q21" s="1112"/>
      <c r="R21" s="1112"/>
      <c r="S21" s="1112">
        <f>VLOOKUP(A20,AN_MAT7,16,FALSE)</f>
        <v>0</v>
      </c>
      <c r="T21" s="1112">
        <f>VLOOKUP(A20,AN_MAT7,16,FALSE)</f>
        <v>0</v>
      </c>
      <c r="U21" s="1112">
        <f>VLOOKUP(A20,AN_MAT7,16,FALSE)</f>
        <v>0</v>
      </c>
      <c r="V21" s="1112">
        <f>VLOOKUP(A20,AN_MAT7,16,FALSE)</f>
        <v>0</v>
      </c>
      <c r="W21" s="1112"/>
      <c r="X21" s="316" t="s">
        <v>50</v>
      </c>
      <c r="Y21" s="325">
        <f>VLOOKUP(A20,AN_SBDP7,16,FALSE)</f>
        <v>0</v>
      </c>
      <c r="Z21" s="325">
        <f>VLOOKUP(A20,AN_SBDP7,16,FALSE)</f>
        <v>0</v>
      </c>
      <c r="AA21" s="325"/>
      <c r="AB21" s="325">
        <f>VLOOKUP(A20,AN_SBDP7,16,FALSE)</f>
        <v>0</v>
      </c>
      <c r="AC21" s="661" t="s">
        <v>26</v>
      </c>
      <c r="AD21" s="325"/>
      <c r="AE21" s="325"/>
      <c r="AF21" s="325">
        <f>VLOOKUP(A20,AN_SBDP7,16,FALSE)</f>
        <v>0</v>
      </c>
      <c r="AG21" s="325">
        <f>VLOOKUP(A20,AN_SBDP7,16,FALSE)</f>
        <v>0</v>
      </c>
      <c r="AH21" s="325"/>
      <c r="AI21" s="661" t="s">
        <v>45</v>
      </c>
      <c r="AJ21" s="325">
        <f>VLOOKUP(A20,an_agm,49,FALSE)</f>
        <v>0</v>
      </c>
      <c r="AK21" s="325"/>
      <c r="AL21" s="325"/>
      <c r="AM21" s="325"/>
      <c r="AN21" s="325"/>
      <c r="AO21" s="325"/>
      <c r="AP21" s="315" t="s">
        <v>26</v>
      </c>
      <c r="AQ21" s="325"/>
      <c r="AR21" s="325">
        <f>VLOOKUP(A20,UHT_jawa,19,FALSE)</f>
        <v>0</v>
      </c>
      <c r="AS21" s="325"/>
      <c r="AT21" s="661" t="s">
        <v>45</v>
      </c>
      <c r="AU21" s="325">
        <f>VLOOKUP(A20,AN_IPA7,16,FALSE)</f>
        <v>0</v>
      </c>
      <c r="AV21" s="325">
        <f>VLOOKUP(A20,AN_IPA7,16,FALSE)</f>
        <v>0</v>
      </c>
      <c r="AW21" s="661" t="s">
        <v>45</v>
      </c>
      <c r="AX21" s="325">
        <f>VLOOKUP(A20,an_ips7,16,FALSE)</f>
        <v>0</v>
      </c>
      <c r="AY21" s="325">
        <f>VLOOKUP(A20,an_ips7,16,FALSE)</f>
        <v>0</v>
      </c>
      <c r="AZ21" s="325">
        <f>VLOOKUP(A20,an_ips7,16,FALSE)</f>
        <v>0</v>
      </c>
    </row>
    <row r="22" spans="1:52" x14ac:dyDescent="0.25">
      <c r="A22" s="599"/>
      <c r="B22" s="609"/>
      <c r="C22" s="71"/>
      <c r="D22" s="316" t="s">
        <v>51</v>
      </c>
      <c r="E22" s="1112"/>
      <c r="F22" s="1112">
        <f>VLOOKUP(A20,AN_PKN8,17,FALSE)</f>
        <v>0</v>
      </c>
      <c r="G22" s="1112">
        <f>VLOOKUP(A20,AN_PKN8,17,FALSE)</f>
        <v>0</v>
      </c>
      <c r="H22" s="324">
        <f>AVERAGE(E22:G22)</f>
        <v>0</v>
      </c>
      <c r="I22" s="316" t="s">
        <v>51</v>
      </c>
      <c r="J22" s="1112">
        <f>VLOOKUP(A20,AN_BI8,19,FALSE)</f>
        <v>0</v>
      </c>
      <c r="K22" s="1112"/>
      <c r="L22" s="1112"/>
      <c r="M22" s="1112">
        <f>VLOOKUP(A20,AN_BI8,19,FALSE)</f>
        <v>0</v>
      </c>
      <c r="N22" s="1112"/>
      <c r="O22" s="545">
        <f t="shared" si="31"/>
        <v>0</v>
      </c>
      <c r="P22" s="316" t="s">
        <v>51</v>
      </c>
      <c r="Q22" s="1112">
        <f>VLOOKUP(A20,AN_MAT8,16,FALSE)</f>
        <v>0</v>
      </c>
      <c r="R22" s="1112">
        <f>VLOOKUP(A20,AN_MAT8,16,FALSE)</f>
        <v>0</v>
      </c>
      <c r="S22" s="1112"/>
      <c r="T22" s="1112"/>
      <c r="U22" s="1112"/>
      <c r="V22" s="1112"/>
      <c r="W22" s="1112">
        <f>VLOOKUP(A20,AN_MAT8,16,FALSE)</f>
        <v>0</v>
      </c>
      <c r="X22" s="316" t="s">
        <v>51</v>
      </c>
      <c r="Y22" s="325"/>
      <c r="Z22" s="325">
        <f>VLOOKUP(A20,AN_SBDP8,16,FALSE)</f>
        <v>0</v>
      </c>
      <c r="AA22" s="325"/>
      <c r="AB22" s="325">
        <f>VLOOKUP(A20,AN_SBDP8,16,FALSE)</f>
        <v>0</v>
      </c>
      <c r="AC22" s="661" t="s">
        <v>50</v>
      </c>
      <c r="AD22" s="325"/>
      <c r="AE22" s="325"/>
      <c r="AF22" s="325">
        <f>VLOOKUP(A20,AN_SBDP8,16,FALSE)</f>
        <v>0</v>
      </c>
      <c r="AG22" s="325"/>
      <c r="AH22" s="325">
        <f>VLOOKUP(A20,AN_SBDP8,16,FALSE)</f>
        <v>0</v>
      </c>
      <c r="AI22" s="661" t="s">
        <v>46</v>
      </c>
      <c r="AJ22" s="325"/>
      <c r="AK22" s="325"/>
      <c r="AL22" s="325"/>
      <c r="AM22" s="325">
        <f>VLOOKUP(A20,an_agm,52,FALSE)</f>
        <v>0</v>
      </c>
      <c r="AN22" s="325">
        <f>VLOOKUP(A20,an_agm,53,FALSE)</f>
        <v>0</v>
      </c>
      <c r="AO22" s="325"/>
      <c r="AP22" s="315" t="s">
        <v>50</v>
      </c>
      <c r="AQ22" s="325"/>
      <c r="AR22" s="325"/>
      <c r="AS22" s="325">
        <f>VLOOKUP(A20,UHT_jawa,20,FALSE)</f>
        <v>0</v>
      </c>
      <c r="AT22" s="661" t="s">
        <v>46</v>
      </c>
      <c r="AU22" s="325"/>
      <c r="AV22" s="325">
        <f>VLOOKUP(A20,AN_IPA7,16,FALSE)</f>
        <v>0</v>
      </c>
      <c r="AW22" s="661" t="s">
        <v>46</v>
      </c>
      <c r="AX22" s="325">
        <f>VLOOKUP(A20,AN_ips8,16,FALSE)</f>
        <v>0</v>
      </c>
      <c r="AY22" s="325">
        <f>VLOOKUP(A20,AN_ips8,16,FALSE)</f>
        <v>0</v>
      </c>
      <c r="AZ22" s="325">
        <f>VLOOKUP(A20,AN_ips8,16,FALSE)</f>
        <v>0</v>
      </c>
    </row>
    <row r="23" spans="1:52" x14ac:dyDescent="0.25">
      <c r="A23" s="599"/>
      <c r="B23" s="609"/>
      <c r="C23" s="71"/>
      <c r="D23" s="316" t="s">
        <v>52</v>
      </c>
      <c r="E23" s="325">
        <f>VLOOKUP(A20,AN_PKN9,16,FALSE)</f>
        <v>0</v>
      </c>
      <c r="F23" s="325"/>
      <c r="G23" s="325"/>
      <c r="H23" s="324">
        <f>AVERAGE(E23:G23)</f>
        <v>0</v>
      </c>
      <c r="I23" s="316" t="s">
        <v>52</v>
      </c>
      <c r="J23" s="1112">
        <f>VLOOKUP(A20,AN_BI9,21,FALSE)</f>
        <v>0</v>
      </c>
      <c r="K23" s="1112">
        <f>VLOOKUP(A20,AN_BI9,21,FALSE)</f>
        <v>0</v>
      </c>
      <c r="L23" s="1112">
        <f>VLOOKUP(A20,AN_BI9,21,FALSE)</f>
        <v>0</v>
      </c>
      <c r="M23" s="1112">
        <f>VLOOKUP(A20,AN_BI9,21,FALSE)</f>
        <v>0</v>
      </c>
      <c r="N23" s="1112"/>
      <c r="O23" s="545">
        <f t="shared" si="31"/>
        <v>0</v>
      </c>
      <c r="P23" s="316" t="s">
        <v>52</v>
      </c>
      <c r="Q23" s="1112">
        <f>VLOOKUP(A20,AN_MAT9,16,FALSE)</f>
        <v>0</v>
      </c>
      <c r="R23" s="1112">
        <f>VLOOKUP(A20,AN_MAT9,16,FALSE)</f>
        <v>0</v>
      </c>
      <c r="S23" s="1112">
        <f>VLOOKUP(A20,AN_MAT9,16,FALSE)</f>
        <v>0</v>
      </c>
      <c r="T23" s="1112">
        <f>VLOOKUP(A20,AN_MAT9,16,FALSE)</f>
        <v>0</v>
      </c>
      <c r="U23" s="1112">
        <f>VLOOKUP(A20,AN_MAT9,16,FALSE)</f>
        <v>0</v>
      </c>
      <c r="V23" s="1112">
        <f>VLOOKUP(A20,AN_MAT9,16,FALSE)</f>
        <v>0</v>
      </c>
      <c r="W23" s="1112">
        <f>VLOOKUP(A20,AN_MAT9,16,FALSE)</f>
        <v>0</v>
      </c>
      <c r="X23" s="316" t="s">
        <v>52</v>
      </c>
      <c r="Y23" s="325"/>
      <c r="Z23" s="325">
        <f>VLOOKUP(A20,AN_SBDP9,16,FALSE)</f>
        <v>0</v>
      </c>
      <c r="AA23" s="325">
        <f>VLOOKUP(A20,AN_SBDP9,16,FALSE)</f>
        <v>0</v>
      </c>
      <c r="AB23" s="325"/>
      <c r="AC23" s="661" t="s">
        <v>51</v>
      </c>
      <c r="AD23" s="325"/>
      <c r="AE23" s="325">
        <f>VLOOKUP(A20,AN_SBDP9,16,FALSE)</f>
        <v>0</v>
      </c>
      <c r="AF23" s="325">
        <f>VLOOKUP(A20,AN_SBDP9,16,FALSE)</f>
        <v>0</v>
      </c>
      <c r="AG23" s="325"/>
      <c r="AH23" s="325"/>
      <c r="AI23" s="661" t="s">
        <v>47</v>
      </c>
      <c r="AJ23" s="325"/>
      <c r="AK23" s="325">
        <f>VLOOKUP(A20,an_agm,50,FALSE)</f>
        <v>0</v>
      </c>
      <c r="AL23" s="325"/>
      <c r="AM23" s="325"/>
      <c r="AN23" s="325"/>
      <c r="AO23" s="325"/>
      <c r="AP23" s="315" t="s">
        <v>51</v>
      </c>
      <c r="AQ23" s="325"/>
      <c r="AR23" s="325"/>
      <c r="AS23" s="325"/>
      <c r="AT23" s="661" t="s">
        <v>47</v>
      </c>
      <c r="AU23" s="325"/>
      <c r="AV23" s="325">
        <f>VLOOKUP(A20,an_IPA9,16,FALSE)</f>
        <v>0</v>
      </c>
      <c r="AW23" s="661" t="s">
        <v>47</v>
      </c>
      <c r="AX23" s="325">
        <f>VLOOKUP(A20,AN_IPS_9,16,FALSE)</f>
        <v>0</v>
      </c>
      <c r="AY23" s="325"/>
      <c r="AZ23" s="325">
        <f>VLOOKUP(A20,AN_IPS_9,16,FALSE)</f>
        <v>0</v>
      </c>
    </row>
    <row r="24" spans="1:52" x14ac:dyDescent="0.25">
      <c r="A24" s="599"/>
      <c r="B24" s="609"/>
      <c r="C24" s="71"/>
      <c r="D24" s="316"/>
      <c r="E24" s="1112"/>
      <c r="F24" s="1112"/>
      <c r="G24" s="1112"/>
      <c r="H24" s="1074"/>
      <c r="I24" s="316"/>
      <c r="J24" s="1112"/>
      <c r="K24" s="1112"/>
      <c r="L24" s="1112"/>
      <c r="M24" s="1112"/>
      <c r="N24" s="1112"/>
      <c r="O24" s="1074"/>
      <c r="P24" s="315"/>
      <c r="Q24" s="1112"/>
      <c r="R24" s="1112"/>
      <c r="S24" s="1112"/>
      <c r="T24" s="1112"/>
      <c r="U24" s="1112"/>
      <c r="V24" s="1112"/>
      <c r="W24" s="1112"/>
      <c r="X24" s="315"/>
      <c r="Y24" s="325"/>
      <c r="Z24" s="325"/>
      <c r="AA24" s="325"/>
      <c r="AB24" s="325"/>
      <c r="AC24" s="661"/>
      <c r="AD24" s="1112"/>
      <c r="AE24" s="1112"/>
      <c r="AF24" s="1112"/>
      <c r="AG24" s="1112"/>
      <c r="AH24" s="1112"/>
      <c r="AI24" s="661" t="s">
        <v>48</v>
      </c>
      <c r="AJ24" s="325"/>
      <c r="AK24" s="325"/>
      <c r="AL24" s="325"/>
      <c r="AM24" s="325"/>
      <c r="AN24" s="325"/>
      <c r="AO24" s="325">
        <f>VLOOKUP(A20,an_agm,54,FALSE)</f>
        <v>0</v>
      </c>
      <c r="AP24" s="315"/>
      <c r="AQ24" s="1136"/>
      <c r="AR24" s="1136"/>
      <c r="AS24" s="1136"/>
      <c r="AT24" s="661"/>
      <c r="AU24" s="325"/>
      <c r="AV24" s="325"/>
      <c r="AW24" s="661"/>
      <c r="AX24" s="325"/>
      <c r="AY24" s="325"/>
      <c r="AZ24" s="325"/>
    </row>
    <row r="25" spans="1:52" x14ac:dyDescent="0.25">
      <c r="A25" s="604"/>
      <c r="B25" s="611">
        <v>3</v>
      </c>
      <c r="C25" s="72"/>
      <c r="D25" s="317" t="s">
        <v>214</v>
      </c>
      <c r="E25" s="318">
        <f>IFERROR(AVERAGE(E20:E24),"  ")</f>
        <v>0</v>
      </c>
      <c r="F25" s="318">
        <f t="shared" ref="F25:G25" si="32">IFERROR(AVERAGE(F20:F24),"  ")</f>
        <v>0</v>
      </c>
      <c r="G25" s="318">
        <f t="shared" si="32"/>
        <v>0</v>
      </c>
      <c r="H25" s="323"/>
      <c r="I25" s="317" t="s">
        <v>214</v>
      </c>
      <c r="J25" s="318">
        <f>IFERROR(AVERAGE(J20:J24),"  ")</f>
        <v>0</v>
      </c>
      <c r="K25" s="318">
        <f t="shared" ref="K25:N25" si="33">IFERROR(AVERAGE(K20:K24),"  ")</f>
        <v>0</v>
      </c>
      <c r="L25" s="318">
        <f t="shared" si="33"/>
        <v>0</v>
      </c>
      <c r="M25" s="318">
        <f t="shared" si="33"/>
        <v>0</v>
      </c>
      <c r="N25" s="318">
        <f t="shared" si="33"/>
        <v>0</v>
      </c>
      <c r="O25" s="597"/>
      <c r="P25" s="317" t="s">
        <v>214</v>
      </c>
      <c r="Q25" s="318">
        <f>IFERROR(AVERAGE(Q20:Q24),"  ")</f>
        <v>0</v>
      </c>
      <c r="R25" s="318">
        <f t="shared" ref="R25:W25" si="34">IFERROR(AVERAGE(R20:R24),"  ")</f>
        <v>0</v>
      </c>
      <c r="S25" s="318">
        <f t="shared" si="34"/>
        <v>0</v>
      </c>
      <c r="T25" s="318">
        <f t="shared" si="34"/>
        <v>0</v>
      </c>
      <c r="U25" s="318">
        <f t="shared" si="34"/>
        <v>0</v>
      </c>
      <c r="V25" s="318">
        <f t="shared" si="34"/>
        <v>0</v>
      </c>
      <c r="W25" s="318">
        <f t="shared" si="34"/>
        <v>0</v>
      </c>
      <c r="X25" s="317" t="s">
        <v>214</v>
      </c>
      <c r="Y25" s="318">
        <f t="shared" ref="Y25:AB25" si="35">IFERROR(AVERAGE(Y20:Y24),"  ")</f>
        <v>0</v>
      </c>
      <c r="Z25" s="318">
        <f t="shared" si="35"/>
        <v>0</v>
      </c>
      <c r="AA25" s="318">
        <f t="shared" si="35"/>
        <v>0</v>
      </c>
      <c r="AB25" s="318">
        <f t="shared" si="35"/>
        <v>0</v>
      </c>
      <c r="AC25" s="317" t="s">
        <v>214</v>
      </c>
      <c r="AD25" s="318">
        <f t="shared" ref="AD25:AH25" si="36">IFERROR(AVERAGE(AD20:AD24),"  ")</f>
        <v>0</v>
      </c>
      <c r="AE25" s="318">
        <f t="shared" si="36"/>
        <v>0</v>
      </c>
      <c r="AF25" s="318">
        <f t="shared" si="36"/>
        <v>0</v>
      </c>
      <c r="AG25" s="318">
        <f t="shared" si="36"/>
        <v>0</v>
      </c>
      <c r="AH25" s="318">
        <f t="shared" si="36"/>
        <v>0</v>
      </c>
      <c r="AI25" s="317" t="s">
        <v>214</v>
      </c>
      <c r="AJ25" s="318">
        <f t="shared" ref="AJ25:AO25" si="37">IFERROR(AVERAGE(AJ20:AJ24),"  ")</f>
        <v>0</v>
      </c>
      <c r="AK25" s="318">
        <f t="shared" si="37"/>
        <v>0</v>
      </c>
      <c r="AL25" s="318">
        <f t="shared" si="37"/>
        <v>0</v>
      </c>
      <c r="AM25" s="318">
        <f t="shared" si="37"/>
        <v>0</v>
      </c>
      <c r="AN25" s="318">
        <f t="shared" si="37"/>
        <v>0</v>
      </c>
      <c r="AO25" s="318">
        <f t="shared" si="37"/>
        <v>0</v>
      </c>
      <c r="AP25" s="317" t="s">
        <v>214</v>
      </c>
      <c r="AQ25" s="318">
        <f t="shared" ref="AQ25:AS25" si="38">IFERROR(AVERAGE(AQ20:AQ24),"  ")</f>
        <v>0</v>
      </c>
      <c r="AR25" s="318">
        <f t="shared" si="38"/>
        <v>0</v>
      </c>
      <c r="AS25" s="318">
        <f t="shared" si="38"/>
        <v>0</v>
      </c>
      <c r="AT25" s="317" t="s">
        <v>214</v>
      </c>
      <c r="AU25" s="318">
        <f t="shared" ref="AU25:AV25" si="39">IFERROR(AVERAGE(AU20:AU24),"  ")</f>
        <v>0</v>
      </c>
      <c r="AV25" s="318">
        <f t="shared" si="39"/>
        <v>0</v>
      </c>
      <c r="AW25" s="317" t="s">
        <v>214</v>
      </c>
      <c r="AX25" s="318">
        <f t="shared" ref="AX25:AZ25" si="40">IFERROR(AVERAGE(AX20:AX24),"  ")</f>
        <v>0</v>
      </c>
      <c r="AY25" s="318">
        <f t="shared" si="40"/>
        <v>0</v>
      </c>
      <c r="AZ25" s="318">
        <f t="shared" si="40"/>
        <v>0</v>
      </c>
    </row>
    <row r="26" spans="1:52" x14ac:dyDescent="0.25">
      <c r="A26" s="599">
        <v>4</v>
      </c>
      <c r="B26" s="608"/>
      <c r="C26" s="292" t="str">
        <f>VLOOKUP(A26,data_siswa,4,FALSE)</f>
        <v>Antonio Permata A</v>
      </c>
      <c r="D26" s="316" t="s">
        <v>26</v>
      </c>
      <c r="E26" s="1112"/>
      <c r="F26" s="1112">
        <f>VLOOKUP(A26,AN_PKN6_KI3,13,FALSE)</f>
        <v>0</v>
      </c>
      <c r="G26" s="1112"/>
      <c r="H26" s="324">
        <f>AVERAGE(E26:G26)</f>
        <v>0</v>
      </c>
      <c r="I26" s="316" t="s">
        <v>26</v>
      </c>
      <c r="J26" s="1112"/>
      <c r="K26" s="1112"/>
      <c r="L26" s="1112"/>
      <c r="M26" s="1112">
        <f>VLOOKUP(A26,AN_BI6,19,FALSE)</f>
        <v>0</v>
      </c>
      <c r="N26" s="1112">
        <f>VLOOKUP(A26,AN_BI6,19,FALSE)</f>
        <v>0</v>
      </c>
      <c r="O26" s="545">
        <f>AVERAGE(J26:N26)</f>
        <v>0</v>
      </c>
      <c r="P26" s="316" t="s">
        <v>26</v>
      </c>
      <c r="Q26" s="1112"/>
      <c r="R26" s="1112">
        <f>VLOOKUP(A26,AN_MAT6,16,FALSE)</f>
        <v>0</v>
      </c>
      <c r="S26" s="1112"/>
      <c r="T26" s="1112">
        <f>VLOOKUP(A26,AN_MAT6,16,FALSE)</f>
        <v>0</v>
      </c>
      <c r="U26" s="1112"/>
      <c r="V26" s="1112"/>
      <c r="W26" s="1112"/>
      <c r="X26" s="316" t="s">
        <v>26</v>
      </c>
      <c r="Y26" s="325"/>
      <c r="Z26" s="325"/>
      <c r="AA26" s="325"/>
      <c r="AB26" s="325">
        <f>VLOOKUP(A26,AN_SBDP6,16,FALSE)</f>
        <v>0</v>
      </c>
      <c r="AC26" s="661" t="s">
        <v>156</v>
      </c>
      <c r="AD26" s="325">
        <f>VLOOKUP(A26,AN_SBDP6,16,FALSE)</f>
        <v>0</v>
      </c>
      <c r="AE26" s="325">
        <f>VLOOKUP(A26,AN_SBDP6,16,FALSE)</f>
        <v>0</v>
      </c>
      <c r="AF26" s="325"/>
      <c r="AG26" s="325"/>
      <c r="AH26" s="325">
        <f>VLOOKUP(A26,AN_SBDP6,16,FALSE)</f>
        <v>0</v>
      </c>
      <c r="AI26" s="661" t="s">
        <v>44</v>
      </c>
      <c r="AJ26" s="325"/>
      <c r="AK26" s="325"/>
      <c r="AL26" s="325">
        <f>VLOOKUP(A26,an_agm,51,FALSE)</f>
        <v>0</v>
      </c>
      <c r="AM26" s="325"/>
      <c r="AN26" s="325"/>
      <c r="AO26" s="325"/>
      <c r="AP26" s="315" t="s">
        <v>156</v>
      </c>
      <c r="AQ26" s="325">
        <f>VLOOKUP(A26,UHT_jawa,18,FALSE)</f>
        <v>0</v>
      </c>
      <c r="AR26" s="325"/>
      <c r="AS26" s="325"/>
      <c r="AT26" s="661" t="s">
        <v>44</v>
      </c>
      <c r="AU26" s="325"/>
      <c r="AV26" s="325">
        <f>VLOOKUP(A26,AN_ipa6,16,FALSE)</f>
        <v>0</v>
      </c>
      <c r="AW26" s="661" t="s">
        <v>44</v>
      </c>
      <c r="AX26" s="325"/>
      <c r="AY26" s="325"/>
      <c r="AZ26" s="325">
        <f>VLOOKUP(A26,AN_IPS6,16,FALSE)</f>
        <v>0</v>
      </c>
    </row>
    <row r="27" spans="1:52" x14ac:dyDescent="0.25">
      <c r="A27" s="599"/>
      <c r="B27" s="609"/>
      <c r="C27" s="71"/>
      <c r="D27" s="316" t="s">
        <v>50</v>
      </c>
      <c r="E27" s="1112">
        <f>VLOOKUP(A26,AN_PKN7,12,FALSE)</f>
        <v>0</v>
      </c>
      <c r="F27" s="1112">
        <f>VLOOKUP(A26,AN_PKN7,12,FALSE)</f>
        <v>0</v>
      </c>
      <c r="G27" s="1112">
        <f>VLOOKUP(A26,AN_PKN7,12,FALSE)</f>
        <v>0</v>
      </c>
      <c r="H27" s="324">
        <f>AVERAGE(E27:G27)</f>
        <v>0</v>
      </c>
      <c r="I27" s="316" t="s">
        <v>50</v>
      </c>
      <c r="J27" s="1112">
        <f>VLOOKUP(A26,AN_BI7,21,FALSE)</f>
        <v>0</v>
      </c>
      <c r="K27" s="1112">
        <f>VLOOKUP(A26,AN_BI7,21,FALSE)</f>
        <v>0</v>
      </c>
      <c r="L27" s="1112">
        <f>VLOOKUP(A26,AN_BI7,21,FALSE)</f>
        <v>0</v>
      </c>
      <c r="M27" s="1112">
        <f>VLOOKUP(A26,AN_BI7,21,FALSE)</f>
        <v>0</v>
      </c>
      <c r="N27" s="1112"/>
      <c r="O27" s="545">
        <f t="shared" ref="O27:O29" si="41">AVERAGE(J27:N27)</f>
        <v>0</v>
      </c>
      <c r="P27" s="316" t="s">
        <v>50</v>
      </c>
      <c r="Q27" s="1112"/>
      <c r="R27" s="1112"/>
      <c r="S27" s="1112">
        <f>VLOOKUP(A26,AN_MAT7,16,FALSE)</f>
        <v>0</v>
      </c>
      <c r="T27" s="1112">
        <f>VLOOKUP(A26,AN_MAT7,16,FALSE)</f>
        <v>0</v>
      </c>
      <c r="U27" s="1112">
        <f>VLOOKUP(A26,AN_MAT7,16,FALSE)</f>
        <v>0</v>
      </c>
      <c r="V27" s="1112">
        <f>VLOOKUP(A26,AN_MAT7,16,FALSE)</f>
        <v>0</v>
      </c>
      <c r="W27" s="1112"/>
      <c r="X27" s="316" t="s">
        <v>50</v>
      </c>
      <c r="Y27" s="325">
        <f>VLOOKUP(A26,AN_SBDP7,16,FALSE)</f>
        <v>0</v>
      </c>
      <c r="Z27" s="325">
        <f>VLOOKUP(A26,AN_SBDP7,16,FALSE)</f>
        <v>0</v>
      </c>
      <c r="AA27" s="325"/>
      <c r="AB27" s="325">
        <f>VLOOKUP(A26,AN_SBDP7,16,FALSE)</f>
        <v>0</v>
      </c>
      <c r="AC27" s="661" t="s">
        <v>26</v>
      </c>
      <c r="AD27" s="325"/>
      <c r="AE27" s="325"/>
      <c r="AF27" s="325">
        <f>VLOOKUP(A26,AN_SBDP7,16,FALSE)</f>
        <v>0</v>
      </c>
      <c r="AG27" s="325">
        <f>VLOOKUP(A26,AN_SBDP7,16,FALSE)</f>
        <v>0</v>
      </c>
      <c r="AH27" s="325"/>
      <c r="AI27" s="661" t="s">
        <v>45</v>
      </c>
      <c r="AJ27" s="325">
        <f>VLOOKUP(A26,an_agm,49,FALSE)</f>
        <v>0</v>
      </c>
      <c r="AK27" s="325"/>
      <c r="AL27" s="325"/>
      <c r="AM27" s="325"/>
      <c r="AN27" s="325"/>
      <c r="AO27" s="325"/>
      <c r="AP27" s="315" t="s">
        <v>26</v>
      </c>
      <c r="AQ27" s="325"/>
      <c r="AR27" s="325">
        <f>VLOOKUP(A26,UHT_jawa,19,FALSE)</f>
        <v>0</v>
      </c>
      <c r="AS27" s="325"/>
      <c r="AT27" s="661" t="s">
        <v>45</v>
      </c>
      <c r="AU27" s="325">
        <f>VLOOKUP(A26,AN_IPA7,16,FALSE)</f>
        <v>0</v>
      </c>
      <c r="AV27" s="325">
        <f>VLOOKUP(A26,AN_IPA7,16,FALSE)</f>
        <v>0</v>
      </c>
      <c r="AW27" s="661" t="s">
        <v>45</v>
      </c>
      <c r="AX27" s="325">
        <f>VLOOKUP(A26,an_ips7,16,FALSE)</f>
        <v>0</v>
      </c>
      <c r="AY27" s="325">
        <f>VLOOKUP(A26,an_ips7,16,FALSE)</f>
        <v>0</v>
      </c>
      <c r="AZ27" s="325">
        <f>VLOOKUP(A26,an_ips7,16,FALSE)</f>
        <v>0</v>
      </c>
    </row>
    <row r="28" spans="1:52" x14ac:dyDescent="0.25">
      <c r="A28" s="599"/>
      <c r="B28" s="609"/>
      <c r="C28" s="71"/>
      <c r="D28" s="316" t="s">
        <v>51</v>
      </c>
      <c r="E28" s="1112"/>
      <c r="F28" s="1112">
        <f>VLOOKUP(A26,AN_PKN8,17,FALSE)</f>
        <v>0</v>
      </c>
      <c r="G28" s="1112">
        <f>VLOOKUP(A26,AN_PKN8,17,FALSE)</f>
        <v>0</v>
      </c>
      <c r="H28" s="324">
        <f>AVERAGE(E28:G28)</f>
        <v>0</v>
      </c>
      <c r="I28" s="316" t="s">
        <v>51</v>
      </c>
      <c r="J28" s="1112">
        <f>VLOOKUP(A26,AN_BI8,19,FALSE)</f>
        <v>0</v>
      </c>
      <c r="K28" s="1112"/>
      <c r="L28" s="1112"/>
      <c r="M28" s="1112">
        <f>VLOOKUP(A26,AN_BI8,19,FALSE)</f>
        <v>0</v>
      </c>
      <c r="N28" s="1112"/>
      <c r="O28" s="545">
        <f t="shared" si="41"/>
        <v>0</v>
      </c>
      <c r="P28" s="316" t="s">
        <v>51</v>
      </c>
      <c r="Q28" s="1112">
        <f>VLOOKUP(A26,AN_MAT8,16,FALSE)</f>
        <v>0</v>
      </c>
      <c r="R28" s="1112">
        <f>VLOOKUP(A26,AN_MAT8,16,FALSE)</f>
        <v>0</v>
      </c>
      <c r="S28" s="1112"/>
      <c r="T28" s="1112"/>
      <c r="U28" s="1112"/>
      <c r="V28" s="1112"/>
      <c r="W28" s="1112">
        <f>VLOOKUP(A26,AN_MAT8,16,FALSE)</f>
        <v>0</v>
      </c>
      <c r="X28" s="316" t="s">
        <v>51</v>
      </c>
      <c r="Y28" s="325"/>
      <c r="Z28" s="325">
        <f>VLOOKUP(A26,AN_SBDP8,16,FALSE)</f>
        <v>0</v>
      </c>
      <c r="AA28" s="325"/>
      <c r="AB28" s="325">
        <f>VLOOKUP(A26,AN_SBDP8,16,FALSE)</f>
        <v>0</v>
      </c>
      <c r="AC28" s="661" t="s">
        <v>50</v>
      </c>
      <c r="AD28" s="325"/>
      <c r="AE28" s="325"/>
      <c r="AF28" s="325">
        <f>VLOOKUP(A26,AN_SBDP8,16,FALSE)</f>
        <v>0</v>
      </c>
      <c r="AG28" s="325"/>
      <c r="AH28" s="325">
        <f>VLOOKUP(A26,AN_SBDP8,16,FALSE)</f>
        <v>0</v>
      </c>
      <c r="AI28" s="661" t="s">
        <v>46</v>
      </c>
      <c r="AJ28" s="325"/>
      <c r="AK28" s="325"/>
      <c r="AL28" s="325"/>
      <c r="AM28" s="325">
        <f>VLOOKUP(A26,an_agm,52,FALSE)</f>
        <v>0</v>
      </c>
      <c r="AN28" s="325">
        <f>VLOOKUP(A26,an_agm,53,FALSE)</f>
        <v>0</v>
      </c>
      <c r="AO28" s="325"/>
      <c r="AP28" s="315" t="s">
        <v>50</v>
      </c>
      <c r="AQ28" s="325"/>
      <c r="AR28" s="325"/>
      <c r="AS28" s="325">
        <f>VLOOKUP(A26,UHT_jawa,20,FALSE)</f>
        <v>0</v>
      </c>
      <c r="AT28" s="661" t="s">
        <v>46</v>
      </c>
      <c r="AU28" s="325"/>
      <c r="AV28" s="325">
        <f>VLOOKUP(A26,AN_IPA7,16,FALSE)</f>
        <v>0</v>
      </c>
      <c r="AW28" s="661" t="s">
        <v>46</v>
      </c>
      <c r="AX28" s="325">
        <f>VLOOKUP(A26,AN_ips8,16,FALSE)</f>
        <v>0</v>
      </c>
      <c r="AY28" s="325">
        <f>VLOOKUP(A26,AN_ips8,16,FALSE)</f>
        <v>0</v>
      </c>
      <c r="AZ28" s="325">
        <f>VLOOKUP(A26,AN_ips8,16,FALSE)</f>
        <v>0</v>
      </c>
    </row>
    <row r="29" spans="1:52" x14ac:dyDescent="0.25">
      <c r="A29" s="599"/>
      <c r="B29" s="609"/>
      <c r="C29" s="71"/>
      <c r="D29" s="316" t="s">
        <v>52</v>
      </c>
      <c r="E29" s="325">
        <f>VLOOKUP(A26,AN_PKN9,16,FALSE)</f>
        <v>0</v>
      </c>
      <c r="F29" s="325"/>
      <c r="G29" s="325"/>
      <c r="H29" s="324">
        <f>AVERAGE(E29:G29)</f>
        <v>0</v>
      </c>
      <c r="I29" s="316" t="s">
        <v>52</v>
      </c>
      <c r="J29" s="1112">
        <f>VLOOKUP(A26,AN_BI9,21,FALSE)</f>
        <v>0</v>
      </c>
      <c r="K29" s="1112">
        <f>VLOOKUP(A26,AN_BI9,21,FALSE)</f>
        <v>0</v>
      </c>
      <c r="L29" s="1112">
        <f>VLOOKUP(A26,AN_BI9,21,FALSE)</f>
        <v>0</v>
      </c>
      <c r="M29" s="1112">
        <f>VLOOKUP(A26,AN_BI9,21,FALSE)</f>
        <v>0</v>
      </c>
      <c r="N29" s="1112"/>
      <c r="O29" s="545">
        <f t="shared" si="41"/>
        <v>0</v>
      </c>
      <c r="P29" s="316" t="s">
        <v>52</v>
      </c>
      <c r="Q29" s="1112">
        <f>VLOOKUP(A26,AN_MAT9,16,FALSE)</f>
        <v>0</v>
      </c>
      <c r="R29" s="1112">
        <f>VLOOKUP(A26,AN_MAT9,16,FALSE)</f>
        <v>0</v>
      </c>
      <c r="S29" s="1112">
        <f>VLOOKUP(A26,AN_MAT9,16,FALSE)</f>
        <v>0</v>
      </c>
      <c r="T29" s="1112">
        <f>VLOOKUP(A26,AN_MAT9,16,FALSE)</f>
        <v>0</v>
      </c>
      <c r="U29" s="1112">
        <f>VLOOKUP(A26,AN_MAT9,16,FALSE)</f>
        <v>0</v>
      </c>
      <c r="V29" s="1112">
        <f>VLOOKUP(A26,AN_MAT9,16,FALSE)</f>
        <v>0</v>
      </c>
      <c r="W29" s="1112">
        <f>VLOOKUP(A26,AN_MAT9,16,FALSE)</f>
        <v>0</v>
      </c>
      <c r="X29" s="316" t="s">
        <v>52</v>
      </c>
      <c r="Y29" s="325"/>
      <c r="Z29" s="325">
        <f>VLOOKUP(A26,AN_SBDP9,16,FALSE)</f>
        <v>0</v>
      </c>
      <c r="AA29" s="325">
        <f>VLOOKUP(A26,AN_SBDP9,16,FALSE)</f>
        <v>0</v>
      </c>
      <c r="AB29" s="325"/>
      <c r="AC29" s="661" t="s">
        <v>51</v>
      </c>
      <c r="AD29" s="325"/>
      <c r="AE29" s="325">
        <f>VLOOKUP(A26,AN_SBDP9,16,FALSE)</f>
        <v>0</v>
      </c>
      <c r="AF29" s="325">
        <f>VLOOKUP(A26,AN_SBDP9,16,FALSE)</f>
        <v>0</v>
      </c>
      <c r="AG29" s="325"/>
      <c r="AH29" s="325"/>
      <c r="AI29" s="661" t="s">
        <v>47</v>
      </c>
      <c r="AJ29" s="325"/>
      <c r="AK29" s="325">
        <f>VLOOKUP(A26,an_agm,50,FALSE)</f>
        <v>0</v>
      </c>
      <c r="AL29" s="325"/>
      <c r="AM29" s="325"/>
      <c r="AN29" s="325"/>
      <c r="AO29" s="325"/>
      <c r="AP29" s="315" t="s">
        <v>51</v>
      </c>
      <c r="AQ29" s="325"/>
      <c r="AR29" s="325"/>
      <c r="AS29" s="325"/>
      <c r="AT29" s="661" t="s">
        <v>47</v>
      </c>
      <c r="AU29" s="325"/>
      <c r="AV29" s="325">
        <f>VLOOKUP(A26,an_IPA9,16,FALSE)</f>
        <v>0</v>
      </c>
      <c r="AW29" s="661" t="s">
        <v>47</v>
      </c>
      <c r="AX29" s="325">
        <f>VLOOKUP(A26,AN_IPS_9,16,FALSE)</f>
        <v>0</v>
      </c>
      <c r="AY29" s="325"/>
      <c r="AZ29" s="325">
        <f>VLOOKUP(A26,AN_IPS_9,16,FALSE)</f>
        <v>0</v>
      </c>
    </row>
    <row r="30" spans="1:52" x14ac:dyDescent="0.25">
      <c r="A30" s="599"/>
      <c r="B30" s="609"/>
      <c r="C30" s="71"/>
      <c r="D30" s="316"/>
      <c r="E30" s="1112"/>
      <c r="F30" s="1112"/>
      <c r="G30" s="1112"/>
      <c r="H30" s="1074"/>
      <c r="I30" s="316"/>
      <c r="J30" s="1112"/>
      <c r="K30" s="1112"/>
      <c r="L30" s="1112"/>
      <c r="M30" s="1112"/>
      <c r="N30" s="1112"/>
      <c r="O30" s="1074"/>
      <c r="P30" s="315"/>
      <c r="Q30" s="1112"/>
      <c r="R30" s="1112"/>
      <c r="S30" s="1112"/>
      <c r="T30" s="1112"/>
      <c r="U30" s="1112"/>
      <c r="V30" s="1112"/>
      <c r="W30" s="1112"/>
      <c r="X30" s="315"/>
      <c r="Y30" s="325"/>
      <c r="Z30" s="325"/>
      <c r="AA30" s="325"/>
      <c r="AB30" s="325"/>
      <c r="AC30" s="661"/>
      <c r="AD30" s="1112"/>
      <c r="AE30" s="1112"/>
      <c r="AF30" s="1112"/>
      <c r="AG30" s="1112"/>
      <c r="AH30" s="1112"/>
      <c r="AI30" s="661" t="s">
        <v>48</v>
      </c>
      <c r="AJ30" s="325"/>
      <c r="AK30" s="325"/>
      <c r="AL30" s="325"/>
      <c r="AM30" s="325"/>
      <c r="AN30" s="325"/>
      <c r="AO30" s="325">
        <f>VLOOKUP(A26,an_agm,54,FALSE)</f>
        <v>0</v>
      </c>
      <c r="AP30" s="315"/>
      <c r="AQ30" s="1136"/>
      <c r="AR30" s="1136"/>
      <c r="AS30" s="1136"/>
      <c r="AT30" s="315"/>
      <c r="AU30" s="325"/>
      <c r="AV30" s="325"/>
      <c r="AW30" s="315"/>
      <c r="AX30" s="325"/>
      <c r="AY30" s="325"/>
      <c r="AZ30" s="325"/>
    </row>
    <row r="31" spans="1:52" x14ac:dyDescent="0.25">
      <c r="A31" s="604"/>
      <c r="B31" s="611">
        <v>4</v>
      </c>
      <c r="C31" s="72"/>
      <c r="D31" s="317" t="s">
        <v>214</v>
      </c>
      <c r="E31" s="318">
        <f>IFERROR(AVERAGE(E26:E30),"  ")</f>
        <v>0</v>
      </c>
      <c r="F31" s="318">
        <f t="shared" ref="F31:G31" si="42">IFERROR(AVERAGE(F26:F30),"  ")</f>
        <v>0</v>
      </c>
      <c r="G31" s="318">
        <f t="shared" si="42"/>
        <v>0</v>
      </c>
      <c r="H31" s="323"/>
      <c r="I31" s="317" t="s">
        <v>214</v>
      </c>
      <c r="J31" s="318">
        <f>IFERROR(AVERAGE(J26:J30),"  ")</f>
        <v>0</v>
      </c>
      <c r="K31" s="318">
        <f t="shared" ref="K31:N31" si="43">IFERROR(AVERAGE(K26:K30),"  ")</f>
        <v>0</v>
      </c>
      <c r="L31" s="318">
        <f t="shared" si="43"/>
        <v>0</v>
      </c>
      <c r="M31" s="318">
        <f t="shared" si="43"/>
        <v>0</v>
      </c>
      <c r="N31" s="318">
        <f t="shared" si="43"/>
        <v>0</v>
      </c>
      <c r="O31" s="597"/>
      <c r="P31" s="317" t="s">
        <v>214</v>
      </c>
      <c r="Q31" s="318">
        <f>IFERROR(AVERAGE(Q26:Q30),"  ")</f>
        <v>0</v>
      </c>
      <c r="R31" s="318">
        <f t="shared" ref="R31:W31" si="44">IFERROR(AVERAGE(R26:R30),"  ")</f>
        <v>0</v>
      </c>
      <c r="S31" s="318">
        <f t="shared" si="44"/>
        <v>0</v>
      </c>
      <c r="T31" s="318">
        <f t="shared" si="44"/>
        <v>0</v>
      </c>
      <c r="U31" s="318">
        <f t="shared" si="44"/>
        <v>0</v>
      </c>
      <c r="V31" s="318">
        <f t="shared" si="44"/>
        <v>0</v>
      </c>
      <c r="W31" s="318">
        <f t="shared" si="44"/>
        <v>0</v>
      </c>
      <c r="X31" s="317" t="s">
        <v>214</v>
      </c>
      <c r="Y31" s="318">
        <f t="shared" ref="Y31:AB31" si="45">IFERROR(AVERAGE(Y26:Y30),"  ")</f>
        <v>0</v>
      </c>
      <c r="Z31" s="318">
        <f t="shared" si="45"/>
        <v>0</v>
      </c>
      <c r="AA31" s="318">
        <f t="shared" si="45"/>
        <v>0</v>
      </c>
      <c r="AB31" s="318">
        <f t="shared" si="45"/>
        <v>0</v>
      </c>
      <c r="AC31" s="317" t="s">
        <v>214</v>
      </c>
      <c r="AD31" s="318">
        <f t="shared" ref="AD31:AH31" si="46">IFERROR(AVERAGE(AD26:AD30),"  ")</f>
        <v>0</v>
      </c>
      <c r="AE31" s="318">
        <f t="shared" si="46"/>
        <v>0</v>
      </c>
      <c r="AF31" s="318">
        <f t="shared" si="46"/>
        <v>0</v>
      </c>
      <c r="AG31" s="318">
        <f t="shared" si="46"/>
        <v>0</v>
      </c>
      <c r="AH31" s="318">
        <f t="shared" si="46"/>
        <v>0</v>
      </c>
      <c r="AI31" s="317" t="s">
        <v>214</v>
      </c>
      <c r="AJ31" s="318">
        <f t="shared" ref="AJ31:AO31" si="47">IFERROR(AVERAGE(AJ26:AJ30),"  ")</f>
        <v>0</v>
      </c>
      <c r="AK31" s="318">
        <f t="shared" si="47"/>
        <v>0</v>
      </c>
      <c r="AL31" s="318">
        <f t="shared" si="47"/>
        <v>0</v>
      </c>
      <c r="AM31" s="318">
        <f t="shared" si="47"/>
        <v>0</v>
      </c>
      <c r="AN31" s="318">
        <f t="shared" si="47"/>
        <v>0</v>
      </c>
      <c r="AO31" s="318">
        <f t="shared" si="47"/>
        <v>0</v>
      </c>
      <c r="AP31" s="317" t="s">
        <v>214</v>
      </c>
      <c r="AQ31" s="318">
        <f t="shared" ref="AQ31:AS31" si="48">IFERROR(AVERAGE(AQ26:AQ30),"  ")</f>
        <v>0</v>
      </c>
      <c r="AR31" s="318">
        <f t="shared" si="48"/>
        <v>0</v>
      </c>
      <c r="AS31" s="318">
        <f t="shared" si="48"/>
        <v>0</v>
      </c>
      <c r="AT31" s="317" t="s">
        <v>214</v>
      </c>
      <c r="AU31" s="318">
        <f t="shared" ref="AU31:AV31" si="49">IFERROR(AVERAGE(AU26:AU30),"  ")</f>
        <v>0</v>
      </c>
      <c r="AV31" s="318">
        <f t="shared" si="49"/>
        <v>0</v>
      </c>
      <c r="AW31" s="317" t="s">
        <v>214</v>
      </c>
      <c r="AX31" s="318">
        <f t="shared" ref="AX31:AZ31" si="50">IFERROR(AVERAGE(AX26:AX30),"  ")</f>
        <v>0</v>
      </c>
      <c r="AY31" s="318">
        <f t="shared" si="50"/>
        <v>0</v>
      </c>
      <c r="AZ31" s="318">
        <f t="shared" si="50"/>
        <v>0</v>
      </c>
    </row>
    <row r="32" spans="1:52" x14ac:dyDescent="0.25">
      <c r="A32" s="599">
        <v>5</v>
      </c>
      <c r="B32" s="608"/>
      <c r="C32" s="292" t="str">
        <f>VLOOKUP(A32,data_siswa,4,FALSE)</f>
        <v>Arya Pratama G</v>
      </c>
      <c r="D32" s="316" t="s">
        <v>26</v>
      </c>
      <c r="E32" s="1112"/>
      <c r="F32" s="1112">
        <f>VLOOKUP(A32,AN_PKN6_KI3,13,FALSE)</f>
        <v>0</v>
      </c>
      <c r="G32" s="1112"/>
      <c r="H32" s="324">
        <f>AVERAGE(E32:G32)</f>
        <v>0</v>
      </c>
      <c r="I32" s="316" t="s">
        <v>26</v>
      </c>
      <c r="J32" s="1112"/>
      <c r="K32" s="1112"/>
      <c r="L32" s="1112"/>
      <c r="M32" s="1112">
        <f>VLOOKUP(A32,AN_BI6,19,FALSE)</f>
        <v>0</v>
      </c>
      <c r="N32" s="1112">
        <f>VLOOKUP(A32,AN_BI6,19,FALSE)</f>
        <v>0</v>
      </c>
      <c r="O32" s="545">
        <f>AVERAGE(J32:N32)</f>
        <v>0</v>
      </c>
      <c r="P32" s="316" t="s">
        <v>26</v>
      </c>
      <c r="Q32" s="1112"/>
      <c r="R32" s="1112">
        <f>VLOOKUP(A32,AN_MAT6,16,FALSE)</f>
        <v>0</v>
      </c>
      <c r="S32" s="1112"/>
      <c r="T32" s="1112">
        <f>VLOOKUP(A32,AN_MAT6,16,FALSE)</f>
        <v>0</v>
      </c>
      <c r="U32" s="1112"/>
      <c r="V32" s="1112"/>
      <c r="W32" s="1112"/>
      <c r="X32" s="316" t="s">
        <v>26</v>
      </c>
      <c r="Y32" s="325"/>
      <c r="Z32" s="325"/>
      <c r="AA32" s="325"/>
      <c r="AB32" s="325">
        <f>VLOOKUP(A32,AN_SBDP6,16,FALSE)</f>
        <v>0</v>
      </c>
      <c r="AC32" s="661" t="s">
        <v>156</v>
      </c>
      <c r="AD32" s="325">
        <f>VLOOKUP(A32,AN_SBDP6,16,FALSE)</f>
        <v>0</v>
      </c>
      <c r="AE32" s="325">
        <f>VLOOKUP(A32,AN_SBDP6,16,FALSE)</f>
        <v>0</v>
      </c>
      <c r="AF32" s="325"/>
      <c r="AG32" s="325"/>
      <c r="AH32" s="325">
        <f>VLOOKUP(A32,AN_SBDP6,16,FALSE)</f>
        <v>0</v>
      </c>
      <c r="AI32" s="661" t="s">
        <v>44</v>
      </c>
      <c r="AJ32" s="325"/>
      <c r="AK32" s="325"/>
      <c r="AL32" s="325">
        <f>VLOOKUP(A32,an_agm,51,FALSE)</f>
        <v>0</v>
      </c>
      <c r="AM32" s="325"/>
      <c r="AN32" s="325"/>
      <c r="AO32" s="325"/>
      <c r="AP32" s="315" t="s">
        <v>156</v>
      </c>
      <c r="AQ32" s="325">
        <f>VLOOKUP(A32,UHT_jawa,18,FALSE)</f>
        <v>0</v>
      </c>
      <c r="AR32" s="325"/>
      <c r="AS32" s="325"/>
      <c r="AT32" s="661" t="s">
        <v>44</v>
      </c>
      <c r="AU32" s="325"/>
      <c r="AV32" s="325">
        <f>VLOOKUP(A32,AN_ipa6,16,FALSE)</f>
        <v>0</v>
      </c>
      <c r="AW32" s="661" t="s">
        <v>44</v>
      </c>
      <c r="AX32" s="325"/>
      <c r="AY32" s="325"/>
      <c r="AZ32" s="325">
        <f>VLOOKUP(A32,AN_IPS6,16,FALSE)</f>
        <v>0</v>
      </c>
    </row>
    <row r="33" spans="1:52" x14ac:dyDescent="0.25">
      <c r="A33" s="599"/>
      <c r="B33" s="609"/>
      <c r="C33" s="71"/>
      <c r="D33" s="316" t="s">
        <v>50</v>
      </c>
      <c r="E33" s="1112">
        <f>VLOOKUP(A32,AN_PKN7,12,FALSE)</f>
        <v>0</v>
      </c>
      <c r="F33" s="1112">
        <f>VLOOKUP(A32,AN_PKN7,12,FALSE)</f>
        <v>0</v>
      </c>
      <c r="G33" s="1112">
        <f>VLOOKUP(A32,AN_PKN7,12,FALSE)</f>
        <v>0</v>
      </c>
      <c r="H33" s="324">
        <f>AVERAGE(E33:G33)</f>
        <v>0</v>
      </c>
      <c r="I33" s="316" t="s">
        <v>50</v>
      </c>
      <c r="J33" s="1112">
        <f>VLOOKUP(A32,AN_BI7,21,FALSE)</f>
        <v>0</v>
      </c>
      <c r="K33" s="1112">
        <f>VLOOKUP(A32,AN_BI7,21,FALSE)</f>
        <v>0</v>
      </c>
      <c r="L33" s="1112">
        <f>VLOOKUP(A32,AN_BI7,21,FALSE)</f>
        <v>0</v>
      </c>
      <c r="M33" s="1112">
        <f>VLOOKUP(A32,AN_BI7,21,FALSE)</f>
        <v>0</v>
      </c>
      <c r="N33" s="1112"/>
      <c r="O33" s="545">
        <f t="shared" ref="O33:O35" si="51">AVERAGE(J33:N33)</f>
        <v>0</v>
      </c>
      <c r="P33" s="316" t="s">
        <v>50</v>
      </c>
      <c r="Q33" s="1112"/>
      <c r="R33" s="1112"/>
      <c r="S33" s="1112">
        <f>VLOOKUP(A32,AN_MAT7,16,FALSE)</f>
        <v>0</v>
      </c>
      <c r="T33" s="1112">
        <f>VLOOKUP(A32,AN_MAT7,16,FALSE)</f>
        <v>0</v>
      </c>
      <c r="U33" s="1112">
        <f>VLOOKUP(A32,AN_MAT7,16,FALSE)</f>
        <v>0</v>
      </c>
      <c r="V33" s="1112">
        <f>VLOOKUP(A32,AN_MAT7,16,FALSE)</f>
        <v>0</v>
      </c>
      <c r="W33" s="1112"/>
      <c r="X33" s="316" t="s">
        <v>50</v>
      </c>
      <c r="Y33" s="325">
        <f>VLOOKUP(A32,AN_SBDP7,16,FALSE)</f>
        <v>0</v>
      </c>
      <c r="Z33" s="325">
        <f>VLOOKUP(A32,AN_SBDP7,16,FALSE)</f>
        <v>0</v>
      </c>
      <c r="AA33" s="325"/>
      <c r="AB33" s="325">
        <f>VLOOKUP(A32,AN_SBDP7,16,FALSE)</f>
        <v>0</v>
      </c>
      <c r="AC33" s="661" t="s">
        <v>26</v>
      </c>
      <c r="AD33" s="325"/>
      <c r="AE33" s="325"/>
      <c r="AF33" s="325">
        <f>VLOOKUP(A32,AN_SBDP7,16,FALSE)</f>
        <v>0</v>
      </c>
      <c r="AG33" s="325">
        <f>VLOOKUP(A32,AN_SBDP7,16,FALSE)</f>
        <v>0</v>
      </c>
      <c r="AH33" s="325"/>
      <c r="AI33" s="661" t="s">
        <v>45</v>
      </c>
      <c r="AJ33" s="325">
        <f>VLOOKUP(A32,an_agm,49,FALSE)</f>
        <v>0</v>
      </c>
      <c r="AK33" s="325"/>
      <c r="AL33" s="325"/>
      <c r="AM33" s="325"/>
      <c r="AN33" s="325"/>
      <c r="AO33" s="325"/>
      <c r="AP33" s="315" t="s">
        <v>26</v>
      </c>
      <c r="AQ33" s="325"/>
      <c r="AR33" s="325">
        <f>VLOOKUP(A32,UHT_jawa,19,FALSE)</f>
        <v>0</v>
      </c>
      <c r="AS33" s="325"/>
      <c r="AT33" s="661" t="s">
        <v>45</v>
      </c>
      <c r="AU33" s="325">
        <f>VLOOKUP(A32,AN_IPA7,16,FALSE)</f>
        <v>0</v>
      </c>
      <c r="AV33" s="325">
        <f>VLOOKUP(A32,AN_IPA7,16,FALSE)</f>
        <v>0</v>
      </c>
      <c r="AW33" s="661" t="s">
        <v>45</v>
      </c>
      <c r="AX33" s="325">
        <f>VLOOKUP(A32,an_ips7,16,FALSE)</f>
        <v>0</v>
      </c>
      <c r="AY33" s="325">
        <f>VLOOKUP(A32,an_ips7,16,FALSE)</f>
        <v>0</v>
      </c>
      <c r="AZ33" s="325">
        <f>VLOOKUP(A32,an_ips7,16,FALSE)</f>
        <v>0</v>
      </c>
    </row>
    <row r="34" spans="1:52" x14ac:dyDescent="0.25">
      <c r="A34" s="599"/>
      <c r="B34" s="609"/>
      <c r="C34" s="71"/>
      <c r="D34" s="316" t="s">
        <v>51</v>
      </c>
      <c r="E34" s="1112"/>
      <c r="F34" s="1112">
        <f>VLOOKUP(A32,AN_PKN8,17,FALSE)</f>
        <v>0</v>
      </c>
      <c r="G34" s="1112">
        <f>VLOOKUP(A32,AN_PKN8,17,FALSE)</f>
        <v>0</v>
      </c>
      <c r="H34" s="324">
        <f>AVERAGE(E34:G34)</f>
        <v>0</v>
      </c>
      <c r="I34" s="316" t="s">
        <v>51</v>
      </c>
      <c r="J34" s="1112">
        <f>VLOOKUP(A32,AN_BI8,19,FALSE)</f>
        <v>0</v>
      </c>
      <c r="K34" s="1112"/>
      <c r="L34" s="1112"/>
      <c r="M34" s="1112">
        <f>VLOOKUP(A32,AN_BI8,19,FALSE)</f>
        <v>0</v>
      </c>
      <c r="N34" s="1112"/>
      <c r="O34" s="545">
        <f t="shared" si="51"/>
        <v>0</v>
      </c>
      <c r="P34" s="316" t="s">
        <v>51</v>
      </c>
      <c r="Q34" s="1112">
        <f>VLOOKUP(A32,AN_MAT8,16,FALSE)</f>
        <v>0</v>
      </c>
      <c r="R34" s="1112">
        <f>VLOOKUP(A32,AN_MAT8,16,FALSE)</f>
        <v>0</v>
      </c>
      <c r="S34" s="1112"/>
      <c r="T34" s="1112"/>
      <c r="U34" s="1112"/>
      <c r="V34" s="1112"/>
      <c r="W34" s="1112">
        <f>VLOOKUP(A32,AN_MAT8,16,FALSE)</f>
        <v>0</v>
      </c>
      <c r="X34" s="316" t="s">
        <v>51</v>
      </c>
      <c r="Y34" s="325"/>
      <c r="Z34" s="325">
        <f>VLOOKUP(A32,AN_SBDP8,16,FALSE)</f>
        <v>0</v>
      </c>
      <c r="AA34" s="325"/>
      <c r="AB34" s="325">
        <f>VLOOKUP(A32,AN_SBDP8,16,FALSE)</f>
        <v>0</v>
      </c>
      <c r="AC34" s="661" t="s">
        <v>50</v>
      </c>
      <c r="AD34" s="325"/>
      <c r="AE34" s="325"/>
      <c r="AF34" s="325">
        <f>VLOOKUP(A32,AN_SBDP8,16,FALSE)</f>
        <v>0</v>
      </c>
      <c r="AG34" s="325"/>
      <c r="AH34" s="325">
        <f>VLOOKUP(A32,AN_SBDP8,16,FALSE)</f>
        <v>0</v>
      </c>
      <c r="AI34" s="661" t="s">
        <v>46</v>
      </c>
      <c r="AJ34" s="325"/>
      <c r="AK34" s="325"/>
      <c r="AL34" s="325"/>
      <c r="AM34" s="325">
        <f>VLOOKUP(A32,an_agm,52,FALSE)</f>
        <v>0</v>
      </c>
      <c r="AN34" s="325">
        <f>VLOOKUP(A32,an_agm,53,FALSE)</f>
        <v>0</v>
      </c>
      <c r="AO34" s="325"/>
      <c r="AP34" s="315" t="s">
        <v>50</v>
      </c>
      <c r="AQ34" s="325"/>
      <c r="AR34" s="325"/>
      <c r="AS34" s="325">
        <f>VLOOKUP(A32,UHT_jawa,20,FALSE)</f>
        <v>0</v>
      </c>
      <c r="AT34" s="661" t="s">
        <v>46</v>
      </c>
      <c r="AU34" s="325"/>
      <c r="AV34" s="325">
        <f>VLOOKUP(A32,AN_IPA7,16,FALSE)</f>
        <v>0</v>
      </c>
      <c r="AW34" s="661" t="s">
        <v>46</v>
      </c>
      <c r="AX34" s="325">
        <f>VLOOKUP(A32,AN_ips8,16,FALSE)</f>
        <v>0</v>
      </c>
      <c r="AY34" s="325">
        <f>VLOOKUP(A32,AN_ips8,16,FALSE)</f>
        <v>0</v>
      </c>
      <c r="AZ34" s="325">
        <f>VLOOKUP(A32,AN_ips8,16,FALSE)</f>
        <v>0</v>
      </c>
    </row>
    <row r="35" spans="1:52" x14ac:dyDescent="0.25">
      <c r="A35" s="599"/>
      <c r="B35" s="609"/>
      <c r="C35" s="71"/>
      <c r="D35" s="316" t="s">
        <v>52</v>
      </c>
      <c r="E35" s="325">
        <f>VLOOKUP(A32,AN_PKN9,16,FALSE)</f>
        <v>0</v>
      </c>
      <c r="F35" s="325"/>
      <c r="G35" s="325"/>
      <c r="H35" s="324">
        <f>AVERAGE(E35:G35)</f>
        <v>0</v>
      </c>
      <c r="I35" s="316" t="s">
        <v>52</v>
      </c>
      <c r="J35" s="1112">
        <f>VLOOKUP(A32,AN_BI9,21,FALSE)</f>
        <v>0</v>
      </c>
      <c r="K35" s="1112">
        <f>VLOOKUP(A32,AN_BI9,21,FALSE)</f>
        <v>0</v>
      </c>
      <c r="L35" s="1112">
        <f>VLOOKUP(A32,AN_BI9,21,FALSE)</f>
        <v>0</v>
      </c>
      <c r="M35" s="1112">
        <f>VLOOKUP(A32,AN_BI9,21,FALSE)</f>
        <v>0</v>
      </c>
      <c r="N35" s="1112"/>
      <c r="O35" s="545">
        <f t="shared" si="51"/>
        <v>0</v>
      </c>
      <c r="P35" s="316" t="s">
        <v>52</v>
      </c>
      <c r="Q35" s="1112">
        <f>VLOOKUP(A32,AN_MAT9,16,FALSE)</f>
        <v>0</v>
      </c>
      <c r="R35" s="1112">
        <f>VLOOKUP(A32,AN_MAT9,16,FALSE)</f>
        <v>0</v>
      </c>
      <c r="S35" s="1112">
        <f>VLOOKUP(A32,AN_MAT9,16,FALSE)</f>
        <v>0</v>
      </c>
      <c r="T35" s="1112">
        <f>VLOOKUP(A32,AN_MAT9,16,FALSE)</f>
        <v>0</v>
      </c>
      <c r="U35" s="1112">
        <f>VLOOKUP(A32,AN_MAT9,16,FALSE)</f>
        <v>0</v>
      </c>
      <c r="V35" s="1112">
        <f>VLOOKUP(A32,AN_MAT9,16,FALSE)</f>
        <v>0</v>
      </c>
      <c r="W35" s="1112">
        <f>VLOOKUP(A32,AN_MAT9,16,FALSE)</f>
        <v>0</v>
      </c>
      <c r="X35" s="316" t="s">
        <v>52</v>
      </c>
      <c r="Y35" s="325"/>
      <c r="Z35" s="325">
        <f>VLOOKUP(A32,AN_SBDP9,16,FALSE)</f>
        <v>0</v>
      </c>
      <c r="AA35" s="325">
        <f>VLOOKUP(A32,AN_SBDP9,16,FALSE)</f>
        <v>0</v>
      </c>
      <c r="AB35" s="325"/>
      <c r="AC35" s="661" t="s">
        <v>51</v>
      </c>
      <c r="AD35" s="325"/>
      <c r="AE35" s="325">
        <f>VLOOKUP(A32,AN_SBDP9,16,FALSE)</f>
        <v>0</v>
      </c>
      <c r="AF35" s="325">
        <f>VLOOKUP(A32,AN_SBDP9,16,FALSE)</f>
        <v>0</v>
      </c>
      <c r="AG35" s="325"/>
      <c r="AH35" s="325"/>
      <c r="AI35" s="661" t="s">
        <v>47</v>
      </c>
      <c r="AJ35" s="325"/>
      <c r="AK35" s="325">
        <f>VLOOKUP(A32,an_agm,50,FALSE)</f>
        <v>0</v>
      </c>
      <c r="AL35" s="325"/>
      <c r="AM35" s="325"/>
      <c r="AN35" s="325"/>
      <c r="AO35" s="325"/>
      <c r="AP35" s="315" t="s">
        <v>51</v>
      </c>
      <c r="AQ35" s="325"/>
      <c r="AR35" s="325"/>
      <c r="AS35" s="325"/>
      <c r="AT35" s="661" t="s">
        <v>47</v>
      </c>
      <c r="AU35" s="325"/>
      <c r="AV35" s="325">
        <f>VLOOKUP(A32,an_IPA9,16,FALSE)</f>
        <v>0</v>
      </c>
      <c r="AW35" s="661" t="s">
        <v>47</v>
      </c>
      <c r="AX35" s="325">
        <f>VLOOKUP(A32,AN_IPS_9,16,FALSE)</f>
        <v>0</v>
      </c>
      <c r="AY35" s="325"/>
      <c r="AZ35" s="325">
        <f>VLOOKUP(A32,AN_IPS_9,16,FALSE)</f>
        <v>0</v>
      </c>
    </row>
    <row r="36" spans="1:52" x14ac:dyDescent="0.25">
      <c r="A36" s="599"/>
      <c r="B36" s="609"/>
      <c r="C36" s="71"/>
      <c r="D36" s="316"/>
      <c r="E36" s="1112"/>
      <c r="F36" s="1112"/>
      <c r="G36" s="1112"/>
      <c r="H36" s="1074"/>
      <c r="I36" s="316"/>
      <c r="J36" s="1112"/>
      <c r="K36" s="1112"/>
      <c r="L36" s="1112"/>
      <c r="M36" s="1112"/>
      <c r="N36" s="1112"/>
      <c r="O36" s="1074"/>
      <c r="P36" s="315"/>
      <c r="Q36" s="1112"/>
      <c r="R36" s="1112"/>
      <c r="S36" s="1112"/>
      <c r="T36" s="1112"/>
      <c r="U36" s="1112"/>
      <c r="V36" s="1112"/>
      <c r="W36" s="1112"/>
      <c r="X36" s="315"/>
      <c r="Y36" s="325"/>
      <c r="Z36" s="325"/>
      <c r="AA36" s="325"/>
      <c r="AB36" s="325"/>
      <c r="AC36" s="661"/>
      <c r="AD36" s="1112"/>
      <c r="AE36" s="1112"/>
      <c r="AF36" s="1112"/>
      <c r="AG36" s="1112"/>
      <c r="AH36" s="1112"/>
      <c r="AI36" s="661" t="s">
        <v>48</v>
      </c>
      <c r="AJ36" s="325"/>
      <c r="AK36" s="325"/>
      <c r="AL36" s="325"/>
      <c r="AM36" s="325"/>
      <c r="AN36" s="325"/>
      <c r="AO36" s="325">
        <f>VLOOKUP(A32,an_agm,54,FALSE)</f>
        <v>0</v>
      </c>
      <c r="AP36" s="315"/>
      <c r="AQ36" s="1136"/>
      <c r="AR36" s="1136"/>
      <c r="AS36" s="1136"/>
      <c r="AT36" s="315"/>
      <c r="AU36" s="325"/>
      <c r="AV36" s="325"/>
      <c r="AW36" s="315"/>
      <c r="AX36" s="325"/>
      <c r="AY36" s="325"/>
      <c r="AZ36" s="325"/>
    </row>
    <row r="37" spans="1:52" x14ac:dyDescent="0.25">
      <c r="A37" s="604"/>
      <c r="B37" s="611">
        <v>5</v>
      </c>
      <c r="C37" s="72"/>
      <c r="D37" s="317" t="s">
        <v>214</v>
      </c>
      <c r="E37" s="318">
        <f>IFERROR(AVERAGE(E32:E36),"  ")</f>
        <v>0</v>
      </c>
      <c r="F37" s="318">
        <f t="shared" ref="F37:G37" si="52">IFERROR(AVERAGE(F32:F36),"  ")</f>
        <v>0</v>
      </c>
      <c r="G37" s="318">
        <f t="shared" si="52"/>
        <v>0</v>
      </c>
      <c r="H37" s="323"/>
      <c r="I37" s="317" t="s">
        <v>214</v>
      </c>
      <c r="J37" s="318">
        <f>IFERROR(AVERAGE(J32:J36),"  ")</f>
        <v>0</v>
      </c>
      <c r="K37" s="318">
        <f t="shared" ref="K37:N37" si="53">IFERROR(AVERAGE(K32:K36),"  ")</f>
        <v>0</v>
      </c>
      <c r="L37" s="318">
        <f t="shared" si="53"/>
        <v>0</v>
      </c>
      <c r="M37" s="318">
        <f t="shared" si="53"/>
        <v>0</v>
      </c>
      <c r="N37" s="318">
        <f t="shared" si="53"/>
        <v>0</v>
      </c>
      <c r="O37" s="597"/>
      <c r="P37" s="317" t="s">
        <v>214</v>
      </c>
      <c r="Q37" s="318">
        <f>IFERROR(AVERAGE(Q32:Q36),"  ")</f>
        <v>0</v>
      </c>
      <c r="R37" s="318">
        <f t="shared" ref="R37:W37" si="54">IFERROR(AVERAGE(R32:R36),"  ")</f>
        <v>0</v>
      </c>
      <c r="S37" s="318">
        <f t="shared" si="54"/>
        <v>0</v>
      </c>
      <c r="T37" s="318">
        <f t="shared" si="54"/>
        <v>0</v>
      </c>
      <c r="U37" s="318">
        <f t="shared" si="54"/>
        <v>0</v>
      </c>
      <c r="V37" s="318">
        <f t="shared" si="54"/>
        <v>0</v>
      </c>
      <c r="W37" s="318">
        <f t="shared" si="54"/>
        <v>0</v>
      </c>
      <c r="X37" s="317" t="s">
        <v>214</v>
      </c>
      <c r="Y37" s="318">
        <f t="shared" ref="Y37:AB37" si="55">IFERROR(AVERAGE(Y32:Y36),"  ")</f>
        <v>0</v>
      </c>
      <c r="Z37" s="318">
        <f t="shared" si="55"/>
        <v>0</v>
      </c>
      <c r="AA37" s="318">
        <f t="shared" si="55"/>
        <v>0</v>
      </c>
      <c r="AB37" s="318">
        <f t="shared" si="55"/>
        <v>0</v>
      </c>
      <c r="AC37" s="317" t="s">
        <v>214</v>
      </c>
      <c r="AD37" s="318">
        <f t="shared" ref="AD37:AH37" si="56">IFERROR(AVERAGE(AD32:AD36),"  ")</f>
        <v>0</v>
      </c>
      <c r="AE37" s="318">
        <f t="shared" si="56"/>
        <v>0</v>
      </c>
      <c r="AF37" s="318">
        <f t="shared" si="56"/>
        <v>0</v>
      </c>
      <c r="AG37" s="318">
        <f t="shared" si="56"/>
        <v>0</v>
      </c>
      <c r="AH37" s="318">
        <f t="shared" si="56"/>
        <v>0</v>
      </c>
      <c r="AI37" s="317" t="s">
        <v>214</v>
      </c>
      <c r="AJ37" s="318">
        <f t="shared" ref="AJ37:AO37" si="57">IFERROR(AVERAGE(AJ32:AJ36),"  ")</f>
        <v>0</v>
      </c>
      <c r="AK37" s="318">
        <f t="shared" si="57"/>
        <v>0</v>
      </c>
      <c r="AL37" s="318">
        <f t="shared" si="57"/>
        <v>0</v>
      </c>
      <c r="AM37" s="318">
        <f t="shared" si="57"/>
        <v>0</v>
      </c>
      <c r="AN37" s="318">
        <f t="shared" si="57"/>
        <v>0</v>
      </c>
      <c r="AO37" s="318">
        <f t="shared" si="57"/>
        <v>0</v>
      </c>
      <c r="AP37" s="317" t="s">
        <v>214</v>
      </c>
      <c r="AQ37" s="318">
        <f t="shared" ref="AQ37:AS37" si="58">IFERROR(AVERAGE(AQ32:AQ36),"  ")</f>
        <v>0</v>
      </c>
      <c r="AR37" s="318">
        <f t="shared" si="58"/>
        <v>0</v>
      </c>
      <c r="AS37" s="318">
        <f t="shared" si="58"/>
        <v>0</v>
      </c>
      <c r="AT37" s="317" t="s">
        <v>214</v>
      </c>
      <c r="AU37" s="318">
        <f t="shared" ref="AU37:AV37" si="59">IFERROR(AVERAGE(AU32:AU36),"  ")</f>
        <v>0</v>
      </c>
      <c r="AV37" s="318">
        <f t="shared" si="59"/>
        <v>0</v>
      </c>
      <c r="AW37" s="317" t="s">
        <v>214</v>
      </c>
      <c r="AX37" s="318">
        <f t="shared" ref="AX37:AZ37" si="60">IFERROR(AVERAGE(AX32:AX36),"  ")</f>
        <v>0</v>
      </c>
      <c r="AY37" s="318">
        <f t="shared" si="60"/>
        <v>0</v>
      </c>
      <c r="AZ37" s="318">
        <f t="shared" si="60"/>
        <v>0</v>
      </c>
    </row>
    <row r="38" spans="1:52" x14ac:dyDescent="0.25">
      <c r="A38" s="599">
        <v>6</v>
      </c>
      <c r="B38" s="608"/>
      <c r="C38" s="292" t="str">
        <f>VLOOKUP(A38,data_siswa,4,FALSE)</f>
        <v>Asyam Hanif Ihsan H</v>
      </c>
      <c r="D38" s="316" t="s">
        <v>156</v>
      </c>
      <c r="E38" s="1112"/>
      <c r="F38" s="1112">
        <f>VLOOKUP(A38,AN_PKN6_KI3,13,FALSE)</f>
        <v>0</v>
      </c>
      <c r="G38" s="1112"/>
      <c r="H38" s="324">
        <f>AVERAGE(E38:G38)</f>
        <v>0</v>
      </c>
      <c r="I38" s="316" t="s">
        <v>26</v>
      </c>
      <c r="J38" s="1112"/>
      <c r="K38" s="1112"/>
      <c r="L38" s="1112"/>
      <c r="M38" s="1112">
        <f>VLOOKUP(A38,AN_BI6,19,FALSE)</f>
        <v>0</v>
      </c>
      <c r="N38" s="1112">
        <f>VLOOKUP(A38,AN_BI6,19,FALSE)</f>
        <v>0</v>
      </c>
      <c r="O38" s="545">
        <f>AVERAGE(J38:N38)</f>
        <v>0</v>
      </c>
      <c r="P38" s="316" t="s">
        <v>26</v>
      </c>
      <c r="Q38" s="1112"/>
      <c r="R38" s="1112">
        <f>VLOOKUP(A38,AN_MAT6,16,FALSE)</f>
        <v>0</v>
      </c>
      <c r="S38" s="1112"/>
      <c r="T38" s="1112">
        <f>VLOOKUP(A38,AN_MAT6,16,FALSE)</f>
        <v>0</v>
      </c>
      <c r="U38" s="1112"/>
      <c r="V38" s="1112"/>
      <c r="W38" s="1112"/>
      <c r="X38" s="316" t="s">
        <v>26</v>
      </c>
      <c r="Y38" s="325"/>
      <c r="Z38" s="325"/>
      <c r="AA38" s="325"/>
      <c r="AB38" s="325">
        <f>VLOOKUP(A38,AN_SBDP6,16,FALSE)</f>
        <v>0</v>
      </c>
      <c r="AC38" s="661" t="s">
        <v>156</v>
      </c>
      <c r="AD38" s="325">
        <f>VLOOKUP(A38,AN_SBDP6,16,FALSE)</f>
        <v>0</v>
      </c>
      <c r="AE38" s="325">
        <f>VLOOKUP(A38,AN_SBDP6,16,FALSE)</f>
        <v>0</v>
      </c>
      <c r="AF38" s="325"/>
      <c r="AG38" s="325"/>
      <c r="AH38" s="325">
        <f>VLOOKUP(A38,AN_SBDP6,16,FALSE)</f>
        <v>0</v>
      </c>
      <c r="AI38" s="661" t="s">
        <v>44</v>
      </c>
      <c r="AJ38" s="325"/>
      <c r="AK38" s="325"/>
      <c r="AL38" s="325">
        <f>VLOOKUP(A38,an_agm,51,FALSE)</f>
        <v>0</v>
      </c>
      <c r="AM38" s="325"/>
      <c r="AN38" s="325"/>
      <c r="AO38" s="325"/>
      <c r="AP38" s="315" t="s">
        <v>156</v>
      </c>
      <c r="AQ38" s="325">
        <f>VLOOKUP(A38,UHT_jawa,18,FALSE)</f>
        <v>0</v>
      </c>
      <c r="AR38" s="325"/>
      <c r="AS38" s="325"/>
      <c r="AT38" s="661" t="s">
        <v>44</v>
      </c>
      <c r="AU38" s="325"/>
      <c r="AV38" s="325">
        <f>VLOOKUP(A38,AN_ipa6,16,FALSE)</f>
        <v>0</v>
      </c>
      <c r="AW38" s="661" t="s">
        <v>44</v>
      </c>
      <c r="AX38" s="325"/>
      <c r="AY38" s="325"/>
      <c r="AZ38" s="325">
        <f>VLOOKUP(A38,AN_IPS6,16,FALSE)</f>
        <v>0</v>
      </c>
    </row>
    <row r="39" spans="1:52" x14ac:dyDescent="0.25">
      <c r="A39" s="599"/>
      <c r="B39" s="609"/>
      <c r="C39" s="71"/>
      <c r="D39" s="316" t="s">
        <v>26</v>
      </c>
      <c r="E39" s="1112">
        <f>VLOOKUP(A38,AN_PKN7,12,FALSE)</f>
        <v>0</v>
      </c>
      <c r="F39" s="1112">
        <f>VLOOKUP(A38,AN_PKN7,12,FALSE)</f>
        <v>0</v>
      </c>
      <c r="G39" s="1112">
        <f>VLOOKUP(A38,AN_PKN7,12,FALSE)</f>
        <v>0</v>
      </c>
      <c r="H39" s="324">
        <f>AVERAGE(E39:G39)</f>
        <v>0</v>
      </c>
      <c r="I39" s="316" t="s">
        <v>50</v>
      </c>
      <c r="J39" s="1112">
        <f>VLOOKUP(A38,AN_BI7,21,FALSE)</f>
        <v>0</v>
      </c>
      <c r="K39" s="1112">
        <f>VLOOKUP(A38,AN_BI7,21,FALSE)</f>
        <v>0</v>
      </c>
      <c r="L39" s="1112">
        <f>VLOOKUP(A38,AN_BI7,21,FALSE)</f>
        <v>0</v>
      </c>
      <c r="M39" s="1112">
        <f>VLOOKUP(A38,AN_BI7,21,FALSE)</f>
        <v>0</v>
      </c>
      <c r="N39" s="1112"/>
      <c r="O39" s="545">
        <f t="shared" ref="O39:O41" si="61">AVERAGE(J39:N39)</f>
        <v>0</v>
      </c>
      <c r="P39" s="316" t="s">
        <v>50</v>
      </c>
      <c r="Q39" s="1112"/>
      <c r="R39" s="1112"/>
      <c r="S39" s="1112">
        <f>VLOOKUP(A38,AN_MAT7,16,FALSE)</f>
        <v>0</v>
      </c>
      <c r="T39" s="1112">
        <f>VLOOKUP(A38,AN_MAT7,16,FALSE)</f>
        <v>0</v>
      </c>
      <c r="U39" s="1112">
        <f>VLOOKUP(A38,AN_MAT7,16,FALSE)</f>
        <v>0</v>
      </c>
      <c r="V39" s="1112">
        <f>VLOOKUP(A38,AN_MAT7,16,FALSE)</f>
        <v>0</v>
      </c>
      <c r="W39" s="1112"/>
      <c r="X39" s="316" t="s">
        <v>50</v>
      </c>
      <c r="Y39" s="325">
        <f>VLOOKUP(A38,AN_SBDP7,16,FALSE)</f>
        <v>0</v>
      </c>
      <c r="Z39" s="325">
        <f>VLOOKUP(A38,AN_SBDP7,16,FALSE)</f>
        <v>0</v>
      </c>
      <c r="AA39" s="325"/>
      <c r="AB39" s="325">
        <f>VLOOKUP(A38,AN_SBDP7,16,FALSE)</f>
        <v>0</v>
      </c>
      <c r="AC39" s="661" t="s">
        <v>26</v>
      </c>
      <c r="AD39" s="325"/>
      <c r="AE39" s="325"/>
      <c r="AF39" s="325">
        <f>VLOOKUP(A38,AN_SBDP7,16,FALSE)</f>
        <v>0</v>
      </c>
      <c r="AG39" s="325">
        <f>VLOOKUP(A38,AN_SBDP7,16,FALSE)</f>
        <v>0</v>
      </c>
      <c r="AH39" s="325"/>
      <c r="AI39" s="661" t="s">
        <v>45</v>
      </c>
      <c r="AJ39" s="325">
        <f>VLOOKUP(A38,an_agm,49,FALSE)</f>
        <v>0</v>
      </c>
      <c r="AK39" s="325"/>
      <c r="AL39" s="325"/>
      <c r="AM39" s="325"/>
      <c r="AN39" s="325"/>
      <c r="AO39" s="325"/>
      <c r="AP39" s="315" t="s">
        <v>26</v>
      </c>
      <c r="AQ39" s="325"/>
      <c r="AR39" s="325">
        <f>VLOOKUP(A38,UHT_jawa,19,FALSE)</f>
        <v>0</v>
      </c>
      <c r="AS39" s="325"/>
      <c r="AT39" s="661" t="s">
        <v>45</v>
      </c>
      <c r="AU39" s="325">
        <f>VLOOKUP(A38,AN_IPA7,16,FALSE)</f>
        <v>0</v>
      </c>
      <c r="AV39" s="325">
        <f>VLOOKUP(A38,AN_IPA7,16,FALSE)</f>
        <v>0</v>
      </c>
      <c r="AW39" s="661" t="s">
        <v>45</v>
      </c>
      <c r="AX39" s="325">
        <f>VLOOKUP(A38,an_ips7,16,FALSE)</f>
        <v>0</v>
      </c>
      <c r="AY39" s="325">
        <f>VLOOKUP(A38,an_ips7,16,FALSE)</f>
        <v>0</v>
      </c>
      <c r="AZ39" s="325">
        <f>VLOOKUP(A38,an_ips7,16,FALSE)</f>
        <v>0</v>
      </c>
    </row>
    <row r="40" spans="1:52" x14ac:dyDescent="0.25">
      <c r="A40" s="599"/>
      <c r="B40" s="609"/>
      <c r="C40" s="71"/>
      <c r="D40" s="316" t="s">
        <v>50</v>
      </c>
      <c r="E40" s="1112"/>
      <c r="F40" s="1112">
        <f>VLOOKUP(A38,AN_PKN8,17,FALSE)</f>
        <v>0</v>
      </c>
      <c r="G40" s="1112">
        <f>VLOOKUP(A38,AN_PKN8,17,FALSE)</f>
        <v>0</v>
      </c>
      <c r="H40" s="324">
        <f>AVERAGE(E40:G40)</f>
        <v>0</v>
      </c>
      <c r="I40" s="316" t="s">
        <v>51</v>
      </c>
      <c r="J40" s="1112">
        <f>VLOOKUP(A38,AN_BI8,19,FALSE)</f>
        <v>0</v>
      </c>
      <c r="K40" s="1112"/>
      <c r="L40" s="1112"/>
      <c r="M40" s="1112">
        <f>VLOOKUP(A38,AN_BI8,19,FALSE)</f>
        <v>0</v>
      </c>
      <c r="N40" s="1112"/>
      <c r="O40" s="545">
        <f t="shared" si="61"/>
        <v>0</v>
      </c>
      <c r="P40" s="316" t="s">
        <v>51</v>
      </c>
      <c r="Q40" s="1112">
        <f>VLOOKUP(A38,AN_MAT8,16,FALSE)</f>
        <v>0</v>
      </c>
      <c r="R40" s="1112">
        <f>VLOOKUP(A38,AN_MAT8,16,FALSE)</f>
        <v>0</v>
      </c>
      <c r="S40" s="1112"/>
      <c r="T40" s="1112"/>
      <c r="U40" s="1112"/>
      <c r="V40" s="1112"/>
      <c r="W40" s="1112">
        <f>VLOOKUP(A38,AN_MAT8,16,FALSE)</f>
        <v>0</v>
      </c>
      <c r="X40" s="316" t="s">
        <v>51</v>
      </c>
      <c r="Y40" s="325"/>
      <c r="Z40" s="325">
        <f>VLOOKUP(A38,AN_SBDP8,16,FALSE)</f>
        <v>0</v>
      </c>
      <c r="AA40" s="325"/>
      <c r="AB40" s="325">
        <f>VLOOKUP(A38,AN_SBDP8,16,FALSE)</f>
        <v>0</v>
      </c>
      <c r="AC40" s="661" t="s">
        <v>50</v>
      </c>
      <c r="AD40" s="325"/>
      <c r="AE40" s="325"/>
      <c r="AF40" s="325">
        <f>VLOOKUP(A38,AN_SBDP8,16,FALSE)</f>
        <v>0</v>
      </c>
      <c r="AG40" s="325"/>
      <c r="AH40" s="325">
        <f>VLOOKUP(A38,AN_SBDP8,16,FALSE)</f>
        <v>0</v>
      </c>
      <c r="AI40" s="661" t="s">
        <v>46</v>
      </c>
      <c r="AJ40" s="325"/>
      <c r="AK40" s="325"/>
      <c r="AL40" s="325"/>
      <c r="AM40" s="325">
        <f>VLOOKUP(A38,an_agm,52,FALSE)</f>
        <v>0</v>
      </c>
      <c r="AN40" s="325">
        <f>VLOOKUP(A38,an_agm,53,FALSE)</f>
        <v>0</v>
      </c>
      <c r="AO40" s="325"/>
      <c r="AP40" s="315" t="s">
        <v>50</v>
      </c>
      <c r="AQ40" s="325"/>
      <c r="AR40" s="325"/>
      <c r="AS40" s="325">
        <f>VLOOKUP(A38,UHT_jawa,20,FALSE)</f>
        <v>0</v>
      </c>
      <c r="AT40" s="661" t="s">
        <v>46</v>
      </c>
      <c r="AU40" s="325"/>
      <c r="AV40" s="325">
        <f>VLOOKUP(A38,AN_IPA7,16,FALSE)</f>
        <v>0</v>
      </c>
      <c r="AW40" s="661" t="s">
        <v>46</v>
      </c>
      <c r="AX40" s="325">
        <f>VLOOKUP(A38,AN_ips8,16,FALSE)</f>
        <v>0</v>
      </c>
      <c r="AY40" s="325">
        <f>VLOOKUP(A38,AN_ips8,16,FALSE)</f>
        <v>0</v>
      </c>
      <c r="AZ40" s="325">
        <f>VLOOKUP(A38,AN_ips8,16,FALSE)</f>
        <v>0</v>
      </c>
    </row>
    <row r="41" spans="1:52" x14ac:dyDescent="0.25">
      <c r="A41" s="599"/>
      <c r="B41" s="609"/>
      <c r="C41" s="71"/>
      <c r="D41" s="316" t="s">
        <v>51</v>
      </c>
      <c r="E41" s="325">
        <f>VLOOKUP(A38,AN_PKN9,16,FALSE)</f>
        <v>0</v>
      </c>
      <c r="F41" s="325"/>
      <c r="G41" s="325"/>
      <c r="H41" s="324">
        <f>AVERAGE(E41:G41)</f>
        <v>0</v>
      </c>
      <c r="I41" s="316" t="s">
        <v>52</v>
      </c>
      <c r="J41" s="1112">
        <f>VLOOKUP(A38,AN_BI9,21,FALSE)</f>
        <v>0</v>
      </c>
      <c r="K41" s="1112">
        <f>VLOOKUP(A38,AN_BI9,21,FALSE)</f>
        <v>0</v>
      </c>
      <c r="L41" s="1112">
        <f>VLOOKUP(A38,AN_BI9,21,FALSE)</f>
        <v>0</v>
      </c>
      <c r="M41" s="1112">
        <f>VLOOKUP(A38,AN_BI9,21,FALSE)</f>
        <v>0</v>
      </c>
      <c r="N41" s="1112"/>
      <c r="O41" s="545">
        <f t="shared" si="61"/>
        <v>0</v>
      </c>
      <c r="P41" s="316" t="s">
        <v>52</v>
      </c>
      <c r="Q41" s="1112">
        <f>VLOOKUP(A38,AN_MAT9,16,FALSE)</f>
        <v>0</v>
      </c>
      <c r="R41" s="1112">
        <f>VLOOKUP(A38,AN_MAT9,16,FALSE)</f>
        <v>0</v>
      </c>
      <c r="S41" s="1112">
        <f>VLOOKUP(A38,AN_MAT9,16,FALSE)</f>
        <v>0</v>
      </c>
      <c r="T41" s="1112">
        <f>VLOOKUP(A38,AN_MAT9,16,FALSE)</f>
        <v>0</v>
      </c>
      <c r="U41" s="1112">
        <f>VLOOKUP(A38,AN_MAT9,16,FALSE)</f>
        <v>0</v>
      </c>
      <c r="V41" s="1112">
        <f>VLOOKUP(A38,AN_MAT9,16,FALSE)</f>
        <v>0</v>
      </c>
      <c r="W41" s="1112">
        <f>VLOOKUP(A38,AN_MAT9,16,FALSE)</f>
        <v>0</v>
      </c>
      <c r="X41" s="316" t="s">
        <v>52</v>
      </c>
      <c r="Y41" s="325"/>
      <c r="Z41" s="325">
        <f>VLOOKUP(A38,AN_SBDP9,16,FALSE)</f>
        <v>0</v>
      </c>
      <c r="AA41" s="325">
        <f>VLOOKUP(A38,AN_SBDP9,16,FALSE)</f>
        <v>0</v>
      </c>
      <c r="AB41" s="325"/>
      <c r="AC41" s="661" t="s">
        <v>51</v>
      </c>
      <c r="AD41" s="325"/>
      <c r="AE41" s="325">
        <f>VLOOKUP(A38,AN_SBDP9,16,FALSE)</f>
        <v>0</v>
      </c>
      <c r="AF41" s="325">
        <f>VLOOKUP(A38,AN_SBDP9,16,FALSE)</f>
        <v>0</v>
      </c>
      <c r="AG41" s="325"/>
      <c r="AH41" s="325"/>
      <c r="AI41" s="661" t="s">
        <v>47</v>
      </c>
      <c r="AJ41" s="325"/>
      <c r="AK41" s="325">
        <f>VLOOKUP(A38,an_agm,50,FALSE)</f>
        <v>0</v>
      </c>
      <c r="AL41" s="325"/>
      <c r="AM41" s="325"/>
      <c r="AN41" s="325"/>
      <c r="AO41" s="325"/>
      <c r="AP41" s="315" t="s">
        <v>51</v>
      </c>
      <c r="AQ41" s="325"/>
      <c r="AR41" s="325"/>
      <c r="AS41" s="325"/>
      <c r="AT41" s="661" t="s">
        <v>47</v>
      </c>
      <c r="AU41" s="325"/>
      <c r="AV41" s="325">
        <f>VLOOKUP(A38,an_IPA9,16,FALSE)</f>
        <v>0</v>
      </c>
      <c r="AW41" s="661" t="s">
        <v>47</v>
      </c>
      <c r="AX41" s="325">
        <f>VLOOKUP(A38,AN_IPS_9,16,FALSE)</f>
        <v>0</v>
      </c>
      <c r="AY41" s="325"/>
      <c r="AZ41" s="325">
        <f>VLOOKUP(A38,AN_IPS_9,16,FALSE)</f>
        <v>0</v>
      </c>
    </row>
    <row r="42" spans="1:52" x14ac:dyDescent="0.25">
      <c r="A42" s="599"/>
      <c r="B42" s="609"/>
      <c r="C42" s="71"/>
      <c r="D42" s="316"/>
      <c r="E42" s="1112"/>
      <c r="F42" s="1112"/>
      <c r="G42" s="1112"/>
      <c r="H42" s="1074"/>
      <c r="I42" s="316"/>
      <c r="J42" s="1112"/>
      <c r="K42" s="1112"/>
      <c r="L42" s="1112"/>
      <c r="M42" s="1112"/>
      <c r="N42" s="1112"/>
      <c r="O42" s="1074"/>
      <c r="P42" s="315"/>
      <c r="Q42" s="1112"/>
      <c r="R42" s="1112"/>
      <c r="S42" s="1112"/>
      <c r="T42" s="1112"/>
      <c r="U42" s="1112"/>
      <c r="V42" s="1112"/>
      <c r="W42" s="1112"/>
      <c r="X42" s="315"/>
      <c r="Y42" s="325"/>
      <c r="Z42" s="325"/>
      <c r="AA42" s="325"/>
      <c r="AB42" s="325"/>
      <c r="AC42" s="661"/>
      <c r="AD42" s="1112"/>
      <c r="AE42" s="1112"/>
      <c r="AF42" s="1112"/>
      <c r="AG42" s="1112"/>
      <c r="AH42" s="1112"/>
      <c r="AI42" s="661" t="s">
        <v>48</v>
      </c>
      <c r="AJ42" s="325"/>
      <c r="AK42" s="325"/>
      <c r="AL42" s="325"/>
      <c r="AM42" s="325"/>
      <c r="AN42" s="325"/>
      <c r="AO42" s="325">
        <f>VLOOKUP(A38,an_agm,54,FALSE)</f>
        <v>0</v>
      </c>
      <c r="AP42" s="315"/>
      <c r="AQ42" s="1136"/>
      <c r="AR42" s="1136"/>
      <c r="AS42" s="1136"/>
      <c r="AT42" s="315"/>
      <c r="AU42" s="325"/>
      <c r="AV42" s="325"/>
      <c r="AW42" s="315"/>
      <c r="AX42" s="325"/>
      <c r="AY42" s="325"/>
      <c r="AZ42" s="325"/>
    </row>
    <row r="43" spans="1:52" x14ac:dyDescent="0.25">
      <c r="A43" s="604"/>
      <c r="B43" s="611">
        <v>6</v>
      </c>
      <c r="C43" s="72"/>
      <c r="D43" s="317" t="s">
        <v>214</v>
      </c>
      <c r="E43" s="318">
        <f>IFERROR(AVERAGE(E38:E42),"  ")</f>
        <v>0</v>
      </c>
      <c r="F43" s="318">
        <f t="shared" ref="F43:G43" si="62">IFERROR(AVERAGE(F38:F42),"  ")</f>
        <v>0</v>
      </c>
      <c r="G43" s="318">
        <f t="shared" si="62"/>
        <v>0</v>
      </c>
      <c r="H43" s="323"/>
      <c r="I43" s="317" t="s">
        <v>214</v>
      </c>
      <c r="J43" s="318">
        <f>IFERROR(AVERAGE(J38:J42),"  ")</f>
        <v>0</v>
      </c>
      <c r="K43" s="318">
        <f t="shared" ref="K43:N43" si="63">IFERROR(AVERAGE(K38:K42),"  ")</f>
        <v>0</v>
      </c>
      <c r="L43" s="318">
        <f t="shared" si="63"/>
        <v>0</v>
      </c>
      <c r="M43" s="318">
        <f t="shared" si="63"/>
        <v>0</v>
      </c>
      <c r="N43" s="318">
        <f t="shared" si="63"/>
        <v>0</v>
      </c>
      <c r="O43" s="597"/>
      <c r="P43" s="317" t="s">
        <v>214</v>
      </c>
      <c r="Q43" s="318">
        <f>IFERROR(AVERAGE(Q38:Q42),"  ")</f>
        <v>0</v>
      </c>
      <c r="R43" s="318">
        <f t="shared" ref="R43:W43" si="64">IFERROR(AVERAGE(R38:R42),"  ")</f>
        <v>0</v>
      </c>
      <c r="S43" s="318">
        <f t="shared" si="64"/>
        <v>0</v>
      </c>
      <c r="T43" s="318">
        <f t="shared" si="64"/>
        <v>0</v>
      </c>
      <c r="U43" s="318">
        <f t="shared" si="64"/>
        <v>0</v>
      </c>
      <c r="V43" s="318">
        <f t="shared" si="64"/>
        <v>0</v>
      </c>
      <c r="W43" s="318">
        <f t="shared" si="64"/>
        <v>0</v>
      </c>
      <c r="X43" s="317" t="s">
        <v>214</v>
      </c>
      <c r="Y43" s="318">
        <f t="shared" ref="Y43:AB43" si="65">IFERROR(AVERAGE(Y38:Y42),"  ")</f>
        <v>0</v>
      </c>
      <c r="Z43" s="318">
        <f t="shared" si="65"/>
        <v>0</v>
      </c>
      <c r="AA43" s="318">
        <f t="shared" si="65"/>
        <v>0</v>
      </c>
      <c r="AB43" s="318">
        <f t="shared" si="65"/>
        <v>0</v>
      </c>
      <c r="AC43" s="317" t="s">
        <v>214</v>
      </c>
      <c r="AD43" s="318">
        <f t="shared" ref="AD43:AH43" si="66">IFERROR(AVERAGE(AD38:AD42),"  ")</f>
        <v>0</v>
      </c>
      <c r="AE43" s="318">
        <f t="shared" si="66"/>
        <v>0</v>
      </c>
      <c r="AF43" s="318">
        <f t="shared" si="66"/>
        <v>0</v>
      </c>
      <c r="AG43" s="318">
        <f t="shared" si="66"/>
        <v>0</v>
      </c>
      <c r="AH43" s="318">
        <f t="shared" si="66"/>
        <v>0</v>
      </c>
      <c r="AI43" s="317" t="s">
        <v>214</v>
      </c>
      <c r="AJ43" s="318">
        <f t="shared" ref="AJ43:AO43" si="67">IFERROR(AVERAGE(AJ38:AJ42),"  ")</f>
        <v>0</v>
      </c>
      <c r="AK43" s="318">
        <f t="shared" si="67"/>
        <v>0</v>
      </c>
      <c r="AL43" s="318">
        <f t="shared" si="67"/>
        <v>0</v>
      </c>
      <c r="AM43" s="318">
        <f t="shared" si="67"/>
        <v>0</v>
      </c>
      <c r="AN43" s="318">
        <f t="shared" si="67"/>
        <v>0</v>
      </c>
      <c r="AO43" s="318">
        <f t="shared" si="67"/>
        <v>0</v>
      </c>
      <c r="AP43" s="317" t="s">
        <v>214</v>
      </c>
      <c r="AQ43" s="318">
        <f t="shared" ref="AQ43:AS43" si="68">IFERROR(AVERAGE(AQ38:AQ42),"  ")</f>
        <v>0</v>
      </c>
      <c r="AR43" s="318">
        <f t="shared" si="68"/>
        <v>0</v>
      </c>
      <c r="AS43" s="318">
        <f t="shared" si="68"/>
        <v>0</v>
      </c>
      <c r="AT43" s="317" t="s">
        <v>214</v>
      </c>
      <c r="AU43" s="318">
        <f t="shared" ref="AU43:AV43" si="69">IFERROR(AVERAGE(AU38:AU42),"  ")</f>
        <v>0</v>
      </c>
      <c r="AV43" s="318">
        <f t="shared" si="69"/>
        <v>0</v>
      </c>
      <c r="AW43" s="317" t="s">
        <v>214</v>
      </c>
      <c r="AX43" s="318">
        <f t="shared" ref="AX43:AZ43" si="70">IFERROR(AVERAGE(AX38:AX42),"  ")</f>
        <v>0</v>
      </c>
      <c r="AY43" s="318">
        <f t="shared" si="70"/>
        <v>0</v>
      </c>
      <c r="AZ43" s="318">
        <f t="shared" si="70"/>
        <v>0</v>
      </c>
    </row>
    <row r="44" spans="1:52" x14ac:dyDescent="0.25">
      <c r="A44" s="599">
        <v>7</v>
      </c>
      <c r="B44" s="608"/>
      <c r="C44" s="292" t="str">
        <f>VLOOKUP(A44,data_siswa,4,FALSE)</f>
        <v>Athaya Salsabilla Z</v>
      </c>
      <c r="D44" s="316" t="s">
        <v>156</v>
      </c>
      <c r="E44" s="1112"/>
      <c r="F44" s="1112">
        <f>VLOOKUP(A44,AN_PKN6_KI3,13,FALSE)</f>
        <v>0</v>
      </c>
      <c r="G44" s="1112"/>
      <c r="H44" s="324">
        <f>AVERAGE(E44:G44)</f>
        <v>0</v>
      </c>
      <c r="I44" s="316" t="s">
        <v>26</v>
      </c>
      <c r="J44" s="1112"/>
      <c r="K44" s="1112"/>
      <c r="L44" s="1112"/>
      <c r="M44" s="1112">
        <f>VLOOKUP(A44,AN_BI6,19,FALSE)</f>
        <v>0</v>
      </c>
      <c r="N44" s="1112">
        <f>VLOOKUP(A44,AN_BI6,19,FALSE)</f>
        <v>0</v>
      </c>
      <c r="O44" s="545">
        <f>AVERAGE(J44:N44)</f>
        <v>0</v>
      </c>
      <c r="P44" s="316" t="s">
        <v>26</v>
      </c>
      <c r="Q44" s="1112"/>
      <c r="R44" s="1112">
        <f>VLOOKUP(A44,AN_MAT6,16,FALSE)</f>
        <v>0</v>
      </c>
      <c r="S44" s="1112"/>
      <c r="T44" s="1112">
        <f>VLOOKUP(A44,AN_MAT6,16,FALSE)</f>
        <v>0</v>
      </c>
      <c r="U44" s="1112"/>
      <c r="V44" s="1112"/>
      <c r="W44" s="1112"/>
      <c r="X44" s="316" t="s">
        <v>26</v>
      </c>
      <c r="Y44" s="325"/>
      <c r="Z44" s="325"/>
      <c r="AA44" s="325"/>
      <c r="AB44" s="325">
        <f>VLOOKUP(A44,AN_SBDP6,16,FALSE)</f>
        <v>0</v>
      </c>
      <c r="AC44" s="661" t="s">
        <v>156</v>
      </c>
      <c r="AD44" s="325">
        <f>VLOOKUP(A44,AN_SBDP6,16,FALSE)</f>
        <v>0</v>
      </c>
      <c r="AE44" s="325">
        <f>VLOOKUP(A44,AN_SBDP6,16,FALSE)</f>
        <v>0</v>
      </c>
      <c r="AF44" s="325"/>
      <c r="AG44" s="325"/>
      <c r="AH44" s="325">
        <f>VLOOKUP(A44,AN_SBDP6,16,FALSE)</f>
        <v>0</v>
      </c>
      <c r="AI44" s="661" t="s">
        <v>44</v>
      </c>
      <c r="AJ44" s="325"/>
      <c r="AK44" s="325"/>
      <c r="AL44" s="325">
        <f>VLOOKUP(A44,an_agm,51,FALSE)</f>
        <v>0</v>
      </c>
      <c r="AM44" s="325"/>
      <c r="AN44" s="325"/>
      <c r="AO44" s="325"/>
      <c r="AP44" s="315" t="s">
        <v>156</v>
      </c>
      <c r="AQ44" s="325">
        <f>VLOOKUP(A44,UHT_jawa,18,FALSE)</f>
        <v>0</v>
      </c>
      <c r="AR44" s="325"/>
      <c r="AS44" s="325"/>
      <c r="AT44" s="661" t="s">
        <v>44</v>
      </c>
      <c r="AU44" s="325"/>
      <c r="AV44" s="325">
        <f>VLOOKUP(A44,AN_ipa6,16,FALSE)</f>
        <v>0</v>
      </c>
      <c r="AW44" s="661" t="s">
        <v>44</v>
      </c>
      <c r="AX44" s="325"/>
      <c r="AY44" s="325"/>
      <c r="AZ44" s="325">
        <f>VLOOKUP(A44,AN_IPS6,16,FALSE)</f>
        <v>0</v>
      </c>
    </row>
    <row r="45" spans="1:52" x14ac:dyDescent="0.25">
      <c r="A45" s="599"/>
      <c r="B45" s="609"/>
      <c r="C45" s="71"/>
      <c r="D45" s="316" t="s">
        <v>26</v>
      </c>
      <c r="E45" s="1112">
        <f>VLOOKUP(A44,AN_PKN7,12,FALSE)</f>
        <v>0</v>
      </c>
      <c r="F45" s="1112">
        <f>VLOOKUP(A44,AN_PKN7,12,FALSE)</f>
        <v>0</v>
      </c>
      <c r="G45" s="1112">
        <f>VLOOKUP(A44,AN_PKN7,12,FALSE)</f>
        <v>0</v>
      </c>
      <c r="H45" s="324">
        <f>AVERAGE(E45:G45)</f>
        <v>0</v>
      </c>
      <c r="I45" s="316" t="s">
        <v>50</v>
      </c>
      <c r="J45" s="1112">
        <f>VLOOKUP(A44,AN_BI7,21,FALSE)</f>
        <v>0</v>
      </c>
      <c r="K45" s="1112">
        <f>VLOOKUP(A44,AN_BI7,21,FALSE)</f>
        <v>0</v>
      </c>
      <c r="L45" s="1112">
        <f>VLOOKUP(A44,AN_BI7,21,FALSE)</f>
        <v>0</v>
      </c>
      <c r="M45" s="1112">
        <f>VLOOKUP(A44,AN_BI7,21,FALSE)</f>
        <v>0</v>
      </c>
      <c r="N45" s="1112"/>
      <c r="O45" s="545">
        <f t="shared" ref="O45:O47" si="71">AVERAGE(J45:N45)</f>
        <v>0</v>
      </c>
      <c r="P45" s="316" t="s">
        <v>50</v>
      </c>
      <c r="Q45" s="1112"/>
      <c r="R45" s="1112"/>
      <c r="S45" s="1112">
        <f>VLOOKUP(A44,AN_MAT7,16,FALSE)</f>
        <v>0</v>
      </c>
      <c r="T45" s="1112">
        <f>VLOOKUP(A44,AN_MAT7,16,FALSE)</f>
        <v>0</v>
      </c>
      <c r="U45" s="1112">
        <f>VLOOKUP(A44,AN_MAT7,16,FALSE)</f>
        <v>0</v>
      </c>
      <c r="V45" s="1112">
        <f>VLOOKUP(A44,AN_MAT7,16,FALSE)</f>
        <v>0</v>
      </c>
      <c r="W45" s="1112"/>
      <c r="X45" s="316" t="s">
        <v>50</v>
      </c>
      <c r="Y45" s="325">
        <f>VLOOKUP(A44,AN_SBDP7,16,FALSE)</f>
        <v>0</v>
      </c>
      <c r="Z45" s="325">
        <f>VLOOKUP(A44,AN_SBDP7,16,FALSE)</f>
        <v>0</v>
      </c>
      <c r="AA45" s="325"/>
      <c r="AB45" s="325">
        <f>VLOOKUP(A44,AN_SBDP7,16,FALSE)</f>
        <v>0</v>
      </c>
      <c r="AC45" s="661" t="s">
        <v>26</v>
      </c>
      <c r="AD45" s="325"/>
      <c r="AE45" s="325"/>
      <c r="AF45" s="325">
        <f>VLOOKUP(A44,AN_SBDP7,16,FALSE)</f>
        <v>0</v>
      </c>
      <c r="AG45" s="325">
        <f>VLOOKUP(A44,AN_SBDP7,16,FALSE)</f>
        <v>0</v>
      </c>
      <c r="AH45" s="325"/>
      <c r="AI45" s="661" t="s">
        <v>45</v>
      </c>
      <c r="AJ45" s="325">
        <f>VLOOKUP(A44,an_agm,49,FALSE)</f>
        <v>0</v>
      </c>
      <c r="AK45" s="325"/>
      <c r="AL45" s="325"/>
      <c r="AM45" s="325"/>
      <c r="AN45" s="325"/>
      <c r="AO45" s="325"/>
      <c r="AP45" s="315" t="s">
        <v>26</v>
      </c>
      <c r="AQ45" s="325"/>
      <c r="AR45" s="325">
        <f>VLOOKUP(A44,UHT_jawa,19,FALSE)</f>
        <v>0</v>
      </c>
      <c r="AS45" s="325"/>
      <c r="AT45" s="661" t="s">
        <v>45</v>
      </c>
      <c r="AU45" s="325">
        <f>VLOOKUP(A44,AN_IPA7,16,FALSE)</f>
        <v>0</v>
      </c>
      <c r="AV45" s="325">
        <f>VLOOKUP(A44,AN_IPA7,16,FALSE)</f>
        <v>0</v>
      </c>
      <c r="AW45" s="661" t="s">
        <v>45</v>
      </c>
      <c r="AX45" s="325">
        <f>VLOOKUP(A44,an_ips7,16,FALSE)</f>
        <v>0</v>
      </c>
      <c r="AY45" s="325">
        <f>VLOOKUP(A44,an_ips7,16,FALSE)</f>
        <v>0</v>
      </c>
      <c r="AZ45" s="325">
        <f>VLOOKUP(A44,an_ips7,16,FALSE)</f>
        <v>0</v>
      </c>
    </row>
    <row r="46" spans="1:52" x14ac:dyDescent="0.25">
      <c r="A46" s="599"/>
      <c r="B46" s="609"/>
      <c r="C46" s="71"/>
      <c r="D46" s="316" t="s">
        <v>50</v>
      </c>
      <c r="E46" s="1112"/>
      <c r="F46" s="1112">
        <f>VLOOKUP(A44,AN_PKN8,17,FALSE)</f>
        <v>0</v>
      </c>
      <c r="G46" s="1112">
        <f>VLOOKUP(A44,AN_PKN8,17,FALSE)</f>
        <v>0</v>
      </c>
      <c r="H46" s="324">
        <f>AVERAGE(E46:G46)</f>
        <v>0</v>
      </c>
      <c r="I46" s="316" t="s">
        <v>51</v>
      </c>
      <c r="J46" s="1112">
        <f>VLOOKUP(A44,AN_BI8,19,FALSE)</f>
        <v>0</v>
      </c>
      <c r="K46" s="1112"/>
      <c r="L46" s="1112"/>
      <c r="M46" s="1112">
        <f>VLOOKUP(A44,AN_BI8,19,FALSE)</f>
        <v>0</v>
      </c>
      <c r="N46" s="1112"/>
      <c r="O46" s="545">
        <f t="shared" si="71"/>
        <v>0</v>
      </c>
      <c r="P46" s="316" t="s">
        <v>51</v>
      </c>
      <c r="Q46" s="1112">
        <f>VLOOKUP(A44,AN_MAT8,16,FALSE)</f>
        <v>0</v>
      </c>
      <c r="R46" s="1112">
        <f>VLOOKUP(A44,AN_MAT8,16,FALSE)</f>
        <v>0</v>
      </c>
      <c r="S46" s="1112"/>
      <c r="T46" s="1112"/>
      <c r="U46" s="1112"/>
      <c r="V46" s="1112"/>
      <c r="W46" s="1112">
        <f>VLOOKUP(A44,AN_MAT8,16,FALSE)</f>
        <v>0</v>
      </c>
      <c r="X46" s="316" t="s">
        <v>51</v>
      </c>
      <c r="Y46" s="325"/>
      <c r="Z46" s="325">
        <f>VLOOKUP(A44,AN_SBDP8,16,FALSE)</f>
        <v>0</v>
      </c>
      <c r="AA46" s="325"/>
      <c r="AB46" s="325">
        <f>VLOOKUP(A44,AN_SBDP8,16,FALSE)</f>
        <v>0</v>
      </c>
      <c r="AC46" s="661" t="s">
        <v>50</v>
      </c>
      <c r="AD46" s="325"/>
      <c r="AE46" s="325"/>
      <c r="AF46" s="325">
        <f>VLOOKUP(A44,AN_SBDP8,16,FALSE)</f>
        <v>0</v>
      </c>
      <c r="AG46" s="325"/>
      <c r="AH46" s="325">
        <f>VLOOKUP(A44,AN_SBDP8,16,FALSE)</f>
        <v>0</v>
      </c>
      <c r="AI46" s="661" t="s">
        <v>46</v>
      </c>
      <c r="AJ46" s="325"/>
      <c r="AK46" s="325"/>
      <c r="AL46" s="325"/>
      <c r="AM46" s="325">
        <f>VLOOKUP(A44,an_agm,52,FALSE)</f>
        <v>0</v>
      </c>
      <c r="AN46" s="325">
        <f>VLOOKUP(A44,an_agm,53,FALSE)</f>
        <v>0</v>
      </c>
      <c r="AO46" s="325"/>
      <c r="AP46" s="315" t="s">
        <v>50</v>
      </c>
      <c r="AQ46" s="325"/>
      <c r="AR46" s="325"/>
      <c r="AS46" s="325">
        <f>VLOOKUP(A44,UHT_jawa,20,FALSE)</f>
        <v>0</v>
      </c>
      <c r="AT46" s="661" t="s">
        <v>46</v>
      </c>
      <c r="AU46" s="325"/>
      <c r="AV46" s="325">
        <f>VLOOKUP(A44,AN_IPA7,16,FALSE)</f>
        <v>0</v>
      </c>
      <c r="AW46" s="661" t="s">
        <v>46</v>
      </c>
      <c r="AX46" s="325">
        <f>VLOOKUP(A44,AN_ips8,16,FALSE)</f>
        <v>0</v>
      </c>
      <c r="AY46" s="325">
        <f>VLOOKUP(A44,AN_ips8,16,FALSE)</f>
        <v>0</v>
      </c>
      <c r="AZ46" s="325">
        <f>VLOOKUP(A44,AN_ips8,16,FALSE)</f>
        <v>0</v>
      </c>
    </row>
    <row r="47" spans="1:52" x14ac:dyDescent="0.25">
      <c r="A47" s="599"/>
      <c r="B47" s="609"/>
      <c r="C47" s="71"/>
      <c r="D47" s="316" t="s">
        <v>51</v>
      </c>
      <c r="E47" s="325">
        <f>VLOOKUP(A44,AN_PKN9,16,FALSE)</f>
        <v>0</v>
      </c>
      <c r="F47" s="325"/>
      <c r="G47" s="325"/>
      <c r="H47" s="324">
        <f>AVERAGE(E47:G47)</f>
        <v>0</v>
      </c>
      <c r="I47" s="316" t="s">
        <v>52</v>
      </c>
      <c r="J47" s="1112">
        <f>VLOOKUP(A44,AN_BI9,21,FALSE)</f>
        <v>0</v>
      </c>
      <c r="K47" s="1112">
        <f>VLOOKUP(A44,AN_BI9,21,FALSE)</f>
        <v>0</v>
      </c>
      <c r="L47" s="1112">
        <f>VLOOKUP(A44,AN_BI9,21,FALSE)</f>
        <v>0</v>
      </c>
      <c r="M47" s="1112">
        <f>VLOOKUP(A44,AN_BI9,21,FALSE)</f>
        <v>0</v>
      </c>
      <c r="N47" s="1112"/>
      <c r="O47" s="545">
        <f t="shared" si="71"/>
        <v>0</v>
      </c>
      <c r="P47" s="316" t="s">
        <v>52</v>
      </c>
      <c r="Q47" s="1112">
        <f>VLOOKUP(A44,AN_MAT9,16,FALSE)</f>
        <v>0</v>
      </c>
      <c r="R47" s="1112">
        <f>VLOOKUP(A44,AN_MAT9,16,FALSE)</f>
        <v>0</v>
      </c>
      <c r="S47" s="1112">
        <f>VLOOKUP(A44,AN_MAT9,16,FALSE)</f>
        <v>0</v>
      </c>
      <c r="T47" s="1112">
        <f>VLOOKUP(A44,AN_MAT9,16,FALSE)</f>
        <v>0</v>
      </c>
      <c r="U47" s="1112">
        <f>VLOOKUP(A44,AN_MAT9,16,FALSE)</f>
        <v>0</v>
      </c>
      <c r="V47" s="1112">
        <f>VLOOKUP(A44,AN_MAT9,16,FALSE)</f>
        <v>0</v>
      </c>
      <c r="W47" s="1112">
        <f>VLOOKUP(A44,AN_MAT9,16,FALSE)</f>
        <v>0</v>
      </c>
      <c r="X47" s="316" t="s">
        <v>52</v>
      </c>
      <c r="Y47" s="325"/>
      <c r="Z47" s="325">
        <f>VLOOKUP(A44,AN_SBDP9,16,FALSE)</f>
        <v>0</v>
      </c>
      <c r="AA47" s="325">
        <f>VLOOKUP(A44,AN_SBDP9,16,FALSE)</f>
        <v>0</v>
      </c>
      <c r="AB47" s="325"/>
      <c r="AC47" s="661" t="s">
        <v>51</v>
      </c>
      <c r="AD47" s="325"/>
      <c r="AE47" s="325">
        <f>VLOOKUP(A44,AN_SBDP9,16,FALSE)</f>
        <v>0</v>
      </c>
      <c r="AF47" s="325">
        <f>VLOOKUP(A44,AN_SBDP9,16,FALSE)</f>
        <v>0</v>
      </c>
      <c r="AG47" s="325"/>
      <c r="AH47" s="325"/>
      <c r="AI47" s="661" t="s">
        <v>47</v>
      </c>
      <c r="AJ47" s="325"/>
      <c r="AK47" s="325">
        <f>VLOOKUP(A44,an_agm,50,FALSE)</f>
        <v>0</v>
      </c>
      <c r="AL47" s="325"/>
      <c r="AM47" s="325"/>
      <c r="AN47" s="325"/>
      <c r="AO47" s="325"/>
      <c r="AP47" s="315" t="s">
        <v>51</v>
      </c>
      <c r="AQ47" s="325"/>
      <c r="AR47" s="325"/>
      <c r="AS47" s="325"/>
      <c r="AT47" s="661" t="s">
        <v>47</v>
      </c>
      <c r="AU47" s="325"/>
      <c r="AV47" s="325">
        <f>VLOOKUP(A44,an_IPA9,16,FALSE)</f>
        <v>0</v>
      </c>
      <c r="AW47" s="661" t="s">
        <v>47</v>
      </c>
      <c r="AX47" s="325">
        <f>VLOOKUP(A44,AN_IPS_9,16,FALSE)</f>
        <v>0</v>
      </c>
      <c r="AY47" s="325"/>
      <c r="AZ47" s="325">
        <f>VLOOKUP(A44,AN_IPS_9,16,FALSE)</f>
        <v>0</v>
      </c>
    </row>
    <row r="48" spans="1:52" x14ac:dyDescent="0.25">
      <c r="A48" s="599"/>
      <c r="B48" s="609"/>
      <c r="C48" s="71"/>
      <c r="D48" s="316"/>
      <c r="E48" s="1112"/>
      <c r="F48" s="1112"/>
      <c r="G48" s="1112"/>
      <c r="H48" s="1074"/>
      <c r="I48" s="316"/>
      <c r="J48" s="1112"/>
      <c r="K48" s="1112"/>
      <c r="L48" s="1112"/>
      <c r="M48" s="1112"/>
      <c r="N48" s="1112"/>
      <c r="O48" s="1074"/>
      <c r="P48" s="315"/>
      <c r="Q48" s="1112"/>
      <c r="R48" s="1112"/>
      <c r="S48" s="1112"/>
      <c r="T48" s="1112"/>
      <c r="U48" s="1112"/>
      <c r="V48" s="1112"/>
      <c r="W48" s="1112"/>
      <c r="X48" s="315"/>
      <c r="Y48" s="325"/>
      <c r="Z48" s="325"/>
      <c r="AA48" s="325"/>
      <c r="AB48" s="325"/>
      <c r="AC48" s="661"/>
      <c r="AD48" s="1112"/>
      <c r="AE48" s="1112"/>
      <c r="AF48" s="1112"/>
      <c r="AG48" s="1112"/>
      <c r="AH48" s="1112"/>
      <c r="AI48" s="661" t="s">
        <v>48</v>
      </c>
      <c r="AJ48" s="325"/>
      <c r="AK48" s="325"/>
      <c r="AL48" s="325"/>
      <c r="AM48" s="325"/>
      <c r="AN48" s="325"/>
      <c r="AO48" s="325">
        <f>VLOOKUP(A44,an_agm,54,FALSE)</f>
        <v>0</v>
      </c>
      <c r="AP48" s="315"/>
      <c r="AQ48" s="1136"/>
      <c r="AR48" s="1136"/>
      <c r="AS48" s="1136"/>
      <c r="AT48" s="315"/>
      <c r="AU48" s="325"/>
      <c r="AV48" s="325"/>
      <c r="AW48" s="315"/>
      <c r="AX48" s="325"/>
      <c r="AY48" s="325"/>
      <c r="AZ48" s="325"/>
    </row>
    <row r="49" spans="1:52" x14ac:dyDescent="0.25">
      <c r="A49" s="604"/>
      <c r="B49" s="611">
        <v>7</v>
      </c>
      <c r="C49" s="72"/>
      <c r="D49" s="317" t="s">
        <v>214</v>
      </c>
      <c r="E49" s="318">
        <f>IFERROR(AVERAGE(E44:E48),"  ")</f>
        <v>0</v>
      </c>
      <c r="F49" s="318">
        <f t="shared" ref="F49:G49" si="72">IFERROR(AVERAGE(F44:F48),"  ")</f>
        <v>0</v>
      </c>
      <c r="G49" s="318">
        <f t="shared" si="72"/>
        <v>0</v>
      </c>
      <c r="H49" s="323"/>
      <c r="I49" s="317" t="s">
        <v>214</v>
      </c>
      <c r="J49" s="318">
        <f>IFERROR(AVERAGE(J44:J48),"  ")</f>
        <v>0</v>
      </c>
      <c r="K49" s="318">
        <f t="shared" ref="K49:N49" si="73">IFERROR(AVERAGE(K44:K48),"  ")</f>
        <v>0</v>
      </c>
      <c r="L49" s="318">
        <f t="shared" si="73"/>
        <v>0</v>
      </c>
      <c r="M49" s="318">
        <f t="shared" si="73"/>
        <v>0</v>
      </c>
      <c r="N49" s="318">
        <f t="shared" si="73"/>
        <v>0</v>
      </c>
      <c r="O49" s="597"/>
      <c r="P49" s="317" t="s">
        <v>214</v>
      </c>
      <c r="Q49" s="318">
        <f>IFERROR(AVERAGE(Q44:Q48),"  ")</f>
        <v>0</v>
      </c>
      <c r="R49" s="318">
        <f t="shared" ref="R49:W49" si="74">IFERROR(AVERAGE(R44:R48),"  ")</f>
        <v>0</v>
      </c>
      <c r="S49" s="318">
        <f t="shared" si="74"/>
        <v>0</v>
      </c>
      <c r="T49" s="318">
        <f t="shared" si="74"/>
        <v>0</v>
      </c>
      <c r="U49" s="318">
        <f t="shared" si="74"/>
        <v>0</v>
      </c>
      <c r="V49" s="318">
        <f t="shared" si="74"/>
        <v>0</v>
      </c>
      <c r="W49" s="318">
        <f t="shared" si="74"/>
        <v>0</v>
      </c>
      <c r="X49" s="317" t="s">
        <v>214</v>
      </c>
      <c r="Y49" s="318">
        <f t="shared" ref="Y49:AB49" si="75">IFERROR(AVERAGE(Y44:Y48),"  ")</f>
        <v>0</v>
      </c>
      <c r="Z49" s="318">
        <f t="shared" si="75"/>
        <v>0</v>
      </c>
      <c r="AA49" s="318">
        <f t="shared" si="75"/>
        <v>0</v>
      </c>
      <c r="AB49" s="318">
        <f t="shared" si="75"/>
        <v>0</v>
      </c>
      <c r="AC49" s="317" t="s">
        <v>214</v>
      </c>
      <c r="AD49" s="318">
        <f t="shared" ref="AD49:AH49" si="76">IFERROR(AVERAGE(AD44:AD48),"  ")</f>
        <v>0</v>
      </c>
      <c r="AE49" s="318">
        <f t="shared" si="76"/>
        <v>0</v>
      </c>
      <c r="AF49" s="318">
        <f t="shared" si="76"/>
        <v>0</v>
      </c>
      <c r="AG49" s="318">
        <f t="shared" si="76"/>
        <v>0</v>
      </c>
      <c r="AH49" s="318">
        <f t="shared" si="76"/>
        <v>0</v>
      </c>
      <c r="AI49" s="317" t="s">
        <v>214</v>
      </c>
      <c r="AJ49" s="318">
        <f t="shared" ref="AJ49:AO49" si="77">IFERROR(AVERAGE(AJ44:AJ48),"  ")</f>
        <v>0</v>
      </c>
      <c r="AK49" s="318">
        <f t="shared" si="77"/>
        <v>0</v>
      </c>
      <c r="AL49" s="318">
        <f t="shared" si="77"/>
        <v>0</v>
      </c>
      <c r="AM49" s="318">
        <f t="shared" si="77"/>
        <v>0</v>
      </c>
      <c r="AN49" s="318">
        <f t="shared" si="77"/>
        <v>0</v>
      </c>
      <c r="AO49" s="318">
        <f t="shared" si="77"/>
        <v>0</v>
      </c>
      <c r="AP49" s="317" t="s">
        <v>214</v>
      </c>
      <c r="AQ49" s="318">
        <f t="shared" ref="AQ49:AS49" si="78">IFERROR(AVERAGE(AQ44:AQ48),"  ")</f>
        <v>0</v>
      </c>
      <c r="AR49" s="318">
        <f t="shared" si="78"/>
        <v>0</v>
      </c>
      <c r="AS49" s="318">
        <f t="shared" si="78"/>
        <v>0</v>
      </c>
      <c r="AT49" s="317" t="s">
        <v>214</v>
      </c>
      <c r="AU49" s="318">
        <f t="shared" ref="AU49:AV49" si="79">IFERROR(AVERAGE(AU44:AU48),"  ")</f>
        <v>0</v>
      </c>
      <c r="AV49" s="318">
        <f t="shared" si="79"/>
        <v>0</v>
      </c>
      <c r="AW49" s="317" t="s">
        <v>214</v>
      </c>
      <c r="AX49" s="318">
        <f t="shared" ref="AX49:AZ49" si="80">IFERROR(AVERAGE(AX44:AX48),"  ")</f>
        <v>0</v>
      </c>
      <c r="AY49" s="318">
        <f t="shared" si="80"/>
        <v>0</v>
      </c>
      <c r="AZ49" s="318">
        <f t="shared" si="80"/>
        <v>0</v>
      </c>
    </row>
    <row r="50" spans="1:52" x14ac:dyDescent="0.25">
      <c r="A50" s="599">
        <v>8</v>
      </c>
      <c r="B50" s="608"/>
      <c r="C50" s="292" t="str">
        <f>VLOOKUP(A50,data_siswa,4,FALSE)</f>
        <v>Aulia Dea Rosalinda</v>
      </c>
      <c r="D50" s="316" t="s">
        <v>156</v>
      </c>
      <c r="E50" s="1112"/>
      <c r="F50" s="1112">
        <f>VLOOKUP(A50,AN_PKN6_KI3,13,FALSE)</f>
        <v>0</v>
      </c>
      <c r="G50" s="1112"/>
      <c r="H50" s="324">
        <f>AVERAGE(E50:G50)</f>
        <v>0</v>
      </c>
      <c r="I50" s="316" t="s">
        <v>26</v>
      </c>
      <c r="J50" s="1112"/>
      <c r="K50" s="1112"/>
      <c r="L50" s="1112"/>
      <c r="M50" s="1112">
        <f>VLOOKUP(A50,AN_BI6,19,FALSE)</f>
        <v>0</v>
      </c>
      <c r="N50" s="1112">
        <f>VLOOKUP(A50,AN_BI6,19,FALSE)</f>
        <v>0</v>
      </c>
      <c r="O50" s="545">
        <f>AVERAGE(J50:N50)</f>
        <v>0</v>
      </c>
      <c r="P50" s="316" t="s">
        <v>26</v>
      </c>
      <c r="Q50" s="1112"/>
      <c r="R50" s="1112">
        <f>VLOOKUP(A50,AN_MAT6,16,FALSE)</f>
        <v>0</v>
      </c>
      <c r="S50" s="1112"/>
      <c r="T50" s="1112">
        <f>VLOOKUP(A50,AN_MAT6,16,FALSE)</f>
        <v>0</v>
      </c>
      <c r="U50" s="1112"/>
      <c r="V50" s="1112"/>
      <c r="W50" s="1112"/>
      <c r="X50" s="316" t="s">
        <v>26</v>
      </c>
      <c r="Y50" s="325"/>
      <c r="Z50" s="325"/>
      <c r="AA50" s="325"/>
      <c r="AB50" s="325">
        <f>VLOOKUP(A50,AN_SBDP6,16,FALSE)</f>
        <v>0</v>
      </c>
      <c r="AC50" s="661" t="s">
        <v>156</v>
      </c>
      <c r="AD50" s="325">
        <f>VLOOKUP(A50,AN_SBDP6,16,FALSE)</f>
        <v>0</v>
      </c>
      <c r="AE50" s="325">
        <f>VLOOKUP(A50,AN_SBDP6,16,FALSE)</f>
        <v>0</v>
      </c>
      <c r="AF50" s="325"/>
      <c r="AG50" s="325"/>
      <c r="AH50" s="325">
        <f>VLOOKUP(A50,AN_SBDP6,16,FALSE)</f>
        <v>0</v>
      </c>
      <c r="AI50" s="661" t="s">
        <v>44</v>
      </c>
      <c r="AJ50" s="325"/>
      <c r="AK50" s="325"/>
      <c r="AL50" s="325">
        <f>VLOOKUP(A50,an_agm,51,FALSE)</f>
        <v>0</v>
      </c>
      <c r="AM50" s="325"/>
      <c r="AN50" s="325"/>
      <c r="AO50" s="325"/>
      <c r="AP50" s="315" t="s">
        <v>156</v>
      </c>
      <c r="AQ50" s="325">
        <f>VLOOKUP(A50,UHT_jawa,18,FALSE)</f>
        <v>0</v>
      </c>
      <c r="AR50" s="325"/>
      <c r="AS50" s="325"/>
      <c r="AT50" s="661" t="s">
        <v>44</v>
      </c>
      <c r="AU50" s="325"/>
      <c r="AV50" s="325">
        <f>VLOOKUP(A50,AN_ipa6,16,FALSE)</f>
        <v>0</v>
      </c>
      <c r="AW50" s="661" t="s">
        <v>44</v>
      </c>
      <c r="AX50" s="325"/>
      <c r="AY50" s="325"/>
      <c r="AZ50" s="325">
        <f>VLOOKUP(A50,AN_IPS6,16,FALSE)</f>
        <v>0</v>
      </c>
    </row>
    <row r="51" spans="1:52" x14ac:dyDescent="0.25">
      <c r="A51" s="599"/>
      <c r="B51" s="609"/>
      <c r="C51" s="71"/>
      <c r="D51" s="316" t="s">
        <v>26</v>
      </c>
      <c r="E51" s="1112">
        <f>VLOOKUP(A50,AN_PKN7,12,FALSE)</f>
        <v>0</v>
      </c>
      <c r="F51" s="1112">
        <f>VLOOKUP(A50,AN_PKN7,12,FALSE)</f>
        <v>0</v>
      </c>
      <c r="G51" s="1112">
        <f>VLOOKUP(A50,AN_PKN7,12,FALSE)</f>
        <v>0</v>
      </c>
      <c r="H51" s="324">
        <f>AVERAGE(E51:G51)</f>
        <v>0</v>
      </c>
      <c r="I51" s="316" t="s">
        <v>50</v>
      </c>
      <c r="J51" s="1112">
        <f>VLOOKUP(A50,AN_BI7,21,FALSE)</f>
        <v>0</v>
      </c>
      <c r="K51" s="1112">
        <f>VLOOKUP(A50,AN_BI7,21,FALSE)</f>
        <v>0</v>
      </c>
      <c r="L51" s="1112">
        <f>VLOOKUP(A50,AN_BI7,21,FALSE)</f>
        <v>0</v>
      </c>
      <c r="M51" s="1112">
        <f>VLOOKUP(A50,AN_BI7,21,FALSE)</f>
        <v>0</v>
      </c>
      <c r="N51" s="1112"/>
      <c r="O51" s="545">
        <f t="shared" ref="O51:O53" si="81">AVERAGE(J51:N51)</f>
        <v>0</v>
      </c>
      <c r="P51" s="316" t="s">
        <v>50</v>
      </c>
      <c r="Q51" s="1112"/>
      <c r="R51" s="1112"/>
      <c r="S51" s="1112">
        <f>VLOOKUP(A50,AN_MAT7,16,FALSE)</f>
        <v>0</v>
      </c>
      <c r="T51" s="1112">
        <f>VLOOKUP(A50,AN_MAT7,16,FALSE)</f>
        <v>0</v>
      </c>
      <c r="U51" s="1112">
        <f>VLOOKUP(A50,AN_MAT7,16,FALSE)</f>
        <v>0</v>
      </c>
      <c r="V51" s="1112">
        <f>VLOOKUP(A50,AN_MAT7,16,FALSE)</f>
        <v>0</v>
      </c>
      <c r="W51" s="1112"/>
      <c r="X51" s="316" t="s">
        <v>50</v>
      </c>
      <c r="Y51" s="325">
        <f>VLOOKUP(A50,AN_SBDP7,16,FALSE)</f>
        <v>0</v>
      </c>
      <c r="Z51" s="325">
        <f>VLOOKUP(A50,AN_SBDP7,16,FALSE)</f>
        <v>0</v>
      </c>
      <c r="AA51" s="325"/>
      <c r="AB51" s="325">
        <f>VLOOKUP(A50,AN_SBDP7,16,FALSE)</f>
        <v>0</v>
      </c>
      <c r="AC51" s="661" t="s">
        <v>26</v>
      </c>
      <c r="AD51" s="325"/>
      <c r="AE51" s="325"/>
      <c r="AF51" s="325">
        <f>VLOOKUP(A50,AN_SBDP7,16,FALSE)</f>
        <v>0</v>
      </c>
      <c r="AG51" s="325">
        <f>VLOOKUP(A50,AN_SBDP7,16,FALSE)</f>
        <v>0</v>
      </c>
      <c r="AH51" s="325"/>
      <c r="AI51" s="661" t="s">
        <v>45</v>
      </c>
      <c r="AJ51" s="325">
        <f>VLOOKUP(A50,an_agm,49,FALSE)</f>
        <v>0</v>
      </c>
      <c r="AK51" s="325"/>
      <c r="AL51" s="325"/>
      <c r="AM51" s="325"/>
      <c r="AN51" s="325"/>
      <c r="AO51" s="325"/>
      <c r="AP51" s="315" t="s">
        <v>26</v>
      </c>
      <c r="AQ51" s="325"/>
      <c r="AR51" s="325">
        <f>VLOOKUP(A50,UHT_jawa,19,FALSE)</f>
        <v>0</v>
      </c>
      <c r="AS51" s="325"/>
      <c r="AT51" s="661" t="s">
        <v>45</v>
      </c>
      <c r="AU51" s="325">
        <f>VLOOKUP(A50,AN_IPA7,16,FALSE)</f>
        <v>0</v>
      </c>
      <c r="AV51" s="325">
        <f>VLOOKUP(A50,AN_IPA7,16,FALSE)</f>
        <v>0</v>
      </c>
      <c r="AW51" s="661" t="s">
        <v>45</v>
      </c>
      <c r="AX51" s="325">
        <f>VLOOKUP(A50,an_ips7,16,FALSE)</f>
        <v>0</v>
      </c>
      <c r="AY51" s="325">
        <f>VLOOKUP(A50,an_ips7,16,FALSE)</f>
        <v>0</v>
      </c>
      <c r="AZ51" s="325">
        <f>VLOOKUP(A50,an_ips7,16,FALSE)</f>
        <v>0</v>
      </c>
    </row>
    <row r="52" spans="1:52" x14ac:dyDescent="0.25">
      <c r="A52" s="599"/>
      <c r="B52" s="609"/>
      <c r="C52" s="71"/>
      <c r="D52" s="316" t="s">
        <v>50</v>
      </c>
      <c r="E52" s="1112"/>
      <c r="F52" s="1112">
        <f>VLOOKUP(A50,AN_PKN8,17,FALSE)</f>
        <v>0</v>
      </c>
      <c r="G52" s="1112">
        <f>VLOOKUP(A50,AN_PKN8,17,FALSE)</f>
        <v>0</v>
      </c>
      <c r="H52" s="324">
        <f>AVERAGE(E52:G52)</f>
        <v>0</v>
      </c>
      <c r="I52" s="316" t="s">
        <v>51</v>
      </c>
      <c r="J52" s="1112">
        <f>VLOOKUP(A50,AN_BI8,19,FALSE)</f>
        <v>0</v>
      </c>
      <c r="K52" s="1112"/>
      <c r="L52" s="1112"/>
      <c r="M52" s="1112">
        <f>VLOOKUP(A50,AN_BI8,19,FALSE)</f>
        <v>0</v>
      </c>
      <c r="N52" s="1112"/>
      <c r="O52" s="545">
        <f t="shared" si="81"/>
        <v>0</v>
      </c>
      <c r="P52" s="316" t="s">
        <v>51</v>
      </c>
      <c r="Q52" s="1112">
        <f>VLOOKUP(A50,AN_MAT8,16,FALSE)</f>
        <v>0</v>
      </c>
      <c r="R52" s="1112">
        <f>VLOOKUP(A50,AN_MAT8,16,FALSE)</f>
        <v>0</v>
      </c>
      <c r="S52" s="1112"/>
      <c r="T52" s="1112"/>
      <c r="U52" s="1112"/>
      <c r="V52" s="1112"/>
      <c r="W52" s="1112">
        <f>VLOOKUP(A50,AN_MAT8,16,FALSE)</f>
        <v>0</v>
      </c>
      <c r="X52" s="316" t="s">
        <v>51</v>
      </c>
      <c r="Y52" s="325"/>
      <c r="Z52" s="325">
        <f>VLOOKUP(A50,AN_SBDP8,16,FALSE)</f>
        <v>0</v>
      </c>
      <c r="AA52" s="325"/>
      <c r="AB52" s="325">
        <f>VLOOKUP(A50,AN_SBDP8,16,FALSE)</f>
        <v>0</v>
      </c>
      <c r="AC52" s="661" t="s">
        <v>50</v>
      </c>
      <c r="AD52" s="325"/>
      <c r="AE52" s="325"/>
      <c r="AF52" s="325">
        <f>VLOOKUP(A50,AN_SBDP8,16,FALSE)</f>
        <v>0</v>
      </c>
      <c r="AG52" s="325"/>
      <c r="AH52" s="325">
        <f>VLOOKUP(A50,AN_SBDP8,16,FALSE)</f>
        <v>0</v>
      </c>
      <c r="AI52" s="661" t="s">
        <v>46</v>
      </c>
      <c r="AJ52" s="325"/>
      <c r="AK52" s="325"/>
      <c r="AL52" s="325"/>
      <c r="AM52" s="325">
        <f>VLOOKUP(A50,an_agm,52,FALSE)</f>
        <v>0</v>
      </c>
      <c r="AN52" s="325">
        <f>VLOOKUP(A50,an_agm,53,FALSE)</f>
        <v>0</v>
      </c>
      <c r="AO52" s="325"/>
      <c r="AP52" s="315" t="s">
        <v>50</v>
      </c>
      <c r="AQ52" s="325"/>
      <c r="AR52" s="325"/>
      <c r="AS52" s="325">
        <f>VLOOKUP(A50,UHT_jawa,20,FALSE)</f>
        <v>0</v>
      </c>
      <c r="AT52" s="661" t="s">
        <v>46</v>
      </c>
      <c r="AU52" s="325"/>
      <c r="AV52" s="325">
        <f>VLOOKUP(A50,AN_IPA7,16,FALSE)</f>
        <v>0</v>
      </c>
      <c r="AW52" s="661" t="s">
        <v>46</v>
      </c>
      <c r="AX52" s="325">
        <f>VLOOKUP(A50,AN_ips8,16,FALSE)</f>
        <v>0</v>
      </c>
      <c r="AY52" s="325">
        <f>VLOOKUP(A50,AN_ips8,16,FALSE)</f>
        <v>0</v>
      </c>
      <c r="AZ52" s="325">
        <f>VLOOKUP(A50,AN_ips8,16,FALSE)</f>
        <v>0</v>
      </c>
    </row>
    <row r="53" spans="1:52" x14ac:dyDescent="0.25">
      <c r="A53" s="599"/>
      <c r="B53" s="609"/>
      <c r="C53" s="71"/>
      <c r="D53" s="316" t="s">
        <v>51</v>
      </c>
      <c r="E53" s="325">
        <f>VLOOKUP(A50,AN_PKN9,16,FALSE)</f>
        <v>0</v>
      </c>
      <c r="F53" s="325"/>
      <c r="G53" s="325"/>
      <c r="H53" s="324">
        <f>AVERAGE(E53:G53)</f>
        <v>0</v>
      </c>
      <c r="I53" s="316" t="s">
        <v>52</v>
      </c>
      <c r="J53" s="1112">
        <f>VLOOKUP(A50,AN_BI9,21,FALSE)</f>
        <v>0</v>
      </c>
      <c r="K53" s="1112">
        <f>VLOOKUP(A50,AN_BI9,21,FALSE)</f>
        <v>0</v>
      </c>
      <c r="L53" s="1112">
        <f>VLOOKUP(A50,AN_BI9,21,FALSE)</f>
        <v>0</v>
      </c>
      <c r="M53" s="1112">
        <f>VLOOKUP(A50,AN_BI9,21,FALSE)</f>
        <v>0</v>
      </c>
      <c r="N53" s="1112"/>
      <c r="O53" s="545">
        <f t="shared" si="81"/>
        <v>0</v>
      </c>
      <c r="P53" s="316" t="s">
        <v>52</v>
      </c>
      <c r="Q53" s="1112">
        <f>VLOOKUP(A50,AN_MAT9,16,FALSE)</f>
        <v>0</v>
      </c>
      <c r="R53" s="1112">
        <f>VLOOKUP(A50,AN_MAT9,16,FALSE)</f>
        <v>0</v>
      </c>
      <c r="S53" s="1112">
        <f>VLOOKUP(A50,AN_MAT9,16,FALSE)</f>
        <v>0</v>
      </c>
      <c r="T53" s="1112">
        <f>VLOOKUP(A50,AN_MAT9,16,FALSE)</f>
        <v>0</v>
      </c>
      <c r="U53" s="1112">
        <f>VLOOKUP(A50,AN_MAT9,16,FALSE)</f>
        <v>0</v>
      </c>
      <c r="V53" s="1112">
        <f>VLOOKUP(A50,AN_MAT9,16,FALSE)</f>
        <v>0</v>
      </c>
      <c r="W53" s="1112">
        <f>VLOOKUP(A50,AN_MAT9,16,FALSE)</f>
        <v>0</v>
      </c>
      <c r="X53" s="316" t="s">
        <v>52</v>
      </c>
      <c r="Y53" s="325"/>
      <c r="Z53" s="325">
        <f>VLOOKUP(A50,AN_SBDP9,16,FALSE)</f>
        <v>0</v>
      </c>
      <c r="AA53" s="325">
        <f>VLOOKUP(A50,AN_SBDP9,16,FALSE)</f>
        <v>0</v>
      </c>
      <c r="AB53" s="325"/>
      <c r="AC53" s="661" t="s">
        <v>51</v>
      </c>
      <c r="AD53" s="325"/>
      <c r="AE53" s="325">
        <f>VLOOKUP(A50,AN_SBDP9,16,FALSE)</f>
        <v>0</v>
      </c>
      <c r="AF53" s="325">
        <f>VLOOKUP(A50,AN_SBDP9,16,FALSE)</f>
        <v>0</v>
      </c>
      <c r="AG53" s="325"/>
      <c r="AH53" s="325"/>
      <c r="AI53" s="661" t="s">
        <v>47</v>
      </c>
      <c r="AJ53" s="325"/>
      <c r="AK53" s="325">
        <f>VLOOKUP(A50,an_agm,50,FALSE)</f>
        <v>0</v>
      </c>
      <c r="AL53" s="325"/>
      <c r="AM53" s="325"/>
      <c r="AN53" s="325"/>
      <c r="AO53" s="325"/>
      <c r="AP53" s="315" t="s">
        <v>51</v>
      </c>
      <c r="AQ53" s="325"/>
      <c r="AR53" s="325"/>
      <c r="AS53" s="325"/>
      <c r="AT53" s="661" t="s">
        <v>47</v>
      </c>
      <c r="AU53" s="325"/>
      <c r="AV53" s="325">
        <f>VLOOKUP(A50,an_IPA9,16,FALSE)</f>
        <v>0</v>
      </c>
      <c r="AW53" s="661" t="s">
        <v>47</v>
      </c>
      <c r="AX53" s="325">
        <f>VLOOKUP(A50,AN_IPS_9,16,FALSE)</f>
        <v>0</v>
      </c>
      <c r="AY53" s="325"/>
      <c r="AZ53" s="325">
        <f>VLOOKUP(A50,AN_IPS_9,16,FALSE)</f>
        <v>0</v>
      </c>
    </row>
    <row r="54" spans="1:52" x14ac:dyDescent="0.25">
      <c r="A54" s="599"/>
      <c r="B54" s="609"/>
      <c r="C54" s="71"/>
      <c r="D54" s="316"/>
      <c r="E54" s="1112"/>
      <c r="F54" s="1112"/>
      <c r="G54" s="1112"/>
      <c r="H54" s="1074"/>
      <c r="I54" s="316"/>
      <c r="J54" s="1112"/>
      <c r="K54" s="1112"/>
      <c r="L54" s="1112"/>
      <c r="M54" s="1112"/>
      <c r="N54" s="1112"/>
      <c r="O54" s="1074"/>
      <c r="P54" s="315"/>
      <c r="Q54" s="1112"/>
      <c r="R54" s="1112"/>
      <c r="S54" s="1112"/>
      <c r="T54" s="1112"/>
      <c r="U54" s="1112"/>
      <c r="V54" s="1112"/>
      <c r="W54" s="1112"/>
      <c r="X54" s="315"/>
      <c r="Y54" s="325"/>
      <c r="Z54" s="325"/>
      <c r="AA54" s="325"/>
      <c r="AB54" s="325"/>
      <c r="AC54" s="661"/>
      <c r="AD54" s="1112"/>
      <c r="AE54" s="1112"/>
      <c r="AF54" s="1112"/>
      <c r="AG54" s="1112"/>
      <c r="AH54" s="1112"/>
      <c r="AI54" s="661" t="s">
        <v>48</v>
      </c>
      <c r="AJ54" s="325"/>
      <c r="AK54" s="325"/>
      <c r="AL54" s="325"/>
      <c r="AM54" s="325"/>
      <c r="AN54" s="325"/>
      <c r="AO54" s="325">
        <f>VLOOKUP(A50,an_agm,54,FALSE)</f>
        <v>0</v>
      </c>
      <c r="AP54" s="315"/>
      <c r="AQ54" s="1136"/>
      <c r="AR54" s="1136"/>
      <c r="AS54" s="1136"/>
      <c r="AT54" s="315"/>
      <c r="AU54" s="325"/>
      <c r="AV54" s="325"/>
      <c r="AW54" s="315"/>
      <c r="AX54" s="325"/>
      <c r="AY54" s="325"/>
      <c r="AZ54" s="325"/>
    </row>
    <row r="55" spans="1:52" x14ac:dyDescent="0.25">
      <c r="A55" s="604"/>
      <c r="B55" s="611">
        <v>8</v>
      </c>
      <c r="C55" s="72"/>
      <c r="D55" s="317" t="s">
        <v>214</v>
      </c>
      <c r="E55" s="318">
        <f>IFERROR(AVERAGE(E50:E54),"  ")</f>
        <v>0</v>
      </c>
      <c r="F55" s="318">
        <f t="shared" ref="F55:G55" si="82">IFERROR(AVERAGE(F50:F54),"  ")</f>
        <v>0</v>
      </c>
      <c r="G55" s="318">
        <f t="shared" si="82"/>
        <v>0</v>
      </c>
      <c r="H55" s="323"/>
      <c r="I55" s="317" t="s">
        <v>214</v>
      </c>
      <c r="J55" s="318">
        <f>IFERROR(AVERAGE(J50:J54),"  ")</f>
        <v>0</v>
      </c>
      <c r="K55" s="318">
        <f t="shared" ref="K55:N55" si="83">IFERROR(AVERAGE(K50:K54),"  ")</f>
        <v>0</v>
      </c>
      <c r="L55" s="318">
        <f t="shared" si="83"/>
        <v>0</v>
      </c>
      <c r="M55" s="318">
        <f t="shared" si="83"/>
        <v>0</v>
      </c>
      <c r="N55" s="318">
        <f t="shared" si="83"/>
        <v>0</v>
      </c>
      <c r="O55" s="597"/>
      <c r="P55" s="317" t="s">
        <v>214</v>
      </c>
      <c r="Q55" s="318">
        <f>IFERROR(AVERAGE(Q50:Q54),"  ")</f>
        <v>0</v>
      </c>
      <c r="R55" s="318">
        <f t="shared" ref="R55:W55" si="84">IFERROR(AVERAGE(R50:R54),"  ")</f>
        <v>0</v>
      </c>
      <c r="S55" s="318">
        <f t="shared" si="84"/>
        <v>0</v>
      </c>
      <c r="T55" s="318">
        <f t="shared" si="84"/>
        <v>0</v>
      </c>
      <c r="U55" s="318">
        <f t="shared" si="84"/>
        <v>0</v>
      </c>
      <c r="V55" s="318">
        <f t="shared" si="84"/>
        <v>0</v>
      </c>
      <c r="W55" s="318">
        <f t="shared" si="84"/>
        <v>0</v>
      </c>
      <c r="X55" s="317" t="s">
        <v>214</v>
      </c>
      <c r="Y55" s="318">
        <f t="shared" ref="Y55:AB55" si="85">IFERROR(AVERAGE(Y50:Y54),"  ")</f>
        <v>0</v>
      </c>
      <c r="Z55" s="318">
        <f t="shared" si="85"/>
        <v>0</v>
      </c>
      <c r="AA55" s="318">
        <f t="shared" si="85"/>
        <v>0</v>
      </c>
      <c r="AB55" s="318">
        <f t="shared" si="85"/>
        <v>0</v>
      </c>
      <c r="AC55" s="317" t="s">
        <v>214</v>
      </c>
      <c r="AD55" s="318">
        <f t="shared" ref="AD55:AH55" si="86">IFERROR(AVERAGE(AD50:AD54),"  ")</f>
        <v>0</v>
      </c>
      <c r="AE55" s="318">
        <f t="shared" si="86"/>
        <v>0</v>
      </c>
      <c r="AF55" s="318">
        <f t="shared" si="86"/>
        <v>0</v>
      </c>
      <c r="AG55" s="318">
        <f t="shared" si="86"/>
        <v>0</v>
      </c>
      <c r="AH55" s="318">
        <f t="shared" si="86"/>
        <v>0</v>
      </c>
      <c r="AI55" s="317" t="s">
        <v>214</v>
      </c>
      <c r="AJ55" s="318">
        <f t="shared" ref="AJ55:AO55" si="87">IFERROR(AVERAGE(AJ50:AJ54),"  ")</f>
        <v>0</v>
      </c>
      <c r="AK55" s="318">
        <f t="shared" si="87"/>
        <v>0</v>
      </c>
      <c r="AL55" s="318">
        <f t="shared" si="87"/>
        <v>0</v>
      </c>
      <c r="AM55" s="318">
        <f t="shared" si="87"/>
        <v>0</v>
      </c>
      <c r="AN55" s="318">
        <f t="shared" si="87"/>
        <v>0</v>
      </c>
      <c r="AO55" s="318">
        <f t="shared" si="87"/>
        <v>0</v>
      </c>
      <c r="AP55" s="317" t="s">
        <v>214</v>
      </c>
      <c r="AQ55" s="318">
        <f t="shared" ref="AQ55:AS55" si="88">IFERROR(AVERAGE(AQ50:AQ54),"  ")</f>
        <v>0</v>
      </c>
      <c r="AR55" s="318">
        <f t="shared" si="88"/>
        <v>0</v>
      </c>
      <c r="AS55" s="318">
        <f t="shared" si="88"/>
        <v>0</v>
      </c>
      <c r="AT55" s="317" t="s">
        <v>214</v>
      </c>
      <c r="AU55" s="318">
        <f t="shared" ref="AU55:AV55" si="89">IFERROR(AVERAGE(AU50:AU54),"  ")</f>
        <v>0</v>
      </c>
      <c r="AV55" s="318">
        <f t="shared" si="89"/>
        <v>0</v>
      </c>
      <c r="AW55" s="317" t="s">
        <v>214</v>
      </c>
      <c r="AX55" s="318">
        <f t="shared" ref="AX55:AZ55" si="90">IFERROR(AVERAGE(AX50:AX54),"  ")</f>
        <v>0</v>
      </c>
      <c r="AY55" s="318">
        <f t="shared" si="90"/>
        <v>0</v>
      </c>
      <c r="AZ55" s="318">
        <f t="shared" si="90"/>
        <v>0</v>
      </c>
    </row>
    <row r="56" spans="1:52" x14ac:dyDescent="0.25">
      <c r="A56" s="599">
        <v>9</v>
      </c>
      <c r="B56" s="608"/>
      <c r="C56" s="292" t="str">
        <f>VLOOKUP(A56,data_siswa,4,FALSE)</f>
        <v>Claudia Gabriella L</v>
      </c>
      <c r="D56" s="316" t="s">
        <v>156</v>
      </c>
      <c r="E56" s="1112"/>
      <c r="F56" s="1112">
        <f>VLOOKUP(A56,AN_PKN6_KI3,13,FALSE)</f>
        <v>0</v>
      </c>
      <c r="G56" s="1112"/>
      <c r="H56" s="324">
        <f>AVERAGE(E56:G56)</f>
        <v>0</v>
      </c>
      <c r="I56" s="316" t="s">
        <v>26</v>
      </c>
      <c r="J56" s="1112"/>
      <c r="K56" s="1112"/>
      <c r="L56" s="1112"/>
      <c r="M56" s="1112">
        <f>VLOOKUP(A56,AN_BI6,19,FALSE)</f>
        <v>0</v>
      </c>
      <c r="N56" s="1112">
        <f>VLOOKUP(A56,AN_BI6,19,FALSE)</f>
        <v>0</v>
      </c>
      <c r="O56" s="545">
        <f>AVERAGE(J56:N56)</f>
        <v>0</v>
      </c>
      <c r="P56" s="316" t="s">
        <v>26</v>
      </c>
      <c r="Q56" s="1112"/>
      <c r="R56" s="1112">
        <f>VLOOKUP(A56,AN_MAT6,16,FALSE)</f>
        <v>0</v>
      </c>
      <c r="S56" s="1112"/>
      <c r="T56" s="1112">
        <f>VLOOKUP(A56,AN_MAT6,16,FALSE)</f>
        <v>0</v>
      </c>
      <c r="U56" s="1112"/>
      <c r="V56" s="1112"/>
      <c r="W56" s="1112"/>
      <c r="X56" s="316" t="s">
        <v>26</v>
      </c>
      <c r="Y56" s="325"/>
      <c r="Z56" s="325"/>
      <c r="AA56" s="325"/>
      <c r="AB56" s="325">
        <f>VLOOKUP(A56,AN_SBDP6,16,FALSE)</f>
        <v>0</v>
      </c>
      <c r="AC56" s="661" t="s">
        <v>156</v>
      </c>
      <c r="AD56" s="325">
        <f>VLOOKUP(A56,AN_SBDP6,16,FALSE)</f>
        <v>0</v>
      </c>
      <c r="AE56" s="325">
        <f>VLOOKUP(A56,AN_SBDP6,16,FALSE)</f>
        <v>0</v>
      </c>
      <c r="AF56" s="325"/>
      <c r="AG56" s="325"/>
      <c r="AH56" s="325">
        <f>VLOOKUP(A56,AN_SBDP6,16,FALSE)</f>
        <v>0</v>
      </c>
      <c r="AI56" s="661" t="s">
        <v>44</v>
      </c>
      <c r="AJ56" s="325"/>
      <c r="AK56" s="325"/>
      <c r="AL56" s="325">
        <f>VLOOKUP(A56,an_agm,51,FALSE)</f>
        <v>0</v>
      </c>
      <c r="AM56" s="325"/>
      <c r="AN56" s="325"/>
      <c r="AO56" s="325"/>
      <c r="AP56" s="315" t="s">
        <v>156</v>
      </c>
      <c r="AQ56" s="325">
        <f>VLOOKUP(A56,UHT_jawa,18,FALSE)</f>
        <v>0</v>
      </c>
      <c r="AR56" s="325"/>
      <c r="AS56" s="325"/>
      <c r="AT56" s="661" t="s">
        <v>44</v>
      </c>
      <c r="AU56" s="325"/>
      <c r="AV56" s="325">
        <f>VLOOKUP(A56,AN_ipa6,16,FALSE)</f>
        <v>0</v>
      </c>
      <c r="AW56" s="661" t="s">
        <v>44</v>
      </c>
      <c r="AX56" s="325"/>
      <c r="AY56" s="325"/>
      <c r="AZ56" s="325">
        <f>VLOOKUP(A56,AN_IPS6,16,FALSE)</f>
        <v>0</v>
      </c>
    </row>
    <row r="57" spans="1:52" x14ac:dyDescent="0.25">
      <c r="A57" s="599"/>
      <c r="B57" s="609"/>
      <c r="C57" s="71"/>
      <c r="D57" s="316" t="s">
        <v>26</v>
      </c>
      <c r="E57" s="1112">
        <f>VLOOKUP(A56,AN_PKN7,12,FALSE)</f>
        <v>0</v>
      </c>
      <c r="F57" s="1112">
        <f>VLOOKUP(A56,AN_PKN7,12,FALSE)</f>
        <v>0</v>
      </c>
      <c r="G57" s="1112">
        <f>VLOOKUP(A56,AN_PKN7,12,FALSE)</f>
        <v>0</v>
      </c>
      <c r="H57" s="324">
        <f>AVERAGE(E57:G57)</f>
        <v>0</v>
      </c>
      <c r="I57" s="316" t="s">
        <v>50</v>
      </c>
      <c r="J57" s="1112">
        <f>VLOOKUP(A56,AN_BI7,21,FALSE)</f>
        <v>0</v>
      </c>
      <c r="K57" s="1112">
        <f>VLOOKUP(A56,AN_BI7,21,FALSE)</f>
        <v>0</v>
      </c>
      <c r="L57" s="1112">
        <f>VLOOKUP(A56,AN_BI7,21,FALSE)</f>
        <v>0</v>
      </c>
      <c r="M57" s="1112">
        <f>VLOOKUP(A56,AN_BI7,21,FALSE)</f>
        <v>0</v>
      </c>
      <c r="N57" s="1112"/>
      <c r="O57" s="545">
        <f t="shared" ref="O57:O59" si="91">AVERAGE(J57:N57)</f>
        <v>0</v>
      </c>
      <c r="P57" s="316" t="s">
        <v>50</v>
      </c>
      <c r="Q57" s="1112"/>
      <c r="R57" s="1112"/>
      <c r="S57" s="1112">
        <f>VLOOKUP(A56,AN_MAT7,16,FALSE)</f>
        <v>0</v>
      </c>
      <c r="T57" s="1112">
        <f>VLOOKUP(A56,AN_MAT7,16,FALSE)</f>
        <v>0</v>
      </c>
      <c r="U57" s="1112">
        <f>VLOOKUP(A56,AN_MAT7,16,FALSE)</f>
        <v>0</v>
      </c>
      <c r="V57" s="1112">
        <f>VLOOKUP(A56,AN_MAT7,16,FALSE)</f>
        <v>0</v>
      </c>
      <c r="W57" s="1112"/>
      <c r="X57" s="316" t="s">
        <v>50</v>
      </c>
      <c r="Y57" s="325">
        <f>VLOOKUP(A56,AN_SBDP7,16,FALSE)</f>
        <v>0</v>
      </c>
      <c r="Z57" s="325">
        <f>VLOOKUP(A56,AN_SBDP7,16,FALSE)</f>
        <v>0</v>
      </c>
      <c r="AA57" s="325"/>
      <c r="AB57" s="325">
        <f>VLOOKUP(A56,AN_SBDP7,16,FALSE)</f>
        <v>0</v>
      </c>
      <c r="AC57" s="661" t="s">
        <v>26</v>
      </c>
      <c r="AD57" s="325"/>
      <c r="AE57" s="325"/>
      <c r="AF57" s="325">
        <f>VLOOKUP(A56,AN_SBDP7,16,FALSE)</f>
        <v>0</v>
      </c>
      <c r="AG57" s="325">
        <f>VLOOKUP(A56,AN_SBDP7,16,FALSE)</f>
        <v>0</v>
      </c>
      <c r="AH57" s="325"/>
      <c r="AI57" s="661" t="s">
        <v>45</v>
      </c>
      <c r="AJ57" s="325">
        <f>VLOOKUP(A56,an_agm,49,FALSE)</f>
        <v>0</v>
      </c>
      <c r="AK57" s="325"/>
      <c r="AL57" s="325"/>
      <c r="AM57" s="325"/>
      <c r="AN57" s="325"/>
      <c r="AO57" s="325"/>
      <c r="AP57" s="315" t="s">
        <v>26</v>
      </c>
      <c r="AQ57" s="325"/>
      <c r="AR57" s="325">
        <f>VLOOKUP(A56,UHT_jawa,19,FALSE)</f>
        <v>0</v>
      </c>
      <c r="AS57" s="325"/>
      <c r="AT57" s="661" t="s">
        <v>45</v>
      </c>
      <c r="AU57" s="325">
        <f>VLOOKUP(A56,AN_IPA7,16,FALSE)</f>
        <v>0</v>
      </c>
      <c r="AV57" s="325">
        <f>VLOOKUP(A56,AN_IPA7,16,FALSE)</f>
        <v>0</v>
      </c>
      <c r="AW57" s="661" t="s">
        <v>45</v>
      </c>
      <c r="AX57" s="325">
        <f>VLOOKUP(A56,an_ips7,16,FALSE)</f>
        <v>0</v>
      </c>
      <c r="AY57" s="325">
        <f>VLOOKUP(A56,an_ips7,16,FALSE)</f>
        <v>0</v>
      </c>
      <c r="AZ57" s="325">
        <f>VLOOKUP(A56,an_ips7,16,FALSE)</f>
        <v>0</v>
      </c>
    </row>
    <row r="58" spans="1:52" x14ac:dyDescent="0.25">
      <c r="A58" s="599"/>
      <c r="B58" s="609"/>
      <c r="C58" s="71"/>
      <c r="D58" s="316" t="s">
        <v>50</v>
      </c>
      <c r="E58" s="1112"/>
      <c r="F58" s="1112">
        <f>VLOOKUP(A56,AN_PKN8,17,FALSE)</f>
        <v>0</v>
      </c>
      <c r="G58" s="1112">
        <f>VLOOKUP(A56,AN_PKN8,17,FALSE)</f>
        <v>0</v>
      </c>
      <c r="H58" s="324">
        <f>AVERAGE(E58:G58)</f>
        <v>0</v>
      </c>
      <c r="I58" s="316" t="s">
        <v>51</v>
      </c>
      <c r="J58" s="1112">
        <f>VLOOKUP(A56,AN_BI8,19,FALSE)</f>
        <v>0</v>
      </c>
      <c r="K58" s="1112"/>
      <c r="L58" s="1112"/>
      <c r="M58" s="1112">
        <f>VLOOKUP(A56,AN_BI8,19,FALSE)</f>
        <v>0</v>
      </c>
      <c r="N58" s="1112"/>
      <c r="O58" s="545">
        <f t="shared" si="91"/>
        <v>0</v>
      </c>
      <c r="P58" s="316" t="s">
        <v>51</v>
      </c>
      <c r="Q58" s="1112">
        <f>VLOOKUP(A56,AN_MAT8,16,FALSE)</f>
        <v>0</v>
      </c>
      <c r="R58" s="1112">
        <f>VLOOKUP(A56,AN_MAT8,16,FALSE)</f>
        <v>0</v>
      </c>
      <c r="S58" s="1112"/>
      <c r="T58" s="1112"/>
      <c r="U58" s="1112"/>
      <c r="V58" s="1112"/>
      <c r="W58" s="1112">
        <f>VLOOKUP(A56,AN_MAT8,16,FALSE)</f>
        <v>0</v>
      </c>
      <c r="X58" s="316" t="s">
        <v>51</v>
      </c>
      <c r="Y58" s="325"/>
      <c r="Z58" s="325">
        <f>VLOOKUP(A56,AN_SBDP8,16,FALSE)</f>
        <v>0</v>
      </c>
      <c r="AA58" s="325"/>
      <c r="AB58" s="325">
        <f>VLOOKUP(A56,AN_SBDP8,16,FALSE)</f>
        <v>0</v>
      </c>
      <c r="AC58" s="661" t="s">
        <v>50</v>
      </c>
      <c r="AD58" s="325"/>
      <c r="AE58" s="325"/>
      <c r="AF58" s="325">
        <f>VLOOKUP(A56,AN_SBDP8,16,FALSE)</f>
        <v>0</v>
      </c>
      <c r="AG58" s="325"/>
      <c r="AH58" s="325">
        <f>VLOOKUP(A56,AN_SBDP8,16,FALSE)</f>
        <v>0</v>
      </c>
      <c r="AI58" s="661" t="s">
        <v>46</v>
      </c>
      <c r="AJ58" s="325"/>
      <c r="AK58" s="325"/>
      <c r="AL58" s="325"/>
      <c r="AM58" s="325">
        <f>VLOOKUP(A56,an_agm,52,FALSE)</f>
        <v>0</v>
      </c>
      <c r="AN58" s="325">
        <f>VLOOKUP(A56,an_agm,53,FALSE)</f>
        <v>0</v>
      </c>
      <c r="AO58" s="325"/>
      <c r="AP58" s="315" t="s">
        <v>50</v>
      </c>
      <c r="AQ58" s="325"/>
      <c r="AR58" s="325"/>
      <c r="AS58" s="325">
        <f>VLOOKUP(A56,UHT_jawa,20,FALSE)</f>
        <v>0</v>
      </c>
      <c r="AT58" s="661" t="s">
        <v>46</v>
      </c>
      <c r="AU58" s="325"/>
      <c r="AV58" s="325">
        <f>VLOOKUP(A56,AN_IPA7,16,FALSE)</f>
        <v>0</v>
      </c>
      <c r="AW58" s="661" t="s">
        <v>46</v>
      </c>
      <c r="AX58" s="325">
        <f>VLOOKUP(A56,AN_ips8,16,FALSE)</f>
        <v>0</v>
      </c>
      <c r="AY58" s="325">
        <f>VLOOKUP(A56,AN_ips8,16,FALSE)</f>
        <v>0</v>
      </c>
      <c r="AZ58" s="325">
        <f>VLOOKUP(A56,AN_ips8,16,FALSE)</f>
        <v>0</v>
      </c>
    </row>
    <row r="59" spans="1:52" x14ac:dyDescent="0.25">
      <c r="A59" s="599"/>
      <c r="B59" s="609"/>
      <c r="C59" s="71"/>
      <c r="D59" s="316" t="s">
        <v>51</v>
      </c>
      <c r="E59" s="325">
        <f>VLOOKUP(A56,AN_PKN9,16,FALSE)</f>
        <v>0</v>
      </c>
      <c r="F59" s="325"/>
      <c r="G59" s="325"/>
      <c r="H59" s="324">
        <f>AVERAGE(E59:G59)</f>
        <v>0</v>
      </c>
      <c r="I59" s="316" t="s">
        <v>52</v>
      </c>
      <c r="J59" s="1112">
        <f>VLOOKUP(A56,AN_BI9,21,FALSE)</f>
        <v>0</v>
      </c>
      <c r="K59" s="1112">
        <f>VLOOKUP(A56,AN_BI9,21,FALSE)</f>
        <v>0</v>
      </c>
      <c r="L59" s="1112">
        <f>VLOOKUP(A56,AN_BI9,21,FALSE)</f>
        <v>0</v>
      </c>
      <c r="M59" s="1112">
        <f>VLOOKUP(A56,AN_BI9,21,FALSE)</f>
        <v>0</v>
      </c>
      <c r="N59" s="1112"/>
      <c r="O59" s="545">
        <f t="shared" si="91"/>
        <v>0</v>
      </c>
      <c r="P59" s="316" t="s">
        <v>52</v>
      </c>
      <c r="Q59" s="1112">
        <f>VLOOKUP(A56,AN_MAT9,16,FALSE)</f>
        <v>0</v>
      </c>
      <c r="R59" s="1112">
        <f>VLOOKUP(A56,AN_MAT9,16,FALSE)</f>
        <v>0</v>
      </c>
      <c r="S59" s="1112">
        <f>VLOOKUP(A56,AN_MAT9,16,FALSE)</f>
        <v>0</v>
      </c>
      <c r="T59" s="1112">
        <f>VLOOKUP(A56,AN_MAT9,16,FALSE)</f>
        <v>0</v>
      </c>
      <c r="U59" s="1112">
        <f>VLOOKUP(A56,AN_MAT9,16,FALSE)</f>
        <v>0</v>
      </c>
      <c r="V59" s="1112">
        <f>VLOOKUP(A56,AN_MAT9,16,FALSE)</f>
        <v>0</v>
      </c>
      <c r="W59" s="1112">
        <f>VLOOKUP(A56,AN_MAT9,16,FALSE)</f>
        <v>0</v>
      </c>
      <c r="X59" s="316" t="s">
        <v>52</v>
      </c>
      <c r="Y59" s="325"/>
      <c r="Z59" s="325">
        <f>VLOOKUP(A56,AN_SBDP9,16,FALSE)</f>
        <v>0</v>
      </c>
      <c r="AA59" s="325">
        <f>VLOOKUP(A56,AN_SBDP9,16,FALSE)</f>
        <v>0</v>
      </c>
      <c r="AB59" s="325"/>
      <c r="AC59" s="661" t="s">
        <v>51</v>
      </c>
      <c r="AD59" s="325"/>
      <c r="AE59" s="325">
        <f>VLOOKUP(A56,AN_SBDP9,16,FALSE)</f>
        <v>0</v>
      </c>
      <c r="AF59" s="325">
        <f>VLOOKUP(A56,AN_SBDP9,16,FALSE)</f>
        <v>0</v>
      </c>
      <c r="AG59" s="325"/>
      <c r="AH59" s="325"/>
      <c r="AI59" s="661" t="s">
        <v>47</v>
      </c>
      <c r="AJ59" s="325"/>
      <c r="AK59" s="325">
        <f>VLOOKUP(A56,an_agm,50,FALSE)</f>
        <v>0</v>
      </c>
      <c r="AL59" s="325"/>
      <c r="AM59" s="325"/>
      <c r="AN59" s="325"/>
      <c r="AO59" s="325"/>
      <c r="AP59" s="315" t="s">
        <v>51</v>
      </c>
      <c r="AQ59" s="325"/>
      <c r="AR59" s="325"/>
      <c r="AS59" s="325"/>
      <c r="AT59" s="661" t="s">
        <v>47</v>
      </c>
      <c r="AU59" s="325"/>
      <c r="AV59" s="325">
        <f>VLOOKUP(A56,an_IPA9,16,FALSE)</f>
        <v>0</v>
      </c>
      <c r="AW59" s="661" t="s">
        <v>47</v>
      </c>
      <c r="AX59" s="325">
        <f>VLOOKUP(A56,AN_IPS_9,16,FALSE)</f>
        <v>0</v>
      </c>
      <c r="AY59" s="325"/>
      <c r="AZ59" s="325">
        <f>VLOOKUP(A56,AN_IPS_9,16,FALSE)</f>
        <v>0</v>
      </c>
    </row>
    <row r="60" spans="1:52" x14ac:dyDescent="0.25">
      <c r="A60" s="599"/>
      <c r="B60" s="609"/>
      <c r="C60" s="71"/>
      <c r="D60" s="316"/>
      <c r="E60" s="1112"/>
      <c r="F60" s="1112"/>
      <c r="G60" s="1112"/>
      <c r="H60" s="1074"/>
      <c r="I60" s="316"/>
      <c r="J60" s="1112"/>
      <c r="K60" s="1112"/>
      <c r="L60" s="1112"/>
      <c r="M60" s="1112"/>
      <c r="N60" s="1112"/>
      <c r="O60" s="1074"/>
      <c r="P60" s="315"/>
      <c r="Q60" s="1112"/>
      <c r="R60" s="1112"/>
      <c r="S60" s="1112"/>
      <c r="T60" s="1112"/>
      <c r="U60" s="1112"/>
      <c r="V60" s="1112"/>
      <c r="W60" s="1112"/>
      <c r="X60" s="315"/>
      <c r="Y60" s="325"/>
      <c r="Z60" s="325"/>
      <c r="AA60" s="325"/>
      <c r="AB60" s="325"/>
      <c r="AC60" s="661"/>
      <c r="AD60" s="1112"/>
      <c r="AE60" s="1112"/>
      <c r="AF60" s="1112"/>
      <c r="AG60" s="1112"/>
      <c r="AH60" s="1112"/>
      <c r="AI60" s="661" t="s">
        <v>48</v>
      </c>
      <c r="AJ60" s="325"/>
      <c r="AK60" s="325"/>
      <c r="AL60" s="325"/>
      <c r="AM60" s="325"/>
      <c r="AN60" s="325"/>
      <c r="AO60" s="325">
        <f>VLOOKUP(A56,an_agm,54,FALSE)</f>
        <v>0</v>
      </c>
      <c r="AP60" s="315"/>
      <c r="AQ60" s="1136"/>
      <c r="AR60" s="1136"/>
      <c r="AS60" s="1136"/>
      <c r="AT60" s="315"/>
      <c r="AU60" s="325"/>
      <c r="AV60" s="325"/>
      <c r="AW60" s="315"/>
      <c r="AX60" s="325"/>
      <c r="AY60" s="325"/>
      <c r="AZ60" s="325"/>
    </row>
    <row r="61" spans="1:52" x14ac:dyDescent="0.25">
      <c r="A61" s="604"/>
      <c r="B61" s="611">
        <v>9</v>
      </c>
      <c r="C61" s="72"/>
      <c r="D61" s="317" t="s">
        <v>214</v>
      </c>
      <c r="E61" s="318">
        <f>IFERROR(AVERAGE(E56:E60),"  ")</f>
        <v>0</v>
      </c>
      <c r="F61" s="318">
        <f t="shared" ref="F61:G61" si="92">IFERROR(AVERAGE(F56:F60),"  ")</f>
        <v>0</v>
      </c>
      <c r="G61" s="318">
        <f t="shared" si="92"/>
        <v>0</v>
      </c>
      <c r="H61" s="323"/>
      <c r="I61" s="317" t="s">
        <v>214</v>
      </c>
      <c r="J61" s="318">
        <f>IFERROR(AVERAGE(J56:J60),"  ")</f>
        <v>0</v>
      </c>
      <c r="K61" s="318">
        <f t="shared" ref="K61:N61" si="93">IFERROR(AVERAGE(K56:K60),"  ")</f>
        <v>0</v>
      </c>
      <c r="L61" s="318">
        <f t="shared" si="93"/>
        <v>0</v>
      </c>
      <c r="M61" s="318">
        <f t="shared" si="93"/>
        <v>0</v>
      </c>
      <c r="N61" s="318">
        <f t="shared" si="93"/>
        <v>0</v>
      </c>
      <c r="O61" s="597"/>
      <c r="P61" s="317" t="s">
        <v>214</v>
      </c>
      <c r="Q61" s="318">
        <f>IFERROR(AVERAGE(Q56:Q60),"  ")</f>
        <v>0</v>
      </c>
      <c r="R61" s="318">
        <f t="shared" ref="R61:W61" si="94">IFERROR(AVERAGE(R56:R60),"  ")</f>
        <v>0</v>
      </c>
      <c r="S61" s="318">
        <f t="shared" si="94"/>
        <v>0</v>
      </c>
      <c r="T61" s="318">
        <f t="shared" si="94"/>
        <v>0</v>
      </c>
      <c r="U61" s="318">
        <f t="shared" si="94"/>
        <v>0</v>
      </c>
      <c r="V61" s="318">
        <f t="shared" si="94"/>
        <v>0</v>
      </c>
      <c r="W61" s="318">
        <f t="shared" si="94"/>
        <v>0</v>
      </c>
      <c r="X61" s="317" t="s">
        <v>214</v>
      </c>
      <c r="Y61" s="318">
        <f t="shared" ref="Y61:AB61" si="95">IFERROR(AVERAGE(Y56:Y60),"  ")</f>
        <v>0</v>
      </c>
      <c r="Z61" s="318">
        <f t="shared" si="95"/>
        <v>0</v>
      </c>
      <c r="AA61" s="318">
        <f t="shared" si="95"/>
        <v>0</v>
      </c>
      <c r="AB61" s="318">
        <f t="shared" si="95"/>
        <v>0</v>
      </c>
      <c r="AC61" s="317" t="s">
        <v>214</v>
      </c>
      <c r="AD61" s="318">
        <f t="shared" ref="AD61:AH61" si="96">IFERROR(AVERAGE(AD56:AD60),"  ")</f>
        <v>0</v>
      </c>
      <c r="AE61" s="318">
        <f t="shared" si="96"/>
        <v>0</v>
      </c>
      <c r="AF61" s="318">
        <f t="shared" si="96"/>
        <v>0</v>
      </c>
      <c r="AG61" s="318">
        <f t="shared" si="96"/>
        <v>0</v>
      </c>
      <c r="AH61" s="318">
        <f t="shared" si="96"/>
        <v>0</v>
      </c>
      <c r="AI61" s="317" t="s">
        <v>214</v>
      </c>
      <c r="AJ61" s="318">
        <f t="shared" ref="AJ61:AO61" si="97">IFERROR(AVERAGE(AJ56:AJ60),"  ")</f>
        <v>0</v>
      </c>
      <c r="AK61" s="318">
        <f t="shared" si="97"/>
        <v>0</v>
      </c>
      <c r="AL61" s="318">
        <f t="shared" si="97"/>
        <v>0</v>
      </c>
      <c r="AM61" s="318">
        <f t="shared" si="97"/>
        <v>0</v>
      </c>
      <c r="AN61" s="318">
        <f t="shared" si="97"/>
        <v>0</v>
      </c>
      <c r="AO61" s="318">
        <f t="shared" si="97"/>
        <v>0</v>
      </c>
      <c r="AP61" s="317" t="s">
        <v>214</v>
      </c>
      <c r="AQ61" s="318">
        <f t="shared" ref="AQ61:AS61" si="98">IFERROR(AVERAGE(AQ56:AQ60),"  ")</f>
        <v>0</v>
      </c>
      <c r="AR61" s="318">
        <f t="shared" si="98"/>
        <v>0</v>
      </c>
      <c r="AS61" s="318">
        <f t="shared" si="98"/>
        <v>0</v>
      </c>
      <c r="AT61" s="317" t="s">
        <v>214</v>
      </c>
      <c r="AU61" s="318">
        <f t="shared" ref="AU61:AV61" si="99">IFERROR(AVERAGE(AU56:AU60),"  ")</f>
        <v>0</v>
      </c>
      <c r="AV61" s="318">
        <f t="shared" si="99"/>
        <v>0</v>
      </c>
      <c r="AW61" s="317" t="s">
        <v>214</v>
      </c>
      <c r="AX61" s="318">
        <f t="shared" ref="AX61:AZ61" si="100">IFERROR(AVERAGE(AX56:AX60),"  ")</f>
        <v>0</v>
      </c>
      <c r="AY61" s="318">
        <f t="shared" si="100"/>
        <v>0</v>
      </c>
      <c r="AZ61" s="318">
        <f t="shared" si="100"/>
        <v>0</v>
      </c>
    </row>
    <row r="62" spans="1:52" x14ac:dyDescent="0.25">
      <c r="A62" s="599">
        <v>10</v>
      </c>
      <c r="B62" s="608"/>
      <c r="C62" s="292" t="str">
        <f>VLOOKUP(A62,data_siswa,4,FALSE)</f>
        <v xml:space="preserve">Deco Badarus Zaman </v>
      </c>
      <c r="D62" s="316" t="s">
        <v>156</v>
      </c>
      <c r="E62" s="1112"/>
      <c r="F62" s="1112">
        <f>VLOOKUP(A62,AN_PKN6_KI3,13,FALSE)</f>
        <v>0</v>
      </c>
      <c r="G62" s="1112"/>
      <c r="H62" s="324">
        <f>AVERAGE(E62:G62)</f>
        <v>0</v>
      </c>
      <c r="I62" s="316" t="s">
        <v>26</v>
      </c>
      <c r="J62" s="1112"/>
      <c r="K62" s="1112"/>
      <c r="L62" s="1112"/>
      <c r="M62" s="1112">
        <f>VLOOKUP(A62,AN_BI6,19,FALSE)</f>
        <v>0</v>
      </c>
      <c r="N62" s="1112">
        <f>VLOOKUP(A62,AN_BI6,19,FALSE)</f>
        <v>0</v>
      </c>
      <c r="O62" s="545">
        <f>AVERAGE(J62:N62)</f>
        <v>0</v>
      </c>
      <c r="P62" s="316" t="s">
        <v>26</v>
      </c>
      <c r="Q62" s="1112"/>
      <c r="R62" s="1112">
        <f>VLOOKUP(A62,AN_MAT6,16,FALSE)</f>
        <v>0</v>
      </c>
      <c r="S62" s="1112"/>
      <c r="T62" s="1112">
        <f>VLOOKUP(A62,AN_MAT6,16,FALSE)</f>
        <v>0</v>
      </c>
      <c r="U62" s="1112"/>
      <c r="V62" s="1112"/>
      <c r="W62" s="1112"/>
      <c r="X62" s="316" t="s">
        <v>26</v>
      </c>
      <c r="Y62" s="325"/>
      <c r="Z62" s="325"/>
      <c r="AA62" s="325"/>
      <c r="AB62" s="325">
        <f>VLOOKUP(A62,AN_SBDP6,16,FALSE)</f>
        <v>0</v>
      </c>
      <c r="AC62" s="661" t="s">
        <v>156</v>
      </c>
      <c r="AD62" s="325">
        <f>VLOOKUP(A62,AN_SBDP6,16,FALSE)</f>
        <v>0</v>
      </c>
      <c r="AE62" s="325">
        <f>VLOOKUP(A62,AN_SBDP6,16,FALSE)</f>
        <v>0</v>
      </c>
      <c r="AF62" s="325"/>
      <c r="AG62" s="325"/>
      <c r="AH62" s="325">
        <f>VLOOKUP(A62,AN_SBDP6,16,FALSE)</f>
        <v>0</v>
      </c>
      <c r="AI62" s="661" t="s">
        <v>44</v>
      </c>
      <c r="AJ62" s="325"/>
      <c r="AK62" s="325"/>
      <c r="AL62" s="325">
        <f>VLOOKUP(A62,an_agm,51,FALSE)</f>
        <v>0</v>
      </c>
      <c r="AM62" s="325"/>
      <c r="AN62" s="325"/>
      <c r="AO62" s="325"/>
      <c r="AP62" s="315" t="s">
        <v>156</v>
      </c>
      <c r="AQ62" s="325">
        <f>VLOOKUP(A62,UHT_jawa,18,FALSE)</f>
        <v>0</v>
      </c>
      <c r="AR62" s="325"/>
      <c r="AS62" s="325"/>
      <c r="AT62" s="661" t="s">
        <v>44</v>
      </c>
      <c r="AU62" s="325"/>
      <c r="AV62" s="325">
        <f>VLOOKUP(A62,AN_ipa6,16,FALSE)</f>
        <v>0</v>
      </c>
      <c r="AW62" s="661" t="s">
        <v>44</v>
      </c>
      <c r="AX62" s="325"/>
      <c r="AY62" s="325"/>
      <c r="AZ62" s="325">
        <f>VLOOKUP(A62,AN_IPS6,16,FALSE)</f>
        <v>0</v>
      </c>
    </row>
    <row r="63" spans="1:52" x14ac:dyDescent="0.25">
      <c r="A63" s="599"/>
      <c r="B63" s="609"/>
      <c r="C63" s="71"/>
      <c r="D63" s="316" t="s">
        <v>26</v>
      </c>
      <c r="E63" s="1112">
        <f>VLOOKUP(A62,AN_PKN7,12,FALSE)</f>
        <v>0</v>
      </c>
      <c r="F63" s="1112">
        <f>VLOOKUP(A62,AN_PKN7,12,FALSE)</f>
        <v>0</v>
      </c>
      <c r="G63" s="1112">
        <f>VLOOKUP(A62,AN_PKN7,12,FALSE)</f>
        <v>0</v>
      </c>
      <c r="H63" s="324">
        <f>AVERAGE(E63:G63)</f>
        <v>0</v>
      </c>
      <c r="I63" s="316" t="s">
        <v>50</v>
      </c>
      <c r="J63" s="1112">
        <f>VLOOKUP(A62,AN_BI7,21,FALSE)</f>
        <v>0</v>
      </c>
      <c r="K63" s="1112">
        <f>VLOOKUP(A62,AN_BI7,21,FALSE)</f>
        <v>0</v>
      </c>
      <c r="L63" s="1112">
        <f>VLOOKUP(A62,AN_BI7,21,FALSE)</f>
        <v>0</v>
      </c>
      <c r="M63" s="1112">
        <f>VLOOKUP(A62,AN_BI7,21,FALSE)</f>
        <v>0</v>
      </c>
      <c r="N63" s="1112"/>
      <c r="O63" s="545">
        <f t="shared" ref="O63:O65" si="101">AVERAGE(J63:N63)</f>
        <v>0</v>
      </c>
      <c r="P63" s="316" t="s">
        <v>50</v>
      </c>
      <c r="Q63" s="1112"/>
      <c r="R63" s="1112"/>
      <c r="S63" s="1112">
        <f>VLOOKUP(A62,AN_MAT7,16,FALSE)</f>
        <v>0</v>
      </c>
      <c r="T63" s="1112">
        <f>VLOOKUP(A62,AN_MAT7,16,FALSE)</f>
        <v>0</v>
      </c>
      <c r="U63" s="1112">
        <f>VLOOKUP(A62,AN_MAT7,16,FALSE)</f>
        <v>0</v>
      </c>
      <c r="V63" s="1112">
        <f>VLOOKUP(A62,AN_MAT7,16,FALSE)</f>
        <v>0</v>
      </c>
      <c r="W63" s="1112"/>
      <c r="X63" s="316" t="s">
        <v>50</v>
      </c>
      <c r="Y63" s="325">
        <f>VLOOKUP(A62,AN_SBDP7,16,FALSE)</f>
        <v>0</v>
      </c>
      <c r="Z63" s="325">
        <f>VLOOKUP(A62,AN_SBDP7,16,FALSE)</f>
        <v>0</v>
      </c>
      <c r="AA63" s="325"/>
      <c r="AB63" s="325">
        <f>VLOOKUP(A62,AN_SBDP7,16,FALSE)</f>
        <v>0</v>
      </c>
      <c r="AC63" s="661" t="s">
        <v>26</v>
      </c>
      <c r="AD63" s="325"/>
      <c r="AE63" s="325"/>
      <c r="AF63" s="325">
        <f>VLOOKUP(A62,AN_SBDP7,16,FALSE)</f>
        <v>0</v>
      </c>
      <c r="AG63" s="325">
        <f>VLOOKUP(A62,AN_SBDP7,16,FALSE)</f>
        <v>0</v>
      </c>
      <c r="AH63" s="325"/>
      <c r="AI63" s="661" t="s">
        <v>45</v>
      </c>
      <c r="AJ63" s="325">
        <f>VLOOKUP(A62,an_agm,49,FALSE)</f>
        <v>0</v>
      </c>
      <c r="AK63" s="325"/>
      <c r="AL63" s="325"/>
      <c r="AM63" s="325"/>
      <c r="AN63" s="325"/>
      <c r="AO63" s="325"/>
      <c r="AP63" s="315" t="s">
        <v>26</v>
      </c>
      <c r="AQ63" s="325"/>
      <c r="AR63" s="325">
        <f>VLOOKUP(A62,UHT_jawa,19,FALSE)</f>
        <v>0</v>
      </c>
      <c r="AS63" s="325"/>
      <c r="AT63" s="661" t="s">
        <v>45</v>
      </c>
      <c r="AU63" s="325">
        <f>VLOOKUP(A62,AN_IPA7,16,FALSE)</f>
        <v>0</v>
      </c>
      <c r="AV63" s="325">
        <f>VLOOKUP(A62,AN_IPA7,16,FALSE)</f>
        <v>0</v>
      </c>
      <c r="AW63" s="661" t="s">
        <v>45</v>
      </c>
      <c r="AX63" s="325">
        <f>VLOOKUP(A62,an_ips7,16,FALSE)</f>
        <v>0</v>
      </c>
      <c r="AY63" s="325">
        <f>VLOOKUP(A62,an_ips7,16,FALSE)</f>
        <v>0</v>
      </c>
      <c r="AZ63" s="325">
        <f>VLOOKUP(A62,an_ips7,16,FALSE)</f>
        <v>0</v>
      </c>
    </row>
    <row r="64" spans="1:52" x14ac:dyDescent="0.25">
      <c r="A64" s="599"/>
      <c r="B64" s="609"/>
      <c r="C64" s="71"/>
      <c r="D64" s="316" t="s">
        <v>50</v>
      </c>
      <c r="E64" s="1112"/>
      <c r="F64" s="1112">
        <f>VLOOKUP(A62,AN_PKN8,17,FALSE)</f>
        <v>0</v>
      </c>
      <c r="G64" s="1112">
        <f>VLOOKUP(A62,AN_PKN8,17,FALSE)</f>
        <v>0</v>
      </c>
      <c r="H64" s="324">
        <f>AVERAGE(E64:G64)</f>
        <v>0</v>
      </c>
      <c r="I64" s="316" t="s">
        <v>51</v>
      </c>
      <c r="J64" s="1112">
        <f>VLOOKUP(A62,AN_BI8,19,FALSE)</f>
        <v>0</v>
      </c>
      <c r="K64" s="1112"/>
      <c r="L64" s="1112"/>
      <c r="M64" s="1112">
        <f>VLOOKUP(A62,AN_BI8,19,FALSE)</f>
        <v>0</v>
      </c>
      <c r="N64" s="1112"/>
      <c r="O64" s="545">
        <f t="shared" si="101"/>
        <v>0</v>
      </c>
      <c r="P64" s="316" t="s">
        <v>51</v>
      </c>
      <c r="Q64" s="1112">
        <f>VLOOKUP(A62,AN_MAT8,16,FALSE)</f>
        <v>0</v>
      </c>
      <c r="R64" s="1112">
        <f>VLOOKUP(A62,AN_MAT8,16,FALSE)</f>
        <v>0</v>
      </c>
      <c r="S64" s="1112"/>
      <c r="T64" s="1112"/>
      <c r="U64" s="1112"/>
      <c r="V64" s="1112"/>
      <c r="W64" s="1112">
        <f>VLOOKUP(A62,AN_MAT8,16,FALSE)</f>
        <v>0</v>
      </c>
      <c r="X64" s="316" t="s">
        <v>51</v>
      </c>
      <c r="Y64" s="325"/>
      <c r="Z64" s="325">
        <f>VLOOKUP(A62,AN_SBDP8,16,FALSE)</f>
        <v>0</v>
      </c>
      <c r="AA64" s="325"/>
      <c r="AB64" s="325">
        <f>VLOOKUP(A62,AN_SBDP8,16,FALSE)</f>
        <v>0</v>
      </c>
      <c r="AC64" s="661" t="s">
        <v>50</v>
      </c>
      <c r="AD64" s="325"/>
      <c r="AE64" s="325"/>
      <c r="AF64" s="325">
        <f>VLOOKUP(A62,AN_SBDP8,16,FALSE)</f>
        <v>0</v>
      </c>
      <c r="AG64" s="325"/>
      <c r="AH64" s="325">
        <f>VLOOKUP(A62,AN_SBDP8,16,FALSE)</f>
        <v>0</v>
      </c>
      <c r="AI64" s="661" t="s">
        <v>46</v>
      </c>
      <c r="AJ64" s="325"/>
      <c r="AK64" s="325"/>
      <c r="AL64" s="325"/>
      <c r="AM64" s="325">
        <f>VLOOKUP(A62,an_agm,52,FALSE)</f>
        <v>0</v>
      </c>
      <c r="AN64" s="325">
        <f>VLOOKUP(A62,an_agm,53,FALSE)</f>
        <v>0</v>
      </c>
      <c r="AO64" s="325"/>
      <c r="AP64" s="315" t="s">
        <v>50</v>
      </c>
      <c r="AQ64" s="325"/>
      <c r="AR64" s="325"/>
      <c r="AS64" s="325">
        <f>VLOOKUP(A62,UHT_jawa,20,FALSE)</f>
        <v>0</v>
      </c>
      <c r="AT64" s="661" t="s">
        <v>46</v>
      </c>
      <c r="AU64" s="325"/>
      <c r="AV64" s="325">
        <f>VLOOKUP(A62,AN_IPA7,16,FALSE)</f>
        <v>0</v>
      </c>
      <c r="AW64" s="661" t="s">
        <v>46</v>
      </c>
      <c r="AX64" s="325">
        <f>VLOOKUP(A62,AN_ips8,16,FALSE)</f>
        <v>0</v>
      </c>
      <c r="AY64" s="325">
        <f>VLOOKUP(A62,AN_ips8,16,FALSE)</f>
        <v>0</v>
      </c>
      <c r="AZ64" s="325">
        <f>VLOOKUP(A62,AN_ips8,16,FALSE)</f>
        <v>0</v>
      </c>
    </row>
    <row r="65" spans="1:52" x14ac:dyDescent="0.25">
      <c r="A65" s="599"/>
      <c r="B65" s="609"/>
      <c r="C65" s="71"/>
      <c r="D65" s="316" t="s">
        <v>51</v>
      </c>
      <c r="E65" s="325">
        <f>VLOOKUP(A62,AN_PKN9,16,FALSE)</f>
        <v>0</v>
      </c>
      <c r="F65" s="325"/>
      <c r="G65" s="325"/>
      <c r="H65" s="324">
        <f>AVERAGE(E65:G65)</f>
        <v>0</v>
      </c>
      <c r="I65" s="316" t="s">
        <v>52</v>
      </c>
      <c r="J65" s="1112">
        <f>VLOOKUP(A62,AN_BI9,21,FALSE)</f>
        <v>0</v>
      </c>
      <c r="K65" s="1112">
        <f>VLOOKUP(A62,AN_BI9,21,FALSE)</f>
        <v>0</v>
      </c>
      <c r="L65" s="1112">
        <f>VLOOKUP(A62,AN_BI9,21,FALSE)</f>
        <v>0</v>
      </c>
      <c r="M65" s="1112">
        <f>VLOOKUP(A62,AN_BI9,21,FALSE)</f>
        <v>0</v>
      </c>
      <c r="N65" s="1112"/>
      <c r="O65" s="545">
        <f t="shared" si="101"/>
        <v>0</v>
      </c>
      <c r="P65" s="316" t="s">
        <v>52</v>
      </c>
      <c r="Q65" s="1112">
        <f>VLOOKUP(A62,AN_MAT9,16,FALSE)</f>
        <v>0</v>
      </c>
      <c r="R65" s="1112">
        <f>VLOOKUP(A62,AN_MAT9,16,FALSE)</f>
        <v>0</v>
      </c>
      <c r="S65" s="1112">
        <f>VLOOKUP(A62,AN_MAT9,16,FALSE)</f>
        <v>0</v>
      </c>
      <c r="T65" s="1112">
        <f>VLOOKUP(A62,AN_MAT9,16,FALSE)</f>
        <v>0</v>
      </c>
      <c r="U65" s="1112">
        <f>VLOOKUP(A62,AN_MAT9,16,FALSE)</f>
        <v>0</v>
      </c>
      <c r="V65" s="1112">
        <f>VLOOKUP(A62,AN_MAT9,16,FALSE)</f>
        <v>0</v>
      </c>
      <c r="W65" s="1112">
        <f>VLOOKUP(A62,AN_MAT9,16,FALSE)</f>
        <v>0</v>
      </c>
      <c r="X65" s="316" t="s">
        <v>52</v>
      </c>
      <c r="Y65" s="325"/>
      <c r="Z65" s="325">
        <f>VLOOKUP(A62,AN_SBDP9,16,FALSE)</f>
        <v>0</v>
      </c>
      <c r="AA65" s="325">
        <f>VLOOKUP(A62,AN_SBDP9,16,FALSE)</f>
        <v>0</v>
      </c>
      <c r="AB65" s="325"/>
      <c r="AC65" s="661" t="s">
        <v>51</v>
      </c>
      <c r="AD65" s="325"/>
      <c r="AE65" s="325">
        <f>VLOOKUP(A62,AN_SBDP9,16,FALSE)</f>
        <v>0</v>
      </c>
      <c r="AF65" s="325">
        <f>VLOOKUP(A62,AN_SBDP9,16,FALSE)</f>
        <v>0</v>
      </c>
      <c r="AG65" s="325"/>
      <c r="AH65" s="325"/>
      <c r="AI65" s="661" t="s">
        <v>47</v>
      </c>
      <c r="AJ65" s="325"/>
      <c r="AK65" s="325">
        <f>VLOOKUP(A62,an_agm,50,FALSE)</f>
        <v>0</v>
      </c>
      <c r="AL65" s="325"/>
      <c r="AM65" s="325"/>
      <c r="AN65" s="325"/>
      <c r="AO65" s="325"/>
      <c r="AP65" s="315" t="s">
        <v>51</v>
      </c>
      <c r="AQ65" s="325"/>
      <c r="AR65" s="325"/>
      <c r="AS65" s="325"/>
      <c r="AT65" s="661" t="s">
        <v>47</v>
      </c>
      <c r="AU65" s="325"/>
      <c r="AV65" s="325">
        <f>VLOOKUP(A62,an_IPA9,16,FALSE)</f>
        <v>0</v>
      </c>
      <c r="AW65" s="661" t="s">
        <v>47</v>
      </c>
      <c r="AX65" s="325">
        <f>VLOOKUP(A62,AN_IPS_9,16,FALSE)</f>
        <v>0</v>
      </c>
      <c r="AY65" s="325"/>
      <c r="AZ65" s="325">
        <f>VLOOKUP(A62,AN_IPS_9,16,FALSE)</f>
        <v>0</v>
      </c>
    </row>
    <row r="66" spans="1:52" x14ac:dyDescent="0.25">
      <c r="A66" s="599"/>
      <c r="B66" s="609"/>
      <c r="C66" s="71"/>
      <c r="D66" s="316"/>
      <c r="E66" s="1112"/>
      <c r="F66" s="1112"/>
      <c r="G66" s="1112"/>
      <c r="H66" s="1074"/>
      <c r="I66" s="316"/>
      <c r="J66" s="1112"/>
      <c r="K66" s="1112"/>
      <c r="L66" s="1112"/>
      <c r="M66" s="1112"/>
      <c r="N66" s="1112"/>
      <c r="O66" s="1074"/>
      <c r="P66" s="315"/>
      <c r="Q66" s="1112"/>
      <c r="R66" s="1112"/>
      <c r="S66" s="1112"/>
      <c r="T66" s="1112"/>
      <c r="U66" s="1112"/>
      <c r="V66" s="1112"/>
      <c r="W66" s="1112"/>
      <c r="X66" s="315"/>
      <c r="Y66" s="325"/>
      <c r="Z66" s="325"/>
      <c r="AA66" s="325"/>
      <c r="AB66" s="325"/>
      <c r="AC66" s="661"/>
      <c r="AD66" s="1112"/>
      <c r="AE66" s="1112"/>
      <c r="AF66" s="1112"/>
      <c r="AG66" s="1112"/>
      <c r="AH66" s="1112"/>
      <c r="AI66" s="661" t="s">
        <v>48</v>
      </c>
      <c r="AJ66" s="325"/>
      <c r="AK66" s="325"/>
      <c r="AL66" s="325"/>
      <c r="AM66" s="325"/>
      <c r="AN66" s="325"/>
      <c r="AO66" s="325">
        <f>VLOOKUP(A62,an_agm,54,FALSE)</f>
        <v>0</v>
      </c>
      <c r="AP66" s="315"/>
      <c r="AQ66" s="1136"/>
      <c r="AR66" s="1136"/>
      <c r="AS66" s="1136"/>
      <c r="AT66" s="315"/>
      <c r="AU66" s="325"/>
      <c r="AV66" s="325"/>
      <c r="AW66" s="315"/>
      <c r="AX66" s="325"/>
      <c r="AY66" s="325"/>
      <c r="AZ66" s="325"/>
    </row>
    <row r="67" spans="1:52" x14ac:dyDescent="0.25">
      <c r="A67" s="604"/>
      <c r="B67" s="611">
        <v>10</v>
      </c>
      <c r="C67" s="72"/>
      <c r="D67" s="317" t="s">
        <v>214</v>
      </c>
      <c r="E67" s="318">
        <f>IFERROR(AVERAGE(E62:E66),"  ")</f>
        <v>0</v>
      </c>
      <c r="F67" s="318">
        <f t="shared" ref="F67:G67" si="102">IFERROR(AVERAGE(F62:F66),"  ")</f>
        <v>0</v>
      </c>
      <c r="G67" s="318">
        <f t="shared" si="102"/>
        <v>0</v>
      </c>
      <c r="H67" s="323"/>
      <c r="I67" s="317" t="s">
        <v>214</v>
      </c>
      <c r="J67" s="318">
        <f>IFERROR(AVERAGE(J62:J66),"  ")</f>
        <v>0</v>
      </c>
      <c r="K67" s="318">
        <f t="shared" ref="K67:N67" si="103">IFERROR(AVERAGE(K62:K66),"  ")</f>
        <v>0</v>
      </c>
      <c r="L67" s="318">
        <f t="shared" si="103"/>
        <v>0</v>
      </c>
      <c r="M67" s="318">
        <f t="shared" si="103"/>
        <v>0</v>
      </c>
      <c r="N67" s="318">
        <f t="shared" si="103"/>
        <v>0</v>
      </c>
      <c r="O67" s="597"/>
      <c r="P67" s="317" t="s">
        <v>214</v>
      </c>
      <c r="Q67" s="318">
        <f>IFERROR(AVERAGE(Q62:Q66),"  ")</f>
        <v>0</v>
      </c>
      <c r="R67" s="318">
        <f t="shared" ref="R67:W67" si="104">IFERROR(AVERAGE(R62:R66),"  ")</f>
        <v>0</v>
      </c>
      <c r="S67" s="318">
        <f t="shared" si="104"/>
        <v>0</v>
      </c>
      <c r="T67" s="318">
        <f t="shared" si="104"/>
        <v>0</v>
      </c>
      <c r="U67" s="318">
        <f t="shared" si="104"/>
        <v>0</v>
      </c>
      <c r="V67" s="318">
        <f t="shared" si="104"/>
        <v>0</v>
      </c>
      <c r="W67" s="318">
        <f t="shared" si="104"/>
        <v>0</v>
      </c>
      <c r="X67" s="317" t="s">
        <v>214</v>
      </c>
      <c r="Y67" s="318">
        <f t="shared" ref="Y67:AB67" si="105">IFERROR(AVERAGE(Y62:Y66),"  ")</f>
        <v>0</v>
      </c>
      <c r="Z67" s="318">
        <f t="shared" si="105"/>
        <v>0</v>
      </c>
      <c r="AA67" s="318">
        <f t="shared" si="105"/>
        <v>0</v>
      </c>
      <c r="AB67" s="318">
        <f t="shared" si="105"/>
        <v>0</v>
      </c>
      <c r="AC67" s="317" t="s">
        <v>214</v>
      </c>
      <c r="AD67" s="318">
        <f t="shared" ref="AD67:AH67" si="106">IFERROR(AVERAGE(AD62:AD66),"  ")</f>
        <v>0</v>
      </c>
      <c r="AE67" s="318">
        <f t="shared" si="106"/>
        <v>0</v>
      </c>
      <c r="AF67" s="318">
        <f t="shared" si="106"/>
        <v>0</v>
      </c>
      <c r="AG67" s="318">
        <f t="shared" si="106"/>
        <v>0</v>
      </c>
      <c r="AH67" s="318">
        <f t="shared" si="106"/>
        <v>0</v>
      </c>
      <c r="AI67" s="317" t="s">
        <v>214</v>
      </c>
      <c r="AJ67" s="318">
        <f t="shared" ref="AJ67:AO67" si="107">IFERROR(AVERAGE(AJ62:AJ66),"  ")</f>
        <v>0</v>
      </c>
      <c r="AK67" s="318">
        <f t="shared" si="107"/>
        <v>0</v>
      </c>
      <c r="AL67" s="318">
        <f t="shared" si="107"/>
        <v>0</v>
      </c>
      <c r="AM67" s="318">
        <f t="shared" si="107"/>
        <v>0</v>
      </c>
      <c r="AN67" s="318">
        <f t="shared" si="107"/>
        <v>0</v>
      </c>
      <c r="AO67" s="318">
        <f t="shared" si="107"/>
        <v>0</v>
      </c>
      <c r="AP67" s="317" t="s">
        <v>214</v>
      </c>
      <c r="AQ67" s="318">
        <f t="shared" ref="AQ67:AS67" si="108">IFERROR(AVERAGE(AQ62:AQ66),"  ")</f>
        <v>0</v>
      </c>
      <c r="AR67" s="318">
        <f t="shared" si="108"/>
        <v>0</v>
      </c>
      <c r="AS67" s="318">
        <f t="shared" si="108"/>
        <v>0</v>
      </c>
      <c r="AT67" s="317" t="s">
        <v>214</v>
      </c>
      <c r="AU67" s="318">
        <f t="shared" ref="AU67:AV67" si="109">IFERROR(AVERAGE(AU62:AU66),"  ")</f>
        <v>0</v>
      </c>
      <c r="AV67" s="318">
        <f t="shared" si="109"/>
        <v>0</v>
      </c>
      <c r="AW67" s="317" t="s">
        <v>214</v>
      </c>
      <c r="AX67" s="318">
        <f t="shared" ref="AX67:AZ67" si="110">IFERROR(AVERAGE(AX62:AX66),"  ")</f>
        <v>0</v>
      </c>
      <c r="AY67" s="318">
        <f t="shared" si="110"/>
        <v>0</v>
      </c>
      <c r="AZ67" s="318">
        <f t="shared" si="110"/>
        <v>0</v>
      </c>
    </row>
    <row r="68" spans="1:52" x14ac:dyDescent="0.25">
      <c r="A68" s="599">
        <v>11</v>
      </c>
      <c r="B68" s="608"/>
      <c r="C68" s="292" t="str">
        <f>VLOOKUP(A68,data_siswa,4,FALSE)</f>
        <v>Fania Mutiara Felichia</v>
      </c>
      <c r="D68" s="316" t="s">
        <v>156</v>
      </c>
      <c r="E68" s="1073"/>
      <c r="F68" s="1073">
        <f>VLOOKUP(A68,AN_PKN6_KI3,13,FALSE)</f>
        <v>0</v>
      </c>
      <c r="G68" s="1073"/>
      <c r="H68" s="324">
        <f>AVERAGE(E68:G68)</f>
        <v>0</v>
      </c>
      <c r="I68" s="316" t="s">
        <v>26</v>
      </c>
      <c r="J68" s="1073"/>
      <c r="K68" s="1073"/>
      <c r="L68" s="1073"/>
      <c r="M68" s="1073">
        <f>VLOOKUP(A68,AN_BI6,19,FALSE)</f>
        <v>0</v>
      </c>
      <c r="N68" s="1073">
        <f>VLOOKUP(A68,AN_BI6,19,FALSE)</f>
        <v>0</v>
      </c>
      <c r="O68" s="545">
        <f>AVERAGE(J68:N68)</f>
        <v>0</v>
      </c>
      <c r="P68" s="316" t="s">
        <v>26</v>
      </c>
      <c r="Q68" s="1073"/>
      <c r="R68" s="1073">
        <f>VLOOKUP(A68,AN_MAT6,16,FALSE)</f>
        <v>0</v>
      </c>
      <c r="S68" s="1073"/>
      <c r="T68" s="1073">
        <f>VLOOKUP(A68,AN_MAT6,16,FALSE)</f>
        <v>0</v>
      </c>
      <c r="U68" s="1073"/>
      <c r="V68" s="1073"/>
      <c r="W68" s="1073"/>
      <c r="X68" s="316" t="s">
        <v>26</v>
      </c>
      <c r="Y68" s="325"/>
      <c r="Z68" s="325"/>
      <c r="AA68" s="325"/>
      <c r="AB68" s="325">
        <f>VLOOKUP(A68,AN_SBDP6,16,FALSE)</f>
        <v>0</v>
      </c>
      <c r="AC68" s="661" t="s">
        <v>156</v>
      </c>
      <c r="AD68" s="325">
        <f>VLOOKUP(A68,AN_SBDP6,16,FALSE)</f>
        <v>0</v>
      </c>
      <c r="AE68" s="325">
        <f>VLOOKUP(A68,AN_SBDP6,16,FALSE)</f>
        <v>0</v>
      </c>
      <c r="AF68" s="325"/>
      <c r="AG68" s="325"/>
      <c r="AH68" s="325">
        <f>VLOOKUP(A68,AN_SBDP6,16,FALSE)</f>
        <v>0</v>
      </c>
      <c r="AI68" s="661" t="s">
        <v>44</v>
      </c>
      <c r="AJ68" s="325"/>
      <c r="AK68" s="325"/>
      <c r="AL68" s="325">
        <f>VLOOKUP(A68,an_agm,51,FALSE)</f>
        <v>0</v>
      </c>
      <c r="AM68" s="325"/>
      <c r="AN68" s="325"/>
      <c r="AO68" s="325"/>
      <c r="AP68" s="315" t="s">
        <v>156</v>
      </c>
      <c r="AQ68" s="325">
        <f>VLOOKUP(A68,UHT_jawa,18,FALSE)</f>
        <v>0</v>
      </c>
      <c r="AR68" s="325"/>
      <c r="AS68" s="325"/>
      <c r="AT68" s="1122" t="s">
        <v>44</v>
      </c>
      <c r="AU68" s="325"/>
      <c r="AV68" s="325">
        <f>VLOOKUP(A68,AN_ipa6,16,FALSE)</f>
        <v>0</v>
      </c>
      <c r="AW68" s="1122" t="s">
        <v>44</v>
      </c>
      <c r="AX68" s="325"/>
      <c r="AY68" s="325"/>
      <c r="AZ68" s="325">
        <f>VLOOKUP(A68,AN_IPS6,16,FALSE)</f>
        <v>0</v>
      </c>
    </row>
    <row r="69" spans="1:52" x14ac:dyDescent="0.25">
      <c r="A69" s="599"/>
      <c r="B69" s="609"/>
      <c r="C69" s="71"/>
      <c r="D69" s="316" t="s">
        <v>26</v>
      </c>
      <c r="E69" s="1073">
        <f>VLOOKUP(A68,AN_PKN7,12,FALSE)</f>
        <v>0</v>
      </c>
      <c r="F69" s="1073">
        <f>VLOOKUP(A68,AN_PKN7,12,FALSE)</f>
        <v>0</v>
      </c>
      <c r="G69" s="1073">
        <f>VLOOKUP(A68,AN_PKN7,12,FALSE)</f>
        <v>0</v>
      </c>
      <c r="H69" s="324">
        <f>AVERAGE(E69:G69)</f>
        <v>0</v>
      </c>
      <c r="I69" s="316" t="s">
        <v>50</v>
      </c>
      <c r="J69" s="1073">
        <f>VLOOKUP(A68,AN_BI7,21,FALSE)</f>
        <v>0</v>
      </c>
      <c r="K69" s="1073">
        <f>VLOOKUP(A68,AN_BI7,21,FALSE)</f>
        <v>0</v>
      </c>
      <c r="L69" s="1073">
        <f>VLOOKUP(A68,AN_BI7,21,FALSE)</f>
        <v>0</v>
      </c>
      <c r="M69" s="1073">
        <f>VLOOKUP(A68,AN_BI7,21,FALSE)</f>
        <v>0</v>
      </c>
      <c r="N69" s="1073"/>
      <c r="O69" s="545">
        <f t="shared" ref="O69:O71" si="111">AVERAGE(J69:N69)</f>
        <v>0</v>
      </c>
      <c r="P69" s="316" t="s">
        <v>50</v>
      </c>
      <c r="Q69" s="1073"/>
      <c r="R69" s="1073"/>
      <c r="S69" s="1073">
        <f>VLOOKUP(A68,AN_MAT7,16,FALSE)</f>
        <v>0</v>
      </c>
      <c r="T69" s="1073">
        <f>VLOOKUP(A68,AN_MAT7,16,FALSE)</f>
        <v>0</v>
      </c>
      <c r="U69" s="1073">
        <f>VLOOKUP(A68,AN_MAT7,16,FALSE)</f>
        <v>0</v>
      </c>
      <c r="V69" s="1073">
        <f>VLOOKUP(A68,AN_MAT7,16,FALSE)</f>
        <v>0</v>
      </c>
      <c r="W69" s="1073"/>
      <c r="X69" s="316" t="s">
        <v>50</v>
      </c>
      <c r="Y69" s="325">
        <f>VLOOKUP(A68,AN_SBDP7,16,FALSE)</f>
        <v>0</v>
      </c>
      <c r="Z69" s="325">
        <f>VLOOKUP(A68,AN_SBDP7,16,FALSE)</f>
        <v>0</v>
      </c>
      <c r="AA69" s="325"/>
      <c r="AB69" s="325">
        <f>VLOOKUP(A68,AN_SBDP7,16,FALSE)</f>
        <v>0</v>
      </c>
      <c r="AC69" s="661" t="s">
        <v>26</v>
      </c>
      <c r="AD69" s="325"/>
      <c r="AE69" s="325"/>
      <c r="AF69" s="325">
        <f>VLOOKUP(A68,AN_SBDP7,16,FALSE)</f>
        <v>0</v>
      </c>
      <c r="AG69" s="325">
        <f>VLOOKUP(A68,AN_SBDP7,16,FALSE)</f>
        <v>0</v>
      </c>
      <c r="AH69" s="325"/>
      <c r="AI69" s="661" t="s">
        <v>45</v>
      </c>
      <c r="AJ69" s="325">
        <f>VLOOKUP(A68,an_agm,49,FALSE)</f>
        <v>0</v>
      </c>
      <c r="AK69" s="325"/>
      <c r="AL69" s="325"/>
      <c r="AM69" s="325"/>
      <c r="AN69" s="325"/>
      <c r="AO69" s="325"/>
      <c r="AP69" s="315" t="s">
        <v>26</v>
      </c>
      <c r="AQ69" s="325"/>
      <c r="AR69" s="325">
        <f>VLOOKUP(A68,UHT_jawa,19,FALSE)</f>
        <v>0</v>
      </c>
      <c r="AS69" s="325"/>
      <c r="AT69" s="1122" t="s">
        <v>45</v>
      </c>
      <c r="AU69" s="325">
        <f>VLOOKUP(A68,AN_IPA7,16,FALSE)</f>
        <v>0</v>
      </c>
      <c r="AV69" s="325">
        <f>VLOOKUP(A68,AN_IPA7,16,FALSE)</f>
        <v>0</v>
      </c>
      <c r="AW69" s="1122" t="s">
        <v>45</v>
      </c>
      <c r="AX69" s="325">
        <f>VLOOKUP(A68,an_ips7,16,FALSE)</f>
        <v>0</v>
      </c>
      <c r="AY69" s="325">
        <f>VLOOKUP(A68,an_ips7,16,FALSE)</f>
        <v>0</v>
      </c>
      <c r="AZ69" s="325">
        <f>VLOOKUP(A68,an_ips7,16,FALSE)</f>
        <v>0</v>
      </c>
    </row>
    <row r="70" spans="1:52" x14ac:dyDescent="0.25">
      <c r="A70" s="599"/>
      <c r="B70" s="609"/>
      <c r="C70" s="71"/>
      <c r="D70" s="316" t="s">
        <v>50</v>
      </c>
      <c r="E70" s="1073"/>
      <c r="F70" s="1073">
        <f>VLOOKUP(A68,AN_PKN8,17,FALSE)</f>
        <v>0</v>
      </c>
      <c r="G70" s="1073">
        <f>VLOOKUP(A68,AN_PKN8,17,FALSE)</f>
        <v>0</v>
      </c>
      <c r="H70" s="324">
        <f>AVERAGE(E70:G70)</f>
        <v>0</v>
      </c>
      <c r="I70" s="316" t="s">
        <v>51</v>
      </c>
      <c r="J70" s="1073">
        <f>VLOOKUP(A68,AN_BI8,19,FALSE)</f>
        <v>0</v>
      </c>
      <c r="K70" s="1073"/>
      <c r="L70" s="1073"/>
      <c r="M70" s="1073">
        <f>VLOOKUP(A68,AN_BI8,19,FALSE)</f>
        <v>0</v>
      </c>
      <c r="N70" s="1073"/>
      <c r="O70" s="545">
        <f t="shared" si="111"/>
        <v>0</v>
      </c>
      <c r="P70" s="316" t="s">
        <v>51</v>
      </c>
      <c r="Q70" s="1073">
        <f>VLOOKUP(A68,AN_MAT8,16,FALSE)</f>
        <v>0</v>
      </c>
      <c r="R70" s="1073">
        <f>VLOOKUP(A68,AN_MAT8,16,FALSE)</f>
        <v>0</v>
      </c>
      <c r="S70" s="1073"/>
      <c r="T70" s="1073"/>
      <c r="U70" s="1073"/>
      <c r="V70" s="1073"/>
      <c r="W70" s="1073">
        <f>VLOOKUP(A68,AN_MAT8,16,FALSE)</f>
        <v>0</v>
      </c>
      <c r="X70" s="316" t="s">
        <v>51</v>
      </c>
      <c r="Y70" s="325"/>
      <c r="Z70" s="325">
        <f>VLOOKUP(A68,AN_SBDP8,16,FALSE)</f>
        <v>0</v>
      </c>
      <c r="AA70" s="325"/>
      <c r="AB70" s="325">
        <f>VLOOKUP(A68,AN_SBDP8,16,FALSE)</f>
        <v>0</v>
      </c>
      <c r="AC70" s="661" t="s">
        <v>50</v>
      </c>
      <c r="AD70" s="325"/>
      <c r="AE70" s="325"/>
      <c r="AF70" s="325">
        <f>VLOOKUP(A68,AN_SBDP8,16,FALSE)</f>
        <v>0</v>
      </c>
      <c r="AG70" s="325"/>
      <c r="AH70" s="325">
        <f>VLOOKUP(A68,AN_SBDP8,16,FALSE)</f>
        <v>0</v>
      </c>
      <c r="AI70" s="661" t="s">
        <v>46</v>
      </c>
      <c r="AJ70" s="325"/>
      <c r="AK70" s="325"/>
      <c r="AL70" s="325"/>
      <c r="AM70" s="325">
        <f>VLOOKUP(A68,an_agm,52,FALSE)</f>
        <v>0</v>
      </c>
      <c r="AN70" s="325">
        <f>VLOOKUP(A68,an_agm,53,FALSE)</f>
        <v>0</v>
      </c>
      <c r="AO70" s="325"/>
      <c r="AP70" s="315" t="s">
        <v>50</v>
      </c>
      <c r="AQ70" s="325"/>
      <c r="AR70" s="325"/>
      <c r="AS70" s="325">
        <f>VLOOKUP(A68,UHT_jawa,20,FALSE)</f>
        <v>0</v>
      </c>
      <c r="AT70" s="1122" t="s">
        <v>46</v>
      </c>
      <c r="AU70" s="325"/>
      <c r="AV70" s="325">
        <f>VLOOKUP(A68,AN_IPA7,16,FALSE)</f>
        <v>0</v>
      </c>
      <c r="AW70" s="1122" t="s">
        <v>46</v>
      </c>
      <c r="AX70" s="325">
        <f>VLOOKUP(A68,AN_ips8,16,FALSE)</f>
        <v>0</v>
      </c>
      <c r="AY70" s="325">
        <f>VLOOKUP(A68,AN_ips8,16,FALSE)</f>
        <v>0</v>
      </c>
      <c r="AZ70" s="325">
        <f>VLOOKUP(A68,AN_ips8,16,FALSE)</f>
        <v>0</v>
      </c>
    </row>
    <row r="71" spans="1:52" x14ac:dyDescent="0.25">
      <c r="A71" s="599"/>
      <c r="B71" s="609"/>
      <c r="C71" s="71"/>
      <c r="D71" s="316" t="s">
        <v>51</v>
      </c>
      <c r="E71" s="325">
        <f>VLOOKUP(A68,AN_PKN9,16,FALSE)</f>
        <v>0</v>
      </c>
      <c r="F71" s="325"/>
      <c r="G71" s="325"/>
      <c r="H71" s="324">
        <f>AVERAGE(E71:G71)</f>
        <v>0</v>
      </c>
      <c r="I71" s="316" t="s">
        <v>52</v>
      </c>
      <c r="J71" s="1073">
        <f>VLOOKUP(A68,AN_BI9,21,FALSE)</f>
        <v>0</v>
      </c>
      <c r="K71" s="1073">
        <f>VLOOKUP(A68,AN_BI9,21,FALSE)</f>
        <v>0</v>
      </c>
      <c r="L71" s="1073">
        <f>VLOOKUP(A68,AN_BI9,21,FALSE)</f>
        <v>0</v>
      </c>
      <c r="M71" s="1073">
        <f>VLOOKUP(A68,AN_BI9,21,FALSE)</f>
        <v>0</v>
      </c>
      <c r="N71" s="1073"/>
      <c r="O71" s="545">
        <f t="shared" si="111"/>
        <v>0</v>
      </c>
      <c r="P71" s="316" t="s">
        <v>52</v>
      </c>
      <c r="Q71" s="1073">
        <f>VLOOKUP(A68,AN_MAT9,16,FALSE)</f>
        <v>0</v>
      </c>
      <c r="R71" s="1073">
        <f>VLOOKUP(A68,AN_MAT9,16,FALSE)</f>
        <v>0</v>
      </c>
      <c r="S71" s="1073">
        <f>VLOOKUP(A68,AN_MAT9,16,FALSE)</f>
        <v>0</v>
      </c>
      <c r="T71" s="1073">
        <f>VLOOKUP(A68,AN_MAT9,16,FALSE)</f>
        <v>0</v>
      </c>
      <c r="U71" s="1073">
        <f>VLOOKUP(A68,AN_MAT9,16,FALSE)</f>
        <v>0</v>
      </c>
      <c r="V71" s="1073">
        <f>VLOOKUP(A68,AN_MAT9,16,FALSE)</f>
        <v>0</v>
      </c>
      <c r="W71" s="1073">
        <f>VLOOKUP(A68,AN_MAT9,16,FALSE)</f>
        <v>0</v>
      </c>
      <c r="X71" s="316" t="s">
        <v>52</v>
      </c>
      <c r="Y71" s="325"/>
      <c r="Z71" s="325">
        <f>VLOOKUP(A68,AN_SBDP9,16,FALSE)</f>
        <v>0</v>
      </c>
      <c r="AA71" s="325">
        <f>VLOOKUP(A68,AN_SBDP9,16,FALSE)</f>
        <v>0</v>
      </c>
      <c r="AB71" s="325"/>
      <c r="AC71" s="661" t="s">
        <v>51</v>
      </c>
      <c r="AD71" s="325"/>
      <c r="AE71" s="325">
        <f>VLOOKUP(A68,AN_SBDP9,16,FALSE)</f>
        <v>0</v>
      </c>
      <c r="AF71" s="325">
        <f>VLOOKUP(A68,AN_SBDP9,16,FALSE)</f>
        <v>0</v>
      </c>
      <c r="AG71" s="325"/>
      <c r="AH71" s="325"/>
      <c r="AI71" s="661" t="s">
        <v>47</v>
      </c>
      <c r="AJ71" s="325"/>
      <c r="AK71" s="325">
        <f>VLOOKUP(A68,an_agm,50,FALSE)</f>
        <v>0</v>
      </c>
      <c r="AL71" s="325"/>
      <c r="AM71" s="325"/>
      <c r="AN71" s="325"/>
      <c r="AO71" s="325"/>
      <c r="AP71" s="315" t="s">
        <v>51</v>
      </c>
      <c r="AQ71" s="325"/>
      <c r="AR71" s="325"/>
      <c r="AS71" s="325"/>
      <c r="AT71" s="1122" t="s">
        <v>47</v>
      </c>
      <c r="AU71" s="325"/>
      <c r="AV71" s="325">
        <f>VLOOKUP(A68,an_IPA9,16,FALSE)</f>
        <v>0</v>
      </c>
      <c r="AW71" s="1122" t="s">
        <v>47</v>
      </c>
      <c r="AX71" s="325">
        <f>VLOOKUP(A68,AN_IPS_9,16,FALSE)</f>
        <v>0</v>
      </c>
      <c r="AY71" s="325"/>
      <c r="AZ71" s="325">
        <f>VLOOKUP(A68,AN_IPS_9,16,FALSE)</f>
        <v>0</v>
      </c>
    </row>
    <row r="72" spans="1:52" x14ac:dyDescent="0.25">
      <c r="A72" s="599"/>
      <c r="B72" s="609"/>
      <c r="C72" s="71"/>
      <c r="D72" s="316"/>
      <c r="E72" s="1073"/>
      <c r="F72" s="1073"/>
      <c r="G72" s="1073"/>
      <c r="H72" s="1074"/>
      <c r="I72" s="316"/>
      <c r="J72" s="1073"/>
      <c r="K72" s="1073"/>
      <c r="L72" s="1073"/>
      <c r="M72" s="1073"/>
      <c r="N72" s="1073"/>
      <c r="O72" s="1074"/>
      <c r="P72" s="315"/>
      <c r="Q72" s="1073"/>
      <c r="R72" s="1073"/>
      <c r="S72" s="1073"/>
      <c r="T72" s="1073"/>
      <c r="U72" s="1073"/>
      <c r="V72" s="1073"/>
      <c r="W72" s="1073"/>
      <c r="X72" s="315"/>
      <c r="Y72" s="325"/>
      <c r="Z72" s="325"/>
      <c r="AA72" s="325"/>
      <c r="AB72" s="325"/>
      <c r="AC72" s="661"/>
      <c r="AD72" s="1073"/>
      <c r="AE72" s="1073"/>
      <c r="AF72" s="1112"/>
      <c r="AG72" s="1112"/>
      <c r="AH72" s="1112"/>
      <c r="AI72" s="661" t="s">
        <v>48</v>
      </c>
      <c r="AJ72" s="325"/>
      <c r="AK72" s="325"/>
      <c r="AL72" s="325"/>
      <c r="AM72" s="325"/>
      <c r="AN72" s="325"/>
      <c r="AO72" s="325">
        <f>VLOOKUP(A68,an_agm,54,FALSE)</f>
        <v>0</v>
      </c>
      <c r="AP72" s="315"/>
      <c r="AQ72" s="1136"/>
      <c r="AR72" s="1136"/>
      <c r="AS72" s="1136"/>
      <c r="AT72" s="661"/>
      <c r="AU72" s="325"/>
      <c r="AV72" s="325"/>
      <c r="AW72" s="661"/>
      <c r="AX72" s="325"/>
      <c r="AY72" s="325"/>
      <c r="AZ72" s="325"/>
    </row>
    <row r="73" spans="1:52" x14ac:dyDescent="0.25">
      <c r="A73" s="604"/>
      <c r="B73" s="611">
        <v>11</v>
      </c>
      <c r="C73" s="72"/>
      <c r="D73" s="317" t="s">
        <v>214</v>
      </c>
      <c r="E73" s="318">
        <f>IFERROR(AVERAGE(E68:E72),"  ")</f>
        <v>0</v>
      </c>
      <c r="F73" s="318">
        <f t="shared" ref="F73:G73" si="112">IFERROR(AVERAGE(F68:F72),"  ")</f>
        <v>0</v>
      </c>
      <c r="G73" s="318">
        <f t="shared" si="112"/>
        <v>0</v>
      </c>
      <c r="H73" s="323"/>
      <c r="I73" s="317" t="s">
        <v>214</v>
      </c>
      <c r="J73" s="318">
        <f>IFERROR(AVERAGE(J68:J72),"  ")</f>
        <v>0</v>
      </c>
      <c r="K73" s="318">
        <f t="shared" ref="K73:N73" si="113">IFERROR(AVERAGE(K68:K72),"  ")</f>
        <v>0</v>
      </c>
      <c r="L73" s="318">
        <f t="shared" si="113"/>
        <v>0</v>
      </c>
      <c r="M73" s="318">
        <f t="shared" si="113"/>
        <v>0</v>
      </c>
      <c r="N73" s="318">
        <f t="shared" si="113"/>
        <v>0</v>
      </c>
      <c r="O73" s="597"/>
      <c r="P73" s="317" t="s">
        <v>214</v>
      </c>
      <c r="Q73" s="318">
        <f>IFERROR(AVERAGE(Q68:Q72),"  ")</f>
        <v>0</v>
      </c>
      <c r="R73" s="318">
        <f t="shared" ref="R73" si="114">IFERROR(AVERAGE(R68:R72),"  ")</f>
        <v>0</v>
      </c>
      <c r="S73" s="318">
        <f t="shared" ref="S73" si="115">IFERROR(AVERAGE(S68:S72),"  ")</f>
        <v>0</v>
      </c>
      <c r="T73" s="318">
        <f t="shared" ref="T73" si="116">IFERROR(AVERAGE(T68:T72),"  ")</f>
        <v>0</v>
      </c>
      <c r="U73" s="318">
        <f t="shared" ref="U73" si="117">IFERROR(AVERAGE(U68:U72),"  ")</f>
        <v>0</v>
      </c>
      <c r="V73" s="318">
        <f t="shared" ref="V73" si="118">IFERROR(AVERAGE(V68:V72),"  ")</f>
        <v>0</v>
      </c>
      <c r="W73" s="318">
        <f t="shared" ref="W73" si="119">IFERROR(AVERAGE(W68:W72),"  ")</f>
        <v>0</v>
      </c>
      <c r="X73" s="317" t="s">
        <v>214</v>
      </c>
      <c r="Y73" s="318">
        <f t="shared" ref="Y73" si="120">IFERROR(AVERAGE(Y68:Y72),"  ")</f>
        <v>0</v>
      </c>
      <c r="Z73" s="318">
        <f t="shared" ref="Z73" si="121">IFERROR(AVERAGE(Z68:Z72),"  ")</f>
        <v>0</v>
      </c>
      <c r="AA73" s="318">
        <f t="shared" ref="AA73" si="122">IFERROR(AVERAGE(AA68:AA72),"  ")</f>
        <v>0</v>
      </c>
      <c r="AB73" s="318">
        <f t="shared" ref="AB73" si="123">IFERROR(AVERAGE(AB68:AB72),"  ")</f>
        <v>0</v>
      </c>
      <c r="AC73" s="317" t="s">
        <v>214</v>
      </c>
      <c r="AD73" s="318">
        <f t="shared" ref="AD73" si="124">IFERROR(AVERAGE(AD68:AD72),"  ")</f>
        <v>0</v>
      </c>
      <c r="AE73" s="318">
        <f t="shared" ref="AE73:AH73" si="125">IFERROR(AVERAGE(AE68:AE72),"  ")</f>
        <v>0</v>
      </c>
      <c r="AF73" s="318">
        <f t="shared" si="125"/>
        <v>0</v>
      </c>
      <c r="AG73" s="318">
        <f t="shared" si="125"/>
        <v>0</v>
      </c>
      <c r="AH73" s="318">
        <f t="shared" si="125"/>
        <v>0</v>
      </c>
      <c r="AI73" s="317" t="s">
        <v>214</v>
      </c>
      <c r="AJ73" s="318">
        <f t="shared" ref="AJ73:AO73" si="126">IFERROR(AVERAGE(AJ68:AJ72),"  ")</f>
        <v>0</v>
      </c>
      <c r="AK73" s="318">
        <f t="shared" si="126"/>
        <v>0</v>
      </c>
      <c r="AL73" s="318">
        <f t="shared" si="126"/>
        <v>0</v>
      </c>
      <c r="AM73" s="318">
        <f t="shared" si="126"/>
        <v>0</v>
      </c>
      <c r="AN73" s="318">
        <f t="shared" si="126"/>
        <v>0</v>
      </c>
      <c r="AO73" s="318">
        <f t="shared" si="126"/>
        <v>0</v>
      </c>
      <c r="AP73" s="317" t="s">
        <v>214</v>
      </c>
      <c r="AQ73" s="318">
        <f t="shared" ref="AQ73:AS73" si="127">IFERROR(AVERAGE(AQ68:AQ72),"  ")</f>
        <v>0</v>
      </c>
      <c r="AR73" s="318">
        <f t="shared" si="127"/>
        <v>0</v>
      </c>
      <c r="AS73" s="318">
        <f t="shared" si="127"/>
        <v>0</v>
      </c>
      <c r="AT73" s="317" t="s">
        <v>214</v>
      </c>
      <c r="AU73" s="318">
        <f t="shared" ref="AU73:AV73" si="128">IFERROR(AVERAGE(AU68:AU72),"  ")</f>
        <v>0</v>
      </c>
      <c r="AV73" s="318">
        <f t="shared" si="128"/>
        <v>0</v>
      </c>
      <c r="AW73" s="317" t="s">
        <v>214</v>
      </c>
      <c r="AX73" s="318">
        <f t="shared" ref="AX73:AZ73" si="129">IFERROR(AVERAGE(AX68:AX72),"  ")</f>
        <v>0</v>
      </c>
      <c r="AY73" s="318">
        <f t="shared" si="129"/>
        <v>0</v>
      </c>
      <c r="AZ73" s="318">
        <f t="shared" si="129"/>
        <v>0</v>
      </c>
    </row>
    <row r="74" spans="1:52" x14ac:dyDescent="0.25">
      <c r="A74" s="599">
        <v>12</v>
      </c>
      <c r="B74" s="608"/>
      <c r="C74" s="292" t="str">
        <f>VLOOKUP(A74,data_siswa,4,FALSE)</f>
        <v>Intan Dyah Nowari</v>
      </c>
      <c r="D74" s="316" t="s">
        <v>156</v>
      </c>
      <c r="E74" s="1073"/>
      <c r="F74" s="1073">
        <f>VLOOKUP(A74,AN_PKN6_KI3,13,FALSE)</f>
        <v>0</v>
      </c>
      <c r="G74" s="1073"/>
      <c r="H74" s="324">
        <f>AVERAGE(E74:G74)</f>
        <v>0</v>
      </c>
      <c r="I74" s="316" t="s">
        <v>26</v>
      </c>
      <c r="J74" s="1073"/>
      <c r="K74" s="1073"/>
      <c r="L74" s="1073"/>
      <c r="M74" s="1073">
        <f>VLOOKUP(A74,AN_BI6,19,FALSE)</f>
        <v>0</v>
      </c>
      <c r="N74" s="1073">
        <f>VLOOKUP(A74,AN_BI6,19,FALSE)</f>
        <v>0</v>
      </c>
      <c r="O74" s="545">
        <f>AVERAGE(J74:N74)</f>
        <v>0</v>
      </c>
      <c r="P74" s="316" t="s">
        <v>26</v>
      </c>
      <c r="Q74" s="1073"/>
      <c r="R74" s="1073">
        <f>VLOOKUP(A74,AN_MAT6,16,FALSE)</f>
        <v>0</v>
      </c>
      <c r="S74" s="1073"/>
      <c r="T74" s="1073">
        <f>VLOOKUP(A74,AN_MAT6,16,FALSE)</f>
        <v>0</v>
      </c>
      <c r="U74" s="1073"/>
      <c r="V74" s="1073"/>
      <c r="W74" s="1073"/>
      <c r="X74" s="316" t="s">
        <v>26</v>
      </c>
      <c r="Y74" s="325"/>
      <c r="Z74" s="325"/>
      <c r="AA74" s="325"/>
      <c r="AB74" s="325">
        <f>VLOOKUP(A74,AN_SBDP6,16,FALSE)</f>
        <v>0</v>
      </c>
      <c r="AC74" s="661" t="s">
        <v>156</v>
      </c>
      <c r="AD74" s="325">
        <f>VLOOKUP(A74,AN_SBDP6,16,FALSE)</f>
        <v>0</v>
      </c>
      <c r="AE74" s="325">
        <f>VLOOKUP(A74,AN_SBDP6,16,FALSE)</f>
        <v>0</v>
      </c>
      <c r="AF74" s="325"/>
      <c r="AG74" s="325"/>
      <c r="AH74" s="325">
        <f>VLOOKUP(A74,AN_SBDP6,16,FALSE)</f>
        <v>0</v>
      </c>
      <c r="AI74" s="661" t="s">
        <v>44</v>
      </c>
      <c r="AJ74" s="325"/>
      <c r="AK74" s="325"/>
      <c r="AL74" s="325">
        <f>VLOOKUP(A74,an_agm,51,FALSE)</f>
        <v>0</v>
      </c>
      <c r="AM74" s="325"/>
      <c r="AN74" s="325"/>
      <c r="AO74" s="325"/>
      <c r="AP74" s="315" t="s">
        <v>156</v>
      </c>
      <c r="AQ74" s="325">
        <f>VLOOKUP(A74,UHT_jawa,18,FALSE)</f>
        <v>0</v>
      </c>
      <c r="AR74" s="325"/>
      <c r="AS74" s="325"/>
      <c r="AT74" s="1122" t="s">
        <v>44</v>
      </c>
      <c r="AU74" s="325"/>
      <c r="AV74" s="325">
        <f>VLOOKUP(A74,AN_ipa6,16,FALSE)</f>
        <v>0</v>
      </c>
      <c r="AW74" s="1122" t="s">
        <v>44</v>
      </c>
      <c r="AX74" s="325"/>
      <c r="AY74" s="325"/>
      <c r="AZ74" s="325">
        <f>VLOOKUP(A74,AN_IPS6,16,FALSE)</f>
        <v>0</v>
      </c>
    </row>
    <row r="75" spans="1:52" x14ac:dyDescent="0.25">
      <c r="A75" s="599"/>
      <c r="B75" s="609"/>
      <c r="C75" s="71"/>
      <c r="D75" s="316" t="s">
        <v>26</v>
      </c>
      <c r="E75" s="1073">
        <f>VLOOKUP(A74,AN_PKN7,12,FALSE)</f>
        <v>0</v>
      </c>
      <c r="F75" s="1073">
        <f>VLOOKUP(A74,AN_PKN7,12,FALSE)</f>
        <v>0</v>
      </c>
      <c r="G75" s="1073">
        <f>VLOOKUP(A74,AN_PKN7,12,FALSE)</f>
        <v>0</v>
      </c>
      <c r="H75" s="324">
        <f>AVERAGE(E75:G75)</f>
        <v>0</v>
      </c>
      <c r="I75" s="316" t="s">
        <v>50</v>
      </c>
      <c r="J75" s="1073">
        <f>VLOOKUP(A74,AN_BI7,21,FALSE)</f>
        <v>0</v>
      </c>
      <c r="K75" s="1073">
        <f>VLOOKUP(A74,AN_BI7,21,FALSE)</f>
        <v>0</v>
      </c>
      <c r="L75" s="1073">
        <f>VLOOKUP(A74,AN_BI7,21,FALSE)</f>
        <v>0</v>
      </c>
      <c r="M75" s="1073">
        <f>VLOOKUP(A74,AN_BI7,21,FALSE)</f>
        <v>0</v>
      </c>
      <c r="N75" s="1073"/>
      <c r="O75" s="545">
        <f t="shared" ref="O75:O77" si="130">AVERAGE(J75:N75)</f>
        <v>0</v>
      </c>
      <c r="P75" s="316" t="s">
        <v>50</v>
      </c>
      <c r="Q75" s="1073"/>
      <c r="R75" s="1073"/>
      <c r="S75" s="1073">
        <f>VLOOKUP(A74,AN_MAT7,16,FALSE)</f>
        <v>0</v>
      </c>
      <c r="T75" s="1073">
        <f>VLOOKUP(A74,AN_MAT7,16,FALSE)</f>
        <v>0</v>
      </c>
      <c r="U75" s="1073">
        <f>VLOOKUP(A74,AN_MAT7,16,FALSE)</f>
        <v>0</v>
      </c>
      <c r="V75" s="1073">
        <f>VLOOKUP(A74,AN_MAT7,16,FALSE)</f>
        <v>0</v>
      </c>
      <c r="W75" s="1073"/>
      <c r="X75" s="316" t="s">
        <v>50</v>
      </c>
      <c r="Y75" s="325">
        <f>VLOOKUP(A74,AN_SBDP7,16,FALSE)</f>
        <v>0</v>
      </c>
      <c r="Z75" s="325">
        <f>VLOOKUP(A74,AN_SBDP7,16,FALSE)</f>
        <v>0</v>
      </c>
      <c r="AA75" s="325"/>
      <c r="AB75" s="325">
        <f>VLOOKUP(A74,AN_SBDP7,16,FALSE)</f>
        <v>0</v>
      </c>
      <c r="AC75" s="661" t="s">
        <v>26</v>
      </c>
      <c r="AD75" s="325"/>
      <c r="AE75" s="325"/>
      <c r="AF75" s="325">
        <f>VLOOKUP(A74,AN_SBDP7,16,FALSE)</f>
        <v>0</v>
      </c>
      <c r="AG75" s="325">
        <f>VLOOKUP(A74,AN_SBDP7,16,FALSE)</f>
        <v>0</v>
      </c>
      <c r="AH75" s="325"/>
      <c r="AI75" s="661" t="s">
        <v>45</v>
      </c>
      <c r="AJ75" s="325">
        <f>VLOOKUP(A74,an_agm,49,FALSE)</f>
        <v>0</v>
      </c>
      <c r="AK75" s="325"/>
      <c r="AL75" s="325"/>
      <c r="AM75" s="325"/>
      <c r="AN75" s="325"/>
      <c r="AO75" s="325"/>
      <c r="AP75" s="315" t="s">
        <v>26</v>
      </c>
      <c r="AQ75" s="325"/>
      <c r="AR75" s="325">
        <f>VLOOKUP(A74,UHT_jawa,19,FALSE)</f>
        <v>0</v>
      </c>
      <c r="AS75" s="325"/>
      <c r="AT75" s="1122" t="s">
        <v>45</v>
      </c>
      <c r="AU75" s="325">
        <f>VLOOKUP(A74,AN_IPA7,16,FALSE)</f>
        <v>0</v>
      </c>
      <c r="AV75" s="325">
        <f>VLOOKUP(A74,AN_IPA7,16,FALSE)</f>
        <v>0</v>
      </c>
      <c r="AW75" s="1122" t="s">
        <v>45</v>
      </c>
      <c r="AX75" s="325">
        <f>VLOOKUP(A74,an_ips7,16,FALSE)</f>
        <v>0</v>
      </c>
      <c r="AY75" s="325">
        <f>VLOOKUP(A74,an_ips7,16,FALSE)</f>
        <v>0</v>
      </c>
      <c r="AZ75" s="325">
        <f>VLOOKUP(A74,an_ips7,16,FALSE)</f>
        <v>0</v>
      </c>
    </row>
    <row r="76" spans="1:52" x14ac:dyDescent="0.25">
      <c r="A76" s="599"/>
      <c r="B76" s="609"/>
      <c r="C76" s="71"/>
      <c r="D76" s="316" t="s">
        <v>50</v>
      </c>
      <c r="E76" s="1073"/>
      <c r="F76" s="1073">
        <f>VLOOKUP(A74,AN_PKN8,17,FALSE)</f>
        <v>0</v>
      </c>
      <c r="G76" s="1073">
        <f>VLOOKUP(A74,AN_PKN8,17,FALSE)</f>
        <v>0</v>
      </c>
      <c r="H76" s="324">
        <f>AVERAGE(E76:G76)</f>
        <v>0</v>
      </c>
      <c r="I76" s="316" t="s">
        <v>51</v>
      </c>
      <c r="J76" s="1073">
        <f>VLOOKUP(A74,AN_BI8,19,FALSE)</f>
        <v>0</v>
      </c>
      <c r="K76" s="1073"/>
      <c r="L76" s="1073"/>
      <c r="M76" s="1073">
        <f>VLOOKUP(A74,AN_BI8,19,FALSE)</f>
        <v>0</v>
      </c>
      <c r="N76" s="1073"/>
      <c r="O76" s="545">
        <f t="shared" si="130"/>
        <v>0</v>
      </c>
      <c r="P76" s="316" t="s">
        <v>51</v>
      </c>
      <c r="Q76" s="1073">
        <f>VLOOKUP(A74,AN_MAT8,16,FALSE)</f>
        <v>0</v>
      </c>
      <c r="R76" s="1073">
        <f>VLOOKUP(A74,AN_MAT8,16,FALSE)</f>
        <v>0</v>
      </c>
      <c r="S76" s="1073"/>
      <c r="T76" s="1073"/>
      <c r="U76" s="1073"/>
      <c r="V76" s="1073"/>
      <c r="W76" s="1073">
        <f>VLOOKUP(A74,AN_MAT8,16,FALSE)</f>
        <v>0</v>
      </c>
      <c r="X76" s="316" t="s">
        <v>51</v>
      </c>
      <c r="Y76" s="325"/>
      <c r="Z76" s="325">
        <f>VLOOKUP(A74,AN_SBDP8,16,FALSE)</f>
        <v>0</v>
      </c>
      <c r="AA76" s="325"/>
      <c r="AB76" s="325">
        <f>VLOOKUP(A74,AN_SBDP8,16,FALSE)</f>
        <v>0</v>
      </c>
      <c r="AC76" s="661" t="s">
        <v>50</v>
      </c>
      <c r="AD76" s="325"/>
      <c r="AE76" s="325"/>
      <c r="AF76" s="325">
        <f>VLOOKUP(A74,AN_SBDP8,16,FALSE)</f>
        <v>0</v>
      </c>
      <c r="AG76" s="325"/>
      <c r="AH76" s="325">
        <f>VLOOKUP(A74,AN_SBDP8,16,FALSE)</f>
        <v>0</v>
      </c>
      <c r="AI76" s="661" t="s">
        <v>46</v>
      </c>
      <c r="AJ76" s="325"/>
      <c r="AK76" s="325"/>
      <c r="AL76" s="325"/>
      <c r="AM76" s="325">
        <f>VLOOKUP(A74,an_agm,52,FALSE)</f>
        <v>0</v>
      </c>
      <c r="AN76" s="325">
        <f>VLOOKUP(A74,an_agm,53,FALSE)</f>
        <v>0</v>
      </c>
      <c r="AO76" s="325"/>
      <c r="AP76" s="315" t="s">
        <v>50</v>
      </c>
      <c r="AQ76" s="325"/>
      <c r="AR76" s="325"/>
      <c r="AS76" s="325">
        <f>VLOOKUP(A74,UHT_jawa,20,FALSE)</f>
        <v>0</v>
      </c>
      <c r="AT76" s="1122" t="s">
        <v>46</v>
      </c>
      <c r="AU76" s="325"/>
      <c r="AV76" s="325">
        <f>VLOOKUP(A74,AN_IPA7,16,FALSE)</f>
        <v>0</v>
      </c>
      <c r="AW76" s="1122" t="s">
        <v>46</v>
      </c>
      <c r="AX76" s="325">
        <f>VLOOKUP(A74,AN_ips8,16,FALSE)</f>
        <v>0</v>
      </c>
      <c r="AY76" s="325">
        <f>VLOOKUP(A74,AN_ips8,16,FALSE)</f>
        <v>0</v>
      </c>
      <c r="AZ76" s="325">
        <f>VLOOKUP(A74,AN_ips8,16,FALSE)</f>
        <v>0</v>
      </c>
    </row>
    <row r="77" spans="1:52" x14ac:dyDescent="0.25">
      <c r="A77" s="599"/>
      <c r="B77" s="609"/>
      <c r="C77" s="71"/>
      <c r="D77" s="316" t="s">
        <v>51</v>
      </c>
      <c r="E77" s="325">
        <f>VLOOKUP(A74,AN_PKN9,16,FALSE)</f>
        <v>0</v>
      </c>
      <c r="F77" s="325"/>
      <c r="G77" s="325"/>
      <c r="H77" s="324">
        <f>AVERAGE(E77:G77)</f>
        <v>0</v>
      </c>
      <c r="I77" s="316" t="s">
        <v>52</v>
      </c>
      <c r="J77" s="1073">
        <f>VLOOKUP(A74,AN_BI9,21,FALSE)</f>
        <v>0</v>
      </c>
      <c r="K77" s="1073">
        <f>VLOOKUP(A74,AN_BI9,21,FALSE)</f>
        <v>0</v>
      </c>
      <c r="L77" s="1073">
        <f>VLOOKUP(A74,AN_BI9,21,FALSE)</f>
        <v>0</v>
      </c>
      <c r="M77" s="1073">
        <f>VLOOKUP(A74,AN_BI9,21,FALSE)</f>
        <v>0</v>
      </c>
      <c r="N77" s="1073"/>
      <c r="O77" s="545">
        <f t="shared" si="130"/>
        <v>0</v>
      </c>
      <c r="P77" s="316" t="s">
        <v>52</v>
      </c>
      <c r="Q77" s="1073">
        <f>VLOOKUP(A74,AN_MAT9,16,FALSE)</f>
        <v>0</v>
      </c>
      <c r="R77" s="1073">
        <f>VLOOKUP(A74,AN_MAT9,16,FALSE)</f>
        <v>0</v>
      </c>
      <c r="S77" s="1073">
        <f>VLOOKUP(A74,AN_MAT9,16,FALSE)</f>
        <v>0</v>
      </c>
      <c r="T77" s="1073">
        <f>VLOOKUP(A74,AN_MAT9,16,FALSE)</f>
        <v>0</v>
      </c>
      <c r="U77" s="1073">
        <f>VLOOKUP(A74,AN_MAT9,16,FALSE)</f>
        <v>0</v>
      </c>
      <c r="V77" s="1073">
        <f>VLOOKUP(A74,AN_MAT9,16,FALSE)</f>
        <v>0</v>
      </c>
      <c r="W77" s="1073">
        <f>VLOOKUP(A74,AN_MAT9,16,FALSE)</f>
        <v>0</v>
      </c>
      <c r="X77" s="316" t="s">
        <v>52</v>
      </c>
      <c r="Y77" s="325"/>
      <c r="Z77" s="325">
        <f>VLOOKUP(A74,AN_SBDP9,16,FALSE)</f>
        <v>0</v>
      </c>
      <c r="AA77" s="325">
        <f>VLOOKUP(A74,AN_SBDP9,16,FALSE)</f>
        <v>0</v>
      </c>
      <c r="AB77" s="325"/>
      <c r="AC77" s="661" t="s">
        <v>51</v>
      </c>
      <c r="AD77" s="325"/>
      <c r="AE77" s="325">
        <f>VLOOKUP(A74,AN_SBDP9,16,FALSE)</f>
        <v>0</v>
      </c>
      <c r="AF77" s="325">
        <f>VLOOKUP(A74,AN_SBDP9,16,FALSE)</f>
        <v>0</v>
      </c>
      <c r="AG77" s="325"/>
      <c r="AH77" s="325"/>
      <c r="AI77" s="661" t="s">
        <v>47</v>
      </c>
      <c r="AJ77" s="325"/>
      <c r="AK77" s="325">
        <f>VLOOKUP(A74,an_agm,50,FALSE)</f>
        <v>0</v>
      </c>
      <c r="AL77" s="325"/>
      <c r="AM77" s="325"/>
      <c r="AN77" s="325"/>
      <c r="AO77" s="325"/>
      <c r="AP77" s="315" t="s">
        <v>51</v>
      </c>
      <c r="AQ77" s="325"/>
      <c r="AR77" s="325"/>
      <c r="AS77" s="325"/>
      <c r="AT77" s="1122" t="s">
        <v>47</v>
      </c>
      <c r="AU77" s="325"/>
      <c r="AV77" s="325">
        <f>VLOOKUP(A74,an_IPA9,16,FALSE)</f>
        <v>0</v>
      </c>
      <c r="AW77" s="1122" t="s">
        <v>47</v>
      </c>
      <c r="AX77" s="325">
        <f>VLOOKUP(A74,AN_IPS_9,16,FALSE)</f>
        <v>0</v>
      </c>
      <c r="AY77" s="325"/>
      <c r="AZ77" s="325">
        <f>VLOOKUP(A74,AN_IPS_9,16,FALSE)</f>
        <v>0</v>
      </c>
    </row>
    <row r="78" spans="1:52" x14ac:dyDescent="0.25">
      <c r="A78" s="599"/>
      <c r="B78" s="609"/>
      <c r="C78" s="71"/>
      <c r="D78" s="316"/>
      <c r="E78" s="1073"/>
      <c r="F78" s="1073"/>
      <c r="G78" s="1073"/>
      <c r="H78" s="1074"/>
      <c r="I78" s="316"/>
      <c r="J78" s="1073"/>
      <c r="K78" s="1073"/>
      <c r="L78" s="1073"/>
      <c r="M78" s="1073"/>
      <c r="N78" s="1073"/>
      <c r="O78" s="1074"/>
      <c r="P78" s="315"/>
      <c r="Q78" s="1073"/>
      <c r="R78" s="1073"/>
      <c r="S78" s="1073"/>
      <c r="T78" s="1073"/>
      <c r="U78" s="1073"/>
      <c r="V78" s="1073"/>
      <c r="W78" s="1073"/>
      <c r="X78" s="315"/>
      <c r="Y78" s="325"/>
      <c r="Z78" s="325"/>
      <c r="AA78" s="325"/>
      <c r="AB78" s="325"/>
      <c r="AC78" s="661"/>
      <c r="AD78" s="1073"/>
      <c r="AE78" s="1073"/>
      <c r="AF78" s="1112"/>
      <c r="AG78" s="1112"/>
      <c r="AH78" s="1112"/>
      <c r="AI78" s="661" t="s">
        <v>48</v>
      </c>
      <c r="AJ78" s="325"/>
      <c r="AK78" s="325"/>
      <c r="AL78" s="325"/>
      <c r="AM78" s="325"/>
      <c r="AN78" s="325"/>
      <c r="AO78" s="325">
        <f>VLOOKUP(A74,an_agm,54,FALSE)</f>
        <v>0</v>
      </c>
      <c r="AP78" s="315"/>
      <c r="AQ78" s="1136"/>
      <c r="AR78" s="1136"/>
      <c r="AS78" s="1136"/>
      <c r="AT78" s="661"/>
      <c r="AU78" s="325"/>
      <c r="AV78" s="325"/>
      <c r="AW78" s="661"/>
      <c r="AX78" s="325"/>
      <c r="AY78" s="325"/>
      <c r="AZ78" s="325"/>
    </row>
    <row r="79" spans="1:52" x14ac:dyDescent="0.25">
      <c r="A79" s="604"/>
      <c r="B79" s="611">
        <v>12</v>
      </c>
      <c r="C79" s="72"/>
      <c r="D79" s="317" t="s">
        <v>214</v>
      </c>
      <c r="E79" s="318">
        <f>IFERROR(AVERAGE(E74:E78),"  ")</f>
        <v>0</v>
      </c>
      <c r="F79" s="318">
        <f t="shared" ref="F79:G79" si="131">IFERROR(AVERAGE(F74:F78),"  ")</f>
        <v>0</v>
      </c>
      <c r="G79" s="318">
        <f t="shared" si="131"/>
        <v>0</v>
      </c>
      <c r="H79" s="323"/>
      <c r="I79" s="317" t="s">
        <v>214</v>
      </c>
      <c r="J79" s="318">
        <f>IFERROR(AVERAGE(J74:J78),"  ")</f>
        <v>0</v>
      </c>
      <c r="K79" s="318">
        <f t="shared" ref="K79:M79" si="132">IFERROR(AVERAGE(K74:K78),"  ")</f>
        <v>0</v>
      </c>
      <c r="L79" s="318">
        <f t="shared" si="132"/>
        <v>0</v>
      </c>
      <c r="M79" s="318">
        <f t="shared" si="132"/>
        <v>0</v>
      </c>
      <c r="N79" s="318">
        <f>IFERROR(AVERAGE(N74:N78),"  ")</f>
        <v>0</v>
      </c>
      <c r="O79" s="597"/>
      <c r="P79" s="317" t="s">
        <v>214</v>
      </c>
      <c r="Q79" s="318">
        <f>IFERROR(AVERAGE(Q74:Q78),"  ")</f>
        <v>0</v>
      </c>
      <c r="R79" s="318">
        <f t="shared" ref="R79:W79" si="133">IFERROR(AVERAGE(R74:R78),"  ")</f>
        <v>0</v>
      </c>
      <c r="S79" s="318">
        <f t="shared" si="133"/>
        <v>0</v>
      </c>
      <c r="T79" s="318">
        <f t="shared" si="133"/>
        <v>0</v>
      </c>
      <c r="U79" s="318">
        <f t="shared" si="133"/>
        <v>0</v>
      </c>
      <c r="V79" s="318">
        <f t="shared" si="133"/>
        <v>0</v>
      </c>
      <c r="W79" s="318">
        <f t="shared" si="133"/>
        <v>0</v>
      </c>
      <c r="X79" s="317" t="s">
        <v>214</v>
      </c>
      <c r="Y79" s="318">
        <f t="shared" ref="Y79:AB79" si="134">IFERROR(AVERAGE(Y74:Y78),"  ")</f>
        <v>0</v>
      </c>
      <c r="Z79" s="318">
        <f t="shared" si="134"/>
        <v>0</v>
      </c>
      <c r="AA79" s="318">
        <f t="shared" si="134"/>
        <v>0</v>
      </c>
      <c r="AB79" s="318">
        <f t="shared" si="134"/>
        <v>0</v>
      </c>
      <c r="AC79" s="317" t="s">
        <v>214</v>
      </c>
      <c r="AD79" s="318">
        <f t="shared" ref="AD79:AH79" si="135">IFERROR(AVERAGE(AD74:AD78),"  ")</f>
        <v>0</v>
      </c>
      <c r="AE79" s="318">
        <f t="shared" si="135"/>
        <v>0</v>
      </c>
      <c r="AF79" s="318">
        <f t="shared" si="135"/>
        <v>0</v>
      </c>
      <c r="AG79" s="318">
        <f t="shared" si="135"/>
        <v>0</v>
      </c>
      <c r="AH79" s="318">
        <f t="shared" si="135"/>
        <v>0</v>
      </c>
      <c r="AI79" s="317" t="s">
        <v>214</v>
      </c>
      <c r="AJ79" s="318">
        <f t="shared" ref="AJ79:AO79" si="136">IFERROR(AVERAGE(AJ74:AJ78),"  ")</f>
        <v>0</v>
      </c>
      <c r="AK79" s="318">
        <f t="shared" si="136"/>
        <v>0</v>
      </c>
      <c r="AL79" s="318">
        <f t="shared" si="136"/>
        <v>0</v>
      </c>
      <c r="AM79" s="318">
        <f t="shared" si="136"/>
        <v>0</v>
      </c>
      <c r="AN79" s="318">
        <f t="shared" si="136"/>
        <v>0</v>
      </c>
      <c r="AO79" s="318">
        <f t="shared" si="136"/>
        <v>0</v>
      </c>
      <c r="AP79" s="317" t="s">
        <v>214</v>
      </c>
      <c r="AQ79" s="318">
        <f t="shared" ref="AQ79:AS79" si="137">IFERROR(AVERAGE(AQ74:AQ78),"  ")</f>
        <v>0</v>
      </c>
      <c r="AR79" s="318">
        <f t="shared" si="137"/>
        <v>0</v>
      </c>
      <c r="AS79" s="318">
        <f t="shared" si="137"/>
        <v>0</v>
      </c>
      <c r="AT79" s="317" t="s">
        <v>214</v>
      </c>
      <c r="AU79" s="318">
        <f t="shared" ref="AU79:AV79" si="138">IFERROR(AVERAGE(AU74:AU78),"  ")</f>
        <v>0</v>
      </c>
      <c r="AV79" s="318">
        <f t="shared" si="138"/>
        <v>0</v>
      </c>
      <c r="AW79" s="317" t="s">
        <v>214</v>
      </c>
      <c r="AX79" s="318">
        <f t="shared" ref="AX79:AZ79" si="139">IFERROR(AVERAGE(AX74:AX78),"  ")</f>
        <v>0</v>
      </c>
      <c r="AY79" s="318">
        <f t="shared" si="139"/>
        <v>0</v>
      </c>
      <c r="AZ79" s="318">
        <f t="shared" si="139"/>
        <v>0</v>
      </c>
    </row>
    <row r="80" spans="1:52" x14ac:dyDescent="0.25">
      <c r="A80" s="599">
        <v>13</v>
      </c>
      <c r="B80" s="608"/>
      <c r="C80" s="292" t="str">
        <f>VLOOKUP(A80,data_siswa,4,FALSE)</f>
        <v>Misyanita Nurfitri S</v>
      </c>
      <c r="D80" s="316" t="s">
        <v>156</v>
      </c>
      <c r="E80" s="1073"/>
      <c r="F80" s="1073">
        <f>VLOOKUP(A80,AN_PKN6_KI3,13,FALSE)</f>
        <v>0</v>
      </c>
      <c r="G80" s="1073"/>
      <c r="H80" s="324">
        <f>AVERAGE(E80:G80)</f>
        <v>0</v>
      </c>
      <c r="I80" s="316" t="s">
        <v>26</v>
      </c>
      <c r="J80" s="1073"/>
      <c r="K80" s="1073"/>
      <c r="L80" s="1073"/>
      <c r="M80" s="1073">
        <f>VLOOKUP(A80,AN_BI6,19,FALSE)</f>
        <v>0</v>
      </c>
      <c r="N80" s="1073">
        <f>VLOOKUP(A80,AN_BI6,19,FALSE)</f>
        <v>0</v>
      </c>
      <c r="O80" s="545">
        <f>AVERAGE(J80:N80)</f>
        <v>0</v>
      </c>
      <c r="P80" s="316" t="s">
        <v>26</v>
      </c>
      <c r="Q80" s="1073"/>
      <c r="R80" s="1073">
        <f>VLOOKUP(A80,AN_MAT6,16,FALSE)</f>
        <v>0</v>
      </c>
      <c r="S80" s="1073"/>
      <c r="T80" s="1073">
        <f>VLOOKUP(A80,AN_MAT6,16,FALSE)</f>
        <v>0</v>
      </c>
      <c r="U80" s="1073"/>
      <c r="V80" s="1073"/>
      <c r="W80" s="1073"/>
      <c r="X80" s="316" t="s">
        <v>26</v>
      </c>
      <c r="Y80" s="325"/>
      <c r="Z80" s="325"/>
      <c r="AA80" s="325"/>
      <c r="AB80" s="325">
        <f>VLOOKUP(A80,AN_SBDP6,16,FALSE)</f>
        <v>0</v>
      </c>
      <c r="AC80" s="661" t="s">
        <v>156</v>
      </c>
      <c r="AD80" s="325">
        <f>VLOOKUP(A80,AN_SBDP6,16,FALSE)</f>
        <v>0</v>
      </c>
      <c r="AE80" s="325">
        <f>VLOOKUP(A80,AN_SBDP6,16,FALSE)</f>
        <v>0</v>
      </c>
      <c r="AF80" s="325"/>
      <c r="AG80" s="325"/>
      <c r="AH80" s="325">
        <f>VLOOKUP(A80,AN_SBDP6,16,FALSE)</f>
        <v>0</v>
      </c>
      <c r="AI80" s="661" t="s">
        <v>44</v>
      </c>
      <c r="AJ80" s="325"/>
      <c r="AK80" s="325"/>
      <c r="AL80" s="325">
        <f>VLOOKUP(A80,an_agm,51,FALSE)</f>
        <v>0</v>
      </c>
      <c r="AM80" s="325"/>
      <c r="AN80" s="325"/>
      <c r="AO80" s="325"/>
      <c r="AP80" s="315" t="s">
        <v>156</v>
      </c>
      <c r="AQ80" s="325">
        <f>VLOOKUP(A80,UHT_jawa,18,FALSE)</f>
        <v>0</v>
      </c>
      <c r="AR80" s="325"/>
      <c r="AS80" s="325"/>
      <c r="AT80" s="661" t="s">
        <v>44</v>
      </c>
      <c r="AU80" s="325"/>
      <c r="AV80" s="325">
        <f>VLOOKUP(A80,AN_ipa6,16,FALSE)</f>
        <v>0</v>
      </c>
      <c r="AW80" s="661" t="s">
        <v>44</v>
      </c>
      <c r="AX80" s="325"/>
      <c r="AY80" s="325"/>
      <c r="AZ80" s="325">
        <f>VLOOKUP(A80,AN_IPS6,16,FALSE)</f>
        <v>0</v>
      </c>
    </row>
    <row r="81" spans="1:52" x14ac:dyDescent="0.25">
      <c r="A81" s="599"/>
      <c r="B81" s="609"/>
      <c r="C81" s="71"/>
      <c r="D81" s="316" t="s">
        <v>26</v>
      </c>
      <c r="E81" s="1073">
        <f>VLOOKUP(A80,AN_PKN7,12,FALSE)</f>
        <v>0</v>
      </c>
      <c r="F81" s="1073">
        <f>VLOOKUP(A80,AN_PKN7,12,FALSE)</f>
        <v>0</v>
      </c>
      <c r="G81" s="1073">
        <f>VLOOKUP(A80,AN_PKN7,12,FALSE)</f>
        <v>0</v>
      </c>
      <c r="H81" s="324">
        <f>AVERAGE(E81:G81)</f>
        <v>0</v>
      </c>
      <c r="I81" s="316" t="s">
        <v>50</v>
      </c>
      <c r="J81" s="1073">
        <f>VLOOKUP(A80,AN_BI7,21,FALSE)</f>
        <v>0</v>
      </c>
      <c r="K81" s="1073">
        <f>VLOOKUP(A80,AN_BI7,21,FALSE)</f>
        <v>0</v>
      </c>
      <c r="L81" s="1073">
        <f>VLOOKUP(A80,AN_BI7,21,FALSE)</f>
        <v>0</v>
      </c>
      <c r="M81" s="1073">
        <f>VLOOKUP(A80,AN_BI7,21,FALSE)</f>
        <v>0</v>
      </c>
      <c r="N81" s="1073"/>
      <c r="O81" s="545">
        <f t="shared" ref="O81:O83" si="140">AVERAGE(J81:N81)</f>
        <v>0</v>
      </c>
      <c r="P81" s="316" t="s">
        <v>50</v>
      </c>
      <c r="Q81" s="1073"/>
      <c r="R81" s="1073"/>
      <c r="S81" s="1073">
        <f>VLOOKUP(A80,AN_MAT7,16,FALSE)</f>
        <v>0</v>
      </c>
      <c r="T81" s="1073">
        <f>VLOOKUP(A80,AN_MAT7,16,FALSE)</f>
        <v>0</v>
      </c>
      <c r="U81" s="1073">
        <f>VLOOKUP(A80,AN_MAT7,16,FALSE)</f>
        <v>0</v>
      </c>
      <c r="V81" s="1073">
        <f>VLOOKUP(A80,AN_MAT7,16,FALSE)</f>
        <v>0</v>
      </c>
      <c r="W81" s="1073"/>
      <c r="X81" s="316" t="s">
        <v>50</v>
      </c>
      <c r="Y81" s="325">
        <f>VLOOKUP(A80,AN_SBDP7,16,FALSE)</f>
        <v>0</v>
      </c>
      <c r="Z81" s="325">
        <f>VLOOKUP(A80,AN_SBDP7,16,FALSE)</f>
        <v>0</v>
      </c>
      <c r="AA81" s="325"/>
      <c r="AB81" s="325">
        <f>VLOOKUP(A80,AN_SBDP7,16,FALSE)</f>
        <v>0</v>
      </c>
      <c r="AC81" s="661" t="s">
        <v>26</v>
      </c>
      <c r="AD81" s="325"/>
      <c r="AE81" s="325"/>
      <c r="AF81" s="325">
        <f>VLOOKUP(A80,AN_SBDP7,16,FALSE)</f>
        <v>0</v>
      </c>
      <c r="AG81" s="325">
        <f>VLOOKUP(A80,AN_SBDP7,16,FALSE)</f>
        <v>0</v>
      </c>
      <c r="AH81" s="325"/>
      <c r="AI81" s="661" t="s">
        <v>45</v>
      </c>
      <c r="AJ81" s="325">
        <f>VLOOKUP(A80,an_agm,49,FALSE)</f>
        <v>0</v>
      </c>
      <c r="AK81" s="325"/>
      <c r="AL81" s="325"/>
      <c r="AM81" s="325"/>
      <c r="AN81" s="325"/>
      <c r="AO81" s="325"/>
      <c r="AP81" s="315" t="s">
        <v>26</v>
      </c>
      <c r="AQ81" s="325"/>
      <c r="AR81" s="325">
        <f>VLOOKUP(A80,UHT_jawa,19,FALSE)</f>
        <v>0</v>
      </c>
      <c r="AS81" s="325"/>
      <c r="AT81" s="661" t="s">
        <v>45</v>
      </c>
      <c r="AU81" s="325">
        <f>VLOOKUP(A80,AN_IPA7,16,FALSE)</f>
        <v>0</v>
      </c>
      <c r="AV81" s="325">
        <f>VLOOKUP(A80,AN_IPA7,16,FALSE)</f>
        <v>0</v>
      </c>
      <c r="AW81" s="661" t="s">
        <v>45</v>
      </c>
      <c r="AX81" s="325">
        <f>VLOOKUP(A80,an_ips7,16,FALSE)</f>
        <v>0</v>
      </c>
      <c r="AY81" s="325">
        <f>VLOOKUP(A80,an_ips7,16,FALSE)</f>
        <v>0</v>
      </c>
      <c r="AZ81" s="325">
        <f>VLOOKUP(A80,an_ips7,16,FALSE)</f>
        <v>0</v>
      </c>
    </row>
    <row r="82" spans="1:52" x14ac:dyDescent="0.25">
      <c r="A82" s="599"/>
      <c r="B82" s="609"/>
      <c r="C82" s="71"/>
      <c r="D82" s="316" t="s">
        <v>50</v>
      </c>
      <c r="E82" s="1073"/>
      <c r="F82" s="1073">
        <f>VLOOKUP(A80,AN_PKN8,17,FALSE)</f>
        <v>0</v>
      </c>
      <c r="G82" s="1073">
        <f>VLOOKUP(A80,AN_PKN8,17,FALSE)</f>
        <v>0</v>
      </c>
      <c r="H82" s="324">
        <f>AVERAGE(E82:G82)</f>
        <v>0</v>
      </c>
      <c r="I82" s="316" t="s">
        <v>51</v>
      </c>
      <c r="J82" s="1073">
        <f>VLOOKUP(A80,AN_BI8,19,FALSE)</f>
        <v>0</v>
      </c>
      <c r="K82" s="1073"/>
      <c r="L82" s="1073"/>
      <c r="M82" s="1073">
        <f>VLOOKUP(A80,AN_BI8,19,FALSE)</f>
        <v>0</v>
      </c>
      <c r="N82" s="1073"/>
      <c r="O82" s="545">
        <f t="shared" si="140"/>
        <v>0</v>
      </c>
      <c r="P82" s="316" t="s">
        <v>51</v>
      </c>
      <c r="Q82" s="1073">
        <f>VLOOKUP(A80,AN_MAT8,16,FALSE)</f>
        <v>0</v>
      </c>
      <c r="R82" s="1073">
        <f>VLOOKUP(A80,AN_MAT8,16,FALSE)</f>
        <v>0</v>
      </c>
      <c r="S82" s="1073"/>
      <c r="T82" s="1073"/>
      <c r="U82" s="1073"/>
      <c r="V82" s="1073"/>
      <c r="W82" s="1073">
        <f>VLOOKUP(A80,AN_MAT8,16,FALSE)</f>
        <v>0</v>
      </c>
      <c r="X82" s="316" t="s">
        <v>51</v>
      </c>
      <c r="Y82" s="325"/>
      <c r="Z82" s="325">
        <f>VLOOKUP(A80,AN_SBDP8,16,FALSE)</f>
        <v>0</v>
      </c>
      <c r="AA82" s="325"/>
      <c r="AB82" s="325">
        <f>VLOOKUP(A80,AN_SBDP8,16,FALSE)</f>
        <v>0</v>
      </c>
      <c r="AC82" s="661" t="s">
        <v>50</v>
      </c>
      <c r="AD82" s="325"/>
      <c r="AE82" s="325"/>
      <c r="AF82" s="325">
        <f>VLOOKUP(A80,AN_SBDP8,16,FALSE)</f>
        <v>0</v>
      </c>
      <c r="AG82" s="325"/>
      <c r="AH82" s="325">
        <f>VLOOKUP(A80,AN_SBDP8,16,FALSE)</f>
        <v>0</v>
      </c>
      <c r="AI82" s="661" t="s">
        <v>46</v>
      </c>
      <c r="AJ82" s="325"/>
      <c r="AK82" s="325"/>
      <c r="AL82" s="325"/>
      <c r="AM82" s="325">
        <f>VLOOKUP(A80,an_agm,52,FALSE)</f>
        <v>0</v>
      </c>
      <c r="AN82" s="325">
        <f>VLOOKUP(A80,an_agm,53,FALSE)</f>
        <v>0</v>
      </c>
      <c r="AO82" s="325"/>
      <c r="AP82" s="315" t="s">
        <v>50</v>
      </c>
      <c r="AQ82" s="325"/>
      <c r="AR82" s="325"/>
      <c r="AS82" s="325">
        <f>VLOOKUP(A80,UHT_jawa,20,FALSE)</f>
        <v>0</v>
      </c>
      <c r="AT82" s="661" t="s">
        <v>46</v>
      </c>
      <c r="AU82" s="325"/>
      <c r="AV82" s="325">
        <f>VLOOKUP(A80,AN_IPA7,16,FALSE)</f>
        <v>0</v>
      </c>
      <c r="AW82" s="661" t="s">
        <v>46</v>
      </c>
      <c r="AX82" s="325">
        <f>VLOOKUP(A80,AN_ips8,16,FALSE)</f>
        <v>0</v>
      </c>
      <c r="AY82" s="325">
        <f>VLOOKUP(A80,AN_ips8,16,FALSE)</f>
        <v>0</v>
      </c>
      <c r="AZ82" s="325">
        <f>VLOOKUP(A80,AN_ips8,16,FALSE)</f>
        <v>0</v>
      </c>
    </row>
    <row r="83" spans="1:52" x14ac:dyDescent="0.25">
      <c r="A83" s="599"/>
      <c r="B83" s="609"/>
      <c r="C83" s="71"/>
      <c r="D83" s="316" t="s">
        <v>51</v>
      </c>
      <c r="E83" s="325">
        <f>VLOOKUP(A80,AN_PKN9,16,FALSE)</f>
        <v>0</v>
      </c>
      <c r="F83" s="325"/>
      <c r="G83" s="325"/>
      <c r="H83" s="324">
        <f>AVERAGE(E83:G83)</f>
        <v>0</v>
      </c>
      <c r="I83" s="316" t="s">
        <v>52</v>
      </c>
      <c r="J83" s="1073">
        <f>VLOOKUP(A80,AN_BI9,21,FALSE)</f>
        <v>0</v>
      </c>
      <c r="K83" s="1073">
        <f>VLOOKUP(A80,AN_BI9,21,FALSE)</f>
        <v>0</v>
      </c>
      <c r="L83" s="1073">
        <f>VLOOKUP(A80,AN_BI9,21,FALSE)</f>
        <v>0</v>
      </c>
      <c r="M83" s="1073">
        <f>VLOOKUP(A80,AN_BI9,21,FALSE)</f>
        <v>0</v>
      </c>
      <c r="N83" s="1073"/>
      <c r="O83" s="545">
        <f t="shared" si="140"/>
        <v>0</v>
      </c>
      <c r="P83" s="316" t="s">
        <v>52</v>
      </c>
      <c r="Q83" s="1073">
        <f>VLOOKUP(A80,AN_MAT9,16,FALSE)</f>
        <v>0</v>
      </c>
      <c r="R83" s="1073">
        <f>VLOOKUP(A80,AN_MAT9,16,FALSE)</f>
        <v>0</v>
      </c>
      <c r="S83" s="1073">
        <f>VLOOKUP(A80,AN_MAT9,16,FALSE)</f>
        <v>0</v>
      </c>
      <c r="T83" s="1073">
        <f>VLOOKUP(A80,AN_MAT9,16,FALSE)</f>
        <v>0</v>
      </c>
      <c r="U83" s="1073">
        <f>VLOOKUP(A80,AN_MAT9,16,FALSE)</f>
        <v>0</v>
      </c>
      <c r="V83" s="1073">
        <f>VLOOKUP(A80,AN_MAT9,16,FALSE)</f>
        <v>0</v>
      </c>
      <c r="W83" s="1073">
        <f>VLOOKUP(A80,AN_MAT9,16,FALSE)</f>
        <v>0</v>
      </c>
      <c r="X83" s="316" t="s">
        <v>52</v>
      </c>
      <c r="Y83" s="325"/>
      <c r="Z83" s="325">
        <f>VLOOKUP(A80,AN_SBDP9,16,FALSE)</f>
        <v>0</v>
      </c>
      <c r="AA83" s="325">
        <f>VLOOKUP(A80,AN_SBDP9,16,FALSE)</f>
        <v>0</v>
      </c>
      <c r="AB83" s="325"/>
      <c r="AC83" s="661" t="s">
        <v>51</v>
      </c>
      <c r="AD83" s="325"/>
      <c r="AE83" s="325">
        <f>VLOOKUP(A80,AN_SBDP9,16,FALSE)</f>
        <v>0</v>
      </c>
      <c r="AF83" s="325">
        <f>VLOOKUP(A80,AN_SBDP9,16,FALSE)</f>
        <v>0</v>
      </c>
      <c r="AG83" s="325"/>
      <c r="AH83" s="325"/>
      <c r="AI83" s="661" t="s">
        <v>47</v>
      </c>
      <c r="AJ83" s="325"/>
      <c r="AK83" s="325">
        <f>VLOOKUP(A80,an_agm,50,FALSE)</f>
        <v>0</v>
      </c>
      <c r="AL83" s="325"/>
      <c r="AM83" s="325"/>
      <c r="AN83" s="325"/>
      <c r="AO83" s="325"/>
      <c r="AP83" s="315" t="s">
        <v>51</v>
      </c>
      <c r="AQ83" s="325"/>
      <c r="AR83" s="325"/>
      <c r="AS83" s="325"/>
      <c r="AT83" s="661" t="s">
        <v>47</v>
      </c>
      <c r="AU83" s="325"/>
      <c r="AV83" s="325">
        <f>VLOOKUP(A80,an_IPA9,16,FALSE)</f>
        <v>0</v>
      </c>
      <c r="AW83" s="661" t="s">
        <v>47</v>
      </c>
      <c r="AX83" s="325">
        <f>VLOOKUP(A80,AN_IPS_9,16,FALSE)</f>
        <v>0</v>
      </c>
      <c r="AY83" s="325"/>
      <c r="AZ83" s="325">
        <f>VLOOKUP(A80,AN_IPS_9,16,FALSE)</f>
        <v>0</v>
      </c>
    </row>
    <row r="84" spans="1:52" x14ac:dyDescent="0.25">
      <c r="A84" s="599"/>
      <c r="B84" s="609"/>
      <c r="C84" s="71"/>
      <c r="D84" s="316"/>
      <c r="E84" s="1073"/>
      <c r="F84" s="1073"/>
      <c r="G84" s="1073"/>
      <c r="H84" s="1074"/>
      <c r="I84" s="316"/>
      <c r="J84" s="1073"/>
      <c r="K84" s="1073"/>
      <c r="L84" s="1073"/>
      <c r="M84" s="1073"/>
      <c r="N84" s="1073"/>
      <c r="O84" s="1074"/>
      <c r="P84" s="315"/>
      <c r="Q84" s="1073"/>
      <c r="R84" s="1073"/>
      <c r="S84" s="1073"/>
      <c r="T84" s="1073"/>
      <c r="U84" s="1073"/>
      <c r="V84" s="1073"/>
      <c r="W84" s="1073"/>
      <c r="X84" s="315"/>
      <c r="Y84" s="325"/>
      <c r="Z84" s="325"/>
      <c r="AA84" s="325"/>
      <c r="AB84" s="325"/>
      <c r="AC84" s="661"/>
      <c r="AD84" s="1073"/>
      <c r="AE84" s="1073"/>
      <c r="AF84" s="1112"/>
      <c r="AG84" s="1112"/>
      <c r="AH84" s="1112"/>
      <c r="AI84" s="661" t="s">
        <v>48</v>
      </c>
      <c r="AJ84" s="325"/>
      <c r="AK84" s="325"/>
      <c r="AL84" s="325"/>
      <c r="AM84" s="325"/>
      <c r="AN84" s="325"/>
      <c r="AO84" s="325">
        <f>VLOOKUP(A80,an_agm,54,FALSE)</f>
        <v>0</v>
      </c>
      <c r="AP84" s="315"/>
      <c r="AQ84" s="1136"/>
      <c r="AR84" s="1136"/>
      <c r="AS84" s="1136"/>
      <c r="AT84" s="661"/>
      <c r="AU84" s="325"/>
      <c r="AV84" s="325"/>
      <c r="AW84" s="661"/>
      <c r="AX84" s="325"/>
      <c r="AY84" s="325"/>
      <c r="AZ84" s="325"/>
    </row>
    <row r="85" spans="1:52" x14ac:dyDescent="0.25">
      <c r="A85" s="604"/>
      <c r="B85" s="611">
        <v>13</v>
      </c>
      <c r="C85" s="72"/>
      <c r="D85" s="317" t="s">
        <v>214</v>
      </c>
      <c r="E85" s="318">
        <f>IFERROR(AVERAGE(E80:E84),"  ")</f>
        <v>0</v>
      </c>
      <c r="F85" s="318">
        <f t="shared" ref="F85:G85" si="141">IFERROR(AVERAGE(F80:F84),"  ")</f>
        <v>0</v>
      </c>
      <c r="G85" s="318">
        <f t="shared" si="141"/>
        <v>0</v>
      </c>
      <c r="H85" s="323"/>
      <c r="I85" s="317" t="s">
        <v>214</v>
      </c>
      <c r="J85" s="318">
        <f>IFERROR(AVERAGE(J80:J84),"  ")</f>
        <v>0</v>
      </c>
      <c r="K85" s="318">
        <f t="shared" ref="K85:M85" si="142">IFERROR(AVERAGE(K80:K84),"  ")</f>
        <v>0</v>
      </c>
      <c r="L85" s="318">
        <f t="shared" si="142"/>
        <v>0</v>
      </c>
      <c r="M85" s="318">
        <f t="shared" si="142"/>
        <v>0</v>
      </c>
      <c r="N85" s="318">
        <f>IFERROR(AVERAGE(N80:N84),"  ")</f>
        <v>0</v>
      </c>
      <c r="O85" s="597"/>
      <c r="P85" s="317" t="s">
        <v>214</v>
      </c>
      <c r="Q85" s="318">
        <f>IFERROR(AVERAGE(Q80:Q84),"  ")</f>
        <v>0</v>
      </c>
      <c r="R85" s="318">
        <f t="shared" ref="R85:W85" si="143">IFERROR(AVERAGE(R80:R84),"  ")</f>
        <v>0</v>
      </c>
      <c r="S85" s="318">
        <f t="shared" si="143"/>
        <v>0</v>
      </c>
      <c r="T85" s="318">
        <f t="shared" si="143"/>
        <v>0</v>
      </c>
      <c r="U85" s="318">
        <f t="shared" si="143"/>
        <v>0</v>
      </c>
      <c r="V85" s="318">
        <f t="shared" si="143"/>
        <v>0</v>
      </c>
      <c r="W85" s="318">
        <f t="shared" si="143"/>
        <v>0</v>
      </c>
      <c r="X85" s="317" t="s">
        <v>214</v>
      </c>
      <c r="Y85" s="318">
        <f t="shared" ref="Y85:AB85" si="144">IFERROR(AVERAGE(Y80:Y84),"  ")</f>
        <v>0</v>
      </c>
      <c r="Z85" s="318">
        <f t="shared" si="144"/>
        <v>0</v>
      </c>
      <c r="AA85" s="318">
        <f t="shared" si="144"/>
        <v>0</v>
      </c>
      <c r="AB85" s="318">
        <f t="shared" si="144"/>
        <v>0</v>
      </c>
      <c r="AC85" s="317" t="s">
        <v>214</v>
      </c>
      <c r="AD85" s="318">
        <f t="shared" ref="AD85:AH85" si="145">IFERROR(AVERAGE(AD80:AD84),"  ")</f>
        <v>0</v>
      </c>
      <c r="AE85" s="318">
        <f t="shared" si="145"/>
        <v>0</v>
      </c>
      <c r="AF85" s="318">
        <f t="shared" si="145"/>
        <v>0</v>
      </c>
      <c r="AG85" s="318">
        <f t="shared" si="145"/>
        <v>0</v>
      </c>
      <c r="AH85" s="318">
        <f t="shared" si="145"/>
        <v>0</v>
      </c>
      <c r="AI85" s="317" t="s">
        <v>214</v>
      </c>
      <c r="AJ85" s="318">
        <f t="shared" ref="AJ85:AO85" si="146">IFERROR(AVERAGE(AJ80:AJ84),"  ")</f>
        <v>0</v>
      </c>
      <c r="AK85" s="318">
        <f t="shared" si="146"/>
        <v>0</v>
      </c>
      <c r="AL85" s="318">
        <f t="shared" si="146"/>
        <v>0</v>
      </c>
      <c r="AM85" s="318">
        <f t="shared" si="146"/>
        <v>0</v>
      </c>
      <c r="AN85" s="318">
        <f t="shared" si="146"/>
        <v>0</v>
      </c>
      <c r="AO85" s="318">
        <f t="shared" si="146"/>
        <v>0</v>
      </c>
      <c r="AP85" s="317" t="s">
        <v>214</v>
      </c>
      <c r="AQ85" s="318">
        <f t="shared" ref="AQ85:AS85" si="147">IFERROR(AVERAGE(AQ80:AQ84),"  ")</f>
        <v>0</v>
      </c>
      <c r="AR85" s="318">
        <f t="shared" si="147"/>
        <v>0</v>
      </c>
      <c r="AS85" s="318">
        <f t="shared" si="147"/>
        <v>0</v>
      </c>
      <c r="AT85" s="317" t="s">
        <v>214</v>
      </c>
      <c r="AU85" s="318">
        <f t="shared" ref="AU85:AV85" si="148">IFERROR(AVERAGE(AU80:AU84),"  ")</f>
        <v>0</v>
      </c>
      <c r="AV85" s="318">
        <f t="shared" si="148"/>
        <v>0</v>
      </c>
      <c r="AW85" s="317" t="s">
        <v>214</v>
      </c>
      <c r="AX85" s="318">
        <f t="shared" ref="AX85:AZ85" si="149">IFERROR(AVERAGE(AX80:AX84),"  ")</f>
        <v>0</v>
      </c>
      <c r="AY85" s="318">
        <f t="shared" si="149"/>
        <v>0</v>
      </c>
      <c r="AZ85" s="318">
        <f t="shared" si="149"/>
        <v>0</v>
      </c>
    </row>
    <row r="86" spans="1:52" x14ac:dyDescent="0.25">
      <c r="A86" s="599">
        <v>14</v>
      </c>
      <c r="B86" s="608"/>
      <c r="C86" s="292" t="str">
        <f>VLOOKUP(A86,data_siswa,4,FALSE)</f>
        <v>Moch Zidane Hita L. U</v>
      </c>
      <c r="D86" s="316" t="s">
        <v>156</v>
      </c>
      <c r="E86" s="1073"/>
      <c r="F86" s="1073">
        <f>VLOOKUP(A86,AN_PKN6_KI3,13,FALSE)</f>
        <v>0</v>
      </c>
      <c r="G86" s="1073"/>
      <c r="H86" s="324">
        <f>AVERAGE(E86:G86)</f>
        <v>0</v>
      </c>
      <c r="I86" s="316" t="s">
        <v>26</v>
      </c>
      <c r="J86" s="1073"/>
      <c r="K86" s="1073"/>
      <c r="L86" s="1073"/>
      <c r="M86" s="1073">
        <f>VLOOKUP(A86,AN_BI6,19,FALSE)</f>
        <v>0</v>
      </c>
      <c r="N86" s="1073">
        <f>VLOOKUP(A86,AN_BI6,19,FALSE)</f>
        <v>0</v>
      </c>
      <c r="O86" s="545">
        <f>AVERAGE(J86:N86)</f>
        <v>0</v>
      </c>
      <c r="P86" s="316" t="s">
        <v>26</v>
      </c>
      <c r="Q86" s="1073"/>
      <c r="R86" s="1073">
        <f>VLOOKUP(A86,AN_MAT6,16,FALSE)</f>
        <v>0</v>
      </c>
      <c r="S86" s="1073"/>
      <c r="T86" s="1073">
        <f>VLOOKUP(A86,AN_MAT6,16,FALSE)</f>
        <v>0</v>
      </c>
      <c r="U86" s="1073"/>
      <c r="V86" s="1073"/>
      <c r="W86" s="1073"/>
      <c r="X86" s="316" t="s">
        <v>26</v>
      </c>
      <c r="Y86" s="325"/>
      <c r="Z86" s="325"/>
      <c r="AA86" s="325"/>
      <c r="AB86" s="325">
        <f>VLOOKUP(A86,AN_SBDP6,16,FALSE)</f>
        <v>0</v>
      </c>
      <c r="AC86" s="661" t="s">
        <v>156</v>
      </c>
      <c r="AD86" s="325">
        <f>VLOOKUP(A86,AN_SBDP6,16,FALSE)</f>
        <v>0</v>
      </c>
      <c r="AE86" s="325">
        <f>VLOOKUP(A86,AN_SBDP6,16,FALSE)</f>
        <v>0</v>
      </c>
      <c r="AF86" s="325"/>
      <c r="AG86" s="325"/>
      <c r="AH86" s="325">
        <f>VLOOKUP(A86,AN_SBDP6,16,FALSE)</f>
        <v>0</v>
      </c>
      <c r="AI86" s="661" t="s">
        <v>44</v>
      </c>
      <c r="AJ86" s="325"/>
      <c r="AK86" s="325"/>
      <c r="AL86" s="325">
        <f>VLOOKUP(A86,an_agm,51,FALSE)</f>
        <v>0</v>
      </c>
      <c r="AM86" s="325"/>
      <c r="AN86" s="325"/>
      <c r="AO86" s="325"/>
      <c r="AP86" s="315" t="s">
        <v>156</v>
      </c>
      <c r="AQ86" s="325">
        <f>VLOOKUP(A86,UHT_jawa,18,FALSE)</f>
        <v>0</v>
      </c>
      <c r="AR86" s="325"/>
      <c r="AS86" s="325"/>
      <c r="AT86" s="661" t="s">
        <v>44</v>
      </c>
      <c r="AU86" s="325"/>
      <c r="AV86" s="325">
        <f>VLOOKUP(A86,AN_ipa6,16,FALSE)</f>
        <v>0</v>
      </c>
      <c r="AW86" s="661" t="s">
        <v>44</v>
      </c>
      <c r="AX86" s="325"/>
      <c r="AY86" s="325"/>
      <c r="AZ86" s="325">
        <f>VLOOKUP(A86,AN_IPS6,16,FALSE)</f>
        <v>0</v>
      </c>
    </row>
    <row r="87" spans="1:52" x14ac:dyDescent="0.25">
      <c r="A87" s="599"/>
      <c r="B87" s="609"/>
      <c r="C87" s="71"/>
      <c r="D87" s="316" t="s">
        <v>26</v>
      </c>
      <c r="E87" s="1073">
        <f>VLOOKUP(A86,AN_PKN7,12,FALSE)</f>
        <v>0</v>
      </c>
      <c r="F87" s="1073">
        <f>VLOOKUP(A86,AN_PKN7,12,FALSE)</f>
        <v>0</v>
      </c>
      <c r="G87" s="1073">
        <f>VLOOKUP(A86,AN_PKN7,12,FALSE)</f>
        <v>0</v>
      </c>
      <c r="H87" s="324">
        <f>AVERAGE(E87:G87)</f>
        <v>0</v>
      </c>
      <c r="I87" s="316" t="s">
        <v>50</v>
      </c>
      <c r="J87" s="1073">
        <f>VLOOKUP(A86,AN_BI7,21,FALSE)</f>
        <v>0</v>
      </c>
      <c r="K87" s="1073">
        <f>VLOOKUP(A86,AN_BI7,21,FALSE)</f>
        <v>0</v>
      </c>
      <c r="L87" s="1073">
        <f>VLOOKUP(A86,AN_BI7,21,FALSE)</f>
        <v>0</v>
      </c>
      <c r="M87" s="1073">
        <f>VLOOKUP(A86,AN_BI7,21,FALSE)</f>
        <v>0</v>
      </c>
      <c r="N87" s="1073"/>
      <c r="O87" s="545">
        <f t="shared" ref="O87:O89" si="150">AVERAGE(J87:N87)</f>
        <v>0</v>
      </c>
      <c r="P87" s="316" t="s">
        <v>50</v>
      </c>
      <c r="Q87" s="1073"/>
      <c r="R87" s="1073"/>
      <c r="S87" s="1073">
        <f>VLOOKUP(A86,AN_MAT7,16,FALSE)</f>
        <v>0</v>
      </c>
      <c r="T87" s="1073">
        <f>VLOOKUP(A86,AN_MAT7,16,FALSE)</f>
        <v>0</v>
      </c>
      <c r="U87" s="1073">
        <f>VLOOKUP(A86,AN_MAT7,16,FALSE)</f>
        <v>0</v>
      </c>
      <c r="V87" s="1073">
        <f>VLOOKUP(A86,AN_MAT7,16,FALSE)</f>
        <v>0</v>
      </c>
      <c r="W87" s="1073"/>
      <c r="X87" s="316" t="s">
        <v>50</v>
      </c>
      <c r="Y87" s="325">
        <f>VLOOKUP(A86,AN_SBDP7,16,FALSE)</f>
        <v>0</v>
      </c>
      <c r="Z87" s="325">
        <f>VLOOKUP(A86,AN_SBDP7,16,FALSE)</f>
        <v>0</v>
      </c>
      <c r="AA87" s="325"/>
      <c r="AB87" s="325">
        <f>VLOOKUP(A86,AN_SBDP7,16,FALSE)</f>
        <v>0</v>
      </c>
      <c r="AC87" s="661" t="s">
        <v>26</v>
      </c>
      <c r="AD87" s="325"/>
      <c r="AE87" s="325"/>
      <c r="AF87" s="325">
        <f>VLOOKUP(A86,AN_SBDP7,16,FALSE)</f>
        <v>0</v>
      </c>
      <c r="AG87" s="325">
        <f>VLOOKUP(A86,AN_SBDP7,16,FALSE)</f>
        <v>0</v>
      </c>
      <c r="AH87" s="325"/>
      <c r="AI87" s="661" t="s">
        <v>45</v>
      </c>
      <c r="AJ87" s="325">
        <f>VLOOKUP(A86,an_agm,49,FALSE)</f>
        <v>0</v>
      </c>
      <c r="AK87" s="325"/>
      <c r="AL87" s="325"/>
      <c r="AM87" s="325"/>
      <c r="AN87" s="325"/>
      <c r="AO87" s="325"/>
      <c r="AP87" s="315" t="s">
        <v>26</v>
      </c>
      <c r="AQ87" s="325"/>
      <c r="AR87" s="325">
        <f>VLOOKUP(A86,UHT_jawa,19,FALSE)</f>
        <v>0</v>
      </c>
      <c r="AS87" s="325"/>
      <c r="AT87" s="661" t="s">
        <v>45</v>
      </c>
      <c r="AU87" s="325">
        <f>VLOOKUP(A86,AN_IPA7,16,FALSE)</f>
        <v>0</v>
      </c>
      <c r="AV87" s="325">
        <f>VLOOKUP(A86,AN_IPA7,16,FALSE)</f>
        <v>0</v>
      </c>
      <c r="AW87" s="661" t="s">
        <v>45</v>
      </c>
      <c r="AX87" s="325">
        <f>VLOOKUP(A86,an_ips7,16,FALSE)</f>
        <v>0</v>
      </c>
      <c r="AY87" s="325">
        <f>VLOOKUP(A86,an_ips7,16,FALSE)</f>
        <v>0</v>
      </c>
      <c r="AZ87" s="325">
        <f>VLOOKUP(A86,an_ips7,16,FALSE)</f>
        <v>0</v>
      </c>
    </row>
    <row r="88" spans="1:52" x14ac:dyDescent="0.25">
      <c r="A88" s="599"/>
      <c r="B88" s="609"/>
      <c r="C88" s="71"/>
      <c r="D88" s="316" t="s">
        <v>50</v>
      </c>
      <c r="E88" s="1073"/>
      <c r="F88" s="1073">
        <f>VLOOKUP(A86,AN_PKN8,17,FALSE)</f>
        <v>0</v>
      </c>
      <c r="G88" s="1073">
        <f>VLOOKUP(A86,AN_PKN8,17,FALSE)</f>
        <v>0</v>
      </c>
      <c r="H88" s="324">
        <f>AVERAGE(E88:G88)</f>
        <v>0</v>
      </c>
      <c r="I88" s="316" t="s">
        <v>51</v>
      </c>
      <c r="J88" s="1073">
        <f>VLOOKUP(A86,AN_BI8,19,FALSE)</f>
        <v>0</v>
      </c>
      <c r="K88" s="1073"/>
      <c r="L88" s="1073"/>
      <c r="M88" s="1073">
        <f>VLOOKUP(A86,AN_BI8,19,FALSE)</f>
        <v>0</v>
      </c>
      <c r="N88" s="1073"/>
      <c r="O88" s="545">
        <f t="shared" si="150"/>
        <v>0</v>
      </c>
      <c r="P88" s="316" t="s">
        <v>51</v>
      </c>
      <c r="Q88" s="1073">
        <f>VLOOKUP(A86,AN_MAT8,16,FALSE)</f>
        <v>0</v>
      </c>
      <c r="R88" s="1073">
        <f>VLOOKUP(A86,AN_MAT8,16,FALSE)</f>
        <v>0</v>
      </c>
      <c r="S88" s="1073"/>
      <c r="T88" s="1073"/>
      <c r="U88" s="1073"/>
      <c r="V88" s="1073"/>
      <c r="W88" s="1073">
        <f>VLOOKUP(A86,AN_MAT8,16,FALSE)</f>
        <v>0</v>
      </c>
      <c r="X88" s="316" t="s">
        <v>51</v>
      </c>
      <c r="Y88" s="325"/>
      <c r="Z88" s="325">
        <f>VLOOKUP(A86,AN_SBDP8,16,FALSE)</f>
        <v>0</v>
      </c>
      <c r="AA88" s="325"/>
      <c r="AB88" s="325">
        <f>VLOOKUP(A86,AN_SBDP8,16,FALSE)</f>
        <v>0</v>
      </c>
      <c r="AC88" s="661" t="s">
        <v>50</v>
      </c>
      <c r="AD88" s="325"/>
      <c r="AE88" s="325"/>
      <c r="AF88" s="325">
        <f>VLOOKUP(A86,AN_SBDP8,16,FALSE)</f>
        <v>0</v>
      </c>
      <c r="AG88" s="325"/>
      <c r="AH88" s="325">
        <f>VLOOKUP(A86,AN_SBDP8,16,FALSE)</f>
        <v>0</v>
      </c>
      <c r="AI88" s="661" t="s">
        <v>46</v>
      </c>
      <c r="AJ88" s="325"/>
      <c r="AK88" s="325"/>
      <c r="AL88" s="325"/>
      <c r="AM88" s="325">
        <f>VLOOKUP(A86,an_agm,52,FALSE)</f>
        <v>0</v>
      </c>
      <c r="AN88" s="325">
        <f>VLOOKUP(A86,an_agm,53,FALSE)</f>
        <v>0</v>
      </c>
      <c r="AO88" s="325"/>
      <c r="AP88" s="315" t="s">
        <v>50</v>
      </c>
      <c r="AQ88" s="325"/>
      <c r="AR88" s="325"/>
      <c r="AS88" s="325">
        <f>VLOOKUP(A86,UHT_jawa,20,FALSE)</f>
        <v>0</v>
      </c>
      <c r="AT88" s="661" t="s">
        <v>46</v>
      </c>
      <c r="AU88" s="325"/>
      <c r="AV88" s="325">
        <f>VLOOKUP(A86,AN_IPA7,16,FALSE)</f>
        <v>0</v>
      </c>
      <c r="AW88" s="661" t="s">
        <v>46</v>
      </c>
      <c r="AX88" s="325">
        <f>VLOOKUP(A86,AN_ips8,16,FALSE)</f>
        <v>0</v>
      </c>
      <c r="AY88" s="325">
        <f>VLOOKUP(A86,AN_ips8,16,FALSE)</f>
        <v>0</v>
      </c>
      <c r="AZ88" s="325">
        <f>VLOOKUP(A86,AN_ips8,16,FALSE)</f>
        <v>0</v>
      </c>
    </row>
    <row r="89" spans="1:52" x14ac:dyDescent="0.25">
      <c r="A89" s="599"/>
      <c r="B89" s="609"/>
      <c r="C89" s="71"/>
      <c r="D89" s="316" t="s">
        <v>51</v>
      </c>
      <c r="E89" s="325">
        <f>VLOOKUP(A86,AN_PKN9,16,FALSE)</f>
        <v>0</v>
      </c>
      <c r="F89" s="325"/>
      <c r="G89" s="325"/>
      <c r="H89" s="324">
        <f>AVERAGE(E89:G89)</f>
        <v>0</v>
      </c>
      <c r="I89" s="316" t="s">
        <v>52</v>
      </c>
      <c r="J89" s="1073">
        <f>VLOOKUP(A86,AN_BI9,21,FALSE)</f>
        <v>0</v>
      </c>
      <c r="K89" s="1073">
        <f>VLOOKUP(A86,AN_BI9,21,FALSE)</f>
        <v>0</v>
      </c>
      <c r="L89" s="1073">
        <f>VLOOKUP(A86,AN_BI9,21,FALSE)</f>
        <v>0</v>
      </c>
      <c r="M89" s="1073">
        <f>VLOOKUP(A86,AN_BI9,21,FALSE)</f>
        <v>0</v>
      </c>
      <c r="N89" s="1073"/>
      <c r="O89" s="545">
        <f t="shared" si="150"/>
        <v>0</v>
      </c>
      <c r="P89" s="316" t="s">
        <v>52</v>
      </c>
      <c r="Q89" s="1073">
        <f>VLOOKUP(A86,AN_MAT9,16,FALSE)</f>
        <v>0</v>
      </c>
      <c r="R89" s="1073">
        <f>VLOOKUP(A86,AN_MAT9,16,FALSE)</f>
        <v>0</v>
      </c>
      <c r="S89" s="1073">
        <f>VLOOKUP(A86,AN_MAT9,16,FALSE)</f>
        <v>0</v>
      </c>
      <c r="T89" s="1073">
        <f>VLOOKUP(A86,AN_MAT9,16,FALSE)</f>
        <v>0</v>
      </c>
      <c r="U89" s="1073">
        <f>VLOOKUP(A86,AN_MAT9,16,FALSE)</f>
        <v>0</v>
      </c>
      <c r="V89" s="1073">
        <f>VLOOKUP(A86,AN_MAT9,16,FALSE)</f>
        <v>0</v>
      </c>
      <c r="W89" s="1073">
        <f>VLOOKUP(A86,AN_MAT9,16,FALSE)</f>
        <v>0</v>
      </c>
      <c r="X89" s="316" t="s">
        <v>52</v>
      </c>
      <c r="Y89" s="325"/>
      <c r="Z89" s="325">
        <f>VLOOKUP(A86,AN_SBDP9,16,FALSE)</f>
        <v>0</v>
      </c>
      <c r="AA89" s="325">
        <f>VLOOKUP(A86,AN_SBDP9,16,FALSE)</f>
        <v>0</v>
      </c>
      <c r="AB89" s="325"/>
      <c r="AC89" s="661" t="s">
        <v>51</v>
      </c>
      <c r="AD89" s="325"/>
      <c r="AE89" s="325">
        <f>VLOOKUP(A86,AN_SBDP9,16,FALSE)</f>
        <v>0</v>
      </c>
      <c r="AF89" s="325">
        <f>VLOOKUP(A86,AN_SBDP9,16,FALSE)</f>
        <v>0</v>
      </c>
      <c r="AG89" s="325"/>
      <c r="AH89" s="325"/>
      <c r="AI89" s="661" t="s">
        <v>47</v>
      </c>
      <c r="AJ89" s="325"/>
      <c r="AK89" s="325">
        <f>VLOOKUP(A86,an_agm,50,FALSE)</f>
        <v>0</v>
      </c>
      <c r="AL89" s="325"/>
      <c r="AM89" s="325"/>
      <c r="AN89" s="325"/>
      <c r="AO89" s="325"/>
      <c r="AP89" s="315" t="s">
        <v>51</v>
      </c>
      <c r="AQ89" s="325"/>
      <c r="AR89" s="325"/>
      <c r="AS89" s="325"/>
      <c r="AT89" s="661" t="s">
        <v>47</v>
      </c>
      <c r="AU89" s="325"/>
      <c r="AV89" s="325">
        <f>VLOOKUP(A86,an_IPA9,16,FALSE)</f>
        <v>0</v>
      </c>
      <c r="AW89" s="661" t="s">
        <v>47</v>
      </c>
      <c r="AX89" s="325">
        <f>VLOOKUP(A86,AN_IPS_9,16,FALSE)</f>
        <v>0</v>
      </c>
      <c r="AY89" s="325"/>
      <c r="AZ89" s="325">
        <f>VLOOKUP(A86,AN_IPS_9,16,FALSE)</f>
        <v>0</v>
      </c>
    </row>
    <row r="90" spans="1:52" x14ac:dyDescent="0.25">
      <c r="A90" s="599"/>
      <c r="B90" s="609"/>
      <c r="C90" s="71"/>
      <c r="D90" s="316"/>
      <c r="E90" s="1073"/>
      <c r="F90" s="1073"/>
      <c r="G90" s="1073"/>
      <c r="H90" s="1074"/>
      <c r="I90" s="316"/>
      <c r="J90" s="1073"/>
      <c r="K90" s="1073"/>
      <c r="L90" s="1073"/>
      <c r="M90" s="1073"/>
      <c r="N90" s="1073"/>
      <c r="O90" s="1074"/>
      <c r="P90" s="315"/>
      <c r="Q90" s="1073"/>
      <c r="R90" s="1073"/>
      <c r="S90" s="1073"/>
      <c r="T90" s="1073"/>
      <c r="U90" s="1073"/>
      <c r="V90" s="1073"/>
      <c r="W90" s="1073"/>
      <c r="X90" s="315"/>
      <c r="Y90" s="325"/>
      <c r="Z90" s="325"/>
      <c r="AA90" s="325"/>
      <c r="AB90" s="325"/>
      <c r="AC90" s="661"/>
      <c r="AD90" s="1073"/>
      <c r="AE90" s="1073"/>
      <c r="AF90" s="1112"/>
      <c r="AG90" s="1112"/>
      <c r="AH90" s="1112"/>
      <c r="AI90" s="661" t="s">
        <v>48</v>
      </c>
      <c r="AJ90" s="325"/>
      <c r="AK90" s="325"/>
      <c r="AL90" s="325"/>
      <c r="AM90" s="325"/>
      <c r="AN90" s="325"/>
      <c r="AO90" s="325">
        <f>VLOOKUP(A86,an_agm,54,FALSE)</f>
        <v>0</v>
      </c>
      <c r="AP90" s="315"/>
      <c r="AQ90" s="1136"/>
      <c r="AR90" s="1136"/>
      <c r="AS90" s="1136"/>
      <c r="AT90" s="315"/>
      <c r="AU90" s="325"/>
      <c r="AV90" s="325"/>
      <c r="AW90" s="315"/>
      <c r="AX90" s="325"/>
      <c r="AY90" s="325"/>
      <c r="AZ90" s="325"/>
    </row>
    <row r="91" spans="1:52" x14ac:dyDescent="0.25">
      <c r="A91" s="604"/>
      <c r="B91" s="611">
        <v>14</v>
      </c>
      <c r="C91" s="72"/>
      <c r="D91" s="317" t="s">
        <v>214</v>
      </c>
      <c r="E91" s="318">
        <f>IFERROR(AVERAGE(E86:E90),"  ")</f>
        <v>0</v>
      </c>
      <c r="F91" s="318">
        <f t="shared" ref="F91:G91" si="151">IFERROR(AVERAGE(F86:F90),"  ")</f>
        <v>0</v>
      </c>
      <c r="G91" s="318">
        <f t="shared" si="151"/>
        <v>0</v>
      </c>
      <c r="H91" s="323"/>
      <c r="I91" s="317" t="s">
        <v>214</v>
      </c>
      <c r="J91" s="318">
        <f>IFERROR(AVERAGE(J86:J90),"  ")</f>
        <v>0</v>
      </c>
      <c r="K91" s="318">
        <f t="shared" ref="K91:M91" si="152">IFERROR(AVERAGE(K86:K90),"  ")</f>
        <v>0</v>
      </c>
      <c r="L91" s="318">
        <f t="shared" si="152"/>
        <v>0</v>
      </c>
      <c r="M91" s="318">
        <f t="shared" si="152"/>
        <v>0</v>
      </c>
      <c r="N91" s="318">
        <f>IFERROR(AVERAGE(N86:N90),"  ")</f>
        <v>0</v>
      </c>
      <c r="O91" s="597"/>
      <c r="P91" s="317" t="s">
        <v>214</v>
      </c>
      <c r="Q91" s="318">
        <f>IFERROR(AVERAGE(Q86:Q90),"  ")</f>
        <v>0</v>
      </c>
      <c r="R91" s="318">
        <f t="shared" ref="R91:W91" si="153">IFERROR(AVERAGE(R86:R90),"  ")</f>
        <v>0</v>
      </c>
      <c r="S91" s="318">
        <f t="shared" si="153"/>
        <v>0</v>
      </c>
      <c r="T91" s="318">
        <f t="shared" si="153"/>
        <v>0</v>
      </c>
      <c r="U91" s="318">
        <f t="shared" si="153"/>
        <v>0</v>
      </c>
      <c r="V91" s="318">
        <f t="shared" si="153"/>
        <v>0</v>
      </c>
      <c r="W91" s="318">
        <f t="shared" si="153"/>
        <v>0</v>
      </c>
      <c r="X91" s="317" t="s">
        <v>214</v>
      </c>
      <c r="Y91" s="318">
        <f t="shared" ref="Y91:AB91" si="154">IFERROR(AVERAGE(Y86:Y90),"  ")</f>
        <v>0</v>
      </c>
      <c r="Z91" s="318">
        <f t="shared" si="154"/>
        <v>0</v>
      </c>
      <c r="AA91" s="318">
        <f t="shared" si="154"/>
        <v>0</v>
      </c>
      <c r="AB91" s="318">
        <f t="shared" si="154"/>
        <v>0</v>
      </c>
      <c r="AC91" s="317" t="s">
        <v>214</v>
      </c>
      <c r="AD91" s="318">
        <f t="shared" ref="AD91:AH91" si="155">IFERROR(AVERAGE(AD86:AD90),"  ")</f>
        <v>0</v>
      </c>
      <c r="AE91" s="318">
        <f t="shared" si="155"/>
        <v>0</v>
      </c>
      <c r="AF91" s="318">
        <f t="shared" si="155"/>
        <v>0</v>
      </c>
      <c r="AG91" s="318">
        <f t="shared" si="155"/>
        <v>0</v>
      </c>
      <c r="AH91" s="318">
        <f t="shared" si="155"/>
        <v>0</v>
      </c>
      <c r="AI91" s="317" t="s">
        <v>214</v>
      </c>
      <c r="AJ91" s="318">
        <f t="shared" ref="AJ91:AO91" si="156">IFERROR(AVERAGE(AJ86:AJ90),"  ")</f>
        <v>0</v>
      </c>
      <c r="AK91" s="318">
        <f t="shared" si="156"/>
        <v>0</v>
      </c>
      <c r="AL91" s="318">
        <f t="shared" si="156"/>
        <v>0</v>
      </c>
      <c r="AM91" s="318">
        <f t="shared" si="156"/>
        <v>0</v>
      </c>
      <c r="AN91" s="318">
        <f t="shared" si="156"/>
        <v>0</v>
      </c>
      <c r="AO91" s="318">
        <f t="shared" si="156"/>
        <v>0</v>
      </c>
      <c r="AP91" s="317" t="s">
        <v>214</v>
      </c>
      <c r="AQ91" s="318">
        <f t="shared" ref="AQ91:AS91" si="157">IFERROR(AVERAGE(AQ86:AQ90),"  ")</f>
        <v>0</v>
      </c>
      <c r="AR91" s="318">
        <f t="shared" si="157"/>
        <v>0</v>
      </c>
      <c r="AS91" s="318">
        <f t="shared" si="157"/>
        <v>0</v>
      </c>
      <c r="AT91" s="317" t="s">
        <v>214</v>
      </c>
      <c r="AU91" s="318">
        <f t="shared" ref="AU91:AV91" si="158">IFERROR(AVERAGE(AU86:AU90),"  ")</f>
        <v>0</v>
      </c>
      <c r="AV91" s="318">
        <f t="shared" si="158"/>
        <v>0</v>
      </c>
      <c r="AW91" s="317" t="s">
        <v>214</v>
      </c>
      <c r="AX91" s="318">
        <f t="shared" ref="AX91:AZ91" si="159">IFERROR(AVERAGE(AX86:AX90),"  ")</f>
        <v>0</v>
      </c>
      <c r="AY91" s="318">
        <f t="shared" si="159"/>
        <v>0</v>
      </c>
      <c r="AZ91" s="318">
        <f t="shared" si="159"/>
        <v>0</v>
      </c>
    </row>
    <row r="92" spans="1:52" x14ac:dyDescent="0.25">
      <c r="A92" s="599">
        <v>15</v>
      </c>
      <c r="B92" s="608"/>
      <c r="C92" s="292" t="str">
        <f>VLOOKUP(A92,data_siswa,4,FALSE)</f>
        <v>Muhammad Ibra Maulana</v>
      </c>
      <c r="D92" s="316" t="s">
        <v>156</v>
      </c>
      <c r="E92" s="1073"/>
      <c r="F92" s="1073">
        <f>VLOOKUP(A92,AN_PKN6_KI3,13,FALSE)</f>
        <v>0</v>
      </c>
      <c r="G92" s="1073"/>
      <c r="H92" s="324">
        <f>AVERAGE(E92:G92)</f>
        <v>0</v>
      </c>
      <c r="I92" s="316" t="s">
        <v>26</v>
      </c>
      <c r="J92" s="1073"/>
      <c r="K92" s="1073"/>
      <c r="L92" s="1073"/>
      <c r="M92" s="1073">
        <f>VLOOKUP(A92,AN_BI6,19,FALSE)</f>
        <v>0</v>
      </c>
      <c r="N92" s="1073">
        <f>VLOOKUP(A92,AN_BI6,19,FALSE)</f>
        <v>0</v>
      </c>
      <c r="O92" s="545">
        <f>AVERAGE(J92:N92)</f>
        <v>0</v>
      </c>
      <c r="P92" s="316" t="s">
        <v>26</v>
      </c>
      <c r="Q92" s="1073"/>
      <c r="R92" s="1073">
        <f>VLOOKUP(A92,AN_MAT6,16,FALSE)</f>
        <v>0</v>
      </c>
      <c r="S92" s="1073"/>
      <c r="T92" s="1073">
        <f>VLOOKUP(A92,AN_MAT6,16,FALSE)</f>
        <v>0</v>
      </c>
      <c r="U92" s="1073"/>
      <c r="V92" s="1073"/>
      <c r="W92" s="1073"/>
      <c r="X92" s="316" t="s">
        <v>26</v>
      </c>
      <c r="Y92" s="325"/>
      <c r="Z92" s="325"/>
      <c r="AA92" s="325"/>
      <c r="AB92" s="325">
        <f>VLOOKUP(A92,AN_SBDP6,16,FALSE)</f>
        <v>0</v>
      </c>
      <c r="AC92" s="661" t="s">
        <v>156</v>
      </c>
      <c r="AD92" s="325">
        <f>VLOOKUP(A92,AN_SBDP6,16,FALSE)</f>
        <v>0</v>
      </c>
      <c r="AE92" s="325">
        <f>VLOOKUP(A92,AN_SBDP6,16,FALSE)</f>
        <v>0</v>
      </c>
      <c r="AF92" s="325"/>
      <c r="AG92" s="325"/>
      <c r="AH92" s="325">
        <f>VLOOKUP(A92,AN_SBDP6,16,FALSE)</f>
        <v>0</v>
      </c>
      <c r="AI92" s="661" t="s">
        <v>44</v>
      </c>
      <c r="AJ92" s="325"/>
      <c r="AK92" s="325"/>
      <c r="AL92" s="325">
        <f>VLOOKUP(A92,an_agm,51,FALSE)</f>
        <v>0</v>
      </c>
      <c r="AM92" s="325"/>
      <c r="AN92" s="325"/>
      <c r="AO92" s="325"/>
      <c r="AP92" s="315" t="s">
        <v>156</v>
      </c>
      <c r="AQ92" s="325">
        <f>VLOOKUP(A92,UHT_jawa,18,FALSE)</f>
        <v>0</v>
      </c>
      <c r="AR92" s="325"/>
      <c r="AS92" s="325"/>
      <c r="AT92" s="661" t="s">
        <v>44</v>
      </c>
      <c r="AU92" s="325"/>
      <c r="AV92" s="325">
        <f>VLOOKUP(A92,AN_ipa6,16,FALSE)</f>
        <v>0</v>
      </c>
      <c r="AW92" s="661" t="s">
        <v>44</v>
      </c>
      <c r="AX92" s="325"/>
      <c r="AY92" s="325"/>
      <c r="AZ92" s="325">
        <f>VLOOKUP(A92,AN_IPS6,16,FALSE)</f>
        <v>0</v>
      </c>
    </row>
    <row r="93" spans="1:52" x14ac:dyDescent="0.25">
      <c r="A93" s="599"/>
      <c r="B93" s="609"/>
      <c r="C93" s="71"/>
      <c r="D93" s="316" t="s">
        <v>26</v>
      </c>
      <c r="E93" s="1073">
        <f>VLOOKUP(A92,AN_PKN7,12,FALSE)</f>
        <v>0</v>
      </c>
      <c r="F93" s="1073">
        <f>VLOOKUP(A92,AN_PKN7,12,FALSE)</f>
        <v>0</v>
      </c>
      <c r="G93" s="1073">
        <f>VLOOKUP(A92,AN_PKN7,12,FALSE)</f>
        <v>0</v>
      </c>
      <c r="H93" s="324">
        <f>AVERAGE(E93:G93)</f>
        <v>0</v>
      </c>
      <c r="I93" s="316" t="s">
        <v>50</v>
      </c>
      <c r="J93" s="1073">
        <f>VLOOKUP(A92,AN_BI7,21,FALSE)</f>
        <v>0</v>
      </c>
      <c r="K93" s="1073">
        <f>VLOOKUP(A92,AN_BI7,21,FALSE)</f>
        <v>0</v>
      </c>
      <c r="L93" s="1073">
        <f>VLOOKUP(A92,AN_BI7,21,FALSE)</f>
        <v>0</v>
      </c>
      <c r="M93" s="1073">
        <f>VLOOKUP(A92,AN_BI7,21,FALSE)</f>
        <v>0</v>
      </c>
      <c r="N93" s="1073"/>
      <c r="O93" s="545">
        <f t="shared" ref="O93:O95" si="160">AVERAGE(J93:N93)</f>
        <v>0</v>
      </c>
      <c r="P93" s="316" t="s">
        <v>50</v>
      </c>
      <c r="Q93" s="1073"/>
      <c r="R93" s="1073"/>
      <c r="S93" s="1073">
        <f>VLOOKUP(A92,AN_MAT7,16,FALSE)</f>
        <v>0</v>
      </c>
      <c r="T93" s="1073">
        <f>VLOOKUP(A92,AN_MAT7,16,FALSE)</f>
        <v>0</v>
      </c>
      <c r="U93" s="1073">
        <f>VLOOKUP(A92,AN_MAT7,16,FALSE)</f>
        <v>0</v>
      </c>
      <c r="V93" s="1073">
        <f>VLOOKUP(A92,AN_MAT7,16,FALSE)</f>
        <v>0</v>
      </c>
      <c r="W93" s="1073"/>
      <c r="X93" s="316" t="s">
        <v>50</v>
      </c>
      <c r="Y93" s="325">
        <f>VLOOKUP(A92,AN_SBDP7,16,FALSE)</f>
        <v>0</v>
      </c>
      <c r="Z93" s="325">
        <f>VLOOKUP(A92,AN_SBDP7,16,FALSE)</f>
        <v>0</v>
      </c>
      <c r="AA93" s="325"/>
      <c r="AB93" s="325">
        <f>VLOOKUP(A92,AN_SBDP7,16,FALSE)</f>
        <v>0</v>
      </c>
      <c r="AC93" s="661" t="s">
        <v>26</v>
      </c>
      <c r="AD93" s="325"/>
      <c r="AE93" s="325"/>
      <c r="AF93" s="325">
        <f>VLOOKUP(A92,AN_SBDP7,16,FALSE)</f>
        <v>0</v>
      </c>
      <c r="AG93" s="325">
        <f>VLOOKUP(A92,AN_SBDP7,16,FALSE)</f>
        <v>0</v>
      </c>
      <c r="AH93" s="325"/>
      <c r="AI93" s="661" t="s">
        <v>45</v>
      </c>
      <c r="AJ93" s="325">
        <f>VLOOKUP(A92,an_agm,49,FALSE)</f>
        <v>0</v>
      </c>
      <c r="AK93" s="325"/>
      <c r="AL93" s="325"/>
      <c r="AM93" s="325"/>
      <c r="AN93" s="325"/>
      <c r="AO93" s="325"/>
      <c r="AP93" s="315" t="s">
        <v>26</v>
      </c>
      <c r="AQ93" s="325"/>
      <c r="AR93" s="325">
        <f>VLOOKUP(A92,UHT_jawa,19,FALSE)</f>
        <v>0</v>
      </c>
      <c r="AS93" s="325"/>
      <c r="AT93" s="661" t="s">
        <v>45</v>
      </c>
      <c r="AU93" s="325">
        <f>VLOOKUP(A92,AN_IPA7,16,FALSE)</f>
        <v>0</v>
      </c>
      <c r="AV93" s="325">
        <f>VLOOKUP(A92,AN_IPA7,16,FALSE)</f>
        <v>0</v>
      </c>
      <c r="AW93" s="661" t="s">
        <v>45</v>
      </c>
      <c r="AX93" s="325">
        <f>VLOOKUP(A92,an_ips7,16,FALSE)</f>
        <v>0</v>
      </c>
      <c r="AY93" s="325">
        <f>VLOOKUP(A92,an_ips7,16,FALSE)</f>
        <v>0</v>
      </c>
      <c r="AZ93" s="325">
        <f>VLOOKUP(A92,an_ips7,16,FALSE)</f>
        <v>0</v>
      </c>
    </row>
    <row r="94" spans="1:52" x14ac:dyDescent="0.25">
      <c r="A94" s="599"/>
      <c r="B94" s="609"/>
      <c r="C94" s="71"/>
      <c r="D94" s="316" t="s">
        <v>50</v>
      </c>
      <c r="E94" s="1073"/>
      <c r="F94" s="1073">
        <f>VLOOKUP(A92,AN_PKN8,17,FALSE)</f>
        <v>0</v>
      </c>
      <c r="G94" s="1073">
        <f>VLOOKUP(A92,AN_PKN8,17,FALSE)</f>
        <v>0</v>
      </c>
      <c r="H94" s="324">
        <f>AVERAGE(E94:G94)</f>
        <v>0</v>
      </c>
      <c r="I94" s="316" t="s">
        <v>51</v>
      </c>
      <c r="J94" s="1073">
        <f>VLOOKUP(A92,AN_BI8,19,FALSE)</f>
        <v>0</v>
      </c>
      <c r="K94" s="1073"/>
      <c r="L94" s="1073"/>
      <c r="M94" s="1073">
        <f>VLOOKUP(A92,AN_BI8,19,FALSE)</f>
        <v>0</v>
      </c>
      <c r="N94" s="1073"/>
      <c r="O94" s="545">
        <f t="shared" si="160"/>
        <v>0</v>
      </c>
      <c r="P94" s="316" t="s">
        <v>51</v>
      </c>
      <c r="Q94" s="1073">
        <f>VLOOKUP(A92,AN_MAT8,16,FALSE)</f>
        <v>0</v>
      </c>
      <c r="R94" s="1073">
        <f>VLOOKUP(A92,AN_MAT8,16,FALSE)</f>
        <v>0</v>
      </c>
      <c r="S94" s="1073"/>
      <c r="T94" s="1073"/>
      <c r="U94" s="1073"/>
      <c r="V94" s="1073"/>
      <c r="W94" s="1073">
        <f>VLOOKUP(A92,AN_MAT8,16,FALSE)</f>
        <v>0</v>
      </c>
      <c r="X94" s="316" t="s">
        <v>51</v>
      </c>
      <c r="Y94" s="325"/>
      <c r="Z94" s="325">
        <f>VLOOKUP(A92,AN_SBDP8,16,FALSE)</f>
        <v>0</v>
      </c>
      <c r="AA94" s="325"/>
      <c r="AB94" s="325">
        <f>VLOOKUP(A92,AN_SBDP8,16,FALSE)</f>
        <v>0</v>
      </c>
      <c r="AC94" s="661" t="s">
        <v>50</v>
      </c>
      <c r="AD94" s="325"/>
      <c r="AE94" s="325"/>
      <c r="AF94" s="325">
        <f>VLOOKUP(A92,AN_SBDP8,16,FALSE)</f>
        <v>0</v>
      </c>
      <c r="AG94" s="325"/>
      <c r="AH94" s="325">
        <f>VLOOKUP(A92,AN_SBDP8,16,FALSE)</f>
        <v>0</v>
      </c>
      <c r="AI94" s="661" t="s">
        <v>46</v>
      </c>
      <c r="AJ94" s="325"/>
      <c r="AK94" s="325"/>
      <c r="AL94" s="325"/>
      <c r="AM94" s="325">
        <f>VLOOKUP(A92,an_agm,52,FALSE)</f>
        <v>0</v>
      </c>
      <c r="AN94" s="325">
        <f>VLOOKUP(A92,an_agm,53,FALSE)</f>
        <v>0</v>
      </c>
      <c r="AO94" s="325"/>
      <c r="AP94" s="315" t="s">
        <v>50</v>
      </c>
      <c r="AQ94" s="325"/>
      <c r="AR94" s="325"/>
      <c r="AS94" s="325">
        <f>VLOOKUP(A92,UHT_jawa,20,FALSE)</f>
        <v>0</v>
      </c>
      <c r="AT94" s="661" t="s">
        <v>46</v>
      </c>
      <c r="AU94" s="325"/>
      <c r="AV94" s="325">
        <f>VLOOKUP(A92,AN_IPA7,16,FALSE)</f>
        <v>0</v>
      </c>
      <c r="AW94" s="661" t="s">
        <v>46</v>
      </c>
      <c r="AX94" s="325">
        <f>VLOOKUP(A92,AN_ips8,16,FALSE)</f>
        <v>0</v>
      </c>
      <c r="AY94" s="325">
        <f>VLOOKUP(A92,AN_ips8,16,FALSE)</f>
        <v>0</v>
      </c>
      <c r="AZ94" s="325">
        <f>VLOOKUP(A92,AN_ips8,16,FALSE)</f>
        <v>0</v>
      </c>
    </row>
    <row r="95" spans="1:52" x14ac:dyDescent="0.25">
      <c r="A95" s="599"/>
      <c r="B95" s="609"/>
      <c r="C95" s="71"/>
      <c r="D95" s="316" t="s">
        <v>51</v>
      </c>
      <c r="E95" s="325">
        <f>VLOOKUP(A92,AN_PKN9,16,FALSE)</f>
        <v>0</v>
      </c>
      <c r="F95" s="325"/>
      <c r="G95" s="325"/>
      <c r="H95" s="324">
        <f>AVERAGE(E95:G95)</f>
        <v>0</v>
      </c>
      <c r="I95" s="316" t="s">
        <v>52</v>
      </c>
      <c r="J95" s="1073">
        <f>VLOOKUP(A92,AN_BI9,21,FALSE)</f>
        <v>0</v>
      </c>
      <c r="K95" s="1073">
        <f>VLOOKUP(A92,AN_BI9,21,FALSE)</f>
        <v>0</v>
      </c>
      <c r="L95" s="1073">
        <f>VLOOKUP(A92,AN_BI9,21,FALSE)</f>
        <v>0</v>
      </c>
      <c r="M95" s="1073">
        <f>VLOOKUP(A92,AN_BI9,21,FALSE)</f>
        <v>0</v>
      </c>
      <c r="N95" s="1073"/>
      <c r="O95" s="545">
        <f t="shared" si="160"/>
        <v>0</v>
      </c>
      <c r="P95" s="316" t="s">
        <v>52</v>
      </c>
      <c r="Q95" s="1073">
        <f>VLOOKUP(A92,AN_MAT9,16,FALSE)</f>
        <v>0</v>
      </c>
      <c r="R95" s="1073">
        <f>VLOOKUP(A92,AN_MAT9,16,FALSE)</f>
        <v>0</v>
      </c>
      <c r="S95" s="1073">
        <f>VLOOKUP(A92,AN_MAT9,16,FALSE)</f>
        <v>0</v>
      </c>
      <c r="T95" s="1073">
        <f>VLOOKUP(A92,AN_MAT9,16,FALSE)</f>
        <v>0</v>
      </c>
      <c r="U95" s="1073">
        <f>VLOOKUP(A92,AN_MAT9,16,FALSE)</f>
        <v>0</v>
      </c>
      <c r="V95" s="1073">
        <f>VLOOKUP(A92,AN_MAT9,16,FALSE)</f>
        <v>0</v>
      </c>
      <c r="W95" s="1073">
        <f>VLOOKUP(A92,AN_MAT9,16,FALSE)</f>
        <v>0</v>
      </c>
      <c r="X95" s="316" t="s">
        <v>52</v>
      </c>
      <c r="Y95" s="325"/>
      <c r="Z95" s="325">
        <f>VLOOKUP(A92,AN_SBDP9,16,FALSE)</f>
        <v>0</v>
      </c>
      <c r="AA95" s="325">
        <f>VLOOKUP(A92,AN_SBDP9,16,FALSE)</f>
        <v>0</v>
      </c>
      <c r="AB95" s="325"/>
      <c r="AC95" s="661" t="s">
        <v>51</v>
      </c>
      <c r="AD95" s="325"/>
      <c r="AE95" s="325">
        <f>VLOOKUP(A92,AN_SBDP9,16,FALSE)</f>
        <v>0</v>
      </c>
      <c r="AF95" s="325">
        <f>VLOOKUP(A92,AN_SBDP9,16,FALSE)</f>
        <v>0</v>
      </c>
      <c r="AG95" s="325"/>
      <c r="AH95" s="325"/>
      <c r="AI95" s="661" t="s">
        <v>47</v>
      </c>
      <c r="AJ95" s="325"/>
      <c r="AK95" s="325">
        <f>VLOOKUP(A92,an_agm,50,FALSE)</f>
        <v>0</v>
      </c>
      <c r="AL95" s="325"/>
      <c r="AM95" s="325"/>
      <c r="AN95" s="325"/>
      <c r="AO95" s="325"/>
      <c r="AP95" s="315" t="s">
        <v>51</v>
      </c>
      <c r="AQ95" s="325"/>
      <c r="AR95" s="325"/>
      <c r="AS95" s="325"/>
      <c r="AT95" s="661" t="s">
        <v>47</v>
      </c>
      <c r="AU95" s="325"/>
      <c r="AV95" s="325">
        <f>VLOOKUP(A92,an_IPA9,16,FALSE)</f>
        <v>0</v>
      </c>
      <c r="AW95" s="661" t="s">
        <v>47</v>
      </c>
      <c r="AX95" s="325">
        <f>VLOOKUP(A92,AN_IPS_9,16,FALSE)</f>
        <v>0</v>
      </c>
      <c r="AY95" s="325"/>
      <c r="AZ95" s="325">
        <f>VLOOKUP(A92,AN_IPS_9,16,FALSE)</f>
        <v>0</v>
      </c>
    </row>
    <row r="96" spans="1:52" x14ac:dyDescent="0.25">
      <c r="A96" s="599"/>
      <c r="B96" s="609"/>
      <c r="C96" s="71"/>
      <c r="D96" s="316"/>
      <c r="E96" s="1073"/>
      <c r="F96" s="1073"/>
      <c r="G96" s="1073"/>
      <c r="H96" s="1074"/>
      <c r="I96" s="316"/>
      <c r="J96" s="1073"/>
      <c r="K96" s="1073"/>
      <c r="L96" s="1073"/>
      <c r="M96" s="1073"/>
      <c r="N96" s="1073"/>
      <c r="O96" s="1074"/>
      <c r="P96" s="315"/>
      <c r="Q96" s="1073"/>
      <c r="R96" s="1073"/>
      <c r="S96" s="1073"/>
      <c r="T96" s="1073"/>
      <c r="U96" s="1073"/>
      <c r="V96" s="1073"/>
      <c r="W96" s="1073"/>
      <c r="X96" s="315"/>
      <c r="Y96" s="325"/>
      <c r="Z96" s="325"/>
      <c r="AA96" s="325"/>
      <c r="AB96" s="325"/>
      <c r="AC96" s="661"/>
      <c r="AD96" s="1073"/>
      <c r="AE96" s="1073"/>
      <c r="AF96" s="1112"/>
      <c r="AG96" s="1112"/>
      <c r="AH96" s="1112"/>
      <c r="AI96" s="661" t="s">
        <v>48</v>
      </c>
      <c r="AJ96" s="325"/>
      <c r="AK96" s="325"/>
      <c r="AL96" s="325"/>
      <c r="AM96" s="325"/>
      <c r="AN96" s="325"/>
      <c r="AO96" s="325">
        <f>VLOOKUP(A92,an_agm,54,FALSE)</f>
        <v>0</v>
      </c>
      <c r="AP96" s="315"/>
      <c r="AQ96" s="1136"/>
      <c r="AR96" s="1136"/>
      <c r="AS96" s="1136"/>
      <c r="AT96" s="315"/>
      <c r="AU96" s="325"/>
      <c r="AV96" s="325"/>
      <c r="AW96" s="315"/>
      <c r="AX96" s="325"/>
      <c r="AY96" s="325"/>
      <c r="AZ96" s="325"/>
    </row>
    <row r="97" spans="1:52" x14ac:dyDescent="0.25">
      <c r="A97" s="604"/>
      <c r="B97" s="611">
        <v>15</v>
      </c>
      <c r="C97" s="72"/>
      <c r="D97" s="317" t="s">
        <v>214</v>
      </c>
      <c r="E97" s="318">
        <f>IFERROR(AVERAGE(E92:E96),"  ")</f>
        <v>0</v>
      </c>
      <c r="F97" s="318">
        <f t="shared" ref="F97:G97" si="161">IFERROR(AVERAGE(F92:F96),"  ")</f>
        <v>0</v>
      </c>
      <c r="G97" s="318">
        <f t="shared" si="161"/>
        <v>0</v>
      </c>
      <c r="H97" s="323"/>
      <c r="I97" s="317" t="s">
        <v>214</v>
      </c>
      <c r="J97" s="318">
        <f>IFERROR(AVERAGE(J92:J96),"  ")</f>
        <v>0</v>
      </c>
      <c r="K97" s="318">
        <f t="shared" ref="K97:M97" si="162">IFERROR(AVERAGE(K92:K96),"  ")</f>
        <v>0</v>
      </c>
      <c r="L97" s="318">
        <f t="shared" si="162"/>
        <v>0</v>
      </c>
      <c r="M97" s="318">
        <f t="shared" si="162"/>
        <v>0</v>
      </c>
      <c r="N97" s="318">
        <f>IFERROR(AVERAGE(N92:N96),"  ")</f>
        <v>0</v>
      </c>
      <c r="O97" s="597"/>
      <c r="P97" s="317" t="s">
        <v>214</v>
      </c>
      <c r="Q97" s="318">
        <f>IFERROR(AVERAGE(Q92:Q96),"  ")</f>
        <v>0</v>
      </c>
      <c r="R97" s="318">
        <f t="shared" ref="R97:W97" si="163">IFERROR(AVERAGE(R92:R96),"  ")</f>
        <v>0</v>
      </c>
      <c r="S97" s="318">
        <f t="shared" si="163"/>
        <v>0</v>
      </c>
      <c r="T97" s="318">
        <f t="shared" si="163"/>
        <v>0</v>
      </c>
      <c r="U97" s="318">
        <f t="shared" si="163"/>
        <v>0</v>
      </c>
      <c r="V97" s="318">
        <f t="shared" si="163"/>
        <v>0</v>
      </c>
      <c r="W97" s="318">
        <f t="shared" si="163"/>
        <v>0</v>
      </c>
      <c r="X97" s="317" t="s">
        <v>214</v>
      </c>
      <c r="Y97" s="318">
        <f t="shared" ref="Y97:AB97" si="164">IFERROR(AVERAGE(Y92:Y96),"  ")</f>
        <v>0</v>
      </c>
      <c r="Z97" s="318">
        <f t="shared" si="164"/>
        <v>0</v>
      </c>
      <c r="AA97" s="318">
        <f t="shared" si="164"/>
        <v>0</v>
      </c>
      <c r="AB97" s="318">
        <f t="shared" si="164"/>
        <v>0</v>
      </c>
      <c r="AC97" s="317" t="s">
        <v>214</v>
      </c>
      <c r="AD97" s="318">
        <f t="shared" ref="AD97:AH97" si="165">IFERROR(AVERAGE(AD92:AD96),"  ")</f>
        <v>0</v>
      </c>
      <c r="AE97" s="318">
        <f t="shared" si="165"/>
        <v>0</v>
      </c>
      <c r="AF97" s="318">
        <f t="shared" si="165"/>
        <v>0</v>
      </c>
      <c r="AG97" s="318">
        <f t="shared" si="165"/>
        <v>0</v>
      </c>
      <c r="AH97" s="318">
        <f t="shared" si="165"/>
        <v>0</v>
      </c>
      <c r="AI97" s="317" t="s">
        <v>214</v>
      </c>
      <c r="AJ97" s="318">
        <f t="shared" ref="AJ97:AO97" si="166">IFERROR(AVERAGE(AJ92:AJ96),"  ")</f>
        <v>0</v>
      </c>
      <c r="AK97" s="318">
        <f t="shared" si="166"/>
        <v>0</v>
      </c>
      <c r="AL97" s="318">
        <f t="shared" si="166"/>
        <v>0</v>
      </c>
      <c r="AM97" s="318">
        <f t="shared" si="166"/>
        <v>0</v>
      </c>
      <c r="AN97" s="318">
        <f t="shared" si="166"/>
        <v>0</v>
      </c>
      <c r="AO97" s="318">
        <f t="shared" si="166"/>
        <v>0</v>
      </c>
      <c r="AP97" s="317" t="s">
        <v>214</v>
      </c>
      <c r="AQ97" s="318">
        <f t="shared" ref="AQ97:AS97" si="167">IFERROR(AVERAGE(AQ92:AQ96),"  ")</f>
        <v>0</v>
      </c>
      <c r="AR97" s="318">
        <f t="shared" si="167"/>
        <v>0</v>
      </c>
      <c r="AS97" s="318">
        <f t="shared" si="167"/>
        <v>0</v>
      </c>
      <c r="AT97" s="317" t="s">
        <v>214</v>
      </c>
      <c r="AU97" s="318">
        <f t="shared" ref="AU97:AV97" si="168">IFERROR(AVERAGE(AU92:AU96),"  ")</f>
        <v>0</v>
      </c>
      <c r="AV97" s="318">
        <f t="shared" si="168"/>
        <v>0</v>
      </c>
      <c r="AW97" s="317" t="s">
        <v>214</v>
      </c>
      <c r="AX97" s="318">
        <f t="shared" ref="AX97:AZ97" si="169">IFERROR(AVERAGE(AX92:AX96),"  ")</f>
        <v>0</v>
      </c>
      <c r="AY97" s="318">
        <f t="shared" si="169"/>
        <v>0</v>
      </c>
      <c r="AZ97" s="318">
        <f t="shared" si="169"/>
        <v>0</v>
      </c>
    </row>
    <row r="98" spans="1:52" x14ac:dyDescent="0.25">
      <c r="A98" s="600">
        <v>16</v>
      </c>
      <c r="B98" s="612"/>
      <c r="C98" s="292" t="str">
        <f>VLOOKUP(A98,data_siswa,4,FALSE)</f>
        <v>Nabilla Shiva Putri</v>
      </c>
      <c r="D98" s="316" t="s">
        <v>156</v>
      </c>
      <c r="E98" s="1073"/>
      <c r="F98" s="1073">
        <f>VLOOKUP(A98,AN_PKN6_KI3,13,FALSE)</f>
        <v>0</v>
      </c>
      <c r="G98" s="1073"/>
      <c r="H98" s="324">
        <f>AVERAGE(E98:G98)</f>
        <v>0</v>
      </c>
      <c r="I98" s="316" t="s">
        <v>26</v>
      </c>
      <c r="J98" s="1073"/>
      <c r="K98" s="1073"/>
      <c r="L98" s="1073"/>
      <c r="M98" s="1073">
        <f>VLOOKUP(A98,AN_BI6,19,FALSE)</f>
        <v>0</v>
      </c>
      <c r="N98" s="1073">
        <f>VLOOKUP(A98,AN_BI6,19,FALSE)</f>
        <v>0</v>
      </c>
      <c r="O98" s="545">
        <f>AVERAGE(J98:N98)</f>
        <v>0</v>
      </c>
      <c r="P98" s="316" t="s">
        <v>26</v>
      </c>
      <c r="Q98" s="1073"/>
      <c r="R98" s="1073">
        <f>VLOOKUP(A98,AN_MAT6,16,FALSE)</f>
        <v>0</v>
      </c>
      <c r="S98" s="1073"/>
      <c r="T98" s="1073">
        <f>VLOOKUP(A98,AN_MAT6,16,FALSE)</f>
        <v>0</v>
      </c>
      <c r="U98" s="1073"/>
      <c r="V98" s="1073"/>
      <c r="W98" s="1073"/>
      <c r="X98" s="316" t="s">
        <v>26</v>
      </c>
      <c r="Y98" s="325"/>
      <c r="Z98" s="325"/>
      <c r="AA98" s="325"/>
      <c r="AB98" s="325">
        <f>VLOOKUP(A98,AN_SBDP6,16,FALSE)</f>
        <v>0</v>
      </c>
      <c r="AC98" s="661" t="s">
        <v>156</v>
      </c>
      <c r="AD98" s="325">
        <f>VLOOKUP(A98,AN_SBDP6,16,FALSE)</f>
        <v>0</v>
      </c>
      <c r="AE98" s="325">
        <f>VLOOKUP(A98,AN_SBDP6,16,FALSE)</f>
        <v>0</v>
      </c>
      <c r="AF98" s="325"/>
      <c r="AG98" s="325"/>
      <c r="AH98" s="325">
        <f>VLOOKUP(A98,AN_SBDP6,16,FALSE)</f>
        <v>0</v>
      </c>
      <c r="AI98" s="661" t="s">
        <v>44</v>
      </c>
      <c r="AJ98" s="325"/>
      <c r="AK98" s="325"/>
      <c r="AL98" s="325">
        <f>VLOOKUP(A98,an_agm,51,FALSE)</f>
        <v>0</v>
      </c>
      <c r="AM98" s="325"/>
      <c r="AN98" s="325"/>
      <c r="AO98" s="325"/>
      <c r="AP98" s="315" t="s">
        <v>156</v>
      </c>
      <c r="AQ98" s="325">
        <f>VLOOKUP(A98,UHT_jawa,18,FALSE)</f>
        <v>0</v>
      </c>
      <c r="AR98" s="325"/>
      <c r="AS98" s="325"/>
      <c r="AT98" s="661" t="s">
        <v>44</v>
      </c>
      <c r="AU98" s="325"/>
      <c r="AV98" s="325">
        <f>VLOOKUP(A98,AN_ipa6,16,FALSE)</f>
        <v>0</v>
      </c>
      <c r="AW98" s="661" t="s">
        <v>44</v>
      </c>
      <c r="AX98" s="325"/>
      <c r="AY98" s="325"/>
      <c r="AZ98" s="325">
        <f>VLOOKUP(A98,AN_IPS6,16,FALSE)</f>
        <v>0</v>
      </c>
    </row>
    <row r="99" spans="1:52" x14ac:dyDescent="0.25">
      <c r="A99" s="599"/>
      <c r="B99" s="609"/>
      <c r="C99" s="71"/>
      <c r="D99" s="316" t="s">
        <v>26</v>
      </c>
      <c r="E99" s="1073">
        <f>VLOOKUP(A98,AN_PKN7,12,FALSE)</f>
        <v>0</v>
      </c>
      <c r="F99" s="1073">
        <f>VLOOKUP(A98,AN_PKN7,12,FALSE)</f>
        <v>0</v>
      </c>
      <c r="G99" s="1073">
        <f>VLOOKUP(A98,AN_PKN7,12,FALSE)</f>
        <v>0</v>
      </c>
      <c r="H99" s="324">
        <f>AVERAGE(E99:G99)</f>
        <v>0</v>
      </c>
      <c r="I99" s="316" t="s">
        <v>50</v>
      </c>
      <c r="J99" s="1073">
        <f>VLOOKUP(A98,AN_BI7,21,FALSE)</f>
        <v>0</v>
      </c>
      <c r="K99" s="1073">
        <f>VLOOKUP(A98,AN_BI7,21,FALSE)</f>
        <v>0</v>
      </c>
      <c r="L99" s="1073">
        <f>VLOOKUP(A98,AN_BI7,21,FALSE)</f>
        <v>0</v>
      </c>
      <c r="M99" s="1073">
        <f>VLOOKUP(A98,AN_BI7,21,FALSE)</f>
        <v>0</v>
      </c>
      <c r="N99" s="1073"/>
      <c r="O99" s="545">
        <f t="shared" ref="O99:O101" si="170">AVERAGE(J99:N99)</f>
        <v>0</v>
      </c>
      <c r="P99" s="316" t="s">
        <v>50</v>
      </c>
      <c r="Q99" s="1073"/>
      <c r="R99" s="1073"/>
      <c r="S99" s="1073">
        <f>VLOOKUP(A98,AN_MAT7,16,FALSE)</f>
        <v>0</v>
      </c>
      <c r="T99" s="1073">
        <f>VLOOKUP(A98,AN_MAT7,16,FALSE)</f>
        <v>0</v>
      </c>
      <c r="U99" s="1073">
        <f>VLOOKUP(A98,AN_MAT7,16,FALSE)</f>
        <v>0</v>
      </c>
      <c r="V99" s="1073">
        <f>VLOOKUP(A98,AN_MAT7,16,FALSE)</f>
        <v>0</v>
      </c>
      <c r="W99" s="1073"/>
      <c r="X99" s="316" t="s">
        <v>50</v>
      </c>
      <c r="Y99" s="325">
        <f>VLOOKUP(A98,AN_SBDP7,16,FALSE)</f>
        <v>0</v>
      </c>
      <c r="Z99" s="325">
        <f>VLOOKUP(A98,AN_SBDP7,16,FALSE)</f>
        <v>0</v>
      </c>
      <c r="AA99" s="325"/>
      <c r="AB99" s="325">
        <f>VLOOKUP(A98,AN_SBDP7,16,FALSE)</f>
        <v>0</v>
      </c>
      <c r="AC99" s="661" t="s">
        <v>26</v>
      </c>
      <c r="AD99" s="325"/>
      <c r="AE99" s="325"/>
      <c r="AF99" s="325">
        <f>VLOOKUP(A98,AN_SBDP7,16,FALSE)</f>
        <v>0</v>
      </c>
      <c r="AG99" s="325">
        <f>VLOOKUP(A98,AN_SBDP7,16,FALSE)</f>
        <v>0</v>
      </c>
      <c r="AH99" s="325"/>
      <c r="AI99" s="661" t="s">
        <v>45</v>
      </c>
      <c r="AJ99" s="325">
        <f>VLOOKUP(A98,an_agm,49,FALSE)</f>
        <v>0</v>
      </c>
      <c r="AK99" s="325"/>
      <c r="AL99" s="325"/>
      <c r="AM99" s="325"/>
      <c r="AN99" s="325"/>
      <c r="AO99" s="325"/>
      <c r="AP99" s="315" t="s">
        <v>26</v>
      </c>
      <c r="AQ99" s="325"/>
      <c r="AR99" s="325">
        <f>VLOOKUP(A98,UHT_jawa,19,FALSE)</f>
        <v>0</v>
      </c>
      <c r="AS99" s="325"/>
      <c r="AT99" s="661" t="s">
        <v>45</v>
      </c>
      <c r="AU99" s="325">
        <f>VLOOKUP(A98,AN_IPA7,16,FALSE)</f>
        <v>0</v>
      </c>
      <c r="AV99" s="325">
        <f>VLOOKUP(A98,AN_IPA7,16,FALSE)</f>
        <v>0</v>
      </c>
      <c r="AW99" s="661" t="s">
        <v>45</v>
      </c>
      <c r="AX99" s="325">
        <f>VLOOKUP(A98,an_ips7,16,FALSE)</f>
        <v>0</v>
      </c>
      <c r="AY99" s="325">
        <f>VLOOKUP(A98,an_ips7,16,FALSE)</f>
        <v>0</v>
      </c>
      <c r="AZ99" s="325">
        <f>VLOOKUP(A98,an_ips7,16,FALSE)</f>
        <v>0</v>
      </c>
    </row>
    <row r="100" spans="1:52" x14ac:dyDescent="0.25">
      <c r="A100" s="599"/>
      <c r="B100" s="609"/>
      <c r="C100" s="71"/>
      <c r="D100" s="316" t="s">
        <v>50</v>
      </c>
      <c r="E100" s="1073"/>
      <c r="F100" s="1073">
        <f>VLOOKUP(A98,AN_PKN8,17,FALSE)</f>
        <v>0</v>
      </c>
      <c r="G100" s="1073">
        <f>VLOOKUP(A98,AN_PKN8,17,FALSE)</f>
        <v>0</v>
      </c>
      <c r="H100" s="324">
        <f>AVERAGE(E100:G100)</f>
        <v>0</v>
      </c>
      <c r="I100" s="316" t="s">
        <v>51</v>
      </c>
      <c r="J100" s="1073">
        <f>VLOOKUP(A98,AN_BI8,19,FALSE)</f>
        <v>0</v>
      </c>
      <c r="K100" s="1073"/>
      <c r="L100" s="1073"/>
      <c r="M100" s="1073">
        <f>VLOOKUP(A98,AN_BI8,19,FALSE)</f>
        <v>0</v>
      </c>
      <c r="N100" s="1073"/>
      <c r="O100" s="545">
        <f t="shared" si="170"/>
        <v>0</v>
      </c>
      <c r="P100" s="316" t="s">
        <v>51</v>
      </c>
      <c r="Q100" s="1073">
        <f>VLOOKUP(A98,AN_MAT8,16,FALSE)</f>
        <v>0</v>
      </c>
      <c r="R100" s="1073">
        <f>VLOOKUP(A98,AN_MAT8,16,FALSE)</f>
        <v>0</v>
      </c>
      <c r="S100" s="1073"/>
      <c r="T100" s="1073"/>
      <c r="U100" s="1073"/>
      <c r="V100" s="1073"/>
      <c r="W100" s="1073">
        <f>VLOOKUP(A98,AN_MAT8,16,FALSE)</f>
        <v>0</v>
      </c>
      <c r="X100" s="316" t="s">
        <v>51</v>
      </c>
      <c r="Y100" s="325"/>
      <c r="Z100" s="325">
        <f>VLOOKUP(A98,AN_SBDP8,16,FALSE)</f>
        <v>0</v>
      </c>
      <c r="AA100" s="325"/>
      <c r="AB100" s="325">
        <f>VLOOKUP(A98,AN_SBDP8,16,FALSE)</f>
        <v>0</v>
      </c>
      <c r="AC100" s="661" t="s">
        <v>50</v>
      </c>
      <c r="AD100" s="325"/>
      <c r="AE100" s="325"/>
      <c r="AF100" s="325">
        <f>VLOOKUP(A98,AN_SBDP8,16,FALSE)</f>
        <v>0</v>
      </c>
      <c r="AG100" s="325"/>
      <c r="AH100" s="325">
        <f>VLOOKUP(A98,AN_SBDP8,16,FALSE)</f>
        <v>0</v>
      </c>
      <c r="AI100" s="661" t="s">
        <v>46</v>
      </c>
      <c r="AJ100" s="325"/>
      <c r="AK100" s="325"/>
      <c r="AL100" s="325"/>
      <c r="AM100" s="325">
        <f>VLOOKUP(A98,an_agm,52,FALSE)</f>
        <v>0</v>
      </c>
      <c r="AN100" s="325">
        <f>VLOOKUP(A98,an_agm,53,FALSE)</f>
        <v>0</v>
      </c>
      <c r="AO100" s="325"/>
      <c r="AP100" s="315" t="s">
        <v>50</v>
      </c>
      <c r="AQ100" s="325"/>
      <c r="AR100" s="325"/>
      <c r="AS100" s="325">
        <f>VLOOKUP(A98,UHT_jawa,20,FALSE)</f>
        <v>0</v>
      </c>
      <c r="AT100" s="661" t="s">
        <v>46</v>
      </c>
      <c r="AU100" s="325"/>
      <c r="AV100" s="325">
        <f>VLOOKUP(A98,AN_IPA7,16,FALSE)</f>
        <v>0</v>
      </c>
      <c r="AW100" s="661" t="s">
        <v>46</v>
      </c>
      <c r="AX100" s="325">
        <f>VLOOKUP(A98,AN_ips8,16,FALSE)</f>
        <v>0</v>
      </c>
      <c r="AY100" s="325">
        <f>VLOOKUP(A98,AN_ips8,16,FALSE)</f>
        <v>0</v>
      </c>
      <c r="AZ100" s="325">
        <f>VLOOKUP(A98,AN_ips8,16,FALSE)</f>
        <v>0</v>
      </c>
    </row>
    <row r="101" spans="1:52" x14ac:dyDescent="0.25">
      <c r="A101" s="599"/>
      <c r="B101" s="609"/>
      <c r="C101" s="71"/>
      <c r="D101" s="316" t="s">
        <v>51</v>
      </c>
      <c r="E101" s="325">
        <f>VLOOKUP(A98,AN_PKN9,16,FALSE)</f>
        <v>0</v>
      </c>
      <c r="F101" s="325"/>
      <c r="G101" s="325"/>
      <c r="H101" s="324">
        <f>AVERAGE(E101:G101)</f>
        <v>0</v>
      </c>
      <c r="I101" s="316" t="s">
        <v>52</v>
      </c>
      <c r="J101" s="1073">
        <f>VLOOKUP(A98,AN_BI9,21,FALSE)</f>
        <v>0</v>
      </c>
      <c r="K101" s="1073">
        <f>VLOOKUP(A98,AN_BI9,21,FALSE)</f>
        <v>0</v>
      </c>
      <c r="L101" s="1073">
        <f>VLOOKUP(A98,AN_BI9,21,FALSE)</f>
        <v>0</v>
      </c>
      <c r="M101" s="1073">
        <f>VLOOKUP(A98,AN_BI9,21,FALSE)</f>
        <v>0</v>
      </c>
      <c r="N101" s="1073"/>
      <c r="O101" s="545">
        <f t="shared" si="170"/>
        <v>0</v>
      </c>
      <c r="P101" s="316" t="s">
        <v>52</v>
      </c>
      <c r="Q101" s="1073">
        <f>VLOOKUP(A98,AN_MAT9,16,FALSE)</f>
        <v>0</v>
      </c>
      <c r="R101" s="1073">
        <f>VLOOKUP(A98,AN_MAT9,16,FALSE)</f>
        <v>0</v>
      </c>
      <c r="S101" s="1073">
        <f>VLOOKUP(A98,AN_MAT9,16,FALSE)</f>
        <v>0</v>
      </c>
      <c r="T101" s="1073">
        <f>VLOOKUP(A98,AN_MAT9,16,FALSE)</f>
        <v>0</v>
      </c>
      <c r="U101" s="1073">
        <f>VLOOKUP(A98,AN_MAT9,16,FALSE)</f>
        <v>0</v>
      </c>
      <c r="V101" s="1073">
        <f>VLOOKUP(A98,AN_MAT9,16,FALSE)</f>
        <v>0</v>
      </c>
      <c r="W101" s="1073">
        <f>VLOOKUP(A98,AN_MAT9,16,FALSE)</f>
        <v>0</v>
      </c>
      <c r="X101" s="316" t="s">
        <v>52</v>
      </c>
      <c r="Y101" s="325"/>
      <c r="Z101" s="325">
        <f>VLOOKUP(A98,AN_SBDP9,16,FALSE)</f>
        <v>0</v>
      </c>
      <c r="AA101" s="325">
        <f>VLOOKUP(A98,AN_SBDP9,16,FALSE)</f>
        <v>0</v>
      </c>
      <c r="AB101" s="325"/>
      <c r="AC101" s="661" t="s">
        <v>51</v>
      </c>
      <c r="AD101" s="325"/>
      <c r="AE101" s="325">
        <f>VLOOKUP(A98,AN_SBDP9,16,FALSE)</f>
        <v>0</v>
      </c>
      <c r="AF101" s="325">
        <f>VLOOKUP(A98,AN_SBDP9,16,FALSE)</f>
        <v>0</v>
      </c>
      <c r="AG101" s="325"/>
      <c r="AH101" s="325"/>
      <c r="AI101" s="661" t="s">
        <v>47</v>
      </c>
      <c r="AJ101" s="325"/>
      <c r="AK101" s="325">
        <f>VLOOKUP(A98,an_agm,50,FALSE)</f>
        <v>0</v>
      </c>
      <c r="AL101" s="325"/>
      <c r="AM101" s="325"/>
      <c r="AN101" s="325"/>
      <c r="AO101" s="325"/>
      <c r="AP101" s="315" t="s">
        <v>51</v>
      </c>
      <c r="AQ101" s="325"/>
      <c r="AR101" s="325"/>
      <c r="AS101" s="325"/>
      <c r="AT101" s="661" t="s">
        <v>47</v>
      </c>
      <c r="AU101" s="325"/>
      <c r="AV101" s="325">
        <f>VLOOKUP(A98,an_IPA9,16,FALSE)</f>
        <v>0</v>
      </c>
      <c r="AW101" s="661" t="s">
        <v>47</v>
      </c>
      <c r="AX101" s="325">
        <f>VLOOKUP(A98,AN_IPS_9,16,FALSE)</f>
        <v>0</v>
      </c>
      <c r="AY101" s="325"/>
      <c r="AZ101" s="325">
        <f>VLOOKUP(A98,AN_IPS_9,16,FALSE)</f>
        <v>0</v>
      </c>
    </row>
    <row r="102" spans="1:52" x14ac:dyDescent="0.25">
      <c r="A102" s="599"/>
      <c r="B102" s="609"/>
      <c r="C102" s="71"/>
      <c r="D102" s="316"/>
      <c r="E102" s="1073"/>
      <c r="F102" s="1073"/>
      <c r="G102" s="1073"/>
      <c r="H102" s="1074"/>
      <c r="I102" s="316"/>
      <c r="J102" s="1073"/>
      <c r="K102" s="1073"/>
      <c r="L102" s="1073"/>
      <c r="M102" s="1073"/>
      <c r="N102" s="1073"/>
      <c r="O102" s="1074"/>
      <c r="P102" s="315"/>
      <c r="Q102" s="1073"/>
      <c r="R102" s="1073"/>
      <c r="S102" s="1073"/>
      <c r="T102" s="1073"/>
      <c r="U102" s="1073"/>
      <c r="V102" s="1073"/>
      <c r="W102" s="1073"/>
      <c r="X102" s="315"/>
      <c r="Y102" s="325"/>
      <c r="Z102" s="325"/>
      <c r="AA102" s="325"/>
      <c r="AB102" s="325"/>
      <c r="AC102" s="661"/>
      <c r="AD102" s="1073"/>
      <c r="AE102" s="1073"/>
      <c r="AF102" s="1112"/>
      <c r="AG102" s="1112"/>
      <c r="AH102" s="1112"/>
      <c r="AI102" s="661" t="s">
        <v>48</v>
      </c>
      <c r="AJ102" s="325"/>
      <c r="AK102" s="325"/>
      <c r="AL102" s="325"/>
      <c r="AM102" s="325"/>
      <c r="AN102" s="325"/>
      <c r="AO102" s="325">
        <f>VLOOKUP(A98,an_agm,54,FALSE)</f>
        <v>0</v>
      </c>
      <c r="AP102" s="315"/>
      <c r="AQ102" s="1136"/>
      <c r="AR102" s="1136"/>
      <c r="AS102" s="1136"/>
      <c r="AT102" s="315"/>
      <c r="AU102" s="325"/>
      <c r="AV102" s="325"/>
      <c r="AW102" s="315"/>
      <c r="AX102" s="325"/>
      <c r="AY102" s="325"/>
      <c r="AZ102" s="325"/>
    </row>
    <row r="103" spans="1:52" x14ac:dyDescent="0.25">
      <c r="A103" s="603"/>
      <c r="B103" s="610">
        <v>16</v>
      </c>
      <c r="C103" s="72"/>
      <c r="D103" s="317" t="s">
        <v>214</v>
      </c>
      <c r="E103" s="318">
        <f>IFERROR(AVERAGE(E98:E102),"  ")</f>
        <v>0</v>
      </c>
      <c r="F103" s="318">
        <f t="shared" ref="F103:G103" si="171">IFERROR(AVERAGE(F98:F102),"  ")</f>
        <v>0</v>
      </c>
      <c r="G103" s="318">
        <f t="shared" si="171"/>
        <v>0</v>
      </c>
      <c r="H103" s="323"/>
      <c r="I103" s="317" t="s">
        <v>214</v>
      </c>
      <c r="J103" s="318">
        <f>IFERROR(AVERAGE(J98:J102),"  ")</f>
        <v>0</v>
      </c>
      <c r="K103" s="318">
        <f t="shared" ref="K103:M103" si="172">IFERROR(AVERAGE(K98:K102),"  ")</f>
        <v>0</v>
      </c>
      <c r="L103" s="318">
        <f t="shared" si="172"/>
        <v>0</v>
      </c>
      <c r="M103" s="318">
        <f t="shared" si="172"/>
        <v>0</v>
      </c>
      <c r="N103" s="318">
        <f>IFERROR(AVERAGE(N98:N102),"  ")</f>
        <v>0</v>
      </c>
      <c r="O103" s="597"/>
      <c r="P103" s="317" t="s">
        <v>214</v>
      </c>
      <c r="Q103" s="318">
        <f>IFERROR(AVERAGE(Q98:Q102),"  ")</f>
        <v>0</v>
      </c>
      <c r="R103" s="318">
        <f t="shared" ref="R103:W103" si="173">IFERROR(AVERAGE(R98:R102),"  ")</f>
        <v>0</v>
      </c>
      <c r="S103" s="318">
        <f t="shared" si="173"/>
        <v>0</v>
      </c>
      <c r="T103" s="318">
        <f t="shared" si="173"/>
        <v>0</v>
      </c>
      <c r="U103" s="318">
        <f t="shared" si="173"/>
        <v>0</v>
      </c>
      <c r="V103" s="318">
        <f t="shared" si="173"/>
        <v>0</v>
      </c>
      <c r="W103" s="318">
        <f t="shared" si="173"/>
        <v>0</v>
      </c>
      <c r="X103" s="317" t="s">
        <v>214</v>
      </c>
      <c r="Y103" s="318">
        <f t="shared" ref="Y103:AB103" si="174">IFERROR(AVERAGE(Y98:Y102),"  ")</f>
        <v>0</v>
      </c>
      <c r="Z103" s="318">
        <f t="shared" si="174"/>
        <v>0</v>
      </c>
      <c r="AA103" s="318">
        <f t="shared" si="174"/>
        <v>0</v>
      </c>
      <c r="AB103" s="318">
        <f t="shared" si="174"/>
        <v>0</v>
      </c>
      <c r="AC103" s="317" t="s">
        <v>214</v>
      </c>
      <c r="AD103" s="318">
        <f t="shared" ref="AD103:AH103" si="175">IFERROR(AVERAGE(AD98:AD102),"  ")</f>
        <v>0</v>
      </c>
      <c r="AE103" s="318">
        <f t="shared" si="175"/>
        <v>0</v>
      </c>
      <c r="AF103" s="318">
        <f t="shared" si="175"/>
        <v>0</v>
      </c>
      <c r="AG103" s="318">
        <f t="shared" si="175"/>
        <v>0</v>
      </c>
      <c r="AH103" s="318">
        <f t="shared" si="175"/>
        <v>0</v>
      </c>
      <c r="AI103" s="317" t="s">
        <v>214</v>
      </c>
      <c r="AJ103" s="318">
        <f t="shared" ref="AJ103:AO103" si="176">IFERROR(AVERAGE(AJ98:AJ102),"  ")</f>
        <v>0</v>
      </c>
      <c r="AK103" s="318">
        <f t="shared" si="176"/>
        <v>0</v>
      </c>
      <c r="AL103" s="318">
        <f t="shared" si="176"/>
        <v>0</v>
      </c>
      <c r="AM103" s="318">
        <f t="shared" si="176"/>
        <v>0</v>
      </c>
      <c r="AN103" s="318">
        <f t="shared" si="176"/>
        <v>0</v>
      </c>
      <c r="AO103" s="318">
        <f t="shared" si="176"/>
        <v>0</v>
      </c>
      <c r="AP103" s="317" t="s">
        <v>214</v>
      </c>
      <c r="AQ103" s="318">
        <f t="shared" ref="AQ103:AS103" si="177">IFERROR(AVERAGE(AQ98:AQ102),"  ")</f>
        <v>0</v>
      </c>
      <c r="AR103" s="318">
        <f t="shared" si="177"/>
        <v>0</v>
      </c>
      <c r="AS103" s="318">
        <f t="shared" si="177"/>
        <v>0</v>
      </c>
      <c r="AT103" s="317" t="s">
        <v>214</v>
      </c>
      <c r="AU103" s="318">
        <f t="shared" ref="AU103:AV103" si="178">IFERROR(AVERAGE(AU98:AU102),"  ")</f>
        <v>0</v>
      </c>
      <c r="AV103" s="318">
        <f t="shared" si="178"/>
        <v>0</v>
      </c>
      <c r="AW103" s="317" t="s">
        <v>214</v>
      </c>
      <c r="AX103" s="318">
        <f t="shared" ref="AX103:AZ103" si="179">IFERROR(AVERAGE(AX98:AX102),"  ")</f>
        <v>0</v>
      </c>
      <c r="AY103" s="318">
        <f t="shared" si="179"/>
        <v>0</v>
      </c>
      <c r="AZ103" s="318">
        <f t="shared" si="179"/>
        <v>0</v>
      </c>
    </row>
    <row r="104" spans="1:52" x14ac:dyDescent="0.25">
      <c r="A104" s="599">
        <v>17</v>
      </c>
      <c r="B104" s="608"/>
      <c r="C104" s="292" t="str">
        <f>VLOOKUP(A104,data_siswa,4,FALSE)</f>
        <v>Naufal Falih F</v>
      </c>
      <c r="D104" s="316" t="s">
        <v>156</v>
      </c>
      <c r="E104" s="1073"/>
      <c r="F104" s="1073">
        <f>VLOOKUP(A104,AN_PKN6_KI3,13,FALSE)</f>
        <v>0</v>
      </c>
      <c r="G104" s="1073"/>
      <c r="H104" s="324">
        <f>AVERAGE(E104:G104)</f>
        <v>0</v>
      </c>
      <c r="I104" s="316" t="s">
        <v>26</v>
      </c>
      <c r="J104" s="1073"/>
      <c r="K104" s="1073"/>
      <c r="L104" s="1073"/>
      <c r="M104" s="1073">
        <f>VLOOKUP(A104,AN_BI6,19,FALSE)</f>
        <v>0</v>
      </c>
      <c r="N104" s="1073">
        <f>VLOOKUP(A104,AN_BI6,19,FALSE)</f>
        <v>0</v>
      </c>
      <c r="O104" s="545">
        <f>AVERAGE(J104:N104)</f>
        <v>0</v>
      </c>
      <c r="P104" s="316" t="s">
        <v>26</v>
      </c>
      <c r="Q104" s="1073"/>
      <c r="R104" s="1073">
        <f>VLOOKUP(A104,AN_MAT6,16,FALSE)</f>
        <v>0</v>
      </c>
      <c r="S104" s="1073"/>
      <c r="T104" s="1073">
        <f>VLOOKUP(A104,AN_MAT6,16,FALSE)</f>
        <v>0</v>
      </c>
      <c r="U104" s="1073"/>
      <c r="V104" s="1073"/>
      <c r="W104" s="1073"/>
      <c r="X104" s="316" t="s">
        <v>26</v>
      </c>
      <c r="Y104" s="325"/>
      <c r="Z104" s="325"/>
      <c r="AA104" s="325"/>
      <c r="AB104" s="325">
        <f>VLOOKUP(A104,AN_SBDP6,16,FALSE)</f>
        <v>0</v>
      </c>
      <c r="AC104" s="661" t="s">
        <v>156</v>
      </c>
      <c r="AD104" s="325">
        <f>VLOOKUP(A104,AN_SBDP6,16,FALSE)</f>
        <v>0</v>
      </c>
      <c r="AE104" s="325">
        <f>VLOOKUP(A104,AN_SBDP6,16,FALSE)</f>
        <v>0</v>
      </c>
      <c r="AF104" s="325"/>
      <c r="AG104" s="325"/>
      <c r="AH104" s="325">
        <f>VLOOKUP(A104,AN_SBDP6,16,FALSE)</f>
        <v>0</v>
      </c>
      <c r="AI104" s="661" t="s">
        <v>44</v>
      </c>
      <c r="AJ104" s="325"/>
      <c r="AK104" s="325"/>
      <c r="AL104" s="325">
        <f>VLOOKUP(A104,an_agm,51,FALSE)</f>
        <v>0</v>
      </c>
      <c r="AM104" s="325"/>
      <c r="AN104" s="325"/>
      <c r="AO104" s="325"/>
      <c r="AP104" s="315" t="s">
        <v>156</v>
      </c>
      <c r="AQ104" s="325">
        <f>VLOOKUP(A104,UHT_jawa,18,FALSE)</f>
        <v>0</v>
      </c>
      <c r="AR104" s="325"/>
      <c r="AS104" s="325"/>
      <c r="AT104" s="661" t="s">
        <v>44</v>
      </c>
      <c r="AU104" s="325"/>
      <c r="AV104" s="325">
        <f>VLOOKUP(A104,AN_ipa6,16,FALSE)</f>
        <v>0</v>
      </c>
      <c r="AW104" s="661" t="s">
        <v>44</v>
      </c>
      <c r="AX104" s="325"/>
      <c r="AY104" s="325"/>
      <c r="AZ104" s="325">
        <f>VLOOKUP(A104,AN_IPS6,16,FALSE)</f>
        <v>0</v>
      </c>
    </row>
    <row r="105" spans="1:52" x14ac:dyDescent="0.25">
      <c r="A105" s="599"/>
      <c r="B105" s="609"/>
      <c r="C105" s="71"/>
      <c r="D105" s="316" t="s">
        <v>26</v>
      </c>
      <c r="E105" s="1073">
        <f>VLOOKUP(A104,AN_PKN7,12,FALSE)</f>
        <v>0</v>
      </c>
      <c r="F105" s="1073">
        <f>VLOOKUP(A104,AN_PKN7,12,FALSE)</f>
        <v>0</v>
      </c>
      <c r="G105" s="1073">
        <f>VLOOKUP(A104,AN_PKN7,12,FALSE)</f>
        <v>0</v>
      </c>
      <c r="H105" s="324">
        <f>AVERAGE(E105:G105)</f>
        <v>0</v>
      </c>
      <c r="I105" s="316" t="s">
        <v>50</v>
      </c>
      <c r="J105" s="1073">
        <f>VLOOKUP(A104,AN_BI7,21,FALSE)</f>
        <v>0</v>
      </c>
      <c r="K105" s="1073">
        <f>VLOOKUP(A104,AN_BI7,21,FALSE)</f>
        <v>0</v>
      </c>
      <c r="L105" s="1073">
        <f>VLOOKUP(A104,AN_BI7,21,FALSE)</f>
        <v>0</v>
      </c>
      <c r="M105" s="1073">
        <f>VLOOKUP(A104,AN_BI7,21,FALSE)</f>
        <v>0</v>
      </c>
      <c r="N105" s="1073"/>
      <c r="O105" s="545">
        <f t="shared" ref="O105:O107" si="180">AVERAGE(J105:N105)</f>
        <v>0</v>
      </c>
      <c r="P105" s="316" t="s">
        <v>50</v>
      </c>
      <c r="Q105" s="1073"/>
      <c r="R105" s="1073"/>
      <c r="S105" s="1073">
        <f>VLOOKUP(A104,AN_MAT7,16,FALSE)</f>
        <v>0</v>
      </c>
      <c r="T105" s="1073">
        <f>VLOOKUP(A104,AN_MAT7,16,FALSE)</f>
        <v>0</v>
      </c>
      <c r="U105" s="1073">
        <f>VLOOKUP(A104,AN_MAT7,16,FALSE)</f>
        <v>0</v>
      </c>
      <c r="V105" s="1073">
        <f>VLOOKUP(A104,AN_MAT7,16,FALSE)</f>
        <v>0</v>
      </c>
      <c r="W105" s="1073"/>
      <c r="X105" s="316" t="s">
        <v>50</v>
      </c>
      <c r="Y105" s="325">
        <f>VLOOKUP(A104,AN_SBDP7,16,FALSE)</f>
        <v>0</v>
      </c>
      <c r="Z105" s="325">
        <f>VLOOKUP(A104,AN_SBDP7,16,FALSE)</f>
        <v>0</v>
      </c>
      <c r="AA105" s="325"/>
      <c r="AB105" s="325">
        <f>VLOOKUP(A104,AN_SBDP7,16,FALSE)</f>
        <v>0</v>
      </c>
      <c r="AC105" s="661" t="s">
        <v>26</v>
      </c>
      <c r="AD105" s="325"/>
      <c r="AE105" s="325"/>
      <c r="AF105" s="325">
        <f>VLOOKUP(A104,AN_SBDP7,16,FALSE)</f>
        <v>0</v>
      </c>
      <c r="AG105" s="325">
        <f>VLOOKUP(A104,AN_SBDP7,16,FALSE)</f>
        <v>0</v>
      </c>
      <c r="AH105" s="325"/>
      <c r="AI105" s="661" t="s">
        <v>45</v>
      </c>
      <c r="AJ105" s="325">
        <f>VLOOKUP(A104,an_agm,49,FALSE)</f>
        <v>0</v>
      </c>
      <c r="AK105" s="325"/>
      <c r="AL105" s="325"/>
      <c r="AM105" s="325"/>
      <c r="AN105" s="325"/>
      <c r="AO105" s="325"/>
      <c r="AP105" s="315" t="s">
        <v>26</v>
      </c>
      <c r="AQ105" s="325"/>
      <c r="AR105" s="325">
        <f>VLOOKUP(A104,UHT_jawa,19,FALSE)</f>
        <v>0</v>
      </c>
      <c r="AS105" s="325"/>
      <c r="AT105" s="661" t="s">
        <v>45</v>
      </c>
      <c r="AU105" s="325">
        <f>VLOOKUP(A104,AN_IPA7,16,FALSE)</f>
        <v>0</v>
      </c>
      <c r="AV105" s="325">
        <f>VLOOKUP(A104,AN_IPA7,16,FALSE)</f>
        <v>0</v>
      </c>
      <c r="AW105" s="661" t="s">
        <v>45</v>
      </c>
      <c r="AX105" s="325">
        <f>VLOOKUP(A104,an_ips7,16,FALSE)</f>
        <v>0</v>
      </c>
      <c r="AY105" s="325">
        <f>VLOOKUP(A104,an_ips7,16,FALSE)</f>
        <v>0</v>
      </c>
      <c r="AZ105" s="325">
        <f>VLOOKUP(A104,an_ips7,16,FALSE)</f>
        <v>0</v>
      </c>
    </row>
    <row r="106" spans="1:52" x14ac:dyDescent="0.25">
      <c r="A106" s="599"/>
      <c r="B106" s="609"/>
      <c r="C106" s="71"/>
      <c r="D106" s="316" t="s">
        <v>50</v>
      </c>
      <c r="E106" s="1073"/>
      <c r="F106" s="1073">
        <f>VLOOKUP(A104,AN_PKN8,17,FALSE)</f>
        <v>0</v>
      </c>
      <c r="G106" s="1073">
        <f>VLOOKUP(A104,AN_PKN8,17,FALSE)</f>
        <v>0</v>
      </c>
      <c r="H106" s="324">
        <f>AVERAGE(E106:G106)</f>
        <v>0</v>
      </c>
      <c r="I106" s="316" t="s">
        <v>51</v>
      </c>
      <c r="J106" s="1073">
        <f>VLOOKUP(A104,AN_BI8,19,FALSE)</f>
        <v>0</v>
      </c>
      <c r="K106" s="1073"/>
      <c r="L106" s="1073"/>
      <c r="M106" s="1073">
        <f>VLOOKUP(A104,AN_BI8,19,FALSE)</f>
        <v>0</v>
      </c>
      <c r="N106" s="1073"/>
      <c r="O106" s="545">
        <f t="shared" si="180"/>
        <v>0</v>
      </c>
      <c r="P106" s="316" t="s">
        <v>51</v>
      </c>
      <c r="Q106" s="1073">
        <f>VLOOKUP(A104,AN_MAT8,16,FALSE)</f>
        <v>0</v>
      </c>
      <c r="R106" s="1073">
        <f>VLOOKUP(A104,AN_MAT8,16,FALSE)</f>
        <v>0</v>
      </c>
      <c r="S106" s="1073"/>
      <c r="T106" s="1073"/>
      <c r="U106" s="1073"/>
      <c r="V106" s="1073"/>
      <c r="W106" s="1073">
        <f>VLOOKUP(A104,AN_MAT8,16,FALSE)</f>
        <v>0</v>
      </c>
      <c r="X106" s="316" t="s">
        <v>51</v>
      </c>
      <c r="Y106" s="325"/>
      <c r="Z106" s="325">
        <f>VLOOKUP(A104,AN_SBDP8,16,FALSE)</f>
        <v>0</v>
      </c>
      <c r="AA106" s="325"/>
      <c r="AB106" s="325">
        <f>VLOOKUP(A104,AN_SBDP8,16,FALSE)</f>
        <v>0</v>
      </c>
      <c r="AC106" s="661" t="s">
        <v>50</v>
      </c>
      <c r="AD106" s="325"/>
      <c r="AE106" s="325"/>
      <c r="AF106" s="325">
        <f>VLOOKUP(A104,AN_SBDP8,16,FALSE)</f>
        <v>0</v>
      </c>
      <c r="AG106" s="325"/>
      <c r="AH106" s="325">
        <f>VLOOKUP(A104,AN_SBDP8,16,FALSE)</f>
        <v>0</v>
      </c>
      <c r="AI106" s="661" t="s">
        <v>46</v>
      </c>
      <c r="AJ106" s="325"/>
      <c r="AK106" s="325"/>
      <c r="AL106" s="325"/>
      <c r="AM106" s="325">
        <f>VLOOKUP(A104,an_agm,52,FALSE)</f>
        <v>0</v>
      </c>
      <c r="AN106" s="325">
        <f>VLOOKUP(A104,an_agm,53,FALSE)</f>
        <v>0</v>
      </c>
      <c r="AO106" s="325"/>
      <c r="AP106" s="315" t="s">
        <v>50</v>
      </c>
      <c r="AQ106" s="325"/>
      <c r="AR106" s="325"/>
      <c r="AS106" s="325">
        <f>VLOOKUP(A104,UHT_jawa,20,FALSE)</f>
        <v>0</v>
      </c>
      <c r="AT106" s="661" t="s">
        <v>46</v>
      </c>
      <c r="AU106" s="325"/>
      <c r="AV106" s="325">
        <f>VLOOKUP(A104,AN_IPA7,16,FALSE)</f>
        <v>0</v>
      </c>
      <c r="AW106" s="661" t="s">
        <v>46</v>
      </c>
      <c r="AX106" s="325">
        <f>VLOOKUP(A104,AN_ips8,16,FALSE)</f>
        <v>0</v>
      </c>
      <c r="AY106" s="325">
        <f>VLOOKUP(A104,AN_ips8,16,FALSE)</f>
        <v>0</v>
      </c>
      <c r="AZ106" s="325">
        <f>VLOOKUP(A104,AN_ips8,16,FALSE)</f>
        <v>0</v>
      </c>
    </row>
    <row r="107" spans="1:52" x14ac:dyDescent="0.25">
      <c r="A107" s="599"/>
      <c r="B107" s="609"/>
      <c r="C107" s="71"/>
      <c r="D107" s="316" t="s">
        <v>51</v>
      </c>
      <c r="E107" s="325">
        <f>VLOOKUP(A104,AN_PKN9,16,FALSE)</f>
        <v>0</v>
      </c>
      <c r="F107" s="325"/>
      <c r="G107" s="325"/>
      <c r="H107" s="324">
        <f>AVERAGE(E107:G107)</f>
        <v>0</v>
      </c>
      <c r="I107" s="316" t="s">
        <v>52</v>
      </c>
      <c r="J107" s="1073">
        <f>VLOOKUP(A104,AN_BI9,21,FALSE)</f>
        <v>0</v>
      </c>
      <c r="K107" s="1073">
        <f>VLOOKUP(A104,AN_BI9,21,FALSE)</f>
        <v>0</v>
      </c>
      <c r="L107" s="1073">
        <f>VLOOKUP(A104,AN_BI9,21,FALSE)</f>
        <v>0</v>
      </c>
      <c r="M107" s="1073">
        <f>VLOOKUP(A104,AN_BI9,21,FALSE)</f>
        <v>0</v>
      </c>
      <c r="N107" s="1073"/>
      <c r="O107" s="545">
        <f t="shared" si="180"/>
        <v>0</v>
      </c>
      <c r="P107" s="316" t="s">
        <v>52</v>
      </c>
      <c r="Q107" s="1073">
        <f>VLOOKUP(A104,AN_MAT9,16,FALSE)</f>
        <v>0</v>
      </c>
      <c r="R107" s="1073">
        <f>VLOOKUP(A104,AN_MAT9,16,FALSE)</f>
        <v>0</v>
      </c>
      <c r="S107" s="1073">
        <f>VLOOKUP(A104,AN_MAT9,16,FALSE)</f>
        <v>0</v>
      </c>
      <c r="T107" s="1073">
        <f>VLOOKUP(A104,AN_MAT9,16,FALSE)</f>
        <v>0</v>
      </c>
      <c r="U107" s="1073">
        <f>VLOOKUP(A104,AN_MAT9,16,FALSE)</f>
        <v>0</v>
      </c>
      <c r="V107" s="1073">
        <f>VLOOKUP(A104,AN_MAT9,16,FALSE)</f>
        <v>0</v>
      </c>
      <c r="W107" s="1073">
        <f>VLOOKUP(A104,AN_MAT9,16,FALSE)</f>
        <v>0</v>
      </c>
      <c r="X107" s="316" t="s">
        <v>52</v>
      </c>
      <c r="Y107" s="325"/>
      <c r="Z107" s="325">
        <f>VLOOKUP(A104,AN_SBDP9,16,FALSE)</f>
        <v>0</v>
      </c>
      <c r="AA107" s="325">
        <f>VLOOKUP(A104,AN_SBDP9,16,FALSE)</f>
        <v>0</v>
      </c>
      <c r="AB107" s="325"/>
      <c r="AC107" s="661" t="s">
        <v>51</v>
      </c>
      <c r="AD107" s="325"/>
      <c r="AE107" s="325">
        <f>VLOOKUP(A104,AN_SBDP9,16,FALSE)</f>
        <v>0</v>
      </c>
      <c r="AF107" s="325">
        <f>VLOOKUP(A104,AN_SBDP9,16,FALSE)</f>
        <v>0</v>
      </c>
      <c r="AG107" s="325"/>
      <c r="AH107" s="325"/>
      <c r="AI107" s="661" t="s">
        <v>47</v>
      </c>
      <c r="AJ107" s="325"/>
      <c r="AK107" s="325">
        <f>VLOOKUP(A104,an_agm,50,FALSE)</f>
        <v>0</v>
      </c>
      <c r="AL107" s="325"/>
      <c r="AM107" s="325"/>
      <c r="AN107" s="325"/>
      <c r="AO107" s="325"/>
      <c r="AP107" s="315" t="s">
        <v>51</v>
      </c>
      <c r="AQ107" s="325"/>
      <c r="AR107" s="325"/>
      <c r="AS107" s="325"/>
      <c r="AT107" s="661" t="s">
        <v>47</v>
      </c>
      <c r="AU107" s="325"/>
      <c r="AV107" s="325">
        <f>VLOOKUP(A104,an_IPA9,16,FALSE)</f>
        <v>0</v>
      </c>
      <c r="AW107" s="661" t="s">
        <v>47</v>
      </c>
      <c r="AX107" s="325">
        <f>VLOOKUP(A104,AN_IPS_9,16,FALSE)</f>
        <v>0</v>
      </c>
      <c r="AY107" s="325"/>
      <c r="AZ107" s="325">
        <f>VLOOKUP(A104,AN_IPS_9,16,FALSE)</f>
        <v>0</v>
      </c>
    </row>
    <row r="108" spans="1:52" x14ac:dyDescent="0.25">
      <c r="A108" s="599"/>
      <c r="B108" s="609"/>
      <c r="C108" s="71"/>
      <c r="D108" s="316"/>
      <c r="E108" s="1073"/>
      <c r="F108" s="1073"/>
      <c r="G108" s="1073"/>
      <c r="H108" s="1074"/>
      <c r="I108" s="316"/>
      <c r="J108" s="1073"/>
      <c r="K108" s="1073"/>
      <c r="L108" s="1073"/>
      <c r="M108" s="1073"/>
      <c r="N108" s="1073"/>
      <c r="O108" s="1074"/>
      <c r="P108" s="315"/>
      <c r="Q108" s="1073"/>
      <c r="R108" s="1073"/>
      <c r="S108" s="1073"/>
      <c r="T108" s="1073"/>
      <c r="U108" s="1073"/>
      <c r="V108" s="1073"/>
      <c r="W108" s="1073"/>
      <c r="X108" s="315"/>
      <c r="Y108" s="325"/>
      <c r="Z108" s="325"/>
      <c r="AA108" s="325"/>
      <c r="AB108" s="325"/>
      <c r="AC108" s="661"/>
      <c r="AD108" s="1073"/>
      <c r="AE108" s="1073"/>
      <c r="AF108" s="1112"/>
      <c r="AG108" s="1112"/>
      <c r="AH108" s="1112"/>
      <c r="AI108" s="661" t="s">
        <v>48</v>
      </c>
      <c r="AJ108" s="325"/>
      <c r="AK108" s="325"/>
      <c r="AL108" s="325"/>
      <c r="AM108" s="325"/>
      <c r="AN108" s="325"/>
      <c r="AO108" s="325">
        <f>VLOOKUP(A104,an_agm,54,FALSE)</f>
        <v>0</v>
      </c>
      <c r="AP108" s="315"/>
      <c r="AQ108" s="1136"/>
      <c r="AR108" s="1136"/>
      <c r="AS108" s="1136"/>
      <c r="AT108" s="315"/>
      <c r="AU108" s="325"/>
      <c r="AV108" s="325"/>
      <c r="AW108" s="315"/>
      <c r="AX108" s="325"/>
      <c r="AY108" s="325"/>
      <c r="AZ108" s="325"/>
    </row>
    <row r="109" spans="1:52" x14ac:dyDescent="0.25">
      <c r="A109" s="604"/>
      <c r="B109" s="611">
        <v>17</v>
      </c>
      <c r="C109" s="72"/>
      <c r="D109" s="317" t="s">
        <v>214</v>
      </c>
      <c r="E109" s="318">
        <f>IFERROR(AVERAGE(E104:E108),"  ")</f>
        <v>0</v>
      </c>
      <c r="F109" s="318">
        <f t="shared" ref="F109:G109" si="181">IFERROR(AVERAGE(F104:F108),"  ")</f>
        <v>0</v>
      </c>
      <c r="G109" s="318">
        <f t="shared" si="181"/>
        <v>0</v>
      </c>
      <c r="H109" s="323"/>
      <c r="I109" s="317" t="s">
        <v>214</v>
      </c>
      <c r="J109" s="318">
        <f>IFERROR(AVERAGE(J104:J108),"  ")</f>
        <v>0</v>
      </c>
      <c r="K109" s="318">
        <f t="shared" ref="K109:M109" si="182">IFERROR(AVERAGE(K104:K108),"  ")</f>
        <v>0</v>
      </c>
      <c r="L109" s="318">
        <f t="shared" si="182"/>
        <v>0</v>
      </c>
      <c r="M109" s="318">
        <f t="shared" si="182"/>
        <v>0</v>
      </c>
      <c r="N109" s="318">
        <f>IFERROR(AVERAGE(N104:N108),"  ")</f>
        <v>0</v>
      </c>
      <c r="O109" s="597"/>
      <c r="P109" s="317" t="s">
        <v>214</v>
      </c>
      <c r="Q109" s="318">
        <f>IFERROR(AVERAGE(Q104:Q108),"  ")</f>
        <v>0</v>
      </c>
      <c r="R109" s="318">
        <f t="shared" ref="R109:W109" si="183">IFERROR(AVERAGE(R104:R108),"  ")</f>
        <v>0</v>
      </c>
      <c r="S109" s="318">
        <f t="shared" si="183"/>
        <v>0</v>
      </c>
      <c r="T109" s="318">
        <f t="shared" si="183"/>
        <v>0</v>
      </c>
      <c r="U109" s="318">
        <f t="shared" si="183"/>
        <v>0</v>
      </c>
      <c r="V109" s="318">
        <f t="shared" si="183"/>
        <v>0</v>
      </c>
      <c r="W109" s="318">
        <f t="shared" si="183"/>
        <v>0</v>
      </c>
      <c r="X109" s="317" t="s">
        <v>214</v>
      </c>
      <c r="Y109" s="318">
        <f t="shared" ref="Y109:AB109" si="184">IFERROR(AVERAGE(Y104:Y108),"  ")</f>
        <v>0</v>
      </c>
      <c r="Z109" s="318">
        <f t="shared" si="184"/>
        <v>0</v>
      </c>
      <c r="AA109" s="318">
        <f t="shared" si="184"/>
        <v>0</v>
      </c>
      <c r="AB109" s="318">
        <f t="shared" si="184"/>
        <v>0</v>
      </c>
      <c r="AC109" s="317" t="s">
        <v>214</v>
      </c>
      <c r="AD109" s="318">
        <f t="shared" ref="AD109:AH109" si="185">IFERROR(AVERAGE(AD104:AD108),"  ")</f>
        <v>0</v>
      </c>
      <c r="AE109" s="318">
        <f t="shared" si="185"/>
        <v>0</v>
      </c>
      <c r="AF109" s="318">
        <f t="shared" si="185"/>
        <v>0</v>
      </c>
      <c r="AG109" s="318">
        <f t="shared" si="185"/>
        <v>0</v>
      </c>
      <c r="AH109" s="318">
        <f t="shared" si="185"/>
        <v>0</v>
      </c>
      <c r="AI109" s="317" t="s">
        <v>214</v>
      </c>
      <c r="AJ109" s="318">
        <f t="shared" ref="AJ109:AO109" si="186">IFERROR(AVERAGE(AJ104:AJ108),"  ")</f>
        <v>0</v>
      </c>
      <c r="AK109" s="318">
        <f t="shared" si="186"/>
        <v>0</v>
      </c>
      <c r="AL109" s="318">
        <f t="shared" si="186"/>
        <v>0</v>
      </c>
      <c r="AM109" s="318">
        <f t="shared" si="186"/>
        <v>0</v>
      </c>
      <c r="AN109" s="318">
        <f t="shared" si="186"/>
        <v>0</v>
      </c>
      <c r="AO109" s="318">
        <f t="shared" si="186"/>
        <v>0</v>
      </c>
      <c r="AP109" s="317" t="s">
        <v>214</v>
      </c>
      <c r="AQ109" s="318">
        <f t="shared" ref="AQ109:AS109" si="187">IFERROR(AVERAGE(AQ104:AQ108),"  ")</f>
        <v>0</v>
      </c>
      <c r="AR109" s="318">
        <f t="shared" si="187"/>
        <v>0</v>
      </c>
      <c r="AS109" s="318">
        <f t="shared" si="187"/>
        <v>0</v>
      </c>
      <c r="AT109" s="317" t="s">
        <v>214</v>
      </c>
      <c r="AU109" s="318">
        <f t="shared" ref="AU109:AV109" si="188">IFERROR(AVERAGE(AU104:AU108),"  ")</f>
        <v>0</v>
      </c>
      <c r="AV109" s="318">
        <f t="shared" si="188"/>
        <v>0</v>
      </c>
      <c r="AW109" s="317" t="s">
        <v>214</v>
      </c>
      <c r="AX109" s="318">
        <f t="shared" ref="AX109:AZ109" si="189">IFERROR(AVERAGE(AX104:AX108),"  ")</f>
        <v>0</v>
      </c>
      <c r="AY109" s="318">
        <f t="shared" si="189"/>
        <v>0</v>
      </c>
      <c r="AZ109" s="318">
        <f t="shared" si="189"/>
        <v>0</v>
      </c>
    </row>
    <row r="110" spans="1:52" x14ac:dyDescent="0.25">
      <c r="A110" s="599">
        <v>18</v>
      </c>
      <c r="B110" s="608"/>
      <c r="C110" s="292" t="str">
        <f>VLOOKUP(A110,data_siswa,4,FALSE)</f>
        <v>Nayla Annora Nobel W</v>
      </c>
      <c r="D110" s="316" t="s">
        <v>156</v>
      </c>
      <c r="E110" s="1073"/>
      <c r="F110" s="1073">
        <f>VLOOKUP(A110,AN_PKN6_KI3,13,FALSE)</f>
        <v>0</v>
      </c>
      <c r="G110" s="1073"/>
      <c r="H110" s="324">
        <f>AVERAGE(E110:G110)</f>
        <v>0</v>
      </c>
      <c r="I110" s="316" t="s">
        <v>26</v>
      </c>
      <c r="J110" s="1073"/>
      <c r="K110" s="1073"/>
      <c r="L110" s="1073"/>
      <c r="M110" s="1073">
        <f>VLOOKUP(A110,AN_BI6,19,FALSE)</f>
        <v>0</v>
      </c>
      <c r="N110" s="1073">
        <f>VLOOKUP(A110,AN_BI6,19,FALSE)</f>
        <v>0</v>
      </c>
      <c r="O110" s="545">
        <f>AVERAGE(J110:N110)</f>
        <v>0</v>
      </c>
      <c r="P110" s="316" t="s">
        <v>26</v>
      </c>
      <c r="Q110" s="1073"/>
      <c r="R110" s="1073">
        <f>VLOOKUP(A110,AN_MAT6,16,FALSE)</f>
        <v>0</v>
      </c>
      <c r="S110" s="1073"/>
      <c r="T110" s="1073">
        <f>VLOOKUP(A110,AN_MAT6,16,FALSE)</f>
        <v>0</v>
      </c>
      <c r="U110" s="1073"/>
      <c r="V110" s="1073"/>
      <c r="W110" s="1073"/>
      <c r="X110" s="316" t="s">
        <v>26</v>
      </c>
      <c r="Y110" s="325"/>
      <c r="Z110" s="325"/>
      <c r="AA110" s="325"/>
      <c r="AB110" s="325">
        <f>VLOOKUP(A110,AN_SBDP6,16,FALSE)</f>
        <v>0</v>
      </c>
      <c r="AC110" s="661" t="s">
        <v>156</v>
      </c>
      <c r="AD110" s="325">
        <f>VLOOKUP(A110,AN_SBDP6,16,FALSE)</f>
        <v>0</v>
      </c>
      <c r="AE110" s="325">
        <f>VLOOKUP(A110,AN_SBDP6,16,FALSE)</f>
        <v>0</v>
      </c>
      <c r="AF110" s="325"/>
      <c r="AG110" s="325"/>
      <c r="AH110" s="325">
        <f>VLOOKUP(A110,AN_SBDP6,16,FALSE)</f>
        <v>0</v>
      </c>
      <c r="AI110" s="661" t="s">
        <v>44</v>
      </c>
      <c r="AJ110" s="325"/>
      <c r="AK110" s="325"/>
      <c r="AL110" s="325">
        <f>VLOOKUP(A110,an_agm,51,FALSE)</f>
        <v>0</v>
      </c>
      <c r="AM110" s="325"/>
      <c r="AN110" s="325"/>
      <c r="AO110" s="325"/>
      <c r="AP110" s="315" t="s">
        <v>156</v>
      </c>
      <c r="AQ110" s="325">
        <f>VLOOKUP(A110,UHT_jawa,18,FALSE)</f>
        <v>0</v>
      </c>
      <c r="AR110" s="325"/>
      <c r="AS110" s="325"/>
      <c r="AT110" s="661" t="s">
        <v>44</v>
      </c>
      <c r="AU110" s="325"/>
      <c r="AV110" s="325">
        <f>VLOOKUP(A110,AN_ipa6,16,FALSE)</f>
        <v>0</v>
      </c>
      <c r="AW110" s="661" t="s">
        <v>44</v>
      </c>
      <c r="AX110" s="325"/>
      <c r="AY110" s="325"/>
      <c r="AZ110" s="325">
        <f>VLOOKUP(A110,AN_IPS6,16,FALSE)</f>
        <v>0</v>
      </c>
    </row>
    <row r="111" spans="1:52" x14ac:dyDescent="0.25">
      <c r="A111" s="599"/>
      <c r="B111" s="609"/>
      <c r="C111" s="71"/>
      <c r="D111" s="316" t="s">
        <v>26</v>
      </c>
      <c r="E111" s="1073">
        <f>VLOOKUP(A110,AN_PKN7,12,FALSE)</f>
        <v>0</v>
      </c>
      <c r="F111" s="1073">
        <f>VLOOKUP(A110,AN_PKN7,12,FALSE)</f>
        <v>0</v>
      </c>
      <c r="G111" s="1073">
        <f>VLOOKUP(A110,AN_PKN7,12,FALSE)</f>
        <v>0</v>
      </c>
      <c r="H111" s="324">
        <f>AVERAGE(E111:G111)</f>
        <v>0</v>
      </c>
      <c r="I111" s="316" t="s">
        <v>50</v>
      </c>
      <c r="J111" s="1073">
        <f>VLOOKUP(A110,AN_BI7,21,FALSE)</f>
        <v>0</v>
      </c>
      <c r="K111" s="1073">
        <f>VLOOKUP(A110,AN_BI7,21,FALSE)</f>
        <v>0</v>
      </c>
      <c r="L111" s="1073">
        <f>VLOOKUP(A110,AN_BI7,21,FALSE)</f>
        <v>0</v>
      </c>
      <c r="M111" s="1073">
        <f>VLOOKUP(A110,AN_BI7,21,FALSE)</f>
        <v>0</v>
      </c>
      <c r="N111" s="1073"/>
      <c r="O111" s="545">
        <f t="shared" ref="O111:O113" si="190">AVERAGE(J111:N111)</f>
        <v>0</v>
      </c>
      <c r="P111" s="316" t="s">
        <v>50</v>
      </c>
      <c r="Q111" s="1073"/>
      <c r="R111" s="1073"/>
      <c r="S111" s="1073">
        <f>VLOOKUP(A110,AN_MAT7,16,FALSE)</f>
        <v>0</v>
      </c>
      <c r="T111" s="1073">
        <f>VLOOKUP(A110,AN_MAT7,16,FALSE)</f>
        <v>0</v>
      </c>
      <c r="U111" s="1073">
        <f>VLOOKUP(A110,AN_MAT7,16,FALSE)</f>
        <v>0</v>
      </c>
      <c r="V111" s="1073">
        <f>VLOOKUP(A110,AN_MAT7,16,FALSE)</f>
        <v>0</v>
      </c>
      <c r="W111" s="1073"/>
      <c r="X111" s="316" t="s">
        <v>50</v>
      </c>
      <c r="Y111" s="325">
        <f>VLOOKUP(A110,AN_SBDP7,16,FALSE)</f>
        <v>0</v>
      </c>
      <c r="Z111" s="325">
        <f>VLOOKUP(A110,AN_SBDP7,16,FALSE)</f>
        <v>0</v>
      </c>
      <c r="AA111" s="325"/>
      <c r="AB111" s="325">
        <f>VLOOKUP(A110,AN_SBDP7,16,FALSE)</f>
        <v>0</v>
      </c>
      <c r="AC111" s="661" t="s">
        <v>26</v>
      </c>
      <c r="AD111" s="325"/>
      <c r="AE111" s="325"/>
      <c r="AF111" s="325">
        <f>VLOOKUP(A110,AN_SBDP7,16,FALSE)</f>
        <v>0</v>
      </c>
      <c r="AG111" s="325">
        <f>VLOOKUP(A110,AN_SBDP7,16,FALSE)</f>
        <v>0</v>
      </c>
      <c r="AH111" s="325"/>
      <c r="AI111" s="661" t="s">
        <v>45</v>
      </c>
      <c r="AJ111" s="325">
        <f>VLOOKUP(A110,an_agm,49,FALSE)</f>
        <v>0</v>
      </c>
      <c r="AK111" s="325"/>
      <c r="AL111" s="325"/>
      <c r="AM111" s="325"/>
      <c r="AN111" s="325"/>
      <c r="AO111" s="325"/>
      <c r="AP111" s="315" t="s">
        <v>26</v>
      </c>
      <c r="AQ111" s="325"/>
      <c r="AR111" s="325">
        <f>VLOOKUP(A110,UHT_jawa,19,FALSE)</f>
        <v>0</v>
      </c>
      <c r="AS111" s="325"/>
      <c r="AT111" s="661" t="s">
        <v>45</v>
      </c>
      <c r="AU111" s="325">
        <f>VLOOKUP(A110,AN_IPA7,16,FALSE)</f>
        <v>0</v>
      </c>
      <c r="AV111" s="325">
        <f>VLOOKUP(A110,AN_IPA7,16,FALSE)</f>
        <v>0</v>
      </c>
      <c r="AW111" s="661" t="s">
        <v>45</v>
      </c>
      <c r="AX111" s="325">
        <f>VLOOKUP(A110,an_ips7,16,FALSE)</f>
        <v>0</v>
      </c>
      <c r="AY111" s="325">
        <f>VLOOKUP(A110,an_ips7,16,FALSE)</f>
        <v>0</v>
      </c>
      <c r="AZ111" s="325">
        <f>VLOOKUP(A110,an_ips7,16,FALSE)</f>
        <v>0</v>
      </c>
    </row>
    <row r="112" spans="1:52" x14ac:dyDescent="0.25">
      <c r="A112" s="599"/>
      <c r="B112" s="609"/>
      <c r="C112" s="71"/>
      <c r="D112" s="316" t="s">
        <v>50</v>
      </c>
      <c r="E112" s="1073"/>
      <c r="F112" s="1073">
        <f>VLOOKUP(A110,AN_PKN8,17,FALSE)</f>
        <v>0</v>
      </c>
      <c r="G112" s="1073">
        <f>VLOOKUP(A110,AN_PKN8,17,FALSE)</f>
        <v>0</v>
      </c>
      <c r="H112" s="324">
        <f>AVERAGE(E112:G112)</f>
        <v>0</v>
      </c>
      <c r="I112" s="316" t="s">
        <v>51</v>
      </c>
      <c r="J112" s="1073">
        <f>VLOOKUP(A110,AN_BI8,19,FALSE)</f>
        <v>0</v>
      </c>
      <c r="K112" s="1073"/>
      <c r="L112" s="1073"/>
      <c r="M112" s="1073">
        <f>VLOOKUP(A110,AN_BI8,19,FALSE)</f>
        <v>0</v>
      </c>
      <c r="N112" s="1073"/>
      <c r="O112" s="545">
        <f t="shared" si="190"/>
        <v>0</v>
      </c>
      <c r="P112" s="316" t="s">
        <v>51</v>
      </c>
      <c r="Q112" s="1073">
        <f>VLOOKUP(A110,AN_MAT8,16,FALSE)</f>
        <v>0</v>
      </c>
      <c r="R112" s="1073">
        <f>VLOOKUP(A110,AN_MAT8,16,FALSE)</f>
        <v>0</v>
      </c>
      <c r="S112" s="1073"/>
      <c r="T112" s="1073"/>
      <c r="U112" s="1073"/>
      <c r="V112" s="1073"/>
      <c r="W112" s="1073">
        <f>VLOOKUP(A110,AN_MAT8,16,FALSE)</f>
        <v>0</v>
      </c>
      <c r="X112" s="316" t="s">
        <v>51</v>
      </c>
      <c r="Y112" s="325"/>
      <c r="Z112" s="325">
        <f>VLOOKUP(A110,AN_SBDP8,16,FALSE)</f>
        <v>0</v>
      </c>
      <c r="AA112" s="325"/>
      <c r="AB112" s="325">
        <f>VLOOKUP(A110,AN_SBDP8,16,FALSE)</f>
        <v>0</v>
      </c>
      <c r="AC112" s="661" t="s">
        <v>50</v>
      </c>
      <c r="AD112" s="325"/>
      <c r="AE112" s="325"/>
      <c r="AF112" s="325">
        <f>VLOOKUP(A110,AN_SBDP8,16,FALSE)</f>
        <v>0</v>
      </c>
      <c r="AG112" s="325"/>
      <c r="AH112" s="325">
        <f>VLOOKUP(A110,AN_SBDP8,16,FALSE)</f>
        <v>0</v>
      </c>
      <c r="AI112" s="661" t="s">
        <v>46</v>
      </c>
      <c r="AJ112" s="325"/>
      <c r="AK112" s="325"/>
      <c r="AL112" s="325"/>
      <c r="AM112" s="325">
        <f>VLOOKUP(A110,an_agm,52,FALSE)</f>
        <v>0</v>
      </c>
      <c r="AN112" s="325">
        <f>VLOOKUP(A110,an_agm,53,FALSE)</f>
        <v>0</v>
      </c>
      <c r="AO112" s="325"/>
      <c r="AP112" s="315" t="s">
        <v>50</v>
      </c>
      <c r="AQ112" s="325"/>
      <c r="AR112" s="325"/>
      <c r="AS112" s="325">
        <f>VLOOKUP(A110,UHT_jawa,20,FALSE)</f>
        <v>0</v>
      </c>
      <c r="AT112" s="661" t="s">
        <v>46</v>
      </c>
      <c r="AU112" s="325"/>
      <c r="AV112" s="325">
        <f>VLOOKUP(A110,AN_IPA7,16,FALSE)</f>
        <v>0</v>
      </c>
      <c r="AW112" s="661" t="s">
        <v>46</v>
      </c>
      <c r="AX112" s="325">
        <f>VLOOKUP(A110,AN_ips8,16,FALSE)</f>
        <v>0</v>
      </c>
      <c r="AY112" s="325">
        <f>VLOOKUP(A110,AN_ips8,16,FALSE)</f>
        <v>0</v>
      </c>
      <c r="AZ112" s="325">
        <f>VLOOKUP(A110,AN_ips8,16,FALSE)</f>
        <v>0</v>
      </c>
    </row>
    <row r="113" spans="1:52" x14ac:dyDescent="0.25">
      <c r="A113" s="599"/>
      <c r="B113" s="609"/>
      <c r="C113" s="71"/>
      <c r="D113" s="316" t="s">
        <v>51</v>
      </c>
      <c r="E113" s="325">
        <f>VLOOKUP(A110,AN_PKN9,16,FALSE)</f>
        <v>0</v>
      </c>
      <c r="F113" s="325"/>
      <c r="G113" s="325"/>
      <c r="H113" s="324">
        <f>AVERAGE(E113:G113)</f>
        <v>0</v>
      </c>
      <c r="I113" s="316" t="s">
        <v>52</v>
      </c>
      <c r="J113" s="1073">
        <f>VLOOKUP(A110,AN_BI9,21,FALSE)</f>
        <v>0</v>
      </c>
      <c r="K113" s="1073">
        <f>VLOOKUP(A110,AN_BI9,21,FALSE)</f>
        <v>0</v>
      </c>
      <c r="L113" s="1073">
        <f>VLOOKUP(A110,AN_BI9,21,FALSE)</f>
        <v>0</v>
      </c>
      <c r="M113" s="1073">
        <f>VLOOKUP(A110,AN_BI9,21,FALSE)</f>
        <v>0</v>
      </c>
      <c r="N113" s="1073"/>
      <c r="O113" s="545">
        <f t="shared" si="190"/>
        <v>0</v>
      </c>
      <c r="P113" s="316" t="s">
        <v>52</v>
      </c>
      <c r="Q113" s="1073">
        <f>VLOOKUP(A110,AN_MAT9,16,FALSE)</f>
        <v>0</v>
      </c>
      <c r="R113" s="1073">
        <f>VLOOKUP(A110,AN_MAT9,16,FALSE)</f>
        <v>0</v>
      </c>
      <c r="S113" s="1073">
        <f>VLOOKUP(A110,AN_MAT9,16,FALSE)</f>
        <v>0</v>
      </c>
      <c r="T113" s="1073">
        <f>VLOOKUP(A110,AN_MAT9,16,FALSE)</f>
        <v>0</v>
      </c>
      <c r="U113" s="1073">
        <f>VLOOKUP(A110,AN_MAT9,16,FALSE)</f>
        <v>0</v>
      </c>
      <c r="V113" s="1073">
        <f>VLOOKUP(A110,AN_MAT9,16,FALSE)</f>
        <v>0</v>
      </c>
      <c r="W113" s="1073">
        <f>VLOOKUP(A110,AN_MAT9,16,FALSE)</f>
        <v>0</v>
      </c>
      <c r="X113" s="316" t="s">
        <v>52</v>
      </c>
      <c r="Y113" s="325"/>
      <c r="Z113" s="325">
        <f>VLOOKUP(A110,AN_SBDP9,16,FALSE)</f>
        <v>0</v>
      </c>
      <c r="AA113" s="325">
        <f>VLOOKUP(A110,AN_SBDP9,16,FALSE)</f>
        <v>0</v>
      </c>
      <c r="AB113" s="325"/>
      <c r="AC113" s="661" t="s">
        <v>51</v>
      </c>
      <c r="AD113" s="325"/>
      <c r="AE113" s="325">
        <f>VLOOKUP(A110,AN_SBDP9,16,FALSE)</f>
        <v>0</v>
      </c>
      <c r="AF113" s="325">
        <f>VLOOKUP(A110,AN_SBDP9,16,FALSE)</f>
        <v>0</v>
      </c>
      <c r="AG113" s="325"/>
      <c r="AH113" s="325"/>
      <c r="AI113" s="661" t="s">
        <v>47</v>
      </c>
      <c r="AJ113" s="325"/>
      <c r="AK113" s="325">
        <f>VLOOKUP(A110,an_agm,50,FALSE)</f>
        <v>0</v>
      </c>
      <c r="AL113" s="325"/>
      <c r="AM113" s="325"/>
      <c r="AN113" s="325"/>
      <c r="AO113" s="325"/>
      <c r="AP113" s="315" t="s">
        <v>51</v>
      </c>
      <c r="AQ113" s="325"/>
      <c r="AR113" s="325"/>
      <c r="AS113" s="325"/>
      <c r="AT113" s="661" t="s">
        <v>47</v>
      </c>
      <c r="AU113" s="325"/>
      <c r="AV113" s="325">
        <f>VLOOKUP(A110,an_IPA9,16,FALSE)</f>
        <v>0</v>
      </c>
      <c r="AW113" s="661" t="s">
        <v>47</v>
      </c>
      <c r="AX113" s="325">
        <f>VLOOKUP(A110,AN_IPS_9,16,FALSE)</f>
        <v>0</v>
      </c>
      <c r="AY113" s="325"/>
      <c r="AZ113" s="325">
        <f>VLOOKUP(A110,AN_IPS_9,16,FALSE)</f>
        <v>0</v>
      </c>
    </row>
    <row r="114" spans="1:52" x14ac:dyDescent="0.25">
      <c r="A114" s="599"/>
      <c r="B114" s="609"/>
      <c r="C114" s="71"/>
      <c r="D114" s="316"/>
      <c r="E114" s="1073"/>
      <c r="F114" s="1073"/>
      <c r="G114" s="1073"/>
      <c r="H114" s="1074"/>
      <c r="I114" s="316"/>
      <c r="J114" s="1073"/>
      <c r="K114" s="1073"/>
      <c r="L114" s="1073"/>
      <c r="M114" s="1073"/>
      <c r="N114" s="1073"/>
      <c r="O114" s="1074"/>
      <c r="P114" s="315"/>
      <c r="Q114" s="1073"/>
      <c r="R114" s="1073"/>
      <c r="S114" s="1073"/>
      <c r="T114" s="1073"/>
      <c r="U114" s="1073"/>
      <c r="V114" s="1073"/>
      <c r="W114" s="1073"/>
      <c r="X114" s="315"/>
      <c r="Y114" s="325"/>
      <c r="Z114" s="325"/>
      <c r="AA114" s="325"/>
      <c r="AB114" s="325"/>
      <c r="AC114" s="661"/>
      <c r="AD114" s="1073"/>
      <c r="AE114" s="1073"/>
      <c r="AF114" s="1112"/>
      <c r="AG114" s="1112"/>
      <c r="AH114" s="1112"/>
      <c r="AI114" s="661" t="s">
        <v>48</v>
      </c>
      <c r="AJ114" s="325"/>
      <c r="AK114" s="325"/>
      <c r="AL114" s="325"/>
      <c r="AM114" s="325"/>
      <c r="AN114" s="325"/>
      <c r="AO114" s="325">
        <f>VLOOKUP(A110,an_agm,54,FALSE)</f>
        <v>0</v>
      </c>
      <c r="AP114" s="315"/>
      <c r="AQ114" s="1136"/>
      <c r="AR114" s="1136"/>
      <c r="AS114" s="1136"/>
      <c r="AT114" s="315"/>
      <c r="AU114" s="325"/>
      <c r="AV114" s="325"/>
      <c r="AW114" s="315"/>
      <c r="AX114" s="325"/>
      <c r="AY114" s="325"/>
      <c r="AZ114" s="325"/>
    </row>
    <row r="115" spans="1:52" x14ac:dyDescent="0.25">
      <c r="A115" s="604"/>
      <c r="B115" s="611">
        <v>18</v>
      </c>
      <c r="C115" s="72"/>
      <c r="D115" s="317" t="s">
        <v>214</v>
      </c>
      <c r="E115" s="318">
        <f>IFERROR(AVERAGE(E110:E114),"  ")</f>
        <v>0</v>
      </c>
      <c r="F115" s="318">
        <f t="shared" ref="F115:G115" si="191">IFERROR(AVERAGE(F110:F114),"  ")</f>
        <v>0</v>
      </c>
      <c r="G115" s="318">
        <f t="shared" si="191"/>
        <v>0</v>
      </c>
      <c r="H115" s="323"/>
      <c r="I115" s="317" t="s">
        <v>214</v>
      </c>
      <c r="J115" s="318">
        <f>IFERROR(AVERAGE(J110:J114),"  ")</f>
        <v>0</v>
      </c>
      <c r="K115" s="318">
        <f t="shared" ref="K115:M115" si="192">IFERROR(AVERAGE(K110:K114),"  ")</f>
        <v>0</v>
      </c>
      <c r="L115" s="318">
        <f t="shared" si="192"/>
        <v>0</v>
      </c>
      <c r="M115" s="318">
        <f t="shared" si="192"/>
        <v>0</v>
      </c>
      <c r="N115" s="318">
        <f>IFERROR(AVERAGE(N110:N114),"  ")</f>
        <v>0</v>
      </c>
      <c r="O115" s="597"/>
      <c r="P115" s="317" t="s">
        <v>214</v>
      </c>
      <c r="Q115" s="318">
        <f>IFERROR(AVERAGE(Q110:Q114),"  ")</f>
        <v>0</v>
      </c>
      <c r="R115" s="318">
        <f t="shared" ref="R115:W115" si="193">IFERROR(AVERAGE(R110:R114),"  ")</f>
        <v>0</v>
      </c>
      <c r="S115" s="318">
        <f t="shared" si="193"/>
        <v>0</v>
      </c>
      <c r="T115" s="318">
        <f t="shared" si="193"/>
        <v>0</v>
      </c>
      <c r="U115" s="318">
        <f t="shared" si="193"/>
        <v>0</v>
      </c>
      <c r="V115" s="318">
        <f t="shared" si="193"/>
        <v>0</v>
      </c>
      <c r="W115" s="318">
        <f t="shared" si="193"/>
        <v>0</v>
      </c>
      <c r="X115" s="317" t="s">
        <v>214</v>
      </c>
      <c r="Y115" s="318">
        <f t="shared" ref="Y115:AB115" si="194">IFERROR(AVERAGE(Y110:Y114),"  ")</f>
        <v>0</v>
      </c>
      <c r="Z115" s="318">
        <f t="shared" si="194"/>
        <v>0</v>
      </c>
      <c r="AA115" s="318">
        <f t="shared" si="194"/>
        <v>0</v>
      </c>
      <c r="AB115" s="318">
        <f t="shared" si="194"/>
        <v>0</v>
      </c>
      <c r="AC115" s="317" t="s">
        <v>214</v>
      </c>
      <c r="AD115" s="318">
        <f t="shared" ref="AD115:AH115" si="195">IFERROR(AVERAGE(AD110:AD114),"  ")</f>
        <v>0</v>
      </c>
      <c r="AE115" s="318">
        <f t="shared" si="195"/>
        <v>0</v>
      </c>
      <c r="AF115" s="318">
        <f t="shared" si="195"/>
        <v>0</v>
      </c>
      <c r="AG115" s="318">
        <f t="shared" si="195"/>
        <v>0</v>
      </c>
      <c r="AH115" s="318">
        <f t="shared" si="195"/>
        <v>0</v>
      </c>
      <c r="AI115" s="317" t="s">
        <v>214</v>
      </c>
      <c r="AJ115" s="318">
        <f t="shared" ref="AJ115:AO115" si="196">IFERROR(AVERAGE(AJ110:AJ114),"  ")</f>
        <v>0</v>
      </c>
      <c r="AK115" s="318">
        <f t="shared" si="196"/>
        <v>0</v>
      </c>
      <c r="AL115" s="318">
        <f t="shared" si="196"/>
        <v>0</v>
      </c>
      <c r="AM115" s="318">
        <f t="shared" si="196"/>
        <v>0</v>
      </c>
      <c r="AN115" s="318">
        <f t="shared" si="196"/>
        <v>0</v>
      </c>
      <c r="AO115" s="318">
        <f t="shared" si="196"/>
        <v>0</v>
      </c>
      <c r="AP115" s="317" t="s">
        <v>214</v>
      </c>
      <c r="AQ115" s="318">
        <f t="shared" ref="AQ115:AS115" si="197">IFERROR(AVERAGE(AQ110:AQ114),"  ")</f>
        <v>0</v>
      </c>
      <c r="AR115" s="318">
        <f t="shared" si="197"/>
        <v>0</v>
      </c>
      <c r="AS115" s="318">
        <f t="shared" si="197"/>
        <v>0</v>
      </c>
      <c r="AT115" s="317" t="s">
        <v>214</v>
      </c>
      <c r="AU115" s="318">
        <f t="shared" ref="AU115:AV115" si="198">IFERROR(AVERAGE(AU110:AU114),"  ")</f>
        <v>0</v>
      </c>
      <c r="AV115" s="318">
        <f t="shared" si="198"/>
        <v>0</v>
      </c>
      <c r="AW115" s="317" t="s">
        <v>214</v>
      </c>
      <c r="AX115" s="318">
        <f t="shared" ref="AX115:AZ115" si="199">IFERROR(AVERAGE(AX110:AX114),"  ")</f>
        <v>0</v>
      </c>
      <c r="AY115" s="318">
        <f t="shared" si="199"/>
        <v>0</v>
      </c>
      <c r="AZ115" s="318">
        <f t="shared" si="199"/>
        <v>0</v>
      </c>
    </row>
    <row r="116" spans="1:52" x14ac:dyDescent="0.25">
      <c r="A116" s="599">
        <v>19</v>
      </c>
      <c r="B116" s="608"/>
      <c r="C116" s="292" t="str">
        <f>VLOOKUP(A116,data_siswa,4,FALSE)</f>
        <v>Raihan Danang P</v>
      </c>
      <c r="D116" s="316" t="s">
        <v>156</v>
      </c>
      <c r="E116" s="1073"/>
      <c r="F116" s="1073">
        <f>VLOOKUP(A116,AN_PKN6_KI3,13,FALSE)</f>
        <v>0</v>
      </c>
      <c r="G116" s="1073"/>
      <c r="H116" s="324">
        <f>AVERAGE(E116:G116)</f>
        <v>0</v>
      </c>
      <c r="I116" s="316" t="s">
        <v>26</v>
      </c>
      <c r="J116" s="1073"/>
      <c r="K116" s="1073"/>
      <c r="L116" s="1073"/>
      <c r="M116" s="1073">
        <f>VLOOKUP(A116,AN_BI6,19,FALSE)</f>
        <v>0</v>
      </c>
      <c r="N116" s="1073">
        <f>VLOOKUP(A116,AN_BI6,19,FALSE)</f>
        <v>0</v>
      </c>
      <c r="O116" s="545">
        <f>AVERAGE(J116:N116)</f>
        <v>0</v>
      </c>
      <c r="P116" s="316" t="s">
        <v>26</v>
      </c>
      <c r="Q116" s="1073"/>
      <c r="R116" s="1073">
        <f>VLOOKUP(A116,AN_MAT6,16,FALSE)</f>
        <v>0</v>
      </c>
      <c r="S116" s="1073"/>
      <c r="T116" s="1073">
        <f>VLOOKUP(A116,AN_MAT6,16,FALSE)</f>
        <v>0</v>
      </c>
      <c r="U116" s="1073"/>
      <c r="V116" s="1073"/>
      <c r="W116" s="1073"/>
      <c r="X116" s="316" t="s">
        <v>26</v>
      </c>
      <c r="Y116" s="325"/>
      <c r="Z116" s="325"/>
      <c r="AA116" s="325"/>
      <c r="AB116" s="325">
        <f>VLOOKUP(A116,AN_SBDP6,16,FALSE)</f>
        <v>0</v>
      </c>
      <c r="AC116" s="661" t="s">
        <v>156</v>
      </c>
      <c r="AD116" s="325">
        <f>VLOOKUP(A116,AN_SBDP6,16,FALSE)</f>
        <v>0</v>
      </c>
      <c r="AE116" s="325">
        <f>VLOOKUP(A116,AN_SBDP6,16,FALSE)</f>
        <v>0</v>
      </c>
      <c r="AF116" s="325"/>
      <c r="AG116" s="325"/>
      <c r="AH116" s="325">
        <f>VLOOKUP(A116,AN_SBDP6,16,FALSE)</f>
        <v>0</v>
      </c>
      <c r="AI116" s="661" t="s">
        <v>44</v>
      </c>
      <c r="AJ116" s="325"/>
      <c r="AK116" s="325"/>
      <c r="AL116" s="325">
        <f>VLOOKUP(A116,an_agm,51,FALSE)</f>
        <v>0</v>
      </c>
      <c r="AM116" s="325"/>
      <c r="AN116" s="325"/>
      <c r="AO116" s="325"/>
      <c r="AP116" s="315" t="s">
        <v>156</v>
      </c>
      <c r="AQ116" s="325">
        <f>VLOOKUP(A116,UHT_jawa,18,FALSE)</f>
        <v>0</v>
      </c>
      <c r="AR116" s="325"/>
      <c r="AS116" s="325"/>
      <c r="AT116" s="661" t="s">
        <v>44</v>
      </c>
      <c r="AU116" s="325"/>
      <c r="AV116" s="325">
        <f>VLOOKUP(A116,AN_ipa6,16,FALSE)</f>
        <v>0</v>
      </c>
      <c r="AW116" s="661" t="s">
        <v>44</v>
      </c>
      <c r="AX116" s="325"/>
      <c r="AY116" s="325"/>
      <c r="AZ116" s="325">
        <f>VLOOKUP(A116,AN_IPS6,16,FALSE)</f>
        <v>0</v>
      </c>
    </row>
    <row r="117" spans="1:52" x14ac:dyDescent="0.25">
      <c r="A117" s="599"/>
      <c r="B117" s="609"/>
      <c r="C117" s="71"/>
      <c r="D117" s="316" t="s">
        <v>26</v>
      </c>
      <c r="E117" s="1073">
        <f>VLOOKUP(A116,AN_PKN7,12,FALSE)</f>
        <v>0</v>
      </c>
      <c r="F117" s="1073">
        <f>VLOOKUP(A116,AN_PKN7,12,FALSE)</f>
        <v>0</v>
      </c>
      <c r="G117" s="1073">
        <f>VLOOKUP(A116,AN_PKN7,12,FALSE)</f>
        <v>0</v>
      </c>
      <c r="H117" s="324">
        <f>AVERAGE(E117:G117)</f>
        <v>0</v>
      </c>
      <c r="I117" s="316" t="s">
        <v>50</v>
      </c>
      <c r="J117" s="1073">
        <f>VLOOKUP(A116,AN_BI7,21,FALSE)</f>
        <v>0</v>
      </c>
      <c r="K117" s="1073">
        <f>VLOOKUP(A116,AN_BI7,21,FALSE)</f>
        <v>0</v>
      </c>
      <c r="L117" s="1073">
        <f>VLOOKUP(A116,AN_BI7,21,FALSE)</f>
        <v>0</v>
      </c>
      <c r="M117" s="1073">
        <f>VLOOKUP(A116,AN_BI7,21,FALSE)</f>
        <v>0</v>
      </c>
      <c r="N117" s="1073"/>
      <c r="O117" s="545">
        <f t="shared" ref="O117:O119" si="200">AVERAGE(J117:N117)</f>
        <v>0</v>
      </c>
      <c r="P117" s="316" t="s">
        <v>50</v>
      </c>
      <c r="Q117" s="1073"/>
      <c r="R117" s="1073"/>
      <c r="S117" s="1073">
        <f>VLOOKUP(A116,AN_MAT7,16,FALSE)</f>
        <v>0</v>
      </c>
      <c r="T117" s="1073">
        <f>VLOOKUP(A116,AN_MAT7,16,FALSE)</f>
        <v>0</v>
      </c>
      <c r="U117" s="1073">
        <f>VLOOKUP(A116,AN_MAT7,16,FALSE)</f>
        <v>0</v>
      </c>
      <c r="V117" s="1073">
        <f>VLOOKUP(A116,AN_MAT7,16,FALSE)</f>
        <v>0</v>
      </c>
      <c r="W117" s="1073"/>
      <c r="X117" s="316" t="s">
        <v>50</v>
      </c>
      <c r="Y117" s="325">
        <f>VLOOKUP(A116,AN_SBDP7,16,FALSE)</f>
        <v>0</v>
      </c>
      <c r="Z117" s="325">
        <f>VLOOKUP(A116,AN_SBDP7,16,FALSE)</f>
        <v>0</v>
      </c>
      <c r="AA117" s="325"/>
      <c r="AB117" s="325">
        <f>VLOOKUP(A116,AN_SBDP7,16,FALSE)</f>
        <v>0</v>
      </c>
      <c r="AC117" s="661" t="s">
        <v>26</v>
      </c>
      <c r="AD117" s="325"/>
      <c r="AE117" s="325"/>
      <c r="AF117" s="325">
        <f>VLOOKUP(A116,AN_SBDP7,16,FALSE)</f>
        <v>0</v>
      </c>
      <c r="AG117" s="325">
        <f>VLOOKUP(A116,AN_SBDP7,16,FALSE)</f>
        <v>0</v>
      </c>
      <c r="AH117" s="325"/>
      <c r="AI117" s="661" t="s">
        <v>45</v>
      </c>
      <c r="AJ117" s="325">
        <f>VLOOKUP(A116,an_agm,49,FALSE)</f>
        <v>0</v>
      </c>
      <c r="AK117" s="325"/>
      <c r="AL117" s="325"/>
      <c r="AM117" s="325"/>
      <c r="AN117" s="325"/>
      <c r="AO117" s="325"/>
      <c r="AP117" s="315" t="s">
        <v>26</v>
      </c>
      <c r="AQ117" s="325"/>
      <c r="AR117" s="325">
        <f>VLOOKUP(A116,UHT_jawa,19,FALSE)</f>
        <v>0</v>
      </c>
      <c r="AS117" s="325"/>
      <c r="AT117" s="661" t="s">
        <v>45</v>
      </c>
      <c r="AU117" s="325">
        <f>VLOOKUP(A116,AN_IPA7,16,FALSE)</f>
        <v>0</v>
      </c>
      <c r="AV117" s="325">
        <f>VLOOKUP(A116,AN_IPA7,16,FALSE)</f>
        <v>0</v>
      </c>
      <c r="AW117" s="661" t="s">
        <v>45</v>
      </c>
      <c r="AX117" s="325">
        <f>VLOOKUP(A116,an_ips7,16,FALSE)</f>
        <v>0</v>
      </c>
      <c r="AY117" s="325">
        <f>VLOOKUP(A116,an_ips7,16,FALSE)</f>
        <v>0</v>
      </c>
      <c r="AZ117" s="325">
        <f>VLOOKUP(A116,an_ips7,16,FALSE)</f>
        <v>0</v>
      </c>
    </row>
    <row r="118" spans="1:52" x14ac:dyDescent="0.25">
      <c r="A118" s="599"/>
      <c r="B118" s="609"/>
      <c r="C118" s="71"/>
      <c r="D118" s="316" t="s">
        <v>50</v>
      </c>
      <c r="E118" s="1073"/>
      <c r="F118" s="1073">
        <f>VLOOKUP(A116,AN_PKN8,17,FALSE)</f>
        <v>0</v>
      </c>
      <c r="G118" s="1073">
        <f>VLOOKUP(A116,AN_PKN8,17,FALSE)</f>
        <v>0</v>
      </c>
      <c r="H118" s="324">
        <f>AVERAGE(E118:G118)</f>
        <v>0</v>
      </c>
      <c r="I118" s="316" t="s">
        <v>51</v>
      </c>
      <c r="J118" s="1073">
        <f>VLOOKUP(A116,AN_BI8,19,FALSE)</f>
        <v>0</v>
      </c>
      <c r="K118" s="1073"/>
      <c r="L118" s="1073"/>
      <c r="M118" s="1073">
        <f>VLOOKUP(A116,AN_BI8,19,FALSE)</f>
        <v>0</v>
      </c>
      <c r="N118" s="1073"/>
      <c r="O118" s="545">
        <f t="shared" si="200"/>
        <v>0</v>
      </c>
      <c r="P118" s="316" t="s">
        <v>51</v>
      </c>
      <c r="Q118" s="1073">
        <f>VLOOKUP(A116,AN_MAT8,16,FALSE)</f>
        <v>0</v>
      </c>
      <c r="R118" s="1073">
        <f>VLOOKUP(A116,AN_MAT8,16,FALSE)</f>
        <v>0</v>
      </c>
      <c r="S118" s="1073"/>
      <c r="T118" s="1073"/>
      <c r="U118" s="1073"/>
      <c r="V118" s="1073"/>
      <c r="W118" s="1073">
        <f>VLOOKUP(A116,AN_MAT8,16,FALSE)</f>
        <v>0</v>
      </c>
      <c r="X118" s="316" t="s">
        <v>51</v>
      </c>
      <c r="Y118" s="325"/>
      <c r="Z118" s="325">
        <f>VLOOKUP(A116,AN_SBDP8,16,FALSE)</f>
        <v>0</v>
      </c>
      <c r="AA118" s="325"/>
      <c r="AB118" s="325">
        <f>VLOOKUP(A116,AN_SBDP8,16,FALSE)</f>
        <v>0</v>
      </c>
      <c r="AC118" s="661" t="s">
        <v>50</v>
      </c>
      <c r="AD118" s="325"/>
      <c r="AE118" s="325"/>
      <c r="AF118" s="325">
        <f>VLOOKUP(A116,AN_SBDP8,16,FALSE)</f>
        <v>0</v>
      </c>
      <c r="AG118" s="325"/>
      <c r="AH118" s="325">
        <f>VLOOKUP(A116,AN_SBDP8,16,FALSE)</f>
        <v>0</v>
      </c>
      <c r="AI118" s="661" t="s">
        <v>46</v>
      </c>
      <c r="AJ118" s="325"/>
      <c r="AK118" s="325"/>
      <c r="AL118" s="325"/>
      <c r="AM118" s="325">
        <f>VLOOKUP(A116,an_agm,52,FALSE)</f>
        <v>0</v>
      </c>
      <c r="AN118" s="325">
        <f>VLOOKUP(A116,an_agm,53,FALSE)</f>
        <v>0</v>
      </c>
      <c r="AO118" s="325"/>
      <c r="AP118" s="315" t="s">
        <v>50</v>
      </c>
      <c r="AQ118" s="325"/>
      <c r="AR118" s="325"/>
      <c r="AS118" s="325">
        <f>VLOOKUP(A116,UHT_jawa,20,FALSE)</f>
        <v>0</v>
      </c>
      <c r="AT118" s="661" t="s">
        <v>46</v>
      </c>
      <c r="AU118" s="325"/>
      <c r="AV118" s="325">
        <f>VLOOKUP(A116,AN_IPA7,16,FALSE)</f>
        <v>0</v>
      </c>
      <c r="AW118" s="661" t="s">
        <v>46</v>
      </c>
      <c r="AX118" s="325">
        <f>VLOOKUP(A116,AN_ips8,16,FALSE)</f>
        <v>0</v>
      </c>
      <c r="AY118" s="325">
        <f>VLOOKUP(A116,AN_ips8,16,FALSE)</f>
        <v>0</v>
      </c>
      <c r="AZ118" s="325">
        <f>VLOOKUP(A116,AN_ips8,16,FALSE)</f>
        <v>0</v>
      </c>
    </row>
    <row r="119" spans="1:52" x14ac:dyDescent="0.25">
      <c r="A119" s="599"/>
      <c r="B119" s="609"/>
      <c r="C119" s="71"/>
      <c r="D119" s="316" t="s">
        <v>51</v>
      </c>
      <c r="E119" s="325">
        <f>VLOOKUP(A116,AN_PKN9,16,FALSE)</f>
        <v>0</v>
      </c>
      <c r="F119" s="325"/>
      <c r="G119" s="325"/>
      <c r="H119" s="324">
        <f>AVERAGE(E119:G119)</f>
        <v>0</v>
      </c>
      <c r="I119" s="316" t="s">
        <v>52</v>
      </c>
      <c r="J119" s="1073">
        <f>VLOOKUP(A116,AN_BI9,21,FALSE)</f>
        <v>0</v>
      </c>
      <c r="K119" s="1073">
        <f>VLOOKUP(A116,AN_BI9,21,FALSE)</f>
        <v>0</v>
      </c>
      <c r="L119" s="1073">
        <f>VLOOKUP(A116,AN_BI9,21,FALSE)</f>
        <v>0</v>
      </c>
      <c r="M119" s="1073">
        <f>VLOOKUP(A116,AN_BI9,21,FALSE)</f>
        <v>0</v>
      </c>
      <c r="N119" s="1073"/>
      <c r="O119" s="545">
        <f t="shared" si="200"/>
        <v>0</v>
      </c>
      <c r="P119" s="316" t="s">
        <v>52</v>
      </c>
      <c r="Q119" s="1073">
        <f>VLOOKUP(A116,AN_MAT9,16,FALSE)</f>
        <v>0</v>
      </c>
      <c r="R119" s="1073">
        <f>VLOOKUP(A116,AN_MAT9,16,FALSE)</f>
        <v>0</v>
      </c>
      <c r="S119" s="1073">
        <f>VLOOKUP(A116,AN_MAT9,16,FALSE)</f>
        <v>0</v>
      </c>
      <c r="T119" s="1073">
        <f>VLOOKUP(A116,AN_MAT9,16,FALSE)</f>
        <v>0</v>
      </c>
      <c r="U119" s="1073">
        <f>VLOOKUP(A116,AN_MAT9,16,FALSE)</f>
        <v>0</v>
      </c>
      <c r="V119" s="1073">
        <f>VLOOKUP(A116,AN_MAT9,16,FALSE)</f>
        <v>0</v>
      </c>
      <c r="W119" s="1073">
        <f>VLOOKUP(A116,AN_MAT9,16,FALSE)</f>
        <v>0</v>
      </c>
      <c r="X119" s="316" t="s">
        <v>52</v>
      </c>
      <c r="Y119" s="325"/>
      <c r="Z119" s="325">
        <f>VLOOKUP(A116,AN_SBDP9,16,FALSE)</f>
        <v>0</v>
      </c>
      <c r="AA119" s="325">
        <f>VLOOKUP(A116,AN_SBDP9,16,FALSE)</f>
        <v>0</v>
      </c>
      <c r="AB119" s="325"/>
      <c r="AC119" s="661" t="s">
        <v>51</v>
      </c>
      <c r="AD119" s="325"/>
      <c r="AE119" s="325">
        <f>VLOOKUP(A116,AN_SBDP9,16,FALSE)</f>
        <v>0</v>
      </c>
      <c r="AF119" s="325">
        <f>VLOOKUP(A116,AN_SBDP9,16,FALSE)</f>
        <v>0</v>
      </c>
      <c r="AG119" s="325"/>
      <c r="AH119" s="325"/>
      <c r="AI119" s="661" t="s">
        <v>47</v>
      </c>
      <c r="AJ119" s="325"/>
      <c r="AK119" s="325">
        <f>VLOOKUP(A116,an_agm,50,FALSE)</f>
        <v>0</v>
      </c>
      <c r="AL119" s="325"/>
      <c r="AM119" s="325"/>
      <c r="AN119" s="325"/>
      <c r="AO119" s="325"/>
      <c r="AP119" s="315" t="s">
        <v>51</v>
      </c>
      <c r="AQ119" s="325"/>
      <c r="AR119" s="325"/>
      <c r="AS119" s="325"/>
      <c r="AT119" s="661" t="s">
        <v>47</v>
      </c>
      <c r="AU119" s="325"/>
      <c r="AV119" s="325">
        <f>VLOOKUP(A116,an_IPA9,16,FALSE)</f>
        <v>0</v>
      </c>
      <c r="AW119" s="661" t="s">
        <v>47</v>
      </c>
      <c r="AX119" s="325">
        <f>VLOOKUP(A116,AN_IPS_9,16,FALSE)</f>
        <v>0</v>
      </c>
      <c r="AY119" s="325"/>
      <c r="AZ119" s="325">
        <f>VLOOKUP(A116,AN_IPS_9,16,FALSE)</f>
        <v>0</v>
      </c>
    </row>
    <row r="120" spans="1:52" x14ac:dyDescent="0.25">
      <c r="A120" s="599"/>
      <c r="B120" s="609"/>
      <c r="C120" s="71"/>
      <c r="D120" s="316"/>
      <c r="E120" s="1073"/>
      <c r="F120" s="1073"/>
      <c r="G120" s="1073"/>
      <c r="H120" s="1074"/>
      <c r="I120" s="316"/>
      <c r="J120" s="1073"/>
      <c r="K120" s="1073"/>
      <c r="L120" s="1073"/>
      <c r="M120" s="1073"/>
      <c r="N120" s="1073"/>
      <c r="O120" s="1074"/>
      <c r="P120" s="315"/>
      <c r="Q120" s="1073"/>
      <c r="R120" s="1073"/>
      <c r="S120" s="1073"/>
      <c r="T120" s="1073"/>
      <c r="U120" s="1073"/>
      <c r="V120" s="1073"/>
      <c r="W120" s="1073"/>
      <c r="X120" s="315"/>
      <c r="Y120" s="325"/>
      <c r="Z120" s="325"/>
      <c r="AA120" s="325"/>
      <c r="AB120" s="325"/>
      <c r="AC120" s="661"/>
      <c r="AD120" s="1073"/>
      <c r="AE120" s="1073"/>
      <c r="AF120" s="1112"/>
      <c r="AG120" s="1112"/>
      <c r="AH120" s="1112"/>
      <c r="AI120" s="661" t="s">
        <v>48</v>
      </c>
      <c r="AJ120" s="325"/>
      <c r="AK120" s="325"/>
      <c r="AL120" s="325"/>
      <c r="AM120" s="325"/>
      <c r="AN120" s="325"/>
      <c r="AO120" s="325">
        <f>VLOOKUP(A116,an_agm,54,FALSE)</f>
        <v>0</v>
      </c>
      <c r="AP120" s="315"/>
      <c r="AQ120" s="1136"/>
      <c r="AR120" s="1136"/>
      <c r="AS120" s="1136"/>
      <c r="AT120" s="315"/>
      <c r="AU120" s="325"/>
      <c r="AV120" s="325"/>
      <c r="AW120" s="315"/>
      <c r="AX120" s="325"/>
      <c r="AY120" s="325"/>
      <c r="AZ120" s="325"/>
    </row>
    <row r="121" spans="1:52" x14ac:dyDescent="0.25">
      <c r="A121" s="604"/>
      <c r="B121" s="611">
        <v>19</v>
      </c>
      <c r="C121" s="72"/>
      <c r="D121" s="317" t="s">
        <v>214</v>
      </c>
      <c r="E121" s="318">
        <f>IFERROR(AVERAGE(E116:E120),"  ")</f>
        <v>0</v>
      </c>
      <c r="F121" s="318">
        <f t="shared" ref="F121:G121" si="201">IFERROR(AVERAGE(F116:F120),"  ")</f>
        <v>0</v>
      </c>
      <c r="G121" s="318">
        <f t="shared" si="201"/>
        <v>0</v>
      </c>
      <c r="H121" s="323"/>
      <c r="I121" s="317" t="s">
        <v>214</v>
      </c>
      <c r="J121" s="318">
        <f>IFERROR(AVERAGE(J116:J120),"  ")</f>
        <v>0</v>
      </c>
      <c r="K121" s="318">
        <f t="shared" ref="K121:M121" si="202">IFERROR(AVERAGE(K116:K120),"  ")</f>
        <v>0</v>
      </c>
      <c r="L121" s="318">
        <f t="shared" si="202"/>
        <v>0</v>
      </c>
      <c r="M121" s="318">
        <f t="shared" si="202"/>
        <v>0</v>
      </c>
      <c r="N121" s="318">
        <f>IFERROR(AVERAGE(N116:N120),"  ")</f>
        <v>0</v>
      </c>
      <c r="O121" s="597"/>
      <c r="P121" s="317" t="s">
        <v>214</v>
      </c>
      <c r="Q121" s="318">
        <f>IFERROR(AVERAGE(Q116:Q120),"  ")</f>
        <v>0</v>
      </c>
      <c r="R121" s="318">
        <f t="shared" ref="R121:W121" si="203">IFERROR(AVERAGE(R116:R120),"  ")</f>
        <v>0</v>
      </c>
      <c r="S121" s="318">
        <f t="shared" si="203"/>
        <v>0</v>
      </c>
      <c r="T121" s="318">
        <f t="shared" si="203"/>
        <v>0</v>
      </c>
      <c r="U121" s="318">
        <f t="shared" si="203"/>
        <v>0</v>
      </c>
      <c r="V121" s="318">
        <f t="shared" si="203"/>
        <v>0</v>
      </c>
      <c r="W121" s="318">
        <f t="shared" si="203"/>
        <v>0</v>
      </c>
      <c r="X121" s="317" t="s">
        <v>214</v>
      </c>
      <c r="Y121" s="318">
        <f t="shared" ref="Y121:AB121" si="204">IFERROR(AVERAGE(Y116:Y120),"  ")</f>
        <v>0</v>
      </c>
      <c r="Z121" s="318">
        <f t="shared" si="204"/>
        <v>0</v>
      </c>
      <c r="AA121" s="318">
        <f t="shared" si="204"/>
        <v>0</v>
      </c>
      <c r="AB121" s="318">
        <f t="shared" si="204"/>
        <v>0</v>
      </c>
      <c r="AC121" s="317" t="s">
        <v>214</v>
      </c>
      <c r="AD121" s="318">
        <f t="shared" ref="AD121:AH121" si="205">IFERROR(AVERAGE(AD116:AD120),"  ")</f>
        <v>0</v>
      </c>
      <c r="AE121" s="318">
        <f t="shared" si="205"/>
        <v>0</v>
      </c>
      <c r="AF121" s="318">
        <f t="shared" si="205"/>
        <v>0</v>
      </c>
      <c r="AG121" s="318">
        <f t="shared" si="205"/>
        <v>0</v>
      </c>
      <c r="AH121" s="318">
        <f t="shared" si="205"/>
        <v>0</v>
      </c>
      <c r="AI121" s="317" t="s">
        <v>214</v>
      </c>
      <c r="AJ121" s="318">
        <f t="shared" ref="AJ121:AO121" si="206">IFERROR(AVERAGE(AJ116:AJ120),"  ")</f>
        <v>0</v>
      </c>
      <c r="AK121" s="318">
        <f t="shared" si="206"/>
        <v>0</v>
      </c>
      <c r="AL121" s="318">
        <f t="shared" si="206"/>
        <v>0</v>
      </c>
      <c r="AM121" s="318">
        <f t="shared" si="206"/>
        <v>0</v>
      </c>
      <c r="AN121" s="318">
        <f t="shared" si="206"/>
        <v>0</v>
      </c>
      <c r="AO121" s="318">
        <f t="shared" si="206"/>
        <v>0</v>
      </c>
      <c r="AP121" s="317" t="s">
        <v>214</v>
      </c>
      <c r="AQ121" s="318">
        <f t="shared" ref="AQ121:AS121" si="207">IFERROR(AVERAGE(AQ116:AQ120),"  ")</f>
        <v>0</v>
      </c>
      <c r="AR121" s="318">
        <f t="shared" si="207"/>
        <v>0</v>
      </c>
      <c r="AS121" s="318">
        <f t="shared" si="207"/>
        <v>0</v>
      </c>
      <c r="AT121" s="317" t="s">
        <v>214</v>
      </c>
      <c r="AU121" s="318">
        <f t="shared" ref="AU121:AV121" si="208">IFERROR(AVERAGE(AU116:AU120),"  ")</f>
        <v>0</v>
      </c>
      <c r="AV121" s="318">
        <f t="shared" si="208"/>
        <v>0</v>
      </c>
      <c r="AW121" s="317" t="s">
        <v>214</v>
      </c>
      <c r="AX121" s="318">
        <f t="shared" ref="AX121:AZ121" si="209">IFERROR(AVERAGE(AX116:AX120),"  ")</f>
        <v>0</v>
      </c>
      <c r="AY121" s="318">
        <f t="shared" si="209"/>
        <v>0</v>
      </c>
      <c r="AZ121" s="318">
        <f t="shared" si="209"/>
        <v>0</v>
      </c>
    </row>
    <row r="122" spans="1:52" x14ac:dyDescent="0.25">
      <c r="A122" s="599">
        <v>20</v>
      </c>
      <c r="B122" s="608"/>
      <c r="C122" s="292" t="str">
        <f>VLOOKUP(A122,data_siswa,4,FALSE)</f>
        <v>Roby Ardiyansyah</v>
      </c>
      <c r="D122" s="316" t="s">
        <v>156</v>
      </c>
      <c r="E122" s="1073"/>
      <c r="F122" s="1073">
        <f>VLOOKUP(A122,AN_PKN6_KI3,13,FALSE)</f>
        <v>0</v>
      </c>
      <c r="G122" s="1073"/>
      <c r="H122" s="324">
        <f>AVERAGE(E122:G122)</f>
        <v>0</v>
      </c>
      <c r="I122" s="316" t="s">
        <v>26</v>
      </c>
      <c r="J122" s="1073"/>
      <c r="K122" s="1073"/>
      <c r="L122" s="1073"/>
      <c r="M122" s="1073">
        <f>VLOOKUP(A122,AN_BI6,19,FALSE)</f>
        <v>0</v>
      </c>
      <c r="N122" s="1073">
        <f>VLOOKUP(A122,AN_BI6,19,FALSE)</f>
        <v>0</v>
      </c>
      <c r="O122" s="545">
        <f>AVERAGE(J122:N122)</f>
        <v>0</v>
      </c>
      <c r="P122" s="316" t="s">
        <v>26</v>
      </c>
      <c r="Q122" s="1073"/>
      <c r="R122" s="1073">
        <f>VLOOKUP(A122,AN_MAT6,16,FALSE)</f>
        <v>0</v>
      </c>
      <c r="S122" s="1073"/>
      <c r="T122" s="1073">
        <f>VLOOKUP(A122,AN_MAT6,16,FALSE)</f>
        <v>0</v>
      </c>
      <c r="U122" s="1073"/>
      <c r="V122" s="1073"/>
      <c r="W122" s="1073"/>
      <c r="X122" s="316" t="s">
        <v>26</v>
      </c>
      <c r="Y122" s="325"/>
      <c r="Z122" s="325"/>
      <c r="AA122" s="325"/>
      <c r="AB122" s="325">
        <f>VLOOKUP(A122,AN_SBDP6,16,FALSE)</f>
        <v>0</v>
      </c>
      <c r="AC122" s="661" t="s">
        <v>156</v>
      </c>
      <c r="AD122" s="325">
        <f>VLOOKUP(A122,AN_SBDP6,16,FALSE)</f>
        <v>0</v>
      </c>
      <c r="AE122" s="325">
        <f>VLOOKUP(A122,AN_SBDP6,16,FALSE)</f>
        <v>0</v>
      </c>
      <c r="AF122" s="325"/>
      <c r="AG122" s="325"/>
      <c r="AH122" s="325">
        <f>VLOOKUP(A122,AN_SBDP6,16,FALSE)</f>
        <v>0</v>
      </c>
      <c r="AI122" s="661" t="s">
        <v>44</v>
      </c>
      <c r="AJ122" s="325"/>
      <c r="AK122" s="325"/>
      <c r="AL122" s="325">
        <f>VLOOKUP(A122,an_agm,51,FALSE)</f>
        <v>0</v>
      </c>
      <c r="AM122" s="325"/>
      <c r="AN122" s="325"/>
      <c r="AO122" s="325"/>
      <c r="AP122" s="315" t="s">
        <v>156</v>
      </c>
      <c r="AQ122" s="325">
        <f>VLOOKUP(A122,UHT_jawa,18,FALSE)</f>
        <v>0</v>
      </c>
      <c r="AR122" s="325"/>
      <c r="AS122" s="325"/>
      <c r="AT122" s="661" t="s">
        <v>44</v>
      </c>
      <c r="AU122" s="325"/>
      <c r="AV122" s="325">
        <f>VLOOKUP(A122,AN_ipa6,16,FALSE)</f>
        <v>0</v>
      </c>
      <c r="AW122" s="661" t="s">
        <v>44</v>
      </c>
      <c r="AX122" s="325"/>
      <c r="AY122" s="325"/>
      <c r="AZ122" s="325">
        <f>VLOOKUP(A122,AN_IPS6,16,FALSE)</f>
        <v>0</v>
      </c>
    </row>
    <row r="123" spans="1:52" x14ac:dyDescent="0.25">
      <c r="A123" s="599"/>
      <c r="B123" s="609"/>
      <c r="C123" s="71"/>
      <c r="D123" s="316" t="s">
        <v>26</v>
      </c>
      <c r="E123" s="1073">
        <f>VLOOKUP(A122,AN_PKN7,12,FALSE)</f>
        <v>0</v>
      </c>
      <c r="F123" s="1073">
        <f>VLOOKUP(A122,AN_PKN7,12,FALSE)</f>
        <v>0</v>
      </c>
      <c r="G123" s="1073">
        <f>VLOOKUP(A122,AN_PKN7,12,FALSE)</f>
        <v>0</v>
      </c>
      <c r="H123" s="324">
        <f>AVERAGE(E123:G123)</f>
        <v>0</v>
      </c>
      <c r="I123" s="316" t="s">
        <v>50</v>
      </c>
      <c r="J123" s="1073">
        <f>VLOOKUP(A122,AN_BI7,21,FALSE)</f>
        <v>0</v>
      </c>
      <c r="K123" s="1073">
        <f>VLOOKUP(A122,AN_BI7,21,FALSE)</f>
        <v>0</v>
      </c>
      <c r="L123" s="1073">
        <f>VLOOKUP(A122,AN_BI7,21,FALSE)</f>
        <v>0</v>
      </c>
      <c r="M123" s="1073">
        <f>VLOOKUP(A122,AN_BI7,21,FALSE)</f>
        <v>0</v>
      </c>
      <c r="N123" s="1073"/>
      <c r="O123" s="545">
        <f t="shared" ref="O123:O125" si="210">AVERAGE(J123:N123)</f>
        <v>0</v>
      </c>
      <c r="P123" s="316" t="s">
        <v>50</v>
      </c>
      <c r="Q123" s="1073"/>
      <c r="R123" s="1073"/>
      <c r="S123" s="1073">
        <f>VLOOKUP(A122,AN_MAT7,16,FALSE)</f>
        <v>0</v>
      </c>
      <c r="T123" s="1073">
        <f>VLOOKUP(A122,AN_MAT7,16,FALSE)</f>
        <v>0</v>
      </c>
      <c r="U123" s="1073">
        <f>VLOOKUP(A122,AN_MAT7,16,FALSE)</f>
        <v>0</v>
      </c>
      <c r="V123" s="1073">
        <f>VLOOKUP(A122,AN_MAT7,16,FALSE)</f>
        <v>0</v>
      </c>
      <c r="W123" s="1073"/>
      <c r="X123" s="316" t="s">
        <v>50</v>
      </c>
      <c r="Y123" s="325">
        <f>VLOOKUP(A122,AN_SBDP7,16,FALSE)</f>
        <v>0</v>
      </c>
      <c r="Z123" s="325">
        <f>VLOOKUP(A122,AN_SBDP7,16,FALSE)</f>
        <v>0</v>
      </c>
      <c r="AA123" s="325"/>
      <c r="AB123" s="325">
        <f>VLOOKUP(A122,AN_SBDP7,16,FALSE)</f>
        <v>0</v>
      </c>
      <c r="AC123" s="661" t="s">
        <v>26</v>
      </c>
      <c r="AD123" s="325"/>
      <c r="AE123" s="325"/>
      <c r="AF123" s="325">
        <f>VLOOKUP(A122,AN_SBDP7,16,FALSE)</f>
        <v>0</v>
      </c>
      <c r="AG123" s="325">
        <f>VLOOKUP(A122,AN_SBDP7,16,FALSE)</f>
        <v>0</v>
      </c>
      <c r="AH123" s="325"/>
      <c r="AI123" s="661" t="s">
        <v>45</v>
      </c>
      <c r="AJ123" s="325">
        <f>VLOOKUP(A122,an_agm,49,FALSE)</f>
        <v>0</v>
      </c>
      <c r="AK123" s="325"/>
      <c r="AL123" s="325"/>
      <c r="AM123" s="325"/>
      <c r="AN123" s="325"/>
      <c r="AO123" s="325"/>
      <c r="AP123" s="315" t="s">
        <v>26</v>
      </c>
      <c r="AQ123" s="325"/>
      <c r="AR123" s="325">
        <f>VLOOKUP(A122,UHT_jawa,19,FALSE)</f>
        <v>0</v>
      </c>
      <c r="AS123" s="325"/>
      <c r="AT123" s="661" t="s">
        <v>45</v>
      </c>
      <c r="AU123" s="325">
        <f>VLOOKUP(A122,AN_IPA7,16,FALSE)</f>
        <v>0</v>
      </c>
      <c r="AV123" s="325">
        <f>VLOOKUP(A122,AN_IPA7,16,FALSE)</f>
        <v>0</v>
      </c>
      <c r="AW123" s="661" t="s">
        <v>45</v>
      </c>
      <c r="AX123" s="325">
        <f>VLOOKUP(A122,an_ips7,16,FALSE)</f>
        <v>0</v>
      </c>
      <c r="AY123" s="325">
        <f>VLOOKUP(A122,an_ips7,16,FALSE)</f>
        <v>0</v>
      </c>
      <c r="AZ123" s="325">
        <f>VLOOKUP(A122,an_ips7,16,FALSE)</f>
        <v>0</v>
      </c>
    </row>
    <row r="124" spans="1:52" x14ac:dyDescent="0.25">
      <c r="A124" s="599"/>
      <c r="B124" s="609"/>
      <c r="C124" s="71"/>
      <c r="D124" s="316" t="s">
        <v>50</v>
      </c>
      <c r="E124" s="1073"/>
      <c r="F124" s="1073">
        <f>VLOOKUP(A122,AN_PKN8,17,FALSE)</f>
        <v>0</v>
      </c>
      <c r="G124" s="1073">
        <f>VLOOKUP(A122,AN_PKN8,17,FALSE)</f>
        <v>0</v>
      </c>
      <c r="H124" s="324">
        <f>AVERAGE(E124:G124)</f>
        <v>0</v>
      </c>
      <c r="I124" s="316" t="s">
        <v>51</v>
      </c>
      <c r="J124" s="1073">
        <f>VLOOKUP(A122,AN_BI8,19,FALSE)</f>
        <v>0</v>
      </c>
      <c r="K124" s="1073"/>
      <c r="L124" s="1073"/>
      <c r="M124" s="1073">
        <f>VLOOKUP(A122,AN_BI8,19,FALSE)</f>
        <v>0</v>
      </c>
      <c r="N124" s="1073"/>
      <c r="O124" s="545">
        <f t="shared" si="210"/>
        <v>0</v>
      </c>
      <c r="P124" s="316" t="s">
        <v>51</v>
      </c>
      <c r="Q124" s="1073">
        <f>VLOOKUP(A122,AN_MAT8,16,FALSE)</f>
        <v>0</v>
      </c>
      <c r="R124" s="1073">
        <f>VLOOKUP(A122,AN_MAT8,16,FALSE)</f>
        <v>0</v>
      </c>
      <c r="S124" s="1073"/>
      <c r="T124" s="1073"/>
      <c r="U124" s="1073"/>
      <c r="V124" s="1073"/>
      <c r="W124" s="1073">
        <f>VLOOKUP(A122,AN_MAT8,16,FALSE)</f>
        <v>0</v>
      </c>
      <c r="X124" s="316" t="s">
        <v>51</v>
      </c>
      <c r="Y124" s="325"/>
      <c r="Z124" s="325">
        <f>VLOOKUP(A122,AN_SBDP8,16,FALSE)</f>
        <v>0</v>
      </c>
      <c r="AA124" s="325"/>
      <c r="AB124" s="325">
        <f>VLOOKUP(A122,AN_SBDP8,16,FALSE)</f>
        <v>0</v>
      </c>
      <c r="AC124" s="661" t="s">
        <v>50</v>
      </c>
      <c r="AD124" s="325"/>
      <c r="AE124" s="325"/>
      <c r="AF124" s="325">
        <f>VLOOKUP(A122,AN_SBDP8,16,FALSE)</f>
        <v>0</v>
      </c>
      <c r="AG124" s="325"/>
      <c r="AH124" s="325">
        <f>VLOOKUP(A122,AN_SBDP8,16,FALSE)</f>
        <v>0</v>
      </c>
      <c r="AI124" s="661" t="s">
        <v>46</v>
      </c>
      <c r="AJ124" s="325"/>
      <c r="AK124" s="325"/>
      <c r="AL124" s="325"/>
      <c r="AM124" s="325">
        <f>VLOOKUP(A122,an_agm,52,FALSE)</f>
        <v>0</v>
      </c>
      <c r="AN124" s="325">
        <f>VLOOKUP(A122,an_agm,53,FALSE)</f>
        <v>0</v>
      </c>
      <c r="AO124" s="325"/>
      <c r="AP124" s="315" t="s">
        <v>50</v>
      </c>
      <c r="AQ124" s="325"/>
      <c r="AR124" s="325"/>
      <c r="AS124" s="325">
        <f>VLOOKUP(A122,UHT_jawa,20,FALSE)</f>
        <v>0</v>
      </c>
      <c r="AT124" s="661" t="s">
        <v>46</v>
      </c>
      <c r="AU124" s="325"/>
      <c r="AV124" s="325">
        <f>VLOOKUP(A122,AN_IPA7,16,FALSE)</f>
        <v>0</v>
      </c>
      <c r="AW124" s="661" t="s">
        <v>46</v>
      </c>
      <c r="AX124" s="325">
        <f>VLOOKUP(A122,AN_ips8,16,FALSE)</f>
        <v>0</v>
      </c>
      <c r="AY124" s="325">
        <f>VLOOKUP(A122,AN_ips8,16,FALSE)</f>
        <v>0</v>
      </c>
      <c r="AZ124" s="325">
        <f>VLOOKUP(A122,AN_ips8,16,FALSE)</f>
        <v>0</v>
      </c>
    </row>
    <row r="125" spans="1:52" x14ac:dyDescent="0.25">
      <c r="A125" s="599"/>
      <c r="B125" s="609"/>
      <c r="C125" s="71"/>
      <c r="D125" s="316" t="s">
        <v>51</v>
      </c>
      <c r="E125" s="325">
        <f>VLOOKUP(A122,AN_PKN9,16,FALSE)</f>
        <v>0</v>
      </c>
      <c r="F125" s="325"/>
      <c r="G125" s="325"/>
      <c r="H125" s="324">
        <f>AVERAGE(E125:G125)</f>
        <v>0</v>
      </c>
      <c r="I125" s="316" t="s">
        <v>52</v>
      </c>
      <c r="J125" s="1073">
        <f>VLOOKUP(A122,AN_BI9,21,FALSE)</f>
        <v>0</v>
      </c>
      <c r="K125" s="1073">
        <f>VLOOKUP(A122,AN_BI9,21,FALSE)</f>
        <v>0</v>
      </c>
      <c r="L125" s="1073">
        <f>VLOOKUP(A122,AN_BI9,21,FALSE)</f>
        <v>0</v>
      </c>
      <c r="M125" s="1073">
        <f>VLOOKUP(A122,AN_BI9,21,FALSE)</f>
        <v>0</v>
      </c>
      <c r="N125" s="1073"/>
      <c r="O125" s="545">
        <f t="shared" si="210"/>
        <v>0</v>
      </c>
      <c r="P125" s="316" t="s">
        <v>52</v>
      </c>
      <c r="Q125" s="1073">
        <f>VLOOKUP(A122,AN_MAT9,16,FALSE)</f>
        <v>0</v>
      </c>
      <c r="R125" s="1073">
        <f>VLOOKUP(A122,AN_MAT9,16,FALSE)</f>
        <v>0</v>
      </c>
      <c r="S125" s="1073">
        <f>VLOOKUP(A122,AN_MAT9,16,FALSE)</f>
        <v>0</v>
      </c>
      <c r="T125" s="1073">
        <f>VLOOKUP(A122,AN_MAT9,16,FALSE)</f>
        <v>0</v>
      </c>
      <c r="U125" s="1073">
        <f>VLOOKUP(A122,AN_MAT9,16,FALSE)</f>
        <v>0</v>
      </c>
      <c r="V125" s="1073">
        <f>VLOOKUP(A122,AN_MAT9,16,FALSE)</f>
        <v>0</v>
      </c>
      <c r="W125" s="1073">
        <f>VLOOKUP(A122,AN_MAT9,16,FALSE)</f>
        <v>0</v>
      </c>
      <c r="X125" s="316" t="s">
        <v>52</v>
      </c>
      <c r="Y125" s="325"/>
      <c r="Z125" s="325">
        <f>VLOOKUP(A122,AN_SBDP9,16,FALSE)</f>
        <v>0</v>
      </c>
      <c r="AA125" s="325">
        <f>VLOOKUP(A122,AN_SBDP9,16,FALSE)</f>
        <v>0</v>
      </c>
      <c r="AB125" s="325"/>
      <c r="AC125" s="661" t="s">
        <v>51</v>
      </c>
      <c r="AD125" s="325"/>
      <c r="AE125" s="325">
        <f>VLOOKUP(A122,AN_SBDP9,16,FALSE)</f>
        <v>0</v>
      </c>
      <c r="AF125" s="325">
        <f>VLOOKUP(A122,AN_SBDP9,16,FALSE)</f>
        <v>0</v>
      </c>
      <c r="AG125" s="325"/>
      <c r="AH125" s="325"/>
      <c r="AI125" s="661" t="s">
        <v>47</v>
      </c>
      <c r="AJ125" s="325"/>
      <c r="AK125" s="325">
        <f>VLOOKUP(A122,an_agm,50,FALSE)</f>
        <v>0</v>
      </c>
      <c r="AL125" s="325"/>
      <c r="AM125" s="325"/>
      <c r="AN125" s="325"/>
      <c r="AO125" s="325"/>
      <c r="AP125" s="315" t="s">
        <v>51</v>
      </c>
      <c r="AQ125" s="325"/>
      <c r="AR125" s="325"/>
      <c r="AS125" s="325"/>
      <c r="AT125" s="661" t="s">
        <v>47</v>
      </c>
      <c r="AU125" s="325"/>
      <c r="AV125" s="325">
        <f>VLOOKUP(A122,an_IPA9,16,FALSE)</f>
        <v>0</v>
      </c>
      <c r="AW125" s="661" t="s">
        <v>47</v>
      </c>
      <c r="AX125" s="325">
        <f>VLOOKUP(A122,AN_IPS_9,16,FALSE)</f>
        <v>0</v>
      </c>
      <c r="AY125" s="325"/>
      <c r="AZ125" s="325">
        <f>VLOOKUP(A122,AN_IPS_9,16,FALSE)</f>
        <v>0</v>
      </c>
    </row>
    <row r="126" spans="1:52" x14ac:dyDescent="0.25">
      <c r="A126" s="599"/>
      <c r="B126" s="609"/>
      <c r="C126" s="71"/>
      <c r="D126" s="316"/>
      <c r="E126" s="1073"/>
      <c r="F126" s="1073"/>
      <c r="G126" s="1073"/>
      <c r="H126" s="1074"/>
      <c r="I126" s="316"/>
      <c r="J126" s="1073"/>
      <c r="K126" s="1073"/>
      <c r="L126" s="1073"/>
      <c r="M126" s="1073"/>
      <c r="N126" s="1073"/>
      <c r="O126" s="1074"/>
      <c r="P126" s="315"/>
      <c r="Q126" s="1073"/>
      <c r="R126" s="1073"/>
      <c r="S126" s="1073"/>
      <c r="T126" s="1073"/>
      <c r="U126" s="1073"/>
      <c r="V126" s="1073"/>
      <c r="W126" s="1073"/>
      <c r="X126" s="315"/>
      <c r="Y126" s="325"/>
      <c r="Z126" s="325"/>
      <c r="AA126" s="325"/>
      <c r="AB126" s="325"/>
      <c r="AC126" s="661"/>
      <c r="AD126" s="1073"/>
      <c r="AE126" s="1073"/>
      <c r="AF126" s="1112"/>
      <c r="AG126" s="1112"/>
      <c r="AH126" s="1112"/>
      <c r="AI126" s="661" t="s">
        <v>48</v>
      </c>
      <c r="AJ126" s="325"/>
      <c r="AK126" s="325"/>
      <c r="AL126" s="325"/>
      <c r="AM126" s="325"/>
      <c r="AN126" s="325"/>
      <c r="AO126" s="325">
        <f>VLOOKUP(A122,an_agm,54,FALSE)</f>
        <v>0</v>
      </c>
      <c r="AP126" s="315"/>
      <c r="AQ126" s="1136"/>
      <c r="AR126" s="1136"/>
      <c r="AS126" s="1136"/>
      <c r="AT126" s="315"/>
      <c r="AU126" s="325"/>
      <c r="AV126" s="325"/>
      <c r="AW126" s="315"/>
      <c r="AX126" s="325"/>
      <c r="AY126" s="325"/>
      <c r="AZ126" s="325"/>
    </row>
    <row r="127" spans="1:52" x14ac:dyDescent="0.25">
      <c r="A127" s="604"/>
      <c r="B127" s="611">
        <v>20</v>
      </c>
      <c r="C127" s="72"/>
      <c r="D127" s="317" t="s">
        <v>214</v>
      </c>
      <c r="E127" s="318">
        <f>IFERROR(AVERAGE(E122:E126),"  ")</f>
        <v>0</v>
      </c>
      <c r="F127" s="318">
        <f t="shared" ref="F127:G127" si="211">IFERROR(AVERAGE(F122:F126),"  ")</f>
        <v>0</v>
      </c>
      <c r="G127" s="318">
        <f t="shared" si="211"/>
        <v>0</v>
      </c>
      <c r="H127" s="323"/>
      <c r="I127" s="317" t="s">
        <v>214</v>
      </c>
      <c r="J127" s="318">
        <f>IFERROR(AVERAGE(J122:J126),"  ")</f>
        <v>0</v>
      </c>
      <c r="K127" s="318">
        <f t="shared" ref="K127:M127" si="212">IFERROR(AVERAGE(K122:K126),"  ")</f>
        <v>0</v>
      </c>
      <c r="L127" s="318">
        <f t="shared" si="212"/>
        <v>0</v>
      </c>
      <c r="M127" s="318">
        <f t="shared" si="212"/>
        <v>0</v>
      </c>
      <c r="N127" s="318">
        <f>IFERROR(AVERAGE(N122:N126),"  ")</f>
        <v>0</v>
      </c>
      <c r="O127" s="597"/>
      <c r="P127" s="317" t="s">
        <v>214</v>
      </c>
      <c r="Q127" s="318">
        <f>IFERROR(AVERAGE(Q122:Q126),"  ")</f>
        <v>0</v>
      </c>
      <c r="R127" s="318">
        <f t="shared" ref="R127" si="213">IFERROR(AVERAGE(R122:R126),"  ")</f>
        <v>0</v>
      </c>
      <c r="S127" s="318">
        <f t="shared" ref="S127" si="214">IFERROR(AVERAGE(S122:S126),"  ")</f>
        <v>0</v>
      </c>
      <c r="T127" s="318">
        <f t="shared" ref="T127" si="215">IFERROR(AVERAGE(T122:T126),"  ")</f>
        <v>0</v>
      </c>
      <c r="U127" s="318">
        <f t="shared" ref="U127" si="216">IFERROR(AVERAGE(U122:U126),"  ")</f>
        <v>0</v>
      </c>
      <c r="V127" s="318">
        <f t="shared" ref="V127" si="217">IFERROR(AVERAGE(V122:V126),"  ")</f>
        <v>0</v>
      </c>
      <c r="W127" s="318">
        <f t="shared" ref="W127" si="218">IFERROR(AVERAGE(W122:W126),"  ")</f>
        <v>0</v>
      </c>
      <c r="X127" s="317" t="s">
        <v>214</v>
      </c>
      <c r="Y127" s="318">
        <f t="shared" ref="Y127" si="219">IFERROR(AVERAGE(Y122:Y126),"  ")</f>
        <v>0</v>
      </c>
      <c r="Z127" s="318">
        <f t="shared" ref="Z127" si="220">IFERROR(AVERAGE(Z122:Z126),"  ")</f>
        <v>0</v>
      </c>
      <c r="AA127" s="318">
        <f t="shared" ref="AA127" si="221">IFERROR(AVERAGE(AA122:AA126),"  ")</f>
        <v>0</v>
      </c>
      <c r="AB127" s="318">
        <f t="shared" ref="AB127" si="222">IFERROR(AVERAGE(AB122:AB126),"  ")</f>
        <v>0</v>
      </c>
      <c r="AC127" s="317" t="s">
        <v>214</v>
      </c>
      <c r="AD127" s="318">
        <f t="shared" ref="AD127:AH127" si="223">IFERROR(AVERAGE(AD122:AD126),"  ")</f>
        <v>0</v>
      </c>
      <c r="AE127" s="318">
        <f t="shared" si="223"/>
        <v>0</v>
      </c>
      <c r="AF127" s="318">
        <f t="shared" si="223"/>
        <v>0</v>
      </c>
      <c r="AG127" s="318">
        <f t="shared" si="223"/>
        <v>0</v>
      </c>
      <c r="AH127" s="318">
        <f t="shared" si="223"/>
        <v>0</v>
      </c>
      <c r="AI127" s="317" t="s">
        <v>214</v>
      </c>
      <c r="AJ127" s="318">
        <f t="shared" ref="AJ127:AO127" si="224">IFERROR(AVERAGE(AJ122:AJ126),"  ")</f>
        <v>0</v>
      </c>
      <c r="AK127" s="318">
        <f t="shared" si="224"/>
        <v>0</v>
      </c>
      <c r="AL127" s="318">
        <f t="shared" si="224"/>
        <v>0</v>
      </c>
      <c r="AM127" s="318">
        <f t="shared" si="224"/>
        <v>0</v>
      </c>
      <c r="AN127" s="318">
        <f t="shared" si="224"/>
        <v>0</v>
      </c>
      <c r="AO127" s="318">
        <f t="shared" si="224"/>
        <v>0</v>
      </c>
      <c r="AP127" s="317" t="s">
        <v>214</v>
      </c>
      <c r="AQ127" s="318">
        <f t="shared" ref="AQ127:AS127" si="225">IFERROR(AVERAGE(AQ122:AQ126),"  ")</f>
        <v>0</v>
      </c>
      <c r="AR127" s="318">
        <f t="shared" si="225"/>
        <v>0</v>
      </c>
      <c r="AS127" s="318">
        <f t="shared" si="225"/>
        <v>0</v>
      </c>
      <c r="AT127" s="317" t="s">
        <v>214</v>
      </c>
      <c r="AU127" s="318">
        <f t="shared" ref="AU127:AV127" si="226">IFERROR(AVERAGE(AU122:AU126),"  ")</f>
        <v>0</v>
      </c>
      <c r="AV127" s="318">
        <f t="shared" si="226"/>
        <v>0</v>
      </c>
      <c r="AW127" s="317" t="s">
        <v>214</v>
      </c>
      <c r="AX127" s="318">
        <f t="shared" ref="AX127:AZ127" si="227">IFERROR(AVERAGE(AX122:AX126),"  ")</f>
        <v>0</v>
      </c>
      <c r="AY127" s="318">
        <f t="shared" si="227"/>
        <v>0</v>
      </c>
      <c r="AZ127" s="318">
        <f t="shared" si="227"/>
        <v>0</v>
      </c>
    </row>
    <row r="128" spans="1:52" x14ac:dyDescent="0.25">
      <c r="A128" s="599">
        <v>21</v>
      </c>
      <c r="B128" s="608"/>
      <c r="C128" s="292" t="str">
        <f>VLOOKUP(A128,data_siswa,4,FALSE)</f>
        <v>Rojalingga Prana A</v>
      </c>
      <c r="D128" s="316" t="s">
        <v>156</v>
      </c>
      <c r="E128" s="1073"/>
      <c r="F128" s="1073">
        <f>VLOOKUP(A128,AN_PKN6_KI3,13,FALSE)</f>
        <v>0</v>
      </c>
      <c r="G128" s="1073"/>
      <c r="H128" s="324">
        <f>AVERAGE(E128:G128)</f>
        <v>0</v>
      </c>
      <c r="I128" s="316" t="s">
        <v>26</v>
      </c>
      <c r="J128" s="1073"/>
      <c r="K128" s="1073"/>
      <c r="L128" s="1073"/>
      <c r="M128" s="1073">
        <f>VLOOKUP(A128,AN_BI6,19,FALSE)</f>
        <v>0</v>
      </c>
      <c r="N128" s="1073">
        <f>VLOOKUP(A128,AN_BI6,19,FALSE)</f>
        <v>0</v>
      </c>
      <c r="O128" s="545">
        <f>AVERAGE(J128:N128)</f>
        <v>0</v>
      </c>
      <c r="P128" s="316" t="s">
        <v>26</v>
      </c>
      <c r="Q128" s="1073"/>
      <c r="R128" s="1073">
        <f>VLOOKUP(A128,AN_MAT6,16,FALSE)</f>
        <v>0</v>
      </c>
      <c r="S128" s="1073"/>
      <c r="T128" s="1073">
        <f>VLOOKUP(A128,AN_MAT6,16,FALSE)</f>
        <v>0</v>
      </c>
      <c r="U128" s="1073"/>
      <c r="V128" s="1073"/>
      <c r="W128" s="1073"/>
      <c r="X128" s="316" t="s">
        <v>26</v>
      </c>
      <c r="Y128" s="325"/>
      <c r="Z128" s="325"/>
      <c r="AA128" s="325"/>
      <c r="AB128" s="325">
        <f>VLOOKUP(A128,AN_SBDP6,16,FALSE)</f>
        <v>0</v>
      </c>
      <c r="AC128" s="661" t="s">
        <v>156</v>
      </c>
      <c r="AD128" s="325">
        <f>VLOOKUP(A128,AN_SBDP6,16,FALSE)</f>
        <v>0</v>
      </c>
      <c r="AE128" s="325">
        <f>VLOOKUP(A128,AN_SBDP6,16,FALSE)</f>
        <v>0</v>
      </c>
      <c r="AF128" s="325"/>
      <c r="AG128" s="325"/>
      <c r="AH128" s="325">
        <f>VLOOKUP(A128,AN_SBDP6,16,FALSE)</f>
        <v>0</v>
      </c>
      <c r="AI128" s="661" t="s">
        <v>44</v>
      </c>
      <c r="AJ128" s="325"/>
      <c r="AK128" s="325"/>
      <c r="AL128" s="325">
        <f>VLOOKUP(A128,an_agm,51,FALSE)</f>
        <v>0</v>
      </c>
      <c r="AM128" s="325"/>
      <c r="AN128" s="325"/>
      <c r="AO128" s="325"/>
      <c r="AP128" s="315" t="s">
        <v>156</v>
      </c>
      <c r="AQ128" s="325">
        <f>VLOOKUP(A128,UHT_jawa,18,FALSE)</f>
        <v>0</v>
      </c>
      <c r="AR128" s="325"/>
      <c r="AS128" s="325"/>
      <c r="AT128" s="1122" t="s">
        <v>44</v>
      </c>
      <c r="AU128" s="325"/>
      <c r="AV128" s="325">
        <f>VLOOKUP(A128,AN_ipa6,16,FALSE)</f>
        <v>0</v>
      </c>
      <c r="AW128" s="1122" t="s">
        <v>44</v>
      </c>
      <c r="AX128" s="325"/>
      <c r="AY128" s="325"/>
      <c r="AZ128" s="325">
        <f>VLOOKUP(A128,AN_IPS6,16,FALSE)</f>
        <v>0</v>
      </c>
    </row>
    <row r="129" spans="1:52" x14ac:dyDescent="0.25">
      <c r="A129" s="599"/>
      <c r="B129" s="609"/>
      <c r="C129" s="71"/>
      <c r="D129" s="316" t="s">
        <v>26</v>
      </c>
      <c r="E129" s="1073">
        <f>VLOOKUP(A128,AN_PKN7,12,FALSE)</f>
        <v>0</v>
      </c>
      <c r="F129" s="1073">
        <f>VLOOKUP(A128,AN_PKN7,12,FALSE)</f>
        <v>0</v>
      </c>
      <c r="G129" s="1073">
        <f>VLOOKUP(A128,AN_PKN7,12,FALSE)</f>
        <v>0</v>
      </c>
      <c r="H129" s="324">
        <f>AVERAGE(E129:G129)</f>
        <v>0</v>
      </c>
      <c r="I129" s="316" t="s">
        <v>50</v>
      </c>
      <c r="J129" s="1073">
        <f>VLOOKUP(A128,AN_BI7,21,FALSE)</f>
        <v>0</v>
      </c>
      <c r="K129" s="1073">
        <f>VLOOKUP(A128,AN_BI7,21,FALSE)</f>
        <v>0</v>
      </c>
      <c r="L129" s="1073">
        <f>VLOOKUP(A128,AN_BI7,21,FALSE)</f>
        <v>0</v>
      </c>
      <c r="M129" s="1073">
        <f>VLOOKUP(A128,AN_BI7,21,FALSE)</f>
        <v>0</v>
      </c>
      <c r="N129" s="1073"/>
      <c r="O129" s="545">
        <f t="shared" ref="O129:O131" si="228">AVERAGE(J129:N129)</f>
        <v>0</v>
      </c>
      <c r="P129" s="316" t="s">
        <v>50</v>
      </c>
      <c r="Q129" s="1073"/>
      <c r="R129" s="1073"/>
      <c r="S129" s="1073">
        <f>VLOOKUP(A128,AN_MAT7,16,FALSE)</f>
        <v>0</v>
      </c>
      <c r="T129" s="1073">
        <f>VLOOKUP(A128,AN_MAT7,16,FALSE)</f>
        <v>0</v>
      </c>
      <c r="U129" s="1073">
        <f>VLOOKUP(A128,AN_MAT7,16,FALSE)</f>
        <v>0</v>
      </c>
      <c r="V129" s="1073">
        <f>VLOOKUP(A128,AN_MAT7,16,FALSE)</f>
        <v>0</v>
      </c>
      <c r="W129" s="1073"/>
      <c r="X129" s="316" t="s">
        <v>50</v>
      </c>
      <c r="Y129" s="325">
        <f>VLOOKUP(A128,AN_SBDP7,16,FALSE)</f>
        <v>0</v>
      </c>
      <c r="Z129" s="325">
        <f>VLOOKUP(A128,AN_SBDP7,16,FALSE)</f>
        <v>0</v>
      </c>
      <c r="AA129" s="325"/>
      <c r="AB129" s="325">
        <f>VLOOKUP(A128,AN_SBDP7,16,FALSE)</f>
        <v>0</v>
      </c>
      <c r="AC129" s="661" t="s">
        <v>26</v>
      </c>
      <c r="AD129" s="325"/>
      <c r="AE129" s="325"/>
      <c r="AF129" s="325">
        <f>VLOOKUP(A128,AN_SBDP7,16,FALSE)</f>
        <v>0</v>
      </c>
      <c r="AG129" s="325">
        <f>VLOOKUP(A128,AN_SBDP7,16,FALSE)</f>
        <v>0</v>
      </c>
      <c r="AH129" s="325"/>
      <c r="AI129" s="661" t="s">
        <v>45</v>
      </c>
      <c r="AJ129" s="325">
        <f>VLOOKUP(A128,an_agm,49,FALSE)</f>
        <v>0</v>
      </c>
      <c r="AK129" s="325"/>
      <c r="AL129" s="325"/>
      <c r="AM129" s="325"/>
      <c r="AN129" s="325"/>
      <c r="AO129" s="325"/>
      <c r="AP129" s="315" t="s">
        <v>26</v>
      </c>
      <c r="AQ129" s="325"/>
      <c r="AR129" s="325">
        <f>VLOOKUP(A128,UHT_jawa,19,FALSE)</f>
        <v>0</v>
      </c>
      <c r="AS129" s="325"/>
      <c r="AT129" s="1122" t="s">
        <v>45</v>
      </c>
      <c r="AU129" s="325">
        <f>VLOOKUP(A128,AN_IPA7,16,FALSE)</f>
        <v>0</v>
      </c>
      <c r="AV129" s="325">
        <f>VLOOKUP(A128,AN_IPA7,16,FALSE)</f>
        <v>0</v>
      </c>
      <c r="AW129" s="1122" t="s">
        <v>45</v>
      </c>
      <c r="AX129" s="325">
        <f>VLOOKUP(A128,an_ips7,16,FALSE)</f>
        <v>0</v>
      </c>
      <c r="AY129" s="325">
        <f>VLOOKUP(A128,an_ips7,16,FALSE)</f>
        <v>0</v>
      </c>
      <c r="AZ129" s="325">
        <f>VLOOKUP(A128,an_ips7,16,FALSE)</f>
        <v>0</v>
      </c>
    </row>
    <row r="130" spans="1:52" x14ac:dyDescent="0.25">
      <c r="A130" s="599"/>
      <c r="B130" s="609"/>
      <c r="C130" s="71"/>
      <c r="D130" s="316" t="s">
        <v>50</v>
      </c>
      <c r="E130" s="1073"/>
      <c r="F130" s="1073">
        <f>VLOOKUP(A128,AN_PKN8,17,FALSE)</f>
        <v>0</v>
      </c>
      <c r="G130" s="1073">
        <f>VLOOKUP(A128,AN_PKN8,17,FALSE)</f>
        <v>0</v>
      </c>
      <c r="H130" s="324">
        <f>AVERAGE(E130:G130)</f>
        <v>0</v>
      </c>
      <c r="I130" s="316" t="s">
        <v>51</v>
      </c>
      <c r="J130" s="1073">
        <f>VLOOKUP(A128,AN_BI8,19,FALSE)</f>
        <v>0</v>
      </c>
      <c r="K130" s="1073"/>
      <c r="L130" s="1073"/>
      <c r="M130" s="1073">
        <f>VLOOKUP(A128,AN_BI8,19,FALSE)</f>
        <v>0</v>
      </c>
      <c r="N130" s="1073"/>
      <c r="O130" s="545">
        <f t="shared" si="228"/>
        <v>0</v>
      </c>
      <c r="P130" s="316" t="s">
        <v>51</v>
      </c>
      <c r="Q130" s="1073">
        <f>VLOOKUP(A128,AN_MAT8,16,FALSE)</f>
        <v>0</v>
      </c>
      <c r="R130" s="1073">
        <f>VLOOKUP(A128,AN_MAT8,16,FALSE)</f>
        <v>0</v>
      </c>
      <c r="S130" s="1073"/>
      <c r="T130" s="1073"/>
      <c r="U130" s="1073"/>
      <c r="V130" s="1073"/>
      <c r="W130" s="1073">
        <f>VLOOKUP(A128,AN_MAT8,16,FALSE)</f>
        <v>0</v>
      </c>
      <c r="X130" s="316" t="s">
        <v>51</v>
      </c>
      <c r="Y130" s="325"/>
      <c r="Z130" s="325">
        <f>VLOOKUP(A128,AN_SBDP8,16,FALSE)</f>
        <v>0</v>
      </c>
      <c r="AA130" s="325"/>
      <c r="AB130" s="325">
        <f>VLOOKUP(A128,AN_SBDP8,16,FALSE)</f>
        <v>0</v>
      </c>
      <c r="AC130" s="661" t="s">
        <v>50</v>
      </c>
      <c r="AD130" s="325"/>
      <c r="AE130" s="325"/>
      <c r="AF130" s="325">
        <f>VLOOKUP(A128,AN_SBDP8,16,FALSE)</f>
        <v>0</v>
      </c>
      <c r="AG130" s="325"/>
      <c r="AH130" s="325">
        <f>VLOOKUP(A128,AN_SBDP8,16,FALSE)</f>
        <v>0</v>
      </c>
      <c r="AI130" s="661" t="s">
        <v>46</v>
      </c>
      <c r="AJ130" s="325"/>
      <c r="AK130" s="325"/>
      <c r="AL130" s="325"/>
      <c r="AM130" s="325">
        <f>VLOOKUP(A128,an_agm,52,FALSE)</f>
        <v>0</v>
      </c>
      <c r="AN130" s="325">
        <f>VLOOKUP(A128,an_agm,53,FALSE)</f>
        <v>0</v>
      </c>
      <c r="AO130" s="325"/>
      <c r="AP130" s="315" t="s">
        <v>50</v>
      </c>
      <c r="AQ130" s="325"/>
      <c r="AR130" s="325"/>
      <c r="AS130" s="325">
        <f>VLOOKUP(A128,UHT_jawa,20,FALSE)</f>
        <v>0</v>
      </c>
      <c r="AT130" s="1122" t="s">
        <v>46</v>
      </c>
      <c r="AU130" s="325"/>
      <c r="AV130" s="325">
        <f>VLOOKUP(A128,AN_IPA7,16,FALSE)</f>
        <v>0</v>
      </c>
      <c r="AW130" s="1122" t="s">
        <v>46</v>
      </c>
      <c r="AX130" s="325">
        <f>VLOOKUP(A128,AN_ips8,16,FALSE)</f>
        <v>0</v>
      </c>
      <c r="AY130" s="325">
        <f>VLOOKUP(A128,AN_ips8,16,FALSE)</f>
        <v>0</v>
      </c>
      <c r="AZ130" s="325">
        <f>VLOOKUP(A128,AN_ips8,16,FALSE)</f>
        <v>0</v>
      </c>
    </row>
    <row r="131" spans="1:52" x14ac:dyDescent="0.25">
      <c r="A131" s="599"/>
      <c r="B131" s="609"/>
      <c r="C131" s="71"/>
      <c r="D131" s="316" t="s">
        <v>51</v>
      </c>
      <c r="E131" s="325">
        <f>VLOOKUP(A128,AN_PKN9,16,FALSE)</f>
        <v>0</v>
      </c>
      <c r="F131" s="325"/>
      <c r="G131" s="325"/>
      <c r="H131" s="324">
        <f>AVERAGE(E131:G131)</f>
        <v>0</v>
      </c>
      <c r="I131" s="316" t="s">
        <v>52</v>
      </c>
      <c r="J131" s="1073">
        <f>VLOOKUP(A128,AN_BI9,21,FALSE)</f>
        <v>0</v>
      </c>
      <c r="K131" s="1073">
        <f>VLOOKUP(A128,AN_BI9,21,FALSE)</f>
        <v>0</v>
      </c>
      <c r="L131" s="1073">
        <f>VLOOKUP(A128,AN_BI9,21,FALSE)</f>
        <v>0</v>
      </c>
      <c r="M131" s="1073">
        <f>VLOOKUP(A128,AN_BI9,21,FALSE)</f>
        <v>0</v>
      </c>
      <c r="N131" s="1073"/>
      <c r="O131" s="545">
        <f t="shared" si="228"/>
        <v>0</v>
      </c>
      <c r="P131" s="316" t="s">
        <v>52</v>
      </c>
      <c r="Q131" s="1073">
        <f>VLOOKUP(A128,AN_MAT9,16,FALSE)</f>
        <v>0</v>
      </c>
      <c r="R131" s="1073">
        <f>VLOOKUP(A128,AN_MAT9,16,FALSE)</f>
        <v>0</v>
      </c>
      <c r="S131" s="1073">
        <f>VLOOKUP(A128,AN_MAT9,16,FALSE)</f>
        <v>0</v>
      </c>
      <c r="T131" s="1073">
        <f>VLOOKUP(A128,AN_MAT9,16,FALSE)</f>
        <v>0</v>
      </c>
      <c r="U131" s="1073">
        <f>VLOOKUP(A128,AN_MAT9,16,FALSE)</f>
        <v>0</v>
      </c>
      <c r="V131" s="1073">
        <f>VLOOKUP(A128,AN_MAT9,16,FALSE)</f>
        <v>0</v>
      </c>
      <c r="W131" s="1073">
        <f>VLOOKUP(A128,AN_MAT9,16,FALSE)</f>
        <v>0</v>
      </c>
      <c r="X131" s="316" t="s">
        <v>52</v>
      </c>
      <c r="Y131" s="325"/>
      <c r="Z131" s="325">
        <f>VLOOKUP(A128,AN_SBDP9,16,FALSE)</f>
        <v>0</v>
      </c>
      <c r="AA131" s="325">
        <f>VLOOKUP(A128,AN_SBDP9,16,FALSE)</f>
        <v>0</v>
      </c>
      <c r="AB131" s="325"/>
      <c r="AC131" s="661" t="s">
        <v>51</v>
      </c>
      <c r="AD131" s="325"/>
      <c r="AE131" s="325">
        <f>VLOOKUP(A128,AN_SBDP9,16,FALSE)</f>
        <v>0</v>
      </c>
      <c r="AF131" s="325">
        <f>VLOOKUP(A128,AN_SBDP9,16,FALSE)</f>
        <v>0</v>
      </c>
      <c r="AG131" s="325"/>
      <c r="AH131" s="325"/>
      <c r="AI131" s="661" t="s">
        <v>47</v>
      </c>
      <c r="AJ131" s="325"/>
      <c r="AK131" s="325">
        <f>VLOOKUP(A128,an_agm,50,FALSE)</f>
        <v>0</v>
      </c>
      <c r="AL131" s="325"/>
      <c r="AM131" s="325"/>
      <c r="AN131" s="325"/>
      <c r="AO131" s="325"/>
      <c r="AP131" s="315" t="s">
        <v>51</v>
      </c>
      <c r="AQ131" s="325"/>
      <c r="AR131" s="325"/>
      <c r="AS131" s="325"/>
      <c r="AT131" s="1122" t="s">
        <v>47</v>
      </c>
      <c r="AU131" s="325"/>
      <c r="AV131" s="325">
        <f>VLOOKUP(A128,an_IPA9,16,FALSE)</f>
        <v>0</v>
      </c>
      <c r="AW131" s="1122" t="s">
        <v>47</v>
      </c>
      <c r="AX131" s="325">
        <f>VLOOKUP(A128,AN_IPS_9,16,FALSE)</f>
        <v>0</v>
      </c>
      <c r="AY131" s="325"/>
      <c r="AZ131" s="325">
        <f>VLOOKUP(A128,AN_IPS_9,16,FALSE)</f>
        <v>0</v>
      </c>
    </row>
    <row r="132" spans="1:52" x14ac:dyDescent="0.25">
      <c r="A132" s="599"/>
      <c r="B132" s="609"/>
      <c r="C132" s="71"/>
      <c r="D132" s="316"/>
      <c r="E132" s="1073"/>
      <c r="F132" s="1073"/>
      <c r="G132" s="1073"/>
      <c r="H132" s="1074"/>
      <c r="I132" s="316"/>
      <c r="J132" s="1073"/>
      <c r="K132" s="1073"/>
      <c r="L132" s="1073"/>
      <c r="M132" s="1073"/>
      <c r="N132" s="1073"/>
      <c r="O132" s="1074"/>
      <c r="P132" s="315"/>
      <c r="Q132" s="1073"/>
      <c r="R132" s="1073"/>
      <c r="S132" s="1073"/>
      <c r="T132" s="1073"/>
      <c r="U132" s="1073"/>
      <c r="V132" s="1073"/>
      <c r="W132" s="1073"/>
      <c r="X132" s="315"/>
      <c r="Y132" s="325"/>
      <c r="Z132" s="325"/>
      <c r="AA132" s="325"/>
      <c r="AB132" s="325"/>
      <c r="AC132" s="661"/>
      <c r="AD132" s="1073"/>
      <c r="AE132" s="1073"/>
      <c r="AF132" s="1112"/>
      <c r="AG132" s="1112"/>
      <c r="AH132" s="1112"/>
      <c r="AI132" s="661" t="s">
        <v>48</v>
      </c>
      <c r="AJ132" s="325"/>
      <c r="AK132" s="325"/>
      <c r="AL132" s="325"/>
      <c r="AM132" s="325"/>
      <c r="AN132" s="325"/>
      <c r="AO132" s="325">
        <f>VLOOKUP(A128,an_agm,54,FALSE)</f>
        <v>0</v>
      </c>
      <c r="AP132" s="315"/>
      <c r="AQ132" s="1136"/>
      <c r="AR132" s="1136"/>
      <c r="AS132" s="1136"/>
      <c r="AT132" s="661"/>
      <c r="AU132" s="325"/>
      <c r="AV132" s="325"/>
      <c r="AW132" s="661"/>
      <c r="AX132" s="325"/>
      <c r="AY132" s="325"/>
      <c r="AZ132" s="325"/>
    </row>
    <row r="133" spans="1:52" x14ac:dyDescent="0.25">
      <c r="A133" s="604"/>
      <c r="B133" s="611">
        <v>21</v>
      </c>
      <c r="C133" s="72"/>
      <c r="D133" s="317" t="s">
        <v>214</v>
      </c>
      <c r="E133" s="318">
        <f>IFERROR(AVERAGE(E128:E132),"  ")</f>
        <v>0</v>
      </c>
      <c r="F133" s="318">
        <f t="shared" ref="F133:G133" si="229">IFERROR(AVERAGE(F128:F132),"  ")</f>
        <v>0</v>
      </c>
      <c r="G133" s="318">
        <f t="shared" si="229"/>
        <v>0</v>
      </c>
      <c r="H133" s="323"/>
      <c r="I133" s="317" t="s">
        <v>214</v>
      </c>
      <c r="J133" s="318">
        <f>IFERROR(AVERAGE(J128:J132),"  ")</f>
        <v>0</v>
      </c>
      <c r="K133" s="318">
        <f t="shared" ref="K133:N133" si="230">IFERROR(AVERAGE(K128:K132),"  ")</f>
        <v>0</v>
      </c>
      <c r="L133" s="318">
        <f t="shared" si="230"/>
        <v>0</v>
      </c>
      <c r="M133" s="318">
        <f t="shared" si="230"/>
        <v>0</v>
      </c>
      <c r="N133" s="318">
        <f t="shared" si="230"/>
        <v>0</v>
      </c>
      <c r="O133" s="597"/>
      <c r="P133" s="317" t="s">
        <v>214</v>
      </c>
      <c r="Q133" s="318">
        <f>IFERROR(AVERAGE(Q128:Q132),"  ")</f>
        <v>0</v>
      </c>
      <c r="R133" s="318">
        <f t="shared" ref="R133" si="231">IFERROR(AVERAGE(R128:R132),"  ")</f>
        <v>0</v>
      </c>
      <c r="S133" s="318">
        <f t="shared" ref="S133" si="232">IFERROR(AVERAGE(S128:S132),"  ")</f>
        <v>0</v>
      </c>
      <c r="T133" s="318">
        <f t="shared" ref="T133" si="233">IFERROR(AVERAGE(T128:T132),"  ")</f>
        <v>0</v>
      </c>
      <c r="U133" s="318">
        <f t="shared" ref="U133" si="234">IFERROR(AVERAGE(U128:U132),"  ")</f>
        <v>0</v>
      </c>
      <c r="V133" s="318">
        <f t="shared" ref="V133" si="235">IFERROR(AVERAGE(V128:V132),"  ")</f>
        <v>0</v>
      </c>
      <c r="W133" s="318">
        <f t="shared" ref="W133" si="236">IFERROR(AVERAGE(W128:W132),"  ")</f>
        <v>0</v>
      </c>
      <c r="X133" s="317" t="s">
        <v>214</v>
      </c>
      <c r="Y133" s="318">
        <f t="shared" ref="Y133" si="237">IFERROR(AVERAGE(Y128:Y132),"  ")</f>
        <v>0</v>
      </c>
      <c r="Z133" s="318">
        <f t="shared" ref="Z133" si="238">IFERROR(AVERAGE(Z128:Z132),"  ")</f>
        <v>0</v>
      </c>
      <c r="AA133" s="318">
        <f t="shared" ref="AA133" si="239">IFERROR(AVERAGE(AA128:AA132),"  ")</f>
        <v>0</v>
      </c>
      <c r="AB133" s="318">
        <f t="shared" ref="AB133" si="240">IFERROR(AVERAGE(AB128:AB132),"  ")</f>
        <v>0</v>
      </c>
      <c r="AC133" s="317" t="s">
        <v>214</v>
      </c>
      <c r="AD133" s="318">
        <f t="shared" ref="AD133" si="241">IFERROR(AVERAGE(AD128:AD132),"  ")</f>
        <v>0</v>
      </c>
      <c r="AE133" s="318">
        <f t="shared" ref="AE133:AH133" si="242">IFERROR(AVERAGE(AE128:AE132),"  ")</f>
        <v>0</v>
      </c>
      <c r="AF133" s="318">
        <f t="shared" si="242"/>
        <v>0</v>
      </c>
      <c r="AG133" s="318">
        <f t="shared" si="242"/>
        <v>0</v>
      </c>
      <c r="AH133" s="318">
        <f t="shared" si="242"/>
        <v>0</v>
      </c>
      <c r="AI133" s="317" t="s">
        <v>214</v>
      </c>
      <c r="AJ133" s="318">
        <f t="shared" ref="AJ133:AO133" si="243">IFERROR(AVERAGE(AJ128:AJ132),"  ")</f>
        <v>0</v>
      </c>
      <c r="AK133" s="318">
        <f t="shared" si="243"/>
        <v>0</v>
      </c>
      <c r="AL133" s="318">
        <f t="shared" si="243"/>
        <v>0</v>
      </c>
      <c r="AM133" s="318">
        <f t="shared" si="243"/>
        <v>0</v>
      </c>
      <c r="AN133" s="318">
        <f t="shared" si="243"/>
        <v>0</v>
      </c>
      <c r="AO133" s="318">
        <f t="shared" si="243"/>
        <v>0</v>
      </c>
      <c r="AP133" s="317" t="s">
        <v>214</v>
      </c>
      <c r="AQ133" s="318">
        <f t="shared" ref="AQ133:AS133" si="244">IFERROR(AVERAGE(AQ128:AQ132),"  ")</f>
        <v>0</v>
      </c>
      <c r="AR133" s="318">
        <f t="shared" si="244"/>
        <v>0</v>
      </c>
      <c r="AS133" s="318">
        <f t="shared" si="244"/>
        <v>0</v>
      </c>
      <c r="AT133" s="317" t="s">
        <v>214</v>
      </c>
      <c r="AU133" s="318">
        <f t="shared" ref="AU133:AV133" si="245">IFERROR(AVERAGE(AU128:AU132),"  ")</f>
        <v>0</v>
      </c>
      <c r="AV133" s="318">
        <f t="shared" si="245"/>
        <v>0</v>
      </c>
      <c r="AW133" s="317" t="s">
        <v>214</v>
      </c>
      <c r="AX133" s="318">
        <f t="shared" ref="AX133:AZ133" si="246">IFERROR(AVERAGE(AX128:AX132),"  ")</f>
        <v>0</v>
      </c>
      <c r="AY133" s="318">
        <f t="shared" si="246"/>
        <v>0</v>
      </c>
      <c r="AZ133" s="318">
        <f t="shared" si="246"/>
        <v>0</v>
      </c>
    </row>
    <row r="134" spans="1:52" x14ac:dyDescent="0.25">
      <c r="A134" s="599">
        <v>22</v>
      </c>
      <c r="B134" s="608"/>
      <c r="C134" s="292" t="str">
        <f>VLOOKUP(A134,data_siswa,4,FALSE)</f>
        <v>Sally Savista A</v>
      </c>
      <c r="D134" s="316" t="s">
        <v>156</v>
      </c>
      <c r="E134" s="1073"/>
      <c r="F134" s="1073">
        <f>VLOOKUP(A134,AN_PKN6_KI3,13,FALSE)</f>
        <v>0</v>
      </c>
      <c r="G134" s="1073"/>
      <c r="H134" s="324">
        <f>AVERAGE(E134:G134)</f>
        <v>0</v>
      </c>
      <c r="I134" s="316" t="s">
        <v>26</v>
      </c>
      <c r="J134" s="1073"/>
      <c r="K134" s="1073"/>
      <c r="L134" s="1073"/>
      <c r="M134" s="1073">
        <f>VLOOKUP(A134,AN_BI6,19,FALSE)</f>
        <v>0</v>
      </c>
      <c r="N134" s="1073">
        <f>VLOOKUP(A134,AN_BI6,19,FALSE)</f>
        <v>0</v>
      </c>
      <c r="O134" s="545">
        <f>AVERAGE(J134:N134)</f>
        <v>0</v>
      </c>
      <c r="P134" s="316" t="s">
        <v>26</v>
      </c>
      <c r="Q134" s="1073"/>
      <c r="R134" s="1073">
        <f>VLOOKUP(A134,AN_MAT6,16,FALSE)</f>
        <v>0</v>
      </c>
      <c r="S134" s="1073"/>
      <c r="T134" s="1073">
        <f>VLOOKUP(A134,AN_MAT6,16,FALSE)</f>
        <v>0</v>
      </c>
      <c r="U134" s="1073"/>
      <c r="V134" s="1073"/>
      <c r="W134" s="1073"/>
      <c r="X134" s="316" t="s">
        <v>26</v>
      </c>
      <c r="Y134" s="325"/>
      <c r="Z134" s="325"/>
      <c r="AA134" s="325"/>
      <c r="AB134" s="325">
        <f>VLOOKUP(A134,AN_SBDP6,16,FALSE)</f>
        <v>0</v>
      </c>
      <c r="AC134" s="661" t="s">
        <v>156</v>
      </c>
      <c r="AD134" s="325">
        <f>VLOOKUP(A134,AN_SBDP6,16,FALSE)</f>
        <v>0</v>
      </c>
      <c r="AE134" s="325">
        <f>VLOOKUP(A134,AN_SBDP6,16,FALSE)</f>
        <v>0</v>
      </c>
      <c r="AF134" s="325"/>
      <c r="AG134" s="325"/>
      <c r="AH134" s="325">
        <f>VLOOKUP(A134,AN_SBDP6,16,FALSE)</f>
        <v>0</v>
      </c>
      <c r="AI134" s="661" t="s">
        <v>44</v>
      </c>
      <c r="AJ134" s="325"/>
      <c r="AK134" s="325"/>
      <c r="AL134" s="325">
        <f>VLOOKUP(A134,an_agm,51,FALSE)</f>
        <v>0</v>
      </c>
      <c r="AM134" s="325"/>
      <c r="AN134" s="325"/>
      <c r="AO134" s="325"/>
      <c r="AP134" s="315" t="s">
        <v>156</v>
      </c>
      <c r="AQ134" s="325">
        <f>VLOOKUP(A134,UHT_jawa,18,FALSE)</f>
        <v>0</v>
      </c>
      <c r="AR134" s="325"/>
      <c r="AS134" s="325"/>
      <c r="AT134" s="1122" t="s">
        <v>44</v>
      </c>
      <c r="AU134" s="325"/>
      <c r="AV134" s="325">
        <f>VLOOKUP(A134,AN_ipa6,16,FALSE)</f>
        <v>0</v>
      </c>
      <c r="AW134" s="1122" t="s">
        <v>44</v>
      </c>
      <c r="AX134" s="325"/>
      <c r="AY134" s="325"/>
      <c r="AZ134" s="325">
        <f>VLOOKUP(A134,AN_IPS6,16,FALSE)</f>
        <v>0</v>
      </c>
    </row>
    <row r="135" spans="1:52" x14ac:dyDescent="0.25">
      <c r="A135" s="599"/>
      <c r="B135" s="609"/>
      <c r="C135" s="71"/>
      <c r="D135" s="316" t="s">
        <v>26</v>
      </c>
      <c r="E135" s="1073">
        <f>VLOOKUP(A134,AN_PKN7,12,FALSE)</f>
        <v>0</v>
      </c>
      <c r="F135" s="1073">
        <f>VLOOKUP(A134,AN_PKN7,12,FALSE)</f>
        <v>0</v>
      </c>
      <c r="G135" s="1073">
        <f>VLOOKUP(A134,AN_PKN7,12,FALSE)</f>
        <v>0</v>
      </c>
      <c r="H135" s="324">
        <f>AVERAGE(E135:G135)</f>
        <v>0</v>
      </c>
      <c r="I135" s="316" t="s">
        <v>50</v>
      </c>
      <c r="J135" s="1073">
        <f>VLOOKUP(A134,AN_BI7,21,FALSE)</f>
        <v>0</v>
      </c>
      <c r="K135" s="1073">
        <f>VLOOKUP(A134,AN_BI7,21,FALSE)</f>
        <v>0</v>
      </c>
      <c r="L135" s="1073">
        <f>VLOOKUP(A134,AN_BI7,21,FALSE)</f>
        <v>0</v>
      </c>
      <c r="M135" s="1073">
        <f>VLOOKUP(A134,AN_BI7,21,FALSE)</f>
        <v>0</v>
      </c>
      <c r="N135" s="1073"/>
      <c r="O135" s="545">
        <f t="shared" ref="O135:O137" si="247">AVERAGE(J135:N135)</f>
        <v>0</v>
      </c>
      <c r="P135" s="316" t="s">
        <v>50</v>
      </c>
      <c r="Q135" s="1073"/>
      <c r="R135" s="1073"/>
      <c r="S135" s="1073">
        <f>VLOOKUP(A134,AN_MAT7,16,FALSE)</f>
        <v>0</v>
      </c>
      <c r="T135" s="1073">
        <f>VLOOKUP(A134,AN_MAT7,16,FALSE)</f>
        <v>0</v>
      </c>
      <c r="U135" s="1073">
        <f>VLOOKUP(A134,AN_MAT7,16,FALSE)</f>
        <v>0</v>
      </c>
      <c r="V135" s="1073">
        <f>VLOOKUP(A134,AN_MAT7,16,FALSE)</f>
        <v>0</v>
      </c>
      <c r="W135" s="1073"/>
      <c r="X135" s="316" t="s">
        <v>50</v>
      </c>
      <c r="Y135" s="325">
        <f>VLOOKUP(A134,AN_SBDP7,16,FALSE)</f>
        <v>0</v>
      </c>
      <c r="Z135" s="325">
        <f>VLOOKUP(A134,AN_SBDP7,16,FALSE)</f>
        <v>0</v>
      </c>
      <c r="AA135" s="325"/>
      <c r="AB135" s="325">
        <f>VLOOKUP(A134,AN_SBDP7,16,FALSE)</f>
        <v>0</v>
      </c>
      <c r="AC135" s="661" t="s">
        <v>26</v>
      </c>
      <c r="AD135" s="325"/>
      <c r="AE135" s="325"/>
      <c r="AF135" s="325">
        <f>VLOOKUP(A134,AN_SBDP7,16,FALSE)</f>
        <v>0</v>
      </c>
      <c r="AG135" s="325">
        <f>VLOOKUP(A134,AN_SBDP7,16,FALSE)</f>
        <v>0</v>
      </c>
      <c r="AH135" s="325"/>
      <c r="AI135" s="661" t="s">
        <v>45</v>
      </c>
      <c r="AJ135" s="325">
        <f>VLOOKUP(A134,an_agm,49,FALSE)</f>
        <v>0</v>
      </c>
      <c r="AK135" s="325"/>
      <c r="AL135" s="325"/>
      <c r="AM135" s="325"/>
      <c r="AN135" s="325"/>
      <c r="AO135" s="325"/>
      <c r="AP135" s="315" t="s">
        <v>26</v>
      </c>
      <c r="AQ135" s="325"/>
      <c r="AR135" s="325">
        <f>VLOOKUP(A134,UHT_jawa,19,FALSE)</f>
        <v>0</v>
      </c>
      <c r="AS135" s="325"/>
      <c r="AT135" s="1122" t="s">
        <v>45</v>
      </c>
      <c r="AU135" s="325">
        <f>VLOOKUP(A134,AN_IPA7,16,FALSE)</f>
        <v>0</v>
      </c>
      <c r="AV135" s="325">
        <f>VLOOKUP(A134,AN_IPA7,16,FALSE)</f>
        <v>0</v>
      </c>
      <c r="AW135" s="1122" t="s">
        <v>45</v>
      </c>
      <c r="AX135" s="325">
        <f>VLOOKUP(A134,an_ips7,16,FALSE)</f>
        <v>0</v>
      </c>
      <c r="AY135" s="325">
        <f>VLOOKUP(A134,an_ips7,16,FALSE)</f>
        <v>0</v>
      </c>
      <c r="AZ135" s="325">
        <f>VLOOKUP(A134,an_ips7,16,FALSE)</f>
        <v>0</v>
      </c>
    </row>
    <row r="136" spans="1:52" x14ac:dyDescent="0.25">
      <c r="A136" s="599"/>
      <c r="B136" s="609"/>
      <c r="C136" s="71"/>
      <c r="D136" s="316" t="s">
        <v>50</v>
      </c>
      <c r="E136" s="1073"/>
      <c r="F136" s="1073">
        <f>VLOOKUP(A134,AN_PKN8,17,FALSE)</f>
        <v>0</v>
      </c>
      <c r="G136" s="1073">
        <f>VLOOKUP(A134,AN_PKN8,17,FALSE)</f>
        <v>0</v>
      </c>
      <c r="H136" s="324">
        <f>AVERAGE(E136:G136)</f>
        <v>0</v>
      </c>
      <c r="I136" s="316" t="s">
        <v>51</v>
      </c>
      <c r="J136" s="1073">
        <f>VLOOKUP(A134,AN_BI8,19,FALSE)</f>
        <v>0</v>
      </c>
      <c r="K136" s="1073"/>
      <c r="L136" s="1073"/>
      <c r="M136" s="1073">
        <f>VLOOKUP(A134,AN_BI8,19,FALSE)</f>
        <v>0</v>
      </c>
      <c r="N136" s="1073"/>
      <c r="O136" s="545">
        <f t="shared" si="247"/>
        <v>0</v>
      </c>
      <c r="P136" s="316" t="s">
        <v>51</v>
      </c>
      <c r="Q136" s="1073">
        <f>VLOOKUP(A134,AN_MAT8,16,FALSE)</f>
        <v>0</v>
      </c>
      <c r="R136" s="1073">
        <f>VLOOKUP(A134,AN_MAT8,16,FALSE)</f>
        <v>0</v>
      </c>
      <c r="S136" s="1073"/>
      <c r="T136" s="1073"/>
      <c r="U136" s="1073"/>
      <c r="V136" s="1073"/>
      <c r="W136" s="1073">
        <f>VLOOKUP(A134,AN_MAT8,16,FALSE)</f>
        <v>0</v>
      </c>
      <c r="X136" s="316" t="s">
        <v>51</v>
      </c>
      <c r="Y136" s="325"/>
      <c r="Z136" s="325">
        <f>VLOOKUP(A134,AN_SBDP8,16,FALSE)</f>
        <v>0</v>
      </c>
      <c r="AA136" s="325"/>
      <c r="AB136" s="325">
        <f>VLOOKUP(A134,AN_SBDP8,16,FALSE)</f>
        <v>0</v>
      </c>
      <c r="AC136" s="661" t="s">
        <v>50</v>
      </c>
      <c r="AD136" s="325"/>
      <c r="AE136" s="325"/>
      <c r="AF136" s="325">
        <f>VLOOKUP(A134,AN_SBDP8,16,FALSE)</f>
        <v>0</v>
      </c>
      <c r="AG136" s="325"/>
      <c r="AH136" s="325">
        <f>VLOOKUP(A134,AN_SBDP8,16,FALSE)</f>
        <v>0</v>
      </c>
      <c r="AI136" s="661" t="s">
        <v>46</v>
      </c>
      <c r="AJ136" s="325"/>
      <c r="AK136" s="325"/>
      <c r="AL136" s="325"/>
      <c r="AM136" s="325">
        <f>VLOOKUP(A134,an_agm,52,FALSE)</f>
        <v>0</v>
      </c>
      <c r="AN136" s="325">
        <f>VLOOKUP(A134,an_agm,53,FALSE)</f>
        <v>0</v>
      </c>
      <c r="AO136" s="325"/>
      <c r="AP136" s="315" t="s">
        <v>50</v>
      </c>
      <c r="AQ136" s="325"/>
      <c r="AR136" s="325"/>
      <c r="AS136" s="325">
        <f>VLOOKUP(A134,UHT_jawa,20,FALSE)</f>
        <v>0</v>
      </c>
      <c r="AT136" s="1122" t="s">
        <v>46</v>
      </c>
      <c r="AU136" s="325"/>
      <c r="AV136" s="325">
        <f>VLOOKUP(A134,AN_IPA7,16,FALSE)</f>
        <v>0</v>
      </c>
      <c r="AW136" s="1122" t="s">
        <v>46</v>
      </c>
      <c r="AX136" s="325">
        <f>VLOOKUP(A134,AN_ips8,16,FALSE)</f>
        <v>0</v>
      </c>
      <c r="AY136" s="325">
        <f>VLOOKUP(A134,AN_ips8,16,FALSE)</f>
        <v>0</v>
      </c>
      <c r="AZ136" s="325">
        <f>VLOOKUP(A134,AN_ips8,16,FALSE)</f>
        <v>0</v>
      </c>
    </row>
    <row r="137" spans="1:52" x14ac:dyDescent="0.25">
      <c r="A137" s="599"/>
      <c r="B137" s="609"/>
      <c r="C137" s="71"/>
      <c r="D137" s="316" t="s">
        <v>51</v>
      </c>
      <c r="E137" s="325">
        <f>VLOOKUP(A134,AN_PKN9,16,FALSE)</f>
        <v>0</v>
      </c>
      <c r="F137" s="325"/>
      <c r="G137" s="325"/>
      <c r="H137" s="324">
        <f>AVERAGE(E137:G137)</f>
        <v>0</v>
      </c>
      <c r="I137" s="316" t="s">
        <v>52</v>
      </c>
      <c r="J137" s="1073">
        <f>VLOOKUP(A134,AN_BI9,21,FALSE)</f>
        <v>0</v>
      </c>
      <c r="K137" s="1073">
        <f>VLOOKUP(A134,AN_BI9,21,FALSE)</f>
        <v>0</v>
      </c>
      <c r="L137" s="1073">
        <f>VLOOKUP(A134,AN_BI9,21,FALSE)</f>
        <v>0</v>
      </c>
      <c r="M137" s="1073">
        <f>VLOOKUP(A134,AN_BI9,21,FALSE)</f>
        <v>0</v>
      </c>
      <c r="N137" s="1073"/>
      <c r="O137" s="545">
        <f t="shared" si="247"/>
        <v>0</v>
      </c>
      <c r="P137" s="316" t="s">
        <v>52</v>
      </c>
      <c r="Q137" s="1073">
        <f>VLOOKUP(A134,AN_MAT9,16,FALSE)</f>
        <v>0</v>
      </c>
      <c r="R137" s="1073">
        <f>VLOOKUP(A134,AN_MAT9,16,FALSE)</f>
        <v>0</v>
      </c>
      <c r="S137" s="1073">
        <f>VLOOKUP(A134,AN_MAT9,16,FALSE)</f>
        <v>0</v>
      </c>
      <c r="T137" s="1073">
        <f>VLOOKUP(A134,AN_MAT9,16,FALSE)</f>
        <v>0</v>
      </c>
      <c r="U137" s="1073">
        <f>VLOOKUP(A134,AN_MAT9,16,FALSE)</f>
        <v>0</v>
      </c>
      <c r="V137" s="1073">
        <f>VLOOKUP(A134,AN_MAT9,16,FALSE)</f>
        <v>0</v>
      </c>
      <c r="W137" s="1073">
        <f>VLOOKUP(A134,AN_MAT9,16,FALSE)</f>
        <v>0</v>
      </c>
      <c r="X137" s="316" t="s">
        <v>52</v>
      </c>
      <c r="Y137" s="325"/>
      <c r="Z137" s="325">
        <f>VLOOKUP(A134,AN_SBDP9,16,FALSE)</f>
        <v>0</v>
      </c>
      <c r="AA137" s="325">
        <f>VLOOKUP(A134,AN_SBDP9,16,FALSE)</f>
        <v>0</v>
      </c>
      <c r="AB137" s="325"/>
      <c r="AC137" s="661" t="s">
        <v>51</v>
      </c>
      <c r="AD137" s="325"/>
      <c r="AE137" s="325">
        <f>VLOOKUP(A134,AN_SBDP9,16,FALSE)</f>
        <v>0</v>
      </c>
      <c r="AF137" s="325">
        <f>VLOOKUP(A134,AN_SBDP9,16,FALSE)</f>
        <v>0</v>
      </c>
      <c r="AG137" s="325"/>
      <c r="AH137" s="325"/>
      <c r="AI137" s="661" t="s">
        <v>47</v>
      </c>
      <c r="AJ137" s="325"/>
      <c r="AK137" s="325">
        <f>VLOOKUP(A134,an_agm,50,FALSE)</f>
        <v>0</v>
      </c>
      <c r="AL137" s="325"/>
      <c r="AM137" s="325"/>
      <c r="AN137" s="325"/>
      <c r="AO137" s="325"/>
      <c r="AP137" s="315" t="s">
        <v>51</v>
      </c>
      <c r="AQ137" s="325"/>
      <c r="AR137" s="325"/>
      <c r="AS137" s="325"/>
      <c r="AT137" s="1122" t="s">
        <v>47</v>
      </c>
      <c r="AU137" s="325"/>
      <c r="AV137" s="325">
        <f>VLOOKUP(A134,an_IPA9,16,FALSE)</f>
        <v>0</v>
      </c>
      <c r="AW137" s="1122" t="s">
        <v>47</v>
      </c>
      <c r="AX137" s="325">
        <f>VLOOKUP(A134,AN_IPS_9,16,FALSE)</f>
        <v>0</v>
      </c>
      <c r="AY137" s="325"/>
      <c r="AZ137" s="325">
        <f>VLOOKUP(A134,AN_IPS_9,16,FALSE)</f>
        <v>0</v>
      </c>
    </row>
    <row r="138" spans="1:52" x14ac:dyDescent="0.25">
      <c r="A138" s="599"/>
      <c r="B138" s="609"/>
      <c r="C138" s="71"/>
      <c r="D138" s="316"/>
      <c r="E138" s="1073"/>
      <c r="F138" s="1073"/>
      <c r="G138" s="1073"/>
      <c r="H138" s="1074"/>
      <c r="I138" s="316"/>
      <c r="J138" s="1073"/>
      <c r="K138" s="1073"/>
      <c r="L138" s="1073"/>
      <c r="M138" s="1073"/>
      <c r="N138" s="1073"/>
      <c r="O138" s="1074"/>
      <c r="P138" s="315"/>
      <c r="Q138" s="1073"/>
      <c r="R138" s="1073"/>
      <c r="S138" s="1073"/>
      <c r="T138" s="1073"/>
      <c r="U138" s="1073"/>
      <c r="V138" s="1073"/>
      <c r="W138" s="1073"/>
      <c r="X138" s="315"/>
      <c r="Y138" s="325"/>
      <c r="Z138" s="325"/>
      <c r="AA138" s="325"/>
      <c r="AB138" s="325"/>
      <c r="AC138" s="661"/>
      <c r="AD138" s="1073"/>
      <c r="AE138" s="1073"/>
      <c r="AF138" s="1112"/>
      <c r="AG138" s="1112"/>
      <c r="AH138" s="1112"/>
      <c r="AI138" s="661" t="s">
        <v>48</v>
      </c>
      <c r="AJ138" s="325"/>
      <c r="AK138" s="325"/>
      <c r="AL138" s="325"/>
      <c r="AM138" s="325"/>
      <c r="AN138" s="325"/>
      <c r="AO138" s="325">
        <f>VLOOKUP(A134,an_agm,54,FALSE)</f>
        <v>0</v>
      </c>
      <c r="AP138" s="315"/>
      <c r="AQ138" s="1136"/>
      <c r="AR138" s="1136"/>
      <c r="AS138" s="1136"/>
      <c r="AT138" s="661"/>
      <c r="AU138" s="325"/>
      <c r="AV138" s="325"/>
      <c r="AW138" s="661"/>
      <c r="AX138" s="325"/>
      <c r="AY138" s="325"/>
      <c r="AZ138" s="325"/>
    </row>
    <row r="139" spans="1:52" x14ac:dyDescent="0.25">
      <c r="A139" s="604"/>
      <c r="B139" s="611">
        <v>22</v>
      </c>
      <c r="C139" s="72"/>
      <c r="D139" s="317" t="s">
        <v>214</v>
      </c>
      <c r="E139" s="318">
        <f>IFERROR(AVERAGE(E134:E138),"  ")</f>
        <v>0</v>
      </c>
      <c r="F139" s="318">
        <f t="shared" ref="F139:G139" si="248">IFERROR(AVERAGE(F134:F138),"  ")</f>
        <v>0</v>
      </c>
      <c r="G139" s="318">
        <f t="shared" si="248"/>
        <v>0</v>
      </c>
      <c r="H139" s="323"/>
      <c r="I139" s="317" t="s">
        <v>214</v>
      </c>
      <c r="J139" s="318">
        <f>IFERROR(AVERAGE(J134:J138),"  ")</f>
        <v>0</v>
      </c>
      <c r="K139" s="318">
        <f t="shared" ref="K139:M139" si="249">IFERROR(AVERAGE(K134:K138),"  ")</f>
        <v>0</v>
      </c>
      <c r="L139" s="318">
        <f t="shared" si="249"/>
        <v>0</v>
      </c>
      <c r="M139" s="318">
        <f t="shared" si="249"/>
        <v>0</v>
      </c>
      <c r="N139" s="318">
        <f>IFERROR(AVERAGE(N134:N138),"  ")</f>
        <v>0</v>
      </c>
      <c r="O139" s="597"/>
      <c r="P139" s="317" t="s">
        <v>214</v>
      </c>
      <c r="Q139" s="318">
        <f>IFERROR(AVERAGE(Q134:Q138),"  ")</f>
        <v>0</v>
      </c>
      <c r="R139" s="318">
        <f t="shared" ref="R139:W139" si="250">IFERROR(AVERAGE(R134:R138),"  ")</f>
        <v>0</v>
      </c>
      <c r="S139" s="318">
        <f t="shared" si="250"/>
        <v>0</v>
      </c>
      <c r="T139" s="318">
        <f t="shared" si="250"/>
        <v>0</v>
      </c>
      <c r="U139" s="318">
        <f t="shared" si="250"/>
        <v>0</v>
      </c>
      <c r="V139" s="318">
        <f t="shared" si="250"/>
        <v>0</v>
      </c>
      <c r="W139" s="318">
        <f t="shared" si="250"/>
        <v>0</v>
      </c>
      <c r="X139" s="317" t="s">
        <v>214</v>
      </c>
      <c r="Y139" s="318">
        <f t="shared" ref="Y139:AB139" si="251">IFERROR(AVERAGE(Y134:Y138),"  ")</f>
        <v>0</v>
      </c>
      <c r="Z139" s="318">
        <f t="shared" si="251"/>
        <v>0</v>
      </c>
      <c r="AA139" s="318">
        <f t="shared" si="251"/>
        <v>0</v>
      </c>
      <c r="AB139" s="318">
        <f t="shared" si="251"/>
        <v>0</v>
      </c>
      <c r="AC139" s="317" t="s">
        <v>214</v>
      </c>
      <c r="AD139" s="318">
        <f t="shared" ref="AD139:AH139" si="252">IFERROR(AVERAGE(AD134:AD138),"  ")</f>
        <v>0</v>
      </c>
      <c r="AE139" s="318">
        <f t="shared" si="252"/>
        <v>0</v>
      </c>
      <c r="AF139" s="318">
        <f t="shared" si="252"/>
        <v>0</v>
      </c>
      <c r="AG139" s="318">
        <f t="shared" si="252"/>
        <v>0</v>
      </c>
      <c r="AH139" s="318">
        <f t="shared" si="252"/>
        <v>0</v>
      </c>
      <c r="AI139" s="317" t="s">
        <v>214</v>
      </c>
      <c r="AJ139" s="318">
        <f t="shared" ref="AJ139:AO139" si="253">IFERROR(AVERAGE(AJ134:AJ138),"  ")</f>
        <v>0</v>
      </c>
      <c r="AK139" s="318">
        <f t="shared" si="253"/>
        <v>0</v>
      </c>
      <c r="AL139" s="318">
        <f t="shared" si="253"/>
        <v>0</v>
      </c>
      <c r="AM139" s="318">
        <f t="shared" si="253"/>
        <v>0</v>
      </c>
      <c r="AN139" s="318">
        <f t="shared" si="253"/>
        <v>0</v>
      </c>
      <c r="AO139" s="318">
        <f t="shared" si="253"/>
        <v>0</v>
      </c>
      <c r="AP139" s="317" t="s">
        <v>214</v>
      </c>
      <c r="AQ139" s="318">
        <f t="shared" ref="AQ139:AS139" si="254">IFERROR(AVERAGE(AQ134:AQ138),"  ")</f>
        <v>0</v>
      </c>
      <c r="AR139" s="318">
        <f t="shared" si="254"/>
        <v>0</v>
      </c>
      <c r="AS139" s="318">
        <f t="shared" si="254"/>
        <v>0</v>
      </c>
      <c r="AT139" s="317" t="s">
        <v>214</v>
      </c>
      <c r="AU139" s="318">
        <f t="shared" ref="AU139:AV139" si="255">IFERROR(AVERAGE(AU134:AU138),"  ")</f>
        <v>0</v>
      </c>
      <c r="AV139" s="318">
        <f t="shared" si="255"/>
        <v>0</v>
      </c>
      <c r="AW139" s="317" t="s">
        <v>214</v>
      </c>
      <c r="AX139" s="318">
        <f t="shared" ref="AX139:AZ139" si="256">IFERROR(AVERAGE(AX134:AX138),"  ")</f>
        <v>0</v>
      </c>
      <c r="AY139" s="318">
        <f t="shared" si="256"/>
        <v>0</v>
      </c>
      <c r="AZ139" s="318">
        <f t="shared" si="256"/>
        <v>0</v>
      </c>
    </row>
    <row r="140" spans="1:52" x14ac:dyDescent="0.25">
      <c r="A140" s="599">
        <v>23</v>
      </c>
      <c r="B140" s="608"/>
      <c r="C140" s="292" t="str">
        <f>VLOOKUP(A140,data_siswa,4,FALSE)</f>
        <v xml:space="preserve">Tania Kaori Angelita </v>
      </c>
      <c r="D140" s="316" t="s">
        <v>156</v>
      </c>
      <c r="E140" s="1073"/>
      <c r="F140" s="1073">
        <f>VLOOKUP(A140,AN_PKN6_KI3,13,FALSE)</f>
        <v>0</v>
      </c>
      <c r="G140" s="1073"/>
      <c r="H140" s="324">
        <f>AVERAGE(E140:G140)</f>
        <v>0</v>
      </c>
      <c r="I140" s="316" t="s">
        <v>26</v>
      </c>
      <c r="J140" s="1073"/>
      <c r="K140" s="1073"/>
      <c r="L140" s="1073"/>
      <c r="M140" s="1073">
        <f>VLOOKUP(A140,AN_BI6,19,FALSE)</f>
        <v>0</v>
      </c>
      <c r="N140" s="1073">
        <f>VLOOKUP(A140,AN_BI6,19,FALSE)</f>
        <v>0</v>
      </c>
      <c r="O140" s="545">
        <f>AVERAGE(J140:N140)</f>
        <v>0</v>
      </c>
      <c r="P140" s="316" t="s">
        <v>26</v>
      </c>
      <c r="Q140" s="1073"/>
      <c r="R140" s="1073">
        <f>VLOOKUP(A140,AN_MAT6,16,FALSE)</f>
        <v>0</v>
      </c>
      <c r="S140" s="1073"/>
      <c r="T140" s="1073">
        <f>VLOOKUP(A140,AN_MAT6,16,FALSE)</f>
        <v>0</v>
      </c>
      <c r="U140" s="1073"/>
      <c r="V140" s="1073"/>
      <c r="W140" s="1073"/>
      <c r="X140" s="316" t="s">
        <v>26</v>
      </c>
      <c r="Y140" s="325"/>
      <c r="Z140" s="325"/>
      <c r="AA140" s="325"/>
      <c r="AB140" s="325">
        <f>VLOOKUP(A140,AN_SBDP6,16,FALSE)</f>
        <v>0</v>
      </c>
      <c r="AC140" s="661" t="s">
        <v>156</v>
      </c>
      <c r="AD140" s="325">
        <f>VLOOKUP(A140,AN_SBDP6,16,FALSE)</f>
        <v>0</v>
      </c>
      <c r="AE140" s="325">
        <f>VLOOKUP(A140,AN_SBDP6,16,FALSE)</f>
        <v>0</v>
      </c>
      <c r="AF140" s="325"/>
      <c r="AG140" s="325"/>
      <c r="AH140" s="325">
        <f>VLOOKUP(A140,AN_SBDP6,16,FALSE)</f>
        <v>0</v>
      </c>
      <c r="AI140" s="661" t="s">
        <v>44</v>
      </c>
      <c r="AJ140" s="325"/>
      <c r="AK140" s="325"/>
      <c r="AL140" s="325">
        <f>VLOOKUP(A140,an_agm,51,FALSE)</f>
        <v>0</v>
      </c>
      <c r="AM140" s="325"/>
      <c r="AN140" s="325"/>
      <c r="AO140" s="325"/>
      <c r="AP140" s="315" t="s">
        <v>156</v>
      </c>
      <c r="AQ140" s="325">
        <f>VLOOKUP(A140,UHT_jawa,18,FALSE)</f>
        <v>0</v>
      </c>
      <c r="AR140" s="325"/>
      <c r="AS140" s="325"/>
      <c r="AT140" s="661" t="s">
        <v>44</v>
      </c>
      <c r="AU140" s="325"/>
      <c r="AV140" s="325">
        <f>VLOOKUP(A140,AN_ipa6,16,FALSE)</f>
        <v>0</v>
      </c>
      <c r="AW140" s="661" t="s">
        <v>44</v>
      </c>
      <c r="AX140" s="325"/>
      <c r="AY140" s="325"/>
      <c r="AZ140" s="325">
        <f>VLOOKUP(A140,AN_IPS6,16,FALSE)</f>
        <v>0</v>
      </c>
    </row>
    <row r="141" spans="1:52" x14ac:dyDescent="0.25">
      <c r="A141" s="599"/>
      <c r="B141" s="609"/>
      <c r="C141" s="71"/>
      <c r="D141" s="316" t="s">
        <v>26</v>
      </c>
      <c r="E141" s="1073">
        <f>VLOOKUP(A140,AN_PKN7,12,FALSE)</f>
        <v>0</v>
      </c>
      <c r="F141" s="1073">
        <f>VLOOKUP(A140,AN_PKN7,12,FALSE)</f>
        <v>0</v>
      </c>
      <c r="G141" s="1073">
        <f>VLOOKUP(A140,AN_PKN7,12,FALSE)</f>
        <v>0</v>
      </c>
      <c r="H141" s="324">
        <f>AVERAGE(E141:G141)</f>
        <v>0</v>
      </c>
      <c r="I141" s="316" t="s">
        <v>50</v>
      </c>
      <c r="J141" s="1073">
        <f>VLOOKUP(A140,AN_BI7,21,FALSE)</f>
        <v>0</v>
      </c>
      <c r="K141" s="1073">
        <f>VLOOKUP(A140,AN_BI7,21,FALSE)</f>
        <v>0</v>
      </c>
      <c r="L141" s="1073">
        <f>VLOOKUP(A140,AN_BI7,21,FALSE)</f>
        <v>0</v>
      </c>
      <c r="M141" s="1073">
        <f>VLOOKUP(A140,AN_BI7,21,FALSE)</f>
        <v>0</v>
      </c>
      <c r="N141" s="1073"/>
      <c r="O141" s="545">
        <f t="shared" ref="O141:O143" si="257">AVERAGE(J141:N141)</f>
        <v>0</v>
      </c>
      <c r="P141" s="316" t="s">
        <v>50</v>
      </c>
      <c r="Q141" s="1073"/>
      <c r="R141" s="1073"/>
      <c r="S141" s="1073">
        <f>VLOOKUP(A140,AN_MAT7,16,FALSE)</f>
        <v>0</v>
      </c>
      <c r="T141" s="1073">
        <f>VLOOKUP(A140,AN_MAT7,16,FALSE)</f>
        <v>0</v>
      </c>
      <c r="U141" s="1073">
        <f>VLOOKUP(A140,AN_MAT7,16,FALSE)</f>
        <v>0</v>
      </c>
      <c r="V141" s="1073">
        <f>VLOOKUP(A140,AN_MAT7,16,FALSE)</f>
        <v>0</v>
      </c>
      <c r="W141" s="1073"/>
      <c r="X141" s="316" t="s">
        <v>50</v>
      </c>
      <c r="Y141" s="325">
        <f>VLOOKUP(A140,AN_SBDP7,16,FALSE)</f>
        <v>0</v>
      </c>
      <c r="Z141" s="325">
        <f>VLOOKUP(A140,AN_SBDP7,16,FALSE)</f>
        <v>0</v>
      </c>
      <c r="AA141" s="325"/>
      <c r="AB141" s="325">
        <f>VLOOKUP(A140,AN_SBDP7,16,FALSE)</f>
        <v>0</v>
      </c>
      <c r="AC141" s="661" t="s">
        <v>26</v>
      </c>
      <c r="AD141" s="325"/>
      <c r="AE141" s="325"/>
      <c r="AF141" s="325">
        <f>VLOOKUP(A140,AN_SBDP7,16,FALSE)</f>
        <v>0</v>
      </c>
      <c r="AG141" s="325">
        <f>VLOOKUP(A140,AN_SBDP7,16,FALSE)</f>
        <v>0</v>
      </c>
      <c r="AH141" s="325"/>
      <c r="AI141" s="661" t="s">
        <v>45</v>
      </c>
      <c r="AJ141" s="325">
        <f>VLOOKUP(A140,an_agm,49,FALSE)</f>
        <v>0</v>
      </c>
      <c r="AK141" s="325"/>
      <c r="AL141" s="325"/>
      <c r="AM141" s="325"/>
      <c r="AN141" s="325"/>
      <c r="AO141" s="325"/>
      <c r="AP141" s="315" t="s">
        <v>26</v>
      </c>
      <c r="AQ141" s="325"/>
      <c r="AR141" s="325">
        <f>VLOOKUP(A140,UHT_jawa,19,FALSE)</f>
        <v>0</v>
      </c>
      <c r="AS141" s="325"/>
      <c r="AT141" s="661" t="s">
        <v>45</v>
      </c>
      <c r="AU141" s="325">
        <f>VLOOKUP(A140,AN_IPA7,16,FALSE)</f>
        <v>0</v>
      </c>
      <c r="AV141" s="325">
        <f>VLOOKUP(A140,AN_IPA7,16,FALSE)</f>
        <v>0</v>
      </c>
      <c r="AW141" s="661" t="s">
        <v>45</v>
      </c>
      <c r="AX141" s="325">
        <f>VLOOKUP(A140,an_ips7,16,FALSE)</f>
        <v>0</v>
      </c>
      <c r="AY141" s="325">
        <f>VLOOKUP(A140,an_ips7,16,FALSE)</f>
        <v>0</v>
      </c>
      <c r="AZ141" s="325">
        <f>VLOOKUP(A140,an_ips7,16,FALSE)</f>
        <v>0</v>
      </c>
    </row>
    <row r="142" spans="1:52" x14ac:dyDescent="0.25">
      <c r="A142" s="599"/>
      <c r="B142" s="609"/>
      <c r="C142" s="71"/>
      <c r="D142" s="316" t="s">
        <v>50</v>
      </c>
      <c r="E142" s="1073"/>
      <c r="F142" s="1073">
        <f>VLOOKUP(A140,AN_PKN8,17,FALSE)</f>
        <v>0</v>
      </c>
      <c r="G142" s="1073">
        <f>VLOOKUP(A140,AN_PKN8,17,FALSE)</f>
        <v>0</v>
      </c>
      <c r="H142" s="324">
        <f>AVERAGE(E142:G142)</f>
        <v>0</v>
      </c>
      <c r="I142" s="316" t="s">
        <v>51</v>
      </c>
      <c r="J142" s="1073">
        <f>VLOOKUP(A140,AN_BI8,19,FALSE)</f>
        <v>0</v>
      </c>
      <c r="K142" s="1073"/>
      <c r="L142" s="1073"/>
      <c r="M142" s="1073">
        <f>VLOOKUP(A140,AN_BI8,19,FALSE)</f>
        <v>0</v>
      </c>
      <c r="N142" s="1073"/>
      <c r="O142" s="545">
        <f t="shared" si="257"/>
        <v>0</v>
      </c>
      <c r="P142" s="316" t="s">
        <v>51</v>
      </c>
      <c r="Q142" s="1073">
        <f>VLOOKUP(A140,AN_MAT8,16,FALSE)</f>
        <v>0</v>
      </c>
      <c r="R142" s="1073">
        <f>VLOOKUP(A140,AN_MAT8,16,FALSE)</f>
        <v>0</v>
      </c>
      <c r="S142" s="1073"/>
      <c r="T142" s="1073"/>
      <c r="U142" s="1073"/>
      <c r="V142" s="1073"/>
      <c r="W142" s="1073">
        <f>VLOOKUP(A140,AN_MAT8,16,FALSE)</f>
        <v>0</v>
      </c>
      <c r="X142" s="316" t="s">
        <v>51</v>
      </c>
      <c r="Y142" s="325"/>
      <c r="Z142" s="325">
        <f>VLOOKUP(A140,AN_SBDP8,16,FALSE)</f>
        <v>0</v>
      </c>
      <c r="AA142" s="325"/>
      <c r="AB142" s="325">
        <f>VLOOKUP(A140,AN_SBDP8,16,FALSE)</f>
        <v>0</v>
      </c>
      <c r="AC142" s="661" t="s">
        <v>50</v>
      </c>
      <c r="AD142" s="325"/>
      <c r="AE142" s="325"/>
      <c r="AF142" s="325">
        <f>VLOOKUP(A140,AN_SBDP8,16,FALSE)</f>
        <v>0</v>
      </c>
      <c r="AG142" s="325"/>
      <c r="AH142" s="325">
        <f>VLOOKUP(A140,AN_SBDP8,16,FALSE)</f>
        <v>0</v>
      </c>
      <c r="AI142" s="661" t="s">
        <v>46</v>
      </c>
      <c r="AJ142" s="325"/>
      <c r="AK142" s="325"/>
      <c r="AL142" s="325"/>
      <c r="AM142" s="325">
        <f>VLOOKUP(A140,an_agm,52,FALSE)</f>
        <v>0</v>
      </c>
      <c r="AN142" s="325">
        <f>VLOOKUP(A140,an_agm,53,FALSE)</f>
        <v>0</v>
      </c>
      <c r="AO142" s="325"/>
      <c r="AP142" s="315" t="s">
        <v>50</v>
      </c>
      <c r="AQ142" s="325"/>
      <c r="AR142" s="325"/>
      <c r="AS142" s="325">
        <f>VLOOKUP(A140,UHT_jawa,20,FALSE)</f>
        <v>0</v>
      </c>
      <c r="AT142" s="661" t="s">
        <v>46</v>
      </c>
      <c r="AU142" s="325"/>
      <c r="AV142" s="325">
        <f>VLOOKUP(A140,AN_IPA7,16,FALSE)</f>
        <v>0</v>
      </c>
      <c r="AW142" s="661" t="s">
        <v>46</v>
      </c>
      <c r="AX142" s="325">
        <f>VLOOKUP(A140,AN_ips8,16,FALSE)</f>
        <v>0</v>
      </c>
      <c r="AY142" s="325">
        <f>VLOOKUP(A140,AN_ips8,16,FALSE)</f>
        <v>0</v>
      </c>
      <c r="AZ142" s="325">
        <f>VLOOKUP(A140,AN_ips8,16,FALSE)</f>
        <v>0</v>
      </c>
    </row>
    <row r="143" spans="1:52" x14ac:dyDescent="0.25">
      <c r="A143" s="599"/>
      <c r="B143" s="609"/>
      <c r="C143" s="71"/>
      <c r="D143" s="316" t="s">
        <v>51</v>
      </c>
      <c r="E143" s="325">
        <f>VLOOKUP(A140,AN_PKN9,16,FALSE)</f>
        <v>0</v>
      </c>
      <c r="F143" s="325"/>
      <c r="G143" s="325"/>
      <c r="H143" s="324">
        <f>AVERAGE(E143:G143)</f>
        <v>0</v>
      </c>
      <c r="I143" s="316" t="s">
        <v>52</v>
      </c>
      <c r="J143" s="1073">
        <f>VLOOKUP(A140,AN_BI9,21,FALSE)</f>
        <v>0</v>
      </c>
      <c r="K143" s="1073">
        <f>VLOOKUP(A140,AN_BI9,21,FALSE)</f>
        <v>0</v>
      </c>
      <c r="L143" s="1073">
        <f>VLOOKUP(A140,AN_BI9,21,FALSE)</f>
        <v>0</v>
      </c>
      <c r="M143" s="1073">
        <f>VLOOKUP(A140,AN_BI9,21,FALSE)</f>
        <v>0</v>
      </c>
      <c r="N143" s="1073"/>
      <c r="O143" s="545">
        <f t="shared" si="257"/>
        <v>0</v>
      </c>
      <c r="P143" s="316" t="s">
        <v>52</v>
      </c>
      <c r="Q143" s="1073">
        <f>VLOOKUP(A140,AN_MAT9,16,FALSE)</f>
        <v>0</v>
      </c>
      <c r="R143" s="1073">
        <f>VLOOKUP(A140,AN_MAT9,16,FALSE)</f>
        <v>0</v>
      </c>
      <c r="S143" s="1073">
        <f>VLOOKUP(A140,AN_MAT9,16,FALSE)</f>
        <v>0</v>
      </c>
      <c r="T143" s="1073">
        <f>VLOOKUP(A140,AN_MAT9,16,FALSE)</f>
        <v>0</v>
      </c>
      <c r="U143" s="1073">
        <f>VLOOKUP(A140,AN_MAT9,16,FALSE)</f>
        <v>0</v>
      </c>
      <c r="V143" s="1073">
        <f>VLOOKUP(A140,AN_MAT9,16,FALSE)</f>
        <v>0</v>
      </c>
      <c r="W143" s="1073">
        <f>VLOOKUP(A140,AN_MAT9,16,FALSE)</f>
        <v>0</v>
      </c>
      <c r="X143" s="316" t="s">
        <v>52</v>
      </c>
      <c r="Y143" s="325"/>
      <c r="Z143" s="325">
        <f>VLOOKUP(A140,AN_SBDP9,16,FALSE)</f>
        <v>0</v>
      </c>
      <c r="AA143" s="325">
        <f>VLOOKUP(A140,AN_SBDP9,16,FALSE)</f>
        <v>0</v>
      </c>
      <c r="AB143" s="325"/>
      <c r="AC143" s="661" t="s">
        <v>51</v>
      </c>
      <c r="AD143" s="325"/>
      <c r="AE143" s="325">
        <f>VLOOKUP(A140,AN_SBDP9,16,FALSE)</f>
        <v>0</v>
      </c>
      <c r="AF143" s="325">
        <f>VLOOKUP(A140,AN_SBDP9,16,FALSE)</f>
        <v>0</v>
      </c>
      <c r="AG143" s="325"/>
      <c r="AH143" s="325"/>
      <c r="AI143" s="661" t="s">
        <v>47</v>
      </c>
      <c r="AJ143" s="325"/>
      <c r="AK143" s="325">
        <f>VLOOKUP(A140,an_agm,50,FALSE)</f>
        <v>0</v>
      </c>
      <c r="AL143" s="325"/>
      <c r="AM143" s="325"/>
      <c r="AN143" s="325"/>
      <c r="AO143" s="325"/>
      <c r="AP143" s="315" t="s">
        <v>51</v>
      </c>
      <c r="AQ143" s="325"/>
      <c r="AR143" s="325"/>
      <c r="AS143" s="325"/>
      <c r="AT143" s="661" t="s">
        <v>47</v>
      </c>
      <c r="AU143" s="325"/>
      <c r="AV143" s="325">
        <f>VLOOKUP(A140,an_IPA9,16,FALSE)</f>
        <v>0</v>
      </c>
      <c r="AW143" s="661" t="s">
        <v>47</v>
      </c>
      <c r="AX143" s="325">
        <f>VLOOKUP(A140,AN_IPS_9,16,FALSE)</f>
        <v>0</v>
      </c>
      <c r="AY143" s="325"/>
      <c r="AZ143" s="325">
        <f>VLOOKUP(A140,AN_IPS_9,16,FALSE)</f>
        <v>0</v>
      </c>
    </row>
    <row r="144" spans="1:52" x14ac:dyDescent="0.25">
      <c r="A144" s="599"/>
      <c r="B144" s="609"/>
      <c r="C144" s="71"/>
      <c r="D144" s="316"/>
      <c r="E144" s="1073"/>
      <c r="F144" s="1073"/>
      <c r="G144" s="1073"/>
      <c r="H144" s="1074"/>
      <c r="I144" s="316"/>
      <c r="J144" s="1073"/>
      <c r="K144" s="1073"/>
      <c r="L144" s="1073"/>
      <c r="M144" s="1073"/>
      <c r="N144" s="1073"/>
      <c r="O144" s="1074"/>
      <c r="P144" s="315"/>
      <c r="Q144" s="1073"/>
      <c r="R144" s="1073"/>
      <c r="S144" s="1073"/>
      <c r="T144" s="1073"/>
      <c r="U144" s="1073"/>
      <c r="V144" s="1073"/>
      <c r="W144" s="1073"/>
      <c r="X144" s="315"/>
      <c r="Y144" s="325"/>
      <c r="Z144" s="325"/>
      <c r="AA144" s="325"/>
      <c r="AB144" s="325"/>
      <c r="AC144" s="661"/>
      <c r="AD144" s="1073"/>
      <c r="AE144" s="1073"/>
      <c r="AF144" s="1112"/>
      <c r="AG144" s="1112"/>
      <c r="AH144" s="1112"/>
      <c r="AI144" s="661" t="s">
        <v>48</v>
      </c>
      <c r="AJ144" s="325"/>
      <c r="AK144" s="325"/>
      <c r="AL144" s="325"/>
      <c r="AM144" s="325"/>
      <c r="AN144" s="325"/>
      <c r="AO144" s="325">
        <f>VLOOKUP(A140,an_agm,54,FALSE)</f>
        <v>0</v>
      </c>
      <c r="AP144" s="315"/>
      <c r="AQ144" s="1136"/>
      <c r="AR144" s="1136"/>
      <c r="AS144" s="1136"/>
      <c r="AT144" s="661"/>
      <c r="AU144" s="325"/>
      <c r="AV144" s="325"/>
      <c r="AW144" s="661"/>
      <c r="AX144" s="325"/>
      <c r="AY144" s="325"/>
      <c r="AZ144" s="325"/>
    </row>
    <row r="145" spans="1:52" x14ac:dyDescent="0.25">
      <c r="A145" s="604"/>
      <c r="B145" s="611">
        <v>23</v>
      </c>
      <c r="C145" s="72"/>
      <c r="D145" s="317" t="s">
        <v>214</v>
      </c>
      <c r="E145" s="318">
        <f>IFERROR(AVERAGE(E140:E144),"  ")</f>
        <v>0</v>
      </c>
      <c r="F145" s="318">
        <f t="shared" ref="F145:G145" si="258">IFERROR(AVERAGE(F140:F144),"  ")</f>
        <v>0</v>
      </c>
      <c r="G145" s="318">
        <f t="shared" si="258"/>
        <v>0</v>
      </c>
      <c r="H145" s="323"/>
      <c r="I145" s="317" t="s">
        <v>214</v>
      </c>
      <c r="J145" s="318">
        <f>IFERROR(AVERAGE(J140:J144),"  ")</f>
        <v>0</v>
      </c>
      <c r="K145" s="318">
        <f t="shared" ref="K145:M145" si="259">IFERROR(AVERAGE(K140:K144),"  ")</f>
        <v>0</v>
      </c>
      <c r="L145" s="318">
        <f t="shared" si="259"/>
        <v>0</v>
      </c>
      <c r="M145" s="318">
        <f t="shared" si="259"/>
        <v>0</v>
      </c>
      <c r="N145" s="318">
        <f>IFERROR(AVERAGE(N140:N144),"  ")</f>
        <v>0</v>
      </c>
      <c r="O145" s="597"/>
      <c r="P145" s="317" t="s">
        <v>214</v>
      </c>
      <c r="Q145" s="318">
        <f>IFERROR(AVERAGE(Q140:Q144),"  ")</f>
        <v>0</v>
      </c>
      <c r="R145" s="318">
        <f t="shared" ref="R145:W145" si="260">IFERROR(AVERAGE(R140:R144),"  ")</f>
        <v>0</v>
      </c>
      <c r="S145" s="318">
        <f t="shared" si="260"/>
        <v>0</v>
      </c>
      <c r="T145" s="318">
        <f t="shared" si="260"/>
        <v>0</v>
      </c>
      <c r="U145" s="318">
        <f t="shared" si="260"/>
        <v>0</v>
      </c>
      <c r="V145" s="318">
        <f t="shared" si="260"/>
        <v>0</v>
      </c>
      <c r="W145" s="318">
        <f t="shared" si="260"/>
        <v>0</v>
      </c>
      <c r="X145" s="317" t="s">
        <v>214</v>
      </c>
      <c r="Y145" s="318">
        <f t="shared" ref="Y145:AB145" si="261">IFERROR(AVERAGE(Y140:Y144),"  ")</f>
        <v>0</v>
      </c>
      <c r="Z145" s="318">
        <f t="shared" si="261"/>
        <v>0</v>
      </c>
      <c r="AA145" s="318">
        <f t="shared" si="261"/>
        <v>0</v>
      </c>
      <c r="AB145" s="318">
        <f t="shared" si="261"/>
        <v>0</v>
      </c>
      <c r="AC145" s="317" t="s">
        <v>214</v>
      </c>
      <c r="AD145" s="318">
        <f t="shared" ref="AD145:AH145" si="262">IFERROR(AVERAGE(AD140:AD144),"  ")</f>
        <v>0</v>
      </c>
      <c r="AE145" s="318">
        <f t="shared" si="262"/>
        <v>0</v>
      </c>
      <c r="AF145" s="318">
        <f t="shared" si="262"/>
        <v>0</v>
      </c>
      <c r="AG145" s="318">
        <f t="shared" si="262"/>
        <v>0</v>
      </c>
      <c r="AH145" s="318">
        <f t="shared" si="262"/>
        <v>0</v>
      </c>
      <c r="AI145" s="317" t="s">
        <v>214</v>
      </c>
      <c r="AJ145" s="318">
        <f t="shared" ref="AJ145:AO145" si="263">IFERROR(AVERAGE(AJ140:AJ144),"  ")</f>
        <v>0</v>
      </c>
      <c r="AK145" s="318">
        <f t="shared" si="263"/>
        <v>0</v>
      </c>
      <c r="AL145" s="318">
        <f t="shared" si="263"/>
        <v>0</v>
      </c>
      <c r="AM145" s="318">
        <f t="shared" si="263"/>
        <v>0</v>
      </c>
      <c r="AN145" s="318">
        <f t="shared" si="263"/>
        <v>0</v>
      </c>
      <c r="AO145" s="318">
        <f t="shared" si="263"/>
        <v>0</v>
      </c>
      <c r="AP145" s="317" t="s">
        <v>214</v>
      </c>
      <c r="AQ145" s="318">
        <f t="shared" ref="AQ145:AS145" si="264">IFERROR(AVERAGE(AQ140:AQ144),"  ")</f>
        <v>0</v>
      </c>
      <c r="AR145" s="318">
        <f t="shared" si="264"/>
        <v>0</v>
      </c>
      <c r="AS145" s="318">
        <f t="shared" si="264"/>
        <v>0</v>
      </c>
      <c r="AT145" s="317" t="s">
        <v>214</v>
      </c>
      <c r="AU145" s="318">
        <f t="shared" ref="AU145:AV145" si="265">IFERROR(AVERAGE(AU140:AU144),"  ")</f>
        <v>0</v>
      </c>
      <c r="AV145" s="318">
        <f t="shared" si="265"/>
        <v>0</v>
      </c>
      <c r="AW145" s="317" t="s">
        <v>214</v>
      </c>
      <c r="AX145" s="318">
        <f t="shared" ref="AX145:AZ145" si="266">IFERROR(AVERAGE(AX140:AX144),"  ")</f>
        <v>0</v>
      </c>
      <c r="AY145" s="318">
        <f t="shared" si="266"/>
        <v>0</v>
      </c>
      <c r="AZ145" s="318">
        <f t="shared" si="266"/>
        <v>0</v>
      </c>
    </row>
    <row r="146" spans="1:52" x14ac:dyDescent="0.25">
      <c r="A146" s="599">
        <v>24</v>
      </c>
      <c r="B146" s="608"/>
      <c r="C146" s="292" t="str">
        <f>VLOOKUP(A146,data_siswa,4,FALSE)</f>
        <v>Romzy Oka Ramadhani P</v>
      </c>
      <c r="D146" s="316" t="s">
        <v>156</v>
      </c>
      <c r="E146" s="1073"/>
      <c r="F146" s="1073">
        <f>VLOOKUP(A146,AN_PKN6_KI3,13,FALSE)</f>
        <v>0</v>
      </c>
      <c r="G146" s="1073"/>
      <c r="H146" s="324">
        <f>AVERAGE(E146:G146)</f>
        <v>0</v>
      </c>
      <c r="I146" s="316" t="s">
        <v>26</v>
      </c>
      <c r="J146" s="1073"/>
      <c r="K146" s="1073"/>
      <c r="L146" s="1073"/>
      <c r="M146" s="1073">
        <f>VLOOKUP(A146,AN_BI6,19,FALSE)</f>
        <v>0</v>
      </c>
      <c r="N146" s="1073">
        <f>VLOOKUP(A146,AN_BI6,19,FALSE)</f>
        <v>0</v>
      </c>
      <c r="O146" s="545">
        <f>AVERAGE(J146:N146)</f>
        <v>0</v>
      </c>
      <c r="P146" s="316" t="s">
        <v>26</v>
      </c>
      <c r="Q146" s="1073"/>
      <c r="R146" s="1073">
        <f>VLOOKUP(A146,AN_MAT6,16,FALSE)</f>
        <v>0</v>
      </c>
      <c r="S146" s="1073"/>
      <c r="T146" s="1073">
        <f>VLOOKUP(A146,AN_MAT6,16,FALSE)</f>
        <v>0</v>
      </c>
      <c r="U146" s="1073"/>
      <c r="V146" s="1073"/>
      <c r="W146" s="1073"/>
      <c r="X146" s="316" t="s">
        <v>26</v>
      </c>
      <c r="Y146" s="325"/>
      <c r="Z146" s="325"/>
      <c r="AA146" s="325"/>
      <c r="AB146" s="325">
        <f>VLOOKUP(A146,AN_SBDP6,16,FALSE)</f>
        <v>0</v>
      </c>
      <c r="AC146" s="661" t="s">
        <v>156</v>
      </c>
      <c r="AD146" s="325">
        <f>VLOOKUP(A146,AN_SBDP6,16,FALSE)</f>
        <v>0</v>
      </c>
      <c r="AE146" s="325">
        <f>VLOOKUP(A146,AN_SBDP6,16,FALSE)</f>
        <v>0</v>
      </c>
      <c r="AF146" s="325"/>
      <c r="AG146" s="325"/>
      <c r="AH146" s="325">
        <f>VLOOKUP(A146,AN_SBDP6,16,FALSE)</f>
        <v>0</v>
      </c>
      <c r="AI146" s="661" t="s">
        <v>44</v>
      </c>
      <c r="AJ146" s="325"/>
      <c r="AK146" s="325"/>
      <c r="AL146" s="325">
        <f>VLOOKUP(A146,an_agm,51,FALSE)</f>
        <v>0</v>
      </c>
      <c r="AM146" s="325"/>
      <c r="AN146" s="325"/>
      <c r="AO146" s="325"/>
      <c r="AP146" s="315" t="s">
        <v>156</v>
      </c>
      <c r="AQ146" s="325">
        <f>VLOOKUP(A146,UHT_jawa,18,FALSE)</f>
        <v>0</v>
      </c>
      <c r="AR146" s="325"/>
      <c r="AS146" s="325"/>
      <c r="AT146" s="661" t="s">
        <v>44</v>
      </c>
      <c r="AU146" s="325"/>
      <c r="AV146" s="325">
        <f>VLOOKUP(A146,AN_ipa6,16,FALSE)</f>
        <v>0</v>
      </c>
      <c r="AW146" s="661" t="s">
        <v>44</v>
      </c>
      <c r="AX146" s="325"/>
      <c r="AY146" s="325"/>
      <c r="AZ146" s="325">
        <f>VLOOKUP(A146,AN_IPS6,16,FALSE)</f>
        <v>0</v>
      </c>
    </row>
    <row r="147" spans="1:52" x14ac:dyDescent="0.25">
      <c r="A147" s="599"/>
      <c r="B147" s="609"/>
      <c r="C147" s="71"/>
      <c r="D147" s="316" t="s">
        <v>26</v>
      </c>
      <c r="E147" s="1073">
        <f>VLOOKUP(A146,AN_PKN7,12,FALSE)</f>
        <v>0</v>
      </c>
      <c r="F147" s="1073">
        <f>VLOOKUP(A146,AN_PKN7,12,FALSE)</f>
        <v>0</v>
      </c>
      <c r="G147" s="1073">
        <f>VLOOKUP(A146,AN_PKN7,12,FALSE)</f>
        <v>0</v>
      </c>
      <c r="H147" s="324">
        <f>AVERAGE(E147:G147)</f>
        <v>0</v>
      </c>
      <c r="I147" s="316" t="s">
        <v>50</v>
      </c>
      <c r="J147" s="1073">
        <f>VLOOKUP(A146,AN_BI7,21,FALSE)</f>
        <v>0</v>
      </c>
      <c r="K147" s="1073">
        <f>VLOOKUP(A146,AN_BI7,21,FALSE)</f>
        <v>0</v>
      </c>
      <c r="L147" s="1073">
        <f>VLOOKUP(A146,AN_BI7,21,FALSE)</f>
        <v>0</v>
      </c>
      <c r="M147" s="1073">
        <f>VLOOKUP(A146,AN_BI7,21,FALSE)</f>
        <v>0</v>
      </c>
      <c r="N147" s="1073"/>
      <c r="O147" s="545">
        <f t="shared" ref="O147:O149" si="267">AVERAGE(J147:N147)</f>
        <v>0</v>
      </c>
      <c r="P147" s="316" t="s">
        <v>50</v>
      </c>
      <c r="Q147" s="1073"/>
      <c r="R147" s="1073"/>
      <c r="S147" s="1073">
        <f>VLOOKUP(A146,AN_MAT7,16,FALSE)</f>
        <v>0</v>
      </c>
      <c r="T147" s="1073">
        <f>VLOOKUP(A146,AN_MAT7,16,FALSE)</f>
        <v>0</v>
      </c>
      <c r="U147" s="1073">
        <f>VLOOKUP(A146,AN_MAT7,16,FALSE)</f>
        <v>0</v>
      </c>
      <c r="V147" s="1073">
        <f>VLOOKUP(A146,AN_MAT7,16,FALSE)</f>
        <v>0</v>
      </c>
      <c r="W147" s="1073"/>
      <c r="X147" s="316" t="s">
        <v>50</v>
      </c>
      <c r="Y147" s="325">
        <f>VLOOKUP(A146,AN_SBDP7,16,FALSE)</f>
        <v>0</v>
      </c>
      <c r="Z147" s="325">
        <f>VLOOKUP(A146,AN_SBDP7,16,FALSE)</f>
        <v>0</v>
      </c>
      <c r="AA147" s="325"/>
      <c r="AB147" s="325">
        <f>VLOOKUP(A146,AN_SBDP7,16,FALSE)</f>
        <v>0</v>
      </c>
      <c r="AC147" s="661" t="s">
        <v>26</v>
      </c>
      <c r="AD147" s="325"/>
      <c r="AE147" s="325"/>
      <c r="AF147" s="325">
        <f>VLOOKUP(A146,AN_SBDP7,16,FALSE)</f>
        <v>0</v>
      </c>
      <c r="AG147" s="325">
        <f>VLOOKUP(A146,AN_SBDP7,16,FALSE)</f>
        <v>0</v>
      </c>
      <c r="AH147" s="325"/>
      <c r="AI147" s="661" t="s">
        <v>45</v>
      </c>
      <c r="AJ147" s="325">
        <f>VLOOKUP(A146,an_agm,49,FALSE)</f>
        <v>0</v>
      </c>
      <c r="AK147" s="325"/>
      <c r="AL147" s="325"/>
      <c r="AM147" s="325"/>
      <c r="AN147" s="325"/>
      <c r="AO147" s="325"/>
      <c r="AP147" s="315" t="s">
        <v>26</v>
      </c>
      <c r="AQ147" s="325"/>
      <c r="AR147" s="325">
        <f>VLOOKUP(A146,UHT_jawa,19,FALSE)</f>
        <v>0</v>
      </c>
      <c r="AS147" s="325"/>
      <c r="AT147" s="661" t="s">
        <v>45</v>
      </c>
      <c r="AU147" s="325">
        <f>VLOOKUP(A146,AN_IPA7,16,FALSE)</f>
        <v>0</v>
      </c>
      <c r="AV147" s="325">
        <f>VLOOKUP(A146,AN_IPA7,16,FALSE)</f>
        <v>0</v>
      </c>
      <c r="AW147" s="661" t="s">
        <v>45</v>
      </c>
      <c r="AX147" s="325">
        <f>VLOOKUP(A146,an_ips7,16,FALSE)</f>
        <v>0</v>
      </c>
      <c r="AY147" s="325">
        <f>VLOOKUP(A146,an_ips7,16,FALSE)</f>
        <v>0</v>
      </c>
      <c r="AZ147" s="325">
        <f>VLOOKUP(A146,an_ips7,16,FALSE)</f>
        <v>0</v>
      </c>
    </row>
    <row r="148" spans="1:52" x14ac:dyDescent="0.25">
      <c r="A148" s="599"/>
      <c r="B148" s="609"/>
      <c r="C148" s="71"/>
      <c r="D148" s="316" t="s">
        <v>50</v>
      </c>
      <c r="E148" s="1073"/>
      <c r="F148" s="1073">
        <f>VLOOKUP(A146,AN_PKN8,17,FALSE)</f>
        <v>0</v>
      </c>
      <c r="G148" s="1073">
        <f>VLOOKUP(A146,AN_PKN8,17,FALSE)</f>
        <v>0</v>
      </c>
      <c r="H148" s="324">
        <f>AVERAGE(E148:G148)</f>
        <v>0</v>
      </c>
      <c r="I148" s="316" t="s">
        <v>51</v>
      </c>
      <c r="J148" s="1073">
        <f>VLOOKUP(A146,AN_BI8,19,FALSE)</f>
        <v>0</v>
      </c>
      <c r="K148" s="1073"/>
      <c r="L148" s="1073"/>
      <c r="M148" s="1073">
        <f>VLOOKUP(A146,AN_BI8,19,FALSE)</f>
        <v>0</v>
      </c>
      <c r="N148" s="1073"/>
      <c r="O148" s="545">
        <f t="shared" si="267"/>
        <v>0</v>
      </c>
      <c r="P148" s="316" t="s">
        <v>51</v>
      </c>
      <c r="Q148" s="1073">
        <f>VLOOKUP(A146,AN_MAT8,16,FALSE)</f>
        <v>0</v>
      </c>
      <c r="R148" s="1073">
        <f>VLOOKUP(A146,AN_MAT8,16,FALSE)</f>
        <v>0</v>
      </c>
      <c r="S148" s="1073"/>
      <c r="T148" s="1073"/>
      <c r="U148" s="1073"/>
      <c r="V148" s="1073"/>
      <c r="W148" s="1073">
        <f>VLOOKUP(A146,AN_MAT8,16,FALSE)</f>
        <v>0</v>
      </c>
      <c r="X148" s="316" t="s">
        <v>51</v>
      </c>
      <c r="Y148" s="325"/>
      <c r="Z148" s="325">
        <f>VLOOKUP(A146,AN_SBDP8,16,FALSE)</f>
        <v>0</v>
      </c>
      <c r="AA148" s="325"/>
      <c r="AB148" s="325">
        <f>VLOOKUP(A146,AN_SBDP8,16,FALSE)</f>
        <v>0</v>
      </c>
      <c r="AC148" s="661" t="s">
        <v>50</v>
      </c>
      <c r="AD148" s="325"/>
      <c r="AE148" s="325"/>
      <c r="AF148" s="325">
        <f>VLOOKUP(A146,AN_SBDP8,16,FALSE)</f>
        <v>0</v>
      </c>
      <c r="AG148" s="325"/>
      <c r="AH148" s="325">
        <f>VLOOKUP(A146,AN_SBDP8,16,FALSE)</f>
        <v>0</v>
      </c>
      <c r="AI148" s="661" t="s">
        <v>46</v>
      </c>
      <c r="AJ148" s="325"/>
      <c r="AK148" s="325"/>
      <c r="AL148" s="325"/>
      <c r="AM148" s="325">
        <f>VLOOKUP(A146,an_agm,52,FALSE)</f>
        <v>0</v>
      </c>
      <c r="AN148" s="325">
        <f>VLOOKUP(A146,an_agm,53,FALSE)</f>
        <v>0</v>
      </c>
      <c r="AO148" s="325"/>
      <c r="AP148" s="315" t="s">
        <v>50</v>
      </c>
      <c r="AQ148" s="325"/>
      <c r="AR148" s="325"/>
      <c r="AS148" s="325">
        <f>VLOOKUP(A146,UHT_jawa,20,FALSE)</f>
        <v>0</v>
      </c>
      <c r="AT148" s="661" t="s">
        <v>46</v>
      </c>
      <c r="AU148" s="325"/>
      <c r="AV148" s="325">
        <f>VLOOKUP(A146,AN_IPA7,16,FALSE)</f>
        <v>0</v>
      </c>
      <c r="AW148" s="661" t="s">
        <v>46</v>
      </c>
      <c r="AX148" s="325">
        <f>VLOOKUP(A146,AN_ips8,16,FALSE)</f>
        <v>0</v>
      </c>
      <c r="AY148" s="325">
        <f>VLOOKUP(A146,AN_ips8,16,FALSE)</f>
        <v>0</v>
      </c>
      <c r="AZ148" s="325">
        <f>VLOOKUP(A146,AN_ips8,16,FALSE)</f>
        <v>0</v>
      </c>
    </row>
    <row r="149" spans="1:52" x14ac:dyDescent="0.25">
      <c r="A149" s="599"/>
      <c r="B149" s="609"/>
      <c r="C149" s="71"/>
      <c r="D149" s="316" t="s">
        <v>51</v>
      </c>
      <c r="E149" s="325">
        <f>VLOOKUP(A146,AN_PKN9,16,FALSE)</f>
        <v>0</v>
      </c>
      <c r="F149" s="325"/>
      <c r="G149" s="325"/>
      <c r="H149" s="324">
        <f>AVERAGE(E149:G149)</f>
        <v>0</v>
      </c>
      <c r="I149" s="316" t="s">
        <v>52</v>
      </c>
      <c r="J149" s="1073">
        <f>VLOOKUP(A146,AN_BI9,21,FALSE)</f>
        <v>0</v>
      </c>
      <c r="K149" s="1073">
        <f>VLOOKUP(A146,AN_BI9,21,FALSE)</f>
        <v>0</v>
      </c>
      <c r="L149" s="1073">
        <f>VLOOKUP(A146,AN_BI9,21,FALSE)</f>
        <v>0</v>
      </c>
      <c r="M149" s="1073">
        <f>VLOOKUP(A146,AN_BI9,21,FALSE)</f>
        <v>0</v>
      </c>
      <c r="N149" s="1073"/>
      <c r="O149" s="545">
        <f t="shared" si="267"/>
        <v>0</v>
      </c>
      <c r="P149" s="316" t="s">
        <v>52</v>
      </c>
      <c r="Q149" s="1073">
        <f>VLOOKUP(A146,AN_MAT9,16,FALSE)</f>
        <v>0</v>
      </c>
      <c r="R149" s="1073">
        <f>VLOOKUP(A146,AN_MAT9,16,FALSE)</f>
        <v>0</v>
      </c>
      <c r="S149" s="1073">
        <f>VLOOKUP(A146,AN_MAT9,16,FALSE)</f>
        <v>0</v>
      </c>
      <c r="T149" s="1073">
        <f>VLOOKUP(A146,AN_MAT9,16,FALSE)</f>
        <v>0</v>
      </c>
      <c r="U149" s="1073">
        <f>VLOOKUP(A146,AN_MAT9,16,FALSE)</f>
        <v>0</v>
      </c>
      <c r="V149" s="1073">
        <f>VLOOKUP(A146,AN_MAT9,16,FALSE)</f>
        <v>0</v>
      </c>
      <c r="W149" s="1073">
        <f>VLOOKUP(A146,AN_MAT9,16,FALSE)</f>
        <v>0</v>
      </c>
      <c r="X149" s="316" t="s">
        <v>52</v>
      </c>
      <c r="Y149" s="325"/>
      <c r="Z149" s="325">
        <f>VLOOKUP(A146,AN_SBDP9,16,FALSE)</f>
        <v>0</v>
      </c>
      <c r="AA149" s="325">
        <f>VLOOKUP(A146,AN_SBDP9,16,FALSE)</f>
        <v>0</v>
      </c>
      <c r="AB149" s="325"/>
      <c r="AC149" s="661" t="s">
        <v>51</v>
      </c>
      <c r="AD149" s="325"/>
      <c r="AE149" s="325">
        <f>VLOOKUP(A146,AN_SBDP9,16,FALSE)</f>
        <v>0</v>
      </c>
      <c r="AF149" s="325">
        <f>VLOOKUP(A146,AN_SBDP9,16,FALSE)</f>
        <v>0</v>
      </c>
      <c r="AG149" s="325"/>
      <c r="AH149" s="325"/>
      <c r="AI149" s="661" t="s">
        <v>47</v>
      </c>
      <c r="AJ149" s="325"/>
      <c r="AK149" s="325">
        <f>VLOOKUP(A146,an_agm,50,FALSE)</f>
        <v>0</v>
      </c>
      <c r="AL149" s="325"/>
      <c r="AM149" s="325"/>
      <c r="AN149" s="325"/>
      <c r="AO149" s="325"/>
      <c r="AP149" s="315" t="s">
        <v>51</v>
      </c>
      <c r="AQ149" s="325"/>
      <c r="AR149" s="325"/>
      <c r="AS149" s="325"/>
      <c r="AT149" s="661" t="s">
        <v>47</v>
      </c>
      <c r="AU149" s="325"/>
      <c r="AV149" s="325">
        <f>VLOOKUP(A146,an_IPA9,16,FALSE)</f>
        <v>0</v>
      </c>
      <c r="AW149" s="661" t="s">
        <v>47</v>
      </c>
      <c r="AX149" s="325">
        <f>VLOOKUP(A146,AN_IPS_9,16,FALSE)</f>
        <v>0</v>
      </c>
      <c r="AY149" s="325"/>
      <c r="AZ149" s="325">
        <f>VLOOKUP(A146,AN_IPS_9,16,FALSE)</f>
        <v>0</v>
      </c>
    </row>
    <row r="150" spans="1:52" x14ac:dyDescent="0.25">
      <c r="A150" s="599"/>
      <c r="B150" s="609"/>
      <c r="C150" s="71"/>
      <c r="D150" s="316"/>
      <c r="E150" s="1073"/>
      <c r="F150" s="1073"/>
      <c r="G150" s="1073"/>
      <c r="H150" s="1074"/>
      <c r="I150" s="316"/>
      <c r="J150" s="1073"/>
      <c r="K150" s="1073"/>
      <c r="L150" s="1073"/>
      <c r="M150" s="1073"/>
      <c r="N150" s="1073"/>
      <c r="O150" s="1074"/>
      <c r="P150" s="315"/>
      <c r="Q150" s="1073"/>
      <c r="R150" s="1073"/>
      <c r="S150" s="1073"/>
      <c r="T150" s="1073"/>
      <c r="U150" s="1073"/>
      <c r="V150" s="1073"/>
      <c r="W150" s="1073"/>
      <c r="X150" s="315"/>
      <c r="Y150" s="325"/>
      <c r="Z150" s="325"/>
      <c r="AA150" s="325"/>
      <c r="AB150" s="325"/>
      <c r="AC150" s="661"/>
      <c r="AD150" s="1073"/>
      <c r="AE150" s="1073"/>
      <c r="AF150" s="1112"/>
      <c r="AG150" s="1112"/>
      <c r="AH150" s="1112"/>
      <c r="AI150" s="661" t="s">
        <v>48</v>
      </c>
      <c r="AJ150" s="325"/>
      <c r="AK150" s="325"/>
      <c r="AL150" s="325"/>
      <c r="AM150" s="325"/>
      <c r="AN150" s="325"/>
      <c r="AO150" s="325">
        <f>VLOOKUP(A146,an_agm,54,FALSE)</f>
        <v>0</v>
      </c>
      <c r="AP150" s="315"/>
      <c r="AQ150" s="1136"/>
      <c r="AR150" s="1136"/>
      <c r="AS150" s="1136"/>
      <c r="AT150" s="315"/>
      <c r="AU150" s="325"/>
      <c r="AV150" s="325"/>
      <c r="AW150" s="315"/>
      <c r="AX150" s="325"/>
      <c r="AY150" s="325"/>
      <c r="AZ150" s="325"/>
    </row>
    <row r="151" spans="1:52" x14ac:dyDescent="0.25">
      <c r="A151" s="604"/>
      <c r="B151" s="611">
        <v>24</v>
      </c>
      <c r="C151" s="72"/>
      <c r="D151" s="317" t="s">
        <v>214</v>
      </c>
      <c r="E151" s="318">
        <f>IFERROR(AVERAGE(E146:E150),"  ")</f>
        <v>0</v>
      </c>
      <c r="F151" s="318">
        <f t="shared" ref="F151:G151" si="268">IFERROR(AVERAGE(F146:F150),"  ")</f>
        <v>0</v>
      </c>
      <c r="G151" s="318">
        <f t="shared" si="268"/>
        <v>0</v>
      </c>
      <c r="H151" s="323"/>
      <c r="I151" s="317" t="s">
        <v>214</v>
      </c>
      <c r="J151" s="318">
        <f>IFERROR(AVERAGE(J146:J150),"  ")</f>
        <v>0</v>
      </c>
      <c r="K151" s="318">
        <f t="shared" ref="K151:M151" si="269">IFERROR(AVERAGE(K146:K150),"  ")</f>
        <v>0</v>
      </c>
      <c r="L151" s="318">
        <f t="shared" si="269"/>
        <v>0</v>
      </c>
      <c r="M151" s="318">
        <f t="shared" si="269"/>
        <v>0</v>
      </c>
      <c r="N151" s="318">
        <f>IFERROR(AVERAGE(N146:N150),"  ")</f>
        <v>0</v>
      </c>
      <c r="O151" s="597"/>
      <c r="P151" s="317" t="s">
        <v>214</v>
      </c>
      <c r="Q151" s="318">
        <f>IFERROR(AVERAGE(Q146:Q150),"  ")</f>
        <v>0</v>
      </c>
      <c r="R151" s="318">
        <f t="shared" ref="R151:W151" si="270">IFERROR(AVERAGE(R146:R150),"  ")</f>
        <v>0</v>
      </c>
      <c r="S151" s="318">
        <f t="shared" si="270"/>
        <v>0</v>
      </c>
      <c r="T151" s="318">
        <f t="shared" si="270"/>
        <v>0</v>
      </c>
      <c r="U151" s="318">
        <f t="shared" si="270"/>
        <v>0</v>
      </c>
      <c r="V151" s="318">
        <f t="shared" si="270"/>
        <v>0</v>
      </c>
      <c r="W151" s="318">
        <f t="shared" si="270"/>
        <v>0</v>
      </c>
      <c r="X151" s="317" t="s">
        <v>214</v>
      </c>
      <c r="Y151" s="318">
        <f t="shared" ref="Y151:AB151" si="271">IFERROR(AVERAGE(Y146:Y150),"  ")</f>
        <v>0</v>
      </c>
      <c r="Z151" s="318">
        <f t="shared" si="271"/>
        <v>0</v>
      </c>
      <c r="AA151" s="318">
        <f t="shared" si="271"/>
        <v>0</v>
      </c>
      <c r="AB151" s="318">
        <f t="shared" si="271"/>
        <v>0</v>
      </c>
      <c r="AC151" s="317" t="s">
        <v>214</v>
      </c>
      <c r="AD151" s="318">
        <f t="shared" ref="AD151:AH151" si="272">IFERROR(AVERAGE(AD146:AD150),"  ")</f>
        <v>0</v>
      </c>
      <c r="AE151" s="318">
        <f t="shared" si="272"/>
        <v>0</v>
      </c>
      <c r="AF151" s="318">
        <f t="shared" si="272"/>
        <v>0</v>
      </c>
      <c r="AG151" s="318">
        <f t="shared" si="272"/>
        <v>0</v>
      </c>
      <c r="AH151" s="318">
        <f t="shared" si="272"/>
        <v>0</v>
      </c>
      <c r="AI151" s="317" t="s">
        <v>214</v>
      </c>
      <c r="AJ151" s="318">
        <f t="shared" ref="AJ151:AO151" si="273">IFERROR(AVERAGE(AJ146:AJ150),"  ")</f>
        <v>0</v>
      </c>
      <c r="AK151" s="318">
        <f t="shared" si="273"/>
        <v>0</v>
      </c>
      <c r="AL151" s="318">
        <f t="shared" si="273"/>
        <v>0</v>
      </c>
      <c r="AM151" s="318">
        <f t="shared" si="273"/>
        <v>0</v>
      </c>
      <c r="AN151" s="318">
        <f t="shared" si="273"/>
        <v>0</v>
      </c>
      <c r="AO151" s="318">
        <f t="shared" si="273"/>
        <v>0</v>
      </c>
      <c r="AP151" s="317" t="s">
        <v>214</v>
      </c>
      <c r="AQ151" s="318">
        <f t="shared" ref="AQ151:AS151" si="274">IFERROR(AVERAGE(AQ146:AQ150),"  ")</f>
        <v>0</v>
      </c>
      <c r="AR151" s="318">
        <f t="shared" si="274"/>
        <v>0</v>
      </c>
      <c r="AS151" s="318">
        <f t="shared" si="274"/>
        <v>0</v>
      </c>
      <c r="AT151" s="317" t="s">
        <v>214</v>
      </c>
      <c r="AU151" s="318">
        <f t="shared" ref="AU151:AV151" si="275">IFERROR(AVERAGE(AU146:AU150),"  ")</f>
        <v>0</v>
      </c>
      <c r="AV151" s="318">
        <f t="shared" si="275"/>
        <v>0</v>
      </c>
      <c r="AW151" s="317" t="s">
        <v>214</v>
      </c>
      <c r="AX151" s="318">
        <f t="shared" ref="AX151:AZ151" si="276">IFERROR(AVERAGE(AX146:AX150),"  ")</f>
        <v>0</v>
      </c>
      <c r="AY151" s="318">
        <f t="shared" si="276"/>
        <v>0</v>
      </c>
      <c r="AZ151" s="318">
        <f t="shared" si="276"/>
        <v>0</v>
      </c>
    </row>
    <row r="152" spans="1:52" x14ac:dyDescent="0.25">
      <c r="A152" s="599">
        <v>25</v>
      </c>
      <c r="B152" s="608"/>
      <c r="C152" s="292" t="str">
        <f>VLOOKUP(A152,data_siswa,4,FALSE)</f>
        <v>Larasati Jagadhita P</v>
      </c>
      <c r="D152" s="316" t="s">
        <v>156</v>
      </c>
      <c r="E152" s="1073"/>
      <c r="F152" s="1073">
        <f>VLOOKUP(A152,AN_PKN6_KI3,13,FALSE)</f>
        <v>0</v>
      </c>
      <c r="G152" s="1073"/>
      <c r="H152" s="324">
        <f>AVERAGE(E152:G152)</f>
        <v>0</v>
      </c>
      <c r="I152" s="316" t="s">
        <v>26</v>
      </c>
      <c r="J152" s="1073"/>
      <c r="K152" s="1073"/>
      <c r="L152" s="1073"/>
      <c r="M152" s="1073">
        <f>VLOOKUP(A152,AN_BI6,19,FALSE)</f>
        <v>0</v>
      </c>
      <c r="N152" s="1073">
        <f>VLOOKUP(A152,AN_BI6,19,FALSE)</f>
        <v>0</v>
      </c>
      <c r="O152" s="545">
        <f>AVERAGE(J152:N152)</f>
        <v>0</v>
      </c>
      <c r="P152" s="316" t="s">
        <v>26</v>
      </c>
      <c r="Q152" s="1073"/>
      <c r="R152" s="1073">
        <f>VLOOKUP(A152,AN_MAT6,16,FALSE)</f>
        <v>0</v>
      </c>
      <c r="S152" s="1073"/>
      <c r="T152" s="1073">
        <f>VLOOKUP(A152,AN_MAT6,16,FALSE)</f>
        <v>0</v>
      </c>
      <c r="U152" s="1073"/>
      <c r="V152" s="1073"/>
      <c r="W152" s="1073"/>
      <c r="X152" s="316" t="s">
        <v>26</v>
      </c>
      <c r="Y152" s="325"/>
      <c r="Z152" s="325"/>
      <c r="AA152" s="325"/>
      <c r="AB152" s="325">
        <f>VLOOKUP(A152,AN_SBDP6,16,FALSE)</f>
        <v>0</v>
      </c>
      <c r="AC152" s="661" t="s">
        <v>156</v>
      </c>
      <c r="AD152" s="325">
        <f>VLOOKUP(A152,AN_SBDP6,16,FALSE)</f>
        <v>0</v>
      </c>
      <c r="AE152" s="325">
        <f>VLOOKUP(A152,AN_SBDP6,16,FALSE)</f>
        <v>0</v>
      </c>
      <c r="AF152" s="325"/>
      <c r="AG152" s="325"/>
      <c r="AH152" s="325">
        <f>VLOOKUP(A152,AN_SBDP6,16,FALSE)</f>
        <v>0</v>
      </c>
      <c r="AI152" s="661" t="s">
        <v>44</v>
      </c>
      <c r="AJ152" s="325"/>
      <c r="AK152" s="325"/>
      <c r="AL152" s="325">
        <f>VLOOKUP(A152,an_agm,51,FALSE)</f>
        <v>0</v>
      </c>
      <c r="AM152" s="325"/>
      <c r="AN152" s="325"/>
      <c r="AO152" s="325"/>
      <c r="AP152" s="315" t="s">
        <v>156</v>
      </c>
      <c r="AQ152" s="325">
        <f>VLOOKUP(A152,UHT_jawa,18,FALSE)</f>
        <v>0</v>
      </c>
      <c r="AR152" s="325"/>
      <c r="AS152" s="325"/>
      <c r="AT152" s="661" t="s">
        <v>44</v>
      </c>
      <c r="AU152" s="325"/>
      <c r="AV152" s="325">
        <f>VLOOKUP(A152,AN_ipa6,16,FALSE)</f>
        <v>0</v>
      </c>
      <c r="AW152" s="661" t="s">
        <v>44</v>
      </c>
      <c r="AX152" s="325"/>
      <c r="AY152" s="325"/>
      <c r="AZ152" s="325">
        <f>VLOOKUP(A152,AN_IPS6,16,FALSE)</f>
        <v>0</v>
      </c>
    </row>
    <row r="153" spans="1:52" x14ac:dyDescent="0.25">
      <c r="A153" s="599"/>
      <c r="B153" s="609"/>
      <c r="C153" s="71"/>
      <c r="D153" s="316" t="s">
        <v>26</v>
      </c>
      <c r="E153" s="1073">
        <f>VLOOKUP(A152,AN_PKN7,12,FALSE)</f>
        <v>0</v>
      </c>
      <c r="F153" s="1073">
        <f>VLOOKUP(A152,AN_PKN7,12,FALSE)</f>
        <v>0</v>
      </c>
      <c r="G153" s="1073">
        <f>VLOOKUP(A152,AN_PKN7,12,FALSE)</f>
        <v>0</v>
      </c>
      <c r="H153" s="324">
        <f>AVERAGE(E153:G153)</f>
        <v>0</v>
      </c>
      <c r="I153" s="316" t="s">
        <v>50</v>
      </c>
      <c r="J153" s="1073">
        <f>VLOOKUP(A152,AN_BI7,21,FALSE)</f>
        <v>0</v>
      </c>
      <c r="K153" s="1073">
        <f>VLOOKUP(A152,AN_BI7,21,FALSE)</f>
        <v>0</v>
      </c>
      <c r="L153" s="1073">
        <f>VLOOKUP(A152,AN_BI7,21,FALSE)</f>
        <v>0</v>
      </c>
      <c r="M153" s="1073">
        <f>VLOOKUP(A152,AN_BI7,21,FALSE)</f>
        <v>0</v>
      </c>
      <c r="N153" s="1073"/>
      <c r="O153" s="545">
        <f t="shared" ref="O153:O155" si="277">AVERAGE(J153:N153)</f>
        <v>0</v>
      </c>
      <c r="P153" s="316" t="s">
        <v>50</v>
      </c>
      <c r="Q153" s="1073"/>
      <c r="R153" s="1073"/>
      <c r="S153" s="1073">
        <f>VLOOKUP(A152,AN_MAT7,16,FALSE)</f>
        <v>0</v>
      </c>
      <c r="T153" s="1073">
        <f>VLOOKUP(A152,AN_MAT7,16,FALSE)</f>
        <v>0</v>
      </c>
      <c r="U153" s="1073">
        <f>VLOOKUP(A152,AN_MAT7,16,FALSE)</f>
        <v>0</v>
      </c>
      <c r="V153" s="1073">
        <f>VLOOKUP(A152,AN_MAT7,16,FALSE)</f>
        <v>0</v>
      </c>
      <c r="W153" s="1073"/>
      <c r="X153" s="316" t="s">
        <v>50</v>
      </c>
      <c r="Y153" s="325">
        <f>VLOOKUP(A152,AN_SBDP7,16,FALSE)</f>
        <v>0</v>
      </c>
      <c r="Z153" s="325">
        <f>VLOOKUP(A152,AN_SBDP7,16,FALSE)</f>
        <v>0</v>
      </c>
      <c r="AA153" s="325"/>
      <c r="AB153" s="325">
        <f>VLOOKUP(A152,AN_SBDP7,16,FALSE)</f>
        <v>0</v>
      </c>
      <c r="AC153" s="661" t="s">
        <v>26</v>
      </c>
      <c r="AD153" s="325"/>
      <c r="AE153" s="325"/>
      <c r="AF153" s="325">
        <f>VLOOKUP(A152,AN_SBDP7,16,FALSE)</f>
        <v>0</v>
      </c>
      <c r="AG153" s="325">
        <f>VLOOKUP(A152,AN_SBDP7,16,FALSE)</f>
        <v>0</v>
      </c>
      <c r="AH153" s="325"/>
      <c r="AI153" s="661" t="s">
        <v>45</v>
      </c>
      <c r="AJ153" s="325">
        <f>VLOOKUP(A152,an_agm,49,FALSE)</f>
        <v>0</v>
      </c>
      <c r="AK153" s="325"/>
      <c r="AL153" s="325"/>
      <c r="AM153" s="325"/>
      <c r="AN153" s="325"/>
      <c r="AO153" s="325"/>
      <c r="AP153" s="315" t="s">
        <v>26</v>
      </c>
      <c r="AQ153" s="325"/>
      <c r="AR153" s="325">
        <f>VLOOKUP(A152,UHT_jawa,19,FALSE)</f>
        <v>0</v>
      </c>
      <c r="AS153" s="325"/>
      <c r="AT153" s="661" t="s">
        <v>45</v>
      </c>
      <c r="AU153" s="325">
        <f>VLOOKUP(A152,AN_IPA7,16,FALSE)</f>
        <v>0</v>
      </c>
      <c r="AV153" s="325">
        <f>VLOOKUP(A152,AN_IPA7,16,FALSE)</f>
        <v>0</v>
      </c>
      <c r="AW153" s="661" t="s">
        <v>45</v>
      </c>
      <c r="AX153" s="325">
        <f>VLOOKUP(A152,an_ips7,16,FALSE)</f>
        <v>0</v>
      </c>
      <c r="AY153" s="325">
        <f>VLOOKUP(A152,an_ips7,16,FALSE)</f>
        <v>0</v>
      </c>
      <c r="AZ153" s="325">
        <f>VLOOKUP(A152,an_ips7,16,FALSE)</f>
        <v>0</v>
      </c>
    </row>
    <row r="154" spans="1:52" x14ac:dyDescent="0.25">
      <c r="A154" s="599"/>
      <c r="B154" s="609"/>
      <c r="C154" s="71"/>
      <c r="D154" s="316" t="s">
        <v>50</v>
      </c>
      <c r="E154" s="1073"/>
      <c r="F154" s="1073">
        <f>VLOOKUP(A152,AN_PKN8,17,FALSE)</f>
        <v>0</v>
      </c>
      <c r="G154" s="1073">
        <f>VLOOKUP(A152,AN_PKN8,17,FALSE)</f>
        <v>0</v>
      </c>
      <c r="H154" s="324">
        <f>AVERAGE(E154:G154)</f>
        <v>0</v>
      </c>
      <c r="I154" s="316" t="s">
        <v>51</v>
      </c>
      <c r="J154" s="1073">
        <f>VLOOKUP(A152,AN_BI8,19,FALSE)</f>
        <v>0</v>
      </c>
      <c r="K154" s="1073"/>
      <c r="L154" s="1073"/>
      <c r="M154" s="1073">
        <f>VLOOKUP(A152,AN_BI8,19,FALSE)</f>
        <v>0</v>
      </c>
      <c r="N154" s="1073"/>
      <c r="O154" s="545">
        <f t="shared" si="277"/>
        <v>0</v>
      </c>
      <c r="P154" s="316" t="s">
        <v>51</v>
      </c>
      <c r="Q154" s="1073">
        <f>VLOOKUP(A152,AN_MAT8,16,FALSE)</f>
        <v>0</v>
      </c>
      <c r="R154" s="1073">
        <f>VLOOKUP(A152,AN_MAT8,16,FALSE)</f>
        <v>0</v>
      </c>
      <c r="S154" s="1073"/>
      <c r="T154" s="1073"/>
      <c r="U154" s="1073"/>
      <c r="V154" s="1073"/>
      <c r="W154" s="1073">
        <f>VLOOKUP(A152,AN_MAT8,16,FALSE)</f>
        <v>0</v>
      </c>
      <c r="X154" s="316" t="s">
        <v>51</v>
      </c>
      <c r="Y154" s="325"/>
      <c r="Z154" s="325">
        <f>VLOOKUP(A152,AN_SBDP8,16,FALSE)</f>
        <v>0</v>
      </c>
      <c r="AA154" s="325"/>
      <c r="AB154" s="325">
        <f>VLOOKUP(A152,AN_SBDP8,16,FALSE)</f>
        <v>0</v>
      </c>
      <c r="AC154" s="661" t="s">
        <v>50</v>
      </c>
      <c r="AD154" s="325"/>
      <c r="AE154" s="325"/>
      <c r="AF154" s="325">
        <f>VLOOKUP(A152,AN_SBDP8,16,FALSE)</f>
        <v>0</v>
      </c>
      <c r="AG154" s="325"/>
      <c r="AH154" s="325">
        <f>VLOOKUP(A152,AN_SBDP8,16,FALSE)</f>
        <v>0</v>
      </c>
      <c r="AI154" s="661" t="s">
        <v>46</v>
      </c>
      <c r="AJ154" s="325"/>
      <c r="AK154" s="325"/>
      <c r="AL154" s="325"/>
      <c r="AM154" s="325">
        <f>VLOOKUP(A152,an_agm,52,FALSE)</f>
        <v>0</v>
      </c>
      <c r="AN154" s="325">
        <f>VLOOKUP(A152,an_agm,53,FALSE)</f>
        <v>0</v>
      </c>
      <c r="AO154" s="325"/>
      <c r="AP154" s="315" t="s">
        <v>50</v>
      </c>
      <c r="AQ154" s="325"/>
      <c r="AR154" s="325"/>
      <c r="AS154" s="325">
        <f>VLOOKUP(A152,UHT_jawa,20,FALSE)</f>
        <v>0</v>
      </c>
      <c r="AT154" s="661" t="s">
        <v>46</v>
      </c>
      <c r="AU154" s="325"/>
      <c r="AV154" s="325">
        <f>VLOOKUP(A152,AN_IPA7,16,FALSE)</f>
        <v>0</v>
      </c>
      <c r="AW154" s="661" t="s">
        <v>46</v>
      </c>
      <c r="AX154" s="325">
        <f>VLOOKUP(A152,AN_ips8,16,FALSE)</f>
        <v>0</v>
      </c>
      <c r="AY154" s="325">
        <f>VLOOKUP(A152,AN_ips8,16,FALSE)</f>
        <v>0</v>
      </c>
      <c r="AZ154" s="325">
        <f>VLOOKUP(A152,AN_ips8,16,FALSE)</f>
        <v>0</v>
      </c>
    </row>
    <row r="155" spans="1:52" x14ac:dyDescent="0.25">
      <c r="A155" s="599"/>
      <c r="B155" s="609"/>
      <c r="C155" s="71"/>
      <c r="D155" s="316" t="s">
        <v>51</v>
      </c>
      <c r="E155" s="325">
        <f>VLOOKUP(A152,AN_PKN9,16,FALSE)</f>
        <v>0</v>
      </c>
      <c r="F155" s="325"/>
      <c r="G155" s="325"/>
      <c r="H155" s="324">
        <f>AVERAGE(E155:G155)</f>
        <v>0</v>
      </c>
      <c r="I155" s="316" t="s">
        <v>52</v>
      </c>
      <c r="J155" s="1073">
        <f>VLOOKUP(A152,AN_BI9,21,FALSE)</f>
        <v>0</v>
      </c>
      <c r="K155" s="1073">
        <f>VLOOKUP(A152,AN_BI9,21,FALSE)</f>
        <v>0</v>
      </c>
      <c r="L155" s="1073">
        <f>VLOOKUP(A152,AN_BI9,21,FALSE)</f>
        <v>0</v>
      </c>
      <c r="M155" s="1073">
        <f>VLOOKUP(A152,AN_BI9,21,FALSE)</f>
        <v>0</v>
      </c>
      <c r="N155" s="1073"/>
      <c r="O155" s="545">
        <f t="shared" si="277"/>
        <v>0</v>
      </c>
      <c r="P155" s="316" t="s">
        <v>52</v>
      </c>
      <c r="Q155" s="1073">
        <f>VLOOKUP(A152,AN_MAT9,16,FALSE)</f>
        <v>0</v>
      </c>
      <c r="R155" s="1073">
        <f>VLOOKUP(A152,AN_MAT9,16,FALSE)</f>
        <v>0</v>
      </c>
      <c r="S155" s="1073">
        <f>VLOOKUP(A152,AN_MAT9,16,FALSE)</f>
        <v>0</v>
      </c>
      <c r="T155" s="1073">
        <f>VLOOKUP(A152,AN_MAT9,16,FALSE)</f>
        <v>0</v>
      </c>
      <c r="U155" s="1073">
        <f>VLOOKUP(A152,AN_MAT9,16,FALSE)</f>
        <v>0</v>
      </c>
      <c r="V155" s="1073">
        <f>VLOOKUP(A152,AN_MAT9,16,FALSE)</f>
        <v>0</v>
      </c>
      <c r="W155" s="1073">
        <f>VLOOKUP(A152,AN_MAT9,16,FALSE)</f>
        <v>0</v>
      </c>
      <c r="X155" s="316" t="s">
        <v>52</v>
      </c>
      <c r="Y155" s="325"/>
      <c r="Z155" s="325">
        <f>VLOOKUP(A152,AN_SBDP9,16,FALSE)</f>
        <v>0</v>
      </c>
      <c r="AA155" s="325">
        <f>VLOOKUP(A152,AN_SBDP9,16,FALSE)</f>
        <v>0</v>
      </c>
      <c r="AB155" s="325"/>
      <c r="AC155" s="661" t="s">
        <v>51</v>
      </c>
      <c r="AD155" s="325"/>
      <c r="AE155" s="325">
        <f>VLOOKUP(A152,AN_SBDP9,16,FALSE)</f>
        <v>0</v>
      </c>
      <c r="AF155" s="325">
        <f>VLOOKUP(A152,AN_SBDP9,16,FALSE)</f>
        <v>0</v>
      </c>
      <c r="AG155" s="325"/>
      <c r="AH155" s="325"/>
      <c r="AI155" s="661" t="s">
        <v>47</v>
      </c>
      <c r="AJ155" s="325"/>
      <c r="AK155" s="325">
        <f>VLOOKUP(A152,an_agm,50,FALSE)</f>
        <v>0</v>
      </c>
      <c r="AL155" s="325"/>
      <c r="AM155" s="325"/>
      <c r="AN155" s="325"/>
      <c r="AO155" s="325"/>
      <c r="AP155" s="315" t="s">
        <v>51</v>
      </c>
      <c r="AQ155" s="325"/>
      <c r="AR155" s="325"/>
      <c r="AS155" s="325"/>
      <c r="AT155" s="661" t="s">
        <v>47</v>
      </c>
      <c r="AU155" s="325"/>
      <c r="AV155" s="325">
        <f>VLOOKUP(A152,an_IPA9,16,FALSE)</f>
        <v>0</v>
      </c>
      <c r="AW155" s="661" t="s">
        <v>47</v>
      </c>
      <c r="AX155" s="325">
        <f>VLOOKUP(A152,AN_IPS_9,16,FALSE)</f>
        <v>0</v>
      </c>
      <c r="AY155" s="325"/>
      <c r="AZ155" s="325">
        <f>VLOOKUP(A152,AN_IPS_9,16,FALSE)</f>
        <v>0</v>
      </c>
    </row>
    <row r="156" spans="1:52" x14ac:dyDescent="0.25">
      <c r="A156" s="599"/>
      <c r="B156" s="609"/>
      <c r="C156" s="71"/>
      <c r="D156" s="316"/>
      <c r="E156" s="1073"/>
      <c r="F156" s="1073"/>
      <c r="G156" s="1073"/>
      <c r="H156" s="1074"/>
      <c r="I156" s="316"/>
      <c r="J156" s="1073"/>
      <c r="K156" s="1073"/>
      <c r="L156" s="1073"/>
      <c r="M156" s="1073"/>
      <c r="N156" s="1073"/>
      <c r="O156" s="1074"/>
      <c r="P156" s="315"/>
      <c r="Q156" s="1073"/>
      <c r="R156" s="1073"/>
      <c r="S156" s="1073"/>
      <c r="T156" s="1073"/>
      <c r="U156" s="1073"/>
      <c r="V156" s="1073"/>
      <c r="W156" s="1073"/>
      <c r="X156" s="315"/>
      <c r="Y156" s="325"/>
      <c r="Z156" s="325"/>
      <c r="AA156" s="325"/>
      <c r="AB156" s="325"/>
      <c r="AC156" s="661"/>
      <c r="AD156" s="1073"/>
      <c r="AE156" s="1073"/>
      <c r="AF156" s="1112"/>
      <c r="AG156" s="1112"/>
      <c r="AH156" s="1112"/>
      <c r="AI156" s="661" t="s">
        <v>48</v>
      </c>
      <c r="AJ156" s="325"/>
      <c r="AK156" s="325"/>
      <c r="AL156" s="325"/>
      <c r="AM156" s="325"/>
      <c r="AN156" s="325"/>
      <c r="AO156" s="325">
        <f>VLOOKUP(A152,an_agm,54,FALSE)</f>
        <v>0</v>
      </c>
      <c r="AP156" s="315"/>
      <c r="AQ156" s="1136"/>
      <c r="AR156" s="1136"/>
      <c r="AS156" s="1136"/>
      <c r="AT156" s="315"/>
      <c r="AU156" s="325"/>
      <c r="AV156" s="325"/>
      <c r="AW156" s="315"/>
      <c r="AX156" s="325"/>
      <c r="AY156" s="325"/>
      <c r="AZ156" s="325"/>
    </row>
    <row r="157" spans="1:52" x14ac:dyDescent="0.25">
      <c r="A157" s="604"/>
      <c r="B157" s="611">
        <v>25</v>
      </c>
      <c r="C157" s="72"/>
      <c r="D157" s="317" t="s">
        <v>214</v>
      </c>
      <c r="E157" s="318">
        <f>IFERROR(AVERAGE(E152:E156),"  ")</f>
        <v>0</v>
      </c>
      <c r="F157" s="318">
        <f t="shared" ref="F157:G157" si="278">IFERROR(AVERAGE(F152:F156),"  ")</f>
        <v>0</v>
      </c>
      <c r="G157" s="318">
        <f t="shared" si="278"/>
        <v>0</v>
      </c>
      <c r="H157" s="323"/>
      <c r="I157" s="317" t="s">
        <v>214</v>
      </c>
      <c r="J157" s="318">
        <f>IFERROR(AVERAGE(J152:J156),"  ")</f>
        <v>0</v>
      </c>
      <c r="K157" s="318">
        <f t="shared" ref="K157:M157" si="279">IFERROR(AVERAGE(K152:K156),"  ")</f>
        <v>0</v>
      </c>
      <c r="L157" s="318">
        <f t="shared" si="279"/>
        <v>0</v>
      </c>
      <c r="M157" s="318">
        <f t="shared" si="279"/>
        <v>0</v>
      </c>
      <c r="N157" s="318">
        <f>IFERROR(AVERAGE(N152:N156),"  ")</f>
        <v>0</v>
      </c>
      <c r="O157" s="597"/>
      <c r="P157" s="317" t="s">
        <v>214</v>
      </c>
      <c r="Q157" s="318">
        <f>IFERROR(AVERAGE(Q152:Q156),"  ")</f>
        <v>0</v>
      </c>
      <c r="R157" s="318">
        <f t="shared" ref="R157:W157" si="280">IFERROR(AVERAGE(R152:R156),"  ")</f>
        <v>0</v>
      </c>
      <c r="S157" s="318">
        <f t="shared" si="280"/>
        <v>0</v>
      </c>
      <c r="T157" s="318">
        <f t="shared" si="280"/>
        <v>0</v>
      </c>
      <c r="U157" s="318">
        <f t="shared" si="280"/>
        <v>0</v>
      </c>
      <c r="V157" s="318">
        <f t="shared" si="280"/>
        <v>0</v>
      </c>
      <c r="W157" s="318">
        <f t="shared" si="280"/>
        <v>0</v>
      </c>
      <c r="X157" s="317" t="s">
        <v>214</v>
      </c>
      <c r="Y157" s="318">
        <f t="shared" ref="Y157:AB157" si="281">IFERROR(AVERAGE(Y152:Y156),"  ")</f>
        <v>0</v>
      </c>
      <c r="Z157" s="318">
        <f t="shared" si="281"/>
        <v>0</v>
      </c>
      <c r="AA157" s="318">
        <f t="shared" si="281"/>
        <v>0</v>
      </c>
      <c r="AB157" s="318">
        <f t="shared" si="281"/>
        <v>0</v>
      </c>
      <c r="AC157" s="317" t="s">
        <v>214</v>
      </c>
      <c r="AD157" s="318">
        <f t="shared" ref="AD157:AH157" si="282">IFERROR(AVERAGE(AD152:AD156),"  ")</f>
        <v>0</v>
      </c>
      <c r="AE157" s="318">
        <f t="shared" si="282"/>
        <v>0</v>
      </c>
      <c r="AF157" s="318">
        <f t="shared" si="282"/>
        <v>0</v>
      </c>
      <c r="AG157" s="318">
        <f t="shared" si="282"/>
        <v>0</v>
      </c>
      <c r="AH157" s="318">
        <f t="shared" si="282"/>
        <v>0</v>
      </c>
      <c r="AI157" s="317" t="s">
        <v>214</v>
      </c>
      <c r="AJ157" s="318">
        <f t="shared" ref="AJ157:AO157" si="283">IFERROR(AVERAGE(AJ152:AJ156),"  ")</f>
        <v>0</v>
      </c>
      <c r="AK157" s="318">
        <f t="shared" si="283"/>
        <v>0</v>
      </c>
      <c r="AL157" s="318">
        <f t="shared" si="283"/>
        <v>0</v>
      </c>
      <c r="AM157" s="318">
        <f t="shared" si="283"/>
        <v>0</v>
      </c>
      <c r="AN157" s="318">
        <f t="shared" si="283"/>
        <v>0</v>
      </c>
      <c r="AO157" s="318">
        <f t="shared" si="283"/>
        <v>0</v>
      </c>
      <c r="AP157" s="317" t="s">
        <v>214</v>
      </c>
      <c r="AQ157" s="318">
        <f t="shared" ref="AQ157:AS157" si="284">IFERROR(AVERAGE(AQ152:AQ156),"  ")</f>
        <v>0</v>
      </c>
      <c r="AR157" s="318">
        <f t="shared" si="284"/>
        <v>0</v>
      </c>
      <c r="AS157" s="318">
        <f t="shared" si="284"/>
        <v>0</v>
      </c>
      <c r="AT157" s="317" t="s">
        <v>214</v>
      </c>
      <c r="AU157" s="318">
        <f t="shared" ref="AU157:AV157" si="285">IFERROR(AVERAGE(AU152:AU156),"  ")</f>
        <v>0</v>
      </c>
      <c r="AV157" s="318">
        <f t="shared" si="285"/>
        <v>0</v>
      </c>
      <c r="AW157" s="317" t="s">
        <v>214</v>
      </c>
      <c r="AX157" s="318">
        <f t="shared" ref="AX157:AZ157" si="286">IFERROR(AVERAGE(AX152:AX156),"  ")</f>
        <v>0</v>
      </c>
      <c r="AY157" s="318">
        <f t="shared" si="286"/>
        <v>0</v>
      </c>
      <c r="AZ157" s="318">
        <f t="shared" si="286"/>
        <v>0</v>
      </c>
    </row>
    <row r="158" spans="1:52" x14ac:dyDescent="0.25">
      <c r="A158" s="599">
        <v>26</v>
      </c>
      <c r="B158" s="608"/>
      <c r="C158" s="292" t="str">
        <f>VLOOKUP(A158,data_siswa,4,FALSE)</f>
        <v>Meliana Citra A</v>
      </c>
      <c r="D158" s="316" t="s">
        <v>156</v>
      </c>
      <c r="E158" s="1073"/>
      <c r="F158" s="1073">
        <f>VLOOKUP(A158,AN_PKN6_KI3,13,FALSE)</f>
        <v>0</v>
      </c>
      <c r="G158" s="1073"/>
      <c r="H158" s="324">
        <f>AVERAGE(E158:G158)</f>
        <v>0</v>
      </c>
      <c r="I158" s="316" t="s">
        <v>26</v>
      </c>
      <c r="J158" s="1073"/>
      <c r="K158" s="1073"/>
      <c r="L158" s="1073"/>
      <c r="M158" s="1073">
        <f>VLOOKUP(A158,AN_BI6,19,FALSE)</f>
        <v>0</v>
      </c>
      <c r="N158" s="1073">
        <f>VLOOKUP(A158,AN_BI6,19,FALSE)</f>
        <v>0</v>
      </c>
      <c r="O158" s="545">
        <f>AVERAGE(J158:N158)</f>
        <v>0</v>
      </c>
      <c r="P158" s="316" t="s">
        <v>26</v>
      </c>
      <c r="Q158" s="1073"/>
      <c r="R158" s="1073">
        <f>VLOOKUP(A158,AN_MAT6,16,FALSE)</f>
        <v>0</v>
      </c>
      <c r="S158" s="1073"/>
      <c r="T158" s="1073">
        <f>VLOOKUP(A158,AN_MAT6,16,FALSE)</f>
        <v>0</v>
      </c>
      <c r="U158" s="1073"/>
      <c r="V158" s="1073"/>
      <c r="W158" s="1073"/>
      <c r="X158" s="316" t="s">
        <v>26</v>
      </c>
      <c r="Y158" s="325"/>
      <c r="Z158" s="325"/>
      <c r="AA158" s="325"/>
      <c r="AB158" s="325">
        <f>VLOOKUP(A158,AN_SBDP6,16,FALSE)</f>
        <v>0</v>
      </c>
      <c r="AC158" s="661" t="s">
        <v>156</v>
      </c>
      <c r="AD158" s="325">
        <f>VLOOKUP(A158,AN_SBDP6,16,FALSE)</f>
        <v>0</v>
      </c>
      <c r="AE158" s="325">
        <f>VLOOKUP(A158,AN_SBDP6,16,FALSE)</f>
        <v>0</v>
      </c>
      <c r="AF158" s="325"/>
      <c r="AG158" s="325"/>
      <c r="AH158" s="325">
        <f>VLOOKUP(A158,AN_SBDP6,16,FALSE)</f>
        <v>0</v>
      </c>
      <c r="AI158" s="661" t="s">
        <v>44</v>
      </c>
      <c r="AJ158" s="325"/>
      <c r="AK158" s="325"/>
      <c r="AL158" s="325">
        <f>VLOOKUP(A158,an_agm,51,FALSE)</f>
        <v>0</v>
      </c>
      <c r="AM158" s="325"/>
      <c r="AN158" s="325"/>
      <c r="AO158" s="325"/>
      <c r="AP158" s="315" t="s">
        <v>156</v>
      </c>
      <c r="AQ158" s="325">
        <f>VLOOKUP(A158,UHT_jawa,18,FALSE)</f>
        <v>0</v>
      </c>
      <c r="AR158" s="325"/>
      <c r="AS158" s="325"/>
      <c r="AT158" s="661" t="s">
        <v>44</v>
      </c>
      <c r="AU158" s="325"/>
      <c r="AV158" s="325">
        <f>VLOOKUP(A158,AN_ipa6,16,FALSE)</f>
        <v>0</v>
      </c>
      <c r="AW158" s="661" t="s">
        <v>44</v>
      </c>
      <c r="AX158" s="325"/>
      <c r="AY158" s="325"/>
      <c r="AZ158" s="325">
        <f>VLOOKUP(A158,AN_IPS6,16,FALSE)</f>
        <v>0</v>
      </c>
    </row>
    <row r="159" spans="1:52" x14ac:dyDescent="0.25">
      <c r="A159" s="599"/>
      <c r="B159" s="609"/>
      <c r="C159" s="71"/>
      <c r="D159" s="316" t="s">
        <v>26</v>
      </c>
      <c r="E159" s="1073">
        <f>VLOOKUP(A158,AN_PKN7,12,FALSE)</f>
        <v>0</v>
      </c>
      <c r="F159" s="1073">
        <f>VLOOKUP(A158,AN_PKN7,12,FALSE)</f>
        <v>0</v>
      </c>
      <c r="G159" s="1073">
        <f>VLOOKUP(A158,AN_PKN7,12,FALSE)</f>
        <v>0</v>
      </c>
      <c r="H159" s="324">
        <f>AVERAGE(E159:G159)</f>
        <v>0</v>
      </c>
      <c r="I159" s="316" t="s">
        <v>50</v>
      </c>
      <c r="J159" s="1073">
        <f>VLOOKUP(A158,AN_BI7,21,FALSE)</f>
        <v>0</v>
      </c>
      <c r="K159" s="1073">
        <f>VLOOKUP(A158,AN_BI7,21,FALSE)</f>
        <v>0</v>
      </c>
      <c r="L159" s="1073">
        <f>VLOOKUP(A158,AN_BI7,21,FALSE)</f>
        <v>0</v>
      </c>
      <c r="M159" s="1073">
        <f>VLOOKUP(A158,AN_BI7,21,FALSE)</f>
        <v>0</v>
      </c>
      <c r="N159" s="1073"/>
      <c r="O159" s="545">
        <f t="shared" ref="O159:O161" si="287">AVERAGE(J159:N159)</f>
        <v>0</v>
      </c>
      <c r="P159" s="316" t="s">
        <v>50</v>
      </c>
      <c r="Q159" s="1073"/>
      <c r="R159" s="1073"/>
      <c r="S159" s="1073">
        <f>VLOOKUP(A158,AN_MAT7,16,FALSE)</f>
        <v>0</v>
      </c>
      <c r="T159" s="1073">
        <f>VLOOKUP(A158,AN_MAT7,16,FALSE)</f>
        <v>0</v>
      </c>
      <c r="U159" s="1073">
        <f>VLOOKUP(A158,AN_MAT7,16,FALSE)</f>
        <v>0</v>
      </c>
      <c r="V159" s="1073">
        <f>VLOOKUP(A158,AN_MAT7,16,FALSE)</f>
        <v>0</v>
      </c>
      <c r="W159" s="1073"/>
      <c r="X159" s="316" t="s">
        <v>50</v>
      </c>
      <c r="Y159" s="325">
        <f>VLOOKUP(A158,AN_SBDP7,16,FALSE)</f>
        <v>0</v>
      </c>
      <c r="Z159" s="325">
        <f>VLOOKUP(A158,AN_SBDP7,16,FALSE)</f>
        <v>0</v>
      </c>
      <c r="AA159" s="325"/>
      <c r="AB159" s="325">
        <f>VLOOKUP(A158,AN_SBDP7,16,FALSE)</f>
        <v>0</v>
      </c>
      <c r="AC159" s="661" t="s">
        <v>26</v>
      </c>
      <c r="AD159" s="325"/>
      <c r="AE159" s="325"/>
      <c r="AF159" s="325">
        <f>VLOOKUP(A158,AN_SBDP7,16,FALSE)</f>
        <v>0</v>
      </c>
      <c r="AG159" s="325">
        <f>VLOOKUP(A158,AN_SBDP7,16,FALSE)</f>
        <v>0</v>
      </c>
      <c r="AH159" s="325"/>
      <c r="AI159" s="661" t="s">
        <v>45</v>
      </c>
      <c r="AJ159" s="325">
        <f>VLOOKUP(A158,an_agm,49,FALSE)</f>
        <v>0</v>
      </c>
      <c r="AK159" s="325"/>
      <c r="AL159" s="325"/>
      <c r="AM159" s="325"/>
      <c r="AN159" s="325"/>
      <c r="AO159" s="325"/>
      <c r="AP159" s="315" t="s">
        <v>26</v>
      </c>
      <c r="AQ159" s="325"/>
      <c r="AR159" s="325">
        <f>VLOOKUP(A158,UHT_jawa,19,FALSE)</f>
        <v>0</v>
      </c>
      <c r="AS159" s="325"/>
      <c r="AT159" s="661" t="s">
        <v>45</v>
      </c>
      <c r="AU159" s="325">
        <f>VLOOKUP(A158,AN_IPA7,16,FALSE)</f>
        <v>0</v>
      </c>
      <c r="AV159" s="325">
        <f>VLOOKUP(A158,AN_IPA7,16,FALSE)</f>
        <v>0</v>
      </c>
      <c r="AW159" s="661" t="s">
        <v>45</v>
      </c>
      <c r="AX159" s="325">
        <f>VLOOKUP(A158,an_ips7,16,FALSE)</f>
        <v>0</v>
      </c>
      <c r="AY159" s="325">
        <f>VLOOKUP(A158,an_ips7,16,FALSE)</f>
        <v>0</v>
      </c>
      <c r="AZ159" s="325">
        <f>VLOOKUP(A158,an_ips7,16,FALSE)</f>
        <v>0</v>
      </c>
    </row>
    <row r="160" spans="1:52" x14ac:dyDescent="0.25">
      <c r="A160" s="599"/>
      <c r="B160" s="609"/>
      <c r="C160" s="71"/>
      <c r="D160" s="316" t="s">
        <v>50</v>
      </c>
      <c r="E160" s="1073"/>
      <c r="F160" s="1073">
        <f>VLOOKUP(A158,AN_PKN8,17,FALSE)</f>
        <v>0</v>
      </c>
      <c r="G160" s="1073">
        <f>VLOOKUP(A158,AN_PKN8,17,FALSE)</f>
        <v>0</v>
      </c>
      <c r="H160" s="324">
        <f>AVERAGE(E160:G160)</f>
        <v>0</v>
      </c>
      <c r="I160" s="316" t="s">
        <v>51</v>
      </c>
      <c r="J160" s="1073">
        <f>VLOOKUP(A158,AN_BI8,19,FALSE)</f>
        <v>0</v>
      </c>
      <c r="K160" s="1073"/>
      <c r="L160" s="1073"/>
      <c r="M160" s="1073">
        <f>VLOOKUP(A158,AN_BI8,19,FALSE)</f>
        <v>0</v>
      </c>
      <c r="N160" s="1073"/>
      <c r="O160" s="545">
        <f t="shared" si="287"/>
        <v>0</v>
      </c>
      <c r="P160" s="316" t="s">
        <v>51</v>
      </c>
      <c r="Q160" s="1073">
        <f>VLOOKUP(A158,AN_MAT8,16,FALSE)</f>
        <v>0</v>
      </c>
      <c r="R160" s="1073">
        <f>VLOOKUP(A158,AN_MAT8,16,FALSE)</f>
        <v>0</v>
      </c>
      <c r="S160" s="1073"/>
      <c r="T160" s="1073"/>
      <c r="U160" s="1073"/>
      <c r="V160" s="1073"/>
      <c r="W160" s="1073">
        <f>VLOOKUP(A158,AN_MAT8,16,FALSE)</f>
        <v>0</v>
      </c>
      <c r="X160" s="316" t="s">
        <v>51</v>
      </c>
      <c r="Y160" s="325"/>
      <c r="Z160" s="325">
        <f>VLOOKUP(A158,AN_SBDP8,16,FALSE)</f>
        <v>0</v>
      </c>
      <c r="AA160" s="325"/>
      <c r="AB160" s="325">
        <f>VLOOKUP(A158,AN_SBDP8,16,FALSE)</f>
        <v>0</v>
      </c>
      <c r="AC160" s="661" t="s">
        <v>50</v>
      </c>
      <c r="AD160" s="325"/>
      <c r="AE160" s="325"/>
      <c r="AF160" s="325">
        <f>VLOOKUP(A158,AN_SBDP8,16,FALSE)</f>
        <v>0</v>
      </c>
      <c r="AG160" s="325"/>
      <c r="AH160" s="325">
        <f>VLOOKUP(A158,AN_SBDP8,16,FALSE)</f>
        <v>0</v>
      </c>
      <c r="AI160" s="661" t="s">
        <v>46</v>
      </c>
      <c r="AJ160" s="325"/>
      <c r="AK160" s="325"/>
      <c r="AL160" s="325"/>
      <c r="AM160" s="325">
        <f>VLOOKUP(A158,an_agm,52,FALSE)</f>
        <v>0</v>
      </c>
      <c r="AN160" s="325">
        <f>VLOOKUP(A158,an_agm,53,FALSE)</f>
        <v>0</v>
      </c>
      <c r="AO160" s="325"/>
      <c r="AP160" s="315" t="s">
        <v>50</v>
      </c>
      <c r="AQ160" s="325"/>
      <c r="AR160" s="325"/>
      <c r="AS160" s="325">
        <f>VLOOKUP(A158,UHT_jawa,20,FALSE)</f>
        <v>0</v>
      </c>
      <c r="AT160" s="661" t="s">
        <v>46</v>
      </c>
      <c r="AU160" s="325"/>
      <c r="AV160" s="325">
        <f>VLOOKUP(A158,AN_IPA7,16,FALSE)</f>
        <v>0</v>
      </c>
      <c r="AW160" s="661" t="s">
        <v>46</v>
      </c>
      <c r="AX160" s="325">
        <f>VLOOKUP(A158,AN_ips8,16,FALSE)</f>
        <v>0</v>
      </c>
      <c r="AY160" s="325">
        <f>VLOOKUP(A158,AN_ips8,16,FALSE)</f>
        <v>0</v>
      </c>
      <c r="AZ160" s="325">
        <f>VLOOKUP(A158,AN_ips8,16,FALSE)</f>
        <v>0</v>
      </c>
    </row>
    <row r="161" spans="1:52" x14ac:dyDescent="0.25">
      <c r="A161" s="599"/>
      <c r="B161" s="609"/>
      <c r="C161" s="71"/>
      <c r="D161" s="316" t="s">
        <v>51</v>
      </c>
      <c r="E161" s="325">
        <f>VLOOKUP(A158,AN_PKN9,16,FALSE)</f>
        <v>0</v>
      </c>
      <c r="F161" s="325"/>
      <c r="G161" s="325"/>
      <c r="H161" s="324">
        <f>AVERAGE(E161:G161)</f>
        <v>0</v>
      </c>
      <c r="I161" s="316" t="s">
        <v>52</v>
      </c>
      <c r="J161" s="1073">
        <f>VLOOKUP(A158,AN_BI9,21,FALSE)</f>
        <v>0</v>
      </c>
      <c r="K161" s="1073">
        <f>VLOOKUP(A158,AN_BI9,21,FALSE)</f>
        <v>0</v>
      </c>
      <c r="L161" s="1073">
        <f>VLOOKUP(A158,AN_BI9,21,FALSE)</f>
        <v>0</v>
      </c>
      <c r="M161" s="1073">
        <f>VLOOKUP(A158,AN_BI9,21,FALSE)</f>
        <v>0</v>
      </c>
      <c r="N161" s="1073"/>
      <c r="O161" s="545">
        <f t="shared" si="287"/>
        <v>0</v>
      </c>
      <c r="P161" s="316" t="s">
        <v>52</v>
      </c>
      <c r="Q161" s="1073">
        <f>VLOOKUP(A158,AN_MAT9,16,FALSE)</f>
        <v>0</v>
      </c>
      <c r="R161" s="1073">
        <f>VLOOKUP(A158,AN_MAT9,16,FALSE)</f>
        <v>0</v>
      </c>
      <c r="S161" s="1073">
        <f>VLOOKUP(A158,AN_MAT9,16,FALSE)</f>
        <v>0</v>
      </c>
      <c r="T161" s="1073">
        <f>VLOOKUP(A158,AN_MAT9,16,FALSE)</f>
        <v>0</v>
      </c>
      <c r="U161" s="1073">
        <f>VLOOKUP(A158,AN_MAT9,16,FALSE)</f>
        <v>0</v>
      </c>
      <c r="V161" s="1073">
        <f>VLOOKUP(A158,AN_MAT9,16,FALSE)</f>
        <v>0</v>
      </c>
      <c r="W161" s="1073">
        <f>VLOOKUP(A158,AN_MAT9,16,FALSE)</f>
        <v>0</v>
      </c>
      <c r="X161" s="316" t="s">
        <v>52</v>
      </c>
      <c r="Y161" s="325"/>
      <c r="Z161" s="325">
        <f>VLOOKUP(A158,AN_SBDP9,16,FALSE)</f>
        <v>0</v>
      </c>
      <c r="AA161" s="325">
        <f>VLOOKUP(A158,AN_SBDP9,16,FALSE)</f>
        <v>0</v>
      </c>
      <c r="AB161" s="325"/>
      <c r="AC161" s="661" t="s">
        <v>51</v>
      </c>
      <c r="AD161" s="325"/>
      <c r="AE161" s="325">
        <f>VLOOKUP(A158,AN_SBDP9,16,FALSE)</f>
        <v>0</v>
      </c>
      <c r="AF161" s="325">
        <f>VLOOKUP(A158,AN_SBDP9,16,FALSE)</f>
        <v>0</v>
      </c>
      <c r="AG161" s="325"/>
      <c r="AH161" s="325"/>
      <c r="AI161" s="661" t="s">
        <v>47</v>
      </c>
      <c r="AJ161" s="325"/>
      <c r="AK161" s="325">
        <f>VLOOKUP(A158,an_agm,50,FALSE)</f>
        <v>0</v>
      </c>
      <c r="AL161" s="325"/>
      <c r="AM161" s="325"/>
      <c r="AN161" s="325"/>
      <c r="AO161" s="325"/>
      <c r="AP161" s="315" t="s">
        <v>51</v>
      </c>
      <c r="AQ161" s="325"/>
      <c r="AR161" s="325"/>
      <c r="AS161" s="325"/>
      <c r="AT161" s="661" t="s">
        <v>47</v>
      </c>
      <c r="AU161" s="325"/>
      <c r="AV161" s="325">
        <f>VLOOKUP(A158,an_IPA9,16,FALSE)</f>
        <v>0</v>
      </c>
      <c r="AW161" s="661" t="s">
        <v>47</v>
      </c>
      <c r="AX161" s="325">
        <f>VLOOKUP(A158,AN_IPS_9,16,FALSE)</f>
        <v>0</v>
      </c>
      <c r="AY161" s="325"/>
      <c r="AZ161" s="325">
        <f>VLOOKUP(A158,AN_IPS_9,16,FALSE)</f>
        <v>0</v>
      </c>
    </row>
    <row r="162" spans="1:52" x14ac:dyDescent="0.25">
      <c r="A162" s="599"/>
      <c r="B162" s="609"/>
      <c r="C162" s="71"/>
      <c r="D162" s="316"/>
      <c r="E162" s="1073"/>
      <c r="F162" s="1073"/>
      <c r="G162" s="1073"/>
      <c r="H162" s="1074"/>
      <c r="I162" s="316"/>
      <c r="J162" s="1073"/>
      <c r="K162" s="1073"/>
      <c r="L162" s="1073"/>
      <c r="M162" s="1073"/>
      <c r="N162" s="1073"/>
      <c r="O162" s="1074"/>
      <c r="P162" s="315"/>
      <c r="Q162" s="1073"/>
      <c r="R162" s="1073"/>
      <c r="S162" s="1073"/>
      <c r="T162" s="1073"/>
      <c r="U162" s="1073"/>
      <c r="V162" s="1073"/>
      <c r="W162" s="1073"/>
      <c r="X162" s="315"/>
      <c r="Y162" s="325"/>
      <c r="Z162" s="325"/>
      <c r="AA162" s="325"/>
      <c r="AB162" s="325"/>
      <c r="AC162" s="661"/>
      <c r="AD162" s="1073"/>
      <c r="AE162" s="1073"/>
      <c r="AF162" s="1112"/>
      <c r="AG162" s="1112"/>
      <c r="AH162" s="1112"/>
      <c r="AI162" s="661" t="s">
        <v>48</v>
      </c>
      <c r="AJ162" s="325"/>
      <c r="AK162" s="325"/>
      <c r="AL162" s="325"/>
      <c r="AM162" s="325"/>
      <c r="AN162" s="325"/>
      <c r="AO162" s="325">
        <f>VLOOKUP(A158,an_agm,54,FALSE)</f>
        <v>0</v>
      </c>
      <c r="AP162" s="315"/>
      <c r="AQ162" s="1136"/>
      <c r="AR162" s="1136"/>
      <c r="AS162" s="1136"/>
      <c r="AT162" s="315"/>
      <c r="AU162" s="325"/>
      <c r="AV162" s="325"/>
      <c r="AW162" s="315"/>
      <c r="AX162" s="325"/>
      <c r="AY162" s="325"/>
      <c r="AZ162" s="325"/>
    </row>
    <row r="163" spans="1:52" x14ac:dyDescent="0.25">
      <c r="A163" s="604"/>
      <c r="B163" s="611">
        <v>26</v>
      </c>
      <c r="C163" s="72"/>
      <c r="D163" s="317" t="s">
        <v>214</v>
      </c>
      <c r="E163" s="318">
        <f>IFERROR(AVERAGE(E158:E162),"  ")</f>
        <v>0</v>
      </c>
      <c r="F163" s="318">
        <f t="shared" ref="F163:G163" si="288">IFERROR(AVERAGE(F158:F162),"  ")</f>
        <v>0</v>
      </c>
      <c r="G163" s="318">
        <f t="shared" si="288"/>
        <v>0</v>
      </c>
      <c r="H163" s="323"/>
      <c r="I163" s="317" t="s">
        <v>214</v>
      </c>
      <c r="J163" s="318">
        <f>IFERROR(AVERAGE(J158:J162),"  ")</f>
        <v>0</v>
      </c>
      <c r="K163" s="318">
        <f t="shared" ref="K163:M163" si="289">IFERROR(AVERAGE(K158:K162),"  ")</f>
        <v>0</v>
      </c>
      <c r="L163" s="318">
        <f t="shared" si="289"/>
        <v>0</v>
      </c>
      <c r="M163" s="318">
        <f t="shared" si="289"/>
        <v>0</v>
      </c>
      <c r="N163" s="318">
        <f>IFERROR(AVERAGE(N158:N162),"  ")</f>
        <v>0</v>
      </c>
      <c r="O163" s="597"/>
      <c r="P163" s="317" t="s">
        <v>214</v>
      </c>
      <c r="Q163" s="318">
        <f>IFERROR(AVERAGE(Q158:Q162),"  ")</f>
        <v>0</v>
      </c>
      <c r="R163" s="318">
        <f t="shared" ref="R163:W163" si="290">IFERROR(AVERAGE(R158:R162),"  ")</f>
        <v>0</v>
      </c>
      <c r="S163" s="318">
        <f t="shared" si="290"/>
        <v>0</v>
      </c>
      <c r="T163" s="318">
        <f t="shared" si="290"/>
        <v>0</v>
      </c>
      <c r="U163" s="318">
        <f t="shared" si="290"/>
        <v>0</v>
      </c>
      <c r="V163" s="318">
        <f t="shared" si="290"/>
        <v>0</v>
      </c>
      <c r="W163" s="318">
        <f t="shared" si="290"/>
        <v>0</v>
      </c>
      <c r="X163" s="317" t="s">
        <v>214</v>
      </c>
      <c r="Y163" s="318">
        <f t="shared" ref="Y163:AB163" si="291">IFERROR(AVERAGE(Y158:Y162),"  ")</f>
        <v>0</v>
      </c>
      <c r="Z163" s="318">
        <f t="shared" si="291"/>
        <v>0</v>
      </c>
      <c r="AA163" s="318">
        <f t="shared" si="291"/>
        <v>0</v>
      </c>
      <c r="AB163" s="318">
        <f t="shared" si="291"/>
        <v>0</v>
      </c>
      <c r="AC163" s="317" t="s">
        <v>214</v>
      </c>
      <c r="AD163" s="318">
        <f t="shared" ref="AD163:AH163" si="292">IFERROR(AVERAGE(AD158:AD162),"  ")</f>
        <v>0</v>
      </c>
      <c r="AE163" s="318">
        <f t="shared" si="292"/>
        <v>0</v>
      </c>
      <c r="AF163" s="318">
        <f t="shared" si="292"/>
        <v>0</v>
      </c>
      <c r="AG163" s="318">
        <f t="shared" si="292"/>
        <v>0</v>
      </c>
      <c r="AH163" s="318">
        <f t="shared" si="292"/>
        <v>0</v>
      </c>
      <c r="AI163" s="317" t="s">
        <v>214</v>
      </c>
      <c r="AJ163" s="318">
        <f t="shared" ref="AJ163:AO163" si="293">IFERROR(AVERAGE(AJ158:AJ162),"  ")</f>
        <v>0</v>
      </c>
      <c r="AK163" s="318">
        <f t="shared" si="293"/>
        <v>0</v>
      </c>
      <c r="AL163" s="318">
        <f t="shared" si="293"/>
        <v>0</v>
      </c>
      <c r="AM163" s="318">
        <f t="shared" si="293"/>
        <v>0</v>
      </c>
      <c r="AN163" s="318">
        <f t="shared" si="293"/>
        <v>0</v>
      </c>
      <c r="AO163" s="318">
        <f t="shared" si="293"/>
        <v>0</v>
      </c>
      <c r="AP163" s="317" t="s">
        <v>214</v>
      </c>
      <c r="AQ163" s="318">
        <f t="shared" ref="AQ163:AS163" si="294">IFERROR(AVERAGE(AQ158:AQ162),"  ")</f>
        <v>0</v>
      </c>
      <c r="AR163" s="318">
        <f t="shared" si="294"/>
        <v>0</v>
      </c>
      <c r="AS163" s="318">
        <f t="shared" si="294"/>
        <v>0</v>
      </c>
      <c r="AT163" s="317" t="s">
        <v>214</v>
      </c>
      <c r="AU163" s="318">
        <f t="shared" ref="AU163:AV163" si="295">IFERROR(AVERAGE(AU158:AU162),"  ")</f>
        <v>0</v>
      </c>
      <c r="AV163" s="318">
        <f t="shared" si="295"/>
        <v>0</v>
      </c>
      <c r="AW163" s="317" t="s">
        <v>214</v>
      </c>
      <c r="AX163" s="318">
        <f t="shared" ref="AX163:AZ163" si="296">IFERROR(AVERAGE(AX158:AX162),"  ")</f>
        <v>0</v>
      </c>
      <c r="AY163" s="318">
        <f t="shared" si="296"/>
        <v>0</v>
      </c>
      <c r="AZ163" s="318">
        <f t="shared" si="296"/>
        <v>0</v>
      </c>
    </row>
    <row r="164" spans="1:52" x14ac:dyDescent="0.25">
      <c r="A164" s="599">
        <v>27</v>
      </c>
      <c r="B164" s="608"/>
      <c r="C164" s="292" t="str">
        <f>VLOOKUP(A164,data_siswa,4,FALSE)</f>
        <v>Mohammad Rizky</v>
      </c>
      <c r="D164" s="316" t="s">
        <v>156</v>
      </c>
      <c r="E164" s="1073"/>
      <c r="F164" s="1073">
        <f>VLOOKUP(A164,AN_PKN6_KI3,13,FALSE)</f>
        <v>0</v>
      </c>
      <c r="G164" s="1073"/>
      <c r="H164" s="324">
        <f>AVERAGE(E164:G164)</f>
        <v>0</v>
      </c>
      <c r="I164" s="316" t="s">
        <v>26</v>
      </c>
      <c r="J164" s="1073"/>
      <c r="K164" s="1073"/>
      <c r="L164" s="1073"/>
      <c r="M164" s="1073">
        <f>VLOOKUP(A164,AN_BI6,19,FALSE)</f>
        <v>0</v>
      </c>
      <c r="N164" s="1073">
        <f>VLOOKUP(A164,AN_BI6,19,FALSE)</f>
        <v>0</v>
      </c>
      <c r="O164" s="545">
        <f>AVERAGE(J164:N164)</f>
        <v>0</v>
      </c>
      <c r="P164" s="316" t="s">
        <v>26</v>
      </c>
      <c r="Q164" s="1073"/>
      <c r="R164" s="1073">
        <f>VLOOKUP(A164,AN_MAT6,16,FALSE)</f>
        <v>0</v>
      </c>
      <c r="S164" s="1073"/>
      <c r="T164" s="1073">
        <f>VLOOKUP(A164,AN_MAT6,16,FALSE)</f>
        <v>0</v>
      </c>
      <c r="U164" s="1073"/>
      <c r="V164" s="1073"/>
      <c r="W164" s="1073"/>
      <c r="X164" s="316" t="s">
        <v>26</v>
      </c>
      <c r="Y164" s="325"/>
      <c r="Z164" s="325"/>
      <c r="AA164" s="325"/>
      <c r="AB164" s="325">
        <f>VLOOKUP(A164,AN_SBDP6,16,FALSE)</f>
        <v>0</v>
      </c>
      <c r="AC164" s="661" t="s">
        <v>156</v>
      </c>
      <c r="AD164" s="325">
        <f>VLOOKUP(A164,AN_SBDP6,16,FALSE)</f>
        <v>0</v>
      </c>
      <c r="AE164" s="325">
        <f>VLOOKUP(A164,AN_SBDP6,16,FALSE)</f>
        <v>0</v>
      </c>
      <c r="AF164" s="325"/>
      <c r="AG164" s="325"/>
      <c r="AH164" s="325">
        <f>VLOOKUP(A164,AN_SBDP6,16,FALSE)</f>
        <v>0</v>
      </c>
      <c r="AI164" s="661" t="s">
        <v>44</v>
      </c>
      <c r="AJ164" s="325"/>
      <c r="AK164" s="325"/>
      <c r="AL164" s="325">
        <f>VLOOKUP(A164,an_agm,51,FALSE)</f>
        <v>0</v>
      </c>
      <c r="AM164" s="325"/>
      <c r="AN164" s="325"/>
      <c r="AO164" s="325"/>
      <c r="AP164" s="315" t="s">
        <v>156</v>
      </c>
      <c r="AQ164" s="325">
        <f>VLOOKUP(A164,UHT_jawa,18,FALSE)</f>
        <v>0</v>
      </c>
      <c r="AR164" s="325"/>
      <c r="AS164" s="325"/>
      <c r="AT164" s="661" t="s">
        <v>44</v>
      </c>
      <c r="AU164" s="325"/>
      <c r="AV164" s="325">
        <f>VLOOKUP(A164,AN_ipa6,16,FALSE)</f>
        <v>0</v>
      </c>
      <c r="AW164" s="661" t="s">
        <v>44</v>
      </c>
      <c r="AX164" s="325"/>
      <c r="AY164" s="325"/>
      <c r="AZ164" s="325">
        <f>VLOOKUP(A164,AN_IPS6,16,FALSE)</f>
        <v>0</v>
      </c>
    </row>
    <row r="165" spans="1:52" x14ac:dyDescent="0.25">
      <c r="A165" s="599"/>
      <c r="B165" s="609"/>
      <c r="C165" s="71"/>
      <c r="D165" s="316" t="s">
        <v>26</v>
      </c>
      <c r="E165" s="1073">
        <f>VLOOKUP(A164,AN_PKN7,12,FALSE)</f>
        <v>0</v>
      </c>
      <c r="F165" s="1073">
        <f>VLOOKUP(A164,AN_PKN7,12,FALSE)</f>
        <v>0</v>
      </c>
      <c r="G165" s="1073">
        <f>VLOOKUP(A164,AN_PKN7,12,FALSE)</f>
        <v>0</v>
      </c>
      <c r="H165" s="324">
        <f>AVERAGE(E165:G165)</f>
        <v>0</v>
      </c>
      <c r="I165" s="316" t="s">
        <v>50</v>
      </c>
      <c r="J165" s="1073">
        <f>VLOOKUP(A164,AN_BI7,21,FALSE)</f>
        <v>0</v>
      </c>
      <c r="K165" s="1073">
        <f>VLOOKUP(A164,AN_BI7,21,FALSE)</f>
        <v>0</v>
      </c>
      <c r="L165" s="1073">
        <f>VLOOKUP(A164,AN_BI7,21,FALSE)</f>
        <v>0</v>
      </c>
      <c r="M165" s="1073">
        <f>VLOOKUP(A164,AN_BI7,21,FALSE)</f>
        <v>0</v>
      </c>
      <c r="N165" s="1073"/>
      <c r="O165" s="545">
        <f t="shared" ref="O165:O167" si="297">AVERAGE(J165:N165)</f>
        <v>0</v>
      </c>
      <c r="P165" s="316" t="s">
        <v>50</v>
      </c>
      <c r="Q165" s="1073"/>
      <c r="R165" s="1073"/>
      <c r="S165" s="1073">
        <f>VLOOKUP(A164,AN_MAT7,16,FALSE)</f>
        <v>0</v>
      </c>
      <c r="T165" s="1073">
        <f>VLOOKUP(A164,AN_MAT7,16,FALSE)</f>
        <v>0</v>
      </c>
      <c r="U165" s="1073">
        <f>VLOOKUP(A164,AN_MAT7,16,FALSE)</f>
        <v>0</v>
      </c>
      <c r="V165" s="1073">
        <f>VLOOKUP(A164,AN_MAT7,16,FALSE)</f>
        <v>0</v>
      </c>
      <c r="W165" s="1073"/>
      <c r="X165" s="316" t="s">
        <v>50</v>
      </c>
      <c r="Y165" s="325">
        <f>VLOOKUP(A164,AN_SBDP7,16,FALSE)</f>
        <v>0</v>
      </c>
      <c r="Z165" s="325">
        <f>VLOOKUP(A164,AN_SBDP7,16,FALSE)</f>
        <v>0</v>
      </c>
      <c r="AA165" s="325"/>
      <c r="AB165" s="325">
        <f>VLOOKUP(A164,AN_SBDP7,16,FALSE)</f>
        <v>0</v>
      </c>
      <c r="AC165" s="661" t="s">
        <v>26</v>
      </c>
      <c r="AD165" s="325"/>
      <c r="AE165" s="325"/>
      <c r="AF165" s="325">
        <f>VLOOKUP(A164,AN_SBDP7,16,FALSE)</f>
        <v>0</v>
      </c>
      <c r="AG165" s="325">
        <f>VLOOKUP(A164,AN_SBDP7,16,FALSE)</f>
        <v>0</v>
      </c>
      <c r="AH165" s="325"/>
      <c r="AI165" s="661" t="s">
        <v>45</v>
      </c>
      <c r="AJ165" s="325">
        <f>VLOOKUP(A164,an_agm,49,FALSE)</f>
        <v>0</v>
      </c>
      <c r="AK165" s="325"/>
      <c r="AL165" s="325"/>
      <c r="AM165" s="325"/>
      <c r="AN165" s="325"/>
      <c r="AO165" s="325"/>
      <c r="AP165" s="315" t="s">
        <v>26</v>
      </c>
      <c r="AQ165" s="325"/>
      <c r="AR165" s="325">
        <f>VLOOKUP(A164,UHT_jawa,19,FALSE)</f>
        <v>0</v>
      </c>
      <c r="AS165" s="325"/>
      <c r="AT165" s="661" t="s">
        <v>45</v>
      </c>
      <c r="AU165" s="325">
        <f>VLOOKUP(A164,AN_IPA7,16,FALSE)</f>
        <v>0</v>
      </c>
      <c r="AV165" s="325">
        <f>VLOOKUP(A164,AN_IPA7,16,FALSE)</f>
        <v>0</v>
      </c>
      <c r="AW165" s="661" t="s">
        <v>45</v>
      </c>
      <c r="AX165" s="325">
        <f>VLOOKUP(A164,an_ips7,16,FALSE)</f>
        <v>0</v>
      </c>
      <c r="AY165" s="325">
        <f>VLOOKUP(A164,an_ips7,16,FALSE)</f>
        <v>0</v>
      </c>
      <c r="AZ165" s="325">
        <f>VLOOKUP(A164,an_ips7,16,FALSE)</f>
        <v>0</v>
      </c>
    </row>
    <row r="166" spans="1:52" x14ac:dyDescent="0.25">
      <c r="A166" s="599"/>
      <c r="B166" s="609"/>
      <c r="C166" s="71"/>
      <c r="D166" s="316" t="s">
        <v>50</v>
      </c>
      <c r="E166" s="1073"/>
      <c r="F166" s="1073">
        <f>VLOOKUP(A164,AN_PKN8,17,FALSE)</f>
        <v>0</v>
      </c>
      <c r="G166" s="1073">
        <f>VLOOKUP(A164,AN_PKN8,17,FALSE)</f>
        <v>0</v>
      </c>
      <c r="H166" s="324">
        <f>AVERAGE(E166:G166)</f>
        <v>0</v>
      </c>
      <c r="I166" s="316" t="s">
        <v>51</v>
      </c>
      <c r="J166" s="1073">
        <f>VLOOKUP(A164,AN_BI8,19,FALSE)</f>
        <v>0</v>
      </c>
      <c r="K166" s="1073"/>
      <c r="L166" s="1073"/>
      <c r="M166" s="1073">
        <f>VLOOKUP(A164,AN_BI8,19,FALSE)</f>
        <v>0</v>
      </c>
      <c r="N166" s="1073"/>
      <c r="O166" s="545">
        <f t="shared" si="297"/>
        <v>0</v>
      </c>
      <c r="P166" s="316" t="s">
        <v>51</v>
      </c>
      <c r="Q166" s="1073">
        <f>VLOOKUP(A164,AN_MAT8,16,FALSE)</f>
        <v>0</v>
      </c>
      <c r="R166" s="1073">
        <f>VLOOKUP(A164,AN_MAT8,16,FALSE)</f>
        <v>0</v>
      </c>
      <c r="S166" s="1073"/>
      <c r="T166" s="1073"/>
      <c r="U166" s="1073"/>
      <c r="V166" s="1073"/>
      <c r="W166" s="1073">
        <f>VLOOKUP(A164,AN_MAT8,16,FALSE)</f>
        <v>0</v>
      </c>
      <c r="X166" s="316" t="s">
        <v>51</v>
      </c>
      <c r="Y166" s="325"/>
      <c r="Z166" s="325">
        <f>VLOOKUP(A164,AN_SBDP8,16,FALSE)</f>
        <v>0</v>
      </c>
      <c r="AA166" s="325"/>
      <c r="AB166" s="325">
        <f>VLOOKUP(A164,AN_SBDP8,16,FALSE)</f>
        <v>0</v>
      </c>
      <c r="AC166" s="661" t="s">
        <v>50</v>
      </c>
      <c r="AD166" s="325"/>
      <c r="AE166" s="325"/>
      <c r="AF166" s="325">
        <f>VLOOKUP(A164,AN_SBDP8,16,FALSE)</f>
        <v>0</v>
      </c>
      <c r="AG166" s="325"/>
      <c r="AH166" s="325">
        <f>VLOOKUP(A164,AN_SBDP8,16,FALSE)</f>
        <v>0</v>
      </c>
      <c r="AI166" s="661" t="s">
        <v>46</v>
      </c>
      <c r="AJ166" s="325"/>
      <c r="AK166" s="325"/>
      <c r="AL166" s="325"/>
      <c r="AM166" s="325">
        <f>VLOOKUP(A164,an_agm,52,FALSE)</f>
        <v>0</v>
      </c>
      <c r="AN166" s="325">
        <f>VLOOKUP(A164,an_agm,53,FALSE)</f>
        <v>0</v>
      </c>
      <c r="AO166" s="325"/>
      <c r="AP166" s="315" t="s">
        <v>50</v>
      </c>
      <c r="AQ166" s="325"/>
      <c r="AR166" s="325"/>
      <c r="AS166" s="325">
        <f>VLOOKUP(A164,UHT_jawa,20,FALSE)</f>
        <v>0</v>
      </c>
      <c r="AT166" s="661" t="s">
        <v>46</v>
      </c>
      <c r="AU166" s="325"/>
      <c r="AV166" s="325">
        <f>VLOOKUP(A164,AN_IPA7,16,FALSE)</f>
        <v>0</v>
      </c>
      <c r="AW166" s="661" t="s">
        <v>46</v>
      </c>
      <c r="AX166" s="325">
        <f>VLOOKUP(A164,AN_ips8,16,FALSE)</f>
        <v>0</v>
      </c>
      <c r="AY166" s="325">
        <f>VLOOKUP(A164,AN_ips8,16,FALSE)</f>
        <v>0</v>
      </c>
      <c r="AZ166" s="325">
        <f>VLOOKUP(A164,AN_ips8,16,FALSE)</f>
        <v>0</v>
      </c>
    </row>
    <row r="167" spans="1:52" x14ac:dyDescent="0.25">
      <c r="A167" s="599"/>
      <c r="B167" s="609"/>
      <c r="C167" s="71"/>
      <c r="D167" s="316" t="s">
        <v>51</v>
      </c>
      <c r="E167" s="325">
        <f>VLOOKUP(A164,AN_PKN9,16,FALSE)</f>
        <v>0</v>
      </c>
      <c r="F167" s="325"/>
      <c r="G167" s="325"/>
      <c r="H167" s="324">
        <f>AVERAGE(E167:G167)</f>
        <v>0</v>
      </c>
      <c r="I167" s="316" t="s">
        <v>52</v>
      </c>
      <c r="J167" s="1073">
        <f>VLOOKUP(A164,AN_BI9,21,FALSE)</f>
        <v>0</v>
      </c>
      <c r="K167" s="1073">
        <f>VLOOKUP(A164,AN_BI9,21,FALSE)</f>
        <v>0</v>
      </c>
      <c r="L167" s="1073">
        <f>VLOOKUP(A164,AN_BI9,21,FALSE)</f>
        <v>0</v>
      </c>
      <c r="M167" s="1073">
        <f>VLOOKUP(A164,AN_BI9,21,FALSE)</f>
        <v>0</v>
      </c>
      <c r="N167" s="1073"/>
      <c r="O167" s="545">
        <f t="shared" si="297"/>
        <v>0</v>
      </c>
      <c r="P167" s="316" t="s">
        <v>52</v>
      </c>
      <c r="Q167" s="1073">
        <f>VLOOKUP(A164,AN_MAT9,16,FALSE)</f>
        <v>0</v>
      </c>
      <c r="R167" s="1073">
        <f>VLOOKUP(A164,AN_MAT9,16,FALSE)</f>
        <v>0</v>
      </c>
      <c r="S167" s="1073">
        <f>VLOOKUP(A164,AN_MAT9,16,FALSE)</f>
        <v>0</v>
      </c>
      <c r="T167" s="1073">
        <f>VLOOKUP(A164,AN_MAT9,16,FALSE)</f>
        <v>0</v>
      </c>
      <c r="U167" s="1073">
        <f>VLOOKUP(A164,AN_MAT9,16,FALSE)</f>
        <v>0</v>
      </c>
      <c r="V167" s="1073">
        <f>VLOOKUP(A164,AN_MAT9,16,FALSE)</f>
        <v>0</v>
      </c>
      <c r="W167" s="1073">
        <f>VLOOKUP(A164,AN_MAT9,16,FALSE)</f>
        <v>0</v>
      </c>
      <c r="X167" s="316" t="s">
        <v>52</v>
      </c>
      <c r="Y167" s="325"/>
      <c r="Z167" s="325">
        <f>VLOOKUP(A164,AN_SBDP9,16,FALSE)</f>
        <v>0</v>
      </c>
      <c r="AA167" s="325">
        <f>VLOOKUP(A164,AN_SBDP9,16,FALSE)</f>
        <v>0</v>
      </c>
      <c r="AB167" s="325"/>
      <c r="AC167" s="661" t="s">
        <v>51</v>
      </c>
      <c r="AD167" s="325"/>
      <c r="AE167" s="325">
        <f>VLOOKUP(A164,AN_SBDP9,16,FALSE)</f>
        <v>0</v>
      </c>
      <c r="AF167" s="325">
        <f>VLOOKUP(A164,AN_SBDP9,16,FALSE)</f>
        <v>0</v>
      </c>
      <c r="AG167" s="325"/>
      <c r="AH167" s="325"/>
      <c r="AI167" s="661" t="s">
        <v>47</v>
      </c>
      <c r="AJ167" s="325"/>
      <c r="AK167" s="325">
        <f>VLOOKUP(A164,an_agm,50,FALSE)</f>
        <v>0</v>
      </c>
      <c r="AL167" s="325"/>
      <c r="AM167" s="325"/>
      <c r="AN167" s="325"/>
      <c r="AO167" s="325"/>
      <c r="AP167" s="315" t="s">
        <v>51</v>
      </c>
      <c r="AQ167" s="325"/>
      <c r="AR167" s="325"/>
      <c r="AS167" s="325"/>
      <c r="AT167" s="661" t="s">
        <v>47</v>
      </c>
      <c r="AU167" s="325"/>
      <c r="AV167" s="325">
        <f>VLOOKUP(A164,an_IPA9,16,FALSE)</f>
        <v>0</v>
      </c>
      <c r="AW167" s="661" t="s">
        <v>47</v>
      </c>
      <c r="AX167" s="325">
        <f>VLOOKUP(A164,AN_IPS_9,16,FALSE)</f>
        <v>0</v>
      </c>
      <c r="AY167" s="325"/>
      <c r="AZ167" s="325">
        <f>VLOOKUP(A164,AN_IPS_9,16,FALSE)</f>
        <v>0</v>
      </c>
    </row>
    <row r="168" spans="1:52" x14ac:dyDescent="0.25">
      <c r="A168" s="599"/>
      <c r="B168" s="609"/>
      <c r="C168" s="71"/>
      <c r="D168" s="316"/>
      <c r="E168" s="1073"/>
      <c r="F168" s="1073"/>
      <c r="G168" s="1073"/>
      <c r="H168" s="1074"/>
      <c r="I168" s="316"/>
      <c r="J168" s="1073"/>
      <c r="K168" s="1073"/>
      <c r="L168" s="1073"/>
      <c r="M168" s="1073"/>
      <c r="N168" s="1073"/>
      <c r="O168" s="1074"/>
      <c r="P168" s="315"/>
      <c r="Q168" s="1073"/>
      <c r="R168" s="1073"/>
      <c r="S168" s="1073"/>
      <c r="T168" s="1073"/>
      <c r="U168" s="1073"/>
      <c r="V168" s="1073"/>
      <c r="W168" s="1073"/>
      <c r="X168" s="315"/>
      <c r="Y168" s="325"/>
      <c r="Z168" s="325"/>
      <c r="AA168" s="325"/>
      <c r="AB168" s="325"/>
      <c r="AC168" s="661"/>
      <c r="AD168" s="1073"/>
      <c r="AE168" s="1073"/>
      <c r="AF168" s="1112"/>
      <c r="AG168" s="1112"/>
      <c r="AH168" s="1112"/>
      <c r="AI168" s="661" t="s">
        <v>48</v>
      </c>
      <c r="AJ168" s="325"/>
      <c r="AK168" s="325"/>
      <c r="AL168" s="325"/>
      <c r="AM168" s="325"/>
      <c r="AN168" s="325"/>
      <c r="AO168" s="325">
        <f>VLOOKUP(A164,an_agm,54,FALSE)</f>
        <v>0</v>
      </c>
      <c r="AP168" s="315"/>
      <c r="AQ168" s="1136"/>
      <c r="AR168" s="1136"/>
      <c r="AS168" s="1136"/>
      <c r="AT168" s="315"/>
      <c r="AU168" s="325"/>
      <c r="AV168" s="325"/>
      <c r="AW168" s="315"/>
      <c r="AX168" s="325"/>
      <c r="AY168" s="325"/>
      <c r="AZ168" s="325"/>
    </row>
    <row r="169" spans="1:52" x14ac:dyDescent="0.25">
      <c r="A169" s="604"/>
      <c r="B169" s="611">
        <v>27</v>
      </c>
      <c r="C169" s="72"/>
      <c r="D169" s="317" t="s">
        <v>214</v>
      </c>
      <c r="E169" s="318">
        <f>IFERROR(AVERAGE(E164:E168),"  ")</f>
        <v>0</v>
      </c>
      <c r="F169" s="318">
        <f t="shared" ref="F169:G169" si="298">IFERROR(AVERAGE(F164:F168),"  ")</f>
        <v>0</v>
      </c>
      <c r="G169" s="318">
        <f t="shared" si="298"/>
        <v>0</v>
      </c>
      <c r="H169" s="323"/>
      <c r="I169" s="317" t="s">
        <v>214</v>
      </c>
      <c r="J169" s="318">
        <f>IFERROR(AVERAGE(J164:J168),"  ")</f>
        <v>0</v>
      </c>
      <c r="K169" s="318">
        <f t="shared" ref="K169:M169" si="299">IFERROR(AVERAGE(K164:K168),"  ")</f>
        <v>0</v>
      </c>
      <c r="L169" s="318">
        <f t="shared" si="299"/>
        <v>0</v>
      </c>
      <c r="M169" s="318">
        <f t="shared" si="299"/>
        <v>0</v>
      </c>
      <c r="N169" s="318">
        <f>IFERROR(AVERAGE(N164:N168),"  ")</f>
        <v>0</v>
      </c>
      <c r="O169" s="597"/>
      <c r="P169" s="317" t="s">
        <v>214</v>
      </c>
      <c r="Q169" s="318">
        <f>IFERROR(AVERAGE(Q164:Q168),"  ")</f>
        <v>0</v>
      </c>
      <c r="R169" s="318">
        <f t="shared" ref="R169:W169" si="300">IFERROR(AVERAGE(R164:R168),"  ")</f>
        <v>0</v>
      </c>
      <c r="S169" s="318">
        <f t="shared" si="300"/>
        <v>0</v>
      </c>
      <c r="T169" s="318">
        <f t="shared" si="300"/>
        <v>0</v>
      </c>
      <c r="U169" s="318">
        <f t="shared" si="300"/>
        <v>0</v>
      </c>
      <c r="V169" s="318">
        <f t="shared" si="300"/>
        <v>0</v>
      </c>
      <c r="W169" s="318">
        <f t="shared" si="300"/>
        <v>0</v>
      </c>
      <c r="X169" s="317" t="s">
        <v>214</v>
      </c>
      <c r="Y169" s="318">
        <f t="shared" ref="Y169:AB169" si="301">IFERROR(AVERAGE(Y164:Y168),"  ")</f>
        <v>0</v>
      </c>
      <c r="Z169" s="318">
        <f t="shared" si="301"/>
        <v>0</v>
      </c>
      <c r="AA169" s="318">
        <f t="shared" si="301"/>
        <v>0</v>
      </c>
      <c r="AB169" s="318">
        <f t="shared" si="301"/>
        <v>0</v>
      </c>
      <c r="AC169" s="317" t="s">
        <v>214</v>
      </c>
      <c r="AD169" s="318">
        <f t="shared" ref="AD169:AH169" si="302">IFERROR(AVERAGE(AD164:AD168),"  ")</f>
        <v>0</v>
      </c>
      <c r="AE169" s="318">
        <f t="shared" si="302"/>
        <v>0</v>
      </c>
      <c r="AF169" s="318">
        <f t="shared" si="302"/>
        <v>0</v>
      </c>
      <c r="AG169" s="318">
        <f t="shared" si="302"/>
        <v>0</v>
      </c>
      <c r="AH169" s="318">
        <f t="shared" si="302"/>
        <v>0</v>
      </c>
      <c r="AI169" s="317" t="s">
        <v>214</v>
      </c>
      <c r="AJ169" s="318">
        <f t="shared" ref="AJ169:AO169" si="303">IFERROR(AVERAGE(AJ164:AJ168),"  ")</f>
        <v>0</v>
      </c>
      <c r="AK169" s="318">
        <f t="shared" si="303"/>
        <v>0</v>
      </c>
      <c r="AL169" s="318">
        <f t="shared" si="303"/>
        <v>0</v>
      </c>
      <c r="AM169" s="318">
        <f t="shared" si="303"/>
        <v>0</v>
      </c>
      <c r="AN169" s="318">
        <f t="shared" si="303"/>
        <v>0</v>
      </c>
      <c r="AO169" s="318">
        <f t="shared" si="303"/>
        <v>0</v>
      </c>
      <c r="AP169" s="317" t="s">
        <v>214</v>
      </c>
      <c r="AQ169" s="318">
        <f t="shared" ref="AQ169:AS169" si="304">IFERROR(AVERAGE(AQ164:AQ168),"  ")</f>
        <v>0</v>
      </c>
      <c r="AR169" s="318">
        <f t="shared" si="304"/>
        <v>0</v>
      </c>
      <c r="AS169" s="318">
        <f t="shared" si="304"/>
        <v>0</v>
      </c>
      <c r="AT169" s="317" t="s">
        <v>214</v>
      </c>
      <c r="AU169" s="318">
        <f t="shared" ref="AU169:AV169" si="305">IFERROR(AVERAGE(AU164:AU168),"  ")</f>
        <v>0</v>
      </c>
      <c r="AV169" s="318">
        <f t="shared" si="305"/>
        <v>0</v>
      </c>
      <c r="AW169" s="317" t="s">
        <v>214</v>
      </c>
      <c r="AX169" s="318">
        <f t="shared" ref="AX169:AZ169" si="306">IFERROR(AVERAGE(AX164:AX168),"  ")</f>
        <v>0</v>
      </c>
      <c r="AY169" s="318">
        <f t="shared" si="306"/>
        <v>0</v>
      </c>
      <c r="AZ169" s="318">
        <f t="shared" si="306"/>
        <v>0</v>
      </c>
    </row>
    <row r="170" spans="1:52" x14ac:dyDescent="0.25">
      <c r="A170" s="599">
        <v>28</v>
      </c>
      <c r="B170" s="608"/>
      <c r="C170" s="292" t="e">
        <f>VLOOKUP(A170,data_siswa,4,FALSE)</f>
        <v>#N/A</v>
      </c>
      <c r="D170" s="316" t="s">
        <v>156</v>
      </c>
      <c r="E170" s="1073"/>
      <c r="F170" s="1073">
        <f>VLOOKUP(A170,AN_PKN6_KI3,13,FALSE)</f>
        <v>0</v>
      </c>
      <c r="G170" s="1073"/>
      <c r="H170" s="324">
        <f>AVERAGE(E170:G170)</f>
        <v>0</v>
      </c>
      <c r="I170" s="316" t="s">
        <v>26</v>
      </c>
      <c r="J170" s="1073"/>
      <c r="K170" s="1073"/>
      <c r="L170" s="1073"/>
      <c r="M170" s="1073">
        <f>VLOOKUP(A170,AN_BI6,19,FALSE)</f>
        <v>0</v>
      </c>
      <c r="N170" s="1073">
        <f>VLOOKUP(A170,AN_BI6,19,FALSE)</f>
        <v>0</v>
      </c>
      <c r="O170" s="545">
        <f>AVERAGE(J170:N170)</f>
        <v>0</v>
      </c>
      <c r="P170" s="316" t="s">
        <v>26</v>
      </c>
      <c r="Q170" s="1073"/>
      <c r="R170" s="1073">
        <f>VLOOKUP(A170,AN_MAT6,16,FALSE)</f>
        <v>0</v>
      </c>
      <c r="S170" s="1073"/>
      <c r="T170" s="1073">
        <f>VLOOKUP(A170,AN_MAT6,16,FALSE)</f>
        <v>0</v>
      </c>
      <c r="U170" s="1073"/>
      <c r="V170" s="1073"/>
      <c r="W170" s="1073"/>
      <c r="X170" s="316" t="s">
        <v>26</v>
      </c>
      <c r="Y170" s="325"/>
      <c r="Z170" s="325"/>
      <c r="AA170" s="325"/>
      <c r="AB170" s="325">
        <f>VLOOKUP(A170,AN_SBDP6,16,FALSE)</f>
        <v>0</v>
      </c>
      <c r="AC170" s="661" t="s">
        <v>156</v>
      </c>
      <c r="AD170" s="325">
        <f>VLOOKUP(A170,AN_SBDP6,16,FALSE)</f>
        <v>0</v>
      </c>
      <c r="AE170" s="325">
        <f>VLOOKUP(A170,AN_SBDP6,16,FALSE)</f>
        <v>0</v>
      </c>
      <c r="AF170" s="325"/>
      <c r="AG170" s="325"/>
      <c r="AH170" s="325">
        <f>VLOOKUP(A170,AN_SBDP6,16,FALSE)</f>
        <v>0</v>
      </c>
      <c r="AI170" s="661" t="s">
        <v>44</v>
      </c>
      <c r="AJ170" s="325"/>
      <c r="AK170" s="325"/>
      <c r="AL170" s="325">
        <f>VLOOKUP(A170,an_agm,51,FALSE)</f>
        <v>0</v>
      </c>
      <c r="AM170" s="325"/>
      <c r="AN170" s="325"/>
      <c r="AO170" s="325"/>
      <c r="AP170" s="315" t="s">
        <v>156</v>
      </c>
      <c r="AQ170" s="325">
        <f>VLOOKUP(A170,UHT_jawa,18,FALSE)</f>
        <v>0</v>
      </c>
      <c r="AR170" s="325"/>
      <c r="AS170" s="325"/>
      <c r="AT170" s="661" t="s">
        <v>44</v>
      </c>
      <c r="AU170" s="325"/>
      <c r="AV170" s="325">
        <f>VLOOKUP(A170,AN_ipa6,16,FALSE)</f>
        <v>0</v>
      </c>
      <c r="AW170" s="661" t="s">
        <v>44</v>
      </c>
      <c r="AX170" s="325"/>
      <c r="AY170" s="325"/>
      <c r="AZ170" s="325">
        <f>VLOOKUP(A170,AN_IPS6,16,FALSE)</f>
        <v>0</v>
      </c>
    </row>
    <row r="171" spans="1:52" x14ac:dyDescent="0.25">
      <c r="A171" s="599"/>
      <c r="B171" s="609"/>
      <c r="C171" s="71"/>
      <c r="D171" s="316" t="s">
        <v>26</v>
      </c>
      <c r="E171" s="1073">
        <f>VLOOKUP(A170,AN_PKN7,12,FALSE)</f>
        <v>0</v>
      </c>
      <c r="F171" s="1073">
        <f>VLOOKUP(A170,AN_PKN7,12,FALSE)</f>
        <v>0</v>
      </c>
      <c r="G171" s="1073">
        <f>VLOOKUP(A170,AN_PKN7,12,FALSE)</f>
        <v>0</v>
      </c>
      <c r="H171" s="324">
        <f>AVERAGE(E171:G171)</f>
        <v>0</v>
      </c>
      <c r="I171" s="316" t="s">
        <v>50</v>
      </c>
      <c r="J171" s="1073">
        <f>VLOOKUP(A170,AN_BI7,21,FALSE)</f>
        <v>0</v>
      </c>
      <c r="K171" s="1073">
        <f>VLOOKUP(A170,AN_BI7,21,FALSE)</f>
        <v>0</v>
      </c>
      <c r="L171" s="1073">
        <f>VLOOKUP(A170,AN_BI7,21,FALSE)</f>
        <v>0</v>
      </c>
      <c r="M171" s="1073">
        <f>VLOOKUP(A170,AN_BI7,21,FALSE)</f>
        <v>0</v>
      </c>
      <c r="N171" s="1073"/>
      <c r="O171" s="545">
        <f t="shared" ref="O171:O173" si="307">AVERAGE(J171:N171)</f>
        <v>0</v>
      </c>
      <c r="P171" s="316" t="s">
        <v>50</v>
      </c>
      <c r="Q171" s="1073"/>
      <c r="R171" s="1073"/>
      <c r="S171" s="1073">
        <f>VLOOKUP(A170,AN_MAT7,16,FALSE)</f>
        <v>0</v>
      </c>
      <c r="T171" s="1073">
        <f>VLOOKUP(A170,AN_MAT7,16,FALSE)</f>
        <v>0</v>
      </c>
      <c r="U171" s="1073">
        <f>VLOOKUP(A170,AN_MAT7,16,FALSE)</f>
        <v>0</v>
      </c>
      <c r="V171" s="1073">
        <f>VLOOKUP(A170,AN_MAT7,16,FALSE)</f>
        <v>0</v>
      </c>
      <c r="W171" s="1073"/>
      <c r="X171" s="316" t="s">
        <v>50</v>
      </c>
      <c r="Y171" s="325">
        <f>VLOOKUP(A170,AN_SBDP7,16,FALSE)</f>
        <v>0</v>
      </c>
      <c r="Z171" s="325">
        <f>VLOOKUP(A170,AN_SBDP7,16,FALSE)</f>
        <v>0</v>
      </c>
      <c r="AA171" s="325"/>
      <c r="AB171" s="325">
        <f>VLOOKUP(A170,AN_SBDP7,16,FALSE)</f>
        <v>0</v>
      </c>
      <c r="AC171" s="661" t="s">
        <v>26</v>
      </c>
      <c r="AD171" s="325"/>
      <c r="AE171" s="325"/>
      <c r="AF171" s="325">
        <f>VLOOKUP(A170,AN_SBDP7,16,FALSE)</f>
        <v>0</v>
      </c>
      <c r="AG171" s="325">
        <f>VLOOKUP(A170,AN_SBDP7,16,FALSE)</f>
        <v>0</v>
      </c>
      <c r="AH171" s="325"/>
      <c r="AI171" s="661" t="s">
        <v>45</v>
      </c>
      <c r="AJ171" s="325">
        <f>VLOOKUP(A170,an_agm,49,FALSE)</f>
        <v>0</v>
      </c>
      <c r="AK171" s="325"/>
      <c r="AL171" s="325"/>
      <c r="AM171" s="325"/>
      <c r="AN171" s="325"/>
      <c r="AO171" s="325"/>
      <c r="AP171" s="315" t="s">
        <v>26</v>
      </c>
      <c r="AQ171" s="325"/>
      <c r="AR171" s="325">
        <f>VLOOKUP(A170,UHT_jawa,19,FALSE)</f>
        <v>0</v>
      </c>
      <c r="AS171" s="325"/>
      <c r="AT171" s="661" t="s">
        <v>45</v>
      </c>
      <c r="AU171" s="325">
        <f>VLOOKUP(A170,AN_IPA7,16,FALSE)</f>
        <v>0</v>
      </c>
      <c r="AV171" s="325">
        <f>VLOOKUP(A170,AN_IPA7,16,FALSE)</f>
        <v>0</v>
      </c>
      <c r="AW171" s="661" t="s">
        <v>45</v>
      </c>
      <c r="AX171" s="325">
        <f>VLOOKUP(A170,an_ips7,16,FALSE)</f>
        <v>0</v>
      </c>
      <c r="AY171" s="325">
        <f>VLOOKUP(A170,an_ips7,16,FALSE)</f>
        <v>0</v>
      </c>
      <c r="AZ171" s="325">
        <f>VLOOKUP(A170,an_ips7,16,FALSE)</f>
        <v>0</v>
      </c>
    </row>
    <row r="172" spans="1:52" x14ac:dyDescent="0.25">
      <c r="A172" s="599"/>
      <c r="B172" s="609"/>
      <c r="C172" s="71"/>
      <c r="D172" s="316" t="s">
        <v>50</v>
      </c>
      <c r="E172" s="1073"/>
      <c r="F172" s="1073">
        <f>VLOOKUP(A170,AN_PKN8,17,FALSE)</f>
        <v>0</v>
      </c>
      <c r="G172" s="1073">
        <f>VLOOKUP(A170,AN_PKN8,17,FALSE)</f>
        <v>0</v>
      </c>
      <c r="H172" s="324">
        <f>AVERAGE(E172:G172)</f>
        <v>0</v>
      </c>
      <c r="I172" s="316" t="s">
        <v>51</v>
      </c>
      <c r="J172" s="1073">
        <f>VLOOKUP(A170,AN_BI8,19,FALSE)</f>
        <v>0</v>
      </c>
      <c r="K172" s="1073"/>
      <c r="L172" s="1073"/>
      <c r="M172" s="1073">
        <f>VLOOKUP(A170,AN_BI8,19,FALSE)</f>
        <v>0</v>
      </c>
      <c r="N172" s="1073"/>
      <c r="O172" s="545">
        <f t="shared" si="307"/>
        <v>0</v>
      </c>
      <c r="P172" s="316" t="s">
        <v>51</v>
      </c>
      <c r="Q172" s="1073">
        <f>VLOOKUP(A170,AN_MAT8,16,FALSE)</f>
        <v>0</v>
      </c>
      <c r="R172" s="1073">
        <f>VLOOKUP(A170,AN_MAT8,16,FALSE)</f>
        <v>0</v>
      </c>
      <c r="S172" s="1073"/>
      <c r="T172" s="1073"/>
      <c r="U172" s="1073"/>
      <c r="V172" s="1073"/>
      <c r="W172" s="1073">
        <f>VLOOKUP(A170,AN_MAT8,16,FALSE)</f>
        <v>0</v>
      </c>
      <c r="X172" s="316" t="s">
        <v>51</v>
      </c>
      <c r="Y172" s="325"/>
      <c r="Z172" s="325">
        <f>VLOOKUP(A170,AN_SBDP8,16,FALSE)</f>
        <v>0</v>
      </c>
      <c r="AA172" s="325"/>
      <c r="AB172" s="325">
        <f>VLOOKUP(A170,AN_SBDP8,16,FALSE)</f>
        <v>0</v>
      </c>
      <c r="AC172" s="661" t="s">
        <v>50</v>
      </c>
      <c r="AD172" s="325"/>
      <c r="AE172" s="325"/>
      <c r="AF172" s="325">
        <f>VLOOKUP(A170,AN_SBDP8,16,FALSE)</f>
        <v>0</v>
      </c>
      <c r="AG172" s="325"/>
      <c r="AH172" s="325">
        <f>VLOOKUP(A170,AN_SBDP8,16,FALSE)</f>
        <v>0</v>
      </c>
      <c r="AI172" s="661" t="s">
        <v>46</v>
      </c>
      <c r="AJ172" s="325"/>
      <c r="AK172" s="325"/>
      <c r="AL172" s="325"/>
      <c r="AM172" s="325">
        <f>VLOOKUP(A170,an_agm,52,FALSE)</f>
        <v>0</v>
      </c>
      <c r="AN172" s="325">
        <f>VLOOKUP(A170,an_agm,53,FALSE)</f>
        <v>0</v>
      </c>
      <c r="AO172" s="325"/>
      <c r="AP172" s="315" t="s">
        <v>50</v>
      </c>
      <c r="AQ172" s="325"/>
      <c r="AR172" s="325"/>
      <c r="AS172" s="325">
        <f>VLOOKUP(A170,UHT_jawa,20,FALSE)</f>
        <v>0</v>
      </c>
      <c r="AT172" s="661" t="s">
        <v>46</v>
      </c>
      <c r="AU172" s="325"/>
      <c r="AV172" s="325">
        <f>VLOOKUP(A170,AN_IPA7,16,FALSE)</f>
        <v>0</v>
      </c>
      <c r="AW172" s="661" t="s">
        <v>46</v>
      </c>
      <c r="AX172" s="325">
        <f>VLOOKUP(A170,AN_ips8,16,FALSE)</f>
        <v>0</v>
      </c>
      <c r="AY172" s="325">
        <f>VLOOKUP(A170,AN_ips8,16,FALSE)</f>
        <v>0</v>
      </c>
      <c r="AZ172" s="325">
        <f>VLOOKUP(A170,AN_ips8,16,FALSE)</f>
        <v>0</v>
      </c>
    </row>
    <row r="173" spans="1:52" x14ac:dyDescent="0.25">
      <c r="A173" s="599"/>
      <c r="B173" s="609"/>
      <c r="C173" s="71"/>
      <c r="D173" s="316" t="s">
        <v>51</v>
      </c>
      <c r="E173" s="325">
        <f>VLOOKUP(A170,AN_PKN9,16,FALSE)</f>
        <v>0</v>
      </c>
      <c r="F173" s="325"/>
      <c r="G173" s="325"/>
      <c r="H173" s="324">
        <f>AVERAGE(E173:G173)</f>
        <v>0</v>
      </c>
      <c r="I173" s="316" t="s">
        <v>52</v>
      </c>
      <c r="J173" s="1073">
        <f>VLOOKUP(A170,AN_BI9,21,FALSE)</f>
        <v>0</v>
      </c>
      <c r="K173" s="1073">
        <f>VLOOKUP(A170,AN_BI9,21,FALSE)</f>
        <v>0</v>
      </c>
      <c r="L173" s="1073">
        <f>VLOOKUP(A170,AN_BI9,21,FALSE)</f>
        <v>0</v>
      </c>
      <c r="M173" s="1073">
        <f>VLOOKUP(A170,AN_BI9,21,FALSE)</f>
        <v>0</v>
      </c>
      <c r="N173" s="1073"/>
      <c r="O173" s="545">
        <f t="shared" si="307"/>
        <v>0</v>
      </c>
      <c r="P173" s="316" t="s">
        <v>52</v>
      </c>
      <c r="Q173" s="1073">
        <f>VLOOKUP(A170,AN_MAT9,16,FALSE)</f>
        <v>0</v>
      </c>
      <c r="R173" s="1073">
        <f>VLOOKUP(A170,AN_MAT9,16,FALSE)</f>
        <v>0</v>
      </c>
      <c r="S173" s="1073">
        <f>VLOOKUP(A170,AN_MAT9,16,FALSE)</f>
        <v>0</v>
      </c>
      <c r="T173" s="1073">
        <f>VLOOKUP(A170,AN_MAT9,16,FALSE)</f>
        <v>0</v>
      </c>
      <c r="U173" s="1073">
        <f>VLOOKUP(A170,AN_MAT9,16,FALSE)</f>
        <v>0</v>
      </c>
      <c r="V173" s="1073">
        <f>VLOOKUP(A170,AN_MAT9,16,FALSE)</f>
        <v>0</v>
      </c>
      <c r="W173" s="1073">
        <f>VLOOKUP(A170,AN_MAT9,16,FALSE)</f>
        <v>0</v>
      </c>
      <c r="X173" s="316" t="s">
        <v>52</v>
      </c>
      <c r="Y173" s="325"/>
      <c r="Z173" s="325">
        <f>VLOOKUP(A170,AN_SBDP9,16,FALSE)</f>
        <v>0</v>
      </c>
      <c r="AA173" s="325">
        <f>VLOOKUP(A170,AN_SBDP9,16,FALSE)</f>
        <v>0</v>
      </c>
      <c r="AB173" s="325"/>
      <c r="AC173" s="661" t="s">
        <v>51</v>
      </c>
      <c r="AD173" s="325"/>
      <c r="AE173" s="325">
        <f>VLOOKUP(A170,AN_SBDP9,16,FALSE)</f>
        <v>0</v>
      </c>
      <c r="AF173" s="325">
        <f>VLOOKUP(A170,AN_SBDP9,16,FALSE)</f>
        <v>0</v>
      </c>
      <c r="AG173" s="325"/>
      <c r="AH173" s="325"/>
      <c r="AI173" s="661" t="s">
        <v>47</v>
      </c>
      <c r="AJ173" s="325"/>
      <c r="AK173" s="325">
        <f>VLOOKUP(A170,an_agm,50,FALSE)</f>
        <v>0</v>
      </c>
      <c r="AL173" s="325"/>
      <c r="AM173" s="325"/>
      <c r="AN173" s="325"/>
      <c r="AO173" s="325"/>
      <c r="AP173" s="315" t="s">
        <v>51</v>
      </c>
      <c r="AQ173" s="325"/>
      <c r="AR173" s="325"/>
      <c r="AS173" s="325"/>
      <c r="AT173" s="661" t="s">
        <v>47</v>
      </c>
      <c r="AU173" s="325"/>
      <c r="AV173" s="325">
        <f>VLOOKUP(A170,an_IPA9,16,FALSE)</f>
        <v>0</v>
      </c>
      <c r="AW173" s="661" t="s">
        <v>47</v>
      </c>
      <c r="AX173" s="325">
        <f>VLOOKUP(A170,AN_IPS_9,16,FALSE)</f>
        <v>0</v>
      </c>
      <c r="AY173" s="325"/>
      <c r="AZ173" s="325">
        <f>VLOOKUP(A170,AN_IPS_9,16,FALSE)</f>
        <v>0</v>
      </c>
    </row>
    <row r="174" spans="1:52" x14ac:dyDescent="0.25">
      <c r="A174" s="599"/>
      <c r="B174" s="609"/>
      <c r="C174" s="71"/>
      <c r="D174" s="316"/>
      <c r="E174" s="1073"/>
      <c r="F174" s="1073"/>
      <c r="G174" s="1073"/>
      <c r="H174" s="1074"/>
      <c r="I174" s="316"/>
      <c r="J174" s="1073"/>
      <c r="K174" s="1073"/>
      <c r="L174" s="1073"/>
      <c r="M174" s="1073"/>
      <c r="N174" s="1073"/>
      <c r="O174" s="1074"/>
      <c r="P174" s="315"/>
      <c r="Q174" s="1073"/>
      <c r="R174" s="1073"/>
      <c r="S174" s="1073"/>
      <c r="T174" s="1073"/>
      <c r="U174" s="1073"/>
      <c r="V174" s="1073"/>
      <c r="W174" s="1073"/>
      <c r="X174" s="315"/>
      <c r="Y174" s="325"/>
      <c r="Z174" s="325"/>
      <c r="AA174" s="325"/>
      <c r="AB174" s="325"/>
      <c r="AC174" s="661"/>
      <c r="AD174" s="1073"/>
      <c r="AE174" s="1073"/>
      <c r="AF174" s="1112"/>
      <c r="AG174" s="1112"/>
      <c r="AH174" s="1112"/>
      <c r="AI174" s="661" t="s">
        <v>48</v>
      </c>
      <c r="AJ174" s="325"/>
      <c r="AK174" s="325"/>
      <c r="AL174" s="325"/>
      <c r="AM174" s="325"/>
      <c r="AN174" s="325"/>
      <c r="AO174" s="325">
        <f>VLOOKUP(A170,an_agm,54,FALSE)</f>
        <v>0</v>
      </c>
      <c r="AP174" s="315"/>
      <c r="AQ174" s="1136"/>
      <c r="AR174" s="1136"/>
      <c r="AS174" s="1136"/>
      <c r="AT174" s="315"/>
      <c r="AU174" s="325"/>
      <c r="AV174" s="325"/>
      <c r="AW174" s="315"/>
      <c r="AX174" s="325"/>
      <c r="AY174" s="325"/>
      <c r="AZ174" s="325"/>
    </row>
    <row r="175" spans="1:52" x14ac:dyDescent="0.25">
      <c r="A175" s="604"/>
      <c r="B175" s="611">
        <v>28</v>
      </c>
      <c r="C175" s="72"/>
      <c r="D175" s="317" t="s">
        <v>214</v>
      </c>
      <c r="E175" s="318">
        <f>IFERROR(AVERAGE(E170:E174),"  ")</f>
        <v>0</v>
      </c>
      <c r="F175" s="318">
        <f t="shared" ref="F175:G175" si="308">IFERROR(AVERAGE(F170:F174),"  ")</f>
        <v>0</v>
      </c>
      <c r="G175" s="318">
        <f t="shared" si="308"/>
        <v>0</v>
      </c>
      <c r="H175" s="323"/>
      <c r="I175" s="317" t="s">
        <v>214</v>
      </c>
      <c r="J175" s="318">
        <f>IFERROR(AVERAGE(J170:J174),"  ")</f>
        <v>0</v>
      </c>
      <c r="K175" s="318">
        <f t="shared" ref="K175:M175" si="309">IFERROR(AVERAGE(K170:K174),"  ")</f>
        <v>0</v>
      </c>
      <c r="L175" s="318">
        <f t="shared" si="309"/>
        <v>0</v>
      </c>
      <c r="M175" s="318">
        <f t="shared" si="309"/>
        <v>0</v>
      </c>
      <c r="N175" s="318">
        <f>IFERROR(AVERAGE(N170:N174),"  ")</f>
        <v>0</v>
      </c>
      <c r="O175" s="597"/>
      <c r="P175" s="317" t="s">
        <v>214</v>
      </c>
      <c r="Q175" s="318">
        <f>IFERROR(AVERAGE(Q170:Q174),"  ")</f>
        <v>0</v>
      </c>
      <c r="R175" s="318">
        <f t="shared" ref="R175:W175" si="310">IFERROR(AVERAGE(R170:R174),"  ")</f>
        <v>0</v>
      </c>
      <c r="S175" s="318">
        <f t="shared" si="310"/>
        <v>0</v>
      </c>
      <c r="T175" s="318">
        <f t="shared" si="310"/>
        <v>0</v>
      </c>
      <c r="U175" s="318">
        <f t="shared" si="310"/>
        <v>0</v>
      </c>
      <c r="V175" s="318">
        <f t="shared" si="310"/>
        <v>0</v>
      </c>
      <c r="W175" s="318">
        <f t="shared" si="310"/>
        <v>0</v>
      </c>
      <c r="X175" s="317" t="s">
        <v>214</v>
      </c>
      <c r="Y175" s="318">
        <f t="shared" ref="Y175:AB175" si="311">IFERROR(AVERAGE(Y170:Y174),"  ")</f>
        <v>0</v>
      </c>
      <c r="Z175" s="318">
        <f t="shared" si="311"/>
        <v>0</v>
      </c>
      <c r="AA175" s="318">
        <f t="shared" si="311"/>
        <v>0</v>
      </c>
      <c r="AB175" s="318">
        <f t="shared" si="311"/>
        <v>0</v>
      </c>
      <c r="AC175" s="317" t="s">
        <v>214</v>
      </c>
      <c r="AD175" s="318">
        <f t="shared" ref="AD175:AH175" si="312">IFERROR(AVERAGE(AD170:AD174),"  ")</f>
        <v>0</v>
      </c>
      <c r="AE175" s="318">
        <f t="shared" si="312"/>
        <v>0</v>
      </c>
      <c r="AF175" s="318">
        <f t="shared" si="312"/>
        <v>0</v>
      </c>
      <c r="AG175" s="318">
        <f t="shared" si="312"/>
        <v>0</v>
      </c>
      <c r="AH175" s="318">
        <f t="shared" si="312"/>
        <v>0</v>
      </c>
      <c r="AI175" s="317" t="s">
        <v>214</v>
      </c>
      <c r="AJ175" s="318">
        <f t="shared" ref="AJ175:AO175" si="313">IFERROR(AVERAGE(AJ170:AJ174),"  ")</f>
        <v>0</v>
      </c>
      <c r="AK175" s="318">
        <f t="shared" si="313"/>
        <v>0</v>
      </c>
      <c r="AL175" s="318">
        <f t="shared" si="313"/>
        <v>0</v>
      </c>
      <c r="AM175" s="318">
        <f t="shared" si="313"/>
        <v>0</v>
      </c>
      <c r="AN175" s="318">
        <f t="shared" si="313"/>
        <v>0</v>
      </c>
      <c r="AO175" s="318">
        <f t="shared" si="313"/>
        <v>0</v>
      </c>
      <c r="AP175" s="317" t="s">
        <v>214</v>
      </c>
      <c r="AQ175" s="318">
        <f t="shared" ref="AQ175:AS175" si="314">IFERROR(AVERAGE(AQ170:AQ174),"  ")</f>
        <v>0</v>
      </c>
      <c r="AR175" s="318">
        <f t="shared" si="314"/>
        <v>0</v>
      </c>
      <c r="AS175" s="318">
        <f t="shared" si="314"/>
        <v>0</v>
      </c>
      <c r="AT175" s="317" t="s">
        <v>214</v>
      </c>
      <c r="AU175" s="318">
        <f t="shared" ref="AU175:AV175" si="315">IFERROR(AVERAGE(AU170:AU174),"  ")</f>
        <v>0</v>
      </c>
      <c r="AV175" s="318">
        <f t="shared" si="315"/>
        <v>0</v>
      </c>
      <c r="AW175" s="317" t="s">
        <v>214</v>
      </c>
      <c r="AX175" s="318">
        <f t="shared" ref="AX175:AZ175" si="316">IFERROR(AVERAGE(AX170:AX174),"  ")</f>
        <v>0</v>
      </c>
      <c r="AY175" s="318">
        <f t="shared" si="316"/>
        <v>0</v>
      </c>
      <c r="AZ175" s="318">
        <f t="shared" si="316"/>
        <v>0</v>
      </c>
    </row>
    <row r="176" spans="1:52" x14ac:dyDescent="0.25">
      <c r="A176" s="599">
        <v>29</v>
      </c>
      <c r="B176" s="608"/>
      <c r="C176" s="292" t="e">
        <f>VLOOKUP(A176,data_siswa,4,FALSE)</f>
        <v>#N/A</v>
      </c>
      <c r="D176" s="316" t="s">
        <v>156</v>
      </c>
      <c r="E176" s="1073"/>
      <c r="F176" s="1073">
        <f>VLOOKUP(A176,AN_PKN6_KI3,13,FALSE)</f>
        <v>0</v>
      </c>
      <c r="G176" s="1073"/>
      <c r="H176" s="324">
        <f>AVERAGE(E176:G176)</f>
        <v>0</v>
      </c>
      <c r="I176" s="316" t="s">
        <v>26</v>
      </c>
      <c r="J176" s="1073"/>
      <c r="K176" s="1073"/>
      <c r="L176" s="1073"/>
      <c r="M176" s="1073">
        <f>VLOOKUP(A176,AN_BI6,19,FALSE)</f>
        <v>0</v>
      </c>
      <c r="N176" s="1073">
        <f>VLOOKUP(A176,AN_BI6,19,FALSE)</f>
        <v>0</v>
      </c>
      <c r="O176" s="545">
        <f>AVERAGE(J176:N176)</f>
        <v>0</v>
      </c>
      <c r="P176" s="316" t="s">
        <v>26</v>
      </c>
      <c r="Q176" s="1073"/>
      <c r="R176" s="1073">
        <f>VLOOKUP(A176,AN_MAT6,16,FALSE)</f>
        <v>0</v>
      </c>
      <c r="S176" s="1073"/>
      <c r="T176" s="1073">
        <f>VLOOKUP(A176,AN_MAT6,16,FALSE)</f>
        <v>0</v>
      </c>
      <c r="U176" s="1073"/>
      <c r="V176" s="1073"/>
      <c r="W176" s="1073"/>
      <c r="X176" s="316" t="s">
        <v>26</v>
      </c>
      <c r="Y176" s="325"/>
      <c r="Z176" s="325"/>
      <c r="AA176" s="325"/>
      <c r="AB176" s="325">
        <f>VLOOKUP(A176,AN_SBDP6,16,FALSE)</f>
        <v>0</v>
      </c>
      <c r="AC176" s="661" t="s">
        <v>156</v>
      </c>
      <c r="AD176" s="325">
        <f>VLOOKUP(A176,AN_SBDP6,16,FALSE)</f>
        <v>0</v>
      </c>
      <c r="AE176" s="325">
        <f>VLOOKUP(A176,AN_SBDP6,16,FALSE)</f>
        <v>0</v>
      </c>
      <c r="AF176" s="325"/>
      <c r="AG176" s="325"/>
      <c r="AH176" s="325">
        <f>VLOOKUP(A176,AN_SBDP6,16,FALSE)</f>
        <v>0</v>
      </c>
      <c r="AI176" s="661" t="s">
        <v>44</v>
      </c>
      <c r="AJ176" s="325"/>
      <c r="AK176" s="325"/>
      <c r="AL176" s="325">
        <f>VLOOKUP(A176,an_agm,51,FALSE)</f>
        <v>0</v>
      </c>
      <c r="AM176" s="325"/>
      <c r="AN176" s="325"/>
      <c r="AO176" s="325"/>
      <c r="AP176" s="315" t="s">
        <v>156</v>
      </c>
      <c r="AQ176" s="325">
        <f>VLOOKUP(A176,UHT_jawa,18,FALSE)</f>
        <v>0</v>
      </c>
      <c r="AR176" s="325"/>
      <c r="AS176" s="325"/>
      <c r="AT176" s="661" t="s">
        <v>44</v>
      </c>
      <c r="AU176" s="325"/>
      <c r="AV176" s="325">
        <f>VLOOKUP(A176,AN_ipa6,16,FALSE)</f>
        <v>0</v>
      </c>
      <c r="AW176" s="661" t="s">
        <v>44</v>
      </c>
      <c r="AX176" s="325"/>
      <c r="AY176" s="325"/>
      <c r="AZ176" s="325">
        <f>VLOOKUP(A176,AN_IPS6,16,FALSE)</f>
        <v>0</v>
      </c>
    </row>
    <row r="177" spans="1:52" x14ac:dyDescent="0.25">
      <c r="A177" s="599"/>
      <c r="B177" s="609"/>
      <c r="C177" s="71"/>
      <c r="D177" s="316" t="s">
        <v>26</v>
      </c>
      <c r="E177" s="1073">
        <f>VLOOKUP(A176,AN_PKN7,12,FALSE)</f>
        <v>0</v>
      </c>
      <c r="F177" s="1073">
        <f>VLOOKUP(A176,AN_PKN7,12,FALSE)</f>
        <v>0</v>
      </c>
      <c r="G177" s="1073">
        <f>VLOOKUP(A176,AN_PKN7,12,FALSE)</f>
        <v>0</v>
      </c>
      <c r="H177" s="324">
        <f>AVERAGE(E177:G177)</f>
        <v>0</v>
      </c>
      <c r="I177" s="316" t="s">
        <v>50</v>
      </c>
      <c r="J177" s="1073">
        <f>VLOOKUP(A176,AN_BI7,21,FALSE)</f>
        <v>0</v>
      </c>
      <c r="K177" s="1073">
        <f>VLOOKUP(A176,AN_BI7,21,FALSE)</f>
        <v>0</v>
      </c>
      <c r="L177" s="1073">
        <f>VLOOKUP(A176,AN_BI7,21,FALSE)</f>
        <v>0</v>
      </c>
      <c r="M177" s="1073">
        <f>VLOOKUP(A176,AN_BI7,21,FALSE)</f>
        <v>0</v>
      </c>
      <c r="N177" s="1073"/>
      <c r="O177" s="545">
        <f t="shared" ref="O177:O179" si="317">AVERAGE(J177:N177)</f>
        <v>0</v>
      </c>
      <c r="P177" s="316" t="s">
        <v>50</v>
      </c>
      <c r="Q177" s="1073"/>
      <c r="R177" s="1073"/>
      <c r="S177" s="1073">
        <f>VLOOKUP(A176,AN_MAT7,16,FALSE)</f>
        <v>0</v>
      </c>
      <c r="T177" s="1073">
        <f>VLOOKUP(A176,AN_MAT7,16,FALSE)</f>
        <v>0</v>
      </c>
      <c r="U177" s="1073">
        <f>VLOOKUP(A176,AN_MAT7,16,FALSE)</f>
        <v>0</v>
      </c>
      <c r="V177" s="1073">
        <f>VLOOKUP(A176,AN_MAT7,16,FALSE)</f>
        <v>0</v>
      </c>
      <c r="W177" s="1073"/>
      <c r="X177" s="316" t="s">
        <v>50</v>
      </c>
      <c r="Y177" s="325">
        <f>VLOOKUP(A176,AN_SBDP7,16,FALSE)</f>
        <v>0</v>
      </c>
      <c r="Z177" s="325">
        <f>VLOOKUP(A176,AN_SBDP7,16,FALSE)</f>
        <v>0</v>
      </c>
      <c r="AA177" s="325"/>
      <c r="AB177" s="325">
        <f>VLOOKUP(A176,AN_SBDP7,16,FALSE)</f>
        <v>0</v>
      </c>
      <c r="AC177" s="661" t="s">
        <v>26</v>
      </c>
      <c r="AD177" s="325"/>
      <c r="AE177" s="325"/>
      <c r="AF177" s="325">
        <f>VLOOKUP(A176,AN_SBDP7,16,FALSE)</f>
        <v>0</v>
      </c>
      <c r="AG177" s="325">
        <f>VLOOKUP(A176,AN_SBDP7,16,FALSE)</f>
        <v>0</v>
      </c>
      <c r="AH177" s="325"/>
      <c r="AI177" s="661" t="s">
        <v>45</v>
      </c>
      <c r="AJ177" s="325">
        <f>VLOOKUP(A176,an_agm,49,FALSE)</f>
        <v>0</v>
      </c>
      <c r="AK177" s="325"/>
      <c r="AL177" s="325"/>
      <c r="AM177" s="325"/>
      <c r="AN177" s="325"/>
      <c r="AO177" s="325"/>
      <c r="AP177" s="315" t="s">
        <v>26</v>
      </c>
      <c r="AQ177" s="325"/>
      <c r="AR177" s="325">
        <f>VLOOKUP(A176,UHT_jawa,19,FALSE)</f>
        <v>0</v>
      </c>
      <c r="AS177" s="325"/>
      <c r="AT177" s="661" t="s">
        <v>45</v>
      </c>
      <c r="AU177" s="325">
        <f>VLOOKUP(A176,AN_IPA7,16,FALSE)</f>
        <v>0</v>
      </c>
      <c r="AV177" s="325">
        <f>VLOOKUP(A176,AN_IPA7,16,FALSE)</f>
        <v>0</v>
      </c>
      <c r="AW177" s="661" t="s">
        <v>45</v>
      </c>
      <c r="AX177" s="325">
        <f>VLOOKUP(A176,an_ips7,16,FALSE)</f>
        <v>0</v>
      </c>
      <c r="AY177" s="325">
        <f>VLOOKUP(A176,an_ips7,16,FALSE)</f>
        <v>0</v>
      </c>
      <c r="AZ177" s="325">
        <f>VLOOKUP(A176,an_ips7,16,FALSE)</f>
        <v>0</v>
      </c>
    </row>
    <row r="178" spans="1:52" x14ac:dyDescent="0.25">
      <c r="A178" s="599"/>
      <c r="B178" s="609"/>
      <c r="C178" s="71"/>
      <c r="D178" s="316" t="s">
        <v>50</v>
      </c>
      <c r="E178" s="1073"/>
      <c r="F178" s="1073">
        <f>VLOOKUP(A176,AN_PKN8,17,FALSE)</f>
        <v>0</v>
      </c>
      <c r="G178" s="1073">
        <f>VLOOKUP(A176,AN_PKN8,17,FALSE)</f>
        <v>0</v>
      </c>
      <c r="H178" s="324">
        <f>AVERAGE(E178:G178)</f>
        <v>0</v>
      </c>
      <c r="I178" s="316" t="s">
        <v>51</v>
      </c>
      <c r="J178" s="1073">
        <f>VLOOKUP(A176,AN_BI8,19,FALSE)</f>
        <v>0</v>
      </c>
      <c r="K178" s="1073"/>
      <c r="L178" s="1073"/>
      <c r="M178" s="1073">
        <f>VLOOKUP(A176,AN_BI8,19,FALSE)</f>
        <v>0</v>
      </c>
      <c r="N178" s="1073"/>
      <c r="O178" s="545">
        <f t="shared" si="317"/>
        <v>0</v>
      </c>
      <c r="P178" s="316" t="s">
        <v>51</v>
      </c>
      <c r="Q178" s="1073">
        <f>VLOOKUP(A176,AN_MAT8,16,FALSE)</f>
        <v>0</v>
      </c>
      <c r="R178" s="1073">
        <f>VLOOKUP(A176,AN_MAT8,16,FALSE)</f>
        <v>0</v>
      </c>
      <c r="S178" s="1073"/>
      <c r="T178" s="1073"/>
      <c r="U178" s="1073"/>
      <c r="V178" s="1073"/>
      <c r="W178" s="1073">
        <f>VLOOKUP(A176,AN_MAT8,16,FALSE)</f>
        <v>0</v>
      </c>
      <c r="X178" s="316" t="s">
        <v>51</v>
      </c>
      <c r="Y178" s="325"/>
      <c r="Z178" s="325">
        <f>VLOOKUP(A176,AN_SBDP8,16,FALSE)</f>
        <v>0</v>
      </c>
      <c r="AA178" s="325"/>
      <c r="AB178" s="325">
        <f>VLOOKUP(A176,AN_SBDP8,16,FALSE)</f>
        <v>0</v>
      </c>
      <c r="AC178" s="661" t="s">
        <v>50</v>
      </c>
      <c r="AD178" s="325"/>
      <c r="AE178" s="325"/>
      <c r="AF178" s="325">
        <f>VLOOKUP(A176,AN_SBDP8,16,FALSE)</f>
        <v>0</v>
      </c>
      <c r="AG178" s="325"/>
      <c r="AH178" s="325">
        <f>VLOOKUP(A176,AN_SBDP8,16,FALSE)</f>
        <v>0</v>
      </c>
      <c r="AI178" s="661" t="s">
        <v>46</v>
      </c>
      <c r="AJ178" s="325"/>
      <c r="AK178" s="325"/>
      <c r="AL178" s="325"/>
      <c r="AM178" s="325">
        <f>VLOOKUP(A176,an_agm,52,FALSE)</f>
        <v>0</v>
      </c>
      <c r="AN178" s="325">
        <f>VLOOKUP(A176,an_agm,53,FALSE)</f>
        <v>0</v>
      </c>
      <c r="AO178" s="325"/>
      <c r="AP178" s="315" t="s">
        <v>50</v>
      </c>
      <c r="AQ178" s="325"/>
      <c r="AR178" s="325"/>
      <c r="AS178" s="325">
        <f>VLOOKUP(A176,UHT_jawa,20,FALSE)</f>
        <v>0</v>
      </c>
      <c r="AT178" s="661" t="s">
        <v>46</v>
      </c>
      <c r="AU178" s="325"/>
      <c r="AV178" s="325">
        <f>VLOOKUP(A176,AN_IPA7,16,FALSE)</f>
        <v>0</v>
      </c>
      <c r="AW178" s="661" t="s">
        <v>46</v>
      </c>
      <c r="AX178" s="325">
        <f>VLOOKUP(A176,AN_ips8,16,FALSE)</f>
        <v>0</v>
      </c>
      <c r="AY178" s="325">
        <f>VLOOKUP(A176,AN_ips8,16,FALSE)</f>
        <v>0</v>
      </c>
      <c r="AZ178" s="325">
        <f>VLOOKUP(A176,AN_ips8,16,FALSE)</f>
        <v>0</v>
      </c>
    </row>
    <row r="179" spans="1:52" x14ac:dyDescent="0.25">
      <c r="A179" s="599"/>
      <c r="B179" s="609"/>
      <c r="C179" s="71"/>
      <c r="D179" s="316" t="s">
        <v>51</v>
      </c>
      <c r="E179" s="325">
        <f>VLOOKUP(A176,AN_PKN9,16,FALSE)</f>
        <v>0</v>
      </c>
      <c r="F179" s="325"/>
      <c r="G179" s="325"/>
      <c r="H179" s="324">
        <f>AVERAGE(E179:G179)</f>
        <v>0</v>
      </c>
      <c r="I179" s="316" t="s">
        <v>52</v>
      </c>
      <c r="J179" s="1073">
        <f>VLOOKUP(A176,AN_BI9,21,FALSE)</f>
        <v>0</v>
      </c>
      <c r="K179" s="1073">
        <f>VLOOKUP(A176,AN_BI9,21,FALSE)</f>
        <v>0</v>
      </c>
      <c r="L179" s="1073">
        <f>VLOOKUP(A176,AN_BI9,21,FALSE)</f>
        <v>0</v>
      </c>
      <c r="M179" s="1073">
        <f>VLOOKUP(A176,AN_BI9,21,FALSE)</f>
        <v>0</v>
      </c>
      <c r="N179" s="1073"/>
      <c r="O179" s="545">
        <f t="shared" si="317"/>
        <v>0</v>
      </c>
      <c r="P179" s="316" t="s">
        <v>52</v>
      </c>
      <c r="Q179" s="1073">
        <f>VLOOKUP(A176,AN_MAT9,16,FALSE)</f>
        <v>0</v>
      </c>
      <c r="R179" s="1073">
        <f>VLOOKUP(A176,AN_MAT9,16,FALSE)</f>
        <v>0</v>
      </c>
      <c r="S179" s="1073">
        <f>VLOOKUP(A176,AN_MAT9,16,FALSE)</f>
        <v>0</v>
      </c>
      <c r="T179" s="1073">
        <f>VLOOKUP(A176,AN_MAT9,16,FALSE)</f>
        <v>0</v>
      </c>
      <c r="U179" s="1073">
        <f>VLOOKUP(A176,AN_MAT9,16,FALSE)</f>
        <v>0</v>
      </c>
      <c r="V179" s="1073">
        <f>VLOOKUP(A176,AN_MAT9,16,FALSE)</f>
        <v>0</v>
      </c>
      <c r="W179" s="1073">
        <f>VLOOKUP(A176,AN_MAT9,16,FALSE)</f>
        <v>0</v>
      </c>
      <c r="X179" s="316" t="s">
        <v>52</v>
      </c>
      <c r="Y179" s="325"/>
      <c r="Z179" s="325">
        <f>VLOOKUP(A176,AN_SBDP9,16,FALSE)</f>
        <v>0</v>
      </c>
      <c r="AA179" s="325">
        <f>VLOOKUP(A176,AN_SBDP9,16,FALSE)</f>
        <v>0</v>
      </c>
      <c r="AB179" s="325"/>
      <c r="AC179" s="661" t="s">
        <v>51</v>
      </c>
      <c r="AD179" s="325"/>
      <c r="AE179" s="325">
        <f>VLOOKUP(A176,AN_SBDP9,16,FALSE)</f>
        <v>0</v>
      </c>
      <c r="AF179" s="325">
        <f>VLOOKUP(A176,AN_SBDP9,16,FALSE)</f>
        <v>0</v>
      </c>
      <c r="AG179" s="325"/>
      <c r="AH179" s="325"/>
      <c r="AI179" s="661" t="s">
        <v>47</v>
      </c>
      <c r="AJ179" s="325"/>
      <c r="AK179" s="325">
        <f>VLOOKUP(A176,an_agm,50,FALSE)</f>
        <v>0</v>
      </c>
      <c r="AL179" s="325"/>
      <c r="AM179" s="325"/>
      <c r="AN179" s="325"/>
      <c r="AO179" s="325"/>
      <c r="AP179" s="315" t="s">
        <v>51</v>
      </c>
      <c r="AQ179" s="325"/>
      <c r="AR179" s="325"/>
      <c r="AS179" s="325"/>
      <c r="AT179" s="661" t="s">
        <v>47</v>
      </c>
      <c r="AU179" s="325"/>
      <c r="AV179" s="325">
        <f>VLOOKUP(A176,an_IPA9,16,FALSE)</f>
        <v>0</v>
      </c>
      <c r="AW179" s="661" t="s">
        <v>47</v>
      </c>
      <c r="AX179" s="325">
        <f>VLOOKUP(A176,AN_IPS_9,16,FALSE)</f>
        <v>0</v>
      </c>
      <c r="AY179" s="325"/>
      <c r="AZ179" s="325">
        <f>VLOOKUP(A176,AN_IPS_9,16,FALSE)</f>
        <v>0</v>
      </c>
    </row>
    <row r="180" spans="1:52" x14ac:dyDescent="0.25">
      <c r="A180" s="599"/>
      <c r="B180" s="609"/>
      <c r="C180" s="71"/>
      <c r="D180" s="316"/>
      <c r="E180" s="1073"/>
      <c r="F180" s="1073"/>
      <c r="G180" s="1073"/>
      <c r="H180" s="1074"/>
      <c r="I180" s="316"/>
      <c r="J180" s="1073"/>
      <c r="K180" s="1073"/>
      <c r="L180" s="1073"/>
      <c r="M180" s="1073"/>
      <c r="N180" s="1073"/>
      <c r="O180" s="1074"/>
      <c r="P180" s="315"/>
      <c r="Q180" s="1073"/>
      <c r="R180" s="1073"/>
      <c r="S180" s="1073"/>
      <c r="T180" s="1073"/>
      <c r="U180" s="1073"/>
      <c r="V180" s="1073"/>
      <c r="W180" s="1073"/>
      <c r="X180" s="315"/>
      <c r="Y180" s="325"/>
      <c r="Z180" s="325"/>
      <c r="AA180" s="325"/>
      <c r="AB180" s="325"/>
      <c r="AC180" s="661"/>
      <c r="AD180" s="1073"/>
      <c r="AE180" s="1073"/>
      <c r="AF180" s="1112"/>
      <c r="AG180" s="1112"/>
      <c r="AH180" s="1112"/>
      <c r="AI180" s="661" t="s">
        <v>48</v>
      </c>
      <c r="AJ180" s="325"/>
      <c r="AK180" s="325"/>
      <c r="AL180" s="325"/>
      <c r="AM180" s="325"/>
      <c r="AN180" s="325"/>
      <c r="AO180" s="325">
        <f>VLOOKUP(A176,an_agm,54,FALSE)</f>
        <v>0</v>
      </c>
      <c r="AP180" s="315"/>
      <c r="AQ180" s="1136"/>
      <c r="AR180" s="1136"/>
      <c r="AS180" s="1136"/>
      <c r="AT180" s="315"/>
      <c r="AU180" s="325"/>
      <c r="AV180" s="325"/>
      <c r="AW180" s="315"/>
      <c r="AX180" s="325"/>
      <c r="AY180" s="325"/>
      <c r="AZ180" s="325"/>
    </row>
    <row r="181" spans="1:52" x14ac:dyDescent="0.25">
      <c r="A181" s="604"/>
      <c r="B181" s="611">
        <v>29</v>
      </c>
      <c r="C181" s="72"/>
      <c r="D181" s="317" t="s">
        <v>214</v>
      </c>
      <c r="E181" s="318">
        <f>IFERROR(AVERAGE(E176:E180),"  ")</f>
        <v>0</v>
      </c>
      <c r="F181" s="318">
        <f t="shared" ref="F181:G181" si="318">IFERROR(AVERAGE(F176:F180),"  ")</f>
        <v>0</v>
      </c>
      <c r="G181" s="318">
        <f t="shared" si="318"/>
        <v>0</v>
      </c>
      <c r="H181" s="323"/>
      <c r="I181" s="317" t="s">
        <v>214</v>
      </c>
      <c r="J181" s="318">
        <f>IFERROR(AVERAGE(J176:J180),"  ")</f>
        <v>0</v>
      </c>
      <c r="K181" s="318">
        <f t="shared" ref="K181:M181" si="319">IFERROR(AVERAGE(K176:K180),"  ")</f>
        <v>0</v>
      </c>
      <c r="L181" s="318">
        <f t="shared" si="319"/>
        <v>0</v>
      </c>
      <c r="M181" s="318">
        <f t="shared" si="319"/>
        <v>0</v>
      </c>
      <c r="N181" s="318">
        <f>IFERROR(AVERAGE(N176:N180),"  ")</f>
        <v>0</v>
      </c>
      <c r="O181" s="597"/>
      <c r="P181" s="317" t="s">
        <v>214</v>
      </c>
      <c r="Q181" s="318">
        <f>IFERROR(AVERAGE(Q176:Q180),"  ")</f>
        <v>0</v>
      </c>
      <c r="R181" s="318">
        <f t="shared" ref="R181:W181" si="320">IFERROR(AVERAGE(R176:R180),"  ")</f>
        <v>0</v>
      </c>
      <c r="S181" s="318">
        <f t="shared" si="320"/>
        <v>0</v>
      </c>
      <c r="T181" s="318">
        <f t="shared" si="320"/>
        <v>0</v>
      </c>
      <c r="U181" s="318">
        <f t="shared" si="320"/>
        <v>0</v>
      </c>
      <c r="V181" s="318">
        <f t="shared" si="320"/>
        <v>0</v>
      </c>
      <c r="W181" s="318">
        <f t="shared" si="320"/>
        <v>0</v>
      </c>
      <c r="X181" s="317" t="s">
        <v>214</v>
      </c>
      <c r="Y181" s="318">
        <f t="shared" ref="Y181:AB181" si="321">IFERROR(AVERAGE(Y176:Y180),"  ")</f>
        <v>0</v>
      </c>
      <c r="Z181" s="318">
        <f t="shared" si="321"/>
        <v>0</v>
      </c>
      <c r="AA181" s="318">
        <f t="shared" si="321"/>
        <v>0</v>
      </c>
      <c r="AB181" s="318">
        <f t="shared" si="321"/>
        <v>0</v>
      </c>
      <c r="AC181" s="317" t="s">
        <v>214</v>
      </c>
      <c r="AD181" s="318">
        <f t="shared" ref="AD181:AH181" si="322">IFERROR(AVERAGE(AD176:AD180),"  ")</f>
        <v>0</v>
      </c>
      <c r="AE181" s="318">
        <f t="shared" si="322"/>
        <v>0</v>
      </c>
      <c r="AF181" s="318">
        <f t="shared" si="322"/>
        <v>0</v>
      </c>
      <c r="AG181" s="318">
        <f t="shared" si="322"/>
        <v>0</v>
      </c>
      <c r="AH181" s="318">
        <f t="shared" si="322"/>
        <v>0</v>
      </c>
      <c r="AI181" s="317" t="s">
        <v>214</v>
      </c>
      <c r="AJ181" s="318">
        <f t="shared" ref="AJ181:AO181" si="323">IFERROR(AVERAGE(AJ176:AJ180),"  ")</f>
        <v>0</v>
      </c>
      <c r="AK181" s="318">
        <f t="shared" si="323"/>
        <v>0</v>
      </c>
      <c r="AL181" s="318">
        <f t="shared" si="323"/>
        <v>0</v>
      </c>
      <c r="AM181" s="318">
        <f t="shared" si="323"/>
        <v>0</v>
      </c>
      <c r="AN181" s="318">
        <f t="shared" si="323"/>
        <v>0</v>
      </c>
      <c r="AO181" s="318">
        <f t="shared" si="323"/>
        <v>0</v>
      </c>
      <c r="AP181" s="317" t="s">
        <v>214</v>
      </c>
      <c r="AQ181" s="318">
        <f t="shared" ref="AQ181:AS181" si="324">IFERROR(AVERAGE(AQ176:AQ180),"  ")</f>
        <v>0</v>
      </c>
      <c r="AR181" s="318">
        <f t="shared" si="324"/>
        <v>0</v>
      </c>
      <c r="AS181" s="318">
        <f t="shared" si="324"/>
        <v>0</v>
      </c>
      <c r="AT181" s="317" t="s">
        <v>214</v>
      </c>
      <c r="AU181" s="318">
        <f t="shared" ref="AU181:AV181" si="325">IFERROR(AVERAGE(AU176:AU180),"  ")</f>
        <v>0</v>
      </c>
      <c r="AV181" s="318">
        <f t="shared" si="325"/>
        <v>0</v>
      </c>
      <c r="AW181" s="317" t="s">
        <v>214</v>
      </c>
      <c r="AX181" s="318">
        <f t="shared" ref="AX181:AZ181" si="326">IFERROR(AVERAGE(AX176:AX180),"  ")</f>
        <v>0</v>
      </c>
      <c r="AY181" s="318">
        <f t="shared" si="326"/>
        <v>0</v>
      </c>
      <c r="AZ181" s="318">
        <f t="shared" si="326"/>
        <v>0</v>
      </c>
    </row>
    <row r="182" spans="1:52" x14ac:dyDescent="0.25">
      <c r="A182" s="599">
        <v>30</v>
      </c>
      <c r="B182" s="608"/>
      <c r="C182" s="292" t="e">
        <f>VLOOKUP(A182,data_siswa,4,FALSE)</f>
        <v>#N/A</v>
      </c>
      <c r="D182" s="316" t="s">
        <v>156</v>
      </c>
      <c r="E182" s="1073"/>
      <c r="F182" s="1073">
        <f>VLOOKUP(A182,AN_PKN6_KI3,13,FALSE)</f>
        <v>0</v>
      </c>
      <c r="G182" s="1073"/>
      <c r="H182" s="324">
        <f>AVERAGE(E182:G182)</f>
        <v>0</v>
      </c>
      <c r="I182" s="316" t="s">
        <v>26</v>
      </c>
      <c r="J182" s="1073"/>
      <c r="K182" s="1073"/>
      <c r="L182" s="1073"/>
      <c r="M182" s="1073">
        <f>VLOOKUP(A182,AN_BI6,19,FALSE)</f>
        <v>0</v>
      </c>
      <c r="N182" s="1073">
        <f>VLOOKUP(A182,AN_BI6,19,FALSE)</f>
        <v>0</v>
      </c>
      <c r="O182" s="545">
        <f>AVERAGE(J182:N182)</f>
        <v>0</v>
      </c>
      <c r="P182" s="316" t="s">
        <v>26</v>
      </c>
      <c r="Q182" s="1073"/>
      <c r="R182" s="1073">
        <f>VLOOKUP(A182,AN_MAT6,16,FALSE)</f>
        <v>0</v>
      </c>
      <c r="S182" s="1073"/>
      <c r="T182" s="1073">
        <f>VLOOKUP(A182,AN_MAT6,16,FALSE)</f>
        <v>0</v>
      </c>
      <c r="U182" s="1073"/>
      <c r="V182" s="1073"/>
      <c r="W182" s="1073"/>
      <c r="X182" s="316" t="s">
        <v>26</v>
      </c>
      <c r="Y182" s="325"/>
      <c r="Z182" s="325"/>
      <c r="AA182" s="325"/>
      <c r="AB182" s="325">
        <f>VLOOKUP(A182,AN_SBDP6,16,FALSE)</f>
        <v>0</v>
      </c>
      <c r="AC182" s="661" t="s">
        <v>156</v>
      </c>
      <c r="AD182" s="325">
        <f>VLOOKUP(A182,AN_SBDP6,16,FALSE)</f>
        <v>0</v>
      </c>
      <c r="AE182" s="325">
        <f>VLOOKUP(A182,AN_SBDP6,16,FALSE)</f>
        <v>0</v>
      </c>
      <c r="AF182" s="325"/>
      <c r="AG182" s="325"/>
      <c r="AH182" s="325">
        <f>VLOOKUP(A182,AN_SBDP6,16,FALSE)</f>
        <v>0</v>
      </c>
      <c r="AI182" s="661" t="s">
        <v>44</v>
      </c>
      <c r="AJ182" s="325"/>
      <c r="AK182" s="325"/>
      <c r="AL182" s="325">
        <f>VLOOKUP(A182,an_agm,51,FALSE)</f>
        <v>0</v>
      </c>
      <c r="AM182" s="325"/>
      <c r="AN182" s="325"/>
      <c r="AO182" s="325"/>
      <c r="AP182" s="315" t="s">
        <v>156</v>
      </c>
      <c r="AQ182" s="325">
        <f>VLOOKUP(A182,UHT_jawa,18,FALSE)</f>
        <v>0</v>
      </c>
      <c r="AR182" s="325"/>
      <c r="AS182" s="325"/>
      <c r="AT182" s="661" t="s">
        <v>44</v>
      </c>
      <c r="AU182" s="325"/>
      <c r="AV182" s="325">
        <f>VLOOKUP(A182,AN_ipa6,16,FALSE)</f>
        <v>0</v>
      </c>
      <c r="AW182" s="661" t="s">
        <v>44</v>
      </c>
      <c r="AX182" s="325"/>
      <c r="AY182" s="325"/>
      <c r="AZ182" s="325">
        <f>VLOOKUP(A182,AN_IPS6,16,FALSE)</f>
        <v>0</v>
      </c>
    </row>
    <row r="183" spans="1:52" x14ac:dyDescent="0.25">
      <c r="A183" s="599"/>
      <c r="B183" s="609"/>
      <c r="C183" s="71"/>
      <c r="D183" s="316" t="s">
        <v>26</v>
      </c>
      <c r="E183" s="1073">
        <f>VLOOKUP(A182,AN_PKN7,12,FALSE)</f>
        <v>0</v>
      </c>
      <c r="F183" s="1073">
        <f>VLOOKUP(A182,AN_PKN7,12,FALSE)</f>
        <v>0</v>
      </c>
      <c r="G183" s="1073">
        <f>VLOOKUP(A182,AN_PKN7,12,FALSE)</f>
        <v>0</v>
      </c>
      <c r="H183" s="324">
        <f>AVERAGE(E183:G183)</f>
        <v>0</v>
      </c>
      <c r="I183" s="316" t="s">
        <v>50</v>
      </c>
      <c r="J183" s="1073">
        <f>VLOOKUP(A182,AN_BI7,21,FALSE)</f>
        <v>0</v>
      </c>
      <c r="K183" s="1073">
        <f>VLOOKUP(A182,AN_BI7,21,FALSE)</f>
        <v>0</v>
      </c>
      <c r="L183" s="1073">
        <f>VLOOKUP(A182,AN_BI7,21,FALSE)</f>
        <v>0</v>
      </c>
      <c r="M183" s="1073">
        <f>VLOOKUP(A182,AN_BI7,21,FALSE)</f>
        <v>0</v>
      </c>
      <c r="N183" s="1073"/>
      <c r="O183" s="545">
        <f t="shared" ref="O183:O185" si="327">AVERAGE(J183:N183)</f>
        <v>0</v>
      </c>
      <c r="P183" s="316" t="s">
        <v>50</v>
      </c>
      <c r="Q183" s="1073"/>
      <c r="R183" s="1073"/>
      <c r="S183" s="1073">
        <f>VLOOKUP(A182,AN_MAT7,16,FALSE)</f>
        <v>0</v>
      </c>
      <c r="T183" s="1073">
        <f>VLOOKUP(A182,AN_MAT7,16,FALSE)</f>
        <v>0</v>
      </c>
      <c r="U183" s="1073">
        <f>VLOOKUP(A182,AN_MAT7,16,FALSE)</f>
        <v>0</v>
      </c>
      <c r="V183" s="1073">
        <f>VLOOKUP(A182,AN_MAT7,16,FALSE)</f>
        <v>0</v>
      </c>
      <c r="W183" s="1073"/>
      <c r="X183" s="316" t="s">
        <v>50</v>
      </c>
      <c r="Y183" s="325">
        <f>VLOOKUP(A182,AN_SBDP7,16,FALSE)</f>
        <v>0</v>
      </c>
      <c r="Z183" s="325">
        <f>VLOOKUP(A182,AN_SBDP7,16,FALSE)</f>
        <v>0</v>
      </c>
      <c r="AA183" s="325"/>
      <c r="AB183" s="325">
        <f>VLOOKUP(A182,AN_SBDP7,16,FALSE)</f>
        <v>0</v>
      </c>
      <c r="AC183" s="661" t="s">
        <v>26</v>
      </c>
      <c r="AD183" s="325"/>
      <c r="AE183" s="325"/>
      <c r="AF183" s="325">
        <f>VLOOKUP(A182,AN_SBDP7,16,FALSE)</f>
        <v>0</v>
      </c>
      <c r="AG183" s="325">
        <f>VLOOKUP(A182,AN_SBDP7,16,FALSE)</f>
        <v>0</v>
      </c>
      <c r="AH183" s="325"/>
      <c r="AI183" s="661" t="s">
        <v>45</v>
      </c>
      <c r="AJ183" s="325">
        <f>VLOOKUP(A182,an_agm,49,FALSE)</f>
        <v>0</v>
      </c>
      <c r="AK183" s="325"/>
      <c r="AL183" s="325"/>
      <c r="AM183" s="325"/>
      <c r="AN183" s="325"/>
      <c r="AO183" s="325"/>
      <c r="AP183" s="315" t="s">
        <v>26</v>
      </c>
      <c r="AQ183" s="325"/>
      <c r="AR183" s="325">
        <f>VLOOKUP(A182,UHT_jawa,19,FALSE)</f>
        <v>0</v>
      </c>
      <c r="AS183" s="325"/>
      <c r="AT183" s="661" t="s">
        <v>45</v>
      </c>
      <c r="AU183" s="325">
        <f>VLOOKUP(A182,AN_IPA7,16,FALSE)</f>
        <v>0</v>
      </c>
      <c r="AV183" s="325">
        <f>VLOOKUP(A182,AN_IPA7,16,FALSE)</f>
        <v>0</v>
      </c>
      <c r="AW183" s="661" t="s">
        <v>45</v>
      </c>
      <c r="AX183" s="325">
        <f>VLOOKUP(A182,an_ips7,16,FALSE)</f>
        <v>0</v>
      </c>
      <c r="AY183" s="325">
        <f>VLOOKUP(A182,an_ips7,16,FALSE)</f>
        <v>0</v>
      </c>
      <c r="AZ183" s="325">
        <f>VLOOKUP(A182,an_ips7,16,FALSE)</f>
        <v>0</v>
      </c>
    </row>
    <row r="184" spans="1:52" x14ac:dyDescent="0.25">
      <c r="A184" s="599"/>
      <c r="B184" s="609"/>
      <c r="C184" s="71"/>
      <c r="D184" s="316" t="s">
        <v>50</v>
      </c>
      <c r="E184" s="1073"/>
      <c r="F184" s="1073">
        <f>VLOOKUP(A182,AN_PKN8,17,FALSE)</f>
        <v>0</v>
      </c>
      <c r="G184" s="1073">
        <f>VLOOKUP(A182,AN_PKN8,17,FALSE)</f>
        <v>0</v>
      </c>
      <c r="H184" s="324">
        <f>AVERAGE(E184:G184)</f>
        <v>0</v>
      </c>
      <c r="I184" s="316" t="s">
        <v>51</v>
      </c>
      <c r="J184" s="1073">
        <f>VLOOKUP(A182,AN_BI8,19,FALSE)</f>
        <v>0</v>
      </c>
      <c r="K184" s="1073"/>
      <c r="L184" s="1073"/>
      <c r="M184" s="1073">
        <f>VLOOKUP(A182,AN_BI8,19,FALSE)</f>
        <v>0</v>
      </c>
      <c r="N184" s="1073"/>
      <c r="O184" s="545">
        <f t="shared" si="327"/>
        <v>0</v>
      </c>
      <c r="P184" s="316" t="s">
        <v>51</v>
      </c>
      <c r="Q184" s="1073">
        <f>VLOOKUP(A182,AN_MAT8,16,FALSE)</f>
        <v>0</v>
      </c>
      <c r="R184" s="1073">
        <f>VLOOKUP(A182,AN_MAT8,16,FALSE)</f>
        <v>0</v>
      </c>
      <c r="S184" s="1073"/>
      <c r="T184" s="1073"/>
      <c r="U184" s="1073"/>
      <c r="V184" s="1073"/>
      <c r="W184" s="1073">
        <f>VLOOKUP(A182,AN_MAT8,16,FALSE)</f>
        <v>0</v>
      </c>
      <c r="X184" s="316" t="s">
        <v>51</v>
      </c>
      <c r="Y184" s="325"/>
      <c r="Z184" s="325">
        <f>VLOOKUP(A182,AN_SBDP8,16,FALSE)</f>
        <v>0</v>
      </c>
      <c r="AA184" s="325"/>
      <c r="AB184" s="325">
        <f>VLOOKUP(A182,AN_SBDP8,16,FALSE)</f>
        <v>0</v>
      </c>
      <c r="AC184" s="661" t="s">
        <v>50</v>
      </c>
      <c r="AD184" s="325"/>
      <c r="AE184" s="325"/>
      <c r="AF184" s="325">
        <f>VLOOKUP(A182,AN_SBDP8,16,FALSE)</f>
        <v>0</v>
      </c>
      <c r="AG184" s="325"/>
      <c r="AH184" s="325">
        <f>VLOOKUP(A182,AN_SBDP8,16,FALSE)</f>
        <v>0</v>
      </c>
      <c r="AI184" s="661" t="s">
        <v>46</v>
      </c>
      <c r="AJ184" s="325"/>
      <c r="AK184" s="325"/>
      <c r="AL184" s="325"/>
      <c r="AM184" s="325">
        <f>VLOOKUP(A182,an_agm,52,FALSE)</f>
        <v>0</v>
      </c>
      <c r="AN184" s="325">
        <f>VLOOKUP(A182,an_agm,53,FALSE)</f>
        <v>0</v>
      </c>
      <c r="AO184" s="325"/>
      <c r="AP184" s="315" t="s">
        <v>50</v>
      </c>
      <c r="AQ184" s="325"/>
      <c r="AR184" s="325"/>
      <c r="AS184" s="325">
        <f>VLOOKUP(A182,UHT_jawa,20,FALSE)</f>
        <v>0</v>
      </c>
      <c r="AT184" s="661" t="s">
        <v>46</v>
      </c>
      <c r="AU184" s="325"/>
      <c r="AV184" s="325">
        <f>VLOOKUP(A182,AN_IPA7,16,FALSE)</f>
        <v>0</v>
      </c>
      <c r="AW184" s="661" t="s">
        <v>46</v>
      </c>
      <c r="AX184" s="325">
        <f>VLOOKUP(A182,AN_ips8,16,FALSE)</f>
        <v>0</v>
      </c>
      <c r="AY184" s="325">
        <f>VLOOKUP(A182,AN_ips8,16,FALSE)</f>
        <v>0</v>
      </c>
      <c r="AZ184" s="325">
        <f>VLOOKUP(A182,AN_ips8,16,FALSE)</f>
        <v>0</v>
      </c>
    </row>
    <row r="185" spans="1:52" x14ac:dyDescent="0.25">
      <c r="A185" s="599"/>
      <c r="B185" s="609"/>
      <c r="C185" s="71"/>
      <c r="D185" s="316" t="s">
        <v>51</v>
      </c>
      <c r="E185" s="325">
        <f>VLOOKUP(A182,AN_PKN9,16,FALSE)</f>
        <v>0</v>
      </c>
      <c r="F185" s="325"/>
      <c r="G185" s="325"/>
      <c r="H185" s="324">
        <f>AVERAGE(E185:G185)</f>
        <v>0</v>
      </c>
      <c r="I185" s="316" t="s">
        <v>52</v>
      </c>
      <c r="J185" s="1073">
        <f>VLOOKUP(A182,AN_BI9,21,FALSE)</f>
        <v>0</v>
      </c>
      <c r="K185" s="1073">
        <f>VLOOKUP(A182,AN_BI9,21,FALSE)</f>
        <v>0</v>
      </c>
      <c r="L185" s="1073">
        <f>VLOOKUP(A182,AN_BI9,21,FALSE)</f>
        <v>0</v>
      </c>
      <c r="M185" s="1073">
        <f>VLOOKUP(A182,AN_BI9,21,FALSE)</f>
        <v>0</v>
      </c>
      <c r="N185" s="1073"/>
      <c r="O185" s="545">
        <f t="shared" si="327"/>
        <v>0</v>
      </c>
      <c r="P185" s="316" t="s">
        <v>52</v>
      </c>
      <c r="Q185" s="1073">
        <f>VLOOKUP(A182,AN_MAT9,16,FALSE)</f>
        <v>0</v>
      </c>
      <c r="R185" s="1073">
        <f>VLOOKUP(A182,AN_MAT9,16,FALSE)</f>
        <v>0</v>
      </c>
      <c r="S185" s="1073">
        <f>VLOOKUP(A182,AN_MAT9,16,FALSE)</f>
        <v>0</v>
      </c>
      <c r="T185" s="1073">
        <f>VLOOKUP(A182,AN_MAT9,16,FALSE)</f>
        <v>0</v>
      </c>
      <c r="U185" s="1073">
        <f>VLOOKUP(A182,AN_MAT9,16,FALSE)</f>
        <v>0</v>
      </c>
      <c r="V185" s="1073">
        <f>VLOOKUP(A182,AN_MAT9,16,FALSE)</f>
        <v>0</v>
      </c>
      <c r="W185" s="1073">
        <f>VLOOKUP(A182,AN_MAT9,16,FALSE)</f>
        <v>0</v>
      </c>
      <c r="X185" s="316" t="s">
        <v>52</v>
      </c>
      <c r="Y185" s="325"/>
      <c r="Z185" s="325">
        <f>VLOOKUP(A182,AN_SBDP9,16,FALSE)</f>
        <v>0</v>
      </c>
      <c r="AA185" s="325">
        <f>VLOOKUP(A182,AN_SBDP9,16,FALSE)</f>
        <v>0</v>
      </c>
      <c r="AB185" s="325"/>
      <c r="AC185" s="661" t="s">
        <v>51</v>
      </c>
      <c r="AD185" s="325"/>
      <c r="AE185" s="325">
        <f>VLOOKUP(A182,AN_SBDP9,16,FALSE)</f>
        <v>0</v>
      </c>
      <c r="AF185" s="325">
        <f>VLOOKUP(A182,AN_SBDP9,16,FALSE)</f>
        <v>0</v>
      </c>
      <c r="AG185" s="325"/>
      <c r="AH185" s="325"/>
      <c r="AI185" s="661" t="s">
        <v>47</v>
      </c>
      <c r="AJ185" s="325"/>
      <c r="AK185" s="325">
        <f>VLOOKUP(A182,an_agm,50,FALSE)</f>
        <v>0</v>
      </c>
      <c r="AL185" s="325"/>
      <c r="AM185" s="325"/>
      <c r="AN185" s="325"/>
      <c r="AO185" s="325"/>
      <c r="AP185" s="315" t="s">
        <v>51</v>
      </c>
      <c r="AQ185" s="325"/>
      <c r="AR185" s="325"/>
      <c r="AS185" s="325"/>
      <c r="AT185" s="661" t="s">
        <v>47</v>
      </c>
      <c r="AU185" s="325"/>
      <c r="AV185" s="325">
        <f>VLOOKUP(A182,an_IPA9,16,FALSE)</f>
        <v>0</v>
      </c>
      <c r="AW185" s="661" t="s">
        <v>47</v>
      </c>
      <c r="AX185" s="325">
        <f>VLOOKUP(A182,AN_IPS_9,16,FALSE)</f>
        <v>0</v>
      </c>
      <c r="AY185" s="325"/>
      <c r="AZ185" s="325">
        <f>VLOOKUP(A182,AN_IPS_9,16,FALSE)</f>
        <v>0</v>
      </c>
    </row>
    <row r="186" spans="1:52" x14ac:dyDescent="0.25">
      <c r="A186" s="599"/>
      <c r="B186" s="609"/>
      <c r="C186" s="71"/>
      <c r="D186" s="316"/>
      <c r="E186" s="1073"/>
      <c r="F186" s="1073"/>
      <c r="G186" s="1073"/>
      <c r="H186" s="1074"/>
      <c r="I186" s="316"/>
      <c r="J186" s="1073"/>
      <c r="K186" s="1073"/>
      <c r="L186" s="1073"/>
      <c r="M186" s="1073"/>
      <c r="N186" s="1073"/>
      <c r="O186" s="1074"/>
      <c r="P186" s="315"/>
      <c r="Q186" s="1073"/>
      <c r="R186" s="1073"/>
      <c r="S186" s="1073"/>
      <c r="T186" s="1073"/>
      <c r="U186" s="1073"/>
      <c r="V186" s="1073"/>
      <c r="W186" s="1073"/>
      <c r="X186" s="315"/>
      <c r="Y186" s="325"/>
      <c r="Z186" s="325"/>
      <c r="AA186" s="325"/>
      <c r="AB186" s="325"/>
      <c r="AC186" s="661"/>
      <c r="AD186" s="1073"/>
      <c r="AE186" s="1073"/>
      <c r="AF186" s="1112"/>
      <c r="AG186" s="1112"/>
      <c r="AH186" s="1112"/>
      <c r="AI186" s="661" t="s">
        <v>48</v>
      </c>
      <c r="AJ186" s="325"/>
      <c r="AK186" s="325"/>
      <c r="AL186" s="325"/>
      <c r="AM186" s="325"/>
      <c r="AN186" s="325"/>
      <c r="AO186" s="325">
        <f>VLOOKUP(A182,an_agm,54,FALSE)</f>
        <v>0</v>
      </c>
      <c r="AP186" s="315"/>
      <c r="AQ186" s="1136"/>
      <c r="AR186" s="1136"/>
      <c r="AS186" s="1136"/>
      <c r="AT186" s="315"/>
      <c r="AU186" s="325"/>
      <c r="AV186" s="325"/>
      <c r="AW186" s="315"/>
      <c r="AX186" s="325"/>
      <c r="AY186" s="325"/>
      <c r="AZ186" s="325"/>
    </row>
    <row r="187" spans="1:52" x14ac:dyDescent="0.25">
      <c r="A187" s="604"/>
      <c r="B187" s="611">
        <v>30</v>
      </c>
      <c r="C187" s="72"/>
      <c r="D187" s="317" t="s">
        <v>214</v>
      </c>
      <c r="E187" s="318">
        <f>IFERROR(AVERAGE(E182:E186),"  ")</f>
        <v>0</v>
      </c>
      <c r="F187" s="318">
        <f t="shared" ref="F187:G187" si="328">IFERROR(AVERAGE(F182:F186),"  ")</f>
        <v>0</v>
      </c>
      <c r="G187" s="318">
        <f t="shared" si="328"/>
        <v>0</v>
      </c>
      <c r="H187" s="323"/>
      <c r="I187" s="317" t="s">
        <v>214</v>
      </c>
      <c r="J187" s="318">
        <f>IFERROR(AVERAGE(J182:J186),"  ")</f>
        <v>0</v>
      </c>
      <c r="K187" s="318">
        <f t="shared" ref="K187:M187" si="329">IFERROR(AVERAGE(K182:K186),"  ")</f>
        <v>0</v>
      </c>
      <c r="L187" s="318">
        <f t="shared" si="329"/>
        <v>0</v>
      </c>
      <c r="M187" s="318">
        <f t="shared" si="329"/>
        <v>0</v>
      </c>
      <c r="N187" s="318">
        <f>IFERROR(AVERAGE(N182:N186),"  ")</f>
        <v>0</v>
      </c>
      <c r="O187" s="597"/>
      <c r="P187" s="317" t="s">
        <v>214</v>
      </c>
      <c r="Q187" s="318">
        <f>IFERROR(AVERAGE(Q182:Q186),"  ")</f>
        <v>0</v>
      </c>
      <c r="R187" s="318">
        <f t="shared" ref="R187" si="330">IFERROR(AVERAGE(R182:R186),"  ")</f>
        <v>0</v>
      </c>
      <c r="S187" s="318">
        <f t="shared" ref="S187" si="331">IFERROR(AVERAGE(S182:S186),"  ")</f>
        <v>0</v>
      </c>
      <c r="T187" s="318">
        <f t="shared" ref="T187" si="332">IFERROR(AVERAGE(T182:T186),"  ")</f>
        <v>0</v>
      </c>
      <c r="U187" s="318">
        <f t="shared" ref="U187" si="333">IFERROR(AVERAGE(U182:U186),"  ")</f>
        <v>0</v>
      </c>
      <c r="V187" s="318">
        <f t="shared" ref="V187" si="334">IFERROR(AVERAGE(V182:V186),"  ")</f>
        <v>0</v>
      </c>
      <c r="W187" s="318">
        <f t="shared" ref="W187" si="335">IFERROR(AVERAGE(W182:W186),"  ")</f>
        <v>0</v>
      </c>
      <c r="X187" s="317" t="s">
        <v>214</v>
      </c>
      <c r="Y187" s="318">
        <f t="shared" ref="Y187" si="336">IFERROR(AVERAGE(Y182:Y186),"  ")</f>
        <v>0</v>
      </c>
      <c r="Z187" s="318">
        <f t="shared" ref="Z187" si="337">IFERROR(AVERAGE(Z182:Z186),"  ")</f>
        <v>0</v>
      </c>
      <c r="AA187" s="318">
        <f t="shared" ref="AA187" si="338">IFERROR(AVERAGE(AA182:AA186),"  ")</f>
        <v>0</v>
      </c>
      <c r="AB187" s="318">
        <f t="shared" ref="AB187" si="339">IFERROR(AVERAGE(AB182:AB186),"  ")</f>
        <v>0</v>
      </c>
      <c r="AC187" s="317" t="s">
        <v>214</v>
      </c>
      <c r="AD187" s="318">
        <f t="shared" ref="AD187:AH187" si="340">IFERROR(AVERAGE(AD182:AD186),"  ")</f>
        <v>0</v>
      </c>
      <c r="AE187" s="318">
        <f t="shared" si="340"/>
        <v>0</v>
      </c>
      <c r="AF187" s="318">
        <f t="shared" si="340"/>
        <v>0</v>
      </c>
      <c r="AG187" s="318">
        <f t="shared" si="340"/>
        <v>0</v>
      </c>
      <c r="AH187" s="318">
        <f t="shared" si="340"/>
        <v>0</v>
      </c>
      <c r="AI187" s="317" t="s">
        <v>214</v>
      </c>
      <c r="AJ187" s="318">
        <f t="shared" ref="AJ187:AO187" si="341">IFERROR(AVERAGE(AJ182:AJ186),"  ")</f>
        <v>0</v>
      </c>
      <c r="AK187" s="318">
        <f t="shared" si="341"/>
        <v>0</v>
      </c>
      <c r="AL187" s="318">
        <f t="shared" si="341"/>
        <v>0</v>
      </c>
      <c r="AM187" s="318">
        <f t="shared" si="341"/>
        <v>0</v>
      </c>
      <c r="AN187" s="318">
        <f t="shared" si="341"/>
        <v>0</v>
      </c>
      <c r="AO187" s="318">
        <f t="shared" si="341"/>
        <v>0</v>
      </c>
      <c r="AP187" s="317" t="s">
        <v>214</v>
      </c>
      <c r="AQ187" s="318">
        <f t="shared" ref="AQ187:AS187" si="342">IFERROR(AVERAGE(AQ182:AQ186),"  ")</f>
        <v>0</v>
      </c>
      <c r="AR187" s="318">
        <f t="shared" si="342"/>
        <v>0</v>
      </c>
      <c r="AS187" s="318">
        <f t="shared" si="342"/>
        <v>0</v>
      </c>
      <c r="AT187" s="317" t="s">
        <v>214</v>
      </c>
      <c r="AU187" s="318">
        <f t="shared" ref="AU187:AV187" si="343">IFERROR(AVERAGE(AU182:AU186),"  ")</f>
        <v>0</v>
      </c>
      <c r="AV187" s="318">
        <f t="shared" si="343"/>
        <v>0</v>
      </c>
      <c r="AW187" s="317" t="s">
        <v>214</v>
      </c>
      <c r="AX187" s="318">
        <f t="shared" ref="AX187:AZ187" si="344">IFERROR(AVERAGE(AX182:AX186),"  ")</f>
        <v>0</v>
      </c>
      <c r="AY187" s="318">
        <f t="shared" si="344"/>
        <v>0</v>
      </c>
      <c r="AZ187" s="318">
        <f t="shared" si="344"/>
        <v>0</v>
      </c>
    </row>
    <row r="188" spans="1:52" x14ac:dyDescent="0.25">
      <c r="A188" s="599">
        <v>31</v>
      </c>
      <c r="B188" s="608"/>
      <c r="C188" s="292" t="e">
        <f>VLOOKUP(A188,data_siswa,4,FALSE)</f>
        <v>#N/A</v>
      </c>
      <c r="D188" s="316" t="s">
        <v>156</v>
      </c>
      <c r="E188" s="1073"/>
      <c r="F188" s="1073">
        <f>VLOOKUP(A188,AN_PKN6_KI3,13,FALSE)</f>
        <v>0</v>
      </c>
      <c r="G188" s="1073"/>
      <c r="H188" s="324">
        <f>AVERAGE(E188:G188)</f>
        <v>0</v>
      </c>
      <c r="I188" s="316" t="s">
        <v>26</v>
      </c>
      <c r="J188" s="1073"/>
      <c r="K188" s="1073"/>
      <c r="L188" s="1073"/>
      <c r="M188" s="1073">
        <f>VLOOKUP(A188,AN_BI6,19,FALSE)</f>
        <v>0</v>
      </c>
      <c r="N188" s="1073">
        <f>VLOOKUP(A188,AN_BI6,19,FALSE)</f>
        <v>0</v>
      </c>
      <c r="O188" s="545">
        <f>AVERAGE(J188:N188)</f>
        <v>0</v>
      </c>
      <c r="P188" s="316" t="s">
        <v>26</v>
      </c>
      <c r="Q188" s="1073"/>
      <c r="R188" s="1073">
        <f>VLOOKUP(A188,AN_MAT6,16,FALSE)</f>
        <v>0</v>
      </c>
      <c r="S188" s="1073"/>
      <c r="T188" s="1073">
        <f>VLOOKUP(A188,AN_MAT6,16,FALSE)</f>
        <v>0</v>
      </c>
      <c r="U188" s="1073"/>
      <c r="V188" s="1073"/>
      <c r="W188" s="1073"/>
      <c r="X188" s="316" t="s">
        <v>26</v>
      </c>
      <c r="Y188" s="325"/>
      <c r="Z188" s="325"/>
      <c r="AA188" s="325"/>
      <c r="AB188" s="325">
        <f>VLOOKUP(A188,AN_SBDP6,16,FALSE)</f>
        <v>0</v>
      </c>
      <c r="AC188" s="661" t="s">
        <v>156</v>
      </c>
      <c r="AD188" s="325">
        <f>VLOOKUP(A188,AN_SBDP6,16,FALSE)</f>
        <v>0</v>
      </c>
      <c r="AE188" s="325">
        <f>VLOOKUP(A188,AN_SBDP6,16,FALSE)</f>
        <v>0</v>
      </c>
      <c r="AF188" s="325"/>
      <c r="AG188" s="325"/>
      <c r="AH188" s="325">
        <f>VLOOKUP(A188,AN_SBDP6,16,FALSE)</f>
        <v>0</v>
      </c>
      <c r="AI188" s="661" t="s">
        <v>44</v>
      </c>
      <c r="AJ188" s="325"/>
      <c r="AK188" s="325"/>
      <c r="AL188" s="325">
        <f>VLOOKUP(A188,an_agm,51,FALSE)</f>
        <v>0</v>
      </c>
      <c r="AM188" s="325"/>
      <c r="AN188" s="325"/>
      <c r="AO188" s="325"/>
      <c r="AP188" s="315" t="s">
        <v>156</v>
      </c>
      <c r="AQ188" s="325">
        <f>VLOOKUP(A188,UHT_jawa,18,FALSE)</f>
        <v>0</v>
      </c>
      <c r="AR188" s="325"/>
      <c r="AS188" s="325"/>
      <c r="AT188" s="1122" t="s">
        <v>44</v>
      </c>
      <c r="AU188" s="325"/>
      <c r="AV188" s="325">
        <f>VLOOKUP(A188,AN_ipa6,16,FALSE)</f>
        <v>0</v>
      </c>
      <c r="AW188" s="1122" t="s">
        <v>44</v>
      </c>
      <c r="AX188" s="325"/>
      <c r="AY188" s="325"/>
      <c r="AZ188" s="325">
        <f>VLOOKUP(A188,AN_IPS6,16,FALSE)</f>
        <v>0</v>
      </c>
    </row>
    <row r="189" spans="1:52" x14ac:dyDescent="0.25">
      <c r="A189" s="599"/>
      <c r="B189" s="609"/>
      <c r="C189" s="71"/>
      <c r="D189" s="316" t="s">
        <v>26</v>
      </c>
      <c r="E189" s="1073">
        <f>VLOOKUP(A188,AN_PKN7,12,FALSE)</f>
        <v>0</v>
      </c>
      <c r="F189" s="1073">
        <f>VLOOKUP(A188,AN_PKN7,12,FALSE)</f>
        <v>0</v>
      </c>
      <c r="G189" s="1073">
        <f>VLOOKUP(A188,AN_PKN7,12,FALSE)</f>
        <v>0</v>
      </c>
      <c r="H189" s="324">
        <f>AVERAGE(E189:G189)</f>
        <v>0</v>
      </c>
      <c r="I189" s="316" t="s">
        <v>50</v>
      </c>
      <c r="J189" s="1073">
        <f>VLOOKUP(A188,AN_BI7,21,FALSE)</f>
        <v>0</v>
      </c>
      <c r="K189" s="1073">
        <f>VLOOKUP(A188,AN_BI7,21,FALSE)</f>
        <v>0</v>
      </c>
      <c r="L189" s="1073">
        <f>VLOOKUP(A188,AN_BI7,21,FALSE)</f>
        <v>0</v>
      </c>
      <c r="M189" s="1073">
        <f>VLOOKUP(A188,AN_BI7,21,FALSE)</f>
        <v>0</v>
      </c>
      <c r="N189" s="1073"/>
      <c r="O189" s="545">
        <f t="shared" ref="O189:O191" si="345">AVERAGE(J189:N189)</f>
        <v>0</v>
      </c>
      <c r="P189" s="316" t="s">
        <v>50</v>
      </c>
      <c r="Q189" s="1073"/>
      <c r="R189" s="1073"/>
      <c r="S189" s="1073">
        <f>VLOOKUP(A188,AN_MAT7,16,FALSE)</f>
        <v>0</v>
      </c>
      <c r="T189" s="1073">
        <f>VLOOKUP(A188,AN_MAT7,16,FALSE)</f>
        <v>0</v>
      </c>
      <c r="U189" s="1073">
        <f>VLOOKUP(A188,AN_MAT7,16,FALSE)</f>
        <v>0</v>
      </c>
      <c r="V189" s="1073">
        <f>VLOOKUP(A188,AN_MAT7,16,FALSE)</f>
        <v>0</v>
      </c>
      <c r="W189" s="1073"/>
      <c r="X189" s="316" t="s">
        <v>50</v>
      </c>
      <c r="Y189" s="325">
        <f>VLOOKUP(A188,AN_SBDP7,16,FALSE)</f>
        <v>0</v>
      </c>
      <c r="Z189" s="325">
        <f>VLOOKUP(A188,AN_SBDP7,16,FALSE)</f>
        <v>0</v>
      </c>
      <c r="AA189" s="325"/>
      <c r="AB189" s="325">
        <f>VLOOKUP(A188,AN_SBDP7,16,FALSE)</f>
        <v>0</v>
      </c>
      <c r="AC189" s="661" t="s">
        <v>26</v>
      </c>
      <c r="AD189" s="325"/>
      <c r="AE189" s="325"/>
      <c r="AF189" s="325">
        <f>VLOOKUP(A188,AN_SBDP7,16,FALSE)</f>
        <v>0</v>
      </c>
      <c r="AG189" s="325">
        <f>VLOOKUP(A188,AN_SBDP7,16,FALSE)</f>
        <v>0</v>
      </c>
      <c r="AH189" s="325"/>
      <c r="AI189" s="661" t="s">
        <v>45</v>
      </c>
      <c r="AJ189" s="325">
        <f>VLOOKUP(A188,an_agm,49,FALSE)</f>
        <v>0</v>
      </c>
      <c r="AK189" s="325"/>
      <c r="AL189" s="325"/>
      <c r="AM189" s="325"/>
      <c r="AN189" s="325"/>
      <c r="AO189" s="325"/>
      <c r="AP189" s="315" t="s">
        <v>26</v>
      </c>
      <c r="AQ189" s="325"/>
      <c r="AR189" s="325">
        <f>VLOOKUP(A188,UHT_jawa,19,FALSE)</f>
        <v>0</v>
      </c>
      <c r="AS189" s="325"/>
      <c r="AT189" s="1122" t="s">
        <v>45</v>
      </c>
      <c r="AU189" s="325">
        <f>VLOOKUP(A188,AN_IPA7,16,FALSE)</f>
        <v>0</v>
      </c>
      <c r="AV189" s="325">
        <f>VLOOKUP(A188,AN_IPA7,16,FALSE)</f>
        <v>0</v>
      </c>
      <c r="AW189" s="1122" t="s">
        <v>45</v>
      </c>
      <c r="AX189" s="325">
        <f>VLOOKUP(A188,an_ips7,16,FALSE)</f>
        <v>0</v>
      </c>
      <c r="AY189" s="325">
        <f>VLOOKUP(A188,an_ips7,16,FALSE)</f>
        <v>0</v>
      </c>
      <c r="AZ189" s="325">
        <f>VLOOKUP(A188,an_ips7,16,FALSE)</f>
        <v>0</v>
      </c>
    </row>
    <row r="190" spans="1:52" x14ac:dyDescent="0.25">
      <c r="A190" s="599"/>
      <c r="B190" s="609"/>
      <c r="C190" s="71"/>
      <c r="D190" s="316" t="s">
        <v>50</v>
      </c>
      <c r="E190" s="1073"/>
      <c r="F190" s="1073">
        <f>VLOOKUP(A188,AN_PKN8,17,FALSE)</f>
        <v>0</v>
      </c>
      <c r="G190" s="1073">
        <f>VLOOKUP(A188,AN_PKN8,17,FALSE)</f>
        <v>0</v>
      </c>
      <c r="H190" s="324">
        <f>AVERAGE(E190:G190)</f>
        <v>0</v>
      </c>
      <c r="I190" s="316" t="s">
        <v>51</v>
      </c>
      <c r="J190" s="1073">
        <f>VLOOKUP(A188,AN_BI8,19,FALSE)</f>
        <v>0</v>
      </c>
      <c r="K190" s="1073"/>
      <c r="L190" s="1073"/>
      <c r="M190" s="1073">
        <f>VLOOKUP(A188,AN_BI8,19,FALSE)</f>
        <v>0</v>
      </c>
      <c r="N190" s="1073"/>
      <c r="O190" s="545">
        <f t="shared" si="345"/>
        <v>0</v>
      </c>
      <c r="P190" s="316" t="s">
        <v>51</v>
      </c>
      <c r="Q190" s="1073">
        <f>VLOOKUP(A188,AN_MAT8,16,FALSE)</f>
        <v>0</v>
      </c>
      <c r="R190" s="1073">
        <f>VLOOKUP(A188,AN_MAT8,16,FALSE)</f>
        <v>0</v>
      </c>
      <c r="S190" s="1073"/>
      <c r="T190" s="1073"/>
      <c r="U190" s="1073"/>
      <c r="V190" s="1073"/>
      <c r="W190" s="1073">
        <f>VLOOKUP(A188,AN_MAT8,16,FALSE)</f>
        <v>0</v>
      </c>
      <c r="X190" s="316" t="s">
        <v>51</v>
      </c>
      <c r="Y190" s="325"/>
      <c r="Z190" s="325">
        <f>VLOOKUP(A188,AN_SBDP8,16,FALSE)</f>
        <v>0</v>
      </c>
      <c r="AA190" s="325"/>
      <c r="AB190" s="325">
        <f>VLOOKUP(A188,AN_SBDP8,16,FALSE)</f>
        <v>0</v>
      </c>
      <c r="AC190" s="661" t="s">
        <v>50</v>
      </c>
      <c r="AD190" s="325"/>
      <c r="AE190" s="325"/>
      <c r="AF190" s="325">
        <f>VLOOKUP(A188,AN_SBDP8,16,FALSE)</f>
        <v>0</v>
      </c>
      <c r="AG190" s="325"/>
      <c r="AH190" s="325">
        <f>VLOOKUP(A188,AN_SBDP8,16,FALSE)</f>
        <v>0</v>
      </c>
      <c r="AI190" s="661" t="s">
        <v>46</v>
      </c>
      <c r="AJ190" s="325"/>
      <c r="AK190" s="325"/>
      <c r="AL190" s="325"/>
      <c r="AM190" s="325">
        <f>VLOOKUP(A188,an_agm,52,FALSE)</f>
        <v>0</v>
      </c>
      <c r="AN190" s="325">
        <f>VLOOKUP(A188,an_agm,53,FALSE)</f>
        <v>0</v>
      </c>
      <c r="AO190" s="325"/>
      <c r="AP190" s="315" t="s">
        <v>50</v>
      </c>
      <c r="AQ190" s="325"/>
      <c r="AR190" s="325"/>
      <c r="AS190" s="325">
        <f>VLOOKUP(A188,UHT_jawa,20,FALSE)</f>
        <v>0</v>
      </c>
      <c r="AT190" s="1122" t="s">
        <v>46</v>
      </c>
      <c r="AU190" s="325"/>
      <c r="AV190" s="325">
        <f>VLOOKUP(A188,AN_IPA7,16,FALSE)</f>
        <v>0</v>
      </c>
      <c r="AW190" s="1122" t="s">
        <v>46</v>
      </c>
      <c r="AX190" s="325">
        <f>VLOOKUP(A188,AN_ips8,16,FALSE)</f>
        <v>0</v>
      </c>
      <c r="AY190" s="325">
        <f>VLOOKUP(A188,AN_ips8,16,FALSE)</f>
        <v>0</v>
      </c>
      <c r="AZ190" s="325">
        <f>VLOOKUP(A188,AN_ips8,16,FALSE)</f>
        <v>0</v>
      </c>
    </row>
    <row r="191" spans="1:52" x14ac:dyDescent="0.25">
      <c r="A191" s="599"/>
      <c r="B191" s="609"/>
      <c r="C191" s="71"/>
      <c r="D191" s="316" t="s">
        <v>51</v>
      </c>
      <c r="E191" s="325">
        <f>VLOOKUP(A188,AN_PKN9,16,FALSE)</f>
        <v>0</v>
      </c>
      <c r="F191" s="325"/>
      <c r="G191" s="325"/>
      <c r="H191" s="324">
        <f>AVERAGE(E191:G191)</f>
        <v>0</v>
      </c>
      <c r="I191" s="316" t="s">
        <v>52</v>
      </c>
      <c r="J191" s="1073">
        <f>VLOOKUP(A188,AN_BI9,21,FALSE)</f>
        <v>0</v>
      </c>
      <c r="K191" s="1073">
        <f>VLOOKUP(A188,AN_BI9,21,FALSE)</f>
        <v>0</v>
      </c>
      <c r="L191" s="1073">
        <f>VLOOKUP(A188,AN_BI9,21,FALSE)</f>
        <v>0</v>
      </c>
      <c r="M191" s="1073">
        <f>VLOOKUP(A188,AN_BI9,21,FALSE)</f>
        <v>0</v>
      </c>
      <c r="N191" s="1073"/>
      <c r="O191" s="545">
        <f t="shared" si="345"/>
        <v>0</v>
      </c>
      <c r="P191" s="316" t="s">
        <v>52</v>
      </c>
      <c r="Q191" s="1073">
        <f>VLOOKUP(A188,AN_MAT9,16,FALSE)</f>
        <v>0</v>
      </c>
      <c r="R191" s="1073">
        <f>VLOOKUP(A188,AN_MAT9,16,FALSE)</f>
        <v>0</v>
      </c>
      <c r="S191" s="1073">
        <f>VLOOKUP(A188,AN_MAT9,16,FALSE)</f>
        <v>0</v>
      </c>
      <c r="T191" s="1073">
        <f>VLOOKUP(A188,AN_MAT9,16,FALSE)</f>
        <v>0</v>
      </c>
      <c r="U191" s="1073">
        <f>VLOOKUP(A188,AN_MAT9,16,FALSE)</f>
        <v>0</v>
      </c>
      <c r="V191" s="1073">
        <f>VLOOKUP(A188,AN_MAT9,16,FALSE)</f>
        <v>0</v>
      </c>
      <c r="W191" s="1073">
        <f>VLOOKUP(A188,AN_MAT9,16,FALSE)</f>
        <v>0</v>
      </c>
      <c r="X191" s="316" t="s">
        <v>52</v>
      </c>
      <c r="Y191" s="325"/>
      <c r="Z191" s="325">
        <f>VLOOKUP(A188,AN_SBDP9,16,FALSE)</f>
        <v>0</v>
      </c>
      <c r="AA191" s="325">
        <f>VLOOKUP(A188,AN_SBDP9,16,FALSE)</f>
        <v>0</v>
      </c>
      <c r="AB191" s="325"/>
      <c r="AC191" s="661" t="s">
        <v>51</v>
      </c>
      <c r="AD191" s="325"/>
      <c r="AE191" s="325">
        <f>VLOOKUP(A188,AN_SBDP9,16,FALSE)</f>
        <v>0</v>
      </c>
      <c r="AF191" s="325">
        <f>VLOOKUP(A188,AN_SBDP9,16,FALSE)</f>
        <v>0</v>
      </c>
      <c r="AG191" s="325"/>
      <c r="AH191" s="325"/>
      <c r="AI191" s="661" t="s">
        <v>47</v>
      </c>
      <c r="AJ191" s="325"/>
      <c r="AK191" s="325">
        <f>VLOOKUP(A188,an_agm,50,FALSE)</f>
        <v>0</v>
      </c>
      <c r="AL191" s="325"/>
      <c r="AM191" s="325"/>
      <c r="AN191" s="325"/>
      <c r="AO191" s="325"/>
      <c r="AP191" s="315" t="s">
        <v>51</v>
      </c>
      <c r="AQ191" s="325"/>
      <c r="AR191" s="325"/>
      <c r="AS191" s="325"/>
      <c r="AT191" s="1122" t="s">
        <v>47</v>
      </c>
      <c r="AU191" s="325"/>
      <c r="AV191" s="325">
        <f>VLOOKUP(A188,an_IPA9,16,FALSE)</f>
        <v>0</v>
      </c>
      <c r="AW191" s="1122" t="s">
        <v>47</v>
      </c>
      <c r="AX191" s="325">
        <f>VLOOKUP(A188,AN_IPS_9,16,FALSE)</f>
        <v>0</v>
      </c>
      <c r="AY191" s="325"/>
      <c r="AZ191" s="325">
        <f>VLOOKUP(A188,AN_IPS_9,16,FALSE)</f>
        <v>0</v>
      </c>
    </row>
    <row r="192" spans="1:52" x14ac:dyDescent="0.25">
      <c r="A192" s="599"/>
      <c r="B192" s="609"/>
      <c r="C192" s="71"/>
      <c r="D192" s="316"/>
      <c r="E192" s="1073"/>
      <c r="F192" s="1073"/>
      <c r="G192" s="1073"/>
      <c r="H192" s="1074"/>
      <c r="I192" s="316"/>
      <c r="J192" s="1073"/>
      <c r="K192" s="1073"/>
      <c r="L192" s="1073"/>
      <c r="M192" s="1073"/>
      <c r="N192" s="1073"/>
      <c r="O192" s="1074"/>
      <c r="P192" s="315"/>
      <c r="Q192" s="1073"/>
      <c r="R192" s="1073"/>
      <c r="S192" s="1073"/>
      <c r="T192" s="1073"/>
      <c r="U192" s="1073"/>
      <c r="V192" s="1073"/>
      <c r="W192" s="1073"/>
      <c r="X192" s="315"/>
      <c r="Y192" s="325"/>
      <c r="Z192" s="325"/>
      <c r="AA192" s="325"/>
      <c r="AB192" s="325"/>
      <c r="AC192" s="661"/>
      <c r="AD192" s="1073"/>
      <c r="AE192" s="1073"/>
      <c r="AF192" s="1112"/>
      <c r="AG192" s="1112"/>
      <c r="AH192" s="1112"/>
      <c r="AI192" s="661" t="s">
        <v>48</v>
      </c>
      <c r="AJ192" s="325"/>
      <c r="AK192" s="325"/>
      <c r="AL192" s="325"/>
      <c r="AM192" s="325"/>
      <c r="AN192" s="325"/>
      <c r="AO192" s="325">
        <f>VLOOKUP(A188,an_agm,54,FALSE)</f>
        <v>0</v>
      </c>
      <c r="AP192" s="315"/>
      <c r="AQ192" s="1136"/>
      <c r="AR192" s="1136"/>
      <c r="AS192" s="1136"/>
      <c r="AT192" s="661"/>
      <c r="AU192" s="325"/>
      <c r="AV192" s="325"/>
      <c r="AW192" s="661"/>
      <c r="AX192" s="325"/>
      <c r="AY192" s="325"/>
      <c r="AZ192" s="325"/>
    </row>
    <row r="193" spans="1:52" x14ac:dyDescent="0.25">
      <c r="A193" s="604"/>
      <c r="B193" s="611">
        <v>31</v>
      </c>
      <c r="C193" s="72"/>
      <c r="D193" s="317" t="s">
        <v>214</v>
      </c>
      <c r="E193" s="318">
        <f>IFERROR(AVERAGE(E188:E192),"  ")</f>
        <v>0</v>
      </c>
      <c r="F193" s="318">
        <f t="shared" ref="F193:G193" si="346">IFERROR(AVERAGE(F188:F192),"  ")</f>
        <v>0</v>
      </c>
      <c r="G193" s="318">
        <f t="shared" si="346"/>
        <v>0</v>
      </c>
      <c r="H193" s="323"/>
      <c r="I193" s="317" t="s">
        <v>214</v>
      </c>
      <c r="J193" s="318">
        <f>IFERROR(AVERAGE(J188:J192),"  ")</f>
        <v>0</v>
      </c>
      <c r="K193" s="318">
        <f t="shared" ref="K193:N193" si="347">IFERROR(AVERAGE(K188:K192),"  ")</f>
        <v>0</v>
      </c>
      <c r="L193" s="318">
        <f t="shared" si="347"/>
        <v>0</v>
      </c>
      <c r="M193" s="318">
        <f t="shared" si="347"/>
        <v>0</v>
      </c>
      <c r="N193" s="318">
        <f t="shared" si="347"/>
        <v>0</v>
      </c>
      <c r="O193" s="597"/>
      <c r="P193" s="317" t="s">
        <v>214</v>
      </c>
      <c r="Q193" s="318">
        <f>IFERROR(AVERAGE(Q188:Q192),"  ")</f>
        <v>0</v>
      </c>
      <c r="R193" s="318">
        <f t="shared" ref="R193" si="348">IFERROR(AVERAGE(R188:R192),"  ")</f>
        <v>0</v>
      </c>
      <c r="S193" s="318">
        <f t="shared" ref="S193" si="349">IFERROR(AVERAGE(S188:S192),"  ")</f>
        <v>0</v>
      </c>
      <c r="T193" s="318">
        <f t="shared" ref="T193" si="350">IFERROR(AVERAGE(T188:T192),"  ")</f>
        <v>0</v>
      </c>
      <c r="U193" s="318">
        <f t="shared" ref="U193" si="351">IFERROR(AVERAGE(U188:U192),"  ")</f>
        <v>0</v>
      </c>
      <c r="V193" s="318">
        <f t="shared" ref="V193" si="352">IFERROR(AVERAGE(V188:V192),"  ")</f>
        <v>0</v>
      </c>
      <c r="W193" s="318">
        <f t="shared" ref="W193" si="353">IFERROR(AVERAGE(W188:W192),"  ")</f>
        <v>0</v>
      </c>
      <c r="X193" s="317" t="s">
        <v>214</v>
      </c>
      <c r="Y193" s="318">
        <f t="shared" ref="Y193" si="354">IFERROR(AVERAGE(Y188:Y192),"  ")</f>
        <v>0</v>
      </c>
      <c r="Z193" s="318">
        <f t="shared" ref="Z193" si="355">IFERROR(AVERAGE(Z188:Z192),"  ")</f>
        <v>0</v>
      </c>
      <c r="AA193" s="318">
        <f t="shared" ref="AA193" si="356">IFERROR(AVERAGE(AA188:AA192),"  ")</f>
        <v>0</v>
      </c>
      <c r="AB193" s="318">
        <f t="shared" ref="AB193" si="357">IFERROR(AVERAGE(AB188:AB192),"  ")</f>
        <v>0</v>
      </c>
      <c r="AC193" s="317" t="s">
        <v>214</v>
      </c>
      <c r="AD193" s="318">
        <f t="shared" ref="AD193" si="358">IFERROR(AVERAGE(AD188:AD192),"  ")</f>
        <v>0</v>
      </c>
      <c r="AE193" s="318">
        <f t="shared" ref="AE193:AH193" si="359">IFERROR(AVERAGE(AE188:AE192),"  ")</f>
        <v>0</v>
      </c>
      <c r="AF193" s="318">
        <f t="shared" si="359"/>
        <v>0</v>
      </c>
      <c r="AG193" s="318">
        <f t="shared" si="359"/>
        <v>0</v>
      </c>
      <c r="AH193" s="318">
        <f t="shared" si="359"/>
        <v>0</v>
      </c>
      <c r="AI193" s="317" t="s">
        <v>214</v>
      </c>
      <c r="AJ193" s="318">
        <f t="shared" ref="AJ193:AO193" si="360">IFERROR(AVERAGE(AJ188:AJ192),"  ")</f>
        <v>0</v>
      </c>
      <c r="AK193" s="318">
        <f t="shared" si="360"/>
        <v>0</v>
      </c>
      <c r="AL193" s="318">
        <f t="shared" si="360"/>
        <v>0</v>
      </c>
      <c r="AM193" s="318">
        <f t="shared" si="360"/>
        <v>0</v>
      </c>
      <c r="AN193" s="318">
        <f t="shared" si="360"/>
        <v>0</v>
      </c>
      <c r="AO193" s="318">
        <f t="shared" si="360"/>
        <v>0</v>
      </c>
      <c r="AP193" s="317" t="s">
        <v>214</v>
      </c>
      <c r="AQ193" s="318">
        <f t="shared" ref="AQ193:AS193" si="361">IFERROR(AVERAGE(AQ188:AQ192),"  ")</f>
        <v>0</v>
      </c>
      <c r="AR193" s="318">
        <f t="shared" si="361"/>
        <v>0</v>
      </c>
      <c r="AS193" s="318">
        <f t="shared" si="361"/>
        <v>0</v>
      </c>
      <c r="AT193" s="317" t="s">
        <v>214</v>
      </c>
      <c r="AU193" s="318">
        <f t="shared" ref="AU193:AV193" si="362">IFERROR(AVERAGE(AU188:AU192),"  ")</f>
        <v>0</v>
      </c>
      <c r="AV193" s="318">
        <f t="shared" si="362"/>
        <v>0</v>
      </c>
      <c r="AW193" s="317" t="s">
        <v>214</v>
      </c>
      <c r="AX193" s="318">
        <f t="shared" ref="AX193:AZ193" si="363">IFERROR(AVERAGE(AX188:AX192),"  ")</f>
        <v>0</v>
      </c>
      <c r="AY193" s="318">
        <f t="shared" si="363"/>
        <v>0</v>
      </c>
      <c r="AZ193" s="318">
        <f t="shared" si="363"/>
        <v>0</v>
      </c>
    </row>
    <row r="194" spans="1:52" x14ac:dyDescent="0.25">
      <c r="A194" s="599">
        <v>32</v>
      </c>
      <c r="B194" s="608"/>
      <c r="C194" s="292" t="e">
        <f>VLOOKUP(A194,data_siswa,4,FALSE)</f>
        <v>#N/A</v>
      </c>
      <c r="D194" s="316" t="s">
        <v>156</v>
      </c>
      <c r="E194" s="1073"/>
      <c r="F194" s="1073">
        <f>VLOOKUP(A194,AN_PKN6_KI3,13,FALSE)</f>
        <v>0</v>
      </c>
      <c r="G194" s="1073"/>
      <c r="H194" s="324">
        <f>AVERAGE(E194:G194)</f>
        <v>0</v>
      </c>
      <c r="I194" s="316" t="s">
        <v>26</v>
      </c>
      <c r="J194" s="1073"/>
      <c r="K194" s="1073"/>
      <c r="L194" s="1073"/>
      <c r="M194" s="1073">
        <f>VLOOKUP(A194,AN_BI6,19,FALSE)</f>
        <v>0</v>
      </c>
      <c r="N194" s="1073">
        <f>VLOOKUP(A194,AN_BI6,19,FALSE)</f>
        <v>0</v>
      </c>
      <c r="O194" s="545">
        <f>AVERAGE(J194:N194)</f>
        <v>0</v>
      </c>
      <c r="P194" s="316" t="s">
        <v>26</v>
      </c>
      <c r="Q194" s="1073"/>
      <c r="R194" s="1073">
        <f>VLOOKUP(A194,AN_MAT6,16,FALSE)</f>
        <v>0</v>
      </c>
      <c r="S194" s="1073"/>
      <c r="T194" s="1073">
        <f>VLOOKUP(A194,AN_MAT6,16,FALSE)</f>
        <v>0</v>
      </c>
      <c r="U194" s="1073"/>
      <c r="V194" s="1073"/>
      <c r="W194" s="1073"/>
      <c r="X194" s="316" t="s">
        <v>26</v>
      </c>
      <c r="Y194" s="325"/>
      <c r="Z194" s="325"/>
      <c r="AA194" s="325"/>
      <c r="AB194" s="325">
        <f>VLOOKUP(A194,AN_SBDP6,16,FALSE)</f>
        <v>0</v>
      </c>
      <c r="AC194" s="661" t="s">
        <v>156</v>
      </c>
      <c r="AD194" s="325">
        <f>VLOOKUP(A194,AN_SBDP6,16,FALSE)</f>
        <v>0</v>
      </c>
      <c r="AE194" s="325">
        <f>VLOOKUP(A194,AN_SBDP6,16,FALSE)</f>
        <v>0</v>
      </c>
      <c r="AF194" s="325"/>
      <c r="AG194" s="325"/>
      <c r="AH194" s="325">
        <f>VLOOKUP(A194,AN_SBDP6,16,FALSE)</f>
        <v>0</v>
      </c>
      <c r="AI194" s="661" t="s">
        <v>44</v>
      </c>
      <c r="AJ194" s="325"/>
      <c r="AK194" s="325"/>
      <c r="AL194" s="325">
        <f>VLOOKUP(A194,an_agm,51,FALSE)</f>
        <v>0</v>
      </c>
      <c r="AM194" s="325"/>
      <c r="AN194" s="325"/>
      <c r="AO194" s="325"/>
      <c r="AP194" s="315" t="s">
        <v>156</v>
      </c>
      <c r="AQ194" s="325">
        <f>VLOOKUP(A194,UHT_jawa,18,FALSE)</f>
        <v>0</v>
      </c>
      <c r="AR194" s="325"/>
      <c r="AS194" s="325"/>
      <c r="AT194" s="1122" t="s">
        <v>44</v>
      </c>
      <c r="AU194" s="325"/>
      <c r="AV194" s="325">
        <f>VLOOKUP(A194,AN_ipa6,16,FALSE)</f>
        <v>0</v>
      </c>
      <c r="AW194" s="1122" t="s">
        <v>44</v>
      </c>
      <c r="AX194" s="325"/>
      <c r="AY194" s="325"/>
      <c r="AZ194" s="325">
        <f>VLOOKUP(A194,AN_IPS6,16,FALSE)</f>
        <v>0</v>
      </c>
    </row>
    <row r="195" spans="1:52" x14ac:dyDescent="0.25">
      <c r="A195" s="599"/>
      <c r="B195" s="609"/>
      <c r="C195" s="71"/>
      <c r="D195" s="316" t="s">
        <v>26</v>
      </c>
      <c r="E195" s="1073">
        <f>VLOOKUP(A194,AN_PKN7,12,FALSE)</f>
        <v>0</v>
      </c>
      <c r="F195" s="1073">
        <f>VLOOKUP(A194,AN_PKN7,12,FALSE)</f>
        <v>0</v>
      </c>
      <c r="G195" s="1073">
        <f>VLOOKUP(A194,AN_PKN7,12,FALSE)</f>
        <v>0</v>
      </c>
      <c r="H195" s="324">
        <f>AVERAGE(E195:G195)</f>
        <v>0</v>
      </c>
      <c r="I195" s="316" t="s">
        <v>50</v>
      </c>
      <c r="J195" s="1073">
        <f>VLOOKUP(A194,AN_BI7,21,FALSE)</f>
        <v>0</v>
      </c>
      <c r="K195" s="1073">
        <f>VLOOKUP(A194,AN_BI7,21,FALSE)</f>
        <v>0</v>
      </c>
      <c r="L195" s="1073">
        <f>VLOOKUP(A194,AN_BI7,21,FALSE)</f>
        <v>0</v>
      </c>
      <c r="M195" s="1073">
        <f>VLOOKUP(A194,AN_BI7,21,FALSE)</f>
        <v>0</v>
      </c>
      <c r="N195" s="1073"/>
      <c r="O195" s="545">
        <f t="shared" ref="O195:O197" si="364">AVERAGE(J195:N195)</f>
        <v>0</v>
      </c>
      <c r="P195" s="316" t="s">
        <v>50</v>
      </c>
      <c r="Q195" s="1073"/>
      <c r="R195" s="1073"/>
      <c r="S195" s="1073">
        <f>VLOOKUP(A194,AN_MAT7,16,FALSE)</f>
        <v>0</v>
      </c>
      <c r="T195" s="1073">
        <f>VLOOKUP(A194,AN_MAT7,16,FALSE)</f>
        <v>0</v>
      </c>
      <c r="U195" s="1073">
        <f>VLOOKUP(A194,AN_MAT7,16,FALSE)</f>
        <v>0</v>
      </c>
      <c r="V195" s="1073">
        <f>VLOOKUP(A194,AN_MAT7,16,FALSE)</f>
        <v>0</v>
      </c>
      <c r="W195" s="1073"/>
      <c r="X195" s="316" t="s">
        <v>50</v>
      </c>
      <c r="Y195" s="325">
        <f>VLOOKUP(A194,AN_SBDP7,16,FALSE)</f>
        <v>0</v>
      </c>
      <c r="Z195" s="325">
        <f>VLOOKUP(A194,AN_SBDP7,16,FALSE)</f>
        <v>0</v>
      </c>
      <c r="AA195" s="325"/>
      <c r="AB195" s="325">
        <f>VLOOKUP(A194,AN_SBDP7,16,FALSE)</f>
        <v>0</v>
      </c>
      <c r="AC195" s="661" t="s">
        <v>26</v>
      </c>
      <c r="AD195" s="325"/>
      <c r="AE195" s="325"/>
      <c r="AF195" s="325">
        <f>VLOOKUP(A194,AN_SBDP7,16,FALSE)</f>
        <v>0</v>
      </c>
      <c r="AG195" s="325">
        <f>VLOOKUP(A194,AN_SBDP7,16,FALSE)</f>
        <v>0</v>
      </c>
      <c r="AH195" s="325"/>
      <c r="AI195" s="661" t="s">
        <v>45</v>
      </c>
      <c r="AJ195" s="325">
        <f>VLOOKUP(A194,an_agm,49,FALSE)</f>
        <v>0</v>
      </c>
      <c r="AK195" s="325"/>
      <c r="AL195" s="325"/>
      <c r="AM195" s="325"/>
      <c r="AN195" s="325"/>
      <c r="AO195" s="325"/>
      <c r="AP195" s="315" t="s">
        <v>26</v>
      </c>
      <c r="AQ195" s="325"/>
      <c r="AR195" s="325">
        <f>VLOOKUP(A194,UHT_jawa,19,FALSE)</f>
        <v>0</v>
      </c>
      <c r="AS195" s="325"/>
      <c r="AT195" s="1122" t="s">
        <v>45</v>
      </c>
      <c r="AU195" s="325">
        <f>VLOOKUP(A194,AN_IPA7,16,FALSE)</f>
        <v>0</v>
      </c>
      <c r="AV195" s="325">
        <f>VLOOKUP(A194,AN_IPA7,16,FALSE)</f>
        <v>0</v>
      </c>
      <c r="AW195" s="1122" t="s">
        <v>45</v>
      </c>
      <c r="AX195" s="325">
        <f>VLOOKUP(A194,an_ips7,16,FALSE)</f>
        <v>0</v>
      </c>
      <c r="AY195" s="325">
        <f>VLOOKUP(A194,an_ips7,16,FALSE)</f>
        <v>0</v>
      </c>
      <c r="AZ195" s="325">
        <f>VLOOKUP(A194,an_ips7,16,FALSE)</f>
        <v>0</v>
      </c>
    </row>
    <row r="196" spans="1:52" x14ac:dyDescent="0.25">
      <c r="A196" s="599"/>
      <c r="B196" s="609"/>
      <c r="C196" s="71"/>
      <c r="D196" s="316" t="s">
        <v>50</v>
      </c>
      <c r="E196" s="1073"/>
      <c r="F196" s="1073">
        <f>VLOOKUP(A194,AN_PKN8,17,FALSE)</f>
        <v>0</v>
      </c>
      <c r="G196" s="1073">
        <f>VLOOKUP(A194,AN_PKN8,17,FALSE)</f>
        <v>0</v>
      </c>
      <c r="H196" s="324">
        <f>AVERAGE(E196:G196)</f>
        <v>0</v>
      </c>
      <c r="I196" s="316" t="s">
        <v>51</v>
      </c>
      <c r="J196" s="1073">
        <f>VLOOKUP(A194,AN_BI8,19,FALSE)</f>
        <v>0</v>
      </c>
      <c r="K196" s="1073"/>
      <c r="L196" s="1073"/>
      <c r="M196" s="1073">
        <f>VLOOKUP(A194,AN_BI8,19,FALSE)</f>
        <v>0</v>
      </c>
      <c r="N196" s="1073"/>
      <c r="O196" s="545">
        <f t="shared" si="364"/>
        <v>0</v>
      </c>
      <c r="P196" s="316" t="s">
        <v>51</v>
      </c>
      <c r="Q196" s="1073">
        <f>VLOOKUP(A194,AN_MAT8,16,FALSE)</f>
        <v>0</v>
      </c>
      <c r="R196" s="1073">
        <f>VLOOKUP(A194,AN_MAT8,16,FALSE)</f>
        <v>0</v>
      </c>
      <c r="S196" s="1073"/>
      <c r="T196" s="1073"/>
      <c r="U196" s="1073"/>
      <c r="V196" s="1073"/>
      <c r="W196" s="1073">
        <f>VLOOKUP(A194,AN_MAT8,16,FALSE)</f>
        <v>0</v>
      </c>
      <c r="X196" s="316" t="s">
        <v>51</v>
      </c>
      <c r="Y196" s="325"/>
      <c r="Z196" s="325">
        <f>VLOOKUP(A194,AN_SBDP8,16,FALSE)</f>
        <v>0</v>
      </c>
      <c r="AA196" s="325"/>
      <c r="AB196" s="325">
        <f>VLOOKUP(A194,AN_SBDP8,16,FALSE)</f>
        <v>0</v>
      </c>
      <c r="AC196" s="661" t="s">
        <v>50</v>
      </c>
      <c r="AD196" s="325"/>
      <c r="AE196" s="325"/>
      <c r="AF196" s="325">
        <f>VLOOKUP(A194,AN_SBDP8,16,FALSE)</f>
        <v>0</v>
      </c>
      <c r="AG196" s="325"/>
      <c r="AH196" s="325">
        <f>VLOOKUP(A194,AN_SBDP8,16,FALSE)</f>
        <v>0</v>
      </c>
      <c r="AI196" s="661" t="s">
        <v>46</v>
      </c>
      <c r="AJ196" s="325"/>
      <c r="AK196" s="325"/>
      <c r="AL196" s="325"/>
      <c r="AM196" s="325">
        <f>VLOOKUP(A194,an_agm,52,FALSE)</f>
        <v>0</v>
      </c>
      <c r="AN196" s="325">
        <f>VLOOKUP(A194,an_agm,53,FALSE)</f>
        <v>0</v>
      </c>
      <c r="AO196" s="325"/>
      <c r="AP196" s="315" t="s">
        <v>50</v>
      </c>
      <c r="AQ196" s="325"/>
      <c r="AR196" s="325"/>
      <c r="AS196" s="325">
        <f>VLOOKUP(A194,UHT_jawa,20,FALSE)</f>
        <v>0</v>
      </c>
      <c r="AT196" s="1122" t="s">
        <v>46</v>
      </c>
      <c r="AU196" s="325"/>
      <c r="AV196" s="325">
        <f>VLOOKUP(A194,AN_IPA7,16,FALSE)</f>
        <v>0</v>
      </c>
      <c r="AW196" s="1122" t="s">
        <v>46</v>
      </c>
      <c r="AX196" s="325">
        <f>VLOOKUP(A194,AN_ips8,16,FALSE)</f>
        <v>0</v>
      </c>
      <c r="AY196" s="325">
        <f>VLOOKUP(A194,AN_ips8,16,FALSE)</f>
        <v>0</v>
      </c>
      <c r="AZ196" s="325">
        <f>VLOOKUP(A194,AN_ips8,16,FALSE)</f>
        <v>0</v>
      </c>
    </row>
    <row r="197" spans="1:52" x14ac:dyDescent="0.25">
      <c r="A197" s="599"/>
      <c r="B197" s="609"/>
      <c r="C197" s="71"/>
      <c r="D197" s="316" t="s">
        <v>51</v>
      </c>
      <c r="E197" s="325">
        <f>VLOOKUP(A194,AN_PKN9,16,FALSE)</f>
        <v>0</v>
      </c>
      <c r="F197" s="325"/>
      <c r="G197" s="325"/>
      <c r="H197" s="324">
        <f>AVERAGE(E197:G197)</f>
        <v>0</v>
      </c>
      <c r="I197" s="316" t="s">
        <v>52</v>
      </c>
      <c r="J197" s="1073">
        <f>VLOOKUP(A194,AN_BI9,21,FALSE)</f>
        <v>0</v>
      </c>
      <c r="K197" s="1073">
        <f>VLOOKUP(A194,AN_BI9,21,FALSE)</f>
        <v>0</v>
      </c>
      <c r="L197" s="1073">
        <f>VLOOKUP(A194,AN_BI9,21,FALSE)</f>
        <v>0</v>
      </c>
      <c r="M197" s="1073">
        <f>VLOOKUP(A194,AN_BI9,21,FALSE)</f>
        <v>0</v>
      </c>
      <c r="N197" s="1073"/>
      <c r="O197" s="545">
        <f t="shared" si="364"/>
        <v>0</v>
      </c>
      <c r="P197" s="316" t="s">
        <v>52</v>
      </c>
      <c r="Q197" s="1073">
        <f>VLOOKUP(A194,AN_MAT9,16,FALSE)</f>
        <v>0</v>
      </c>
      <c r="R197" s="1073">
        <f>VLOOKUP(A194,AN_MAT9,16,FALSE)</f>
        <v>0</v>
      </c>
      <c r="S197" s="1073">
        <f>VLOOKUP(A194,AN_MAT9,16,FALSE)</f>
        <v>0</v>
      </c>
      <c r="T197" s="1073">
        <f>VLOOKUP(A194,AN_MAT9,16,FALSE)</f>
        <v>0</v>
      </c>
      <c r="U197" s="1073">
        <f>VLOOKUP(A194,AN_MAT9,16,FALSE)</f>
        <v>0</v>
      </c>
      <c r="V197" s="1073">
        <f>VLOOKUP(A194,AN_MAT9,16,FALSE)</f>
        <v>0</v>
      </c>
      <c r="W197" s="1073">
        <f>VLOOKUP(A194,AN_MAT9,16,FALSE)</f>
        <v>0</v>
      </c>
      <c r="X197" s="316" t="s">
        <v>52</v>
      </c>
      <c r="Y197" s="325"/>
      <c r="Z197" s="325">
        <f>VLOOKUP(A194,AN_SBDP9,16,FALSE)</f>
        <v>0</v>
      </c>
      <c r="AA197" s="325">
        <f>VLOOKUP(A194,AN_SBDP9,16,FALSE)</f>
        <v>0</v>
      </c>
      <c r="AB197" s="325"/>
      <c r="AC197" s="661" t="s">
        <v>51</v>
      </c>
      <c r="AD197" s="325"/>
      <c r="AE197" s="325">
        <f>VLOOKUP(A194,AN_SBDP9,16,FALSE)</f>
        <v>0</v>
      </c>
      <c r="AF197" s="325">
        <f>VLOOKUP(A194,AN_SBDP9,16,FALSE)</f>
        <v>0</v>
      </c>
      <c r="AG197" s="325"/>
      <c r="AH197" s="325"/>
      <c r="AI197" s="661" t="s">
        <v>47</v>
      </c>
      <c r="AJ197" s="325"/>
      <c r="AK197" s="325">
        <f>VLOOKUP(A194,an_agm,50,FALSE)</f>
        <v>0</v>
      </c>
      <c r="AL197" s="325"/>
      <c r="AM197" s="325"/>
      <c r="AN197" s="325"/>
      <c r="AO197" s="325"/>
      <c r="AP197" s="315" t="s">
        <v>51</v>
      </c>
      <c r="AQ197" s="325"/>
      <c r="AR197" s="325"/>
      <c r="AS197" s="325"/>
      <c r="AT197" s="1122" t="s">
        <v>47</v>
      </c>
      <c r="AU197" s="325"/>
      <c r="AV197" s="325">
        <f>VLOOKUP(A194,an_IPA9,16,FALSE)</f>
        <v>0</v>
      </c>
      <c r="AW197" s="1122" t="s">
        <v>47</v>
      </c>
      <c r="AX197" s="325">
        <f>VLOOKUP(A194,AN_IPS_9,16,FALSE)</f>
        <v>0</v>
      </c>
      <c r="AY197" s="325"/>
      <c r="AZ197" s="325">
        <f>VLOOKUP(A194,AN_IPS_9,16,FALSE)</f>
        <v>0</v>
      </c>
    </row>
    <row r="198" spans="1:52" x14ac:dyDescent="0.25">
      <c r="A198" s="599"/>
      <c r="B198" s="609"/>
      <c r="C198" s="71"/>
      <c r="D198" s="316"/>
      <c r="E198" s="1073"/>
      <c r="F198" s="1073"/>
      <c r="G198" s="1073"/>
      <c r="H198" s="1074"/>
      <c r="I198" s="316"/>
      <c r="J198" s="1073"/>
      <c r="K198" s="1073"/>
      <c r="L198" s="1073"/>
      <c r="M198" s="1073"/>
      <c r="N198" s="1073"/>
      <c r="O198" s="1074"/>
      <c r="P198" s="315"/>
      <c r="Q198" s="1073"/>
      <c r="R198" s="1073"/>
      <c r="S198" s="1073"/>
      <c r="T198" s="1073"/>
      <c r="U198" s="1073"/>
      <c r="V198" s="1073"/>
      <c r="W198" s="1073"/>
      <c r="X198" s="315"/>
      <c r="Y198" s="325"/>
      <c r="Z198" s="325"/>
      <c r="AA198" s="325"/>
      <c r="AB198" s="325"/>
      <c r="AC198" s="661"/>
      <c r="AD198" s="1073"/>
      <c r="AE198" s="1073"/>
      <c r="AF198" s="1112"/>
      <c r="AG198" s="1112"/>
      <c r="AH198" s="1112"/>
      <c r="AI198" s="661" t="s">
        <v>48</v>
      </c>
      <c r="AJ198" s="325"/>
      <c r="AK198" s="325"/>
      <c r="AL198" s="325"/>
      <c r="AM198" s="325"/>
      <c r="AN198" s="325"/>
      <c r="AO198" s="325">
        <f>VLOOKUP(A194,an_agm,54,FALSE)</f>
        <v>0</v>
      </c>
      <c r="AP198" s="315"/>
      <c r="AQ198" s="1136"/>
      <c r="AR198" s="1136"/>
      <c r="AS198" s="1136"/>
      <c r="AT198" s="661"/>
      <c r="AU198" s="325"/>
      <c r="AV198" s="325"/>
      <c r="AW198" s="661"/>
      <c r="AX198" s="325"/>
      <c r="AY198" s="325"/>
      <c r="AZ198" s="325"/>
    </row>
    <row r="199" spans="1:52" x14ac:dyDescent="0.25">
      <c r="A199" s="604"/>
      <c r="B199" s="611">
        <v>32</v>
      </c>
      <c r="C199" s="72"/>
      <c r="D199" s="317" t="s">
        <v>214</v>
      </c>
      <c r="E199" s="318">
        <f>IFERROR(AVERAGE(E194:E198),"  ")</f>
        <v>0</v>
      </c>
      <c r="F199" s="318">
        <f t="shared" ref="F199:G199" si="365">IFERROR(AVERAGE(F194:F198),"  ")</f>
        <v>0</v>
      </c>
      <c r="G199" s="318">
        <f t="shared" si="365"/>
        <v>0</v>
      </c>
      <c r="H199" s="323"/>
      <c r="I199" s="317" t="s">
        <v>214</v>
      </c>
      <c r="J199" s="318">
        <f>IFERROR(AVERAGE(J194:J198),"  ")</f>
        <v>0</v>
      </c>
      <c r="K199" s="318">
        <f t="shared" ref="K199:M199" si="366">IFERROR(AVERAGE(K194:K198),"  ")</f>
        <v>0</v>
      </c>
      <c r="L199" s="318">
        <f t="shared" si="366"/>
        <v>0</v>
      </c>
      <c r="M199" s="318">
        <f t="shared" si="366"/>
        <v>0</v>
      </c>
      <c r="N199" s="318">
        <f>IFERROR(AVERAGE(N194:N198),"  ")</f>
        <v>0</v>
      </c>
      <c r="O199" s="597"/>
      <c r="P199" s="317" t="s">
        <v>214</v>
      </c>
      <c r="Q199" s="318">
        <f>IFERROR(AVERAGE(Q194:Q198),"  ")</f>
        <v>0</v>
      </c>
      <c r="R199" s="318">
        <f t="shared" ref="R199:W199" si="367">IFERROR(AVERAGE(R194:R198),"  ")</f>
        <v>0</v>
      </c>
      <c r="S199" s="318">
        <f t="shared" si="367"/>
        <v>0</v>
      </c>
      <c r="T199" s="318">
        <f t="shared" si="367"/>
        <v>0</v>
      </c>
      <c r="U199" s="318">
        <f t="shared" si="367"/>
        <v>0</v>
      </c>
      <c r="V199" s="318">
        <f t="shared" si="367"/>
        <v>0</v>
      </c>
      <c r="W199" s="318">
        <f t="shared" si="367"/>
        <v>0</v>
      </c>
      <c r="X199" s="317" t="s">
        <v>214</v>
      </c>
      <c r="Y199" s="318">
        <f t="shared" ref="Y199:AB199" si="368">IFERROR(AVERAGE(Y194:Y198),"  ")</f>
        <v>0</v>
      </c>
      <c r="Z199" s="318">
        <f t="shared" si="368"/>
        <v>0</v>
      </c>
      <c r="AA199" s="318">
        <f t="shared" si="368"/>
        <v>0</v>
      </c>
      <c r="AB199" s="318">
        <f t="shared" si="368"/>
        <v>0</v>
      </c>
      <c r="AC199" s="317" t="s">
        <v>214</v>
      </c>
      <c r="AD199" s="318">
        <f t="shared" ref="AD199:AH199" si="369">IFERROR(AVERAGE(AD194:AD198),"  ")</f>
        <v>0</v>
      </c>
      <c r="AE199" s="318">
        <f t="shared" si="369"/>
        <v>0</v>
      </c>
      <c r="AF199" s="318">
        <f t="shared" si="369"/>
        <v>0</v>
      </c>
      <c r="AG199" s="318">
        <f t="shared" si="369"/>
        <v>0</v>
      </c>
      <c r="AH199" s="318">
        <f t="shared" si="369"/>
        <v>0</v>
      </c>
      <c r="AI199" s="317" t="s">
        <v>214</v>
      </c>
      <c r="AJ199" s="318">
        <f t="shared" ref="AJ199:AO199" si="370">IFERROR(AVERAGE(AJ194:AJ198),"  ")</f>
        <v>0</v>
      </c>
      <c r="AK199" s="318">
        <f t="shared" si="370"/>
        <v>0</v>
      </c>
      <c r="AL199" s="318">
        <f t="shared" si="370"/>
        <v>0</v>
      </c>
      <c r="AM199" s="318">
        <f t="shared" si="370"/>
        <v>0</v>
      </c>
      <c r="AN199" s="318">
        <f t="shared" si="370"/>
        <v>0</v>
      </c>
      <c r="AO199" s="318">
        <f t="shared" si="370"/>
        <v>0</v>
      </c>
      <c r="AP199" s="317" t="s">
        <v>214</v>
      </c>
      <c r="AQ199" s="318">
        <f t="shared" ref="AQ199:AS199" si="371">IFERROR(AVERAGE(AQ194:AQ198),"  ")</f>
        <v>0</v>
      </c>
      <c r="AR199" s="318">
        <f t="shared" si="371"/>
        <v>0</v>
      </c>
      <c r="AS199" s="318">
        <f t="shared" si="371"/>
        <v>0</v>
      </c>
      <c r="AT199" s="317" t="s">
        <v>214</v>
      </c>
      <c r="AU199" s="318">
        <f t="shared" ref="AU199:AV199" si="372">IFERROR(AVERAGE(AU194:AU198),"  ")</f>
        <v>0</v>
      </c>
      <c r="AV199" s="318">
        <f t="shared" si="372"/>
        <v>0</v>
      </c>
      <c r="AW199" s="317" t="s">
        <v>214</v>
      </c>
      <c r="AX199" s="318">
        <f t="shared" ref="AX199:AZ199" si="373">IFERROR(AVERAGE(AX194:AX198),"  ")</f>
        <v>0</v>
      </c>
      <c r="AY199" s="318">
        <f t="shared" si="373"/>
        <v>0</v>
      </c>
      <c r="AZ199" s="318">
        <f t="shared" si="373"/>
        <v>0</v>
      </c>
    </row>
    <row r="200" spans="1:52" x14ac:dyDescent="0.25">
      <c r="A200" s="599">
        <v>33</v>
      </c>
      <c r="B200" s="608"/>
      <c r="C200" s="292" t="e">
        <f>VLOOKUP(A200,data_siswa,4,FALSE)</f>
        <v>#N/A</v>
      </c>
      <c r="D200" s="316" t="s">
        <v>156</v>
      </c>
      <c r="E200" s="1073"/>
      <c r="F200" s="1073">
        <f>VLOOKUP(A200,AN_PKN6_KI3,13,FALSE)</f>
        <v>0</v>
      </c>
      <c r="G200" s="1073"/>
      <c r="H200" s="324">
        <f>AVERAGE(E200:G200)</f>
        <v>0</v>
      </c>
      <c r="I200" s="316" t="s">
        <v>26</v>
      </c>
      <c r="J200" s="1073"/>
      <c r="K200" s="1073"/>
      <c r="L200" s="1073"/>
      <c r="M200" s="1073">
        <f>VLOOKUP(A200,AN_BI6,19,FALSE)</f>
        <v>0</v>
      </c>
      <c r="N200" s="1073">
        <f>VLOOKUP(A200,AN_BI6,19,FALSE)</f>
        <v>0</v>
      </c>
      <c r="O200" s="545">
        <f>AVERAGE(J200:N200)</f>
        <v>0</v>
      </c>
      <c r="P200" s="316" t="s">
        <v>26</v>
      </c>
      <c r="Q200" s="1073"/>
      <c r="R200" s="1073">
        <f>VLOOKUP(A200,AN_MAT6,16,FALSE)</f>
        <v>0</v>
      </c>
      <c r="S200" s="1073"/>
      <c r="T200" s="1073">
        <f>VLOOKUP(A200,AN_MAT6,16,FALSE)</f>
        <v>0</v>
      </c>
      <c r="U200" s="1073"/>
      <c r="V200" s="1073"/>
      <c r="W200" s="1073"/>
      <c r="X200" s="316" t="s">
        <v>26</v>
      </c>
      <c r="Y200" s="325"/>
      <c r="Z200" s="325"/>
      <c r="AA200" s="325"/>
      <c r="AB200" s="325">
        <f>VLOOKUP(A200,AN_SBDP6,16,FALSE)</f>
        <v>0</v>
      </c>
      <c r="AC200" s="661" t="s">
        <v>156</v>
      </c>
      <c r="AD200" s="325">
        <f>VLOOKUP(A200,AN_SBDP6,16,FALSE)</f>
        <v>0</v>
      </c>
      <c r="AE200" s="325">
        <f>VLOOKUP(A200,AN_SBDP6,16,FALSE)</f>
        <v>0</v>
      </c>
      <c r="AF200" s="325"/>
      <c r="AG200" s="325"/>
      <c r="AH200" s="325">
        <f>VLOOKUP(A200,AN_SBDP6,16,FALSE)</f>
        <v>0</v>
      </c>
      <c r="AI200" s="661" t="s">
        <v>44</v>
      </c>
      <c r="AJ200" s="325"/>
      <c r="AK200" s="325"/>
      <c r="AL200" s="325">
        <f>VLOOKUP(A200,an_agm,51,FALSE)</f>
        <v>0</v>
      </c>
      <c r="AM200" s="325"/>
      <c r="AN200" s="325"/>
      <c r="AO200" s="325"/>
      <c r="AP200" s="315" t="s">
        <v>156</v>
      </c>
      <c r="AQ200" s="325">
        <f>VLOOKUP(A200,UHT_jawa,18,FALSE)</f>
        <v>0</v>
      </c>
      <c r="AR200" s="325"/>
      <c r="AS200" s="325"/>
      <c r="AT200" s="661" t="s">
        <v>44</v>
      </c>
      <c r="AU200" s="325"/>
      <c r="AV200" s="325">
        <f>VLOOKUP(A200,AN_ipa6,16,FALSE)</f>
        <v>0</v>
      </c>
      <c r="AW200" s="661" t="s">
        <v>44</v>
      </c>
      <c r="AX200" s="325"/>
      <c r="AY200" s="325"/>
      <c r="AZ200" s="325">
        <f>VLOOKUP(A200,AN_IPS6,16,FALSE)</f>
        <v>0</v>
      </c>
    </row>
    <row r="201" spans="1:52" x14ac:dyDescent="0.25">
      <c r="A201" s="599"/>
      <c r="B201" s="609"/>
      <c r="C201" s="71"/>
      <c r="D201" s="316" t="s">
        <v>26</v>
      </c>
      <c r="E201" s="1073">
        <f>VLOOKUP(A200,AN_PKN7,12,FALSE)</f>
        <v>0</v>
      </c>
      <c r="F201" s="1073">
        <f>VLOOKUP(A200,AN_PKN7,12,FALSE)</f>
        <v>0</v>
      </c>
      <c r="G201" s="1073">
        <f>VLOOKUP(A200,AN_PKN7,12,FALSE)</f>
        <v>0</v>
      </c>
      <c r="H201" s="324">
        <f>AVERAGE(E201:G201)</f>
        <v>0</v>
      </c>
      <c r="I201" s="316" t="s">
        <v>50</v>
      </c>
      <c r="J201" s="1073">
        <f>VLOOKUP(A200,AN_BI7,21,FALSE)</f>
        <v>0</v>
      </c>
      <c r="K201" s="1073">
        <f>VLOOKUP(A200,AN_BI7,21,FALSE)</f>
        <v>0</v>
      </c>
      <c r="L201" s="1073">
        <f>VLOOKUP(A200,AN_BI7,21,FALSE)</f>
        <v>0</v>
      </c>
      <c r="M201" s="1073">
        <f>VLOOKUP(A200,AN_BI7,21,FALSE)</f>
        <v>0</v>
      </c>
      <c r="N201" s="1073"/>
      <c r="O201" s="545">
        <f t="shared" ref="O201:O203" si="374">AVERAGE(J201:N201)</f>
        <v>0</v>
      </c>
      <c r="P201" s="316" t="s">
        <v>50</v>
      </c>
      <c r="Q201" s="1073"/>
      <c r="R201" s="1073"/>
      <c r="S201" s="1073">
        <f>VLOOKUP(A200,AN_MAT7,16,FALSE)</f>
        <v>0</v>
      </c>
      <c r="T201" s="1073">
        <f>VLOOKUP(A200,AN_MAT7,16,FALSE)</f>
        <v>0</v>
      </c>
      <c r="U201" s="1073">
        <f>VLOOKUP(A200,AN_MAT7,16,FALSE)</f>
        <v>0</v>
      </c>
      <c r="V201" s="1073">
        <f>VLOOKUP(A200,AN_MAT7,16,FALSE)</f>
        <v>0</v>
      </c>
      <c r="W201" s="1073"/>
      <c r="X201" s="316" t="s">
        <v>50</v>
      </c>
      <c r="Y201" s="325">
        <f>VLOOKUP(A200,AN_SBDP7,16,FALSE)</f>
        <v>0</v>
      </c>
      <c r="Z201" s="325">
        <f>VLOOKUP(A200,AN_SBDP7,16,FALSE)</f>
        <v>0</v>
      </c>
      <c r="AA201" s="325"/>
      <c r="AB201" s="325">
        <f>VLOOKUP(A200,AN_SBDP7,16,FALSE)</f>
        <v>0</v>
      </c>
      <c r="AC201" s="661" t="s">
        <v>26</v>
      </c>
      <c r="AD201" s="325"/>
      <c r="AE201" s="325"/>
      <c r="AF201" s="325">
        <f>VLOOKUP(A200,AN_SBDP7,16,FALSE)</f>
        <v>0</v>
      </c>
      <c r="AG201" s="325">
        <f>VLOOKUP(A200,AN_SBDP7,16,FALSE)</f>
        <v>0</v>
      </c>
      <c r="AH201" s="325"/>
      <c r="AI201" s="661" t="s">
        <v>45</v>
      </c>
      <c r="AJ201" s="325">
        <f>VLOOKUP(A200,an_agm,49,FALSE)</f>
        <v>0</v>
      </c>
      <c r="AK201" s="325"/>
      <c r="AL201" s="325"/>
      <c r="AM201" s="325"/>
      <c r="AN201" s="325"/>
      <c r="AO201" s="325"/>
      <c r="AP201" s="315" t="s">
        <v>26</v>
      </c>
      <c r="AQ201" s="325"/>
      <c r="AR201" s="325">
        <f>VLOOKUP(A200,UHT_jawa,19,FALSE)</f>
        <v>0</v>
      </c>
      <c r="AS201" s="325"/>
      <c r="AT201" s="661" t="s">
        <v>45</v>
      </c>
      <c r="AU201" s="325">
        <f>VLOOKUP(A200,AN_IPA7,16,FALSE)</f>
        <v>0</v>
      </c>
      <c r="AV201" s="325">
        <f>VLOOKUP(A200,AN_IPA7,16,FALSE)</f>
        <v>0</v>
      </c>
      <c r="AW201" s="661" t="s">
        <v>45</v>
      </c>
      <c r="AX201" s="325">
        <f>VLOOKUP(A200,an_ips7,16,FALSE)</f>
        <v>0</v>
      </c>
      <c r="AY201" s="325">
        <f>VLOOKUP(A200,an_ips7,16,FALSE)</f>
        <v>0</v>
      </c>
      <c r="AZ201" s="325">
        <f>VLOOKUP(A200,an_ips7,16,FALSE)</f>
        <v>0</v>
      </c>
    </row>
    <row r="202" spans="1:52" x14ac:dyDescent="0.25">
      <c r="A202" s="599"/>
      <c r="B202" s="609"/>
      <c r="C202" s="71"/>
      <c r="D202" s="316" t="s">
        <v>50</v>
      </c>
      <c r="E202" s="1073"/>
      <c r="F202" s="1073">
        <f>VLOOKUP(A200,AN_PKN8,17,FALSE)</f>
        <v>0</v>
      </c>
      <c r="G202" s="1073">
        <f>VLOOKUP(A200,AN_PKN8,17,FALSE)</f>
        <v>0</v>
      </c>
      <c r="H202" s="324">
        <f>AVERAGE(E202:G202)</f>
        <v>0</v>
      </c>
      <c r="I202" s="316" t="s">
        <v>51</v>
      </c>
      <c r="J202" s="1073">
        <f>VLOOKUP(A200,AN_BI8,19,FALSE)</f>
        <v>0</v>
      </c>
      <c r="K202" s="1073"/>
      <c r="L202" s="1073"/>
      <c r="M202" s="1073">
        <f>VLOOKUP(A200,AN_BI8,19,FALSE)</f>
        <v>0</v>
      </c>
      <c r="N202" s="1073"/>
      <c r="O202" s="545">
        <f t="shared" si="374"/>
        <v>0</v>
      </c>
      <c r="P202" s="316" t="s">
        <v>51</v>
      </c>
      <c r="Q202" s="1073">
        <f>VLOOKUP(A200,AN_MAT8,16,FALSE)</f>
        <v>0</v>
      </c>
      <c r="R202" s="1073">
        <f>VLOOKUP(A200,AN_MAT8,16,FALSE)</f>
        <v>0</v>
      </c>
      <c r="S202" s="1073"/>
      <c r="T202" s="1073"/>
      <c r="U202" s="1073"/>
      <c r="V202" s="1073"/>
      <c r="W202" s="1073">
        <f>VLOOKUP(A200,AN_MAT8,16,FALSE)</f>
        <v>0</v>
      </c>
      <c r="X202" s="316" t="s">
        <v>51</v>
      </c>
      <c r="Y202" s="325"/>
      <c r="Z202" s="325">
        <f>VLOOKUP(A200,AN_SBDP8,16,FALSE)</f>
        <v>0</v>
      </c>
      <c r="AA202" s="325"/>
      <c r="AB202" s="325">
        <f>VLOOKUP(A200,AN_SBDP8,16,FALSE)</f>
        <v>0</v>
      </c>
      <c r="AC202" s="661" t="s">
        <v>50</v>
      </c>
      <c r="AD202" s="325"/>
      <c r="AE202" s="325"/>
      <c r="AF202" s="325">
        <f>VLOOKUP(A200,AN_SBDP8,16,FALSE)</f>
        <v>0</v>
      </c>
      <c r="AG202" s="325"/>
      <c r="AH202" s="325">
        <f>VLOOKUP(A200,AN_SBDP8,16,FALSE)</f>
        <v>0</v>
      </c>
      <c r="AI202" s="661" t="s">
        <v>46</v>
      </c>
      <c r="AJ202" s="325"/>
      <c r="AK202" s="325"/>
      <c r="AL202" s="325"/>
      <c r="AM202" s="325">
        <f>VLOOKUP(A200,an_agm,52,FALSE)</f>
        <v>0</v>
      </c>
      <c r="AN202" s="325">
        <f>VLOOKUP(A200,an_agm,53,FALSE)</f>
        <v>0</v>
      </c>
      <c r="AO202" s="325"/>
      <c r="AP202" s="315" t="s">
        <v>50</v>
      </c>
      <c r="AQ202" s="325"/>
      <c r="AR202" s="325"/>
      <c r="AS202" s="325">
        <f>VLOOKUP(A200,UHT_jawa,20,FALSE)</f>
        <v>0</v>
      </c>
      <c r="AT202" s="661" t="s">
        <v>46</v>
      </c>
      <c r="AU202" s="325"/>
      <c r="AV202" s="325">
        <f>VLOOKUP(A200,AN_IPA7,16,FALSE)</f>
        <v>0</v>
      </c>
      <c r="AW202" s="661" t="s">
        <v>46</v>
      </c>
      <c r="AX202" s="325">
        <f>VLOOKUP(A200,AN_ips8,16,FALSE)</f>
        <v>0</v>
      </c>
      <c r="AY202" s="325">
        <f>VLOOKUP(A200,AN_ips8,16,FALSE)</f>
        <v>0</v>
      </c>
      <c r="AZ202" s="325">
        <f>VLOOKUP(A200,AN_ips8,16,FALSE)</f>
        <v>0</v>
      </c>
    </row>
    <row r="203" spans="1:52" x14ac:dyDescent="0.25">
      <c r="A203" s="599"/>
      <c r="B203" s="609"/>
      <c r="C203" s="71"/>
      <c r="D203" s="316" t="s">
        <v>51</v>
      </c>
      <c r="E203" s="325">
        <f>VLOOKUP(A200,AN_PKN9,16,FALSE)</f>
        <v>0</v>
      </c>
      <c r="F203" s="325"/>
      <c r="G203" s="325"/>
      <c r="H203" s="324">
        <f>AVERAGE(E203:G203)</f>
        <v>0</v>
      </c>
      <c r="I203" s="316" t="s">
        <v>52</v>
      </c>
      <c r="J203" s="1073">
        <f>VLOOKUP(A200,AN_BI9,21,FALSE)</f>
        <v>0</v>
      </c>
      <c r="K203" s="1073">
        <f>VLOOKUP(A200,AN_BI9,21,FALSE)</f>
        <v>0</v>
      </c>
      <c r="L203" s="1073">
        <f>VLOOKUP(A200,AN_BI9,21,FALSE)</f>
        <v>0</v>
      </c>
      <c r="M203" s="1073">
        <f>VLOOKUP(A200,AN_BI9,21,FALSE)</f>
        <v>0</v>
      </c>
      <c r="N203" s="1073"/>
      <c r="O203" s="545">
        <f t="shared" si="374"/>
        <v>0</v>
      </c>
      <c r="P203" s="316" t="s">
        <v>52</v>
      </c>
      <c r="Q203" s="1073">
        <f>VLOOKUP(A200,AN_MAT9,16,FALSE)</f>
        <v>0</v>
      </c>
      <c r="R203" s="1073">
        <f>VLOOKUP(A200,AN_MAT9,16,FALSE)</f>
        <v>0</v>
      </c>
      <c r="S203" s="1073">
        <f>VLOOKUP(A200,AN_MAT9,16,FALSE)</f>
        <v>0</v>
      </c>
      <c r="T203" s="1073">
        <f>VLOOKUP(A200,AN_MAT9,16,FALSE)</f>
        <v>0</v>
      </c>
      <c r="U203" s="1073">
        <f>VLOOKUP(A200,AN_MAT9,16,FALSE)</f>
        <v>0</v>
      </c>
      <c r="V203" s="1073">
        <f>VLOOKUP(A200,AN_MAT9,16,FALSE)</f>
        <v>0</v>
      </c>
      <c r="W203" s="1073">
        <f>VLOOKUP(A200,AN_MAT9,16,FALSE)</f>
        <v>0</v>
      </c>
      <c r="X203" s="316" t="s">
        <v>52</v>
      </c>
      <c r="Y203" s="325"/>
      <c r="Z203" s="325">
        <f>VLOOKUP(A200,AN_SBDP9,16,FALSE)</f>
        <v>0</v>
      </c>
      <c r="AA203" s="325">
        <f>VLOOKUP(A200,AN_SBDP9,16,FALSE)</f>
        <v>0</v>
      </c>
      <c r="AB203" s="325"/>
      <c r="AC203" s="661" t="s">
        <v>51</v>
      </c>
      <c r="AD203" s="325"/>
      <c r="AE203" s="325">
        <f>VLOOKUP(A200,AN_SBDP9,16,FALSE)</f>
        <v>0</v>
      </c>
      <c r="AF203" s="325">
        <f>VLOOKUP(A200,AN_SBDP9,16,FALSE)</f>
        <v>0</v>
      </c>
      <c r="AG203" s="325"/>
      <c r="AH203" s="325"/>
      <c r="AI203" s="661" t="s">
        <v>47</v>
      </c>
      <c r="AJ203" s="325"/>
      <c r="AK203" s="325">
        <f>VLOOKUP(A200,an_agm,50,FALSE)</f>
        <v>0</v>
      </c>
      <c r="AL203" s="325"/>
      <c r="AM203" s="325"/>
      <c r="AN203" s="325"/>
      <c r="AO203" s="325"/>
      <c r="AP203" s="315" t="s">
        <v>51</v>
      </c>
      <c r="AQ203" s="325"/>
      <c r="AR203" s="325"/>
      <c r="AS203" s="325"/>
      <c r="AT203" s="661" t="s">
        <v>47</v>
      </c>
      <c r="AU203" s="325"/>
      <c r="AV203" s="325">
        <f>VLOOKUP(A200,an_IPA9,16,FALSE)</f>
        <v>0</v>
      </c>
      <c r="AW203" s="661" t="s">
        <v>47</v>
      </c>
      <c r="AX203" s="325">
        <f>VLOOKUP(A200,AN_IPS_9,16,FALSE)</f>
        <v>0</v>
      </c>
      <c r="AY203" s="325"/>
      <c r="AZ203" s="325">
        <f>VLOOKUP(A200,AN_IPS_9,16,FALSE)</f>
        <v>0</v>
      </c>
    </row>
    <row r="204" spans="1:52" x14ac:dyDescent="0.25">
      <c r="A204" s="599"/>
      <c r="B204" s="609"/>
      <c r="C204" s="71"/>
      <c r="D204" s="316"/>
      <c r="E204" s="1073"/>
      <c r="F204" s="1073"/>
      <c r="G204" s="1073"/>
      <c r="H204" s="1074"/>
      <c r="I204" s="316"/>
      <c r="J204" s="1073"/>
      <c r="K204" s="1073"/>
      <c r="L204" s="1073"/>
      <c r="M204" s="1073"/>
      <c r="N204" s="1073"/>
      <c r="O204" s="1074"/>
      <c r="P204" s="315"/>
      <c r="Q204" s="1073"/>
      <c r="R204" s="1073"/>
      <c r="S204" s="1073"/>
      <c r="T204" s="1073"/>
      <c r="U204" s="1073"/>
      <c r="V204" s="1073"/>
      <c r="W204" s="1073"/>
      <c r="X204" s="315"/>
      <c r="Y204" s="325"/>
      <c r="Z204" s="325"/>
      <c r="AA204" s="325"/>
      <c r="AB204" s="325"/>
      <c r="AC204" s="661"/>
      <c r="AD204" s="1073"/>
      <c r="AE204" s="1073"/>
      <c r="AF204" s="1112"/>
      <c r="AG204" s="1112"/>
      <c r="AH204" s="1112"/>
      <c r="AI204" s="661" t="s">
        <v>48</v>
      </c>
      <c r="AJ204" s="325"/>
      <c r="AK204" s="325"/>
      <c r="AL204" s="325"/>
      <c r="AM204" s="325"/>
      <c r="AN204" s="325"/>
      <c r="AO204" s="325">
        <f>VLOOKUP(A200,an_agm,54,FALSE)</f>
        <v>0</v>
      </c>
      <c r="AP204" s="315"/>
      <c r="AQ204" s="1136"/>
      <c r="AR204" s="1136"/>
      <c r="AS204" s="1136"/>
      <c r="AT204" s="661"/>
      <c r="AU204" s="325"/>
      <c r="AV204" s="325"/>
      <c r="AW204" s="661"/>
      <c r="AX204" s="325"/>
      <c r="AY204" s="325"/>
      <c r="AZ204" s="325"/>
    </row>
    <row r="205" spans="1:52" x14ac:dyDescent="0.25">
      <c r="A205" s="604"/>
      <c r="B205" s="611">
        <v>33</v>
      </c>
      <c r="C205" s="72"/>
      <c r="D205" s="317" t="s">
        <v>214</v>
      </c>
      <c r="E205" s="318">
        <f>IFERROR(AVERAGE(E200:E204),"  ")</f>
        <v>0</v>
      </c>
      <c r="F205" s="318">
        <f t="shared" ref="F205:G205" si="375">IFERROR(AVERAGE(F200:F204),"  ")</f>
        <v>0</v>
      </c>
      <c r="G205" s="318">
        <f t="shared" si="375"/>
        <v>0</v>
      </c>
      <c r="H205" s="323"/>
      <c r="I205" s="317" t="s">
        <v>214</v>
      </c>
      <c r="J205" s="318">
        <f>IFERROR(AVERAGE(J200:J204),"  ")</f>
        <v>0</v>
      </c>
      <c r="K205" s="318">
        <f t="shared" ref="K205:M205" si="376">IFERROR(AVERAGE(K200:K204),"  ")</f>
        <v>0</v>
      </c>
      <c r="L205" s="318">
        <f t="shared" si="376"/>
        <v>0</v>
      </c>
      <c r="M205" s="318">
        <f t="shared" si="376"/>
        <v>0</v>
      </c>
      <c r="N205" s="318">
        <f>IFERROR(AVERAGE(N200:N204),"  ")</f>
        <v>0</v>
      </c>
      <c r="O205" s="597"/>
      <c r="P205" s="317" t="s">
        <v>214</v>
      </c>
      <c r="Q205" s="318">
        <f>IFERROR(AVERAGE(Q200:Q204),"  ")</f>
        <v>0</v>
      </c>
      <c r="R205" s="318">
        <f t="shared" ref="R205:W205" si="377">IFERROR(AVERAGE(R200:R204),"  ")</f>
        <v>0</v>
      </c>
      <c r="S205" s="318">
        <f t="shared" si="377"/>
        <v>0</v>
      </c>
      <c r="T205" s="318">
        <f t="shared" si="377"/>
        <v>0</v>
      </c>
      <c r="U205" s="318">
        <f t="shared" si="377"/>
        <v>0</v>
      </c>
      <c r="V205" s="318">
        <f t="shared" si="377"/>
        <v>0</v>
      </c>
      <c r="W205" s="318">
        <f t="shared" si="377"/>
        <v>0</v>
      </c>
      <c r="X205" s="317" t="s">
        <v>214</v>
      </c>
      <c r="Y205" s="318">
        <f t="shared" ref="Y205:AB205" si="378">IFERROR(AVERAGE(Y200:Y204),"  ")</f>
        <v>0</v>
      </c>
      <c r="Z205" s="318">
        <f t="shared" si="378"/>
        <v>0</v>
      </c>
      <c r="AA205" s="318">
        <f t="shared" si="378"/>
        <v>0</v>
      </c>
      <c r="AB205" s="318">
        <f t="shared" si="378"/>
        <v>0</v>
      </c>
      <c r="AC205" s="317" t="s">
        <v>214</v>
      </c>
      <c r="AD205" s="318">
        <f t="shared" ref="AD205:AH205" si="379">IFERROR(AVERAGE(AD200:AD204),"  ")</f>
        <v>0</v>
      </c>
      <c r="AE205" s="318">
        <f t="shared" si="379"/>
        <v>0</v>
      </c>
      <c r="AF205" s="318">
        <f t="shared" si="379"/>
        <v>0</v>
      </c>
      <c r="AG205" s="318">
        <f t="shared" si="379"/>
        <v>0</v>
      </c>
      <c r="AH205" s="318">
        <f t="shared" si="379"/>
        <v>0</v>
      </c>
      <c r="AI205" s="317" t="s">
        <v>214</v>
      </c>
      <c r="AJ205" s="318">
        <f t="shared" ref="AJ205:AO205" si="380">IFERROR(AVERAGE(AJ200:AJ204),"  ")</f>
        <v>0</v>
      </c>
      <c r="AK205" s="318">
        <f t="shared" si="380"/>
        <v>0</v>
      </c>
      <c r="AL205" s="318">
        <f t="shared" si="380"/>
        <v>0</v>
      </c>
      <c r="AM205" s="318">
        <f t="shared" si="380"/>
        <v>0</v>
      </c>
      <c r="AN205" s="318">
        <f t="shared" si="380"/>
        <v>0</v>
      </c>
      <c r="AO205" s="318">
        <f t="shared" si="380"/>
        <v>0</v>
      </c>
      <c r="AP205" s="317" t="s">
        <v>214</v>
      </c>
      <c r="AQ205" s="318">
        <f t="shared" ref="AQ205:AS205" si="381">IFERROR(AVERAGE(AQ200:AQ204),"  ")</f>
        <v>0</v>
      </c>
      <c r="AR205" s="318">
        <f t="shared" si="381"/>
        <v>0</v>
      </c>
      <c r="AS205" s="318">
        <f t="shared" si="381"/>
        <v>0</v>
      </c>
      <c r="AT205" s="317" t="s">
        <v>214</v>
      </c>
      <c r="AU205" s="318">
        <f t="shared" ref="AU205:AV205" si="382">IFERROR(AVERAGE(AU200:AU204),"  ")</f>
        <v>0</v>
      </c>
      <c r="AV205" s="318">
        <f t="shared" si="382"/>
        <v>0</v>
      </c>
      <c r="AW205" s="317" t="s">
        <v>214</v>
      </c>
      <c r="AX205" s="318">
        <f t="shared" ref="AX205:AZ205" si="383">IFERROR(AVERAGE(AX200:AX204),"  ")</f>
        <v>0</v>
      </c>
      <c r="AY205" s="318">
        <f t="shared" si="383"/>
        <v>0</v>
      </c>
      <c r="AZ205" s="318">
        <f t="shared" si="383"/>
        <v>0</v>
      </c>
    </row>
    <row r="206" spans="1:52" x14ac:dyDescent="0.25">
      <c r="A206" s="599">
        <v>34</v>
      </c>
      <c r="B206" s="608"/>
      <c r="C206" s="292" t="e">
        <f>VLOOKUP(A206,data_siswa,4,FALSE)</f>
        <v>#N/A</v>
      </c>
      <c r="D206" s="316" t="s">
        <v>156</v>
      </c>
      <c r="E206" s="1073"/>
      <c r="F206" s="1073">
        <f>VLOOKUP(A206,AN_PKN6_KI3,13,FALSE)</f>
        <v>0</v>
      </c>
      <c r="G206" s="1073"/>
      <c r="H206" s="324">
        <f>AVERAGE(E206:G206)</f>
        <v>0</v>
      </c>
      <c r="I206" s="316" t="s">
        <v>26</v>
      </c>
      <c r="J206" s="1073"/>
      <c r="K206" s="1073"/>
      <c r="L206" s="1073"/>
      <c r="M206" s="1073">
        <f>VLOOKUP(A206,AN_BI6,19,FALSE)</f>
        <v>0</v>
      </c>
      <c r="N206" s="1073">
        <f>VLOOKUP(A206,AN_BI6,19,FALSE)</f>
        <v>0</v>
      </c>
      <c r="O206" s="545">
        <f>AVERAGE(J206:N206)</f>
        <v>0</v>
      </c>
      <c r="P206" s="316" t="s">
        <v>26</v>
      </c>
      <c r="Q206" s="1073"/>
      <c r="R206" s="1073">
        <f>VLOOKUP(A206,AN_MAT6,16,FALSE)</f>
        <v>0</v>
      </c>
      <c r="S206" s="1073"/>
      <c r="T206" s="1073">
        <f>VLOOKUP(A206,AN_MAT6,16,FALSE)</f>
        <v>0</v>
      </c>
      <c r="U206" s="1073"/>
      <c r="V206" s="1073"/>
      <c r="W206" s="1073"/>
      <c r="X206" s="316" t="s">
        <v>26</v>
      </c>
      <c r="Y206" s="325"/>
      <c r="Z206" s="325"/>
      <c r="AA206" s="325"/>
      <c r="AB206" s="325">
        <f>VLOOKUP(A206,AN_SBDP6,16,FALSE)</f>
        <v>0</v>
      </c>
      <c r="AC206" s="661" t="s">
        <v>156</v>
      </c>
      <c r="AD206" s="325">
        <f>VLOOKUP(A206,AN_SBDP6,16,FALSE)</f>
        <v>0</v>
      </c>
      <c r="AE206" s="325">
        <f>VLOOKUP(A206,AN_SBDP6,16,FALSE)</f>
        <v>0</v>
      </c>
      <c r="AF206" s="325"/>
      <c r="AG206" s="325"/>
      <c r="AH206" s="325">
        <f>VLOOKUP(A206,AN_SBDP6,16,FALSE)</f>
        <v>0</v>
      </c>
      <c r="AI206" s="661" t="s">
        <v>44</v>
      </c>
      <c r="AJ206" s="325"/>
      <c r="AK206" s="325"/>
      <c r="AL206" s="325">
        <f>VLOOKUP(A206,an_agm,51,FALSE)</f>
        <v>0</v>
      </c>
      <c r="AM206" s="325"/>
      <c r="AN206" s="325"/>
      <c r="AO206" s="325"/>
      <c r="AP206" s="315" t="s">
        <v>156</v>
      </c>
      <c r="AQ206" s="325">
        <f>VLOOKUP(A206,UHT_jawa,18,FALSE)</f>
        <v>0</v>
      </c>
      <c r="AR206" s="325"/>
      <c r="AS206" s="325"/>
      <c r="AT206" s="661" t="s">
        <v>44</v>
      </c>
      <c r="AU206" s="325"/>
      <c r="AV206" s="325">
        <f>VLOOKUP(A206,AN_ipa6,16,FALSE)</f>
        <v>0</v>
      </c>
      <c r="AW206" s="661" t="s">
        <v>44</v>
      </c>
      <c r="AX206" s="325"/>
      <c r="AY206" s="325"/>
      <c r="AZ206" s="325">
        <f>VLOOKUP(A206,AN_IPS6,16,FALSE)</f>
        <v>0</v>
      </c>
    </row>
    <row r="207" spans="1:52" x14ac:dyDescent="0.25">
      <c r="A207" s="599"/>
      <c r="B207" s="609"/>
      <c r="C207" s="71"/>
      <c r="D207" s="316" t="s">
        <v>26</v>
      </c>
      <c r="E207" s="1073">
        <f>VLOOKUP(A206,AN_PKN7,12,FALSE)</f>
        <v>0</v>
      </c>
      <c r="F207" s="1073">
        <f>VLOOKUP(A206,AN_PKN7,12,FALSE)</f>
        <v>0</v>
      </c>
      <c r="G207" s="1073">
        <f>VLOOKUP(A206,AN_PKN7,12,FALSE)</f>
        <v>0</v>
      </c>
      <c r="H207" s="324">
        <f>AVERAGE(E207:G207)</f>
        <v>0</v>
      </c>
      <c r="I207" s="316" t="s">
        <v>50</v>
      </c>
      <c r="J207" s="1073">
        <f>VLOOKUP(A206,AN_BI7,21,FALSE)</f>
        <v>0</v>
      </c>
      <c r="K207" s="1073">
        <f>VLOOKUP(A206,AN_BI7,21,FALSE)</f>
        <v>0</v>
      </c>
      <c r="L207" s="1073">
        <f>VLOOKUP(A206,AN_BI7,21,FALSE)</f>
        <v>0</v>
      </c>
      <c r="M207" s="1073">
        <f>VLOOKUP(A206,AN_BI7,21,FALSE)</f>
        <v>0</v>
      </c>
      <c r="N207" s="1073"/>
      <c r="O207" s="545">
        <f t="shared" ref="O207:O209" si="384">AVERAGE(J207:N207)</f>
        <v>0</v>
      </c>
      <c r="P207" s="316" t="s">
        <v>50</v>
      </c>
      <c r="Q207" s="1073"/>
      <c r="R207" s="1073"/>
      <c r="S207" s="1073">
        <f>VLOOKUP(A206,AN_MAT7,16,FALSE)</f>
        <v>0</v>
      </c>
      <c r="T207" s="1073">
        <f>VLOOKUP(A206,AN_MAT7,16,FALSE)</f>
        <v>0</v>
      </c>
      <c r="U207" s="1073">
        <f>VLOOKUP(A206,AN_MAT7,16,FALSE)</f>
        <v>0</v>
      </c>
      <c r="V207" s="1073">
        <f>VLOOKUP(A206,AN_MAT7,16,FALSE)</f>
        <v>0</v>
      </c>
      <c r="W207" s="1073"/>
      <c r="X207" s="316" t="s">
        <v>50</v>
      </c>
      <c r="Y207" s="325">
        <f>VLOOKUP(A206,AN_SBDP7,16,FALSE)</f>
        <v>0</v>
      </c>
      <c r="Z207" s="325">
        <f>VLOOKUP(A206,AN_SBDP7,16,FALSE)</f>
        <v>0</v>
      </c>
      <c r="AA207" s="325"/>
      <c r="AB207" s="325">
        <f>VLOOKUP(A206,AN_SBDP7,16,FALSE)</f>
        <v>0</v>
      </c>
      <c r="AC207" s="661" t="s">
        <v>26</v>
      </c>
      <c r="AD207" s="325"/>
      <c r="AE207" s="325"/>
      <c r="AF207" s="325">
        <f>VLOOKUP(A206,AN_SBDP7,16,FALSE)</f>
        <v>0</v>
      </c>
      <c r="AG207" s="325">
        <f>VLOOKUP(A206,AN_SBDP7,16,FALSE)</f>
        <v>0</v>
      </c>
      <c r="AH207" s="325"/>
      <c r="AI207" s="661" t="s">
        <v>45</v>
      </c>
      <c r="AJ207" s="325">
        <f>VLOOKUP(A206,an_agm,49,FALSE)</f>
        <v>0</v>
      </c>
      <c r="AK207" s="325"/>
      <c r="AL207" s="325"/>
      <c r="AM207" s="325"/>
      <c r="AN207" s="325"/>
      <c r="AO207" s="325"/>
      <c r="AP207" s="315" t="s">
        <v>26</v>
      </c>
      <c r="AQ207" s="325"/>
      <c r="AR207" s="325">
        <f>VLOOKUP(A206,UHT_jawa,19,FALSE)</f>
        <v>0</v>
      </c>
      <c r="AS207" s="325"/>
      <c r="AT207" s="661" t="s">
        <v>45</v>
      </c>
      <c r="AU207" s="325">
        <f>VLOOKUP(A206,AN_IPA7,16,FALSE)</f>
        <v>0</v>
      </c>
      <c r="AV207" s="325">
        <f>VLOOKUP(A206,AN_IPA7,16,FALSE)</f>
        <v>0</v>
      </c>
      <c r="AW207" s="661" t="s">
        <v>45</v>
      </c>
      <c r="AX207" s="325">
        <f>VLOOKUP(A206,an_ips7,16,FALSE)</f>
        <v>0</v>
      </c>
      <c r="AY207" s="325">
        <f>VLOOKUP(A206,an_ips7,16,FALSE)</f>
        <v>0</v>
      </c>
      <c r="AZ207" s="325">
        <f>VLOOKUP(A206,an_ips7,16,FALSE)</f>
        <v>0</v>
      </c>
    </row>
    <row r="208" spans="1:52" x14ac:dyDescent="0.25">
      <c r="A208" s="599"/>
      <c r="B208" s="609"/>
      <c r="C208" s="71"/>
      <c r="D208" s="316" t="s">
        <v>50</v>
      </c>
      <c r="E208" s="1073"/>
      <c r="F208" s="1073">
        <f>VLOOKUP(A206,AN_PKN8,17,FALSE)</f>
        <v>0</v>
      </c>
      <c r="G208" s="1073">
        <f>VLOOKUP(A206,AN_PKN8,17,FALSE)</f>
        <v>0</v>
      </c>
      <c r="H208" s="324">
        <f>AVERAGE(E208:G208)</f>
        <v>0</v>
      </c>
      <c r="I208" s="316" t="s">
        <v>51</v>
      </c>
      <c r="J208" s="1073">
        <f>VLOOKUP(A206,AN_BI8,19,FALSE)</f>
        <v>0</v>
      </c>
      <c r="K208" s="1073"/>
      <c r="L208" s="1073"/>
      <c r="M208" s="1073">
        <f>VLOOKUP(A206,AN_BI8,19,FALSE)</f>
        <v>0</v>
      </c>
      <c r="N208" s="1073"/>
      <c r="O208" s="545">
        <f t="shared" si="384"/>
        <v>0</v>
      </c>
      <c r="P208" s="316" t="s">
        <v>51</v>
      </c>
      <c r="Q208" s="1073">
        <f>VLOOKUP(A206,AN_MAT8,16,FALSE)</f>
        <v>0</v>
      </c>
      <c r="R208" s="1073">
        <f>VLOOKUP(A206,AN_MAT8,16,FALSE)</f>
        <v>0</v>
      </c>
      <c r="S208" s="1073"/>
      <c r="T208" s="1073"/>
      <c r="U208" s="1073"/>
      <c r="V208" s="1073"/>
      <c r="W208" s="1073">
        <f>VLOOKUP(A206,AN_MAT8,16,FALSE)</f>
        <v>0</v>
      </c>
      <c r="X208" s="316" t="s">
        <v>51</v>
      </c>
      <c r="Y208" s="325"/>
      <c r="Z208" s="325">
        <f>VLOOKUP(A206,AN_SBDP8,16,FALSE)</f>
        <v>0</v>
      </c>
      <c r="AA208" s="325"/>
      <c r="AB208" s="325">
        <f>VLOOKUP(A206,AN_SBDP8,16,FALSE)</f>
        <v>0</v>
      </c>
      <c r="AC208" s="661" t="s">
        <v>50</v>
      </c>
      <c r="AD208" s="325"/>
      <c r="AE208" s="325"/>
      <c r="AF208" s="325">
        <f>VLOOKUP(A206,AN_SBDP8,16,FALSE)</f>
        <v>0</v>
      </c>
      <c r="AG208" s="325"/>
      <c r="AH208" s="325">
        <f>VLOOKUP(A206,AN_SBDP8,16,FALSE)</f>
        <v>0</v>
      </c>
      <c r="AI208" s="661" t="s">
        <v>46</v>
      </c>
      <c r="AJ208" s="325"/>
      <c r="AK208" s="325"/>
      <c r="AL208" s="325"/>
      <c r="AM208" s="325">
        <f>VLOOKUP(A206,an_agm,52,FALSE)</f>
        <v>0</v>
      </c>
      <c r="AN208" s="325">
        <f>VLOOKUP(A206,an_agm,53,FALSE)</f>
        <v>0</v>
      </c>
      <c r="AO208" s="325"/>
      <c r="AP208" s="315" t="s">
        <v>50</v>
      </c>
      <c r="AQ208" s="325"/>
      <c r="AR208" s="325"/>
      <c r="AS208" s="325">
        <f>VLOOKUP(A206,UHT_jawa,20,FALSE)</f>
        <v>0</v>
      </c>
      <c r="AT208" s="661" t="s">
        <v>46</v>
      </c>
      <c r="AU208" s="325"/>
      <c r="AV208" s="325">
        <f>VLOOKUP(A206,AN_IPA7,16,FALSE)</f>
        <v>0</v>
      </c>
      <c r="AW208" s="661" t="s">
        <v>46</v>
      </c>
      <c r="AX208" s="325">
        <f>VLOOKUP(A206,AN_ips8,16,FALSE)</f>
        <v>0</v>
      </c>
      <c r="AY208" s="325">
        <f>VLOOKUP(A206,AN_ips8,16,FALSE)</f>
        <v>0</v>
      </c>
      <c r="AZ208" s="325">
        <f>VLOOKUP(A206,AN_ips8,16,FALSE)</f>
        <v>0</v>
      </c>
    </row>
    <row r="209" spans="1:52" x14ac:dyDescent="0.25">
      <c r="A209" s="599"/>
      <c r="B209" s="609"/>
      <c r="C209" s="71"/>
      <c r="D209" s="316" t="s">
        <v>51</v>
      </c>
      <c r="E209" s="325">
        <f>VLOOKUP(A206,AN_PKN9,16,FALSE)</f>
        <v>0</v>
      </c>
      <c r="F209" s="325"/>
      <c r="G209" s="325"/>
      <c r="H209" s="324">
        <f>AVERAGE(E209:G209)</f>
        <v>0</v>
      </c>
      <c r="I209" s="316" t="s">
        <v>52</v>
      </c>
      <c r="J209" s="1073">
        <f>VLOOKUP(A206,AN_BI9,21,FALSE)</f>
        <v>0</v>
      </c>
      <c r="K209" s="1073">
        <f>VLOOKUP(A206,AN_BI9,21,FALSE)</f>
        <v>0</v>
      </c>
      <c r="L209" s="1073">
        <f>VLOOKUP(A206,AN_BI9,21,FALSE)</f>
        <v>0</v>
      </c>
      <c r="M209" s="1073">
        <f>VLOOKUP(A206,AN_BI9,21,FALSE)</f>
        <v>0</v>
      </c>
      <c r="N209" s="1073"/>
      <c r="O209" s="545">
        <f t="shared" si="384"/>
        <v>0</v>
      </c>
      <c r="P209" s="316" t="s">
        <v>52</v>
      </c>
      <c r="Q209" s="1073">
        <f>VLOOKUP(A206,AN_MAT9,16,FALSE)</f>
        <v>0</v>
      </c>
      <c r="R209" s="1073">
        <f>VLOOKUP(A206,AN_MAT9,16,FALSE)</f>
        <v>0</v>
      </c>
      <c r="S209" s="1073">
        <f>VLOOKUP(A206,AN_MAT9,16,FALSE)</f>
        <v>0</v>
      </c>
      <c r="T209" s="1073">
        <f>VLOOKUP(A206,AN_MAT9,16,FALSE)</f>
        <v>0</v>
      </c>
      <c r="U209" s="1073">
        <f>VLOOKUP(A206,AN_MAT9,16,FALSE)</f>
        <v>0</v>
      </c>
      <c r="V209" s="1073">
        <f>VLOOKUP(A206,AN_MAT9,16,FALSE)</f>
        <v>0</v>
      </c>
      <c r="W209" s="1073">
        <f>VLOOKUP(A206,AN_MAT9,16,FALSE)</f>
        <v>0</v>
      </c>
      <c r="X209" s="316" t="s">
        <v>52</v>
      </c>
      <c r="Y209" s="325"/>
      <c r="Z209" s="325">
        <f>VLOOKUP(A206,AN_SBDP9,16,FALSE)</f>
        <v>0</v>
      </c>
      <c r="AA209" s="325">
        <f>VLOOKUP(A206,AN_SBDP9,16,FALSE)</f>
        <v>0</v>
      </c>
      <c r="AB209" s="325"/>
      <c r="AC209" s="661" t="s">
        <v>51</v>
      </c>
      <c r="AD209" s="325"/>
      <c r="AE209" s="325">
        <f>VLOOKUP(A206,AN_SBDP9,16,FALSE)</f>
        <v>0</v>
      </c>
      <c r="AF209" s="325">
        <f>VLOOKUP(A206,AN_SBDP9,16,FALSE)</f>
        <v>0</v>
      </c>
      <c r="AG209" s="325"/>
      <c r="AH209" s="325"/>
      <c r="AI209" s="661" t="s">
        <v>47</v>
      </c>
      <c r="AJ209" s="325"/>
      <c r="AK209" s="325">
        <f>VLOOKUP(A206,an_agm,50,FALSE)</f>
        <v>0</v>
      </c>
      <c r="AL209" s="325"/>
      <c r="AM209" s="325"/>
      <c r="AN209" s="325"/>
      <c r="AO209" s="325"/>
      <c r="AP209" s="315" t="s">
        <v>51</v>
      </c>
      <c r="AQ209" s="325"/>
      <c r="AR209" s="325"/>
      <c r="AS209" s="325"/>
      <c r="AT209" s="661" t="s">
        <v>47</v>
      </c>
      <c r="AU209" s="325"/>
      <c r="AV209" s="325">
        <f>VLOOKUP(A206,an_IPA9,16,FALSE)</f>
        <v>0</v>
      </c>
      <c r="AW209" s="661" t="s">
        <v>47</v>
      </c>
      <c r="AX209" s="325">
        <f>VLOOKUP(A206,AN_IPS_9,16,FALSE)</f>
        <v>0</v>
      </c>
      <c r="AY209" s="325"/>
      <c r="AZ209" s="325">
        <f>VLOOKUP(A206,AN_IPS_9,16,FALSE)</f>
        <v>0</v>
      </c>
    </row>
    <row r="210" spans="1:52" x14ac:dyDescent="0.25">
      <c r="A210" s="599"/>
      <c r="B210" s="609"/>
      <c r="C210" s="71"/>
      <c r="D210" s="316"/>
      <c r="E210" s="1073"/>
      <c r="F210" s="1073"/>
      <c r="G210" s="1073"/>
      <c r="H210" s="1074"/>
      <c r="I210" s="316"/>
      <c r="J210" s="1073"/>
      <c r="K210" s="1073"/>
      <c r="L210" s="1073"/>
      <c r="M210" s="1073"/>
      <c r="N210" s="1073"/>
      <c r="O210" s="1074"/>
      <c r="P210" s="315"/>
      <c r="Q210" s="1073"/>
      <c r="R210" s="1073"/>
      <c r="S210" s="1073"/>
      <c r="T210" s="1073"/>
      <c r="U210" s="1073"/>
      <c r="V210" s="1073"/>
      <c r="W210" s="1073"/>
      <c r="X210" s="315"/>
      <c r="Y210" s="325"/>
      <c r="Z210" s="325"/>
      <c r="AA210" s="325"/>
      <c r="AB210" s="325"/>
      <c r="AC210" s="661"/>
      <c r="AD210" s="1073"/>
      <c r="AE210" s="1073"/>
      <c r="AF210" s="1112"/>
      <c r="AG210" s="1112"/>
      <c r="AH210" s="1112"/>
      <c r="AI210" s="661" t="s">
        <v>48</v>
      </c>
      <c r="AJ210" s="325"/>
      <c r="AK210" s="325"/>
      <c r="AL210" s="325"/>
      <c r="AM210" s="325"/>
      <c r="AN210" s="325"/>
      <c r="AO210" s="325">
        <f>VLOOKUP(A206,an_agm,54,FALSE)</f>
        <v>0</v>
      </c>
      <c r="AP210" s="315"/>
      <c r="AQ210" s="1136"/>
      <c r="AR210" s="1136"/>
      <c r="AS210" s="1136"/>
      <c r="AT210" s="315"/>
      <c r="AU210" s="325"/>
      <c r="AV210" s="325"/>
      <c r="AW210" s="315"/>
      <c r="AX210" s="325"/>
      <c r="AY210" s="325"/>
      <c r="AZ210" s="325"/>
    </row>
    <row r="211" spans="1:52" x14ac:dyDescent="0.25">
      <c r="A211" s="604"/>
      <c r="B211" s="611">
        <v>34</v>
      </c>
      <c r="C211" s="72"/>
      <c r="D211" s="317" t="s">
        <v>214</v>
      </c>
      <c r="E211" s="318">
        <f>IFERROR(AVERAGE(E206:E210),"  ")</f>
        <v>0</v>
      </c>
      <c r="F211" s="318">
        <f t="shared" ref="F211:G211" si="385">IFERROR(AVERAGE(F206:F210),"  ")</f>
        <v>0</v>
      </c>
      <c r="G211" s="318">
        <f t="shared" si="385"/>
        <v>0</v>
      </c>
      <c r="H211" s="323"/>
      <c r="I211" s="317" t="s">
        <v>214</v>
      </c>
      <c r="J211" s="318">
        <f>IFERROR(AVERAGE(J206:J210),"  ")</f>
        <v>0</v>
      </c>
      <c r="K211" s="318">
        <f t="shared" ref="K211:M211" si="386">IFERROR(AVERAGE(K206:K210),"  ")</f>
        <v>0</v>
      </c>
      <c r="L211" s="318">
        <f t="shared" si="386"/>
        <v>0</v>
      </c>
      <c r="M211" s="318">
        <f t="shared" si="386"/>
        <v>0</v>
      </c>
      <c r="N211" s="318">
        <f>IFERROR(AVERAGE(N206:N210),"  ")</f>
        <v>0</v>
      </c>
      <c r="O211" s="597"/>
      <c r="P211" s="317" t="s">
        <v>214</v>
      </c>
      <c r="Q211" s="318">
        <f>IFERROR(AVERAGE(Q206:Q210),"  ")</f>
        <v>0</v>
      </c>
      <c r="R211" s="318">
        <f t="shared" ref="R211:W211" si="387">IFERROR(AVERAGE(R206:R210),"  ")</f>
        <v>0</v>
      </c>
      <c r="S211" s="318">
        <f t="shared" si="387"/>
        <v>0</v>
      </c>
      <c r="T211" s="318">
        <f t="shared" si="387"/>
        <v>0</v>
      </c>
      <c r="U211" s="318">
        <f t="shared" si="387"/>
        <v>0</v>
      </c>
      <c r="V211" s="318">
        <f t="shared" si="387"/>
        <v>0</v>
      </c>
      <c r="W211" s="318">
        <f t="shared" si="387"/>
        <v>0</v>
      </c>
      <c r="X211" s="317" t="s">
        <v>214</v>
      </c>
      <c r="Y211" s="318">
        <f t="shared" ref="Y211:AB211" si="388">IFERROR(AVERAGE(Y206:Y210),"  ")</f>
        <v>0</v>
      </c>
      <c r="Z211" s="318">
        <f t="shared" si="388"/>
        <v>0</v>
      </c>
      <c r="AA211" s="318">
        <f t="shared" si="388"/>
        <v>0</v>
      </c>
      <c r="AB211" s="318">
        <f t="shared" si="388"/>
        <v>0</v>
      </c>
      <c r="AC211" s="317" t="s">
        <v>214</v>
      </c>
      <c r="AD211" s="318">
        <f t="shared" ref="AD211:AH211" si="389">IFERROR(AVERAGE(AD206:AD210),"  ")</f>
        <v>0</v>
      </c>
      <c r="AE211" s="318">
        <f t="shared" si="389"/>
        <v>0</v>
      </c>
      <c r="AF211" s="318">
        <f t="shared" si="389"/>
        <v>0</v>
      </c>
      <c r="AG211" s="318">
        <f t="shared" si="389"/>
        <v>0</v>
      </c>
      <c r="AH211" s="318">
        <f t="shared" si="389"/>
        <v>0</v>
      </c>
      <c r="AI211" s="317" t="s">
        <v>214</v>
      </c>
      <c r="AJ211" s="318">
        <f t="shared" ref="AJ211:AO211" si="390">IFERROR(AVERAGE(AJ206:AJ210),"  ")</f>
        <v>0</v>
      </c>
      <c r="AK211" s="318">
        <f t="shared" si="390"/>
        <v>0</v>
      </c>
      <c r="AL211" s="318">
        <f t="shared" si="390"/>
        <v>0</v>
      </c>
      <c r="AM211" s="318">
        <f t="shared" si="390"/>
        <v>0</v>
      </c>
      <c r="AN211" s="318">
        <f t="shared" si="390"/>
        <v>0</v>
      </c>
      <c r="AO211" s="318">
        <f t="shared" si="390"/>
        <v>0</v>
      </c>
      <c r="AP211" s="317" t="s">
        <v>214</v>
      </c>
      <c r="AQ211" s="318">
        <f t="shared" ref="AQ211:AS211" si="391">IFERROR(AVERAGE(AQ206:AQ210),"  ")</f>
        <v>0</v>
      </c>
      <c r="AR211" s="318">
        <f t="shared" si="391"/>
        <v>0</v>
      </c>
      <c r="AS211" s="318">
        <f t="shared" si="391"/>
        <v>0</v>
      </c>
      <c r="AT211" s="317" t="s">
        <v>214</v>
      </c>
      <c r="AU211" s="318">
        <f t="shared" ref="AU211:AV211" si="392">IFERROR(AVERAGE(AU206:AU210),"  ")</f>
        <v>0</v>
      </c>
      <c r="AV211" s="318">
        <f t="shared" si="392"/>
        <v>0</v>
      </c>
      <c r="AW211" s="317" t="s">
        <v>214</v>
      </c>
      <c r="AX211" s="318">
        <f t="shared" ref="AX211:AZ211" si="393">IFERROR(AVERAGE(AX206:AX210),"  ")</f>
        <v>0</v>
      </c>
      <c r="AY211" s="318">
        <f t="shared" si="393"/>
        <v>0</v>
      </c>
      <c r="AZ211" s="318">
        <f t="shared" si="393"/>
        <v>0</v>
      </c>
    </row>
    <row r="212" spans="1:52" x14ac:dyDescent="0.25">
      <c r="A212" s="599">
        <v>35</v>
      </c>
      <c r="B212" s="608"/>
      <c r="C212" s="292" t="e">
        <f>VLOOKUP(A212,data_siswa,4,FALSE)</f>
        <v>#N/A</v>
      </c>
      <c r="D212" s="316" t="s">
        <v>156</v>
      </c>
      <c r="E212" s="1073"/>
      <c r="F212" s="1073">
        <f>VLOOKUP(A212,AN_PKN6_KI3,13,FALSE)</f>
        <v>0</v>
      </c>
      <c r="G212" s="1073"/>
      <c r="H212" s="324">
        <f>AVERAGE(E212:G212)</f>
        <v>0</v>
      </c>
      <c r="I212" s="316" t="s">
        <v>26</v>
      </c>
      <c r="J212" s="1073"/>
      <c r="K212" s="1073"/>
      <c r="L212" s="1073"/>
      <c r="M212" s="1073">
        <f>VLOOKUP(A212,AN_BI6,19,FALSE)</f>
        <v>0</v>
      </c>
      <c r="N212" s="1073">
        <f>VLOOKUP(A212,AN_BI6,19,FALSE)</f>
        <v>0</v>
      </c>
      <c r="O212" s="545">
        <f>AVERAGE(J212:N212)</f>
        <v>0</v>
      </c>
      <c r="P212" s="316" t="s">
        <v>26</v>
      </c>
      <c r="Q212" s="1073"/>
      <c r="R212" s="1073">
        <f>VLOOKUP(A212,AN_MAT6,16,FALSE)</f>
        <v>0</v>
      </c>
      <c r="S212" s="1073"/>
      <c r="T212" s="1073">
        <f>VLOOKUP(A212,AN_MAT6,16,FALSE)</f>
        <v>0</v>
      </c>
      <c r="U212" s="1073"/>
      <c r="V212" s="1073"/>
      <c r="W212" s="1073"/>
      <c r="X212" s="316" t="s">
        <v>26</v>
      </c>
      <c r="Y212" s="325"/>
      <c r="Z212" s="325"/>
      <c r="AA212" s="325"/>
      <c r="AB212" s="325">
        <f>VLOOKUP(A212,AN_SBDP6,16,FALSE)</f>
        <v>0</v>
      </c>
      <c r="AC212" s="661" t="s">
        <v>156</v>
      </c>
      <c r="AD212" s="325">
        <f>VLOOKUP(A212,AN_SBDP6,16,FALSE)</f>
        <v>0</v>
      </c>
      <c r="AE212" s="325">
        <f>VLOOKUP(A212,AN_SBDP6,16,FALSE)</f>
        <v>0</v>
      </c>
      <c r="AF212" s="325"/>
      <c r="AG212" s="325"/>
      <c r="AH212" s="325">
        <f>VLOOKUP(A212,AN_SBDP6,16,FALSE)</f>
        <v>0</v>
      </c>
      <c r="AI212" s="661" t="s">
        <v>44</v>
      </c>
      <c r="AJ212" s="325"/>
      <c r="AK212" s="325"/>
      <c r="AL212" s="325">
        <f>VLOOKUP(A212,an_agm,51,FALSE)</f>
        <v>0</v>
      </c>
      <c r="AM212" s="325"/>
      <c r="AN212" s="325"/>
      <c r="AO212" s="325"/>
      <c r="AP212" s="315" t="s">
        <v>156</v>
      </c>
      <c r="AQ212" s="325">
        <f>VLOOKUP(A212,UHT_jawa,18,FALSE)</f>
        <v>0</v>
      </c>
      <c r="AR212" s="325"/>
      <c r="AS212" s="325"/>
      <c r="AT212" s="661" t="s">
        <v>44</v>
      </c>
      <c r="AU212" s="325"/>
      <c r="AV212" s="325">
        <f>VLOOKUP(A212,AN_ipa6,16,FALSE)</f>
        <v>0</v>
      </c>
      <c r="AW212" s="661" t="s">
        <v>44</v>
      </c>
      <c r="AX212" s="325"/>
      <c r="AY212" s="325"/>
      <c r="AZ212" s="325">
        <f>VLOOKUP(A212,AN_IPS6,16,FALSE)</f>
        <v>0</v>
      </c>
    </row>
    <row r="213" spans="1:52" x14ac:dyDescent="0.25">
      <c r="A213" s="599"/>
      <c r="B213" s="609"/>
      <c r="C213" s="71"/>
      <c r="D213" s="316" t="s">
        <v>26</v>
      </c>
      <c r="E213" s="1073">
        <f>VLOOKUP(A212,AN_PKN7,12,FALSE)</f>
        <v>0</v>
      </c>
      <c r="F213" s="1073">
        <f>VLOOKUP(A212,AN_PKN7,12,FALSE)</f>
        <v>0</v>
      </c>
      <c r="G213" s="1073">
        <f>VLOOKUP(A212,AN_PKN7,12,FALSE)</f>
        <v>0</v>
      </c>
      <c r="H213" s="324">
        <f>AVERAGE(E213:G213)</f>
        <v>0</v>
      </c>
      <c r="I213" s="316" t="s">
        <v>50</v>
      </c>
      <c r="J213" s="1073">
        <f>VLOOKUP(A212,AN_BI7,21,FALSE)</f>
        <v>0</v>
      </c>
      <c r="K213" s="1073">
        <f>VLOOKUP(A212,AN_BI7,21,FALSE)</f>
        <v>0</v>
      </c>
      <c r="L213" s="1073">
        <f>VLOOKUP(A212,AN_BI7,21,FALSE)</f>
        <v>0</v>
      </c>
      <c r="M213" s="1073">
        <f>VLOOKUP(A212,AN_BI7,21,FALSE)</f>
        <v>0</v>
      </c>
      <c r="N213" s="1073"/>
      <c r="O213" s="545">
        <f t="shared" ref="O213:O215" si="394">AVERAGE(J213:N213)</f>
        <v>0</v>
      </c>
      <c r="P213" s="316" t="s">
        <v>50</v>
      </c>
      <c r="Q213" s="1073"/>
      <c r="R213" s="1073"/>
      <c r="S213" s="1073">
        <f>VLOOKUP(A212,AN_MAT7,16,FALSE)</f>
        <v>0</v>
      </c>
      <c r="T213" s="1073">
        <f>VLOOKUP(A212,AN_MAT7,16,FALSE)</f>
        <v>0</v>
      </c>
      <c r="U213" s="1073">
        <f>VLOOKUP(A212,AN_MAT7,16,FALSE)</f>
        <v>0</v>
      </c>
      <c r="V213" s="1073">
        <f>VLOOKUP(A212,AN_MAT7,16,FALSE)</f>
        <v>0</v>
      </c>
      <c r="W213" s="1073"/>
      <c r="X213" s="316" t="s">
        <v>50</v>
      </c>
      <c r="Y213" s="325">
        <f>VLOOKUP(A212,AN_SBDP7,16,FALSE)</f>
        <v>0</v>
      </c>
      <c r="Z213" s="325">
        <f>VLOOKUP(A212,AN_SBDP7,16,FALSE)</f>
        <v>0</v>
      </c>
      <c r="AA213" s="325"/>
      <c r="AB213" s="325">
        <f>VLOOKUP(A212,AN_SBDP7,16,FALSE)</f>
        <v>0</v>
      </c>
      <c r="AC213" s="661" t="s">
        <v>26</v>
      </c>
      <c r="AD213" s="325"/>
      <c r="AE213" s="325"/>
      <c r="AF213" s="325">
        <f>VLOOKUP(A212,AN_SBDP7,16,FALSE)</f>
        <v>0</v>
      </c>
      <c r="AG213" s="325">
        <f>VLOOKUP(A212,AN_SBDP7,16,FALSE)</f>
        <v>0</v>
      </c>
      <c r="AH213" s="325"/>
      <c r="AI213" s="661" t="s">
        <v>45</v>
      </c>
      <c r="AJ213" s="325">
        <f>VLOOKUP(A212,an_agm,49,FALSE)</f>
        <v>0</v>
      </c>
      <c r="AK213" s="325"/>
      <c r="AL213" s="325"/>
      <c r="AM213" s="325"/>
      <c r="AN213" s="325"/>
      <c r="AO213" s="325"/>
      <c r="AP213" s="315" t="s">
        <v>26</v>
      </c>
      <c r="AQ213" s="325"/>
      <c r="AR213" s="325">
        <f>VLOOKUP(A212,UHT_jawa,19,FALSE)</f>
        <v>0</v>
      </c>
      <c r="AS213" s="325"/>
      <c r="AT213" s="661" t="s">
        <v>45</v>
      </c>
      <c r="AU213" s="325">
        <f>VLOOKUP(A212,AN_IPA7,16,FALSE)</f>
        <v>0</v>
      </c>
      <c r="AV213" s="325">
        <f>VLOOKUP(A212,AN_IPA7,16,FALSE)</f>
        <v>0</v>
      </c>
      <c r="AW213" s="661" t="s">
        <v>45</v>
      </c>
      <c r="AX213" s="325">
        <f>VLOOKUP(A212,an_ips7,16,FALSE)</f>
        <v>0</v>
      </c>
      <c r="AY213" s="325">
        <f>VLOOKUP(A212,an_ips7,16,FALSE)</f>
        <v>0</v>
      </c>
      <c r="AZ213" s="325">
        <f>VLOOKUP(A212,an_ips7,16,FALSE)</f>
        <v>0</v>
      </c>
    </row>
    <row r="214" spans="1:52" x14ac:dyDescent="0.25">
      <c r="A214" s="599"/>
      <c r="B214" s="609"/>
      <c r="C214" s="71"/>
      <c r="D214" s="316" t="s">
        <v>50</v>
      </c>
      <c r="E214" s="1073"/>
      <c r="F214" s="1073">
        <f>VLOOKUP(A212,AN_PKN8,17,FALSE)</f>
        <v>0</v>
      </c>
      <c r="G214" s="1073">
        <f>VLOOKUP(A212,AN_PKN8,17,FALSE)</f>
        <v>0</v>
      </c>
      <c r="H214" s="324">
        <f>AVERAGE(E214:G214)</f>
        <v>0</v>
      </c>
      <c r="I214" s="316" t="s">
        <v>51</v>
      </c>
      <c r="J214" s="1073">
        <f>VLOOKUP(A212,AN_BI8,19,FALSE)</f>
        <v>0</v>
      </c>
      <c r="K214" s="1073"/>
      <c r="L214" s="1073"/>
      <c r="M214" s="1073">
        <f>VLOOKUP(A212,AN_BI8,19,FALSE)</f>
        <v>0</v>
      </c>
      <c r="N214" s="1073"/>
      <c r="O214" s="545">
        <f t="shared" si="394"/>
        <v>0</v>
      </c>
      <c r="P214" s="316" t="s">
        <v>51</v>
      </c>
      <c r="Q214" s="1073">
        <f>VLOOKUP(A212,AN_MAT8,16,FALSE)</f>
        <v>0</v>
      </c>
      <c r="R214" s="1073">
        <f>VLOOKUP(A212,AN_MAT8,16,FALSE)</f>
        <v>0</v>
      </c>
      <c r="S214" s="1073"/>
      <c r="T214" s="1073"/>
      <c r="U214" s="1073"/>
      <c r="V214" s="1073"/>
      <c r="W214" s="1073">
        <f>VLOOKUP(A212,AN_MAT8,16,FALSE)</f>
        <v>0</v>
      </c>
      <c r="X214" s="316" t="s">
        <v>51</v>
      </c>
      <c r="Y214" s="325"/>
      <c r="Z214" s="325">
        <f>VLOOKUP(A212,AN_SBDP8,16,FALSE)</f>
        <v>0</v>
      </c>
      <c r="AA214" s="325"/>
      <c r="AB214" s="325">
        <f>VLOOKUP(A212,AN_SBDP8,16,FALSE)</f>
        <v>0</v>
      </c>
      <c r="AC214" s="661" t="s">
        <v>50</v>
      </c>
      <c r="AD214" s="325"/>
      <c r="AE214" s="325"/>
      <c r="AF214" s="325">
        <f>VLOOKUP(A212,AN_SBDP8,16,FALSE)</f>
        <v>0</v>
      </c>
      <c r="AG214" s="325"/>
      <c r="AH214" s="325">
        <f>VLOOKUP(A212,AN_SBDP8,16,FALSE)</f>
        <v>0</v>
      </c>
      <c r="AI214" s="661" t="s">
        <v>46</v>
      </c>
      <c r="AJ214" s="325"/>
      <c r="AK214" s="325"/>
      <c r="AL214" s="325"/>
      <c r="AM214" s="325">
        <f>VLOOKUP(A212,an_agm,52,FALSE)</f>
        <v>0</v>
      </c>
      <c r="AN214" s="325">
        <f>VLOOKUP(A212,an_agm,53,FALSE)</f>
        <v>0</v>
      </c>
      <c r="AO214" s="325"/>
      <c r="AP214" s="315" t="s">
        <v>50</v>
      </c>
      <c r="AQ214" s="325"/>
      <c r="AR214" s="325"/>
      <c r="AS214" s="325">
        <f>VLOOKUP(A212,UHT_jawa,20,FALSE)</f>
        <v>0</v>
      </c>
      <c r="AT214" s="661" t="s">
        <v>46</v>
      </c>
      <c r="AU214" s="325"/>
      <c r="AV214" s="325">
        <f>VLOOKUP(A212,AN_IPA7,16,FALSE)</f>
        <v>0</v>
      </c>
      <c r="AW214" s="661" t="s">
        <v>46</v>
      </c>
      <c r="AX214" s="325">
        <f>VLOOKUP(A212,AN_ips8,16,FALSE)</f>
        <v>0</v>
      </c>
      <c r="AY214" s="325">
        <f>VLOOKUP(A212,AN_ips8,16,FALSE)</f>
        <v>0</v>
      </c>
      <c r="AZ214" s="325">
        <f>VLOOKUP(A212,AN_ips8,16,FALSE)</f>
        <v>0</v>
      </c>
    </row>
    <row r="215" spans="1:52" x14ac:dyDescent="0.25">
      <c r="A215" s="599"/>
      <c r="B215" s="609"/>
      <c r="C215" s="71"/>
      <c r="D215" s="316" t="s">
        <v>51</v>
      </c>
      <c r="E215" s="325">
        <f>VLOOKUP(A212,AN_PKN9,16,FALSE)</f>
        <v>0</v>
      </c>
      <c r="F215" s="325"/>
      <c r="G215" s="325"/>
      <c r="H215" s="324">
        <f>AVERAGE(E215:G215)</f>
        <v>0</v>
      </c>
      <c r="I215" s="316" t="s">
        <v>52</v>
      </c>
      <c r="J215" s="1073">
        <f>VLOOKUP(A212,AN_BI9,21,FALSE)</f>
        <v>0</v>
      </c>
      <c r="K215" s="1073">
        <f>VLOOKUP(A212,AN_BI9,21,FALSE)</f>
        <v>0</v>
      </c>
      <c r="L215" s="1073">
        <f>VLOOKUP(A212,AN_BI9,21,FALSE)</f>
        <v>0</v>
      </c>
      <c r="M215" s="1073">
        <f>VLOOKUP(A212,AN_BI9,21,FALSE)</f>
        <v>0</v>
      </c>
      <c r="N215" s="1073"/>
      <c r="O215" s="545">
        <f t="shared" si="394"/>
        <v>0</v>
      </c>
      <c r="P215" s="316" t="s">
        <v>52</v>
      </c>
      <c r="Q215" s="1073">
        <f>VLOOKUP(A212,AN_MAT9,16,FALSE)</f>
        <v>0</v>
      </c>
      <c r="R215" s="1073">
        <f>VLOOKUP(A212,AN_MAT9,16,FALSE)</f>
        <v>0</v>
      </c>
      <c r="S215" s="1073">
        <f>VLOOKUP(A212,AN_MAT9,16,FALSE)</f>
        <v>0</v>
      </c>
      <c r="T215" s="1073">
        <f>VLOOKUP(A212,AN_MAT9,16,FALSE)</f>
        <v>0</v>
      </c>
      <c r="U215" s="1073">
        <f>VLOOKUP(A212,AN_MAT9,16,FALSE)</f>
        <v>0</v>
      </c>
      <c r="V215" s="1073">
        <f>VLOOKUP(A212,AN_MAT9,16,FALSE)</f>
        <v>0</v>
      </c>
      <c r="W215" s="1073">
        <f>VLOOKUP(A212,AN_MAT9,16,FALSE)</f>
        <v>0</v>
      </c>
      <c r="X215" s="316" t="s">
        <v>52</v>
      </c>
      <c r="Y215" s="325"/>
      <c r="Z215" s="325">
        <f>VLOOKUP(A212,AN_SBDP9,16,FALSE)</f>
        <v>0</v>
      </c>
      <c r="AA215" s="325">
        <f>VLOOKUP(A212,AN_SBDP9,16,FALSE)</f>
        <v>0</v>
      </c>
      <c r="AB215" s="325"/>
      <c r="AC215" s="661" t="s">
        <v>51</v>
      </c>
      <c r="AD215" s="325"/>
      <c r="AE215" s="325">
        <f>VLOOKUP(A212,AN_SBDP9,16,FALSE)</f>
        <v>0</v>
      </c>
      <c r="AF215" s="325">
        <f>VLOOKUP(A212,AN_SBDP9,16,FALSE)</f>
        <v>0</v>
      </c>
      <c r="AG215" s="325"/>
      <c r="AH215" s="325"/>
      <c r="AI215" s="661" t="s">
        <v>47</v>
      </c>
      <c r="AJ215" s="325"/>
      <c r="AK215" s="325">
        <f>VLOOKUP(A212,an_agm,50,FALSE)</f>
        <v>0</v>
      </c>
      <c r="AL215" s="325"/>
      <c r="AM215" s="325"/>
      <c r="AN215" s="325"/>
      <c r="AO215" s="325"/>
      <c r="AP215" s="315" t="s">
        <v>51</v>
      </c>
      <c r="AQ215" s="325"/>
      <c r="AR215" s="325"/>
      <c r="AS215" s="325"/>
      <c r="AT215" s="661" t="s">
        <v>47</v>
      </c>
      <c r="AU215" s="325"/>
      <c r="AV215" s="325">
        <f>VLOOKUP(A212,an_IPA9,16,FALSE)</f>
        <v>0</v>
      </c>
      <c r="AW215" s="661" t="s">
        <v>47</v>
      </c>
      <c r="AX215" s="325">
        <f>VLOOKUP(A212,AN_IPS_9,16,FALSE)</f>
        <v>0</v>
      </c>
      <c r="AY215" s="325"/>
      <c r="AZ215" s="325">
        <f>VLOOKUP(A212,AN_IPS_9,16,FALSE)</f>
        <v>0</v>
      </c>
    </row>
    <row r="216" spans="1:52" x14ac:dyDescent="0.25">
      <c r="A216" s="599"/>
      <c r="B216" s="609"/>
      <c r="C216" s="71"/>
      <c r="D216" s="316"/>
      <c r="E216" s="1073"/>
      <c r="F216" s="1073"/>
      <c r="G216" s="1073"/>
      <c r="H216" s="1074"/>
      <c r="I216" s="316"/>
      <c r="J216" s="1073"/>
      <c r="K216" s="1073"/>
      <c r="L216" s="1073"/>
      <c r="M216" s="1073"/>
      <c r="N216" s="1073"/>
      <c r="O216" s="1074"/>
      <c r="P216" s="315"/>
      <c r="Q216" s="1073"/>
      <c r="R216" s="1073"/>
      <c r="S216" s="1073"/>
      <c r="T216" s="1073"/>
      <c r="U216" s="1073"/>
      <c r="V216" s="1073"/>
      <c r="W216" s="1073"/>
      <c r="X216" s="315"/>
      <c r="Y216" s="325"/>
      <c r="Z216" s="325"/>
      <c r="AA216" s="325"/>
      <c r="AB216" s="325"/>
      <c r="AC216" s="661"/>
      <c r="AD216" s="1073"/>
      <c r="AE216" s="1073"/>
      <c r="AF216" s="1112"/>
      <c r="AG216" s="1112"/>
      <c r="AH216" s="1112"/>
      <c r="AI216" s="661" t="s">
        <v>48</v>
      </c>
      <c r="AJ216" s="325"/>
      <c r="AK216" s="325"/>
      <c r="AL216" s="325"/>
      <c r="AM216" s="325"/>
      <c r="AN216" s="325"/>
      <c r="AO216" s="325">
        <f>VLOOKUP(A212,an_agm,54,FALSE)</f>
        <v>0</v>
      </c>
      <c r="AP216" s="315"/>
      <c r="AQ216" s="1136"/>
      <c r="AR216" s="1136"/>
      <c r="AS216" s="1136"/>
      <c r="AT216" s="315"/>
      <c r="AU216" s="325"/>
      <c r="AV216" s="325"/>
      <c r="AW216" s="315"/>
      <c r="AX216" s="325"/>
      <c r="AY216" s="325"/>
      <c r="AZ216" s="325"/>
    </row>
    <row r="217" spans="1:52" x14ac:dyDescent="0.25">
      <c r="A217" s="604"/>
      <c r="B217" s="611">
        <v>35</v>
      </c>
      <c r="C217" s="72"/>
      <c r="D217" s="317" t="s">
        <v>214</v>
      </c>
      <c r="E217" s="318">
        <f>IFERROR(AVERAGE(E212:E216),"  ")</f>
        <v>0</v>
      </c>
      <c r="F217" s="318">
        <f t="shared" ref="F217:G217" si="395">IFERROR(AVERAGE(F212:F216),"  ")</f>
        <v>0</v>
      </c>
      <c r="G217" s="318">
        <f t="shared" si="395"/>
        <v>0</v>
      </c>
      <c r="H217" s="323"/>
      <c r="I217" s="317" t="s">
        <v>214</v>
      </c>
      <c r="J217" s="318">
        <f>IFERROR(AVERAGE(J212:J216),"  ")</f>
        <v>0</v>
      </c>
      <c r="K217" s="318">
        <f t="shared" ref="K217:M217" si="396">IFERROR(AVERAGE(K212:K216),"  ")</f>
        <v>0</v>
      </c>
      <c r="L217" s="318">
        <f t="shared" si="396"/>
        <v>0</v>
      </c>
      <c r="M217" s="318">
        <f t="shared" si="396"/>
        <v>0</v>
      </c>
      <c r="N217" s="318">
        <f>IFERROR(AVERAGE(N212:N216),"  ")</f>
        <v>0</v>
      </c>
      <c r="O217" s="597"/>
      <c r="P217" s="317" t="s">
        <v>214</v>
      </c>
      <c r="Q217" s="318">
        <f>IFERROR(AVERAGE(Q212:Q216),"  ")</f>
        <v>0</v>
      </c>
      <c r="R217" s="318">
        <f t="shared" ref="R217:W217" si="397">IFERROR(AVERAGE(R212:R216),"  ")</f>
        <v>0</v>
      </c>
      <c r="S217" s="318">
        <f t="shared" si="397"/>
        <v>0</v>
      </c>
      <c r="T217" s="318">
        <f t="shared" si="397"/>
        <v>0</v>
      </c>
      <c r="U217" s="318">
        <f t="shared" si="397"/>
        <v>0</v>
      </c>
      <c r="V217" s="318">
        <f t="shared" si="397"/>
        <v>0</v>
      </c>
      <c r="W217" s="318">
        <f t="shared" si="397"/>
        <v>0</v>
      </c>
      <c r="X217" s="317" t="s">
        <v>214</v>
      </c>
      <c r="Y217" s="318">
        <f t="shared" ref="Y217:AB217" si="398">IFERROR(AVERAGE(Y212:Y216),"  ")</f>
        <v>0</v>
      </c>
      <c r="Z217" s="318">
        <f t="shared" si="398"/>
        <v>0</v>
      </c>
      <c r="AA217" s="318">
        <f t="shared" si="398"/>
        <v>0</v>
      </c>
      <c r="AB217" s="318">
        <f t="shared" si="398"/>
        <v>0</v>
      </c>
      <c r="AC217" s="317" t="s">
        <v>214</v>
      </c>
      <c r="AD217" s="318">
        <f t="shared" ref="AD217:AH217" si="399">IFERROR(AVERAGE(AD212:AD216),"  ")</f>
        <v>0</v>
      </c>
      <c r="AE217" s="318">
        <f t="shared" si="399"/>
        <v>0</v>
      </c>
      <c r="AF217" s="318">
        <f t="shared" si="399"/>
        <v>0</v>
      </c>
      <c r="AG217" s="318">
        <f t="shared" si="399"/>
        <v>0</v>
      </c>
      <c r="AH217" s="318">
        <f t="shared" si="399"/>
        <v>0</v>
      </c>
      <c r="AI217" s="317" t="s">
        <v>214</v>
      </c>
      <c r="AJ217" s="318">
        <f t="shared" ref="AJ217:AO217" si="400">IFERROR(AVERAGE(AJ212:AJ216),"  ")</f>
        <v>0</v>
      </c>
      <c r="AK217" s="318">
        <f t="shared" si="400"/>
        <v>0</v>
      </c>
      <c r="AL217" s="318">
        <f t="shared" si="400"/>
        <v>0</v>
      </c>
      <c r="AM217" s="318">
        <f t="shared" si="400"/>
        <v>0</v>
      </c>
      <c r="AN217" s="318">
        <f t="shared" si="400"/>
        <v>0</v>
      </c>
      <c r="AO217" s="318">
        <f t="shared" si="400"/>
        <v>0</v>
      </c>
      <c r="AP217" s="317" t="s">
        <v>214</v>
      </c>
      <c r="AQ217" s="318">
        <f t="shared" ref="AQ217:AS217" si="401">IFERROR(AVERAGE(AQ212:AQ216),"  ")</f>
        <v>0</v>
      </c>
      <c r="AR217" s="318">
        <f t="shared" si="401"/>
        <v>0</v>
      </c>
      <c r="AS217" s="318">
        <f t="shared" si="401"/>
        <v>0</v>
      </c>
      <c r="AT217" s="317" t="s">
        <v>214</v>
      </c>
      <c r="AU217" s="318">
        <f t="shared" ref="AU217:AV217" si="402">IFERROR(AVERAGE(AU212:AU216),"  ")</f>
        <v>0</v>
      </c>
      <c r="AV217" s="318">
        <f t="shared" si="402"/>
        <v>0</v>
      </c>
      <c r="AW217" s="317" t="s">
        <v>214</v>
      </c>
      <c r="AX217" s="318">
        <f t="shared" ref="AX217:AZ217" si="403">IFERROR(AVERAGE(AX212:AX216),"  ")</f>
        <v>0</v>
      </c>
      <c r="AY217" s="318">
        <f t="shared" si="403"/>
        <v>0</v>
      </c>
      <c r="AZ217" s="318">
        <f t="shared" si="403"/>
        <v>0</v>
      </c>
    </row>
    <row r="218" spans="1:52" x14ac:dyDescent="0.25">
      <c r="A218" s="599">
        <v>36</v>
      </c>
      <c r="B218" s="608"/>
      <c r="C218" s="292" t="e">
        <f>VLOOKUP(A218,data_siswa,4,FALSE)</f>
        <v>#N/A</v>
      </c>
      <c r="D218" s="316" t="s">
        <v>156</v>
      </c>
      <c r="E218" s="1073"/>
      <c r="F218" s="1073">
        <f>VLOOKUP(A218,AN_PKN6_KI3,13,FALSE)</f>
        <v>0</v>
      </c>
      <c r="G218" s="1073"/>
      <c r="H218" s="324">
        <f>AVERAGE(E218:G218)</f>
        <v>0</v>
      </c>
      <c r="I218" s="316" t="s">
        <v>26</v>
      </c>
      <c r="J218" s="1073"/>
      <c r="K218" s="1073"/>
      <c r="L218" s="1073"/>
      <c r="M218" s="1073">
        <f>VLOOKUP(A218,AN_BI6,19,FALSE)</f>
        <v>0</v>
      </c>
      <c r="N218" s="1073">
        <f>VLOOKUP(A218,AN_BI6,19,FALSE)</f>
        <v>0</v>
      </c>
      <c r="O218" s="545">
        <f>AVERAGE(J218:N218)</f>
        <v>0</v>
      </c>
      <c r="P218" s="316" t="s">
        <v>26</v>
      </c>
      <c r="Q218" s="1073"/>
      <c r="R218" s="1073">
        <f>VLOOKUP(A218,AN_MAT6,16,FALSE)</f>
        <v>0</v>
      </c>
      <c r="S218" s="1073"/>
      <c r="T218" s="1073">
        <f>VLOOKUP(A218,AN_MAT6,16,FALSE)</f>
        <v>0</v>
      </c>
      <c r="U218" s="1073"/>
      <c r="V218" s="1073"/>
      <c r="W218" s="1073"/>
      <c r="X218" s="316" t="s">
        <v>26</v>
      </c>
      <c r="Y218" s="325"/>
      <c r="Z218" s="325"/>
      <c r="AA218" s="325"/>
      <c r="AB218" s="325">
        <f>VLOOKUP(A218,AN_SBDP6,16,FALSE)</f>
        <v>0</v>
      </c>
      <c r="AC218" s="661" t="s">
        <v>156</v>
      </c>
      <c r="AD218" s="325">
        <f>VLOOKUP(A218,AN_SBDP6,16,FALSE)</f>
        <v>0</v>
      </c>
      <c r="AE218" s="325">
        <f>VLOOKUP(A218,AN_SBDP6,16,FALSE)</f>
        <v>0</v>
      </c>
      <c r="AF218" s="325"/>
      <c r="AG218" s="325"/>
      <c r="AH218" s="325">
        <f>VLOOKUP(A218,AN_SBDP6,16,FALSE)</f>
        <v>0</v>
      </c>
      <c r="AI218" s="661" t="s">
        <v>44</v>
      </c>
      <c r="AJ218" s="325"/>
      <c r="AK218" s="325"/>
      <c r="AL218" s="325">
        <f>VLOOKUP(A218,an_agm,51,FALSE)</f>
        <v>0</v>
      </c>
      <c r="AM218" s="325"/>
      <c r="AN218" s="325"/>
      <c r="AO218" s="325"/>
      <c r="AP218" s="315" t="s">
        <v>156</v>
      </c>
      <c r="AQ218" s="325">
        <f>VLOOKUP(A218,UHT_jawa,18,FALSE)</f>
        <v>0</v>
      </c>
      <c r="AR218" s="325"/>
      <c r="AS218" s="325"/>
      <c r="AT218" s="661" t="s">
        <v>44</v>
      </c>
      <c r="AU218" s="325"/>
      <c r="AV218" s="325">
        <f>VLOOKUP(A218,AN_ipa6,16,FALSE)</f>
        <v>0</v>
      </c>
      <c r="AW218" s="661" t="s">
        <v>44</v>
      </c>
      <c r="AX218" s="325"/>
      <c r="AY218" s="325"/>
      <c r="AZ218" s="325">
        <f>VLOOKUP(A218,AN_IPS6,16,FALSE)</f>
        <v>0</v>
      </c>
    </row>
    <row r="219" spans="1:52" x14ac:dyDescent="0.25">
      <c r="A219" s="599"/>
      <c r="B219" s="609"/>
      <c r="C219" s="71"/>
      <c r="D219" s="316" t="s">
        <v>26</v>
      </c>
      <c r="E219" s="1073">
        <f>VLOOKUP(A218,AN_PKN7,12,FALSE)</f>
        <v>0</v>
      </c>
      <c r="F219" s="1073">
        <f>VLOOKUP(A218,AN_PKN7,12,FALSE)</f>
        <v>0</v>
      </c>
      <c r="G219" s="1073">
        <f>VLOOKUP(A218,AN_PKN7,12,FALSE)</f>
        <v>0</v>
      </c>
      <c r="H219" s="324">
        <f>AVERAGE(E219:G219)</f>
        <v>0</v>
      </c>
      <c r="I219" s="316" t="s">
        <v>50</v>
      </c>
      <c r="J219" s="1073">
        <f>VLOOKUP(A218,AN_BI7,21,FALSE)</f>
        <v>0</v>
      </c>
      <c r="K219" s="1073">
        <f>VLOOKUP(A218,AN_BI7,21,FALSE)</f>
        <v>0</v>
      </c>
      <c r="L219" s="1073">
        <f>VLOOKUP(A218,AN_BI7,21,FALSE)</f>
        <v>0</v>
      </c>
      <c r="M219" s="1073">
        <f>VLOOKUP(A218,AN_BI7,21,FALSE)</f>
        <v>0</v>
      </c>
      <c r="N219" s="1073"/>
      <c r="O219" s="545">
        <f t="shared" ref="O219:O221" si="404">AVERAGE(J219:N219)</f>
        <v>0</v>
      </c>
      <c r="P219" s="316" t="s">
        <v>50</v>
      </c>
      <c r="Q219" s="1073"/>
      <c r="R219" s="1073"/>
      <c r="S219" s="1073">
        <f>VLOOKUP(A218,AN_MAT7,16,FALSE)</f>
        <v>0</v>
      </c>
      <c r="T219" s="1073">
        <f>VLOOKUP(A218,AN_MAT7,16,FALSE)</f>
        <v>0</v>
      </c>
      <c r="U219" s="1073">
        <f>VLOOKUP(A218,AN_MAT7,16,FALSE)</f>
        <v>0</v>
      </c>
      <c r="V219" s="1073">
        <f>VLOOKUP(A218,AN_MAT7,16,FALSE)</f>
        <v>0</v>
      </c>
      <c r="W219" s="1073"/>
      <c r="X219" s="316" t="s">
        <v>50</v>
      </c>
      <c r="Y219" s="325">
        <f>VLOOKUP(A218,AN_SBDP7,16,FALSE)</f>
        <v>0</v>
      </c>
      <c r="Z219" s="325">
        <f>VLOOKUP(A218,AN_SBDP7,16,FALSE)</f>
        <v>0</v>
      </c>
      <c r="AA219" s="325"/>
      <c r="AB219" s="325">
        <f>VLOOKUP(A218,AN_SBDP7,16,FALSE)</f>
        <v>0</v>
      </c>
      <c r="AC219" s="661" t="s">
        <v>26</v>
      </c>
      <c r="AD219" s="325"/>
      <c r="AE219" s="325"/>
      <c r="AF219" s="325">
        <f>VLOOKUP(A218,AN_SBDP7,16,FALSE)</f>
        <v>0</v>
      </c>
      <c r="AG219" s="325">
        <f>VLOOKUP(A218,AN_SBDP7,16,FALSE)</f>
        <v>0</v>
      </c>
      <c r="AH219" s="325"/>
      <c r="AI219" s="661" t="s">
        <v>45</v>
      </c>
      <c r="AJ219" s="325">
        <f>VLOOKUP(A218,an_agm,49,FALSE)</f>
        <v>0</v>
      </c>
      <c r="AK219" s="325"/>
      <c r="AL219" s="325"/>
      <c r="AM219" s="325"/>
      <c r="AN219" s="325"/>
      <c r="AO219" s="325"/>
      <c r="AP219" s="315" t="s">
        <v>26</v>
      </c>
      <c r="AQ219" s="325"/>
      <c r="AR219" s="325">
        <f>VLOOKUP(A218,UHT_jawa,19,FALSE)</f>
        <v>0</v>
      </c>
      <c r="AS219" s="325"/>
      <c r="AT219" s="661" t="s">
        <v>45</v>
      </c>
      <c r="AU219" s="325">
        <f>VLOOKUP(A218,AN_IPA7,16,FALSE)</f>
        <v>0</v>
      </c>
      <c r="AV219" s="325">
        <f>VLOOKUP(A218,AN_IPA7,16,FALSE)</f>
        <v>0</v>
      </c>
      <c r="AW219" s="661" t="s">
        <v>45</v>
      </c>
      <c r="AX219" s="325">
        <f>VLOOKUP(A218,an_ips7,16,FALSE)</f>
        <v>0</v>
      </c>
      <c r="AY219" s="325">
        <f>VLOOKUP(A218,an_ips7,16,FALSE)</f>
        <v>0</v>
      </c>
      <c r="AZ219" s="325">
        <f>VLOOKUP(A218,an_ips7,16,FALSE)</f>
        <v>0</v>
      </c>
    </row>
    <row r="220" spans="1:52" x14ac:dyDescent="0.25">
      <c r="A220" s="599"/>
      <c r="B220" s="609"/>
      <c r="C220" s="71"/>
      <c r="D220" s="316" t="s">
        <v>50</v>
      </c>
      <c r="E220" s="1073"/>
      <c r="F220" s="1073">
        <f>VLOOKUP(A218,AN_PKN8,17,FALSE)</f>
        <v>0</v>
      </c>
      <c r="G220" s="1073">
        <f>VLOOKUP(A218,AN_PKN8,17,FALSE)</f>
        <v>0</v>
      </c>
      <c r="H220" s="324">
        <f>AVERAGE(E220:G220)</f>
        <v>0</v>
      </c>
      <c r="I220" s="316" t="s">
        <v>51</v>
      </c>
      <c r="J220" s="1073">
        <f>VLOOKUP(A218,AN_BI8,19,FALSE)</f>
        <v>0</v>
      </c>
      <c r="K220" s="1073"/>
      <c r="L220" s="1073"/>
      <c r="M220" s="1073">
        <f>VLOOKUP(A218,AN_BI8,19,FALSE)</f>
        <v>0</v>
      </c>
      <c r="N220" s="1073"/>
      <c r="O220" s="545">
        <f t="shared" si="404"/>
        <v>0</v>
      </c>
      <c r="P220" s="316" t="s">
        <v>51</v>
      </c>
      <c r="Q220" s="1073">
        <f>VLOOKUP(A218,AN_MAT8,16,FALSE)</f>
        <v>0</v>
      </c>
      <c r="R220" s="1073">
        <f>VLOOKUP(A218,AN_MAT8,16,FALSE)</f>
        <v>0</v>
      </c>
      <c r="S220" s="1073"/>
      <c r="T220" s="1073"/>
      <c r="U220" s="1073"/>
      <c r="V220" s="1073"/>
      <c r="W220" s="1073">
        <f>VLOOKUP(A218,AN_MAT8,16,FALSE)</f>
        <v>0</v>
      </c>
      <c r="X220" s="316" t="s">
        <v>51</v>
      </c>
      <c r="Y220" s="325"/>
      <c r="Z220" s="325">
        <f>VLOOKUP(A218,AN_SBDP8,16,FALSE)</f>
        <v>0</v>
      </c>
      <c r="AA220" s="325"/>
      <c r="AB220" s="325">
        <f>VLOOKUP(A218,AN_SBDP8,16,FALSE)</f>
        <v>0</v>
      </c>
      <c r="AC220" s="661" t="s">
        <v>50</v>
      </c>
      <c r="AD220" s="325"/>
      <c r="AE220" s="325"/>
      <c r="AF220" s="325">
        <f>VLOOKUP(A218,AN_SBDP8,16,FALSE)</f>
        <v>0</v>
      </c>
      <c r="AG220" s="325"/>
      <c r="AH220" s="325">
        <f>VLOOKUP(A218,AN_SBDP8,16,FALSE)</f>
        <v>0</v>
      </c>
      <c r="AI220" s="661" t="s">
        <v>46</v>
      </c>
      <c r="AJ220" s="325"/>
      <c r="AK220" s="325"/>
      <c r="AL220" s="325"/>
      <c r="AM220" s="325">
        <f>VLOOKUP(A218,an_agm,52,FALSE)</f>
        <v>0</v>
      </c>
      <c r="AN220" s="325">
        <f>VLOOKUP(A218,an_agm,53,FALSE)</f>
        <v>0</v>
      </c>
      <c r="AO220" s="325"/>
      <c r="AP220" s="315" t="s">
        <v>50</v>
      </c>
      <c r="AQ220" s="325"/>
      <c r="AR220" s="325"/>
      <c r="AS220" s="325">
        <f>VLOOKUP(A218,UHT_jawa,20,FALSE)</f>
        <v>0</v>
      </c>
      <c r="AT220" s="661" t="s">
        <v>46</v>
      </c>
      <c r="AU220" s="325"/>
      <c r="AV220" s="325">
        <f>VLOOKUP(A218,AN_IPA7,16,FALSE)</f>
        <v>0</v>
      </c>
      <c r="AW220" s="661" t="s">
        <v>46</v>
      </c>
      <c r="AX220" s="325">
        <f>VLOOKUP(A218,AN_ips8,16,FALSE)</f>
        <v>0</v>
      </c>
      <c r="AY220" s="325">
        <f>VLOOKUP(A218,AN_ips8,16,FALSE)</f>
        <v>0</v>
      </c>
      <c r="AZ220" s="325">
        <f>VLOOKUP(A218,AN_ips8,16,FALSE)</f>
        <v>0</v>
      </c>
    </row>
    <row r="221" spans="1:52" x14ac:dyDescent="0.25">
      <c r="A221" s="599"/>
      <c r="B221" s="609"/>
      <c r="C221" s="71"/>
      <c r="D221" s="316" t="s">
        <v>51</v>
      </c>
      <c r="E221" s="325">
        <f>VLOOKUP(A218,AN_PKN9,16,FALSE)</f>
        <v>0</v>
      </c>
      <c r="F221" s="325"/>
      <c r="G221" s="325"/>
      <c r="H221" s="324">
        <f>AVERAGE(E221:G221)</f>
        <v>0</v>
      </c>
      <c r="I221" s="316" t="s">
        <v>52</v>
      </c>
      <c r="J221" s="1073">
        <f>VLOOKUP(A218,AN_BI9,21,FALSE)</f>
        <v>0</v>
      </c>
      <c r="K221" s="1073">
        <f>VLOOKUP(A218,AN_BI9,21,FALSE)</f>
        <v>0</v>
      </c>
      <c r="L221" s="1073">
        <f>VLOOKUP(A218,AN_BI9,21,FALSE)</f>
        <v>0</v>
      </c>
      <c r="M221" s="1073">
        <f>VLOOKUP(A218,AN_BI9,21,FALSE)</f>
        <v>0</v>
      </c>
      <c r="N221" s="1073"/>
      <c r="O221" s="545">
        <f t="shared" si="404"/>
        <v>0</v>
      </c>
      <c r="P221" s="316" t="s">
        <v>52</v>
      </c>
      <c r="Q221" s="1073">
        <f>VLOOKUP(A218,AN_MAT9,16,FALSE)</f>
        <v>0</v>
      </c>
      <c r="R221" s="1073">
        <f>VLOOKUP(A218,AN_MAT9,16,FALSE)</f>
        <v>0</v>
      </c>
      <c r="S221" s="1073">
        <f>VLOOKUP(A218,AN_MAT9,16,FALSE)</f>
        <v>0</v>
      </c>
      <c r="T221" s="1073">
        <f>VLOOKUP(A218,AN_MAT9,16,FALSE)</f>
        <v>0</v>
      </c>
      <c r="U221" s="1073">
        <f>VLOOKUP(A218,AN_MAT9,16,FALSE)</f>
        <v>0</v>
      </c>
      <c r="V221" s="1073">
        <f>VLOOKUP(A218,AN_MAT9,16,FALSE)</f>
        <v>0</v>
      </c>
      <c r="W221" s="1073">
        <f>VLOOKUP(A218,AN_MAT9,16,FALSE)</f>
        <v>0</v>
      </c>
      <c r="X221" s="316" t="s">
        <v>52</v>
      </c>
      <c r="Y221" s="325"/>
      <c r="Z221" s="325">
        <f>VLOOKUP(A218,AN_SBDP9,16,FALSE)</f>
        <v>0</v>
      </c>
      <c r="AA221" s="325">
        <f>VLOOKUP(A218,AN_SBDP9,16,FALSE)</f>
        <v>0</v>
      </c>
      <c r="AB221" s="325"/>
      <c r="AC221" s="661" t="s">
        <v>51</v>
      </c>
      <c r="AD221" s="325"/>
      <c r="AE221" s="325">
        <f>VLOOKUP(A218,AN_SBDP9,16,FALSE)</f>
        <v>0</v>
      </c>
      <c r="AF221" s="325">
        <f>VLOOKUP(A218,AN_SBDP9,16,FALSE)</f>
        <v>0</v>
      </c>
      <c r="AG221" s="325"/>
      <c r="AH221" s="325"/>
      <c r="AI221" s="661" t="s">
        <v>47</v>
      </c>
      <c r="AJ221" s="325"/>
      <c r="AK221" s="325">
        <f>VLOOKUP(A218,an_agm,50,FALSE)</f>
        <v>0</v>
      </c>
      <c r="AL221" s="325"/>
      <c r="AM221" s="325"/>
      <c r="AN221" s="325"/>
      <c r="AO221" s="325"/>
      <c r="AP221" s="315" t="s">
        <v>51</v>
      </c>
      <c r="AQ221" s="325"/>
      <c r="AR221" s="325"/>
      <c r="AS221" s="325"/>
      <c r="AT221" s="661" t="s">
        <v>47</v>
      </c>
      <c r="AU221" s="325"/>
      <c r="AV221" s="325">
        <f>VLOOKUP(A218,an_IPA9,16,FALSE)</f>
        <v>0</v>
      </c>
      <c r="AW221" s="661" t="s">
        <v>47</v>
      </c>
      <c r="AX221" s="325">
        <f>VLOOKUP(A218,AN_IPS_9,16,FALSE)</f>
        <v>0</v>
      </c>
      <c r="AY221" s="325"/>
      <c r="AZ221" s="325">
        <f>VLOOKUP(A218,AN_IPS_9,16,FALSE)</f>
        <v>0</v>
      </c>
    </row>
    <row r="222" spans="1:52" x14ac:dyDescent="0.25">
      <c r="A222" s="599"/>
      <c r="B222" s="609"/>
      <c r="C222" s="71"/>
      <c r="D222" s="316"/>
      <c r="E222" s="1073"/>
      <c r="F222" s="1073"/>
      <c r="G222" s="1073"/>
      <c r="H222" s="1074"/>
      <c r="I222" s="316"/>
      <c r="J222" s="1073"/>
      <c r="K222" s="1073"/>
      <c r="L222" s="1073"/>
      <c r="M222" s="1073"/>
      <c r="N222" s="1073"/>
      <c r="O222" s="1074"/>
      <c r="P222" s="315"/>
      <c r="Q222" s="1073"/>
      <c r="R222" s="1073"/>
      <c r="S222" s="1073"/>
      <c r="T222" s="1073"/>
      <c r="U222" s="1073"/>
      <c r="V222" s="1073"/>
      <c r="W222" s="1073"/>
      <c r="X222" s="315"/>
      <c r="Y222" s="325"/>
      <c r="Z222" s="325"/>
      <c r="AA222" s="325"/>
      <c r="AB222" s="325"/>
      <c r="AC222" s="661"/>
      <c r="AD222" s="1073"/>
      <c r="AE222" s="1073"/>
      <c r="AF222" s="1112"/>
      <c r="AG222" s="1112"/>
      <c r="AH222" s="1112"/>
      <c r="AI222" s="661" t="s">
        <v>48</v>
      </c>
      <c r="AJ222" s="325"/>
      <c r="AK222" s="325"/>
      <c r="AL222" s="325"/>
      <c r="AM222" s="325"/>
      <c r="AN222" s="325"/>
      <c r="AO222" s="325">
        <f>VLOOKUP(A218,an_agm,54,FALSE)</f>
        <v>0</v>
      </c>
      <c r="AP222" s="315"/>
      <c r="AQ222" s="1136"/>
      <c r="AR222" s="1136"/>
      <c r="AS222" s="1136"/>
      <c r="AT222" s="315"/>
      <c r="AU222" s="325"/>
      <c r="AV222" s="325"/>
      <c r="AW222" s="315"/>
      <c r="AX222" s="325"/>
      <c r="AY222" s="325"/>
      <c r="AZ222" s="325"/>
    </row>
    <row r="223" spans="1:52" x14ac:dyDescent="0.25">
      <c r="A223" s="604"/>
      <c r="B223" s="611">
        <v>36</v>
      </c>
      <c r="C223" s="72"/>
      <c r="D223" s="317" t="s">
        <v>214</v>
      </c>
      <c r="E223" s="318">
        <f>IFERROR(AVERAGE(E218:E222),"  ")</f>
        <v>0</v>
      </c>
      <c r="F223" s="318">
        <f t="shared" ref="F223:G223" si="405">IFERROR(AVERAGE(F218:F222),"  ")</f>
        <v>0</v>
      </c>
      <c r="G223" s="318">
        <f t="shared" si="405"/>
        <v>0</v>
      </c>
      <c r="H223" s="323"/>
      <c r="I223" s="317" t="s">
        <v>214</v>
      </c>
      <c r="J223" s="318">
        <f>IFERROR(AVERAGE(J218:J222),"  ")</f>
        <v>0</v>
      </c>
      <c r="K223" s="318">
        <f t="shared" ref="K223:M223" si="406">IFERROR(AVERAGE(K218:K222),"  ")</f>
        <v>0</v>
      </c>
      <c r="L223" s="318">
        <f t="shared" si="406"/>
        <v>0</v>
      </c>
      <c r="M223" s="318">
        <f t="shared" si="406"/>
        <v>0</v>
      </c>
      <c r="N223" s="318">
        <f>IFERROR(AVERAGE(N218:N222),"  ")</f>
        <v>0</v>
      </c>
      <c r="O223" s="597"/>
      <c r="P223" s="317" t="s">
        <v>214</v>
      </c>
      <c r="Q223" s="318">
        <f>IFERROR(AVERAGE(Q218:Q222),"  ")</f>
        <v>0</v>
      </c>
      <c r="R223" s="318">
        <f t="shared" ref="R223:W223" si="407">IFERROR(AVERAGE(R218:R222),"  ")</f>
        <v>0</v>
      </c>
      <c r="S223" s="318">
        <f t="shared" si="407"/>
        <v>0</v>
      </c>
      <c r="T223" s="318">
        <f t="shared" si="407"/>
        <v>0</v>
      </c>
      <c r="U223" s="318">
        <f t="shared" si="407"/>
        <v>0</v>
      </c>
      <c r="V223" s="318">
        <f t="shared" si="407"/>
        <v>0</v>
      </c>
      <c r="W223" s="318">
        <f t="shared" si="407"/>
        <v>0</v>
      </c>
      <c r="X223" s="317" t="s">
        <v>214</v>
      </c>
      <c r="Y223" s="318">
        <f t="shared" ref="Y223:AB223" si="408">IFERROR(AVERAGE(Y218:Y222),"  ")</f>
        <v>0</v>
      </c>
      <c r="Z223" s="318">
        <f t="shared" si="408"/>
        <v>0</v>
      </c>
      <c r="AA223" s="318">
        <f t="shared" si="408"/>
        <v>0</v>
      </c>
      <c r="AB223" s="318">
        <f t="shared" si="408"/>
        <v>0</v>
      </c>
      <c r="AC223" s="317" t="s">
        <v>214</v>
      </c>
      <c r="AD223" s="318">
        <f t="shared" ref="AD223:AH223" si="409">IFERROR(AVERAGE(AD218:AD222),"  ")</f>
        <v>0</v>
      </c>
      <c r="AE223" s="318">
        <f t="shared" si="409"/>
        <v>0</v>
      </c>
      <c r="AF223" s="318">
        <f t="shared" si="409"/>
        <v>0</v>
      </c>
      <c r="AG223" s="318">
        <f t="shared" si="409"/>
        <v>0</v>
      </c>
      <c r="AH223" s="318">
        <f t="shared" si="409"/>
        <v>0</v>
      </c>
      <c r="AI223" s="317" t="s">
        <v>214</v>
      </c>
      <c r="AJ223" s="318">
        <f t="shared" ref="AJ223:AO223" si="410">IFERROR(AVERAGE(AJ218:AJ222),"  ")</f>
        <v>0</v>
      </c>
      <c r="AK223" s="318">
        <f t="shared" si="410"/>
        <v>0</v>
      </c>
      <c r="AL223" s="318">
        <f t="shared" si="410"/>
        <v>0</v>
      </c>
      <c r="AM223" s="318">
        <f t="shared" si="410"/>
        <v>0</v>
      </c>
      <c r="AN223" s="318">
        <f t="shared" si="410"/>
        <v>0</v>
      </c>
      <c r="AO223" s="318">
        <f t="shared" si="410"/>
        <v>0</v>
      </c>
      <c r="AP223" s="317" t="s">
        <v>214</v>
      </c>
      <c r="AQ223" s="318">
        <f t="shared" ref="AQ223:AS223" si="411">IFERROR(AVERAGE(AQ218:AQ222),"  ")</f>
        <v>0</v>
      </c>
      <c r="AR223" s="318">
        <f t="shared" si="411"/>
        <v>0</v>
      </c>
      <c r="AS223" s="318">
        <f t="shared" si="411"/>
        <v>0</v>
      </c>
      <c r="AT223" s="317" t="s">
        <v>214</v>
      </c>
      <c r="AU223" s="318">
        <f t="shared" ref="AU223:AV223" si="412">IFERROR(AVERAGE(AU218:AU222),"  ")</f>
        <v>0</v>
      </c>
      <c r="AV223" s="318">
        <f t="shared" si="412"/>
        <v>0</v>
      </c>
      <c r="AW223" s="317" t="s">
        <v>214</v>
      </c>
      <c r="AX223" s="318">
        <f t="shared" ref="AX223:AZ223" si="413">IFERROR(AVERAGE(AX218:AX222),"  ")</f>
        <v>0</v>
      </c>
      <c r="AY223" s="318">
        <f t="shared" si="413"/>
        <v>0</v>
      </c>
      <c r="AZ223" s="318">
        <f t="shared" si="413"/>
        <v>0</v>
      </c>
    </row>
    <row r="224" spans="1:52" x14ac:dyDescent="0.25">
      <c r="A224" s="599">
        <v>37</v>
      </c>
      <c r="B224" s="608"/>
      <c r="C224" s="292" t="e">
        <f>VLOOKUP(A224,data_siswa,4,FALSE)</f>
        <v>#N/A</v>
      </c>
      <c r="D224" s="316" t="s">
        <v>156</v>
      </c>
      <c r="E224" s="1073"/>
      <c r="F224" s="1073">
        <f>VLOOKUP(A224,AN_PKN6_KI3,13,FALSE)</f>
        <v>0</v>
      </c>
      <c r="G224" s="1073"/>
      <c r="H224" s="324">
        <f>AVERAGE(E224:G224)</f>
        <v>0</v>
      </c>
      <c r="I224" s="316" t="s">
        <v>26</v>
      </c>
      <c r="J224" s="1073"/>
      <c r="K224" s="1073"/>
      <c r="L224" s="1073"/>
      <c r="M224" s="1073">
        <f>VLOOKUP(A224,AN_BI6,19,FALSE)</f>
        <v>0</v>
      </c>
      <c r="N224" s="1073">
        <f>VLOOKUP(A224,AN_BI6,19,FALSE)</f>
        <v>0</v>
      </c>
      <c r="O224" s="545">
        <f>AVERAGE(J224:N224)</f>
        <v>0</v>
      </c>
      <c r="P224" s="316" t="s">
        <v>26</v>
      </c>
      <c r="Q224" s="1073"/>
      <c r="R224" s="1073">
        <f>VLOOKUP(A224,AN_MAT6,16,FALSE)</f>
        <v>0</v>
      </c>
      <c r="S224" s="1073"/>
      <c r="T224" s="1073">
        <f>VLOOKUP(A224,AN_MAT6,16,FALSE)</f>
        <v>0</v>
      </c>
      <c r="U224" s="1073"/>
      <c r="V224" s="1073"/>
      <c r="W224" s="1073"/>
      <c r="X224" s="316" t="s">
        <v>26</v>
      </c>
      <c r="Y224" s="325"/>
      <c r="Z224" s="325"/>
      <c r="AA224" s="325"/>
      <c r="AB224" s="325">
        <f>VLOOKUP(A224,AN_SBDP6,16,FALSE)</f>
        <v>0</v>
      </c>
      <c r="AC224" s="661" t="s">
        <v>156</v>
      </c>
      <c r="AD224" s="325">
        <f>VLOOKUP(A224,AN_SBDP6,16,FALSE)</f>
        <v>0</v>
      </c>
      <c r="AE224" s="325">
        <f>VLOOKUP(A224,AN_SBDP6,16,FALSE)</f>
        <v>0</v>
      </c>
      <c r="AF224" s="325"/>
      <c r="AG224" s="325"/>
      <c r="AH224" s="325">
        <f>VLOOKUP(A224,AN_SBDP6,16,FALSE)</f>
        <v>0</v>
      </c>
      <c r="AI224" s="661" t="s">
        <v>44</v>
      </c>
      <c r="AJ224" s="325"/>
      <c r="AK224" s="325"/>
      <c r="AL224" s="325">
        <f>VLOOKUP(A224,an_agm,51,FALSE)</f>
        <v>0</v>
      </c>
      <c r="AM224" s="325"/>
      <c r="AN224" s="325"/>
      <c r="AO224" s="325"/>
      <c r="AP224" s="315" t="s">
        <v>156</v>
      </c>
      <c r="AQ224" s="325">
        <f>VLOOKUP(A224,UHT_jawa,18,FALSE)</f>
        <v>0</v>
      </c>
      <c r="AR224" s="325"/>
      <c r="AS224" s="325"/>
      <c r="AT224" s="661" t="s">
        <v>44</v>
      </c>
      <c r="AU224" s="325"/>
      <c r="AV224" s="325">
        <f>VLOOKUP(A224,AN_ipa6,16,FALSE)</f>
        <v>0</v>
      </c>
      <c r="AW224" s="661" t="s">
        <v>44</v>
      </c>
      <c r="AX224" s="325"/>
      <c r="AY224" s="325"/>
      <c r="AZ224" s="325">
        <f>VLOOKUP(A224,AN_IPS6,16,FALSE)</f>
        <v>0</v>
      </c>
    </row>
    <row r="225" spans="1:52" x14ac:dyDescent="0.25">
      <c r="A225" s="599"/>
      <c r="B225" s="609"/>
      <c r="C225" s="71"/>
      <c r="D225" s="316" t="s">
        <v>26</v>
      </c>
      <c r="E225" s="1073">
        <f>VLOOKUP(A224,AN_PKN7,12,FALSE)</f>
        <v>0</v>
      </c>
      <c r="F225" s="1073">
        <f>VLOOKUP(A224,AN_PKN7,12,FALSE)</f>
        <v>0</v>
      </c>
      <c r="G225" s="1073">
        <f>VLOOKUP(A224,AN_PKN7,12,FALSE)</f>
        <v>0</v>
      </c>
      <c r="H225" s="324">
        <f>AVERAGE(E225:G225)</f>
        <v>0</v>
      </c>
      <c r="I225" s="316" t="s">
        <v>50</v>
      </c>
      <c r="J225" s="1073">
        <f>VLOOKUP(A224,AN_BI7,21,FALSE)</f>
        <v>0</v>
      </c>
      <c r="K225" s="1073">
        <f>VLOOKUP(A224,AN_BI7,21,FALSE)</f>
        <v>0</v>
      </c>
      <c r="L225" s="1073">
        <f>VLOOKUP(A224,AN_BI7,21,FALSE)</f>
        <v>0</v>
      </c>
      <c r="M225" s="1073">
        <f>VLOOKUP(A224,AN_BI7,21,FALSE)</f>
        <v>0</v>
      </c>
      <c r="N225" s="1073"/>
      <c r="O225" s="545">
        <f t="shared" ref="O225:O227" si="414">AVERAGE(J225:N225)</f>
        <v>0</v>
      </c>
      <c r="P225" s="316" t="s">
        <v>50</v>
      </c>
      <c r="Q225" s="1073"/>
      <c r="R225" s="1073"/>
      <c r="S225" s="1073">
        <f>VLOOKUP(A224,AN_MAT7,16,FALSE)</f>
        <v>0</v>
      </c>
      <c r="T225" s="1073">
        <f>VLOOKUP(A224,AN_MAT7,16,FALSE)</f>
        <v>0</v>
      </c>
      <c r="U225" s="1073">
        <f>VLOOKUP(A224,AN_MAT7,16,FALSE)</f>
        <v>0</v>
      </c>
      <c r="V225" s="1073">
        <f>VLOOKUP(A224,AN_MAT7,16,FALSE)</f>
        <v>0</v>
      </c>
      <c r="W225" s="1073"/>
      <c r="X225" s="316" t="s">
        <v>50</v>
      </c>
      <c r="Y225" s="325">
        <f>VLOOKUP(A224,AN_SBDP7,16,FALSE)</f>
        <v>0</v>
      </c>
      <c r="Z225" s="325">
        <f>VLOOKUP(A224,AN_SBDP7,16,FALSE)</f>
        <v>0</v>
      </c>
      <c r="AA225" s="325"/>
      <c r="AB225" s="325">
        <f>VLOOKUP(A224,AN_SBDP7,16,FALSE)</f>
        <v>0</v>
      </c>
      <c r="AC225" s="661" t="s">
        <v>26</v>
      </c>
      <c r="AD225" s="325"/>
      <c r="AE225" s="325"/>
      <c r="AF225" s="325">
        <f>VLOOKUP(A224,AN_SBDP7,16,FALSE)</f>
        <v>0</v>
      </c>
      <c r="AG225" s="325">
        <f>VLOOKUP(A224,AN_SBDP7,16,FALSE)</f>
        <v>0</v>
      </c>
      <c r="AH225" s="325"/>
      <c r="AI225" s="661" t="s">
        <v>45</v>
      </c>
      <c r="AJ225" s="325">
        <f>VLOOKUP(A224,an_agm,49,FALSE)</f>
        <v>0</v>
      </c>
      <c r="AK225" s="325"/>
      <c r="AL225" s="325"/>
      <c r="AM225" s="325"/>
      <c r="AN225" s="325"/>
      <c r="AO225" s="325"/>
      <c r="AP225" s="315" t="s">
        <v>26</v>
      </c>
      <c r="AQ225" s="325"/>
      <c r="AR225" s="325">
        <f>VLOOKUP(A224,UHT_jawa,19,FALSE)</f>
        <v>0</v>
      </c>
      <c r="AS225" s="325"/>
      <c r="AT225" s="661" t="s">
        <v>45</v>
      </c>
      <c r="AU225" s="325">
        <f>VLOOKUP(A224,AN_IPA7,16,FALSE)</f>
        <v>0</v>
      </c>
      <c r="AV225" s="325">
        <f>VLOOKUP(A224,AN_IPA7,16,FALSE)</f>
        <v>0</v>
      </c>
      <c r="AW225" s="661" t="s">
        <v>45</v>
      </c>
      <c r="AX225" s="325">
        <f>VLOOKUP(A224,an_ips7,16,FALSE)</f>
        <v>0</v>
      </c>
      <c r="AY225" s="325">
        <f>VLOOKUP(A224,an_ips7,16,FALSE)</f>
        <v>0</v>
      </c>
      <c r="AZ225" s="325">
        <f>VLOOKUP(A224,an_ips7,16,FALSE)</f>
        <v>0</v>
      </c>
    </row>
    <row r="226" spans="1:52" x14ac:dyDescent="0.25">
      <c r="A226" s="599"/>
      <c r="B226" s="609"/>
      <c r="C226" s="71"/>
      <c r="D226" s="316" t="s">
        <v>50</v>
      </c>
      <c r="E226" s="1073"/>
      <c r="F226" s="1073">
        <f>VLOOKUP(A224,AN_PKN8,17,FALSE)</f>
        <v>0</v>
      </c>
      <c r="G226" s="1073">
        <f>VLOOKUP(A224,AN_PKN8,17,FALSE)</f>
        <v>0</v>
      </c>
      <c r="H226" s="324">
        <f>AVERAGE(E226:G226)</f>
        <v>0</v>
      </c>
      <c r="I226" s="316" t="s">
        <v>51</v>
      </c>
      <c r="J226" s="1073">
        <f>VLOOKUP(A224,AN_BI8,19,FALSE)</f>
        <v>0</v>
      </c>
      <c r="K226" s="1073"/>
      <c r="L226" s="1073"/>
      <c r="M226" s="1073">
        <f>VLOOKUP(A224,AN_BI8,19,FALSE)</f>
        <v>0</v>
      </c>
      <c r="N226" s="1073"/>
      <c r="O226" s="545">
        <f t="shared" si="414"/>
        <v>0</v>
      </c>
      <c r="P226" s="316" t="s">
        <v>51</v>
      </c>
      <c r="Q226" s="1073">
        <f>VLOOKUP(A224,AN_MAT8,16,FALSE)</f>
        <v>0</v>
      </c>
      <c r="R226" s="1073">
        <f>VLOOKUP(A224,AN_MAT8,16,FALSE)</f>
        <v>0</v>
      </c>
      <c r="S226" s="1073"/>
      <c r="T226" s="1073"/>
      <c r="U226" s="1073"/>
      <c r="V226" s="1073"/>
      <c r="W226" s="1073">
        <f>VLOOKUP(A224,AN_MAT8,16,FALSE)</f>
        <v>0</v>
      </c>
      <c r="X226" s="316" t="s">
        <v>51</v>
      </c>
      <c r="Y226" s="325"/>
      <c r="Z226" s="325">
        <f>VLOOKUP(A224,AN_SBDP8,16,FALSE)</f>
        <v>0</v>
      </c>
      <c r="AA226" s="325"/>
      <c r="AB226" s="325">
        <f>VLOOKUP(A224,AN_SBDP8,16,FALSE)</f>
        <v>0</v>
      </c>
      <c r="AC226" s="661" t="s">
        <v>50</v>
      </c>
      <c r="AD226" s="325"/>
      <c r="AE226" s="325"/>
      <c r="AF226" s="325">
        <f>VLOOKUP(A224,AN_SBDP8,16,FALSE)</f>
        <v>0</v>
      </c>
      <c r="AG226" s="325"/>
      <c r="AH226" s="325">
        <f>VLOOKUP(A224,AN_SBDP8,16,FALSE)</f>
        <v>0</v>
      </c>
      <c r="AI226" s="661" t="s">
        <v>46</v>
      </c>
      <c r="AJ226" s="325"/>
      <c r="AK226" s="325"/>
      <c r="AL226" s="325"/>
      <c r="AM226" s="325">
        <f>VLOOKUP(A224,an_agm,52,FALSE)</f>
        <v>0</v>
      </c>
      <c r="AN226" s="325">
        <f>VLOOKUP(A224,an_agm,53,FALSE)</f>
        <v>0</v>
      </c>
      <c r="AO226" s="325"/>
      <c r="AP226" s="315" t="s">
        <v>50</v>
      </c>
      <c r="AQ226" s="325"/>
      <c r="AR226" s="325"/>
      <c r="AS226" s="325">
        <f>VLOOKUP(A224,UHT_jawa,20,FALSE)</f>
        <v>0</v>
      </c>
      <c r="AT226" s="661" t="s">
        <v>46</v>
      </c>
      <c r="AU226" s="325"/>
      <c r="AV226" s="325">
        <f>VLOOKUP(A224,AN_IPA7,16,FALSE)</f>
        <v>0</v>
      </c>
      <c r="AW226" s="661" t="s">
        <v>46</v>
      </c>
      <c r="AX226" s="325">
        <f>VLOOKUP(A224,AN_ips8,16,FALSE)</f>
        <v>0</v>
      </c>
      <c r="AY226" s="325">
        <f>VLOOKUP(A224,AN_ips8,16,FALSE)</f>
        <v>0</v>
      </c>
      <c r="AZ226" s="325">
        <f>VLOOKUP(A224,AN_ips8,16,FALSE)</f>
        <v>0</v>
      </c>
    </row>
    <row r="227" spans="1:52" x14ac:dyDescent="0.25">
      <c r="A227" s="599"/>
      <c r="B227" s="609"/>
      <c r="C227" s="71"/>
      <c r="D227" s="316" t="s">
        <v>51</v>
      </c>
      <c r="E227" s="325">
        <f>VLOOKUP(A224,AN_PKN9,16,FALSE)</f>
        <v>0</v>
      </c>
      <c r="F227" s="325"/>
      <c r="G227" s="325"/>
      <c r="H227" s="324">
        <f>AVERAGE(E227:G227)</f>
        <v>0</v>
      </c>
      <c r="I227" s="316" t="s">
        <v>52</v>
      </c>
      <c r="J227" s="1073">
        <f>VLOOKUP(A224,AN_BI9,21,FALSE)</f>
        <v>0</v>
      </c>
      <c r="K227" s="1073">
        <f>VLOOKUP(A224,AN_BI9,21,FALSE)</f>
        <v>0</v>
      </c>
      <c r="L227" s="1073">
        <f>VLOOKUP(A224,AN_BI9,21,FALSE)</f>
        <v>0</v>
      </c>
      <c r="M227" s="1073">
        <f>VLOOKUP(A224,AN_BI9,21,FALSE)</f>
        <v>0</v>
      </c>
      <c r="N227" s="1073"/>
      <c r="O227" s="545">
        <f t="shared" si="414"/>
        <v>0</v>
      </c>
      <c r="P227" s="316" t="s">
        <v>52</v>
      </c>
      <c r="Q227" s="1073">
        <f>VLOOKUP(A224,AN_MAT9,16,FALSE)</f>
        <v>0</v>
      </c>
      <c r="R227" s="1073">
        <f>VLOOKUP(A224,AN_MAT9,16,FALSE)</f>
        <v>0</v>
      </c>
      <c r="S227" s="1073">
        <f>VLOOKUP(A224,AN_MAT9,16,FALSE)</f>
        <v>0</v>
      </c>
      <c r="T227" s="1073">
        <f>VLOOKUP(A224,AN_MAT9,16,FALSE)</f>
        <v>0</v>
      </c>
      <c r="U227" s="1073">
        <f>VLOOKUP(A224,AN_MAT9,16,FALSE)</f>
        <v>0</v>
      </c>
      <c r="V227" s="1073">
        <f>VLOOKUP(A224,AN_MAT9,16,FALSE)</f>
        <v>0</v>
      </c>
      <c r="W227" s="1073">
        <f>VLOOKUP(A224,AN_MAT9,16,FALSE)</f>
        <v>0</v>
      </c>
      <c r="X227" s="316" t="s">
        <v>52</v>
      </c>
      <c r="Y227" s="325"/>
      <c r="Z227" s="325">
        <f>VLOOKUP(A224,AN_SBDP9,16,FALSE)</f>
        <v>0</v>
      </c>
      <c r="AA227" s="325">
        <f>VLOOKUP(A224,AN_SBDP9,16,FALSE)</f>
        <v>0</v>
      </c>
      <c r="AB227" s="325"/>
      <c r="AC227" s="661" t="s">
        <v>51</v>
      </c>
      <c r="AD227" s="325"/>
      <c r="AE227" s="325">
        <f>VLOOKUP(A224,AN_SBDP9,16,FALSE)</f>
        <v>0</v>
      </c>
      <c r="AF227" s="325">
        <f>VLOOKUP(A224,AN_SBDP9,16,FALSE)</f>
        <v>0</v>
      </c>
      <c r="AG227" s="325"/>
      <c r="AH227" s="325"/>
      <c r="AI227" s="661" t="s">
        <v>47</v>
      </c>
      <c r="AJ227" s="325"/>
      <c r="AK227" s="325">
        <f>VLOOKUP(A224,an_agm,50,FALSE)</f>
        <v>0</v>
      </c>
      <c r="AL227" s="325"/>
      <c r="AM227" s="325"/>
      <c r="AN227" s="325"/>
      <c r="AO227" s="325"/>
      <c r="AP227" s="315" t="s">
        <v>51</v>
      </c>
      <c r="AQ227" s="325"/>
      <c r="AR227" s="325"/>
      <c r="AS227" s="325"/>
      <c r="AT227" s="661" t="s">
        <v>47</v>
      </c>
      <c r="AU227" s="325"/>
      <c r="AV227" s="325">
        <f>VLOOKUP(A224,an_IPA9,16,FALSE)</f>
        <v>0</v>
      </c>
      <c r="AW227" s="661" t="s">
        <v>47</v>
      </c>
      <c r="AX227" s="325">
        <f>VLOOKUP(A224,AN_IPS_9,16,FALSE)</f>
        <v>0</v>
      </c>
      <c r="AY227" s="325"/>
      <c r="AZ227" s="325">
        <f>VLOOKUP(A224,AN_IPS_9,16,FALSE)</f>
        <v>0</v>
      </c>
    </row>
    <row r="228" spans="1:52" x14ac:dyDescent="0.25">
      <c r="A228" s="599"/>
      <c r="B228" s="609"/>
      <c r="C228" s="71"/>
      <c r="D228" s="316"/>
      <c r="E228" s="1073"/>
      <c r="F228" s="1073"/>
      <c r="G228" s="1073"/>
      <c r="H228" s="1074"/>
      <c r="I228" s="316"/>
      <c r="J228" s="1073"/>
      <c r="K228" s="1073"/>
      <c r="L228" s="1073"/>
      <c r="M228" s="1073"/>
      <c r="N228" s="1073"/>
      <c r="O228" s="1074"/>
      <c r="P228" s="315"/>
      <c r="Q228" s="1073"/>
      <c r="R228" s="1073"/>
      <c r="S228" s="1073"/>
      <c r="T228" s="1073"/>
      <c r="U228" s="1073"/>
      <c r="V228" s="1073"/>
      <c r="W228" s="1073"/>
      <c r="X228" s="315"/>
      <c r="Y228" s="325"/>
      <c r="Z228" s="325"/>
      <c r="AA228" s="325"/>
      <c r="AB228" s="325"/>
      <c r="AC228" s="661"/>
      <c r="AD228" s="1073"/>
      <c r="AE228" s="1073"/>
      <c r="AF228" s="1112"/>
      <c r="AG228" s="1112"/>
      <c r="AH228" s="1112"/>
      <c r="AI228" s="661" t="s">
        <v>48</v>
      </c>
      <c r="AJ228" s="325"/>
      <c r="AK228" s="325"/>
      <c r="AL228" s="325"/>
      <c r="AM228" s="325"/>
      <c r="AN228" s="325"/>
      <c r="AO228" s="325">
        <f>VLOOKUP(A224,an_agm,54,FALSE)</f>
        <v>0</v>
      </c>
      <c r="AP228" s="315"/>
      <c r="AQ228" s="1136"/>
      <c r="AR228" s="1136"/>
      <c r="AS228" s="1136"/>
      <c r="AT228" s="315"/>
      <c r="AU228" s="325"/>
      <c r="AV228" s="325"/>
      <c r="AW228" s="315"/>
      <c r="AX228" s="325"/>
      <c r="AY228" s="325"/>
      <c r="AZ228" s="325"/>
    </row>
    <row r="229" spans="1:52" x14ac:dyDescent="0.25">
      <c r="A229" s="604"/>
      <c r="B229" s="611">
        <v>37</v>
      </c>
      <c r="C229" s="72"/>
      <c r="D229" s="317" t="s">
        <v>214</v>
      </c>
      <c r="E229" s="318">
        <f>IFERROR(AVERAGE(E224:E228),"  ")</f>
        <v>0</v>
      </c>
      <c r="F229" s="318">
        <f t="shared" ref="F229:G229" si="415">IFERROR(AVERAGE(F224:F228),"  ")</f>
        <v>0</v>
      </c>
      <c r="G229" s="318">
        <f t="shared" si="415"/>
        <v>0</v>
      </c>
      <c r="H229" s="323"/>
      <c r="I229" s="317" t="s">
        <v>214</v>
      </c>
      <c r="J229" s="318">
        <f>IFERROR(AVERAGE(J224:J228),"  ")</f>
        <v>0</v>
      </c>
      <c r="K229" s="318">
        <f t="shared" ref="K229:M229" si="416">IFERROR(AVERAGE(K224:K228),"  ")</f>
        <v>0</v>
      </c>
      <c r="L229" s="318">
        <f t="shared" si="416"/>
        <v>0</v>
      </c>
      <c r="M229" s="318">
        <f t="shared" si="416"/>
        <v>0</v>
      </c>
      <c r="N229" s="318">
        <f>IFERROR(AVERAGE(N224:N228),"  ")</f>
        <v>0</v>
      </c>
      <c r="O229" s="597"/>
      <c r="P229" s="317" t="s">
        <v>214</v>
      </c>
      <c r="Q229" s="318">
        <f>IFERROR(AVERAGE(Q224:Q228),"  ")</f>
        <v>0</v>
      </c>
      <c r="R229" s="318">
        <f t="shared" ref="R229:W229" si="417">IFERROR(AVERAGE(R224:R228),"  ")</f>
        <v>0</v>
      </c>
      <c r="S229" s="318">
        <f t="shared" si="417"/>
        <v>0</v>
      </c>
      <c r="T229" s="318">
        <f t="shared" si="417"/>
        <v>0</v>
      </c>
      <c r="U229" s="318">
        <f t="shared" si="417"/>
        <v>0</v>
      </c>
      <c r="V229" s="318">
        <f t="shared" si="417"/>
        <v>0</v>
      </c>
      <c r="W229" s="318">
        <f t="shared" si="417"/>
        <v>0</v>
      </c>
      <c r="X229" s="317" t="s">
        <v>214</v>
      </c>
      <c r="Y229" s="318">
        <f t="shared" ref="Y229:AB229" si="418">IFERROR(AVERAGE(Y224:Y228),"  ")</f>
        <v>0</v>
      </c>
      <c r="Z229" s="318">
        <f t="shared" si="418"/>
        <v>0</v>
      </c>
      <c r="AA229" s="318">
        <f t="shared" si="418"/>
        <v>0</v>
      </c>
      <c r="AB229" s="318">
        <f t="shared" si="418"/>
        <v>0</v>
      </c>
      <c r="AC229" s="317" t="s">
        <v>214</v>
      </c>
      <c r="AD229" s="318">
        <f t="shared" ref="AD229:AH229" si="419">IFERROR(AVERAGE(AD224:AD228),"  ")</f>
        <v>0</v>
      </c>
      <c r="AE229" s="318">
        <f t="shared" si="419"/>
        <v>0</v>
      </c>
      <c r="AF229" s="318">
        <f t="shared" si="419"/>
        <v>0</v>
      </c>
      <c r="AG229" s="318">
        <f t="shared" si="419"/>
        <v>0</v>
      </c>
      <c r="AH229" s="318">
        <f t="shared" si="419"/>
        <v>0</v>
      </c>
      <c r="AI229" s="317" t="s">
        <v>214</v>
      </c>
      <c r="AJ229" s="318">
        <f t="shared" ref="AJ229:AO229" si="420">IFERROR(AVERAGE(AJ224:AJ228),"  ")</f>
        <v>0</v>
      </c>
      <c r="AK229" s="318">
        <f t="shared" si="420"/>
        <v>0</v>
      </c>
      <c r="AL229" s="318">
        <f t="shared" si="420"/>
        <v>0</v>
      </c>
      <c r="AM229" s="318">
        <f t="shared" si="420"/>
        <v>0</v>
      </c>
      <c r="AN229" s="318">
        <f t="shared" si="420"/>
        <v>0</v>
      </c>
      <c r="AO229" s="318">
        <f t="shared" si="420"/>
        <v>0</v>
      </c>
      <c r="AP229" s="317" t="s">
        <v>214</v>
      </c>
      <c r="AQ229" s="318">
        <f t="shared" ref="AQ229:AS229" si="421">IFERROR(AVERAGE(AQ224:AQ228),"  ")</f>
        <v>0</v>
      </c>
      <c r="AR229" s="318">
        <f t="shared" si="421"/>
        <v>0</v>
      </c>
      <c r="AS229" s="318">
        <f t="shared" si="421"/>
        <v>0</v>
      </c>
      <c r="AT229" s="317" t="s">
        <v>214</v>
      </c>
      <c r="AU229" s="318">
        <f t="shared" ref="AU229:AV229" si="422">IFERROR(AVERAGE(AU224:AU228),"  ")</f>
        <v>0</v>
      </c>
      <c r="AV229" s="318">
        <f t="shared" si="422"/>
        <v>0</v>
      </c>
      <c r="AW229" s="317" t="s">
        <v>214</v>
      </c>
      <c r="AX229" s="318">
        <f t="shared" ref="AX229:AZ229" si="423">IFERROR(AVERAGE(AX224:AX228),"  ")</f>
        <v>0</v>
      </c>
      <c r="AY229" s="318">
        <f t="shared" si="423"/>
        <v>0</v>
      </c>
      <c r="AZ229" s="318">
        <f t="shared" si="423"/>
        <v>0</v>
      </c>
    </row>
    <row r="230" spans="1:52" x14ac:dyDescent="0.25">
      <c r="A230" s="599">
        <v>38</v>
      </c>
      <c r="B230" s="608"/>
      <c r="C230" s="292" t="e">
        <f>VLOOKUP(A230,data_siswa,4,FALSE)</f>
        <v>#N/A</v>
      </c>
      <c r="D230" s="316" t="s">
        <v>156</v>
      </c>
      <c r="E230" s="1073"/>
      <c r="F230" s="1073">
        <f>VLOOKUP(A230,AN_PKN6_KI3,13,FALSE)</f>
        <v>0</v>
      </c>
      <c r="G230" s="1073"/>
      <c r="H230" s="324">
        <f>AVERAGE(E230:G230)</f>
        <v>0</v>
      </c>
      <c r="I230" s="316" t="s">
        <v>26</v>
      </c>
      <c r="J230" s="1073"/>
      <c r="K230" s="1073"/>
      <c r="L230" s="1073"/>
      <c r="M230" s="1073">
        <f>VLOOKUP(A230,AN_BI6,19,FALSE)</f>
        <v>0</v>
      </c>
      <c r="N230" s="1073">
        <f>VLOOKUP(A230,AN_BI6,19,FALSE)</f>
        <v>0</v>
      </c>
      <c r="O230" s="545">
        <f>AVERAGE(J230:N230)</f>
        <v>0</v>
      </c>
      <c r="P230" s="316" t="s">
        <v>26</v>
      </c>
      <c r="Q230" s="1073"/>
      <c r="R230" s="1073">
        <f>VLOOKUP(A230,AN_MAT6,16,FALSE)</f>
        <v>0</v>
      </c>
      <c r="S230" s="1073"/>
      <c r="T230" s="1073">
        <f>VLOOKUP(A230,AN_MAT6,16,FALSE)</f>
        <v>0</v>
      </c>
      <c r="U230" s="1073"/>
      <c r="V230" s="1073"/>
      <c r="W230" s="1073"/>
      <c r="X230" s="316" t="s">
        <v>26</v>
      </c>
      <c r="Y230" s="325"/>
      <c r="Z230" s="325"/>
      <c r="AA230" s="325"/>
      <c r="AB230" s="325">
        <f>VLOOKUP(A230,AN_SBDP6,16,FALSE)</f>
        <v>0</v>
      </c>
      <c r="AC230" s="661" t="s">
        <v>156</v>
      </c>
      <c r="AD230" s="325">
        <f>VLOOKUP(A230,AN_SBDP6,16,FALSE)</f>
        <v>0</v>
      </c>
      <c r="AE230" s="325">
        <f>VLOOKUP(A230,AN_SBDP6,16,FALSE)</f>
        <v>0</v>
      </c>
      <c r="AF230" s="325"/>
      <c r="AG230" s="325"/>
      <c r="AH230" s="325">
        <f>VLOOKUP(A230,AN_SBDP6,16,FALSE)</f>
        <v>0</v>
      </c>
      <c r="AI230" s="661" t="s">
        <v>44</v>
      </c>
      <c r="AJ230" s="325"/>
      <c r="AK230" s="325"/>
      <c r="AL230" s="325">
        <f>VLOOKUP(A230,an_agm,51,FALSE)</f>
        <v>0</v>
      </c>
      <c r="AM230" s="325"/>
      <c r="AN230" s="325"/>
      <c r="AO230" s="325"/>
      <c r="AP230" s="315" t="s">
        <v>156</v>
      </c>
      <c r="AQ230" s="325">
        <f>VLOOKUP(A230,UHT_jawa,18,FALSE)</f>
        <v>0</v>
      </c>
      <c r="AR230" s="325"/>
      <c r="AS230" s="325"/>
      <c r="AT230" s="661" t="s">
        <v>44</v>
      </c>
      <c r="AU230" s="325"/>
      <c r="AV230" s="325">
        <f>VLOOKUP(A230,AN_ipa6,16,FALSE)</f>
        <v>0</v>
      </c>
      <c r="AW230" s="661" t="s">
        <v>44</v>
      </c>
      <c r="AX230" s="325"/>
      <c r="AY230" s="325"/>
      <c r="AZ230" s="325">
        <f>VLOOKUP(A230,AN_IPS6,16,FALSE)</f>
        <v>0</v>
      </c>
    </row>
    <row r="231" spans="1:52" x14ac:dyDescent="0.25">
      <c r="A231" s="599"/>
      <c r="B231" s="609"/>
      <c r="C231" s="71"/>
      <c r="D231" s="316" t="s">
        <v>26</v>
      </c>
      <c r="E231" s="1073">
        <f>VLOOKUP(A230,AN_PKN7,12,FALSE)</f>
        <v>0</v>
      </c>
      <c r="F231" s="1073">
        <f>VLOOKUP(A230,AN_PKN7,12,FALSE)</f>
        <v>0</v>
      </c>
      <c r="G231" s="1073">
        <f>VLOOKUP(A230,AN_PKN7,12,FALSE)</f>
        <v>0</v>
      </c>
      <c r="H231" s="324">
        <f>AVERAGE(E231:G231)</f>
        <v>0</v>
      </c>
      <c r="I231" s="316" t="s">
        <v>50</v>
      </c>
      <c r="J231" s="1073">
        <f>VLOOKUP(A230,AN_BI7,21,FALSE)</f>
        <v>0</v>
      </c>
      <c r="K231" s="1073">
        <f>VLOOKUP(A230,AN_BI7,21,FALSE)</f>
        <v>0</v>
      </c>
      <c r="L231" s="1073">
        <f>VLOOKUP(A230,AN_BI7,21,FALSE)</f>
        <v>0</v>
      </c>
      <c r="M231" s="1073">
        <f>VLOOKUP(A230,AN_BI7,21,FALSE)</f>
        <v>0</v>
      </c>
      <c r="N231" s="1073"/>
      <c r="O231" s="545">
        <f t="shared" ref="O231:O233" si="424">AVERAGE(J231:N231)</f>
        <v>0</v>
      </c>
      <c r="P231" s="316" t="s">
        <v>50</v>
      </c>
      <c r="Q231" s="1073"/>
      <c r="R231" s="1073"/>
      <c r="S231" s="1073">
        <f>VLOOKUP(A230,AN_MAT7,16,FALSE)</f>
        <v>0</v>
      </c>
      <c r="T231" s="1073">
        <f>VLOOKUP(A230,AN_MAT7,16,FALSE)</f>
        <v>0</v>
      </c>
      <c r="U231" s="1073">
        <f>VLOOKUP(A230,AN_MAT7,16,FALSE)</f>
        <v>0</v>
      </c>
      <c r="V231" s="1073">
        <f>VLOOKUP(A230,AN_MAT7,16,FALSE)</f>
        <v>0</v>
      </c>
      <c r="W231" s="1073"/>
      <c r="X231" s="316" t="s">
        <v>50</v>
      </c>
      <c r="Y231" s="325">
        <f>VLOOKUP(A230,AN_SBDP7,16,FALSE)</f>
        <v>0</v>
      </c>
      <c r="Z231" s="325">
        <f>VLOOKUP(A230,AN_SBDP7,16,FALSE)</f>
        <v>0</v>
      </c>
      <c r="AA231" s="325"/>
      <c r="AB231" s="325">
        <f>VLOOKUP(A230,AN_SBDP7,16,FALSE)</f>
        <v>0</v>
      </c>
      <c r="AC231" s="661" t="s">
        <v>26</v>
      </c>
      <c r="AD231" s="325"/>
      <c r="AE231" s="325"/>
      <c r="AF231" s="325">
        <f>VLOOKUP(A230,AN_SBDP7,16,FALSE)</f>
        <v>0</v>
      </c>
      <c r="AG231" s="325">
        <f>VLOOKUP(A230,AN_SBDP7,16,FALSE)</f>
        <v>0</v>
      </c>
      <c r="AH231" s="325"/>
      <c r="AI231" s="661" t="s">
        <v>45</v>
      </c>
      <c r="AJ231" s="325">
        <f>VLOOKUP(A230,an_agm,49,FALSE)</f>
        <v>0</v>
      </c>
      <c r="AK231" s="325"/>
      <c r="AL231" s="325"/>
      <c r="AM231" s="325"/>
      <c r="AN231" s="325"/>
      <c r="AO231" s="325"/>
      <c r="AP231" s="315" t="s">
        <v>26</v>
      </c>
      <c r="AQ231" s="325"/>
      <c r="AR231" s="325">
        <f>VLOOKUP(A230,UHT_jawa,19,FALSE)</f>
        <v>0</v>
      </c>
      <c r="AS231" s="325"/>
      <c r="AT231" s="661" t="s">
        <v>45</v>
      </c>
      <c r="AU231" s="325">
        <f>VLOOKUP(A230,AN_IPA7,16,FALSE)</f>
        <v>0</v>
      </c>
      <c r="AV231" s="325">
        <f>VLOOKUP(A230,AN_IPA7,16,FALSE)</f>
        <v>0</v>
      </c>
      <c r="AW231" s="661" t="s">
        <v>45</v>
      </c>
      <c r="AX231" s="325">
        <f>VLOOKUP(A230,an_ips7,16,FALSE)</f>
        <v>0</v>
      </c>
      <c r="AY231" s="325">
        <f>VLOOKUP(A230,an_ips7,16,FALSE)</f>
        <v>0</v>
      </c>
      <c r="AZ231" s="325">
        <f>VLOOKUP(A230,an_ips7,16,FALSE)</f>
        <v>0</v>
      </c>
    </row>
    <row r="232" spans="1:52" x14ac:dyDescent="0.25">
      <c r="A232" s="599"/>
      <c r="B232" s="609"/>
      <c r="C232" s="71"/>
      <c r="D232" s="316" t="s">
        <v>50</v>
      </c>
      <c r="E232" s="1073"/>
      <c r="F232" s="1073">
        <f>VLOOKUP(A230,AN_PKN8,17,FALSE)</f>
        <v>0</v>
      </c>
      <c r="G232" s="1073">
        <f>VLOOKUP(A230,AN_PKN8,17,FALSE)</f>
        <v>0</v>
      </c>
      <c r="H232" s="324">
        <f>AVERAGE(E232:G232)</f>
        <v>0</v>
      </c>
      <c r="I232" s="316" t="s">
        <v>51</v>
      </c>
      <c r="J232" s="1073">
        <f>VLOOKUP(A230,AN_BI8,19,FALSE)</f>
        <v>0</v>
      </c>
      <c r="K232" s="1073"/>
      <c r="L232" s="1073"/>
      <c r="M232" s="1073">
        <f>VLOOKUP(A230,AN_BI8,19,FALSE)</f>
        <v>0</v>
      </c>
      <c r="N232" s="1073"/>
      <c r="O232" s="545">
        <f t="shared" si="424"/>
        <v>0</v>
      </c>
      <c r="P232" s="316" t="s">
        <v>51</v>
      </c>
      <c r="Q232" s="1073">
        <f>VLOOKUP(A230,AN_MAT8,16,FALSE)</f>
        <v>0</v>
      </c>
      <c r="R232" s="1073">
        <f>VLOOKUP(A230,AN_MAT8,16,FALSE)</f>
        <v>0</v>
      </c>
      <c r="S232" s="1073"/>
      <c r="T232" s="1073"/>
      <c r="U232" s="1073"/>
      <c r="V232" s="1073"/>
      <c r="W232" s="1073">
        <f>VLOOKUP(A230,AN_MAT8,16,FALSE)</f>
        <v>0</v>
      </c>
      <c r="X232" s="316" t="s">
        <v>51</v>
      </c>
      <c r="Y232" s="325"/>
      <c r="Z232" s="325">
        <f>VLOOKUP(A230,AN_SBDP8,16,FALSE)</f>
        <v>0</v>
      </c>
      <c r="AA232" s="325"/>
      <c r="AB232" s="325">
        <f>VLOOKUP(A230,AN_SBDP8,16,FALSE)</f>
        <v>0</v>
      </c>
      <c r="AC232" s="661" t="s">
        <v>50</v>
      </c>
      <c r="AD232" s="325"/>
      <c r="AE232" s="325"/>
      <c r="AF232" s="325">
        <f>VLOOKUP(A230,AN_SBDP8,16,FALSE)</f>
        <v>0</v>
      </c>
      <c r="AG232" s="325"/>
      <c r="AH232" s="325">
        <f>VLOOKUP(A230,AN_SBDP8,16,FALSE)</f>
        <v>0</v>
      </c>
      <c r="AI232" s="661" t="s">
        <v>46</v>
      </c>
      <c r="AJ232" s="325"/>
      <c r="AK232" s="325"/>
      <c r="AL232" s="325"/>
      <c r="AM232" s="325">
        <f>VLOOKUP(A230,an_agm,52,FALSE)</f>
        <v>0</v>
      </c>
      <c r="AN232" s="325">
        <f>VLOOKUP(A230,an_agm,53,FALSE)</f>
        <v>0</v>
      </c>
      <c r="AO232" s="325"/>
      <c r="AP232" s="315" t="s">
        <v>50</v>
      </c>
      <c r="AQ232" s="325"/>
      <c r="AR232" s="325"/>
      <c r="AS232" s="325">
        <f>VLOOKUP(A230,UHT_jawa,20,FALSE)</f>
        <v>0</v>
      </c>
      <c r="AT232" s="661" t="s">
        <v>46</v>
      </c>
      <c r="AU232" s="325"/>
      <c r="AV232" s="325">
        <f>VLOOKUP(A230,AN_IPA7,16,FALSE)</f>
        <v>0</v>
      </c>
      <c r="AW232" s="661" t="s">
        <v>46</v>
      </c>
      <c r="AX232" s="325">
        <f>VLOOKUP(A230,AN_ips8,16,FALSE)</f>
        <v>0</v>
      </c>
      <c r="AY232" s="325">
        <f>VLOOKUP(A230,AN_ips8,16,FALSE)</f>
        <v>0</v>
      </c>
      <c r="AZ232" s="325">
        <f>VLOOKUP(A230,AN_ips8,16,FALSE)</f>
        <v>0</v>
      </c>
    </row>
    <row r="233" spans="1:52" x14ac:dyDescent="0.25">
      <c r="A233" s="599"/>
      <c r="B233" s="609"/>
      <c r="C233" s="71"/>
      <c r="D233" s="316" t="s">
        <v>51</v>
      </c>
      <c r="E233" s="325">
        <f>VLOOKUP(A230,AN_PKN9,16,FALSE)</f>
        <v>0</v>
      </c>
      <c r="F233" s="325"/>
      <c r="G233" s="325"/>
      <c r="H233" s="324">
        <f>AVERAGE(E233:G233)</f>
        <v>0</v>
      </c>
      <c r="I233" s="316" t="s">
        <v>52</v>
      </c>
      <c r="J233" s="1073">
        <f>VLOOKUP(A230,AN_BI9,21,FALSE)</f>
        <v>0</v>
      </c>
      <c r="K233" s="1073">
        <f>VLOOKUP(A230,AN_BI9,21,FALSE)</f>
        <v>0</v>
      </c>
      <c r="L233" s="1073">
        <f>VLOOKUP(A230,AN_BI9,21,FALSE)</f>
        <v>0</v>
      </c>
      <c r="M233" s="1073">
        <f>VLOOKUP(A230,AN_BI9,21,FALSE)</f>
        <v>0</v>
      </c>
      <c r="N233" s="1073"/>
      <c r="O233" s="545">
        <f t="shared" si="424"/>
        <v>0</v>
      </c>
      <c r="P233" s="316" t="s">
        <v>52</v>
      </c>
      <c r="Q233" s="1073">
        <f>VLOOKUP(A230,AN_MAT9,16,FALSE)</f>
        <v>0</v>
      </c>
      <c r="R233" s="1073">
        <f>VLOOKUP(A230,AN_MAT9,16,FALSE)</f>
        <v>0</v>
      </c>
      <c r="S233" s="1073">
        <f>VLOOKUP(A230,AN_MAT9,16,FALSE)</f>
        <v>0</v>
      </c>
      <c r="T233" s="1073">
        <f>VLOOKUP(A230,AN_MAT9,16,FALSE)</f>
        <v>0</v>
      </c>
      <c r="U233" s="1073">
        <f>VLOOKUP(A230,AN_MAT9,16,FALSE)</f>
        <v>0</v>
      </c>
      <c r="V233" s="1073">
        <f>VLOOKUP(A230,AN_MAT9,16,FALSE)</f>
        <v>0</v>
      </c>
      <c r="W233" s="1073">
        <f>VLOOKUP(A230,AN_MAT9,16,FALSE)</f>
        <v>0</v>
      </c>
      <c r="X233" s="316" t="s">
        <v>52</v>
      </c>
      <c r="Y233" s="325"/>
      <c r="Z233" s="325">
        <f>VLOOKUP(A230,AN_SBDP9,16,FALSE)</f>
        <v>0</v>
      </c>
      <c r="AA233" s="325">
        <f>VLOOKUP(A230,AN_SBDP9,16,FALSE)</f>
        <v>0</v>
      </c>
      <c r="AB233" s="325"/>
      <c r="AC233" s="661" t="s">
        <v>51</v>
      </c>
      <c r="AD233" s="325"/>
      <c r="AE233" s="325">
        <f>VLOOKUP(A230,AN_SBDP9,16,FALSE)</f>
        <v>0</v>
      </c>
      <c r="AF233" s="325">
        <f>VLOOKUP(A230,AN_SBDP9,16,FALSE)</f>
        <v>0</v>
      </c>
      <c r="AG233" s="325"/>
      <c r="AH233" s="325"/>
      <c r="AI233" s="661" t="s">
        <v>47</v>
      </c>
      <c r="AJ233" s="325"/>
      <c r="AK233" s="325">
        <f>VLOOKUP(A230,an_agm,50,FALSE)</f>
        <v>0</v>
      </c>
      <c r="AL233" s="325"/>
      <c r="AM233" s="325"/>
      <c r="AN233" s="325"/>
      <c r="AO233" s="325"/>
      <c r="AP233" s="315" t="s">
        <v>51</v>
      </c>
      <c r="AQ233" s="325"/>
      <c r="AR233" s="325"/>
      <c r="AS233" s="325"/>
      <c r="AT233" s="661" t="s">
        <v>47</v>
      </c>
      <c r="AU233" s="325"/>
      <c r="AV233" s="325">
        <f>VLOOKUP(A230,an_IPA9,16,FALSE)</f>
        <v>0</v>
      </c>
      <c r="AW233" s="661" t="s">
        <v>47</v>
      </c>
      <c r="AX233" s="325">
        <f>VLOOKUP(A230,AN_IPS_9,16,FALSE)</f>
        <v>0</v>
      </c>
      <c r="AY233" s="325"/>
      <c r="AZ233" s="325">
        <f>VLOOKUP(A230,AN_IPS_9,16,FALSE)</f>
        <v>0</v>
      </c>
    </row>
    <row r="234" spans="1:52" x14ac:dyDescent="0.25">
      <c r="A234" s="599"/>
      <c r="B234" s="609"/>
      <c r="C234" s="71"/>
      <c r="D234" s="316"/>
      <c r="E234" s="1073"/>
      <c r="F234" s="1073"/>
      <c r="G234" s="1073"/>
      <c r="H234" s="1074"/>
      <c r="I234" s="316"/>
      <c r="J234" s="1073"/>
      <c r="K234" s="1073"/>
      <c r="L234" s="1073"/>
      <c r="M234" s="1073"/>
      <c r="N234" s="1073"/>
      <c r="O234" s="1074"/>
      <c r="P234" s="315"/>
      <c r="Q234" s="1073"/>
      <c r="R234" s="1073"/>
      <c r="S234" s="1073"/>
      <c r="T234" s="1073"/>
      <c r="U234" s="1073"/>
      <c r="V234" s="1073"/>
      <c r="W234" s="1073"/>
      <c r="X234" s="315"/>
      <c r="Y234" s="325"/>
      <c r="Z234" s="325"/>
      <c r="AA234" s="325"/>
      <c r="AB234" s="325"/>
      <c r="AC234" s="661"/>
      <c r="AD234" s="1073"/>
      <c r="AE234" s="1073"/>
      <c r="AF234" s="1112"/>
      <c r="AG234" s="1112"/>
      <c r="AH234" s="1112"/>
      <c r="AI234" s="661" t="s">
        <v>48</v>
      </c>
      <c r="AJ234" s="325"/>
      <c r="AK234" s="325"/>
      <c r="AL234" s="325"/>
      <c r="AM234" s="325"/>
      <c r="AN234" s="325"/>
      <c r="AO234" s="325">
        <f>VLOOKUP(A230,an_agm,54,FALSE)</f>
        <v>0</v>
      </c>
      <c r="AP234" s="315"/>
      <c r="AQ234" s="1136"/>
      <c r="AR234" s="1136"/>
      <c r="AS234" s="1136"/>
      <c r="AT234" s="315"/>
      <c r="AU234" s="325"/>
      <c r="AV234" s="325"/>
      <c r="AW234" s="315"/>
      <c r="AX234" s="325"/>
      <c r="AY234" s="325"/>
      <c r="AZ234" s="325"/>
    </row>
    <row r="235" spans="1:52" x14ac:dyDescent="0.25">
      <c r="A235" s="604"/>
      <c r="B235" s="611">
        <v>38</v>
      </c>
      <c r="C235" s="72"/>
      <c r="D235" s="317" t="s">
        <v>214</v>
      </c>
      <c r="E235" s="318">
        <f>IFERROR(AVERAGE(E230:E234),"  ")</f>
        <v>0</v>
      </c>
      <c r="F235" s="318">
        <f t="shared" ref="F235:G235" si="425">IFERROR(AVERAGE(F230:F234),"  ")</f>
        <v>0</v>
      </c>
      <c r="G235" s="318">
        <f t="shared" si="425"/>
        <v>0</v>
      </c>
      <c r="H235" s="323"/>
      <c r="I235" s="317" t="s">
        <v>214</v>
      </c>
      <c r="J235" s="318">
        <f>IFERROR(AVERAGE(J230:J234),"  ")</f>
        <v>0</v>
      </c>
      <c r="K235" s="318">
        <f t="shared" ref="K235:M235" si="426">IFERROR(AVERAGE(K230:K234),"  ")</f>
        <v>0</v>
      </c>
      <c r="L235" s="318">
        <f t="shared" si="426"/>
        <v>0</v>
      </c>
      <c r="M235" s="318">
        <f t="shared" si="426"/>
        <v>0</v>
      </c>
      <c r="N235" s="318">
        <f>IFERROR(AVERAGE(N230:N234),"  ")</f>
        <v>0</v>
      </c>
      <c r="O235" s="597"/>
      <c r="P235" s="317" t="s">
        <v>214</v>
      </c>
      <c r="Q235" s="318">
        <f>IFERROR(AVERAGE(Q230:Q234),"  ")</f>
        <v>0</v>
      </c>
      <c r="R235" s="318">
        <f t="shared" ref="R235:W235" si="427">IFERROR(AVERAGE(R230:R234),"  ")</f>
        <v>0</v>
      </c>
      <c r="S235" s="318">
        <f t="shared" si="427"/>
        <v>0</v>
      </c>
      <c r="T235" s="318">
        <f t="shared" si="427"/>
        <v>0</v>
      </c>
      <c r="U235" s="318">
        <f t="shared" si="427"/>
        <v>0</v>
      </c>
      <c r="V235" s="318">
        <f t="shared" si="427"/>
        <v>0</v>
      </c>
      <c r="W235" s="318">
        <f t="shared" si="427"/>
        <v>0</v>
      </c>
      <c r="X235" s="317" t="s">
        <v>214</v>
      </c>
      <c r="Y235" s="318">
        <f t="shared" ref="Y235:AB235" si="428">IFERROR(AVERAGE(Y230:Y234),"  ")</f>
        <v>0</v>
      </c>
      <c r="Z235" s="318">
        <f t="shared" si="428"/>
        <v>0</v>
      </c>
      <c r="AA235" s="318">
        <f t="shared" si="428"/>
        <v>0</v>
      </c>
      <c r="AB235" s="318">
        <f t="shared" si="428"/>
        <v>0</v>
      </c>
      <c r="AC235" s="317" t="s">
        <v>214</v>
      </c>
      <c r="AD235" s="318">
        <f t="shared" ref="AD235:AH235" si="429">IFERROR(AVERAGE(AD230:AD234),"  ")</f>
        <v>0</v>
      </c>
      <c r="AE235" s="318">
        <f t="shared" si="429"/>
        <v>0</v>
      </c>
      <c r="AF235" s="318">
        <f t="shared" si="429"/>
        <v>0</v>
      </c>
      <c r="AG235" s="318">
        <f t="shared" si="429"/>
        <v>0</v>
      </c>
      <c r="AH235" s="318">
        <f t="shared" si="429"/>
        <v>0</v>
      </c>
      <c r="AI235" s="317" t="s">
        <v>214</v>
      </c>
      <c r="AJ235" s="318">
        <f t="shared" ref="AJ235:AO235" si="430">IFERROR(AVERAGE(AJ230:AJ234),"  ")</f>
        <v>0</v>
      </c>
      <c r="AK235" s="318">
        <f t="shared" si="430"/>
        <v>0</v>
      </c>
      <c r="AL235" s="318">
        <f t="shared" si="430"/>
        <v>0</v>
      </c>
      <c r="AM235" s="318">
        <f t="shared" si="430"/>
        <v>0</v>
      </c>
      <c r="AN235" s="318">
        <f t="shared" si="430"/>
        <v>0</v>
      </c>
      <c r="AO235" s="318">
        <f t="shared" si="430"/>
        <v>0</v>
      </c>
      <c r="AP235" s="317" t="s">
        <v>214</v>
      </c>
      <c r="AQ235" s="318">
        <f t="shared" ref="AQ235:AS235" si="431">IFERROR(AVERAGE(AQ230:AQ234),"  ")</f>
        <v>0</v>
      </c>
      <c r="AR235" s="318">
        <f t="shared" si="431"/>
        <v>0</v>
      </c>
      <c r="AS235" s="318">
        <f t="shared" si="431"/>
        <v>0</v>
      </c>
      <c r="AT235" s="317" t="s">
        <v>214</v>
      </c>
      <c r="AU235" s="318">
        <f t="shared" ref="AU235:AV235" si="432">IFERROR(AVERAGE(AU230:AU234),"  ")</f>
        <v>0</v>
      </c>
      <c r="AV235" s="318">
        <f t="shared" si="432"/>
        <v>0</v>
      </c>
      <c r="AW235" s="317" t="s">
        <v>214</v>
      </c>
      <c r="AX235" s="318">
        <f t="shared" ref="AX235:AZ235" si="433">IFERROR(AVERAGE(AX230:AX234),"  ")</f>
        <v>0</v>
      </c>
      <c r="AY235" s="318">
        <f t="shared" si="433"/>
        <v>0</v>
      </c>
      <c r="AZ235" s="318">
        <f t="shared" si="433"/>
        <v>0</v>
      </c>
    </row>
    <row r="236" spans="1:52" x14ac:dyDescent="0.25">
      <c r="A236" s="599">
        <v>39</v>
      </c>
      <c r="B236" s="608"/>
      <c r="C236" s="292" t="e">
        <f>VLOOKUP(A236,data_siswa,4,FALSE)</f>
        <v>#N/A</v>
      </c>
      <c r="D236" s="316" t="s">
        <v>156</v>
      </c>
      <c r="E236" s="1073"/>
      <c r="F236" s="1073">
        <f>VLOOKUP(A236,AN_PKN6_KI3,13,FALSE)</f>
        <v>0</v>
      </c>
      <c r="G236" s="1073"/>
      <c r="H236" s="324">
        <f>AVERAGE(E236:G236)</f>
        <v>0</v>
      </c>
      <c r="I236" s="316" t="s">
        <v>26</v>
      </c>
      <c r="J236" s="1073"/>
      <c r="K236" s="1073"/>
      <c r="L236" s="1073"/>
      <c r="M236" s="1073">
        <f>VLOOKUP(A236,AN_BI6,19,FALSE)</f>
        <v>0</v>
      </c>
      <c r="N236" s="1073">
        <f>VLOOKUP(A236,AN_BI6,19,FALSE)</f>
        <v>0</v>
      </c>
      <c r="O236" s="545">
        <f>AVERAGE(J236:N236)</f>
        <v>0</v>
      </c>
      <c r="P236" s="316" t="s">
        <v>26</v>
      </c>
      <c r="Q236" s="1073"/>
      <c r="R236" s="1073">
        <f>VLOOKUP(A236,AN_MAT6,16,FALSE)</f>
        <v>0</v>
      </c>
      <c r="S236" s="1073"/>
      <c r="T236" s="1073">
        <f>VLOOKUP(A236,AN_MAT6,16,FALSE)</f>
        <v>0</v>
      </c>
      <c r="U236" s="1073"/>
      <c r="V236" s="1073"/>
      <c r="W236" s="1073"/>
      <c r="X236" s="316" t="s">
        <v>26</v>
      </c>
      <c r="Y236" s="325"/>
      <c r="Z236" s="325"/>
      <c r="AA236" s="325"/>
      <c r="AB236" s="325">
        <f>VLOOKUP(A236,AN_SBDP6,16,FALSE)</f>
        <v>0</v>
      </c>
      <c r="AC236" s="661" t="s">
        <v>156</v>
      </c>
      <c r="AD236" s="325">
        <f>VLOOKUP(A236,AN_SBDP6,16,FALSE)</f>
        <v>0</v>
      </c>
      <c r="AE236" s="325">
        <f>VLOOKUP(A236,AN_SBDP6,16,FALSE)</f>
        <v>0</v>
      </c>
      <c r="AF236" s="325"/>
      <c r="AG236" s="325"/>
      <c r="AH236" s="325">
        <f>VLOOKUP(A236,AN_SBDP6,16,FALSE)</f>
        <v>0</v>
      </c>
      <c r="AI236" s="661" t="s">
        <v>44</v>
      </c>
      <c r="AJ236" s="325"/>
      <c r="AK236" s="325"/>
      <c r="AL236" s="325">
        <f>VLOOKUP(A236,an_agm,51,FALSE)</f>
        <v>0</v>
      </c>
      <c r="AM236" s="325"/>
      <c r="AN236" s="325"/>
      <c r="AO236" s="325"/>
      <c r="AP236" s="315" t="s">
        <v>156</v>
      </c>
      <c r="AQ236" s="325">
        <f>VLOOKUP(A236,UHT_jawa,18,FALSE)</f>
        <v>0</v>
      </c>
      <c r="AR236" s="325"/>
      <c r="AS236" s="325"/>
      <c r="AT236" s="661" t="s">
        <v>44</v>
      </c>
      <c r="AU236" s="325"/>
      <c r="AV236" s="325">
        <f>VLOOKUP(A236,AN_ipa6,16,FALSE)</f>
        <v>0</v>
      </c>
      <c r="AW236" s="661" t="s">
        <v>44</v>
      </c>
      <c r="AX236" s="325"/>
      <c r="AY236" s="325"/>
      <c r="AZ236" s="325">
        <f>VLOOKUP(A236,AN_IPS6,16,FALSE)</f>
        <v>0</v>
      </c>
    </row>
    <row r="237" spans="1:52" x14ac:dyDescent="0.25">
      <c r="A237" s="599"/>
      <c r="B237" s="609"/>
      <c r="C237" s="71"/>
      <c r="D237" s="316" t="s">
        <v>26</v>
      </c>
      <c r="E237" s="1073">
        <f>VLOOKUP(A236,AN_PKN7,12,FALSE)</f>
        <v>0</v>
      </c>
      <c r="F237" s="1073">
        <f>VLOOKUP(A236,AN_PKN7,12,FALSE)</f>
        <v>0</v>
      </c>
      <c r="G237" s="1073">
        <f>VLOOKUP(A236,AN_PKN7,12,FALSE)</f>
        <v>0</v>
      </c>
      <c r="H237" s="324">
        <f>AVERAGE(E237:G237)</f>
        <v>0</v>
      </c>
      <c r="I237" s="316" t="s">
        <v>50</v>
      </c>
      <c r="J237" s="1073">
        <f>VLOOKUP(A236,AN_BI7,21,FALSE)</f>
        <v>0</v>
      </c>
      <c r="K237" s="1073">
        <f>VLOOKUP(A236,AN_BI7,21,FALSE)</f>
        <v>0</v>
      </c>
      <c r="L237" s="1073">
        <f>VLOOKUP(A236,AN_BI7,21,FALSE)</f>
        <v>0</v>
      </c>
      <c r="M237" s="1073">
        <f>VLOOKUP(A236,AN_BI7,21,FALSE)</f>
        <v>0</v>
      </c>
      <c r="N237" s="1073"/>
      <c r="O237" s="545">
        <f t="shared" ref="O237:O239" si="434">AVERAGE(J237:N237)</f>
        <v>0</v>
      </c>
      <c r="P237" s="316" t="s">
        <v>50</v>
      </c>
      <c r="Q237" s="1073"/>
      <c r="R237" s="1073"/>
      <c r="S237" s="1073">
        <f>VLOOKUP(A236,AN_MAT7,16,FALSE)</f>
        <v>0</v>
      </c>
      <c r="T237" s="1073">
        <f>VLOOKUP(A236,AN_MAT7,16,FALSE)</f>
        <v>0</v>
      </c>
      <c r="U237" s="1073">
        <f>VLOOKUP(A236,AN_MAT7,16,FALSE)</f>
        <v>0</v>
      </c>
      <c r="V237" s="1073">
        <f>VLOOKUP(A236,AN_MAT7,16,FALSE)</f>
        <v>0</v>
      </c>
      <c r="W237" s="1073"/>
      <c r="X237" s="316" t="s">
        <v>50</v>
      </c>
      <c r="Y237" s="325">
        <f>VLOOKUP(A236,AN_SBDP7,16,FALSE)</f>
        <v>0</v>
      </c>
      <c r="Z237" s="325">
        <f>VLOOKUP(A236,AN_SBDP7,16,FALSE)</f>
        <v>0</v>
      </c>
      <c r="AA237" s="325"/>
      <c r="AB237" s="325">
        <f>VLOOKUP(A236,AN_SBDP7,16,FALSE)</f>
        <v>0</v>
      </c>
      <c r="AC237" s="661" t="s">
        <v>26</v>
      </c>
      <c r="AD237" s="325"/>
      <c r="AE237" s="325"/>
      <c r="AF237" s="325">
        <f>VLOOKUP(A236,AN_SBDP7,16,FALSE)</f>
        <v>0</v>
      </c>
      <c r="AG237" s="325">
        <f>VLOOKUP(A236,AN_SBDP7,16,FALSE)</f>
        <v>0</v>
      </c>
      <c r="AH237" s="325"/>
      <c r="AI237" s="661" t="s">
        <v>45</v>
      </c>
      <c r="AJ237" s="325">
        <f>VLOOKUP(A236,an_agm,49,FALSE)</f>
        <v>0</v>
      </c>
      <c r="AK237" s="325"/>
      <c r="AL237" s="325"/>
      <c r="AM237" s="325"/>
      <c r="AN237" s="325"/>
      <c r="AO237" s="325"/>
      <c r="AP237" s="315" t="s">
        <v>26</v>
      </c>
      <c r="AQ237" s="325"/>
      <c r="AR237" s="325">
        <f>VLOOKUP(A236,UHT_jawa,19,FALSE)</f>
        <v>0</v>
      </c>
      <c r="AS237" s="325"/>
      <c r="AT237" s="661" t="s">
        <v>45</v>
      </c>
      <c r="AU237" s="325">
        <f>VLOOKUP(A236,AN_IPA7,16,FALSE)</f>
        <v>0</v>
      </c>
      <c r="AV237" s="325">
        <f>VLOOKUP(A236,AN_IPA7,16,FALSE)</f>
        <v>0</v>
      </c>
      <c r="AW237" s="661" t="s">
        <v>45</v>
      </c>
      <c r="AX237" s="325">
        <f>VLOOKUP(A236,an_ips7,16,FALSE)</f>
        <v>0</v>
      </c>
      <c r="AY237" s="325">
        <f>VLOOKUP(A236,an_ips7,16,FALSE)</f>
        <v>0</v>
      </c>
      <c r="AZ237" s="325">
        <f>VLOOKUP(A236,an_ips7,16,FALSE)</f>
        <v>0</v>
      </c>
    </row>
    <row r="238" spans="1:52" x14ac:dyDescent="0.25">
      <c r="A238" s="599"/>
      <c r="B238" s="609"/>
      <c r="C238" s="71"/>
      <c r="D238" s="316" t="s">
        <v>50</v>
      </c>
      <c r="E238" s="1073"/>
      <c r="F238" s="1073">
        <f>VLOOKUP(A236,AN_PKN8,17,FALSE)</f>
        <v>0</v>
      </c>
      <c r="G238" s="1073">
        <f>VLOOKUP(A236,AN_PKN8,17,FALSE)</f>
        <v>0</v>
      </c>
      <c r="H238" s="324">
        <f>AVERAGE(E238:G238)</f>
        <v>0</v>
      </c>
      <c r="I238" s="316" t="s">
        <v>51</v>
      </c>
      <c r="J238" s="1073">
        <f>VLOOKUP(A236,AN_BI8,19,FALSE)</f>
        <v>0</v>
      </c>
      <c r="K238" s="1073"/>
      <c r="L238" s="1073"/>
      <c r="M238" s="1073">
        <f>VLOOKUP(A236,AN_BI8,19,FALSE)</f>
        <v>0</v>
      </c>
      <c r="N238" s="1073"/>
      <c r="O238" s="545">
        <f t="shared" si="434"/>
        <v>0</v>
      </c>
      <c r="P238" s="316" t="s">
        <v>51</v>
      </c>
      <c r="Q238" s="1073">
        <f>VLOOKUP(A236,AN_MAT8,16,FALSE)</f>
        <v>0</v>
      </c>
      <c r="R238" s="1073">
        <f>VLOOKUP(A236,AN_MAT8,16,FALSE)</f>
        <v>0</v>
      </c>
      <c r="S238" s="1073"/>
      <c r="T238" s="1073"/>
      <c r="U238" s="1073"/>
      <c r="V238" s="1073"/>
      <c r="W238" s="1073">
        <f>VLOOKUP(A236,AN_MAT8,16,FALSE)</f>
        <v>0</v>
      </c>
      <c r="X238" s="316" t="s">
        <v>51</v>
      </c>
      <c r="Y238" s="325"/>
      <c r="Z238" s="325">
        <f>VLOOKUP(A236,AN_SBDP8,16,FALSE)</f>
        <v>0</v>
      </c>
      <c r="AA238" s="325"/>
      <c r="AB238" s="325">
        <f>VLOOKUP(A236,AN_SBDP8,16,FALSE)</f>
        <v>0</v>
      </c>
      <c r="AC238" s="661" t="s">
        <v>50</v>
      </c>
      <c r="AD238" s="325"/>
      <c r="AE238" s="325"/>
      <c r="AF238" s="325">
        <f>VLOOKUP(A236,AN_SBDP8,16,FALSE)</f>
        <v>0</v>
      </c>
      <c r="AG238" s="325"/>
      <c r="AH238" s="325">
        <f>VLOOKUP(A236,AN_SBDP8,16,FALSE)</f>
        <v>0</v>
      </c>
      <c r="AI238" s="661" t="s">
        <v>46</v>
      </c>
      <c r="AJ238" s="325"/>
      <c r="AK238" s="325"/>
      <c r="AL238" s="325"/>
      <c r="AM238" s="325">
        <f>VLOOKUP(A236,an_agm,52,FALSE)</f>
        <v>0</v>
      </c>
      <c r="AN238" s="325">
        <f>VLOOKUP(A236,an_agm,53,FALSE)</f>
        <v>0</v>
      </c>
      <c r="AO238" s="325"/>
      <c r="AP238" s="315" t="s">
        <v>50</v>
      </c>
      <c r="AQ238" s="325"/>
      <c r="AR238" s="325"/>
      <c r="AS238" s="325">
        <f>VLOOKUP(A236,UHT_jawa,20,FALSE)</f>
        <v>0</v>
      </c>
      <c r="AT238" s="661" t="s">
        <v>46</v>
      </c>
      <c r="AU238" s="325"/>
      <c r="AV238" s="325">
        <f>VLOOKUP(A236,AN_IPA7,16,FALSE)</f>
        <v>0</v>
      </c>
      <c r="AW238" s="661" t="s">
        <v>46</v>
      </c>
      <c r="AX238" s="325">
        <f>VLOOKUP(A236,AN_ips8,16,FALSE)</f>
        <v>0</v>
      </c>
      <c r="AY238" s="325">
        <f>VLOOKUP(A236,AN_ips8,16,FALSE)</f>
        <v>0</v>
      </c>
      <c r="AZ238" s="325">
        <f>VLOOKUP(A236,AN_ips8,16,FALSE)</f>
        <v>0</v>
      </c>
    </row>
    <row r="239" spans="1:52" x14ac:dyDescent="0.25">
      <c r="A239" s="599"/>
      <c r="B239" s="609"/>
      <c r="C239" s="71"/>
      <c r="D239" s="316" t="s">
        <v>51</v>
      </c>
      <c r="E239" s="325">
        <f>VLOOKUP(A236,AN_PKN9,16,FALSE)</f>
        <v>0</v>
      </c>
      <c r="F239" s="325"/>
      <c r="G239" s="325"/>
      <c r="H239" s="324">
        <f>AVERAGE(E239:G239)</f>
        <v>0</v>
      </c>
      <c r="I239" s="316" t="s">
        <v>52</v>
      </c>
      <c r="J239" s="1073">
        <f>VLOOKUP(A236,AN_BI9,21,FALSE)</f>
        <v>0</v>
      </c>
      <c r="K239" s="1073">
        <f>VLOOKUP(A236,AN_BI9,21,FALSE)</f>
        <v>0</v>
      </c>
      <c r="L239" s="1073">
        <f>VLOOKUP(A236,AN_BI9,21,FALSE)</f>
        <v>0</v>
      </c>
      <c r="M239" s="1073">
        <f>VLOOKUP(A236,AN_BI9,21,FALSE)</f>
        <v>0</v>
      </c>
      <c r="N239" s="1073"/>
      <c r="O239" s="545">
        <f t="shared" si="434"/>
        <v>0</v>
      </c>
      <c r="P239" s="316" t="s">
        <v>52</v>
      </c>
      <c r="Q239" s="1073">
        <f>VLOOKUP(A236,AN_MAT9,16,FALSE)</f>
        <v>0</v>
      </c>
      <c r="R239" s="1073">
        <f>VLOOKUP(A236,AN_MAT9,16,FALSE)</f>
        <v>0</v>
      </c>
      <c r="S239" s="1073">
        <f>VLOOKUP(A236,AN_MAT9,16,FALSE)</f>
        <v>0</v>
      </c>
      <c r="T239" s="1073">
        <f>VLOOKUP(A236,AN_MAT9,16,FALSE)</f>
        <v>0</v>
      </c>
      <c r="U239" s="1073">
        <f>VLOOKUP(A236,AN_MAT9,16,FALSE)</f>
        <v>0</v>
      </c>
      <c r="V239" s="1073">
        <f>VLOOKUP(A236,AN_MAT9,16,FALSE)</f>
        <v>0</v>
      </c>
      <c r="W239" s="1073">
        <f>VLOOKUP(A236,AN_MAT9,16,FALSE)</f>
        <v>0</v>
      </c>
      <c r="X239" s="316" t="s">
        <v>52</v>
      </c>
      <c r="Y239" s="325"/>
      <c r="Z239" s="325">
        <f>VLOOKUP(A236,AN_SBDP9,16,FALSE)</f>
        <v>0</v>
      </c>
      <c r="AA239" s="325">
        <f>VLOOKUP(A236,AN_SBDP9,16,FALSE)</f>
        <v>0</v>
      </c>
      <c r="AB239" s="325"/>
      <c r="AC239" s="661" t="s">
        <v>51</v>
      </c>
      <c r="AD239" s="325"/>
      <c r="AE239" s="325">
        <f>VLOOKUP(A236,AN_SBDP9,16,FALSE)</f>
        <v>0</v>
      </c>
      <c r="AF239" s="325">
        <f>VLOOKUP(A236,AN_SBDP9,16,FALSE)</f>
        <v>0</v>
      </c>
      <c r="AG239" s="325"/>
      <c r="AH239" s="325"/>
      <c r="AI239" s="661" t="s">
        <v>47</v>
      </c>
      <c r="AJ239" s="325"/>
      <c r="AK239" s="325">
        <f>VLOOKUP(A236,an_agm,50,FALSE)</f>
        <v>0</v>
      </c>
      <c r="AL239" s="325"/>
      <c r="AM239" s="325"/>
      <c r="AN239" s="325"/>
      <c r="AO239" s="325"/>
      <c r="AP239" s="315" t="s">
        <v>51</v>
      </c>
      <c r="AQ239" s="325"/>
      <c r="AR239" s="325"/>
      <c r="AS239" s="325"/>
      <c r="AT239" s="661" t="s">
        <v>47</v>
      </c>
      <c r="AU239" s="325"/>
      <c r="AV239" s="325">
        <f>VLOOKUP(A236,an_IPA9,16,FALSE)</f>
        <v>0</v>
      </c>
      <c r="AW239" s="661" t="s">
        <v>47</v>
      </c>
      <c r="AX239" s="325">
        <f>VLOOKUP(A236,AN_IPS_9,16,FALSE)</f>
        <v>0</v>
      </c>
      <c r="AY239" s="325"/>
      <c r="AZ239" s="325">
        <f>VLOOKUP(A236,AN_IPS_9,16,FALSE)</f>
        <v>0</v>
      </c>
    </row>
    <row r="240" spans="1:52" x14ac:dyDescent="0.25">
      <c r="A240" s="599"/>
      <c r="B240" s="609"/>
      <c r="C240" s="71"/>
      <c r="D240" s="316"/>
      <c r="E240" s="1073"/>
      <c r="F240" s="1073"/>
      <c r="G240" s="1073"/>
      <c r="H240" s="1074"/>
      <c r="I240" s="316"/>
      <c r="J240" s="1073"/>
      <c r="K240" s="1073"/>
      <c r="L240" s="1073"/>
      <c r="M240" s="1073"/>
      <c r="N240" s="1073"/>
      <c r="O240" s="1074"/>
      <c r="P240" s="315"/>
      <c r="Q240" s="1073"/>
      <c r="R240" s="1073"/>
      <c r="S240" s="1073"/>
      <c r="T240" s="1073"/>
      <c r="U240" s="1073"/>
      <c r="V240" s="1073"/>
      <c r="W240" s="1073"/>
      <c r="X240" s="315"/>
      <c r="Y240" s="325"/>
      <c r="Z240" s="325"/>
      <c r="AA240" s="325"/>
      <c r="AB240" s="325"/>
      <c r="AC240" s="661"/>
      <c r="AD240" s="1073"/>
      <c r="AE240" s="1073"/>
      <c r="AF240" s="1112"/>
      <c r="AG240" s="1112"/>
      <c r="AH240" s="1112"/>
      <c r="AI240" s="661" t="s">
        <v>48</v>
      </c>
      <c r="AJ240" s="325"/>
      <c r="AK240" s="325"/>
      <c r="AL240" s="325"/>
      <c r="AM240" s="325"/>
      <c r="AN240" s="325"/>
      <c r="AO240" s="325">
        <f>VLOOKUP(A236,an_agm,54,FALSE)</f>
        <v>0</v>
      </c>
      <c r="AP240" s="315"/>
      <c r="AQ240" s="1136"/>
      <c r="AR240" s="1136"/>
      <c r="AS240" s="1136"/>
      <c r="AT240" s="315"/>
      <c r="AU240" s="325"/>
      <c r="AV240" s="325"/>
      <c r="AW240" s="315"/>
      <c r="AX240" s="325"/>
      <c r="AY240" s="325"/>
      <c r="AZ240" s="325"/>
    </row>
    <row r="241" spans="1:52" x14ac:dyDescent="0.25">
      <c r="A241" s="604"/>
      <c r="B241" s="611">
        <v>39</v>
      </c>
      <c r="C241" s="72"/>
      <c r="D241" s="317" t="s">
        <v>214</v>
      </c>
      <c r="E241" s="318">
        <f>IFERROR(AVERAGE(E236:E240),"  ")</f>
        <v>0</v>
      </c>
      <c r="F241" s="318">
        <f t="shared" ref="F241:G241" si="435">IFERROR(AVERAGE(F236:F240),"  ")</f>
        <v>0</v>
      </c>
      <c r="G241" s="318">
        <f t="shared" si="435"/>
        <v>0</v>
      </c>
      <c r="H241" s="323"/>
      <c r="I241" s="317" t="s">
        <v>214</v>
      </c>
      <c r="J241" s="318">
        <f>IFERROR(AVERAGE(J236:J240),"  ")</f>
        <v>0</v>
      </c>
      <c r="K241" s="318">
        <f t="shared" ref="K241:M241" si="436">IFERROR(AVERAGE(K236:K240),"  ")</f>
        <v>0</v>
      </c>
      <c r="L241" s="318">
        <f t="shared" si="436"/>
        <v>0</v>
      </c>
      <c r="M241" s="318">
        <f t="shared" si="436"/>
        <v>0</v>
      </c>
      <c r="N241" s="318">
        <f>IFERROR(AVERAGE(N236:N240),"  ")</f>
        <v>0</v>
      </c>
      <c r="O241" s="597"/>
      <c r="P241" s="317" t="s">
        <v>214</v>
      </c>
      <c r="Q241" s="318">
        <f>IFERROR(AVERAGE(Q236:Q240),"  ")</f>
        <v>0</v>
      </c>
      <c r="R241" s="318">
        <f t="shared" ref="R241:W241" si="437">IFERROR(AVERAGE(R236:R240),"  ")</f>
        <v>0</v>
      </c>
      <c r="S241" s="318">
        <f t="shared" si="437"/>
        <v>0</v>
      </c>
      <c r="T241" s="318">
        <f t="shared" si="437"/>
        <v>0</v>
      </c>
      <c r="U241" s="318">
        <f t="shared" si="437"/>
        <v>0</v>
      </c>
      <c r="V241" s="318">
        <f t="shared" si="437"/>
        <v>0</v>
      </c>
      <c r="W241" s="318">
        <f t="shared" si="437"/>
        <v>0</v>
      </c>
      <c r="X241" s="317" t="s">
        <v>214</v>
      </c>
      <c r="Y241" s="318">
        <f t="shared" ref="Y241:AB241" si="438">IFERROR(AVERAGE(Y236:Y240),"  ")</f>
        <v>0</v>
      </c>
      <c r="Z241" s="318">
        <f t="shared" si="438"/>
        <v>0</v>
      </c>
      <c r="AA241" s="318">
        <f t="shared" si="438"/>
        <v>0</v>
      </c>
      <c r="AB241" s="318">
        <f t="shared" si="438"/>
        <v>0</v>
      </c>
      <c r="AC241" s="317" t="s">
        <v>214</v>
      </c>
      <c r="AD241" s="318">
        <f t="shared" ref="AD241:AH241" si="439">IFERROR(AVERAGE(AD236:AD240),"  ")</f>
        <v>0</v>
      </c>
      <c r="AE241" s="318">
        <f t="shared" si="439"/>
        <v>0</v>
      </c>
      <c r="AF241" s="318">
        <f t="shared" si="439"/>
        <v>0</v>
      </c>
      <c r="AG241" s="318">
        <f t="shared" si="439"/>
        <v>0</v>
      </c>
      <c r="AH241" s="318">
        <f t="shared" si="439"/>
        <v>0</v>
      </c>
      <c r="AI241" s="317" t="s">
        <v>214</v>
      </c>
      <c r="AJ241" s="318">
        <f t="shared" ref="AJ241:AO241" si="440">IFERROR(AVERAGE(AJ236:AJ240),"  ")</f>
        <v>0</v>
      </c>
      <c r="AK241" s="318">
        <f t="shared" si="440"/>
        <v>0</v>
      </c>
      <c r="AL241" s="318">
        <f t="shared" si="440"/>
        <v>0</v>
      </c>
      <c r="AM241" s="318">
        <f t="shared" si="440"/>
        <v>0</v>
      </c>
      <c r="AN241" s="318">
        <f t="shared" si="440"/>
        <v>0</v>
      </c>
      <c r="AO241" s="318">
        <f t="shared" si="440"/>
        <v>0</v>
      </c>
      <c r="AP241" s="317" t="s">
        <v>214</v>
      </c>
      <c r="AQ241" s="318">
        <f t="shared" ref="AQ241:AS241" si="441">IFERROR(AVERAGE(AQ236:AQ240),"  ")</f>
        <v>0</v>
      </c>
      <c r="AR241" s="318">
        <f t="shared" si="441"/>
        <v>0</v>
      </c>
      <c r="AS241" s="318">
        <f t="shared" si="441"/>
        <v>0</v>
      </c>
      <c r="AT241" s="317" t="s">
        <v>214</v>
      </c>
      <c r="AU241" s="318">
        <f t="shared" ref="AU241:AV241" si="442">IFERROR(AVERAGE(AU236:AU240),"  ")</f>
        <v>0</v>
      </c>
      <c r="AV241" s="318">
        <f t="shared" si="442"/>
        <v>0</v>
      </c>
      <c r="AW241" s="317" t="s">
        <v>214</v>
      </c>
      <c r="AX241" s="318">
        <f t="shared" ref="AX241:AZ241" si="443">IFERROR(AVERAGE(AX236:AX240),"  ")</f>
        <v>0</v>
      </c>
      <c r="AY241" s="318">
        <f t="shared" si="443"/>
        <v>0</v>
      </c>
      <c r="AZ241" s="318">
        <f t="shared" si="443"/>
        <v>0</v>
      </c>
    </row>
    <row r="242" spans="1:52" x14ac:dyDescent="0.25">
      <c r="A242" s="599">
        <v>40</v>
      </c>
      <c r="B242" s="608"/>
      <c r="C242" s="292" t="e">
        <f>VLOOKUP(A242,data_siswa,4,FALSE)</f>
        <v>#N/A</v>
      </c>
      <c r="D242" s="316" t="s">
        <v>156</v>
      </c>
      <c r="E242" s="1073"/>
      <c r="F242" s="1073">
        <f>VLOOKUP(A242,AN_PKN6_KI3,13,FALSE)</f>
        <v>0</v>
      </c>
      <c r="G242" s="1073"/>
      <c r="H242" s="324">
        <f>AVERAGE(E242:G242)</f>
        <v>0</v>
      </c>
      <c r="I242" s="316" t="s">
        <v>26</v>
      </c>
      <c r="J242" s="1073"/>
      <c r="K242" s="1073"/>
      <c r="L242" s="1073"/>
      <c r="M242" s="1073">
        <f>VLOOKUP(A242,AN_BI6,19,FALSE)</f>
        <v>0</v>
      </c>
      <c r="N242" s="1073">
        <f>VLOOKUP(A242,AN_BI6,19,FALSE)</f>
        <v>0</v>
      </c>
      <c r="O242" s="545">
        <f>AVERAGE(J242:N242)</f>
        <v>0</v>
      </c>
      <c r="P242" s="316" t="s">
        <v>26</v>
      </c>
      <c r="Q242" s="1073"/>
      <c r="R242" s="325">
        <f>VLOOKUP(A242,AN_MAT6,16,FALSE)</f>
        <v>72.727272727272734</v>
      </c>
      <c r="S242" s="325"/>
      <c r="T242" s="325">
        <f>VLOOKUP(A242,AN_MAT6,16,FALSE)</f>
        <v>72.727272727272734</v>
      </c>
      <c r="U242" s="325"/>
      <c r="V242" s="325"/>
      <c r="W242" s="325"/>
      <c r="X242" s="316" t="s">
        <v>26</v>
      </c>
      <c r="Y242" s="325"/>
      <c r="Z242" s="325"/>
      <c r="AA242" s="325"/>
      <c r="AB242" s="325">
        <f>VLOOKUP(A242,AN_SBDP6,16,FALSE)</f>
        <v>0</v>
      </c>
      <c r="AC242" s="661" t="s">
        <v>156</v>
      </c>
      <c r="AD242" s="325">
        <f>VLOOKUP(A242,AN_SBDP6,16,FALSE)</f>
        <v>0</v>
      </c>
      <c r="AE242" s="325">
        <f>VLOOKUP(A242,AN_SBDP6,16,FALSE)</f>
        <v>0</v>
      </c>
      <c r="AF242" s="325"/>
      <c r="AG242" s="325"/>
      <c r="AH242" s="325">
        <f>VLOOKUP(A242,AN_SBDP6,16,FALSE)</f>
        <v>0</v>
      </c>
      <c r="AI242" s="661" t="s">
        <v>44</v>
      </c>
      <c r="AJ242" s="325"/>
      <c r="AK242" s="325"/>
      <c r="AL242" s="325">
        <f>VLOOKUP(A242,an_agm,51,FALSE)</f>
        <v>0</v>
      </c>
      <c r="AM242" s="325"/>
      <c r="AN242" s="325"/>
      <c r="AO242" s="325"/>
      <c r="AP242" s="315" t="s">
        <v>156</v>
      </c>
      <c r="AQ242" s="325">
        <f>VLOOKUP(A242,UHT_jawa,18,FALSE)</f>
        <v>0</v>
      </c>
      <c r="AR242" s="325"/>
      <c r="AS242" s="325"/>
      <c r="AT242" s="661" t="s">
        <v>44</v>
      </c>
      <c r="AU242" s="325"/>
      <c r="AV242" s="325">
        <f>VLOOKUP(A242,AN_ipa6,16,FALSE)</f>
        <v>0</v>
      </c>
      <c r="AW242" s="661" t="s">
        <v>44</v>
      </c>
      <c r="AX242" s="325"/>
      <c r="AY242" s="325"/>
      <c r="AZ242" s="325">
        <f>VLOOKUP(A242,AN_IPS6,16,FALSE)</f>
        <v>0</v>
      </c>
    </row>
    <row r="243" spans="1:52" x14ac:dyDescent="0.25">
      <c r="A243" s="599"/>
      <c r="B243" s="609"/>
      <c r="C243" s="71"/>
      <c r="D243" s="316" t="s">
        <v>26</v>
      </c>
      <c r="E243" s="1073">
        <f>VLOOKUP(A242,AN_PKN7,12,FALSE)</f>
        <v>0</v>
      </c>
      <c r="F243" s="1073">
        <f>VLOOKUP(A242,AN_PKN7,12,FALSE)</f>
        <v>0</v>
      </c>
      <c r="G243" s="1073">
        <f>VLOOKUP(A242,AN_PKN7,12,FALSE)</f>
        <v>0</v>
      </c>
      <c r="H243" s="324">
        <f>AVERAGE(E243:G243)</f>
        <v>0</v>
      </c>
      <c r="I243" s="316" t="s">
        <v>50</v>
      </c>
      <c r="J243" s="1073">
        <f>VLOOKUP(A242,AN_BI7,21,FALSE)</f>
        <v>0</v>
      </c>
      <c r="K243" s="1073">
        <f>VLOOKUP(A242,AN_BI7,21,FALSE)</f>
        <v>0</v>
      </c>
      <c r="L243" s="1073">
        <f>VLOOKUP(A242,AN_BI7,21,FALSE)</f>
        <v>0</v>
      </c>
      <c r="M243" s="1073">
        <f>VLOOKUP(A242,AN_BI7,21,FALSE)</f>
        <v>0</v>
      </c>
      <c r="N243" s="1073"/>
      <c r="O243" s="545">
        <f t="shared" ref="O243:O245" si="444">AVERAGE(J243:N243)</f>
        <v>0</v>
      </c>
      <c r="P243" s="316" t="s">
        <v>50</v>
      </c>
      <c r="Q243" s="1073"/>
      <c r="R243" s="325"/>
      <c r="S243" s="325">
        <f>VLOOKUP(A242,AN_MAT7,16,FALSE)</f>
        <v>0</v>
      </c>
      <c r="T243" s="325">
        <f>VLOOKUP(A242,AN_MAT7,16,FALSE)</f>
        <v>0</v>
      </c>
      <c r="U243" s="325">
        <f>VLOOKUP(A242,AN_MAT7,16,FALSE)</f>
        <v>0</v>
      </c>
      <c r="V243" s="325">
        <f>VLOOKUP(A242,AN_MAT7,16,FALSE)</f>
        <v>0</v>
      </c>
      <c r="W243" s="325"/>
      <c r="X243" s="316" t="s">
        <v>50</v>
      </c>
      <c r="Y243" s="325">
        <f>VLOOKUP(A242,AN_SBDP7,16,FALSE)</f>
        <v>0</v>
      </c>
      <c r="Z243" s="325">
        <f>VLOOKUP(A242,AN_SBDP7,16,FALSE)</f>
        <v>0</v>
      </c>
      <c r="AA243" s="325"/>
      <c r="AB243" s="325">
        <f>VLOOKUP(A242,AN_SBDP7,16,FALSE)</f>
        <v>0</v>
      </c>
      <c r="AC243" s="661" t="s">
        <v>26</v>
      </c>
      <c r="AD243" s="325"/>
      <c r="AE243" s="325"/>
      <c r="AF243" s="325">
        <f>VLOOKUP(A242,AN_SBDP7,16,FALSE)</f>
        <v>0</v>
      </c>
      <c r="AG243" s="325">
        <f>VLOOKUP(A242,AN_SBDP7,16,FALSE)</f>
        <v>0</v>
      </c>
      <c r="AH243" s="325"/>
      <c r="AI243" s="661" t="s">
        <v>45</v>
      </c>
      <c r="AJ243" s="325">
        <f>VLOOKUP(A242,an_agm,49,FALSE)</f>
        <v>0</v>
      </c>
      <c r="AK243" s="325"/>
      <c r="AL243" s="325"/>
      <c r="AM243" s="325"/>
      <c r="AN243" s="325"/>
      <c r="AO243" s="325"/>
      <c r="AP243" s="315" t="s">
        <v>26</v>
      </c>
      <c r="AQ243" s="325"/>
      <c r="AR243" s="325">
        <f>VLOOKUP(A242,UHT_jawa,19,FALSE)</f>
        <v>0</v>
      </c>
      <c r="AS243" s="325"/>
      <c r="AT243" s="661" t="s">
        <v>45</v>
      </c>
      <c r="AU243" s="325">
        <f>VLOOKUP(A242,AN_IPA7,16,FALSE)</f>
        <v>0</v>
      </c>
      <c r="AV243" s="325">
        <f>VLOOKUP(A242,AN_IPA7,16,FALSE)</f>
        <v>0</v>
      </c>
      <c r="AW243" s="661" t="s">
        <v>45</v>
      </c>
      <c r="AX243" s="325">
        <f>VLOOKUP(A242,an_ips7,16,FALSE)</f>
        <v>0</v>
      </c>
      <c r="AY243" s="325">
        <f>VLOOKUP(A242,an_ips7,16,FALSE)</f>
        <v>0</v>
      </c>
      <c r="AZ243" s="325">
        <f>VLOOKUP(A242,an_ips7,16,FALSE)</f>
        <v>0</v>
      </c>
    </row>
    <row r="244" spans="1:52" x14ac:dyDescent="0.25">
      <c r="A244" s="599"/>
      <c r="B244" s="609"/>
      <c r="C244" s="71"/>
      <c r="D244" s="316" t="s">
        <v>50</v>
      </c>
      <c r="E244" s="1073"/>
      <c r="F244" s="1073">
        <f>VLOOKUP(A242,AN_PKN8,17,FALSE)</f>
        <v>0</v>
      </c>
      <c r="G244" s="1073">
        <f>VLOOKUP(A242,AN_PKN8,17,FALSE)</f>
        <v>0</v>
      </c>
      <c r="H244" s="324">
        <f>AVERAGE(E244:G244)</f>
        <v>0</v>
      </c>
      <c r="I244" s="316" t="s">
        <v>51</v>
      </c>
      <c r="J244" s="1073">
        <f>VLOOKUP(A242,AN_BI8,19,FALSE)</f>
        <v>0</v>
      </c>
      <c r="K244" s="1073"/>
      <c r="L244" s="1073"/>
      <c r="M244" s="1073">
        <f>VLOOKUP(A242,AN_BI8,19,FALSE)</f>
        <v>0</v>
      </c>
      <c r="N244" s="1073"/>
      <c r="O244" s="545">
        <f t="shared" si="444"/>
        <v>0</v>
      </c>
      <c r="P244" s="316" t="s">
        <v>51</v>
      </c>
      <c r="Q244" s="1073">
        <f>VLOOKUP(A242,AN_MAT8,16,FALSE)</f>
        <v>0</v>
      </c>
      <c r="R244" s="325">
        <f>VLOOKUP(A242,AN_MAT8,16,FALSE)</f>
        <v>0</v>
      </c>
      <c r="S244" s="325"/>
      <c r="T244" s="325"/>
      <c r="U244" s="325"/>
      <c r="V244" s="325"/>
      <c r="W244" s="325">
        <f>VLOOKUP(A242,AN_MAT8,16,FALSE)</f>
        <v>0</v>
      </c>
      <c r="X244" s="316" t="s">
        <v>51</v>
      </c>
      <c r="Y244" s="325"/>
      <c r="Z244" s="325">
        <f>VLOOKUP(A242,AN_SBDP8,16,FALSE)</f>
        <v>0</v>
      </c>
      <c r="AA244" s="325"/>
      <c r="AB244" s="325">
        <f>VLOOKUP(A242,AN_SBDP8,16,FALSE)</f>
        <v>0</v>
      </c>
      <c r="AC244" s="661" t="s">
        <v>50</v>
      </c>
      <c r="AD244" s="325"/>
      <c r="AE244" s="325"/>
      <c r="AF244" s="325">
        <f>VLOOKUP(A242,AN_SBDP8,16,FALSE)</f>
        <v>0</v>
      </c>
      <c r="AG244" s="325"/>
      <c r="AH244" s="325">
        <f>VLOOKUP(A242,AN_SBDP8,16,FALSE)</f>
        <v>0</v>
      </c>
      <c r="AI244" s="661" t="s">
        <v>46</v>
      </c>
      <c r="AJ244" s="325"/>
      <c r="AK244" s="325"/>
      <c r="AL244" s="325"/>
      <c r="AM244" s="325">
        <f>VLOOKUP(A242,an_agm,52,FALSE)</f>
        <v>0</v>
      </c>
      <c r="AN244" s="325">
        <f>VLOOKUP(A242,an_agm,53,FALSE)</f>
        <v>0</v>
      </c>
      <c r="AO244" s="325"/>
      <c r="AP244" s="315" t="s">
        <v>50</v>
      </c>
      <c r="AQ244" s="325"/>
      <c r="AR244" s="325"/>
      <c r="AS244" s="325">
        <f>VLOOKUP(A242,UHT_jawa,20,FALSE)</f>
        <v>0</v>
      </c>
      <c r="AT244" s="661" t="s">
        <v>46</v>
      </c>
      <c r="AU244" s="325"/>
      <c r="AV244" s="325">
        <f>VLOOKUP(A242,AN_IPA7,16,FALSE)</f>
        <v>0</v>
      </c>
      <c r="AW244" s="661" t="s">
        <v>46</v>
      </c>
      <c r="AX244" s="325">
        <f>VLOOKUP(A242,AN_ips8,16,FALSE)</f>
        <v>0</v>
      </c>
      <c r="AY244" s="325">
        <f>VLOOKUP(A242,AN_ips8,16,FALSE)</f>
        <v>0</v>
      </c>
      <c r="AZ244" s="325">
        <f>VLOOKUP(A242,AN_ips8,16,FALSE)</f>
        <v>0</v>
      </c>
    </row>
    <row r="245" spans="1:52" x14ac:dyDescent="0.25">
      <c r="A245" s="599"/>
      <c r="B245" s="609"/>
      <c r="C245" s="71"/>
      <c r="D245" s="316" t="s">
        <v>51</v>
      </c>
      <c r="E245" s="325">
        <f>VLOOKUP(A242,AN_PKN9,16,FALSE)</f>
        <v>0</v>
      </c>
      <c r="F245" s="325"/>
      <c r="G245" s="325"/>
      <c r="H245" s="324">
        <f>AVERAGE(E245:G245)</f>
        <v>0</v>
      </c>
      <c r="I245" s="316" t="s">
        <v>52</v>
      </c>
      <c r="J245" s="1073">
        <f>VLOOKUP(A242,AN_BI9,21,FALSE)</f>
        <v>0</v>
      </c>
      <c r="K245" s="1073">
        <f>VLOOKUP(A242,AN_BI9,21,FALSE)</f>
        <v>0</v>
      </c>
      <c r="L245" s="1073">
        <f>VLOOKUP(A242,AN_BI9,21,FALSE)</f>
        <v>0</v>
      </c>
      <c r="M245" s="1073">
        <f>VLOOKUP(A242,AN_BI9,21,FALSE)</f>
        <v>0</v>
      </c>
      <c r="N245" s="1073"/>
      <c r="O245" s="545">
        <f t="shared" si="444"/>
        <v>0</v>
      </c>
      <c r="P245" s="316" t="s">
        <v>52</v>
      </c>
      <c r="Q245" s="1073">
        <f>VLOOKUP(A242,AN_MAT9,16,FALSE)</f>
        <v>0</v>
      </c>
      <c r="R245" s="325">
        <f>VLOOKUP(A242,AN_MAT9,16,FALSE)</f>
        <v>0</v>
      </c>
      <c r="S245" s="325">
        <f>VLOOKUP(A242,AN_MAT9,16,FALSE)</f>
        <v>0</v>
      </c>
      <c r="T245" s="325">
        <f>VLOOKUP(A242,AN_MAT9,16,FALSE)</f>
        <v>0</v>
      </c>
      <c r="U245" s="325">
        <f>VLOOKUP(A242,AN_MAT9,16,FALSE)</f>
        <v>0</v>
      </c>
      <c r="V245" s="325">
        <f>VLOOKUP(A242,AN_MAT9,16,FALSE)</f>
        <v>0</v>
      </c>
      <c r="W245" s="325">
        <f>VLOOKUP(A242,AN_MAT9,16,FALSE)</f>
        <v>0</v>
      </c>
      <c r="X245" s="316" t="s">
        <v>52</v>
      </c>
      <c r="Y245" s="325"/>
      <c r="Z245" s="325">
        <f>VLOOKUP(A242,AN_SBDP9,16,FALSE)</f>
        <v>0</v>
      </c>
      <c r="AA245" s="325">
        <f>VLOOKUP(A242,AN_SBDP9,16,FALSE)</f>
        <v>0</v>
      </c>
      <c r="AB245" s="325"/>
      <c r="AC245" s="661" t="s">
        <v>51</v>
      </c>
      <c r="AD245" s="325"/>
      <c r="AE245" s="325">
        <f>VLOOKUP(A242,AN_SBDP9,16,FALSE)</f>
        <v>0</v>
      </c>
      <c r="AF245" s="325">
        <f>VLOOKUP(A242,AN_SBDP9,16,FALSE)</f>
        <v>0</v>
      </c>
      <c r="AG245" s="325"/>
      <c r="AH245" s="325"/>
      <c r="AI245" s="661" t="s">
        <v>47</v>
      </c>
      <c r="AJ245" s="325"/>
      <c r="AK245" s="325">
        <f>VLOOKUP(A242,an_agm,50,FALSE)</f>
        <v>0</v>
      </c>
      <c r="AL245" s="325"/>
      <c r="AM245" s="325"/>
      <c r="AN245" s="325"/>
      <c r="AO245" s="325"/>
      <c r="AP245" s="315" t="s">
        <v>51</v>
      </c>
      <c r="AQ245" s="325"/>
      <c r="AR245" s="325"/>
      <c r="AS245" s="325"/>
      <c r="AT245" s="661" t="s">
        <v>47</v>
      </c>
      <c r="AU245" s="325"/>
      <c r="AV245" s="325">
        <f>VLOOKUP(A242,an_IPA9,16,FALSE)</f>
        <v>0</v>
      </c>
      <c r="AW245" s="661" t="s">
        <v>47</v>
      </c>
      <c r="AX245" s="325">
        <f>VLOOKUP(A242,AN_IPS_9,16,FALSE)</f>
        <v>0</v>
      </c>
      <c r="AY245" s="325"/>
      <c r="AZ245" s="325">
        <f>VLOOKUP(A242,AN_IPS_9,16,FALSE)</f>
        <v>0</v>
      </c>
    </row>
    <row r="246" spans="1:52" x14ac:dyDescent="0.25">
      <c r="A246" s="599"/>
      <c r="B246" s="609"/>
      <c r="C246" s="71"/>
      <c r="D246" s="316"/>
      <c r="E246" s="1073"/>
      <c r="F246" s="1073"/>
      <c r="G246" s="1073"/>
      <c r="H246" s="1074"/>
      <c r="I246" s="316"/>
      <c r="J246" s="1073"/>
      <c r="K246" s="1073"/>
      <c r="L246" s="1073"/>
      <c r="M246" s="1073"/>
      <c r="N246" s="1073"/>
      <c r="O246" s="1074"/>
      <c r="P246" s="315"/>
      <c r="Q246" s="1073"/>
      <c r="R246" s="1073"/>
      <c r="S246" s="1073"/>
      <c r="T246" s="1073"/>
      <c r="U246" s="1073"/>
      <c r="V246" s="1073"/>
      <c r="W246" s="1073"/>
      <c r="X246" s="315"/>
      <c r="Y246" s="325"/>
      <c r="Z246" s="325"/>
      <c r="AA246" s="325"/>
      <c r="AB246" s="325"/>
      <c r="AC246" s="661"/>
      <c r="AD246" s="1073"/>
      <c r="AE246" s="1073"/>
      <c r="AF246" s="1112"/>
      <c r="AG246" s="1112"/>
      <c r="AH246" s="1112"/>
      <c r="AI246" s="661" t="s">
        <v>48</v>
      </c>
      <c r="AJ246" s="325"/>
      <c r="AK246" s="325"/>
      <c r="AL246" s="325"/>
      <c r="AM246" s="325"/>
      <c r="AN246" s="325"/>
      <c r="AO246" s="325">
        <f>VLOOKUP(A242,an_agm,54,FALSE)</f>
        <v>0</v>
      </c>
      <c r="AP246" s="315"/>
      <c r="AQ246" s="1136"/>
      <c r="AR246" s="1136"/>
      <c r="AS246" s="1136"/>
      <c r="AT246" s="315"/>
      <c r="AU246" s="325"/>
      <c r="AV246" s="325"/>
      <c r="AW246" s="315"/>
      <c r="AX246" s="325"/>
      <c r="AY246" s="325"/>
      <c r="AZ246" s="325"/>
    </row>
    <row r="247" spans="1:52" x14ac:dyDescent="0.25">
      <c r="A247" s="604"/>
      <c r="B247" s="611">
        <v>40</v>
      </c>
      <c r="C247" s="72"/>
      <c r="D247" s="317" t="s">
        <v>214</v>
      </c>
      <c r="E247" s="318">
        <f>IFERROR(AVERAGE(E242:E246),"  ")</f>
        <v>0</v>
      </c>
      <c r="F247" s="318">
        <f t="shared" ref="F247:G247" si="445">IFERROR(AVERAGE(F242:F246),"  ")</f>
        <v>0</v>
      </c>
      <c r="G247" s="318">
        <f t="shared" si="445"/>
        <v>0</v>
      </c>
      <c r="H247" s="323"/>
      <c r="I247" s="317" t="s">
        <v>214</v>
      </c>
      <c r="J247" s="318">
        <f>IFERROR(AVERAGE(J242:J246),"  ")</f>
        <v>0</v>
      </c>
      <c r="K247" s="318">
        <f t="shared" ref="K247:M247" si="446">IFERROR(AVERAGE(K242:K246),"  ")</f>
        <v>0</v>
      </c>
      <c r="L247" s="318">
        <f t="shared" si="446"/>
        <v>0</v>
      </c>
      <c r="M247" s="318">
        <f t="shared" si="446"/>
        <v>0</v>
      </c>
      <c r="N247" s="318">
        <f>IFERROR(AVERAGE(N242:N246),"  ")</f>
        <v>0</v>
      </c>
      <c r="O247" s="597"/>
      <c r="P247" s="317" t="s">
        <v>214</v>
      </c>
      <c r="Q247" s="318">
        <f>IFERROR(AVERAGE(Q242:Q246),"  ")</f>
        <v>0</v>
      </c>
      <c r="R247" s="318">
        <f t="shared" ref="R247" si="447">IFERROR(AVERAGE(R242:R246),"  ")</f>
        <v>24.242424242424246</v>
      </c>
      <c r="S247" s="318">
        <f t="shared" ref="S247" si="448">IFERROR(AVERAGE(S242:S246),"  ")</f>
        <v>0</v>
      </c>
      <c r="T247" s="318">
        <f t="shared" ref="T247" si="449">IFERROR(AVERAGE(T242:T246),"  ")</f>
        <v>24.242424242424246</v>
      </c>
      <c r="U247" s="318">
        <f t="shared" ref="U247" si="450">IFERROR(AVERAGE(U242:U246),"  ")</f>
        <v>0</v>
      </c>
      <c r="V247" s="318">
        <f t="shared" ref="V247" si="451">IFERROR(AVERAGE(V242:V246),"  ")</f>
        <v>0</v>
      </c>
      <c r="W247" s="318">
        <f t="shared" ref="W247" si="452">IFERROR(AVERAGE(W242:W246),"  ")</f>
        <v>0</v>
      </c>
      <c r="X247" s="317" t="s">
        <v>214</v>
      </c>
      <c r="Y247" s="318">
        <f t="shared" ref="Y247" si="453">IFERROR(AVERAGE(Y242:Y246),"  ")</f>
        <v>0</v>
      </c>
      <c r="Z247" s="318">
        <f t="shared" ref="Z247" si="454">IFERROR(AVERAGE(Z242:Z246),"  ")</f>
        <v>0</v>
      </c>
      <c r="AA247" s="318">
        <f t="shared" ref="AA247" si="455">IFERROR(AVERAGE(AA242:AA246),"  ")</f>
        <v>0</v>
      </c>
      <c r="AB247" s="318">
        <f t="shared" ref="AB247" si="456">IFERROR(AVERAGE(AB242:AB246),"  ")</f>
        <v>0</v>
      </c>
      <c r="AC247" s="317" t="s">
        <v>214</v>
      </c>
      <c r="AD247" s="318">
        <f t="shared" ref="AD247:AH247" si="457">IFERROR(AVERAGE(AD242:AD246),"  ")</f>
        <v>0</v>
      </c>
      <c r="AE247" s="318">
        <f t="shared" si="457"/>
        <v>0</v>
      </c>
      <c r="AF247" s="318">
        <f t="shared" si="457"/>
        <v>0</v>
      </c>
      <c r="AG247" s="318">
        <f t="shared" si="457"/>
        <v>0</v>
      </c>
      <c r="AH247" s="318">
        <f t="shared" si="457"/>
        <v>0</v>
      </c>
      <c r="AI247" s="317" t="s">
        <v>214</v>
      </c>
      <c r="AJ247" s="318">
        <f t="shared" ref="AJ247:AO247" si="458">IFERROR(AVERAGE(AJ242:AJ246),"  ")</f>
        <v>0</v>
      </c>
      <c r="AK247" s="318">
        <f t="shared" si="458"/>
        <v>0</v>
      </c>
      <c r="AL247" s="318">
        <f t="shared" si="458"/>
        <v>0</v>
      </c>
      <c r="AM247" s="318">
        <f t="shared" si="458"/>
        <v>0</v>
      </c>
      <c r="AN247" s="318">
        <f t="shared" si="458"/>
        <v>0</v>
      </c>
      <c r="AO247" s="318">
        <f t="shared" si="458"/>
        <v>0</v>
      </c>
      <c r="AP247" s="317" t="s">
        <v>214</v>
      </c>
      <c r="AQ247" s="318">
        <f t="shared" ref="AQ247:AS247" si="459">IFERROR(AVERAGE(AQ242:AQ246),"  ")</f>
        <v>0</v>
      </c>
      <c r="AR247" s="318">
        <f t="shared" si="459"/>
        <v>0</v>
      </c>
      <c r="AS247" s="318">
        <f t="shared" si="459"/>
        <v>0</v>
      </c>
      <c r="AT247" s="317" t="s">
        <v>214</v>
      </c>
      <c r="AU247" s="318">
        <f t="shared" ref="AU247:AV247" si="460">IFERROR(AVERAGE(AU242:AU246),"  ")</f>
        <v>0</v>
      </c>
      <c r="AV247" s="318">
        <f t="shared" si="460"/>
        <v>0</v>
      </c>
      <c r="AW247" s="317" t="s">
        <v>214</v>
      </c>
      <c r="AX247" s="318">
        <f t="shared" ref="AX247:AZ247" si="461">IFERROR(AVERAGE(AX242:AX246),"  ")</f>
        <v>0</v>
      </c>
      <c r="AY247" s="318">
        <f t="shared" si="461"/>
        <v>0</v>
      </c>
      <c r="AZ247" s="318">
        <f t="shared" si="461"/>
        <v>0</v>
      </c>
    </row>
    <row r="248" spans="1:52" s="312" customFormat="1" x14ac:dyDescent="0.25">
      <c r="A248" s="601"/>
      <c r="B248" s="601"/>
      <c r="AC248" s="661" t="s">
        <v>156</v>
      </c>
      <c r="AD248" s="325" t="e">
        <f>VLOOKUP(A248,an_pjok5,16,FALSE)</f>
        <v>#NAME?</v>
      </c>
      <c r="AE248" s="325"/>
      <c r="AF248" s="1116"/>
      <c r="AG248" s="1116"/>
      <c r="AH248" s="1116"/>
    </row>
  </sheetData>
  <mergeCells count="23">
    <mergeCell ref="A3:C3"/>
    <mergeCell ref="AQ6:AS6"/>
    <mergeCell ref="AI6:AI7"/>
    <mergeCell ref="AJ6:AO6"/>
    <mergeCell ref="Y6:AB6"/>
    <mergeCell ref="AC6:AC7"/>
    <mergeCell ref="AD6:AH6"/>
    <mergeCell ref="J6:N6"/>
    <mergeCell ref="Q6:W6"/>
    <mergeCell ref="P6:P7"/>
    <mergeCell ref="X6:X7"/>
    <mergeCell ref="AP6:AP7"/>
    <mergeCell ref="O6:O7"/>
    <mergeCell ref="AW6:AW7"/>
    <mergeCell ref="AX6:AZ6"/>
    <mergeCell ref="A6:A7"/>
    <mergeCell ref="C6:C7"/>
    <mergeCell ref="E6:G6"/>
    <mergeCell ref="AT6:AT7"/>
    <mergeCell ref="AU6:AV6"/>
    <mergeCell ref="D6:D7"/>
    <mergeCell ref="I6:I7"/>
    <mergeCell ref="H6:H7"/>
  </mergeCells>
  <pageMargins left="0.7" right="0.7" top="0.75" bottom="0.75" header="0.3" footer="0.3"/>
  <pageSetup paperSize="9" orientation="portrait" horizontalDpi="0" verticalDpi="0"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sheetPr>
  <dimension ref="A1:BD53"/>
  <sheetViews>
    <sheetView showGridLines="0" zoomScale="85" zoomScaleNormal="85" workbookViewId="0">
      <pane xSplit="2" ySplit="8" topLeftCell="C9" activePane="bottomRight" state="frozen"/>
      <selection activeCell="Q20" sqref="Q20"/>
      <selection pane="topRight" activeCell="Q20" sqref="Q20"/>
      <selection pane="bottomLeft" activeCell="Q20" sqref="Q20"/>
      <selection pane="bottomRight"/>
    </sheetView>
  </sheetViews>
  <sheetFormatPr defaultRowHeight="15" x14ac:dyDescent="0.25"/>
  <cols>
    <col min="1" max="1" width="3.7109375" style="432" customWidth="1"/>
    <col min="2" max="2" width="41.85546875" style="432" customWidth="1"/>
    <col min="3" max="3" width="3.85546875" style="432" customWidth="1"/>
    <col min="4" max="9" width="3.5703125" style="432" customWidth="1"/>
    <col min="10" max="10" width="4.42578125" style="432" customWidth="1"/>
    <col min="11" max="16" width="3.5703125" style="432" customWidth="1"/>
    <col min="17" max="17" width="4.85546875" style="432" customWidth="1"/>
    <col min="18" max="23" width="3.5703125" style="432" customWidth="1"/>
    <col min="24" max="24" width="4.5703125" style="432" customWidth="1"/>
    <col min="25" max="29" width="3.5703125" style="432" customWidth="1"/>
    <col min="30" max="30" width="4.42578125" style="432" customWidth="1"/>
    <col min="31" max="36" width="3.5703125" style="432" customWidth="1"/>
    <col min="37" max="37" width="4.28515625" style="432" customWidth="1"/>
    <col min="38" max="43" width="3.5703125" style="432" customWidth="1"/>
    <col min="44" max="44" width="4.7109375" style="432" customWidth="1"/>
    <col min="45" max="47" width="4.5703125" style="432" customWidth="1"/>
    <col min="48" max="48" width="6.85546875" style="432" customWidth="1"/>
    <col min="49" max="54" width="5.28515625" style="432" customWidth="1"/>
    <col min="55" max="55" width="8.140625" style="432" customWidth="1"/>
    <col min="56" max="56" width="17.28515625" style="432" customWidth="1"/>
    <col min="57" max="16384" width="9.140625" style="432"/>
  </cols>
  <sheetData>
    <row r="1" spans="1:56" ht="33.75" customHeight="1" x14ac:dyDescent="0.25">
      <c r="U1" s="982"/>
      <c r="V1" s="982"/>
      <c r="W1" s="982"/>
      <c r="X1" s="982"/>
      <c r="Y1" s="982"/>
      <c r="Z1" s="982"/>
      <c r="AA1" s="982"/>
      <c r="AB1" s="982"/>
      <c r="AC1" s="433"/>
      <c r="AD1" s="433"/>
      <c r="AE1" s="433"/>
      <c r="AF1" s="433"/>
      <c r="AG1" s="433"/>
      <c r="AH1" s="433"/>
      <c r="AI1" s="433"/>
      <c r="AJ1" s="433"/>
      <c r="AK1" s="433"/>
      <c r="AL1" s="433"/>
      <c r="AM1" s="433"/>
      <c r="AN1" s="433"/>
      <c r="AO1" s="433"/>
      <c r="AP1" s="433"/>
      <c r="AQ1" s="433"/>
      <c r="AR1" s="433"/>
    </row>
    <row r="2" spans="1:56" ht="23.25" x14ac:dyDescent="0.35">
      <c r="A2" s="434" t="s">
        <v>53</v>
      </c>
      <c r="U2" s="433"/>
      <c r="V2" s="433"/>
      <c r="W2" s="433"/>
      <c r="X2" s="433"/>
      <c r="Y2" s="433"/>
      <c r="Z2" s="433"/>
      <c r="AA2" s="433"/>
      <c r="AB2" s="433"/>
      <c r="AC2" s="433"/>
      <c r="AD2" s="433"/>
      <c r="AE2" s="433"/>
      <c r="AF2" s="433"/>
      <c r="AG2" s="433"/>
      <c r="AH2" s="433"/>
      <c r="AI2" s="435"/>
      <c r="AJ2" s="435"/>
      <c r="AK2" s="435"/>
      <c r="AL2" s="435"/>
      <c r="AM2" s="435"/>
      <c r="AN2" s="435"/>
      <c r="AO2" s="435"/>
      <c r="AP2" s="435"/>
      <c r="AQ2" s="435"/>
      <c r="AR2" s="435"/>
    </row>
    <row r="3" spans="1:56" ht="18.75" x14ac:dyDescent="0.3">
      <c r="A3" s="436" t="s">
        <v>27</v>
      </c>
      <c r="AF3" s="433"/>
      <c r="AG3" s="433"/>
      <c r="AH3" s="433"/>
      <c r="AI3" s="433"/>
      <c r="AJ3" s="433"/>
      <c r="AK3" s="433"/>
      <c r="AL3" s="433"/>
      <c r="AM3" s="433"/>
      <c r="AN3" s="433"/>
      <c r="AO3" s="433"/>
      <c r="AP3" s="433"/>
      <c r="AQ3" s="433"/>
      <c r="AR3" s="433"/>
    </row>
    <row r="4" spans="1:56" ht="18.75" x14ac:dyDescent="0.3">
      <c r="A4" s="436" t="s">
        <v>609</v>
      </c>
    </row>
    <row r="5" spans="1:56" s="438" customFormat="1" ht="16.5" thickBot="1" x14ac:dyDescent="0.3">
      <c r="A5" s="437">
        <v>1</v>
      </c>
      <c r="B5" s="437">
        <v>2</v>
      </c>
      <c r="C5" s="437">
        <v>3</v>
      </c>
      <c r="D5" s="437">
        <v>4</v>
      </c>
      <c r="E5" s="437">
        <v>5</v>
      </c>
      <c r="F5" s="437">
        <v>6</v>
      </c>
      <c r="G5" s="437">
        <v>7</v>
      </c>
      <c r="H5" s="437">
        <v>8</v>
      </c>
      <c r="I5" s="437">
        <v>9</v>
      </c>
      <c r="J5" s="437">
        <v>10</v>
      </c>
      <c r="K5" s="437">
        <v>11</v>
      </c>
      <c r="L5" s="437">
        <v>12</v>
      </c>
      <c r="M5" s="437">
        <v>13</v>
      </c>
      <c r="N5" s="437">
        <v>14</v>
      </c>
      <c r="O5" s="437">
        <v>15</v>
      </c>
      <c r="P5" s="437">
        <v>16</v>
      </c>
      <c r="Q5" s="437">
        <v>17</v>
      </c>
      <c r="R5" s="437">
        <v>18</v>
      </c>
      <c r="S5" s="437">
        <v>19</v>
      </c>
      <c r="T5" s="437">
        <v>20</v>
      </c>
      <c r="U5" s="437">
        <v>21</v>
      </c>
      <c r="V5" s="437">
        <v>22</v>
      </c>
      <c r="W5" s="437">
        <v>23</v>
      </c>
      <c r="X5" s="437">
        <v>24</v>
      </c>
      <c r="Y5" s="437">
        <v>25</v>
      </c>
      <c r="Z5" s="437">
        <v>26</v>
      </c>
      <c r="AA5" s="437">
        <v>27</v>
      </c>
      <c r="AB5" s="437">
        <v>28</v>
      </c>
      <c r="AC5" s="437">
        <v>29</v>
      </c>
      <c r="AD5" s="437">
        <v>30</v>
      </c>
      <c r="AE5" s="437">
        <v>31</v>
      </c>
      <c r="AF5" s="437">
        <v>32</v>
      </c>
      <c r="AG5" s="437">
        <v>33</v>
      </c>
      <c r="AH5" s="437">
        <v>34</v>
      </c>
      <c r="AI5" s="437">
        <v>35</v>
      </c>
      <c r="AJ5" s="437">
        <v>36</v>
      </c>
      <c r="AK5" s="437">
        <v>37</v>
      </c>
      <c r="AL5" s="437">
        <v>38</v>
      </c>
      <c r="AM5" s="437">
        <v>39</v>
      </c>
      <c r="AN5" s="437">
        <v>40</v>
      </c>
      <c r="AO5" s="437">
        <v>41</v>
      </c>
      <c r="AP5" s="437">
        <v>42</v>
      </c>
      <c r="AQ5" s="437">
        <v>43</v>
      </c>
      <c r="AR5" s="437">
        <v>44</v>
      </c>
      <c r="AS5" s="437">
        <v>45</v>
      </c>
      <c r="AT5" s="437">
        <v>46</v>
      </c>
      <c r="AU5" s="437">
        <v>47</v>
      </c>
      <c r="AV5" s="437">
        <v>48</v>
      </c>
      <c r="AW5" s="1076">
        <v>49</v>
      </c>
      <c r="AX5" s="1076">
        <v>50</v>
      </c>
      <c r="AY5" s="1076">
        <v>51</v>
      </c>
      <c r="AZ5" s="1076">
        <v>52</v>
      </c>
      <c r="BA5" s="1076">
        <v>53</v>
      </c>
      <c r="BB5" s="1076">
        <v>54</v>
      </c>
      <c r="BC5" s="437">
        <v>55</v>
      </c>
      <c r="BD5" s="437">
        <v>56</v>
      </c>
    </row>
    <row r="6" spans="1:56" s="439" customFormat="1" ht="20.25" customHeight="1" x14ac:dyDescent="0.25">
      <c r="A6" s="3105" t="s">
        <v>0</v>
      </c>
      <c r="B6" s="3105" t="s">
        <v>28</v>
      </c>
      <c r="C6" s="3105" t="s">
        <v>3</v>
      </c>
      <c r="D6" s="3106" t="s">
        <v>7</v>
      </c>
      <c r="E6" s="3106"/>
      <c r="F6" s="3106"/>
      <c r="G6" s="3106"/>
      <c r="H6" s="3106"/>
      <c r="I6" s="3106"/>
      <c r="J6" s="3106"/>
      <c r="K6" s="3106" t="s">
        <v>18</v>
      </c>
      <c r="L6" s="3106"/>
      <c r="M6" s="3106"/>
      <c r="N6" s="3106"/>
      <c r="O6" s="3106"/>
      <c r="P6" s="3106"/>
      <c r="Q6" s="3106"/>
      <c r="R6" s="3106" t="s">
        <v>179</v>
      </c>
      <c r="S6" s="3106"/>
      <c r="T6" s="3106"/>
      <c r="U6" s="3106"/>
      <c r="V6" s="3106"/>
      <c r="W6" s="3106"/>
      <c r="X6" s="3106"/>
      <c r="Y6" s="3106" t="s">
        <v>180</v>
      </c>
      <c r="Z6" s="3106"/>
      <c r="AA6" s="3106"/>
      <c r="AB6" s="3106"/>
      <c r="AC6" s="3106"/>
      <c r="AD6" s="3106"/>
      <c r="AE6" s="3106" t="s">
        <v>19</v>
      </c>
      <c r="AF6" s="3106"/>
      <c r="AG6" s="3106"/>
      <c r="AH6" s="3106"/>
      <c r="AI6" s="3106"/>
      <c r="AJ6" s="3106"/>
      <c r="AK6" s="3106"/>
      <c r="AL6" s="3106" t="s">
        <v>181</v>
      </c>
      <c r="AM6" s="3106"/>
      <c r="AN6" s="3106"/>
      <c r="AO6" s="3106"/>
      <c r="AP6" s="3106"/>
      <c r="AQ6" s="3106"/>
      <c r="AR6" s="3106"/>
      <c r="AS6" s="3111" t="s">
        <v>29</v>
      </c>
      <c r="AT6" s="3114" t="s">
        <v>30</v>
      </c>
      <c r="AU6" s="3114" t="s">
        <v>31</v>
      </c>
      <c r="AV6" s="3117" t="s">
        <v>32</v>
      </c>
      <c r="AW6" s="3120" t="s">
        <v>158</v>
      </c>
      <c r="AX6" s="3120"/>
      <c r="AY6" s="3120"/>
      <c r="AZ6" s="3120"/>
      <c r="BA6" s="3120"/>
      <c r="BB6" s="3120"/>
      <c r="BC6" s="3122" t="s">
        <v>33</v>
      </c>
      <c r="BD6" s="3109" t="s">
        <v>34</v>
      </c>
    </row>
    <row r="7" spans="1:56" s="439" customFormat="1" ht="20.25" customHeight="1" x14ac:dyDescent="0.25">
      <c r="A7" s="3105"/>
      <c r="B7" s="3105"/>
      <c r="C7" s="3105"/>
      <c r="D7" s="440" t="s">
        <v>29</v>
      </c>
      <c r="E7" s="440" t="s">
        <v>29</v>
      </c>
      <c r="F7" s="440" t="s">
        <v>29</v>
      </c>
      <c r="G7" s="441" t="s">
        <v>30</v>
      </c>
      <c r="H7" s="441" t="s">
        <v>30</v>
      </c>
      <c r="I7" s="442" t="s">
        <v>31</v>
      </c>
      <c r="J7" s="3107" t="s">
        <v>159</v>
      </c>
      <c r="K7" s="440" t="s">
        <v>29</v>
      </c>
      <c r="L7" s="440" t="s">
        <v>29</v>
      </c>
      <c r="M7" s="440" t="s">
        <v>29</v>
      </c>
      <c r="N7" s="441" t="s">
        <v>30</v>
      </c>
      <c r="O7" s="441" t="s">
        <v>30</v>
      </c>
      <c r="P7" s="442" t="s">
        <v>31</v>
      </c>
      <c r="Q7" s="3107" t="s">
        <v>159</v>
      </c>
      <c r="R7" s="440" t="s">
        <v>29</v>
      </c>
      <c r="S7" s="440" t="s">
        <v>29</v>
      </c>
      <c r="T7" s="440" t="s">
        <v>29</v>
      </c>
      <c r="U7" s="441" t="s">
        <v>30</v>
      </c>
      <c r="V7" s="441" t="s">
        <v>30</v>
      </c>
      <c r="W7" s="442" t="s">
        <v>31</v>
      </c>
      <c r="X7" s="3107" t="s">
        <v>159</v>
      </c>
      <c r="Y7" s="440" t="s">
        <v>29</v>
      </c>
      <c r="Z7" s="440" t="s">
        <v>29</v>
      </c>
      <c r="AA7" s="440" t="s">
        <v>29</v>
      </c>
      <c r="AB7" s="441" t="s">
        <v>30</v>
      </c>
      <c r="AC7" s="442" t="s">
        <v>31</v>
      </c>
      <c r="AD7" s="3108" t="s">
        <v>159</v>
      </c>
      <c r="AE7" s="440" t="s">
        <v>29</v>
      </c>
      <c r="AF7" s="440" t="s">
        <v>29</v>
      </c>
      <c r="AG7" s="440" t="s">
        <v>29</v>
      </c>
      <c r="AH7" s="440" t="s">
        <v>29</v>
      </c>
      <c r="AI7" s="441" t="s">
        <v>30</v>
      </c>
      <c r="AJ7" s="442" t="s">
        <v>31</v>
      </c>
      <c r="AK7" s="3108" t="s">
        <v>159</v>
      </c>
      <c r="AL7" s="440" t="s">
        <v>29</v>
      </c>
      <c r="AM7" s="440" t="s">
        <v>29</v>
      </c>
      <c r="AN7" s="440" t="s">
        <v>29</v>
      </c>
      <c r="AO7" s="440" t="s">
        <v>29</v>
      </c>
      <c r="AP7" s="441" t="s">
        <v>30</v>
      </c>
      <c r="AQ7" s="441" t="s">
        <v>30</v>
      </c>
      <c r="AR7" s="3108" t="s">
        <v>159</v>
      </c>
      <c r="AS7" s="3112"/>
      <c r="AT7" s="3115"/>
      <c r="AU7" s="3115"/>
      <c r="AV7" s="3118"/>
      <c r="AW7" s="3121"/>
      <c r="AX7" s="3121"/>
      <c r="AY7" s="3121"/>
      <c r="AZ7" s="3121"/>
      <c r="BA7" s="3121"/>
      <c r="BB7" s="3121"/>
      <c r="BC7" s="3123"/>
      <c r="BD7" s="3110"/>
    </row>
    <row r="8" spans="1:56" ht="22.5" customHeight="1" thickBot="1" x14ac:dyDescent="0.3">
      <c r="A8" s="3105"/>
      <c r="B8" s="3105"/>
      <c r="C8" s="3105"/>
      <c r="D8" s="963">
        <v>1</v>
      </c>
      <c r="E8" s="963">
        <v>2</v>
      </c>
      <c r="F8" s="963">
        <v>3</v>
      </c>
      <c r="G8" s="963">
        <v>4</v>
      </c>
      <c r="H8" s="963">
        <v>5</v>
      </c>
      <c r="I8" s="963">
        <v>6</v>
      </c>
      <c r="J8" s="3107"/>
      <c r="K8" s="963">
        <v>1</v>
      </c>
      <c r="L8" s="963">
        <v>2</v>
      </c>
      <c r="M8" s="963">
        <v>3</v>
      </c>
      <c r="N8" s="963">
        <v>4</v>
      </c>
      <c r="O8" s="963">
        <v>5</v>
      </c>
      <c r="P8" s="963">
        <v>6</v>
      </c>
      <c r="Q8" s="3107"/>
      <c r="R8" s="963">
        <v>1</v>
      </c>
      <c r="S8" s="963">
        <v>2</v>
      </c>
      <c r="T8" s="963">
        <v>3</v>
      </c>
      <c r="U8" s="963">
        <v>4</v>
      </c>
      <c r="V8" s="963">
        <v>5</v>
      </c>
      <c r="W8" s="963">
        <v>6</v>
      </c>
      <c r="X8" s="3107"/>
      <c r="Y8" s="963">
        <v>1</v>
      </c>
      <c r="Z8" s="963">
        <v>2</v>
      </c>
      <c r="AA8" s="963">
        <v>3</v>
      </c>
      <c r="AB8" s="963">
        <v>4</v>
      </c>
      <c r="AC8" s="963">
        <v>5</v>
      </c>
      <c r="AD8" s="3108"/>
      <c r="AE8" s="963">
        <v>1</v>
      </c>
      <c r="AF8" s="963">
        <v>2</v>
      </c>
      <c r="AG8" s="963">
        <v>3</v>
      </c>
      <c r="AH8" s="963">
        <v>4</v>
      </c>
      <c r="AI8" s="963">
        <v>5</v>
      </c>
      <c r="AJ8" s="963">
        <v>6</v>
      </c>
      <c r="AK8" s="3108"/>
      <c r="AL8" s="963">
        <v>1</v>
      </c>
      <c r="AM8" s="963">
        <v>2</v>
      </c>
      <c r="AN8" s="963">
        <v>3</v>
      </c>
      <c r="AO8" s="963">
        <v>4</v>
      </c>
      <c r="AP8" s="963">
        <v>5</v>
      </c>
      <c r="AQ8" s="963">
        <v>6</v>
      </c>
      <c r="AR8" s="3108"/>
      <c r="AS8" s="3113"/>
      <c r="AT8" s="3116"/>
      <c r="AU8" s="3116"/>
      <c r="AV8" s="3119"/>
      <c r="AW8" s="970" t="s">
        <v>7</v>
      </c>
      <c r="AX8" s="891" t="s">
        <v>18</v>
      </c>
      <c r="AY8" s="891" t="s">
        <v>179</v>
      </c>
      <c r="AZ8" s="891" t="s">
        <v>180</v>
      </c>
      <c r="BA8" s="891" t="s">
        <v>19</v>
      </c>
      <c r="BB8" s="891" t="s">
        <v>181</v>
      </c>
      <c r="BC8" s="3124"/>
      <c r="BD8" s="3110"/>
    </row>
    <row r="9" spans="1:56" ht="18" customHeight="1" x14ac:dyDescent="0.25">
      <c r="A9" s="361">
        <v>1</v>
      </c>
      <c r="B9" s="983" t="str">
        <f>dtsiswa!D7</f>
        <v>Achmad Zacky</v>
      </c>
      <c r="C9" s="984" t="s">
        <v>4</v>
      </c>
      <c r="D9" s="445">
        <v>0</v>
      </c>
      <c r="E9" s="445">
        <v>1</v>
      </c>
      <c r="F9" s="445">
        <v>1</v>
      </c>
      <c r="G9" s="445">
        <v>2</v>
      </c>
      <c r="H9" s="445">
        <v>2</v>
      </c>
      <c r="I9" s="445">
        <v>3</v>
      </c>
      <c r="J9" s="446">
        <f>SUM(D9:I9)*100/10</f>
        <v>90</v>
      </c>
      <c r="K9" s="445">
        <v>1</v>
      </c>
      <c r="L9" s="445">
        <v>0</v>
      </c>
      <c r="M9" s="445">
        <v>1</v>
      </c>
      <c r="N9" s="445">
        <v>2</v>
      </c>
      <c r="O9" s="445">
        <v>2</v>
      </c>
      <c r="P9" s="445">
        <v>3</v>
      </c>
      <c r="Q9" s="446">
        <f>SUM(K9:P9)*100/10</f>
        <v>90</v>
      </c>
      <c r="R9" s="445">
        <v>1</v>
      </c>
      <c r="S9" s="445">
        <v>1</v>
      </c>
      <c r="T9" s="445">
        <v>0</v>
      </c>
      <c r="U9" s="445">
        <v>2</v>
      </c>
      <c r="V9" s="445">
        <v>1</v>
      </c>
      <c r="W9" s="445">
        <v>3</v>
      </c>
      <c r="X9" s="446">
        <f>SUM(R9:W9)*100/10</f>
        <v>80</v>
      </c>
      <c r="Y9" s="445">
        <v>1</v>
      </c>
      <c r="Z9" s="445">
        <v>1</v>
      </c>
      <c r="AA9" s="445">
        <v>1</v>
      </c>
      <c r="AB9" s="445">
        <v>2</v>
      </c>
      <c r="AC9" s="445">
        <v>3</v>
      </c>
      <c r="AD9" s="446">
        <f>SUM(Y9:AC9)*100/8</f>
        <v>100</v>
      </c>
      <c r="AE9" s="445">
        <v>1</v>
      </c>
      <c r="AF9" s="445">
        <v>1</v>
      </c>
      <c r="AG9" s="445">
        <v>1</v>
      </c>
      <c r="AH9" s="445">
        <v>1</v>
      </c>
      <c r="AI9" s="445">
        <v>2</v>
      </c>
      <c r="AJ9" s="445">
        <v>3</v>
      </c>
      <c r="AK9" s="446">
        <f>SUM(AE9:AJ9)*100/9</f>
        <v>100</v>
      </c>
      <c r="AL9" s="445">
        <v>0</v>
      </c>
      <c r="AM9" s="445">
        <v>1</v>
      </c>
      <c r="AN9" s="445">
        <v>1</v>
      </c>
      <c r="AO9" s="445">
        <v>1</v>
      </c>
      <c r="AP9" s="445">
        <v>2</v>
      </c>
      <c r="AQ9" s="445">
        <v>2</v>
      </c>
      <c r="AR9" s="446">
        <f>SUM(AL9:AQ9)*100/8</f>
        <v>87.5</v>
      </c>
      <c r="AS9" s="463">
        <f>SUM(D9:F9)+SUM(K9:M9)+SUM(R9:T9)+SUM(Y9:AA9)+SUM(AE9:AH9)+SUM(AL9:AO9)</f>
        <v>16</v>
      </c>
      <c r="AT9" s="463">
        <f>SUM(G9:H9)+SUM(N9:O9)+SUM(U9:V9)+SUM(AB9)+SUM(AI9)+SUM(AP9:AQ9)</f>
        <v>19</v>
      </c>
      <c r="AU9" s="463">
        <f>I9+P9+W9+AC9+AJ9</f>
        <v>15</v>
      </c>
      <c r="AV9" s="463">
        <f>SUM(AS9:AU9)*100/55</f>
        <v>90.909090909090907</v>
      </c>
      <c r="AW9" s="464">
        <f t="shared" ref="AW9:AW48" si="0">J9</f>
        <v>90</v>
      </c>
      <c r="AX9" s="464">
        <f t="shared" ref="AX9:AX48" si="1">Q9</f>
        <v>90</v>
      </c>
      <c r="AY9" s="464">
        <f t="shared" ref="AY9:AY48" si="2">X9</f>
        <v>80</v>
      </c>
      <c r="AZ9" s="464">
        <f t="shared" ref="AZ9:AZ48" si="3">AD9</f>
        <v>100</v>
      </c>
      <c r="BA9" s="464">
        <f t="shared" ref="BA9:BA48" si="4">AK9</f>
        <v>100</v>
      </c>
      <c r="BB9" s="464">
        <f t="shared" ref="BB9:BB48" si="5">AR9</f>
        <v>87.5</v>
      </c>
      <c r="BC9" s="465">
        <f t="shared" ref="BC9:BC48" si="6">AVERAGE(AW9:BB9)</f>
        <v>91.25</v>
      </c>
      <c r="BD9" s="466" t="str">
        <f>IF(BC9&gt;70,"TUNTAS","Tidak Tuntas")</f>
        <v>TUNTAS</v>
      </c>
    </row>
    <row r="10" spans="1:56" ht="18" customHeight="1" x14ac:dyDescent="0.25">
      <c r="A10" s="362">
        <v>2</v>
      </c>
      <c r="B10" s="443" t="str">
        <f>dtsiswa!D8</f>
        <v>Angelia Vabel R</v>
      </c>
      <c r="C10" s="444" t="s">
        <v>4</v>
      </c>
      <c r="D10" s="445"/>
      <c r="E10" s="445"/>
      <c r="F10" s="445"/>
      <c r="G10" s="445"/>
      <c r="H10" s="445"/>
      <c r="I10" s="445"/>
      <c r="J10" s="446">
        <f t="shared" ref="J10:J48" si="7">SUM(D10:I10)*100/10</f>
        <v>0</v>
      </c>
      <c r="K10" s="445"/>
      <c r="L10" s="445"/>
      <c r="M10" s="445"/>
      <c r="N10" s="445"/>
      <c r="O10" s="445"/>
      <c r="P10" s="445"/>
      <c r="Q10" s="446">
        <f t="shared" ref="Q10:Q48" si="8">SUM(K10:P10)*100/10</f>
        <v>0</v>
      </c>
      <c r="R10" s="445"/>
      <c r="S10" s="445"/>
      <c r="T10" s="445"/>
      <c r="U10" s="445"/>
      <c r="V10" s="445"/>
      <c r="W10" s="445"/>
      <c r="X10" s="446">
        <f t="shared" ref="X10:X48" si="9">SUM(R10:W10)*100/10</f>
        <v>0</v>
      </c>
      <c r="Y10" s="445"/>
      <c r="Z10" s="445"/>
      <c r="AA10" s="445"/>
      <c r="AB10" s="445"/>
      <c r="AC10" s="445"/>
      <c r="AD10" s="446">
        <f t="shared" ref="AD10:AD48" si="10">SUM(Y10:AC10)*100/8</f>
        <v>0</v>
      </c>
      <c r="AE10" s="445"/>
      <c r="AF10" s="445"/>
      <c r="AG10" s="445"/>
      <c r="AH10" s="445"/>
      <c r="AI10" s="445"/>
      <c r="AJ10" s="445"/>
      <c r="AK10" s="446">
        <f t="shared" ref="AK10:AK48" si="11">SUM(AE10:AJ10)*100/9</f>
        <v>0</v>
      </c>
      <c r="AL10" s="445"/>
      <c r="AM10" s="445"/>
      <c r="AN10" s="445"/>
      <c r="AO10" s="445"/>
      <c r="AP10" s="445"/>
      <c r="AQ10" s="445"/>
      <c r="AR10" s="446">
        <f t="shared" ref="AR10:AR48" si="12">SUM(AL10:AQ10)*100/8</f>
        <v>0</v>
      </c>
      <c r="AS10" s="463">
        <f t="shared" ref="AS10:AS48" si="13">SUM(D10:F10)+SUM(K10:M10)+SUM(R10:T10)+SUM(Y10:AA10)+SUM(AE10:AH10)+SUM(AL10:AO10)</f>
        <v>0</v>
      </c>
      <c r="AT10" s="463">
        <f t="shared" ref="AT10:AT48" si="14">SUM(G10:H10)+SUM(N10:O10)+SUM(U10:V10)+SUM(AB10)+SUM(AI10)+SUM(AP10:AQ10)</f>
        <v>0</v>
      </c>
      <c r="AU10" s="463">
        <f t="shared" ref="AU10:AU48" si="15">I10+P10+W10+AC10+AJ10</f>
        <v>0</v>
      </c>
      <c r="AV10" s="463">
        <f t="shared" ref="AV10:AV48" si="16">SUM(AS10:AU10)*100/55</f>
        <v>0</v>
      </c>
      <c r="AW10" s="464">
        <f t="shared" si="0"/>
        <v>0</v>
      </c>
      <c r="AX10" s="464">
        <f t="shared" si="1"/>
        <v>0</v>
      </c>
      <c r="AY10" s="464">
        <f t="shared" si="2"/>
        <v>0</v>
      </c>
      <c r="AZ10" s="464">
        <f t="shared" si="3"/>
        <v>0</v>
      </c>
      <c r="BA10" s="464">
        <f t="shared" si="4"/>
        <v>0</v>
      </c>
      <c r="BB10" s="464">
        <f t="shared" si="5"/>
        <v>0</v>
      </c>
      <c r="BC10" s="465">
        <f t="shared" si="6"/>
        <v>0</v>
      </c>
      <c r="BD10" s="466" t="str">
        <f t="shared" ref="BD10:BD48" si="17">IF(BC10&gt;70,"TUNTAS","Tidak Tuntas")</f>
        <v>Tidak Tuntas</v>
      </c>
    </row>
    <row r="11" spans="1:56" ht="18" customHeight="1" x14ac:dyDescent="0.25">
      <c r="A11" s="362">
        <v>3</v>
      </c>
      <c r="B11" s="443" t="str">
        <f>dtsiswa!D9</f>
        <v>Anggun Dwi P.I</v>
      </c>
      <c r="C11" s="444" t="s">
        <v>4</v>
      </c>
      <c r="D11" s="445"/>
      <c r="E11" s="445"/>
      <c r="F11" s="445"/>
      <c r="G11" s="445"/>
      <c r="H11" s="445"/>
      <c r="I11" s="445"/>
      <c r="J11" s="446">
        <f t="shared" si="7"/>
        <v>0</v>
      </c>
      <c r="K11" s="445"/>
      <c r="L11" s="445"/>
      <c r="M11" s="445"/>
      <c r="N11" s="445"/>
      <c r="O11" s="445"/>
      <c r="P11" s="445"/>
      <c r="Q11" s="446">
        <f t="shared" si="8"/>
        <v>0</v>
      </c>
      <c r="R11" s="445"/>
      <c r="S11" s="445"/>
      <c r="T11" s="445"/>
      <c r="U11" s="445"/>
      <c r="V11" s="445"/>
      <c r="W11" s="445"/>
      <c r="X11" s="446">
        <f t="shared" si="9"/>
        <v>0</v>
      </c>
      <c r="Y11" s="445"/>
      <c r="Z11" s="445"/>
      <c r="AA11" s="445"/>
      <c r="AB11" s="445"/>
      <c r="AC11" s="445"/>
      <c r="AD11" s="446">
        <f t="shared" si="10"/>
        <v>0</v>
      </c>
      <c r="AE11" s="445"/>
      <c r="AF11" s="445"/>
      <c r="AG11" s="445"/>
      <c r="AH11" s="445"/>
      <c r="AI11" s="445"/>
      <c r="AJ11" s="445"/>
      <c r="AK11" s="446">
        <f t="shared" si="11"/>
        <v>0</v>
      </c>
      <c r="AL11" s="445"/>
      <c r="AM11" s="445"/>
      <c r="AN11" s="445"/>
      <c r="AO11" s="445"/>
      <c r="AP11" s="445"/>
      <c r="AQ11" s="445"/>
      <c r="AR11" s="446">
        <f t="shared" si="12"/>
        <v>0</v>
      </c>
      <c r="AS11" s="463">
        <f t="shared" si="13"/>
        <v>0</v>
      </c>
      <c r="AT11" s="463">
        <f t="shared" si="14"/>
        <v>0</v>
      </c>
      <c r="AU11" s="463">
        <f t="shared" si="15"/>
        <v>0</v>
      </c>
      <c r="AV11" s="463">
        <f t="shared" si="16"/>
        <v>0</v>
      </c>
      <c r="AW11" s="464">
        <f t="shared" si="0"/>
        <v>0</v>
      </c>
      <c r="AX11" s="464">
        <f t="shared" si="1"/>
        <v>0</v>
      </c>
      <c r="AY11" s="464">
        <f t="shared" si="2"/>
        <v>0</v>
      </c>
      <c r="AZ11" s="464">
        <f t="shared" si="3"/>
        <v>0</v>
      </c>
      <c r="BA11" s="464">
        <f t="shared" si="4"/>
        <v>0</v>
      </c>
      <c r="BB11" s="464">
        <f t="shared" si="5"/>
        <v>0</v>
      </c>
      <c r="BC11" s="465">
        <f t="shared" si="6"/>
        <v>0</v>
      </c>
      <c r="BD11" s="466" t="str">
        <f t="shared" si="17"/>
        <v>Tidak Tuntas</v>
      </c>
    </row>
    <row r="12" spans="1:56" ht="18" customHeight="1" x14ac:dyDescent="0.25">
      <c r="A12" s="362">
        <v>4</v>
      </c>
      <c r="B12" s="443" t="str">
        <f>dtsiswa!D10</f>
        <v>Antonio Permata A</v>
      </c>
      <c r="C12" s="448" t="s">
        <v>4</v>
      </c>
      <c r="D12" s="447"/>
      <c r="E12" s="447"/>
      <c r="F12" s="447"/>
      <c r="G12" s="447"/>
      <c r="H12" s="447"/>
      <c r="I12" s="447"/>
      <c r="J12" s="446">
        <f t="shared" si="7"/>
        <v>0</v>
      </c>
      <c r="K12" s="447"/>
      <c r="L12" s="447"/>
      <c r="M12" s="447"/>
      <c r="N12" s="447"/>
      <c r="O12" s="447"/>
      <c r="P12" s="447"/>
      <c r="Q12" s="446">
        <f t="shared" si="8"/>
        <v>0</v>
      </c>
      <c r="R12" s="447"/>
      <c r="S12" s="447"/>
      <c r="T12" s="447"/>
      <c r="U12" s="447"/>
      <c r="V12" s="447"/>
      <c r="W12" s="447"/>
      <c r="X12" s="446">
        <f t="shared" si="9"/>
        <v>0</v>
      </c>
      <c r="Y12" s="447"/>
      <c r="Z12" s="447"/>
      <c r="AA12" s="447"/>
      <c r="AB12" s="447"/>
      <c r="AC12" s="447"/>
      <c r="AD12" s="446">
        <f t="shared" si="10"/>
        <v>0</v>
      </c>
      <c r="AE12" s="447"/>
      <c r="AF12" s="447"/>
      <c r="AG12" s="447"/>
      <c r="AH12" s="447"/>
      <c r="AI12" s="447"/>
      <c r="AJ12" s="447"/>
      <c r="AK12" s="446">
        <f t="shared" si="11"/>
        <v>0</v>
      </c>
      <c r="AL12" s="447"/>
      <c r="AM12" s="447"/>
      <c r="AN12" s="447"/>
      <c r="AO12" s="447"/>
      <c r="AP12" s="447"/>
      <c r="AQ12" s="447"/>
      <c r="AR12" s="446">
        <f t="shared" si="12"/>
        <v>0</v>
      </c>
      <c r="AS12" s="463">
        <f t="shared" si="13"/>
        <v>0</v>
      </c>
      <c r="AT12" s="463">
        <f t="shared" si="14"/>
        <v>0</v>
      </c>
      <c r="AU12" s="463">
        <f t="shared" si="15"/>
        <v>0</v>
      </c>
      <c r="AV12" s="463">
        <f t="shared" si="16"/>
        <v>0</v>
      </c>
      <c r="AW12" s="464">
        <f t="shared" si="0"/>
        <v>0</v>
      </c>
      <c r="AX12" s="464">
        <f t="shared" si="1"/>
        <v>0</v>
      </c>
      <c r="AY12" s="464">
        <f t="shared" si="2"/>
        <v>0</v>
      </c>
      <c r="AZ12" s="464">
        <f t="shared" si="3"/>
        <v>0</v>
      </c>
      <c r="BA12" s="464">
        <f t="shared" si="4"/>
        <v>0</v>
      </c>
      <c r="BB12" s="464">
        <f t="shared" si="5"/>
        <v>0</v>
      </c>
      <c r="BC12" s="465">
        <f t="shared" si="6"/>
        <v>0</v>
      </c>
      <c r="BD12" s="466" t="str">
        <f t="shared" si="17"/>
        <v>Tidak Tuntas</v>
      </c>
    </row>
    <row r="13" spans="1:56" ht="18" customHeight="1" x14ac:dyDescent="0.25">
      <c r="A13" s="362">
        <v>5</v>
      </c>
      <c r="B13" s="443" t="str">
        <f>dtsiswa!D11</f>
        <v>Arya Pratama G</v>
      </c>
      <c r="C13" s="444" t="s">
        <v>5</v>
      </c>
      <c r="D13" s="447"/>
      <c r="E13" s="447"/>
      <c r="F13" s="447"/>
      <c r="G13" s="447"/>
      <c r="H13" s="447"/>
      <c r="I13" s="447"/>
      <c r="J13" s="446">
        <f t="shared" si="7"/>
        <v>0</v>
      </c>
      <c r="K13" s="447"/>
      <c r="L13" s="447"/>
      <c r="M13" s="447"/>
      <c r="N13" s="447"/>
      <c r="O13" s="447"/>
      <c r="P13" s="447"/>
      <c r="Q13" s="446">
        <f t="shared" si="8"/>
        <v>0</v>
      </c>
      <c r="R13" s="447"/>
      <c r="S13" s="447"/>
      <c r="T13" s="447"/>
      <c r="U13" s="447"/>
      <c r="V13" s="447"/>
      <c r="W13" s="447"/>
      <c r="X13" s="446">
        <f t="shared" si="9"/>
        <v>0</v>
      </c>
      <c r="Y13" s="447"/>
      <c r="Z13" s="447"/>
      <c r="AA13" s="447"/>
      <c r="AB13" s="447"/>
      <c r="AC13" s="447"/>
      <c r="AD13" s="446">
        <f t="shared" si="10"/>
        <v>0</v>
      </c>
      <c r="AE13" s="447"/>
      <c r="AF13" s="447"/>
      <c r="AG13" s="447"/>
      <c r="AH13" s="447"/>
      <c r="AI13" s="447"/>
      <c r="AJ13" s="447"/>
      <c r="AK13" s="446">
        <f t="shared" si="11"/>
        <v>0</v>
      </c>
      <c r="AL13" s="447"/>
      <c r="AM13" s="447"/>
      <c r="AN13" s="447"/>
      <c r="AO13" s="447"/>
      <c r="AP13" s="447"/>
      <c r="AQ13" s="447"/>
      <c r="AR13" s="446">
        <f t="shared" si="12"/>
        <v>0</v>
      </c>
      <c r="AS13" s="463">
        <f t="shared" si="13"/>
        <v>0</v>
      </c>
      <c r="AT13" s="463">
        <f t="shared" si="14"/>
        <v>0</v>
      </c>
      <c r="AU13" s="463">
        <f t="shared" si="15"/>
        <v>0</v>
      </c>
      <c r="AV13" s="463">
        <f t="shared" si="16"/>
        <v>0</v>
      </c>
      <c r="AW13" s="464">
        <f t="shared" si="0"/>
        <v>0</v>
      </c>
      <c r="AX13" s="464">
        <f t="shared" si="1"/>
        <v>0</v>
      </c>
      <c r="AY13" s="464">
        <f t="shared" si="2"/>
        <v>0</v>
      </c>
      <c r="AZ13" s="464">
        <f t="shared" si="3"/>
        <v>0</v>
      </c>
      <c r="BA13" s="464">
        <f t="shared" si="4"/>
        <v>0</v>
      </c>
      <c r="BB13" s="464">
        <f t="shared" si="5"/>
        <v>0</v>
      </c>
      <c r="BC13" s="465">
        <f t="shared" si="6"/>
        <v>0</v>
      </c>
      <c r="BD13" s="466" t="str">
        <f t="shared" si="17"/>
        <v>Tidak Tuntas</v>
      </c>
    </row>
    <row r="14" spans="1:56" ht="18" customHeight="1" x14ac:dyDescent="0.25">
      <c r="A14" s="362">
        <v>6</v>
      </c>
      <c r="B14" s="443" t="str">
        <f>dtsiswa!D12</f>
        <v>Asyam Hanif Ihsan H</v>
      </c>
      <c r="C14" s="444" t="s">
        <v>5</v>
      </c>
      <c r="D14" s="447"/>
      <c r="E14" s="447"/>
      <c r="F14" s="447"/>
      <c r="G14" s="447"/>
      <c r="H14" s="447"/>
      <c r="I14" s="447"/>
      <c r="J14" s="446">
        <f t="shared" si="7"/>
        <v>0</v>
      </c>
      <c r="K14" s="447"/>
      <c r="L14" s="447"/>
      <c r="M14" s="447"/>
      <c r="N14" s="447"/>
      <c r="O14" s="447"/>
      <c r="P14" s="447"/>
      <c r="Q14" s="446">
        <f t="shared" si="8"/>
        <v>0</v>
      </c>
      <c r="R14" s="447"/>
      <c r="S14" s="447"/>
      <c r="T14" s="447"/>
      <c r="U14" s="447"/>
      <c r="V14" s="447"/>
      <c r="W14" s="447"/>
      <c r="X14" s="446">
        <f t="shared" si="9"/>
        <v>0</v>
      </c>
      <c r="Y14" s="447"/>
      <c r="Z14" s="447"/>
      <c r="AA14" s="447"/>
      <c r="AB14" s="447"/>
      <c r="AC14" s="447"/>
      <c r="AD14" s="446">
        <f t="shared" si="10"/>
        <v>0</v>
      </c>
      <c r="AE14" s="447"/>
      <c r="AF14" s="447"/>
      <c r="AG14" s="447"/>
      <c r="AH14" s="447"/>
      <c r="AI14" s="447"/>
      <c r="AJ14" s="447"/>
      <c r="AK14" s="446">
        <f t="shared" si="11"/>
        <v>0</v>
      </c>
      <c r="AL14" s="447"/>
      <c r="AM14" s="447"/>
      <c r="AN14" s="447"/>
      <c r="AO14" s="447"/>
      <c r="AP14" s="447"/>
      <c r="AQ14" s="447"/>
      <c r="AR14" s="446">
        <f t="shared" si="12"/>
        <v>0</v>
      </c>
      <c r="AS14" s="463">
        <f t="shared" si="13"/>
        <v>0</v>
      </c>
      <c r="AT14" s="463">
        <f t="shared" si="14"/>
        <v>0</v>
      </c>
      <c r="AU14" s="463">
        <f t="shared" si="15"/>
        <v>0</v>
      </c>
      <c r="AV14" s="463">
        <f t="shared" si="16"/>
        <v>0</v>
      </c>
      <c r="AW14" s="464">
        <f t="shared" si="0"/>
        <v>0</v>
      </c>
      <c r="AX14" s="464">
        <f t="shared" si="1"/>
        <v>0</v>
      </c>
      <c r="AY14" s="464">
        <f t="shared" si="2"/>
        <v>0</v>
      </c>
      <c r="AZ14" s="464">
        <f t="shared" si="3"/>
        <v>0</v>
      </c>
      <c r="BA14" s="464">
        <f t="shared" si="4"/>
        <v>0</v>
      </c>
      <c r="BB14" s="464">
        <f t="shared" si="5"/>
        <v>0</v>
      </c>
      <c r="BC14" s="465">
        <f t="shared" si="6"/>
        <v>0</v>
      </c>
      <c r="BD14" s="466" t="str">
        <f t="shared" si="17"/>
        <v>Tidak Tuntas</v>
      </c>
    </row>
    <row r="15" spans="1:56" ht="18" customHeight="1" x14ac:dyDescent="0.25">
      <c r="A15" s="362">
        <v>7</v>
      </c>
      <c r="B15" s="443" t="str">
        <f>dtsiswa!D13</f>
        <v>Athaya Salsabilla Z</v>
      </c>
      <c r="C15" s="444" t="s">
        <v>4</v>
      </c>
      <c r="D15" s="447"/>
      <c r="E15" s="447"/>
      <c r="F15" s="447"/>
      <c r="G15" s="447"/>
      <c r="H15" s="447"/>
      <c r="I15" s="447"/>
      <c r="J15" s="446">
        <f t="shared" si="7"/>
        <v>0</v>
      </c>
      <c r="K15" s="447"/>
      <c r="L15" s="447"/>
      <c r="M15" s="447"/>
      <c r="N15" s="447"/>
      <c r="O15" s="447"/>
      <c r="P15" s="447"/>
      <c r="Q15" s="446">
        <f t="shared" si="8"/>
        <v>0</v>
      </c>
      <c r="R15" s="447"/>
      <c r="S15" s="447"/>
      <c r="T15" s="447"/>
      <c r="U15" s="447"/>
      <c r="V15" s="447"/>
      <c r="W15" s="447"/>
      <c r="X15" s="446">
        <f t="shared" si="9"/>
        <v>0</v>
      </c>
      <c r="Y15" s="447"/>
      <c r="Z15" s="447"/>
      <c r="AA15" s="447"/>
      <c r="AB15" s="447"/>
      <c r="AC15" s="447"/>
      <c r="AD15" s="446">
        <f t="shared" si="10"/>
        <v>0</v>
      </c>
      <c r="AE15" s="447"/>
      <c r="AF15" s="447"/>
      <c r="AG15" s="447"/>
      <c r="AH15" s="447"/>
      <c r="AI15" s="447"/>
      <c r="AJ15" s="447"/>
      <c r="AK15" s="446">
        <f t="shared" si="11"/>
        <v>0</v>
      </c>
      <c r="AL15" s="447"/>
      <c r="AM15" s="447"/>
      <c r="AN15" s="447"/>
      <c r="AO15" s="447"/>
      <c r="AP15" s="447"/>
      <c r="AQ15" s="447"/>
      <c r="AR15" s="446">
        <f t="shared" si="12"/>
        <v>0</v>
      </c>
      <c r="AS15" s="463">
        <f t="shared" si="13"/>
        <v>0</v>
      </c>
      <c r="AT15" s="463">
        <f t="shared" si="14"/>
        <v>0</v>
      </c>
      <c r="AU15" s="463">
        <f t="shared" si="15"/>
        <v>0</v>
      </c>
      <c r="AV15" s="463">
        <f t="shared" si="16"/>
        <v>0</v>
      </c>
      <c r="AW15" s="464">
        <f t="shared" si="0"/>
        <v>0</v>
      </c>
      <c r="AX15" s="464">
        <f t="shared" si="1"/>
        <v>0</v>
      </c>
      <c r="AY15" s="464">
        <f t="shared" si="2"/>
        <v>0</v>
      </c>
      <c r="AZ15" s="464">
        <f t="shared" si="3"/>
        <v>0</v>
      </c>
      <c r="BA15" s="464">
        <f t="shared" si="4"/>
        <v>0</v>
      </c>
      <c r="BB15" s="464">
        <f t="shared" si="5"/>
        <v>0</v>
      </c>
      <c r="BC15" s="465">
        <f t="shared" si="6"/>
        <v>0</v>
      </c>
      <c r="BD15" s="466" t="str">
        <f t="shared" si="17"/>
        <v>Tidak Tuntas</v>
      </c>
    </row>
    <row r="16" spans="1:56" ht="18" customHeight="1" x14ac:dyDescent="0.25">
      <c r="A16" s="362">
        <v>8</v>
      </c>
      <c r="B16" s="443" t="str">
        <f>dtsiswa!D14</f>
        <v>Aulia Dea Rosalinda</v>
      </c>
      <c r="C16" s="444" t="s">
        <v>4</v>
      </c>
      <c r="D16" s="447"/>
      <c r="E16" s="447"/>
      <c r="F16" s="447"/>
      <c r="G16" s="447"/>
      <c r="H16" s="447"/>
      <c r="I16" s="447"/>
      <c r="J16" s="446">
        <f t="shared" si="7"/>
        <v>0</v>
      </c>
      <c r="K16" s="447"/>
      <c r="L16" s="447"/>
      <c r="M16" s="447"/>
      <c r="N16" s="447"/>
      <c r="O16" s="447"/>
      <c r="P16" s="447"/>
      <c r="Q16" s="446">
        <f t="shared" si="8"/>
        <v>0</v>
      </c>
      <c r="R16" s="447"/>
      <c r="S16" s="447"/>
      <c r="T16" s="447"/>
      <c r="U16" s="447"/>
      <c r="V16" s="447"/>
      <c r="W16" s="447"/>
      <c r="X16" s="446">
        <f t="shared" si="9"/>
        <v>0</v>
      </c>
      <c r="Y16" s="447"/>
      <c r="Z16" s="447"/>
      <c r="AA16" s="447"/>
      <c r="AB16" s="447"/>
      <c r="AC16" s="447"/>
      <c r="AD16" s="446">
        <f t="shared" si="10"/>
        <v>0</v>
      </c>
      <c r="AE16" s="447"/>
      <c r="AF16" s="447"/>
      <c r="AG16" s="447"/>
      <c r="AH16" s="447"/>
      <c r="AI16" s="447"/>
      <c r="AJ16" s="447"/>
      <c r="AK16" s="446">
        <f t="shared" si="11"/>
        <v>0</v>
      </c>
      <c r="AL16" s="447"/>
      <c r="AM16" s="447"/>
      <c r="AN16" s="447"/>
      <c r="AO16" s="447"/>
      <c r="AP16" s="447"/>
      <c r="AQ16" s="447"/>
      <c r="AR16" s="446">
        <f t="shared" si="12"/>
        <v>0</v>
      </c>
      <c r="AS16" s="463">
        <f t="shared" si="13"/>
        <v>0</v>
      </c>
      <c r="AT16" s="463">
        <f t="shared" si="14"/>
        <v>0</v>
      </c>
      <c r="AU16" s="463">
        <f t="shared" si="15"/>
        <v>0</v>
      </c>
      <c r="AV16" s="463">
        <f t="shared" si="16"/>
        <v>0</v>
      </c>
      <c r="AW16" s="464">
        <f t="shared" si="0"/>
        <v>0</v>
      </c>
      <c r="AX16" s="464">
        <f t="shared" si="1"/>
        <v>0</v>
      </c>
      <c r="AY16" s="464">
        <f t="shared" si="2"/>
        <v>0</v>
      </c>
      <c r="AZ16" s="464">
        <f t="shared" si="3"/>
        <v>0</v>
      </c>
      <c r="BA16" s="464">
        <f t="shared" si="4"/>
        <v>0</v>
      </c>
      <c r="BB16" s="464">
        <f t="shared" si="5"/>
        <v>0</v>
      </c>
      <c r="BC16" s="465">
        <f t="shared" si="6"/>
        <v>0</v>
      </c>
      <c r="BD16" s="466" t="str">
        <f t="shared" si="17"/>
        <v>Tidak Tuntas</v>
      </c>
    </row>
    <row r="17" spans="1:56" ht="18" customHeight="1" x14ac:dyDescent="0.25">
      <c r="A17" s="362">
        <v>9</v>
      </c>
      <c r="B17" s="443" t="str">
        <f>dtsiswa!D15</f>
        <v>Claudia Gabriella L</v>
      </c>
      <c r="C17" s="444" t="s">
        <v>4</v>
      </c>
      <c r="D17" s="447"/>
      <c r="E17" s="447"/>
      <c r="F17" s="447"/>
      <c r="G17" s="447"/>
      <c r="H17" s="447"/>
      <c r="I17" s="447"/>
      <c r="J17" s="446">
        <f t="shared" si="7"/>
        <v>0</v>
      </c>
      <c r="K17" s="447"/>
      <c r="L17" s="447"/>
      <c r="M17" s="447"/>
      <c r="N17" s="447"/>
      <c r="O17" s="447"/>
      <c r="P17" s="447"/>
      <c r="Q17" s="446">
        <f t="shared" si="8"/>
        <v>0</v>
      </c>
      <c r="R17" s="447"/>
      <c r="S17" s="447"/>
      <c r="T17" s="447"/>
      <c r="U17" s="447"/>
      <c r="V17" s="447"/>
      <c r="W17" s="447"/>
      <c r="X17" s="446">
        <f t="shared" si="9"/>
        <v>0</v>
      </c>
      <c r="Y17" s="447"/>
      <c r="Z17" s="447"/>
      <c r="AA17" s="447"/>
      <c r="AB17" s="447"/>
      <c r="AC17" s="447"/>
      <c r="AD17" s="446">
        <f t="shared" si="10"/>
        <v>0</v>
      </c>
      <c r="AE17" s="447"/>
      <c r="AF17" s="447"/>
      <c r="AG17" s="447"/>
      <c r="AH17" s="447"/>
      <c r="AI17" s="447"/>
      <c r="AJ17" s="447"/>
      <c r="AK17" s="446">
        <f t="shared" si="11"/>
        <v>0</v>
      </c>
      <c r="AL17" s="447"/>
      <c r="AM17" s="447"/>
      <c r="AN17" s="447"/>
      <c r="AO17" s="447"/>
      <c r="AP17" s="447"/>
      <c r="AQ17" s="447"/>
      <c r="AR17" s="446">
        <f t="shared" si="12"/>
        <v>0</v>
      </c>
      <c r="AS17" s="463">
        <f t="shared" si="13"/>
        <v>0</v>
      </c>
      <c r="AT17" s="463">
        <f t="shared" si="14"/>
        <v>0</v>
      </c>
      <c r="AU17" s="463">
        <f t="shared" si="15"/>
        <v>0</v>
      </c>
      <c r="AV17" s="463">
        <f t="shared" si="16"/>
        <v>0</v>
      </c>
      <c r="AW17" s="464">
        <f t="shared" si="0"/>
        <v>0</v>
      </c>
      <c r="AX17" s="464">
        <f t="shared" si="1"/>
        <v>0</v>
      </c>
      <c r="AY17" s="464">
        <f t="shared" si="2"/>
        <v>0</v>
      </c>
      <c r="AZ17" s="464">
        <f t="shared" si="3"/>
        <v>0</v>
      </c>
      <c r="BA17" s="464">
        <f t="shared" si="4"/>
        <v>0</v>
      </c>
      <c r="BB17" s="464">
        <f t="shared" si="5"/>
        <v>0</v>
      </c>
      <c r="BC17" s="465">
        <f t="shared" si="6"/>
        <v>0</v>
      </c>
      <c r="BD17" s="466" t="str">
        <f t="shared" si="17"/>
        <v>Tidak Tuntas</v>
      </c>
    </row>
    <row r="18" spans="1:56" ht="18" customHeight="1" x14ac:dyDescent="0.25">
      <c r="A18" s="362">
        <v>10</v>
      </c>
      <c r="B18" s="443" t="str">
        <f>dtsiswa!D16</f>
        <v xml:space="preserve">Deco Badarus Zaman </v>
      </c>
      <c r="C18" s="444" t="s">
        <v>4</v>
      </c>
      <c r="D18" s="447"/>
      <c r="E18" s="447"/>
      <c r="F18" s="447"/>
      <c r="G18" s="447"/>
      <c r="H18" s="447"/>
      <c r="I18" s="447"/>
      <c r="J18" s="446">
        <f t="shared" si="7"/>
        <v>0</v>
      </c>
      <c r="K18" s="447"/>
      <c r="L18" s="447"/>
      <c r="M18" s="447"/>
      <c r="N18" s="447"/>
      <c r="O18" s="447"/>
      <c r="P18" s="447"/>
      <c r="Q18" s="446">
        <f t="shared" si="8"/>
        <v>0</v>
      </c>
      <c r="R18" s="447"/>
      <c r="S18" s="447"/>
      <c r="T18" s="447"/>
      <c r="U18" s="447"/>
      <c r="V18" s="447"/>
      <c r="W18" s="447"/>
      <c r="X18" s="446">
        <f t="shared" si="9"/>
        <v>0</v>
      </c>
      <c r="Y18" s="447"/>
      <c r="Z18" s="447"/>
      <c r="AA18" s="447"/>
      <c r="AB18" s="447"/>
      <c r="AC18" s="447"/>
      <c r="AD18" s="446">
        <f t="shared" si="10"/>
        <v>0</v>
      </c>
      <c r="AE18" s="447"/>
      <c r="AF18" s="447"/>
      <c r="AG18" s="447"/>
      <c r="AH18" s="447"/>
      <c r="AI18" s="447"/>
      <c r="AJ18" s="447"/>
      <c r="AK18" s="446">
        <f t="shared" si="11"/>
        <v>0</v>
      </c>
      <c r="AL18" s="447"/>
      <c r="AM18" s="447"/>
      <c r="AN18" s="447"/>
      <c r="AO18" s="447"/>
      <c r="AP18" s="447"/>
      <c r="AQ18" s="447"/>
      <c r="AR18" s="446">
        <f t="shared" si="12"/>
        <v>0</v>
      </c>
      <c r="AS18" s="463">
        <f t="shared" si="13"/>
        <v>0</v>
      </c>
      <c r="AT18" s="463">
        <f t="shared" si="14"/>
        <v>0</v>
      </c>
      <c r="AU18" s="463">
        <f t="shared" si="15"/>
        <v>0</v>
      </c>
      <c r="AV18" s="463">
        <f t="shared" si="16"/>
        <v>0</v>
      </c>
      <c r="AW18" s="464">
        <f t="shared" si="0"/>
        <v>0</v>
      </c>
      <c r="AX18" s="464">
        <f t="shared" si="1"/>
        <v>0</v>
      </c>
      <c r="AY18" s="464">
        <f t="shared" si="2"/>
        <v>0</v>
      </c>
      <c r="AZ18" s="464">
        <f t="shared" si="3"/>
        <v>0</v>
      </c>
      <c r="BA18" s="464">
        <f t="shared" si="4"/>
        <v>0</v>
      </c>
      <c r="BB18" s="464">
        <f t="shared" si="5"/>
        <v>0</v>
      </c>
      <c r="BC18" s="465">
        <f t="shared" si="6"/>
        <v>0</v>
      </c>
      <c r="BD18" s="466" t="str">
        <f t="shared" si="17"/>
        <v>Tidak Tuntas</v>
      </c>
    </row>
    <row r="19" spans="1:56" ht="18" customHeight="1" x14ac:dyDescent="0.25">
      <c r="A19" s="362">
        <v>11</v>
      </c>
      <c r="B19" s="443" t="str">
        <f>dtsiswa!D17</f>
        <v>Fania Mutiara Felichia</v>
      </c>
      <c r="C19" s="444" t="s">
        <v>4</v>
      </c>
      <c r="D19" s="447"/>
      <c r="E19" s="447"/>
      <c r="F19" s="447"/>
      <c r="G19" s="447"/>
      <c r="H19" s="447"/>
      <c r="I19" s="447"/>
      <c r="J19" s="446">
        <f t="shared" si="7"/>
        <v>0</v>
      </c>
      <c r="K19" s="447"/>
      <c r="L19" s="447"/>
      <c r="M19" s="447"/>
      <c r="N19" s="447"/>
      <c r="O19" s="447"/>
      <c r="P19" s="447"/>
      <c r="Q19" s="446">
        <f t="shared" si="8"/>
        <v>0</v>
      </c>
      <c r="R19" s="447"/>
      <c r="S19" s="447"/>
      <c r="T19" s="447"/>
      <c r="U19" s="447"/>
      <c r="V19" s="447"/>
      <c r="W19" s="447"/>
      <c r="X19" s="446">
        <f t="shared" si="9"/>
        <v>0</v>
      </c>
      <c r="Y19" s="447"/>
      <c r="Z19" s="447"/>
      <c r="AA19" s="447"/>
      <c r="AB19" s="447"/>
      <c r="AC19" s="447"/>
      <c r="AD19" s="446">
        <f t="shared" si="10"/>
        <v>0</v>
      </c>
      <c r="AE19" s="447"/>
      <c r="AF19" s="447"/>
      <c r="AG19" s="447"/>
      <c r="AH19" s="447"/>
      <c r="AI19" s="447"/>
      <c r="AJ19" s="447"/>
      <c r="AK19" s="446">
        <f t="shared" si="11"/>
        <v>0</v>
      </c>
      <c r="AL19" s="447"/>
      <c r="AM19" s="447"/>
      <c r="AN19" s="447"/>
      <c r="AO19" s="447"/>
      <c r="AP19" s="447"/>
      <c r="AQ19" s="447"/>
      <c r="AR19" s="446">
        <f t="shared" si="12"/>
        <v>0</v>
      </c>
      <c r="AS19" s="463">
        <f t="shared" si="13"/>
        <v>0</v>
      </c>
      <c r="AT19" s="463">
        <f t="shared" si="14"/>
        <v>0</v>
      </c>
      <c r="AU19" s="463">
        <f t="shared" si="15"/>
        <v>0</v>
      </c>
      <c r="AV19" s="463">
        <f t="shared" si="16"/>
        <v>0</v>
      </c>
      <c r="AW19" s="464">
        <f t="shared" si="0"/>
        <v>0</v>
      </c>
      <c r="AX19" s="464">
        <f t="shared" si="1"/>
        <v>0</v>
      </c>
      <c r="AY19" s="464">
        <f t="shared" si="2"/>
        <v>0</v>
      </c>
      <c r="AZ19" s="464">
        <f t="shared" si="3"/>
        <v>0</v>
      </c>
      <c r="BA19" s="464">
        <f t="shared" si="4"/>
        <v>0</v>
      </c>
      <c r="BB19" s="464">
        <f t="shared" si="5"/>
        <v>0</v>
      </c>
      <c r="BC19" s="465">
        <f t="shared" si="6"/>
        <v>0</v>
      </c>
      <c r="BD19" s="466" t="str">
        <f t="shared" si="17"/>
        <v>Tidak Tuntas</v>
      </c>
    </row>
    <row r="20" spans="1:56" ht="18" customHeight="1" x14ac:dyDescent="0.25">
      <c r="A20" s="362">
        <v>12</v>
      </c>
      <c r="B20" s="443" t="str">
        <f>dtsiswa!D18</f>
        <v>Intan Dyah Nowari</v>
      </c>
      <c r="C20" s="444" t="s">
        <v>4</v>
      </c>
      <c r="D20" s="447"/>
      <c r="E20" s="447"/>
      <c r="F20" s="447"/>
      <c r="G20" s="447"/>
      <c r="H20" s="447"/>
      <c r="I20" s="447"/>
      <c r="J20" s="446">
        <f t="shared" si="7"/>
        <v>0</v>
      </c>
      <c r="K20" s="447"/>
      <c r="L20" s="447"/>
      <c r="M20" s="447"/>
      <c r="N20" s="447"/>
      <c r="O20" s="447"/>
      <c r="P20" s="447"/>
      <c r="Q20" s="446">
        <f t="shared" si="8"/>
        <v>0</v>
      </c>
      <c r="R20" s="447"/>
      <c r="S20" s="447"/>
      <c r="T20" s="447"/>
      <c r="U20" s="447"/>
      <c r="V20" s="447"/>
      <c r="W20" s="447"/>
      <c r="X20" s="446">
        <f t="shared" si="9"/>
        <v>0</v>
      </c>
      <c r="Y20" s="447"/>
      <c r="Z20" s="447"/>
      <c r="AA20" s="447"/>
      <c r="AB20" s="447"/>
      <c r="AC20" s="447"/>
      <c r="AD20" s="446">
        <f t="shared" si="10"/>
        <v>0</v>
      </c>
      <c r="AE20" s="447"/>
      <c r="AF20" s="447"/>
      <c r="AG20" s="447"/>
      <c r="AH20" s="447"/>
      <c r="AI20" s="447"/>
      <c r="AJ20" s="447"/>
      <c r="AK20" s="446">
        <f t="shared" si="11"/>
        <v>0</v>
      </c>
      <c r="AL20" s="447"/>
      <c r="AM20" s="447"/>
      <c r="AN20" s="447"/>
      <c r="AO20" s="447"/>
      <c r="AP20" s="447"/>
      <c r="AQ20" s="447"/>
      <c r="AR20" s="446">
        <f t="shared" si="12"/>
        <v>0</v>
      </c>
      <c r="AS20" s="463">
        <f t="shared" si="13"/>
        <v>0</v>
      </c>
      <c r="AT20" s="463">
        <f t="shared" si="14"/>
        <v>0</v>
      </c>
      <c r="AU20" s="463">
        <f t="shared" si="15"/>
        <v>0</v>
      </c>
      <c r="AV20" s="463">
        <f t="shared" si="16"/>
        <v>0</v>
      </c>
      <c r="AW20" s="464">
        <f t="shared" si="0"/>
        <v>0</v>
      </c>
      <c r="AX20" s="464">
        <f t="shared" si="1"/>
        <v>0</v>
      </c>
      <c r="AY20" s="464">
        <f t="shared" si="2"/>
        <v>0</v>
      </c>
      <c r="AZ20" s="464">
        <f t="shared" si="3"/>
        <v>0</v>
      </c>
      <c r="BA20" s="464">
        <f t="shared" si="4"/>
        <v>0</v>
      </c>
      <c r="BB20" s="464">
        <f t="shared" si="5"/>
        <v>0</v>
      </c>
      <c r="BC20" s="465">
        <f t="shared" si="6"/>
        <v>0</v>
      </c>
      <c r="BD20" s="466" t="str">
        <f t="shared" si="17"/>
        <v>Tidak Tuntas</v>
      </c>
    </row>
    <row r="21" spans="1:56" ht="18" customHeight="1" x14ac:dyDescent="0.25">
      <c r="A21" s="362">
        <v>13</v>
      </c>
      <c r="B21" s="443" t="str">
        <f>dtsiswa!D19</f>
        <v>Misyanita Nurfitri S</v>
      </c>
      <c r="C21" s="444" t="s">
        <v>5</v>
      </c>
      <c r="D21" s="447"/>
      <c r="E21" s="447"/>
      <c r="F21" s="447"/>
      <c r="G21" s="447"/>
      <c r="H21" s="447"/>
      <c r="I21" s="447"/>
      <c r="J21" s="446">
        <f t="shared" si="7"/>
        <v>0</v>
      </c>
      <c r="K21" s="447"/>
      <c r="L21" s="447"/>
      <c r="M21" s="447"/>
      <c r="N21" s="447"/>
      <c r="O21" s="447"/>
      <c r="P21" s="447"/>
      <c r="Q21" s="446">
        <f t="shared" si="8"/>
        <v>0</v>
      </c>
      <c r="R21" s="447"/>
      <c r="S21" s="447"/>
      <c r="T21" s="447"/>
      <c r="U21" s="447"/>
      <c r="V21" s="447"/>
      <c r="W21" s="447"/>
      <c r="X21" s="446">
        <f t="shared" si="9"/>
        <v>0</v>
      </c>
      <c r="Y21" s="447"/>
      <c r="Z21" s="447"/>
      <c r="AA21" s="447"/>
      <c r="AB21" s="447"/>
      <c r="AC21" s="447"/>
      <c r="AD21" s="446">
        <f t="shared" si="10"/>
        <v>0</v>
      </c>
      <c r="AE21" s="447"/>
      <c r="AF21" s="447"/>
      <c r="AG21" s="447"/>
      <c r="AH21" s="447"/>
      <c r="AI21" s="447"/>
      <c r="AJ21" s="447"/>
      <c r="AK21" s="446">
        <f t="shared" si="11"/>
        <v>0</v>
      </c>
      <c r="AL21" s="447"/>
      <c r="AM21" s="447"/>
      <c r="AN21" s="447"/>
      <c r="AO21" s="447"/>
      <c r="AP21" s="447"/>
      <c r="AQ21" s="447"/>
      <c r="AR21" s="446">
        <f t="shared" si="12"/>
        <v>0</v>
      </c>
      <c r="AS21" s="463">
        <f t="shared" si="13"/>
        <v>0</v>
      </c>
      <c r="AT21" s="463">
        <f t="shared" si="14"/>
        <v>0</v>
      </c>
      <c r="AU21" s="463">
        <f t="shared" si="15"/>
        <v>0</v>
      </c>
      <c r="AV21" s="463">
        <f t="shared" si="16"/>
        <v>0</v>
      </c>
      <c r="AW21" s="464">
        <f t="shared" si="0"/>
        <v>0</v>
      </c>
      <c r="AX21" s="464">
        <f t="shared" si="1"/>
        <v>0</v>
      </c>
      <c r="AY21" s="464">
        <f t="shared" si="2"/>
        <v>0</v>
      </c>
      <c r="AZ21" s="464">
        <f t="shared" si="3"/>
        <v>0</v>
      </c>
      <c r="BA21" s="464">
        <f t="shared" si="4"/>
        <v>0</v>
      </c>
      <c r="BB21" s="464">
        <f t="shared" si="5"/>
        <v>0</v>
      </c>
      <c r="BC21" s="465">
        <f t="shared" si="6"/>
        <v>0</v>
      </c>
      <c r="BD21" s="466" t="str">
        <f t="shared" si="17"/>
        <v>Tidak Tuntas</v>
      </c>
    </row>
    <row r="22" spans="1:56" ht="18" customHeight="1" x14ac:dyDescent="0.25">
      <c r="A22" s="362">
        <v>14</v>
      </c>
      <c r="B22" s="443" t="str">
        <f>dtsiswa!D20</f>
        <v>Moch Zidane Hita L. U</v>
      </c>
      <c r="C22" s="444" t="s">
        <v>4</v>
      </c>
      <c r="D22" s="447"/>
      <c r="E22" s="447"/>
      <c r="F22" s="447"/>
      <c r="G22" s="447"/>
      <c r="H22" s="447"/>
      <c r="I22" s="447"/>
      <c r="J22" s="446">
        <f t="shared" si="7"/>
        <v>0</v>
      </c>
      <c r="K22" s="447"/>
      <c r="L22" s="447"/>
      <c r="M22" s="447"/>
      <c r="N22" s="447"/>
      <c r="O22" s="447"/>
      <c r="P22" s="447"/>
      <c r="Q22" s="446">
        <f t="shared" si="8"/>
        <v>0</v>
      </c>
      <c r="R22" s="447"/>
      <c r="S22" s="447"/>
      <c r="T22" s="447"/>
      <c r="U22" s="447"/>
      <c r="V22" s="447"/>
      <c r="W22" s="447"/>
      <c r="X22" s="446">
        <f t="shared" si="9"/>
        <v>0</v>
      </c>
      <c r="Y22" s="447"/>
      <c r="Z22" s="447"/>
      <c r="AA22" s="447"/>
      <c r="AB22" s="447"/>
      <c r="AC22" s="447"/>
      <c r="AD22" s="446">
        <f t="shared" si="10"/>
        <v>0</v>
      </c>
      <c r="AE22" s="447"/>
      <c r="AF22" s="447"/>
      <c r="AG22" s="447"/>
      <c r="AH22" s="447"/>
      <c r="AI22" s="447"/>
      <c r="AJ22" s="447"/>
      <c r="AK22" s="446">
        <f t="shared" si="11"/>
        <v>0</v>
      </c>
      <c r="AL22" s="447"/>
      <c r="AM22" s="447"/>
      <c r="AN22" s="447"/>
      <c r="AO22" s="447"/>
      <c r="AP22" s="447"/>
      <c r="AQ22" s="447"/>
      <c r="AR22" s="446">
        <f t="shared" si="12"/>
        <v>0</v>
      </c>
      <c r="AS22" s="463">
        <f t="shared" si="13"/>
        <v>0</v>
      </c>
      <c r="AT22" s="463">
        <f t="shared" si="14"/>
        <v>0</v>
      </c>
      <c r="AU22" s="463">
        <f t="shared" si="15"/>
        <v>0</v>
      </c>
      <c r="AV22" s="463">
        <f t="shared" si="16"/>
        <v>0</v>
      </c>
      <c r="AW22" s="464">
        <f t="shared" si="0"/>
        <v>0</v>
      </c>
      <c r="AX22" s="464">
        <f t="shared" si="1"/>
        <v>0</v>
      </c>
      <c r="AY22" s="464">
        <f t="shared" si="2"/>
        <v>0</v>
      </c>
      <c r="AZ22" s="464">
        <f t="shared" si="3"/>
        <v>0</v>
      </c>
      <c r="BA22" s="464">
        <f t="shared" si="4"/>
        <v>0</v>
      </c>
      <c r="BB22" s="464">
        <f t="shared" si="5"/>
        <v>0</v>
      </c>
      <c r="BC22" s="465">
        <f t="shared" si="6"/>
        <v>0</v>
      </c>
      <c r="BD22" s="466" t="str">
        <f t="shared" si="17"/>
        <v>Tidak Tuntas</v>
      </c>
    </row>
    <row r="23" spans="1:56" ht="18" customHeight="1" x14ac:dyDescent="0.25">
      <c r="A23" s="362">
        <v>15</v>
      </c>
      <c r="B23" s="443" t="str">
        <f>dtsiswa!D21</f>
        <v>Muhammad Ibra Maulana</v>
      </c>
      <c r="C23" s="444" t="s">
        <v>4</v>
      </c>
      <c r="D23" s="447"/>
      <c r="E23" s="447"/>
      <c r="F23" s="447"/>
      <c r="G23" s="447"/>
      <c r="H23" s="447"/>
      <c r="I23" s="447"/>
      <c r="J23" s="446">
        <f t="shared" si="7"/>
        <v>0</v>
      </c>
      <c r="K23" s="447"/>
      <c r="L23" s="447"/>
      <c r="M23" s="447"/>
      <c r="N23" s="447"/>
      <c r="O23" s="447"/>
      <c r="P23" s="447"/>
      <c r="Q23" s="446">
        <f t="shared" si="8"/>
        <v>0</v>
      </c>
      <c r="R23" s="447"/>
      <c r="S23" s="447"/>
      <c r="T23" s="447"/>
      <c r="U23" s="447"/>
      <c r="V23" s="447"/>
      <c r="W23" s="447"/>
      <c r="X23" s="446">
        <f t="shared" si="9"/>
        <v>0</v>
      </c>
      <c r="Y23" s="447"/>
      <c r="Z23" s="447"/>
      <c r="AA23" s="447"/>
      <c r="AB23" s="447"/>
      <c r="AC23" s="447"/>
      <c r="AD23" s="446">
        <f t="shared" si="10"/>
        <v>0</v>
      </c>
      <c r="AE23" s="447"/>
      <c r="AF23" s="447"/>
      <c r="AG23" s="447"/>
      <c r="AH23" s="447"/>
      <c r="AI23" s="447"/>
      <c r="AJ23" s="447"/>
      <c r="AK23" s="446">
        <f t="shared" si="11"/>
        <v>0</v>
      </c>
      <c r="AL23" s="447"/>
      <c r="AM23" s="447"/>
      <c r="AN23" s="447"/>
      <c r="AO23" s="447"/>
      <c r="AP23" s="447"/>
      <c r="AQ23" s="447"/>
      <c r="AR23" s="446">
        <f t="shared" si="12"/>
        <v>0</v>
      </c>
      <c r="AS23" s="463">
        <f t="shared" si="13"/>
        <v>0</v>
      </c>
      <c r="AT23" s="463">
        <f t="shared" si="14"/>
        <v>0</v>
      </c>
      <c r="AU23" s="463">
        <f t="shared" si="15"/>
        <v>0</v>
      </c>
      <c r="AV23" s="463">
        <f t="shared" si="16"/>
        <v>0</v>
      </c>
      <c r="AW23" s="464">
        <f t="shared" si="0"/>
        <v>0</v>
      </c>
      <c r="AX23" s="464">
        <f t="shared" si="1"/>
        <v>0</v>
      </c>
      <c r="AY23" s="464">
        <f t="shared" si="2"/>
        <v>0</v>
      </c>
      <c r="AZ23" s="464">
        <f t="shared" si="3"/>
        <v>0</v>
      </c>
      <c r="BA23" s="464">
        <f t="shared" si="4"/>
        <v>0</v>
      </c>
      <c r="BB23" s="464">
        <f t="shared" si="5"/>
        <v>0</v>
      </c>
      <c r="BC23" s="465">
        <f t="shared" si="6"/>
        <v>0</v>
      </c>
      <c r="BD23" s="466" t="str">
        <f t="shared" si="17"/>
        <v>Tidak Tuntas</v>
      </c>
    </row>
    <row r="24" spans="1:56" ht="18" customHeight="1" x14ac:dyDescent="0.25">
      <c r="A24" s="362">
        <v>16</v>
      </c>
      <c r="B24" s="443" t="str">
        <f>dtsiswa!D22</f>
        <v>Nabilla Shiva Putri</v>
      </c>
      <c r="C24" s="444" t="s">
        <v>4</v>
      </c>
      <c r="D24" s="447"/>
      <c r="E24" s="447"/>
      <c r="F24" s="447"/>
      <c r="G24" s="447"/>
      <c r="H24" s="447"/>
      <c r="I24" s="447"/>
      <c r="J24" s="446">
        <f t="shared" si="7"/>
        <v>0</v>
      </c>
      <c r="K24" s="447"/>
      <c r="L24" s="447"/>
      <c r="M24" s="447"/>
      <c r="N24" s="447"/>
      <c r="O24" s="447"/>
      <c r="P24" s="447"/>
      <c r="Q24" s="446">
        <f t="shared" si="8"/>
        <v>0</v>
      </c>
      <c r="R24" s="447"/>
      <c r="S24" s="447"/>
      <c r="T24" s="447"/>
      <c r="U24" s="447"/>
      <c r="V24" s="447"/>
      <c r="W24" s="447"/>
      <c r="X24" s="446">
        <f t="shared" si="9"/>
        <v>0</v>
      </c>
      <c r="Y24" s="447"/>
      <c r="Z24" s="447"/>
      <c r="AA24" s="447"/>
      <c r="AB24" s="447"/>
      <c r="AC24" s="447"/>
      <c r="AD24" s="446">
        <f t="shared" si="10"/>
        <v>0</v>
      </c>
      <c r="AE24" s="447"/>
      <c r="AF24" s="447"/>
      <c r="AG24" s="447"/>
      <c r="AH24" s="447"/>
      <c r="AI24" s="447"/>
      <c r="AJ24" s="447"/>
      <c r="AK24" s="446">
        <f t="shared" si="11"/>
        <v>0</v>
      </c>
      <c r="AL24" s="447"/>
      <c r="AM24" s="447"/>
      <c r="AN24" s="447"/>
      <c r="AO24" s="447"/>
      <c r="AP24" s="447"/>
      <c r="AQ24" s="447"/>
      <c r="AR24" s="446">
        <f t="shared" si="12"/>
        <v>0</v>
      </c>
      <c r="AS24" s="463">
        <f t="shared" si="13"/>
        <v>0</v>
      </c>
      <c r="AT24" s="463">
        <f t="shared" si="14"/>
        <v>0</v>
      </c>
      <c r="AU24" s="463">
        <f t="shared" si="15"/>
        <v>0</v>
      </c>
      <c r="AV24" s="463">
        <f t="shared" si="16"/>
        <v>0</v>
      </c>
      <c r="AW24" s="464">
        <f t="shared" si="0"/>
        <v>0</v>
      </c>
      <c r="AX24" s="464">
        <f t="shared" si="1"/>
        <v>0</v>
      </c>
      <c r="AY24" s="464">
        <f t="shared" si="2"/>
        <v>0</v>
      </c>
      <c r="AZ24" s="464">
        <f t="shared" si="3"/>
        <v>0</v>
      </c>
      <c r="BA24" s="464">
        <f t="shared" si="4"/>
        <v>0</v>
      </c>
      <c r="BB24" s="464">
        <f t="shared" si="5"/>
        <v>0</v>
      </c>
      <c r="BC24" s="465">
        <f t="shared" si="6"/>
        <v>0</v>
      </c>
      <c r="BD24" s="466" t="str">
        <f t="shared" si="17"/>
        <v>Tidak Tuntas</v>
      </c>
    </row>
    <row r="25" spans="1:56" ht="18" customHeight="1" x14ac:dyDescent="0.25">
      <c r="A25" s="362">
        <v>17</v>
      </c>
      <c r="B25" s="443" t="str">
        <f>dtsiswa!D23</f>
        <v>Naufal Falih F</v>
      </c>
      <c r="C25" s="444" t="s">
        <v>5</v>
      </c>
      <c r="D25" s="447"/>
      <c r="E25" s="447"/>
      <c r="F25" s="447"/>
      <c r="G25" s="447"/>
      <c r="H25" s="447"/>
      <c r="I25" s="447"/>
      <c r="J25" s="446">
        <f t="shared" si="7"/>
        <v>0</v>
      </c>
      <c r="K25" s="447"/>
      <c r="L25" s="447"/>
      <c r="M25" s="447"/>
      <c r="N25" s="447"/>
      <c r="O25" s="447"/>
      <c r="P25" s="447"/>
      <c r="Q25" s="446">
        <f t="shared" si="8"/>
        <v>0</v>
      </c>
      <c r="R25" s="447"/>
      <c r="S25" s="447"/>
      <c r="T25" s="447"/>
      <c r="U25" s="447"/>
      <c r="V25" s="447"/>
      <c r="W25" s="447"/>
      <c r="X25" s="446">
        <f t="shared" si="9"/>
        <v>0</v>
      </c>
      <c r="Y25" s="447"/>
      <c r="Z25" s="447"/>
      <c r="AA25" s="447"/>
      <c r="AB25" s="447"/>
      <c r="AC25" s="447"/>
      <c r="AD25" s="446">
        <f t="shared" si="10"/>
        <v>0</v>
      </c>
      <c r="AE25" s="447"/>
      <c r="AF25" s="447"/>
      <c r="AG25" s="447"/>
      <c r="AH25" s="447"/>
      <c r="AI25" s="447"/>
      <c r="AJ25" s="447"/>
      <c r="AK25" s="446">
        <f t="shared" si="11"/>
        <v>0</v>
      </c>
      <c r="AL25" s="447"/>
      <c r="AM25" s="447"/>
      <c r="AN25" s="447"/>
      <c r="AO25" s="447"/>
      <c r="AP25" s="447"/>
      <c r="AQ25" s="447"/>
      <c r="AR25" s="446">
        <f t="shared" si="12"/>
        <v>0</v>
      </c>
      <c r="AS25" s="463">
        <f t="shared" si="13"/>
        <v>0</v>
      </c>
      <c r="AT25" s="463">
        <f t="shared" si="14"/>
        <v>0</v>
      </c>
      <c r="AU25" s="463">
        <f t="shared" si="15"/>
        <v>0</v>
      </c>
      <c r="AV25" s="463">
        <f t="shared" si="16"/>
        <v>0</v>
      </c>
      <c r="AW25" s="464">
        <f t="shared" si="0"/>
        <v>0</v>
      </c>
      <c r="AX25" s="464">
        <f t="shared" si="1"/>
        <v>0</v>
      </c>
      <c r="AY25" s="464">
        <f t="shared" si="2"/>
        <v>0</v>
      </c>
      <c r="AZ25" s="464">
        <f t="shared" si="3"/>
        <v>0</v>
      </c>
      <c r="BA25" s="464">
        <f t="shared" si="4"/>
        <v>0</v>
      </c>
      <c r="BB25" s="464">
        <f t="shared" si="5"/>
        <v>0</v>
      </c>
      <c r="BC25" s="465">
        <f t="shared" si="6"/>
        <v>0</v>
      </c>
      <c r="BD25" s="466" t="str">
        <f t="shared" si="17"/>
        <v>Tidak Tuntas</v>
      </c>
    </row>
    <row r="26" spans="1:56" ht="18" customHeight="1" x14ac:dyDescent="0.25">
      <c r="A26" s="362">
        <v>18</v>
      </c>
      <c r="B26" s="443" t="str">
        <f>dtsiswa!D24</f>
        <v>Nayla Annora Nobel W</v>
      </c>
      <c r="C26" s="444" t="s">
        <v>4</v>
      </c>
      <c r="D26" s="447"/>
      <c r="E26" s="447"/>
      <c r="F26" s="447"/>
      <c r="G26" s="447"/>
      <c r="H26" s="447"/>
      <c r="I26" s="447"/>
      <c r="J26" s="446">
        <f t="shared" si="7"/>
        <v>0</v>
      </c>
      <c r="K26" s="447"/>
      <c r="L26" s="447"/>
      <c r="M26" s="447"/>
      <c r="N26" s="447"/>
      <c r="O26" s="447"/>
      <c r="P26" s="447"/>
      <c r="Q26" s="446">
        <f t="shared" si="8"/>
        <v>0</v>
      </c>
      <c r="R26" s="447"/>
      <c r="S26" s="447"/>
      <c r="T26" s="447"/>
      <c r="U26" s="447"/>
      <c r="V26" s="447"/>
      <c r="W26" s="447"/>
      <c r="X26" s="446">
        <f t="shared" si="9"/>
        <v>0</v>
      </c>
      <c r="Y26" s="447"/>
      <c r="Z26" s="447"/>
      <c r="AA26" s="447"/>
      <c r="AB26" s="447"/>
      <c r="AC26" s="447"/>
      <c r="AD26" s="446">
        <f t="shared" si="10"/>
        <v>0</v>
      </c>
      <c r="AE26" s="447"/>
      <c r="AF26" s="447"/>
      <c r="AG26" s="447"/>
      <c r="AH26" s="447"/>
      <c r="AI26" s="447"/>
      <c r="AJ26" s="447"/>
      <c r="AK26" s="446">
        <f t="shared" si="11"/>
        <v>0</v>
      </c>
      <c r="AL26" s="447"/>
      <c r="AM26" s="447"/>
      <c r="AN26" s="447"/>
      <c r="AO26" s="447"/>
      <c r="AP26" s="447"/>
      <c r="AQ26" s="447"/>
      <c r="AR26" s="446">
        <f t="shared" si="12"/>
        <v>0</v>
      </c>
      <c r="AS26" s="463">
        <f t="shared" si="13"/>
        <v>0</v>
      </c>
      <c r="AT26" s="463">
        <f t="shared" si="14"/>
        <v>0</v>
      </c>
      <c r="AU26" s="463">
        <f t="shared" si="15"/>
        <v>0</v>
      </c>
      <c r="AV26" s="463">
        <f t="shared" si="16"/>
        <v>0</v>
      </c>
      <c r="AW26" s="464">
        <f t="shared" si="0"/>
        <v>0</v>
      </c>
      <c r="AX26" s="464">
        <f t="shared" si="1"/>
        <v>0</v>
      </c>
      <c r="AY26" s="464">
        <f t="shared" si="2"/>
        <v>0</v>
      </c>
      <c r="AZ26" s="464">
        <f t="shared" si="3"/>
        <v>0</v>
      </c>
      <c r="BA26" s="464">
        <f t="shared" si="4"/>
        <v>0</v>
      </c>
      <c r="BB26" s="464">
        <f t="shared" si="5"/>
        <v>0</v>
      </c>
      <c r="BC26" s="465">
        <f t="shared" si="6"/>
        <v>0</v>
      </c>
      <c r="BD26" s="466" t="str">
        <f t="shared" si="17"/>
        <v>Tidak Tuntas</v>
      </c>
    </row>
    <row r="27" spans="1:56" ht="18" customHeight="1" x14ac:dyDescent="0.25">
      <c r="A27" s="362">
        <v>19</v>
      </c>
      <c r="B27" s="443" t="str">
        <f>dtsiswa!D25</f>
        <v>Raihan Danang P</v>
      </c>
      <c r="C27" s="444" t="s">
        <v>5</v>
      </c>
      <c r="D27" s="447"/>
      <c r="E27" s="447"/>
      <c r="F27" s="447"/>
      <c r="G27" s="447"/>
      <c r="H27" s="447"/>
      <c r="I27" s="447"/>
      <c r="J27" s="446">
        <f t="shared" si="7"/>
        <v>0</v>
      </c>
      <c r="K27" s="447"/>
      <c r="L27" s="447"/>
      <c r="M27" s="447"/>
      <c r="N27" s="447"/>
      <c r="O27" s="447"/>
      <c r="P27" s="447"/>
      <c r="Q27" s="446">
        <f t="shared" si="8"/>
        <v>0</v>
      </c>
      <c r="R27" s="447"/>
      <c r="S27" s="447"/>
      <c r="T27" s="447"/>
      <c r="U27" s="447"/>
      <c r="V27" s="447"/>
      <c r="W27" s="447"/>
      <c r="X27" s="446">
        <f t="shared" si="9"/>
        <v>0</v>
      </c>
      <c r="Y27" s="447"/>
      <c r="Z27" s="447"/>
      <c r="AA27" s="447"/>
      <c r="AB27" s="447"/>
      <c r="AC27" s="447"/>
      <c r="AD27" s="446">
        <f t="shared" si="10"/>
        <v>0</v>
      </c>
      <c r="AE27" s="447"/>
      <c r="AF27" s="447"/>
      <c r="AG27" s="447"/>
      <c r="AH27" s="447"/>
      <c r="AI27" s="447"/>
      <c r="AJ27" s="447"/>
      <c r="AK27" s="446">
        <f t="shared" si="11"/>
        <v>0</v>
      </c>
      <c r="AL27" s="447"/>
      <c r="AM27" s="447"/>
      <c r="AN27" s="447"/>
      <c r="AO27" s="447"/>
      <c r="AP27" s="447"/>
      <c r="AQ27" s="447"/>
      <c r="AR27" s="446">
        <f t="shared" si="12"/>
        <v>0</v>
      </c>
      <c r="AS27" s="463">
        <f t="shared" si="13"/>
        <v>0</v>
      </c>
      <c r="AT27" s="463">
        <f t="shared" si="14"/>
        <v>0</v>
      </c>
      <c r="AU27" s="463">
        <f t="shared" si="15"/>
        <v>0</v>
      </c>
      <c r="AV27" s="463">
        <f t="shared" si="16"/>
        <v>0</v>
      </c>
      <c r="AW27" s="464">
        <f t="shared" si="0"/>
        <v>0</v>
      </c>
      <c r="AX27" s="464">
        <f t="shared" si="1"/>
        <v>0</v>
      </c>
      <c r="AY27" s="464">
        <f t="shared" si="2"/>
        <v>0</v>
      </c>
      <c r="AZ27" s="464">
        <f t="shared" si="3"/>
        <v>0</v>
      </c>
      <c r="BA27" s="464">
        <f t="shared" si="4"/>
        <v>0</v>
      </c>
      <c r="BB27" s="464">
        <f t="shared" si="5"/>
        <v>0</v>
      </c>
      <c r="BC27" s="465">
        <f t="shared" si="6"/>
        <v>0</v>
      </c>
      <c r="BD27" s="466" t="str">
        <f t="shared" si="17"/>
        <v>Tidak Tuntas</v>
      </c>
    </row>
    <row r="28" spans="1:56" ht="18" customHeight="1" x14ac:dyDescent="0.25">
      <c r="A28" s="362">
        <v>20</v>
      </c>
      <c r="B28" s="443" t="str">
        <f>dtsiswa!D26</f>
        <v>Roby Ardiyansyah</v>
      </c>
      <c r="C28" s="444" t="s">
        <v>5</v>
      </c>
      <c r="D28" s="362"/>
      <c r="E28" s="362"/>
      <c r="F28" s="362"/>
      <c r="G28" s="362"/>
      <c r="H28" s="362"/>
      <c r="I28" s="362"/>
      <c r="J28" s="446">
        <f t="shared" si="7"/>
        <v>0</v>
      </c>
      <c r="K28" s="362"/>
      <c r="L28" s="362"/>
      <c r="M28" s="362"/>
      <c r="N28" s="362"/>
      <c r="O28" s="362"/>
      <c r="P28" s="362"/>
      <c r="Q28" s="446">
        <f t="shared" si="8"/>
        <v>0</v>
      </c>
      <c r="R28" s="362"/>
      <c r="S28" s="362"/>
      <c r="T28" s="362"/>
      <c r="U28" s="362"/>
      <c r="V28" s="362"/>
      <c r="W28" s="362"/>
      <c r="X28" s="446">
        <f t="shared" si="9"/>
        <v>0</v>
      </c>
      <c r="Y28" s="362"/>
      <c r="Z28" s="362"/>
      <c r="AA28" s="362"/>
      <c r="AB28" s="362"/>
      <c r="AC28" s="362"/>
      <c r="AD28" s="446">
        <f t="shared" si="10"/>
        <v>0</v>
      </c>
      <c r="AE28" s="362"/>
      <c r="AF28" s="362"/>
      <c r="AG28" s="362"/>
      <c r="AH28" s="362"/>
      <c r="AI28" s="362"/>
      <c r="AJ28" s="362"/>
      <c r="AK28" s="446">
        <f t="shared" si="11"/>
        <v>0</v>
      </c>
      <c r="AL28" s="362"/>
      <c r="AM28" s="362"/>
      <c r="AN28" s="362"/>
      <c r="AO28" s="362"/>
      <c r="AP28" s="362"/>
      <c r="AQ28" s="362"/>
      <c r="AR28" s="446">
        <f t="shared" si="12"/>
        <v>0</v>
      </c>
      <c r="AS28" s="463">
        <f t="shared" si="13"/>
        <v>0</v>
      </c>
      <c r="AT28" s="463">
        <f t="shared" si="14"/>
        <v>0</v>
      </c>
      <c r="AU28" s="463">
        <f t="shared" si="15"/>
        <v>0</v>
      </c>
      <c r="AV28" s="463">
        <f t="shared" si="16"/>
        <v>0</v>
      </c>
      <c r="AW28" s="464">
        <f t="shared" si="0"/>
        <v>0</v>
      </c>
      <c r="AX28" s="464">
        <f t="shared" si="1"/>
        <v>0</v>
      </c>
      <c r="AY28" s="464">
        <f t="shared" si="2"/>
        <v>0</v>
      </c>
      <c r="AZ28" s="464">
        <f t="shared" si="3"/>
        <v>0</v>
      </c>
      <c r="BA28" s="464">
        <f t="shared" si="4"/>
        <v>0</v>
      </c>
      <c r="BB28" s="464">
        <f t="shared" si="5"/>
        <v>0</v>
      </c>
      <c r="BC28" s="465">
        <f t="shared" si="6"/>
        <v>0</v>
      </c>
      <c r="BD28" s="466" t="str">
        <f t="shared" si="17"/>
        <v>Tidak Tuntas</v>
      </c>
    </row>
    <row r="29" spans="1:56" ht="18" customHeight="1" x14ac:dyDescent="0.25">
      <c r="A29" s="362">
        <v>21</v>
      </c>
      <c r="B29" s="443" t="str">
        <f>dtsiswa!D27</f>
        <v>Rojalingga Prana A</v>
      </c>
      <c r="C29" s="449" t="s">
        <v>4</v>
      </c>
      <c r="D29" s="447"/>
      <c r="E29" s="447"/>
      <c r="F29" s="447"/>
      <c r="G29" s="447"/>
      <c r="H29" s="447"/>
      <c r="I29" s="447"/>
      <c r="J29" s="446">
        <f t="shared" si="7"/>
        <v>0</v>
      </c>
      <c r="K29" s="447"/>
      <c r="L29" s="447"/>
      <c r="M29" s="447"/>
      <c r="N29" s="447"/>
      <c r="O29" s="447"/>
      <c r="P29" s="447"/>
      <c r="Q29" s="446">
        <f t="shared" si="8"/>
        <v>0</v>
      </c>
      <c r="R29" s="447"/>
      <c r="S29" s="447"/>
      <c r="T29" s="447"/>
      <c r="U29" s="447"/>
      <c r="V29" s="447"/>
      <c r="W29" s="447"/>
      <c r="X29" s="446">
        <f t="shared" si="9"/>
        <v>0</v>
      </c>
      <c r="Y29" s="447"/>
      <c r="Z29" s="447"/>
      <c r="AA29" s="447"/>
      <c r="AB29" s="447"/>
      <c r="AC29" s="447"/>
      <c r="AD29" s="446">
        <f t="shared" si="10"/>
        <v>0</v>
      </c>
      <c r="AE29" s="447"/>
      <c r="AF29" s="447"/>
      <c r="AG29" s="447"/>
      <c r="AH29" s="447"/>
      <c r="AI29" s="447"/>
      <c r="AJ29" s="447"/>
      <c r="AK29" s="446">
        <f t="shared" si="11"/>
        <v>0</v>
      </c>
      <c r="AL29" s="447"/>
      <c r="AM29" s="447"/>
      <c r="AN29" s="447"/>
      <c r="AO29" s="447"/>
      <c r="AP29" s="447"/>
      <c r="AQ29" s="447"/>
      <c r="AR29" s="446">
        <f t="shared" si="12"/>
        <v>0</v>
      </c>
      <c r="AS29" s="463">
        <f t="shared" si="13"/>
        <v>0</v>
      </c>
      <c r="AT29" s="463">
        <f t="shared" si="14"/>
        <v>0</v>
      </c>
      <c r="AU29" s="463">
        <f t="shared" si="15"/>
        <v>0</v>
      </c>
      <c r="AV29" s="463">
        <f t="shared" si="16"/>
        <v>0</v>
      </c>
      <c r="AW29" s="464">
        <f t="shared" si="0"/>
        <v>0</v>
      </c>
      <c r="AX29" s="464">
        <f t="shared" si="1"/>
        <v>0</v>
      </c>
      <c r="AY29" s="464">
        <f t="shared" si="2"/>
        <v>0</v>
      </c>
      <c r="AZ29" s="464">
        <f t="shared" si="3"/>
        <v>0</v>
      </c>
      <c r="BA29" s="464">
        <f t="shared" si="4"/>
        <v>0</v>
      </c>
      <c r="BB29" s="464">
        <f t="shared" si="5"/>
        <v>0</v>
      </c>
      <c r="BC29" s="465">
        <f t="shared" si="6"/>
        <v>0</v>
      </c>
      <c r="BD29" s="466" t="str">
        <f t="shared" si="17"/>
        <v>Tidak Tuntas</v>
      </c>
    </row>
    <row r="30" spans="1:56" ht="18" customHeight="1" x14ac:dyDescent="0.25">
      <c r="A30" s="362">
        <v>22</v>
      </c>
      <c r="B30" s="443" t="str">
        <f>dtsiswa!D28</f>
        <v>Sally Savista A</v>
      </c>
      <c r="C30" s="450"/>
      <c r="D30" s="362"/>
      <c r="E30" s="362"/>
      <c r="F30" s="362"/>
      <c r="G30" s="362"/>
      <c r="H30" s="362"/>
      <c r="I30" s="362"/>
      <c r="J30" s="446">
        <f t="shared" si="7"/>
        <v>0</v>
      </c>
      <c r="K30" s="362"/>
      <c r="L30" s="362"/>
      <c r="M30" s="362"/>
      <c r="N30" s="362"/>
      <c r="O30" s="362"/>
      <c r="P30" s="362"/>
      <c r="Q30" s="446">
        <f t="shared" si="8"/>
        <v>0</v>
      </c>
      <c r="R30" s="362"/>
      <c r="S30" s="362"/>
      <c r="T30" s="362"/>
      <c r="U30" s="362"/>
      <c r="V30" s="362"/>
      <c r="W30" s="362"/>
      <c r="X30" s="446">
        <f t="shared" si="9"/>
        <v>0</v>
      </c>
      <c r="Y30" s="362"/>
      <c r="Z30" s="362"/>
      <c r="AA30" s="362"/>
      <c r="AB30" s="362"/>
      <c r="AC30" s="362"/>
      <c r="AD30" s="446">
        <f t="shared" si="10"/>
        <v>0</v>
      </c>
      <c r="AE30" s="362"/>
      <c r="AF30" s="362"/>
      <c r="AG30" s="362"/>
      <c r="AH30" s="362"/>
      <c r="AI30" s="362"/>
      <c r="AJ30" s="362"/>
      <c r="AK30" s="446">
        <f t="shared" si="11"/>
        <v>0</v>
      </c>
      <c r="AL30" s="362"/>
      <c r="AM30" s="362"/>
      <c r="AN30" s="362"/>
      <c r="AO30" s="362"/>
      <c r="AP30" s="362"/>
      <c r="AQ30" s="362"/>
      <c r="AR30" s="446">
        <f t="shared" si="12"/>
        <v>0</v>
      </c>
      <c r="AS30" s="463">
        <f t="shared" si="13"/>
        <v>0</v>
      </c>
      <c r="AT30" s="463">
        <f t="shared" si="14"/>
        <v>0</v>
      </c>
      <c r="AU30" s="463">
        <f t="shared" si="15"/>
        <v>0</v>
      </c>
      <c r="AV30" s="463">
        <f t="shared" si="16"/>
        <v>0</v>
      </c>
      <c r="AW30" s="464">
        <f t="shared" si="0"/>
        <v>0</v>
      </c>
      <c r="AX30" s="464">
        <f t="shared" si="1"/>
        <v>0</v>
      </c>
      <c r="AY30" s="464">
        <f t="shared" si="2"/>
        <v>0</v>
      </c>
      <c r="AZ30" s="464">
        <f t="shared" si="3"/>
        <v>0</v>
      </c>
      <c r="BA30" s="464">
        <f t="shared" si="4"/>
        <v>0</v>
      </c>
      <c r="BB30" s="464">
        <f t="shared" si="5"/>
        <v>0</v>
      </c>
      <c r="BC30" s="465">
        <f t="shared" si="6"/>
        <v>0</v>
      </c>
      <c r="BD30" s="466" t="str">
        <f t="shared" si="17"/>
        <v>Tidak Tuntas</v>
      </c>
    </row>
    <row r="31" spans="1:56" ht="18" customHeight="1" x14ac:dyDescent="0.25">
      <c r="A31" s="362">
        <v>23</v>
      </c>
      <c r="B31" s="443" t="str">
        <f>dtsiswa!D29</f>
        <v xml:space="preserve">Tania Kaori Angelita </v>
      </c>
      <c r="C31" s="450"/>
      <c r="D31" s="362"/>
      <c r="E31" s="362"/>
      <c r="F31" s="362"/>
      <c r="G31" s="362"/>
      <c r="H31" s="362"/>
      <c r="I31" s="362"/>
      <c r="J31" s="446">
        <f t="shared" si="7"/>
        <v>0</v>
      </c>
      <c r="K31" s="362"/>
      <c r="L31" s="362"/>
      <c r="M31" s="362"/>
      <c r="N31" s="362"/>
      <c r="O31" s="362"/>
      <c r="P31" s="362"/>
      <c r="Q31" s="446">
        <f t="shared" si="8"/>
        <v>0</v>
      </c>
      <c r="R31" s="362"/>
      <c r="S31" s="362"/>
      <c r="T31" s="362"/>
      <c r="U31" s="362"/>
      <c r="V31" s="362"/>
      <c r="W31" s="362"/>
      <c r="X31" s="446">
        <f t="shared" si="9"/>
        <v>0</v>
      </c>
      <c r="Y31" s="362"/>
      <c r="Z31" s="362"/>
      <c r="AA31" s="362"/>
      <c r="AB31" s="362"/>
      <c r="AC31" s="362"/>
      <c r="AD31" s="446">
        <f t="shared" si="10"/>
        <v>0</v>
      </c>
      <c r="AE31" s="362"/>
      <c r="AF31" s="362"/>
      <c r="AG31" s="362"/>
      <c r="AH31" s="362"/>
      <c r="AI31" s="362"/>
      <c r="AJ31" s="362"/>
      <c r="AK31" s="446">
        <f t="shared" si="11"/>
        <v>0</v>
      </c>
      <c r="AL31" s="362"/>
      <c r="AM31" s="362"/>
      <c r="AN31" s="362"/>
      <c r="AO31" s="362"/>
      <c r="AP31" s="362"/>
      <c r="AQ31" s="362"/>
      <c r="AR31" s="446">
        <f t="shared" si="12"/>
        <v>0</v>
      </c>
      <c r="AS31" s="463">
        <f t="shared" si="13"/>
        <v>0</v>
      </c>
      <c r="AT31" s="463">
        <f t="shared" si="14"/>
        <v>0</v>
      </c>
      <c r="AU31" s="463">
        <f t="shared" si="15"/>
        <v>0</v>
      </c>
      <c r="AV31" s="463">
        <f t="shared" si="16"/>
        <v>0</v>
      </c>
      <c r="AW31" s="464">
        <f t="shared" si="0"/>
        <v>0</v>
      </c>
      <c r="AX31" s="464">
        <f t="shared" si="1"/>
        <v>0</v>
      </c>
      <c r="AY31" s="464">
        <f t="shared" si="2"/>
        <v>0</v>
      </c>
      <c r="AZ31" s="464">
        <f t="shared" si="3"/>
        <v>0</v>
      </c>
      <c r="BA31" s="464">
        <f t="shared" si="4"/>
        <v>0</v>
      </c>
      <c r="BB31" s="464">
        <f t="shared" si="5"/>
        <v>0</v>
      </c>
      <c r="BC31" s="465">
        <f t="shared" si="6"/>
        <v>0</v>
      </c>
      <c r="BD31" s="466" t="str">
        <f t="shared" si="17"/>
        <v>Tidak Tuntas</v>
      </c>
    </row>
    <row r="32" spans="1:56" ht="18" customHeight="1" x14ac:dyDescent="0.25">
      <c r="A32" s="362">
        <v>24</v>
      </c>
      <c r="B32" s="443" t="str">
        <f>dtsiswa!D30</f>
        <v>Romzy Oka Ramadhani P</v>
      </c>
      <c r="C32" s="450"/>
      <c r="D32" s="362"/>
      <c r="E32" s="362"/>
      <c r="F32" s="362"/>
      <c r="G32" s="362"/>
      <c r="H32" s="362"/>
      <c r="I32" s="362"/>
      <c r="J32" s="446">
        <f t="shared" si="7"/>
        <v>0</v>
      </c>
      <c r="K32" s="362"/>
      <c r="L32" s="362"/>
      <c r="M32" s="362"/>
      <c r="N32" s="362"/>
      <c r="O32" s="362"/>
      <c r="P32" s="362"/>
      <c r="Q32" s="446">
        <f t="shared" si="8"/>
        <v>0</v>
      </c>
      <c r="R32" s="362"/>
      <c r="S32" s="362"/>
      <c r="T32" s="362"/>
      <c r="U32" s="362"/>
      <c r="V32" s="362"/>
      <c r="W32" s="362"/>
      <c r="X32" s="446">
        <f t="shared" si="9"/>
        <v>0</v>
      </c>
      <c r="Y32" s="362"/>
      <c r="Z32" s="362"/>
      <c r="AA32" s="362"/>
      <c r="AB32" s="362"/>
      <c r="AC32" s="362"/>
      <c r="AD32" s="446">
        <f t="shared" si="10"/>
        <v>0</v>
      </c>
      <c r="AE32" s="362"/>
      <c r="AF32" s="362"/>
      <c r="AG32" s="362"/>
      <c r="AH32" s="362"/>
      <c r="AI32" s="362"/>
      <c r="AJ32" s="362"/>
      <c r="AK32" s="446">
        <f t="shared" si="11"/>
        <v>0</v>
      </c>
      <c r="AL32" s="362"/>
      <c r="AM32" s="362"/>
      <c r="AN32" s="362"/>
      <c r="AO32" s="362"/>
      <c r="AP32" s="362"/>
      <c r="AQ32" s="362"/>
      <c r="AR32" s="446">
        <f t="shared" si="12"/>
        <v>0</v>
      </c>
      <c r="AS32" s="463">
        <f t="shared" si="13"/>
        <v>0</v>
      </c>
      <c r="AT32" s="463">
        <f t="shared" si="14"/>
        <v>0</v>
      </c>
      <c r="AU32" s="463">
        <f t="shared" si="15"/>
        <v>0</v>
      </c>
      <c r="AV32" s="463">
        <f t="shared" si="16"/>
        <v>0</v>
      </c>
      <c r="AW32" s="464">
        <f t="shared" si="0"/>
        <v>0</v>
      </c>
      <c r="AX32" s="464">
        <f t="shared" si="1"/>
        <v>0</v>
      </c>
      <c r="AY32" s="464">
        <f t="shared" si="2"/>
        <v>0</v>
      </c>
      <c r="AZ32" s="464">
        <f t="shared" si="3"/>
        <v>0</v>
      </c>
      <c r="BA32" s="464">
        <f t="shared" si="4"/>
        <v>0</v>
      </c>
      <c r="BB32" s="464">
        <f t="shared" si="5"/>
        <v>0</v>
      </c>
      <c r="BC32" s="465">
        <f t="shared" si="6"/>
        <v>0</v>
      </c>
      <c r="BD32" s="466" t="str">
        <f t="shared" si="17"/>
        <v>Tidak Tuntas</v>
      </c>
    </row>
    <row r="33" spans="1:56" ht="18" customHeight="1" x14ac:dyDescent="0.25">
      <c r="A33" s="362">
        <v>25</v>
      </c>
      <c r="B33" s="443" t="str">
        <f>dtsiswa!D31</f>
        <v>Larasati Jagadhita P</v>
      </c>
      <c r="C33" s="444"/>
      <c r="D33" s="362"/>
      <c r="E33" s="362"/>
      <c r="F33" s="362"/>
      <c r="G33" s="362"/>
      <c r="H33" s="362"/>
      <c r="I33" s="362"/>
      <c r="J33" s="446">
        <f t="shared" si="7"/>
        <v>0</v>
      </c>
      <c r="K33" s="362"/>
      <c r="L33" s="362"/>
      <c r="M33" s="362"/>
      <c r="N33" s="362"/>
      <c r="O33" s="362"/>
      <c r="P33" s="362"/>
      <c r="Q33" s="446">
        <f t="shared" si="8"/>
        <v>0</v>
      </c>
      <c r="R33" s="362"/>
      <c r="S33" s="362"/>
      <c r="T33" s="362"/>
      <c r="U33" s="362"/>
      <c r="V33" s="362"/>
      <c r="W33" s="362"/>
      <c r="X33" s="446">
        <f t="shared" si="9"/>
        <v>0</v>
      </c>
      <c r="Y33" s="362"/>
      <c r="Z33" s="362"/>
      <c r="AA33" s="362"/>
      <c r="AB33" s="362"/>
      <c r="AC33" s="362"/>
      <c r="AD33" s="446">
        <f t="shared" si="10"/>
        <v>0</v>
      </c>
      <c r="AE33" s="362"/>
      <c r="AF33" s="362"/>
      <c r="AG33" s="362"/>
      <c r="AH33" s="362"/>
      <c r="AI33" s="362"/>
      <c r="AJ33" s="362"/>
      <c r="AK33" s="446">
        <f t="shared" si="11"/>
        <v>0</v>
      </c>
      <c r="AL33" s="362"/>
      <c r="AM33" s="362"/>
      <c r="AN33" s="362"/>
      <c r="AO33" s="362"/>
      <c r="AP33" s="362"/>
      <c r="AQ33" s="362"/>
      <c r="AR33" s="446">
        <f t="shared" si="12"/>
        <v>0</v>
      </c>
      <c r="AS33" s="463">
        <f t="shared" si="13"/>
        <v>0</v>
      </c>
      <c r="AT33" s="463">
        <f t="shared" si="14"/>
        <v>0</v>
      </c>
      <c r="AU33" s="463">
        <f t="shared" si="15"/>
        <v>0</v>
      </c>
      <c r="AV33" s="463">
        <f t="shared" si="16"/>
        <v>0</v>
      </c>
      <c r="AW33" s="464">
        <f t="shared" si="0"/>
        <v>0</v>
      </c>
      <c r="AX33" s="464">
        <f t="shared" si="1"/>
        <v>0</v>
      </c>
      <c r="AY33" s="464">
        <f t="shared" si="2"/>
        <v>0</v>
      </c>
      <c r="AZ33" s="464">
        <f t="shared" si="3"/>
        <v>0</v>
      </c>
      <c r="BA33" s="464">
        <f t="shared" si="4"/>
        <v>0</v>
      </c>
      <c r="BB33" s="464">
        <f t="shared" si="5"/>
        <v>0</v>
      </c>
      <c r="BC33" s="465">
        <f t="shared" si="6"/>
        <v>0</v>
      </c>
      <c r="BD33" s="466" t="str">
        <f t="shared" si="17"/>
        <v>Tidak Tuntas</v>
      </c>
    </row>
    <row r="34" spans="1:56" ht="18" customHeight="1" x14ac:dyDescent="0.25">
      <c r="A34" s="362">
        <v>26</v>
      </c>
      <c r="B34" s="443" t="str">
        <f>dtsiswa!D32</f>
        <v>Meliana Citra A</v>
      </c>
      <c r="C34" s="444"/>
      <c r="D34" s="362"/>
      <c r="E34" s="362"/>
      <c r="F34" s="362"/>
      <c r="G34" s="362"/>
      <c r="H34" s="362"/>
      <c r="I34" s="362"/>
      <c r="J34" s="446">
        <f t="shared" si="7"/>
        <v>0</v>
      </c>
      <c r="K34" s="362"/>
      <c r="L34" s="362"/>
      <c r="M34" s="362"/>
      <c r="N34" s="362"/>
      <c r="O34" s="362"/>
      <c r="P34" s="362"/>
      <c r="Q34" s="446">
        <f t="shared" si="8"/>
        <v>0</v>
      </c>
      <c r="R34" s="362"/>
      <c r="S34" s="362"/>
      <c r="T34" s="362"/>
      <c r="U34" s="362"/>
      <c r="V34" s="362"/>
      <c r="W34" s="362"/>
      <c r="X34" s="446">
        <f t="shared" si="9"/>
        <v>0</v>
      </c>
      <c r="Y34" s="362"/>
      <c r="Z34" s="362"/>
      <c r="AA34" s="362"/>
      <c r="AB34" s="362"/>
      <c r="AC34" s="362"/>
      <c r="AD34" s="446">
        <f t="shared" si="10"/>
        <v>0</v>
      </c>
      <c r="AE34" s="362"/>
      <c r="AF34" s="362"/>
      <c r="AG34" s="362"/>
      <c r="AH34" s="362"/>
      <c r="AI34" s="362"/>
      <c r="AJ34" s="362"/>
      <c r="AK34" s="446">
        <f t="shared" si="11"/>
        <v>0</v>
      </c>
      <c r="AL34" s="362"/>
      <c r="AM34" s="362"/>
      <c r="AN34" s="362"/>
      <c r="AO34" s="362"/>
      <c r="AP34" s="362"/>
      <c r="AQ34" s="362"/>
      <c r="AR34" s="446">
        <f t="shared" si="12"/>
        <v>0</v>
      </c>
      <c r="AS34" s="463">
        <f t="shared" si="13"/>
        <v>0</v>
      </c>
      <c r="AT34" s="463">
        <f t="shared" si="14"/>
        <v>0</v>
      </c>
      <c r="AU34" s="463">
        <f t="shared" si="15"/>
        <v>0</v>
      </c>
      <c r="AV34" s="463">
        <f t="shared" si="16"/>
        <v>0</v>
      </c>
      <c r="AW34" s="464">
        <f t="shared" si="0"/>
        <v>0</v>
      </c>
      <c r="AX34" s="464">
        <f t="shared" si="1"/>
        <v>0</v>
      </c>
      <c r="AY34" s="464">
        <f t="shared" si="2"/>
        <v>0</v>
      </c>
      <c r="AZ34" s="464">
        <f t="shared" si="3"/>
        <v>0</v>
      </c>
      <c r="BA34" s="464">
        <f t="shared" si="4"/>
        <v>0</v>
      </c>
      <c r="BB34" s="464">
        <f t="shared" si="5"/>
        <v>0</v>
      </c>
      <c r="BC34" s="465">
        <f t="shared" si="6"/>
        <v>0</v>
      </c>
      <c r="BD34" s="466" t="str">
        <f t="shared" si="17"/>
        <v>Tidak Tuntas</v>
      </c>
    </row>
    <row r="35" spans="1:56" ht="18" customHeight="1" x14ac:dyDescent="0.25">
      <c r="A35" s="362">
        <v>27</v>
      </c>
      <c r="B35" s="443" t="str">
        <f>dtsiswa!D33</f>
        <v>Mohammad Rizky</v>
      </c>
      <c r="C35" s="444"/>
      <c r="D35" s="362"/>
      <c r="E35" s="362"/>
      <c r="F35" s="362"/>
      <c r="G35" s="362"/>
      <c r="H35" s="362"/>
      <c r="I35" s="362"/>
      <c r="J35" s="446">
        <f t="shared" si="7"/>
        <v>0</v>
      </c>
      <c r="K35" s="362"/>
      <c r="L35" s="362"/>
      <c r="M35" s="362"/>
      <c r="N35" s="362"/>
      <c r="O35" s="362"/>
      <c r="P35" s="362"/>
      <c r="Q35" s="446">
        <f t="shared" si="8"/>
        <v>0</v>
      </c>
      <c r="R35" s="362"/>
      <c r="S35" s="362"/>
      <c r="T35" s="362"/>
      <c r="U35" s="362"/>
      <c r="V35" s="362"/>
      <c r="W35" s="362"/>
      <c r="X35" s="446">
        <f t="shared" si="9"/>
        <v>0</v>
      </c>
      <c r="Y35" s="362"/>
      <c r="Z35" s="362"/>
      <c r="AA35" s="362"/>
      <c r="AB35" s="362"/>
      <c r="AC35" s="362"/>
      <c r="AD35" s="446">
        <f t="shared" si="10"/>
        <v>0</v>
      </c>
      <c r="AE35" s="362"/>
      <c r="AF35" s="362"/>
      <c r="AG35" s="362"/>
      <c r="AH35" s="362"/>
      <c r="AI35" s="362"/>
      <c r="AJ35" s="362"/>
      <c r="AK35" s="446">
        <f t="shared" si="11"/>
        <v>0</v>
      </c>
      <c r="AL35" s="362"/>
      <c r="AM35" s="362"/>
      <c r="AN35" s="362"/>
      <c r="AO35" s="362"/>
      <c r="AP35" s="362"/>
      <c r="AQ35" s="362"/>
      <c r="AR35" s="446">
        <f t="shared" si="12"/>
        <v>0</v>
      </c>
      <c r="AS35" s="463">
        <f t="shared" si="13"/>
        <v>0</v>
      </c>
      <c r="AT35" s="463">
        <f t="shared" si="14"/>
        <v>0</v>
      </c>
      <c r="AU35" s="463">
        <f t="shared" si="15"/>
        <v>0</v>
      </c>
      <c r="AV35" s="463">
        <f t="shared" si="16"/>
        <v>0</v>
      </c>
      <c r="AW35" s="464">
        <f t="shared" si="0"/>
        <v>0</v>
      </c>
      <c r="AX35" s="464">
        <f t="shared" si="1"/>
        <v>0</v>
      </c>
      <c r="AY35" s="464">
        <f t="shared" si="2"/>
        <v>0</v>
      </c>
      <c r="AZ35" s="464">
        <f t="shared" si="3"/>
        <v>0</v>
      </c>
      <c r="BA35" s="464">
        <f t="shared" si="4"/>
        <v>0</v>
      </c>
      <c r="BB35" s="464">
        <f t="shared" si="5"/>
        <v>0</v>
      </c>
      <c r="BC35" s="465">
        <f t="shared" si="6"/>
        <v>0</v>
      </c>
      <c r="BD35" s="466" t="str">
        <f t="shared" si="17"/>
        <v>Tidak Tuntas</v>
      </c>
    </row>
    <row r="36" spans="1:56" ht="18" customHeight="1" x14ac:dyDescent="0.25">
      <c r="A36" s="362">
        <v>28</v>
      </c>
      <c r="B36" s="443">
        <f>dtsiswa!D34</f>
        <v>0</v>
      </c>
      <c r="C36" s="444"/>
      <c r="D36" s="362"/>
      <c r="E36" s="362"/>
      <c r="F36" s="362"/>
      <c r="G36" s="362"/>
      <c r="H36" s="362"/>
      <c r="I36" s="362"/>
      <c r="J36" s="446">
        <f t="shared" si="7"/>
        <v>0</v>
      </c>
      <c r="K36" s="362"/>
      <c r="L36" s="362"/>
      <c r="M36" s="362"/>
      <c r="N36" s="362"/>
      <c r="O36" s="362"/>
      <c r="P36" s="362"/>
      <c r="Q36" s="446">
        <f t="shared" si="8"/>
        <v>0</v>
      </c>
      <c r="R36" s="362"/>
      <c r="S36" s="362"/>
      <c r="T36" s="362"/>
      <c r="U36" s="362"/>
      <c r="V36" s="362"/>
      <c r="W36" s="362"/>
      <c r="X36" s="446">
        <f t="shared" si="9"/>
        <v>0</v>
      </c>
      <c r="Y36" s="362"/>
      <c r="Z36" s="362"/>
      <c r="AA36" s="362"/>
      <c r="AB36" s="362"/>
      <c r="AC36" s="362"/>
      <c r="AD36" s="446">
        <f t="shared" si="10"/>
        <v>0</v>
      </c>
      <c r="AE36" s="362"/>
      <c r="AF36" s="362"/>
      <c r="AG36" s="362"/>
      <c r="AH36" s="362"/>
      <c r="AI36" s="362"/>
      <c r="AJ36" s="362"/>
      <c r="AK36" s="446">
        <f t="shared" si="11"/>
        <v>0</v>
      </c>
      <c r="AL36" s="362"/>
      <c r="AM36" s="362"/>
      <c r="AN36" s="362"/>
      <c r="AO36" s="362"/>
      <c r="AP36" s="362"/>
      <c r="AQ36" s="362"/>
      <c r="AR36" s="446">
        <f t="shared" si="12"/>
        <v>0</v>
      </c>
      <c r="AS36" s="463">
        <f t="shared" si="13"/>
        <v>0</v>
      </c>
      <c r="AT36" s="463">
        <f t="shared" si="14"/>
        <v>0</v>
      </c>
      <c r="AU36" s="463">
        <f t="shared" si="15"/>
        <v>0</v>
      </c>
      <c r="AV36" s="463">
        <f t="shared" si="16"/>
        <v>0</v>
      </c>
      <c r="AW36" s="464">
        <f t="shared" si="0"/>
        <v>0</v>
      </c>
      <c r="AX36" s="464">
        <f t="shared" si="1"/>
        <v>0</v>
      </c>
      <c r="AY36" s="464">
        <f t="shared" si="2"/>
        <v>0</v>
      </c>
      <c r="AZ36" s="464">
        <f t="shared" si="3"/>
        <v>0</v>
      </c>
      <c r="BA36" s="464">
        <f t="shared" si="4"/>
        <v>0</v>
      </c>
      <c r="BB36" s="464">
        <f t="shared" si="5"/>
        <v>0</v>
      </c>
      <c r="BC36" s="465">
        <f t="shared" si="6"/>
        <v>0</v>
      </c>
      <c r="BD36" s="466" t="str">
        <f t="shared" si="17"/>
        <v>Tidak Tuntas</v>
      </c>
    </row>
    <row r="37" spans="1:56" ht="18" customHeight="1" x14ac:dyDescent="0.25">
      <c r="A37" s="362">
        <v>29</v>
      </c>
      <c r="B37" s="443">
        <f>dtsiswa!D35</f>
        <v>0</v>
      </c>
      <c r="C37" s="444"/>
      <c r="D37" s="362"/>
      <c r="E37" s="362"/>
      <c r="F37" s="362"/>
      <c r="G37" s="362"/>
      <c r="H37" s="362"/>
      <c r="I37" s="362"/>
      <c r="J37" s="446">
        <f t="shared" si="7"/>
        <v>0</v>
      </c>
      <c r="K37" s="362"/>
      <c r="L37" s="362"/>
      <c r="M37" s="362"/>
      <c r="N37" s="362"/>
      <c r="O37" s="362"/>
      <c r="P37" s="362"/>
      <c r="Q37" s="446">
        <f t="shared" si="8"/>
        <v>0</v>
      </c>
      <c r="R37" s="362"/>
      <c r="S37" s="362"/>
      <c r="T37" s="362"/>
      <c r="U37" s="362"/>
      <c r="V37" s="362"/>
      <c r="W37" s="362"/>
      <c r="X37" s="446">
        <f t="shared" si="9"/>
        <v>0</v>
      </c>
      <c r="Y37" s="362"/>
      <c r="Z37" s="362"/>
      <c r="AA37" s="362"/>
      <c r="AB37" s="362"/>
      <c r="AC37" s="362"/>
      <c r="AD37" s="446">
        <f t="shared" si="10"/>
        <v>0</v>
      </c>
      <c r="AE37" s="362"/>
      <c r="AF37" s="362"/>
      <c r="AG37" s="362"/>
      <c r="AH37" s="362"/>
      <c r="AI37" s="362"/>
      <c r="AJ37" s="362"/>
      <c r="AK37" s="446">
        <f t="shared" si="11"/>
        <v>0</v>
      </c>
      <c r="AL37" s="362"/>
      <c r="AM37" s="362"/>
      <c r="AN37" s="362"/>
      <c r="AO37" s="362"/>
      <c r="AP37" s="362"/>
      <c r="AQ37" s="362"/>
      <c r="AR37" s="446">
        <f t="shared" si="12"/>
        <v>0</v>
      </c>
      <c r="AS37" s="463">
        <f t="shared" si="13"/>
        <v>0</v>
      </c>
      <c r="AT37" s="463">
        <f t="shared" si="14"/>
        <v>0</v>
      </c>
      <c r="AU37" s="463">
        <f t="shared" si="15"/>
        <v>0</v>
      </c>
      <c r="AV37" s="463">
        <f t="shared" si="16"/>
        <v>0</v>
      </c>
      <c r="AW37" s="464">
        <f t="shared" si="0"/>
        <v>0</v>
      </c>
      <c r="AX37" s="464">
        <f t="shared" si="1"/>
        <v>0</v>
      </c>
      <c r="AY37" s="464">
        <f t="shared" si="2"/>
        <v>0</v>
      </c>
      <c r="AZ37" s="464">
        <f t="shared" si="3"/>
        <v>0</v>
      </c>
      <c r="BA37" s="464">
        <f t="shared" si="4"/>
        <v>0</v>
      </c>
      <c r="BB37" s="464">
        <f t="shared" si="5"/>
        <v>0</v>
      </c>
      <c r="BC37" s="465">
        <f t="shared" si="6"/>
        <v>0</v>
      </c>
      <c r="BD37" s="466" t="str">
        <f t="shared" si="17"/>
        <v>Tidak Tuntas</v>
      </c>
    </row>
    <row r="38" spans="1:56" ht="18" customHeight="1" x14ac:dyDescent="0.25">
      <c r="A38" s="362">
        <v>30</v>
      </c>
      <c r="B38" s="443">
        <f>dtsiswa!D36</f>
        <v>0</v>
      </c>
      <c r="C38" s="444"/>
      <c r="D38" s="362"/>
      <c r="E38" s="362"/>
      <c r="F38" s="362"/>
      <c r="G38" s="362"/>
      <c r="H38" s="362"/>
      <c r="I38" s="362"/>
      <c r="J38" s="446">
        <f t="shared" si="7"/>
        <v>0</v>
      </c>
      <c r="K38" s="362"/>
      <c r="L38" s="362"/>
      <c r="M38" s="362"/>
      <c r="N38" s="362"/>
      <c r="O38" s="362"/>
      <c r="P38" s="362"/>
      <c r="Q38" s="446">
        <f t="shared" si="8"/>
        <v>0</v>
      </c>
      <c r="R38" s="362"/>
      <c r="S38" s="362"/>
      <c r="T38" s="362"/>
      <c r="U38" s="362"/>
      <c r="V38" s="362"/>
      <c r="W38" s="362"/>
      <c r="X38" s="446">
        <f t="shared" si="9"/>
        <v>0</v>
      </c>
      <c r="Y38" s="362"/>
      <c r="Z38" s="362"/>
      <c r="AA38" s="362"/>
      <c r="AB38" s="362"/>
      <c r="AC38" s="362"/>
      <c r="AD38" s="446">
        <f t="shared" si="10"/>
        <v>0</v>
      </c>
      <c r="AE38" s="362"/>
      <c r="AF38" s="362"/>
      <c r="AG38" s="362"/>
      <c r="AH38" s="362"/>
      <c r="AI38" s="362"/>
      <c r="AJ38" s="362"/>
      <c r="AK38" s="446">
        <f t="shared" si="11"/>
        <v>0</v>
      </c>
      <c r="AL38" s="362"/>
      <c r="AM38" s="362"/>
      <c r="AN38" s="362"/>
      <c r="AO38" s="362"/>
      <c r="AP38" s="362"/>
      <c r="AQ38" s="362"/>
      <c r="AR38" s="446">
        <f t="shared" si="12"/>
        <v>0</v>
      </c>
      <c r="AS38" s="463">
        <f t="shared" si="13"/>
        <v>0</v>
      </c>
      <c r="AT38" s="463">
        <f t="shared" si="14"/>
        <v>0</v>
      </c>
      <c r="AU38" s="463">
        <f t="shared" si="15"/>
        <v>0</v>
      </c>
      <c r="AV38" s="463">
        <f t="shared" si="16"/>
        <v>0</v>
      </c>
      <c r="AW38" s="464">
        <f t="shared" si="0"/>
        <v>0</v>
      </c>
      <c r="AX38" s="464">
        <f t="shared" si="1"/>
        <v>0</v>
      </c>
      <c r="AY38" s="464">
        <f t="shared" si="2"/>
        <v>0</v>
      </c>
      <c r="AZ38" s="464">
        <f t="shared" si="3"/>
        <v>0</v>
      </c>
      <c r="BA38" s="464">
        <f t="shared" si="4"/>
        <v>0</v>
      </c>
      <c r="BB38" s="464">
        <f t="shared" si="5"/>
        <v>0</v>
      </c>
      <c r="BC38" s="465">
        <f t="shared" si="6"/>
        <v>0</v>
      </c>
      <c r="BD38" s="466" t="str">
        <f t="shared" si="17"/>
        <v>Tidak Tuntas</v>
      </c>
    </row>
    <row r="39" spans="1:56" ht="18" customHeight="1" x14ac:dyDescent="0.25">
      <c r="A39" s="362">
        <v>31</v>
      </c>
      <c r="B39" s="443">
        <f>dtsiswa!D37</f>
        <v>0</v>
      </c>
      <c r="C39" s="444"/>
      <c r="D39" s="362"/>
      <c r="E39" s="362"/>
      <c r="F39" s="362"/>
      <c r="G39" s="362"/>
      <c r="H39" s="362"/>
      <c r="I39" s="362"/>
      <c r="J39" s="446">
        <f t="shared" si="7"/>
        <v>0</v>
      </c>
      <c r="K39" s="362"/>
      <c r="L39" s="362"/>
      <c r="M39" s="362"/>
      <c r="N39" s="362"/>
      <c r="O39" s="362"/>
      <c r="P39" s="362"/>
      <c r="Q39" s="446">
        <f t="shared" si="8"/>
        <v>0</v>
      </c>
      <c r="R39" s="362"/>
      <c r="S39" s="362"/>
      <c r="T39" s="362"/>
      <c r="U39" s="362"/>
      <c r="V39" s="362"/>
      <c r="W39" s="362"/>
      <c r="X39" s="446">
        <f t="shared" si="9"/>
        <v>0</v>
      </c>
      <c r="Y39" s="362"/>
      <c r="Z39" s="362"/>
      <c r="AA39" s="362"/>
      <c r="AB39" s="362"/>
      <c r="AC39" s="362"/>
      <c r="AD39" s="446">
        <f t="shared" si="10"/>
        <v>0</v>
      </c>
      <c r="AE39" s="362"/>
      <c r="AF39" s="362"/>
      <c r="AG39" s="362"/>
      <c r="AH39" s="362"/>
      <c r="AI39" s="362"/>
      <c r="AJ39" s="362"/>
      <c r="AK39" s="446">
        <f t="shared" si="11"/>
        <v>0</v>
      </c>
      <c r="AL39" s="362"/>
      <c r="AM39" s="362"/>
      <c r="AN39" s="362"/>
      <c r="AO39" s="362"/>
      <c r="AP39" s="362"/>
      <c r="AQ39" s="362"/>
      <c r="AR39" s="446">
        <f t="shared" si="12"/>
        <v>0</v>
      </c>
      <c r="AS39" s="463">
        <f t="shared" si="13"/>
        <v>0</v>
      </c>
      <c r="AT39" s="463">
        <f t="shared" si="14"/>
        <v>0</v>
      </c>
      <c r="AU39" s="463">
        <f t="shared" si="15"/>
        <v>0</v>
      </c>
      <c r="AV39" s="463">
        <f t="shared" si="16"/>
        <v>0</v>
      </c>
      <c r="AW39" s="464">
        <f t="shared" si="0"/>
        <v>0</v>
      </c>
      <c r="AX39" s="464">
        <f t="shared" si="1"/>
        <v>0</v>
      </c>
      <c r="AY39" s="464">
        <f t="shared" si="2"/>
        <v>0</v>
      </c>
      <c r="AZ39" s="464">
        <f t="shared" si="3"/>
        <v>0</v>
      </c>
      <c r="BA39" s="464">
        <f t="shared" si="4"/>
        <v>0</v>
      </c>
      <c r="BB39" s="464">
        <f t="shared" si="5"/>
        <v>0</v>
      </c>
      <c r="BC39" s="465">
        <f t="shared" si="6"/>
        <v>0</v>
      </c>
      <c r="BD39" s="466" t="str">
        <f t="shared" si="17"/>
        <v>Tidak Tuntas</v>
      </c>
    </row>
    <row r="40" spans="1:56" ht="18" customHeight="1" x14ac:dyDescent="0.25">
      <c r="A40" s="362">
        <v>32</v>
      </c>
      <c r="B40" s="443">
        <f>dtsiswa!D38</f>
        <v>0</v>
      </c>
      <c r="C40" s="444"/>
      <c r="D40" s="362"/>
      <c r="E40" s="362"/>
      <c r="F40" s="362"/>
      <c r="G40" s="362"/>
      <c r="H40" s="362"/>
      <c r="I40" s="362"/>
      <c r="J40" s="446">
        <f t="shared" si="7"/>
        <v>0</v>
      </c>
      <c r="K40" s="362"/>
      <c r="L40" s="362"/>
      <c r="M40" s="362"/>
      <c r="N40" s="362"/>
      <c r="O40" s="362"/>
      <c r="P40" s="362"/>
      <c r="Q40" s="446">
        <f t="shared" si="8"/>
        <v>0</v>
      </c>
      <c r="R40" s="362"/>
      <c r="S40" s="362"/>
      <c r="T40" s="362"/>
      <c r="U40" s="362"/>
      <c r="V40" s="362"/>
      <c r="W40" s="362"/>
      <c r="X40" s="446">
        <f t="shared" si="9"/>
        <v>0</v>
      </c>
      <c r="Y40" s="362"/>
      <c r="Z40" s="362"/>
      <c r="AA40" s="362"/>
      <c r="AB40" s="362"/>
      <c r="AC40" s="362"/>
      <c r="AD40" s="446">
        <f t="shared" si="10"/>
        <v>0</v>
      </c>
      <c r="AE40" s="362"/>
      <c r="AF40" s="362"/>
      <c r="AG40" s="362"/>
      <c r="AH40" s="362"/>
      <c r="AI40" s="362"/>
      <c r="AJ40" s="362"/>
      <c r="AK40" s="446">
        <f t="shared" si="11"/>
        <v>0</v>
      </c>
      <c r="AL40" s="362"/>
      <c r="AM40" s="362"/>
      <c r="AN40" s="362"/>
      <c r="AO40" s="362"/>
      <c r="AP40" s="362"/>
      <c r="AQ40" s="362"/>
      <c r="AR40" s="446">
        <f t="shared" si="12"/>
        <v>0</v>
      </c>
      <c r="AS40" s="463">
        <f t="shared" si="13"/>
        <v>0</v>
      </c>
      <c r="AT40" s="463">
        <f t="shared" si="14"/>
        <v>0</v>
      </c>
      <c r="AU40" s="463">
        <f t="shared" si="15"/>
        <v>0</v>
      </c>
      <c r="AV40" s="463">
        <f t="shared" si="16"/>
        <v>0</v>
      </c>
      <c r="AW40" s="464">
        <f t="shared" si="0"/>
        <v>0</v>
      </c>
      <c r="AX40" s="464">
        <f t="shared" si="1"/>
        <v>0</v>
      </c>
      <c r="AY40" s="464">
        <f t="shared" si="2"/>
        <v>0</v>
      </c>
      <c r="AZ40" s="464">
        <f t="shared" si="3"/>
        <v>0</v>
      </c>
      <c r="BA40" s="464">
        <f t="shared" si="4"/>
        <v>0</v>
      </c>
      <c r="BB40" s="464">
        <f t="shared" si="5"/>
        <v>0</v>
      </c>
      <c r="BC40" s="465">
        <f t="shared" si="6"/>
        <v>0</v>
      </c>
      <c r="BD40" s="466" t="str">
        <f t="shared" si="17"/>
        <v>Tidak Tuntas</v>
      </c>
    </row>
    <row r="41" spans="1:56" ht="18" customHeight="1" x14ac:dyDescent="0.25">
      <c r="A41" s="362">
        <v>33</v>
      </c>
      <c r="B41" s="443">
        <f>dtsiswa!D39</f>
        <v>0</v>
      </c>
      <c r="C41" s="444"/>
      <c r="D41" s="362"/>
      <c r="E41" s="362"/>
      <c r="F41" s="362"/>
      <c r="G41" s="362"/>
      <c r="H41" s="362"/>
      <c r="I41" s="362"/>
      <c r="J41" s="446">
        <f t="shared" si="7"/>
        <v>0</v>
      </c>
      <c r="K41" s="362"/>
      <c r="L41" s="362"/>
      <c r="M41" s="362"/>
      <c r="N41" s="362"/>
      <c r="O41" s="362"/>
      <c r="P41" s="362"/>
      <c r="Q41" s="446">
        <f t="shared" si="8"/>
        <v>0</v>
      </c>
      <c r="R41" s="362"/>
      <c r="S41" s="362"/>
      <c r="T41" s="362"/>
      <c r="U41" s="362"/>
      <c r="V41" s="362"/>
      <c r="W41" s="362"/>
      <c r="X41" s="446">
        <f t="shared" si="9"/>
        <v>0</v>
      </c>
      <c r="Y41" s="362"/>
      <c r="Z41" s="362"/>
      <c r="AA41" s="362"/>
      <c r="AB41" s="362"/>
      <c r="AC41" s="362"/>
      <c r="AD41" s="446">
        <f t="shared" si="10"/>
        <v>0</v>
      </c>
      <c r="AE41" s="362"/>
      <c r="AF41" s="362"/>
      <c r="AG41" s="362"/>
      <c r="AH41" s="362"/>
      <c r="AI41" s="362"/>
      <c r="AJ41" s="362"/>
      <c r="AK41" s="446">
        <f t="shared" si="11"/>
        <v>0</v>
      </c>
      <c r="AL41" s="362"/>
      <c r="AM41" s="362"/>
      <c r="AN41" s="362"/>
      <c r="AO41" s="362"/>
      <c r="AP41" s="362"/>
      <c r="AQ41" s="362"/>
      <c r="AR41" s="446">
        <f t="shared" si="12"/>
        <v>0</v>
      </c>
      <c r="AS41" s="463">
        <f t="shared" si="13"/>
        <v>0</v>
      </c>
      <c r="AT41" s="463">
        <f t="shared" si="14"/>
        <v>0</v>
      </c>
      <c r="AU41" s="463">
        <f t="shared" si="15"/>
        <v>0</v>
      </c>
      <c r="AV41" s="463">
        <f t="shared" si="16"/>
        <v>0</v>
      </c>
      <c r="AW41" s="464">
        <f t="shared" si="0"/>
        <v>0</v>
      </c>
      <c r="AX41" s="464">
        <f t="shared" si="1"/>
        <v>0</v>
      </c>
      <c r="AY41" s="464">
        <f t="shared" si="2"/>
        <v>0</v>
      </c>
      <c r="AZ41" s="464">
        <f t="shared" si="3"/>
        <v>0</v>
      </c>
      <c r="BA41" s="464">
        <f t="shared" si="4"/>
        <v>0</v>
      </c>
      <c r="BB41" s="464">
        <f t="shared" si="5"/>
        <v>0</v>
      </c>
      <c r="BC41" s="465">
        <f t="shared" si="6"/>
        <v>0</v>
      </c>
      <c r="BD41" s="466" t="str">
        <f t="shared" si="17"/>
        <v>Tidak Tuntas</v>
      </c>
    </row>
    <row r="42" spans="1:56" ht="18" customHeight="1" x14ac:dyDescent="0.25">
      <c r="A42" s="362">
        <v>34</v>
      </c>
      <c r="B42" s="443">
        <f>dtsiswa!D40</f>
        <v>0</v>
      </c>
      <c r="C42" s="444"/>
      <c r="D42" s="362"/>
      <c r="E42" s="362"/>
      <c r="F42" s="362"/>
      <c r="G42" s="362"/>
      <c r="H42" s="362"/>
      <c r="I42" s="362"/>
      <c r="J42" s="446">
        <f t="shared" si="7"/>
        <v>0</v>
      </c>
      <c r="K42" s="362"/>
      <c r="L42" s="362"/>
      <c r="M42" s="362"/>
      <c r="N42" s="362"/>
      <c r="O42" s="362"/>
      <c r="P42" s="362"/>
      <c r="Q42" s="446">
        <f t="shared" si="8"/>
        <v>0</v>
      </c>
      <c r="R42" s="362"/>
      <c r="S42" s="362"/>
      <c r="T42" s="362"/>
      <c r="U42" s="362"/>
      <c r="V42" s="362"/>
      <c r="W42" s="362"/>
      <c r="X42" s="446">
        <f t="shared" si="9"/>
        <v>0</v>
      </c>
      <c r="Y42" s="362"/>
      <c r="Z42" s="362"/>
      <c r="AA42" s="362"/>
      <c r="AB42" s="362"/>
      <c r="AC42" s="362"/>
      <c r="AD42" s="446">
        <f t="shared" si="10"/>
        <v>0</v>
      </c>
      <c r="AE42" s="362"/>
      <c r="AF42" s="362"/>
      <c r="AG42" s="362"/>
      <c r="AH42" s="362"/>
      <c r="AI42" s="362"/>
      <c r="AJ42" s="362"/>
      <c r="AK42" s="446">
        <f t="shared" si="11"/>
        <v>0</v>
      </c>
      <c r="AL42" s="362"/>
      <c r="AM42" s="362"/>
      <c r="AN42" s="362"/>
      <c r="AO42" s="362"/>
      <c r="AP42" s="362"/>
      <c r="AQ42" s="362"/>
      <c r="AR42" s="446">
        <f t="shared" si="12"/>
        <v>0</v>
      </c>
      <c r="AS42" s="463">
        <f t="shared" si="13"/>
        <v>0</v>
      </c>
      <c r="AT42" s="463">
        <f t="shared" si="14"/>
        <v>0</v>
      </c>
      <c r="AU42" s="463">
        <f t="shared" si="15"/>
        <v>0</v>
      </c>
      <c r="AV42" s="463">
        <f t="shared" si="16"/>
        <v>0</v>
      </c>
      <c r="AW42" s="464">
        <f t="shared" si="0"/>
        <v>0</v>
      </c>
      <c r="AX42" s="464">
        <f t="shared" si="1"/>
        <v>0</v>
      </c>
      <c r="AY42" s="464">
        <f t="shared" si="2"/>
        <v>0</v>
      </c>
      <c r="AZ42" s="464">
        <f t="shared" si="3"/>
        <v>0</v>
      </c>
      <c r="BA42" s="464">
        <f t="shared" si="4"/>
        <v>0</v>
      </c>
      <c r="BB42" s="464">
        <f t="shared" si="5"/>
        <v>0</v>
      </c>
      <c r="BC42" s="465">
        <f t="shared" si="6"/>
        <v>0</v>
      </c>
      <c r="BD42" s="466" t="str">
        <f t="shared" si="17"/>
        <v>Tidak Tuntas</v>
      </c>
    </row>
    <row r="43" spans="1:56" ht="18" customHeight="1" x14ac:dyDescent="0.25">
      <c r="A43" s="362">
        <v>35</v>
      </c>
      <c r="B43" s="443">
        <f>dtsiswa!D41</f>
        <v>0</v>
      </c>
      <c r="C43" s="444"/>
      <c r="D43" s="362"/>
      <c r="E43" s="362"/>
      <c r="F43" s="362"/>
      <c r="G43" s="362"/>
      <c r="H43" s="362"/>
      <c r="I43" s="362"/>
      <c r="J43" s="446">
        <f t="shared" si="7"/>
        <v>0</v>
      </c>
      <c r="K43" s="362"/>
      <c r="L43" s="362"/>
      <c r="M43" s="362"/>
      <c r="N43" s="362"/>
      <c r="O43" s="362"/>
      <c r="P43" s="362"/>
      <c r="Q43" s="446">
        <f t="shared" si="8"/>
        <v>0</v>
      </c>
      <c r="R43" s="362"/>
      <c r="S43" s="362"/>
      <c r="T43" s="362"/>
      <c r="U43" s="362"/>
      <c r="V43" s="362"/>
      <c r="W43" s="362"/>
      <c r="X43" s="446">
        <f t="shared" si="9"/>
        <v>0</v>
      </c>
      <c r="Y43" s="362"/>
      <c r="Z43" s="362"/>
      <c r="AA43" s="362"/>
      <c r="AB43" s="362"/>
      <c r="AC43" s="362"/>
      <c r="AD43" s="446">
        <f t="shared" si="10"/>
        <v>0</v>
      </c>
      <c r="AE43" s="362"/>
      <c r="AF43" s="362"/>
      <c r="AG43" s="362"/>
      <c r="AH43" s="362"/>
      <c r="AI43" s="362"/>
      <c r="AJ43" s="362"/>
      <c r="AK43" s="446">
        <f t="shared" si="11"/>
        <v>0</v>
      </c>
      <c r="AL43" s="362"/>
      <c r="AM43" s="362"/>
      <c r="AN43" s="362"/>
      <c r="AO43" s="362"/>
      <c r="AP43" s="362"/>
      <c r="AQ43" s="362"/>
      <c r="AR43" s="446">
        <f t="shared" si="12"/>
        <v>0</v>
      </c>
      <c r="AS43" s="463">
        <f t="shared" si="13"/>
        <v>0</v>
      </c>
      <c r="AT43" s="463">
        <f t="shared" si="14"/>
        <v>0</v>
      </c>
      <c r="AU43" s="463">
        <f t="shared" si="15"/>
        <v>0</v>
      </c>
      <c r="AV43" s="463">
        <f t="shared" si="16"/>
        <v>0</v>
      </c>
      <c r="AW43" s="464">
        <f t="shared" si="0"/>
        <v>0</v>
      </c>
      <c r="AX43" s="464">
        <f t="shared" si="1"/>
        <v>0</v>
      </c>
      <c r="AY43" s="464">
        <f t="shared" si="2"/>
        <v>0</v>
      </c>
      <c r="AZ43" s="464">
        <f t="shared" si="3"/>
        <v>0</v>
      </c>
      <c r="BA43" s="464">
        <f t="shared" si="4"/>
        <v>0</v>
      </c>
      <c r="BB43" s="464">
        <f t="shared" si="5"/>
        <v>0</v>
      </c>
      <c r="BC43" s="465">
        <f t="shared" si="6"/>
        <v>0</v>
      </c>
      <c r="BD43" s="466" t="str">
        <f t="shared" si="17"/>
        <v>Tidak Tuntas</v>
      </c>
    </row>
    <row r="44" spans="1:56" ht="18" customHeight="1" x14ac:dyDescent="0.25">
      <c r="A44" s="362">
        <v>36</v>
      </c>
      <c r="B44" s="443">
        <f>dtsiswa!D42</f>
        <v>0</v>
      </c>
      <c r="C44" s="444"/>
      <c r="D44" s="362"/>
      <c r="E44" s="362"/>
      <c r="F44" s="362"/>
      <c r="G44" s="362"/>
      <c r="H44" s="362"/>
      <c r="I44" s="362"/>
      <c r="J44" s="446">
        <f t="shared" si="7"/>
        <v>0</v>
      </c>
      <c r="K44" s="362"/>
      <c r="L44" s="362"/>
      <c r="M44" s="362"/>
      <c r="N44" s="362"/>
      <c r="O44" s="362"/>
      <c r="P44" s="362"/>
      <c r="Q44" s="446">
        <f t="shared" si="8"/>
        <v>0</v>
      </c>
      <c r="R44" s="362"/>
      <c r="S44" s="362"/>
      <c r="T44" s="362"/>
      <c r="U44" s="362"/>
      <c r="V44" s="362"/>
      <c r="W44" s="362"/>
      <c r="X44" s="446">
        <f t="shared" si="9"/>
        <v>0</v>
      </c>
      <c r="Y44" s="362"/>
      <c r="Z44" s="362"/>
      <c r="AA44" s="362"/>
      <c r="AB44" s="362"/>
      <c r="AC44" s="362"/>
      <c r="AD44" s="446">
        <f t="shared" si="10"/>
        <v>0</v>
      </c>
      <c r="AE44" s="362"/>
      <c r="AF44" s="362"/>
      <c r="AG44" s="362"/>
      <c r="AH44" s="362"/>
      <c r="AI44" s="362"/>
      <c r="AJ44" s="362"/>
      <c r="AK44" s="446">
        <f t="shared" si="11"/>
        <v>0</v>
      </c>
      <c r="AL44" s="362"/>
      <c r="AM44" s="362"/>
      <c r="AN44" s="362"/>
      <c r="AO44" s="362"/>
      <c r="AP44" s="362"/>
      <c r="AQ44" s="362"/>
      <c r="AR44" s="446">
        <f t="shared" si="12"/>
        <v>0</v>
      </c>
      <c r="AS44" s="463">
        <f t="shared" si="13"/>
        <v>0</v>
      </c>
      <c r="AT44" s="463">
        <f t="shared" si="14"/>
        <v>0</v>
      </c>
      <c r="AU44" s="463">
        <f t="shared" si="15"/>
        <v>0</v>
      </c>
      <c r="AV44" s="463">
        <f t="shared" si="16"/>
        <v>0</v>
      </c>
      <c r="AW44" s="464">
        <f t="shared" si="0"/>
        <v>0</v>
      </c>
      <c r="AX44" s="464">
        <f t="shared" si="1"/>
        <v>0</v>
      </c>
      <c r="AY44" s="464">
        <f t="shared" si="2"/>
        <v>0</v>
      </c>
      <c r="AZ44" s="464">
        <f t="shared" si="3"/>
        <v>0</v>
      </c>
      <c r="BA44" s="464">
        <f t="shared" si="4"/>
        <v>0</v>
      </c>
      <c r="BB44" s="464">
        <f t="shared" si="5"/>
        <v>0</v>
      </c>
      <c r="BC44" s="465">
        <f t="shared" si="6"/>
        <v>0</v>
      </c>
      <c r="BD44" s="466" t="str">
        <f t="shared" si="17"/>
        <v>Tidak Tuntas</v>
      </c>
    </row>
    <row r="45" spans="1:56" ht="18" customHeight="1" x14ac:dyDescent="0.25">
      <c r="A45" s="362">
        <v>37</v>
      </c>
      <c r="B45" s="443">
        <f>dtsiswa!D43</f>
        <v>0</v>
      </c>
      <c r="C45" s="444"/>
      <c r="D45" s="362"/>
      <c r="E45" s="362"/>
      <c r="F45" s="362"/>
      <c r="G45" s="362"/>
      <c r="H45" s="362"/>
      <c r="I45" s="362"/>
      <c r="J45" s="446">
        <f t="shared" si="7"/>
        <v>0</v>
      </c>
      <c r="K45" s="362"/>
      <c r="L45" s="362"/>
      <c r="M45" s="362"/>
      <c r="N45" s="362"/>
      <c r="O45" s="362"/>
      <c r="P45" s="362"/>
      <c r="Q45" s="446">
        <f t="shared" si="8"/>
        <v>0</v>
      </c>
      <c r="R45" s="362"/>
      <c r="S45" s="362"/>
      <c r="T45" s="362"/>
      <c r="U45" s="362"/>
      <c r="V45" s="362"/>
      <c r="W45" s="362"/>
      <c r="X45" s="446">
        <f t="shared" si="9"/>
        <v>0</v>
      </c>
      <c r="Y45" s="362"/>
      <c r="Z45" s="362"/>
      <c r="AA45" s="362"/>
      <c r="AB45" s="362"/>
      <c r="AC45" s="362"/>
      <c r="AD45" s="446">
        <f t="shared" si="10"/>
        <v>0</v>
      </c>
      <c r="AE45" s="362"/>
      <c r="AF45" s="362"/>
      <c r="AG45" s="362"/>
      <c r="AH45" s="362"/>
      <c r="AI45" s="362"/>
      <c r="AJ45" s="362"/>
      <c r="AK45" s="446">
        <f t="shared" si="11"/>
        <v>0</v>
      </c>
      <c r="AL45" s="362"/>
      <c r="AM45" s="362"/>
      <c r="AN45" s="362"/>
      <c r="AO45" s="362"/>
      <c r="AP45" s="362"/>
      <c r="AQ45" s="362"/>
      <c r="AR45" s="446">
        <f t="shared" si="12"/>
        <v>0</v>
      </c>
      <c r="AS45" s="463">
        <f t="shared" si="13"/>
        <v>0</v>
      </c>
      <c r="AT45" s="463">
        <f t="shared" si="14"/>
        <v>0</v>
      </c>
      <c r="AU45" s="463">
        <f t="shared" si="15"/>
        <v>0</v>
      </c>
      <c r="AV45" s="463">
        <f t="shared" si="16"/>
        <v>0</v>
      </c>
      <c r="AW45" s="464">
        <f t="shared" si="0"/>
        <v>0</v>
      </c>
      <c r="AX45" s="464">
        <f t="shared" si="1"/>
        <v>0</v>
      </c>
      <c r="AY45" s="464">
        <f t="shared" si="2"/>
        <v>0</v>
      </c>
      <c r="AZ45" s="464">
        <f t="shared" si="3"/>
        <v>0</v>
      </c>
      <c r="BA45" s="464">
        <f t="shared" si="4"/>
        <v>0</v>
      </c>
      <c r="BB45" s="464">
        <f t="shared" si="5"/>
        <v>0</v>
      </c>
      <c r="BC45" s="465">
        <f t="shared" si="6"/>
        <v>0</v>
      </c>
      <c r="BD45" s="466" t="str">
        <f t="shared" si="17"/>
        <v>Tidak Tuntas</v>
      </c>
    </row>
    <row r="46" spans="1:56" ht="18" customHeight="1" x14ac:dyDescent="0.25">
      <c r="A46" s="362">
        <v>38</v>
      </c>
      <c r="B46" s="443">
        <f>dtsiswa!D44</f>
        <v>0</v>
      </c>
      <c r="C46" s="444"/>
      <c r="D46" s="362"/>
      <c r="E46" s="362"/>
      <c r="F46" s="362"/>
      <c r="G46" s="362"/>
      <c r="H46" s="362"/>
      <c r="I46" s="362"/>
      <c r="J46" s="446">
        <f t="shared" si="7"/>
        <v>0</v>
      </c>
      <c r="K46" s="362"/>
      <c r="L46" s="362"/>
      <c r="M46" s="362"/>
      <c r="N46" s="362"/>
      <c r="O46" s="362"/>
      <c r="P46" s="362"/>
      <c r="Q46" s="446">
        <f t="shared" si="8"/>
        <v>0</v>
      </c>
      <c r="R46" s="362"/>
      <c r="S46" s="362"/>
      <c r="T46" s="362"/>
      <c r="U46" s="362"/>
      <c r="V46" s="362"/>
      <c r="W46" s="362"/>
      <c r="X46" s="446">
        <f t="shared" si="9"/>
        <v>0</v>
      </c>
      <c r="Y46" s="362"/>
      <c r="Z46" s="362"/>
      <c r="AA46" s="362"/>
      <c r="AB46" s="362"/>
      <c r="AC46" s="362"/>
      <c r="AD46" s="446">
        <f t="shared" si="10"/>
        <v>0</v>
      </c>
      <c r="AE46" s="362"/>
      <c r="AF46" s="362"/>
      <c r="AG46" s="362"/>
      <c r="AH46" s="362"/>
      <c r="AI46" s="362"/>
      <c r="AJ46" s="362"/>
      <c r="AK46" s="446">
        <f t="shared" si="11"/>
        <v>0</v>
      </c>
      <c r="AL46" s="362"/>
      <c r="AM46" s="362"/>
      <c r="AN46" s="362"/>
      <c r="AO46" s="362"/>
      <c r="AP46" s="362"/>
      <c r="AQ46" s="362"/>
      <c r="AR46" s="446">
        <f t="shared" si="12"/>
        <v>0</v>
      </c>
      <c r="AS46" s="463">
        <f t="shared" si="13"/>
        <v>0</v>
      </c>
      <c r="AT46" s="463">
        <f t="shared" si="14"/>
        <v>0</v>
      </c>
      <c r="AU46" s="463">
        <f t="shared" si="15"/>
        <v>0</v>
      </c>
      <c r="AV46" s="463">
        <f t="shared" si="16"/>
        <v>0</v>
      </c>
      <c r="AW46" s="464">
        <f t="shared" si="0"/>
        <v>0</v>
      </c>
      <c r="AX46" s="464">
        <f t="shared" si="1"/>
        <v>0</v>
      </c>
      <c r="AY46" s="464">
        <f t="shared" si="2"/>
        <v>0</v>
      </c>
      <c r="AZ46" s="464">
        <f t="shared" si="3"/>
        <v>0</v>
      </c>
      <c r="BA46" s="464">
        <f t="shared" si="4"/>
        <v>0</v>
      </c>
      <c r="BB46" s="464">
        <f t="shared" si="5"/>
        <v>0</v>
      </c>
      <c r="BC46" s="465">
        <f t="shared" si="6"/>
        <v>0</v>
      </c>
      <c r="BD46" s="466" t="str">
        <f t="shared" si="17"/>
        <v>Tidak Tuntas</v>
      </c>
    </row>
    <row r="47" spans="1:56" ht="18" customHeight="1" x14ac:dyDescent="0.25">
      <c r="A47" s="362">
        <v>39</v>
      </c>
      <c r="B47" s="443">
        <f>dtsiswa!D45</f>
        <v>0</v>
      </c>
      <c r="C47" s="444"/>
      <c r="D47" s="362"/>
      <c r="E47" s="362"/>
      <c r="F47" s="362"/>
      <c r="G47" s="362"/>
      <c r="H47" s="362"/>
      <c r="I47" s="362"/>
      <c r="J47" s="446">
        <f t="shared" si="7"/>
        <v>0</v>
      </c>
      <c r="K47" s="362"/>
      <c r="L47" s="362"/>
      <c r="M47" s="362"/>
      <c r="N47" s="362"/>
      <c r="O47" s="362"/>
      <c r="P47" s="362"/>
      <c r="Q47" s="446">
        <f t="shared" si="8"/>
        <v>0</v>
      </c>
      <c r="R47" s="362"/>
      <c r="S47" s="362"/>
      <c r="T47" s="362"/>
      <c r="U47" s="362"/>
      <c r="V47" s="362"/>
      <c r="W47" s="362"/>
      <c r="X47" s="446">
        <f t="shared" si="9"/>
        <v>0</v>
      </c>
      <c r="Y47" s="362"/>
      <c r="Z47" s="362"/>
      <c r="AA47" s="362"/>
      <c r="AB47" s="362"/>
      <c r="AC47" s="362"/>
      <c r="AD47" s="446">
        <f t="shared" si="10"/>
        <v>0</v>
      </c>
      <c r="AE47" s="362"/>
      <c r="AF47" s="362"/>
      <c r="AG47" s="362"/>
      <c r="AH47" s="362"/>
      <c r="AI47" s="362"/>
      <c r="AJ47" s="362"/>
      <c r="AK47" s="446">
        <f t="shared" si="11"/>
        <v>0</v>
      </c>
      <c r="AL47" s="362"/>
      <c r="AM47" s="362"/>
      <c r="AN47" s="362"/>
      <c r="AO47" s="362"/>
      <c r="AP47" s="362"/>
      <c r="AQ47" s="362"/>
      <c r="AR47" s="446">
        <f t="shared" si="12"/>
        <v>0</v>
      </c>
      <c r="AS47" s="463">
        <f t="shared" si="13"/>
        <v>0</v>
      </c>
      <c r="AT47" s="463">
        <f t="shared" si="14"/>
        <v>0</v>
      </c>
      <c r="AU47" s="463">
        <f t="shared" si="15"/>
        <v>0</v>
      </c>
      <c r="AV47" s="463">
        <f t="shared" si="16"/>
        <v>0</v>
      </c>
      <c r="AW47" s="464">
        <f t="shared" si="0"/>
        <v>0</v>
      </c>
      <c r="AX47" s="464">
        <f t="shared" si="1"/>
        <v>0</v>
      </c>
      <c r="AY47" s="464">
        <f t="shared" si="2"/>
        <v>0</v>
      </c>
      <c r="AZ47" s="464">
        <f t="shared" si="3"/>
        <v>0</v>
      </c>
      <c r="BA47" s="464">
        <f t="shared" si="4"/>
        <v>0</v>
      </c>
      <c r="BB47" s="464">
        <f t="shared" si="5"/>
        <v>0</v>
      </c>
      <c r="BC47" s="465">
        <f t="shared" si="6"/>
        <v>0</v>
      </c>
      <c r="BD47" s="466" t="str">
        <f t="shared" si="17"/>
        <v>Tidak Tuntas</v>
      </c>
    </row>
    <row r="48" spans="1:56" ht="18" customHeight="1" x14ac:dyDescent="0.25">
      <c r="A48" s="362">
        <v>40</v>
      </c>
      <c r="B48" s="443">
        <f>dtsiswa!D46</f>
        <v>0</v>
      </c>
      <c r="C48" s="444"/>
      <c r="D48" s="362"/>
      <c r="E48" s="362"/>
      <c r="F48" s="362"/>
      <c r="G48" s="362"/>
      <c r="H48" s="362"/>
      <c r="I48" s="362"/>
      <c r="J48" s="446">
        <f t="shared" si="7"/>
        <v>0</v>
      </c>
      <c r="K48" s="362"/>
      <c r="L48" s="362"/>
      <c r="M48" s="362"/>
      <c r="N48" s="362"/>
      <c r="O48" s="362"/>
      <c r="P48" s="362"/>
      <c r="Q48" s="446">
        <f t="shared" si="8"/>
        <v>0</v>
      </c>
      <c r="R48" s="362"/>
      <c r="S48" s="362"/>
      <c r="T48" s="362"/>
      <c r="U48" s="362"/>
      <c r="V48" s="362"/>
      <c r="W48" s="362"/>
      <c r="X48" s="446">
        <f t="shared" si="9"/>
        <v>0</v>
      </c>
      <c r="Y48" s="362"/>
      <c r="Z48" s="362"/>
      <c r="AA48" s="362"/>
      <c r="AB48" s="362"/>
      <c r="AC48" s="362"/>
      <c r="AD48" s="446">
        <f t="shared" si="10"/>
        <v>0</v>
      </c>
      <c r="AE48" s="362"/>
      <c r="AF48" s="362"/>
      <c r="AG48" s="362"/>
      <c r="AH48" s="362"/>
      <c r="AI48" s="362"/>
      <c r="AJ48" s="362"/>
      <c r="AK48" s="446">
        <f t="shared" si="11"/>
        <v>0</v>
      </c>
      <c r="AL48" s="362"/>
      <c r="AM48" s="362"/>
      <c r="AN48" s="362"/>
      <c r="AO48" s="362"/>
      <c r="AP48" s="362"/>
      <c r="AQ48" s="362"/>
      <c r="AR48" s="446">
        <f t="shared" si="12"/>
        <v>0</v>
      </c>
      <c r="AS48" s="463">
        <f t="shared" si="13"/>
        <v>0</v>
      </c>
      <c r="AT48" s="463">
        <f t="shared" si="14"/>
        <v>0</v>
      </c>
      <c r="AU48" s="463">
        <f t="shared" si="15"/>
        <v>0</v>
      </c>
      <c r="AV48" s="463">
        <f t="shared" si="16"/>
        <v>0</v>
      </c>
      <c r="AW48" s="464">
        <f t="shared" si="0"/>
        <v>0</v>
      </c>
      <c r="AX48" s="464">
        <f t="shared" si="1"/>
        <v>0</v>
      </c>
      <c r="AY48" s="464">
        <f t="shared" si="2"/>
        <v>0</v>
      </c>
      <c r="AZ48" s="464">
        <f t="shared" si="3"/>
        <v>0</v>
      </c>
      <c r="BA48" s="464">
        <f t="shared" si="4"/>
        <v>0</v>
      </c>
      <c r="BB48" s="464">
        <f t="shared" si="5"/>
        <v>0</v>
      </c>
      <c r="BC48" s="465">
        <f t="shared" si="6"/>
        <v>0</v>
      </c>
      <c r="BD48" s="466" t="str">
        <f t="shared" si="17"/>
        <v>Tidak Tuntas</v>
      </c>
    </row>
    <row r="49" spans="1:56" ht="18" customHeight="1" x14ac:dyDescent="0.25">
      <c r="A49" s="362"/>
      <c r="B49" s="443"/>
      <c r="C49" s="444"/>
      <c r="D49" s="362"/>
      <c r="E49" s="362"/>
      <c r="F49" s="362"/>
      <c r="G49" s="362"/>
      <c r="H49" s="362"/>
      <c r="I49" s="362"/>
      <c r="J49" s="446"/>
      <c r="K49" s="362"/>
      <c r="L49" s="362"/>
      <c r="M49" s="362"/>
      <c r="N49" s="362"/>
      <c r="O49" s="362"/>
      <c r="P49" s="362"/>
      <c r="Q49" s="446"/>
      <c r="R49" s="362"/>
      <c r="S49" s="362"/>
      <c r="T49" s="362"/>
      <c r="U49" s="362"/>
      <c r="V49" s="362"/>
      <c r="W49" s="362"/>
      <c r="X49" s="446"/>
      <c r="Y49" s="362"/>
      <c r="Z49" s="362"/>
      <c r="AA49" s="362"/>
      <c r="AB49" s="362"/>
      <c r="AC49" s="362"/>
      <c r="AD49" s="446"/>
      <c r="AE49" s="362"/>
      <c r="AF49" s="362"/>
      <c r="AG49" s="362"/>
      <c r="AH49" s="362"/>
      <c r="AI49" s="362"/>
      <c r="AJ49" s="362"/>
      <c r="AK49" s="446"/>
      <c r="AL49" s="362"/>
      <c r="AM49" s="362"/>
      <c r="AN49" s="362"/>
      <c r="AO49" s="362"/>
      <c r="AP49" s="362"/>
      <c r="AQ49" s="362"/>
      <c r="AR49" s="446"/>
      <c r="AS49" s="452"/>
      <c r="AT49" s="452"/>
      <c r="AU49" s="452"/>
      <c r="AV49" s="452"/>
      <c r="AW49" s="453"/>
      <c r="AX49" s="453"/>
      <c r="AY49" s="453"/>
      <c r="AZ49" s="453"/>
      <c r="BA49" s="453"/>
      <c r="BB49" s="453"/>
      <c r="BC49" s="454"/>
      <c r="BD49" s="451"/>
    </row>
    <row r="50" spans="1:56" ht="18" customHeight="1" x14ac:dyDescent="0.25">
      <c r="A50" s="362"/>
      <c r="B50" s="455" t="s">
        <v>36</v>
      </c>
      <c r="C50" s="454"/>
      <c r="D50" s="456">
        <f t="shared" ref="D50:AR50" si="18">COUNTIF(D9:D32,"0")</f>
        <v>1</v>
      </c>
      <c r="E50" s="456">
        <f t="shared" si="18"/>
        <v>0</v>
      </c>
      <c r="F50" s="456">
        <f t="shared" si="18"/>
        <v>0</v>
      </c>
      <c r="G50" s="456">
        <f t="shared" si="18"/>
        <v>0</v>
      </c>
      <c r="H50" s="456">
        <f t="shared" si="18"/>
        <v>0</v>
      </c>
      <c r="I50" s="456">
        <f t="shared" si="18"/>
        <v>0</v>
      </c>
      <c r="J50" s="456"/>
      <c r="K50" s="456">
        <f t="shared" si="18"/>
        <v>0</v>
      </c>
      <c r="L50" s="456">
        <f t="shared" si="18"/>
        <v>1</v>
      </c>
      <c r="M50" s="456">
        <f t="shared" si="18"/>
        <v>0</v>
      </c>
      <c r="N50" s="456">
        <f t="shared" si="18"/>
        <v>0</v>
      </c>
      <c r="O50" s="456">
        <f t="shared" si="18"/>
        <v>0</v>
      </c>
      <c r="P50" s="456">
        <f t="shared" si="18"/>
        <v>0</v>
      </c>
      <c r="Q50" s="456"/>
      <c r="R50" s="456">
        <f t="shared" si="18"/>
        <v>0</v>
      </c>
      <c r="S50" s="456">
        <f t="shared" si="18"/>
        <v>0</v>
      </c>
      <c r="T50" s="456">
        <f t="shared" si="18"/>
        <v>1</v>
      </c>
      <c r="U50" s="456">
        <f t="shared" si="18"/>
        <v>0</v>
      </c>
      <c r="V50" s="456">
        <f t="shared" si="18"/>
        <v>0</v>
      </c>
      <c r="W50" s="456">
        <f t="shared" si="18"/>
        <v>0</v>
      </c>
      <c r="X50" s="456"/>
      <c r="Y50" s="456">
        <f t="shared" si="18"/>
        <v>0</v>
      </c>
      <c r="Z50" s="456">
        <f t="shared" si="18"/>
        <v>0</v>
      </c>
      <c r="AA50" s="456">
        <f t="shared" si="18"/>
        <v>0</v>
      </c>
      <c r="AB50" s="456">
        <f t="shared" si="18"/>
        <v>0</v>
      </c>
      <c r="AC50" s="456">
        <f t="shared" si="18"/>
        <v>0</v>
      </c>
      <c r="AD50" s="456"/>
      <c r="AE50" s="456">
        <f t="shared" si="18"/>
        <v>0</v>
      </c>
      <c r="AF50" s="456">
        <f t="shared" si="18"/>
        <v>0</v>
      </c>
      <c r="AG50" s="456">
        <f t="shared" si="18"/>
        <v>0</v>
      </c>
      <c r="AH50" s="456">
        <f t="shared" si="18"/>
        <v>0</v>
      </c>
      <c r="AI50" s="456">
        <f t="shared" si="18"/>
        <v>0</v>
      </c>
      <c r="AJ50" s="456">
        <f t="shared" si="18"/>
        <v>0</v>
      </c>
      <c r="AK50" s="456">
        <f t="shared" si="18"/>
        <v>23</v>
      </c>
      <c r="AL50" s="456">
        <f t="shared" si="18"/>
        <v>1</v>
      </c>
      <c r="AM50" s="456">
        <f t="shared" si="18"/>
        <v>0</v>
      </c>
      <c r="AN50" s="456">
        <f t="shared" si="18"/>
        <v>0</v>
      </c>
      <c r="AO50" s="456">
        <f t="shared" si="18"/>
        <v>0</v>
      </c>
      <c r="AP50" s="456">
        <f t="shared" si="18"/>
        <v>0</v>
      </c>
      <c r="AQ50" s="456">
        <f t="shared" si="18"/>
        <v>0</v>
      </c>
      <c r="AR50" s="456">
        <f t="shared" si="18"/>
        <v>23</v>
      </c>
      <c r="AS50" s="452"/>
      <c r="AT50" s="452"/>
      <c r="AU50" s="452"/>
      <c r="AV50" s="452"/>
      <c r="AW50" s="415"/>
      <c r="AX50" s="415"/>
      <c r="AY50" s="415"/>
      <c r="AZ50" s="415"/>
      <c r="BA50" s="415"/>
      <c r="BB50" s="415"/>
      <c r="BC50" s="451"/>
      <c r="BD50" s="451"/>
    </row>
    <row r="51" spans="1:56" ht="18" customHeight="1" x14ac:dyDescent="0.25">
      <c r="A51" s="457"/>
      <c r="B51" s="458" t="s">
        <v>37</v>
      </c>
      <c r="C51" s="458"/>
      <c r="D51" s="459"/>
      <c r="E51" s="459"/>
      <c r="F51" s="459"/>
      <c r="G51" s="459"/>
      <c r="H51" s="459"/>
      <c r="I51" s="459"/>
      <c r="J51" s="459"/>
      <c r="K51" s="459"/>
      <c r="L51" s="459"/>
      <c r="M51" s="459"/>
      <c r="N51" s="459"/>
      <c r="O51" s="459"/>
      <c r="P51" s="459"/>
      <c r="Q51" s="459"/>
      <c r="R51" s="459"/>
      <c r="S51" s="459"/>
      <c r="T51" s="459"/>
      <c r="U51" s="460"/>
      <c r="V51" s="460"/>
      <c r="W51" s="460"/>
      <c r="X51" s="460"/>
      <c r="Y51" s="460"/>
      <c r="Z51" s="460"/>
      <c r="AA51" s="460"/>
      <c r="AB51" s="460"/>
      <c r="AC51" s="460"/>
      <c r="AD51" s="460"/>
      <c r="AE51" s="460"/>
      <c r="AF51" s="460"/>
      <c r="AG51" s="460"/>
      <c r="AH51" s="460"/>
      <c r="AI51" s="460"/>
      <c r="AJ51" s="460"/>
      <c r="AK51" s="460"/>
      <c r="AL51" s="460"/>
      <c r="AM51" s="460"/>
      <c r="AN51" s="460"/>
      <c r="AO51" s="460"/>
      <c r="AP51" s="460"/>
      <c r="AQ51" s="460"/>
      <c r="AR51" s="460"/>
      <c r="AS51" s="461">
        <f t="shared" ref="AS51:BB51" si="19">MAX(AS9:AS32)</f>
        <v>16</v>
      </c>
      <c r="AT51" s="461">
        <f t="shared" si="19"/>
        <v>19</v>
      </c>
      <c r="AU51" s="461">
        <f t="shared" si="19"/>
        <v>15</v>
      </c>
      <c r="AV51" s="461">
        <f t="shared" si="19"/>
        <v>90.909090909090907</v>
      </c>
      <c r="AW51" s="461">
        <f t="shared" si="19"/>
        <v>90</v>
      </c>
      <c r="AX51" s="461">
        <f t="shared" si="19"/>
        <v>90</v>
      </c>
      <c r="AY51" s="461">
        <f t="shared" si="19"/>
        <v>80</v>
      </c>
      <c r="AZ51" s="461">
        <f t="shared" si="19"/>
        <v>100</v>
      </c>
      <c r="BA51" s="461">
        <f t="shared" si="19"/>
        <v>100</v>
      </c>
      <c r="BB51" s="461">
        <f t="shared" si="19"/>
        <v>87.5</v>
      </c>
      <c r="BC51" s="451"/>
      <c r="BD51" s="451"/>
    </row>
    <row r="52" spans="1:56" ht="18" customHeight="1" x14ac:dyDescent="0.25">
      <c r="A52" s="462"/>
      <c r="B52" s="458" t="s">
        <v>38</v>
      </c>
      <c r="C52" s="458"/>
      <c r="D52" s="459"/>
      <c r="E52" s="459"/>
      <c r="F52" s="459"/>
      <c r="G52" s="459"/>
      <c r="H52" s="459"/>
      <c r="I52" s="459"/>
      <c r="J52" s="459"/>
      <c r="K52" s="459"/>
      <c r="L52" s="459"/>
      <c r="M52" s="459"/>
      <c r="N52" s="459"/>
      <c r="O52" s="459"/>
      <c r="P52" s="459"/>
      <c r="Q52" s="459"/>
      <c r="R52" s="459"/>
      <c r="S52" s="459"/>
      <c r="T52" s="459"/>
      <c r="U52" s="460"/>
      <c r="V52" s="460"/>
      <c r="W52" s="460"/>
      <c r="X52" s="460"/>
      <c r="Y52" s="460"/>
      <c r="Z52" s="460"/>
      <c r="AA52" s="460"/>
      <c r="AB52" s="460"/>
      <c r="AC52" s="460"/>
      <c r="AD52" s="460"/>
      <c r="AE52" s="460"/>
      <c r="AF52" s="460"/>
      <c r="AG52" s="460"/>
      <c r="AH52" s="460"/>
      <c r="AI52" s="460"/>
      <c r="AJ52" s="460"/>
      <c r="AK52" s="460"/>
      <c r="AL52" s="460"/>
      <c r="AM52" s="460"/>
      <c r="AN52" s="460"/>
      <c r="AO52" s="460"/>
      <c r="AP52" s="460"/>
      <c r="AQ52" s="460"/>
      <c r="AR52" s="460"/>
      <c r="AS52" s="461">
        <f t="shared" ref="AS52:BB52" si="20">MIN(AS9:AS32)</f>
        <v>0</v>
      </c>
      <c r="AT52" s="461">
        <f t="shared" si="20"/>
        <v>0</v>
      </c>
      <c r="AU52" s="461">
        <f t="shared" si="20"/>
        <v>0</v>
      </c>
      <c r="AV52" s="461">
        <f t="shared" si="20"/>
        <v>0</v>
      </c>
      <c r="AW52" s="461">
        <f t="shared" si="20"/>
        <v>0</v>
      </c>
      <c r="AX52" s="461">
        <f t="shared" si="20"/>
        <v>0</v>
      </c>
      <c r="AY52" s="461">
        <f t="shared" si="20"/>
        <v>0</v>
      </c>
      <c r="AZ52" s="461">
        <f t="shared" si="20"/>
        <v>0</v>
      </c>
      <c r="BA52" s="461">
        <f t="shared" si="20"/>
        <v>0</v>
      </c>
      <c r="BB52" s="461">
        <f t="shared" si="20"/>
        <v>0</v>
      </c>
      <c r="BC52" s="451"/>
      <c r="BD52" s="451"/>
    </row>
    <row r="53" spans="1:56" ht="18" customHeight="1" x14ac:dyDescent="0.25">
      <c r="A53" s="462"/>
      <c r="B53" s="458" t="s">
        <v>39</v>
      </c>
      <c r="C53" s="458"/>
      <c r="D53" s="459"/>
      <c r="E53" s="459"/>
      <c r="F53" s="459"/>
      <c r="G53" s="459"/>
      <c r="H53" s="459"/>
      <c r="I53" s="459"/>
      <c r="J53" s="459"/>
      <c r="K53" s="459"/>
      <c r="L53" s="459"/>
      <c r="M53" s="459"/>
      <c r="N53" s="459"/>
      <c r="O53" s="459"/>
      <c r="P53" s="459"/>
      <c r="Q53" s="459"/>
      <c r="R53" s="459"/>
      <c r="S53" s="459"/>
      <c r="T53" s="459"/>
      <c r="U53" s="460"/>
      <c r="V53" s="460"/>
      <c r="W53" s="460"/>
      <c r="X53" s="460"/>
      <c r="Y53" s="460"/>
      <c r="Z53" s="460"/>
      <c r="AA53" s="460"/>
      <c r="AB53" s="460"/>
      <c r="AC53" s="460"/>
      <c r="AD53" s="460"/>
      <c r="AE53" s="460"/>
      <c r="AF53" s="460"/>
      <c r="AG53" s="460"/>
      <c r="AH53" s="460"/>
      <c r="AI53" s="460"/>
      <c r="AJ53" s="460"/>
      <c r="AK53" s="460"/>
      <c r="AL53" s="460"/>
      <c r="AM53" s="460"/>
      <c r="AN53" s="460"/>
      <c r="AO53" s="460"/>
      <c r="AP53" s="460"/>
      <c r="AQ53" s="460"/>
      <c r="AR53" s="460"/>
      <c r="AS53" s="461">
        <f t="shared" ref="AS53:BB53" si="21">AVERAGE(AS9:AS32)</f>
        <v>0.66666666666666663</v>
      </c>
      <c r="AT53" s="461">
        <f t="shared" si="21"/>
        <v>0.79166666666666663</v>
      </c>
      <c r="AU53" s="461">
        <f t="shared" si="21"/>
        <v>0.625</v>
      </c>
      <c r="AV53" s="461">
        <f t="shared" si="21"/>
        <v>3.7878787878787876</v>
      </c>
      <c r="AW53" s="461">
        <f t="shared" si="21"/>
        <v>3.75</v>
      </c>
      <c r="AX53" s="461">
        <f t="shared" si="21"/>
        <v>3.75</v>
      </c>
      <c r="AY53" s="461">
        <f t="shared" si="21"/>
        <v>3.3333333333333335</v>
      </c>
      <c r="AZ53" s="461">
        <f t="shared" si="21"/>
        <v>4.166666666666667</v>
      </c>
      <c r="BA53" s="461">
        <f t="shared" si="21"/>
        <v>4.166666666666667</v>
      </c>
      <c r="BB53" s="461">
        <f t="shared" si="21"/>
        <v>3.6458333333333335</v>
      </c>
      <c r="BC53" s="451"/>
      <c r="BD53" s="451"/>
    </row>
  </sheetData>
  <mergeCells count="22">
    <mergeCell ref="AE6:AK6"/>
    <mergeCell ref="AL6:AR6"/>
    <mergeCell ref="D6:J6"/>
    <mergeCell ref="K6:Q6"/>
    <mergeCell ref="BD6:BD8"/>
    <mergeCell ref="AS6:AS8"/>
    <mergeCell ref="AT6:AT8"/>
    <mergeCell ref="AU6:AU8"/>
    <mergeCell ref="AV6:AV8"/>
    <mergeCell ref="AW6:BB7"/>
    <mergeCell ref="BC6:BC8"/>
    <mergeCell ref="AK7:AK8"/>
    <mergeCell ref="AR7:AR8"/>
    <mergeCell ref="A6:A8"/>
    <mergeCell ref="B6:B8"/>
    <mergeCell ref="C6:C8"/>
    <mergeCell ref="R6:X6"/>
    <mergeCell ref="Y6:AD6"/>
    <mergeCell ref="J7:J8"/>
    <mergeCell ref="Q7:Q8"/>
    <mergeCell ref="X7:X8"/>
    <mergeCell ref="AD7:AD8"/>
  </mergeCells>
  <conditionalFormatting sqref="BC9:BC48">
    <cfRule type="top10" dxfId="8" priority="1" bottom="1" rank="5"/>
  </conditionalFormatting>
  <pageMargins left="0.7" right="0.7" top="0.75" bottom="0.75" header="0.3" footer="0.3"/>
  <pageSetup paperSize="9" orientation="portrait" horizontalDpi="0" verticalDpi="0"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FFFF00"/>
  </sheetPr>
  <dimension ref="A1:Q49"/>
  <sheetViews>
    <sheetView showGridLines="0" workbookViewId="0">
      <selection sqref="A1:Q1"/>
    </sheetView>
  </sheetViews>
  <sheetFormatPr defaultRowHeight="15" x14ac:dyDescent="0.25"/>
  <cols>
    <col min="1" max="1" width="5.14062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3" width="7.5703125" customWidth="1"/>
    <col min="14" max="16" width="5.7109375" customWidth="1"/>
    <col min="17" max="17" width="9" customWidth="1"/>
  </cols>
  <sheetData>
    <row r="1" spans="1:17" ht="15.75" x14ac:dyDescent="0.25">
      <c r="A1" s="3125"/>
      <c r="B1" s="3126"/>
      <c r="C1" s="3126"/>
      <c r="D1" s="3126"/>
      <c r="E1" s="3126"/>
      <c r="F1" s="3126"/>
      <c r="G1" s="3126"/>
      <c r="H1" s="3126"/>
      <c r="I1" s="3126"/>
      <c r="J1" s="3126"/>
      <c r="K1" s="3126"/>
      <c r="L1" s="3126"/>
      <c r="M1" s="3126"/>
      <c r="N1" s="3126"/>
      <c r="O1" s="3126"/>
      <c r="P1" s="3126"/>
      <c r="Q1" s="3126"/>
    </row>
    <row r="2" spans="1:17" ht="15.75" x14ac:dyDescent="0.25">
      <c r="A2" s="3127"/>
      <c r="B2" s="3128"/>
      <c r="C2" s="3128"/>
      <c r="D2" s="3128"/>
      <c r="E2" s="3128"/>
      <c r="F2" s="3128"/>
      <c r="G2" s="3128"/>
      <c r="H2" s="3128"/>
      <c r="I2" s="3128"/>
      <c r="J2" s="3128"/>
      <c r="K2" s="3128"/>
      <c r="L2" s="3128"/>
      <c r="M2" s="3128"/>
      <c r="N2" s="3128"/>
      <c r="O2" s="3128"/>
      <c r="P2" s="3128"/>
      <c r="Q2" s="3128"/>
    </row>
    <row r="3" spans="1:17" ht="21" x14ac:dyDescent="0.35">
      <c r="A3" s="290" t="s">
        <v>199</v>
      </c>
      <c r="B3" s="168"/>
      <c r="C3" s="168"/>
      <c r="D3" s="168"/>
      <c r="E3" s="168"/>
      <c r="F3" s="168"/>
      <c r="G3" s="168"/>
      <c r="H3" s="168"/>
      <c r="I3" s="168"/>
      <c r="J3" s="168"/>
      <c r="K3" s="168"/>
      <c r="L3" s="168"/>
      <c r="M3" s="168"/>
      <c r="N3" s="168"/>
      <c r="O3" s="168"/>
      <c r="P3" s="168"/>
      <c r="Q3" s="168"/>
    </row>
    <row r="4" spans="1:17" ht="21" x14ac:dyDescent="0.35">
      <c r="A4" s="503" t="s">
        <v>445</v>
      </c>
      <c r="B4" s="168"/>
      <c r="C4" s="168"/>
      <c r="D4" s="168"/>
      <c r="E4" s="168"/>
      <c r="F4" s="168"/>
      <c r="G4" s="168"/>
      <c r="H4" s="168"/>
      <c r="I4" s="168"/>
      <c r="J4" s="168"/>
      <c r="K4" s="168"/>
      <c r="L4" s="168"/>
      <c r="M4" s="168"/>
      <c r="N4" s="168"/>
      <c r="O4" s="168"/>
      <c r="P4" s="168"/>
      <c r="Q4" s="168"/>
    </row>
    <row r="5" spans="1:17" ht="21" x14ac:dyDescent="0.35">
      <c r="A5" s="503" t="s">
        <v>564</v>
      </c>
      <c r="B5" s="168"/>
      <c r="C5" s="168"/>
      <c r="D5" s="168"/>
      <c r="E5" s="168"/>
      <c r="F5" s="168"/>
      <c r="G5" s="168"/>
      <c r="H5" s="168"/>
      <c r="I5" s="168"/>
      <c r="J5" s="168"/>
      <c r="K5" s="168"/>
      <c r="L5" s="168"/>
      <c r="M5" s="168"/>
      <c r="N5" s="168"/>
      <c r="O5" s="168"/>
      <c r="P5" s="168"/>
      <c r="Q5" s="168"/>
    </row>
    <row r="6" spans="1:17" s="741" customFormat="1" ht="14.25" customHeight="1" x14ac:dyDescent="0.25">
      <c r="A6" s="1067">
        <v>1</v>
      </c>
      <c r="B6" s="1067">
        <v>2</v>
      </c>
      <c r="C6" s="1067">
        <v>3</v>
      </c>
      <c r="D6" s="1067">
        <v>4</v>
      </c>
      <c r="E6" s="1067">
        <v>5</v>
      </c>
      <c r="F6" s="1067">
        <v>6</v>
      </c>
      <c r="G6" s="1067">
        <v>7</v>
      </c>
      <c r="H6" s="1067">
        <v>8</v>
      </c>
      <c r="I6" s="1067">
        <v>9</v>
      </c>
      <c r="J6" s="1067">
        <v>10</v>
      </c>
      <c r="K6" s="1067">
        <v>11</v>
      </c>
      <c r="L6" s="1067">
        <v>12</v>
      </c>
      <c r="M6" s="1067">
        <v>13</v>
      </c>
      <c r="N6" s="1067">
        <v>14</v>
      </c>
      <c r="O6" s="1067">
        <v>15</v>
      </c>
      <c r="P6" s="1067">
        <v>16</v>
      </c>
      <c r="Q6" s="1067">
        <v>17</v>
      </c>
    </row>
    <row r="7" spans="1:17" s="30" customFormat="1" ht="21.75" customHeight="1" x14ac:dyDescent="0.25">
      <c r="A7" s="3129" t="s">
        <v>0</v>
      </c>
      <c r="B7" s="3129" t="s">
        <v>28</v>
      </c>
      <c r="C7" s="3129" t="s">
        <v>3</v>
      </c>
      <c r="D7" s="3133" t="s">
        <v>7</v>
      </c>
      <c r="E7" s="3134"/>
      <c r="F7" s="3134"/>
      <c r="G7" s="3134"/>
      <c r="H7" s="3134"/>
      <c r="I7" s="3134"/>
      <c r="J7" s="3134"/>
      <c r="K7" s="3134"/>
      <c r="L7" s="3135"/>
      <c r="M7" s="3130" t="s">
        <v>159</v>
      </c>
      <c r="N7" s="3131" t="s">
        <v>29</v>
      </c>
      <c r="O7" s="3131" t="s">
        <v>30</v>
      </c>
      <c r="P7" s="3131" t="s">
        <v>31</v>
      </c>
      <c r="Q7" s="3132" t="s">
        <v>32</v>
      </c>
    </row>
    <row r="8" spans="1:17" s="30" customFormat="1" ht="20.25" customHeight="1" x14ac:dyDescent="0.25">
      <c r="A8" s="3129"/>
      <c r="B8" s="3129"/>
      <c r="C8" s="3129"/>
      <c r="D8" s="31" t="s">
        <v>29</v>
      </c>
      <c r="E8" s="31" t="s">
        <v>29</v>
      </c>
      <c r="F8" s="31" t="s">
        <v>29</v>
      </c>
      <c r="G8" s="31" t="s">
        <v>29</v>
      </c>
      <c r="H8" s="31" t="s">
        <v>29</v>
      </c>
      <c r="I8" s="31" t="s">
        <v>29</v>
      </c>
      <c r="J8" s="32" t="s">
        <v>30</v>
      </c>
      <c r="K8" s="32" t="s">
        <v>30</v>
      </c>
      <c r="L8" s="320" t="s">
        <v>31</v>
      </c>
      <c r="M8" s="3130"/>
      <c r="N8" s="3131"/>
      <c r="O8" s="3131"/>
      <c r="P8" s="3131"/>
      <c r="Q8" s="3132"/>
    </row>
    <row r="9" spans="1:17" ht="17.25" customHeight="1" x14ac:dyDescent="0.25">
      <c r="A9" s="3129"/>
      <c r="B9" s="3129"/>
      <c r="C9" s="3129"/>
      <c r="D9" s="284">
        <v>1</v>
      </c>
      <c r="E9" s="284">
        <v>2</v>
      </c>
      <c r="F9" s="284">
        <v>3</v>
      </c>
      <c r="G9" s="284">
        <v>4</v>
      </c>
      <c r="H9" s="284">
        <v>5</v>
      </c>
      <c r="I9" s="284">
        <v>6</v>
      </c>
      <c r="J9" s="284">
        <v>7</v>
      </c>
      <c r="K9" s="284">
        <v>8</v>
      </c>
      <c r="L9" s="284">
        <v>9</v>
      </c>
      <c r="M9" s="3130"/>
      <c r="N9" s="3131"/>
      <c r="O9" s="3131"/>
      <c r="P9" s="3131"/>
      <c r="Q9" s="3132"/>
    </row>
    <row r="10" spans="1:17" ht="24.95" customHeight="1" x14ac:dyDescent="0.25">
      <c r="A10" s="34">
        <v>1</v>
      </c>
      <c r="B10" s="198" t="str">
        <f>dtsiswa!D7</f>
        <v>Achmad Zacky</v>
      </c>
      <c r="C10" s="291" t="s">
        <v>4</v>
      </c>
      <c r="D10" s="200">
        <v>1</v>
      </c>
      <c r="E10" s="200">
        <v>0</v>
      </c>
      <c r="F10" s="200">
        <v>1</v>
      </c>
      <c r="G10" s="200">
        <v>1</v>
      </c>
      <c r="H10" s="200">
        <v>1</v>
      </c>
      <c r="I10" s="200">
        <v>0</v>
      </c>
      <c r="J10" s="200">
        <v>2</v>
      </c>
      <c r="K10" s="200">
        <v>2</v>
      </c>
      <c r="L10" s="200">
        <v>3</v>
      </c>
      <c r="M10" s="607">
        <f>SUM(D10:L10)*100/13</f>
        <v>84.615384615384613</v>
      </c>
      <c r="N10" s="37">
        <f>SUM(D10:I10)</f>
        <v>4</v>
      </c>
      <c r="O10" s="37">
        <f>SUM(J10:K10)</f>
        <v>4</v>
      </c>
      <c r="P10" s="37">
        <f>L10</f>
        <v>3</v>
      </c>
      <c r="Q10" s="641">
        <f>M10</f>
        <v>84.615384615384613</v>
      </c>
    </row>
    <row r="11" spans="1:17" ht="24.95" customHeight="1" x14ac:dyDescent="0.25">
      <c r="A11" s="40">
        <v>2</v>
      </c>
      <c r="B11" s="35" t="str">
        <f>dtsiswa!D8</f>
        <v>Angelia Vabel R</v>
      </c>
      <c r="C11" s="36" t="s">
        <v>4</v>
      </c>
      <c r="D11" s="200"/>
      <c r="E11" s="200"/>
      <c r="F11" s="200"/>
      <c r="G11" s="200"/>
      <c r="H11" s="200"/>
      <c r="I11" s="200"/>
      <c r="J11" s="200"/>
      <c r="K11" s="200"/>
      <c r="L11" s="200"/>
      <c r="M11" s="607">
        <f t="shared" ref="M11:M49" si="0">SUM(D11:L11)*100/13</f>
        <v>0</v>
      </c>
      <c r="N11" s="37">
        <f t="shared" ref="N11:N49" si="1">SUM(D11:I11)</f>
        <v>0</v>
      </c>
      <c r="O11" s="37">
        <f t="shared" ref="O11:O49" si="2">SUM(J11:K11)</f>
        <v>0</v>
      </c>
      <c r="P11" s="37">
        <f t="shared" ref="P11:P49" si="3">L11</f>
        <v>0</v>
      </c>
      <c r="Q11" s="641">
        <f t="shared" ref="Q11:Q35" si="4">M11</f>
        <v>0</v>
      </c>
    </row>
    <row r="12" spans="1:17" ht="24.95" customHeight="1" x14ac:dyDescent="0.25">
      <c r="A12" s="40">
        <v>3</v>
      </c>
      <c r="B12" s="35" t="str">
        <f>dtsiswa!D9</f>
        <v>Anggun Dwi P.I</v>
      </c>
      <c r="C12" s="36" t="s">
        <v>4</v>
      </c>
      <c r="D12" s="200"/>
      <c r="E12" s="200"/>
      <c r="F12" s="200"/>
      <c r="G12" s="200"/>
      <c r="H12" s="200"/>
      <c r="I12" s="200"/>
      <c r="J12" s="200"/>
      <c r="K12" s="200"/>
      <c r="L12" s="200"/>
      <c r="M12" s="607">
        <f t="shared" si="0"/>
        <v>0</v>
      </c>
      <c r="N12" s="37">
        <f t="shared" si="1"/>
        <v>0</v>
      </c>
      <c r="O12" s="37">
        <f t="shared" si="2"/>
        <v>0</v>
      </c>
      <c r="P12" s="37">
        <f t="shared" si="3"/>
        <v>0</v>
      </c>
      <c r="Q12" s="641">
        <f t="shared" si="4"/>
        <v>0</v>
      </c>
    </row>
    <row r="13" spans="1:17" ht="24.95" customHeight="1" x14ac:dyDescent="0.25">
      <c r="A13" s="40">
        <v>4</v>
      </c>
      <c r="B13" s="35" t="str">
        <f>dtsiswa!D10</f>
        <v>Antonio Permata A</v>
      </c>
      <c r="C13" s="43" t="s">
        <v>4</v>
      </c>
      <c r="D13" s="200"/>
      <c r="E13" s="200"/>
      <c r="F13" s="200"/>
      <c r="G13" s="200"/>
      <c r="H13" s="200"/>
      <c r="I13" s="200"/>
      <c r="J13" s="200"/>
      <c r="K13" s="200"/>
      <c r="L13" s="200"/>
      <c r="M13" s="607">
        <f t="shared" si="0"/>
        <v>0</v>
      </c>
      <c r="N13" s="37">
        <f t="shared" si="1"/>
        <v>0</v>
      </c>
      <c r="O13" s="37">
        <f t="shared" si="2"/>
        <v>0</v>
      </c>
      <c r="P13" s="37">
        <f t="shared" si="3"/>
        <v>0</v>
      </c>
      <c r="Q13" s="641">
        <f t="shared" si="4"/>
        <v>0</v>
      </c>
    </row>
    <row r="14" spans="1:17" ht="24.95" customHeight="1" x14ac:dyDescent="0.25">
      <c r="A14" s="40">
        <v>5</v>
      </c>
      <c r="B14" s="35" t="str">
        <f>dtsiswa!D11</f>
        <v>Arya Pratama G</v>
      </c>
      <c r="C14" s="36" t="s">
        <v>5</v>
      </c>
      <c r="D14" s="59"/>
      <c r="E14" s="59"/>
      <c r="F14" s="59"/>
      <c r="G14" s="59"/>
      <c r="H14" s="59"/>
      <c r="I14" s="59"/>
      <c r="J14" s="59"/>
      <c r="K14" s="59"/>
      <c r="L14" s="59"/>
      <c r="M14" s="607">
        <f t="shared" si="0"/>
        <v>0</v>
      </c>
      <c r="N14" s="37">
        <f t="shared" si="1"/>
        <v>0</v>
      </c>
      <c r="O14" s="37">
        <f t="shared" si="2"/>
        <v>0</v>
      </c>
      <c r="P14" s="37">
        <f t="shared" si="3"/>
        <v>0</v>
      </c>
      <c r="Q14" s="641">
        <f t="shared" si="4"/>
        <v>0</v>
      </c>
    </row>
    <row r="15" spans="1:17" ht="24.95" customHeight="1" x14ac:dyDescent="0.25">
      <c r="A15" s="40">
        <v>6</v>
      </c>
      <c r="B15" s="35" t="str">
        <f>dtsiswa!D12</f>
        <v>Asyam Hanif Ihsan H</v>
      </c>
      <c r="C15" s="36" t="s">
        <v>5</v>
      </c>
      <c r="D15" s="59"/>
      <c r="E15" s="59"/>
      <c r="F15" s="59"/>
      <c r="G15" s="59"/>
      <c r="H15" s="59"/>
      <c r="I15" s="59"/>
      <c r="J15" s="59"/>
      <c r="K15" s="59"/>
      <c r="L15" s="59"/>
      <c r="M15" s="607">
        <f t="shared" si="0"/>
        <v>0</v>
      </c>
      <c r="N15" s="37">
        <f t="shared" si="1"/>
        <v>0</v>
      </c>
      <c r="O15" s="37">
        <f t="shared" si="2"/>
        <v>0</v>
      </c>
      <c r="P15" s="37">
        <f t="shared" si="3"/>
        <v>0</v>
      </c>
      <c r="Q15" s="641">
        <f t="shared" si="4"/>
        <v>0</v>
      </c>
    </row>
    <row r="16" spans="1:17" ht="24.95" customHeight="1" x14ac:dyDescent="0.25">
      <c r="A16" s="40">
        <v>7</v>
      </c>
      <c r="B16" s="35" t="str">
        <f>dtsiswa!D13</f>
        <v>Athaya Salsabilla Z</v>
      </c>
      <c r="C16" s="36" t="s">
        <v>4</v>
      </c>
      <c r="D16" s="59"/>
      <c r="E16" s="59"/>
      <c r="F16" s="59"/>
      <c r="G16" s="59"/>
      <c r="H16" s="59"/>
      <c r="I16" s="59"/>
      <c r="J16" s="59"/>
      <c r="K16" s="59"/>
      <c r="L16" s="59"/>
      <c r="M16" s="607">
        <f t="shared" si="0"/>
        <v>0</v>
      </c>
      <c r="N16" s="37">
        <f t="shared" si="1"/>
        <v>0</v>
      </c>
      <c r="O16" s="37">
        <f t="shared" si="2"/>
        <v>0</v>
      </c>
      <c r="P16" s="37">
        <f t="shared" si="3"/>
        <v>0</v>
      </c>
      <c r="Q16" s="641">
        <f t="shared" si="4"/>
        <v>0</v>
      </c>
    </row>
    <row r="17" spans="1:17" ht="24.95" customHeight="1" x14ac:dyDescent="0.25">
      <c r="A17" s="40">
        <v>8</v>
      </c>
      <c r="B17" s="35" t="str">
        <f>dtsiswa!D14</f>
        <v>Aulia Dea Rosalinda</v>
      </c>
      <c r="C17" s="36" t="s">
        <v>4</v>
      </c>
      <c r="D17" s="59"/>
      <c r="E17" s="59"/>
      <c r="F17" s="59"/>
      <c r="G17" s="59"/>
      <c r="H17" s="59"/>
      <c r="I17" s="59"/>
      <c r="J17" s="59"/>
      <c r="K17" s="59"/>
      <c r="L17" s="59"/>
      <c r="M17" s="607">
        <f t="shared" si="0"/>
        <v>0</v>
      </c>
      <c r="N17" s="37">
        <f t="shared" si="1"/>
        <v>0</v>
      </c>
      <c r="O17" s="37">
        <f t="shared" si="2"/>
        <v>0</v>
      </c>
      <c r="P17" s="37">
        <f t="shared" si="3"/>
        <v>0</v>
      </c>
      <c r="Q17" s="641">
        <f t="shared" si="4"/>
        <v>0</v>
      </c>
    </row>
    <row r="18" spans="1:17" ht="24.95" customHeight="1" x14ac:dyDescent="0.25">
      <c r="A18" s="40">
        <v>9</v>
      </c>
      <c r="B18" s="35" t="str">
        <f>dtsiswa!D15</f>
        <v>Claudia Gabriella L</v>
      </c>
      <c r="C18" s="36" t="s">
        <v>4</v>
      </c>
      <c r="D18" s="59"/>
      <c r="E18" s="59"/>
      <c r="F18" s="59"/>
      <c r="G18" s="59"/>
      <c r="H18" s="59"/>
      <c r="I18" s="59"/>
      <c r="J18" s="59"/>
      <c r="K18" s="59"/>
      <c r="L18" s="59"/>
      <c r="M18" s="607">
        <f t="shared" si="0"/>
        <v>0</v>
      </c>
      <c r="N18" s="37">
        <f t="shared" si="1"/>
        <v>0</v>
      </c>
      <c r="O18" s="37">
        <f t="shared" si="2"/>
        <v>0</v>
      </c>
      <c r="P18" s="37">
        <f t="shared" si="3"/>
        <v>0</v>
      </c>
      <c r="Q18" s="641">
        <f t="shared" si="4"/>
        <v>0</v>
      </c>
    </row>
    <row r="19" spans="1:17" ht="24.95" customHeight="1" x14ac:dyDescent="0.25">
      <c r="A19" s="40">
        <v>10</v>
      </c>
      <c r="B19" s="35" t="str">
        <f>dtsiswa!D16</f>
        <v xml:space="preserve">Deco Badarus Zaman </v>
      </c>
      <c r="C19" s="36" t="s">
        <v>4</v>
      </c>
      <c r="D19" s="59"/>
      <c r="E19" s="59"/>
      <c r="F19" s="59"/>
      <c r="G19" s="59"/>
      <c r="H19" s="59"/>
      <c r="I19" s="59"/>
      <c r="J19" s="59"/>
      <c r="K19" s="59"/>
      <c r="L19" s="59"/>
      <c r="M19" s="607">
        <f t="shared" si="0"/>
        <v>0</v>
      </c>
      <c r="N19" s="37">
        <f t="shared" si="1"/>
        <v>0</v>
      </c>
      <c r="O19" s="37">
        <f t="shared" si="2"/>
        <v>0</v>
      </c>
      <c r="P19" s="37">
        <f t="shared" si="3"/>
        <v>0</v>
      </c>
      <c r="Q19" s="641">
        <f t="shared" si="4"/>
        <v>0</v>
      </c>
    </row>
    <row r="20" spans="1:17" ht="24.95" customHeight="1" x14ac:dyDescent="0.25">
      <c r="A20" s="40">
        <v>11</v>
      </c>
      <c r="B20" s="35" t="str">
        <f>dtsiswa!D17</f>
        <v>Fania Mutiara Felichia</v>
      </c>
      <c r="C20" s="36" t="s">
        <v>4</v>
      </c>
      <c r="D20" s="59"/>
      <c r="E20" s="59"/>
      <c r="F20" s="59"/>
      <c r="G20" s="59"/>
      <c r="H20" s="59"/>
      <c r="I20" s="59"/>
      <c r="J20" s="59"/>
      <c r="K20" s="59"/>
      <c r="L20" s="59"/>
      <c r="M20" s="607">
        <f t="shared" si="0"/>
        <v>0</v>
      </c>
      <c r="N20" s="37">
        <f t="shared" si="1"/>
        <v>0</v>
      </c>
      <c r="O20" s="37">
        <f t="shared" si="2"/>
        <v>0</v>
      </c>
      <c r="P20" s="37">
        <f t="shared" si="3"/>
        <v>0</v>
      </c>
      <c r="Q20" s="641">
        <f t="shared" si="4"/>
        <v>0</v>
      </c>
    </row>
    <row r="21" spans="1:17" ht="24.95" customHeight="1" x14ac:dyDescent="0.25">
      <c r="A21" s="40">
        <v>12</v>
      </c>
      <c r="B21" s="35" t="str">
        <f>dtsiswa!D18</f>
        <v>Intan Dyah Nowari</v>
      </c>
      <c r="C21" s="36" t="s">
        <v>4</v>
      </c>
      <c r="D21" s="59"/>
      <c r="E21" s="59"/>
      <c r="F21" s="59"/>
      <c r="G21" s="59"/>
      <c r="H21" s="59"/>
      <c r="I21" s="59"/>
      <c r="J21" s="59"/>
      <c r="K21" s="59"/>
      <c r="L21" s="59"/>
      <c r="M21" s="607">
        <f t="shared" si="0"/>
        <v>0</v>
      </c>
      <c r="N21" s="37">
        <f t="shared" si="1"/>
        <v>0</v>
      </c>
      <c r="O21" s="37">
        <f t="shared" si="2"/>
        <v>0</v>
      </c>
      <c r="P21" s="37">
        <f t="shared" si="3"/>
        <v>0</v>
      </c>
      <c r="Q21" s="641">
        <f t="shared" si="4"/>
        <v>0</v>
      </c>
    </row>
    <row r="22" spans="1:17" ht="24.95" customHeight="1" x14ac:dyDescent="0.25">
      <c r="A22" s="40">
        <v>13</v>
      </c>
      <c r="B22" s="35" t="str">
        <f>dtsiswa!D19</f>
        <v>Misyanita Nurfitri S</v>
      </c>
      <c r="C22" s="36" t="s">
        <v>5</v>
      </c>
      <c r="D22" s="59"/>
      <c r="E22" s="59"/>
      <c r="F22" s="59"/>
      <c r="G22" s="59"/>
      <c r="H22" s="59"/>
      <c r="I22" s="59"/>
      <c r="J22" s="59"/>
      <c r="K22" s="59"/>
      <c r="L22" s="59"/>
      <c r="M22" s="607">
        <f t="shared" si="0"/>
        <v>0</v>
      </c>
      <c r="N22" s="37">
        <f t="shared" si="1"/>
        <v>0</v>
      </c>
      <c r="O22" s="37">
        <f t="shared" si="2"/>
        <v>0</v>
      </c>
      <c r="P22" s="37">
        <f t="shared" si="3"/>
        <v>0</v>
      </c>
      <c r="Q22" s="641">
        <f t="shared" si="4"/>
        <v>0</v>
      </c>
    </row>
    <row r="23" spans="1:17" ht="24.95" customHeight="1" x14ac:dyDescent="0.25">
      <c r="A23" s="40">
        <v>14</v>
      </c>
      <c r="B23" s="35" t="str">
        <f>dtsiswa!D20</f>
        <v>Moch Zidane Hita L. U</v>
      </c>
      <c r="C23" s="36" t="s">
        <v>4</v>
      </c>
      <c r="D23" s="59"/>
      <c r="E23" s="59"/>
      <c r="F23" s="59"/>
      <c r="G23" s="59"/>
      <c r="H23" s="59"/>
      <c r="I23" s="59"/>
      <c r="J23" s="59"/>
      <c r="K23" s="59"/>
      <c r="L23" s="59"/>
      <c r="M23" s="607">
        <f t="shared" si="0"/>
        <v>0</v>
      </c>
      <c r="N23" s="37">
        <f t="shared" si="1"/>
        <v>0</v>
      </c>
      <c r="O23" s="37">
        <f t="shared" si="2"/>
        <v>0</v>
      </c>
      <c r="P23" s="37">
        <f t="shared" si="3"/>
        <v>0</v>
      </c>
      <c r="Q23" s="641">
        <f t="shared" si="4"/>
        <v>0</v>
      </c>
    </row>
    <row r="24" spans="1:17" ht="24.95" customHeight="1" x14ac:dyDescent="0.25">
      <c r="A24" s="40">
        <v>15</v>
      </c>
      <c r="B24" s="35" t="str">
        <f>dtsiswa!D21</f>
        <v>Muhammad Ibra Maulana</v>
      </c>
      <c r="C24" s="36" t="s">
        <v>4</v>
      </c>
      <c r="D24" s="59"/>
      <c r="E24" s="59"/>
      <c r="F24" s="59"/>
      <c r="G24" s="59"/>
      <c r="H24" s="59"/>
      <c r="I24" s="59"/>
      <c r="J24" s="59"/>
      <c r="K24" s="59"/>
      <c r="L24" s="59"/>
      <c r="M24" s="607">
        <f t="shared" si="0"/>
        <v>0</v>
      </c>
      <c r="N24" s="37">
        <f t="shared" si="1"/>
        <v>0</v>
      </c>
      <c r="O24" s="37">
        <f t="shared" si="2"/>
        <v>0</v>
      </c>
      <c r="P24" s="37">
        <f t="shared" si="3"/>
        <v>0</v>
      </c>
      <c r="Q24" s="641">
        <f t="shared" si="4"/>
        <v>0</v>
      </c>
    </row>
    <row r="25" spans="1:17" ht="24.95" customHeight="1" x14ac:dyDescent="0.25">
      <c r="A25" s="40">
        <v>16</v>
      </c>
      <c r="B25" s="35" t="str">
        <f>dtsiswa!D22</f>
        <v>Nabilla Shiva Putri</v>
      </c>
      <c r="C25" s="36" t="s">
        <v>4</v>
      </c>
      <c r="D25" s="59"/>
      <c r="E25" s="59"/>
      <c r="F25" s="59"/>
      <c r="G25" s="59"/>
      <c r="H25" s="59"/>
      <c r="I25" s="59"/>
      <c r="J25" s="59"/>
      <c r="K25" s="59"/>
      <c r="L25" s="59"/>
      <c r="M25" s="607">
        <f t="shared" si="0"/>
        <v>0</v>
      </c>
      <c r="N25" s="37">
        <f t="shared" si="1"/>
        <v>0</v>
      </c>
      <c r="O25" s="37">
        <f t="shared" si="2"/>
        <v>0</v>
      </c>
      <c r="P25" s="37">
        <f t="shared" si="3"/>
        <v>0</v>
      </c>
      <c r="Q25" s="641">
        <f t="shared" si="4"/>
        <v>0</v>
      </c>
    </row>
    <row r="26" spans="1:17" ht="24.95" customHeight="1" x14ac:dyDescent="0.25">
      <c r="A26" s="40">
        <v>17</v>
      </c>
      <c r="B26" s="35" t="str">
        <f>dtsiswa!D23</f>
        <v>Naufal Falih F</v>
      </c>
      <c r="C26" s="36" t="s">
        <v>5</v>
      </c>
      <c r="D26" s="59"/>
      <c r="E26" s="59"/>
      <c r="F26" s="59"/>
      <c r="G26" s="59"/>
      <c r="H26" s="59"/>
      <c r="I26" s="59"/>
      <c r="J26" s="59"/>
      <c r="K26" s="59"/>
      <c r="L26" s="59"/>
      <c r="M26" s="607">
        <f t="shared" si="0"/>
        <v>0</v>
      </c>
      <c r="N26" s="37">
        <f t="shared" si="1"/>
        <v>0</v>
      </c>
      <c r="O26" s="37">
        <f t="shared" si="2"/>
        <v>0</v>
      </c>
      <c r="P26" s="37">
        <f t="shared" si="3"/>
        <v>0</v>
      </c>
      <c r="Q26" s="641">
        <f t="shared" si="4"/>
        <v>0</v>
      </c>
    </row>
    <row r="27" spans="1:17" ht="24.95" customHeight="1" x14ac:dyDescent="0.25">
      <c r="A27" s="40">
        <v>18</v>
      </c>
      <c r="B27" s="35" t="str">
        <f>dtsiswa!D24</f>
        <v>Nayla Annora Nobel W</v>
      </c>
      <c r="C27" s="36" t="s">
        <v>4</v>
      </c>
      <c r="D27" s="59"/>
      <c r="E27" s="59"/>
      <c r="F27" s="59"/>
      <c r="G27" s="59"/>
      <c r="H27" s="59"/>
      <c r="I27" s="59"/>
      <c r="J27" s="59"/>
      <c r="K27" s="59"/>
      <c r="L27" s="59"/>
      <c r="M27" s="607">
        <f t="shared" si="0"/>
        <v>0</v>
      </c>
      <c r="N27" s="37">
        <f t="shared" si="1"/>
        <v>0</v>
      </c>
      <c r="O27" s="37">
        <f t="shared" si="2"/>
        <v>0</v>
      </c>
      <c r="P27" s="37">
        <f t="shared" si="3"/>
        <v>0</v>
      </c>
      <c r="Q27" s="641">
        <f t="shared" si="4"/>
        <v>0</v>
      </c>
    </row>
    <row r="28" spans="1:17" ht="24.95" customHeight="1" x14ac:dyDescent="0.25">
      <c r="A28" s="40">
        <v>19</v>
      </c>
      <c r="B28" s="35" t="str">
        <f>dtsiswa!D25</f>
        <v>Raihan Danang P</v>
      </c>
      <c r="C28" s="36" t="s">
        <v>5</v>
      </c>
      <c r="D28" s="59"/>
      <c r="E28" s="59"/>
      <c r="F28" s="59"/>
      <c r="G28" s="59"/>
      <c r="H28" s="59"/>
      <c r="I28" s="59"/>
      <c r="J28" s="59"/>
      <c r="K28" s="59"/>
      <c r="L28" s="59"/>
      <c r="M28" s="607">
        <f t="shared" si="0"/>
        <v>0</v>
      </c>
      <c r="N28" s="37">
        <f t="shared" si="1"/>
        <v>0</v>
      </c>
      <c r="O28" s="37">
        <f t="shared" si="2"/>
        <v>0</v>
      </c>
      <c r="P28" s="37">
        <f t="shared" si="3"/>
        <v>0</v>
      </c>
      <c r="Q28" s="641">
        <f t="shared" si="4"/>
        <v>0</v>
      </c>
    </row>
    <row r="29" spans="1:17" ht="24.95" customHeight="1" x14ac:dyDescent="0.25">
      <c r="A29" s="40">
        <v>20</v>
      </c>
      <c r="B29" s="35" t="str">
        <f>dtsiswa!D26</f>
        <v>Roby Ardiyansyah</v>
      </c>
      <c r="C29" s="36" t="s">
        <v>5</v>
      </c>
      <c r="D29" s="40"/>
      <c r="E29" s="40"/>
      <c r="F29" s="40"/>
      <c r="G29" s="40"/>
      <c r="H29" s="40"/>
      <c r="I29" s="40"/>
      <c r="J29" s="40"/>
      <c r="K29" s="40"/>
      <c r="L29" s="40"/>
      <c r="M29" s="607">
        <f t="shared" si="0"/>
        <v>0</v>
      </c>
      <c r="N29" s="37">
        <f t="shared" si="1"/>
        <v>0</v>
      </c>
      <c r="O29" s="37">
        <f t="shared" si="2"/>
        <v>0</v>
      </c>
      <c r="P29" s="37">
        <f t="shared" si="3"/>
        <v>0</v>
      </c>
      <c r="Q29" s="641">
        <f t="shared" si="4"/>
        <v>0</v>
      </c>
    </row>
    <row r="30" spans="1:17" ht="24.95" customHeight="1" x14ac:dyDescent="0.25">
      <c r="A30" s="40">
        <v>21</v>
      </c>
      <c r="B30" s="35" t="str">
        <f>dtsiswa!D27</f>
        <v>Rojalingga Prana A</v>
      </c>
      <c r="C30" s="44" t="s">
        <v>4</v>
      </c>
      <c r="D30" s="59"/>
      <c r="E30" s="59"/>
      <c r="F30" s="59"/>
      <c r="G30" s="59"/>
      <c r="H30" s="59"/>
      <c r="I30" s="59"/>
      <c r="J30" s="59"/>
      <c r="K30" s="59"/>
      <c r="L30" s="59"/>
      <c r="M30" s="607">
        <f t="shared" si="0"/>
        <v>0</v>
      </c>
      <c r="N30" s="37">
        <f t="shared" si="1"/>
        <v>0</v>
      </c>
      <c r="O30" s="37">
        <f t="shared" si="2"/>
        <v>0</v>
      </c>
      <c r="P30" s="37">
        <f t="shared" si="3"/>
        <v>0</v>
      </c>
      <c r="Q30" s="641">
        <f t="shared" si="4"/>
        <v>0</v>
      </c>
    </row>
    <row r="31" spans="1:17" ht="24.95" customHeight="1" x14ac:dyDescent="0.25">
      <c r="A31" s="40">
        <v>22</v>
      </c>
      <c r="B31" s="35" t="str">
        <f>dtsiswa!D28</f>
        <v>Sally Savista A</v>
      </c>
      <c r="C31" s="45" t="s">
        <v>4</v>
      </c>
      <c r="D31" s="40"/>
      <c r="E31" s="40"/>
      <c r="F31" s="40"/>
      <c r="G31" s="40"/>
      <c r="H31" s="40"/>
      <c r="I31" s="40"/>
      <c r="J31" s="40"/>
      <c r="K31" s="40"/>
      <c r="L31" s="40"/>
      <c r="M31" s="607">
        <f t="shared" si="0"/>
        <v>0</v>
      </c>
      <c r="N31" s="37">
        <f t="shared" si="1"/>
        <v>0</v>
      </c>
      <c r="O31" s="37">
        <f t="shared" si="2"/>
        <v>0</v>
      </c>
      <c r="P31" s="37">
        <f t="shared" si="3"/>
        <v>0</v>
      </c>
      <c r="Q31" s="641">
        <f t="shared" si="4"/>
        <v>0</v>
      </c>
    </row>
    <row r="32" spans="1:17" ht="24.95" customHeight="1" x14ac:dyDescent="0.25">
      <c r="A32" s="40">
        <v>23</v>
      </c>
      <c r="B32" s="35" t="str">
        <f>dtsiswa!D29</f>
        <v xml:space="preserve">Tania Kaori Angelita </v>
      </c>
      <c r="C32" s="45" t="s">
        <v>5</v>
      </c>
      <c r="D32" s="40"/>
      <c r="E32" s="40"/>
      <c r="F32" s="40"/>
      <c r="G32" s="40"/>
      <c r="H32" s="40"/>
      <c r="I32" s="40"/>
      <c r="J32" s="40"/>
      <c r="K32" s="40"/>
      <c r="L32" s="40"/>
      <c r="M32" s="607">
        <f t="shared" si="0"/>
        <v>0</v>
      </c>
      <c r="N32" s="37">
        <f t="shared" si="1"/>
        <v>0</v>
      </c>
      <c r="O32" s="37">
        <f t="shared" si="2"/>
        <v>0</v>
      </c>
      <c r="P32" s="37">
        <f t="shared" si="3"/>
        <v>0</v>
      </c>
      <c r="Q32" s="641">
        <f t="shared" si="4"/>
        <v>0</v>
      </c>
    </row>
    <row r="33" spans="1:17" ht="24.95" customHeight="1" x14ac:dyDescent="0.25">
      <c r="A33" s="40">
        <v>24</v>
      </c>
      <c r="B33" s="35" t="str">
        <f>dtsiswa!D30</f>
        <v>Romzy Oka Ramadhani P</v>
      </c>
      <c r="C33" s="45" t="s">
        <v>5</v>
      </c>
      <c r="D33" s="40"/>
      <c r="E33" s="40"/>
      <c r="F33" s="40"/>
      <c r="G33" s="40"/>
      <c r="H33" s="40"/>
      <c r="I33" s="40"/>
      <c r="J33" s="40"/>
      <c r="K33" s="40"/>
      <c r="L33" s="40"/>
      <c r="M33" s="607">
        <f t="shared" si="0"/>
        <v>0</v>
      </c>
      <c r="N33" s="37">
        <f t="shared" si="1"/>
        <v>0</v>
      </c>
      <c r="O33" s="37">
        <f t="shared" si="2"/>
        <v>0</v>
      </c>
      <c r="P33" s="37">
        <f t="shared" si="3"/>
        <v>0</v>
      </c>
      <c r="Q33" s="641">
        <f t="shared" si="4"/>
        <v>0</v>
      </c>
    </row>
    <row r="34" spans="1:17" ht="24.95" customHeight="1" x14ac:dyDescent="0.25">
      <c r="A34" s="40">
        <v>25</v>
      </c>
      <c r="B34" s="35" t="str">
        <f>dtsiswa!D31</f>
        <v>Larasati Jagadhita P</v>
      </c>
      <c r="C34" s="36" t="s">
        <v>4</v>
      </c>
      <c r="D34" s="40"/>
      <c r="E34" s="40"/>
      <c r="F34" s="40"/>
      <c r="G34" s="40"/>
      <c r="H34" s="40"/>
      <c r="I34" s="40"/>
      <c r="J34" s="40"/>
      <c r="K34" s="40"/>
      <c r="L34" s="40"/>
      <c r="M34" s="607">
        <f t="shared" si="0"/>
        <v>0</v>
      </c>
      <c r="N34" s="37">
        <f t="shared" si="1"/>
        <v>0</v>
      </c>
      <c r="O34" s="37">
        <f t="shared" si="2"/>
        <v>0</v>
      </c>
      <c r="P34" s="37">
        <f t="shared" si="3"/>
        <v>0</v>
      </c>
      <c r="Q34" s="641">
        <f t="shared" si="4"/>
        <v>0</v>
      </c>
    </row>
    <row r="35" spans="1:17" ht="24.95" customHeight="1" x14ac:dyDescent="0.25">
      <c r="A35" s="40">
        <v>26</v>
      </c>
      <c r="B35" s="35" t="str">
        <f>dtsiswa!D32</f>
        <v>Meliana Citra A</v>
      </c>
      <c r="C35" s="36" t="s">
        <v>5</v>
      </c>
      <c r="D35" s="40"/>
      <c r="E35" s="40"/>
      <c r="F35" s="40"/>
      <c r="G35" s="40"/>
      <c r="H35" s="40"/>
      <c r="I35" s="40"/>
      <c r="J35" s="40"/>
      <c r="K35" s="40"/>
      <c r="L35" s="40"/>
      <c r="M35" s="607">
        <f t="shared" si="0"/>
        <v>0</v>
      </c>
      <c r="N35" s="37">
        <f t="shared" si="1"/>
        <v>0</v>
      </c>
      <c r="O35" s="37">
        <f t="shared" si="2"/>
        <v>0</v>
      </c>
      <c r="P35" s="37">
        <f t="shared" si="3"/>
        <v>0</v>
      </c>
      <c r="Q35" s="641">
        <f t="shared" si="4"/>
        <v>0</v>
      </c>
    </row>
    <row r="36" spans="1:17" ht="24.95" customHeight="1" x14ac:dyDescent="0.25">
      <c r="A36" s="370">
        <v>27</v>
      </c>
      <c r="B36" s="35" t="str">
        <f>dtsiswa!D33</f>
        <v>Mohammad Rizky</v>
      </c>
      <c r="C36" s="36" t="s">
        <v>4</v>
      </c>
      <c r="D36" s="200"/>
      <c r="E36" s="200"/>
      <c r="F36" s="200"/>
      <c r="G36" s="200"/>
      <c r="H36" s="200"/>
      <c r="I36" s="200"/>
      <c r="J36" s="200"/>
      <c r="K36" s="200"/>
      <c r="L36" s="370"/>
      <c r="M36" s="607">
        <f t="shared" si="0"/>
        <v>0</v>
      </c>
      <c r="N36" s="37">
        <f t="shared" si="1"/>
        <v>0</v>
      </c>
      <c r="O36" s="37">
        <f t="shared" si="2"/>
        <v>0</v>
      </c>
      <c r="P36" s="37">
        <f t="shared" si="3"/>
        <v>0</v>
      </c>
      <c r="Q36" s="641">
        <f t="shared" ref="Q36:Q43" si="5">M36</f>
        <v>0</v>
      </c>
    </row>
    <row r="37" spans="1:17" ht="24.95" customHeight="1" x14ac:dyDescent="0.25">
      <c r="A37" s="370">
        <v>28</v>
      </c>
      <c r="B37" s="35">
        <f>dtsiswa!D34</f>
        <v>0</v>
      </c>
      <c r="C37" s="36" t="s">
        <v>4</v>
      </c>
      <c r="D37" s="370"/>
      <c r="E37" s="370"/>
      <c r="F37" s="370"/>
      <c r="G37" s="370"/>
      <c r="H37" s="370"/>
      <c r="I37" s="370"/>
      <c r="J37" s="370"/>
      <c r="K37" s="370"/>
      <c r="L37" s="370"/>
      <c r="M37" s="607">
        <f t="shared" si="0"/>
        <v>0</v>
      </c>
      <c r="N37" s="37">
        <f t="shared" si="1"/>
        <v>0</v>
      </c>
      <c r="O37" s="37">
        <f t="shared" si="2"/>
        <v>0</v>
      </c>
      <c r="P37" s="37">
        <f t="shared" si="3"/>
        <v>0</v>
      </c>
      <c r="Q37" s="641">
        <f t="shared" si="5"/>
        <v>0</v>
      </c>
    </row>
    <row r="38" spans="1:17" ht="24.95" customHeight="1" x14ac:dyDescent="0.25">
      <c r="A38" s="370">
        <v>29</v>
      </c>
      <c r="B38" s="35">
        <f>dtsiswa!D35</f>
        <v>0</v>
      </c>
      <c r="C38" s="36" t="s">
        <v>4</v>
      </c>
      <c r="D38" s="370"/>
      <c r="E38" s="370"/>
      <c r="F38" s="370"/>
      <c r="G38" s="370"/>
      <c r="H38" s="370"/>
      <c r="I38" s="370"/>
      <c r="J38" s="370"/>
      <c r="K38" s="370"/>
      <c r="L38" s="370"/>
      <c r="M38" s="607">
        <f t="shared" si="0"/>
        <v>0</v>
      </c>
      <c r="N38" s="37">
        <f t="shared" si="1"/>
        <v>0</v>
      </c>
      <c r="O38" s="37">
        <f t="shared" si="2"/>
        <v>0</v>
      </c>
      <c r="P38" s="37">
        <f t="shared" si="3"/>
        <v>0</v>
      </c>
      <c r="Q38" s="641">
        <f t="shared" si="5"/>
        <v>0</v>
      </c>
    </row>
    <row r="39" spans="1:17" ht="24.95" customHeight="1" x14ac:dyDescent="0.25">
      <c r="A39" s="370">
        <v>30</v>
      </c>
      <c r="B39" s="35">
        <f>dtsiswa!D36</f>
        <v>0</v>
      </c>
      <c r="C39" s="36" t="s">
        <v>5</v>
      </c>
      <c r="D39" s="370"/>
      <c r="E39" s="370"/>
      <c r="F39" s="370"/>
      <c r="G39" s="370"/>
      <c r="H39" s="370"/>
      <c r="I39" s="370"/>
      <c r="J39" s="370"/>
      <c r="K39" s="370"/>
      <c r="L39" s="370"/>
      <c r="M39" s="607">
        <f t="shared" si="0"/>
        <v>0</v>
      </c>
      <c r="N39" s="37">
        <f t="shared" si="1"/>
        <v>0</v>
      </c>
      <c r="O39" s="37">
        <f t="shared" si="2"/>
        <v>0</v>
      </c>
      <c r="P39" s="37">
        <f t="shared" si="3"/>
        <v>0</v>
      </c>
      <c r="Q39" s="641">
        <f t="shared" si="5"/>
        <v>0</v>
      </c>
    </row>
    <row r="40" spans="1:17" ht="24.95" customHeight="1" x14ac:dyDescent="0.25">
      <c r="A40" s="370">
        <v>31</v>
      </c>
      <c r="B40" s="35">
        <f>dtsiswa!D37</f>
        <v>0</v>
      </c>
      <c r="C40" s="36" t="s">
        <v>5</v>
      </c>
      <c r="D40" s="370"/>
      <c r="E40" s="370"/>
      <c r="F40" s="370"/>
      <c r="G40" s="370"/>
      <c r="H40" s="370"/>
      <c r="I40" s="370"/>
      <c r="J40" s="370"/>
      <c r="K40" s="370"/>
      <c r="L40" s="370"/>
      <c r="M40" s="607">
        <f t="shared" si="0"/>
        <v>0</v>
      </c>
      <c r="N40" s="37">
        <f t="shared" si="1"/>
        <v>0</v>
      </c>
      <c r="O40" s="37">
        <f t="shared" si="2"/>
        <v>0</v>
      </c>
      <c r="P40" s="37">
        <f t="shared" si="3"/>
        <v>0</v>
      </c>
      <c r="Q40" s="641">
        <f t="shared" si="5"/>
        <v>0</v>
      </c>
    </row>
    <row r="41" spans="1:17" ht="24.95" customHeight="1" x14ac:dyDescent="0.25">
      <c r="A41" s="370">
        <v>32</v>
      </c>
      <c r="B41" s="35">
        <f>dtsiswa!D38</f>
        <v>0</v>
      </c>
      <c r="C41" s="48"/>
      <c r="D41" s="370"/>
      <c r="E41" s="370"/>
      <c r="F41" s="370"/>
      <c r="G41" s="370"/>
      <c r="H41" s="370"/>
      <c r="I41" s="370"/>
      <c r="J41" s="370"/>
      <c r="K41" s="370"/>
      <c r="L41" s="370"/>
      <c r="M41" s="607">
        <f t="shared" si="0"/>
        <v>0</v>
      </c>
      <c r="N41" s="37">
        <f t="shared" si="1"/>
        <v>0</v>
      </c>
      <c r="O41" s="37">
        <f t="shared" si="2"/>
        <v>0</v>
      </c>
      <c r="P41" s="37">
        <f t="shared" si="3"/>
        <v>0</v>
      </c>
      <c r="Q41" s="740">
        <f t="shared" si="5"/>
        <v>0</v>
      </c>
    </row>
    <row r="42" spans="1:17" ht="24.95" customHeight="1" x14ac:dyDescent="0.25">
      <c r="A42" s="370">
        <v>33</v>
      </c>
      <c r="B42" s="35">
        <f>dtsiswa!D39</f>
        <v>0</v>
      </c>
      <c r="C42" s="48"/>
      <c r="D42" s="370"/>
      <c r="E42" s="370"/>
      <c r="F42" s="370"/>
      <c r="G42" s="370"/>
      <c r="H42" s="370"/>
      <c r="I42" s="370"/>
      <c r="J42" s="370"/>
      <c r="K42" s="370"/>
      <c r="L42" s="370"/>
      <c r="M42" s="607">
        <f t="shared" si="0"/>
        <v>0</v>
      </c>
      <c r="N42" s="37">
        <f t="shared" si="1"/>
        <v>0</v>
      </c>
      <c r="O42" s="37">
        <f t="shared" si="2"/>
        <v>0</v>
      </c>
      <c r="P42" s="37">
        <f t="shared" si="3"/>
        <v>0</v>
      </c>
      <c r="Q42" s="740">
        <f t="shared" si="5"/>
        <v>0</v>
      </c>
    </row>
    <row r="43" spans="1:17" ht="24.95" customHeight="1" x14ac:dyDescent="0.25">
      <c r="A43" s="370">
        <v>34</v>
      </c>
      <c r="B43" s="35">
        <f>dtsiswa!D40</f>
        <v>0</v>
      </c>
      <c r="C43" s="48"/>
      <c r="D43" s="370"/>
      <c r="E43" s="370"/>
      <c r="F43" s="370"/>
      <c r="G43" s="370"/>
      <c r="H43" s="370"/>
      <c r="I43" s="370"/>
      <c r="J43" s="370"/>
      <c r="K43" s="370"/>
      <c r="L43" s="370"/>
      <c r="M43" s="607">
        <f t="shared" si="0"/>
        <v>0</v>
      </c>
      <c r="N43" s="37">
        <f t="shared" si="1"/>
        <v>0</v>
      </c>
      <c r="O43" s="37">
        <f t="shared" si="2"/>
        <v>0</v>
      </c>
      <c r="P43" s="37">
        <f t="shared" si="3"/>
        <v>0</v>
      </c>
      <c r="Q43" s="740">
        <f t="shared" si="5"/>
        <v>0</v>
      </c>
    </row>
    <row r="44" spans="1:17" ht="24.95" customHeight="1" x14ac:dyDescent="0.25">
      <c r="A44" s="370">
        <v>35</v>
      </c>
      <c r="B44" s="35">
        <f>dtsiswa!D41</f>
        <v>0</v>
      </c>
      <c r="C44" s="46"/>
      <c r="D44" s="46"/>
      <c r="E44" s="46"/>
      <c r="F44" s="46"/>
      <c r="G44" s="46"/>
      <c r="H44" s="46"/>
      <c r="I44" s="46"/>
      <c r="J44" s="46"/>
      <c r="K44" s="46"/>
      <c r="L44" s="46"/>
      <c r="M44" s="607">
        <f t="shared" si="0"/>
        <v>0</v>
      </c>
      <c r="N44" s="37">
        <f t="shared" si="1"/>
        <v>0</v>
      </c>
      <c r="O44" s="37">
        <f t="shared" si="2"/>
        <v>0</v>
      </c>
      <c r="P44" s="37">
        <f t="shared" si="3"/>
        <v>0</v>
      </c>
      <c r="Q44" s="740">
        <f t="shared" ref="Q44" si="6">M44</f>
        <v>0</v>
      </c>
    </row>
    <row r="45" spans="1:17" ht="24.95" customHeight="1" x14ac:dyDescent="0.25">
      <c r="A45" s="577">
        <v>36</v>
      </c>
      <c r="B45" s="35">
        <f>dtsiswa!D42</f>
        <v>0</v>
      </c>
      <c r="C45" s="46"/>
      <c r="D45" s="46"/>
      <c r="E45" s="46"/>
      <c r="F45" s="46"/>
      <c r="G45" s="46"/>
      <c r="H45" s="46"/>
      <c r="I45" s="46"/>
      <c r="J45" s="46"/>
      <c r="K45" s="46"/>
      <c r="L45" s="46"/>
      <c r="M45" s="607">
        <f t="shared" si="0"/>
        <v>0</v>
      </c>
      <c r="N45" s="37">
        <f t="shared" si="1"/>
        <v>0</v>
      </c>
      <c r="O45" s="37">
        <f t="shared" si="2"/>
        <v>0</v>
      </c>
      <c r="P45" s="37">
        <f t="shared" si="3"/>
        <v>0</v>
      </c>
      <c r="Q45" s="740">
        <f t="shared" ref="Q45:Q49" si="7">M45</f>
        <v>0</v>
      </c>
    </row>
    <row r="46" spans="1:17" ht="24.95" customHeight="1" x14ac:dyDescent="0.25">
      <c r="A46" s="577">
        <v>37</v>
      </c>
      <c r="B46" s="35">
        <f>dtsiswa!D43</f>
        <v>0</v>
      </c>
      <c r="C46" s="46"/>
      <c r="D46" s="46"/>
      <c r="E46" s="46"/>
      <c r="F46" s="46"/>
      <c r="G46" s="46"/>
      <c r="H46" s="46"/>
      <c r="I46" s="46"/>
      <c r="J46" s="46"/>
      <c r="K46" s="46"/>
      <c r="L46" s="46"/>
      <c r="M46" s="607">
        <f t="shared" si="0"/>
        <v>0</v>
      </c>
      <c r="N46" s="37">
        <f t="shared" si="1"/>
        <v>0</v>
      </c>
      <c r="O46" s="37">
        <f t="shared" si="2"/>
        <v>0</v>
      </c>
      <c r="P46" s="37">
        <f t="shared" si="3"/>
        <v>0</v>
      </c>
      <c r="Q46" s="740">
        <f t="shared" si="7"/>
        <v>0</v>
      </c>
    </row>
    <row r="47" spans="1:17" ht="24.95" customHeight="1" x14ac:dyDescent="0.25">
      <c r="A47" s="577">
        <v>38</v>
      </c>
      <c r="B47" s="35">
        <f>dtsiswa!D44</f>
        <v>0</v>
      </c>
      <c r="C47" s="46"/>
      <c r="D47" s="46"/>
      <c r="E47" s="46"/>
      <c r="F47" s="46"/>
      <c r="G47" s="46"/>
      <c r="H47" s="46"/>
      <c r="I47" s="46"/>
      <c r="J47" s="46"/>
      <c r="K47" s="46"/>
      <c r="L47" s="46"/>
      <c r="M47" s="607">
        <f t="shared" si="0"/>
        <v>0</v>
      </c>
      <c r="N47" s="37">
        <f t="shared" si="1"/>
        <v>0</v>
      </c>
      <c r="O47" s="37">
        <f t="shared" si="2"/>
        <v>0</v>
      </c>
      <c r="P47" s="37">
        <f t="shared" si="3"/>
        <v>0</v>
      </c>
      <c r="Q47" s="740">
        <f t="shared" si="7"/>
        <v>0</v>
      </c>
    </row>
    <row r="48" spans="1:17" ht="24.95" customHeight="1" x14ac:dyDescent="0.25">
      <c r="A48" s="577">
        <v>39</v>
      </c>
      <c r="B48" s="35">
        <f>dtsiswa!D45</f>
        <v>0</v>
      </c>
      <c r="C48" s="46"/>
      <c r="D48" s="46"/>
      <c r="E48" s="46"/>
      <c r="F48" s="46"/>
      <c r="G48" s="46"/>
      <c r="H48" s="46"/>
      <c r="I48" s="46"/>
      <c r="J48" s="46"/>
      <c r="K48" s="46"/>
      <c r="L48" s="46"/>
      <c r="M48" s="607">
        <f t="shared" si="0"/>
        <v>0</v>
      </c>
      <c r="N48" s="37">
        <f t="shared" si="1"/>
        <v>0</v>
      </c>
      <c r="O48" s="37">
        <f t="shared" si="2"/>
        <v>0</v>
      </c>
      <c r="P48" s="37">
        <f t="shared" si="3"/>
        <v>0</v>
      </c>
      <c r="Q48" s="740">
        <f t="shared" si="7"/>
        <v>0</v>
      </c>
    </row>
    <row r="49" spans="1:17" ht="24.95" customHeight="1" x14ac:dyDescent="0.25">
      <c r="A49" s="577">
        <v>40</v>
      </c>
      <c r="B49" s="35">
        <f>dtsiswa!D46</f>
        <v>0</v>
      </c>
      <c r="C49" s="46"/>
      <c r="D49" s="46"/>
      <c r="E49" s="46"/>
      <c r="F49" s="46"/>
      <c r="G49" s="46"/>
      <c r="H49" s="46"/>
      <c r="I49" s="46"/>
      <c r="J49" s="46"/>
      <c r="K49" s="46"/>
      <c r="L49" s="46"/>
      <c r="M49" s="607">
        <f t="shared" si="0"/>
        <v>0</v>
      </c>
      <c r="N49" s="37">
        <f t="shared" si="1"/>
        <v>0</v>
      </c>
      <c r="O49" s="37">
        <f t="shared" si="2"/>
        <v>0</v>
      </c>
      <c r="P49" s="37">
        <f t="shared" si="3"/>
        <v>0</v>
      </c>
      <c r="Q49" s="740">
        <f t="shared" si="7"/>
        <v>0</v>
      </c>
    </row>
  </sheetData>
  <mergeCells count="11">
    <mergeCell ref="A1:Q1"/>
    <mergeCell ref="A2:Q2"/>
    <mergeCell ref="A7:A9"/>
    <mergeCell ref="M7:M9"/>
    <mergeCell ref="B7:B9"/>
    <mergeCell ref="C7:C9"/>
    <mergeCell ref="N7:N9"/>
    <mergeCell ref="O7:O9"/>
    <mergeCell ref="P7:P9"/>
    <mergeCell ref="Q7:Q9"/>
    <mergeCell ref="D7:L7"/>
  </mergeCells>
  <printOptions horizontalCentered="1"/>
  <pageMargins left="0.11811023622047245" right="0.11811023622047245" top="0.55118110236220474" bottom="0.55118110236220474" header="0.31496062992125984" footer="0.31496062992125984"/>
  <pageSetup paperSize="768" orientation="landscape" horizontalDpi="0" verticalDpi="0"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FF00"/>
  </sheetPr>
  <dimension ref="A1:P47"/>
  <sheetViews>
    <sheetView workbookViewId="0">
      <pane xSplit="2" ySplit="7" topLeftCell="C8" activePane="bottomRight" state="frozen"/>
      <selection sqref="A1:Q1"/>
      <selection pane="topRight" sqref="A1:Q1"/>
      <selection pane="bottomLeft" sqref="A1:Q1"/>
      <selection pane="bottomRight" sqref="A1:Q1"/>
    </sheetView>
  </sheetViews>
  <sheetFormatPr defaultRowHeight="15" x14ac:dyDescent="0.25"/>
  <cols>
    <col min="1" max="1" width="5.5703125" customWidth="1"/>
    <col min="2" max="2" width="32.85546875" customWidth="1"/>
    <col min="3" max="3" width="5.42578125" customWidth="1"/>
    <col min="4" max="4" width="5.5703125" customWidth="1"/>
    <col min="5" max="6" width="4.7109375" customWidth="1"/>
    <col min="7" max="8" width="5.5703125" customWidth="1"/>
    <col min="9" max="10" width="6" customWidth="1"/>
    <col min="11" max="12" width="5.5703125" customWidth="1"/>
    <col min="13" max="15" width="5.7109375" customWidth="1"/>
    <col min="16" max="16" width="11.140625" customWidth="1"/>
  </cols>
  <sheetData>
    <row r="1" spans="1:16" ht="15.75" x14ac:dyDescent="0.25">
      <c r="A1" s="3125"/>
      <c r="B1" s="3126"/>
      <c r="C1" s="3126"/>
      <c r="D1" s="3126"/>
      <c r="E1" s="3126"/>
      <c r="F1" s="3126"/>
      <c r="G1" s="3126"/>
      <c r="H1" s="3126"/>
      <c r="I1" s="3126"/>
      <c r="J1" s="3126"/>
      <c r="K1" s="3126"/>
      <c r="L1" s="3126"/>
      <c r="M1" s="3126"/>
      <c r="N1" s="3126"/>
      <c r="O1" s="3126"/>
      <c r="P1" s="3126"/>
    </row>
    <row r="2" spans="1:16" ht="15.75" x14ac:dyDescent="0.25">
      <c r="A2" s="3127"/>
      <c r="B2" s="3128"/>
      <c r="C2" s="3128"/>
      <c r="D2" s="3128"/>
      <c r="E2" s="3128"/>
      <c r="F2" s="3128"/>
      <c r="G2" s="3128"/>
      <c r="H2" s="3128"/>
      <c r="I2" s="3128"/>
      <c r="J2" s="3128"/>
      <c r="K2" s="3128"/>
      <c r="L2" s="3128"/>
      <c r="M2" s="3128"/>
      <c r="N2" s="3128"/>
      <c r="O2" s="3128"/>
      <c r="P2" s="3128"/>
    </row>
    <row r="3" spans="1:16" ht="21" x14ac:dyDescent="0.35">
      <c r="A3" s="70" t="s">
        <v>204</v>
      </c>
    </row>
    <row r="4" spans="1:16" s="204" customFormat="1" ht="15.75" x14ac:dyDescent="0.25">
      <c r="A4" s="204">
        <v>1</v>
      </c>
      <c r="B4" s="204">
        <v>2</v>
      </c>
      <c r="C4" s="204">
        <v>3</v>
      </c>
      <c r="D4" s="204">
        <v>4</v>
      </c>
      <c r="E4" s="204">
        <v>5</v>
      </c>
      <c r="F4" s="204">
        <v>6</v>
      </c>
      <c r="G4" s="204">
        <v>7</v>
      </c>
      <c r="H4" s="204">
        <v>8</v>
      </c>
      <c r="I4" s="204">
        <v>9</v>
      </c>
      <c r="J4" s="204">
        <v>10</v>
      </c>
      <c r="K4" s="204">
        <v>11</v>
      </c>
      <c r="L4" s="204">
        <v>12</v>
      </c>
      <c r="M4" s="204">
        <v>13</v>
      </c>
      <c r="N4" s="204">
        <v>14</v>
      </c>
      <c r="O4" s="204">
        <v>15</v>
      </c>
      <c r="P4" s="204">
        <v>16</v>
      </c>
    </row>
    <row r="5" spans="1:16" s="30" customFormat="1" ht="20.25" customHeight="1" x14ac:dyDescent="0.25">
      <c r="A5" s="3136" t="s">
        <v>0</v>
      </c>
      <c r="B5" s="3136" t="s">
        <v>28</v>
      </c>
      <c r="C5" s="3136" t="s">
        <v>3</v>
      </c>
      <c r="D5" s="3138" t="s">
        <v>693</v>
      </c>
      <c r="E5" s="3138"/>
      <c r="F5" s="3138"/>
      <c r="G5" s="3138"/>
      <c r="H5" s="3138"/>
      <c r="I5" s="3138"/>
      <c r="J5" s="3138"/>
      <c r="K5" s="3138"/>
      <c r="L5" s="3137" t="s">
        <v>159</v>
      </c>
      <c r="M5" s="3131" t="s">
        <v>29</v>
      </c>
      <c r="N5" s="3131" t="s">
        <v>30</v>
      </c>
      <c r="O5" s="3131" t="s">
        <v>31</v>
      </c>
      <c r="P5" s="3132" t="s">
        <v>32</v>
      </c>
    </row>
    <row r="6" spans="1:16" s="30" customFormat="1" ht="20.25" customHeight="1" x14ac:dyDescent="0.25">
      <c r="A6" s="3136"/>
      <c r="B6" s="3136"/>
      <c r="C6" s="3136"/>
      <c r="D6" s="31" t="s">
        <v>29</v>
      </c>
      <c r="E6" s="31" t="s">
        <v>29</v>
      </c>
      <c r="F6" s="31" t="s">
        <v>29</v>
      </c>
      <c r="G6" s="31" t="s">
        <v>29</v>
      </c>
      <c r="H6" s="31" t="s">
        <v>29</v>
      </c>
      <c r="I6" s="32" t="s">
        <v>30</v>
      </c>
      <c r="J6" s="32" t="s">
        <v>30</v>
      </c>
      <c r="K6" s="1079" t="s">
        <v>31</v>
      </c>
      <c r="L6" s="3137"/>
      <c r="M6" s="3131"/>
      <c r="N6" s="3131"/>
      <c r="O6" s="3131"/>
      <c r="P6" s="3132"/>
    </row>
    <row r="7" spans="1:16" ht="22.5" customHeight="1" x14ac:dyDescent="0.25">
      <c r="A7" s="3136"/>
      <c r="B7" s="3136"/>
      <c r="C7" s="3136"/>
      <c r="D7" s="284">
        <v>1</v>
      </c>
      <c r="E7" s="284">
        <v>2</v>
      </c>
      <c r="F7" s="284">
        <v>3</v>
      </c>
      <c r="G7" s="284">
        <v>4</v>
      </c>
      <c r="H7" s="284">
        <v>5</v>
      </c>
      <c r="I7" s="284">
        <v>6</v>
      </c>
      <c r="J7" s="284">
        <v>7</v>
      </c>
      <c r="K7" s="284">
        <v>8</v>
      </c>
      <c r="L7" s="3137"/>
      <c r="M7" s="3131"/>
      <c r="N7" s="3131"/>
      <c r="O7" s="3131"/>
      <c r="P7" s="3132"/>
    </row>
    <row r="8" spans="1:16" ht="18" customHeight="1" x14ac:dyDescent="0.25">
      <c r="A8" s="34">
        <v>1</v>
      </c>
      <c r="B8" s="198" t="str">
        <f>dtsiswa!D7</f>
        <v>Achmad Zacky</v>
      </c>
      <c r="C8" s="291" t="s">
        <v>4</v>
      </c>
      <c r="D8" s="200">
        <v>0</v>
      </c>
      <c r="E8" s="200">
        <v>1</v>
      </c>
      <c r="F8" s="200">
        <v>1</v>
      </c>
      <c r="G8" s="200">
        <v>1</v>
      </c>
      <c r="H8" s="200">
        <v>0</v>
      </c>
      <c r="I8" s="200">
        <v>2</v>
      </c>
      <c r="J8" s="200">
        <v>2</v>
      </c>
      <c r="K8" s="200">
        <v>2</v>
      </c>
      <c r="L8" s="200">
        <f>SUM(D8:K8)*100/12</f>
        <v>75</v>
      </c>
      <c r="M8" s="37">
        <f>SUM(D8:H8)</f>
        <v>3</v>
      </c>
      <c r="N8" s="37">
        <f>SUM(I8:J8)</f>
        <v>4</v>
      </c>
      <c r="O8" s="37">
        <f>K8</f>
        <v>2</v>
      </c>
      <c r="P8" s="286">
        <f>L8</f>
        <v>75</v>
      </c>
    </row>
    <row r="9" spans="1:16" ht="18" customHeight="1" x14ac:dyDescent="0.25">
      <c r="A9" s="40">
        <v>2</v>
      </c>
      <c r="B9" s="35" t="str">
        <f>dtsiswa!D8</f>
        <v>Angelia Vabel R</v>
      </c>
      <c r="C9" s="36" t="s">
        <v>4</v>
      </c>
      <c r="D9" s="59"/>
      <c r="E9" s="59"/>
      <c r="F9" s="59"/>
      <c r="G9" s="59"/>
      <c r="H9" s="59"/>
      <c r="I9" s="59"/>
      <c r="J9" s="59"/>
      <c r="K9" s="59"/>
      <c r="L9" s="200">
        <f t="shared" ref="L9:L47" si="0">SUM(D9:K9)*100/12</f>
        <v>0</v>
      </c>
      <c r="M9" s="37">
        <f t="shared" ref="M9:M47" si="1">SUM(D9:H9)</f>
        <v>0</v>
      </c>
      <c r="N9" s="37">
        <f t="shared" ref="N9:N47" si="2">SUM(I9:J9)</f>
        <v>0</v>
      </c>
      <c r="O9" s="37">
        <f t="shared" ref="O9:O47" si="3">K9</f>
        <v>0</v>
      </c>
      <c r="P9" s="42">
        <f>L9</f>
        <v>0</v>
      </c>
    </row>
    <row r="10" spans="1:16" ht="18" customHeight="1" x14ac:dyDescent="0.25">
      <c r="A10" s="40">
        <v>3</v>
      </c>
      <c r="B10" s="35" t="str">
        <f>dtsiswa!D9</f>
        <v>Anggun Dwi P.I</v>
      </c>
      <c r="C10" s="36" t="s">
        <v>4</v>
      </c>
      <c r="D10" s="59"/>
      <c r="E10" s="59"/>
      <c r="F10" s="59"/>
      <c r="G10" s="59"/>
      <c r="H10" s="59"/>
      <c r="I10" s="59"/>
      <c r="J10" s="59"/>
      <c r="K10" s="59"/>
      <c r="L10" s="200">
        <f t="shared" si="0"/>
        <v>0</v>
      </c>
      <c r="M10" s="37">
        <f t="shared" si="1"/>
        <v>0</v>
      </c>
      <c r="N10" s="37">
        <f t="shared" si="2"/>
        <v>0</v>
      </c>
      <c r="O10" s="37">
        <f t="shared" si="3"/>
        <v>0</v>
      </c>
      <c r="P10" s="286">
        <f t="shared" ref="P10:P33" si="4">L10</f>
        <v>0</v>
      </c>
    </row>
    <row r="11" spans="1:16" ht="18" customHeight="1" x14ac:dyDescent="0.25">
      <c r="A11" s="40">
        <v>4</v>
      </c>
      <c r="B11" s="35" t="str">
        <f>dtsiswa!D10</f>
        <v>Antonio Permata A</v>
      </c>
      <c r="C11" s="43" t="s">
        <v>4</v>
      </c>
      <c r="D11" s="59"/>
      <c r="E11" s="59"/>
      <c r="F11" s="59"/>
      <c r="G11" s="59"/>
      <c r="H11" s="59"/>
      <c r="I11" s="59"/>
      <c r="J11" s="59"/>
      <c r="K11" s="59"/>
      <c r="L11" s="200">
        <f t="shared" si="0"/>
        <v>0</v>
      </c>
      <c r="M11" s="37">
        <f t="shared" si="1"/>
        <v>0</v>
      </c>
      <c r="N11" s="37">
        <f t="shared" si="2"/>
        <v>0</v>
      </c>
      <c r="O11" s="37">
        <f t="shared" si="3"/>
        <v>0</v>
      </c>
      <c r="P11" s="42">
        <f t="shared" si="4"/>
        <v>0</v>
      </c>
    </row>
    <row r="12" spans="1:16" ht="18" customHeight="1" x14ac:dyDescent="0.25">
      <c r="A12" s="40">
        <v>5</v>
      </c>
      <c r="B12" s="35" t="str">
        <f>dtsiswa!D11</f>
        <v>Arya Pratama G</v>
      </c>
      <c r="C12" s="36" t="s">
        <v>5</v>
      </c>
      <c r="D12" s="59"/>
      <c r="E12" s="59"/>
      <c r="F12" s="59"/>
      <c r="G12" s="59"/>
      <c r="H12" s="59"/>
      <c r="I12" s="59"/>
      <c r="J12" s="59"/>
      <c r="K12" s="59"/>
      <c r="L12" s="200">
        <f t="shared" si="0"/>
        <v>0</v>
      </c>
      <c r="M12" s="37">
        <f t="shared" si="1"/>
        <v>0</v>
      </c>
      <c r="N12" s="37">
        <f t="shared" si="2"/>
        <v>0</v>
      </c>
      <c r="O12" s="37">
        <f t="shared" si="3"/>
        <v>0</v>
      </c>
      <c r="P12" s="286">
        <f t="shared" si="4"/>
        <v>0</v>
      </c>
    </row>
    <row r="13" spans="1:16" ht="18" customHeight="1" x14ac:dyDescent="0.25">
      <c r="A13" s="40">
        <v>6</v>
      </c>
      <c r="B13" s="35" t="str">
        <f>dtsiswa!D12</f>
        <v>Asyam Hanif Ihsan H</v>
      </c>
      <c r="C13" s="36" t="s">
        <v>5</v>
      </c>
      <c r="D13" s="59"/>
      <c r="E13" s="59"/>
      <c r="F13" s="59"/>
      <c r="G13" s="59"/>
      <c r="H13" s="59"/>
      <c r="I13" s="59"/>
      <c r="J13" s="59"/>
      <c r="K13" s="59"/>
      <c r="L13" s="200">
        <f t="shared" si="0"/>
        <v>0</v>
      </c>
      <c r="M13" s="37">
        <f t="shared" si="1"/>
        <v>0</v>
      </c>
      <c r="N13" s="37">
        <f t="shared" si="2"/>
        <v>0</v>
      </c>
      <c r="O13" s="37">
        <f t="shared" si="3"/>
        <v>0</v>
      </c>
      <c r="P13" s="42">
        <f t="shared" si="4"/>
        <v>0</v>
      </c>
    </row>
    <row r="14" spans="1:16" ht="18" customHeight="1" x14ac:dyDescent="0.25">
      <c r="A14" s="40">
        <v>7</v>
      </c>
      <c r="B14" s="35" t="str">
        <f>dtsiswa!D13</f>
        <v>Athaya Salsabilla Z</v>
      </c>
      <c r="C14" s="36" t="s">
        <v>4</v>
      </c>
      <c r="D14" s="59"/>
      <c r="E14" s="59"/>
      <c r="F14" s="59"/>
      <c r="G14" s="59"/>
      <c r="H14" s="59"/>
      <c r="I14" s="59"/>
      <c r="J14" s="59"/>
      <c r="K14" s="59"/>
      <c r="L14" s="200">
        <f t="shared" si="0"/>
        <v>0</v>
      </c>
      <c r="M14" s="37">
        <f t="shared" si="1"/>
        <v>0</v>
      </c>
      <c r="N14" s="37">
        <f t="shared" si="2"/>
        <v>0</v>
      </c>
      <c r="O14" s="37">
        <f t="shared" si="3"/>
        <v>0</v>
      </c>
      <c r="P14" s="286">
        <f t="shared" si="4"/>
        <v>0</v>
      </c>
    </row>
    <row r="15" spans="1:16" ht="18" customHeight="1" x14ac:dyDescent="0.25">
      <c r="A15" s="40">
        <v>8</v>
      </c>
      <c r="B15" s="35" t="str">
        <f>dtsiswa!D14</f>
        <v>Aulia Dea Rosalinda</v>
      </c>
      <c r="C15" s="36" t="s">
        <v>4</v>
      </c>
      <c r="D15" s="59"/>
      <c r="E15" s="59"/>
      <c r="F15" s="59"/>
      <c r="G15" s="59"/>
      <c r="H15" s="59"/>
      <c r="I15" s="59"/>
      <c r="J15" s="59"/>
      <c r="K15" s="59"/>
      <c r="L15" s="200">
        <f t="shared" si="0"/>
        <v>0</v>
      </c>
      <c r="M15" s="37">
        <f t="shared" si="1"/>
        <v>0</v>
      </c>
      <c r="N15" s="37">
        <f t="shared" si="2"/>
        <v>0</v>
      </c>
      <c r="O15" s="37">
        <f t="shared" si="3"/>
        <v>0</v>
      </c>
      <c r="P15" s="42">
        <f t="shared" si="4"/>
        <v>0</v>
      </c>
    </row>
    <row r="16" spans="1:16" ht="15.75" x14ac:dyDescent="0.25">
      <c r="A16" s="40">
        <v>9</v>
      </c>
      <c r="B16" s="35" t="str">
        <f>dtsiswa!D15</f>
        <v>Claudia Gabriella L</v>
      </c>
      <c r="C16" s="36" t="s">
        <v>4</v>
      </c>
      <c r="D16" s="59"/>
      <c r="E16" s="59"/>
      <c r="F16" s="59"/>
      <c r="G16" s="59"/>
      <c r="H16" s="59"/>
      <c r="I16" s="59"/>
      <c r="J16" s="59"/>
      <c r="K16" s="59"/>
      <c r="L16" s="200">
        <f t="shared" si="0"/>
        <v>0</v>
      </c>
      <c r="M16" s="37">
        <f t="shared" si="1"/>
        <v>0</v>
      </c>
      <c r="N16" s="37">
        <f t="shared" si="2"/>
        <v>0</v>
      </c>
      <c r="O16" s="37">
        <f t="shared" si="3"/>
        <v>0</v>
      </c>
      <c r="P16" s="286">
        <f t="shared" si="4"/>
        <v>0</v>
      </c>
    </row>
    <row r="17" spans="1:16" ht="15.75" x14ac:dyDescent="0.25">
      <c r="A17" s="40">
        <v>10</v>
      </c>
      <c r="B17" s="35" t="str">
        <f>dtsiswa!D16</f>
        <v xml:space="preserve">Deco Badarus Zaman </v>
      </c>
      <c r="C17" s="36" t="s">
        <v>4</v>
      </c>
      <c r="D17" s="59"/>
      <c r="E17" s="59"/>
      <c r="F17" s="59"/>
      <c r="G17" s="59"/>
      <c r="H17" s="59"/>
      <c r="I17" s="59"/>
      <c r="J17" s="59"/>
      <c r="K17" s="59"/>
      <c r="L17" s="200">
        <f t="shared" si="0"/>
        <v>0</v>
      </c>
      <c r="M17" s="37">
        <f t="shared" si="1"/>
        <v>0</v>
      </c>
      <c r="N17" s="37">
        <f t="shared" si="2"/>
        <v>0</v>
      </c>
      <c r="O17" s="37">
        <f t="shared" si="3"/>
        <v>0</v>
      </c>
      <c r="P17" s="42">
        <f t="shared" si="4"/>
        <v>0</v>
      </c>
    </row>
    <row r="18" spans="1:16" ht="15.75" x14ac:dyDescent="0.25">
      <c r="A18" s="40">
        <v>11</v>
      </c>
      <c r="B18" s="35" t="str">
        <f>dtsiswa!D17</f>
        <v>Fania Mutiara Felichia</v>
      </c>
      <c r="C18" s="36" t="s">
        <v>4</v>
      </c>
      <c r="D18" s="59"/>
      <c r="E18" s="59"/>
      <c r="F18" s="59"/>
      <c r="G18" s="59"/>
      <c r="H18" s="59"/>
      <c r="I18" s="59"/>
      <c r="J18" s="59"/>
      <c r="K18" s="59"/>
      <c r="L18" s="200">
        <f t="shared" si="0"/>
        <v>0</v>
      </c>
      <c r="M18" s="37">
        <f t="shared" si="1"/>
        <v>0</v>
      </c>
      <c r="N18" s="37">
        <f t="shared" si="2"/>
        <v>0</v>
      </c>
      <c r="O18" s="37">
        <f t="shared" si="3"/>
        <v>0</v>
      </c>
      <c r="P18" s="286">
        <f t="shared" si="4"/>
        <v>0</v>
      </c>
    </row>
    <row r="19" spans="1:16" ht="15.75" x14ac:dyDescent="0.25">
      <c r="A19" s="40">
        <v>12</v>
      </c>
      <c r="B19" s="35" t="str">
        <f>dtsiswa!D18</f>
        <v>Intan Dyah Nowari</v>
      </c>
      <c r="C19" s="36" t="s">
        <v>4</v>
      </c>
      <c r="D19" s="59"/>
      <c r="E19" s="59"/>
      <c r="F19" s="59"/>
      <c r="G19" s="59"/>
      <c r="H19" s="59"/>
      <c r="I19" s="59"/>
      <c r="J19" s="59"/>
      <c r="K19" s="59"/>
      <c r="L19" s="200">
        <f t="shared" si="0"/>
        <v>0</v>
      </c>
      <c r="M19" s="37">
        <f t="shared" si="1"/>
        <v>0</v>
      </c>
      <c r="N19" s="37">
        <f t="shared" si="2"/>
        <v>0</v>
      </c>
      <c r="O19" s="37">
        <f t="shared" si="3"/>
        <v>0</v>
      </c>
      <c r="P19" s="42">
        <f t="shared" si="4"/>
        <v>0</v>
      </c>
    </row>
    <row r="20" spans="1:16" ht="15.75" x14ac:dyDescent="0.25">
      <c r="A20" s="40">
        <v>13</v>
      </c>
      <c r="B20" s="35" t="str">
        <f>dtsiswa!D19</f>
        <v>Misyanita Nurfitri S</v>
      </c>
      <c r="C20" s="36" t="s">
        <v>5</v>
      </c>
      <c r="D20" s="59"/>
      <c r="E20" s="59"/>
      <c r="F20" s="59"/>
      <c r="G20" s="59"/>
      <c r="H20" s="59"/>
      <c r="I20" s="59"/>
      <c r="J20" s="59"/>
      <c r="K20" s="59"/>
      <c r="L20" s="200">
        <f t="shared" si="0"/>
        <v>0</v>
      </c>
      <c r="M20" s="37">
        <f t="shared" si="1"/>
        <v>0</v>
      </c>
      <c r="N20" s="37">
        <f t="shared" si="2"/>
        <v>0</v>
      </c>
      <c r="O20" s="37">
        <f t="shared" si="3"/>
        <v>0</v>
      </c>
      <c r="P20" s="286">
        <f t="shared" si="4"/>
        <v>0</v>
      </c>
    </row>
    <row r="21" spans="1:16" ht="15.75" x14ac:dyDescent="0.25">
      <c r="A21" s="40">
        <v>14</v>
      </c>
      <c r="B21" s="35" t="str">
        <f>dtsiswa!D20</f>
        <v>Moch Zidane Hita L. U</v>
      </c>
      <c r="C21" s="36" t="s">
        <v>4</v>
      </c>
      <c r="D21" s="59"/>
      <c r="E21" s="59"/>
      <c r="F21" s="59"/>
      <c r="G21" s="59"/>
      <c r="H21" s="59"/>
      <c r="I21" s="59"/>
      <c r="J21" s="59"/>
      <c r="K21" s="59"/>
      <c r="L21" s="200">
        <f t="shared" si="0"/>
        <v>0</v>
      </c>
      <c r="M21" s="37">
        <f t="shared" si="1"/>
        <v>0</v>
      </c>
      <c r="N21" s="37">
        <f t="shared" si="2"/>
        <v>0</v>
      </c>
      <c r="O21" s="37">
        <f t="shared" si="3"/>
        <v>0</v>
      </c>
      <c r="P21" s="42">
        <f t="shared" si="4"/>
        <v>0</v>
      </c>
    </row>
    <row r="22" spans="1:16" ht="15.75" x14ac:dyDescent="0.25">
      <c r="A22" s="40">
        <v>15</v>
      </c>
      <c r="B22" s="35" t="str">
        <f>dtsiswa!D21</f>
        <v>Muhammad Ibra Maulana</v>
      </c>
      <c r="C22" s="36" t="s">
        <v>4</v>
      </c>
      <c r="D22" s="59"/>
      <c r="E22" s="59"/>
      <c r="F22" s="59"/>
      <c r="G22" s="59"/>
      <c r="H22" s="59"/>
      <c r="I22" s="59"/>
      <c r="J22" s="59"/>
      <c r="K22" s="59"/>
      <c r="L22" s="200">
        <f t="shared" si="0"/>
        <v>0</v>
      </c>
      <c r="M22" s="37">
        <f t="shared" si="1"/>
        <v>0</v>
      </c>
      <c r="N22" s="37">
        <f t="shared" si="2"/>
        <v>0</v>
      </c>
      <c r="O22" s="37">
        <f t="shared" si="3"/>
        <v>0</v>
      </c>
      <c r="P22" s="286">
        <f t="shared" si="4"/>
        <v>0</v>
      </c>
    </row>
    <row r="23" spans="1:16" ht="15.75" x14ac:dyDescent="0.25">
      <c r="A23" s="40">
        <v>16</v>
      </c>
      <c r="B23" s="35" t="str">
        <f>dtsiswa!D22</f>
        <v>Nabilla Shiva Putri</v>
      </c>
      <c r="C23" s="36" t="s">
        <v>4</v>
      </c>
      <c r="D23" s="59"/>
      <c r="E23" s="59"/>
      <c r="F23" s="59"/>
      <c r="G23" s="59"/>
      <c r="H23" s="59"/>
      <c r="I23" s="59"/>
      <c r="J23" s="59"/>
      <c r="K23" s="59"/>
      <c r="L23" s="200">
        <f t="shared" si="0"/>
        <v>0</v>
      </c>
      <c r="M23" s="37">
        <f t="shared" si="1"/>
        <v>0</v>
      </c>
      <c r="N23" s="37">
        <f t="shared" si="2"/>
        <v>0</v>
      </c>
      <c r="O23" s="37">
        <f t="shared" si="3"/>
        <v>0</v>
      </c>
      <c r="P23" s="42">
        <f t="shared" si="4"/>
        <v>0</v>
      </c>
    </row>
    <row r="24" spans="1:16" ht="15.75" x14ac:dyDescent="0.25">
      <c r="A24" s="40">
        <v>17</v>
      </c>
      <c r="B24" s="35" t="str">
        <f>dtsiswa!D23</f>
        <v>Naufal Falih F</v>
      </c>
      <c r="C24" s="36" t="s">
        <v>5</v>
      </c>
      <c r="D24" s="59"/>
      <c r="E24" s="59"/>
      <c r="F24" s="59"/>
      <c r="G24" s="59"/>
      <c r="H24" s="59"/>
      <c r="I24" s="59"/>
      <c r="J24" s="59"/>
      <c r="K24" s="59"/>
      <c r="L24" s="200">
        <f t="shared" si="0"/>
        <v>0</v>
      </c>
      <c r="M24" s="37">
        <f t="shared" si="1"/>
        <v>0</v>
      </c>
      <c r="N24" s="37">
        <f t="shared" si="2"/>
        <v>0</v>
      </c>
      <c r="O24" s="37">
        <f t="shared" si="3"/>
        <v>0</v>
      </c>
      <c r="P24" s="286">
        <f t="shared" si="4"/>
        <v>0</v>
      </c>
    </row>
    <row r="25" spans="1:16" ht="15.75" x14ac:dyDescent="0.25">
      <c r="A25" s="40">
        <v>18</v>
      </c>
      <c r="B25" s="35" t="str">
        <f>dtsiswa!D24</f>
        <v>Nayla Annora Nobel W</v>
      </c>
      <c r="C25" s="36" t="s">
        <v>4</v>
      </c>
      <c r="D25" s="59"/>
      <c r="E25" s="59"/>
      <c r="F25" s="59"/>
      <c r="G25" s="59"/>
      <c r="H25" s="59"/>
      <c r="I25" s="59"/>
      <c r="J25" s="59"/>
      <c r="K25" s="59"/>
      <c r="L25" s="200">
        <f t="shared" si="0"/>
        <v>0</v>
      </c>
      <c r="M25" s="37">
        <f t="shared" si="1"/>
        <v>0</v>
      </c>
      <c r="N25" s="37">
        <f t="shared" si="2"/>
        <v>0</v>
      </c>
      <c r="O25" s="37">
        <f t="shared" si="3"/>
        <v>0</v>
      </c>
      <c r="P25" s="42">
        <f t="shared" si="4"/>
        <v>0</v>
      </c>
    </row>
    <row r="26" spans="1:16" ht="15.75" x14ac:dyDescent="0.25">
      <c r="A26" s="40">
        <v>19</v>
      </c>
      <c r="B26" s="35" t="str">
        <f>dtsiswa!D25</f>
        <v>Raihan Danang P</v>
      </c>
      <c r="C26" s="36" t="s">
        <v>5</v>
      </c>
      <c r="D26" s="59"/>
      <c r="E26" s="59"/>
      <c r="F26" s="59"/>
      <c r="G26" s="59"/>
      <c r="H26" s="59"/>
      <c r="I26" s="59"/>
      <c r="J26" s="59"/>
      <c r="K26" s="59"/>
      <c r="L26" s="200">
        <f t="shared" si="0"/>
        <v>0</v>
      </c>
      <c r="M26" s="37">
        <f t="shared" si="1"/>
        <v>0</v>
      </c>
      <c r="N26" s="37">
        <f t="shared" si="2"/>
        <v>0</v>
      </c>
      <c r="O26" s="37">
        <f t="shared" si="3"/>
        <v>0</v>
      </c>
      <c r="P26" s="286">
        <f t="shared" si="4"/>
        <v>0</v>
      </c>
    </row>
    <row r="27" spans="1:16" ht="15.75" x14ac:dyDescent="0.25">
      <c r="A27" s="40">
        <v>20</v>
      </c>
      <c r="B27" s="35" t="str">
        <f>dtsiswa!D26</f>
        <v>Roby Ardiyansyah</v>
      </c>
      <c r="C27" s="36" t="s">
        <v>5</v>
      </c>
      <c r="D27" s="40"/>
      <c r="E27" s="40"/>
      <c r="F27" s="40"/>
      <c r="G27" s="40"/>
      <c r="H27" s="40"/>
      <c r="I27" s="40"/>
      <c r="J27" s="40"/>
      <c r="K27" s="40"/>
      <c r="L27" s="200">
        <f t="shared" si="0"/>
        <v>0</v>
      </c>
      <c r="M27" s="37">
        <f t="shared" si="1"/>
        <v>0</v>
      </c>
      <c r="N27" s="37">
        <f t="shared" si="2"/>
        <v>0</v>
      </c>
      <c r="O27" s="37">
        <f t="shared" si="3"/>
        <v>0</v>
      </c>
      <c r="P27" s="42">
        <f t="shared" si="4"/>
        <v>0</v>
      </c>
    </row>
    <row r="28" spans="1:16" ht="15.75" x14ac:dyDescent="0.25">
      <c r="A28" s="40">
        <v>21</v>
      </c>
      <c r="B28" s="35" t="str">
        <f>dtsiswa!D27</f>
        <v>Rojalingga Prana A</v>
      </c>
      <c r="C28" s="44" t="s">
        <v>4</v>
      </c>
      <c r="D28" s="59"/>
      <c r="E28" s="59"/>
      <c r="F28" s="59"/>
      <c r="G28" s="59"/>
      <c r="H28" s="59"/>
      <c r="I28" s="59"/>
      <c r="J28" s="59"/>
      <c r="K28" s="59"/>
      <c r="L28" s="200">
        <f t="shared" si="0"/>
        <v>0</v>
      </c>
      <c r="M28" s="37">
        <f t="shared" si="1"/>
        <v>0</v>
      </c>
      <c r="N28" s="37">
        <f t="shared" si="2"/>
        <v>0</v>
      </c>
      <c r="O28" s="37">
        <f t="shared" si="3"/>
        <v>0</v>
      </c>
      <c r="P28" s="286">
        <f t="shared" si="4"/>
        <v>0</v>
      </c>
    </row>
    <row r="29" spans="1:16" ht="15.75" x14ac:dyDescent="0.25">
      <c r="A29" s="40">
        <v>22</v>
      </c>
      <c r="B29" s="35" t="str">
        <f>dtsiswa!D28</f>
        <v>Sally Savista A</v>
      </c>
      <c r="C29" s="45" t="s">
        <v>4</v>
      </c>
      <c r="D29" s="40"/>
      <c r="E29" s="40"/>
      <c r="F29" s="40"/>
      <c r="G29" s="40"/>
      <c r="H29" s="40"/>
      <c r="I29" s="40"/>
      <c r="J29" s="40"/>
      <c r="K29" s="40"/>
      <c r="L29" s="200">
        <f t="shared" si="0"/>
        <v>0</v>
      </c>
      <c r="M29" s="37">
        <f t="shared" si="1"/>
        <v>0</v>
      </c>
      <c r="N29" s="37">
        <f t="shared" si="2"/>
        <v>0</v>
      </c>
      <c r="O29" s="37">
        <f t="shared" si="3"/>
        <v>0</v>
      </c>
      <c r="P29" s="42">
        <f t="shared" si="4"/>
        <v>0</v>
      </c>
    </row>
    <row r="30" spans="1:16" ht="15.75" x14ac:dyDescent="0.25">
      <c r="A30" s="40">
        <v>23</v>
      </c>
      <c r="B30" s="35" t="str">
        <f>dtsiswa!D29</f>
        <v xml:space="preserve">Tania Kaori Angelita </v>
      </c>
      <c r="C30" s="45" t="s">
        <v>5</v>
      </c>
      <c r="D30" s="40"/>
      <c r="E30" s="40"/>
      <c r="F30" s="40"/>
      <c r="G30" s="40"/>
      <c r="H30" s="40"/>
      <c r="I30" s="40"/>
      <c r="J30" s="40"/>
      <c r="K30" s="40"/>
      <c r="L30" s="200">
        <f t="shared" si="0"/>
        <v>0</v>
      </c>
      <c r="M30" s="37">
        <f t="shared" si="1"/>
        <v>0</v>
      </c>
      <c r="N30" s="37">
        <f t="shared" si="2"/>
        <v>0</v>
      </c>
      <c r="O30" s="37">
        <f t="shared" si="3"/>
        <v>0</v>
      </c>
      <c r="P30" s="286">
        <f t="shared" si="4"/>
        <v>0</v>
      </c>
    </row>
    <row r="31" spans="1:16" ht="15.75" x14ac:dyDescent="0.25">
      <c r="A31" s="40">
        <v>24</v>
      </c>
      <c r="B31" s="35" t="str">
        <f>dtsiswa!D30</f>
        <v>Romzy Oka Ramadhani P</v>
      </c>
      <c r="C31" s="45" t="s">
        <v>5</v>
      </c>
      <c r="D31" s="40"/>
      <c r="E31" s="40"/>
      <c r="F31" s="40"/>
      <c r="G31" s="40"/>
      <c r="H31" s="40"/>
      <c r="I31" s="40"/>
      <c r="J31" s="40"/>
      <c r="K31" s="40"/>
      <c r="L31" s="200">
        <f t="shared" si="0"/>
        <v>0</v>
      </c>
      <c r="M31" s="37">
        <f t="shared" si="1"/>
        <v>0</v>
      </c>
      <c r="N31" s="37">
        <f t="shared" si="2"/>
        <v>0</v>
      </c>
      <c r="O31" s="37">
        <f t="shared" si="3"/>
        <v>0</v>
      </c>
      <c r="P31" s="42">
        <f t="shared" si="4"/>
        <v>0</v>
      </c>
    </row>
    <row r="32" spans="1:16" ht="15.75" x14ac:dyDescent="0.25">
      <c r="A32" s="40">
        <v>25</v>
      </c>
      <c r="B32" s="35" t="str">
        <f>dtsiswa!D31</f>
        <v>Larasati Jagadhita P</v>
      </c>
      <c r="C32" s="36" t="s">
        <v>4</v>
      </c>
      <c r="D32" s="40"/>
      <c r="E32" s="40"/>
      <c r="F32" s="40"/>
      <c r="G32" s="40"/>
      <c r="H32" s="40"/>
      <c r="I32" s="40"/>
      <c r="J32" s="40"/>
      <c r="K32" s="40"/>
      <c r="L32" s="200">
        <f t="shared" si="0"/>
        <v>0</v>
      </c>
      <c r="M32" s="37">
        <f t="shared" si="1"/>
        <v>0</v>
      </c>
      <c r="N32" s="37">
        <f t="shared" si="2"/>
        <v>0</v>
      </c>
      <c r="O32" s="37">
        <f t="shared" si="3"/>
        <v>0</v>
      </c>
      <c r="P32" s="286">
        <f t="shared" si="4"/>
        <v>0</v>
      </c>
    </row>
    <row r="33" spans="1:16" ht="15.75" x14ac:dyDescent="0.25">
      <c r="A33" s="40">
        <v>26</v>
      </c>
      <c r="B33" s="35" t="str">
        <f>dtsiswa!D32</f>
        <v>Meliana Citra A</v>
      </c>
      <c r="C33" s="36" t="s">
        <v>5</v>
      </c>
      <c r="D33" s="40"/>
      <c r="E33" s="40"/>
      <c r="F33" s="40"/>
      <c r="G33" s="40"/>
      <c r="H33" s="40"/>
      <c r="I33" s="40"/>
      <c r="J33" s="40"/>
      <c r="K33" s="40"/>
      <c r="L33" s="200">
        <f t="shared" si="0"/>
        <v>0</v>
      </c>
      <c r="M33" s="37">
        <f t="shared" si="1"/>
        <v>0</v>
      </c>
      <c r="N33" s="37">
        <f t="shared" si="2"/>
        <v>0</v>
      </c>
      <c r="O33" s="37">
        <f t="shared" si="3"/>
        <v>0</v>
      </c>
      <c r="P33" s="42">
        <f t="shared" si="4"/>
        <v>0</v>
      </c>
    </row>
    <row r="34" spans="1:16" ht="15.75" x14ac:dyDescent="0.25">
      <c r="A34" s="370">
        <v>27</v>
      </c>
      <c r="B34" s="35" t="str">
        <f>dtsiswa!D33</f>
        <v>Mohammad Rizky</v>
      </c>
      <c r="C34" s="36" t="s">
        <v>4</v>
      </c>
      <c r="D34" s="370"/>
      <c r="E34" s="370"/>
      <c r="F34" s="370"/>
      <c r="G34" s="370"/>
      <c r="H34" s="370"/>
      <c r="I34" s="370"/>
      <c r="J34" s="370"/>
      <c r="K34" s="370"/>
      <c r="L34" s="200">
        <f t="shared" si="0"/>
        <v>0</v>
      </c>
      <c r="M34" s="37">
        <f t="shared" si="1"/>
        <v>0</v>
      </c>
      <c r="N34" s="37">
        <f t="shared" si="2"/>
        <v>0</v>
      </c>
      <c r="O34" s="37">
        <f t="shared" si="3"/>
        <v>0</v>
      </c>
      <c r="P34" s="42">
        <f t="shared" ref="P34:P38" si="5">L34</f>
        <v>0</v>
      </c>
    </row>
    <row r="35" spans="1:16" ht="15.75" x14ac:dyDescent="0.25">
      <c r="A35" s="370">
        <v>28</v>
      </c>
      <c r="B35" s="35">
        <f>dtsiswa!D34</f>
        <v>0</v>
      </c>
      <c r="C35" s="36" t="s">
        <v>4</v>
      </c>
      <c r="D35" s="370"/>
      <c r="E35" s="370"/>
      <c r="F35" s="370"/>
      <c r="G35" s="370"/>
      <c r="H35" s="370"/>
      <c r="I35" s="370"/>
      <c r="J35" s="370"/>
      <c r="K35" s="370"/>
      <c r="L35" s="200">
        <f t="shared" si="0"/>
        <v>0</v>
      </c>
      <c r="M35" s="37">
        <f t="shared" si="1"/>
        <v>0</v>
      </c>
      <c r="N35" s="37">
        <f t="shared" si="2"/>
        <v>0</v>
      </c>
      <c r="O35" s="37">
        <f t="shared" si="3"/>
        <v>0</v>
      </c>
      <c r="P35" s="42">
        <f t="shared" si="5"/>
        <v>0</v>
      </c>
    </row>
    <row r="36" spans="1:16" ht="15.75" x14ac:dyDescent="0.25">
      <c r="A36" s="370">
        <v>29</v>
      </c>
      <c r="B36" s="35">
        <f>dtsiswa!D35</f>
        <v>0</v>
      </c>
      <c r="C36" s="36" t="s">
        <v>4</v>
      </c>
      <c r="D36" s="370"/>
      <c r="E36" s="370"/>
      <c r="F36" s="370"/>
      <c r="G36" s="370"/>
      <c r="H36" s="370"/>
      <c r="I36" s="370"/>
      <c r="J36" s="370"/>
      <c r="K36" s="370"/>
      <c r="L36" s="200">
        <f t="shared" si="0"/>
        <v>0</v>
      </c>
      <c r="M36" s="37">
        <f t="shared" si="1"/>
        <v>0</v>
      </c>
      <c r="N36" s="37">
        <f t="shared" si="2"/>
        <v>0</v>
      </c>
      <c r="O36" s="37">
        <f t="shared" si="3"/>
        <v>0</v>
      </c>
      <c r="P36" s="42">
        <f t="shared" si="5"/>
        <v>0</v>
      </c>
    </row>
    <row r="37" spans="1:16" ht="15.75" x14ac:dyDescent="0.25">
      <c r="A37" s="370">
        <v>30</v>
      </c>
      <c r="B37" s="35">
        <f>dtsiswa!D36</f>
        <v>0</v>
      </c>
      <c r="C37" s="36" t="s">
        <v>5</v>
      </c>
      <c r="D37" s="370"/>
      <c r="E37" s="370"/>
      <c r="F37" s="370"/>
      <c r="G37" s="370"/>
      <c r="H37" s="370"/>
      <c r="I37" s="370"/>
      <c r="J37" s="370"/>
      <c r="K37" s="370"/>
      <c r="L37" s="200">
        <f t="shared" si="0"/>
        <v>0</v>
      </c>
      <c r="M37" s="37">
        <f t="shared" si="1"/>
        <v>0</v>
      </c>
      <c r="N37" s="37">
        <f t="shared" si="2"/>
        <v>0</v>
      </c>
      <c r="O37" s="37">
        <f t="shared" si="3"/>
        <v>0</v>
      </c>
      <c r="P37" s="42">
        <f t="shared" si="5"/>
        <v>0</v>
      </c>
    </row>
    <row r="38" spans="1:16" ht="15.75" x14ac:dyDescent="0.25">
      <c r="A38" s="370">
        <v>31</v>
      </c>
      <c r="B38" s="35">
        <f>dtsiswa!D37</f>
        <v>0</v>
      </c>
      <c r="C38" s="36" t="s">
        <v>5</v>
      </c>
      <c r="D38" s="370"/>
      <c r="E38" s="370"/>
      <c r="F38" s="370"/>
      <c r="G38" s="370"/>
      <c r="H38" s="370"/>
      <c r="I38" s="370"/>
      <c r="J38" s="370"/>
      <c r="K38" s="370"/>
      <c r="L38" s="200">
        <f t="shared" si="0"/>
        <v>0</v>
      </c>
      <c r="M38" s="37">
        <f t="shared" si="1"/>
        <v>0</v>
      </c>
      <c r="N38" s="37">
        <f t="shared" si="2"/>
        <v>0</v>
      </c>
      <c r="O38" s="37">
        <f t="shared" si="3"/>
        <v>0</v>
      </c>
      <c r="P38" s="42">
        <f t="shared" si="5"/>
        <v>0</v>
      </c>
    </row>
    <row r="39" spans="1:16" ht="15.75" x14ac:dyDescent="0.25">
      <c r="A39" s="577">
        <v>32</v>
      </c>
      <c r="B39" s="35">
        <f>dtsiswa!D38</f>
        <v>0</v>
      </c>
      <c r="C39" s="36" t="s">
        <v>5</v>
      </c>
      <c r="D39" s="577"/>
      <c r="E39" s="577"/>
      <c r="F39" s="577"/>
      <c r="G39" s="577"/>
      <c r="H39" s="577"/>
      <c r="I39" s="577"/>
      <c r="J39" s="577"/>
      <c r="K39" s="577"/>
      <c r="L39" s="200">
        <f t="shared" si="0"/>
        <v>0</v>
      </c>
      <c r="M39" s="37">
        <f t="shared" si="1"/>
        <v>0</v>
      </c>
      <c r="N39" s="37">
        <f t="shared" si="2"/>
        <v>0</v>
      </c>
      <c r="O39" s="37">
        <f t="shared" si="3"/>
        <v>0</v>
      </c>
      <c r="P39" s="42">
        <f t="shared" ref="P39:P47" si="6">L39</f>
        <v>0</v>
      </c>
    </row>
    <row r="40" spans="1:16" ht="15.75" x14ac:dyDescent="0.25">
      <c r="A40" s="577">
        <v>33</v>
      </c>
      <c r="B40" s="35">
        <f>dtsiswa!D39</f>
        <v>0</v>
      </c>
      <c r="C40" s="36" t="s">
        <v>5</v>
      </c>
      <c r="D40" s="577"/>
      <c r="E40" s="577"/>
      <c r="F40" s="577"/>
      <c r="G40" s="577"/>
      <c r="H40" s="577"/>
      <c r="I40" s="577"/>
      <c r="J40" s="577"/>
      <c r="K40" s="577"/>
      <c r="L40" s="200">
        <f t="shared" si="0"/>
        <v>0</v>
      </c>
      <c r="M40" s="37">
        <f t="shared" si="1"/>
        <v>0</v>
      </c>
      <c r="N40" s="37">
        <f t="shared" si="2"/>
        <v>0</v>
      </c>
      <c r="O40" s="37">
        <f t="shared" si="3"/>
        <v>0</v>
      </c>
      <c r="P40" s="42">
        <f t="shared" si="6"/>
        <v>0</v>
      </c>
    </row>
    <row r="41" spans="1:16" ht="15.75" x14ac:dyDescent="0.25">
      <c r="A41" s="577">
        <v>34</v>
      </c>
      <c r="B41" s="35">
        <f>dtsiswa!D40</f>
        <v>0</v>
      </c>
      <c r="C41" s="36" t="s">
        <v>5</v>
      </c>
      <c r="D41" s="577"/>
      <c r="E41" s="577"/>
      <c r="F41" s="577"/>
      <c r="G41" s="577"/>
      <c r="H41" s="577"/>
      <c r="I41" s="577"/>
      <c r="J41" s="577"/>
      <c r="K41" s="577"/>
      <c r="L41" s="200">
        <f t="shared" si="0"/>
        <v>0</v>
      </c>
      <c r="M41" s="37">
        <f t="shared" si="1"/>
        <v>0</v>
      </c>
      <c r="N41" s="37">
        <f t="shared" si="2"/>
        <v>0</v>
      </c>
      <c r="O41" s="37">
        <f t="shared" si="3"/>
        <v>0</v>
      </c>
      <c r="P41" s="42">
        <f t="shared" si="6"/>
        <v>0</v>
      </c>
    </row>
    <row r="42" spans="1:16" ht="15.75" x14ac:dyDescent="0.25">
      <c r="A42" s="577">
        <v>35</v>
      </c>
      <c r="B42" s="35">
        <f>dtsiswa!D41</f>
        <v>0</v>
      </c>
      <c r="C42" s="36" t="s">
        <v>5</v>
      </c>
      <c r="D42" s="577"/>
      <c r="E42" s="577"/>
      <c r="F42" s="577"/>
      <c r="G42" s="577"/>
      <c r="H42" s="577"/>
      <c r="I42" s="577"/>
      <c r="J42" s="577"/>
      <c r="K42" s="577"/>
      <c r="L42" s="200">
        <f t="shared" si="0"/>
        <v>0</v>
      </c>
      <c r="M42" s="37">
        <f t="shared" si="1"/>
        <v>0</v>
      </c>
      <c r="N42" s="37">
        <f t="shared" si="2"/>
        <v>0</v>
      </c>
      <c r="O42" s="37">
        <f t="shared" si="3"/>
        <v>0</v>
      </c>
      <c r="P42" s="42">
        <f t="shared" si="6"/>
        <v>0</v>
      </c>
    </row>
    <row r="43" spans="1:16" ht="15.75" x14ac:dyDescent="0.25">
      <c r="A43" s="577">
        <v>36</v>
      </c>
      <c r="B43" s="35">
        <f>dtsiswa!D42</f>
        <v>0</v>
      </c>
      <c r="C43" s="36" t="s">
        <v>5</v>
      </c>
      <c r="D43" s="577"/>
      <c r="E43" s="577"/>
      <c r="F43" s="577"/>
      <c r="G43" s="577"/>
      <c r="H43" s="577"/>
      <c r="I43" s="577"/>
      <c r="J43" s="577"/>
      <c r="K43" s="577"/>
      <c r="L43" s="200">
        <f t="shared" si="0"/>
        <v>0</v>
      </c>
      <c r="M43" s="37">
        <f t="shared" si="1"/>
        <v>0</v>
      </c>
      <c r="N43" s="37">
        <f t="shared" si="2"/>
        <v>0</v>
      </c>
      <c r="O43" s="37">
        <f t="shared" si="3"/>
        <v>0</v>
      </c>
      <c r="P43" s="42">
        <f t="shared" si="6"/>
        <v>0</v>
      </c>
    </row>
    <row r="44" spans="1:16" ht="15.75" x14ac:dyDescent="0.25">
      <c r="A44" s="577">
        <v>37</v>
      </c>
      <c r="B44" s="35">
        <f>dtsiswa!D43</f>
        <v>0</v>
      </c>
      <c r="C44" s="36" t="s">
        <v>5</v>
      </c>
      <c r="D44" s="577"/>
      <c r="E44" s="577"/>
      <c r="F44" s="577"/>
      <c r="G44" s="577"/>
      <c r="H44" s="577"/>
      <c r="I44" s="577"/>
      <c r="J44" s="577"/>
      <c r="K44" s="577"/>
      <c r="L44" s="200">
        <f t="shared" si="0"/>
        <v>0</v>
      </c>
      <c r="M44" s="37">
        <f t="shared" si="1"/>
        <v>0</v>
      </c>
      <c r="N44" s="37">
        <f t="shared" si="2"/>
        <v>0</v>
      </c>
      <c r="O44" s="37">
        <f t="shared" si="3"/>
        <v>0</v>
      </c>
      <c r="P44" s="42">
        <f t="shared" si="6"/>
        <v>0</v>
      </c>
    </row>
    <row r="45" spans="1:16" ht="15.75" x14ac:dyDescent="0.25">
      <c r="A45" s="577">
        <v>38</v>
      </c>
      <c r="B45" s="35">
        <f>dtsiswa!D44</f>
        <v>0</v>
      </c>
      <c r="C45" s="36" t="s">
        <v>5</v>
      </c>
      <c r="D45" s="577"/>
      <c r="E45" s="577"/>
      <c r="F45" s="577"/>
      <c r="G45" s="577"/>
      <c r="H45" s="577"/>
      <c r="I45" s="577"/>
      <c r="J45" s="577"/>
      <c r="K45" s="577"/>
      <c r="L45" s="200">
        <f t="shared" si="0"/>
        <v>0</v>
      </c>
      <c r="M45" s="37">
        <f t="shared" si="1"/>
        <v>0</v>
      </c>
      <c r="N45" s="37">
        <f t="shared" si="2"/>
        <v>0</v>
      </c>
      <c r="O45" s="37">
        <f t="shared" si="3"/>
        <v>0</v>
      </c>
      <c r="P45" s="42">
        <f t="shared" si="6"/>
        <v>0</v>
      </c>
    </row>
    <row r="46" spans="1:16" ht="15.75" x14ac:dyDescent="0.25">
      <c r="A46" s="577">
        <v>39</v>
      </c>
      <c r="B46" s="35">
        <f>dtsiswa!D45</f>
        <v>0</v>
      </c>
      <c r="C46" s="36" t="s">
        <v>5</v>
      </c>
      <c r="D46" s="577"/>
      <c r="E46" s="577"/>
      <c r="F46" s="577"/>
      <c r="G46" s="577"/>
      <c r="H46" s="577"/>
      <c r="I46" s="577"/>
      <c r="J46" s="577"/>
      <c r="K46" s="577"/>
      <c r="L46" s="200">
        <f t="shared" si="0"/>
        <v>0</v>
      </c>
      <c r="M46" s="37">
        <f t="shared" si="1"/>
        <v>0</v>
      </c>
      <c r="N46" s="37">
        <f t="shared" si="2"/>
        <v>0</v>
      </c>
      <c r="O46" s="37">
        <f t="shared" si="3"/>
        <v>0</v>
      </c>
      <c r="P46" s="42">
        <f t="shared" si="6"/>
        <v>0</v>
      </c>
    </row>
    <row r="47" spans="1:16" ht="15.75" x14ac:dyDescent="0.25">
      <c r="A47" s="577">
        <v>40</v>
      </c>
      <c r="B47" s="35">
        <f>dtsiswa!D46</f>
        <v>0</v>
      </c>
      <c r="C47" s="36" t="s">
        <v>5</v>
      </c>
      <c r="D47" s="577"/>
      <c r="E47" s="577"/>
      <c r="F47" s="577"/>
      <c r="G47" s="577"/>
      <c r="H47" s="577"/>
      <c r="I47" s="577"/>
      <c r="J47" s="577"/>
      <c r="K47" s="577"/>
      <c r="L47" s="200">
        <f t="shared" si="0"/>
        <v>0</v>
      </c>
      <c r="M47" s="37">
        <f t="shared" si="1"/>
        <v>0</v>
      </c>
      <c r="N47" s="37">
        <f t="shared" si="2"/>
        <v>0</v>
      </c>
      <c r="O47" s="37">
        <f t="shared" si="3"/>
        <v>0</v>
      </c>
      <c r="P47" s="42">
        <f t="shared" si="6"/>
        <v>0</v>
      </c>
    </row>
  </sheetData>
  <mergeCells count="11">
    <mergeCell ref="A1:P1"/>
    <mergeCell ref="A2:P2"/>
    <mergeCell ref="A5:A7"/>
    <mergeCell ref="B5:B7"/>
    <mergeCell ref="C5:C7"/>
    <mergeCell ref="L5:L7"/>
    <mergeCell ref="D5:K5"/>
    <mergeCell ref="M5:M7"/>
    <mergeCell ref="N5:N7"/>
    <mergeCell ref="O5:O7"/>
    <mergeCell ref="P5:P7"/>
  </mergeCells>
  <pageMargins left="0.7" right="0.7" top="0.75" bottom="0.75" header="0.3" footer="0.3"/>
  <pageSetup paperSize="9" orientation="portrait" horizontalDpi="0" verticalDpi="0"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FFFF00"/>
  </sheetPr>
  <dimension ref="A1:Q47"/>
  <sheetViews>
    <sheetView showGridLines="0" workbookViewId="0">
      <pane xSplit="2" ySplit="7" topLeftCell="C8" activePane="bottomRight" state="frozen"/>
      <selection sqref="A1:Q1"/>
      <selection pane="topRight" sqref="A1:Q1"/>
      <selection pane="bottomLeft" sqref="A1:Q1"/>
      <selection pane="bottomRight" sqref="A1:Q1"/>
    </sheetView>
  </sheetViews>
  <sheetFormatPr defaultRowHeight="15" x14ac:dyDescent="0.25"/>
  <cols>
    <col min="1" max="1" width="4.85546875" customWidth="1"/>
    <col min="2" max="2" width="32.85546875" customWidth="1"/>
    <col min="3" max="4" width="5.42578125" customWidth="1"/>
    <col min="5" max="5" width="5.5703125" customWidth="1"/>
    <col min="6" max="7" width="4.7109375" customWidth="1"/>
    <col min="8" max="9" width="5.5703125" customWidth="1"/>
    <col min="10" max="12" width="6" customWidth="1"/>
    <col min="13" max="13" width="5.5703125" customWidth="1"/>
    <col min="14" max="16" width="5.7109375" customWidth="1"/>
    <col min="17" max="17" width="11.5703125" customWidth="1"/>
  </cols>
  <sheetData>
    <row r="1" spans="1:17" ht="15.75" x14ac:dyDescent="0.25">
      <c r="A1" s="3125"/>
      <c r="B1" s="3126"/>
      <c r="C1" s="3126"/>
      <c r="D1" s="3126"/>
      <c r="E1" s="3126"/>
      <c r="F1" s="3126"/>
      <c r="G1" s="3126"/>
      <c r="H1" s="3126"/>
      <c r="I1" s="3126"/>
      <c r="J1" s="3126"/>
      <c r="K1" s="3126"/>
      <c r="L1" s="3126"/>
      <c r="M1" s="3126"/>
      <c r="N1" s="3126"/>
      <c r="O1" s="3126"/>
      <c r="P1" s="3126"/>
      <c r="Q1" s="3126"/>
    </row>
    <row r="2" spans="1:17" ht="15.75" x14ac:dyDescent="0.25">
      <c r="A2" s="3127"/>
      <c r="B2" s="3128"/>
      <c r="C2" s="3128"/>
      <c r="D2" s="3128"/>
      <c r="E2" s="3128"/>
      <c r="F2" s="3128"/>
      <c r="G2" s="3128"/>
      <c r="H2" s="3128"/>
      <c r="I2" s="3128"/>
      <c r="J2" s="3128"/>
      <c r="K2" s="3128"/>
      <c r="L2" s="3128"/>
      <c r="M2" s="3128"/>
      <c r="N2" s="3128"/>
      <c r="O2" s="3128"/>
      <c r="P2" s="3128"/>
      <c r="Q2" s="3128"/>
    </row>
    <row r="3" spans="1:17" ht="21" x14ac:dyDescent="0.35">
      <c r="A3" s="70" t="s">
        <v>205</v>
      </c>
    </row>
    <row r="4" spans="1:17" s="204" customFormat="1" ht="15.75" x14ac:dyDescent="0.25">
      <c r="A4" s="204">
        <v>1</v>
      </c>
      <c r="B4" s="204">
        <v>2</v>
      </c>
      <c r="C4" s="204">
        <v>3</v>
      </c>
      <c r="D4" s="204">
        <v>4</v>
      </c>
      <c r="E4" s="204">
        <v>5</v>
      </c>
      <c r="F4" s="204">
        <v>6</v>
      </c>
      <c r="G4" s="204">
        <v>7</v>
      </c>
      <c r="H4" s="204">
        <v>8</v>
      </c>
      <c r="I4" s="204">
        <v>9</v>
      </c>
      <c r="J4" s="204">
        <v>10</v>
      </c>
      <c r="K4" s="204">
        <v>11</v>
      </c>
      <c r="L4" s="204">
        <v>12</v>
      </c>
      <c r="M4" s="204">
        <v>13</v>
      </c>
      <c r="N4" s="204">
        <v>14</v>
      </c>
      <c r="O4" s="204">
        <v>15</v>
      </c>
      <c r="P4" s="204">
        <v>16</v>
      </c>
      <c r="Q4" s="204">
        <v>17</v>
      </c>
    </row>
    <row r="5" spans="1:17" s="30" customFormat="1" ht="20.25" customHeight="1" x14ac:dyDescent="0.25">
      <c r="A5" s="3142" t="s">
        <v>0</v>
      </c>
      <c r="B5" s="3143" t="s">
        <v>28</v>
      </c>
      <c r="C5" s="3144" t="s">
        <v>3</v>
      </c>
      <c r="D5" s="3146" t="s">
        <v>683</v>
      </c>
      <c r="E5" s="3147"/>
      <c r="F5" s="3147"/>
      <c r="G5" s="3147"/>
      <c r="H5" s="3147"/>
      <c r="I5" s="3147"/>
      <c r="J5" s="3147"/>
      <c r="K5" s="3147"/>
      <c r="L5" s="3148"/>
      <c r="M5" s="3137" t="s">
        <v>160</v>
      </c>
      <c r="N5" s="3145" t="s">
        <v>29</v>
      </c>
      <c r="O5" s="3131" t="s">
        <v>30</v>
      </c>
      <c r="P5" s="3131" t="s">
        <v>31</v>
      </c>
      <c r="Q5" s="3139" t="s">
        <v>32</v>
      </c>
    </row>
    <row r="6" spans="1:17" s="30" customFormat="1" ht="20.25" customHeight="1" x14ac:dyDescent="0.25">
      <c r="A6" s="3142"/>
      <c r="B6" s="3143"/>
      <c r="C6" s="3144"/>
      <c r="D6" s="31" t="s">
        <v>29</v>
      </c>
      <c r="E6" s="31" t="s">
        <v>29</v>
      </c>
      <c r="F6" s="31" t="s">
        <v>29</v>
      </c>
      <c r="G6" s="31" t="s">
        <v>29</v>
      </c>
      <c r="H6" s="31" t="s">
        <v>29</v>
      </c>
      <c r="I6" s="31" t="s">
        <v>29</v>
      </c>
      <c r="J6" s="32" t="s">
        <v>30</v>
      </c>
      <c r="K6" s="1080" t="s">
        <v>212</v>
      </c>
      <c r="L6" s="287" t="s">
        <v>200</v>
      </c>
      <c r="M6" s="3137"/>
      <c r="N6" s="3145"/>
      <c r="O6" s="3131"/>
      <c r="P6" s="3131"/>
      <c r="Q6" s="3140"/>
    </row>
    <row r="7" spans="1:17" ht="22.5" customHeight="1" x14ac:dyDescent="0.25">
      <c r="A7" s="3142"/>
      <c r="B7" s="3143"/>
      <c r="C7" s="3144"/>
      <c r="D7" s="284">
        <v>1</v>
      </c>
      <c r="E7" s="284">
        <v>2</v>
      </c>
      <c r="F7" s="284">
        <v>3</v>
      </c>
      <c r="G7" s="284">
        <v>4</v>
      </c>
      <c r="H7" s="284">
        <v>5</v>
      </c>
      <c r="I7" s="284">
        <v>6</v>
      </c>
      <c r="J7" s="284">
        <v>7</v>
      </c>
      <c r="K7" s="285">
        <v>8</v>
      </c>
      <c r="L7" s="285">
        <v>9</v>
      </c>
      <c r="M7" s="3137"/>
      <c r="N7" s="3145"/>
      <c r="O7" s="3131"/>
      <c r="P7" s="3131"/>
      <c r="Q7" s="3141"/>
    </row>
    <row r="8" spans="1:17" ht="20.100000000000001" customHeight="1" x14ac:dyDescent="0.25">
      <c r="A8" s="577">
        <v>1</v>
      </c>
      <c r="B8" s="35" t="str">
        <f>dtsiswa!D7</f>
        <v>Achmad Zacky</v>
      </c>
      <c r="C8" s="48" t="s">
        <v>4</v>
      </c>
      <c r="D8" s="59">
        <v>1</v>
      </c>
      <c r="E8" s="59">
        <v>1</v>
      </c>
      <c r="F8" s="59">
        <v>0</v>
      </c>
      <c r="G8" s="59">
        <v>1</v>
      </c>
      <c r="H8" s="59">
        <v>0</v>
      </c>
      <c r="I8" s="59">
        <v>1</v>
      </c>
      <c r="J8" s="59">
        <v>2</v>
      </c>
      <c r="K8" s="59">
        <v>2</v>
      </c>
      <c r="L8" s="59">
        <v>3</v>
      </c>
      <c r="M8" s="59">
        <f>SUM(D8:L8)*100/13</f>
        <v>84.615384615384613</v>
      </c>
      <c r="N8" s="41">
        <f>SUM(D8:I8)</f>
        <v>4</v>
      </c>
      <c r="O8" s="41">
        <f>SUM(J8:K8)</f>
        <v>4</v>
      </c>
      <c r="P8" s="41">
        <f>L8</f>
        <v>3</v>
      </c>
      <c r="Q8" s="42">
        <f>M8</f>
        <v>84.615384615384613</v>
      </c>
    </row>
    <row r="9" spans="1:17" ht="20.100000000000001" customHeight="1" x14ac:dyDescent="0.25">
      <c r="A9" s="577">
        <v>2</v>
      </c>
      <c r="B9" s="35" t="str">
        <f>dtsiswa!D8</f>
        <v>Angelia Vabel R</v>
      </c>
      <c r="C9" s="48" t="s">
        <v>4</v>
      </c>
      <c r="D9" s="59"/>
      <c r="E9" s="59"/>
      <c r="F9" s="59"/>
      <c r="G9" s="59"/>
      <c r="H9" s="59"/>
      <c r="I9" s="59"/>
      <c r="J9" s="59"/>
      <c r="K9" s="59"/>
      <c r="L9" s="59"/>
      <c r="M9" s="59">
        <f t="shared" ref="M9:M33" si="0">SUM(D9:L9)*100/14</f>
        <v>0</v>
      </c>
      <c r="N9" s="41">
        <f t="shared" ref="N9:N47" si="1">SUM(D9:I9)</f>
        <v>0</v>
      </c>
      <c r="O9" s="41">
        <f t="shared" ref="O9:O47" si="2">SUM(J9:K9)</f>
        <v>0</v>
      </c>
      <c r="P9" s="41">
        <f t="shared" ref="P9:P47" si="3">L9</f>
        <v>0</v>
      </c>
      <c r="Q9" s="42">
        <f t="shared" ref="Q9:Q33" si="4">M9</f>
        <v>0</v>
      </c>
    </row>
    <row r="10" spans="1:17" ht="20.100000000000001" customHeight="1" x14ac:dyDescent="0.25">
      <c r="A10" s="577">
        <v>3</v>
      </c>
      <c r="B10" s="35" t="str">
        <f>dtsiswa!D9</f>
        <v>Anggun Dwi P.I</v>
      </c>
      <c r="C10" s="48" t="s">
        <v>4</v>
      </c>
      <c r="D10" s="59"/>
      <c r="E10" s="59"/>
      <c r="F10" s="59"/>
      <c r="G10" s="59"/>
      <c r="H10" s="59"/>
      <c r="I10" s="59"/>
      <c r="J10" s="59"/>
      <c r="K10" s="59"/>
      <c r="L10" s="59"/>
      <c r="M10" s="59">
        <f t="shared" si="0"/>
        <v>0</v>
      </c>
      <c r="N10" s="41">
        <f t="shared" si="1"/>
        <v>0</v>
      </c>
      <c r="O10" s="41">
        <f t="shared" si="2"/>
        <v>0</v>
      </c>
      <c r="P10" s="41">
        <f t="shared" si="3"/>
        <v>0</v>
      </c>
      <c r="Q10" s="42">
        <f t="shared" si="4"/>
        <v>0</v>
      </c>
    </row>
    <row r="11" spans="1:17" ht="20.100000000000001" customHeight="1" x14ac:dyDescent="0.25">
      <c r="A11" s="577">
        <v>4</v>
      </c>
      <c r="B11" s="35" t="str">
        <f>dtsiswa!D10</f>
        <v>Antonio Permata A</v>
      </c>
      <c r="C11" s="596" t="s">
        <v>4</v>
      </c>
      <c r="D11" s="59"/>
      <c r="E11" s="59"/>
      <c r="F11" s="59"/>
      <c r="G11" s="59"/>
      <c r="H11" s="59"/>
      <c r="I11" s="59"/>
      <c r="J11" s="59"/>
      <c r="K11" s="59"/>
      <c r="L11" s="59"/>
      <c r="M11" s="59">
        <f t="shared" si="0"/>
        <v>0</v>
      </c>
      <c r="N11" s="41">
        <f t="shared" si="1"/>
        <v>0</v>
      </c>
      <c r="O11" s="41">
        <f t="shared" si="2"/>
        <v>0</v>
      </c>
      <c r="P11" s="41">
        <f t="shared" si="3"/>
        <v>0</v>
      </c>
      <c r="Q11" s="42">
        <f t="shared" si="4"/>
        <v>0</v>
      </c>
    </row>
    <row r="12" spans="1:17" ht="20.100000000000001" customHeight="1" x14ac:dyDescent="0.25">
      <c r="A12" s="577">
        <v>5</v>
      </c>
      <c r="B12" s="35" t="str">
        <f>dtsiswa!D11</f>
        <v>Arya Pratama G</v>
      </c>
      <c r="C12" s="48" t="s">
        <v>5</v>
      </c>
      <c r="D12" s="59"/>
      <c r="E12" s="59"/>
      <c r="F12" s="59"/>
      <c r="G12" s="59"/>
      <c r="H12" s="59"/>
      <c r="I12" s="59"/>
      <c r="J12" s="59"/>
      <c r="K12" s="59"/>
      <c r="L12" s="59"/>
      <c r="M12" s="59">
        <f t="shared" si="0"/>
        <v>0</v>
      </c>
      <c r="N12" s="41">
        <f t="shared" si="1"/>
        <v>0</v>
      </c>
      <c r="O12" s="41">
        <f t="shared" si="2"/>
        <v>0</v>
      </c>
      <c r="P12" s="41">
        <f t="shared" si="3"/>
        <v>0</v>
      </c>
      <c r="Q12" s="42">
        <f t="shared" si="4"/>
        <v>0</v>
      </c>
    </row>
    <row r="13" spans="1:17" ht="20.100000000000001" customHeight="1" x14ac:dyDescent="0.25">
      <c r="A13" s="577">
        <v>6</v>
      </c>
      <c r="B13" s="35" t="str">
        <f>dtsiswa!D12</f>
        <v>Asyam Hanif Ihsan H</v>
      </c>
      <c r="C13" s="48" t="s">
        <v>5</v>
      </c>
      <c r="D13" s="59"/>
      <c r="E13" s="59"/>
      <c r="F13" s="59"/>
      <c r="G13" s="59"/>
      <c r="H13" s="59"/>
      <c r="I13" s="59"/>
      <c r="J13" s="59"/>
      <c r="K13" s="59"/>
      <c r="L13" s="59"/>
      <c r="M13" s="59">
        <f t="shared" si="0"/>
        <v>0</v>
      </c>
      <c r="N13" s="41">
        <f t="shared" si="1"/>
        <v>0</v>
      </c>
      <c r="O13" s="41">
        <f t="shared" si="2"/>
        <v>0</v>
      </c>
      <c r="P13" s="41">
        <f t="shared" si="3"/>
        <v>0</v>
      </c>
      <c r="Q13" s="42">
        <f t="shared" si="4"/>
        <v>0</v>
      </c>
    </row>
    <row r="14" spans="1:17" ht="20.100000000000001" customHeight="1" x14ac:dyDescent="0.25">
      <c r="A14" s="577">
        <v>7</v>
      </c>
      <c r="B14" s="35" t="str">
        <f>dtsiswa!D13</f>
        <v>Athaya Salsabilla Z</v>
      </c>
      <c r="C14" s="48" t="s">
        <v>4</v>
      </c>
      <c r="D14" s="59"/>
      <c r="E14" s="59"/>
      <c r="F14" s="59"/>
      <c r="G14" s="59"/>
      <c r="H14" s="59"/>
      <c r="I14" s="59"/>
      <c r="J14" s="59"/>
      <c r="K14" s="59"/>
      <c r="L14" s="59"/>
      <c r="M14" s="59">
        <f t="shared" si="0"/>
        <v>0</v>
      </c>
      <c r="N14" s="41">
        <f t="shared" si="1"/>
        <v>0</v>
      </c>
      <c r="O14" s="41">
        <f t="shared" si="2"/>
        <v>0</v>
      </c>
      <c r="P14" s="41">
        <f t="shared" si="3"/>
        <v>0</v>
      </c>
      <c r="Q14" s="42">
        <f t="shared" si="4"/>
        <v>0</v>
      </c>
    </row>
    <row r="15" spans="1:17" ht="20.100000000000001" customHeight="1" x14ac:dyDescent="0.25">
      <c r="A15" s="577">
        <v>8</v>
      </c>
      <c r="B15" s="35" t="str">
        <f>dtsiswa!D14</f>
        <v>Aulia Dea Rosalinda</v>
      </c>
      <c r="C15" s="48" t="s">
        <v>4</v>
      </c>
      <c r="D15" s="59"/>
      <c r="E15" s="59"/>
      <c r="F15" s="59"/>
      <c r="G15" s="59"/>
      <c r="H15" s="59"/>
      <c r="I15" s="59"/>
      <c r="J15" s="59"/>
      <c r="K15" s="59"/>
      <c r="L15" s="59"/>
      <c r="M15" s="59">
        <f t="shared" si="0"/>
        <v>0</v>
      </c>
      <c r="N15" s="41">
        <f t="shared" si="1"/>
        <v>0</v>
      </c>
      <c r="O15" s="41">
        <f t="shared" si="2"/>
        <v>0</v>
      </c>
      <c r="P15" s="41">
        <f t="shared" si="3"/>
        <v>0</v>
      </c>
      <c r="Q15" s="42">
        <f t="shared" si="4"/>
        <v>0</v>
      </c>
    </row>
    <row r="16" spans="1:17" ht="20.100000000000001" customHeight="1" x14ac:dyDescent="0.25">
      <c r="A16" s="577">
        <v>9</v>
      </c>
      <c r="B16" s="35" t="str">
        <f>dtsiswa!D15</f>
        <v>Claudia Gabriella L</v>
      </c>
      <c r="C16" s="48" t="s">
        <v>4</v>
      </c>
      <c r="D16" s="59"/>
      <c r="E16" s="59"/>
      <c r="F16" s="59"/>
      <c r="G16" s="59"/>
      <c r="H16" s="59"/>
      <c r="I16" s="59"/>
      <c r="J16" s="59"/>
      <c r="K16" s="59"/>
      <c r="L16" s="59"/>
      <c r="M16" s="59">
        <f t="shared" si="0"/>
        <v>0</v>
      </c>
      <c r="N16" s="41">
        <f t="shared" si="1"/>
        <v>0</v>
      </c>
      <c r="O16" s="41">
        <f t="shared" si="2"/>
        <v>0</v>
      </c>
      <c r="P16" s="41">
        <f t="shared" si="3"/>
        <v>0</v>
      </c>
      <c r="Q16" s="42">
        <f t="shared" si="4"/>
        <v>0</v>
      </c>
    </row>
    <row r="17" spans="1:17" ht="20.100000000000001" customHeight="1" x14ac:dyDescent="0.25">
      <c r="A17" s="577">
        <v>10</v>
      </c>
      <c r="B17" s="35" t="str">
        <f>dtsiswa!D16</f>
        <v xml:space="preserve">Deco Badarus Zaman </v>
      </c>
      <c r="C17" s="48" t="s">
        <v>4</v>
      </c>
      <c r="D17" s="59"/>
      <c r="E17" s="59"/>
      <c r="F17" s="59"/>
      <c r="G17" s="59"/>
      <c r="H17" s="59"/>
      <c r="I17" s="59"/>
      <c r="J17" s="59"/>
      <c r="K17" s="59"/>
      <c r="L17" s="59"/>
      <c r="M17" s="59">
        <f t="shared" si="0"/>
        <v>0</v>
      </c>
      <c r="N17" s="41">
        <f t="shared" si="1"/>
        <v>0</v>
      </c>
      <c r="O17" s="41">
        <f t="shared" si="2"/>
        <v>0</v>
      </c>
      <c r="P17" s="41">
        <f t="shared" si="3"/>
        <v>0</v>
      </c>
      <c r="Q17" s="42">
        <f t="shared" si="4"/>
        <v>0</v>
      </c>
    </row>
    <row r="18" spans="1:17" ht="20.100000000000001" customHeight="1" x14ac:dyDescent="0.25">
      <c r="A18" s="577">
        <v>11</v>
      </c>
      <c r="B18" s="35" t="str">
        <f>dtsiswa!D17</f>
        <v>Fania Mutiara Felichia</v>
      </c>
      <c r="C18" s="48" t="s">
        <v>4</v>
      </c>
      <c r="D18" s="59"/>
      <c r="E18" s="59"/>
      <c r="F18" s="59"/>
      <c r="G18" s="59"/>
      <c r="H18" s="59"/>
      <c r="I18" s="59"/>
      <c r="J18" s="59"/>
      <c r="K18" s="59"/>
      <c r="L18" s="59"/>
      <c r="M18" s="59">
        <f t="shared" si="0"/>
        <v>0</v>
      </c>
      <c r="N18" s="41">
        <f t="shared" si="1"/>
        <v>0</v>
      </c>
      <c r="O18" s="41">
        <f t="shared" si="2"/>
        <v>0</v>
      </c>
      <c r="P18" s="41">
        <f t="shared" si="3"/>
        <v>0</v>
      </c>
      <c r="Q18" s="42">
        <f t="shared" si="4"/>
        <v>0</v>
      </c>
    </row>
    <row r="19" spans="1:17" ht="20.100000000000001" customHeight="1" x14ac:dyDescent="0.25">
      <c r="A19" s="577">
        <v>12</v>
      </c>
      <c r="B19" s="35" t="str">
        <f>dtsiswa!D18</f>
        <v>Intan Dyah Nowari</v>
      </c>
      <c r="C19" s="48" t="s">
        <v>4</v>
      </c>
      <c r="D19" s="59"/>
      <c r="E19" s="59"/>
      <c r="F19" s="59"/>
      <c r="G19" s="59"/>
      <c r="H19" s="59"/>
      <c r="I19" s="59"/>
      <c r="J19" s="59"/>
      <c r="K19" s="59"/>
      <c r="L19" s="59"/>
      <c r="M19" s="59">
        <f t="shared" si="0"/>
        <v>0</v>
      </c>
      <c r="N19" s="41">
        <f t="shared" si="1"/>
        <v>0</v>
      </c>
      <c r="O19" s="41">
        <f t="shared" si="2"/>
        <v>0</v>
      </c>
      <c r="P19" s="41">
        <f t="shared" si="3"/>
        <v>0</v>
      </c>
      <c r="Q19" s="42">
        <f t="shared" si="4"/>
        <v>0</v>
      </c>
    </row>
    <row r="20" spans="1:17" ht="20.100000000000001" customHeight="1" x14ac:dyDescent="0.25">
      <c r="A20" s="577">
        <v>13</v>
      </c>
      <c r="B20" s="35" t="str">
        <f>dtsiswa!D19</f>
        <v>Misyanita Nurfitri S</v>
      </c>
      <c r="C20" s="48" t="s">
        <v>5</v>
      </c>
      <c r="D20" s="59"/>
      <c r="E20" s="59"/>
      <c r="F20" s="59"/>
      <c r="G20" s="59"/>
      <c r="H20" s="59"/>
      <c r="I20" s="59"/>
      <c r="J20" s="59"/>
      <c r="K20" s="59"/>
      <c r="L20" s="59"/>
      <c r="M20" s="59">
        <f t="shared" si="0"/>
        <v>0</v>
      </c>
      <c r="N20" s="41">
        <f t="shared" si="1"/>
        <v>0</v>
      </c>
      <c r="O20" s="41">
        <f t="shared" si="2"/>
        <v>0</v>
      </c>
      <c r="P20" s="41">
        <f t="shared" si="3"/>
        <v>0</v>
      </c>
      <c r="Q20" s="42">
        <f t="shared" si="4"/>
        <v>0</v>
      </c>
    </row>
    <row r="21" spans="1:17" ht="20.100000000000001" customHeight="1" x14ac:dyDescent="0.25">
      <c r="A21" s="577">
        <v>14</v>
      </c>
      <c r="B21" s="35" t="str">
        <f>dtsiswa!D20</f>
        <v>Moch Zidane Hita L. U</v>
      </c>
      <c r="C21" s="48" t="s">
        <v>4</v>
      </c>
      <c r="D21" s="59"/>
      <c r="E21" s="59"/>
      <c r="F21" s="59"/>
      <c r="G21" s="59"/>
      <c r="H21" s="59"/>
      <c r="I21" s="59"/>
      <c r="J21" s="59"/>
      <c r="K21" s="59"/>
      <c r="L21" s="59"/>
      <c r="M21" s="59">
        <f t="shared" si="0"/>
        <v>0</v>
      </c>
      <c r="N21" s="41">
        <f t="shared" si="1"/>
        <v>0</v>
      </c>
      <c r="O21" s="41">
        <f t="shared" si="2"/>
        <v>0</v>
      </c>
      <c r="P21" s="41">
        <f t="shared" si="3"/>
        <v>0</v>
      </c>
      <c r="Q21" s="42">
        <f t="shared" si="4"/>
        <v>0</v>
      </c>
    </row>
    <row r="22" spans="1:17" ht="20.100000000000001" customHeight="1" x14ac:dyDescent="0.25">
      <c r="A22" s="577">
        <v>15</v>
      </c>
      <c r="B22" s="35" t="str">
        <f>dtsiswa!D21</f>
        <v>Muhammad Ibra Maulana</v>
      </c>
      <c r="C22" s="48" t="s">
        <v>4</v>
      </c>
      <c r="D22" s="59"/>
      <c r="E22" s="59"/>
      <c r="F22" s="59"/>
      <c r="G22" s="59"/>
      <c r="H22" s="59"/>
      <c r="I22" s="59"/>
      <c r="J22" s="59"/>
      <c r="K22" s="59"/>
      <c r="L22" s="59"/>
      <c r="M22" s="59">
        <f t="shared" si="0"/>
        <v>0</v>
      </c>
      <c r="N22" s="41">
        <f t="shared" si="1"/>
        <v>0</v>
      </c>
      <c r="O22" s="41">
        <f t="shared" si="2"/>
        <v>0</v>
      </c>
      <c r="P22" s="41">
        <f t="shared" si="3"/>
        <v>0</v>
      </c>
      <c r="Q22" s="42">
        <f t="shared" si="4"/>
        <v>0</v>
      </c>
    </row>
    <row r="23" spans="1:17" ht="20.100000000000001" customHeight="1" x14ac:dyDescent="0.25">
      <c r="A23" s="577">
        <v>16</v>
      </c>
      <c r="B23" s="35" t="str">
        <f>dtsiswa!D22</f>
        <v>Nabilla Shiva Putri</v>
      </c>
      <c r="C23" s="48" t="s">
        <v>4</v>
      </c>
      <c r="D23" s="59"/>
      <c r="E23" s="59"/>
      <c r="F23" s="59"/>
      <c r="G23" s="59"/>
      <c r="H23" s="59"/>
      <c r="I23" s="59"/>
      <c r="J23" s="59"/>
      <c r="K23" s="59"/>
      <c r="L23" s="59"/>
      <c r="M23" s="59">
        <f t="shared" si="0"/>
        <v>0</v>
      </c>
      <c r="N23" s="41">
        <f t="shared" si="1"/>
        <v>0</v>
      </c>
      <c r="O23" s="41">
        <f t="shared" si="2"/>
        <v>0</v>
      </c>
      <c r="P23" s="41">
        <f t="shared" si="3"/>
        <v>0</v>
      </c>
      <c r="Q23" s="42">
        <f t="shared" si="4"/>
        <v>0</v>
      </c>
    </row>
    <row r="24" spans="1:17" ht="20.100000000000001" customHeight="1" x14ac:dyDescent="0.25">
      <c r="A24" s="577">
        <v>17</v>
      </c>
      <c r="B24" s="35" t="str">
        <f>dtsiswa!D23</f>
        <v>Naufal Falih F</v>
      </c>
      <c r="C24" s="48" t="s">
        <v>5</v>
      </c>
      <c r="D24" s="59"/>
      <c r="E24" s="59"/>
      <c r="F24" s="59"/>
      <c r="G24" s="59"/>
      <c r="H24" s="59"/>
      <c r="I24" s="59"/>
      <c r="J24" s="59"/>
      <c r="K24" s="59"/>
      <c r="L24" s="59"/>
      <c r="M24" s="59">
        <f t="shared" si="0"/>
        <v>0</v>
      </c>
      <c r="N24" s="41">
        <f t="shared" si="1"/>
        <v>0</v>
      </c>
      <c r="O24" s="41">
        <f t="shared" si="2"/>
        <v>0</v>
      </c>
      <c r="P24" s="41">
        <f t="shared" si="3"/>
        <v>0</v>
      </c>
      <c r="Q24" s="42">
        <f t="shared" si="4"/>
        <v>0</v>
      </c>
    </row>
    <row r="25" spans="1:17" ht="20.100000000000001" customHeight="1" x14ac:dyDescent="0.25">
      <c r="A25" s="577">
        <v>18</v>
      </c>
      <c r="B25" s="35" t="str">
        <f>dtsiswa!D24</f>
        <v>Nayla Annora Nobel W</v>
      </c>
      <c r="C25" s="48" t="s">
        <v>4</v>
      </c>
      <c r="D25" s="59"/>
      <c r="E25" s="59"/>
      <c r="F25" s="59"/>
      <c r="G25" s="59"/>
      <c r="H25" s="59"/>
      <c r="I25" s="59"/>
      <c r="J25" s="59"/>
      <c r="K25" s="59"/>
      <c r="L25" s="59"/>
      <c r="M25" s="59">
        <f t="shared" si="0"/>
        <v>0</v>
      </c>
      <c r="N25" s="41">
        <f t="shared" si="1"/>
        <v>0</v>
      </c>
      <c r="O25" s="41">
        <f t="shared" si="2"/>
        <v>0</v>
      </c>
      <c r="P25" s="41">
        <f t="shared" si="3"/>
        <v>0</v>
      </c>
      <c r="Q25" s="42">
        <f t="shared" si="4"/>
        <v>0</v>
      </c>
    </row>
    <row r="26" spans="1:17" ht="20.100000000000001" customHeight="1" x14ac:dyDescent="0.25">
      <c r="A26" s="577">
        <v>19</v>
      </c>
      <c r="B26" s="35" t="str">
        <f>dtsiswa!D25</f>
        <v>Raihan Danang P</v>
      </c>
      <c r="C26" s="48" t="s">
        <v>5</v>
      </c>
      <c r="D26" s="59"/>
      <c r="E26" s="59"/>
      <c r="F26" s="59"/>
      <c r="G26" s="59"/>
      <c r="H26" s="59"/>
      <c r="I26" s="59"/>
      <c r="J26" s="59"/>
      <c r="K26" s="59"/>
      <c r="L26" s="59"/>
      <c r="M26" s="59">
        <f t="shared" si="0"/>
        <v>0</v>
      </c>
      <c r="N26" s="41">
        <f t="shared" si="1"/>
        <v>0</v>
      </c>
      <c r="O26" s="41">
        <f t="shared" si="2"/>
        <v>0</v>
      </c>
      <c r="P26" s="41">
        <f t="shared" si="3"/>
        <v>0</v>
      </c>
      <c r="Q26" s="42">
        <f t="shared" si="4"/>
        <v>0</v>
      </c>
    </row>
    <row r="27" spans="1:17" ht="20.100000000000001" customHeight="1" x14ac:dyDescent="0.25">
      <c r="A27" s="577">
        <v>20</v>
      </c>
      <c r="B27" s="35" t="str">
        <f>dtsiswa!D26</f>
        <v>Roby Ardiyansyah</v>
      </c>
      <c r="C27" s="48" t="s">
        <v>5</v>
      </c>
      <c r="D27" s="577"/>
      <c r="E27" s="577"/>
      <c r="F27" s="577"/>
      <c r="G27" s="577"/>
      <c r="H27" s="577"/>
      <c r="I27" s="577"/>
      <c r="J27" s="577"/>
      <c r="K27" s="577"/>
      <c r="L27" s="577"/>
      <c r="M27" s="59">
        <f t="shared" si="0"/>
        <v>0</v>
      </c>
      <c r="N27" s="41">
        <f t="shared" si="1"/>
        <v>0</v>
      </c>
      <c r="O27" s="41">
        <f t="shared" si="2"/>
        <v>0</v>
      </c>
      <c r="P27" s="41">
        <f t="shared" si="3"/>
        <v>0</v>
      </c>
      <c r="Q27" s="42">
        <f t="shared" si="4"/>
        <v>0</v>
      </c>
    </row>
    <row r="28" spans="1:17" ht="20.100000000000001" customHeight="1" x14ac:dyDescent="0.25">
      <c r="A28" s="577">
        <v>21</v>
      </c>
      <c r="B28" s="35" t="str">
        <f>dtsiswa!D27</f>
        <v>Rojalingga Prana A</v>
      </c>
      <c r="C28" s="48" t="s">
        <v>4</v>
      </c>
      <c r="D28" s="59"/>
      <c r="E28" s="59"/>
      <c r="F28" s="59"/>
      <c r="G28" s="59"/>
      <c r="H28" s="59"/>
      <c r="I28" s="59"/>
      <c r="J28" s="59"/>
      <c r="K28" s="59"/>
      <c r="L28" s="59"/>
      <c r="M28" s="59">
        <f t="shared" si="0"/>
        <v>0</v>
      </c>
      <c r="N28" s="41">
        <f t="shared" si="1"/>
        <v>0</v>
      </c>
      <c r="O28" s="41">
        <f t="shared" si="2"/>
        <v>0</v>
      </c>
      <c r="P28" s="41">
        <f t="shared" si="3"/>
        <v>0</v>
      </c>
      <c r="Q28" s="42">
        <f t="shared" si="4"/>
        <v>0</v>
      </c>
    </row>
    <row r="29" spans="1:17" ht="20.100000000000001" customHeight="1" x14ac:dyDescent="0.25">
      <c r="A29" s="577">
        <v>22</v>
      </c>
      <c r="B29" s="35" t="str">
        <f>dtsiswa!D28</f>
        <v>Sally Savista A</v>
      </c>
      <c r="C29" s="45" t="s">
        <v>4</v>
      </c>
      <c r="D29" s="577"/>
      <c r="E29" s="577"/>
      <c r="F29" s="577"/>
      <c r="G29" s="577"/>
      <c r="H29" s="577"/>
      <c r="I29" s="577"/>
      <c r="J29" s="577"/>
      <c r="K29" s="577"/>
      <c r="L29" s="577"/>
      <c r="M29" s="59">
        <f t="shared" si="0"/>
        <v>0</v>
      </c>
      <c r="N29" s="41">
        <f t="shared" si="1"/>
        <v>0</v>
      </c>
      <c r="O29" s="41">
        <f t="shared" si="2"/>
        <v>0</v>
      </c>
      <c r="P29" s="41">
        <f t="shared" si="3"/>
        <v>0</v>
      </c>
      <c r="Q29" s="42">
        <f t="shared" si="4"/>
        <v>0</v>
      </c>
    </row>
    <row r="30" spans="1:17" ht="20.100000000000001" customHeight="1" x14ac:dyDescent="0.25">
      <c r="A30" s="577">
        <v>23</v>
      </c>
      <c r="B30" s="35" t="str">
        <f>dtsiswa!D29</f>
        <v xml:space="preserve">Tania Kaori Angelita </v>
      </c>
      <c r="C30" s="45" t="s">
        <v>5</v>
      </c>
      <c r="D30" s="577"/>
      <c r="E30" s="577"/>
      <c r="F30" s="577"/>
      <c r="G30" s="577"/>
      <c r="H30" s="577"/>
      <c r="I30" s="577"/>
      <c r="J30" s="577"/>
      <c r="K30" s="577"/>
      <c r="L30" s="577"/>
      <c r="M30" s="59">
        <f t="shared" si="0"/>
        <v>0</v>
      </c>
      <c r="N30" s="41">
        <f t="shared" si="1"/>
        <v>0</v>
      </c>
      <c r="O30" s="41">
        <f t="shared" si="2"/>
        <v>0</v>
      </c>
      <c r="P30" s="41">
        <f t="shared" si="3"/>
        <v>0</v>
      </c>
      <c r="Q30" s="42">
        <f t="shared" si="4"/>
        <v>0</v>
      </c>
    </row>
    <row r="31" spans="1:17" ht="20.100000000000001" customHeight="1" x14ac:dyDescent="0.25">
      <c r="A31" s="577">
        <v>24</v>
      </c>
      <c r="B31" s="35" t="str">
        <f>dtsiswa!D30</f>
        <v>Romzy Oka Ramadhani P</v>
      </c>
      <c r="C31" s="45" t="s">
        <v>5</v>
      </c>
      <c r="D31" s="577"/>
      <c r="E31" s="577"/>
      <c r="F31" s="577"/>
      <c r="G31" s="577"/>
      <c r="H31" s="577"/>
      <c r="I31" s="577"/>
      <c r="J31" s="577"/>
      <c r="K31" s="577"/>
      <c r="L31" s="577"/>
      <c r="M31" s="59">
        <f t="shared" si="0"/>
        <v>0</v>
      </c>
      <c r="N31" s="41">
        <f t="shared" si="1"/>
        <v>0</v>
      </c>
      <c r="O31" s="41">
        <f t="shared" si="2"/>
        <v>0</v>
      </c>
      <c r="P31" s="41">
        <f t="shared" si="3"/>
        <v>0</v>
      </c>
      <c r="Q31" s="42">
        <f t="shared" si="4"/>
        <v>0</v>
      </c>
    </row>
    <row r="32" spans="1:17" ht="20.100000000000001" customHeight="1" x14ac:dyDescent="0.25">
      <c r="A32" s="577">
        <v>25</v>
      </c>
      <c r="B32" s="35" t="str">
        <f>dtsiswa!D31</f>
        <v>Larasati Jagadhita P</v>
      </c>
      <c r="C32" s="48" t="s">
        <v>4</v>
      </c>
      <c r="D32" s="577"/>
      <c r="E32" s="577"/>
      <c r="F32" s="577"/>
      <c r="G32" s="577"/>
      <c r="H32" s="577"/>
      <c r="I32" s="577"/>
      <c r="J32" s="577"/>
      <c r="K32" s="577"/>
      <c r="L32" s="577"/>
      <c r="M32" s="59">
        <f t="shared" si="0"/>
        <v>0</v>
      </c>
      <c r="N32" s="41">
        <f t="shared" si="1"/>
        <v>0</v>
      </c>
      <c r="O32" s="41">
        <f t="shared" si="2"/>
        <v>0</v>
      </c>
      <c r="P32" s="41">
        <f t="shared" si="3"/>
        <v>0</v>
      </c>
      <c r="Q32" s="42">
        <f t="shared" si="4"/>
        <v>0</v>
      </c>
    </row>
    <row r="33" spans="1:17" ht="20.100000000000001" customHeight="1" x14ac:dyDescent="0.25">
      <c r="A33" s="577">
        <v>26</v>
      </c>
      <c r="B33" s="35" t="str">
        <f>dtsiswa!D32</f>
        <v>Meliana Citra A</v>
      </c>
      <c r="C33" s="48" t="s">
        <v>5</v>
      </c>
      <c r="D33" s="577"/>
      <c r="E33" s="577"/>
      <c r="F33" s="577"/>
      <c r="G33" s="577"/>
      <c r="H33" s="577"/>
      <c r="I33" s="577"/>
      <c r="J33" s="577"/>
      <c r="K33" s="577"/>
      <c r="L33" s="577"/>
      <c r="M33" s="59">
        <f t="shared" si="0"/>
        <v>0</v>
      </c>
      <c r="N33" s="41">
        <f t="shared" si="1"/>
        <v>0</v>
      </c>
      <c r="O33" s="41">
        <f t="shared" si="2"/>
        <v>0</v>
      </c>
      <c r="P33" s="41">
        <f t="shared" si="3"/>
        <v>0</v>
      </c>
      <c r="Q33" s="42">
        <f t="shared" si="4"/>
        <v>0</v>
      </c>
    </row>
    <row r="34" spans="1:17" ht="20.100000000000001" customHeight="1" x14ac:dyDescent="0.25">
      <c r="A34" s="577">
        <v>27</v>
      </c>
      <c r="B34" s="35" t="str">
        <f>dtsiswa!D33</f>
        <v>Mohammad Rizky</v>
      </c>
      <c r="C34" s="48" t="s">
        <v>4</v>
      </c>
      <c r="D34" s="577"/>
      <c r="E34" s="577"/>
      <c r="F34" s="577"/>
      <c r="G34" s="577"/>
      <c r="H34" s="577"/>
      <c r="I34" s="577"/>
      <c r="J34" s="577"/>
      <c r="K34" s="577"/>
      <c r="L34" s="577"/>
      <c r="M34" s="59">
        <f t="shared" ref="M34:M40" si="5">SUM(D34:L34)*100/14</f>
        <v>0</v>
      </c>
      <c r="N34" s="41">
        <f t="shared" si="1"/>
        <v>0</v>
      </c>
      <c r="O34" s="41">
        <f t="shared" si="2"/>
        <v>0</v>
      </c>
      <c r="P34" s="41">
        <f t="shared" si="3"/>
        <v>0</v>
      </c>
      <c r="Q34" s="42">
        <f t="shared" ref="Q34:Q40" si="6">M34</f>
        <v>0</v>
      </c>
    </row>
    <row r="35" spans="1:17" ht="20.100000000000001" customHeight="1" x14ac:dyDescent="0.25">
      <c r="A35" s="577">
        <v>28</v>
      </c>
      <c r="B35" s="35">
        <f>dtsiswa!D34</f>
        <v>0</v>
      </c>
      <c r="C35" s="48" t="s">
        <v>4</v>
      </c>
      <c r="D35" s="577"/>
      <c r="E35" s="577"/>
      <c r="F35" s="577"/>
      <c r="G35" s="577"/>
      <c r="H35" s="577"/>
      <c r="I35" s="577"/>
      <c r="J35" s="577"/>
      <c r="K35" s="577"/>
      <c r="L35" s="577"/>
      <c r="M35" s="59">
        <f t="shared" si="5"/>
        <v>0</v>
      </c>
      <c r="N35" s="41">
        <f t="shared" si="1"/>
        <v>0</v>
      </c>
      <c r="O35" s="41">
        <f t="shared" si="2"/>
        <v>0</v>
      </c>
      <c r="P35" s="41">
        <f t="shared" si="3"/>
        <v>0</v>
      </c>
      <c r="Q35" s="42">
        <f t="shared" si="6"/>
        <v>0</v>
      </c>
    </row>
    <row r="36" spans="1:17" ht="20.100000000000001" customHeight="1" x14ac:dyDescent="0.25">
      <c r="A36" s="577">
        <v>29</v>
      </c>
      <c r="B36" s="35">
        <f>dtsiswa!D35</f>
        <v>0</v>
      </c>
      <c r="C36" s="48" t="s">
        <v>4</v>
      </c>
      <c r="D36" s="577"/>
      <c r="E36" s="577"/>
      <c r="F36" s="577"/>
      <c r="G36" s="577"/>
      <c r="H36" s="577"/>
      <c r="I36" s="577"/>
      <c r="J36" s="577"/>
      <c r="K36" s="577"/>
      <c r="L36" s="577"/>
      <c r="M36" s="59">
        <f t="shared" si="5"/>
        <v>0</v>
      </c>
      <c r="N36" s="41">
        <f t="shared" si="1"/>
        <v>0</v>
      </c>
      <c r="O36" s="41">
        <f t="shared" si="2"/>
        <v>0</v>
      </c>
      <c r="P36" s="41">
        <f t="shared" si="3"/>
        <v>0</v>
      </c>
      <c r="Q36" s="42">
        <f t="shared" si="6"/>
        <v>0</v>
      </c>
    </row>
    <row r="37" spans="1:17" ht="20.100000000000001" customHeight="1" x14ac:dyDescent="0.25">
      <c r="A37" s="577">
        <v>30</v>
      </c>
      <c r="B37" s="35">
        <f>dtsiswa!D36</f>
        <v>0</v>
      </c>
      <c r="C37" s="48" t="s">
        <v>5</v>
      </c>
      <c r="D37" s="577"/>
      <c r="E37" s="577"/>
      <c r="F37" s="577"/>
      <c r="G37" s="577"/>
      <c r="H37" s="577"/>
      <c r="I37" s="577"/>
      <c r="J37" s="577"/>
      <c r="K37" s="577"/>
      <c r="L37" s="577"/>
      <c r="M37" s="59">
        <f t="shared" si="5"/>
        <v>0</v>
      </c>
      <c r="N37" s="41">
        <f t="shared" si="1"/>
        <v>0</v>
      </c>
      <c r="O37" s="41">
        <f t="shared" si="2"/>
        <v>0</v>
      </c>
      <c r="P37" s="41">
        <f t="shared" si="3"/>
        <v>0</v>
      </c>
      <c r="Q37" s="42">
        <f t="shared" si="6"/>
        <v>0</v>
      </c>
    </row>
    <row r="38" spans="1:17" ht="20.100000000000001" customHeight="1" x14ac:dyDescent="0.25">
      <c r="A38" s="577">
        <v>31</v>
      </c>
      <c r="B38" s="35">
        <f>dtsiswa!D37</f>
        <v>0</v>
      </c>
      <c r="C38" s="48" t="s">
        <v>5</v>
      </c>
      <c r="D38" s="577"/>
      <c r="E38" s="577"/>
      <c r="F38" s="577"/>
      <c r="G38" s="577"/>
      <c r="H38" s="577"/>
      <c r="I38" s="577"/>
      <c r="J38" s="577"/>
      <c r="K38" s="577"/>
      <c r="L38" s="577"/>
      <c r="M38" s="59">
        <f t="shared" si="5"/>
        <v>0</v>
      </c>
      <c r="N38" s="41">
        <f t="shared" si="1"/>
        <v>0</v>
      </c>
      <c r="O38" s="41">
        <f t="shared" si="2"/>
        <v>0</v>
      </c>
      <c r="P38" s="41">
        <f t="shared" si="3"/>
        <v>0</v>
      </c>
      <c r="Q38" s="42">
        <f t="shared" si="6"/>
        <v>0</v>
      </c>
    </row>
    <row r="39" spans="1:17" ht="20.100000000000001" customHeight="1" x14ac:dyDescent="0.25">
      <c r="A39" s="577">
        <v>32</v>
      </c>
      <c r="B39" s="35">
        <f>dtsiswa!D38</f>
        <v>0</v>
      </c>
      <c r="C39" s="46"/>
      <c r="D39" s="577"/>
      <c r="E39" s="577"/>
      <c r="F39" s="577"/>
      <c r="G39" s="577"/>
      <c r="H39" s="577"/>
      <c r="I39" s="577"/>
      <c r="J39" s="577"/>
      <c r="K39" s="577"/>
      <c r="L39" s="577"/>
      <c r="M39" s="59">
        <f t="shared" si="5"/>
        <v>0</v>
      </c>
      <c r="N39" s="41">
        <f t="shared" si="1"/>
        <v>0</v>
      </c>
      <c r="O39" s="41">
        <f t="shared" si="2"/>
        <v>0</v>
      </c>
      <c r="P39" s="41">
        <f t="shared" si="3"/>
        <v>0</v>
      </c>
      <c r="Q39" s="42">
        <f t="shared" si="6"/>
        <v>0</v>
      </c>
    </row>
    <row r="40" spans="1:17" ht="20.100000000000001" customHeight="1" x14ac:dyDescent="0.25">
      <c r="A40" s="577">
        <v>33</v>
      </c>
      <c r="B40" s="35">
        <f>dtsiswa!D39</f>
        <v>0</v>
      </c>
      <c r="C40" s="48"/>
      <c r="D40" s="577"/>
      <c r="E40" s="577"/>
      <c r="F40" s="577"/>
      <c r="G40" s="577"/>
      <c r="H40" s="577"/>
      <c r="I40" s="577"/>
      <c r="J40" s="577"/>
      <c r="K40" s="577"/>
      <c r="L40" s="577"/>
      <c r="M40" s="59">
        <f t="shared" si="5"/>
        <v>0</v>
      </c>
      <c r="N40" s="41">
        <f t="shared" si="1"/>
        <v>0</v>
      </c>
      <c r="O40" s="41">
        <f t="shared" si="2"/>
        <v>0</v>
      </c>
      <c r="P40" s="41">
        <f t="shared" si="3"/>
        <v>0</v>
      </c>
      <c r="Q40" s="42">
        <f t="shared" si="6"/>
        <v>0</v>
      </c>
    </row>
    <row r="41" spans="1:17" ht="20.100000000000001" customHeight="1" x14ac:dyDescent="0.25">
      <c r="A41" s="577">
        <v>34</v>
      </c>
      <c r="B41" s="35">
        <f>dtsiswa!D40</f>
        <v>0</v>
      </c>
      <c r="C41" s="48"/>
      <c r="D41" s="577"/>
      <c r="E41" s="577"/>
      <c r="F41" s="577"/>
      <c r="G41" s="577"/>
      <c r="H41" s="577"/>
      <c r="I41" s="577"/>
      <c r="J41" s="577"/>
      <c r="K41" s="577"/>
      <c r="L41" s="577"/>
      <c r="M41" s="59">
        <f t="shared" ref="M41:M42" si="7">SUM(D41:L41)*100/14</f>
        <v>0</v>
      </c>
      <c r="N41" s="41">
        <f t="shared" si="1"/>
        <v>0</v>
      </c>
      <c r="O41" s="41">
        <f t="shared" si="2"/>
        <v>0</v>
      </c>
      <c r="P41" s="41">
        <f t="shared" si="3"/>
        <v>0</v>
      </c>
      <c r="Q41" s="42">
        <f t="shared" ref="Q41:Q42" si="8">M41</f>
        <v>0</v>
      </c>
    </row>
    <row r="42" spans="1:17" ht="20.100000000000001" customHeight="1" x14ac:dyDescent="0.25">
      <c r="A42" s="577">
        <v>35</v>
      </c>
      <c r="B42" s="35">
        <f>dtsiswa!D41</f>
        <v>0</v>
      </c>
      <c r="C42" s="46"/>
      <c r="D42" s="577"/>
      <c r="E42" s="577"/>
      <c r="F42" s="577"/>
      <c r="G42" s="577"/>
      <c r="H42" s="577"/>
      <c r="I42" s="577"/>
      <c r="J42" s="577"/>
      <c r="K42" s="577"/>
      <c r="L42" s="577"/>
      <c r="M42" s="59">
        <f t="shared" si="7"/>
        <v>0</v>
      </c>
      <c r="N42" s="41">
        <f t="shared" si="1"/>
        <v>0</v>
      </c>
      <c r="O42" s="41">
        <f t="shared" si="2"/>
        <v>0</v>
      </c>
      <c r="P42" s="41">
        <f t="shared" si="3"/>
        <v>0</v>
      </c>
      <c r="Q42" s="42">
        <f t="shared" si="8"/>
        <v>0</v>
      </c>
    </row>
    <row r="43" spans="1:17" ht="20.100000000000001" customHeight="1" x14ac:dyDescent="0.25">
      <c r="A43" s="577">
        <v>36</v>
      </c>
      <c r="B43" s="35">
        <f>dtsiswa!D42</f>
        <v>0</v>
      </c>
      <c r="C43" s="46"/>
      <c r="D43" s="577"/>
      <c r="E43" s="577"/>
      <c r="F43" s="577"/>
      <c r="G43" s="577"/>
      <c r="H43" s="577"/>
      <c r="I43" s="577"/>
      <c r="J43" s="577"/>
      <c r="K43" s="577"/>
      <c r="L43" s="577"/>
      <c r="M43" s="59">
        <f t="shared" ref="M43:M47" si="9">SUM(D43:L43)*100/14</f>
        <v>0</v>
      </c>
      <c r="N43" s="41">
        <f t="shared" si="1"/>
        <v>0</v>
      </c>
      <c r="O43" s="41">
        <f t="shared" si="2"/>
        <v>0</v>
      </c>
      <c r="P43" s="41">
        <f t="shared" si="3"/>
        <v>0</v>
      </c>
      <c r="Q43" s="42">
        <f t="shared" ref="Q43:Q47" si="10">M43</f>
        <v>0</v>
      </c>
    </row>
    <row r="44" spans="1:17" ht="20.100000000000001" customHeight="1" x14ac:dyDescent="0.25">
      <c r="A44" s="577">
        <v>37</v>
      </c>
      <c r="B44" s="35">
        <f>dtsiswa!D43</f>
        <v>0</v>
      </c>
      <c r="C44" s="46"/>
      <c r="D44" s="577"/>
      <c r="E44" s="577"/>
      <c r="F44" s="577"/>
      <c r="G44" s="577"/>
      <c r="H44" s="577"/>
      <c r="I44" s="577"/>
      <c r="J44" s="577"/>
      <c r="K44" s="577"/>
      <c r="L44" s="577"/>
      <c r="M44" s="59">
        <f t="shared" si="9"/>
        <v>0</v>
      </c>
      <c r="N44" s="41">
        <f t="shared" si="1"/>
        <v>0</v>
      </c>
      <c r="O44" s="41">
        <f t="shared" si="2"/>
        <v>0</v>
      </c>
      <c r="P44" s="41">
        <f t="shared" si="3"/>
        <v>0</v>
      </c>
      <c r="Q44" s="42">
        <f t="shared" si="10"/>
        <v>0</v>
      </c>
    </row>
    <row r="45" spans="1:17" ht="20.100000000000001" customHeight="1" x14ac:dyDescent="0.25">
      <c r="A45" s="577">
        <v>38</v>
      </c>
      <c r="B45" s="35">
        <f>dtsiswa!D44</f>
        <v>0</v>
      </c>
      <c r="C45" s="46"/>
      <c r="D45" s="577"/>
      <c r="E45" s="577"/>
      <c r="F45" s="577"/>
      <c r="G45" s="577"/>
      <c r="H45" s="577"/>
      <c r="I45" s="577"/>
      <c r="J45" s="577"/>
      <c r="K45" s="577"/>
      <c r="L45" s="577"/>
      <c r="M45" s="59">
        <f t="shared" si="9"/>
        <v>0</v>
      </c>
      <c r="N45" s="41">
        <f t="shared" si="1"/>
        <v>0</v>
      </c>
      <c r="O45" s="41">
        <f t="shared" si="2"/>
        <v>0</v>
      </c>
      <c r="P45" s="41">
        <f t="shared" si="3"/>
        <v>0</v>
      </c>
      <c r="Q45" s="42">
        <f t="shared" si="10"/>
        <v>0</v>
      </c>
    </row>
    <row r="46" spans="1:17" ht="20.100000000000001" customHeight="1" x14ac:dyDescent="0.25">
      <c r="A46" s="577">
        <v>39</v>
      </c>
      <c r="B46" s="35">
        <f>dtsiswa!D45</f>
        <v>0</v>
      </c>
      <c r="C46" s="46"/>
      <c r="D46" s="577"/>
      <c r="E46" s="577"/>
      <c r="F46" s="577"/>
      <c r="G46" s="577"/>
      <c r="H46" s="577"/>
      <c r="I46" s="577"/>
      <c r="J46" s="577"/>
      <c r="K46" s="577"/>
      <c r="L46" s="577"/>
      <c r="M46" s="59">
        <f t="shared" si="9"/>
        <v>0</v>
      </c>
      <c r="N46" s="41">
        <f t="shared" si="1"/>
        <v>0</v>
      </c>
      <c r="O46" s="41">
        <f t="shared" si="2"/>
        <v>0</v>
      </c>
      <c r="P46" s="41">
        <f t="shared" si="3"/>
        <v>0</v>
      </c>
      <c r="Q46" s="42">
        <f t="shared" si="10"/>
        <v>0</v>
      </c>
    </row>
    <row r="47" spans="1:17" ht="20.100000000000001" customHeight="1" x14ac:dyDescent="0.25">
      <c r="A47" s="577">
        <v>40</v>
      </c>
      <c r="B47" s="35">
        <f>dtsiswa!D46</f>
        <v>0</v>
      </c>
      <c r="C47" s="46"/>
      <c r="D47" s="577"/>
      <c r="E47" s="577"/>
      <c r="F47" s="577"/>
      <c r="G47" s="577"/>
      <c r="H47" s="577"/>
      <c r="I47" s="577"/>
      <c r="J47" s="577"/>
      <c r="K47" s="577"/>
      <c r="L47" s="577"/>
      <c r="M47" s="59">
        <f t="shared" si="9"/>
        <v>0</v>
      </c>
      <c r="N47" s="41">
        <f t="shared" si="1"/>
        <v>0</v>
      </c>
      <c r="O47" s="41">
        <f t="shared" si="2"/>
        <v>0</v>
      </c>
      <c r="P47" s="41">
        <f t="shared" si="3"/>
        <v>0</v>
      </c>
      <c r="Q47" s="42">
        <f t="shared" si="10"/>
        <v>0</v>
      </c>
    </row>
  </sheetData>
  <mergeCells count="11">
    <mergeCell ref="Q5:Q7"/>
    <mergeCell ref="A1:Q1"/>
    <mergeCell ref="A2:Q2"/>
    <mergeCell ref="A5:A7"/>
    <mergeCell ref="B5:B7"/>
    <mergeCell ref="C5:C7"/>
    <mergeCell ref="M5:M7"/>
    <mergeCell ref="N5:N7"/>
    <mergeCell ref="O5:O7"/>
    <mergeCell ref="P5:P7"/>
    <mergeCell ref="D5:L5"/>
  </mergeCell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FFFF00"/>
  </sheetPr>
  <dimension ref="A1:P47"/>
  <sheetViews>
    <sheetView workbookViewId="0">
      <pane xSplit="2" ySplit="7" topLeftCell="C8"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125"/>
      <c r="B1" s="3126"/>
      <c r="C1" s="3126"/>
      <c r="D1" s="3126"/>
      <c r="E1" s="3126"/>
      <c r="F1" s="3126"/>
      <c r="G1" s="3126"/>
      <c r="H1" s="3126"/>
      <c r="I1" s="3126"/>
      <c r="J1" s="3126"/>
      <c r="K1" s="3126"/>
      <c r="L1" s="3126"/>
      <c r="M1" s="3126"/>
      <c r="N1" s="3126"/>
      <c r="O1" s="3126"/>
      <c r="P1" s="3126"/>
    </row>
    <row r="2" spans="1:16" ht="19.5" customHeight="1" x14ac:dyDescent="0.25">
      <c r="A2" s="3127"/>
      <c r="B2" s="3128"/>
      <c r="C2" s="3128"/>
      <c r="D2" s="3128"/>
      <c r="E2" s="3128"/>
      <c r="F2" s="3128"/>
      <c r="G2" s="3128"/>
      <c r="H2" s="3128"/>
      <c r="I2" s="3128"/>
      <c r="J2" s="3128"/>
      <c r="K2" s="3128"/>
      <c r="L2" s="3128"/>
      <c r="M2" s="3128"/>
      <c r="N2" s="3128"/>
      <c r="O2" s="3128"/>
      <c r="P2" s="3128"/>
    </row>
    <row r="3" spans="1:16" ht="21" x14ac:dyDescent="0.35">
      <c r="A3" s="70" t="s">
        <v>682</v>
      </c>
    </row>
    <row r="4" spans="1:16" s="204" customFormat="1" ht="15.75" x14ac:dyDescent="0.25">
      <c r="A4" s="204">
        <v>1</v>
      </c>
      <c r="B4" s="204">
        <v>2</v>
      </c>
      <c r="C4" s="204">
        <v>3</v>
      </c>
      <c r="D4" s="204">
        <v>4</v>
      </c>
      <c r="E4" s="204">
        <v>5</v>
      </c>
      <c r="F4" s="204">
        <v>6</v>
      </c>
      <c r="G4" s="204">
        <v>7</v>
      </c>
      <c r="H4" s="204">
        <v>8</v>
      </c>
      <c r="I4" s="204">
        <v>9</v>
      </c>
      <c r="J4" s="204">
        <v>10</v>
      </c>
      <c r="K4" s="204">
        <v>11</v>
      </c>
      <c r="L4" s="204">
        <v>12</v>
      </c>
      <c r="M4" s="204">
        <v>13</v>
      </c>
      <c r="N4" s="204">
        <v>14</v>
      </c>
      <c r="O4" s="204">
        <v>15</v>
      </c>
      <c r="P4" s="204">
        <v>16</v>
      </c>
    </row>
    <row r="5" spans="1:16" s="30" customFormat="1" ht="20.25" customHeight="1" x14ac:dyDescent="0.25">
      <c r="A5" s="3136" t="s">
        <v>0</v>
      </c>
      <c r="B5" s="3136" t="s">
        <v>28</v>
      </c>
      <c r="C5" s="3136" t="s">
        <v>3</v>
      </c>
      <c r="D5" s="3146" t="s">
        <v>12</v>
      </c>
      <c r="E5" s="3147"/>
      <c r="F5" s="3147"/>
      <c r="G5" s="3147"/>
      <c r="H5" s="3147"/>
      <c r="I5" s="3147"/>
      <c r="J5" s="3147"/>
      <c r="K5" s="3148"/>
      <c r="L5" s="3137" t="s">
        <v>159</v>
      </c>
      <c r="M5" s="3131" t="s">
        <v>29</v>
      </c>
      <c r="N5" s="3131" t="s">
        <v>30</v>
      </c>
      <c r="O5" s="3131" t="s">
        <v>31</v>
      </c>
      <c r="P5" s="3149" t="s">
        <v>32</v>
      </c>
    </row>
    <row r="6" spans="1:16" s="30" customFormat="1" ht="20.25" customHeight="1" x14ac:dyDescent="0.25">
      <c r="A6" s="3136"/>
      <c r="B6" s="3136"/>
      <c r="C6" s="3136"/>
      <c r="D6" s="31" t="s">
        <v>29</v>
      </c>
      <c r="E6" s="31" t="s">
        <v>29</v>
      </c>
      <c r="F6" s="31" t="s">
        <v>29</v>
      </c>
      <c r="G6" s="31" t="s">
        <v>29</v>
      </c>
      <c r="H6" s="31" t="s">
        <v>29</v>
      </c>
      <c r="I6" s="32" t="s">
        <v>30</v>
      </c>
      <c r="J6" s="32" t="s">
        <v>30</v>
      </c>
      <c r="K6" s="1079" t="s">
        <v>31</v>
      </c>
      <c r="L6" s="3137"/>
      <c r="M6" s="3131"/>
      <c r="N6" s="3131"/>
      <c r="O6" s="3131"/>
      <c r="P6" s="3149"/>
    </row>
    <row r="7" spans="1:16" ht="22.5" customHeight="1" x14ac:dyDescent="0.25">
      <c r="A7" s="3136"/>
      <c r="B7" s="3136"/>
      <c r="C7" s="3136"/>
      <c r="D7" s="284">
        <v>1</v>
      </c>
      <c r="E7" s="284">
        <v>2</v>
      </c>
      <c r="F7" s="284">
        <v>3</v>
      </c>
      <c r="G7" s="284">
        <v>4</v>
      </c>
      <c r="H7" s="284">
        <v>5</v>
      </c>
      <c r="I7" s="284">
        <v>6</v>
      </c>
      <c r="J7" s="284">
        <v>7</v>
      </c>
      <c r="K7" s="284">
        <v>8</v>
      </c>
      <c r="L7" s="3137"/>
      <c r="M7" s="3131"/>
      <c r="N7" s="3131"/>
      <c r="O7" s="3131"/>
      <c r="P7" s="3149"/>
    </row>
    <row r="8" spans="1:16" ht="18" customHeight="1" x14ac:dyDescent="0.25">
      <c r="A8" s="34">
        <v>1</v>
      </c>
      <c r="B8" s="198" t="str">
        <f>dtsiswa!D7</f>
        <v>Achmad Zacky</v>
      </c>
      <c r="C8" s="291" t="s">
        <v>4</v>
      </c>
      <c r="D8" s="200">
        <v>1</v>
      </c>
      <c r="E8" s="200">
        <v>1</v>
      </c>
      <c r="F8" s="200">
        <v>1</v>
      </c>
      <c r="G8" s="200">
        <v>1</v>
      </c>
      <c r="H8" s="200">
        <v>0</v>
      </c>
      <c r="I8" s="200">
        <v>2</v>
      </c>
      <c r="J8" s="200">
        <v>2</v>
      </c>
      <c r="K8" s="200">
        <v>3</v>
      </c>
      <c r="L8" s="200">
        <f>SUM(D8:K8)*100/12</f>
        <v>91.666666666666671</v>
      </c>
      <c r="M8" s="37">
        <f>SUM(D8:H8)</f>
        <v>4</v>
      </c>
      <c r="N8" s="37">
        <f>SUM(I8:J8)</f>
        <v>4</v>
      </c>
      <c r="O8" s="37">
        <f>K8</f>
        <v>3</v>
      </c>
      <c r="P8" s="38">
        <f>L8</f>
        <v>91.666666666666671</v>
      </c>
    </row>
    <row r="9" spans="1:16" ht="18" customHeight="1" x14ac:dyDescent="0.25">
      <c r="A9" s="40">
        <v>2</v>
      </c>
      <c r="B9" s="35" t="str">
        <f>dtsiswa!D8</f>
        <v>Angelia Vabel R</v>
      </c>
      <c r="C9" s="36" t="s">
        <v>4</v>
      </c>
      <c r="D9" s="200"/>
      <c r="E9" s="200"/>
      <c r="F9" s="200"/>
      <c r="G9" s="200"/>
      <c r="H9" s="200"/>
      <c r="I9" s="200"/>
      <c r="J9" s="200"/>
      <c r="K9" s="200"/>
      <c r="L9" s="200">
        <f t="shared" ref="L9:L47" si="0">SUM(D9:K9)*100/12</f>
        <v>0</v>
      </c>
      <c r="M9" s="37">
        <f t="shared" ref="M9:M47" si="1">SUM(D9:H9)</f>
        <v>0</v>
      </c>
      <c r="N9" s="37">
        <f t="shared" ref="N9:N47" si="2">SUM(I9:J9)</f>
        <v>0</v>
      </c>
      <c r="O9" s="37">
        <f t="shared" ref="O9:O47" si="3">K9</f>
        <v>0</v>
      </c>
      <c r="P9" s="38">
        <f t="shared" ref="P9:P38" si="4">L9</f>
        <v>0</v>
      </c>
    </row>
    <row r="10" spans="1:16" ht="18" customHeight="1" x14ac:dyDescent="0.25">
      <c r="A10" s="40">
        <v>3</v>
      </c>
      <c r="B10" s="35" t="str">
        <f>dtsiswa!D9</f>
        <v>Anggun Dwi P.I</v>
      </c>
      <c r="C10" s="36" t="s">
        <v>4</v>
      </c>
      <c r="D10" s="200"/>
      <c r="E10" s="200"/>
      <c r="F10" s="200"/>
      <c r="G10" s="200"/>
      <c r="H10" s="200"/>
      <c r="I10" s="200"/>
      <c r="J10" s="200"/>
      <c r="K10" s="200"/>
      <c r="L10" s="200">
        <f t="shared" si="0"/>
        <v>0</v>
      </c>
      <c r="M10" s="37">
        <f t="shared" si="1"/>
        <v>0</v>
      </c>
      <c r="N10" s="37">
        <f t="shared" si="2"/>
        <v>0</v>
      </c>
      <c r="O10" s="37">
        <f t="shared" si="3"/>
        <v>0</v>
      </c>
      <c r="P10" s="38">
        <f t="shared" si="4"/>
        <v>0</v>
      </c>
    </row>
    <row r="11" spans="1:16" ht="18" customHeight="1" x14ac:dyDescent="0.25">
      <c r="A11" s="40">
        <v>4</v>
      </c>
      <c r="B11" s="35" t="str">
        <f>dtsiswa!D10</f>
        <v>Antonio Permata A</v>
      </c>
      <c r="C11" s="43" t="s">
        <v>4</v>
      </c>
      <c r="D11" s="59"/>
      <c r="E11" s="59"/>
      <c r="F11" s="59"/>
      <c r="G11" s="59"/>
      <c r="H11" s="59"/>
      <c r="I11" s="59"/>
      <c r="J11" s="59"/>
      <c r="K11" s="59"/>
      <c r="L11" s="200">
        <f t="shared" si="0"/>
        <v>0</v>
      </c>
      <c r="M11" s="37">
        <f t="shared" si="1"/>
        <v>0</v>
      </c>
      <c r="N11" s="37">
        <f t="shared" si="2"/>
        <v>0</v>
      </c>
      <c r="O11" s="37">
        <f t="shared" si="3"/>
        <v>0</v>
      </c>
      <c r="P11" s="38">
        <f t="shared" si="4"/>
        <v>0</v>
      </c>
    </row>
    <row r="12" spans="1:16" ht="18" customHeight="1" x14ac:dyDescent="0.25">
      <c r="A12" s="40">
        <v>5</v>
      </c>
      <c r="B12" s="35" t="str">
        <f>dtsiswa!D11</f>
        <v>Arya Pratama G</v>
      </c>
      <c r="C12" s="36" t="s">
        <v>5</v>
      </c>
      <c r="D12" s="59"/>
      <c r="E12" s="59"/>
      <c r="F12" s="59"/>
      <c r="G12" s="59"/>
      <c r="H12" s="59"/>
      <c r="I12" s="59"/>
      <c r="J12" s="59"/>
      <c r="K12" s="59"/>
      <c r="L12" s="200">
        <f t="shared" si="0"/>
        <v>0</v>
      </c>
      <c r="M12" s="37">
        <f t="shared" si="1"/>
        <v>0</v>
      </c>
      <c r="N12" s="37">
        <f t="shared" si="2"/>
        <v>0</v>
      </c>
      <c r="O12" s="37">
        <f t="shared" si="3"/>
        <v>0</v>
      </c>
      <c r="P12" s="38">
        <f t="shared" si="4"/>
        <v>0</v>
      </c>
    </row>
    <row r="13" spans="1:16" ht="18" customHeight="1" x14ac:dyDescent="0.25">
      <c r="A13" s="40">
        <v>6</v>
      </c>
      <c r="B13" s="35" t="str">
        <f>dtsiswa!D12</f>
        <v>Asyam Hanif Ihsan H</v>
      </c>
      <c r="C13" s="36" t="s">
        <v>5</v>
      </c>
      <c r="D13" s="59"/>
      <c r="E13" s="59"/>
      <c r="F13" s="59"/>
      <c r="G13" s="59"/>
      <c r="H13" s="59"/>
      <c r="I13" s="59"/>
      <c r="J13" s="59"/>
      <c r="K13" s="59"/>
      <c r="L13" s="200">
        <f t="shared" si="0"/>
        <v>0</v>
      </c>
      <c r="M13" s="37">
        <f t="shared" si="1"/>
        <v>0</v>
      </c>
      <c r="N13" s="37">
        <f t="shared" si="2"/>
        <v>0</v>
      </c>
      <c r="O13" s="37">
        <f t="shared" si="3"/>
        <v>0</v>
      </c>
      <c r="P13" s="38">
        <f t="shared" si="4"/>
        <v>0</v>
      </c>
    </row>
    <row r="14" spans="1:16" ht="18" customHeight="1" x14ac:dyDescent="0.25">
      <c r="A14" s="40">
        <v>7</v>
      </c>
      <c r="B14" s="35" t="str">
        <f>dtsiswa!D13</f>
        <v>Athaya Salsabilla Z</v>
      </c>
      <c r="C14" s="36" t="s">
        <v>4</v>
      </c>
      <c r="D14" s="59"/>
      <c r="E14" s="59"/>
      <c r="F14" s="59"/>
      <c r="G14" s="59"/>
      <c r="H14" s="59"/>
      <c r="I14" s="59"/>
      <c r="J14" s="59"/>
      <c r="K14" s="59"/>
      <c r="L14" s="200">
        <f t="shared" si="0"/>
        <v>0</v>
      </c>
      <c r="M14" s="37">
        <f t="shared" si="1"/>
        <v>0</v>
      </c>
      <c r="N14" s="37">
        <f t="shared" si="2"/>
        <v>0</v>
      </c>
      <c r="O14" s="37">
        <f t="shared" si="3"/>
        <v>0</v>
      </c>
      <c r="P14" s="38">
        <f t="shared" si="4"/>
        <v>0</v>
      </c>
    </row>
    <row r="15" spans="1:16" ht="18" customHeight="1" x14ac:dyDescent="0.25">
      <c r="A15" s="40">
        <v>8</v>
      </c>
      <c r="B15" s="35" t="str">
        <f>dtsiswa!D14</f>
        <v>Aulia Dea Rosalinda</v>
      </c>
      <c r="C15" s="36" t="s">
        <v>4</v>
      </c>
      <c r="D15" s="59"/>
      <c r="E15" s="59"/>
      <c r="F15" s="59"/>
      <c r="G15" s="59"/>
      <c r="H15" s="59"/>
      <c r="I15" s="59"/>
      <c r="J15" s="59"/>
      <c r="K15" s="59"/>
      <c r="L15" s="200">
        <f t="shared" si="0"/>
        <v>0</v>
      </c>
      <c r="M15" s="37">
        <f t="shared" si="1"/>
        <v>0</v>
      </c>
      <c r="N15" s="37">
        <f t="shared" si="2"/>
        <v>0</v>
      </c>
      <c r="O15" s="37">
        <f t="shared" si="3"/>
        <v>0</v>
      </c>
      <c r="P15" s="38">
        <f t="shared" si="4"/>
        <v>0</v>
      </c>
    </row>
    <row r="16" spans="1:16" ht="18" customHeight="1" x14ac:dyDescent="0.25">
      <c r="A16" s="40">
        <v>9</v>
      </c>
      <c r="B16" s="35" t="str">
        <f>dtsiswa!D15</f>
        <v>Claudia Gabriella L</v>
      </c>
      <c r="C16" s="36" t="s">
        <v>4</v>
      </c>
      <c r="D16" s="59"/>
      <c r="E16" s="59"/>
      <c r="F16" s="59"/>
      <c r="G16" s="59"/>
      <c r="H16" s="59"/>
      <c r="I16" s="59"/>
      <c r="J16" s="59"/>
      <c r="K16" s="59"/>
      <c r="L16" s="200">
        <f t="shared" si="0"/>
        <v>0</v>
      </c>
      <c r="M16" s="37">
        <f t="shared" si="1"/>
        <v>0</v>
      </c>
      <c r="N16" s="37">
        <f t="shared" si="2"/>
        <v>0</v>
      </c>
      <c r="O16" s="37">
        <f t="shared" si="3"/>
        <v>0</v>
      </c>
      <c r="P16" s="38">
        <f t="shared" si="4"/>
        <v>0</v>
      </c>
    </row>
    <row r="17" spans="1:16" ht="18" customHeight="1" x14ac:dyDescent="0.25">
      <c r="A17" s="40">
        <v>10</v>
      </c>
      <c r="B17" s="35" t="str">
        <f>dtsiswa!D16</f>
        <v xml:space="preserve">Deco Badarus Zaman </v>
      </c>
      <c r="C17" s="36" t="s">
        <v>4</v>
      </c>
      <c r="D17" s="59"/>
      <c r="E17" s="59"/>
      <c r="F17" s="59"/>
      <c r="G17" s="59"/>
      <c r="H17" s="59"/>
      <c r="I17" s="59"/>
      <c r="J17" s="59"/>
      <c r="K17" s="59"/>
      <c r="L17" s="200">
        <f t="shared" si="0"/>
        <v>0</v>
      </c>
      <c r="M17" s="37">
        <f t="shared" si="1"/>
        <v>0</v>
      </c>
      <c r="N17" s="37">
        <f t="shared" si="2"/>
        <v>0</v>
      </c>
      <c r="O17" s="37">
        <f t="shared" si="3"/>
        <v>0</v>
      </c>
      <c r="P17" s="38">
        <f t="shared" si="4"/>
        <v>0</v>
      </c>
    </row>
    <row r="18" spans="1:16" ht="18" customHeight="1" x14ac:dyDescent="0.25">
      <c r="A18" s="40">
        <v>11</v>
      </c>
      <c r="B18" s="35" t="str">
        <f>dtsiswa!D17</f>
        <v>Fania Mutiara Felichia</v>
      </c>
      <c r="C18" s="36" t="s">
        <v>4</v>
      </c>
      <c r="D18" s="59"/>
      <c r="E18" s="59"/>
      <c r="F18" s="59"/>
      <c r="G18" s="59"/>
      <c r="H18" s="59"/>
      <c r="I18" s="59"/>
      <c r="J18" s="59"/>
      <c r="K18" s="59"/>
      <c r="L18" s="200">
        <f t="shared" si="0"/>
        <v>0</v>
      </c>
      <c r="M18" s="37">
        <f t="shared" si="1"/>
        <v>0</v>
      </c>
      <c r="N18" s="37">
        <f t="shared" si="2"/>
        <v>0</v>
      </c>
      <c r="O18" s="37">
        <f t="shared" si="3"/>
        <v>0</v>
      </c>
      <c r="P18" s="38">
        <f t="shared" si="4"/>
        <v>0</v>
      </c>
    </row>
    <row r="19" spans="1:16" ht="18" customHeight="1" x14ac:dyDescent="0.25">
      <c r="A19" s="40">
        <v>12</v>
      </c>
      <c r="B19" s="35" t="str">
        <f>dtsiswa!D18</f>
        <v>Intan Dyah Nowari</v>
      </c>
      <c r="C19" s="36" t="s">
        <v>4</v>
      </c>
      <c r="D19" s="59"/>
      <c r="E19" s="59"/>
      <c r="F19" s="59"/>
      <c r="G19" s="59"/>
      <c r="H19" s="59"/>
      <c r="I19" s="59"/>
      <c r="J19" s="59"/>
      <c r="K19" s="59"/>
      <c r="L19" s="200">
        <f t="shared" si="0"/>
        <v>0</v>
      </c>
      <c r="M19" s="37">
        <f t="shared" si="1"/>
        <v>0</v>
      </c>
      <c r="N19" s="37">
        <f t="shared" si="2"/>
        <v>0</v>
      </c>
      <c r="O19" s="37">
        <f t="shared" si="3"/>
        <v>0</v>
      </c>
      <c r="P19" s="38">
        <f t="shared" si="4"/>
        <v>0</v>
      </c>
    </row>
    <row r="20" spans="1:16" ht="18" customHeight="1" x14ac:dyDescent="0.25">
      <c r="A20" s="40">
        <v>13</v>
      </c>
      <c r="B20" s="35" t="str">
        <f>dtsiswa!D19</f>
        <v>Misyanita Nurfitri S</v>
      </c>
      <c r="C20" s="36" t="s">
        <v>5</v>
      </c>
      <c r="D20" s="59"/>
      <c r="E20" s="59"/>
      <c r="F20" s="59"/>
      <c r="G20" s="59"/>
      <c r="H20" s="59"/>
      <c r="I20" s="59"/>
      <c r="J20" s="59"/>
      <c r="K20" s="59"/>
      <c r="L20" s="200">
        <f t="shared" si="0"/>
        <v>0</v>
      </c>
      <c r="M20" s="37">
        <f t="shared" si="1"/>
        <v>0</v>
      </c>
      <c r="N20" s="37">
        <f t="shared" si="2"/>
        <v>0</v>
      </c>
      <c r="O20" s="37">
        <f t="shared" si="3"/>
        <v>0</v>
      </c>
      <c r="P20" s="38">
        <f t="shared" si="4"/>
        <v>0</v>
      </c>
    </row>
    <row r="21" spans="1:16" ht="18" customHeight="1" x14ac:dyDescent="0.25">
      <c r="A21" s="40">
        <v>14</v>
      </c>
      <c r="B21" s="35" t="str">
        <f>dtsiswa!D20</f>
        <v>Moch Zidane Hita L. U</v>
      </c>
      <c r="C21" s="36" t="s">
        <v>4</v>
      </c>
      <c r="D21" s="59"/>
      <c r="E21" s="59"/>
      <c r="F21" s="59"/>
      <c r="G21" s="59"/>
      <c r="H21" s="59"/>
      <c r="I21" s="59"/>
      <c r="J21" s="59"/>
      <c r="K21" s="59"/>
      <c r="L21" s="200">
        <f t="shared" si="0"/>
        <v>0</v>
      </c>
      <c r="M21" s="37">
        <f t="shared" si="1"/>
        <v>0</v>
      </c>
      <c r="N21" s="37">
        <f t="shared" si="2"/>
        <v>0</v>
      </c>
      <c r="O21" s="37">
        <f t="shared" si="3"/>
        <v>0</v>
      </c>
      <c r="P21" s="38">
        <f t="shared" si="4"/>
        <v>0</v>
      </c>
    </row>
    <row r="22" spans="1:16" ht="18" customHeight="1" x14ac:dyDescent="0.25">
      <c r="A22" s="40">
        <v>15</v>
      </c>
      <c r="B22" s="35" t="str">
        <f>dtsiswa!D21</f>
        <v>Muhammad Ibra Maulana</v>
      </c>
      <c r="C22" s="36" t="s">
        <v>4</v>
      </c>
      <c r="D22" s="59"/>
      <c r="E22" s="59"/>
      <c r="F22" s="59"/>
      <c r="G22" s="59"/>
      <c r="H22" s="59"/>
      <c r="I22" s="59"/>
      <c r="J22" s="59"/>
      <c r="K22" s="59"/>
      <c r="L22" s="200">
        <f t="shared" si="0"/>
        <v>0</v>
      </c>
      <c r="M22" s="37">
        <f t="shared" si="1"/>
        <v>0</v>
      </c>
      <c r="N22" s="37">
        <f t="shared" si="2"/>
        <v>0</v>
      </c>
      <c r="O22" s="37">
        <f t="shared" si="3"/>
        <v>0</v>
      </c>
      <c r="P22" s="38">
        <f t="shared" si="4"/>
        <v>0</v>
      </c>
    </row>
    <row r="23" spans="1:16" ht="18" customHeight="1" x14ac:dyDescent="0.25">
      <c r="A23" s="40">
        <v>16</v>
      </c>
      <c r="B23" s="35" t="str">
        <f>dtsiswa!D22</f>
        <v>Nabilla Shiva Putri</v>
      </c>
      <c r="C23" s="36" t="s">
        <v>4</v>
      </c>
      <c r="D23" s="59"/>
      <c r="E23" s="59"/>
      <c r="F23" s="59"/>
      <c r="G23" s="59"/>
      <c r="H23" s="59"/>
      <c r="I23" s="59"/>
      <c r="J23" s="59"/>
      <c r="K23" s="59"/>
      <c r="L23" s="200">
        <f t="shared" si="0"/>
        <v>0</v>
      </c>
      <c r="M23" s="37">
        <f t="shared" si="1"/>
        <v>0</v>
      </c>
      <c r="N23" s="37">
        <f t="shared" si="2"/>
        <v>0</v>
      </c>
      <c r="O23" s="37">
        <f t="shared" si="3"/>
        <v>0</v>
      </c>
      <c r="P23" s="38">
        <f t="shared" si="4"/>
        <v>0</v>
      </c>
    </row>
    <row r="24" spans="1:16" ht="18" customHeight="1" x14ac:dyDescent="0.25">
      <c r="A24" s="40">
        <v>17</v>
      </c>
      <c r="B24" s="35" t="str">
        <f>dtsiswa!D23</f>
        <v>Naufal Falih F</v>
      </c>
      <c r="C24" s="36" t="s">
        <v>5</v>
      </c>
      <c r="D24" s="59"/>
      <c r="E24" s="59"/>
      <c r="F24" s="59"/>
      <c r="G24" s="59"/>
      <c r="H24" s="59"/>
      <c r="I24" s="59"/>
      <c r="J24" s="59"/>
      <c r="K24" s="59"/>
      <c r="L24" s="200">
        <f t="shared" si="0"/>
        <v>0</v>
      </c>
      <c r="M24" s="37">
        <f t="shared" si="1"/>
        <v>0</v>
      </c>
      <c r="N24" s="37">
        <f t="shared" si="2"/>
        <v>0</v>
      </c>
      <c r="O24" s="37">
        <f t="shared" si="3"/>
        <v>0</v>
      </c>
      <c r="P24" s="38">
        <f t="shared" si="4"/>
        <v>0</v>
      </c>
    </row>
    <row r="25" spans="1:16" ht="18" customHeight="1" x14ac:dyDescent="0.25">
      <c r="A25" s="40">
        <v>18</v>
      </c>
      <c r="B25" s="35" t="str">
        <f>dtsiswa!D24</f>
        <v>Nayla Annora Nobel W</v>
      </c>
      <c r="C25" s="36" t="s">
        <v>4</v>
      </c>
      <c r="D25" s="59"/>
      <c r="E25" s="59"/>
      <c r="F25" s="59"/>
      <c r="G25" s="59"/>
      <c r="H25" s="59"/>
      <c r="I25" s="59"/>
      <c r="J25" s="59"/>
      <c r="K25" s="59"/>
      <c r="L25" s="200">
        <f t="shared" si="0"/>
        <v>0</v>
      </c>
      <c r="M25" s="37">
        <f t="shared" si="1"/>
        <v>0</v>
      </c>
      <c r="N25" s="37">
        <f t="shared" si="2"/>
        <v>0</v>
      </c>
      <c r="O25" s="37">
        <f t="shared" si="3"/>
        <v>0</v>
      </c>
      <c r="P25" s="38">
        <f t="shared" si="4"/>
        <v>0</v>
      </c>
    </row>
    <row r="26" spans="1:16" ht="18" customHeight="1" x14ac:dyDescent="0.25">
      <c r="A26" s="40">
        <v>19</v>
      </c>
      <c r="B26" s="35" t="str">
        <f>dtsiswa!D25</f>
        <v>Raihan Danang P</v>
      </c>
      <c r="C26" s="36" t="s">
        <v>5</v>
      </c>
      <c r="D26" s="59"/>
      <c r="E26" s="59"/>
      <c r="F26" s="59"/>
      <c r="G26" s="59"/>
      <c r="H26" s="59"/>
      <c r="I26" s="59"/>
      <c r="J26" s="59"/>
      <c r="K26" s="59"/>
      <c r="L26" s="200">
        <f t="shared" si="0"/>
        <v>0</v>
      </c>
      <c r="M26" s="37">
        <f t="shared" si="1"/>
        <v>0</v>
      </c>
      <c r="N26" s="37">
        <f t="shared" si="2"/>
        <v>0</v>
      </c>
      <c r="O26" s="37">
        <f t="shared" si="3"/>
        <v>0</v>
      </c>
      <c r="P26" s="38">
        <f t="shared" si="4"/>
        <v>0</v>
      </c>
    </row>
    <row r="27" spans="1:16" ht="18" customHeight="1" x14ac:dyDescent="0.25">
      <c r="A27" s="40">
        <v>20</v>
      </c>
      <c r="B27" s="35" t="str">
        <f>dtsiswa!D26</f>
        <v>Roby Ardiyansyah</v>
      </c>
      <c r="C27" s="36" t="s">
        <v>5</v>
      </c>
      <c r="D27" s="40"/>
      <c r="E27" s="40"/>
      <c r="F27" s="40"/>
      <c r="G27" s="40"/>
      <c r="H27" s="40"/>
      <c r="I27" s="40"/>
      <c r="J27" s="40"/>
      <c r="K27" s="40"/>
      <c r="L27" s="200">
        <f t="shared" si="0"/>
        <v>0</v>
      </c>
      <c r="M27" s="37">
        <f t="shared" si="1"/>
        <v>0</v>
      </c>
      <c r="N27" s="37">
        <f t="shared" si="2"/>
        <v>0</v>
      </c>
      <c r="O27" s="37">
        <f t="shared" si="3"/>
        <v>0</v>
      </c>
      <c r="P27" s="38">
        <f t="shared" si="4"/>
        <v>0</v>
      </c>
    </row>
    <row r="28" spans="1:16" ht="18" customHeight="1" x14ac:dyDescent="0.25">
      <c r="A28" s="40">
        <v>21</v>
      </c>
      <c r="B28" s="35" t="str">
        <f>dtsiswa!D27</f>
        <v>Rojalingga Prana A</v>
      </c>
      <c r="C28" s="44" t="s">
        <v>4</v>
      </c>
      <c r="D28" s="59"/>
      <c r="E28" s="59"/>
      <c r="F28" s="59"/>
      <c r="G28" s="59"/>
      <c r="H28" s="59"/>
      <c r="I28" s="59"/>
      <c r="J28" s="59"/>
      <c r="K28" s="59"/>
      <c r="L28" s="200">
        <f t="shared" si="0"/>
        <v>0</v>
      </c>
      <c r="M28" s="37">
        <f t="shared" si="1"/>
        <v>0</v>
      </c>
      <c r="N28" s="37">
        <f t="shared" si="2"/>
        <v>0</v>
      </c>
      <c r="O28" s="37">
        <f t="shared" si="3"/>
        <v>0</v>
      </c>
      <c r="P28" s="38">
        <f t="shared" si="4"/>
        <v>0</v>
      </c>
    </row>
    <row r="29" spans="1:16" ht="18" customHeight="1" x14ac:dyDescent="0.25">
      <c r="A29" s="40">
        <v>22</v>
      </c>
      <c r="B29" s="35" t="str">
        <f>dtsiswa!D28</f>
        <v>Sally Savista A</v>
      </c>
      <c r="C29" s="45" t="s">
        <v>4</v>
      </c>
      <c r="D29" s="40"/>
      <c r="E29" s="40"/>
      <c r="F29" s="40"/>
      <c r="G29" s="40"/>
      <c r="H29" s="40"/>
      <c r="I29" s="40"/>
      <c r="J29" s="40"/>
      <c r="K29" s="40"/>
      <c r="L29" s="200">
        <f t="shared" si="0"/>
        <v>0</v>
      </c>
      <c r="M29" s="37">
        <f t="shared" si="1"/>
        <v>0</v>
      </c>
      <c r="N29" s="37">
        <f t="shared" si="2"/>
        <v>0</v>
      </c>
      <c r="O29" s="37">
        <f t="shared" si="3"/>
        <v>0</v>
      </c>
      <c r="P29" s="38">
        <f t="shared" si="4"/>
        <v>0</v>
      </c>
    </row>
    <row r="30" spans="1:16" ht="18" customHeight="1" x14ac:dyDescent="0.25">
      <c r="A30" s="40">
        <v>23</v>
      </c>
      <c r="B30" s="35" t="str">
        <f>dtsiswa!D29</f>
        <v xml:space="preserve">Tania Kaori Angelita </v>
      </c>
      <c r="C30" s="45" t="s">
        <v>5</v>
      </c>
      <c r="D30" s="40"/>
      <c r="E30" s="40"/>
      <c r="F30" s="40"/>
      <c r="G30" s="40"/>
      <c r="H30" s="40"/>
      <c r="I30" s="40"/>
      <c r="J30" s="40"/>
      <c r="K30" s="40"/>
      <c r="L30" s="200">
        <f t="shared" si="0"/>
        <v>0</v>
      </c>
      <c r="M30" s="37">
        <f t="shared" si="1"/>
        <v>0</v>
      </c>
      <c r="N30" s="37">
        <f t="shared" si="2"/>
        <v>0</v>
      </c>
      <c r="O30" s="37">
        <f t="shared" si="3"/>
        <v>0</v>
      </c>
      <c r="P30" s="38">
        <f t="shared" si="4"/>
        <v>0</v>
      </c>
    </row>
    <row r="31" spans="1:16" ht="18" customHeight="1" x14ac:dyDescent="0.25">
      <c r="A31" s="40">
        <v>24</v>
      </c>
      <c r="B31" s="35" t="str">
        <f>dtsiswa!D30</f>
        <v>Romzy Oka Ramadhani P</v>
      </c>
      <c r="C31" s="45" t="s">
        <v>5</v>
      </c>
      <c r="D31" s="40"/>
      <c r="E31" s="40"/>
      <c r="F31" s="40"/>
      <c r="G31" s="40"/>
      <c r="H31" s="40"/>
      <c r="I31" s="40"/>
      <c r="J31" s="40"/>
      <c r="K31" s="40"/>
      <c r="L31" s="200">
        <f t="shared" si="0"/>
        <v>0</v>
      </c>
      <c r="M31" s="37">
        <f t="shared" si="1"/>
        <v>0</v>
      </c>
      <c r="N31" s="37">
        <f t="shared" si="2"/>
        <v>0</v>
      </c>
      <c r="O31" s="37">
        <f t="shared" si="3"/>
        <v>0</v>
      </c>
      <c r="P31" s="38">
        <f t="shared" si="4"/>
        <v>0</v>
      </c>
    </row>
    <row r="32" spans="1:16" ht="18" customHeight="1" x14ac:dyDescent="0.25">
      <c r="A32" s="40">
        <v>25</v>
      </c>
      <c r="B32" s="35" t="str">
        <f>dtsiswa!D31</f>
        <v>Larasati Jagadhita P</v>
      </c>
      <c r="C32" s="36" t="s">
        <v>4</v>
      </c>
      <c r="D32" s="40"/>
      <c r="E32" s="40"/>
      <c r="F32" s="40"/>
      <c r="G32" s="40"/>
      <c r="H32" s="40"/>
      <c r="I32" s="40"/>
      <c r="J32" s="40"/>
      <c r="K32" s="40"/>
      <c r="L32" s="200">
        <f t="shared" si="0"/>
        <v>0</v>
      </c>
      <c r="M32" s="37">
        <f t="shared" si="1"/>
        <v>0</v>
      </c>
      <c r="N32" s="37">
        <f t="shared" si="2"/>
        <v>0</v>
      </c>
      <c r="O32" s="37">
        <f t="shared" si="3"/>
        <v>0</v>
      </c>
      <c r="P32" s="38">
        <f t="shared" si="4"/>
        <v>0</v>
      </c>
    </row>
    <row r="33" spans="1:16" ht="18" customHeight="1" x14ac:dyDescent="0.25">
      <c r="A33" s="40">
        <v>26</v>
      </c>
      <c r="B33" s="35" t="str">
        <f>dtsiswa!D32</f>
        <v>Meliana Citra A</v>
      </c>
      <c r="C33" s="36" t="s">
        <v>5</v>
      </c>
      <c r="D33" s="40"/>
      <c r="E33" s="40"/>
      <c r="F33" s="40"/>
      <c r="G33" s="40"/>
      <c r="H33" s="40"/>
      <c r="I33" s="40"/>
      <c r="J33" s="40"/>
      <c r="K33" s="40"/>
      <c r="L33" s="200">
        <f t="shared" si="0"/>
        <v>0</v>
      </c>
      <c r="M33" s="37">
        <f t="shared" si="1"/>
        <v>0</v>
      </c>
      <c r="N33" s="37">
        <f t="shared" si="2"/>
        <v>0</v>
      </c>
      <c r="O33" s="37">
        <f t="shared" si="3"/>
        <v>0</v>
      </c>
      <c r="P33" s="38">
        <f t="shared" si="4"/>
        <v>0</v>
      </c>
    </row>
    <row r="34" spans="1:16" ht="18" customHeight="1" x14ac:dyDescent="0.25">
      <c r="A34" s="370">
        <v>27</v>
      </c>
      <c r="B34" s="35" t="str">
        <f>dtsiswa!D33</f>
        <v>Mohammad Rizky</v>
      </c>
      <c r="C34" s="36" t="s">
        <v>4</v>
      </c>
      <c r="D34" s="370"/>
      <c r="E34" s="370"/>
      <c r="F34" s="370"/>
      <c r="G34" s="370"/>
      <c r="H34" s="370"/>
      <c r="I34" s="370"/>
      <c r="J34" s="370"/>
      <c r="K34" s="370"/>
      <c r="L34" s="200">
        <f t="shared" si="0"/>
        <v>0</v>
      </c>
      <c r="M34" s="37">
        <f t="shared" si="1"/>
        <v>0</v>
      </c>
      <c r="N34" s="37">
        <f t="shared" si="2"/>
        <v>0</v>
      </c>
      <c r="O34" s="37">
        <f t="shared" si="3"/>
        <v>0</v>
      </c>
      <c r="P34" s="38">
        <f t="shared" si="4"/>
        <v>0</v>
      </c>
    </row>
    <row r="35" spans="1:16" ht="18" customHeight="1" x14ac:dyDescent="0.25">
      <c r="A35" s="370">
        <v>28</v>
      </c>
      <c r="B35" s="35">
        <f>dtsiswa!D34</f>
        <v>0</v>
      </c>
      <c r="C35" s="36" t="s">
        <v>4</v>
      </c>
      <c r="D35" s="370"/>
      <c r="E35" s="370"/>
      <c r="F35" s="370"/>
      <c r="G35" s="370"/>
      <c r="H35" s="370"/>
      <c r="I35" s="370"/>
      <c r="J35" s="370"/>
      <c r="K35" s="370"/>
      <c r="L35" s="200">
        <f t="shared" si="0"/>
        <v>0</v>
      </c>
      <c r="M35" s="37">
        <f t="shared" si="1"/>
        <v>0</v>
      </c>
      <c r="N35" s="37">
        <f t="shared" si="2"/>
        <v>0</v>
      </c>
      <c r="O35" s="37">
        <f t="shared" si="3"/>
        <v>0</v>
      </c>
      <c r="P35" s="38">
        <f t="shared" si="4"/>
        <v>0</v>
      </c>
    </row>
    <row r="36" spans="1:16" ht="18" customHeight="1" x14ac:dyDescent="0.25">
      <c r="A36" s="370">
        <v>29</v>
      </c>
      <c r="B36" s="35">
        <f>dtsiswa!D35</f>
        <v>0</v>
      </c>
      <c r="C36" s="36" t="s">
        <v>4</v>
      </c>
      <c r="D36" s="370"/>
      <c r="E36" s="370"/>
      <c r="F36" s="370"/>
      <c r="G36" s="370"/>
      <c r="H36" s="370"/>
      <c r="I36" s="370"/>
      <c r="J36" s="370"/>
      <c r="K36" s="370"/>
      <c r="L36" s="200">
        <f t="shared" si="0"/>
        <v>0</v>
      </c>
      <c r="M36" s="37">
        <f t="shared" si="1"/>
        <v>0</v>
      </c>
      <c r="N36" s="37">
        <f t="shared" si="2"/>
        <v>0</v>
      </c>
      <c r="O36" s="37">
        <f t="shared" si="3"/>
        <v>0</v>
      </c>
      <c r="P36" s="38">
        <f t="shared" si="4"/>
        <v>0</v>
      </c>
    </row>
    <row r="37" spans="1:16" ht="18" customHeight="1" x14ac:dyDescent="0.25">
      <c r="A37" s="370">
        <v>30</v>
      </c>
      <c r="B37" s="35">
        <f>dtsiswa!D36</f>
        <v>0</v>
      </c>
      <c r="C37" s="36" t="s">
        <v>5</v>
      </c>
      <c r="D37" s="370"/>
      <c r="E37" s="370"/>
      <c r="F37" s="370"/>
      <c r="G37" s="370"/>
      <c r="H37" s="370"/>
      <c r="I37" s="370"/>
      <c r="J37" s="370"/>
      <c r="K37" s="370"/>
      <c r="L37" s="200">
        <f t="shared" si="0"/>
        <v>0</v>
      </c>
      <c r="M37" s="37">
        <f t="shared" si="1"/>
        <v>0</v>
      </c>
      <c r="N37" s="37">
        <f t="shared" si="2"/>
        <v>0</v>
      </c>
      <c r="O37" s="37">
        <f t="shared" si="3"/>
        <v>0</v>
      </c>
      <c r="P37" s="38">
        <f t="shared" si="4"/>
        <v>0</v>
      </c>
    </row>
    <row r="38" spans="1:16" ht="18" customHeight="1" x14ac:dyDescent="0.25">
      <c r="A38" s="370">
        <v>31</v>
      </c>
      <c r="B38" s="35">
        <f>dtsiswa!D37</f>
        <v>0</v>
      </c>
      <c r="C38" s="36" t="s">
        <v>5</v>
      </c>
      <c r="D38" s="370"/>
      <c r="E38" s="370"/>
      <c r="F38" s="370"/>
      <c r="G38" s="370"/>
      <c r="H38" s="370"/>
      <c r="I38" s="370"/>
      <c r="J38" s="370"/>
      <c r="K38" s="370"/>
      <c r="L38" s="200">
        <f t="shared" si="0"/>
        <v>0</v>
      </c>
      <c r="M38" s="37">
        <f t="shared" si="1"/>
        <v>0</v>
      </c>
      <c r="N38" s="37">
        <f t="shared" si="2"/>
        <v>0</v>
      </c>
      <c r="O38" s="37">
        <f t="shared" si="3"/>
        <v>0</v>
      </c>
      <c r="P38" s="38">
        <f t="shared" si="4"/>
        <v>0</v>
      </c>
    </row>
    <row r="39" spans="1:16" ht="18" customHeight="1" x14ac:dyDescent="0.25">
      <c r="A39" s="577">
        <v>32</v>
      </c>
      <c r="B39" s="35">
        <f>dtsiswa!D38</f>
        <v>0</v>
      </c>
      <c r="C39" s="36" t="s">
        <v>5</v>
      </c>
      <c r="D39" s="577"/>
      <c r="E39" s="577"/>
      <c r="F39" s="577"/>
      <c r="G39" s="577"/>
      <c r="H39" s="577"/>
      <c r="I39" s="577"/>
      <c r="J39" s="577"/>
      <c r="K39" s="577"/>
      <c r="L39" s="200">
        <f t="shared" si="0"/>
        <v>0</v>
      </c>
      <c r="M39" s="37">
        <f t="shared" si="1"/>
        <v>0</v>
      </c>
      <c r="N39" s="37">
        <f t="shared" si="2"/>
        <v>0</v>
      </c>
      <c r="O39" s="37">
        <f t="shared" si="3"/>
        <v>0</v>
      </c>
      <c r="P39" s="38">
        <f t="shared" ref="P39:P47" si="5">L39</f>
        <v>0</v>
      </c>
    </row>
    <row r="40" spans="1:16" ht="18" customHeight="1" x14ac:dyDescent="0.25">
      <c r="A40" s="577">
        <v>33</v>
      </c>
      <c r="B40" s="35">
        <f>dtsiswa!D39</f>
        <v>0</v>
      </c>
      <c r="C40" s="36" t="s">
        <v>5</v>
      </c>
      <c r="D40" s="577"/>
      <c r="E40" s="577"/>
      <c r="F40" s="577"/>
      <c r="G40" s="577"/>
      <c r="H40" s="577"/>
      <c r="I40" s="577"/>
      <c r="J40" s="577"/>
      <c r="K40" s="577"/>
      <c r="L40" s="200">
        <f t="shared" si="0"/>
        <v>0</v>
      </c>
      <c r="M40" s="37">
        <f t="shared" si="1"/>
        <v>0</v>
      </c>
      <c r="N40" s="37">
        <f t="shared" si="2"/>
        <v>0</v>
      </c>
      <c r="O40" s="37">
        <f t="shared" si="3"/>
        <v>0</v>
      </c>
      <c r="P40" s="38">
        <f t="shared" si="5"/>
        <v>0</v>
      </c>
    </row>
    <row r="41" spans="1:16" ht="18" customHeight="1" x14ac:dyDescent="0.25">
      <c r="A41" s="577">
        <v>34</v>
      </c>
      <c r="B41" s="35">
        <f>dtsiswa!D40</f>
        <v>0</v>
      </c>
      <c r="C41" s="36" t="s">
        <v>5</v>
      </c>
      <c r="D41" s="577"/>
      <c r="E41" s="577"/>
      <c r="F41" s="577"/>
      <c r="G41" s="577"/>
      <c r="H41" s="577"/>
      <c r="I41" s="577"/>
      <c r="J41" s="577"/>
      <c r="K41" s="577"/>
      <c r="L41" s="200">
        <f t="shared" si="0"/>
        <v>0</v>
      </c>
      <c r="M41" s="37">
        <f t="shared" si="1"/>
        <v>0</v>
      </c>
      <c r="N41" s="37">
        <f t="shared" si="2"/>
        <v>0</v>
      </c>
      <c r="O41" s="37">
        <f t="shared" si="3"/>
        <v>0</v>
      </c>
      <c r="P41" s="38">
        <f t="shared" si="5"/>
        <v>0</v>
      </c>
    </row>
    <row r="42" spans="1:16" ht="18" customHeight="1" x14ac:dyDescent="0.25">
      <c r="A42" s="577">
        <v>35</v>
      </c>
      <c r="B42" s="35">
        <f>dtsiswa!D41</f>
        <v>0</v>
      </c>
      <c r="C42" s="36" t="s">
        <v>5</v>
      </c>
      <c r="D42" s="577"/>
      <c r="E42" s="577"/>
      <c r="F42" s="577"/>
      <c r="G42" s="577"/>
      <c r="H42" s="577"/>
      <c r="I42" s="577"/>
      <c r="J42" s="577"/>
      <c r="K42" s="577"/>
      <c r="L42" s="200">
        <f t="shared" si="0"/>
        <v>0</v>
      </c>
      <c r="M42" s="37">
        <f t="shared" si="1"/>
        <v>0</v>
      </c>
      <c r="N42" s="37">
        <f t="shared" si="2"/>
        <v>0</v>
      </c>
      <c r="O42" s="37">
        <f t="shared" si="3"/>
        <v>0</v>
      </c>
      <c r="P42" s="38">
        <f t="shared" si="5"/>
        <v>0</v>
      </c>
    </row>
    <row r="43" spans="1:16" ht="18" customHeight="1" x14ac:dyDescent="0.25">
      <c r="A43" s="577">
        <v>36</v>
      </c>
      <c r="B43" s="35">
        <f>dtsiswa!D42</f>
        <v>0</v>
      </c>
      <c r="C43" s="36" t="s">
        <v>5</v>
      </c>
      <c r="D43" s="577"/>
      <c r="E43" s="577"/>
      <c r="F43" s="577"/>
      <c r="G43" s="577"/>
      <c r="H43" s="577"/>
      <c r="I43" s="577"/>
      <c r="J43" s="577"/>
      <c r="K43" s="577"/>
      <c r="L43" s="200">
        <f t="shared" si="0"/>
        <v>0</v>
      </c>
      <c r="M43" s="37">
        <f t="shared" si="1"/>
        <v>0</v>
      </c>
      <c r="N43" s="37">
        <f t="shared" si="2"/>
        <v>0</v>
      </c>
      <c r="O43" s="37">
        <f t="shared" si="3"/>
        <v>0</v>
      </c>
      <c r="P43" s="38">
        <f t="shared" si="5"/>
        <v>0</v>
      </c>
    </row>
    <row r="44" spans="1:16" ht="18" customHeight="1" x14ac:dyDescent="0.25">
      <c r="A44" s="577">
        <v>37</v>
      </c>
      <c r="B44" s="35">
        <f>dtsiswa!D43</f>
        <v>0</v>
      </c>
      <c r="C44" s="36" t="s">
        <v>5</v>
      </c>
      <c r="D44" s="577"/>
      <c r="E44" s="577"/>
      <c r="F44" s="577"/>
      <c r="G44" s="577"/>
      <c r="H44" s="577"/>
      <c r="I44" s="577"/>
      <c r="J44" s="577"/>
      <c r="K44" s="577"/>
      <c r="L44" s="200">
        <f t="shared" si="0"/>
        <v>0</v>
      </c>
      <c r="M44" s="37">
        <f t="shared" si="1"/>
        <v>0</v>
      </c>
      <c r="N44" s="37">
        <f t="shared" si="2"/>
        <v>0</v>
      </c>
      <c r="O44" s="37">
        <f t="shared" si="3"/>
        <v>0</v>
      </c>
      <c r="P44" s="38">
        <f t="shared" si="5"/>
        <v>0</v>
      </c>
    </row>
    <row r="45" spans="1:16" ht="18" customHeight="1" x14ac:dyDescent="0.25">
      <c r="A45" s="577">
        <v>38</v>
      </c>
      <c r="B45" s="35">
        <f>dtsiswa!D44</f>
        <v>0</v>
      </c>
      <c r="C45" s="36" t="s">
        <v>5</v>
      </c>
      <c r="D45" s="577"/>
      <c r="E45" s="577"/>
      <c r="F45" s="577"/>
      <c r="G45" s="577"/>
      <c r="H45" s="577"/>
      <c r="I45" s="577"/>
      <c r="J45" s="577"/>
      <c r="K45" s="577"/>
      <c r="L45" s="200">
        <f t="shared" si="0"/>
        <v>0</v>
      </c>
      <c r="M45" s="37">
        <f t="shared" si="1"/>
        <v>0</v>
      </c>
      <c r="N45" s="37">
        <f t="shared" si="2"/>
        <v>0</v>
      </c>
      <c r="O45" s="37">
        <f t="shared" si="3"/>
        <v>0</v>
      </c>
      <c r="P45" s="38">
        <f t="shared" si="5"/>
        <v>0</v>
      </c>
    </row>
    <row r="46" spans="1:16" ht="18" customHeight="1" x14ac:dyDescent="0.25">
      <c r="A46" s="577">
        <v>39</v>
      </c>
      <c r="B46" s="35">
        <f>dtsiswa!D45</f>
        <v>0</v>
      </c>
      <c r="C46" s="36" t="s">
        <v>5</v>
      </c>
      <c r="D46" s="577"/>
      <c r="E46" s="577"/>
      <c r="F46" s="577"/>
      <c r="G46" s="577"/>
      <c r="H46" s="577"/>
      <c r="I46" s="577"/>
      <c r="J46" s="577"/>
      <c r="K46" s="577"/>
      <c r="L46" s="200">
        <f t="shared" si="0"/>
        <v>0</v>
      </c>
      <c r="M46" s="37">
        <f t="shared" si="1"/>
        <v>0</v>
      </c>
      <c r="N46" s="37">
        <f t="shared" si="2"/>
        <v>0</v>
      </c>
      <c r="O46" s="37">
        <f t="shared" si="3"/>
        <v>0</v>
      </c>
      <c r="P46" s="38">
        <f t="shared" si="5"/>
        <v>0</v>
      </c>
    </row>
    <row r="47" spans="1:16" ht="18" customHeight="1" x14ac:dyDescent="0.25">
      <c r="A47" s="577">
        <v>40</v>
      </c>
      <c r="B47" s="35">
        <f>dtsiswa!D46</f>
        <v>0</v>
      </c>
      <c r="C47" s="36" t="s">
        <v>5</v>
      </c>
      <c r="D47" s="577"/>
      <c r="E47" s="577"/>
      <c r="F47" s="577"/>
      <c r="G47" s="577"/>
      <c r="H47" s="577"/>
      <c r="I47" s="577"/>
      <c r="J47" s="577"/>
      <c r="K47" s="577"/>
      <c r="L47" s="200">
        <f t="shared" si="0"/>
        <v>0</v>
      </c>
      <c r="M47" s="37">
        <f t="shared" si="1"/>
        <v>0</v>
      </c>
      <c r="N47" s="37">
        <f t="shared" si="2"/>
        <v>0</v>
      </c>
      <c r="O47" s="37">
        <f t="shared" si="3"/>
        <v>0</v>
      </c>
      <c r="P47" s="38">
        <f t="shared" si="5"/>
        <v>0</v>
      </c>
    </row>
  </sheetData>
  <mergeCells count="11">
    <mergeCell ref="A1:P1"/>
    <mergeCell ref="A2:P2"/>
    <mergeCell ref="A5:A7"/>
    <mergeCell ref="B5:B7"/>
    <mergeCell ref="C5:C7"/>
    <mergeCell ref="L5:L7"/>
    <mergeCell ref="M5:M7"/>
    <mergeCell ref="N5:N7"/>
    <mergeCell ref="O5:O7"/>
    <mergeCell ref="P5:P7"/>
    <mergeCell ref="D5:K5"/>
  </mergeCells>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S54"/>
  <sheetViews>
    <sheetView showGridLines="0" zoomScale="90" zoomScaleNormal="90" workbookViewId="0">
      <pane xSplit="2" ySplit="8" topLeftCell="C48" activePane="bottomRight" state="frozen"/>
      <selection sqref="A1:Q1"/>
      <selection pane="topRight" sqref="A1:Q1"/>
      <selection pane="bottomLeft" sqref="A1:Q1"/>
      <selection pane="bottomRight" sqref="A1:Q1"/>
    </sheetView>
  </sheetViews>
  <sheetFormatPr defaultRowHeight="15" x14ac:dyDescent="0.25"/>
  <cols>
    <col min="1" max="1" width="5" customWidth="1"/>
    <col min="2" max="2" width="38.28515625" customWidth="1"/>
    <col min="3" max="3" width="5" customWidth="1"/>
    <col min="4" max="11" width="4.7109375" customWidth="1"/>
    <col min="12" max="12" width="6.7109375" customWidth="1"/>
    <col min="13" max="14" width="5.140625" customWidth="1"/>
    <col min="15" max="15" width="4.85546875" customWidth="1"/>
    <col min="16" max="16" width="7.7109375" customWidth="1"/>
    <col min="17" max="17" width="10.28515625" customWidth="1"/>
    <col min="18" max="18" width="11.7109375" customWidth="1"/>
    <col min="19" max="19" width="13.5703125" customWidth="1"/>
  </cols>
  <sheetData>
    <row r="1" spans="1:19" ht="33.75" customHeight="1" x14ac:dyDescent="0.25">
      <c r="A1" s="232"/>
      <c r="B1" s="233"/>
      <c r="C1" s="233"/>
      <c r="D1" s="233"/>
      <c r="E1" s="233"/>
      <c r="F1" s="233"/>
      <c r="G1" s="233"/>
      <c r="H1" s="233"/>
      <c r="I1" s="233"/>
      <c r="J1" s="233"/>
      <c r="K1" s="233"/>
      <c r="L1" s="233"/>
      <c r="M1" s="233"/>
      <c r="N1" s="233"/>
      <c r="O1" s="233"/>
      <c r="P1" s="233"/>
      <c r="Q1" s="233"/>
      <c r="R1" s="233"/>
      <c r="S1" s="234"/>
    </row>
    <row r="2" spans="1:19" ht="23.25" x14ac:dyDescent="0.35">
      <c r="A2" s="29" t="s">
        <v>53</v>
      </c>
      <c r="I2" s="225"/>
      <c r="J2" s="225"/>
      <c r="K2" s="69"/>
      <c r="L2" s="69"/>
    </row>
    <row r="3" spans="1:19" ht="21" x14ac:dyDescent="0.35">
      <c r="A3" s="70" t="s">
        <v>194</v>
      </c>
      <c r="I3" s="225"/>
      <c r="J3" s="225"/>
      <c r="K3" s="225"/>
      <c r="L3" s="225"/>
    </row>
    <row r="4" spans="1:19" ht="23.25" x14ac:dyDescent="0.35">
      <c r="A4" s="29" t="s">
        <v>443</v>
      </c>
      <c r="Q4" s="272"/>
      <c r="R4" s="272"/>
      <c r="S4" s="75"/>
    </row>
    <row r="5" spans="1:19" s="201" customFormat="1" ht="16.5" thickBot="1" x14ac:dyDescent="0.3">
      <c r="A5" s="230">
        <v>1</v>
      </c>
      <c r="B5" s="230">
        <v>2</v>
      </c>
      <c r="C5" s="230">
        <v>3</v>
      </c>
      <c r="D5" s="230">
        <v>4</v>
      </c>
      <c r="E5" s="230">
        <v>5</v>
      </c>
      <c r="F5" s="230">
        <v>6</v>
      </c>
      <c r="G5" s="230">
        <v>7</v>
      </c>
      <c r="H5" s="230">
        <v>8</v>
      </c>
      <c r="I5" s="230">
        <v>9</v>
      </c>
      <c r="J5" s="230">
        <v>10</v>
      </c>
      <c r="K5" s="230">
        <v>11</v>
      </c>
      <c r="L5" s="230">
        <v>12</v>
      </c>
      <c r="M5" s="230">
        <v>13</v>
      </c>
      <c r="N5" s="230">
        <v>14</v>
      </c>
      <c r="O5" s="230">
        <v>15</v>
      </c>
      <c r="P5" s="230">
        <v>16</v>
      </c>
      <c r="Q5" s="230">
        <v>17</v>
      </c>
      <c r="R5" s="230">
        <v>18</v>
      </c>
      <c r="S5" s="230">
        <v>19</v>
      </c>
    </row>
    <row r="6" spans="1:19" s="30" customFormat="1" ht="20.25" customHeight="1" x14ac:dyDescent="0.25">
      <c r="A6" s="3156" t="s">
        <v>0</v>
      </c>
      <c r="B6" s="3156" t="s">
        <v>28</v>
      </c>
      <c r="C6" s="3158" t="s">
        <v>3</v>
      </c>
      <c r="D6" s="3173" t="s">
        <v>686</v>
      </c>
      <c r="E6" s="3174"/>
      <c r="F6" s="3174"/>
      <c r="G6" s="3174"/>
      <c r="H6" s="3174"/>
      <c r="I6" s="3174"/>
      <c r="J6" s="3174"/>
      <c r="K6" s="3175"/>
      <c r="L6" s="3153" t="s">
        <v>159</v>
      </c>
      <c r="M6" s="3160" t="s">
        <v>29</v>
      </c>
      <c r="N6" s="3163" t="s">
        <v>30</v>
      </c>
      <c r="O6" s="3163" t="s">
        <v>31</v>
      </c>
      <c r="P6" s="3166" t="s">
        <v>32</v>
      </c>
      <c r="Q6" s="3169" t="s">
        <v>158</v>
      </c>
      <c r="R6" s="3170"/>
      <c r="S6" s="3150" t="s">
        <v>684</v>
      </c>
    </row>
    <row r="7" spans="1:19" s="30" customFormat="1" ht="20.25" customHeight="1" x14ac:dyDescent="0.25">
      <c r="A7" s="3143"/>
      <c r="B7" s="3143"/>
      <c r="C7" s="3144"/>
      <c r="D7" s="31" t="s">
        <v>29</v>
      </c>
      <c r="E7" s="31" t="s">
        <v>29</v>
      </c>
      <c r="F7" s="31" t="s">
        <v>29</v>
      </c>
      <c r="G7" s="31" t="s">
        <v>29</v>
      </c>
      <c r="H7" s="31" t="s">
        <v>29</v>
      </c>
      <c r="I7" s="32" t="s">
        <v>30</v>
      </c>
      <c r="J7" s="32" t="s">
        <v>30</v>
      </c>
      <c r="K7" s="33" t="s">
        <v>31</v>
      </c>
      <c r="L7" s="3154"/>
      <c r="M7" s="3161"/>
      <c r="N7" s="3164"/>
      <c r="O7" s="3164"/>
      <c r="P7" s="3167"/>
      <c r="Q7" s="3171"/>
      <c r="R7" s="3172"/>
      <c r="S7" s="3151"/>
    </row>
    <row r="8" spans="1:19" ht="22.5" customHeight="1" thickBot="1" x14ac:dyDescent="0.3">
      <c r="A8" s="3157"/>
      <c r="B8" s="3157"/>
      <c r="C8" s="3159"/>
      <c r="D8" s="284">
        <v>1</v>
      </c>
      <c r="E8" s="284">
        <v>2</v>
      </c>
      <c r="F8" s="284">
        <v>3</v>
      </c>
      <c r="G8" s="284">
        <v>4</v>
      </c>
      <c r="H8" s="284">
        <v>5</v>
      </c>
      <c r="I8" s="284">
        <v>6</v>
      </c>
      <c r="J8" s="284">
        <v>7</v>
      </c>
      <c r="K8" s="284">
        <v>8</v>
      </c>
      <c r="L8" s="3155"/>
      <c r="M8" s="3162"/>
      <c r="N8" s="3165"/>
      <c r="O8" s="3165"/>
      <c r="P8" s="3168"/>
      <c r="Q8" s="276" t="s">
        <v>8</v>
      </c>
      <c r="R8" s="276" t="s">
        <v>18</v>
      </c>
      <c r="S8" s="3152"/>
    </row>
    <row r="9" spans="1:19" ht="20.100000000000001" customHeight="1" x14ac:dyDescent="0.25">
      <c r="A9" s="34">
        <v>1</v>
      </c>
      <c r="B9" s="35" t="str">
        <f>dtsiswa!D7</f>
        <v>Achmad Zacky</v>
      </c>
      <c r="C9" s="36" t="s">
        <v>4</v>
      </c>
      <c r="D9" s="200">
        <v>1</v>
      </c>
      <c r="E9" s="200">
        <v>1</v>
      </c>
      <c r="F9" s="200">
        <v>2</v>
      </c>
      <c r="G9" s="200">
        <v>2</v>
      </c>
      <c r="H9" s="200">
        <v>0</v>
      </c>
      <c r="I9" s="200">
        <v>1</v>
      </c>
      <c r="J9" s="200">
        <v>1</v>
      </c>
      <c r="K9" s="200">
        <v>2</v>
      </c>
      <c r="L9" s="476">
        <f>SUM(D9:K9)*100/12</f>
        <v>83.333333333333329</v>
      </c>
      <c r="M9" s="1068">
        <f>SUM(D9:H9)</f>
        <v>6</v>
      </c>
      <c r="N9" s="227">
        <f>SUM(I9:J9)</f>
        <v>2</v>
      </c>
      <c r="O9" s="227">
        <f>K9</f>
        <v>2</v>
      </c>
      <c r="P9" s="228">
        <f>L9</f>
        <v>83.333333333333329</v>
      </c>
      <c r="Q9" s="477">
        <f>P9</f>
        <v>83.333333333333329</v>
      </c>
      <c r="R9" s="477">
        <f t="shared" ref="R9" si="0">Q9</f>
        <v>83.333333333333329</v>
      </c>
      <c r="S9" s="38">
        <f t="shared" ref="S9:S48" si="1">L9</f>
        <v>83.333333333333329</v>
      </c>
    </row>
    <row r="10" spans="1:19" ht="20.100000000000001" customHeight="1" x14ac:dyDescent="0.25">
      <c r="A10" s="40">
        <v>2</v>
      </c>
      <c r="B10" s="35" t="str">
        <f>dtsiswa!D8</f>
        <v>Angelia Vabel R</v>
      </c>
      <c r="C10" s="36" t="s">
        <v>4</v>
      </c>
      <c r="D10" s="200"/>
      <c r="E10" s="200"/>
      <c r="F10" s="200"/>
      <c r="G10" s="200"/>
      <c r="H10" s="200"/>
      <c r="I10" s="200"/>
      <c r="J10" s="200"/>
      <c r="K10" s="200"/>
      <c r="L10" s="476">
        <f t="shared" ref="L10:L39" si="2">SUM(D10:K10)*100/15</f>
        <v>0</v>
      </c>
      <c r="M10" s="1068">
        <f t="shared" ref="M10:M48" si="3">SUM(D10:H10)</f>
        <v>0</v>
      </c>
      <c r="N10" s="227">
        <f t="shared" ref="N10:N48" si="4">SUM(I10:J10)</f>
        <v>0</v>
      </c>
      <c r="O10" s="227">
        <f t="shared" ref="O10:O48" si="5">K10</f>
        <v>0</v>
      </c>
      <c r="P10" s="228">
        <f t="shared" ref="P10:P39" si="6">L10</f>
        <v>0</v>
      </c>
      <c r="Q10" s="477">
        <f t="shared" ref="Q10:R10" si="7">P10</f>
        <v>0</v>
      </c>
      <c r="R10" s="477">
        <f t="shared" si="7"/>
        <v>0</v>
      </c>
      <c r="S10" s="38">
        <f t="shared" si="1"/>
        <v>0</v>
      </c>
    </row>
    <row r="11" spans="1:19" ht="20.100000000000001" customHeight="1" x14ac:dyDescent="0.25">
      <c r="A11" s="40">
        <v>3</v>
      </c>
      <c r="B11" s="35" t="str">
        <f>dtsiswa!D9</f>
        <v>Anggun Dwi P.I</v>
      </c>
      <c r="C11" s="36" t="s">
        <v>4</v>
      </c>
      <c r="D11" s="200"/>
      <c r="E11" s="200"/>
      <c r="F11" s="200"/>
      <c r="G11" s="200"/>
      <c r="H11" s="200"/>
      <c r="I11" s="200"/>
      <c r="J11" s="200"/>
      <c r="K11" s="200"/>
      <c r="L11" s="476">
        <f t="shared" si="2"/>
        <v>0</v>
      </c>
      <c r="M11" s="1068">
        <f t="shared" si="3"/>
        <v>0</v>
      </c>
      <c r="N11" s="227">
        <f t="shared" si="4"/>
        <v>0</v>
      </c>
      <c r="O11" s="227">
        <f t="shared" si="5"/>
        <v>0</v>
      </c>
      <c r="P11" s="228">
        <f t="shared" si="6"/>
        <v>0</v>
      </c>
      <c r="Q11" s="477">
        <f t="shared" ref="Q11:R11" si="8">P11</f>
        <v>0</v>
      </c>
      <c r="R11" s="477">
        <f t="shared" si="8"/>
        <v>0</v>
      </c>
      <c r="S11" s="38">
        <f t="shared" si="1"/>
        <v>0</v>
      </c>
    </row>
    <row r="12" spans="1:19" ht="20.100000000000001" customHeight="1" x14ac:dyDescent="0.25">
      <c r="A12" s="40">
        <v>4</v>
      </c>
      <c r="B12" s="35" t="str">
        <f>dtsiswa!D10</f>
        <v>Antonio Permata A</v>
      </c>
      <c r="C12" s="43" t="s">
        <v>4</v>
      </c>
      <c r="D12" s="59"/>
      <c r="E12" s="59"/>
      <c r="F12" s="59"/>
      <c r="G12" s="59"/>
      <c r="H12" s="59"/>
      <c r="I12" s="59"/>
      <c r="J12" s="59"/>
      <c r="K12" s="59"/>
      <c r="L12" s="476">
        <f t="shared" si="2"/>
        <v>0</v>
      </c>
      <c r="M12" s="1068">
        <f t="shared" si="3"/>
        <v>0</v>
      </c>
      <c r="N12" s="227">
        <f t="shared" si="4"/>
        <v>0</v>
      </c>
      <c r="O12" s="227">
        <f t="shared" si="5"/>
        <v>0</v>
      </c>
      <c r="P12" s="228">
        <f t="shared" si="6"/>
        <v>0</v>
      </c>
      <c r="Q12" s="477">
        <f t="shared" ref="Q12:R12" si="9">P12</f>
        <v>0</v>
      </c>
      <c r="R12" s="477">
        <f t="shared" si="9"/>
        <v>0</v>
      </c>
      <c r="S12" s="38">
        <f t="shared" si="1"/>
        <v>0</v>
      </c>
    </row>
    <row r="13" spans="1:19" ht="20.100000000000001" customHeight="1" x14ac:dyDescent="0.25">
      <c r="A13" s="40">
        <v>5</v>
      </c>
      <c r="B13" s="35" t="str">
        <f>dtsiswa!D11</f>
        <v>Arya Pratama G</v>
      </c>
      <c r="C13" s="36" t="s">
        <v>5</v>
      </c>
      <c r="D13" s="59"/>
      <c r="E13" s="59"/>
      <c r="F13" s="59"/>
      <c r="G13" s="59"/>
      <c r="H13" s="59"/>
      <c r="I13" s="59"/>
      <c r="J13" s="59"/>
      <c r="K13" s="59"/>
      <c r="L13" s="476">
        <f t="shared" si="2"/>
        <v>0</v>
      </c>
      <c r="M13" s="1068">
        <f t="shared" si="3"/>
        <v>0</v>
      </c>
      <c r="N13" s="227">
        <f t="shared" si="4"/>
        <v>0</v>
      </c>
      <c r="O13" s="227">
        <f t="shared" si="5"/>
        <v>0</v>
      </c>
      <c r="P13" s="228">
        <f t="shared" si="6"/>
        <v>0</v>
      </c>
      <c r="Q13" s="477">
        <f t="shared" ref="Q13:R13" si="10">P13</f>
        <v>0</v>
      </c>
      <c r="R13" s="477">
        <f t="shared" si="10"/>
        <v>0</v>
      </c>
      <c r="S13" s="38">
        <f t="shared" si="1"/>
        <v>0</v>
      </c>
    </row>
    <row r="14" spans="1:19" ht="20.100000000000001" customHeight="1" x14ac:dyDescent="0.25">
      <c r="A14" s="40">
        <v>6</v>
      </c>
      <c r="B14" s="35" t="str">
        <f>dtsiswa!D12</f>
        <v>Asyam Hanif Ihsan H</v>
      </c>
      <c r="C14" s="36" t="s">
        <v>5</v>
      </c>
      <c r="D14" s="59"/>
      <c r="E14" s="59"/>
      <c r="F14" s="59"/>
      <c r="G14" s="59"/>
      <c r="H14" s="59"/>
      <c r="I14" s="59"/>
      <c r="J14" s="59"/>
      <c r="K14" s="59"/>
      <c r="L14" s="476">
        <f t="shared" si="2"/>
        <v>0</v>
      </c>
      <c r="M14" s="1068">
        <f t="shared" si="3"/>
        <v>0</v>
      </c>
      <c r="N14" s="227">
        <f t="shared" si="4"/>
        <v>0</v>
      </c>
      <c r="O14" s="227">
        <f t="shared" si="5"/>
        <v>0</v>
      </c>
      <c r="P14" s="228">
        <f t="shared" si="6"/>
        <v>0</v>
      </c>
      <c r="Q14" s="477">
        <f t="shared" ref="Q14:R14" si="11">P14</f>
        <v>0</v>
      </c>
      <c r="R14" s="477">
        <f t="shared" si="11"/>
        <v>0</v>
      </c>
      <c r="S14" s="38">
        <f t="shared" si="1"/>
        <v>0</v>
      </c>
    </row>
    <row r="15" spans="1:19" ht="20.100000000000001" customHeight="1" x14ac:dyDescent="0.25">
      <c r="A15" s="40">
        <v>7</v>
      </c>
      <c r="B15" s="35" t="str">
        <f>dtsiswa!D13</f>
        <v>Athaya Salsabilla Z</v>
      </c>
      <c r="C15" s="36" t="s">
        <v>4</v>
      </c>
      <c r="D15" s="59"/>
      <c r="E15" s="59"/>
      <c r="F15" s="59"/>
      <c r="G15" s="59"/>
      <c r="H15" s="59"/>
      <c r="I15" s="59"/>
      <c r="J15" s="59"/>
      <c r="K15" s="59"/>
      <c r="L15" s="476">
        <f t="shared" si="2"/>
        <v>0</v>
      </c>
      <c r="M15" s="1068">
        <f t="shared" si="3"/>
        <v>0</v>
      </c>
      <c r="N15" s="227">
        <f t="shared" si="4"/>
        <v>0</v>
      </c>
      <c r="O15" s="227">
        <f t="shared" si="5"/>
        <v>0</v>
      </c>
      <c r="P15" s="228">
        <f t="shared" si="6"/>
        <v>0</v>
      </c>
      <c r="Q15" s="477">
        <f t="shared" ref="Q15:R15" si="12">P15</f>
        <v>0</v>
      </c>
      <c r="R15" s="477">
        <f t="shared" si="12"/>
        <v>0</v>
      </c>
      <c r="S15" s="38">
        <f t="shared" si="1"/>
        <v>0</v>
      </c>
    </row>
    <row r="16" spans="1:19" ht="20.100000000000001" customHeight="1" x14ac:dyDescent="0.25">
      <c r="A16" s="40">
        <v>8</v>
      </c>
      <c r="B16" s="35" t="str">
        <f>dtsiswa!D14</f>
        <v>Aulia Dea Rosalinda</v>
      </c>
      <c r="C16" s="36" t="s">
        <v>4</v>
      </c>
      <c r="D16" s="59"/>
      <c r="E16" s="59"/>
      <c r="F16" s="59"/>
      <c r="G16" s="59"/>
      <c r="H16" s="59"/>
      <c r="I16" s="59"/>
      <c r="J16" s="59"/>
      <c r="K16" s="59"/>
      <c r="L16" s="476">
        <f t="shared" si="2"/>
        <v>0</v>
      </c>
      <c r="M16" s="1068">
        <f t="shared" si="3"/>
        <v>0</v>
      </c>
      <c r="N16" s="227">
        <f t="shared" si="4"/>
        <v>0</v>
      </c>
      <c r="O16" s="227">
        <f t="shared" si="5"/>
        <v>0</v>
      </c>
      <c r="P16" s="228">
        <f t="shared" si="6"/>
        <v>0</v>
      </c>
      <c r="Q16" s="477">
        <f t="shared" ref="Q16:R16" si="13">P16</f>
        <v>0</v>
      </c>
      <c r="R16" s="477">
        <f t="shared" si="13"/>
        <v>0</v>
      </c>
      <c r="S16" s="38">
        <f t="shared" si="1"/>
        <v>0</v>
      </c>
    </row>
    <row r="17" spans="1:19" ht="20.100000000000001" customHeight="1" x14ac:dyDescent="0.25">
      <c r="A17" s="40">
        <v>9</v>
      </c>
      <c r="B17" s="35" t="str">
        <f>dtsiswa!D15</f>
        <v>Claudia Gabriella L</v>
      </c>
      <c r="C17" s="36" t="s">
        <v>4</v>
      </c>
      <c r="D17" s="59"/>
      <c r="E17" s="59"/>
      <c r="F17" s="59"/>
      <c r="G17" s="59"/>
      <c r="H17" s="59"/>
      <c r="I17" s="59"/>
      <c r="J17" s="59"/>
      <c r="K17" s="59"/>
      <c r="L17" s="476">
        <f t="shared" si="2"/>
        <v>0</v>
      </c>
      <c r="M17" s="1068">
        <f t="shared" si="3"/>
        <v>0</v>
      </c>
      <c r="N17" s="227">
        <f t="shared" si="4"/>
        <v>0</v>
      </c>
      <c r="O17" s="227">
        <f t="shared" si="5"/>
        <v>0</v>
      </c>
      <c r="P17" s="228">
        <f t="shared" si="6"/>
        <v>0</v>
      </c>
      <c r="Q17" s="477">
        <f t="shared" ref="Q17:R17" si="14">P17</f>
        <v>0</v>
      </c>
      <c r="R17" s="477">
        <f t="shared" si="14"/>
        <v>0</v>
      </c>
      <c r="S17" s="38">
        <f t="shared" si="1"/>
        <v>0</v>
      </c>
    </row>
    <row r="18" spans="1:19" ht="20.100000000000001" customHeight="1" x14ac:dyDescent="0.25">
      <c r="A18" s="40">
        <v>10</v>
      </c>
      <c r="B18" s="35" t="str">
        <f>dtsiswa!D16</f>
        <v xml:space="preserve">Deco Badarus Zaman </v>
      </c>
      <c r="C18" s="36" t="s">
        <v>4</v>
      </c>
      <c r="D18" s="59"/>
      <c r="E18" s="59"/>
      <c r="F18" s="59"/>
      <c r="G18" s="59"/>
      <c r="H18" s="59"/>
      <c r="I18" s="59"/>
      <c r="J18" s="59"/>
      <c r="K18" s="59"/>
      <c r="L18" s="476">
        <f t="shared" si="2"/>
        <v>0</v>
      </c>
      <c r="M18" s="1068">
        <f t="shared" si="3"/>
        <v>0</v>
      </c>
      <c r="N18" s="227">
        <f t="shared" si="4"/>
        <v>0</v>
      </c>
      <c r="O18" s="227">
        <f t="shared" si="5"/>
        <v>0</v>
      </c>
      <c r="P18" s="228">
        <f t="shared" si="6"/>
        <v>0</v>
      </c>
      <c r="Q18" s="477">
        <f t="shared" ref="Q18:R18" si="15">P18</f>
        <v>0</v>
      </c>
      <c r="R18" s="477">
        <f t="shared" si="15"/>
        <v>0</v>
      </c>
      <c r="S18" s="38">
        <f t="shared" si="1"/>
        <v>0</v>
      </c>
    </row>
    <row r="19" spans="1:19" ht="20.100000000000001" customHeight="1" x14ac:dyDescent="0.25">
      <c r="A19" s="40">
        <v>11</v>
      </c>
      <c r="B19" s="35" t="str">
        <f>dtsiswa!D17</f>
        <v>Fania Mutiara Felichia</v>
      </c>
      <c r="C19" s="36" t="s">
        <v>4</v>
      </c>
      <c r="D19" s="59"/>
      <c r="E19" s="59"/>
      <c r="F19" s="59"/>
      <c r="G19" s="59"/>
      <c r="H19" s="59"/>
      <c r="I19" s="59"/>
      <c r="J19" s="59"/>
      <c r="K19" s="59"/>
      <c r="L19" s="476">
        <f t="shared" si="2"/>
        <v>0</v>
      </c>
      <c r="M19" s="1068">
        <f t="shared" si="3"/>
        <v>0</v>
      </c>
      <c r="N19" s="227">
        <f t="shared" si="4"/>
        <v>0</v>
      </c>
      <c r="O19" s="227">
        <f t="shared" si="5"/>
        <v>0</v>
      </c>
      <c r="P19" s="228">
        <f t="shared" si="6"/>
        <v>0</v>
      </c>
      <c r="Q19" s="477">
        <f t="shared" ref="Q19:R19" si="16">P19</f>
        <v>0</v>
      </c>
      <c r="R19" s="477">
        <f t="shared" si="16"/>
        <v>0</v>
      </c>
      <c r="S19" s="38">
        <f t="shared" si="1"/>
        <v>0</v>
      </c>
    </row>
    <row r="20" spans="1:19" ht="20.100000000000001" customHeight="1" x14ac:dyDescent="0.25">
      <c r="A20" s="40">
        <v>12</v>
      </c>
      <c r="B20" s="35" t="str">
        <f>dtsiswa!D18</f>
        <v>Intan Dyah Nowari</v>
      </c>
      <c r="C20" s="36" t="s">
        <v>4</v>
      </c>
      <c r="D20" s="59"/>
      <c r="E20" s="59"/>
      <c r="F20" s="59"/>
      <c r="G20" s="59"/>
      <c r="H20" s="59"/>
      <c r="I20" s="59"/>
      <c r="J20" s="59"/>
      <c r="K20" s="59"/>
      <c r="L20" s="476">
        <f t="shared" si="2"/>
        <v>0</v>
      </c>
      <c r="M20" s="1068">
        <f t="shared" si="3"/>
        <v>0</v>
      </c>
      <c r="N20" s="227">
        <f t="shared" si="4"/>
        <v>0</v>
      </c>
      <c r="O20" s="227">
        <f t="shared" si="5"/>
        <v>0</v>
      </c>
      <c r="P20" s="228">
        <f t="shared" si="6"/>
        <v>0</v>
      </c>
      <c r="Q20" s="477">
        <f t="shared" ref="Q20:R20" si="17">P20</f>
        <v>0</v>
      </c>
      <c r="R20" s="477">
        <f t="shared" si="17"/>
        <v>0</v>
      </c>
      <c r="S20" s="38">
        <f t="shared" si="1"/>
        <v>0</v>
      </c>
    </row>
    <row r="21" spans="1:19" ht="20.100000000000001" customHeight="1" x14ac:dyDescent="0.25">
      <c r="A21" s="40">
        <v>13</v>
      </c>
      <c r="B21" s="35" t="str">
        <f>dtsiswa!D19</f>
        <v>Misyanita Nurfitri S</v>
      </c>
      <c r="C21" s="36" t="s">
        <v>5</v>
      </c>
      <c r="D21" s="59"/>
      <c r="E21" s="59"/>
      <c r="F21" s="59"/>
      <c r="G21" s="59"/>
      <c r="H21" s="59"/>
      <c r="I21" s="59"/>
      <c r="J21" s="59"/>
      <c r="K21" s="59"/>
      <c r="L21" s="476">
        <f t="shared" si="2"/>
        <v>0</v>
      </c>
      <c r="M21" s="1068">
        <f t="shared" si="3"/>
        <v>0</v>
      </c>
      <c r="N21" s="227">
        <f t="shared" si="4"/>
        <v>0</v>
      </c>
      <c r="O21" s="227">
        <f t="shared" si="5"/>
        <v>0</v>
      </c>
      <c r="P21" s="228">
        <f t="shared" si="6"/>
        <v>0</v>
      </c>
      <c r="Q21" s="477">
        <f t="shared" ref="Q21:R21" si="18">P21</f>
        <v>0</v>
      </c>
      <c r="R21" s="477">
        <f t="shared" si="18"/>
        <v>0</v>
      </c>
      <c r="S21" s="38">
        <f t="shared" si="1"/>
        <v>0</v>
      </c>
    </row>
    <row r="22" spans="1:19" ht="20.100000000000001" customHeight="1" x14ac:dyDescent="0.25">
      <c r="A22" s="40">
        <v>14</v>
      </c>
      <c r="B22" s="35" t="str">
        <f>dtsiswa!D20</f>
        <v>Moch Zidane Hita L. U</v>
      </c>
      <c r="C22" s="36" t="s">
        <v>4</v>
      </c>
      <c r="D22" s="59"/>
      <c r="E22" s="59"/>
      <c r="F22" s="59"/>
      <c r="G22" s="59"/>
      <c r="H22" s="59"/>
      <c r="I22" s="59"/>
      <c r="J22" s="59"/>
      <c r="K22" s="59"/>
      <c r="L22" s="476">
        <f t="shared" si="2"/>
        <v>0</v>
      </c>
      <c r="M22" s="1068">
        <f t="shared" si="3"/>
        <v>0</v>
      </c>
      <c r="N22" s="227">
        <f t="shared" si="4"/>
        <v>0</v>
      </c>
      <c r="O22" s="227">
        <f t="shared" si="5"/>
        <v>0</v>
      </c>
      <c r="P22" s="228">
        <f t="shared" si="6"/>
        <v>0</v>
      </c>
      <c r="Q22" s="477">
        <f t="shared" ref="Q22:R22" si="19">P22</f>
        <v>0</v>
      </c>
      <c r="R22" s="477">
        <f t="shared" si="19"/>
        <v>0</v>
      </c>
      <c r="S22" s="38">
        <f t="shared" si="1"/>
        <v>0</v>
      </c>
    </row>
    <row r="23" spans="1:19" ht="20.100000000000001" customHeight="1" x14ac:dyDescent="0.25">
      <c r="A23" s="40">
        <v>15</v>
      </c>
      <c r="B23" s="35" t="str">
        <f>dtsiswa!D21</f>
        <v>Muhammad Ibra Maulana</v>
      </c>
      <c r="C23" s="36" t="s">
        <v>4</v>
      </c>
      <c r="D23" s="59"/>
      <c r="E23" s="59"/>
      <c r="F23" s="59"/>
      <c r="G23" s="59"/>
      <c r="H23" s="59"/>
      <c r="I23" s="59"/>
      <c r="J23" s="59"/>
      <c r="K23" s="59"/>
      <c r="L23" s="476">
        <f t="shared" si="2"/>
        <v>0</v>
      </c>
      <c r="M23" s="1068">
        <f t="shared" si="3"/>
        <v>0</v>
      </c>
      <c r="N23" s="227">
        <f t="shared" si="4"/>
        <v>0</v>
      </c>
      <c r="O23" s="227">
        <f t="shared" si="5"/>
        <v>0</v>
      </c>
      <c r="P23" s="228">
        <f t="shared" si="6"/>
        <v>0</v>
      </c>
      <c r="Q23" s="477">
        <f t="shared" ref="Q23:R23" si="20">P23</f>
        <v>0</v>
      </c>
      <c r="R23" s="477">
        <f t="shared" si="20"/>
        <v>0</v>
      </c>
      <c r="S23" s="38">
        <f t="shared" si="1"/>
        <v>0</v>
      </c>
    </row>
    <row r="24" spans="1:19" ht="20.100000000000001" customHeight="1" x14ac:dyDescent="0.25">
      <c r="A24" s="40">
        <v>16</v>
      </c>
      <c r="B24" s="35" t="str">
        <f>dtsiswa!D22</f>
        <v>Nabilla Shiva Putri</v>
      </c>
      <c r="C24" s="36" t="s">
        <v>4</v>
      </c>
      <c r="D24" s="59"/>
      <c r="E24" s="59"/>
      <c r="F24" s="59"/>
      <c r="G24" s="59"/>
      <c r="H24" s="59"/>
      <c r="I24" s="59"/>
      <c r="J24" s="59"/>
      <c r="K24" s="59"/>
      <c r="L24" s="476">
        <f t="shared" si="2"/>
        <v>0</v>
      </c>
      <c r="M24" s="1068">
        <f t="shared" si="3"/>
        <v>0</v>
      </c>
      <c r="N24" s="227">
        <f t="shared" si="4"/>
        <v>0</v>
      </c>
      <c r="O24" s="227">
        <f t="shared" si="5"/>
        <v>0</v>
      </c>
      <c r="P24" s="228">
        <f t="shared" si="6"/>
        <v>0</v>
      </c>
      <c r="Q24" s="477">
        <f t="shared" ref="Q24:R24" si="21">P24</f>
        <v>0</v>
      </c>
      <c r="R24" s="477">
        <f t="shared" si="21"/>
        <v>0</v>
      </c>
      <c r="S24" s="38">
        <f t="shared" si="1"/>
        <v>0</v>
      </c>
    </row>
    <row r="25" spans="1:19" ht="20.100000000000001" customHeight="1" x14ac:dyDescent="0.25">
      <c r="A25" s="40">
        <v>17</v>
      </c>
      <c r="B25" s="35" t="str">
        <f>dtsiswa!D23</f>
        <v>Naufal Falih F</v>
      </c>
      <c r="C25" s="36" t="s">
        <v>5</v>
      </c>
      <c r="D25" s="59"/>
      <c r="E25" s="59"/>
      <c r="F25" s="59"/>
      <c r="G25" s="59"/>
      <c r="H25" s="59"/>
      <c r="I25" s="59"/>
      <c r="J25" s="59"/>
      <c r="K25" s="59"/>
      <c r="L25" s="476">
        <f t="shared" si="2"/>
        <v>0</v>
      </c>
      <c r="M25" s="1068">
        <f t="shared" si="3"/>
        <v>0</v>
      </c>
      <c r="N25" s="227">
        <f t="shared" si="4"/>
        <v>0</v>
      </c>
      <c r="O25" s="227">
        <f t="shared" si="5"/>
        <v>0</v>
      </c>
      <c r="P25" s="228">
        <f t="shared" si="6"/>
        <v>0</v>
      </c>
      <c r="Q25" s="477">
        <f t="shared" ref="Q25:R25" si="22">P25</f>
        <v>0</v>
      </c>
      <c r="R25" s="477">
        <f t="shared" si="22"/>
        <v>0</v>
      </c>
      <c r="S25" s="38">
        <f t="shared" si="1"/>
        <v>0</v>
      </c>
    </row>
    <row r="26" spans="1:19" ht="20.100000000000001" customHeight="1" x14ac:dyDescent="0.25">
      <c r="A26" s="40">
        <v>18</v>
      </c>
      <c r="B26" s="35" t="str">
        <f>dtsiswa!D24</f>
        <v>Nayla Annora Nobel W</v>
      </c>
      <c r="C26" s="36" t="s">
        <v>4</v>
      </c>
      <c r="D26" s="59"/>
      <c r="E26" s="59"/>
      <c r="F26" s="59"/>
      <c r="G26" s="59"/>
      <c r="H26" s="59"/>
      <c r="I26" s="59"/>
      <c r="J26" s="59"/>
      <c r="K26" s="59"/>
      <c r="L26" s="476">
        <f t="shared" si="2"/>
        <v>0</v>
      </c>
      <c r="M26" s="1068">
        <f t="shared" si="3"/>
        <v>0</v>
      </c>
      <c r="N26" s="227">
        <f t="shared" si="4"/>
        <v>0</v>
      </c>
      <c r="O26" s="227">
        <f t="shared" si="5"/>
        <v>0</v>
      </c>
      <c r="P26" s="228">
        <f t="shared" si="6"/>
        <v>0</v>
      </c>
      <c r="Q26" s="477">
        <f t="shared" ref="Q26:R26" si="23">P26</f>
        <v>0</v>
      </c>
      <c r="R26" s="477">
        <f t="shared" si="23"/>
        <v>0</v>
      </c>
      <c r="S26" s="38">
        <f t="shared" si="1"/>
        <v>0</v>
      </c>
    </row>
    <row r="27" spans="1:19" ht="20.100000000000001" customHeight="1" x14ac:dyDescent="0.25">
      <c r="A27" s="40">
        <v>19</v>
      </c>
      <c r="B27" s="35" t="str">
        <f>dtsiswa!D25</f>
        <v>Raihan Danang P</v>
      </c>
      <c r="C27" s="36" t="s">
        <v>5</v>
      </c>
      <c r="D27" s="59"/>
      <c r="E27" s="59"/>
      <c r="F27" s="59"/>
      <c r="G27" s="59"/>
      <c r="H27" s="59"/>
      <c r="I27" s="59"/>
      <c r="J27" s="59"/>
      <c r="K27" s="59"/>
      <c r="L27" s="476">
        <f t="shared" si="2"/>
        <v>0</v>
      </c>
      <c r="M27" s="1068">
        <f t="shared" si="3"/>
        <v>0</v>
      </c>
      <c r="N27" s="227">
        <f t="shared" si="4"/>
        <v>0</v>
      </c>
      <c r="O27" s="227">
        <f t="shared" si="5"/>
        <v>0</v>
      </c>
      <c r="P27" s="228">
        <f t="shared" si="6"/>
        <v>0</v>
      </c>
      <c r="Q27" s="477">
        <f t="shared" ref="Q27:R27" si="24">P27</f>
        <v>0</v>
      </c>
      <c r="R27" s="477">
        <f t="shared" si="24"/>
        <v>0</v>
      </c>
      <c r="S27" s="38">
        <f t="shared" si="1"/>
        <v>0</v>
      </c>
    </row>
    <row r="28" spans="1:19" ht="20.100000000000001" customHeight="1" x14ac:dyDescent="0.25">
      <c r="A28" s="40">
        <v>20</v>
      </c>
      <c r="B28" s="35" t="str">
        <f>dtsiswa!D26</f>
        <v>Roby Ardiyansyah</v>
      </c>
      <c r="C28" s="36" t="s">
        <v>5</v>
      </c>
      <c r="D28" s="40"/>
      <c r="E28" s="40"/>
      <c r="F28" s="40"/>
      <c r="G28" s="40"/>
      <c r="H28" s="40"/>
      <c r="I28" s="40"/>
      <c r="J28" s="40"/>
      <c r="K28" s="40"/>
      <c r="L28" s="476">
        <f t="shared" si="2"/>
        <v>0</v>
      </c>
      <c r="M28" s="1068">
        <f t="shared" si="3"/>
        <v>0</v>
      </c>
      <c r="N28" s="227">
        <f t="shared" si="4"/>
        <v>0</v>
      </c>
      <c r="O28" s="227">
        <f t="shared" si="5"/>
        <v>0</v>
      </c>
      <c r="P28" s="228">
        <f t="shared" si="6"/>
        <v>0</v>
      </c>
      <c r="Q28" s="477">
        <f t="shared" ref="Q28:R28" si="25">P28</f>
        <v>0</v>
      </c>
      <c r="R28" s="477">
        <f t="shared" si="25"/>
        <v>0</v>
      </c>
      <c r="S28" s="38">
        <f t="shared" si="1"/>
        <v>0</v>
      </c>
    </row>
    <row r="29" spans="1:19" ht="20.100000000000001" customHeight="1" x14ac:dyDescent="0.25">
      <c r="A29" s="40">
        <v>21</v>
      </c>
      <c r="B29" s="35" t="str">
        <f>dtsiswa!D27</f>
        <v>Rojalingga Prana A</v>
      </c>
      <c r="C29" s="44" t="s">
        <v>4</v>
      </c>
      <c r="D29" s="59"/>
      <c r="E29" s="59"/>
      <c r="F29" s="59"/>
      <c r="G29" s="59"/>
      <c r="H29" s="59"/>
      <c r="I29" s="59"/>
      <c r="J29" s="59"/>
      <c r="K29" s="59"/>
      <c r="L29" s="476">
        <f t="shared" si="2"/>
        <v>0</v>
      </c>
      <c r="M29" s="1068">
        <f t="shared" si="3"/>
        <v>0</v>
      </c>
      <c r="N29" s="227">
        <f t="shared" si="4"/>
        <v>0</v>
      </c>
      <c r="O29" s="227">
        <f t="shared" si="5"/>
        <v>0</v>
      </c>
      <c r="P29" s="228">
        <f t="shared" si="6"/>
        <v>0</v>
      </c>
      <c r="Q29" s="477">
        <f t="shared" ref="Q29:R29" si="26">P29</f>
        <v>0</v>
      </c>
      <c r="R29" s="477">
        <f t="shared" si="26"/>
        <v>0</v>
      </c>
      <c r="S29" s="38">
        <f t="shared" si="1"/>
        <v>0</v>
      </c>
    </row>
    <row r="30" spans="1:19" ht="20.100000000000001" customHeight="1" x14ac:dyDescent="0.25">
      <c r="A30" s="40">
        <v>22</v>
      </c>
      <c r="B30" s="35" t="str">
        <f>dtsiswa!D28</f>
        <v>Sally Savista A</v>
      </c>
      <c r="C30" s="45" t="s">
        <v>4</v>
      </c>
      <c r="D30" s="40"/>
      <c r="E30" s="40"/>
      <c r="F30" s="40"/>
      <c r="G30" s="40"/>
      <c r="H30" s="40"/>
      <c r="I30" s="40"/>
      <c r="J30" s="40"/>
      <c r="K30" s="40"/>
      <c r="L30" s="476">
        <f t="shared" si="2"/>
        <v>0</v>
      </c>
      <c r="M30" s="1068">
        <f t="shared" si="3"/>
        <v>0</v>
      </c>
      <c r="N30" s="227">
        <f t="shared" si="4"/>
        <v>0</v>
      </c>
      <c r="O30" s="227">
        <f t="shared" si="5"/>
        <v>0</v>
      </c>
      <c r="P30" s="228">
        <f t="shared" si="6"/>
        <v>0</v>
      </c>
      <c r="Q30" s="477">
        <f t="shared" ref="Q30:R30" si="27">P30</f>
        <v>0</v>
      </c>
      <c r="R30" s="477">
        <f t="shared" si="27"/>
        <v>0</v>
      </c>
      <c r="S30" s="38">
        <f t="shared" si="1"/>
        <v>0</v>
      </c>
    </row>
    <row r="31" spans="1:19" ht="20.100000000000001" customHeight="1" x14ac:dyDescent="0.25">
      <c r="A31" s="40">
        <v>23</v>
      </c>
      <c r="B31" s="35" t="str">
        <f>dtsiswa!D29</f>
        <v xml:space="preserve">Tania Kaori Angelita </v>
      </c>
      <c r="C31" s="45" t="s">
        <v>5</v>
      </c>
      <c r="D31" s="40"/>
      <c r="E31" s="40"/>
      <c r="F31" s="40"/>
      <c r="G31" s="40"/>
      <c r="H31" s="40"/>
      <c r="I31" s="40"/>
      <c r="J31" s="40"/>
      <c r="K31" s="40"/>
      <c r="L31" s="476">
        <f t="shared" si="2"/>
        <v>0</v>
      </c>
      <c r="M31" s="1068">
        <f t="shared" si="3"/>
        <v>0</v>
      </c>
      <c r="N31" s="227">
        <f t="shared" si="4"/>
        <v>0</v>
      </c>
      <c r="O31" s="227">
        <f t="shared" si="5"/>
        <v>0</v>
      </c>
      <c r="P31" s="228">
        <f t="shared" si="6"/>
        <v>0</v>
      </c>
      <c r="Q31" s="477">
        <f t="shared" ref="Q31:R31" si="28">P31</f>
        <v>0</v>
      </c>
      <c r="R31" s="477">
        <f t="shared" si="28"/>
        <v>0</v>
      </c>
      <c r="S31" s="38">
        <f t="shared" si="1"/>
        <v>0</v>
      </c>
    </row>
    <row r="32" spans="1:19" ht="20.100000000000001" customHeight="1" x14ac:dyDescent="0.25">
      <c r="A32" s="40">
        <v>24</v>
      </c>
      <c r="B32" s="35" t="str">
        <f>dtsiswa!D30</f>
        <v>Romzy Oka Ramadhani P</v>
      </c>
      <c r="C32" s="45" t="s">
        <v>5</v>
      </c>
      <c r="D32" s="40"/>
      <c r="E32" s="40"/>
      <c r="F32" s="40"/>
      <c r="G32" s="40"/>
      <c r="H32" s="40"/>
      <c r="I32" s="40"/>
      <c r="J32" s="40"/>
      <c r="K32" s="40"/>
      <c r="L32" s="476">
        <f t="shared" si="2"/>
        <v>0</v>
      </c>
      <c r="M32" s="1068">
        <f t="shared" si="3"/>
        <v>0</v>
      </c>
      <c r="N32" s="227">
        <f t="shared" si="4"/>
        <v>0</v>
      </c>
      <c r="O32" s="227">
        <f t="shared" si="5"/>
        <v>0</v>
      </c>
      <c r="P32" s="228">
        <f t="shared" si="6"/>
        <v>0</v>
      </c>
      <c r="Q32" s="477">
        <f t="shared" ref="Q32:R32" si="29">P32</f>
        <v>0</v>
      </c>
      <c r="R32" s="477">
        <f t="shared" si="29"/>
        <v>0</v>
      </c>
      <c r="S32" s="38">
        <f t="shared" si="1"/>
        <v>0</v>
      </c>
    </row>
    <row r="33" spans="1:19" ht="20.100000000000001" customHeight="1" x14ac:dyDescent="0.25">
      <c r="A33" s="40">
        <v>25</v>
      </c>
      <c r="B33" s="35" t="str">
        <f>dtsiswa!D31</f>
        <v>Larasati Jagadhita P</v>
      </c>
      <c r="C33" s="36" t="s">
        <v>4</v>
      </c>
      <c r="D33" s="40"/>
      <c r="E33" s="40"/>
      <c r="F33" s="40"/>
      <c r="G33" s="40"/>
      <c r="H33" s="40"/>
      <c r="I33" s="40"/>
      <c r="J33" s="40"/>
      <c r="K33" s="40"/>
      <c r="L33" s="476">
        <f t="shared" si="2"/>
        <v>0</v>
      </c>
      <c r="M33" s="1068">
        <f t="shared" si="3"/>
        <v>0</v>
      </c>
      <c r="N33" s="227">
        <f t="shared" si="4"/>
        <v>0</v>
      </c>
      <c r="O33" s="227">
        <f t="shared" si="5"/>
        <v>0</v>
      </c>
      <c r="P33" s="228">
        <f t="shared" si="6"/>
        <v>0</v>
      </c>
      <c r="Q33" s="477">
        <f t="shared" ref="Q33:R33" si="30">P33</f>
        <v>0</v>
      </c>
      <c r="R33" s="477">
        <f t="shared" si="30"/>
        <v>0</v>
      </c>
      <c r="S33" s="38">
        <f t="shared" si="1"/>
        <v>0</v>
      </c>
    </row>
    <row r="34" spans="1:19" ht="20.100000000000001" customHeight="1" x14ac:dyDescent="0.25">
      <c r="A34" s="40">
        <v>26</v>
      </c>
      <c r="B34" s="35" t="str">
        <f>dtsiswa!D32</f>
        <v>Meliana Citra A</v>
      </c>
      <c r="C34" s="36" t="s">
        <v>5</v>
      </c>
      <c r="D34" s="40"/>
      <c r="E34" s="40"/>
      <c r="F34" s="40"/>
      <c r="G34" s="40"/>
      <c r="H34" s="40"/>
      <c r="I34" s="40"/>
      <c r="J34" s="40"/>
      <c r="K34" s="40"/>
      <c r="L34" s="476">
        <f t="shared" si="2"/>
        <v>0</v>
      </c>
      <c r="M34" s="1068">
        <f t="shared" si="3"/>
        <v>0</v>
      </c>
      <c r="N34" s="227">
        <f t="shared" si="4"/>
        <v>0</v>
      </c>
      <c r="O34" s="227">
        <f t="shared" si="5"/>
        <v>0</v>
      </c>
      <c r="P34" s="228">
        <f t="shared" si="6"/>
        <v>0</v>
      </c>
      <c r="Q34" s="477">
        <f t="shared" ref="Q34:R34" si="31">P34</f>
        <v>0</v>
      </c>
      <c r="R34" s="477">
        <f t="shared" si="31"/>
        <v>0</v>
      </c>
      <c r="S34" s="38">
        <f t="shared" si="1"/>
        <v>0</v>
      </c>
    </row>
    <row r="35" spans="1:19" ht="20.100000000000001" customHeight="1" x14ac:dyDescent="0.25">
      <c r="A35" s="370">
        <v>27</v>
      </c>
      <c r="B35" s="35" t="str">
        <f>dtsiswa!D33</f>
        <v>Mohammad Rizky</v>
      </c>
      <c r="C35" s="36" t="s">
        <v>4</v>
      </c>
      <c r="D35" s="370"/>
      <c r="E35" s="370"/>
      <c r="F35" s="370"/>
      <c r="G35" s="370"/>
      <c r="H35" s="370"/>
      <c r="I35" s="370"/>
      <c r="J35" s="370"/>
      <c r="K35" s="370"/>
      <c r="L35" s="476">
        <f t="shared" si="2"/>
        <v>0</v>
      </c>
      <c r="M35" s="1068">
        <f t="shared" si="3"/>
        <v>0</v>
      </c>
      <c r="N35" s="227">
        <f t="shared" si="4"/>
        <v>0</v>
      </c>
      <c r="O35" s="227">
        <f t="shared" si="5"/>
        <v>0</v>
      </c>
      <c r="P35" s="228">
        <f t="shared" si="6"/>
        <v>0</v>
      </c>
      <c r="Q35" s="477">
        <f t="shared" ref="Q35:R35" si="32">P35</f>
        <v>0</v>
      </c>
      <c r="R35" s="477">
        <f t="shared" si="32"/>
        <v>0</v>
      </c>
      <c r="S35" s="38">
        <f t="shared" si="1"/>
        <v>0</v>
      </c>
    </row>
    <row r="36" spans="1:19" ht="20.100000000000001" customHeight="1" x14ac:dyDescent="0.25">
      <c r="A36" s="370">
        <v>28</v>
      </c>
      <c r="B36" s="35">
        <f>dtsiswa!D34</f>
        <v>0</v>
      </c>
      <c r="C36" s="36" t="s">
        <v>4</v>
      </c>
      <c r="D36" s="370"/>
      <c r="E36" s="370"/>
      <c r="F36" s="370"/>
      <c r="G36" s="370"/>
      <c r="H36" s="370"/>
      <c r="I36" s="370"/>
      <c r="J36" s="370"/>
      <c r="K36" s="370"/>
      <c r="L36" s="476">
        <f t="shared" si="2"/>
        <v>0</v>
      </c>
      <c r="M36" s="1068">
        <f t="shared" si="3"/>
        <v>0</v>
      </c>
      <c r="N36" s="227">
        <f t="shared" si="4"/>
        <v>0</v>
      </c>
      <c r="O36" s="227">
        <f t="shared" si="5"/>
        <v>0</v>
      </c>
      <c r="P36" s="228">
        <f t="shared" si="6"/>
        <v>0</v>
      </c>
      <c r="Q36" s="477">
        <f t="shared" ref="Q36:R36" si="33">P36</f>
        <v>0</v>
      </c>
      <c r="R36" s="477">
        <f t="shared" si="33"/>
        <v>0</v>
      </c>
      <c r="S36" s="38">
        <f t="shared" si="1"/>
        <v>0</v>
      </c>
    </row>
    <row r="37" spans="1:19" ht="20.100000000000001" customHeight="1" x14ac:dyDescent="0.25">
      <c r="A37" s="370">
        <v>29</v>
      </c>
      <c r="B37" s="35">
        <f>dtsiswa!D35</f>
        <v>0</v>
      </c>
      <c r="C37" s="36" t="s">
        <v>4</v>
      </c>
      <c r="D37" s="370"/>
      <c r="E37" s="370"/>
      <c r="F37" s="370"/>
      <c r="G37" s="370"/>
      <c r="H37" s="370"/>
      <c r="I37" s="370"/>
      <c r="J37" s="370"/>
      <c r="K37" s="370"/>
      <c r="L37" s="476">
        <f t="shared" si="2"/>
        <v>0</v>
      </c>
      <c r="M37" s="1068">
        <f t="shared" si="3"/>
        <v>0</v>
      </c>
      <c r="N37" s="227">
        <f t="shared" si="4"/>
        <v>0</v>
      </c>
      <c r="O37" s="227">
        <f t="shared" si="5"/>
        <v>0</v>
      </c>
      <c r="P37" s="228">
        <f t="shared" si="6"/>
        <v>0</v>
      </c>
      <c r="Q37" s="477">
        <f t="shared" ref="Q37:R37" si="34">P37</f>
        <v>0</v>
      </c>
      <c r="R37" s="477">
        <f t="shared" si="34"/>
        <v>0</v>
      </c>
      <c r="S37" s="38">
        <f t="shared" si="1"/>
        <v>0</v>
      </c>
    </row>
    <row r="38" spans="1:19" ht="20.100000000000001" customHeight="1" x14ac:dyDescent="0.25">
      <c r="A38" s="370">
        <v>30</v>
      </c>
      <c r="B38" s="35">
        <f>dtsiswa!D36</f>
        <v>0</v>
      </c>
      <c r="C38" s="36" t="s">
        <v>5</v>
      </c>
      <c r="D38" s="370"/>
      <c r="E38" s="370"/>
      <c r="F38" s="370"/>
      <c r="G38" s="370"/>
      <c r="H38" s="370"/>
      <c r="I38" s="370"/>
      <c r="J38" s="370"/>
      <c r="K38" s="370"/>
      <c r="L38" s="476">
        <f t="shared" si="2"/>
        <v>0</v>
      </c>
      <c r="M38" s="1068">
        <f t="shared" si="3"/>
        <v>0</v>
      </c>
      <c r="N38" s="227">
        <f t="shared" si="4"/>
        <v>0</v>
      </c>
      <c r="O38" s="227">
        <f t="shared" si="5"/>
        <v>0</v>
      </c>
      <c r="P38" s="228">
        <f t="shared" si="6"/>
        <v>0</v>
      </c>
      <c r="Q38" s="477">
        <f t="shared" ref="Q38:R38" si="35">P38</f>
        <v>0</v>
      </c>
      <c r="R38" s="477">
        <f t="shared" si="35"/>
        <v>0</v>
      </c>
      <c r="S38" s="38">
        <f t="shared" si="1"/>
        <v>0</v>
      </c>
    </row>
    <row r="39" spans="1:19" ht="20.100000000000001" customHeight="1" x14ac:dyDescent="0.25">
      <c r="A39" s="370">
        <v>31</v>
      </c>
      <c r="B39" s="35">
        <f>dtsiswa!D37</f>
        <v>0</v>
      </c>
      <c r="C39" s="36" t="s">
        <v>5</v>
      </c>
      <c r="D39" s="370"/>
      <c r="E39" s="370"/>
      <c r="F39" s="370"/>
      <c r="G39" s="370"/>
      <c r="H39" s="370"/>
      <c r="I39" s="370"/>
      <c r="J39" s="370"/>
      <c r="K39" s="370"/>
      <c r="L39" s="476">
        <f t="shared" si="2"/>
        <v>0</v>
      </c>
      <c r="M39" s="1068">
        <f t="shared" si="3"/>
        <v>0</v>
      </c>
      <c r="N39" s="227">
        <f t="shared" si="4"/>
        <v>0</v>
      </c>
      <c r="O39" s="227">
        <f t="shared" si="5"/>
        <v>0</v>
      </c>
      <c r="P39" s="228">
        <f t="shared" si="6"/>
        <v>0</v>
      </c>
      <c r="Q39" s="477">
        <f t="shared" ref="Q39:R39" si="36">P39</f>
        <v>0</v>
      </c>
      <c r="R39" s="477">
        <f t="shared" si="36"/>
        <v>0</v>
      </c>
      <c r="S39" s="38">
        <f t="shared" si="1"/>
        <v>0</v>
      </c>
    </row>
    <row r="40" spans="1:19" ht="20.100000000000001" customHeight="1" x14ac:dyDescent="0.25">
      <c r="A40" s="370">
        <v>32</v>
      </c>
      <c r="B40" s="35">
        <f>dtsiswa!D38</f>
        <v>0</v>
      </c>
      <c r="C40" s="36"/>
      <c r="D40" s="370"/>
      <c r="E40" s="370"/>
      <c r="F40" s="370"/>
      <c r="G40" s="370"/>
      <c r="H40" s="370"/>
      <c r="I40" s="370"/>
      <c r="J40" s="370"/>
      <c r="K40" s="370"/>
      <c r="L40" s="476">
        <f t="shared" ref="L40:L43" si="37">SUM(D40:K40)*100/15</f>
        <v>0</v>
      </c>
      <c r="M40" s="1068">
        <f t="shared" si="3"/>
        <v>0</v>
      </c>
      <c r="N40" s="227">
        <f t="shared" si="4"/>
        <v>0</v>
      </c>
      <c r="O40" s="227">
        <f t="shared" si="5"/>
        <v>0</v>
      </c>
      <c r="P40" s="228">
        <f t="shared" ref="P40:P43" si="38">L40</f>
        <v>0</v>
      </c>
      <c r="Q40" s="477">
        <f t="shared" ref="Q40:R40" si="39">P40</f>
        <v>0</v>
      </c>
      <c r="R40" s="477">
        <f t="shared" si="39"/>
        <v>0</v>
      </c>
      <c r="S40" s="38">
        <f t="shared" si="1"/>
        <v>0</v>
      </c>
    </row>
    <row r="41" spans="1:19" ht="20.100000000000001" customHeight="1" x14ac:dyDescent="0.25">
      <c r="A41" s="370">
        <v>33</v>
      </c>
      <c r="B41" s="35">
        <f>dtsiswa!D39</f>
        <v>0</v>
      </c>
      <c r="C41" s="36"/>
      <c r="D41" s="370"/>
      <c r="E41" s="370"/>
      <c r="F41" s="370"/>
      <c r="G41" s="370"/>
      <c r="H41" s="370"/>
      <c r="I41" s="370"/>
      <c r="J41" s="370"/>
      <c r="K41" s="370"/>
      <c r="L41" s="476">
        <f t="shared" si="37"/>
        <v>0</v>
      </c>
      <c r="M41" s="1068">
        <f t="shared" si="3"/>
        <v>0</v>
      </c>
      <c r="N41" s="227">
        <f t="shared" si="4"/>
        <v>0</v>
      </c>
      <c r="O41" s="227">
        <f t="shared" si="5"/>
        <v>0</v>
      </c>
      <c r="P41" s="228">
        <f t="shared" si="38"/>
        <v>0</v>
      </c>
      <c r="Q41" s="477">
        <f t="shared" ref="Q41:R41" si="40">P41</f>
        <v>0</v>
      </c>
      <c r="R41" s="477">
        <f t="shared" si="40"/>
        <v>0</v>
      </c>
      <c r="S41" s="38">
        <f t="shared" si="1"/>
        <v>0</v>
      </c>
    </row>
    <row r="42" spans="1:19" ht="20.100000000000001" customHeight="1" x14ac:dyDescent="0.25">
      <c r="A42" s="370">
        <v>34</v>
      </c>
      <c r="B42" s="35">
        <f>dtsiswa!D40</f>
        <v>0</v>
      </c>
      <c r="C42" s="36"/>
      <c r="D42" s="370"/>
      <c r="E42" s="370"/>
      <c r="F42" s="370"/>
      <c r="G42" s="370"/>
      <c r="H42" s="370"/>
      <c r="I42" s="370"/>
      <c r="J42" s="370"/>
      <c r="K42" s="370"/>
      <c r="L42" s="476">
        <f t="shared" si="37"/>
        <v>0</v>
      </c>
      <c r="M42" s="1068">
        <f t="shared" si="3"/>
        <v>0</v>
      </c>
      <c r="N42" s="227">
        <f t="shared" si="4"/>
        <v>0</v>
      </c>
      <c r="O42" s="227">
        <f t="shared" si="5"/>
        <v>0</v>
      </c>
      <c r="P42" s="228">
        <f t="shared" si="38"/>
        <v>0</v>
      </c>
      <c r="Q42" s="477">
        <f t="shared" ref="Q42:R42" si="41">P42</f>
        <v>0</v>
      </c>
      <c r="R42" s="477">
        <f t="shared" si="41"/>
        <v>0</v>
      </c>
      <c r="S42" s="38">
        <f t="shared" si="1"/>
        <v>0</v>
      </c>
    </row>
    <row r="43" spans="1:19" ht="20.100000000000001" customHeight="1" x14ac:dyDescent="0.25">
      <c r="A43" s="370">
        <v>35</v>
      </c>
      <c r="B43" s="35">
        <f>dtsiswa!D41</f>
        <v>0</v>
      </c>
      <c r="C43" s="36"/>
      <c r="D43" s="370"/>
      <c r="E43" s="370"/>
      <c r="F43" s="370"/>
      <c r="G43" s="370"/>
      <c r="H43" s="370"/>
      <c r="I43" s="370"/>
      <c r="J43" s="370"/>
      <c r="K43" s="370"/>
      <c r="L43" s="476">
        <f t="shared" si="37"/>
        <v>0</v>
      </c>
      <c r="M43" s="1068">
        <f t="shared" si="3"/>
        <v>0</v>
      </c>
      <c r="N43" s="227">
        <f t="shared" si="4"/>
        <v>0</v>
      </c>
      <c r="O43" s="227">
        <f t="shared" si="5"/>
        <v>0</v>
      </c>
      <c r="P43" s="228">
        <f t="shared" si="38"/>
        <v>0</v>
      </c>
      <c r="Q43" s="477">
        <f t="shared" ref="Q43:R43" si="42">P43</f>
        <v>0</v>
      </c>
      <c r="R43" s="477">
        <f t="shared" si="42"/>
        <v>0</v>
      </c>
      <c r="S43" s="38">
        <f t="shared" si="1"/>
        <v>0</v>
      </c>
    </row>
    <row r="44" spans="1:19" ht="20.100000000000001" customHeight="1" x14ac:dyDescent="0.25">
      <c r="A44" s="602">
        <v>36</v>
      </c>
      <c r="B44" s="35">
        <f>dtsiswa!D42</f>
        <v>0</v>
      </c>
      <c r="C44" s="36"/>
      <c r="D44" s="602"/>
      <c r="E44" s="602"/>
      <c r="F44" s="602"/>
      <c r="G44" s="602"/>
      <c r="H44" s="602"/>
      <c r="I44" s="602"/>
      <c r="J44" s="602"/>
      <c r="K44" s="602"/>
      <c r="L44" s="476">
        <f t="shared" ref="L44:L48" si="43">SUM(D44:K44)*100/15</f>
        <v>0</v>
      </c>
      <c r="M44" s="1068">
        <f t="shared" si="3"/>
        <v>0</v>
      </c>
      <c r="N44" s="227">
        <f t="shared" si="4"/>
        <v>0</v>
      </c>
      <c r="O44" s="227">
        <f t="shared" si="5"/>
        <v>0</v>
      </c>
      <c r="P44" s="228">
        <f t="shared" ref="P44:P48" si="44">L44</f>
        <v>0</v>
      </c>
      <c r="Q44" s="477">
        <f t="shared" ref="Q44:R44" si="45">P44</f>
        <v>0</v>
      </c>
      <c r="R44" s="477">
        <f t="shared" si="45"/>
        <v>0</v>
      </c>
      <c r="S44" s="38">
        <f t="shared" si="1"/>
        <v>0</v>
      </c>
    </row>
    <row r="45" spans="1:19" ht="20.100000000000001" customHeight="1" x14ac:dyDescent="0.25">
      <c r="A45" s="602">
        <v>37</v>
      </c>
      <c r="B45" s="35">
        <f>dtsiswa!D43</f>
        <v>0</v>
      </c>
      <c r="C45" s="36"/>
      <c r="D45" s="602"/>
      <c r="E45" s="602"/>
      <c r="F45" s="602"/>
      <c r="G45" s="602"/>
      <c r="H45" s="602"/>
      <c r="I45" s="602"/>
      <c r="J45" s="602"/>
      <c r="K45" s="602"/>
      <c r="L45" s="476">
        <f t="shared" si="43"/>
        <v>0</v>
      </c>
      <c r="M45" s="1068">
        <f t="shared" si="3"/>
        <v>0</v>
      </c>
      <c r="N45" s="227">
        <f t="shared" si="4"/>
        <v>0</v>
      </c>
      <c r="O45" s="227">
        <f t="shared" si="5"/>
        <v>0</v>
      </c>
      <c r="P45" s="228">
        <f t="shared" si="44"/>
        <v>0</v>
      </c>
      <c r="Q45" s="477">
        <f t="shared" ref="Q45:R45" si="46">P45</f>
        <v>0</v>
      </c>
      <c r="R45" s="477">
        <f t="shared" si="46"/>
        <v>0</v>
      </c>
      <c r="S45" s="38">
        <f t="shared" si="1"/>
        <v>0</v>
      </c>
    </row>
    <row r="46" spans="1:19" ht="20.100000000000001" customHeight="1" x14ac:dyDescent="0.25">
      <c r="A46" s="602">
        <v>38</v>
      </c>
      <c r="B46" s="35">
        <f>dtsiswa!D44</f>
        <v>0</v>
      </c>
      <c r="C46" s="36"/>
      <c r="D46" s="602"/>
      <c r="E46" s="602"/>
      <c r="F46" s="602"/>
      <c r="G46" s="602"/>
      <c r="H46" s="602"/>
      <c r="I46" s="602"/>
      <c r="J46" s="602"/>
      <c r="K46" s="602"/>
      <c r="L46" s="476">
        <f t="shared" si="43"/>
        <v>0</v>
      </c>
      <c r="M46" s="1068">
        <f t="shared" si="3"/>
        <v>0</v>
      </c>
      <c r="N46" s="227">
        <f t="shared" si="4"/>
        <v>0</v>
      </c>
      <c r="O46" s="227">
        <f t="shared" si="5"/>
        <v>0</v>
      </c>
      <c r="P46" s="228">
        <f t="shared" si="44"/>
        <v>0</v>
      </c>
      <c r="Q46" s="477">
        <f t="shared" ref="Q46:R46" si="47">P46</f>
        <v>0</v>
      </c>
      <c r="R46" s="477">
        <f t="shared" si="47"/>
        <v>0</v>
      </c>
      <c r="S46" s="38">
        <f t="shared" si="1"/>
        <v>0</v>
      </c>
    </row>
    <row r="47" spans="1:19" ht="20.100000000000001" customHeight="1" x14ac:dyDescent="0.25">
      <c r="A47" s="602">
        <v>39</v>
      </c>
      <c r="B47" s="35">
        <f>dtsiswa!D45</f>
        <v>0</v>
      </c>
      <c r="C47" s="36"/>
      <c r="D47" s="602"/>
      <c r="E47" s="602"/>
      <c r="F47" s="602"/>
      <c r="G47" s="602"/>
      <c r="H47" s="602"/>
      <c r="I47" s="602"/>
      <c r="J47" s="602"/>
      <c r="K47" s="602"/>
      <c r="L47" s="476">
        <f t="shared" si="43"/>
        <v>0</v>
      </c>
      <c r="M47" s="1068">
        <f t="shared" si="3"/>
        <v>0</v>
      </c>
      <c r="N47" s="227">
        <f t="shared" si="4"/>
        <v>0</v>
      </c>
      <c r="O47" s="227">
        <f t="shared" si="5"/>
        <v>0</v>
      </c>
      <c r="P47" s="228">
        <f t="shared" si="44"/>
        <v>0</v>
      </c>
      <c r="Q47" s="477">
        <f t="shared" ref="Q47:R47" si="48">P47</f>
        <v>0</v>
      </c>
      <c r="R47" s="477">
        <f t="shared" si="48"/>
        <v>0</v>
      </c>
      <c r="S47" s="38">
        <f t="shared" si="1"/>
        <v>0</v>
      </c>
    </row>
    <row r="48" spans="1:19" ht="20.100000000000001" customHeight="1" x14ac:dyDescent="0.25">
      <c r="A48" s="602">
        <v>40</v>
      </c>
      <c r="B48" s="35">
        <f>dtsiswa!D46</f>
        <v>0</v>
      </c>
      <c r="C48" s="36"/>
      <c r="D48" s="602"/>
      <c r="E48" s="602"/>
      <c r="F48" s="602"/>
      <c r="G48" s="602"/>
      <c r="H48" s="602"/>
      <c r="I48" s="602"/>
      <c r="J48" s="602"/>
      <c r="K48" s="602"/>
      <c r="L48" s="476">
        <f t="shared" si="43"/>
        <v>0</v>
      </c>
      <c r="M48" s="1068">
        <f t="shared" si="3"/>
        <v>0</v>
      </c>
      <c r="N48" s="227">
        <f t="shared" si="4"/>
        <v>0</v>
      </c>
      <c r="O48" s="227">
        <f t="shared" si="5"/>
        <v>0</v>
      </c>
      <c r="P48" s="228">
        <f t="shared" si="44"/>
        <v>0</v>
      </c>
      <c r="Q48" s="477">
        <f t="shared" ref="Q48:R48" si="49">P48</f>
        <v>0</v>
      </c>
      <c r="R48" s="477">
        <f t="shared" si="49"/>
        <v>0</v>
      </c>
      <c r="S48" s="38">
        <f t="shared" si="1"/>
        <v>0</v>
      </c>
    </row>
    <row r="49" spans="1:19" ht="20.100000000000001" customHeight="1" x14ac:dyDescent="0.25">
      <c r="A49" s="602"/>
      <c r="B49" s="35"/>
      <c r="C49" s="36"/>
      <c r="D49" s="602"/>
      <c r="E49" s="602"/>
      <c r="F49" s="602"/>
      <c r="G49" s="602"/>
      <c r="H49" s="602"/>
      <c r="I49" s="602"/>
      <c r="J49" s="602"/>
      <c r="K49" s="602"/>
      <c r="L49" s="476"/>
      <c r="M49" s="227"/>
      <c r="N49" s="227"/>
      <c r="O49" s="227"/>
      <c r="P49" s="228"/>
      <c r="Q49" s="477"/>
      <c r="R49" s="477"/>
      <c r="S49" s="38"/>
    </row>
    <row r="50" spans="1:19" ht="20.100000000000001" customHeight="1" x14ac:dyDescent="0.25">
      <c r="A50" s="602"/>
      <c r="B50" s="35"/>
      <c r="C50" s="36"/>
      <c r="D50" s="602"/>
      <c r="E50" s="602"/>
      <c r="F50" s="602"/>
      <c r="G50" s="602"/>
      <c r="H50" s="602"/>
      <c r="I50" s="602"/>
      <c r="J50" s="602"/>
      <c r="K50" s="602"/>
      <c r="L50" s="476"/>
      <c r="M50" s="227"/>
      <c r="N50" s="227"/>
      <c r="O50" s="227"/>
      <c r="P50" s="228"/>
      <c r="Q50" s="477"/>
      <c r="R50" s="477"/>
      <c r="S50" s="38"/>
    </row>
    <row r="51" spans="1:19" ht="20.100000000000001" customHeight="1" x14ac:dyDescent="0.25">
      <c r="A51" s="40"/>
      <c r="B51" s="47" t="s">
        <v>36</v>
      </c>
      <c r="C51" s="48"/>
      <c r="D51" s="49">
        <f t="shared" ref="D51:L51" si="50">COUNTIF(D9:D32,"0")</f>
        <v>0</v>
      </c>
      <c r="E51" s="49">
        <f t="shared" si="50"/>
        <v>0</v>
      </c>
      <c r="F51" s="49">
        <f t="shared" si="50"/>
        <v>0</v>
      </c>
      <c r="G51" s="49">
        <f t="shared" si="50"/>
        <v>0</v>
      </c>
      <c r="H51" s="49">
        <f t="shared" si="50"/>
        <v>1</v>
      </c>
      <c r="I51" s="49">
        <f t="shared" si="50"/>
        <v>0</v>
      </c>
      <c r="J51" s="49"/>
      <c r="K51" s="49">
        <f t="shared" si="50"/>
        <v>0</v>
      </c>
      <c r="L51" s="49">
        <f t="shared" si="50"/>
        <v>23</v>
      </c>
      <c r="M51" s="203"/>
      <c r="N51" s="203"/>
      <c r="O51" s="203"/>
      <c r="P51" s="239"/>
      <c r="Q51" s="229"/>
      <c r="R51" s="229"/>
      <c r="S51" s="38"/>
    </row>
    <row r="52" spans="1:19" ht="20.100000000000001" customHeight="1" x14ac:dyDescent="0.25">
      <c r="A52" s="50"/>
      <c r="B52" s="51" t="s">
        <v>37</v>
      </c>
      <c r="C52" s="51"/>
      <c r="D52" s="52"/>
      <c r="E52" s="52"/>
      <c r="F52" s="52"/>
      <c r="G52" s="52"/>
      <c r="H52" s="216"/>
      <c r="I52" s="216"/>
      <c r="J52" s="216"/>
      <c r="K52" s="216"/>
      <c r="L52" s="216"/>
      <c r="M52" s="53"/>
      <c r="N52" s="53"/>
      <c r="O52" s="53"/>
      <c r="P52" s="53"/>
      <c r="Q52" s="53"/>
      <c r="R52" s="871"/>
      <c r="S52" s="46"/>
    </row>
    <row r="53" spans="1:19" ht="20.100000000000001" customHeight="1" x14ac:dyDescent="0.25">
      <c r="A53" s="54"/>
      <c r="B53" s="51" t="s">
        <v>38</v>
      </c>
      <c r="C53" s="51"/>
      <c r="D53" s="52"/>
      <c r="E53" s="52"/>
      <c r="F53" s="52"/>
      <c r="G53" s="52"/>
      <c r="H53" s="216"/>
      <c r="I53" s="216"/>
      <c r="J53" s="216"/>
      <c r="K53" s="216"/>
      <c r="L53" s="216"/>
      <c r="M53" s="53"/>
      <c r="N53" s="53"/>
      <c r="O53" s="53"/>
      <c r="P53" s="55"/>
      <c r="Q53" s="53"/>
      <c r="R53" s="871"/>
      <c r="S53" s="46"/>
    </row>
    <row r="54" spans="1:19" ht="20.100000000000001" customHeight="1" x14ac:dyDescent="0.25">
      <c r="A54" s="54"/>
      <c r="B54" s="51" t="s">
        <v>39</v>
      </c>
      <c r="C54" s="51"/>
      <c r="D54" s="52"/>
      <c r="E54" s="52"/>
      <c r="F54" s="52"/>
      <c r="G54" s="52"/>
      <c r="H54" s="216"/>
      <c r="I54" s="216"/>
      <c r="J54" s="216"/>
      <c r="K54" s="216"/>
      <c r="L54" s="216"/>
      <c r="M54" s="55"/>
      <c r="N54" s="55"/>
      <c r="O54" s="55"/>
      <c r="P54" s="55"/>
      <c r="Q54" s="55"/>
      <c r="R54" s="55"/>
      <c r="S54" s="46"/>
    </row>
  </sheetData>
  <mergeCells count="11">
    <mergeCell ref="S6:S8"/>
    <mergeCell ref="L6:L8"/>
    <mergeCell ref="A6:A8"/>
    <mergeCell ref="B6:B8"/>
    <mergeCell ref="C6:C8"/>
    <mergeCell ref="M6:M8"/>
    <mergeCell ref="N6:N8"/>
    <mergeCell ref="O6:O8"/>
    <mergeCell ref="P6:P8"/>
    <mergeCell ref="Q6:R7"/>
    <mergeCell ref="D6:K6"/>
  </mergeCells>
  <conditionalFormatting sqref="S9:S51">
    <cfRule type="top10" dxfId="7" priority="1" bottom="1" rank="5"/>
  </conditionalFormatting>
  <pageMargins left="0.7" right="0.7" top="0.75" bottom="0.75" header="0.3" footer="0.3"/>
  <pageSetup paperSize="768" orientation="landscape" horizontalDpi="0" verticalDpi="0"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A1:U53"/>
  <sheetViews>
    <sheetView showGridLines="0" zoomScale="90" zoomScaleNormal="90" workbookViewId="0">
      <pane xSplit="2" ySplit="8" topLeftCell="C9" activePane="bottomRight" state="frozen"/>
      <selection sqref="A1:Q1"/>
      <selection pane="topRight" sqref="A1:Q1"/>
      <selection pane="bottomLeft" sqref="A1:Q1"/>
      <selection pane="bottomRight" sqref="A1:Q1"/>
    </sheetView>
  </sheetViews>
  <sheetFormatPr defaultRowHeight="15" x14ac:dyDescent="0.25"/>
  <cols>
    <col min="1" max="1" width="5" customWidth="1"/>
    <col min="2" max="2" width="36.28515625" customWidth="1"/>
    <col min="3" max="3" width="5" customWidth="1"/>
    <col min="4" max="11" width="4.7109375" customWidth="1"/>
    <col min="12" max="12" width="6.7109375" customWidth="1"/>
    <col min="13" max="14" width="5.140625" customWidth="1"/>
    <col min="15" max="15" width="4.85546875" customWidth="1"/>
    <col min="16" max="16" width="10" customWidth="1"/>
    <col min="17" max="19" width="6" customWidth="1"/>
    <col min="20" max="20" width="7.42578125" customWidth="1"/>
    <col min="21" max="21" width="10.28515625" customWidth="1"/>
  </cols>
  <sheetData>
    <row r="1" spans="1:21" ht="33.75" customHeight="1" x14ac:dyDescent="0.25">
      <c r="A1" s="232"/>
      <c r="B1" s="233"/>
      <c r="C1" s="233"/>
      <c r="D1" s="233"/>
      <c r="E1" s="233"/>
      <c r="F1" s="233"/>
      <c r="G1" s="233"/>
      <c r="H1" s="233"/>
      <c r="I1" s="233"/>
      <c r="J1" s="233"/>
      <c r="K1" s="233"/>
      <c r="L1" s="233"/>
      <c r="M1" s="233"/>
      <c r="N1" s="233"/>
      <c r="O1" s="233"/>
      <c r="P1" s="233"/>
      <c r="Q1" s="233"/>
      <c r="R1" s="233"/>
      <c r="S1" s="233"/>
      <c r="T1" s="233"/>
      <c r="U1" s="234"/>
    </row>
    <row r="2" spans="1:21" ht="23.25" x14ac:dyDescent="0.35">
      <c r="A2" s="29" t="s">
        <v>53</v>
      </c>
      <c r="I2" s="225"/>
      <c r="J2" s="69"/>
      <c r="K2" s="69"/>
      <c r="L2" s="69"/>
    </row>
    <row r="3" spans="1:21" ht="21" x14ac:dyDescent="0.35">
      <c r="A3" s="70" t="s">
        <v>194</v>
      </c>
      <c r="I3" s="225"/>
      <c r="J3" s="225"/>
      <c r="K3" s="225"/>
      <c r="L3" s="225"/>
    </row>
    <row r="4" spans="1:21" ht="23.25" x14ac:dyDescent="0.35">
      <c r="A4" s="29" t="s">
        <v>442</v>
      </c>
      <c r="Q4" s="272"/>
      <c r="R4" s="272"/>
      <c r="S4" s="272"/>
      <c r="T4" s="272"/>
      <c r="U4" s="75"/>
    </row>
    <row r="5" spans="1:21" s="201" customFormat="1" ht="16.5" thickBot="1" x14ac:dyDescent="0.3">
      <c r="A5" s="230">
        <v>1</v>
      </c>
      <c r="B5" s="230">
        <v>2</v>
      </c>
      <c r="C5" s="230">
        <v>3</v>
      </c>
      <c r="D5" s="230">
        <v>4</v>
      </c>
      <c r="E5" s="230">
        <v>5</v>
      </c>
      <c r="F5" s="230">
        <v>6</v>
      </c>
      <c r="G5" s="230">
        <v>7</v>
      </c>
      <c r="H5" s="230">
        <v>8</v>
      </c>
      <c r="I5" s="230">
        <v>9</v>
      </c>
      <c r="J5" s="230">
        <v>10</v>
      </c>
      <c r="K5" s="230">
        <v>11</v>
      </c>
      <c r="L5" s="230">
        <v>12</v>
      </c>
      <c r="M5" s="230">
        <v>13</v>
      </c>
      <c r="N5" s="230">
        <v>14</v>
      </c>
      <c r="O5" s="230">
        <v>15</v>
      </c>
      <c r="P5" s="230">
        <v>16</v>
      </c>
      <c r="Q5" s="230">
        <v>17</v>
      </c>
      <c r="R5" s="230">
        <v>18</v>
      </c>
      <c r="S5" s="230">
        <v>19</v>
      </c>
      <c r="T5" s="230">
        <v>20</v>
      </c>
      <c r="U5" s="230">
        <v>21</v>
      </c>
    </row>
    <row r="6" spans="1:21" s="30" customFormat="1" ht="20.25" customHeight="1" x14ac:dyDescent="0.25">
      <c r="A6" s="3179" t="s">
        <v>0</v>
      </c>
      <c r="B6" s="3182" t="s">
        <v>28</v>
      </c>
      <c r="C6" s="3182" t="s">
        <v>3</v>
      </c>
      <c r="D6" s="3184">
        <v>31</v>
      </c>
      <c r="E6" s="3184"/>
      <c r="F6" s="3184"/>
      <c r="G6" s="3184"/>
      <c r="H6" s="3184" t="s">
        <v>7</v>
      </c>
      <c r="I6" s="3184"/>
      <c r="J6" s="3184"/>
      <c r="K6" s="3184"/>
      <c r="L6" s="3185" t="s">
        <v>159</v>
      </c>
      <c r="M6" s="3163" t="s">
        <v>29</v>
      </c>
      <c r="N6" s="3163" t="s">
        <v>30</v>
      </c>
      <c r="O6" s="3163" t="s">
        <v>31</v>
      </c>
      <c r="P6" s="3188" t="s">
        <v>32</v>
      </c>
      <c r="Q6" s="3191" t="s">
        <v>158</v>
      </c>
      <c r="R6" s="3191"/>
      <c r="S6" s="3191"/>
      <c r="T6" s="3191"/>
      <c r="U6" s="3176" t="s">
        <v>195</v>
      </c>
    </row>
    <row r="7" spans="1:21" s="30" customFormat="1" ht="20.25" customHeight="1" x14ac:dyDescent="0.25">
      <c r="A7" s="3180"/>
      <c r="B7" s="3136"/>
      <c r="C7" s="3136"/>
      <c r="D7" s="31" t="s">
        <v>29</v>
      </c>
      <c r="E7" s="31" t="s">
        <v>29</v>
      </c>
      <c r="F7" s="31" t="s">
        <v>29</v>
      </c>
      <c r="G7" s="31" t="s">
        <v>29</v>
      </c>
      <c r="H7" s="31" t="s">
        <v>29</v>
      </c>
      <c r="I7" s="32" t="s">
        <v>30</v>
      </c>
      <c r="J7" s="32" t="s">
        <v>30</v>
      </c>
      <c r="K7" s="33" t="s">
        <v>31</v>
      </c>
      <c r="L7" s="3186"/>
      <c r="M7" s="3164"/>
      <c r="N7" s="3164"/>
      <c r="O7" s="3164"/>
      <c r="P7" s="3189"/>
      <c r="Q7" s="3192"/>
      <c r="R7" s="3192"/>
      <c r="S7" s="3192"/>
      <c r="T7" s="3192"/>
      <c r="U7" s="3177"/>
    </row>
    <row r="8" spans="1:21" ht="22.5" customHeight="1" thickBot="1" x14ac:dyDescent="0.3">
      <c r="A8" s="3181"/>
      <c r="B8" s="3183"/>
      <c r="C8" s="3183"/>
      <c r="D8" s="284">
        <v>1</v>
      </c>
      <c r="E8" s="284">
        <v>2</v>
      </c>
      <c r="F8" s="284">
        <v>3</v>
      </c>
      <c r="G8" s="284">
        <v>4</v>
      </c>
      <c r="H8" s="284">
        <v>5</v>
      </c>
      <c r="I8" s="284">
        <v>6</v>
      </c>
      <c r="J8" s="284">
        <v>7</v>
      </c>
      <c r="K8" s="284">
        <v>8</v>
      </c>
      <c r="L8" s="3187"/>
      <c r="M8" s="3165"/>
      <c r="N8" s="3165"/>
      <c r="O8" s="3165"/>
      <c r="P8" s="3190"/>
      <c r="Q8" s="276" t="s">
        <v>12</v>
      </c>
      <c r="R8" s="276" t="s">
        <v>7</v>
      </c>
      <c r="S8" s="276" t="s">
        <v>10</v>
      </c>
      <c r="T8" s="276" t="s">
        <v>8</v>
      </c>
      <c r="U8" s="3178"/>
    </row>
    <row r="9" spans="1:21" ht="20.100000000000001" customHeight="1" x14ac:dyDescent="0.25">
      <c r="A9" s="34">
        <v>1</v>
      </c>
      <c r="B9" s="198" t="str">
        <f>dtsiswa!D7</f>
        <v>Achmad Zacky</v>
      </c>
      <c r="C9" s="36" t="s">
        <v>4</v>
      </c>
      <c r="D9" s="200">
        <v>0</v>
      </c>
      <c r="E9" s="200">
        <v>1</v>
      </c>
      <c r="F9" s="200">
        <v>1</v>
      </c>
      <c r="G9" s="200">
        <v>3</v>
      </c>
      <c r="H9" s="200">
        <v>0</v>
      </c>
      <c r="I9" s="200">
        <v>1</v>
      </c>
      <c r="J9" s="200">
        <v>2</v>
      </c>
      <c r="K9" s="200">
        <v>3</v>
      </c>
      <c r="L9" s="476">
        <f>SUM(D9:K9)*100/12</f>
        <v>91.666666666666671</v>
      </c>
      <c r="M9" s="227">
        <f>SUM(D9:H9)</f>
        <v>5</v>
      </c>
      <c r="N9" s="227">
        <f>SUM(I9:J9)</f>
        <v>3</v>
      </c>
      <c r="O9" s="227">
        <f>K9</f>
        <v>3</v>
      </c>
      <c r="P9" s="228">
        <f>L9</f>
        <v>91.666666666666671</v>
      </c>
      <c r="Q9" s="229">
        <f>L9</f>
        <v>91.666666666666671</v>
      </c>
      <c r="R9" s="229">
        <f>L9</f>
        <v>91.666666666666671</v>
      </c>
      <c r="S9" s="229">
        <f>L9</f>
        <v>91.666666666666671</v>
      </c>
      <c r="T9" s="229">
        <f>L9</f>
        <v>91.666666666666671</v>
      </c>
      <c r="U9" s="38">
        <f>L9</f>
        <v>91.666666666666671</v>
      </c>
    </row>
    <row r="10" spans="1:21" ht="20.100000000000001" customHeight="1" x14ac:dyDescent="0.25">
      <c r="A10" s="370">
        <v>2</v>
      </c>
      <c r="B10" s="35" t="str">
        <f>dtsiswa!D8</f>
        <v>Angelia Vabel R</v>
      </c>
      <c r="C10" s="36" t="s">
        <v>4</v>
      </c>
      <c r="D10" s="200"/>
      <c r="E10" s="200"/>
      <c r="F10" s="200"/>
      <c r="G10" s="200"/>
      <c r="H10" s="200"/>
      <c r="I10" s="200"/>
      <c r="J10" s="200"/>
      <c r="K10" s="200"/>
      <c r="L10" s="476">
        <f t="shared" ref="L10:L48" si="0">SUM(D10:K10)*100/12</f>
        <v>0</v>
      </c>
      <c r="M10" s="227">
        <f t="shared" ref="M10:M48" si="1">SUM(D10:H10)</f>
        <v>0</v>
      </c>
      <c r="N10" s="227">
        <f t="shared" ref="N10:N48" si="2">SUM(I10:J10)</f>
        <v>0</v>
      </c>
      <c r="O10" s="227">
        <f t="shared" ref="O10:O48" si="3">K10</f>
        <v>0</v>
      </c>
      <c r="P10" s="228">
        <f t="shared" ref="P10:P34" si="4">L10</f>
        <v>0</v>
      </c>
      <c r="Q10" s="229">
        <f t="shared" ref="Q10:Q48" si="5">L10</f>
        <v>0</v>
      </c>
      <c r="R10" s="229">
        <f t="shared" ref="R10:R48" si="6">L10</f>
        <v>0</v>
      </c>
      <c r="S10" s="229">
        <f t="shared" ref="S10:S48" si="7">L10</f>
        <v>0</v>
      </c>
      <c r="T10" s="229">
        <f t="shared" ref="T10:T48" si="8">L10</f>
        <v>0</v>
      </c>
      <c r="U10" s="38">
        <f t="shared" ref="U10:U34" si="9">L10</f>
        <v>0</v>
      </c>
    </row>
    <row r="11" spans="1:21" ht="20.100000000000001" customHeight="1" x14ac:dyDescent="0.25">
      <c r="A11" s="370">
        <v>3</v>
      </c>
      <c r="B11" s="35" t="str">
        <f>dtsiswa!D9</f>
        <v>Anggun Dwi P.I</v>
      </c>
      <c r="C11" s="36" t="s">
        <v>4</v>
      </c>
      <c r="D11" s="200"/>
      <c r="E11" s="200"/>
      <c r="F11" s="200"/>
      <c r="G11" s="200"/>
      <c r="H11" s="200"/>
      <c r="I11" s="200"/>
      <c r="J11" s="200"/>
      <c r="K11" s="200"/>
      <c r="L11" s="476">
        <f t="shared" si="0"/>
        <v>0</v>
      </c>
      <c r="M11" s="227">
        <f t="shared" si="1"/>
        <v>0</v>
      </c>
      <c r="N11" s="227">
        <f t="shared" si="2"/>
        <v>0</v>
      </c>
      <c r="O11" s="227">
        <f t="shared" si="3"/>
        <v>0</v>
      </c>
      <c r="P11" s="228">
        <f t="shared" si="4"/>
        <v>0</v>
      </c>
      <c r="Q11" s="229">
        <f t="shared" si="5"/>
        <v>0</v>
      </c>
      <c r="R11" s="229">
        <f t="shared" si="6"/>
        <v>0</v>
      </c>
      <c r="S11" s="229">
        <f t="shared" si="7"/>
        <v>0</v>
      </c>
      <c r="T11" s="229">
        <f t="shared" si="8"/>
        <v>0</v>
      </c>
      <c r="U11" s="38">
        <f t="shared" si="9"/>
        <v>0</v>
      </c>
    </row>
    <row r="12" spans="1:21" ht="20.100000000000001" customHeight="1" x14ac:dyDescent="0.25">
      <c r="A12" s="370">
        <v>4</v>
      </c>
      <c r="B12" s="35" t="str">
        <f>dtsiswa!D10</f>
        <v>Antonio Permata A</v>
      </c>
      <c r="C12" s="43" t="s">
        <v>4</v>
      </c>
      <c r="D12" s="59"/>
      <c r="E12" s="59"/>
      <c r="F12" s="59"/>
      <c r="G12" s="59"/>
      <c r="H12" s="59"/>
      <c r="I12" s="59"/>
      <c r="J12" s="59"/>
      <c r="K12" s="59"/>
      <c r="L12" s="476">
        <f t="shared" si="0"/>
        <v>0</v>
      </c>
      <c r="M12" s="227">
        <f t="shared" si="1"/>
        <v>0</v>
      </c>
      <c r="N12" s="227">
        <f t="shared" si="2"/>
        <v>0</v>
      </c>
      <c r="O12" s="227">
        <f t="shared" si="3"/>
        <v>0</v>
      </c>
      <c r="P12" s="228">
        <f t="shared" si="4"/>
        <v>0</v>
      </c>
      <c r="Q12" s="229">
        <f t="shared" si="5"/>
        <v>0</v>
      </c>
      <c r="R12" s="229">
        <f t="shared" si="6"/>
        <v>0</v>
      </c>
      <c r="S12" s="229">
        <f t="shared" si="7"/>
        <v>0</v>
      </c>
      <c r="T12" s="229">
        <f t="shared" si="8"/>
        <v>0</v>
      </c>
      <c r="U12" s="38">
        <f t="shared" si="9"/>
        <v>0</v>
      </c>
    </row>
    <row r="13" spans="1:21" ht="20.100000000000001" customHeight="1" x14ac:dyDescent="0.25">
      <c r="A13" s="370">
        <v>5</v>
      </c>
      <c r="B13" s="35" t="str">
        <f>dtsiswa!D11</f>
        <v>Arya Pratama G</v>
      </c>
      <c r="C13" s="36" t="s">
        <v>5</v>
      </c>
      <c r="D13" s="59"/>
      <c r="E13" s="59"/>
      <c r="F13" s="59"/>
      <c r="G13" s="59"/>
      <c r="H13" s="59"/>
      <c r="I13" s="59"/>
      <c r="J13" s="59"/>
      <c r="K13" s="59"/>
      <c r="L13" s="476">
        <f t="shared" si="0"/>
        <v>0</v>
      </c>
      <c r="M13" s="227">
        <f t="shared" si="1"/>
        <v>0</v>
      </c>
      <c r="N13" s="227">
        <f t="shared" si="2"/>
        <v>0</v>
      </c>
      <c r="O13" s="227">
        <f t="shared" si="3"/>
        <v>0</v>
      </c>
      <c r="P13" s="228">
        <f t="shared" si="4"/>
        <v>0</v>
      </c>
      <c r="Q13" s="229">
        <f t="shared" si="5"/>
        <v>0</v>
      </c>
      <c r="R13" s="229">
        <f t="shared" si="6"/>
        <v>0</v>
      </c>
      <c r="S13" s="229">
        <f t="shared" si="7"/>
        <v>0</v>
      </c>
      <c r="T13" s="229">
        <f t="shared" si="8"/>
        <v>0</v>
      </c>
      <c r="U13" s="38">
        <f t="shared" si="9"/>
        <v>0</v>
      </c>
    </row>
    <row r="14" spans="1:21" ht="20.100000000000001" customHeight="1" x14ac:dyDescent="0.25">
      <c r="A14" s="370">
        <v>6</v>
      </c>
      <c r="B14" s="35" t="str">
        <f>dtsiswa!D12</f>
        <v>Asyam Hanif Ihsan H</v>
      </c>
      <c r="C14" s="36" t="s">
        <v>5</v>
      </c>
      <c r="D14" s="59"/>
      <c r="E14" s="59"/>
      <c r="F14" s="59"/>
      <c r="G14" s="59"/>
      <c r="H14" s="59"/>
      <c r="I14" s="59"/>
      <c r="J14" s="59"/>
      <c r="K14" s="59"/>
      <c r="L14" s="476">
        <f t="shared" si="0"/>
        <v>0</v>
      </c>
      <c r="M14" s="227">
        <f t="shared" si="1"/>
        <v>0</v>
      </c>
      <c r="N14" s="227">
        <f t="shared" si="2"/>
        <v>0</v>
      </c>
      <c r="O14" s="227">
        <f t="shared" si="3"/>
        <v>0</v>
      </c>
      <c r="P14" s="228">
        <f t="shared" si="4"/>
        <v>0</v>
      </c>
      <c r="Q14" s="229">
        <f t="shared" si="5"/>
        <v>0</v>
      </c>
      <c r="R14" s="229">
        <f t="shared" si="6"/>
        <v>0</v>
      </c>
      <c r="S14" s="229">
        <f t="shared" si="7"/>
        <v>0</v>
      </c>
      <c r="T14" s="229">
        <f t="shared" si="8"/>
        <v>0</v>
      </c>
      <c r="U14" s="38">
        <f t="shared" si="9"/>
        <v>0</v>
      </c>
    </row>
    <row r="15" spans="1:21" ht="20.100000000000001" customHeight="1" x14ac:dyDescent="0.25">
      <c r="A15" s="370">
        <v>7</v>
      </c>
      <c r="B15" s="35" t="str">
        <f>dtsiswa!D13</f>
        <v>Athaya Salsabilla Z</v>
      </c>
      <c r="C15" s="36" t="s">
        <v>4</v>
      </c>
      <c r="D15" s="59"/>
      <c r="E15" s="59"/>
      <c r="F15" s="59"/>
      <c r="G15" s="59"/>
      <c r="H15" s="59"/>
      <c r="I15" s="59"/>
      <c r="J15" s="59"/>
      <c r="K15" s="59"/>
      <c r="L15" s="476">
        <f t="shared" si="0"/>
        <v>0</v>
      </c>
      <c r="M15" s="227">
        <f t="shared" si="1"/>
        <v>0</v>
      </c>
      <c r="N15" s="227">
        <f t="shared" si="2"/>
        <v>0</v>
      </c>
      <c r="O15" s="227">
        <f t="shared" si="3"/>
        <v>0</v>
      </c>
      <c r="P15" s="228">
        <f t="shared" si="4"/>
        <v>0</v>
      </c>
      <c r="Q15" s="229">
        <f t="shared" si="5"/>
        <v>0</v>
      </c>
      <c r="R15" s="229">
        <f t="shared" si="6"/>
        <v>0</v>
      </c>
      <c r="S15" s="229">
        <f t="shared" si="7"/>
        <v>0</v>
      </c>
      <c r="T15" s="229">
        <f t="shared" si="8"/>
        <v>0</v>
      </c>
      <c r="U15" s="38">
        <f t="shared" si="9"/>
        <v>0</v>
      </c>
    </row>
    <row r="16" spans="1:21" ht="20.100000000000001" customHeight="1" x14ac:dyDescent="0.25">
      <c r="A16" s="370">
        <v>8</v>
      </c>
      <c r="B16" s="35" t="str">
        <f>dtsiswa!D14</f>
        <v>Aulia Dea Rosalinda</v>
      </c>
      <c r="C16" s="36" t="s">
        <v>4</v>
      </c>
      <c r="D16" s="59"/>
      <c r="E16" s="59"/>
      <c r="F16" s="59"/>
      <c r="G16" s="59"/>
      <c r="H16" s="59"/>
      <c r="I16" s="59"/>
      <c r="J16" s="59"/>
      <c r="K16" s="59"/>
      <c r="L16" s="476">
        <f t="shared" si="0"/>
        <v>0</v>
      </c>
      <c r="M16" s="227">
        <f t="shared" si="1"/>
        <v>0</v>
      </c>
      <c r="N16" s="227">
        <f t="shared" si="2"/>
        <v>0</v>
      </c>
      <c r="O16" s="227">
        <f t="shared" si="3"/>
        <v>0</v>
      </c>
      <c r="P16" s="228">
        <f t="shared" si="4"/>
        <v>0</v>
      </c>
      <c r="Q16" s="229">
        <f t="shared" si="5"/>
        <v>0</v>
      </c>
      <c r="R16" s="229">
        <f t="shared" si="6"/>
        <v>0</v>
      </c>
      <c r="S16" s="229">
        <f t="shared" si="7"/>
        <v>0</v>
      </c>
      <c r="T16" s="229">
        <f t="shared" si="8"/>
        <v>0</v>
      </c>
      <c r="U16" s="38">
        <f t="shared" si="9"/>
        <v>0</v>
      </c>
    </row>
    <row r="17" spans="1:21" ht="20.100000000000001" customHeight="1" x14ac:dyDescent="0.25">
      <c r="A17" s="370">
        <v>9</v>
      </c>
      <c r="B17" s="35" t="str">
        <f>dtsiswa!D15</f>
        <v>Claudia Gabriella L</v>
      </c>
      <c r="C17" s="36" t="s">
        <v>4</v>
      </c>
      <c r="D17" s="59"/>
      <c r="E17" s="59"/>
      <c r="F17" s="59"/>
      <c r="G17" s="59"/>
      <c r="H17" s="59"/>
      <c r="I17" s="59"/>
      <c r="J17" s="59"/>
      <c r="K17" s="59"/>
      <c r="L17" s="476">
        <f t="shared" si="0"/>
        <v>0</v>
      </c>
      <c r="M17" s="227">
        <f t="shared" si="1"/>
        <v>0</v>
      </c>
      <c r="N17" s="227">
        <f t="shared" si="2"/>
        <v>0</v>
      </c>
      <c r="O17" s="227">
        <f t="shared" si="3"/>
        <v>0</v>
      </c>
      <c r="P17" s="228">
        <f t="shared" si="4"/>
        <v>0</v>
      </c>
      <c r="Q17" s="229">
        <f t="shared" si="5"/>
        <v>0</v>
      </c>
      <c r="R17" s="229">
        <f t="shared" si="6"/>
        <v>0</v>
      </c>
      <c r="S17" s="229">
        <f t="shared" si="7"/>
        <v>0</v>
      </c>
      <c r="T17" s="229">
        <f t="shared" si="8"/>
        <v>0</v>
      </c>
      <c r="U17" s="38">
        <f t="shared" si="9"/>
        <v>0</v>
      </c>
    </row>
    <row r="18" spans="1:21" ht="20.100000000000001" customHeight="1" x14ac:dyDescent="0.25">
      <c r="A18" s="370">
        <v>10</v>
      </c>
      <c r="B18" s="35" t="str">
        <f>dtsiswa!D16</f>
        <v xml:space="preserve">Deco Badarus Zaman </v>
      </c>
      <c r="C18" s="36" t="s">
        <v>4</v>
      </c>
      <c r="D18" s="59"/>
      <c r="E18" s="59"/>
      <c r="F18" s="59"/>
      <c r="G18" s="59"/>
      <c r="H18" s="59"/>
      <c r="I18" s="59"/>
      <c r="J18" s="59"/>
      <c r="K18" s="59"/>
      <c r="L18" s="476">
        <f t="shared" si="0"/>
        <v>0</v>
      </c>
      <c r="M18" s="227">
        <f t="shared" si="1"/>
        <v>0</v>
      </c>
      <c r="N18" s="227">
        <f t="shared" si="2"/>
        <v>0</v>
      </c>
      <c r="O18" s="227">
        <f t="shared" si="3"/>
        <v>0</v>
      </c>
      <c r="P18" s="228">
        <f t="shared" si="4"/>
        <v>0</v>
      </c>
      <c r="Q18" s="229">
        <f t="shared" si="5"/>
        <v>0</v>
      </c>
      <c r="R18" s="229">
        <f t="shared" si="6"/>
        <v>0</v>
      </c>
      <c r="S18" s="229">
        <f t="shared" si="7"/>
        <v>0</v>
      </c>
      <c r="T18" s="229">
        <f t="shared" si="8"/>
        <v>0</v>
      </c>
      <c r="U18" s="38">
        <f t="shared" si="9"/>
        <v>0</v>
      </c>
    </row>
    <row r="19" spans="1:21" ht="20.100000000000001" customHeight="1" x14ac:dyDescent="0.25">
      <c r="A19" s="370">
        <v>11</v>
      </c>
      <c r="B19" s="35" t="str">
        <f>dtsiswa!D17</f>
        <v>Fania Mutiara Felichia</v>
      </c>
      <c r="C19" s="36" t="s">
        <v>4</v>
      </c>
      <c r="D19" s="59"/>
      <c r="E19" s="59"/>
      <c r="F19" s="59"/>
      <c r="G19" s="59"/>
      <c r="H19" s="59"/>
      <c r="I19" s="59"/>
      <c r="J19" s="59"/>
      <c r="K19" s="59"/>
      <c r="L19" s="476">
        <f t="shared" si="0"/>
        <v>0</v>
      </c>
      <c r="M19" s="227">
        <f t="shared" si="1"/>
        <v>0</v>
      </c>
      <c r="N19" s="227">
        <f t="shared" si="2"/>
        <v>0</v>
      </c>
      <c r="O19" s="227">
        <f t="shared" si="3"/>
        <v>0</v>
      </c>
      <c r="P19" s="228">
        <f t="shared" si="4"/>
        <v>0</v>
      </c>
      <c r="Q19" s="229">
        <f t="shared" si="5"/>
        <v>0</v>
      </c>
      <c r="R19" s="229">
        <f t="shared" si="6"/>
        <v>0</v>
      </c>
      <c r="S19" s="229">
        <f t="shared" si="7"/>
        <v>0</v>
      </c>
      <c r="T19" s="229">
        <f t="shared" si="8"/>
        <v>0</v>
      </c>
      <c r="U19" s="38">
        <f t="shared" si="9"/>
        <v>0</v>
      </c>
    </row>
    <row r="20" spans="1:21" ht="20.100000000000001" customHeight="1" x14ac:dyDescent="0.25">
      <c r="A20" s="370">
        <v>12</v>
      </c>
      <c r="B20" s="35" t="str">
        <f>dtsiswa!D18</f>
        <v>Intan Dyah Nowari</v>
      </c>
      <c r="C20" s="36" t="s">
        <v>4</v>
      </c>
      <c r="D20" s="59"/>
      <c r="E20" s="59"/>
      <c r="F20" s="59"/>
      <c r="G20" s="59"/>
      <c r="H20" s="59"/>
      <c r="I20" s="59"/>
      <c r="J20" s="59"/>
      <c r="K20" s="59"/>
      <c r="L20" s="476">
        <f t="shared" si="0"/>
        <v>0</v>
      </c>
      <c r="M20" s="227">
        <f t="shared" si="1"/>
        <v>0</v>
      </c>
      <c r="N20" s="227">
        <f t="shared" si="2"/>
        <v>0</v>
      </c>
      <c r="O20" s="227">
        <f t="shared" si="3"/>
        <v>0</v>
      </c>
      <c r="P20" s="228">
        <f t="shared" si="4"/>
        <v>0</v>
      </c>
      <c r="Q20" s="229">
        <f t="shared" si="5"/>
        <v>0</v>
      </c>
      <c r="R20" s="229">
        <f t="shared" si="6"/>
        <v>0</v>
      </c>
      <c r="S20" s="229">
        <f t="shared" si="7"/>
        <v>0</v>
      </c>
      <c r="T20" s="229">
        <f t="shared" si="8"/>
        <v>0</v>
      </c>
      <c r="U20" s="38">
        <f t="shared" si="9"/>
        <v>0</v>
      </c>
    </row>
    <row r="21" spans="1:21" ht="20.100000000000001" customHeight="1" x14ac:dyDescent="0.25">
      <c r="A21" s="370">
        <v>13</v>
      </c>
      <c r="B21" s="35" t="str">
        <f>dtsiswa!D19</f>
        <v>Misyanita Nurfitri S</v>
      </c>
      <c r="C21" s="36" t="s">
        <v>5</v>
      </c>
      <c r="D21" s="59"/>
      <c r="E21" s="59"/>
      <c r="F21" s="59"/>
      <c r="G21" s="59"/>
      <c r="H21" s="59"/>
      <c r="I21" s="59"/>
      <c r="J21" s="59"/>
      <c r="K21" s="59"/>
      <c r="L21" s="476">
        <f t="shared" si="0"/>
        <v>0</v>
      </c>
      <c r="M21" s="227">
        <f t="shared" si="1"/>
        <v>0</v>
      </c>
      <c r="N21" s="227">
        <f t="shared" si="2"/>
        <v>0</v>
      </c>
      <c r="O21" s="227">
        <f t="shared" si="3"/>
        <v>0</v>
      </c>
      <c r="P21" s="228">
        <f t="shared" si="4"/>
        <v>0</v>
      </c>
      <c r="Q21" s="229">
        <f t="shared" si="5"/>
        <v>0</v>
      </c>
      <c r="R21" s="229">
        <f t="shared" si="6"/>
        <v>0</v>
      </c>
      <c r="S21" s="229">
        <f t="shared" si="7"/>
        <v>0</v>
      </c>
      <c r="T21" s="229">
        <f t="shared" si="8"/>
        <v>0</v>
      </c>
      <c r="U21" s="38">
        <f t="shared" si="9"/>
        <v>0</v>
      </c>
    </row>
    <row r="22" spans="1:21" ht="20.100000000000001" customHeight="1" x14ac:dyDescent="0.25">
      <c r="A22" s="370">
        <v>14</v>
      </c>
      <c r="B22" s="35" t="str">
        <f>dtsiswa!D20</f>
        <v>Moch Zidane Hita L. U</v>
      </c>
      <c r="C22" s="36" t="s">
        <v>4</v>
      </c>
      <c r="D22" s="59"/>
      <c r="E22" s="59"/>
      <c r="F22" s="59"/>
      <c r="G22" s="59"/>
      <c r="H22" s="59"/>
      <c r="I22" s="59"/>
      <c r="J22" s="59"/>
      <c r="K22" s="59"/>
      <c r="L22" s="476">
        <f t="shared" si="0"/>
        <v>0</v>
      </c>
      <c r="M22" s="227">
        <f t="shared" si="1"/>
        <v>0</v>
      </c>
      <c r="N22" s="227">
        <f t="shared" si="2"/>
        <v>0</v>
      </c>
      <c r="O22" s="227">
        <f t="shared" si="3"/>
        <v>0</v>
      </c>
      <c r="P22" s="228">
        <f t="shared" si="4"/>
        <v>0</v>
      </c>
      <c r="Q22" s="229">
        <f t="shared" si="5"/>
        <v>0</v>
      </c>
      <c r="R22" s="229">
        <f t="shared" si="6"/>
        <v>0</v>
      </c>
      <c r="S22" s="229">
        <f t="shared" si="7"/>
        <v>0</v>
      </c>
      <c r="T22" s="229">
        <f t="shared" si="8"/>
        <v>0</v>
      </c>
      <c r="U22" s="38">
        <f t="shared" si="9"/>
        <v>0</v>
      </c>
    </row>
    <row r="23" spans="1:21" ht="20.100000000000001" customHeight="1" x14ac:dyDescent="0.25">
      <c r="A23" s="370">
        <v>15</v>
      </c>
      <c r="B23" s="35" t="str">
        <f>dtsiswa!D21</f>
        <v>Muhammad Ibra Maulana</v>
      </c>
      <c r="C23" s="36" t="s">
        <v>4</v>
      </c>
      <c r="D23" s="59"/>
      <c r="E23" s="59"/>
      <c r="F23" s="59"/>
      <c r="G23" s="59"/>
      <c r="H23" s="59"/>
      <c r="I23" s="59"/>
      <c r="J23" s="59"/>
      <c r="K23" s="59"/>
      <c r="L23" s="476">
        <f t="shared" si="0"/>
        <v>0</v>
      </c>
      <c r="M23" s="227">
        <f t="shared" si="1"/>
        <v>0</v>
      </c>
      <c r="N23" s="227">
        <f t="shared" si="2"/>
        <v>0</v>
      </c>
      <c r="O23" s="227">
        <f t="shared" si="3"/>
        <v>0</v>
      </c>
      <c r="P23" s="228">
        <f t="shared" si="4"/>
        <v>0</v>
      </c>
      <c r="Q23" s="229">
        <f t="shared" si="5"/>
        <v>0</v>
      </c>
      <c r="R23" s="229">
        <f t="shared" si="6"/>
        <v>0</v>
      </c>
      <c r="S23" s="229">
        <f t="shared" si="7"/>
        <v>0</v>
      </c>
      <c r="T23" s="229">
        <f t="shared" si="8"/>
        <v>0</v>
      </c>
      <c r="U23" s="38">
        <f t="shared" si="9"/>
        <v>0</v>
      </c>
    </row>
    <row r="24" spans="1:21" ht="20.100000000000001" customHeight="1" x14ac:dyDescent="0.25">
      <c r="A24" s="370">
        <v>16</v>
      </c>
      <c r="B24" s="35" t="str">
        <f>dtsiswa!D22</f>
        <v>Nabilla Shiva Putri</v>
      </c>
      <c r="C24" s="36" t="s">
        <v>4</v>
      </c>
      <c r="D24" s="59"/>
      <c r="E24" s="59"/>
      <c r="F24" s="59"/>
      <c r="G24" s="59"/>
      <c r="H24" s="59"/>
      <c r="I24" s="59"/>
      <c r="J24" s="59"/>
      <c r="K24" s="59"/>
      <c r="L24" s="476">
        <f t="shared" si="0"/>
        <v>0</v>
      </c>
      <c r="M24" s="227">
        <f t="shared" si="1"/>
        <v>0</v>
      </c>
      <c r="N24" s="227">
        <f t="shared" si="2"/>
        <v>0</v>
      </c>
      <c r="O24" s="227">
        <f t="shared" si="3"/>
        <v>0</v>
      </c>
      <c r="P24" s="228">
        <f t="shared" si="4"/>
        <v>0</v>
      </c>
      <c r="Q24" s="229">
        <f t="shared" si="5"/>
        <v>0</v>
      </c>
      <c r="R24" s="229">
        <f t="shared" si="6"/>
        <v>0</v>
      </c>
      <c r="S24" s="229">
        <f t="shared" si="7"/>
        <v>0</v>
      </c>
      <c r="T24" s="229">
        <f t="shared" si="8"/>
        <v>0</v>
      </c>
      <c r="U24" s="38">
        <f t="shared" si="9"/>
        <v>0</v>
      </c>
    </row>
    <row r="25" spans="1:21" ht="20.100000000000001" customHeight="1" x14ac:dyDescent="0.25">
      <c r="A25" s="370">
        <v>17</v>
      </c>
      <c r="B25" s="35" t="str">
        <f>dtsiswa!D23</f>
        <v>Naufal Falih F</v>
      </c>
      <c r="C25" s="36" t="s">
        <v>5</v>
      </c>
      <c r="D25" s="59"/>
      <c r="E25" s="59"/>
      <c r="F25" s="59"/>
      <c r="G25" s="59"/>
      <c r="H25" s="59"/>
      <c r="I25" s="59"/>
      <c r="J25" s="59"/>
      <c r="K25" s="59"/>
      <c r="L25" s="476">
        <f t="shared" si="0"/>
        <v>0</v>
      </c>
      <c r="M25" s="227">
        <f t="shared" si="1"/>
        <v>0</v>
      </c>
      <c r="N25" s="227">
        <f t="shared" si="2"/>
        <v>0</v>
      </c>
      <c r="O25" s="227">
        <f t="shared" si="3"/>
        <v>0</v>
      </c>
      <c r="P25" s="228">
        <f t="shared" si="4"/>
        <v>0</v>
      </c>
      <c r="Q25" s="229">
        <f t="shared" si="5"/>
        <v>0</v>
      </c>
      <c r="R25" s="229">
        <f t="shared" si="6"/>
        <v>0</v>
      </c>
      <c r="S25" s="229">
        <f t="shared" si="7"/>
        <v>0</v>
      </c>
      <c r="T25" s="229">
        <f t="shared" si="8"/>
        <v>0</v>
      </c>
      <c r="U25" s="38">
        <f t="shared" si="9"/>
        <v>0</v>
      </c>
    </row>
    <row r="26" spans="1:21" ht="20.100000000000001" customHeight="1" x14ac:dyDescent="0.25">
      <c r="A26" s="370">
        <v>18</v>
      </c>
      <c r="B26" s="35" t="str">
        <f>dtsiswa!D24</f>
        <v>Nayla Annora Nobel W</v>
      </c>
      <c r="C26" s="36" t="s">
        <v>4</v>
      </c>
      <c r="D26" s="59"/>
      <c r="E26" s="59"/>
      <c r="F26" s="59"/>
      <c r="G26" s="59"/>
      <c r="H26" s="59"/>
      <c r="I26" s="59"/>
      <c r="J26" s="59"/>
      <c r="K26" s="59"/>
      <c r="L26" s="476">
        <f t="shared" si="0"/>
        <v>0</v>
      </c>
      <c r="M26" s="227">
        <f t="shared" si="1"/>
        <v>0</v>
      </c>
      <c r="N26" s="227">
        <f t="shared" si="2"/>
        <v>0</v>
      </c>
      <c r="O26" s="227">
        <f t="shared" si="3"/>
        <v>0</v>
      </c>
      <c r="P26" s="228">
        <f t="shared" si="4"/>
        <v>0</v>
      </c>
      <c r="Q26" s="229">
        <f t="shared" si="5"/>
        <v>0</v>
      </c>
      <c r="R26" s="229">
        <f t="shared" si="6"/>
        <v>0</v>
      </c>
      <c r="S26" s="229">
        <f t="shared" si="7"/>
        <v>0</v>
      </c>
      <c r="T26" s="229">
        <f t="shared" si="8"/>
        <v>0</v>
      </c>
      <c r="U26" s="38">
        <f t="shared" si="9"/>
        <v>0</v>
      </c>
    </row>
    <row r="27" spans="1:21" ht="20.100000000000001" customHeight="1" x14ac:dyDescent="0.25">
      <c r="A27" s="370">
        <v>19</v>
      </c>
      <c r="B27" s="35" t="str">
        <f>dtsiswa!D25</f>
        <v>Raihan Danang P</v>
      </c>
      <c r="C27" s="36" t="s">
        <v>5</v>
      </c>
      <c r="D27" s="59"/>
      <c r="E27" s="59"/>
      <c r="F27" s="59"/>
      <c r="G27" s="59"/>
      <c r="H27" s="59"/>
      <c r="I27" s="59"/>
      <c r="J27" s="59"/>
      <c r="K27" s="59"/>
      <c r="L27" s="476">
        <f t="shared" si="0"/>
        <v>0</v>
      </c>
      <c r="M27" s="227">
        <f t="shared" si="1"/>
        <v>0</v>
      </c>
      <c r="N27" s="227">
        <f t="shared" si="2"/>
        <v>0</v>
      </c>
      <c r="O27" s="227">
        <f t="shared" si="3"/>
        <v>0</v>
      </c>
      <c r="P27" s="228">
        <f t="shared" si="4"/>
        <v>0</v>
      </c>
      <c r="Q27" s="229">
        <f t="shared" si="5"/>
        <v>0</v>
      </c>
      <c r="R27" s="229">
        <f t="shared" si="6"/>
        <v>0</v>
      </c>
      <c r="S27" s="229">
        <f t="shared" si="7"/>
        <v>0</v>
      </c>
      <c r="T27" s="229">
        <f t="shared" si="8"/>
        <v>0</v>
      </c>
      <c r="U27" s="38">
        <f t="shared" si="9"/>
        <v>0</v>
      </c>
    </row>
    <row r="28" spans="1:21" ht="20.100000000000001" customHeight="1" x14ac:dyDescent="0.25">
      <c r="A28" s="370">
        <v>20</v>
      </c>
      <c r="B28" s="35" t="str">
        <f>dtsiswa!D26</f>
        <v>Roby Ardiyansyah</v>
      </c>
      <c r="C28" s="36" t="s">
        <v>5</v>
      </c>
      <c r="D28" s="370"/>
      <c r="E28" s="370"/>
      <c r="F28" s="370"/>
      <c r="G28" s="370"/>
      <c r="H28" s="370"/>
      <c r="I28" s="370"/>
      <c r="J28" s="370"/>
      <c r="K28" s="370"/>
      <c r="L28" s="476">
        <f t="shared" si="0"/>
        <v>0</v>
      </c>
      <c r="M28" s="227">
        <f t="shared" si="1"/>
        <v>0</v>
      </c>
      <c r="N28" s="227">
        <f t="shared" si="2"/>
        <v>0</v>
      </c>
      <c r="O28" s="227">
        <f t="shared" si="3"/>
        <v>0</v>
      </c>
      <c r="P28" s="228">
        <f t="shared" si="4"/>
        <v>0</v>
      </c>
      <c r="Q28" s="229">
        <f t="shared" si="5"/>
        <v>0</v>
      </c>
      <c r="R28" s="229">
        <f t="shared" si="6"/>
        <v>0</v>
      </c>
      <c r="S28" s="229">
        <f t="shared" si="7"/>
        <v>0</v>
      </c>
      <c r="T28" s="229">
        <f t="shared" si="8"/>
        <v>0</v>
      </c>
      <c r="U28" s="38">
        <f t="shared" si="9"/>
        <v>0</v>
      </c>
    </row>
    <row r="29" spans="1:21" ht="20.100000000000001" customHeight="1" x14ac:dyDescent="0.25">
      <c r="A29" s="370">
        <v>21</v>
      </c>
      <c r="B29" s="35" t="str">
        <f>dtsiswa!D27</f>
        <v>Rojalingga Prana A</v>
      </c>
      <c r="C29" s="44" t="s">
        <v>4</v>
      </c>
      <c r="D29" s="59"/>
      <c r="E29" s="59"/>
      <c r="F29" s="59"/>
      <c r="G29" s="59"/>
      <c r="H29" s="59"/>
      <c r="I29" s="59"/>
      <c r="J29" s="59"/>
      <c r="K29" s="59"/>
      <c r="L29" s="476">
        <f t="shared" si="0"/>
        <v>0</v>
      </c>
      <c r="M29" s="227">
        <f t="shared" si="1"/>
        <v>0</v>
      </c>
      <c r="N29" s="227">
        <f t="shared" si="2"/>
        <v>0</v>
      </c>
      <c r="O29" s="227">
        <f t="shared" si="3"/>
        <v>0</v>
      </c>
      <c r="P29" s="228">
        <f t="shared" si="4"/>
        <v>0</v>
      </c>
      <c r="Q29" s="229">
        <f t="shared" si="5"/>
        <v>0</v>
      </c>
      <c r="R29" s="229">
        <f t="shared" si="6"/>
        <v>0</v>
      </c>
      <c r="S29" s="229">
        <f t="shared" si="7"/>
        <v>0</v>
      </c>
      <c r="T29" s="229">
        <f t="shared" si="8"/>
        <v>0</v>
      </c>
      <c r="U29" s="38">
        <f t="shared" si="9"/>
        <v>0</v>
      </c>
    </row>
    <row r="30" spans="1:21" ht="20.100000000000001" customHeight="1" x14ac:dyDescent="0.25">
      <c r="A30" s="370">
        <v>22</v>
      </c>
      <c r="B30" s="35" t="str">
        <f>dtsiswa!D28</f>
        <v>Sally Savista A</v>
      </c>
      <c r="C30" s="45" t="s">
        <v>4</v>
      </c>
      <c r="D30" s="370"/>
      <c r="E30" s="370"/>
      <c r="F30" s="370"/>
      <c r="G30" s="370"/>
      <c r="H30" s="370"/>
      <c r="I30" s="370"/>
      <c r="J30" s="370"/>
      <c r="K30" s="370"/>
      <c r="L30" s="476">
        <f t="shared" si="0"/>
        <v>0</v>
      </c>
      <c r="M30" s="227">
        <f t="shared" si="1"/>
        <v>0</v>
      </c>
      <c r="N30" s="227">
        <f t="shared" si="2"/>
        <v>0</v>
      </c>
      <c r="O30" s="227">
        <f t="shared" si="3"/>
        <v>0</v>
      </c>
      <c r="P30" s="228">
        <f t="shared" si="4"/>
        <v>0</v>
      </c>
      <c r="Q30" s="229">
        <f t="shared" si="5"/>
        <v>0</v>
      </c>
      <c r="R30" s="229">
        <f t="shared" si="6"/>
        <v>0</v>
      </c>
      <c r="S30" s="229">
        <f t="shared" si="7"/>
        <v>0</v>
      </c>
      <c r="T30" s="229">
        <f t="shared" si="8"/>
        <v>0</v>
      </c>
      <c r="U30" s="38">
        <f t="shared" si="9"/>
        <v>0</v>
      </c>
    </row>
    <row r="31" spans="1:21" ht="20.100000000000001" customHeight="1" x14ac:dyDescent="0.25">
      <c r="A31" s="370">
        <v>23</v>
      </c>
      <c r="B31" s="35" t="str">
        <f>dtsiswa!D29</f>
        <v xml:space="preserve">Tania Kaori Angelita </v>
      </c>
      <c r="C31" s="45" t="s">
        <v>5</v>
      </c>
      <c r="D31" s="370"/>
      <c r="E31" s="370"/>
      <c r="F31" s="370"/>
      <c r="G31" s="370"/>
      <c r="H31" s="370"/>
      <c r="I31" s="370"/>
      <c r="J31" s="370"/>
      <c r="K31" s="370"/>
      <c r="L31" s="476">
        <f t="shared" si="0"/>
        <v>0</v>
      </c>
      <c r="M31" s="227">
        <f t="shared" si="1"/>
        <v>0</v>
      </c>
      <c r="N31" s="227">
        <f t="shared" si="2"/>
        <v>0</v>
      </c>
      <c r="O31" s="227">
        <f t="shared" si="3"/>
        <v>0</v>
      </c>
      <c r="P31" s="228">
        <f t="shared" si="4"/>
        <v>0</v>
      </c>
      <c r="Q31" s="229">
        <f t="shared" si="5"/>
        <v>0</v>
      </c>
      <c r="R31" s="229">
        <f t="shared" si="6"/>
        <v>0</v>
      </c>
      <c r="S31" s="229">
        <f t="shared" si="7"/>
        <v>0</v>
      </c>
      <c r="T31" s="229">
        <f t="shared" si="8"/>
        <v>0</v>
      </c>
      <c r="U31" s="38">
        <f t="shared" si="9"/>
        <v>0</v>
      </c>
    </row>
    <row r="32" spans="1:21" ht="20.100000000000001" customHeight="1" x14ac:dyDescent="0.25">
      <c r="A32" s="370">
        <v>24</v>
      </c>
      <c r="B32" s="35" t="str">
        <f>dtsiswa!D30</f>
        <v>Romzy Oka Ramadhani P</v>
      </c>
      <c r="C32" s="45" t="s">
        <v>5</v>
      </c>
      <c r="D32" s="370"/>
      <c r="E32" s="370"/>
      <c r="F32" s="370"/>
      <c r="G32" s="370"/>
      <c r="H32" s="370"/>
      <c r="I32" s="370"/>
      <c r="J32" s="370"/>
      <c r="K32" s="370"/>
      <c r="L32" s="476">
        <f t="shared" si="0"/>
        <v>0</v>
      </c>
      <c r="M32" s="227">
        <f t="shared" si="1"/>
        <v>0</v>
      </c>
      <c r="N32" s="227">
        <f t="shared" si="2"/>
        <v>0</v>
      </c>
      <c r="O32" s="227">
        <f t="shared" si="3"/>
        <v>0</v>
      </c>
      <c r="P32" s="228">
        <f t="shared" si="4"/>
        <v>0</v>
      </c>
      <c r="Q32" s="229">
        <f t="shared" si="5"/>
        <v>0</v>
      </c>
      <c r="R32" s="229">
        <f t="shared" si="6"/>
        <v>0</v>
      </c>
      <c r="S32" s="229">
        <f t="shared" si="7"/>
        <v>0</v>
      </c>
      <c r="T32" s="229">
        <f t="shared" si="8"/>
        <v>0</v>
      </c>
      <c r="U32" s="38">
        <f t="shared" si="9"/>
        <v>0</v>
      </c>
    </row>
    <row r="33" spans="1:21" ht="20.100000000000001" customHeight="1" x14ac:dyDescent="0.25">
      <c r="A33" s="370">
        <v>25</v>
      </c>
      <c r="B33" s="35" t="str">
        <f>dtsiswa!D31</f>
        <v>Larasati Jagadhita P</v>
      </c>
      <c r="C33" s="36" t="s">
        <v>4</v>
      </c>
      <c r="D33" s="370"/>
      <c r="E33" s="370"/>
      <c r="F33" s="370"/>
      <c r="G33" s="370"/>
      <c r="H33" s="370"/>
      <c r="I33" s="370"/>
      <c r="J33" s="370"/>
      <c r="K33" s="370"/>
      <c r="L33" s="476">
        <f t="shared" si="0"/>
        <v>0</v>
      </c>
      <c r="M33" s="227">
        <f t="shared" si="1"/>
        <v>0</v>
      </c>
      <c r="N33" s="227">
        <f t="shared" si="2"/>
        <v>0</v>
      </c>
      <c r="O33" s="227">
        <f t="shared" si="3"/>
        <v>0</v>
      </c>
      <c r="P33" s="228">
        <f t="shared" si="4"/>
        <v>0</v>
      </c>
      <c r="Q33" s="229">
        <f t="shared" si="5"/>
        <v>0</v>
      </c>
      <c r="R33" s="229">
        <f t="shared" si="6"/>
        <v>0</v>
      </c>
      <c r="S33" s="229">
        <f t="shared" si="7"/>
        <v>0</v>
      </c>
      <c r="T33" s="229">
        <f t="shared" si="8"/>
        <v>0</v>
      </c>
      <c r="U33" s="38">
        <f t="shared" si="9"/>
        <v>0</v>
      </c>
    </row>
    <row r="34" spans="1:21" ht="20.100000000000001" customHeight="1" x14ac:dyDescent="0.25">
      <c r="A34" s="370">
        <v>26</v>
      </c>
      <c r="B34" s="35" t="str">
        <f>dtsiswa!D32</f>
        <v>Meliana Citra A</v>
      </c>
      <c r="C34" s="36" t="s">
        <v>5</v>
      </c>
      <c r="D34" s="370"/>
      <c r="E34" s="370"/>
      <c r="F34" s="370"/>
      <c r="G34" s="370"/>
      <c r="H34" s="370"/>
      <c r="I34" s="370"/>
      <c r="J34" s="370"/>
      <c r="K34" s="370"/>
      <c r="L34" s="476">
        <f t="shared" si="0"/>
        <v>0</v>
      </c>
      <c r="M34" s="227">
        <f t="shared" si="1"/>
        <v>0</v>
      </c>
      <c r="N34" s="227">
        <f t="shared" si="2"/>
        <v>0</v>
      </c>
      <c r="O34" s="227">
        <f t="shared" si="3"/>
        <v>0</v>
      </c>
      <c r="P34" s="228">
        <f t="shared" si="4"/>
        <v>0</v>
      </c>
      <c r="Q34" s="229">
        <f t="shared" si="5"/>
        <v>0</v>
      </c>
      <c r="R34" s="229">
        <f t="shared" si="6"/>
        <v>0</v>
      </c>
      <c r="S34" s="229">
        <f t="shared" si="7"/>
        <v>0</v>
      </c>
      <c r="T34" s="229">
        <f t="shared" si="8"/>
        <v>0</v>
      </c>
      <c r="U34" s="38">
        <f t="shared" si="9"/>
        <v>0</v>
      </c>
    </row>
    <row r="35" spans="1:21" ht="20.100000000000001" customHeight="1" x14ac:dyDescent="0.25">
      <c r="A35" s="370">
        <v>27</v>
      </c>
      <c r="B35" s="35" t="str">
        <f>dtsiswa!D33</f>
        <v>Mohammad Rizky</v>
      </c>
      <c r="C35" s="36" t="s">
        <v>4</v>
      </c>
      <c r="D35" s="370"/>
      <c r="E35" s="370"/>
      <c r="F35" s="370"/>
      <c r="G35" s="370"/>
      <c r="H35" s="370"/>
      <c r="I35" s="370"/>
      <c r="J35" s="370"/>
      <c r="K35" s="370"/>
      <c r="L35" s="476">
        <f t="shared" si="0"/>
        <v>0</v>
      </c>
      <c r="M35" s="227">
        <f t="shared" si="1"/>
        <v>0</v>
      </c>
      <c r="N35" s="227">
        <f t="shared" si="2"/>
        <v>0</v>
      </c>
      <c r="O35" s="227">
        <f t="shared" si="3"/>
        <v>0</v>
      </c>
      <c r="P35" s="228">
        <f t="shared" ref="P35:P39" si="10">L35</f>
        <v>0</v>
      </c>
      <c r="Q35" s="229">
        <f t="shared" si="5"/>
        <v>0</v>
      </c>
      <c r="R35" s="229">
        <f t="shared" si="6"/>
        <v>0</v>
      </c>
      <c r="S35" s="229">
        <f t="shared" si="7"/>
        <v>0</v>
      </c>
      <c r="T35" s="229">
        <f t="shared" si="8"/>
        <v>0</v>
      </c>
      <c r="U35" s="38">
        <f t="shared" ref="U35:U39" si="11">L35</f>
        <v>0</v>
      </c>
    </row>
    <row r="36" spans="1:21" ht="20.100000000000001" customHeight="1" x14ac:dyDescent="0.25">
      <c r="A36" s="370">
        <v>28</v>
      </c>
      <c r="B36" s="35">
        <f>dtsiswa!D34</f>
        <v>0</v>
      </c>
      <c r="C36" s="36" t="s">
        <v>4</v>
      </c>
      <c r="D36" s="370"/>
      <c r="E36" s="370"/>
      <c r="F36" s="370"/>
      <c r="G36" s="370"/>
      <c r="H36" s="370"/>
      <c r="I36" s="370"/>
      <c r="J36" s="370"/>
      <c r="K36" s="370"/>
      <c r="L36" s="476">
        <f t="shared" si="0"/>
        <v>0</v>
      </c>
      <c r="M36" s="227">
        <f t="shared" si="1"/>
        <v>0</v>
      </c>
      <c r="N36" s="227">
        <f t="shared" si="2"/>
        <v>0</v>
      </c>
      <c r="O36" s="227">
        <f t="shared" si="3"/>
        <v>0</v>
      </c>
      <c r="P36" s="228">
        <f t="shared" si="10"/>
        <v>0</v>
      </c>
      <c r="Q36" s="229">
        <f t="shared" si="5"/>
        <v>0</v>
      </c>
      <c r="R36" s="229">
        <f t="shared" si="6"/>
        <v>0</v>
      </c>
      <c r="S36" s="229">
        <f t="shared" si="7"/>
        <v>0</v>
      </c>
      <c r="T36" s="229">
        <f t="shared" si="8"/>
        <v>0</v>
      </c>
      <c r="U36" s="38">
        <f t="shared" si="11"/>
        <v>0</v>
      </c>
    </row>
    <row r="37" spans="1:21" ht="20.100000000000001" customHeight="1" x14ac:dyDescent="0.25">
      <c r="A37" s="370">
        <v>29</v>
      </c>
      <c r="B37" s="35">
        <f>dtsiswa!D35</f>
        <v>0</v>
      </c>
      <c r="C37" s="36" t="s">
        <v>4</v>
      </c>
      <c r="D37" s="370"/>
      <c r="E37" s="370"/>
      <c r="F37" s="370"/>
      <c r="G37" s="370"/>
      <c r="H37" s="370"/>
      <c r="I37" s="370"/>
      <c r="J37" s="370"/>
      <c r="K37" s="370"/>
      <c r="L37" s="476">
        <f t="shared" si="0"/>
        <v>0</v>
      </c>
      <c r="M37" s="227">
        <f t="shared" si="1"/>
        <v>0</v>
      </c>
      <c r="N37" s="227">
        <f t="shared" si="2"/>
        <v>0</v>
      </c>
      <c r="O37" s="227">
        <f t="shared" si="3"/>
        <v>0</v>
      </c>
      <c r="P37" s="228">
        <f t="shared" si="10"/>
        <v>0</v>
      </c>
      <c r="Q37" s="229">
        <f t="shared" si="5"/>
        <v>0</v>
      </c>
      <c r="R37" s="229">
        <f t="shared" si="6"/>
        <v>0</v>
      </c>
      <c r="S37" s="229">
        <f t="shared" si="7"/>
        <v>0</v>
      </c>
      <c r="T37" s="229">
        <f t="shared" si="8"/>
        <v>0</v>
      </c>
      <c r="U37" s="38">
        <f t="shared" si="11"/>
        <v>0</v>
      </c>
    </row>
    <row r="38" spans="1:21" ht="20.100000000000001" customHeight="1" x14ac:dyDescent="0.25">
      <c r="A38" s="370">
        <v>30</v>
      </c>
      <c r="B38" s="35">
        <f>dtsiswa!D36</f>
        <v>0</v>
      </c>
      <c r="C38" s="36" t="s">
        <v>5</v>
      </c>
      <c r="D38" s="370"/>
      <c r="E38" s="370"/>
      <c r="F38" s="370"/>
      <c r="G38" s="370"/>
      <c r="H38" s="370"/>
      <c r="I38" s="370"/>
      <c r="J38" s="370"/>
      <c r="K38" s="370"/>
      <c r="L38" s="476">
        <f t="shared" si="0"/>
        <v>0</v>
      </c>
      <c r="M38" s="227">
        <f t="shared" si="1"/>
        <v>0</v>
      </c>
      <c r="N38" s="227">
        <f t="shared" si="2"/>
        <v>0</v>
      </c>
      <c r="O38" s="227">
        <f t="shared" si="3"/>
        <v>0</v>
      </c>
      <c r="P38" s="228">
        <f t="shared" si="10"/>
        <v>0</v>
      </c>
      <c r="Q38" s="229">
        <f t="shared" si="5"/>
        <v>0</v>
      </c>
      <c r="R38" s="229">
        <f t="shared" si="6"/>
        <v>0</v>
      </c>
      <c r="S38" s="229">
        <f t="shared" si="7"/>
        <v>0</v>
      </c>
      <c r="T38" s="229">
        <f t="shared" si="8"/>
        <v>0</v>
      </c>
      <c r="U38" s="38">
        <f t="shared" si="11"/>
        <v>0</v>
      </c>
    </row>
    <row r="39" spans="1:21" ht="20.100000000000001" customHeight="1" x14ac:dyDescent="0.25">
      <c r="A39" s="370">
        <v>31</v>
      </c>
      <c r="B39" s="35">
        <f>dtsiswa!D37</f>
        <v>0</v>
      </c>
      <c r="C39" s="36" t="s">
        <v>5</v>
      </c>
      <c r="D39" s="370"/>
      <c r="E39" s="370"/>
      <c r="F39" s="370"/>
      <c r="G39" s="370"/>
      <c r="H39" s="370"/>
      <c r="I39" s="370"/>
      <c r="J39" s="370"/>
      <c r="K39" s="370"/>
      <c r="L39" s="476">
        <f t="shared" si="0"/>
        <v>0</v>
      </c>
      <c r="M39" s="227">
        <f t="shared" si="1"/>
        <v>0</v>
      </c>
      <c r="N39" s="227">
        <f t="shared" si="2"/>
        <v>0</v>
      </c>
      <c r="O39" s="227">
        <f t="shared" si="3"/>
        <v>0</v>
      </c>
      <c r="P39" s="228">
        <f t="shared" si="10"/>
        <v>0</v>
      </c>
      <c r="Q39" s="229">
        <f t="shared" si="5"/>
        <v>0</v>
      </c>
      <c r="R39" s="229">
        <f t="shared" si="6"/>
        <v>0</v>
      </c>
      <c r="S39" s="229">
        <f t="shared" si="7"/>
        <v>0</v>
      </c>
      <c r="T39" s="229">
        <f t="shared" si="8"/>
        <v>0</v>
      </c>
      <c r="U39" s="38">
        <f t="shared" si="11"/>
        <v>0</v>
      </c>
    </row>
    <row r="40" spans="1:21" ht="20.100000000000001" customHeight="1" x14ac:dyDescent="0.25">
      <c r="A40" s="370">
        <v>32</v>
      </c>
      <c r="B40" s="35">
        <f>dtsiswa!D38</f>
        <v>0</v>
      </c>
      <c r="C40" s="36"/>
      <c r="D40" s="370"/>
      <c r="E40" s="370"/>
      <c r="F40" s="370"/>
      <c r="G40" s="370"/>
      <c r="H40" s="370"/>
      <c r="I40" s="370"/>
      <c r="J40" s="370"/>
      <c r="K40" s="370"/>
      <c r="L40" s="476">
        <f t="shared" si="0"/>
        <v>0</v>
      </c>
      <c r="M40" s="227">
        <f t="shared" si="1"/>
        <v>0</v>
      </c>
      <c r="N40" s="227">
        <f t="shared" si="2"/>
        <v>0</v>
      </c>
      <c r="O40" s="227">
        <f t="shared" si="3"/>
        <v>0</v>
      </c>
      <c r="P40" s="228">
        <f t="shared" ref="P40:P43" si="12">L40</f>
        <v>0</v>
      </c>
      <c r="Q40" s="229">
        <f t="shared" si="5"/>
        <v>0</v>
      </c>
      <c r="R40" s="229">
        <f t="shared" si="6"/>
        <v>0</v>
      </c>
      <c r="S40" s="229">
        <f t="shared" si="7"/>
        <v>0</v>
      </c>
      <c r="T40" s="229">
        <f t="shared" si="8"/>
        <v>0</v>
      </c>
      <c r="U40" s="38">
        <f t="shared" ref="U40:U43" si="13">L40</f>
        <v>0</v>
      </c>
    </row>
    <row r="41" spans="1:21" ht="20.100000000000001" customHeight="1" x14ac:dyDescent="0.25">
      <c r="A41" s="370">
        <v>33</v>
      </c>
      <c r="B41" s="35">
        <f>dtsiswa!D39</f>
        <v>0</v>
      </c>
      <c r="C41" s="36"/>
      <c r="D41" s="370"/>
      <c r="E41" s="370"/>
      <c r="F41" s="370"/>
      <c r="G41" s="370"/>
      <c r="H41" s="370"/>
      <c r="I41" s="370"/>
      <c r="J41" s="370"/>
      <c r="K41" s="370"/>
      <c r="L41" s="476">
        <f t="shared" si="0"/>
        <v>0</v>
      </c>
      <c r="M41" s="227">
        <f t="shared" si="1"/>
        <v>0</v>
      </c>
      <c r="N41" s="227">
        <f t="shared" si="2"/>
        <v>0</v>
      </c>
      <c r="O41" s="227">
        <f t="shared" si="3"/>
        <v>0</v>
      </c>
      <c r="P41" s="228">
        <f t="shared" si="12"/>
        <v>0</v>
      </c>
      <c r="Q41" s="229">
        <f t="shared" si="5"/>
        <v>0</v>
      </c>
      <c r="R41" s="229">
        <f t="shared" si="6"/>
        <v>0</v>
      </c>
      <c r="S41" s="229">
        <f t="shared" si="7"/>
        <v>0</v>
      </c>
      <c r="T41" s="229">
        <f t="shared" si="8"/>
        <v>0</v>
      </c>
      <c r="U41" s="38">
        <f t="shared" si="13"/>
        <v>0</v>
      </c>
    </row>
    <row r="42" spans="1:21" ht="20.100000000000001" customHeight="1" x14ac:dyDescent="0.25">
      <c r="A42" s="370">
        <v>34</v>
      </c>
      <c r="B42" s="35">
        <f>dtsiswa!D40</f>
        <v>0</v>
      </c>
      <c r="C42" s="36"/>
      <c r="D42" s="370"/>
      <c r="E42" s="370"/>
      <c r="F42" s="370"/>
      <c r="G42" s="370"/>
      <c r="H42" s="370"/>
      <c r="I42" s="370"/>
      <c r="J42" s="370"/>
      <c r="K42" s="370"/>
      <c r="L42" s="476">
        <f t="shared" si="0"/>
        <v>0</v>
      </c>
      <c r="M42" s="227">
        <f t="shared" si="1"/>
        <v>0</v>
      </c>
      <c r="N42" s="227">
        <f t="shared" si="2"/>
        <v>0</v>
      </c>
      <c r="O42" s="227">
        <f t="shared" si="3"/>
        <v>0</v>
      </c>
      <c r="P42" s="228">
        <f t="shared" si="12"/>
        <v>0</v>
      </c>
      <c r="Q42" s="229">
        <f t="shared" si="5"/>
        <v>0</v>
      </c>
      <c r="R42" s="229">
        <f t="shared" si="6"/>
        <v>0</v>
      </c>
      <c r="S42" s="229">
        <f t="shared" si="7"/>
        <v>0</v>
      </c>
      <c r="T42" s="229">
        <f t="shared" si="8"/>
        <v>0</v>
      </c>
      <c r="U42" s="38">
        <f t="shared" si="13"/>
        <v>0</v>
      </c>
    </row>
    <row r="43" spans="1:21" ht="20.100000000000001" customHeight="1" x14ac:dyDescent="0.25">
      <c r="A43" s="370">
        <v>35</v>
      </c>
      <c r="B43" s="35">
        <f>dtsiswa!D41</f>
        <v>0</v>
      </c>
      <c r="C43" s="36"/>
      <c r="D43" s="370"/>
      <c r="E43" s="370"/>
      <c r="F43" s="370"/>
      <c r="G43" s="370"/>
      <c r="H43" s="370"/>
      <c r="I43" s="370"/>
      <c r="J43" s="370"/>
      <c r="K43" s="370"/>
      <c r="L43" s="476">
        <f t="shared" si="0"/>
        <v>0</v>
      </c>
      <c r="M43" s="227">
        <f t="shared" si="1"/>
        <v>0</v>
      </c>
      <c r="N43" s="227">
        <f t="shared" si="2"/>
        <v>0</v>
      </c>
      <c r="O43" s="227">
        <f t="shared" si="3"/>
        <v>0</v>
      </c>
      <c r="P43" s="228">
        <f t="shared" si="12"/>
        <v>0</v>
      </c>
      <c r="Q43" s="229">
        <f t="shared" si="5"/>
        <v>0</v>
      </c>
      <c r="R43" s="229">
        <f t="shared" si="6"/>
        <v>0</v>
      </c>
      <c r="S43" s="229">
        <f t="shared" si="7"/>
        <v>0</v>
      </c>
      <c r="T43" s="229">
        <f t="shared" si="8"/>
        <v>0</v>
      </c>
      <c r="U43" s="38">
        <f t="shared" si="13"/>
        <v>0</v>
      </c>
    </row>
    <row r="44" spans="1:21" ht="20.100000000000001" customHeight="1" x14ac:dyDescent="0.25">
      <c r="A44" s="602">
        <v>36</v>
      </c>
      <c r="B44" s="35">
        <f>dtsiswa!D42</f>
        <v>0</v>
      </c>
      <c r="C44" s="36"/>
      <c r="D44" s="602"/>
      <c r="E44" s="602"/>
      <c r="F44" s="602"/>
      <c r="G44" s="602"/>
      <c r="H44" s="602"/>
      <c r="I44" s="602"/>
      <c r="J44" s="602"/>
      <c r="K44" s="602"/>
      <c r="L44" s="476">
        <f t="shared" si="0"/>
        <v>0</v>
      </c>
      <c r="M44" s="227">
        <f t="shared" si="1"/>
        <v>0</v>
      </c>
      <c r="N44" s="227">
        <f t="shared" si="2"/>
        <v>0</v>
      </c>
      <c r="O44" s="227">
        <f t="shared" si="3"/>
        <v>0</v>
      </c>
      <c r="P44" s="228">
        <f t="shared" ref="P44:P48" si="14">L44</f>
        <v>0</v>
      </c>
      <c r="Q44" s="229">
        <f t="shared" si="5"/>
        <v>0</v>
      </c>
      <c r="R44" s="229">
        <f t="shared" si="6"/>
        <v>0</v>
      </c>
      <c r="S44" s="229">
        <f t="shared" si="7"/>
        <v>0</v>
      </c>
      <c r="T44" s="229">
        <f t="shared" si="8"/>
        <v>0</v>
      </c>
      <c r="U44" s="38">
        <f t="shared" ref="U44:U48" si="15">L44</f>
        <v>0</v>
      </c>
    </row>
    <row r="45" spans="1:21" ht="20.100000000000001" customHeight="1" x14ac:dyDescent="0.25">
      <c r="A45" s="602">
        <v>37</v>
      </c>
      <c r="B45" s="35">
        <f>dtsiswa!D43</f>
        <v>0</v>
      </c>
      <c r="C45" s="36"/>
      <c r="D45" s="602"/>
      <c r="E45" s="602"/>
      <c r="F45" s="602"/>
      <c r="G45" s="602"/>
      <c r="H45" s="602"/>
      <c r="I45" s="602"/>
      <c r="J45" s="602"/>
      <c r="K45" s="602"/>
      <c r="L45" s="476">
        <f t="shared" si="0"/>
        <v>0</v>
      </c>
      <c r="M45" s="227">
        <f t="shared" si="1"/>
        <v>0</v>
      </c>
      <c r="N45" s="227">
        <f t="shared" si="2"/>
        <v>0</v>
      </c>
      <c r="O45" s="227">
        <f t="shared" si="3"/>
        <v>0</v>
      </c>
      <c r="P45" s="228">
        <f t="shared" si="14"/>
        <v>0</v>
      </c>
      <c r="Q45" s="229">
        <f t="shared" si="5"/>
        <v>0</v>
      </c>
      <c r="R45" s="229">
        <f t="shared" si="6"/>
        <v>0</v>
      </c>
      <c r="S45" s="229">
        <f t="shared" si="7"/>
        <v>0</v>
      </c>
      <c r="T45" s="229">
        <f t="shared" si="8"/>
        <v>0</v>
      </c>
      <c r="U45" s="38">
        <f t="shared" si="15"/>
        <v>0</v>
      </c>
    </row>
    <row r="46" spans="1:21" ht="20.100000000000001" customHeight="1" x14ac:dyDescent="0.25">
      <c r="A46" s="602">
        <v>38</v>
      </c>
      <c r="B46" s="35">
        <f>dtsiswa!D44</f>
        <v>0</v>
      </c>
      <c r="C46" s="36"/>
      <c r="D46" s="602"/>
      <c r="E46" s="602"/>
      <c r="F46" s="602"/>
      <c r="G46" s="602"/>
      <c r="H46" s="602"/>
      <c r="I46" s="602"/>
      <c r="J46" s="602"/>
      <c r="K46" s="602"/>
      <c r="L46" s="476">
        <f t="shared" si="0"/>
        <v>0</v>
      </c>
      <c r="M46" s="227">
        <f t="shared" si="1"/>
        <v>0</v>
      </c>
      <c r="N46" s="227">
        <f t="shared" si="2"/>
        <v>0</v>
      </c>
      <c r="O46" s="227">
        <f t="shared" si="3"/>
        <v>0</v>
      </c>
      <c r="P46" s="228">
        <f t="shared" si="14"/>
        <v>0</v>
      </c>
      <c r="Q46" s="229">
        <f t="shared" si="5"/>
        <v>0</v>
      </c>
      <c r="R46" s="229">
        <f t="shared" si="6"/>
        <v>0</v>
      </c>
      <c r="S46" s="229">
        <f t="shared" si="7"/>
        <v>0</v>
      </c>
      <c r="T46" s="229">
        <f t="shared" si="8"/>
        <v>0</v>
      </c>
      <c r="U46" s="38">
        <f t="shared" si="15"/>
        <v>0</v>
      </c>
    </row>
    <row r="47" spans="1:21" ht="20.100000000000001" customHeight="1" x14ac:dyDescent="0.25">
      <c r="A47" s="602">
        <v>39</v>
      </c>
      <c r="B47" s="35">
        <f>dtsiswa!D45</f>
        <v>0</v>
      </c>
      <c r="C47" s="36"/>
      <c r="D47" s="602"/>
      <c r="E47" s="602"/>
      <c r="F47" s="602"/>
      <c r="G47" s="602"/>
      <c r="H47" s="602"/>
      <c r="I47" s="602"/>
      <c r="J47" s="602"/>
      <c r="K47" s="602"/>
      <c r="L47" s="476">
        <f t="shared" si="0"/>
        <v>0</v>
      </c>
      <c r="M47" s="227">
        <f t="shared" si="1"/>
        <v>0</v>
      </c>
      <c r="N47" s="227">
        <f t="shared" si="2"/>
        <v>0</v>
      </c>
      <c r="O47" s="227">
        <f t="shared" si="3"/>
        <v>0</v>
      </c>
      <c r="P47" s="228">
        <f t="shared" si="14"/>
        <v>0</v>
      </c>
      <c r="Q47" s="229">
        <f t="shared" si="5"/>
        <v>0</v>
      </c>
      <c r="R47" s="229">
        <f t="shared" si="6"/>
        <v>0</v>
      </c>
      <c r="S47" s="229">
        <f t="shared" si="7"/>
        <v>0</v>
      </c>
      <c r="T47" s="229">
        <f t="shared" si="8"/>
        <v>0</v>
      </c>
      <c r="U47" s="38">
        <f t="shared" si="15"/>
        <v>0</v>
      </c>
    </row>
    <row r="48" spans="1:21" ht="20.100000000000001" customHeight="1" x14ac:dyDescent="0.25">
      <c r="A48" s="602">
        <v>40</v>
      </c>
      <c r="B48" s="35">
        <f>dtsiswa!D46</f>
        <v>0</v>
      </c>
      <c r="C48" s="36"/>
      <c r="D48" s="602"/>
      <c r="E48" s="602"/>
      <c r="F48" s="602"/>
      <c r="G48" s="602"/>
      <c r="H48" s="602"/>
      <c r="I48" s="602"/>
      <c r="J48" s="602"/>
      <c r="K48" s="602"/>
      <c r="L48" s="476">
        <f t="shared" si="0"/>
        <v>0</v>
      </c>
      <c r="M48" s="227">
        <f t="shared" si="1"/>
        <v>0</v>
      </c>
      <c r="N48" s="227">
        <f t="shared" si="2"/>
        <v>0</v>
      </c>
      <c r="O48" s="227">
        <f t="shared" si="3"/>
        <v>0</v>
      </c>
      <c r="P48" s="228">
        <f t="shared" si="14"/>
        <v>0</v>
      </c>
      <c r="Q48" s="229">
        <f t="shared" si="5"/>
        <v>0</v>
      </c>
      <c r="R48" s="229">
        <f t="shared" si="6"/>
        <v>0</v>
      </c>
      <c r="S48" s="229">
        <f t="shared" si="7"/>
        <v>0</v>
      </c>
      <c r="T48" s="229">
        <f t="shared" si="8"/>
        <v>0</v>
      </c>
      <c r="U48" s="38">
        <f t="shared" si="15"/>
        <v>0</v>
      </c>
    </row>
    <row r="49" spans="1:21" ht="20.100000000000001" customHeight="1" x14ac:dyDescent="0.25">
      <c r="A49" s="370"/>
      <c r="B49" s="35">
        <f>dtsiswa!D39</f>
        <v>0</v>
      </c>
      <c r="C49" s="36"/>
      <c r="D49" s="370"/>
      <c r="E49" s="370"/>
      <c r="F49" s="370"/>
      <c r="G49" s="370"/>
      <c r="H49" s="370"/>
      <c r="I49" s="370"/>
      <c r="J49" s="370"/>
      <c r="K49" s="370"/>
      <c r="L49" s="476"/>
      <c r="M49" s="227"/>
      <c r="N49" s="227"/>
      <c r="O49" s="227"/>
      <c r="P49" s="228"/>
      <c r="Q49" s="229"/>
      <c r="R49" s="229"/>
      <c r="S49" s="229"/>
      <c r="T49" s="229"/>
      <c r="U49" s="38"/>
    </row>
    <row r="50" spans="1:21" ht="20.100000000000001" customHeight="1" x14ac:dyDescent="0.25">
      <c r="A50" s="370"/>
      <c r="B50" s="478" t="s">
        <v>440</v>
      </c>
      <c r="C50" s="48"/>
      <c r="D50" s="49">
        <f>COUNTIF(D9:D32,"0")</f>
        <v>1</v>
      </c>
      <c r="E50" s="49">
        <f>COUNTIF(E9:E32,"0")</f>
        <v>0</v>
      </c>
      <c r="F50" s="49">
        <f>COUNTIF(F9:F32,"0")</f>
        <v>0</v>
      </c>
      <c r="G50" s="49">
        <f>COUNTIF(G9:G32,"0")</f>
        <v>0</v>
      </c>
      <c r="H50" s="49">
        <f>COUNTIF(H9:H32,"0")</f>
        <v>1</v>
      </c>
      <c r="I50" s="49"/>
      <c r="J50" s="49">
        <f>COUNTIF(J9:J32,"0")</f>
        <v>0</v>
      </c>
      <c r="K50" s="49"/>
      <c r="L50" s="49"/>
      <c r="M50" s="203"/>
      <c r="N50" s="203"/>
      <c r="O50" s="203"/>
      <c r="P50" s="239"/>
      <c r="Q50" s="229"/>
      <c r="R50" s="229"/>
      <c r="S50" s="229"/>
      <c r="T50" s="229"/>
      <c r="U50" s="38"/>
    </row>
    <row r="51" spans="1:21" ht="20.100000000000001" customHeight="1" x14ac:dyDescent="0.25">
      <c r="A51" s="370"/>
      <c r="B51" s="35">
        <f>dtsiswa!D41</f>
        <v>0</v>
      </c>
      <c r="C51" s="51"/>
      <c r="D51" s="52"/>
      <c r="E51" s="52"/>
      <c r="F51" s="52"/>
      <c r="G51" s="52"/>
      <c r="H51" s="368"/>
      <c r="I51" s="368"/>
      <c r="J51" s="368"/>
      <c r="K51" s="368"/>
      <c r="L51" s="368"/>
      <c r="M51" s="53"/>
      <c r="N51" s="53"/>
      <c r="O51" s="53"/>
      <c r="P51" s="53"/>
      <c r="Q51" s="53"/>
      <c r="R51" s="1050"/>
      <c r="S51" s="1050"/>
      <c r="T51" s="53"/>
      <c r="U51" s="46"/>
    </row>
    <row r="52" spans="1:21" ht="20.100000000000001" customHeight="1" x14ac:dyDescent="0.25">
      <c r="A52" s="370"/>
      <c r="B52" s="35">
        <f>dtsiswa!D42</f>
        <v>0</v>
      </c>
      <c r="C52" s="51"/>
      <c r="D52" s="52"/>
      <c r="E52" s="52"/>
      <c r="F52" s="52"/>
      <c r="G52" s="52"/>
      <c r="H52" s="368"/>
      <c r="I52" s="368"/>
      <c r="J52" s="368"/>
      <c r="K52" s="368"/>
      <c r="L52" s="368"/>
      <c r="M52" s="53"/>
      <c r="N52" s="53"/>
      <c r="O52" s="53"/>
      <c r="P52" s="55"/>
      <c r="Q52" s="53"/>
      <c r="R52" s="1050"/>
      <c r="S52" s="1050"/>
      <c r="T52" s="53"/>
      <c r="U52" s="46"/>
    </row>
    <row r="53" spans="1:21" ht="20.100000000000001" customHeight="1" x14ac:dyDescent="0.25">
      <c r="A53" s="370"/>
      <c r="B53" s="35">
        <f>dtsiswa!D43</f>
        <v>0</v>
      </c>
      <c r="C53" s="51"/>
      <c r="D53" s="52"/>
      <c r="E53" s="52"/>
      <c r="F53" s="52"/>
      <c r="G53" s="52"/>
      <c r="H53" s="368"/>
      <c r="I53" s="368"/>
      <c r="J53" s="368"/>
      <c r="K53" s="368"/>
      <c r="L53" s="368"/>
      <c r="M53" s="55"/>
      <c r="N53" s="55"/>
      <c r="O53" s="55"/>
      <c r="P53" s="55"/>
      <c r="Q53" s="55"/>
      <c r="R53" s="55"/>
      <c r="S53" s="55"/>
      <c r="T53" s="55"/>
      <c r="U53" s="46"/>
    </row>
  </sheetData>
  <mergeCells count="12">
    <mergeCell ref="U6:U8"/>
    <mergeCell ref="A6:A8"/>
    <mergeCell ref="B6:B8"/>
    <mergeCell ref="C6:C8"/>
    <mergeCell ref="D6:G6"/>
    <mergeCell ref="H6:K6"/>
    <mergeCell ref="L6:L8"/>
    <mergeCell ref="M6:M8"/>
    <mergeCell ref="N6:N8"/>
    <mergeCell ref="O6:O8"/>
    <mergeCell ref="P6:P8"/>
    <mergeCell ref="Q6:T7"/>
  </mergeCells>
  <conditionalFormatting sqref="U9:U50">
    <cfRule type="top10" dxfId="6" priority="1" bottom="1" rank="5"/>
  </conditionalFormatting>
  <pageMargins left="0.7" right="0.7" top="0.75" bottom="0.75" header="0.3" footer="0.3"/>
  <pageSetup paperSize="768" orientation="landscape" horizontalDpi="0" verticalDpi="0"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A1:S54"/>
  <sheetViews>
    <sheetView showGridLines="0" zoomScale="90" zoomScaleNormal="90" workbookViewId="0">
      <pane xSplit="2" ySplit="8" topLeftCell="C9" activePane="bottomRight" state="frozen"/>
      <selection sqref="A1:Q1"/>
      <selection pane="topRight" sqref="A1:Q1"/>
      <selection pane="bottomLeft" sqref="A1:Q1"/>
      <selection pane="bottomRight" sqref="A1:Q1"/>
    </sheetView>
  </sheetViews>
  <sheetFormatPr defaultRowHeight="15" x14ac:dyDescent="0.25"/>
  <cols>
    <col min="1" max="1" width="5" customWidth="1"/>
    <col min="2" max="2" width="37.42578125" customWidth="1"/>
    <col min="3" max="3" width="5" customWidth="1"/>
    <col min="4" max="11" width="4.7109375" customWidth="1"/>
    <col min="12" max="12" width="6.7109375" customWidth="1"/>
    <col min="13" max="14" width="5.140625" customWidth="1"/>
    <col min="15" max="15" width="4.85546875" customWidth="1"/>
    <col min="16" max="16" width="9.28515625" customWidth="1"/>
    <col min="17" max="17" width="8.85546875" customWidth="1"/>
    <col min="18" max="18" width="8.42578125" customWidth="1"/>
    <col min="19" max="19" width="13.5703125" customWidth="1"/>
  </cols>
  <sheetData>
    <row r="1" spans="1:19" ht="33.75" customHeight="1" x14ac:dyDescent="0.25">
      <c r="A1" s="232"/>
      <c r="B1" s="233"/>
      <c r="C1" s="233"/>
      <c r="D1" s="233"/>
      <c r="E1" s="233"/>
      <c r="F1" s="233"/>
      <c r="G1" s="233"/>
      <c r="H1" s="233"/>
      <c r="I1" s="233"/>
      <c r="J1" s="233"/>
      <c r="K1" s="233"/>
      <c r="L1" s="233"/>
      <c r="M1" s="233"/>
      <c r="N1" s="233"/>
      <c r="O1" s="233"/>
      <c r="P1" s="233"/>
      <c r="Q1" s="233"/>
      <c r="R1" s="233"/>
      <c r="S1" s="234"/>
    </row>
    <row r="2" spans="1:19" ht="23.25" x14ac:dyDescent="0.35">
      <c r="A2" s="29" t="s">
        <v>53</v>
      </c>
      <c r="I2" s="225"/>
      <c r="J2" s="69"/>
      <c r="K2" s="69"/>
      <c r="L2" s="69"/>
    </row>
    <row r="3" spans="1:19" ht="21" x14ac:dyDescent="0.35">
      <c r="A3" s="70" t="s">
        <v>194</v>
      </c>
      <c r="I3" s="225"/>
      <c r="J3" s="225"/>
      <c r="K3" s="225"/>
      <c r="L3" s="225"/>
    </row>
    <row r="4" spans="1:19" ht="23.25" x14ac:dyDescent="0.35">
      <c r="A4" s="29" t="s">
        <v>441</v>
      </c>
      <c r="Q4" s="272"/>
      <c r="R4" s="272"/>
      <c r="S4" s="75"/>
    </row>
    <row r="5" spans="1:19" s="201" customFormat="1" ht="15.75" x14ac:dyDescent="0.25">
      <c r="A5" s="230">
        <v>1</v>
      </c>
      <c r="B5" s="230">
        <v>2</v>
      </c>
      <c r="C5" s="230">
        <v>3</v>
      </c>
      <c r="D5" s="230">
        <v>4</v>
      </c>
      <c r="E5" s="230">
        <v>5</v>
      </c>
      <c r="F5" s="230">
        <v>6</v>
      </c>
      <c r="G5" s="230">
        <v>7</v>
      </c>
      <c r="H5" s="230">
        <v>8</v>
      </c>
      <c r="I5" s="230">
        <v>9</v>
      </c>
      <c r="J5" s="230">
        <v>10</v>
      </c>
      <c r="K5" s="230">
        <v>11</v>
      </c>
      <c r="L5" s="230">
        <v>12</v>
      </c>
      <c r="M5" s="230">
        <v>13</v>
      </c>
      <c r="N5" s="230">
        <v>14</v>
      </c>
      <c r="O5" s="230">
        <v>15</v>
      </c>
      <c r="P5" s="230">
        <v>16</v>
      </c>
      <c r="Q5" s="230">
        <v>17</v>
      </c>
      <c r="R5" s="230">
        <v>18</v>
      </c>
      <c r="S5" s="230">
        <v>19</v>
      </c>
    </row>
    <row r="6" spans="1:19" s="30" customFormat="1" ht="20.25" customHeight="1" x14ac:dyDescent="0.25">
      <c r="A6" s="3136" t="s">
        <v>0</v>
      </c>
      <c r="B6" s="3136" t="s">
        <v>28</v>
      </c>
      <c r="C6" s="3136" t="s">
        <v>3</v>
      </c>
      <c r="D6" s="3194">
        <v>31</v>
      </c>
      <c r="E6" s="3194"/>
      <c r="F6" s="3194"/>
      <c r="G6" s="3194"/>
      <c r="H6" s="3194" t="s">
        <v>10</v>
      </c>
      <c r="I6" s="3194"/>
      <c r="J6" s="3194"/>
      <c r="K6" s="3194"/>
      <c r="L6" s="3195" t="s">
        <v>160</v>
      </c>
      <c r="M6" s="3196" t="s">
        <v>29</v>
      </c>
      <c r="N6" s="3196" t="s">
        <v>30</v>
      </c>
      <c r="O6" s="3196" t="s">
        <v>31</v>
      </c>
      <c r="P6" s="3197" t="s">
        <v>32</v>
      </c>
      <c r="Q6" s="3198" t="s">
        <v>158</v>
      </c>
      <c r="R6" s="3198"/>
      <c r="S6" s="3193" t="s">
        <v>195</v>
      </c>
    </row>
    <row r="7" spans="1:19" s="30" customFormat="1" ht="20.25" customHeight="1" x14ac:dyDescent="0.25">
      <c r="A7" s="3136"/>
      <c r="B7" s="3136"/>
      <c r="C7" s="3136"/>
      <c r="D7" s="31" t="s">
        <v>29</v>
      </c>
      <c r="E7" s="31" t="s">
        <v>29</v>
      </c>
      <c r="F7" s="31" t="s">
        <v>29</v>
      </c>
      <c r="G7" s="31" t="s">
        <v>29</v>
      </c>
      <c r="H7" s="31" t="s">
        <v>29</v>
      </c>
      <c r="I7" s="32" t="s">
        <v>30</v>
      </c>
      <c r="J7" s="32" t="s">
        <v>30</v>
      </c>
      <c r="K7" s="33" t="s">
        <v>31</v>
      </c>
      <c r="L7" s="3195"/>
      <c r="M7" s="3196"/>
      <c r="N7" s="3196"/>
      <c r="O7" s="3196"/>
      <c r="P7" s="3197"/>
      <c r="Q7" s="3198"/>
      <c r="R7" s="3198"/>
      <c r="S7" s="3193"/>
    </row>
    <row r="8" spans="1:19" ht="22.5" customHeight="1" x14ac:dyDescent="0.25">
      <c r="A8" s="3136"/>
      <c r="B8" s="3136"/>
      <c r="C8" s="3136"/>
      <c r="D8" s="284">
        <v>1</v>
      </c>
      <c r="E8" s="284">
        <v>2</v>
      </c>
      <c r="F8" s="284">
        <v>3</v>
      </c>
      <c r="G8" s="284">
        <v>4</v>
      </c>
      <c r="H8" s="284">
        <v>5</v>
      </c>
      <c r="I8" s="284">
        <v>6</v>
      </c>
      <c r="J8" s="284">
        <v>7</v>
      </c>
      <c r="K8" s="284">
        <v>8</v>
      </c>
      <c r="L8" s="3195"/>
      <c r="M8" s="3196"/>
      <c r="N8" s="3196"/>
      <c r="O8" s="3196"/>
      <c r="P8" s="3197"/>
      <c r="Q8" s="475" t="s">
        <v>12</v>
      </c>
      <c r="R8" s="475" t="s">
        <v>8</v>
      </c>
      <c r="S8" s="3193"/>
    </row>
    <row r="9" spans="1:19" ht="20.100000000000001" customHeight="1" x14ac:dyDescent="0.25">
      <c r="A9" s="34">
        <v>1</v>
      </c>
      <c r="B9" s="198" t="str">
        <f>dtsiswa!D7</f>
        <v>Achmad Zacky</v>
      </c>
      <c r="C9" s="291" t="s">
        <v>4</v>
      </c>
      <c r="D9" s="200">
        <v>1</v>
      </c>
      <c r="E9" s="200">
        <v>0</v>
      </c>
      <c r="F9" s="200">
        <v>1</v>
      </c>
      <c r="G9" s="200">
        <v>0</v>
      </c>
      <c r="H9" s="200">
        <v>1</v>
      </c>
      <c r="I9" s="200">
        <v>2</v>
      </c>
      <c r="J9" s="200">
        <v>2</v>
      </c>
      <c r="K9" s="200">
        <v>3</v>
      </c>
      <c r="L9" s="476">
        <f>SUM(D9:K9)*100/12</f>
        <v>83.333333333333329</v>
      </c>
      <c r="M9" s="227">
        <f>SUM(D9:H9)</f>
        <v>3</v>
      </c>
      <c r="N9" s="227">
        <f>SUM(I9:J9)</f>
        <v>4</v>
      </c>
      <c r="O9" s="227">
        <f>K9</f>
        <v>3</v>
      </c>
      <c r="P9" s="228">
        <f>L9</f>
        <v>83.333333333333329</v>
      </c>
      <c r="Q9" s="229">
        <f>L9</f>
        <v>83.333333333333329</v>
      </c>
      <c r="R9" s="229">
        <f>L9</f>
        <v>83.333333333333329</v>
      </c>
      <c r="S9" s="38">
        <f>L9</f>
        <v>83.333333333333329</v>
      </c>
    </row>
    <row r="10" spans="1:19" ht="20.100000000000001" customHeight="1" x14ac:dyDescent="0.25">
      <c r="A10" s="370">
        <v>2</v>
      </c>
      <c r="B10" s="35" t="str">
        <f>dtsiswa!D8</f>
        <v>Angelia Vabel R</v>
      </c>
      <c r="C10" s="36" t="s">
        <v>4</v>
      </c>
      <c r="D10" s="200"/>
      <c r="E10" s="200"/>
      <c r="F10" s="200"/>
      <c r="G10" s="200"/>
      <c r="H10" s="200"/>
      <c r="I10" s="200"/>
      <c r="J10" s="200"/>
      <c r="K10" s="200"/>
      <c r="L10" s="476">
        <f t="shared" ref="L10:L48" si="0">SUM(D10:K10)*100/12</f>
        <v>0</v>
      </c>
      <c r="M10" s="227">
        <f t="shared" ref="M10:M48" si="1">SUM(D10:H10)</f>
        <v>0</v>
      </c>
      <c r="N10" s="227">
        <f t="shared" ref="N10:N48" si="2">SUM(I10:J10)</f>
        <v>0</v>
      </c>
      <c r="O10" s="227">
        <f t="shared" ref="O10:O48" si="3">K10</f>
        <v>0</v>
      </c>
      <c r="P10" s="228">
        <f t="shared" ref="P10:P43" si="4">L10</f>
        <v>0</v>
      </c>
      <c r="Q10" s="229">
        <f t="shared" ref="Q10:Q43" si="5">L10</f>
        <v>0</v>
      </c>
      <c r="R10" s="229">
        <f t="shared" ref="R10:R43" si="6">L10</f>
        <v>0</v>
      </c>
      <c r="S10" s="38">
        <f t="shared" ref="S10:S43" si="7">L10</f>
        <v>0</v>
      </c>
    </row>
    <row r="11" spans="1:19" ht="20.100000000000001" customHeight="1" x14ac:dyDescent="0.25">
      <c r="A11" s="370">
        <v>3</v>
      </c>
      <c r="B11" s="35" t="str">
        <f>dtsiswa!D9</f>
        <v>Anggun Dwi P.I</v>
      </c>
      <c r="C11" s="36" t="s">
        <v>4</v>
      </c>
      <c r="D11" s="200"/>
      <c r="E11" s="200"/>
      <c r="F11" s="200"/>
      <c r="G11" s="200"/>
      <c r="H11" s="200"/>
      <c r="I11" s="200"/>
      <c r="J11" s="200"/>
      <c r="K11" s="200"/>
      <c r="L11" s="476">
        <f t="shared" si="0"/>
        <v>0</v>
      </c>
      <c r="M11" s="227">
        <f t="shared" si="1"/>
        <v>0</v>
      </c>
      <c r="N11" s="227">
        <f t="shared" si="2"/>
        <v>0</v>
      </c>
      <c r="O11" s="227">
        <f t="shared" si="3"/>
        <v>0</v>
      </c>
      <c r="P11" s="228">
        <f t="shared" si="4"/>
        <v>0</v>
      </c>
      <c r="Q11" s="229">
        <f t="shared" si="5"/>
        <v>0</v>
      </c>
      <c r="R11" s="229">
        <f t="shared" si="6"/>
        <v>0</v>
      </c>
      <c r="S11" s="38">
        <f t="shared" si="7"/>
        <v>0</v>
      </c>
    </row>
    <row r="12" spans="1:19" ht="20.100000000000001" customHeight="1" x14ac:dyDescent="0.25">
      <c r="A12" s="370">
        <v>4</v>
      </c>
      <c r="B12" s="35" t="str">
        <f>dtsiswa!D10</f>
        <v>Antonio Permata A</v>
      </c>
      <c r="C12" s="43" t="s">
        <v>4</v>
      </c>
      <c r="D12" s="59"/>
      <c r="E12" s="59"/>
      <c r="F12" s="59"/>
      <c r="G12" s="59"/>
      <c r="H12" s="59"/>
      <c r="I12" s="59"/>
      <c r="J12" s="59"/>
      <c r="K12" s="59"/>
      <c r="L12" s="476">
        <f t="shared" si="0"/>
        <v>0</v>
      </c>
      <c r="M12" s="227">
        <f t="shared" si="1"/>
        <v>0</v>
      </c>
      <c r="N12" s="227">
        <f t="shared" si="2"/>
        <v>0</v>
      </c>
      <c r="O12" s="227">
        <f t="shared" si="3"/>
        <v>0</v>
      </c>
      <c r="P12" s="228">
        <f t="shared" si="4"/>
        <v>0</v>
      </c>
      <c r="Q12" s="229">
        <f t="shared" si="5"/>
        <v>0</v>
      </c>
      <c r="R12" s="229">
        <f t="shared" si="6"/>
        <v>0</v>
      </c>
      <c r="S12" s="38">
        <f t="shared" si="7"/>
        <v>0</v>
      </c>
    </row>
    <row r="13" spans="1:19" ht="20.100000000000001" customHeight="1" x14ac:dyDescent="0.25">
      <c r="A13" s="370">
        <v>5</v>
      </c>
      <c r="B13" s="35" t="str">
        <f>dtsiswa!D11</f>
        <v>Arya Pratama G</v>
      </c>
      <c r="C13" s="36" t="s">
        <v>5</v>
      </c>
      <c r="D13" s="59"/>
      <c r="E13" s="59"/>
      <c r="F13" s="59"/>
      <c r="G13" s="59"/>
      <c r="H13" s="59"/>
      <c r="I13" s="59"/>
      <c r="J13" s="59"/>
      <c r="K13" s="59"/>
      <c r="L13" s="476">
        <f t="shared" si="0"/>
        <v>0</v>
      </c>
      <c r="M13" s="227">
        <f t="shared" si="1"/>
        <v>0</v>
      </c>
      <c r="N13" s="227">
        <f t="shared" si="2"/>
        <v>0</v>
      </c>
      <c r="O13" s="227">
        <f t="shared" si="3"/>
        <v>0</v>
      </c>
      <c r="P13" s="228">
        <f t="shared" si="4"/>
        <v>0</v>
      </c>
      <c r="Q13" s="229">
        <f t="shared" si="5"/>
        <v>0</v>
      </c>
      <c r="R13" s="229">
        <f t="shared" si="6"/>
        <v>0</v>
      </c>
      <c r="S13" s="38">
        <f t="shared" si="7"/>
        <v>0</v>
      </c>
    </row>
    <row r="14" spans="1:19" ht="20.100000000000001" customHeight="1" x14ac:dyDescent="0.25">
      <c r="A14" s="370">
        <v>6</v>
      </c>
      <c r="B14" s="35" t="str">
        <f>dtsiswa!D12</f>
        <v>Asyam Hanif Ihsan H</v>
      </c>
      <c r="C14" s="36" t="s">
        <v>5</v>
      </c>
      <c r="D14" s="59"/>
      <c r="E14" s="59"/>
      <c r="F14" s="59"/>
      <c r="G14" s="59"/>
      <c r="H14" s="59"/>
      <c r="I14" s="59"/>
      <c r="J14" s="59"/>
      <c r="K14" s="59"/>
      <c r="L14" s="476">
        <f t="shared" si="0"/>
        <v>0</v>
      </c>
      <c r="M14" s="227">
        <f t="shared" si="1"/>
        <v>0</v>
      </c>
      <c r="N14" s="227">
        <f t="shared" si="2"/>
        <v>0</v>
      </c>
      <c r="O14" s="227">
        <f t="shared" si="3"/>
        <v>0</v>
      </c>
      <c r="P14" s="228">
        <f t="shared" si="4"/>
        <v>0</v>
      </c>
      <c r="Q14" s="229">
        <f t="shared" si="5"/>
        <v>0</v>
      </c>
      <c r="R14" s="229">
        <f t="shared" si="6"/>
        <v>0</v>
      </c>
      <c r="S14" s="38">
        <f t="shared" si="7"/>
        <v>0</v>
      </c>
    </row>
    <row r="15" spans="1:19" ht="20.100000000000001" customHeight="1" x14ac:dyDescent="0.25">
      <c r="A15" s="370">
        <v>7</v>
      </c>
      <c r="B15" s="35" t="str">
        <f>dtsiswa!D13</f>
        <v>Athaya Salsabilla Z</v>
      </c>
      <c r="C15" s="36" t="s">
        <v>4</v>
      </c>
      <c r="D15" s="59"/>
      <c r="E15" s="59"/>
      <c r="F15" s="59"/>
      <c r="G15" s="59"/>
      <c r="H15" s="59"/>
      <c r="I15" s="59"/>
      <c r="J15" s="59"/>
      <c r="K15" s="59"/>
      <c r="L15" s="476">
        <f t="shared" si="0"/>
        <v>0</v>
      </c>
      <c r="M15" s="227">
        <f t="shared" si="1"/>
        <v>0</v>
      </c>
      <c r="N15" s="227">
        <f t="shared" si="2"/>
        <v>0</v>
      </c>
      <c r="O15" s="227">
        <f t="shared" si="3"/>
        <v>0</v>
      </c>
      <c r="P15" s="228">
        <f t="shared" si="4"/>
        <v>0</v>
      </c>
      <c r="Q15" s="229">
        <f t="shared" si="5"/>
        <v>0</v>
      </c>
      <c r="R15" s="229">
        <f t="shared" si="6"/>
        <v>0</v>
      </c>
      <c r="S15" s="38">
        <f t="shared" si="7"/>
        <v>0</v>
      </c>
    </row>
    <row r="16" spans="1:19" ht="20.100000000000001" customHeight="1" x14ac:dyDescent="0.25">
      <c r="A16" s="370">
        <v>8</v>
      </c>
      <c r="B16" s="35" t="str">
        <f>dtsiswa!D14</f>
        <v>Aulia Dea Rosalinda</v>
      </c>
      <c r="C16" s="36" t="s">
        <v>4</v>
      </c>
      <c r="D16" s="59"/>
      <c r="E16" s="59"/>
      <c r="F16" s="59"/>
      <c r="G16" s="59"/>
      <c r="H16" s="59"/>
      <c r="I16" s="59"/>
      <c r="J16" s="59"/>
      <c r="K16" s="59"/>
      <c r="L16" s="476">
        <f t="shared" si="0"/>
        <v>0</v>
      </c>
      <c r="M16" s="227">
        <f t="shared" si="1"/>
        <v>0</v>
      </c>
      <c r="N16" s="227">
        <f t="shared" si="2"/>
        <v>0</v>
      </c>
      <c r="O16" s="227">
        <f t="shared" si="3"/>
        <v>0</v>
      </c>
      <c r="P16" s="228">
        <f t="shared" si="4"/>
        <v>0</v>
      </c>
      <c r="Q16" s="229">
        <f t="shared" si="5"/>
        <v>0</v>
      </c>
      <c r="R16" s="229">
        <f t="shared" si="6"/>
        <v>0</v>
      </c>
      <c r="S16" s="38">
        <f t="shared" si="7"/>
        <v>0</v>
      </c>
    </row>
    <row r="17" spans="1:19" ht="20.100000000000001" customHeight="1" x14ac:dyDescent="0.25">
      <c r="A17" s="370">
        <v>9</v>
      </c>
      <c r="B17" s="35" t="str">
        <f>dtsiswa!D15</f>
        <v>Claudia Gabriella L</v>
      </c>
      <c r="C17" s="36" t="s">
        <v>4</v>
      </c>
      <c r="D17" s="59"/>
      <c r="E17" s="59"/>
      <c r="F17" s="59"/>
      <c r="G17" s="59"/>
      <c r="H17" s="59"/>
      <c r="I17" s="59"/>
      <c r="J17" s="59"/>
      <c r="K17" s="59"/>
      <c r="L17" s="476">
        <f t="shared" si="0"/>
        <v>0</v>
      </c>
      <c r="M17" s="227">
        <f t="shared" si="1"/>
        <v>0</v>
      </c>
      <c r="N17" s="227">
        <f t="shared" si="2"/>
        <v>0</v>
      </c>
      <c r="O17" s="227">
        <f t="shared" si="3"/>
        <v>0</v>
      </c>
      <c r="P17" s="228">
        <f t="shared" si="4"/>
        <v>0</v>
      </c>
      <c r="Q17" s="229">
        <f t="shared" si="5"/>
        <v>0</v>
      </c>
      <c r="R17" s="229">
        <f t="shared" si="6"/>
        <v>0</v>
      </c>
      <c r="S17" s="38">
        <f t="shared" si="7"/>
        <v>0</v>
      </c>
    </row>
    <row r="18" spans="1:19" ht="20.100000000000001" customHeight="1" x14ac:dyDescent="0.25">
      <c r="A18" s="370">
        <v>10</v>
      </c>
      <c r="B18" s="35" t="str">
        <f>dtsiswa!D16</f>
        <v xml:space="preserve">Deco Badarus Zaman </v>
      </c>
      <c r="C18" s="36" t="s">
        <v>4</v>
      </c>
      <c r="D18" s="59"/>
      <c r="E18" s="59"/>
      <c r="F18" s="59"/>
      <c r="G18" s="59"/>
      <c r="H18" s="59"/>
      <c r="I18" s="59"/>
      <c r="J18" s="59"/>
      <c r="K18" s="59"/>
      <c r="L18" s="476">
        <f t="shared" si="0"/>
        <v>0</v>
      </c>
      <c r="M18" s="227">
        <f t="shared" si="1"/>
        <v>0</v>
      </c>
      <c r="N18" s="227">
        <f t="shared" si="2"/>
        <v>0</v>
      </c>
      <c r="O18" s="227">
        <f t="shared" si="3"/>
        <v>0</v>
      </c>
      <c r="P18" s="228">
        <f t="shared" si="4"/>
        <v>0</v>
      </c>
      <c r="Q18" s="229">
        <f t="shared" si="5"/>
        <v>0</v>
      </c>
      <c r="R18" s="229">
        <f t="shared" si="6"/>
        <v>0</v>
      </c>
      <c r="S18" s="38">
        <f t="shared" si="7"/>
        <v>0</v>
      </c>
    </row>
    <row r="19" spans="1:19" ht="20.100000000000001" customHeight="1" x14ac:dyDescent="0.25">
      <c r="A19" s="370">
        <v>11</v>
      </c>
      <c r="B19" s="35" t="str">
        <f>dtsiswa!D17</f>
        <v>Fania Mutiara Felichia</v>
      </c>
      <c r="C19" s="36" t="s">
        <v>4</v>
      </c>
      <c r="D19" s="59"/>
      <c r="E19" s="59"/>
      <c r="F19" s="59"/>
      <c r="G19" s="59"/>
      <c r="H19" s="59"/>
      <c r="I19" s="59"/>
      <c r="J19" s="59"/>
      <c r="K19" s="59"/>
      <c r="L19" s="476">
        <f t="shared" si="0"/>
        <v>0</v>
      </c>
      <c r="M19" s="227">
        <f t="shared" si="1"/>
        <v>0</v>
      </c>
      <c r="N19" s="227">
        <f t="shared" si="2"/>
        <v>0</v>
      </c>
      <c r="O19" s="227">
        <f t="shared" si="3"/>
        <v>0</v>
      </c>
      <c r="P19" s="228">
        <f t="shared" si="4"/>
        <v>0</v>
      </c>
      <c r="Q19" s="229">
        <f t="shared" si="5"/>
        <v>0</v>
      </c>
      <c r="R19" s="229">
        <f t="shared" si="6"/>
        <v>0</v>
      </c>
      <c r="S19" s="38">
        <f t="shared" si="7"/>
        <v>0</v>
      </c>
    </row>
    <row r="20" spans="1:19" ht="20.100000000000001" customHeight="1" x14ac:dyDescent="0.25">
      <c r="A20" s="370">
        <v>12</v>
      </c>
      <c r="B20" s="35" t="str">
        <f>dtsiswa!D18</f>
        <v>Intan Dyah Nowari</v>
      </c>
      <c r="C20" s="36" t="s">
        <v>4</v>
      </c>
      <c r="D20" s="59"/>
      <c r="E20" s="59"/>
      <c r="F20" s="59"/>
      <c r="G20" s="59"/>
      <c r="H20" s="59"/>
      <c r="I20" s="59"/>
      <c r="J20" s="59"/>
      <c r="K20" s="59"/>
      <c r="L20" s="476">
        <f t="shared" si="0"/>
        <v>0</v>
      </c>
      <c r="M20" s="227">
        <f t="shared" si="1"/>
        <v>0</v>
      </c>
      <c r="N20" s="227">
        <f t="shared" si="2"/>
        <v>0</v>
      </c>
      <c r="O20" s="227">
        <f t="shared" si="3"/>
        <v>0</v>
      </c>
      <c r="P20" s="228">
        <f t="shared" si="4"/>
        <v>0</v>
      </c>
      <c r="Q20" s="229">
        <f t="shared" si="5"/>
        <v>0</v>
      </c>
      <c r="R20" s="229">
        <f t="shared" si="6"/>
        <v>0</v>
      </c>
      <c r="S20" s="38">
        <f t="shared" si="7"/>
        <v>0</v>
      </c>
    </row>
    <row r="21" spans="1:19" ht="20.100000000000001" customHeight="1" x14ac:dyDescent="0.25">
      <c r="A21" s="370">
        <v>13</v>
      </c>
      <c r="B21" s="35" t="str">
        <f>dtsiswa!D19</f>
        <v>Misyanita Nurfitri S</v>
      </c>
      <c r="C21" s="36" t="s">
        <v>5</v>
      </c>
      <c r="D21" s="59"/>
      <c r="E21" s="59"/>
      <c r="F21" s="59"/>
      <c r="G21" s="59"/>
      <c r="H21" s="59"/>
      <c r="I21" s="59"/>
      <c r="J21" s="59"/>
      <c r="K21" s="59"/>
      <c r="L21" s="476">
        <f t="shared" si="0"/>
        <v>0</v>
      </c>
      <c r="M21" s="227">
        <f t="shared" si="1"/>
        <v>0</v>
      </c>
      <c r="N21" s="227">
        <f t="shared" si="2"/>
        <v>0</v>
      </c>
      <c r="O21" s="227">
        <f t="shared" si="3"/>
        <v>0</v>
      </c>
      <c r="P21" s="228">
        <f t="shared" si="4"/>
        <v>0</v>
      </c>
      <c r="Q21" s="229">
        <f t="shared" si="5"/>
        <v>0</v>
      </c>
      <c r="R21" s="229">
        <f t="shared" si="6"/>
        <v>0</v>
      </c>
      <c r="S21" s="38">
        <f t="shared" si="7"/>
        <v>0</v>
      </c>
    </row>
    <row r="22" spans="1:19" ht="20.100000000000001" customHeight="1" x14ac:dyDescent="0.25">
      <c r="A22" s="370">
        <v>14</v>
      </c>
      <c r="B22" s="35" t="str">
        <f>dtsiswa!D20</f>
        <v>Moch Zidane Hita L. U</v>
      </c>
      <c r="C22" s="36" t="s">
        <v>4</v>
      </c>
      <c r="D22" s="59"/>
      <c r="E22" s="59"/>
      <c r="F22" s="59"/>
      <c r="G22" s="59"/>
      <c r="H22" s="59"/>
      <c r="I22" s="59"/>
      <c r="J22" s="59"/>
      <c r="K22" s="59"/>
      <c r="L22" s="476">
        <f t="shared" si="0"/>
        <v>0</v>
      </c>
      <c r="M22" s="227">
        <f t="shared" si="1"/>
        <v>0</v>
      </c>
      <c r="N22" s="227">
        <f t="shared" si="2"/>
        <v>0</v>
      </c>
      <c r="O22" s="227">
        <f t="shared" si="3"/>
        <v>0</v>
      </c>
      <c r="P22" s="228">
        <f t="shared" si="4"/>
        <v>0</v>
      </c>
      <c r="Q22" s="229">
        <f t="shared" si="5"/>
        <v>0</v>
      </c>
      <c r="R22" s="229">
        <f t="shared" si="6"/>
        <v>0</v>
      </c>
      <c r="S22" s="38">
        <f t="shared" si="7"/>
        <v>0</v>
      </c>
    </row>
    <row r="23" spans="1:19" ht="20.100000000000001" customHeight="1" x14ac:dyDescent="0.25">
      <c r="A23" s="370">
        <v>15</v>
      </c>
      <c r="B23" s="35" t="str">
        <f>dtsiswa!D21</f>
        <v>Muhammad Ibra Maulana</v>
      </c>
      <c r="C23" s="36" t="s">
        <v>4</v>
      </c>
      <c r="D23" s="59"/>
      <c r="E23" s="59"/>
      <c r="F23" s="59"/>
      <c r="G23" s="59"/>
      <c r="H23" s="59"/>
      <c r="I23" s="59"/>
      <c r="J23" s="59"/>
      <c r="K23" s="59"/>
      <c r="L23" s="476">
        <f t="shared" si="0"/>
        <v>0</v>
      </c>
      <c r="M23" s="227">
        <f t="shared" si="1"/>
        <v>0</v>
      </c>
      <c r="N23" s="227">
        <f t="shared" si="2"/>
        <v>0</v>
      </c>
      <c r="O23" s="227">
        <f t="shared" si="3"/>
        <v>0</v>
      </c>
      <c r="P23" s="228">
        <f t="shared" si="4"/>
        <v>0</v>
      </c>
      <c r="Q23" s="229">
        <f t="shared" si="5"/>
        <v>0</v>
      </c>
      <c r="R23" s="229">
        <f t="shared" si="6"/>
        <v>0</v>
      </c>
      <c r="S23" s="38">
        <f t="shared" si="7"/>
        <v>0</v>
      </c>
    </row>
    <row r="24" spans="1:19" ht="20.100000000000001" customHeight="1" x14ac:dyDescent="0.25">
      <c r="A24" s="370">
        <v>16</v>
      </c>
      <c r="B24" s="35" t="str">
        <f>dtsiswa!D22</f>
        <v>Nabilla Shiva Putri</v>
      </c>
      <c r="C24" s="36" t="s">
        <v>4</v>
      </c>
      <c r="D24" s="59"/>
      <c r="E24" s="59"/>
      <c r="F24" s="59"/>
      <c r="G24" s="59"/>
      <c r="H24" s="59"/>
      <c r="I24" s="59"/>
      <c r="J24" s="59"/>
      <c r="K24" s="59"/>
      <c r="L24" s="476">
        <f t="shared" si="0"/>
        <v>0</v>
      </c>
      <c r="M24" s="227">
        <f t="shared" si="1"/>
        <v>0</v>
      </c>
      <c r="N24" s="227">
        <f t="shared" si="2"/>
        <v>0</v>
      </c>
      <c r="O24" s="227">
        <f t="shared" si="3"/>
        <v>0</v>
      </c>
      <c r="P24" s="228">
        <f t="shared" si="4"/>
        <v>0</v>
      </c>
      <c r="Q24" s="229">
        <f t="shared" si="5"/>
        <v>0</v>
      </c>
      <c r="R24" s="229">
        <f t="shared" si="6"/>
        <v>0</v>
      </c>
      <c r="S24" s="38">
        <f t="shared" si="7"/>
        <v>0</v>
      </c>
    </row>
    <row r="25" spans="1:19" ht="20.100000000000001" customHeight="1" x14ac:dyDescent="0.25">
      <c r="A25" s="370">
        <v>17</v>
      </c>
      <c r="B25" s="35" t="str">
        <f>dtsiswa!D23</f>
        <v>Naufal Falih F</v>
      </c>
      <c r="C25" s="36" t="s">
        <v>5</v>
      </c>
      <c r="D25" s="59"/>
      <c r="E25" s="59"/>
      <c r="F25" s="59"/>
      <c r="G25" s="59"/>
      <c r="H25" s="59"/>
      <c r="I25" s="59"/>
      <c r="J25" s="59"/>
      <c r="K25" s="59"/>
      <c r="L25" s="476">
        <f t="shared" si="0"/>
        <v>0</v>
      </c>
      <c r="M25" s="227">
        <f t="shared" si="1"/>
        <v>0</v>
      </c>
      <c r="N25" s="227">
        <f t="shared" si="2"/>
        <v>0</v>
      </c>
      <c r="O25" s="227">
        <f t="shared" si="3"/>
        <v>0</v>
      </c>
      <c r="P25" s="228">
        <f t="shared" si="4"/>
        <v>0</v>
      </c>
      <c r="Q25" s="229">
        <f t="shared" si="5"/>
        <v>0</v>
      </c>
      <c r="R25" s="229">
        <f t="shared" si="6"/>
        <v>0</v>
      </c>
      <c r="S25" s="38">
        <f t="shared" si="7"/>
        <v>0</v>
      </c>
    </row>
    <row r="26" spans="1:19" ht="20.100000000000001" customHeight="1" x14ac:dyDescent="0.25">
      <c r="A26" s="370">
        <v>18</v>
      </c>
      <c r="B26" s="35" t="str">
        <f>dtsiswa!D24</f>
        <v>Nayla Annora Nobel W</v>
      </c>
      <c r="C26" s="36" t="s">
        <v>4</v>
      </c>
      <c r="D26" s="59"/>
      <c r="E26" s="59"/>
      <c r="F26" s="59"/>
      <c r="G26" s="59"/>
      <c r="H26" s="59"/>
      <c r="I26" s="59"/>
      <c r="J26" s="59"/>
      <c r="K26" s="59"/>
      <c r="L26" s="476">
        <f t="shared" si="0"/>
        <v>0</v>
      </c>
      <c r="M26" s="227">
        <f t="shared" si="1"/>
        <v>0</v>
      </c>
      <c r="N26" s="227">
        <f t="shared" si="2"/>
        <v>0</v>
      </c>
      <c r="O26" s="227">
        <f t="shared" si="3"/>
        <v>0</v>
      </c>
      <c r="P26" s="228">
        <f t="shared" si="4"/>
        <v>0</v>
      </c>
      <c r="Q26" s="229">
        <f t="shared" si="5"/>
        <v>0</v>
      </c>
      <c r="R26" s="229">
        <f t="shared" si="6"/>
        <v>0</v>
      </c>
      <c r="S26" s="38">
        <f t="shared" si="7"/>
        <v>0</v>
      </c>
    </row>
    <row r="27" spans="1:19" ht="20.100000000000001" customHeight="1" x14ac:dyDescent="0.25">
      <c r="A27" s="370">
        <v>19</v>
      </c>
      <c r="B27" s="35" t="str">
        <f>dtsiswa!D25</f>
        <v>Raihan Danang P</v>
      </c>
      <c r="C27" s="36" t="s">
        <v>5</v>
      </c>
      <c r="D27" s="59"/>
      <c r="E27" s="59"/>
      <c r="F27" s="59"/>
      <c r="G27" s="59"/>
      <c r="H27" s="59"/>
      <c r="I27" s="59"/>
      <c r="J27" s="59"/>
      <c r="K27" s="59"/>
      <c r="L27" s="476">
        <f t="shared" si="0"/>
        <v>0</v>
      </c>
      <c r="M27" s="227">
        <f t="shared" si="1"/>
        <v>0</v>
      </c>
      <c r="N27" s="227">
        <f t="shared" si="2"/>
        <v>0</v>
      </c>
      <c r="O27" s="227">
        <f t="shared" si="3"/>
        <v>0</v>
      </c>
      <c r="P27" s="228">
        <f t="shared" si="4"/>
        <v>0</v>
      </c>
      <c r="Q27" s="229">
        <f t="shared" si="5"/>
        <v>0</v>
      </c>
      <c r="R27" s="229">
        <f t="shared" si="6"/>
        <v>0</v>
      </c>
      <c r="S27" s="38">
        <f t="shared" si="7"/>
        <v>0</v>
      </c>
    </row>
    <row r="28" spans="1:19" ht="20.100000000000001" customHeight="1" x14ac:dyDescent="0.25">
      <c r="A28" s="370">
        <v>20</v>
      </c>
      <c r="B28" s="35" t="str">
        <f>dtsiswa!D26</f>
        <v>Roby Ardiyansyah</v>
      </c>
      <c r="C28" s="36" t="s">
        <v>5</v>
      </c>
      <c r="D28" s="370"/>
      <c r="E28" s="370"/>
      <c r="F28" s="370"/>
      <c r="G28" s="370"/>
      <c r="H28" s="370"/>
      <c r="I28" s="370"/>
      <c r="J28" s="370"/>
      <c r="K28" s="370"/>
      <c r="L28" s="476">
        <f t="shared" si="0"/>
        <v>0</v>
      </c>
      <c r="M28" s="227">
        <f t="shared" si="1"/>
        <v>0</v>
      </c>
      <c r="N28" s="227">
        <f t="shared" si="2"/>
        <v>0</v>
      </c>
      <c r="O28" s="227">
        <f t="shared" si="3"/>
        <v>0</v>
      </c>
      <c r="P28" s="228">
        <f t="shared" si="4"/>
        <v>0</v>
      </c>
      <c r="Q28" s="229">
        <f t="shared" si="5"/>
        <v>0</v>
      </c>
      <c r="R28" s="229">
        <f t="shared" si="6"/>
        <v>0</v>
      </c>
      <c r="S28" s="38">
        <f t="shared" si="7"/>
        <v>0</v>
      </c>
    </row>
    <row r="29" spans="1:19" ht="20.100000000000001" customHeight="1" x14ac:dyDescent="0.25">
      <c r="A29" s="370">
        <v>21</v>
      </c>
      <c r="B29" s="35" t="str">
        <f>dtsiswa!D27</f>
        <v>Rojalingga Prana A</v>
      </c>
      <c r="C29" s="44" t="s">
        <v>4</v>
      </c>
      <c r="D29" s="59"/>
      <c r="E29" s="59"/>
      <c r="F29" s="59"/>
      <c r="G29" s="59"/>
      <c r="H29" s="59"/>
      <c r="I29" s="59"/>
      <c r="J29" s="59"/>
      <c r="K29" s="59"/>
      <c r="L29" s="476">
        <f t="shared" si="0"/>
        <v>0</v>
      </c>
      <c r="M29" s="227">
        <f t="shared" si="1"/>
        <v>0</v>
      </c>
      <c r="N29" s="227">
        <f t="shared" si="2"/>
        <v>0</v>
      </c>
      <c r="O29" s="227">
        <f t="shared" si="3"/>
        <v>0</v>
      </c>
      <c r="P29" s="228">
        <f t="shared" si="4"/>
        <v>0</v>
      </c>
      <c r="Q29" s="229">
        <f t="shared" si="5"/>
        <v>0</v>
      </c>
      <c r="R29" s="229">
        <f t="shared" si="6"/>
        <v>0</v>
      </c>
      <c r="S29" s="38">
        <f t="shared" si="7"/>
        <v>0</v>
      </c>
    </row>
    <row r="30" spans="1:19" ht="20.100000000000001" customHeight="1" x14ac:dyDescent="0.25">
      <c r="A30" s="370">
        <v>22</v>
      </c>
      <c r="B30" s="35" t="str">
        <f>dtsiswa!D28</f>
        <v>Sally Savista A</v>
      </c>
      <c r="C30" s="45" t="s">
        <v>4</v>
      </c>
      <c r="D30" s="370"/>
      <c r="E30" s="370"/>
      <c r="F30" s="370"/>
      <c r="G30" s="370"/>
      <c r="H30" s="370"/>
      <c r="I30" s="370"/>
      <c r="J30" s="370"/>
      <c r="K30" s="370"/>
      <c r="L30" s="476">
        <f t="shared" si="0"/>
        <v>0</v>
      </c>
      <c r="M30" s="227">
        <f t="shared" si="1"/>
        <v>0</v>
      </c>
      <c r="N30" s="227">
        <f t="shared" si="2"/>
        <v>0</v>
      </c>
      <c r="O30" s="227">
        <f t="shared" si="3"/>
        <v>0</v>
      </c>
      <c r="P30" s="228">
        <f t="shared" si="4"/>
        <v>0</v>
      </c>
      <c r="Q30" s="229">
        <f t="shared" si="5"/>
        <v>0</v>
      </c>
      <c r="R30" s="229">
        <f t="shared" si="6"/>
        <v>0</v>
      </c>
      <c r="S30" s="38">
        <f t="shared" si="7"/>
        <v>0</v>
      </c>
    </row>
    <row r="31" spans="1:19" ht="20.100000000000001" customHeight="1" x14ac:dyDescent="0.25">
      <c r="A31" s="370">
        <v>23</v>
      </c>
      <c r="B31" s="35" t="str">
        <f>dtsiswa!D29</f>
        <v xml:space="preserve">Tania Kaori Angelita </v>
      </c>
      <c r="C31" s="45" t="s">
        <v>5</v>
      </c>
      <c r="D31" s="370"/>
      <c r="E31" s="370"/>
      <c r="F31" s="370"/>
      <c r="G31" s="370"/>
      <c r="H31" s="370"/>
      <c r="I31" s="370"/>
      <c r="J31" s="370"/>
      <c r="K31" s="370"/>
      <c r="L31" s="476">
        <f t="shared" si="0"/>
        <v>0</v>
      </c>
      <c r="M31" s="227">
        <f t="shared" si="1"/>
        <v>0</v>
      </c>
      <c r="N31" s="227">
        <f t="shared" si="2"/>
        <v>0</v>
      </c>
      <c r="O31" s="227">
        <f t="shared" si="3"/>
        <v>0</v>
      </c>
      <c r="P31" s="228">
        <f t="shared" si="4"/>
        <v>0</v>
      </c>
      <c r="Q31" s="229">
        <f t="shared" si="5"/>
        <v>0</v>
      </c>
      <c r="R31" s="229">
        <f t="shared" si="6"/>
        <v>0</v>
      </c>
      <c r="S31" s="38">
        <f t="shared" si="7"/>
        <v>0</v>
      </c>
    </row>
    <row r="32" spans="1:19" ht="20.100000000000001" customHeight="1" x14ac:dyDescent="0.25">
      <c r="A32" s="370">
        <v>24</v>
      </c>
      <c r="B32" s="35" t="str">
        <f>dtsiswa!D30</f>
        <v>Romzy Oka Ramadhani P</v>
      </c>
      <c r="C32" s="45" t="s">
        <v>5</v>
      </c>
      <c r="D32" s="370"/>
      <c r="E32" s="370"/>
      <c r="F32" s="370"/>
      <c r="G32" s="370"/>
      <c r="H32" s="370"/>
      <c r="I32" s="370"/>
      <c r="J32" s="370"/>
      <c r="K32" s="370"/>
      <c r="L32" s="476">
        <f t="shared" si="0"/>
        <v>0</v>
      </c>
      <c r="M32" s="227">
        <f t="shared" si="1"/>
        <v>0</v>
      </c>
      <c r="N32" s="227">
        <f t="shared" si="2"/>
        <v>0</v>
      </c>
      <c r="O32" s="227">
        <f t="shared" si="3"/>
        <v>0</v>
      </c>
      <c r="P32" s="228">
        <f t="shared" si="4"/>
        <v>0</v>
      </c>
      <c r="Q32" s="229">
        <f t="shared" si="5"/>
        <v>0</v>
      </c>
      <c r="R32" s="229">
        <f t="shared" si="6"/>
        <v>0</v>
      </c>
      <c r="S32" s="38">
        <f t="shared" si="7"/>
        <v>0</v>
      </c>
    </row>
    <row r="33" spans="1:19" ht="20.100000000000001" customHeight="1" x14ac:dyDescent="0.25">
      <c r="A33" s="370">
        <v>25</v>
      </c>
      <c r="B33" s="35" t="str">
        <f>dtsiswa!D31</f>
        <v>Larasati Jagadhita P</v>
      </c>
      <c r="C33" s="36" t="s">
        <v>4</v>
      </c>
      <c r="D33" s="370"/>
      <c r="E33" s="370"/>
      <c r="F33" s="370"/>
      <c r="G33" s="370"/>
      <c r="H33" s="370"/>
      <c r="I33" s="370"/>
      <c r="J33" s="370"/>
      <c r="K33" s="370"/>
      <c r="L33" s="476">
        <f t="shared" si="0"/>
        <v>0</v>
      </c>
      <c r="M33" s="227">
        <f t="shared" si="1"/>
        <v>0</v>
      </c>
      <c r="N33" s="227">
        <f t="shared" si="2"/>
        <v>0</v>
      </c>
      <c r="O33" s="227">
        <f t="shared" si="3"/>
        <v>0</v>
      </c>
      <c r="P33" s="228">
        <f t="shared" si="4"/>
        <v>0</v>
      </c>
      <c r="Q33" s="229">
        <f t="shared" si="5"/>
        <v>0</v>
      </c>
      <c r="R33" s="229">
        <f t="shared" si="6"/>
        <v>0</v>
      </c>
      <c r="S33" s="38">
        <f t="shared" si="7"/>
        <v>0</v>
      </c>
    </row>
    <row r="34" spans="1:19" ht="20.100000000000001" customHeight="1" x14ac:dyDescent="0.25">
      <c r="A34" s="370">
        <v>26</v>
      </c>
      <c r="B34" s="35" t="str">
        <f>dtsiswa!D32</f>
        <v>Meliana Citra A</v>
      </c>
      <c r="C34" s="36" t="s">
        <v>5</v>
      </c>
      <c r="D34" s="370"/>
      <c r="E34" s="370"/>
      <c r="F34" s="370"/>
      <c r="G34" s="370"/>
      <c r="H34" s="370"/>
      <c r="I34" s="370"/>
      <c r="J34" s="370"/>
      <c r="K34" s="370"/>
      <c r="L34" s="476">
        <f t="shared" si="0"/>
        <v>0</v>
      </c>
      <c r="M34" s="227">
        <f t="shared" si="1"/>
        <v>0</v>
      </c>
      <c r="N34" s="227">
        <f t="shared" si="2"/>
        <v>0</v>
      </c>
      <c r="O34" s="227">
        <f t="shared" si="3"/>
        <v>0</v>
      </c>
      <c r="P34" s="228">
        <f t="shared" si="4"/>
        <v>0</v>
      </c>
      <c r="Q34" s="229">
        <f t="shared" si="5"/>
        <v>0</v>
      </c>
      <c r="R34" s="229">
        <f t="shared" si="6"/>
        <v>0</v>
      </c>
      <c r="S34" s="38">
        <f t="shared" si="7"/>
        <v>0</v>
      </c>
    </row>
    <row r="35" spans="1:19" ht="20.100000000000001" customHeight="1" x14ac:dyDescent="0.25">
      <c r="A35" s="370">
        <v>27</v>
      </c>
      <c r="B35" s="35" t="str">
        <f>dtsiswa!D33</f>
        <v>Mohammad Rizky</v>
      </c>
      <c r="C35" s="36" t="s">
        <v>4</v>
      </c>
      <c r="D35" s="370"/>
      <c r="E35" s="370"/>
      <c r="F35" s="370"/>
      <c r="G35" s="370"/>
      <c r="H35" s="370"/>
      <c r="I35" s="370"/>
      <c r="J35" s="370"/>
      <c r="K35" s="370"/>
      <c r="L35" s="476">
        <f t="shared" si="0"/>
        <v>0</v>
      </c>
      <c r="M35" s="227">
        <f t="shared" si="1"/>
        <v>0</v>
      </c>
      <c r="N35" s="227">
        <f t="shared" si="2"/>
        <v>0</v>
      </c>
      <c r="O35" s="227">
        <f t="shared" si="3"/>
        <v>0</v>
      </c>
      <c r="P35" s="228">
        <f t="shared" si="4"/>
        <v>0</v>
      </c>
      <c r="Q35" s="229">
        <f t="shared" si="5"/>
        <v>0</v>
      </c>
      <c r="R35" s="229">
        <f t="shared" si="6"/>
        <v>0</v>
      </c>
      <c r="S35" s="38">
        <f t="shared" si="7"/>
        <v>0</v>
      </c>
    </row>
    <row r="36" spans="1:19" ht="20.100000000000001" customHeight="1" x14ac:dyDescent="0.25">
      <c r="A36" s="370">
        <v>28</v>
      </c>
      <c r="B36" s="35">
        <f>dtsiswa!D34</f>
        <v>0</v>
      </c>
      <c r="C36" s="36" t="s">
        <v>4</v>
      </c>
      <c r="D36" s="370"/>
      <c r="E36" s="370"/>
      <c r="F36" s="370"/>
      <c r="G36" s="370"/>
      <c r="H36" s="370"/>
      <c r="I36" s="370"/>
      <c r="J36" s="370"/>
      <c r="K36" s="370"/>
      <c r="L36" s="476">
        <f t="shared" si="0"/>
        <v>0</v>
      </c>
      <c r="M36" s="227">
        <f t="shared" si="1"/>
        <v>0</v>
      </c>
      <c r="N36" s="227">
        <f t="shared" si="2"/>
        <v>0</v>
      </c>
      <c r="O36" s="227">
        <f t="shared" si="3"/>
        <v>0</v>
      </c>
      <c r="P36" s="228">
        <f t="shared" si="4"/>
        <v>0</v>
      </c>
      <c r="Q36" s="229">
        <f t="shared" si="5"/>
        <v>0</v>
      </c>
      <c r="R36" s="229">
        <f t="shared" si="6"/>
        <v>0</v>
      </c>
      <c r="S36" s="38">
        <f t="shared" si="7"/>
        <v>0</v>
      </c>
    </row>
    <row r="37" spans="1:19" ht="20.100000000000001" customHeight="1" x14ac:dyDescent="0.25">
      <c r="A37" s="370">
        <v>29</v>
      </c>
      <c r="B37" s="35">
        <f>dtsiswa!D35</f>
        <v>0</v>
      </c>
      <c r="C37" s="36" t="s">
        <v>4</v>
      </c>
      <c r="D37" s="370"/>
      <c r="E37" s="370"/>
      <c r="F37" s="370"/>
      <c r="G37" s="370"/>
      <c r="H37" s="370"/>
      <c r="I37" s="370"/>
      <c r="J37" s="370"/>
      <c r="K37" s="370"/>
      <c r="L37" s="476">
        <f t="shared" si="0"/>
        <v>0</v>
      </c>
      <c r="M37" s="227">
        <f t="shared" si="1"/>
        <v>0</v>
      </c>
      <c r="N37" s="227">
        <f t="shared" si="2"/>
        <v>0</v>
      </c>
      <c r="O37" s="227">
        <f t="shared" si="3"/>
        <v>0</v>
      </c>
      <c r="P37" s="228">
        <f t="shared" si="4"/>
        <v>0</v>
      </c>
      <c r="Q37" s="229">
        <f t="shared" si="5"/>
        <v>0</v>
      </c>
      <c r="R37" s="229">
        <f t="shared" si="6"/>
        <v>0</v>
      </c>
      <c r="S37" s="38">
        <f t="shared" si="7"/>
        <v>0</v>
      </c>
    </row>
    <row r="38" spans="1:19" ht="20.100000000000001" customHeight="1" x14ac:dyDescent="0.25">
      <c r="A38" s="370">
        <v>30</v>
      </c>
      <c r="B38" s="35">
        <f>dtsiswa!D36</f>
        <v>0</v>
      </c>
      <c r="C38" s="36" t="s">
        <v>5</v>
      </c>
      <c r="D38" s="370"/>
      <c r="E38" s="370"/>
      <c r="F38" s="370"/>
      <c r="G38" s="370"/>
      <c r="H38" s="370"/>
      <c r="I38" s="370"/>
      <c r="J38" s="370"/>
      <c r="K38" s="370"/>
      <c r="L38" s="476">
        <f t="shared" si="0"/>
        <v>0</v>
      </c>
      <c r="M38" s="227">
        <f t="shared" si="1"/>
        <v>0</v>
      </c>
      <c r="N38" s="227">
        <f t="shared" si="2"/>
        <v>0</v>
      </c>
      <c r="O38" s="227">
        <f t="shared" si="3"/>
        <v>0</v>
      </c>
      <c r="P38" s="228">
        <f t="shared" si="4"/>
        <v>0</v>
      </c>
      <c r="Q38" s="229">
        <f t="shared" si="5"/>
        <v>0</v>
      </c>
      <c r="R38" s="229">
        <f t="shared" si="6"/>
        <v>0</v>
      </c>
      <c r="S38" s="38">
        <f t="shared" si="7"/>
        <v>0</v>
      </c>
    </row>
    <row r="39" spans="1:19" ht="20.100000000000001" customHeight="1" x14ac:dyDescent="0.25">
      <c r="A39" s="370">
        <v>31</v>
      </c>
      <c r="B39" s="35">
        <f>dtsiswa!D37</f>
        <v>0</v>
      </c>
      <c r="C39" s="36" t="s">
        <v>5</v>
      </c>
      <c r="D39" s="370"/>
      <c r="E39" s="370"/>
      <c r="F39" s="370"/>
      <c r="G39" s="370"/>
      <c r="H39" s="370"/>
      <c r="I39" s="370"/>
      <c r="J39" s="370"/>
      <c r="K39" s="370"/>
      <c r="L39" s="476">
        <f t="shared" si="0"/>
        <v>0</v>
      </c>
      <c r="M39" s="227">
        <f t="shared" si="1"/>
        <v>0</v>
      </c>
      <c r="N39" s="227">
        <f t="shared" si="2"/>
        <v>0</v>
      </c>
      <c r="O39" s="227">
        <f t="shared" si="3"/>
        <v>0</v>
      </c>
      <c r="P39" s="228">
        <f t="shared" si="4"/>
        <v>0</v>
      </c>
      <c r="Q39" s="229">
        <f t="shared" si="5"/>
        <v>0</v>
      </c>
      <c r="R39" s="229">
        <f t="shared" si="6"/>
        <v>0</v>
      </c>
      <c r="S39" s="38">
        <f t="shared" si="7"/>
        <v>0</v>
      </c>
    </row>
    <row r="40" spans="1:19" ht="20.100000000000001" customHeight="1" x14ac:dyDescent="0.25">
      <c r="A40" s="370">
        <v>32</v>
      </c>
      <c r="B40" s="35">
        <f>dtsiswa!D38</f>
        <v>0</v>
      </c>
      <c r="C40" s="36"/>
      <c r="D40" s="370"/>
      <c r="E40" s="370"/>
      <c r="F40" s="370"/>
      <c r="G40" s="370"/>
      <c r="H40" s="370"/>
      <c r="I40" s="370"/>
      <c r="J40" s="370"/>
      <c r="K40" s="370"/>
      <c r="L40" s="476">
        <f t="shared" si="0"/>
        <v>0</v>
      </c>
      <c r="M40" s="227">
        <f t="shared" si="1"/>
        <v>0</v>
      </c>
      <c r="N40" s="227">
        <f t="shared" si="2"/>
        <v>0</v>
      </c>
      <c r="O40" s="227">
        <f t="shared" si="3"/>
        <v>0</v>
      </c>
      <c r="P40" s="228">
        <f t="shared" si="4"/>
        <v>0</v>
      </c>
      <c r="Q40" s="229">
        <f t="shared" si="5"/>
        <v>0</v>
      </c>
      <c r="R40" s="229">
        <f t="shared" si="6"/>
        <v>0</v>
      </c>
      <c r="S40" s="38">
        <f t="shared" si="7"/>
        <v>0</v>
      </c>
    </row>
    <row r="41" spans="1:19" ht="20.100000000000001" customHeight="1" x14ac:dyDescent="0.25">
      <c r="A41" s="370">
        <v>33</v>
      </c>
      <c r="B41" s="35">
        <f>dtsiswa!D39</f>
        <v>0</v>
      </c>
      <c r="C41" s="36"/>
      <c r="D41" s="370"/>
      <c r="E41" s="370"/>
      <c r="F41" s="370"/>
      <c r="G41" s="370"/>
      <c r="H41" s="370"/>
      <c r="I41" s="370"/>
      <c r="J41" s="370"/>
      <c r="K41" s="370"/>
      <c r="L41" s="476">
        <f t="shared" si="0"/>
        <v>0</v>
      </c>
      <c r="M41" s="227">
        <f t="shared" si="1"/>
        <v>0</v>
      </c>
      <c r="N41" s="227">
        <f t="shared" si="2"/>
        <v>0</v>
      </c>
      <c r="O41" s="227">
        <f t="shared" si="3"/>
        <v>0</v>
      </c>
      <c r="P41" s="228">
        <f t="shared" si="4"/>
        <v>0</v>
      </c>
      <c r="Q41" s="229">
        <f t="shared" si="5"/>
        <v>0</v>
      </c>
      <c r="R41" s="229">
        <f t="shared" si="6"/>
        <v>0</v>
      </c>
      <c r="S41" s="38">
        <f t="shared" si="7"/>
        <v>0</v>
      </c>
    </row>
    <row r="42" spans="1:19" ht="20.100000000000001" customHeight="1" x14ac:dyDescent="0.25">
      <c r="A42" s="370">
        <v>34</v>
      </c>
      <c r="B42" s="35">
        <f>dtsiswa!D40</f>
        <v>0</v>
      </c>
      <c r="C42" s="36"/>
      <c r="D42" s="370"/>
      <c r="E42" s="370"/>
      <c r="F42" s="370"/>
      <c r="G42" s="370"/>
      <c r="H42" s="370"/>
      <c r="I42" s="370"/>
      <c r="J42" s="370"/>
      <c r="K42" s="370"/>
      <c r="L42" s="476">
        <f t="shared" si="0"/>
        <v>0</v>
      </c>
      <c r="M42" s="227">
        <f t="shared" si="1"/>
        <v>0</v>
      </c>
      <c r="N42" s="227">
        <f t="shared" si="2"/>
        <v>0</v>
      </c>
      <c r="O42" s="227">
        <f t="shared" si="3"/>
        <v>0</v>
      </c>
      <c r="P42" s="228">
        <f t="shared" si="4"/>
        <v>0</v>
      </c>
      <c r="Q42" s="229">
        <f t="shared" si="5"/>
        <v>0</v>
      </c>
      <c r="R42" s="229">
        <f t="shared" si="6"/>
        <v>0</v>
      </c>
      <c r="S42" s="38">
        <f t="shared" si="7"/>
        <v>0</v>
      </c>
    </row>
    <row r="43" spans="1:19" ht="20.100000000000001" customHeight="1" x14ac:dyDescent="0.25">
      <c r="A43" s="370">
        <v>35</v>
      </c>
      <c r="B43" s="35">
        <f>dtsiswa!D41</f>
        <v>0</v>
      </c>
      <c r="C43" s="36"/>
      <c r="D43" s="370"/>
      <c r="E43" s="370"/>
      <c r="F43" s="370"/>
      <c r="G43" s="370"/>
      <c r="H43" s="370"/>
      <c r="I43" s="370"/>
      <c r="J43" s="370"/>
      <c r="K43" s="370"/>
      <c r="L43" s="476">
        <f t="shared" si="0"/>
        <v>0</v>
      </c>
      <c r="M43" s="227">
        <f t="shared" si="1"/>
        <v>0</v>
      </c>
      <c r="N43" s="227">
        <f t="shared" si="2"/>
        <v>0</v>
      </c>
      <c r="O43" s="227">
        <f t="shared" si="3"/>
        <v>0</v>
      </c>
      <c r="P43" s="228">
        <f t="shared" si="4"/>
        <v>0</v>
      </c>
      <c r="Q43" s="229">
        <f t="shared" si="5"/>
        <v>0</v>
      </c>
      <c r="R43" s="229">
        <f t="shared" si="6"/>
        <v>0</v>
      </c>
      <c r="S43" s="38">
        <f t="shared" si="7"/>
        <v>0</v>
      </c>
    </row>
    <row r="44" spans="1:19" ht="20.100000000000001" customHeight="1" x14ac:dyDescent="0.25">
      <c r="A44" s="602">
        <v>36</v>
      </c>
      <c r="B44" s="35">
        <f>dtsiswa!D42</f>
        <v>0</v>
      </c>
      <c r="C44" s="36"/>
      <c r="D44" s="602"/>
      <c r="E44" s="602"/>
      <c r="F44" s="602"/>
      <c r="G44" s="602"/>
      <c r="H44" s="602"/>
      <c r="I44" s="602"/>
      <c r="J44" s="602"/>
      <c r="K44" s="602"/>
      <c r="L44" s="476">
        <f t="shared" si="0"/>
        <v>0</v>
      </c>
      <c r="M44" s="227">
        <f t="shared" si="1"/>
        <v>0</v>
      </c>
      <c r="N44" s="227">
        <f t="shared" si="2"/>
        <v>0</v>
      </c>
      <c r="O44" s="227">
        <f t="shared" si="3"/>
        <v>0</v>
      </c>
      <c r="P44" s="228">
        <f t="shared" ref="P44:P48" si="8">L44</f>
        <v>0</v>
      </c>
      <c r="Q44" s="229">
        <f t="shared" ref="Q44:Q48" si="9">L44</f>
        <v>0</v>
      </c>
      <c r="R44" s="229">
        <f t="shared" ref="R44:R48" si="10">L44</f>
        <v>0</v>
      </c>
      <c r="S44" s="38">
        <f t="shared" ref="S44:S48" si="11">L44</f>
        <v>0</v>
      </c>
    </row>
    <row r="45" spans="1:19" ht="20.100000000000001" customHeight="1" x14ac:dyDescent="0.25">
      <c r="A45" s="602">
        <v>37</v>
      </c>
      <c r="B45" s="35">
        <f>dtsiswa!D43</f>
        <v>0</v>
      </c>
      <c r="C45" s="36"/>
      <c r="D45" s="602"/>
      <c r="E45" s="602"/>
      <c r="F45" s="602"/>
      <c r="G45" s="602"/>
      <c r="H45" s="602"/>
      <c r="I45" s="602"/>
      <c r="J45" s="602"/>
      <c r="K45" s="602"/>
      <c r="L45" s="476">
        <f t="shared" si="0"/>
        <v>0</v>
      </c>
      <c r="M45" s="227">
        <f t="shared" si="1"/>
        <v>0</v>
      </c>
      <c r="N45" s="227">
        <f t="shared" si="2"/>
        <v>0</v>
      </c>
      <c r="O45" s="227">
        <f t="shared" si="3"/>
        <v>0</v>
      </c>
      <c r="P45" s="228">
        <f t="shared" si="8"/>
        <v>0</v>
      </c>
      <c r="Q45" s="229">
        <f t="shared" si="9"/>
        <v>0</v>
      </c>
      <c r="R45" s="229">
        <f t="shared" si="10"/>
        <v>0</v>
      </c>
      <c r="S45" s="38">
        <f t="shared" si="11"/>
        <v>0</v>
      </c>
    </row>
    <row r="46" spans="1:19" ht="20.100000000000001" customHeight="1" x14ac:dyDescent="0.25">
      <c r="A46" s="602">
        <v>38</v>
      </c>
      <c r="B46" s="35">
        <f>dtsiswa!D44</f>
        <v>0</v>
      </c>
      <c r="C46" s="36"/>
      <c r="D46" s="602"/>
      <c r="E46" s="602"/>
      <c r="F46" s="602"/>
      <c r="G46" s="602"/>
      <c r="H46" s="602"/>
      <c r="I46" s="602"/>
      <c r="J46" s="602"/>
      <c r="K46" s="602"/>
      <c r="L46" s="476">
        <f t="shared" si="0"/>
        <v>0</v>
      </c>
      <c r="M46" s="227">
        <f t="shared" si="1"/>
        <v>0</v>
      </c>
      <c r="N46" s="227">
        <f t="shared" si="2"/>
        <v>0</v>
      </c>
      <c r="O46" s="227">
        <f t="shared" si="3"/>
        <v>0</v>
      </c>
      <c r="P46" s="228">
        <f t="shared" si="8"/>
        <v>0</v>
      </c>
      <c r="Q46" s="229">
        <f t="shared" si="9"/>
        <v>0</v>
      </c>
      <c r="R46" s="229">
        <f t="shared" si="10"/>
        <v>0</v>
      </c>
      <c r="S46" s="38">
        <f t="shared" si="11"/>
        <v>0</v>
      </c>
    </row>
    <row r="47" spans="1:19" ht="20.100000000000001" customHeight="1" x14ac:dyDescent="0.25">
      <c r="A47" s="602">
        <v>39</v>
      </c>
      <c r="B47" s="35">
        <f>dtsiswa!D45</f>
        <v>0</v>
      </c>
      <c r="C47" s="36"/>
      <c r="D47" s="602"/>
      <c r="E47" s="602"/>
      <c r="F47" s="602"/>
      <c r="G47" s="602"/>
      <c r="H47" s="602"/>
      <c r="I47" s="602"/>
      <c r="J47" s="602"/>
      <c r="K47" s="602"/>
      <c r="L47" s="476">
        <f t="shared" si="0"/>
        <v>0</v>
      </c>
      <c r="M47" s="227">
        <f t="shared" si="1"/>
        <v>0</v>
      </c>
      <c r="N47" s="227">
        <f t="shared" si="2"/>
        <v>0</v>
      </c>
      <c r="O47" s="227">
        <f t="shared" si="3"/>
        <v>0</v>
      </c>
      <c r="P47" s="228">
        <f t="shared" si="8"/>
        <v>0</v>
      </c>
      <c r="Q47" s="229">
        <f t="shared" si="9"/>
        <v>0</v>
      </c>
      <c r="R47" s="229">
        <f t="shared" si="10"/>
        <v>0</v>
      </c>
      <c r="S47" s="38">
        <f t="shared" si="11"/>
        <v>0</v>
      </c>
    </row>
    <row r="48" spans="1:19" ht="20.100000000000001" customHeight="1" x14ac:dyDescent="0.25">
      <c r="A48" s="602">
        <v>40</v>
      </c>
      <c r="B48" s="35">
        <f>dtsiswa!D46</f>
        <v>0</v>
      </c>
      <c r="C48" s="36"/>
      <c r="D48" s="602"/>
      <c r="E48" s="602"/>
      <c r="F48" s="602"/>
      <c r="G48" s="602"/>
      <c r="H48" s="602"/>
      <c r="I48" s="602"/>
      <c r="J48" s="602"/>
      <c r="K48" s="602"/>
      <c r="L48" s="476">
        <f t="shared" si="0"/>
        <v>0</v>
      </c>
      <c r="M48" s="227">
        <f t="shared" si="1"/>
        <v>0</v>
      </c>
      <c r="N48" s="227">
        <f t="shared" si="2"/>
        <v>0</v>
      </c>
      <c r="O48" s="227">
        <f t="shared" si="3"/>
        <v>0</v>
      </c>
      <c r="P48" s="228">
        <f t="shared" si="8"/>
        <v>0</v>
      </c>
      <c r="Q48" s="229">
        <f t="shared" si="9"/>
        <v>0</v>
      </c>
      <c r="R48" s="229">
        <f t="shared" si="10"/>
        <v>0</v>
      </c>
      <c r="S48" s="38">
        <f t="shared" si="11"/>
        <v>0</v>
      </c>
    </row>
    <row r="49" spans="1:19" ht="20.100000000000001" customHeight="1" x14ac:dyDescent="0.25">
      <c r="A49" s="370"/>
      <c r="B49" s="35"/>
      <c r="C49" s="36"/>
      <c r="D49" s="370"/>
      <c r="E49" s="370"/>
      <c r="F49" s="370"/>
      <c r="G49" s="370"/>
      <c r="H49" s="370"/>
      <c r="I49" s="370"/>
      <c r="J49" s="370"/>
      <c r="K49" s="370"/>
      <c r="L49" s="476"/>
      <c r="M49" s="227"/>
      <c r="N49" s="227"/>
      <c r="O49" s="227"/>
      <c r="P49" s="228"/>
      <c r="Q49" s="229"/>
      <c r="R49" s="229"/>
      <c r="S49" s="38"/>
    </row>
    <row r="50" spans="1:19" ht="20.100000000000001" customHeight="1" x14ac:dyDescent="0.25">
      <c r="A50" s="370"/>
      <c r="B50" s="35"/>
      <c r="C50" s="36"/>
      <c r="D50" s="370"/>
      <c r="E50" s="370"/>
      <c r="F50" s="370"/>
      <c r="G50" s="370"/>
      <c r="H50" s="370"/>
      <c r="I50" s="370"/>
      <c r="J50" s="370"/>
      <c r="K50" s="370"/>
      <c r="L50" s="226"/>
      <c r="M50" s="227"/>
      <c r="N50" s="227"/>
      <c r="O50" s="227"/>
      <c r="P50" s="228"/>
      <c r="Q50" s="229"/>
      <c r="R50" s="229"/>
      <c r="S50" s="38"/>
    </row>
    <row r="51" spans="1:19" ht="20.100000000000001" customHeight="1" x14ac:dyDescent="0.25">
      <c r="A51" s="370"/>
      <c r="B51" s="47" t="s">
        <v>36</v>
      </c>
      <c r="C51" s="48"/>
      <c r="D51" s="49">
        <f t="shared" ref="D51:L51" si="12">COUNTIF(D9:D32,"0")</f>
        <v>0</v>
      </c>
      <c r="E51" s="49">
        <f t="shared" si="12"/>
        <v>1</v>
      </c>
      <c r="F51" s="49">
        <f t="shared" si="12"/>
        <v>0</v>
      </c>
      <c r="G51" s="49">
        <f t="shared" si="12"/>
        <v>1</v>
      </c>
      <c r="H51" s="49">
        <f t="shared" si="12"/>
        <v>0</v>
      </c>
      <c r="I51" s="49">
        <f t="shared" si="12"/>
        <v>0</v>
      </c>
      <c r="J51" s="49">
        <f t="shared" si="12"/>
        <v>0</v>
      </c>
      <c r="K51" s="49"/>
      <c r="L51" s="49">
        <f t="shared" si="12"/>
        <v>23</v>
      </c>
      <c r="M51" s="203"/>
      <c r="N51" s="203"/>
      <c r="O51" s="203"/>
      <c r="P51" s="239"/>
      <c r="Q51" s="229"/>
      <c r="R51" s="229"/>
      <c r="S51" s="38"/>
    </row>
    <row r="52" spans="1:19" ht="20.100000000000001" customHeight="1" x14ac:dyDescent="0.25">
      <c r="A52" s="50"/>
      <c r="B52" s="51" t="s">
        <v>37</v>
      </c>
      <c r="C52" s="51"/>
      <c r="D52" s="52"/>
      <c r="E52" s="52"/>
      <c r="F52" s="52"/>
      <c r="G52" s="52"/>
      <c r="H52" s="368"/>
      <c r="I52" s="368"/>
      <c r="J52" s="368"/>
      <c r="K52" s="368"/>
      <c r="L52" s="368"/>
      <c r="M52" s="53"/>
      <c r="N52" s="53"/>
      <c r="O52" s="53"/>
      <c r="P52" s="53"/>
      <c r="Q52" s="53"/>
      <c r="R52" s="53"/>
      <c r="S52" s="46"/>
    </row>
    <row r="53" spans="1:19" ht="20.100000000000001" customHeight="1" x14ac:dyDescent="0.25">
      <c r="A53" s="54"/>
      <c r="B53" s="51" t="s">
        <v>38</v>
      </c>
      <c r="C53" s="51"/>
      <c r="D53" s="52"/>
      <c r="E53" s="52"/>
      <c r="F53" s="52"/>
      <c r="G53" s="52"/>
      <c r="H53" s="368"/>
      <c r="I53" s="368"/>
      <c r="J53" s="368"/>
      <c r="K53" s="368"/>
      <c r="L53" s="368"/>
      <c r="M53" s="53"/>
      <c r="N53" s="53"/>
      <c r="O53" s="53"/>
      <c r="P53" s="55"/>
      <c r="Q53" s="53"/>
      <c r="R53" s="53"/>
      <c r="S53" s="46"/>
    </row>
    <row r="54" spans="1:19" ht="20.100000000000001" customHeight="1" x14ac:dyDescent="0.25">
      <c r="A54" s="54"/>
      <c r="B54" s="51" t="s">
        <v>39</v>
      </c>
      <c r="C54" s="51"/>
      <c r="D54" s="52"/>
      <c r="E54" s="52"/>
      <c r="F54" s="52"/>
      <c r="G54" s="52"/>
      <c r="H54" s="368"/>
      <c r="I54" s="368"/>
      <c r="J54" s="368"/>
      <c r="K54" s="368"/>
      <c r="L54" s="368"/>
      <c r="M54" s="55"/>
      <c r="N54" s="55"/>
      <c r="O54" s="55"/>
      <c r="P54" s="55"/>
      <c r="Q54" s="55"/>
      <c r="R54" s="55"/>
      <c r="S54" s="46"/>
    </row>
  </sheetData>
  <mergeCells count="12">
    <mergeCell ref="S6:S8"/>
    <mergeCell ref="A6:A8"/>
    <mergeCell ref="B6:B8"/>
    <mergeCell ref="C6:C8"/>
    <mergeCell ref="D6:G6"/>
    <mergeCell ref="H6:K6"/>
    <mergeCell ref="L6:L8"/>
    <mergeCell ref="M6:M8"/>
    <mergeCell ref="N6:N8"/>
    <mergeCell ref="O6:O8"/>
    <mergeCell ref="P6:P8"/>
    <mergeCell ref="Q6:R7"/>
  </mergeCells>
  <conditionalFormatting sqref="S9:S51">
    <cfRule type="top10" dxfId="5" priority="1" bottom="1" rank="5"/>
  </conditionalFormatting>
  <pageMargins left="0.7" right="0.7" top="0.75" bottom="0.75" header="0.3" footer="0.3"/>
  <pageSetup paperSize="768" orientation="landscape" horizontalDpi="0" verticalDpi="0"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1:U53"/>
  <sheetViews>
    <sheetView showGridLines="0" zoomScale="90" zoomScaleNormal="90" workbookViewId="0">
      <pane ySplit="8" topLeftCell="A9" activePane="bottomLeft" state="frozen"/>
      <selection sqref="A1:Q1"/>
      <selection pane="bottomLeft" sqref="A1:Q1"/>
    </sheetView>
  </sheetViews>
  <sheetFormatPr defaultRowHeight="15" x14ac:dyDescent="0.25"/>
  <cols>
    <col min="1" max="1" width="5" customWidth="1"/>
    <col min="2" max="2" width="38.5703125" customWidth="1"/>
    <col min="3" max="3" width="5" customWidth="1"/>
    <col min="4" max="11" width="4.7109375" customWidth="1"/>
    <col min="12" max="12" width="6.7109375" customWidth="1"/>
    <col min="13" max="14" width="5.140625" customWidth="1"/>
    <col min="15" max="15" width="4.85546875" customWidth="1"/>
    <col min="16" max="16" width="7.5703125" customWidth="1"/>
    <col min="17" max="19" width="8.85546875" customWidth="1"/>
    <col min="20" max="20" width="8.42578125" customWidth="1"/>
    <col min="21" max="21" width="13.5703125" customWidth="1"/>
  </cols>
  <sheetData>
    <row r="1" spans="1:21" ht="33.75" customHeight="1" x14ac:dyDescent="0.25">
      <c r="A1" s="232"/>
      <c r="B1" s="233"/>
      <c r="C1" s="233"/>
      <c r="D1" s="233"/>
      <c r="E1" s="233"/>
      <c r="F1" s="233"/>
      <c r="G1" s="233"/>
      <c r="H1" s="233"/>
      <c r="I1" s="233"/>
      <c r="J1" s="233"/>
      <c r="K1" s="233"/>
      <c r="L1" s="233"/>
      <c r="M1" s="233"/>
      <c r="N1" s="233"/>
      <c r="O1" s="233"/>
      <c r="P1" s="233"/>
      <c r="Q1" s="233"/>
      <c r="R1" s="233"/>
      <c r="S1" s="233"/>
      <c r="T1" s="233"/>
      <c r="U1" s="234"/>
    </row>
    <row r="2" spans="1:21" ht="23.25" x14ac:dyDescent="0.35">
      <c r="A2" s="29" t="s">
        <v>53</v>
      </c>
      <c r="G2" s="69"/>
      <c r="H2" s="69"/>
      <c r="I2" s="69"/>
      <c r="J2" s="69"/>
      <c r="K2" s="69"/>
      <c r="L2" s="69"/>
    </row>
    <row r="3" spans="1:21" ht="21" x14ac:dyDescent="0.35">
      <c r="A3" s="70" t="s">
        <v>194</v>
      </c>
      <c r="G3" s="225"/>
      <c r="H3" s="225"/>
      <c r="I3" s="225"/>
      <c r="J3" s="225"/>
      <c r="K3" s="225"/>
      <c r="L3" s="225"/>
    </row>
    <row r="4" spans="1:21" ht="23.25" x14ac:dyDescent="0.35">
      <c r="A4" s="29" t="s">
        <v>685</v>
      </c>
      <c r="Q4" s="272"/>
      <c r="R4" s="272"/>
      <c r="S4" s="272"/>
      <c r="T4" s="272"/>
      <c r="U4" s="75"/>
    </row>
    <row r="5" spans="1:21" s="201" customFormat="1" ht="15.75" x14ac:dyDescent="0.25">
      <c r="A5" s="230">
        <v>1</v>
      </c>
      <c r="B5" s="230">
        <v>2</v>
      </c>
      <c r="C5" s="230">
        <v>3</v>
      </c>
      <c r="D5" s="230">
        <v>4</v>
      </c>
      <c r="E5" s="230">
        <v>5</v>
      </c>
      <c r="F5" s="230">
        <v>6</v>
      </c>
      <c r="G5" s="230">
        <v>7</v>
      </c>
      <c r="H5" s="230">
        <v>8</v>
      </c>
      <c r="I5" s="230">
        <v>9</v>
      </c>
      <c r="J5" s="230">
        <v>10</v>
      </c>
      <c r="K5" s="230">
        <v>11</v>
      </c>
      <c r="L5" s="230">
        <v>12</v>
      </c>
      <c r="M5" s="230">
        <v>13</v>
      </c>
      <c r="N5" s="230">
        <v>14</v>
      </c>
      <c r="O5" s="230">
        <v>15</v>
      </c>
      <c r="P5" s="230">
        <v>16</v>
      </c>
      <c r="Q5" s="230">
        <v>17</v>
      </c>
      <c r="R5" s="230">
        <v>18</v>
      </c>
      <c r="S5" s="230">
        <v>19</v>
      </c>
      <c r="T5" s="230">
        <v>20</v>
      </c>
      <c r="U5" s="230">
        <v>21</v>
      </c>
    </row>
    <row r="6" spans="1:21" s="30" customFormat="1" ht="20.25" customHeight="1" x14ac:dyDescent="0.25">
      <c r="A6" s="3136" t="s">
        <v>0</v>
      </c>
      <c r="B6" s="3136" t="s">
        <v>28</v>
      </c>
      <c r="C6" s="3136" t="s">
        <v>3</v>
      </c>
      <c r="D6" s="3202" t="s">
        <v>687</v>
      </c>
      <c r="E6" s="3203"/>
      <c r="F6" s="3203"/>
      <c r="G6" s="3203"/>
      <c r="H6" s="3203"/>
      <c r="I6" s="3203"/>
      <c r="J6" s="3203"/>
      <c r="K6" s="3204"/>
      <c r="L6" s="3186" t="s">
        <v>159</v>
      </c>
      <c r="M6" s="3164" t="s">
        <v>29</v>
      </c>
      <c r="N6" s="3164" t="s">
        <v>30</v>
      </c>
      <c r="O6" s="3164" t="s">
        <v>31</v>
      </c>
      <c r="P6" s="3189" t="s">
        <v>32</v>
      </c>
      <c r="Q6" s="3192" t="s">
        <v>158</v>
      </c>
      <c r="R6" s="3192"/>
      <c r="S6" s="3192"/>
      <c r="T6" s="3192"/>
      <c r="U6" s="3199" t="s">
        <v>444</v>
      </c>
    </row>
    <row r="7" spans="1:21" s="30" customFormat="1" ht="20.25" customHeight="1" x14ac:dyDescent="0.25">
      <c r="A7" s="3136"/>
      <c r="B7" s="3136"/>
      <c r="C7" s="3136"/>
      <c r="D7" s="31" t="s">
        <v>29</v>
      </c>
      <c r="E7" s="31" t="s">
        <v>29</v>
      </c>
      <c r="F7" s="31" t="s">
        <v>29</v>
      </c>
      <c r="G7" s="31" t="s">
        <v>29</v>
      </c>
      <c r="H7" s="31" t="s">
        <v>29</v>
      </c>
      <c r="I7" s="32" t="s">
        <v>30</v>
      </c>
      <c r="J7" s="32" t="s">
        <v>30</v>
      </c>
      <c r="K7" s="33" t="s">
        <v>31</v>
      </c>
      <c r="L7" s="3186"/>
      <c r="M7" s="3164"/>
      <c r="N7" s="3164"/>
      <c r="O7" s="3164"/>
      <c r="P7" s="3189"/>
      <c r="Q7" s="3192"/>
      <c r="R7" s="3192"/>
      <c r="S7" s="3192"/>
      <c r="T7" s="3192"/>
      <c r="U7" s="3200"/>
    </row>
    <row r="8" spans="1:21" ht="22.5" customHeight="1" x14ac:dyDescent="0.25">
      <c r="A8" s="3136"/>
      <c r="B8" s="3136"/>
      <c r="C8" s="3136"/>
      <c r="D8" s="284">
        <v>1</v>
      </c>
      <c r="E8" s="284">
        <v>2</v>
      </c>
      <c r="F8" s="284">
        <v>3</v>
      </c>
      <c r="G8" s="284">
        <v>4</v>
      </c>
      <c r="H8" s="284">
        <v>5</v>
      </c>
      <c r="I8" s="284">
        <v>6</v>
      </c>
      <c r="J8" s="284">
        <v>7</v>
      </c>
      <c r="K8" s="284">
        <v>8</v>
      </c>
      <c r="L8" s="3186"/>
      <c r="M8" s="3164"/>
      <c r="N8" s="3164"/>
      <c r="O8" s="3164"/>
      <c r="P8" s="3189"/>
      <c r="Q8" s="475" t="s">
        <v>12</v>
      </c>
      <c r="R8" s="475" t="s">
        <v>7</v>
      </c>
      <c r="S8" s="475" t="s">
        <v>10</v>
      </c>
      <c r="T8" s="475" t="s">
        <v>8</v>
      </c>
      <c r="U8" s="3201"/>
    </row>
    <row r="9" spans="1:21" ht="20.100000000000001" customHeight="1" x14ac:dyDescent="0.25">
      <c r="A9" s="34">
        <v>1</v>
      </c>
      <c r="B9" s="198" t="str">
        <f>dtsiswa!D7</f>
        <v>Achmad Zacky</v>
      </c>
      <c r="C9" s="36" t="s">
        <v>4</v>
      </c>
      <c r="D9" s="200">
        <v>1</v>
      </c>
      <c r="E9" s="200">
        <v>0</v>
      </c>
      <c r="F9" s="200">
        <v>1</v>
      </c>
      <c r="G9" s="200">
        <v>0</v>
      </c>
      <c r="H9" s="200">
        <v>1</v>
      </c>
      <c r="I9" s="200">
        <v>2</v>
      </c>
      <c r="J9" s="200">
        <v>2</v>
      </c>
      <c r="K9" s="200">
        <v>3</v>
      </c>
      <c r="L9" s="476">
        <f t="shared" ref="L9:L48" si="0">SUM(D9:K9)*100/12</f>
        <v>83.333333333333329</v>
      </c>
      <c r="M9" s="227">
        <f>D9+F9+H9</f>
        <v>3</v>
      </c>
      <c r="N9" s="227">
        <f>(I9+J9)</f>
        <v>4</v>
      </c>
      <c r="O9" s="227">
        <f>K9</f>
        <v>3</v>
      </c>
      <c r="P9" s="228">
        <f>L9</f>
        <v>83.333333333333329</v>
      </c>
      <c r="Q9" s="229">
        <f>L9</f>
        <v>83.333333333333329</v>
      </c>
      <c r="R9" s="229">
        <f>L9</f>
        <v>83.333333333333329</v>
      </c>
      <c r="S9" s="229">
        <f>L9</f>
        <v>83.333333333333329</v>
      </c>
      <c r="T9" s="229">
        <f>L9</f>
        <v>83.333333333333329</v>
      </c>
      <c r="U9" s="38">
        <f>L9</f>
        <v>83.333333333333329</v>
      </c>
    </row>
    <row r="10" spans="1:21" ht="20.100000000000001" customHeight="1" x14ac:dyDescent="0.25">
      <c r="A10" s="370">
        <v>2</v>
      </c>
      <c r="B10" s="35" t="str">
        <f>dtsiswa!D8</f>
        <v>Angelia Vabel R</v>
      </c>
      <c r="C10" s="36" t="s">
        <v>4</v>
      </c>
      <c r="D10" s="200"/>
      <c r="E10" s="200"/>
      <c r="F10" s="200"/>
      <c r="G10" s="200"/>
      <c r="H10" s="200"/>
      <c r="I10" s="200"/>
      <c r="J10" s="200"/>
      <c r="K10" s="200"/>
      <c r="L10" s="476">
        <f t="shared" si="0"/>
        <v>0</v>
      </c>
      <c r="M10" s="227">
        <f t="shared" ref="M10:M48" si="1">D10+F10+H10</f>
        <v>0</v>
      </c>
      <c r="N10" s="227">
        <f t="shared" ref="N10:N48" si="2">(I10+J10)</f>
        <v>0</v>
      </c>
      <c r="O10" s="227">
        <f t="shared" ref="O10:O48" si="3">K10</f>
        <v>0</v>
      </c>
      <c r="P10" s="228">
        <f t="shared" ref="P10:P43" si="4">L10</f>
        <v>0</v>
      </c>
      <c r="Q10" s="229">
        <f t="shared" ref="Q10:Q48" si="5">L10</f>
        <v>0</v>
      </c>
      <c r="R10" s="229">
        <f t="shared" ref="R10:R48" si="6">L10</f>
        <v>0</v>
      </c>
      <c r="S10" s="229">
        <f t="shared" ref="S10:S48" si="7">L10</f>
        <v>0</v>
      </c>
      <c r="T10" s="229">
        <f t="shared" ref="T10:T48" si="8">L10</f>
        <v>0</v>
      </c>
      <c r="U10" s="38">
        <f t="shared" ref="U10:U43" si="9">L10</f>
        <v>0</v>
      </c>
    </row>
    <row r="11" spans="1:21" ht="20.100000000000001" customHeight="1" x14ac:dyDescent="0.25">
      <c r="A11" s="370">
        <v>3</v>
      </c>
      <c r="B11" s="35" t="str">
        <f>dtsiswa!D9</f>
        <v>Anggun Dwi P.I</v>
      </c>
      <c r="C11" s="36" t="s">
        <v>4</v>
      </c>
      <c r="D11" s="200"/>
      <c r="E11" s="200"/>
      <c r="F11" s="200"/>
      <c r="G11" s="200"/>
      <c r="H11" s="200"/>
      <c r="I11" s="200"/>
      <c r="J11" s="200"/>
      <c r="K11" s="200"/>
      <c r="L11" s="476">
        <f t="shared" si="0"/>
        <v>0</v>
      </c>
      <c r="M11" s="227">
        <f t="shared" si="1"/>
        <v>0</v>
      </c>
      <c r="N11" s="227">
        <f t="shared" si="2"/>
        <v>0</v>
      </c>
      <c r="O11" s="227">
        <f t="shared" si="3"/>
        <v>0</v>
      </c>
      <c r="P11" s="228">
        <f t="shared" si="4"/>
        <v>0</v>
      </c>
      <c r="Q11" s="229">
        <f t="shared" si="5"/>
        <v>0</v>
      </c>
      <c r="R11" s="229">
        <f t="shared" si="6"/>
        <v>0</v>
      </c>
      <c r="S11" s="229">
        <f t="shared" si="7"/>
        <v>0</v>
      </c>
      <c r="T11" s="229">
        <f t="shared" si="8"/>
        <v>0</v>
      </c>
      <c r="U11" s="38">
        <f t="shared" si="9"/>
        <v>0</v>
      </c>
    </row>
    <row r="12" spans="1:21" ht="20.100000000000001" customHeight="1" x14ac:dyDescent="0.25">
      <c r="A12" s="370">
        <v>4</v>
      </c>
      <c r="B12" s="35" t="str">
        <f>dtsiswa!D10</f>
        <v>Antonio Permata A</v>
      </c>
      <c r="C12" s="43" t="s">
        <v>4</v>
      </c>
      <c r="D12" s="59"/>
      <c r="E12" s="59"/>
      <c r="F12" s="59"/>
      <c r="G12" s="59"/>
      <c r="H12" s="59"/>
      <c r="I12" s="59"/>
      <c r="J12" s="59"/>
      <c r="K12" s="59"/>
      <c r="L12" s="476">
        <f t="shared" si="0"/>
        <v>0</v>
      </c>
      <c r="M12" s="227">
        <f t="shared" si="1"/>
        <v>0</v>
      </c>
      <c r="N12" s="227">
        <f t="shared" si="2"/>
        <v>0</v>
      </c>
      <c r="O12" s="227">
        <f t="shared" si="3"/>
        <v>0</v>
      </c>
      <c r="P12" s="228">
        <f t="shared" si="4"/>
        <v>0</v>
      </c>
      <c r="Q12" s="229">
        <f t="shared" si="5"/>
        <v>0</v>
      </c>
      <c r="R12" s="229">
        <f t="shared" si="6"/>
        <v>0</v>
      </c>
      <c r="S12" s="229">
        <f t="shared" si="7"/>
        <v>0</v>
      </c>
      <c r="T12" s="229">
        <f t="shared" si="8"/>
        <v>0</v>
      </c>
      <c r="U12" s="38">
        <f t="shared" si="9"/>
        <v>0</v>
      </c>
    </row>
    <row r="13" spans="1:21" ht="20.100000000000001" customHeight="1" x14ac:dyDescent="0.25">
      <c r="A13" s="370">
        <v>5</v>
      </c>
      <c r="B13" s="35" t="str">
        <f>dtsiswa!D11</f>
        <v>Arya Pratama G</v>
      </c>
      <c r="C13" s="36" t="s">
        <v>5</v>
      </c>
      <c r="D13" s="59"/>
      <c r="E13" s="59"/>
      <c r="F13" s="59"/>
      <c r="G13" s="59"/>
      <c r="H13" s="59"/>
      <c r="I13" s="59"/>
      <c r="J13" s="59"/>
      <c r="K13" s="59"/>
      <c r="L13" s="476">
        <f t="shared" si="0"/>
        <v>0</v>
      </c>
      <c r="M13" s="227">
        <f t="shared" si="1"/>
        <v>0</v>
      </c>
      <c r="N13" s="227">
        <f t="shared" si="2"/>
        <v>0</v>
      </c>
      <c r="O13" s="227">
        <f t="shared" si="3"/>
        <v>0</v>
      </c>
      <c r="P13" s="228">
        <f t="shared" si="4"/>
        <v>0</v>
      </c>
      <c r="Q13" s="229">
        <f t="shared" si="5"/>
        <v>0</v>
      </c>
      <c r="R13" s="229">
        <f t="shared" si="6"/>
        <v>0</v>
      </c>
      <c r="S13" s="229">
        <f t="shared" si="7"/>
        <v>0</v>
      </c>
      <c r="T13" s="229">
        <f t="shared" si="8"/>
        <v>0</v>
      </c>
      <c r="U13" s="38">
        <f t="shared" si="9"/>
        <v>0</v>
      </c>
    </row>
    <row r="14" spans="1:21" ht="20.100000000000001" customHeight="1" x14ac:dyDescent="0.25">
      <c r="A14" s="370">
        <v>6</v>
      </c>
      <c r="B14" s="35" t="str">
        <f>dtsiswa!D12</f>
        <v>Asyam Hanif Ihsan H</v>
      </c>
      <c r="C14" s="36" t="s">
        <v>5</v>
      </c>
      <c r="D14" s="59"/>
      <c r="E14" s="59"/>
      <c r="F14" s="59"/>
      <c r="G14" s="59"/>
      <c r="H14" s="59"/>
      <c r="I14" s="59"/>
      <c r="J14" s="59"/>
      <c r="K14" s="59"/>
      <c r="L14" s="476">
        <f t="shared" si="0"/>
        <v>0</v>
      </c>
      <c r="M14" s="227">
        <f t="shared" si="1"/>
        <v>0</v>
      </c>
      <c r="N14" s="227">
        <f t="shared" si="2"/>
        <v>0</v>
      </c>
      <c r="O14" s="227">
        <f t="shared" si="3"/>
        <v>0</v>
      </c>
      <c r="P14" s="228">
        <f t="shared" si="4"/>
        <v>0</v>
      </c>
      <c r="Q14" s="229">
        <f t="shared" si="5"/>
        <v>0</v>
      </c>
      <c r="R14" s="229">
        <f t="shared" si="6"/>
        <v>0</v>
      </c>
      <c r="S14" s="229">
        <f t="shared" si="7"/>
        <v>0</v>
      </c>
      <c r="T14" s="229">
        <f t="shared" si="8"/>
        <v>0</v>
      </c>
      <c r="U14" s="38">
        <f t="shared" si="9"/>
        <v>0</v>
      </c>
    </row>
    <row r="15" spans="1:21" ht="20.100000000000001" customHeight="1" x14ac:dyDescent="0.25">
      <c r="A15" s="370">
        <v>7</v>
      </c>
      <c r="B15" s="35" t="str">
        <f>dtsiswa!D13</f>
        <v>Athaya Salsabilla Z</v>
      </c>
      <c r="C15" s="36" t="s">
        <v>4</v>
      </c>
      <c r="D15" s="59"/>
      <c r="E15" s="59"/>
      <c r="F15" s="59"/>
      <c r="G15" s="59"/>
      <c r="H15" s="59"/>
      <c r="I15" s="59"/>
      <c r="J15" s="59"/>
      <c r="K15" s="59"/>
      <c r="L15" s="476">
        <f t="shared" si="0"/>
        <v>0</v>
      </c>
      <c r="M15" s="227">
        <f t="shared" si="1"/>
        <v>0</v>
      </c>
      <c r="N15" s="227">
        <f t="shared" si="2"/>
        <v>0</v>
      </c>
      <c r="O15" s="227">
        <f t="shared" si="3"/>
        <v>0</v>
      </c>
      <c r="P15" s="228">
        <f t="shared" si="4"/>
        <v>0</v>
      </c>
      <c r="Q15" s="229">
        <f t="shared" si="5"/>
        <v>0</v>
      </c>
      <c r="R15" s="229">
        <f t="shared" si="6"/>
        <v>0</v>
      </c>
      <c r="S15" s="229">
        <f t="shared" si="7"/>
        <v>0</v>
      </c>
      <c r="T15" s="229">
        <f t="shared" si="8"/>
        <v>0</v>
      </c>
      <c r="U15" s="38">
        <f t="shared" si="9"/>
        <v>0</v>
      </c>
    </row>
    <row r="16" spans="1:21" ht="20.100000000000001" customHeight="1" x14ac:dyDescent="0.25">
      <c r="A16" s="370">
        <v>8</v>
      </c>
      <c r="B16" s="35" t="str">
        <f>dtsiswa!D14</f>
        <v>Aulia Dea Rosalinda</v>
      </c>
      <c r="C16" s="36" t="s">
        <v>4</v>
      </c>
      <c r="D16" s="59"/>
      <c r="E16" s="59"/>
      <c r="F16" s="59"/>
      <c r="G16" s="59"/>
      <c r="H16" s="59"/>
      <c r="I16" s="59"/>
      <c r="J16" s="59"/>
      <c r="K16" s="59"/>
      <c r="L16" s="476">
        <f t="shared" si="0"/>
        <v>0</v>
      </c>
      <c r="M16" s="227">
        <f t="shared" si="1"/>
        <v>0</v>
      </c>
      <c r="N16" s="227">
        <f t="shared" si="2"/>
        <v>0</v>
      </c>
      <c r="O16" s="227">
        <f t="shared" si="3"/>
        <v>0</v>
      </c>
      <c r="P16" s="228">
        <f t="shared" si="4"/>
        <v>0</v>
      </c>
      <c r="Q16" s="229">
        <f t="shared" si="5"/>
        <v>0</v>
      </c>
      <c r="R16" s="229">
        <f t="shared" si="6"/>
        <v>0</v>
      </c>
      <c r="S16" s="229">
        <f t="shared" si="7"/>
        <v>0</v>
      </c>
      <c r="T16" s="229">
        <f t="shared" si="8"/>
        <v>0</v>
      </c>
      <c r="U16" s="38">
        <f t="shared" si="9"/>
        <v>0</v>
      </c>
    </row>
    <row r="17" spans="1:21" ht="20.100000000000001" customHeight="1" x14ac:dyDescent="0.25">
      <c r="A17" s="370">
        <v>9</v>
      </c>
      <c r="B17" s="35" t="str">
        <f>dtsiswa!D15</f>
        <v>Claudia Gabriella L</v>
      </c>
      <c r="C17" s="36" t="s">
        <v>4</v>
      </c>
      <c r="D17" s="59"/>
      <c r="E17" s="59"/>
      <c r="F17" s="59"/>
      <c r="G17" s="59"/>
      <c r="H17" s="59"/>
      <c r="I17" s="59"/>
      <c r="J17" s="59"/>
      <c r="K17" s="59"/>
      <c r="L17" s="476">
        <f t="shared" si="0"/>
        <v>0</v>
      </c>
      <c r="M17" s="227">
        <f t="shared" si="1"/>
        <v>0</v>
      </c>
      <c r="N17" s="227">
        <f t="shared" si="2"/>
        <v>0</v>
      </c>
      <c r="O17" s="227">
        <f t="shared" si="3"/>
        <v>0</v>
      </c>
      <c r="P17" s="228">
        <f t="shared" si="4"/>
        <v>0</v>
      </c>
      <c r="Q17" s="229">
        <f t="shared" si="5"/>
        <v>0</v>
      </c>
      <c r="R17" s="229">
        <f t="shared" si="6"/>
        <v>0</v>
      </c>
      <c r="S17" s="229">
        <f t="shared" si="7"/>
        <v>0</v>
      </c>
      <c r="T17" s="229">
        <f t="shared" si="8"/>
        <v>0</v>
      </c>
      <c r="U17" s="38">
        <f t="shared" si="9"/>
        <v>0</v>
      </c>
    </row>
    <row r="18" spans="1:21" ht="20.100000000000001" customHeight="1" x14ac:dyDescent="0.25">
      <c r="A18" s="370">
        <v>10</v>
      </c>
      <c r="B18" s="35" t="str">
        <f>dtsiswa!D16</f>
        <v xml:space="preserve">Deco Badarus Zaman </v>
      </c>
      <c r="C18" s="36" t="s">
        <v>4</v>
      </c>
      <c r="D18" s="59"/>
      <c r="E18" s="59"/>
      <c r="F18" s="59"/>
      <c r="G18" s="59"/>
      <c r="H18" s="59"/>
      <c r="I18" s="59"/>
      <c r="J18" s="59"/>
      <c r="K18" s="59"/>
      <c r="L18" s="476">
        <f t="shared" si="0"/>
        <v>0</v>
      </c>
      <c r="M18" s="227">
        <f t="shared" si="1"/>
        <v>0</v>
      </c>
      <c r="N18" s="227">
        <f t="shared" si="2"/>
        <v>0</v>
      </c>
      <c r="O18" s="227">
        <f t="shared" si="3"/>
        <v>0</v>
      </c>
      <c r="P18" s="228">
        <f t="shared" si="4"/>
        <v>0</v>
      </c>
      <c r="Q18" s="229">
        <f t="shared" si="5"/>
        <v>0</v>
      </c>
      <c r="R18" s="229">
        <f t="shared" si="6"/>
        <v>0</v>
      </c>
      <c r="S18" s="229">
        <f t="shared" si="7"/>
        <v>0</v>
      </c>
      <c r="T18" s="229">
        <f t="shared" si="8"/>
        <v>0</v>
      </c>
      <c r="U18" s="38">
        <f t="shared" si="9"/>
        <v>0</v>
      </c>
    </row>
    <row r="19" spans="1:21" ht="20.100000000000001" customHeight="1" x14ac:dyDescent="0.25">
      <c r="A19" s="370">
        <v>11</v>
      </c>
      <c r="B19" s="35" t="str">
        <f>dtsiswa!D17</f>
        <v>Fania Mutiara Felichia</v>
      </c>
      <c r="C19" s="36" t="s">
        <v>4</v>
      </c>
      <c r="D19" s="59"/>
      <c r="E19" s="59"/>
      <c r="F19" s="59"/>
      <c r="G19" s="59"/>
      <c r="H19" s="59"/>
      <c r="I19" s="59"/>
      <c r="J19" s="59"/>
      <c r="K19" s="59"/>
      <c r="L19" s="476">
        <f t="shared" si="0"/>
        <v>0</v>
      </c>
      <c r="M19" s="227">
        <f t="shared" si="1"/>
        <v>0</v>
      </c>
      <c r="N19" s="227">
        <f t="shared" si="2"/>
        <v>0</v>
      </c>
      <c r="O19" s="227">
        <f t="shared" si="3"/>
        <v>0</v>
      </c>
      <c r="P19" s="228">
        <f t="shared" si="4"/>
        <v>0</v>
      </c>
      <c r="Q19" s="229">
        <f t="shared" si="5"/>
        <v>0</v>
      </c>
      <c r="R19" s="229">
        <f t="shared" si="6"/>
        <v>0</v>
      </c>
      <c r="S19" s="229">
        <f t="shared" si="7"/>
        <v>0</v>
      </c>
      <c r="T19" s="229">
        <f t="shared" si="8"/>
        <v>0</v>
      </c>
      <c r="U19" s="38">
        <f t="shared" si="9"/>
        <v>0</v>
      </c>
    </row>
    <row r="20" spans="1:21" ht="20.100000000000001" customHeight="1" x14ac:dyDescent="0.25">
      <c r="A20" s="370">
        <v>12</v>
      </c>
      <c r="B20" s="35" t="str">
        <f>dtsiswa!D18</f>
        <v>Intan Dyah Nowari</v>
      </c>
      <c r="C20" s="36" t="s">
        <v>4</v>
      </c>
      <c r="D20" s="59"/>
      <c r="E20" s="59"/>
      <c r="F20" s="59"/>
      <c r="G20" s="59"/>
      <c r="H20" s="59"/>
      <c r="I20" s="59"/>
      <c r="J20" s="59"/>
      <c r="K20" s="59"/>
      <c r="L20" s="476">
        <f t="shared" si="0"/>
        <v>0</v>
      </c>
      <c r="M20" s="227">
        <f t="shared" si="1"/>
        <v>0</v>
      </c>
      <c r="N20" s="227">
        <f t="shared" si="2"/>
        <v>0</v>
      </c>
      <c r="O20" s="227">
        <f t="shared" si="3"/>
        <v>0</v>
      </c>
      <c r="P20" s="228">
        <f t="shared" si="4"/>
        <v>0</v>
      </c>
      <c r="Q20" s="229">
        <f t="shared" si="5"/>
        <v>0</v>
      </c>
      <c r="R20" s="229">
        <f t="shared" si="6"/>
        <v>0</v>
      </c>
      <c r="S20" s="229">
        <f t="shared" si="7"/>
        <v>0</v>
      </c>
      <c r="T20" s="229">
        <f t="shared" si="8"/>
        <v>0</v>
      </c>
      <c r="U20" s="38">
        <f t="shared" si="9"/>
        <v>0</v>
      </c>
    </row>
    <row r="21" spans="1:21" ht="20.100000000000001" customHeight="1" x14ac:dyDescent="0.25">
      <c r="A21" s="370">
        <v>13</v>
      </c>
      <c r="B21" s="35" t="str">
        <f>dtsiswa!D19</f>
        <v>Misyanita Nurfitri S</v>
      </c>
      <c r="C21" s="36" t="s">
        <v>5</v>
      </c>
      <c r="D21" s="59"/>
      <c r="E21" s="59"/>
      <c r="F21" s="59"/>
      <c r="G21" s="59"/>
      <c r="H21" s="59"/>
      <c r="I21" s="59"/>
      <c r="J21" s="59"/>
      <c r="K21" s="59"/>
      <c r="L21" s="476">
        <f t="shared" si="0"/>
        <v>0</v>
      </c>
      <c r="M21" s="227">
        <f t="shared" si="1"/>
        <v>0</v>
      </c>
      <c r="N21" s="227">
        <f t="shared" si="2"/>
        <v>0</v>
      </c>
      <c r="O21" s="227">
        <f t="shared" si="3"/>
        <v>0</v>
      </c>
      <c r="P21" s="228">
        <f t="shared" si="4"/>
        <v>0</v>
      </c>
      <c r="Q21" s="229">
        <f t="shared" si="5"/>
        <v>0</v>
      </c>
      <c r="R21" s="229">
        <f t="shared" si="6"/>
        <v>0</v>
      </c>
      <c r="S21" s="229">
        <f t="shared" si="7"/>
        <v>0</v>
      </c>
      <c r="T21" s="229">
        <f t="shared" si="8"/>
        <v>0</v>
      </c>
      <c r="U21" s="38">
        <f t="shared" si="9"/>
        <v>0</v>
      </c>
    </row>
    <row r="22" spans="1:21" ht="20.100000000000001" customHeight="1" x14ac:dyDescent="0.25">
      <c r="A22" s="370">
        <v>14</v>
      </c>
      <c r="B22" s="35" t="str">
        <f>dtsiswa!D20</f>
        <v>Moch Zidane Hita L. U</v>
      </c>
      <c r="C22" s="36" t="s">
        <v>4</v>
      </c>
      <c r="D22" s="59"/>
      <c r="E22" s="59"/>
      <c r="F22" s="59"/>
      <c r="G22" s="59"/>
      <c r="H22" s="59"/>
      <c r="I22" s="59"/>
      <c r="J22" s="59"/>
      <c r="K22" s="59"/>
      <c r="L22" s="476">
        <f t="shared" si="0"/>
        <v>0</v>
      </c>
      <c r="M22" s="227">
        <f t="shared" si="1"/>
        <v>0</v>
      </c>
      <c r="N22" s="227">
        <f t="shared" si="2"/>
        <v>0</v>
      </c>
      <c r="O22" s="227">
        <f t="shared" si="3"/>
        <v>0</v>
      </c>
      <c r="P22" s="228">
        <f t="shared" si="4"/>
        <v>0</v>
      </c>
      <c r="Q22" s="229">
        <f t="shared" si="5"/>
        <v>0</v>
      </c>
      <c r="R22" s="229">
        <f t="shared" si="6"/>
        <v>0</v>
      </c>
      <c r="S22" s="229">
        <f t="shared" si="7"/>
        <v>0</v>
      </c>
      <c r="T22" s="229">
        <f t="shared" si="8"/>
        <v>0</v>
      </c>
      <c r="U22" s="38">
        <f t="shared" si="9"/>
        <v>0</v>
      </c>
    </row>
    <row r="23" spans="1:21" ht="20.100000000000001" customHeight="1" x14ac:dyDescent="0.25">
      <c r="A23" s="370">
        <v>15</v>
      </c>
      <c r="B23" s="35" t="str">
        <f>dtsiswa!D21</f>
        <v>Muhammad Ibra Maulana</v>
      </c>
      <c r="C23" s="36" t="s">
        <v>4</v>
      </c>
      <c r="D23" s="59"/>
      <c r="E23" s="59"/>
      <c r="F23" s="59"/>
      <c r="G23" s="59"/>
      <c r="H23" s="59"/>
      <c r="I23" s="59"/>
      <c r="J23" s="59"/>
      <c r="K23" s="59"/>
      <c r="L23" s="476">
        <f t="shared" si="0"/>
        <v>0</v>
      </c>
      <c r="M23" s="227">
        <f t="shared" si="1"/>
        <v>0</v>
      </c>
      <c r="N23" s="227">
        <f t="shared" si="2"/>
        <v>0</v>
      </c>
      <c r="O23" s="227">
        <f t="shared" si="3"/>
        <v>0</v>
      </c>
      <c r="P23" s="228">
        <f t="shared" si="4"/>
        <v>0</v>
      </c>
      <c r="Q23" s="229">
        <f t="shared" si="5"/>
        <v>0</v>
      </c>
      <c r="R23" s="229">
        <f t="shared" si="6"/>
        <v>0</v>
      </c>
      <c r="S23" s="229">
        <f t="shared" si="7"/>
        <v>0</v>
      </c>
      <c r="T23" s="229">
        <f t="shared" si="8"/>
        <v>0</v>
      </c>
      <c r="U23" s="38">
        <f t="shared" si="9"/>
        <v>0</v>
      </c>
    </row>
    <row r="24" spans="1:21" ht="20.100000000000001" customHeight="1" x14ac:dyDescent="0.25">
      <c r="A24" s="370">
        <v>16</v>
      </c>
      <c r="B24" s="35" t="str">
        <f>dtsiswa!D22</f>
        <v>Nabilla Shiva Putri</v>
      </c>
      <c r="C24" s="36" t="s">
        <v>4</v>
      </c>
      <c r="D24" s="59"/>
      <c r="E24" s="59"/>
      <c r="F24" s="59"/>
      <c r="G24" s="59"/>
      <c r="H24" s="59"/>
      <c r="I24" s="59"/>
      <c r="J24" s="59"/>
      <c r="K24" s="59"/>
      <c r="L24" s="476">
        <f t="shared" si="0"/>
        <v>0</v>
      </c>
      <c r="M24" s="227">
        <f t="shared" si="1"/>
        <v>0</v>
      </c>
      <c r="N24" s="227">
        <f t="shared" si="2"/>
        <v>0</v>
      </c>
      <c r="O24" s="227">
        <f t="shared" si="3"/>
        <v>0</v>
      </c>
      <c r="P24" s="228">
        <f t="shared" si="4"/>
        <v>0</v>
      </c>
      <c r="Q24" s="229">
        <f t="shared" si="5"/>
        <v>0</v>
      </c>
      <c r="R24" s="229">
        <f t="shared" si="6"/>
        <v>0</v>
      </c>
      <c r="S24" s="229">
        <f t="shared" si="7"/>
        <v>0</v>
      </c>
      <c r="T24" s="229">
        <f t="shared" si="8"/>
        <v>0</v>
      </c>
      <c r="U24" s="38">
        <f t="shared" si="9"/>
        <v>0</v>
      </c>
    </row>
    <row r="25" spans="1:21" ht="20.100000000000001" customHeight="1" x14ac:dyDescent="0.25">
      <c r="A25" s="370">
        <v>17</v>
      </c>
      <c r="B25" s="35" t="str">
        <f>dtsiswa!D23</f>
        <v>Naufal Falih F</v>
      </c>
      <c r="C25" s="36" t="s">
        <v>5</v>
      </c>
      <c r="D25" s="59"/>
      <c r="E25" s="59"/>
      <c r="F25" s="59"/>
      <c r="G25" s="59"/>
      <c r="H25" s="59"/>
      <c r="I25" s="59"/>
      <c r="J25" s="59"/>
      <c r="K25" s="59"/>
      <c r="L25" s="476">
        <f t="shared" si="0"/>
        <v>0</v>
      </c>
      <c r="M25" s="227">
        <f t="shared" si="1"/>
        <v>0</v>
      </c>
      <c r="N25" s="227">
        <f t="shared" si="2"/>
        <v>0</v>
      </c>
      <c r="O25" s="227">
        <f t="shared" si="3"/>
        <v>0</v>
      </c>
      <c r="P25" s="228">
        <f t="shared" si="4"/>
        <v>0</v>
      </c>
      <c r="Q25" s="229">
        <f t="shared" si="5"/>
        <v>0</v>
      </c>
      <c r="R25" s="229">
        <f t="shared" si="6"/>
        <v>0</v>
      </c>
      <c r="S25" s="229">
        <f t="shared" si="7"/>
        <v>0</v>
      </c>
      <c r="T25" s="229">
        <f t="shared" si="8"/>
        <v>0</v>
      </c>
      <c r="U25" s="38">
        <f t="shared" si="9"/>
        <v>0</v>
      </c>
    </row>
    <row r="26" spans="1:21" ht="20.100000000000001" customHeight="1" x14ac:dyDescent="0.25">
      <c r="A26" s="370">
        <v>18</v>
      </c>
      <c r="B26" s="35" t="str">
        <f>dtsiswa!D24</f>
        <v>Nayla Annora Nobel W</v>
      </c>
      <c r="C26" s="36" t="s">
        <v>4</v>
      </c>
      <c r="D26" s="59"/>
      <c r="E26" s="59"/>
      <c r="F26" s="59"/>
      <c r="G26" s="59"/>
      <c r="H26" s="59"/>
      <c r="I26" s="59"/>
      <c r="J26" s="59"/>
      <c r="K26" s="59"/>
      <c r="L26" s="476">
        <f t="shared" si="0"/>
        <v>0</v>
      </c>
      <c r="M26" s="227">
        <f t="shared" si="1"/>
        <v>0</v>
      </c>
      <c r="N26" s="227">
        <f t="shared" si="2"/>
        <v>0</v>
      </c>
      <c r="O26" s="227">
        <f t="shared" si="3"/>
        <v>0</v>
      </c>
      <c r="P26" s="228">
        <f t="shared" si="4"/>
        <v>0</v>
      </c>
      <c r="Q26" s="229">
        <f t="shared" si="5"/>
        <v>0</v>
      </c>
      <c r="R26" s="229">
        <f t="shared" si="6"/>
        <v>0</v>
      </c>
      <c r="S26" s="229">
        <f t="shared" si="7"/>
        <v>0</v>
      </c>
      <c r="T26" s="229">
        <f t="shared" si="8"/>
        <v>0</v>
      </c>
      <c r="U26" s="38">
        <f t="shared" si="9"/>
        <v>0</v>
      </c>
    </row>
    <row r="27" spans="1:21" ht="20.100000000000001" customHeight="1" x14ac:dyDescent="0.25">
      <c r="A27" s="370">
        <v>19</v>
      </c>
      <c r="B27" s="35" t="str">
        <f>dtsiswa!D25</f>
        <v>Raihan Danang P</v>
      </c>
      <c r="C27" s="36" t="s">
        <v>5</v>
      </c>
      <c r="D27" s="59"/>
      <c r="E27" s="59"/>
      <c r="F27" s="59"/>
      <c r="G27" s="59"/>
      <c r="H27" s="59"/>
      <c r="I27" s="59"/>
      <c r="J27" s="59"/>
      <c r="K27" s="59"/>
      <c r="L27" s="476">
        <f t="shared" si="0"/>
        <v>0</v>
      </c>
      <c r="M27" s="227">
        <f t="shared" si="1"/>
        <v>0</v>
      </c>
      <c r="N27" s="227">
        <f t="shared" si="2"/>
        <v>0</v>
      </c>
      <c r="O27" s="227">
        <f t="shared" si="3"/>
        <v>0</v>
      </c>
      <c r="P27" s="228">
        <f t="shared" si="4"/>
        <v>0</v>
      </c>
      <c r="Q27" s="229">
        <f t="shared" si="5"/>
        <v>0</v>
      </c>
      <c r="R27" s="229">
        <f t="shared" si="6"/>
        <v>0</v>
      </c>
      <c r="S27" s="229">
        <f t="shared" si="7"/>
        <v>0</v>
      </c>
      <c r="T27" s="229">
        <f t="shared" si="8"/>
        <v>0</v>
      </c>
      <c r="U27" s="38">
        <f t="shared" si="9"/>
        <v>0</v>
      </c>
    </row>
    <row r="28" spans="1:21" ht="20.100000000000001" customHeight="1" x14ac:dyDescent="0.25">
      <c r="A28" s="370">
        <v>20</v>
      </c>
      <c r="B28" s="35" t="str">
        <f>dtsiswa!D26</f>
        <v>Roby Ardiyansyah</v>
      </c>
      <c r="C28" s="36" t="s">
        <v>5</v>
      </c>
      <c r="D28" s="370"/>
      <c r="E28" s="370"/>
      <c r="F28" s="370"/>
      <c r="G28" s="370"/>
      <c r="H28" s="370"/>
      <c r="I28" s="1049"/>
      <c r="J28" s="1049"/>
      <c r="K28" s="370"/>
      <c r="L28" s="476">
        <f t="shared" si="0"/>
        <v>0</v>
      </c>
      <c r="M28" s="227">
        <f t="shared" si="1"/>
        <v>0</v>
      </c>
      <c r="N28" s="227">
        <f t="shared" si="2"/>
        <v>0</v>
      </c>
      <c r="O28" s="227">
        <f t="shared" si="3"/>
        <v>0</v>
      </c>
      <c r="P28" s="228">
        <f t="shared" si="4"/>
        <v>0</v>
      </c>
      <c r="Q28" s="229">
        <f t="shared" si="5"/>
        <v>0</v>
      </c>
      <c r="R28" s="229">
        <f t="shared" si="6"/>
        <v>0</v>
      </c>
      <c r="S28" s="229">
        <f t="shared" si="7"/>
        <v>0</v>
      </c>
      <c r="T28" s="229">
        <f t="shared" si="8"/>
        <v>0</v>
      </c>
      <c r="U28" s="38">
        <f t="shared" si="9"/>
        <v>0</v>
      </c>
    </row>
    <row r="29" spans="1:21" ht="20.100000000000001" customHeight="1" x14ac:dyDescent="0.25">
      <c r="A29" s="370">
        <v>21</v>
      </c>
      <c r="B29" s="35" t="str">
        <f>dtsiswa!D27</f>
        <v>Rojalingga Prana A</v>
      </c>
      <c r="C29" s="44" t="s">
        <v>4</v>
      </c>
      <c r="D29" s="59"/>
      <c r="E29" s="59"/>
      <c r="F29" s="59"/>
      <c r="G29" s="59"/>
      <c r="H29" s="59"/>
      <c r="I29" s="59"/>
      <c r="J29" s="59"/>
      <c r="K29" s="59"/>
      <c r="L29" s="476">
        <f t="shared" si="0"/>
        <v>0</v>
      </c>
      <c r="M29" s="227">
        <f t="shared" si="1"/>
        <v>0</v>
      </c>
      <c r="N29" s="227">
        <f t="shared" si="2"/>
        <v>0</v>
      </c>
      <c r="O29" s="227">
        <f t="shared" si="3"/>
        <v>0</v>
      </c>
      <c r="P29" s="228">
        <f t="shared" si="4"/>
        <v>0</v>
      </c>
      <c r="Q29" s="229">
        <f t="shared" si="5"/>
        <v>0</v>
      </c>
      <c r="R29" s="229">
        <f t="shared" si="6"/>
        <v>0</v>
      </c>
      <c r="S29" s="229">
        <f t="shared" si="7"/>
        <v>0</v>
      </c>
      <c r="T29" s="229">
        <f t="shared" si="8"/>
        <v>0</v>
      </c>
      <c r="U29" s="38">
        <f t="shared" si="9"/>
        <v>0</v>
      </c>
    </row>
    <row r="30" spans="1:21" ht="20.100000000000001" customHeight="1" x14ac:dyDescent="0.25">
      <c r="A30" s="370">
        <v>22</v>
      </c>
      <c r="B30" s="35" t="str">
        <f>dtsiswa!D28</f>
        <v>Sally Savista A</v>
      </c>
      <c r="C30" s="45" t="s">
        <v>4</v>
      </c>
      <c r="D30" s="370"/>
      <c r="E30" s="370"/>
      <c r="F30" s="370"/>
      <c r="G30" s="370"/>
      <c r="H30" s="370"/>
      <c r="I30" s="1049"/>
      <c r="J30" s="1049"/>
      <c r="K30" s="370"/>
      <c r="L30" s="476">
        <f t="shared" si="0"/>
        <v>0</v>
      </c>
      <c r="M30" s="227">
        <f t="shared" si="1"/>
        <v>0</v>
      </c>
      <c r="N30" s="227">
        <f t="shared" si="2"/>
        <v>0</v>
      </c>
      <c r="O30" s="227">
        <f t="shared" si="3"/>
        <v>0</v>
      </c>
      <c r="P30" s="228">
        <f t="shared" si="4"/>
        <v>0</v>
      </c>
      <c r="Q30" s="229">
        <f t="shared" si="5"/>
        <v>0</v>
      </c>
      <c r="R30" s="229">
        <f t="shared" si="6"/>
        <v>0</v>
      </c>
      <c r="S30" s="229">
        <f t="shared" si="7"/>
        <v>0</v>
      </c>
      <c r="T30" s="229">
        <f t="shared" si="8"/>
        <v>0</v>
      </c>
      <c r="U30" s="38">
        <f t="shared" si="9"/>
        <v>0</v>
      </c>
    </row>
    <row r="31" spans="1:21" ht="20.100000000000001" customHeight="1" x14ac:dyDescent="0.25">
      <c r="A31" s="370">
        <v>23</v>
      </c>
      <c r="B31" s="35" t="str">
        <f>dtsiswa!D29</f>
        <v xml:space="preserve">Tania Kaori Angelita </v>
      </c>
      <c r="C31" s="45" t="s">
        <v>5</v>
      </c>
      <c r="D31" s="370"/>
      <c r="E31" s="370"/>
      <c r="F31" s="370"/>
      <c r="G31" s="370"/>
      <c r="H31" s="370"/>
      <c r="I31" s="1049"/>
      <c r="J31" s="1049"/>
      <c r="K31" s="370"/>
      <c r="L31" s="476">
        <f t="shared" si="0"/>
        <v>0</v>
      </c>
      <c r="M31" s="227">
        <f t="shared" si="1"/>
        <v>0</v>
      </c>
      <c r="N31" s="227">
        <f t="shared" si="2"/>
        <v>0</v>
      </c>
      <c r="O31" s="227">
        <f t="shared" si="3"/>
        <v>0</v>
      </c>
      <c r="P31" s="228">
        <f t="shared" si="4"/>
        <v>0</v>
      </c>
      <c r="Q31" s="229">
        <f t="shared" si="5"/>
        <v>0</v>
      </c>
      <c r="R31" s="229">
        <f t="shared" si="6"/>
        <v>0</v>
      </c>
      <c r="S31" s="229">
        <f t="shared" si="7"/>
        <v>0</v>
      </c>
      <c r="T31" s="229">
        <f t="shared" si="8"/>
        <v>0</v>
      </c>
      <c r="U31" s="38">
        <f t="shared" si="9"/>
        <v>0</v>
      </c>
    </row>
    <row r="32" spans="1:21" ht="20.100000000000001" customHeight="1" x14ac:dyDescent="0.25">
      <c r="A32" s="370">
        <v>24</v>
      </c>
      <c r="B32" s="35" t="str">
        <f>dtsiswa!D30</f>
        <v>Romzy Oka Ramadhani P</v>
      </c>
      <c r="C32" s="45" t="s">
        <v>5</v>
      </c>
      <c r="D32" s="370"/>
      <c r="E32" s="370"/>
      <c r="F32" s="370"/>
      <c r="G32" s="370"/>
      <c r="H32" s="370"/>
      <c r="I32" s="1049"/>
      <c r="J32" s="1049"/>
      <c r="K32" s="370"/>
      <c r="L32" s="476">
        <f t="shared" si="0"/>
        <v>0</v>
      </c>
      <c r="M32" s="227">
        <f t="shared" si="1"/>
        <v>0</v>
      </c>
      <c r="N32" s="227">
        <f t="shared" si="2"/>
        <v>0</v>
      </c>
      <c r="O32" s="227">
        <f t="shared" si="3"/>
        <v>0</v>
      </c>
      <c r="P32" s="228">
        <f t="shared" si="4"/>
        <v>0</v>
      </c>
      <c r="Q32" s="229">
        <f t="shared" si="5"/>
        <v>0</v>
      </c>
      <c r="R32" s="229">
        <f t="shared" si="6"/>
        <v>0</v>
      </c>
      <c r="S32" s="229">
        <f t="shared" si="7"/>
        <v>0</v>
      </c>
      <c r="T32" s="229">
        <f t="shared" si="8"/>
        <v>0</v>
      </c>
      <c r="U32" s="38">
        <f t="shared" si="9"/>
        <v>0</v>
      </c>
    </row>
    <row r="33" spans="1:21" ht="20.100000000000001" customHeight="1" x14ac:dyDescent="0.25">
      <c r="A33" s="370">
        <v>25</v>
      </c>
      <c r="B33" s="35" t="str">
        <f>dtsiswa!D31</f>
        <v>Larasati Jagadhita P</v>
      </c>
      <c r="C33" s="36" t="s">
        <v>4</v>
      </c>
      <c r="D33" s="370"/>
      <c r="E33" s="370"/>
      <c r="F33" s="370"/>
      <c r="G33" s="370"/>
      <c r="H33" s="370"/>
      <c r="I33" s="1049"/>
      <c r="J33" s="1049"/>
      <c r="K33" s="370"/>
      <c r="L33" s="476">
        <f t="shared" si="0"/>
        <v>0</v>
      </c>
      <c r="M33" s="227">
        <f t="shared" si="1"/>
        <v>0</v>
      </c>
      <c r="N33" s="227">
        <f t="shared" si="2"/>
        <v>0</v>
      </c>
      <c r="O33" s="227">
        <f t="shared" si="3"/>
        <v>0</v>
      </c>
      <c r="P33" s="228">
        <f t="shared" si="4"/>
        <v>0</v>
      </c>
      <c r="Q33" s="229">
        <f t="shared" si="5"/>
        <v>0</v>
      </c>
      <c r="R33" s="229">
        <f t="shared" si="6"/>
        <v>0</v>
      </c>
      <c r="S33" s="229">
        <f t="shared" si="7"/>
        <v>0</v>
      </c>
      <c r="T33" s="229">
        <f t="shared" si="8"/>
        <v>0</v>
      </c>
      <c r="U33" s="38">
        <f t="shared" si="9"/>
        <v>0</v>
      </c>
    </row>
    <row r="34" spans="1:21" ht="20.100000000000001" customHeight="1" x14ac:dyDescent="0.25">
      <c r="A34" s="370">
        <v>26</v>
      </c>
      <c r="B34" s="35" t="str">
        <f>dtsiswa!D32</f>
        <v>Meliana Citra A</v>
      </c>
      <c r="C34" s="36" t="s">
        <v>5</v>
      </c>
      <c r="D34" s="370"/>
      <c r="E34" s="370"/>
      <c r="F34" s="370"/>
      <c r="G34" s="370"/>
      <c r="H34" s="370"/>
      <c r="I34" s="1049"/>
      <c r="J34" s="1049"/>
      <c r="K34" s="370"/>
      <c r="L34" s="476">
        <f t="shared" si="0"/>
        <v>0</v>
      </c>
      <c r="M34" s="227">
        <f t="shared" si="1"/>
        <v>0</v>
      </c>
      <c r="N34" s="227">
        <f t="shared" si="2"/>
        <v>0</v>
      </c>
      <c r="O34" s="227">
        <f t="shared" si="3"/>
        <v>0</v>
      </c>
      <c r="P34" s="228">
        <f t="shared" si="4"/>
        <v>0</v>
      </c>
      <c r="Q34" s="229">
        <f t="shared" si="5"/>
        <v>0</v>
      </c>
      <c r="R34" s="229">
        <f t="shared" si="6"/>
        <v>0</v>
      </c>
      <c r="S34" s="229">
        <f t="shared" si="7"/>
        <v>0</v>
      </c>
      <c r="T34" s="229">
        <f t="shared" si="8"/>
        <v>0</v>
      </c>
      <c r="U34" s="38">
        <f t="shared" si="9"/>
        <v>0</v>
      </c>
    </row>
    <row r="35" spans="1:21" ht="20.100000000000001" customHeight="1" x14ac:dyDescent="0.25">
      <c r="A35" s="370">
        <v>27</v>
      </c>
      <c r="B35" s="35" t="str">
        <f>dtsiswa!D33</f>
        <v>Mohammad Rizky</v>
      </c>
      <c r="C35" s="36" t="s">
        <v>4</v>
      </c>
      <c r="D35" s="370"/>
      <c r="E35" s="370"/>
      <c r="F35" s="370"/>
      <c r="G35" s="370"/>
      <c r="H35" s="370"/>
      <c r="I35" s="1049"/>
      <c r="J35" s="1049"/>
      <c r="K35" s="370"/>
      <c r="L35" s="476">
        <f t="shared" si="0"/>
        <v>0</v>
      </c>
      <c r="M35" s="227">
        <f t="shared" si="1"/>
        <v>0</v>
      </c>
      <c r="N35" s="227">
        <f t="shared" si="2"/>
        <v>0</v>
      </c>
      <c r="O35" s="227">
        <f t="shared" si="3"/>
        <v>0</v>
      </c>
      <c r="P35" s="228">
        <f t="shared" si="4"/>
        <v>0</v>
      </c>
      <c r="Q35" s="229">
        <f t="shared" si="5"/>
        <v>0</v>
      </c>
      <c r="R35" s="229">
        <f t="shared" si="6"/>
        <v>0</v>
      </c>
      <c r="S35" s="229">
        <f t="shared" si="7"/>
        <v>0</v>
      </c>
      <c r="T35" s="229">
        <f t="shared" si="8"/>
        <v>0</v>
      </c>
      <c r="U35" s="38">
        <f t="shared" si="9"/>
        <v>0</v>
      </c>
    </row>
    <row r="36" spans="1:21" ht="20.100000000000001" customHeight="1" x14ac:dyDescent="0.25">
      <c r="A36" s="370">
        <v>28</v>
      </c>
      <c r="B36" s="35">
        <f>dtsiswa!D34</f>
        <v>0</v>
      </c>
      <c r="C36" s="36" t="s">
        <v>4</v>
      </c>
      <c r="D36" s="370"/>
      <c r="E36" s="370"/>
      <c r="F36" s="370"/>
      <c r="G36" s="370"/>
      <c r="H36" s="370"/>
      <c r="I36" s="1049"/>
      <c r="J36" s="1049"/>
      <c r="K36" s="370"/>
      <c r="L36" s="476">
        <f t="shared" si="0"/>
        <v>0</v>
      </c>
      <c r="M36" s="227">
        <f t="shared" si="1"/>
        <v>0</v>
      </c>
      <c r="N36" s="227">
        <f t="shared" si="2"/>
        <v>0</v>
      </c>
      <c r="O36" s="227">
        <f t="shared" si="3"/>
        <v>0</v>
      </c>
      <c r="P36" s="228">
        <f t="shared" si="4"/>
        <v>0</v>
      </c>
      <c r="Q36" s="229">
        <f t="shared" si="5"/>
        <v>0</v>
      </c>
      <c r="R36" s="229">
        <f t="shared" si="6"/>
        <v>0</v>
      </c>
      <c r="S36" s="229">
        <f t="shared" si="7"/>
        <v>0</v>
      </c>
      <c r="T36" s="229">
        <f t="shared" si="8"/>
        <v>0</v>
      </c>
      <c r="U36" s="38">
        <f t="shared" si="9"/>
        <v>0</v>
      </c>
    </row>
    <row r="37" spans="1:21" ht="20.100000000000001" customHeight="1" x14ac:dyDescent="0.25">
      <c r="A37" s="370">
        <v>29</v>
      </c>
      <c r="B37" s="35">
        <f>dtsiswa!D35</f>
        <v>0</v>
      </c>
      <c r="C37" s="36" t="s">
        <v>4</v>
      </c>
      <c r="D37" s="370"/>
      <c r="E37" s="370"/>
      <c r="F37" s="370"/>
      <c r="G37" s="370"/>
      <c r="H37" s="370"/>
      <c r="I37" s="1049"/>
      <c r="J37" s="1049"/>
      <c r="K37" s="370"/>
      <c r="L37" s="476">
        <f t="shared" si="0"/>
        <v>0</v>
      </c>
      <c r="M37" s="227">
        <f t="shared" si="1"/>
        <v>0</v>
      </c>
      <c r="N37" s="227">
        <f t="shared" si="2"/>
        <v>0</v>
      </c>
      <c r="O37" s="227">
        <f t="shared" si="3"/>
        <v>0</v>
      </c>
      <c r="P37" s="228">
        <f t="shared" si="4"/>
        <v>0</v>
      </c>
      <c r="Q37" s="229">
        <f t="shared" si="5"/>
        <v>0</v>
      </c>
      <c r="R37" s="229">
        <f t="shared" si="6"/>
        <v>0</v>
      </c>
      <c r="S37" s="229">
        <f t="shared" si="7"/>
        <v>0</v>
      </c>
      <c r="T37" s="229">
        <f t="shared" si="8"/>
        <v>0</v>
      </c>
      <c r="U37" s="38">
        <f t="shared" si="9"/>
        <v>0</v>
      </c>
    </row>
    <row r="38" spans="1:21" ht="20.100000000000001" customHeight="1" x14ac:dyDescent="0.25">
      <c r="A38" s="370">
        <v>30</v>
      </c>
      <c r="B38" s="35">
        <f>dtsiswa!D36</f>
        <v>0</v>
      </c>
      <c r="C38" s="36" t="s">
        <v>5</v>
      </c>
      <c r="D38" s="370"/>
      <c r="E38" s="370"/>
      <c r="F38" s="370"/>
      <c r="G38" s="370"/>
      <c r="H38" s="370"/>
      <c r="I38" s="1049"/>
      <c r="J38" s="1049"/>
      <c r="K38" s="370"/>
      <c r="L38" s="476">
        <f t="shared" si="0"/>
        <v>0</v>
      </c>
      <c r="M38" s="227">
        <f t="shared" si="1"/>
        <v>0</v>
      </c>
      <c r="N38" s="227">
        <f t="shared" si="2"/>
        <v>0</v>
      </c>
      <c r="O38" s="227">
        <f t="shared" si="3"/>
        <v>0</v>
      </c>
      <c r="P38" s="228">
        <f t="shared" si="4"/>
        <v>0</v>
      </c>
      <c r="Q38" s="229">
        <f t="shared" si="5"/>
        <v>0</v>
      </c>
      <c r="R38" s="229">
        <f t="shared" si="6"/>
        <v>0</v>
      </c>
      <c r="S38" s="229">
        <f t="shared" si="7"/>
        <v>0</v>
      </c>
      <c r="T38" s="229">
        <f t="shared" si="8"/>
        <v>0</v>
      </c>
      <c r="U38" s="38">
        <f t="shared" si="9"/>
        <v>0</v>
      </c>
    </row>
    <row r="39" spans="1:21" ht="20.100000000000001" customHeight="1" x14ac:dyDescent="0.25">
      <c r="A39" s="370">
        <v>31</v>
      </c>
      <c r="B39" s="35">
        <f>dtsiswa!D37</f>
        <v>0</v>
      </c>
      <c r="C39" s="36" t="s">
        <v>5</v>
      </c>
      <c r="D39" s="370"/>
      <c r="E39" s="370"/>
      <c r="F39" s="370"/>
      <c r="G39" s="370"/>
      <c r="H39" s="370"/>
      <c r="I39" s="1049"/>
      <c r="J39" s="1049"/>
      <c r="K39" s="370"/>
      <c r="L39" s="476">
        <f t="shared" si="0"/>
        <v>0</v>
      </c>
      <c r="M39" s="227">
        <f t="shared" si="1"/>
        <v>0</v>
      </c>
      <c r="N39" s="227">
        <f t="shared" si="2"/>
        <v>0</v>
      </c>
      <c r="O39" s="227">
        <f t="shared" si="3"/>
        <v>0</v>
      </c>
      <c r="P39" s="228">
        <f t="shared" si="4"/>
        <v>0</v>
      </c>
      <c r="Q39" s="229">
        <f t="shared" si="5"/>
        <v>0</v>
      </c>
      <c r="R39" s="229">
        <f t="shared" si="6"/>
        <v>0</v>
      </c>
      <c r="S39" s="229">
        <f t="shared" si="7"/>
        <v>0</v>
      </c>
      <c r="T39" s="229">
        <f t="shared" si="8"/>
        <v>0</v>
      </c>
      <c r="U39" s="38">
        <f t="shared" si="9"/>
        <v>0</v>
      </c>
    </row>
    <row r="40" spans="1:21" ht="20.100000000000001" customHeight="1" x14ac:dyDescent="0.25">
      <c r="A40" s="370">
        <v>32</v>
      </c>
      <c r="B40" s="35">
        <f>dtsiswa!D38</f>
        <v>0</v>
      </c>
      <c r="C40" s="36"/>
      <c r="D40" s="370"/>
      <c r="E40" s="370"/>
      <c r="F40" s="370"/>
      <c r="G40" s="370"/>
      <c r="H40" s="370"/>
      <c r="I40" s="1049"/>
      <c r="J40" s="1049"/>
      <c r="K40" s="370"/>
      <c r="L40" s="476">
        <f t="shared" si="0"/>
        <v>0</v>
      </c>
      <c r="M40" s="227">
        <f t="shared" si="1"/>
        <v>0</v>
      </c>
      <c r="N40" s="227">
        <f t="shared" si="2"/>
        <v>0</v>
      </c>
      <c r="O40" s="227">
        <f t="shared" si="3"/>
        <v>0</v>
      </c>
      <c r="P40" s="228">
        <f t="shared" si="4"/>
        <v>0</v>
      </c>
      <c r="Q40" s="229">
        <f t="shared" si="5"/>
        <v>0</v>
      </c>
      <c r="R40" s="229">
        <f t="shared" si="6"/>
        <v>0</v>
      </c>
      <c r="S40" s="229">
        <f t="shared" si="7"/>
        <v>0</v>
      </c>
      <c r="T40" s="229">
        <f t="shared" si="8"/>
        <v>0</v>
      </c>
      <c r="U40" s="38">
        <f t="shared" si="9"/>
        <v>0</v>
      </c>
    </row>
    <row r="41" spans="1:21" ht="20.100000000000001" customHeight="1" x14ac:dyDescent="0.25">
      <c r="A41" s="370">
        <v>33</v>
      </c>
      <c r="B41" s="35">
        <f>dtsiswa!D39</f>
        <v>0</v>
      </c>
      <c r="C41" s="36"/>
      <c r="D41" s="370"/>
      <c r="E41" s="370"/>
      <c r="F41" s="370"/>
      <c r="G41" s="370"/>
      <c r="H41" s="370"/>
      <c r="I41" s="1049"/>
      <c r="J41" s="1049"/>
      <c r="K41" s="370"/>
      <c r="L41" s="476">
        <f t="shared" si="0"/>
        <v>0</v>
      </c>
      <c r="M41" s="227">
        <f t="shared" si="1"/>
        <v>0</v>
      </c>
      <c r="N41" s="227">
        <f t="shared" si="2"/>
        <v>0</v>
      </c>
      <c r="O41" s="227">
        <f t="shared" si="3"/>
        <v>0</v>
      </c>
      <c r="P41" s="228">
        <f t="shared" si="4"/>
        <v>0</v>
      </c>
      <c r="Q41" s="229">
        <f t="shared" si="5"/>
        <v>0</v>
      </c>
      <c r="R41" s="229">
        <f t="shared" si="6"/>
        <v>0</v>
      </c>
      <c r="S41" s="229">
        <f t="shared" si="7"/>
        <v>0</v>
      </c>
      <c r="T41" s="229">
        <f t="shared" si="8"/>
        <v>0</v>
      </c>
      <c r="U41" s="38">
        <f t="shared" si="9"/>
        <v>0</v>
      </c>
    </row>
    <row r="42" spans="1:21" ht="20.100000000000001" customHeight="1" x14ac:dyDescent="0.25">
      <c r="A42" s="370">
        <v>34</v>
      </c>
      <c r="B42" s="35">
        <f>dtsiswa!D40</f>
        <v>0</v>
      </c>
      <c r="C42" s="36"/>
      <c r="D42" s="370"/>
      <c r="E42" s="370"/>
      <c r="F42" s="370"/>
      <c r="G42" s="370"/>
      <c r="H42" s="370"/>
      <c r="I42" s="1049"/>
      <c r="J42" s="1049"/>
      <c r="K42" s="370"/>
      <c r="L42" s="476">
        <f t="shared" si="0"/>
        <v>0</v>
      </c>
      <c r="M42" s="227">
        <f t="shared" si="1"/>
        <v>0</v>
      </c>
      <c r="N42" s="227">
        <f t="shared" si="2"/>
        <v>0</v>
      </c>
      <c r="O42" s="227">
        <f t="shared" si="3"/>
        <v>0</v>
      </c>
      <c r="P42" s="228">
        <f t="shared" si="4"/>
        <v>0</v>
      </c>
      <c r="Q42" s="229">
        <f t="shared" si="5"/>
        <v>0</v>
      </c>
      <c r="R42" s="229">
        <f t="shared" si="6"/>
        <v>0</v>
      </c>
      <c r="S42" s="229">
        <f t="shared" si="7"/>
        <v>0</v>
      </c>
      <c r="T42" s="229">
        <f t="shared" si="8"/>
        <v>0</v>
      </c>
      <c r="U42" s="38">
        <f t="shared" si="9"/>
        <v>0</v>
      </c>
    </row>
    <row r="43" spans="1:21" ht="20.100000000000001" customHeight="1" x14ac:dyDescent="0.25">
      <c r="A43" s="370">
        <v>35</v>
      </c>
      <c r="B43" s="35">
        <f>dtsiswa!D41</f>
        <v>0</v>
      </c>
      <c r="C43" s="36"/>
      <c r="D43" s="370"/>
      <c r="E43" s="370"/>
      <c r="F43" s="370"/>
      <c r="G43" s="370"/>
      <c r="H43" s="370"/>
      <c r="I43" s="1049"/>
      <c r="J43" s="1049"/>
      <c r="K43" s="370"/>
      <c r="L43" s="476">
        <f t="shared" si="0"/>
        <v>0</v>
      </c>
      <c r="M43" s="227">
        <f t="shared" si="1"/>
        <v>0</v>
      </c>
      <c r="N43" s="227">
        <f t="shared" si="2"/>
        <v>0</v>
      </c>
      <c r="O43" s="227">
        <f t="shared" si="3"/>
        <v>0</v>
      </c>
      <c r="P43" s="228">
        <f t="shared" si="4"/>
        <v>0</v>
      </c>
      <c r="Q43" s="229">
        <f t="shared" si="5"/>
        <v>0</v>
      </c>
      <c r="R43" s="229">
        <f t="shared" si="6"/>
        <v>0</v>
      </c>
      <c r="S43" s="229">
        <f t="shared" si="7"/>
        <v>0</v>
      </c>
      <c r="T43" s="229">
        <f t="shared" si="8"/>
        <v>0</v>
      </c>
      <c r="U43" s="38">
        <f t="shared" si="9"/>
        <v>0</v>
      </c>
    </row>
    <row r="44" spans="1:21" ht="20.100000000000001" customHeight="1" x14ac:dyDescent="0.25">
      <c r="A44" s="602">
        <v>36</v>
      </c>
      <c r="B44" s="35">
        <f>dtsiswa!D42</f>
        <v>0</v>
      </c>
      <c r="C44" s="36"/>
      <c r="D44" s="602"/>
      <c r="E44" s="602"/>
      <c r="F44" s="602"/>
      <c r="G44" s="602"/>
      <c r="H44" s="602"/>
      <c r="I44" s="1049"/>
      <c r="J44" s="1049"/>
      <c r="K44" s="602"/>
      <c r="L44" s="476">
        <f t="shared" si="0"/>
        <v>0</v>
      </c>
      <c r="M44" s="227">
        <f t="shared" si="1"/>
        <v>0</v>
      </c>
      <c r="N44" s="227">
        <f t="shared" si="2"/>
        <v>0</v>
      </c>
      <c r="O44" s="227">
        <f t="shared" si="3"/>
        <v>0</v>
      </c>
      <c r="P44" s="228">
        <f t="shared" ref="P44:P48" si="10">L44</f>
        <v>0</v>
      </c>
      <c r="Q44" s="229">
        <f t="shared" si="5"/>
        <v>0</v>
      </c>
      <c r="R44" s="229">
        <f t="shared" si="6"/>
        <v>0</v>
      </c>
      <c r="S44" s="229">
        <f t="shared" si="7"/>
        <v>0</v>
      </c>
      <c r="T44" s="229">
        <f t="shared" si="8"/>
        <v>0</v>
      </c>
      <c r="U44" s="38">
        <f t="shared" ref="U44:U48" si="11">L44</f>
        <v>0</v>
      </c>
    </row>
    <row r="45" spans="1:21" ht="20.100000000000001" customHeight="1" x14ac:dyDescent="0.25">
      <c r="A45" s="602">
        <v>37</v>
      </c>
      <c r="B45" s="35">
        <f>dtsiswa!D43</f>
        <v>0</v>
      </c>
      <c r="C45" s="36"/>
      <c r="D45" s="602"/>
      <c r="E45" s="602"/>
      <c r="F45" s="602"/>
      <c r="G45" s="602"/>
      <c r="H45" s="602"/>
      <c r="I45" s="1049"/>
      <c r="J45" s="1049"/>
      <c r="K45" s="602"/>
      <c r="L45" s="476">
        <f t="shared" si="0"/>
        <v>0</v>
      </c>
      <c r="M45" s="227">
        <f t="shared" si="1"/>
        <v>0</v>
      </c>
      <c r="N45" s="227">
        <f t="shared" si="2"/>
        <v>0</v>
      </c>
      <c r="O45" s="227">
        <f t="shared" si="3"/>
        <v>0</v>
      </c>
      <c r="P45" s="228">
        <f t="shared" si="10"/>
        <v>0</v>
      </c>
      <c r="Q45" s="229">
        <f t="shared" si="5"/>
        <v>0</v>
      </c>
      <c r="R45" s="229">
        <f t="shared" si="6"/>
        <v>0</v>
      </c>
      <c r="S45" s="229">
        <f t="shared" si="7"/>
        <v>0</v>
      </c>
      <c r="T45" s="229">
        <f t="shared" si="8"/>
        <v>0</v>
      </c>
      <c r="U45" s="38">
        <f t="shared" si="11"/>
        <v>0</v>
      </c>
    </row>
    <row r="46" spans="1:21" ht="20.100000000000001" customHeight="1" x14ac:dyDescent="0.25">
      <c r="A46" s="602">
        <v>38</v>
      </c>
      <c r="B46" s="35">
        <f>dtsiswa!D44</f>
        <v>0</v>
      </c>
      <c r="C46" s="36"/>
      <c r="D46" s="602"/>
      <c r="E46" s="602"/>
      <c r="F46" s="602"/>
      <c r="G46" s="602"/>
      <c r="H46" s="602"/>
      <c r="I46" s="1049"/>
      <c r="J46" s="1049"/>
      <c r="K46" s="602"/>
      <c r="L46" s="476">
        <f t="shared" si="0"/>
        <v>0</v>
      </c>
      <c r="M46" s="227">
        <f t="shared" si="1"/>
        <v>0</v>
      </c>
      <c r="N46" s="227">
        <f t="shared" si="2"/>
        <v>0</v>
      </c>
      <c r="O46" s="227">
        <f t="shared" si="3"/>
        <v>0</v>
      </c>
      <c r="P46" s="228">
        <f t="shared" si="10"/>
        <v>0</v>
      </c>
      <c r="Q46" s="229">
        <f t="shared" si="5"/>
        <v>0</v>
      </c>
      <c r="R46" s="229">
        <f t="shared" si="6"/>
        <v>0</v>
      </c>
      <c r="S46" s="229">
        <f t="shared" si="7"/>
        <v>0</v>
      </c>
      <c r="T46" s="229">
        <f t="shared" si="8"/>
        <v>0</v>
      </c>
      <c r="U46" s="38">
        <f t="shared" si="11"/>
        <v>0</v>
      </c>
    </row>
    <row r="47" spans="1:21" ht="20.100000000000001" customHeight="1" x14ac:dyDescent="0.25">
      <c r="A47" s="602">
        <v>39</v>
      </c>
      <c r="B47" s="35">
        <f>dtsiswa!D45</f>
        <v>0</v>
      </c>
      <c r="C47" s="36"/>
      <c r="D47" s="602"/>
      <c r="E47" s="602"/>
      <c r="F47" s="602"/>
      <c r="G47" s="602"/>
      <c r="H47" s="602"/>
      <c r="I47" s="1049"/>
      <c r="J47" s="1049"/>
      <c r="K47" s="602"/>
      <c r="L47" s="476">
        <f t="shared" si="0"/>
        <v>0</v>
      </c>
      <c r="M47" s="227">
        <f t="shared" si="1"/>
        <v>0</v>
      </c>
      <c r="N47" s="227">
        <f t="shared" si="2"/>
        <v>0</v>
      </c>
      <c r="O47" s="227">
        <f t="shared" si="3"/>
        <v>0</v>
      </c>
      <c r="P47" s="228">
        <f t="shared" si="10"/>
        <v>0</v>
      </c>
      <c r="Q47" s="229">
        <f t="shared" si="5"/>
        <v>0</v>
      </c>
      <c r="R47" s="229">
        <f t="shared" si="6"/>
        <v>0</v>
      </c>
      <c r="S47" s="229">
        <f t="shared" si="7"/>
        <v>0</v>
      </c>
      <c r="T47" s="229">
        <f t="shared" si="8"/>
        <v>0</v>
      </c>
      <c r="U47" s="38">
        <f t="shared" si="11"/>
        <v>0</v>
      </c>
    </row>
    <row r="48" spans="1:21" ht="20.100000000000001" customHeight="1" x14ac:dyDescent="0.25">
      <c r="A48" s="602">
        <v>40</v>
      </c>
      <c r="B48" s="35">
        <f>dtsiswa!D46</f>
        <v>0</v>
      </c>
      <c r="C48" s="36"/>
      <c r="D48" s="602"/>
      <c r="E48" s="602"/>
      <c r="F48" s="602"/>
      <c r="G48" s="602"/>
      <c r="H48" s="602"/>
      <c r="I48" s="1049"/>
      <c r="J48" s="1049"/>
      <c r="K48" s="602"/>
      <c r="L48" s="476">
        <f t="shared" si="0"/>
        <v>0</v>
      </c>
      <c r="M48" s="227">
        <f t="shared" si="1"/>
        <v>0</v>
      </c>
      <c r="N48" s="227">
        <f t="shared" si="2"/>
        <v>0</v>
      </c>
      <c r="O48" s="227">
        <f t="shared" si="3"/>
        <v>0</v>
      </c>
      <c r="P48" s="228">
        <f t="shared" si="10"/>
        <v>0</v>
      </c>
      <c r="Q48" s="229">
        <f t="shared" si="5"/>
        <v>0</v>
      </c>
      <c r="R48" s="229">
        <f t="shared" si="6"/>
        <v>0</v>
      </c>
      <c r="S48" s="229">
        <f t="shared" si="7"/>
        <v>0</v>
      </c>
      <c r="T48" s="229">
        <f t="shared" si="8"/>
        <v>0</v>
      </c>
      <c r="U48" s="38">
        <f t="shared" si="11"/>
        <v>0</v>
      </c>
    </row>
    <row r="49" spans="1:21" ht="20.100000000000001" customHeight="1" x14ac:dyDescent="0.25">
      <c r="A49" s="370"/>
      <c r="B49" s="35"/>
      <c r="C49" s="36"/>
      <c r="D49" s="370"/>
      <c r="E49" s="370"/>
      <c r="F49" s="370"/>
      <c r="G49" s="370"/>
      <c r="H49" s="370"/>
      <c r="I49" s="1049"/>
      <c r="J49" s="1049"/>
      <c r="K49" s="370"/>
      <c r="L49" s="476"/>
      <c r="M49" s="227"/>
      <c r="N49" s="227"/>
      <c r="O49" s="227"/>
      <c r="P49" s="228"/>
      <c r="Q49" s="229"/>
      <c r="R49" s="229"/>
      <c r="S49" s="229"/>
      <c r="T49" s="229"/>
      <c r="U49" s="38"/>
    </row>
    <row r="50" spans="1:21" ht="20.100000000000001" customHeight="1" x14ac:dyDescent="0.25">
      <c r="A50" s="370"/>
      <c r="B50" s="47" t="s">
        <v>36</v>
      </c>
      <c r="C50" s="48"/>
      <c r="D50" s="49">
        <f>COUNTIF(D9:D32,"0")</f>
        <v>0</v>
      </c>
      <c r="E50" s="49">
        <f t="shared" ref="E50:K50" si="12">COUNTIF(E9:E32,"0")</f>
        <v>1</v>
      </c>
      <c r="F50" s="49">
        <f t="shared" si="12"/>
        <v>0</v>
      </c>
      <c r="G50" s="49">
        <f t="shared" si="12"/>
        <v>1</v>
      </c>
      <c r="H50" s="49">
        <f t="shared" si="12"/>
        <v>0</v>
      </c>
      <c r="I50" s="49"/>
      <c r="J50" s="49"/>
      <c r="K50" s="49">
        <f t="shared" si="12"/>
        <v>0</v>
      </c>
      <c r="L50" s="49"/>
      <c r="M50" s="203"/>
      <c r="N50" s="203"/>
      <c r="O50" s="203"/>
      <c r="P50" s="239"/>
      <c r="Q50" s="229"/>
      <c r="R50" s="229"/>
      <c r="S50" s="229"/>
      <c r="T50" s="229"/>
      <c r="U50" s="38"/>
    </row>
    <row r="51" spans="1:21" ht="20.100000000000001" customHeight="1" x14ac:dyDescent="0.25">
      <c r="A51" s="50"/>
      <c r="B51" s="51" t="s">
        <v>37</v>
      </c>
      <c r="C51" s="51"/>
      <c r="D51" s="52"/>
      <c r="E51" s="52"/>
      <c r="F51" s="368"/>
      <c r="G51" s="368"/>
      <c r="H51" s="368"/>
      <c r="I51" s="1048"/>
      <c r="J51" s="1048"/>
      <c r="K51" s="368"/>
      <c r="L51" s="368"/>
      <c r="M51" s="53"/>
      <c r="N51" s="53"/>
      <c r="O51" s="53"/>
      <c r="P51" s="53"/>
      <c r="Q51" s="53"/>
      <c r="R51" s="53"/>
      <c r="S51" s="1050"/>
      <c r="T51" s="53"/>
      <c r="U51" s="46"/>
    </row>
    <row r="52" spans="1:21" ht="20.100000000000001" customHeight="1" x14ac:dyDescent="0.25">
      <c r="A52" s="54"/>
      <c r="B52" s="51" t="s">
        <v>38</v>
      </c>
      <c r="C52" s="51"/>
      <c r="D52" s="52"/>
      <c r="E52" s="52"/>
      <c r="F52" s="368"/>
      <c r="G52" s="368"/>
      <c r="H52" s="368"/>
      <c r="I52" s="1048"/>
      <c r="J52" s="1048"/>
      <c r="K52" s="368"/>
      <c r="L52" s="368"/>
      <c r="M52" s="53"/>
      <c r="N52" s="53"/>
      <c r="O52" s="53"/>
      <c r="P52" s="55"/>
      <c r="Q52" s="53"/>
      <c r="R52" s="53"/>
      <c r="S52" s="1050"/>
      <c r="T52" s="53"/>
      <c r="U52" s="46"/>
    </row>
    <row r="53" spans="1:21" ht="20.100000000000001" customHeight="1" x14ac:dyDescent="0.25">
      <c r="A53" s="54"/>
      <c r="B53" s="51" t="s">
        <v>39</v>
      </c>
      <c r="C53" s="51"/>
      <c r="D53" s="52"/>
      <c r="E53" s="52"/>
      <c r="F53" s="368"/>
      <c r="G53" s="368"/>
      <c r="H53" s="368"/>
      <c r="I53" s="1048"/>
      <c r="J53" s="1048"/>
      <c r="K53" s="368"/>
      <c r="L53" s="368"/>
      <c r="M53" s="55"/>
      <c r="N53" s="55"/>
      <c r="O53" s="55"/>
      <c r="P53" s="55"/>
      <c r="Q53" s="55"/>
      <c r="R53" s="55"/>
      <c r="S53" s="55"/>
      <c r="T53" s="55"/>
      <c r="U53" s="46"/>
    </row>
  </sheetData>
  <mergeCells count="11">
    <mergeCell ref="U6:U8"/>
    <mergeCell ref="A6:A8"/>
    <mergeCell ref="B6:B8"/>
    <mergeCell ref="C6:C8"/>
    <mergeCell ref="L6:L8"/>
    <mergeCell ref="M6:M8"/>
    <mergeCell ref="N6:N8"/>
    <mergeCell ref="O6:O8"/>
    <mergeCell ref="P6:P8"/>
    <mergeCell ref="Q6:T7"/>
    <mergeCell ref="D6:K6"/>
  </mergeCells>
  <conditionalFormatting sqref="U9:U50">
    <cfRule type="top10" dxfId="4" priority="1" bottom="1" rank="5"/>
  </conditionalFormatting>
  <pageMargins left="0.7" right="0.7" top="0.75" bottom="0.75" header="0.3" footer="0.3"/>
  <pageSetup paperSize="768" orientation="landscape" horizontalDpi="0" verticalDpi="0"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0070C0"/>
  </sheetPr>
  <dimension ref="A1:P50"/>
  <sheetViews>
    <sheetView showGridLines="0" topLeftCell="A27" zoomScale="85" zoomScaleNormal="85" workbookViewId="0">
      <selection sqref="A1:Q1"/>
    </sheetView>
  </sheetViews>
  <sheetFormatPr defaultRowHeight="15" x14ac:dyDescent="0.25"/>
  <cols>
    <col min="1" max="1" width="5.42578125" customWidth="1"/>
    <col min="2" max="2" width="45.5703125" customWidth="1"/>
    <col min="3" max="3" width="6.7109375" customWidth="1"/>
    <col min="4" max="11" width="5.7109375" customWidth="1"/>
    <col min="12" max="12" width="9.85546875" customWidth="1"/>
    <col min="13" max="13" width="7.42578125" customWidth="1"/>
    <col min="14" max="14" width="8.5703125" customWidth="1"/>
    <col min="15" max="15" width="7.5703125" customWidth="1"/>
    <col min="16" max="16" width="12.5703125" customWidth="1"/>
  </cols>
  <sheetData>
    <row r="1" spans="1:16" ht="33.75" customHeight="1" x14ac:dyDescent="0.25">
      <c r="A1" s="1086"/>
      <c r="B1" s="1086"/>
      <c r="C1" s="1086"/>
      <c r="D1" s="1086"/>
      <c r="E1" s="1086"/>
      <c r="F1" s="1086"/>
      <c r="G1" s="1086"/>
      <c r="H1" s="1086"/>
      <c r="I1" s="1087"/>
      <c r="J1" s="1087"/>
      <c r="K1" s="1087"/>
      <c r="L1" s="1087"/>
      <c r="M1" s="1087"/>
      <c r="N1" s="1087"/>
      <c r="O1" s="1087"/>
      <c r="P1" s="1087"/>
    </row>
    <row r="2" spans="1:16" ht="23.25" x14ac:dyDescent="0.35">
      <c r="A2" s="29" t="s">
        <v>190</v>
      </c>
      <c r="I2" s="225"/>
      <c r="J2" s="274"/>
      <c r="K2" s="274"/>
      <c r="L2" s="274"/>
      <c r="M2" s="274"/>
      <c r="N2" s="274"/>
      <c r="O2" s="274"/>
      <c r="P2" s="274"/>
    </row>
    <row r="3" spans="1:16" ht="21" x14ac:dyDescent="0.35">
      <c r="A3" s="70" t="s">
        <v>434</v>
      </c>
      <c r="I3" s="225"/>
      <c r="J3" s="225"/>
      <c r="K3" s="225"/>
      <c r="L3" s="225"/>
      <c r="M3" s="225"/>
      <c r="N3" s="225"/>
      <c r="O3" s="225"/>
      <c r="P3" s="225"/>
    </row>
    <row r="4" spans="1:16" s="201" customFormat="1" ht="16.5" thickBot="1" x14ac:dyDescent="0.3">
      <c r="A4" s="230">
        <v>1</v>
      </c>
      <c r="B4" s="230">
        <v>2</v>
      </c>
      <c r="C4" s="230">
        <v>3</v>
      </c>
      <c r="D4" s="230">
        <v>4</v>
      </c>
      <c r="E4" s="230">
        <v>5</v>
      </c>
      <c r="F4" s="230">
        <v>6</v>
      </c>
      <c r="G4" s="230">
        <v>7</v>
      </c>
      <c r="H4" s="230">
        <v>8</v>
      </c>
      <c r="I4" s="230">
        <v>9</v>
      </c>
      <c r="J4" s="230">
        <v>10</v>
      </c>
      <c r="K4" s="230">
        <v>11</v>
      </c>
      <c r="L4" s="230">
        <v>12</v>
      </c>
      <c r="M4" s="230">
        <v>13</v>
      </c>
      <c r="N4" s="230">
        <v>14</v>
      </c>
      <c r="O4" s="230">
        <v>15</v>
      </c>
      <c r="P4" s="230">
        <v>16</v>
      </c>
    </row>
    <row r="5" spans="1:16" s="30" customFormat="1" ht="31.5" customHeight="1" thickBot="1" x14ac:dyDescent="0.3">
      <c r="A5" s="3156" t="s">
        <v>0</v>
      </c>
      <c r="B5" s="3156" t="s">
        <v>28</v>
      </c>
      <c r="C5" s="3158" t="s">
        <v>3</v>
      </c>
      <c r="D5" s="3213" t="s">
        <v>572</v>
      </c>
      <c r="E5" s="3214"/>
      <c r="F5" s="3214"/>
      <c r="G5" s="3214"/>
      <c r="H5" s="3214"/>
      <c r="I5" s="3214"/>
      <c r="J5" s="3214"/>
      <c r="K5" s="3215"/>
      <c r="L5" s="3209" t="s">
        <v>435</v>
      </c>
      <c r="M5" s="3211" t="s">
        <v>29</v>
      </c>
      <c r="N5" s="3205" t="s">
        <v>30</v>
      </c>
      <c r="O5" s="3205" t="s">
        <v>31</v>
      </c>
      <c r="P5" s="3207" t="s">
        <v>32</v>
      </c>
    </row>
    <row r="6" spans="1:16" ht="22.5" customHeight="1" thickBot="1" x14ac:dyDescent="0.3">
      <c r="A6" s="3157"/>
      <c r="B6" s="3157"/>
      <c r="C6" s="3159"/>
      <c r="D6" s="270" t="s">
        <v>29</v>
      </c>
      <c r="E6" s="271" t="s">
        <v>29</v>
      </c>
      <c r="F6" s="271" t="s">
        <v>29</v>
      </c>
      <c r="G6" s="271" t="s">
        <v>29</v>
      </c>
      <c r="H6" s="271" t="s">
        <v>29</v>
      </c>
      <c r="I6" s="271" t="s">
        <v>29</v>
      </c>
      <c r="J6" s="895" t="s">
        <v>212</v>
      </c>
      <c r="K6" s="636" t="s">
        <v>31</v>
      </c>
      <c r="L6" s="3210"/>
      <c r="M6" s="3212"/>
      <c r="N6" s="3206"/>
      <c r="O6" s="3206"/>
      <c r="P6" s="3208"/>
    </row>
    <row r="7" spans="1:16" ht="20.100000000000001" customHeight="1" x14ac:dyDescent="0.25">
      <c r="A7" s="34">
        <v>1</v>
      </c>
      <c r="B7" s="269" t="str">
        <f>dtsiswa!D7</f>
        <v>Achmad Zacky</v>
      </c>
      <c r="C7" s="36" t="s">
        <v>4</v>
      </c>
      <c r="D7" s="200">
        <v>1</v>
      </c>
      <c r="E7" s="200">
        <v>1</v>
      </c>
      <c r="F7" s="200">
        <v>1</v>
      </c>
      <c r="G7" s="200">
        <v>1</v>
      </c>
      <c r="H7" s="200">
        <v>1</v>
      </c>
      <c r="I7" s="200">
        <v>1</v>
      </c>
      <c r="J7" s="200">
        <v>2</v>
      </c>
      <c r="K7" s="200">
        <v>3</v>
      </c>
      <c r="L7" s="401">
        <f>SUM(D7:K7)*100/11</f>
        <v>100</v>
      </c>
      <c r="M7" s="227">
        <f>SUM(D7:G7)</f>
        <v>4</v>
      </c>
      <c r="N7" s="227">
        <f>H7+I7</f>
        <v>2</v>
      </c>
      <c r="O7" s="227">
        <f>J7+K7</f>
        <v>5</v>
      </c>
      <c r="P7" s="228">
        <f>L7</f>
        <v>100</v>
      </c>
    </row>
    <row r="8" spans="1:16" ht="20.100000000000001" customHeight="1" x14ac:dyDescent="0.25">
      <c r="A8" s="40">
        <v>2</v>
      </c>
      <c r="B8" s="269" t="str">
        <f>dtsiswa!D8</f>
        <v>Angelia Vabel R</v>
      </c>
      <c r="C8" s="36" t="s">
        <v>4</v>
      </c>
      <c r="D8" s="59"/>
      <c r="E8" s="59"/>
      <c r="F8" s="59"/>
      <c r="G8" s="59"/>
      <c r="H8" s="59"/>
      <c r="I8" s="59"/>
      <c r="J8" s="59"/>
      <c r="K8" s="59"/>
      <c r="L8" s="401">
        <f t="shared" ref="L8:L46" si="0">SUM(D8:K8)*100/11</f>
        <v>0</v>
      </c>
      <c r="M8" s="227">
        <f t="shared" ref="M8:M46" si="1">SUM(D8:G8)</f>
        <v>0</v>
      </c>
      <c r="N8" s="227">
        <f t="shared" ref="N8:N37" si="2">H8+I8</f>
        <v>0</v>
      </c>
      <c r="O8" s="227">
        <f t="shared" ref="O8:O37" si="3">J8+K8</f>
        <v>0</v>
      </c>
      <c r="P8" s="228">
        <f t="shared" ref="P8:P46" si="4">L8</f>
        <v>0</v>
      </c>
    </row>
    <row r="9" spans="1:16" ht="20.100000000000001" customHeight="1" x14ac:dyDescent="0.25">
      <c r="A9" s="40">
        <v>3</v>
      </c>
      <c r="B9" s="269" t="str">
        <f>dtsiswa!D9</f>
        <v>Anggun Dwi P.I</v>
      </c>
      <c r="C9" s="36" t="s">
        <v>4</v>
      </c>
      <c r="D9" s="59"/>
      <c r="E9" s="59"/>
      <c r="F9" s="59"/>
      <c r="G9" s="59"/>
      <c r="H9" s="59"/>
      <c r="I9" s="59"/>
      <c r="J9" s="59"/>
      <c r="K9" s="59"/>
      <c r="L9" s="401">
        <f t="shared" si="0"/>
        <v>0</v>
      </c>
      <c r="M9" s="227">
        <f t="shared" si="1"/>
        <v>0</v>
      </c>
      <c r="N9" s="227">
        <f t="shared" si="2"/>
        <v>0</v>
      </c>
      <c r="O9" s="227">
        <f t="shared" si="3"/>
        <v>0</v>
      </c>
      <c r="P9" s="228">
        <f t="shared" si="4"/>
        <v>0</v>
      </c>
    </row>
    <row r="10" spans="1:16" ht="20.100000000000001" customHeight="1" x14ac:dyDescent="0.25">
      <c r="A10" s="40">
        <v>4</v>
      </c>
      <c r="B10" s="269" t="str">
        <f>dtsiswa!D10</f>
        <v>Antonio Permata A</v>
      </c>
      <c r="C10" s="43" t="s">
        <v>4</v>
      </c>
      <c r="D10" s="59"/>
      <c r="E10" s="59"/>
      <c r="F10" s="59"/>
      <c r="G10" s="59"/>
      <c r="H10" s="59"/>
      <c r="I10" s="59"/>
      <c r="J10" s="59"/>
      <c r="K10" s="59"/>
      <c r="L10" s="401">
        <f t="shared" si="0"/>
        <v>0</v>
      </c>
      <c r="M10" s="227">
        <f t="shared" si="1"/>
        <v>0</v>
      </c>
      <c r="N10" s="227">
        <f t="shared" si="2"/>
        <v>0</v>
      </c>
      <c r="O10" s="227">
        <f t="shared" si="3"/>
        <v>0</v>
      </c>
      <c r="P10" s="228">
        <f t="shared" si="4"/>
        <v>0</v>
      </c>
    </row>
    <row r="11" spans="1:16" ht="20.100000000000001" customHeight="1" x14ac:dyDescent="0.25">
      <c r="A11" s="40">
        <v>5</v>
      </c>
      <c r="B11" s="269" t="str">
        <f>dtsiswa!D11</f>
        <v>Arya Pratama G</v>
      </c>
      <c r="C11" s="36" t="s">
        <v>5</v>
      </c>
      <c r="D11" s="59"/>
      <c r="E11" s="59"/>
      <c r="F11" s="59"/>
      <c r="G11" s="59"/>
      <c r="H11" s="59"/>
      <c r="I11" s="59"/>
      <c r="J11" s="59"/>
      <c r="K11" s="59"/>
      <c r="L11" s="401">
        <f t="shared" si="0"/>
        <v>0</v>
      </c>
      <c r="M11" s="227">
        <f t="shared" si="1"/>
        <v>0</v>
      </c>
      <c r="N11" s="227">
        <f t="shared" si="2"/>
        <v>0</v>
      </c>
      <c r="O11" s="227">
        <f t="shared" si="3"/>
        <v>0</v>
      </c>
      <c r="P11" s="228">
        <f t="shared" si="4"/>
        <v>0</v>
      </c>
    </row>
    <row r="12" spans="1:16" ht="20.100000000000001" customHeight="1" x14ac:dyDescent="0.25">
      <c r="A12" s="40">
        <v>6</v>
      </c>
      <c r="B12" s="269" t="str">
        <f>dtsiswa!D12</f>
        <v>Asyam Hanif Ihsan H</v>
      </c>
      <c r="C12" s="36" t="s">
        <v>5</v>
      </c>
      <c r="D12" s="59"/>
      <c r="E12" s="59"/>
      <c r="F12" s="59"/>
      <c r="G12" s="59"/>
      <c r="H12" s="59"/>
      <c r="I12" s="59"/>
      <c r="J12" s="59"/>
      <c r="K12" s="59"/>
      <c r="L12" s="401">
        <f t="shared" si="0"/>
        <v>0</v>
      </c>
      <c r="M12" s="227">
        <f t="shared" si="1"/>
        <v>0</v>
      </c>
      <c r="N12" s="227">
        <f t="shared" si="2"/>
        <v>0</v>
      </c>
      <c r="O12" s="227">
        <f t="shared" si="3"/>
        <v>0</v>
      </c>
      <c r="P12" s="228">
        <f t="shared" si="4"/>
        <v>0</v>
      </c>
    </row>
    <row r="13" spans="1:16" ht="20.100000000000001" customHeight="1" x14ac:dyDescent="0.25">
      <c r="A13" s="40">
        <v>7</v>
      </c>
      <c r="B13" s="269" t="str">
        <f>dtsiswa!D13</f>
        <v>Athaya Salsabilla Z</v>
      </c>
      <c r="C13" s="36" t="s">
        <v>4</v>
      </c>
      <c r="D13" s="59"/>
      <c r="E13" s="59"/>
      <c r="F13" s="59"/>
      <c r="G13" s="59"/>
      <c r="H13" s="59"/>
      <c r="I13" s="59"/>
      <c r="J13" s="59"/>
      <c r="K13" s="59"/>
      <c r="L13" s="401">
        <f t="shared" si="0"/>
        <v>0</v>
      </c>
      <c r="M13" s="227">
        <f t="shared" si="1"/>
        <v>0</v>
      </c>
      <c r="N13" s="227">
        <f t="shared" si="2"/>
        <v>0</v>
      </c>
      <c r="O13" s="227">
        <f t="shared" si="3"/>
        <v>0</v>
      </c>
      <c r="P13" s="228">
        <f t="shared" si="4"/>
        <v>0</v>
      </c>
    </row>
    <row r="14" spans="1:16" ht="20.100000000000001" customHeight="1" x14ac:dyDescent="0.25">
      <c r="A14" s="40">
        <v>8</v>
      </c>
      <c r="B14" s="269" t="str">
        <f>dtsiswa!D14</f>
        <v>Aulia Dea Rosalinda</v>
      </c>
      <c r="C14" s="36" t="s">
        <v>4</v>
      </c>
      <c r="D14" s="59"/>
      <c r="E14" s="59"/>
      <c r="F14" s="59"/>
      <c r="G14" s="59"/>
      <c r="H14" s="59"/>
      <c r="I14" s="59"/>
      <c r="J14" s="59"/>
      <c r="K14" s="59"/>
      <c r="L14" s="401">
        <f t="shared" si="0"/>
        <v>0</v>
      </c>
      <c r="M14" s="227">
        <f t="shared" si="1"/>
        <v>0</v>
      </c>
      <c r="N14" s="227">
        <f t="shared" si="2"/>
        <v>0</v>
      </c>
      <c r="O14" s="227">
        <f t="shared" si="3"/>
        <v>0</v>
      </c>
      <c r="P14" s="228">
        <f t="shared" si="4"/>
        <v>0</v>
      </c>
    </row>
    <row r="15" spans="1:16" ht="20.100000000000001" customHeight="1" x14ac:dyDescent="0.25">
      <c r="A15" s="40">
        <v>9</v>
      </c>
      <c r="B15" s="269" t="str">
        <f>dtsiswa!D15</f>
        <v>Claudia Gabriella L</v>
      </c>
      <c r="C15" s="36" t="s">
        <v>4</v>
      </c>
      <c r="D15" s="59"/>
      <c r="E15" s="59"/>
      <c r="F15" s="59"/>
      <c r="G15" s="59"/>
      <c r="H15" s="59"/>
      <c r="I15" s="59"/>
      <c r="J15" s="59"/>
      <c r="K15" s="59"/>
      <c r="L15" s="401">
        <f t="shared" si="0"/>
        <v>0</v>
      </c>
      <c r="M15" s="227">
        <f t="shared" si="1"/>
        <v>0</v>
      </c>
      <c r="N15" s="227">
        <f t="shared" si="2"/>
        <v>0</v>
      </c>
      <c r="O15" s="227">
        <f t="shared" si="3"/>
        <v>0</v>
      </c>
      <c r="P15" s="228">
        <f t="shared" si="4"/>
        <v>0</v>
      </c>
    </row>
    <row r="16" spans="1:16" ht="20.100000000000001" customHeight="1" x14ac:dyDescent="0.25">
      <c r="A16" s="40">
        <v>10</v>
      </c>
      <c r="B16" s="269" t="str">
        <f>dtsiswa!D16</f>
        <v xml:space="preserve">Deco Badarus Zaman </v>
      </c>
      <c r="C16" s="36" t="s">
        <v>4</v>
      </c>
      <c r="D16" s="59"/>
      <c r="E16" s="59"/>
      <c r="F16" s="59"/>
      <c r="G16" s="59"/>
      <c r="H16" s="59"/>
      <c r="I16" s="59"/>
      <c r="J16" s="59"/>
      <c r="K16" s="59"/>
      <c r="L16" s="401">
        <f t="shared" si="0"/>
        <v>0</v>
      </c>
      <c r="M16" s="227">
        <f t="shared" si="1"/>
        <v>0</v>
      </c>
      <c r="N16" s="227">
        <f t="shared" si="2"/>
        <v>0</v>
      </c>
      <c r="O16" s="227">
        <f t="shared" si="3"/>
        <v>0</v>
      </c>
      <c r="P16" s="228">
        <f t="shared" si="4"/>
        <v>0</v>
      </c>
    </row>
    <row r="17" spans="1:16" ht="20.100000000000001" customHeight="1" x14ac:dyDescent="0.25">
      <c r="A17" s="40">
        <v>11</v>
      </c>
      <c r="B17" s="269" t="str">
        <f>dtsiswa!D17</f>
        <v>Fania Mutiara Felichia</v>
      </c>
      <c r="C17" s="36" t="s">
        <v>4</v>
      </c>
      <c r="D17" s="59"/>
      <c r="E17" s="59"/>
      <c r="F17" s="59"/>
      <c r="G17" s="59"/>
      <c r="H17" s="59"/>
      <c r="I17" s="59"/>
      <c r="J17" s="59"/>
      <c r="K17" s="59"/>
      <c r="L17" s="401">
        <f t="shared" si="0"/>
        <v>0</v>
      </c>
      <c r="M17" s="227">
        <f t="shared" si="1"/>
        <v>0</v>
      </c>
      <c r="N17" s="227">
        <f t="shared" si="2"/>
        <v>0</v>
      </c>
      <c r="O17" s="227">
        <f t="shared" si="3"/>
        <v>0</v>
      </c>
      <c r="P17" s="228">
        <f t="shared" si="4"/>
        <v>0</v>
      </c>
    </row>
    <row r="18" spans="1:16" ht="20.100000000000001" customHeight="1" x14ac:dyDescent="0.25">
      <c r="A18" s="40">
        <v>12</v>
      </c>
      <c r="B18" s="269" t="str">
        <f>dtsiswa!D18</f>
        <v>Intan Dyah Nowari</v>
      </c>
      <c r="C18" s="36" t="s">
        <v>4</v>
      </c>
      <c r="D18" s="59"/>
      <c r="E18" s="59"/>
      <c r="F18" s="59"/>
      <c r="G18" s="59"/>
      <c r="H18" s="59"/>
      <c r="I18" s="59"/>
      <c r="J18" s="59"/>
      <c r="K18" s="59"/>
      <c r="L18" s="401">
        <f t="shared" si="0"/>
        <v>0</v>
      </c>
      <c r="M18" s="227">
        <f t="shared" si="1"/>
        <v>0</v>
      </c>
      <c r="N18" s="227">
        <f t="shared" si="2"/>
        <v>0</v>
      </c>
      <c r="O18" s="227">
        <f t="shared" si="3"/>
        <v>0</v>
      </c>
      <c r="P18" s="228">
        <f t="shared" si="4"/>
        <v>0</v>
      </c>
    </row>
    <row r="19" spans="1:16" ht="20.100000000000001" customHeight="1" x14ac:dyDescent="0.25">
      <c r="A19" s="40">
        <v>13</v>
      </c>
      <c r="B19" s="269" t="str">
        <f>dtsiswa!D19</f>
        <v>Misyanita Nurfitri S</v>
      </c>
      <c r="C19" s="36" t="s">
        <v>5</v>
      </c>
      <c r="D19" s="59"/>
      <c r="E19" s="59"/>
      <c r="F19" s="59"/>
      <c r="G19" s="59"/>
      <c r="H19" s="59"/>
      <c r="I19" s="59"/>
      <c r="J19" s="59"/>
      <c r="K19" s="59"/>
      <c r="L19" s="401">
        <f t="shared" si="0"/>
        <v>0</v>
      </c>
      <c r="M19" s="227">
        <f t="shared" si="1"/>
        <v>0</v>
      </c>
      <c r="N19" s="227">
        <f t="shared" si="2"/>
        <v>0</v>
      </c>
      <c r="O19" s="227">
        <f t="shared" si="3"/>
        <v>0</v>
      </c>
      <c r="P19" s="228">
        <f t="shared" si="4"/>
        <v>0</v>
      </c>
    </row>
    <row r="20" spans="1:16" ht="20.100000000000001" customHeight="1" x14ac:dyDescent="0.25">
      <c r="A20" s="40">
        <v>14</v>
      </c>
      <c r="B20" s="269" t="str">
        <f>dtsiswa!D20</f>
        <v>Moch Zidane Hita L. U</v>
      </c>
      <c r="C20" s="36" t="s">
        <v>4</v>
      </c>
      <c r="D20" s="59"/>
      <c r="E20" s="59"/>
      <c r="F20" s="59"/>
      <c r="G20" s="59"/>
      <c r="H20" s="59"/>
      <c r="I20" s="59"/>
      <c r="J20" s="59"/>
      <c r="K20" s="59"/>
      <c r="L20" s="401">
        <f t="shared" si="0"/>
        <v>0</v>
      </c>
      <c r="M20" s="227">
        <f t="shared" si="1"/>
        <v>0</v>
      </c>
      <c r="N20" s="227">
        <f t="shared" si="2"/>
        <v>0</v>
      </c>
      <c r="O20" s="227">
        <f t="shared" si="3"/>
        <v>0</v>
      </c>
      <c r="P20" s="228">
        <f t="shared" si="4"/>
        <v>0</v>
      </c>
    </row>
    <row r="21" spans="1:16" ht="20.100000000000001" customHeight="1" x14ac:dyDescent="0.25">
      <c r="A21" s="40">
        <v>15</v>
      </c>
      <c r="B21" s="269" t="str">
        <f>dtsiswa!D21</f>
        <v>Muhammad Ibra Maulana</v>
      </c>
      <c r="C21" s="36" t="s">
        <v>4</v>
      </c>
      <c r="D21" s="59"/>
      <c r="E21" s="59"/>
      <c r="F21" s="59"/>
      <c r="G21" s="59"/>
      <c r="H21" s="59"/>
      <c r="I21" s="59"/>
      <c r="J21" s="59"/>
      <c r="K21" s="59"/>
      <c r="L21" s="401">
        <f t="shared" si="0"/>
        <v>0</v>
      </c>
      <c r="M21" s="227">
        <f t="shared" si="1"/>
        <v>0</v>
      </c>
      <c r="N21" s="227">
        <f t="shared" si="2"/>
        <v>0</v>
      </c>
      <c r="O21" s="227">
        <f t="shared" si="3"/>
        <v>0</v>
      </c>
      <c r="P21" s="228">
        <f t="shared" si="4"/>
        <v>0</v>
      </c>
    </row>
    <row r="22" spans="1:16" ht="20.100000000000001" customHeight="1" x14ac:dyDescent="0.25">
      <c r="A22" s="40">
        <v>16</v>
      </c>
      <c r="B22" s="269" t="str">
        <f>dtsiswa!D22</f>
        <v>Nabilla Shiva Putri</v>
      </c>
      <c r="C22" s="36" t="s">
        <v>4</v>
      </c>
      <c r="D22" s="59"/>
      <c r="E22" s="59"/>
      <c r="F22" s="59"/>
      <c r="G22" s="59"/>
      <c r="H22" s="59"/>
      <c r="I22" s="59"/>
      <c r="J22" s="59"/>
      <c r="K22" s="59"/>
      <c r="L22" s="401">
        <f t="shared" si="0"/>
        <v>0</v>
      </c>
      <c r="M22" s="227">
        <f t="shared" si="1"/>
        <v>0</v>
      </c>
      <c r="N22" s="227">
        <f t="shared" si="2"/>
        <v>0</v>
      </c>
      <c r="O22" s="227">
        <f t="shared" si="3"/>
        <v>0</v>
      </c>
      <c r="P22" s="228">
        <f t="shared" si="4"/>
        <v>0</v>
      </c>
    </row>
    <row r="23" spans="1:16" ht="20.100000000000001" customHeight="1" x14ac:dyDescent="0.25">
      <c r="A23" s="40">
        <v>17</v>
      </c>
      <c r="B23" s="269" t="str">
        <f>dtsiswa!D23</f>
        <v>Naufal Falih F</v>
      </c>
      <c r="C23" s="36" t="s">
        <v>5</v>
      </c>
      <c r="D23" s="59"/>
      <c r="E23" s="59"/>
      <c r="F23" s="59"/>
      <c r="G23" s="59"/>
      <c r="H23" s="59"/>
      <c r="I23" s="59"/>
      <c r="J23" s="59"/>
      <c r="K23" s="59"/>
      <c r="L23" s="401">
        <f t="shared" si="0"/>
        <v>0</v>
      </c>
      <c r="M23" s="227">
        <f t="shared" si="1"/>
        <v>0</v>
      </c>
      <c r="N23" s="227">
        <f t="shared" si="2"/>
        <v>0</v>
      </c>
      <c r="O23" s="227">
        <f t="shared" si="3"/>
        <v>0</v>
      </c>
      <c r="P23" s="228">
        <f t="shared" si="4"/>
        <v>0</v>
      </c>
    </row>
    <row r="24" spans="1:16" ht="20.100000000000001" customHeight="1" x14ac:dyDescent="0.25">
      <c r="A24" s="40">
        <v>18</v>
      </c>
      <c r="B24" s="269" t="str">
        <f>dtsiswa!D24</f>
        <v>Nayla Annora Nobel W</v>
      </c>
      <c r="C24" s="36" t="s">
        <v>4</v>
      </c>
      <c r="D24" s="59"/>
      <c r="E24" s="59"/>
      <c r="F24" s="59"/>
      <c r="G24" s="59"/>
      <c r="H24" s="59"/>
      <c r="I24" s="59"/>
      <c r="J24" s="59"/>
      <c r="K24" s="59"/>
      <c r="L24" s="401">
        <f t="shared" si="0"/>
        <v>0</v>
      </c>
      <c r="M24" s="227">
        <f t="shared" si="1"/>
        <v>0</v>
      </c>
      <c r="N24" s="227">
        <f t="shared" si="2"/>
        <v>0</v>
      </c>
      <c r="O24" s="227">
        <f t="shared" si="3"/>
        <v>0</v>
      </c>
      <c r="P24" s="228">
        <f t="shared" si="4"/>
        <v>0</v>
      </c>
    </row>
    <row r="25" spans="1:16" ht="20.100000000000001" customHeight="1" x14ac:dyDescent="0.25">
      <c r="A25" s="40">
        <v>19</v>
      </c>
      <c r="B25" s="269" t="str">
        <f>dtsiswa!D25</f>
        <v>Raihan Danang P</v>
      </c>
      <c r="C25" s="36" t="s">
        <v>5</v>
      </c>
      <c r="D25" s="59"/>
      <c r="E25" s="59"/>
      <c r="F25" s="59"/>
      <c r="G25" s="59"/>
      <c r="H25" s="59"/>
      <c r="I25" s="59"/>
      <c r="J25" s="59"/>
      <c r="K25" s="59"/>
      <c r="L25" s="401">
        <f t="shared" si="0"/>
        <v>0</v>
      </c>
      <c r="M25" s="227">
        <f t="shared" si="1"/>
        <v>0</v>
      </c>
      <c r="N25" s="227">
        <f t="shared" si="2"/>
        <v>0</v>
      </c>
      <c r="O25" s="227">
        <f t="shared" si="3"/>
        <v>0</v>
      </c>
      <c r="P25" s="228">
        <f t="shared" si="4"/>
        <v>0</v>
      </c>
    </row>
    <row r="26" spans="1:16" ht="20.100000000000001" customHeight="1" x14ac:dyDescent="0.25">
      <c r="A26" s="40">
        <v>20</v>
      </c>
      <c r="B26" s="269" t="str">
        <f>dtsiswa!D26</f>
        <v>Roby Ardiyansyah</v>
      </c>
      <c r="C26" s="36" t="s">
        <v>5</v>
      </c>
      <c r="D26" s="40"/>
      <c r="E26" s="40"/>
      <c r="F26" s="40"/>
      <c r="G26" s="628"/>
      <c r="H26" s="40"/>
      <c r="I26" s="40"/>
      <c r="J26" s="40"/>
      <c r="K26" s="40"/>
      <c r="L26" s="401">
        <f t="shared" si="0"/>
        <v>0</v>
      </c>
      <c r="M26" s="227">
        <f t="shared" si="1"/>
        <v>0</v>
      </c>
      <c r="N26" s="227">
        <f t="shared" si="2"/>
        <v>0</v>
      </c>
      <c r="O26" s="227">
        <f t="shared" si="3"/>
        <v>0</v>
      </c>
      <c r="P26" s="228">
        <f t="shared" si="4"/>
        <v>0</v>
      </c>
    </row>
    <row r="27" spans="1:16" ht="20.100000000000001" customHeight="1" x14ac:dyDescent="0.25">
      <c r="A27" s="40">
        <v>21</v>
      </c>
      <c r="B27" s="269" t="str">
        <f>dtsiswa!D27</f>
        <v>Rojalingga Prana A</v>
      </c>
      <c r="C27" s="44" t="s">
        <v>4</v>
      </c>
      <c r="D27" s="59"/>
      <c r="E27" s="59"/>
      <c r="F27" s="59"/>
      <c r="G27" s="59"/>
      <c r="H27" s="59"/>
      <c r="I27" s="59"/>
      <c r="J27" s="59"/>
      <c r="K27" s="59"/>
      <c r="L27" s="401">
        <f t="shared" si="0"/>
        <v>0</v>
      </c>
      <c r="M27" s="227">
        <f t="shared" si="1"/>
        <v>0</v>
      </c>
      <c r="N27" s="227">
        <f t="shared" si="2"/>
        <v>0</v>
      </c>
      <c r="O27" s="227">
        <f t="shared" si="3"/>
        <v>0</v>
      </c>
      <c r="P27" s="228">
        <f t="shared" si="4"/>
        <v>0</v>
      </c>
    </row>
    <row r="28" spans="1:16" ht="20.100000000000001" customHeight="1" x14ac:dyDescent="0.25">
      <c r="A28" s="40">
        <v>22</v>
      </c>
      <c r="B28" s="269" t="str">
        <f>dtsiswa!D28</f>
        <v>Sally Savista A</v>
      </c>
      <c r="C28" s="45" t="s">
        <v>4</v>
      </c>
      <c r="D28" s="40"/>
      <c r="E28" s="40"/>
      <c r="F28" s="40"/>
      <c r="G28" s="628"/>
      <c r="H28" s="40"/>
      <c r="I28" s="40"/>
      <c r="J28" s="40"/>
      <c r="K28" s="40"/>
      <c r="L28" s="401">
        <f t="shared" si="0"/>
        <v>0</v>
      </c>
      <c r="M28" s="227">
        <f t="shared" si="1"/>
        <v>0</v>
      </c>
      <c r="N28" s="227">
        <f t="shared" si="2"/>
        <v>0</v>
      </c>
      <c r="O28" s="227">
        <f t="shared" si="3"/>
        <v>0</v>
      </c>
      <c r="P28" s="228">
        <f t="shared" si="4"/>
        <v>0</v>
      </c>
    </row>
    <row r="29" spans="1:16" ht="20.100000000000001" customHeight="1" x14ac:dyDescent="0.25">
      <c r="A29" s="40">
        <v>23</v>
      </c>
      <c r="B29" s="269" t="str">
        <f>dtsiswa!D29</f>
        <v xml:space="preserve">Tania Kaori Angelita </v>
      </c>
      <c r="C29" s="45" t="s">
        <v>5</v>
      </c>
      <c r="D29" s="40"/>
      <c r="E29" s="40"/>
      <c r="F29" s="40"/>
      <c r="G29" s="628"/>
      <c r="H29" s="40"/>
      <c r="I29" s="40"/>
      <c r="J29" s="40"/>
      <c r="K29" s="40"/>
      <c r="L29" s="401">
        <f t="shared" si="0"/>
        <v>0</v>
      </c>
      <c r="M29" s="227">
        <f t="shared" si="1"/>
        <v>0</v>
      </c>
      <c r="N29" s="227">
        <f t="shared" si="2"/>
        <v>0</v>
      </c>
      <c r="O29" s="227">
        <f t="shared" si="3"/>
        <v>0</v>
      </c>
      <c r="P29" s="228">
        <f t="shared" si="4"/>
        <v>0</v>
      </c>
    </row>
    <row r="30" spans="1:16" ht="20.100000000000001" customHeight="1" x14ac:dyDescent="0.25">
      <c r="A30" s="40">
        <v>24</v>
      </c>
      <c r="B30" s="269" t="str">
        <f>dtsiswa!D30</f>
        <v>Romzy Oka Ramadhani P</v>
      </c>
      <c r="C30" s="45" t="s">
        <v>5</v>
      </c>
      <c r="D30" s="40"/>
      <c r="E30" s="40"/>
      <c r="F30" s="40"/>
      <c r="G30" s="628"/>
      <c r="H30" s="40"/>
      <c r="I30" s="40"/>
      <c r="J30" s="40"/>
      <c r="K30" s="40"/>
      <c r="L30" s="401">
        <f t="shared" si="0"/>
        <v>0</v>
      </c>
      <c r="M30" s="227">
        <f t="shared" si="1"/>
        <v>0</v>
      </c>
      <c r="N30" s="227">
        <f t="shared" si="2"/>
        <v>0</v>
      </c>
      <c r="O30" s="227">
        <f t="shared" si="3"/>
        <v>0</v>
      </c>
      <c r="P30" s="228">
        <f t="shared" si="4"/>
        <v>0</v>
      </c>
    </row>
    <row r="31" spans="1:16" ht="20.100000000000001" customHeight="1" x14ac:dyDescent="0.25">
      <c r="A31" s="40">
        <v>25</v>
      </c>
      <c r="B31" s="269" t="str">
        <f>dtsiswa!D31</f>
        <v>Larasati Jagadhita P</v>
      </c>
      <c r="C31" s="36" t="s">
        <v>4</v>
      </c>
      <c r="D31" s="40"/>
      <c r="E31" s="40"/>
      <c r="F31" s="40"/>
      <c r="G31" s="628"/>
      <c r="H31" s="40"/>
      <c r="I31" s="40"/>
      <c r="J31" s="40"/>
      <c r="K31" s="40"/>
      <c r="L31" s="401">
        <f t="shared" si="0"/>
        <v>0</v>
      </c>
      <c r="M31" s="227">
        <f t="shared" si="1"/>
        <v>0</v>
      </c>
      <c r="N31" s="227">
        <f t="shared" si="2"/>
        <v>0</v>
      </c>
      <c r="O31" s="227">
        <f t="shared" si="3"/>
        <v>0</v>
      </c>
      <c r="P31" s="228">
        <f t="shared" si="4"/>
        <v>0</v>
      </c>
    </row>
    <row r="32" spans="1:16" ht="20.100000000000001" customHeight="1" x14ac:dyDescent="0.25">
      <c r="A32" s="40">
        <v>26</v>
      </c>
      <c r="B32" s="269" t="str">
        <f>dtsiswa!D32</f>
        <v>Meliana Citra A</v>
      </c>
      <c r="C32" s="36" t="s">
        <v>5</v>
      </c>
      <c r="D32" s="40"/>
      <c r="E32" s="40"/>
      <c r="F32" s="40"/>
      <c r="G32" s="628"/>
      <c r="H32" s="40"/>
      <c r="I32" s="40"/>
      <c r="J32" s="40"/>
      <c r="K32" s="40"/>
      <c r="L32" s="401">
        <f t="shared" si="0"/>
        <v>0</v>
      </c>
      <c r="M32" s="227">
        <f t="shared" si="1"/>
        <v>0</v>
      </c>
      <c r="N32" s="227">
        <f t="shared" si="2"/>
        <v>0</v>
      </c>
      <c r="O32" s="227">
        <f t="shared" si="3"/>
        <v>0</v>
      </c>
      <c r="P32" s="228">
        <f t="shared" si="4"/>
        <v>0</v>
      </c>
    </row>
    <row r="33" spans="1:16" ht="20.100000000000001" customHeight="1" x14ac:dyDescent="0.25">
      <c r="A33" s="349">
        <v>27</v>
      </c>
      <c r="B33" s="269" t="str">
        <f>dtsiswa!D33</f>
        <v>Mohammad Rizky</v>
      </c>
      <c r="C33" s="36" t="s">
        <v>4</v>
      </c>
      <c r="D33" s="349"/>
      <c r="E33" s="349"/>
      <c r="F33" s="349"/>
      <c r="G33" s="628"/>
      <c r="H33" s="349"/>
      <c r="I33" s="349"/>
      <c r="J33" s="349"/>
      <c r="K33" s="349"/>
      <c r="L33" s="401">
        <f t="shared" si="0"/>
        <v>0</v>
      </c>
      <c r="M33" s="227">
        <f t="shared" si="1"/>
        <v>0</v>
      </c>
      <c r="N33" s="227">
        <f t="shared" si="2"/>
        <v>0</v>
      </c>
      <c r="O33" s="227">
        <f t="shared" si="3"/>
        <v>0</v>
      </c>
      <c r="P33" s="228">
        <f t="shared" si="4"/>
        <v>0</v>
      </c>
    </row>
    <row r="34" spans="1:16" ht="20.100000000000001" customHeight="1" x14ac:dyDescent="0.25">
      <c r="A34" s="349">
        <v>28</v>
      </c>
      <c r="B34" s="269">
        <f>dtsiswa!D34</f>
        <v>0</v>
      </c>
      <c r="C34" s="36" t="s">
        <v>4</v>
      </c>
      <c r="D34" s="349"/>
      <c r="E34" s="349"/>
      <c r="F34" s="349"/>
      <c r="G34" s="628"/>
      <c r="H34" s="349"/>
      <c r="I34" s="349"/>
      <c r="J34" s="349"/>
      <c r="K34" s="349"/>
      <c r="L34" s="401">
        <f t="shared" si="0"/>
        <v>0</v>
      </c>
      <c r="M34" s="227">
        <f t="shared" si="1"/>
        <v>0</v>
      </c>
      <c r="N34" s="227">
        <f t="shared" si="2"/>
        <v>0</v>
      </c>
      <c r="O34" s="227">
        <f t="shared" si="3"/>
        <v>0</v>
      </c>
      <c r="P34" s="228">
        <f t="shared" si="4"/>
        <v>0</v>
      </c>
    </row>
    <row r="35" spans="1:16" ht="20.100000000000001" customHeight="1" x14ac:dyDescent="0.25">
      <c r="A35" s="349">
        <v>29</v>
      </c>
      <c r="B35" s="269">
        <f>dtsiswa!D35</f>
        <v>0</v>
      </c>
      <c r="C35" s="36" t="s">
        <v>4</v>
      </c>
      <c r="D35" s="349"/>
      <c r="E35" s="349"/>
      <c r="F35" s="349"/>
      <c r="G35" s="628"/>
      <c r="H35" s="349"/>
      <c r="I35" s="349"/>
      <c r="J35" s="349"/>
      <c r="K35" s="349"/>
      <c r="L35" s="401">
        <f t="shared" si="0"/>
        <v>0</v>
      </c>
      <c r="M35" s="227">
        <f t="shared" si="1"/>
        <v>0</v>
      </c>
      <c r="N35" s="227">
        <f t="shared" si="2"/>
        <v>0</v>
      </c>
      <c r="O35" s="227">
        <f t="shared" si="3"/>
        <v>0</v>
      </c>
      <c r="P35" s="228">
        <f t="shared" si="4"/>
        <v>0</v>
      </c>
    </row>
    <row r="36" spans="1:16" ht="20.100000000000001" customHeight="1" x14ac:dyDescent="0.25">
      <c r="A36" s="349">
        <v>30</v>
      </c>
      <c r="B36" s="269">
        <f>dtsiswa!D36</f>
        <v>0</v>
      </c>
      <c r="C36" s="36" t="s">
        <v>5</v>
      </c>
      <c r="D36" s="349"/>
      <c r="E36" s="349"/>
      <c r="F36" s="349"/>
      <c r="G36" s="628"/>
      <c r="H36" s="349"/>
      <c r="I36" s="349"/>
      <c r="J36" s="349"/>
      <c r="K36" s="349"/>
      <c r="L36" s="401">
        <f t="shared" si="0"/>
        <v>0</v>
      </c>
      <c r="M36" s="227">
        <f t="shared" si="1"/>
        <v>0</v>
      </c>
      <c r="N36" s="227">
        <f t="shared" si="2"/>
        <v>0</v>
      </c>
      <c r="O36" s="227">
        <f t="shared" si="3"/>
        <v>0</v>
      </c>
      <c r="P36" s="228">
        <f t="shared" si="4"/>
        <v>0</v>
      </c>
    </row>
    <row r="37" spans="1:16" ht="20.100000000000001" customHeight="1" x14ac:dyDescent="0.25">
      <c r="A37" s="349">
        <v>31</v>
      </c>
      <c r="B37" s="269">
        <f>dtsiswa!D37</f>
        <v>0</v>
      </c>
      <c r="C37" s="36" t="s">
        <v>5</v>
      </c>
      <c r="D37" s="349"/>
      <c r="E37" s="349"/>
      <c r="F37" s="349"/>
      <c r="G37" s="628"/>
      <c r="H37" s="349"/>
      <c r="I37" s="349"/>
      <c r="J37" s="349"/>
      <c r="K37" s="349"/>
      <c r="L37" s="401">
        <f t="shared" si="0"/>
        <v>0</v>
      </c>
      <c r="M37" s="227">
        <f t="shared" si="1"/>
        <v>0</v>
      </c>
      <c r="N37" s="227">
        <f t="shared" si="2"/>
        <v>0</v>
      </c>
      <c r="O37" s="227">
        <f t="shared" si="3"/>
        <v>0</v>
      </c>
      <c r="P37" s="228">
        <f t="shared" si="4"/>
        <v>0</v>
      </c>
    </row>
    <row r="38" spans="1:16" ht="20.100000000000001" customHeight="1" x14ac:dyDescent="0.25">
      <c r="A38" s="628">
        <v>32</v>
      </c>
      <c r="B38" s="269">
        <f>dtsiswa!D38</f>
        <v>0</v>
      </c>
      <c r="C38" s="36" t="s">
        <v>5</v>
      </c>
      <c r="D38" s="628"/>
      <c r="E38" s="628"/>
      <c r="F38" s="628"/>
      <c r="G38" s="628"/>
      <c r="H38" s="628"/>
      <c r="I38" s="628"/>
      <c r="J38" s="628"/>
      <c r="K38" s="628"/>
      <c r="L38" s="401">
        <f t="shared" si="0"/>
        <v>0</v>
      </c>
      <c r="M38" s="227">
        <f t="shared" si="1"/>
        <v>0</v>
      </c>
      <c r="N38" s="227">
        <f t="shared" ref="N38:N46" si="5">H38+I38</f>
        <v>0</v>
      </c>
      <c r="O38" s="227">
        <f t="shared" ref="O38:O46" si="6">J38+K38</f>
        <v>0</v>
      </c>
      <c r="P38" s="228">
        <f t="shared" si="4"/>
        <v>0</v>
      </c>
    </row>
    <row r="39" spans="1:16" ht="20.100000000000001" customHeight="1" x14ac:dyDescent="0.25">
      <c r="A39" s="628">
        <v>33</v>
      </c>
      <c r="B39" s="269">
        <f>dtsiswa!D39</f>
        <v>0</v>
      </c>
      <c r="C39" s="36" t="s">
        <v>5</v>
      </c>
      <c r="D39" s="628"/>
      <c r="E39" s="628"/>
      <c r="F39" s="628"/>
      <c r="G39" s="628"/>
      <c r="H39" s="628"/>
      <c r="I39" s="628"/>
      <c r="J39" s="628"/>
      <c r="K39" s="628"/>
      <c r="L39" s="401">
        <f t="shared" si="0"/>
        <v>0</v>
      </c>
      <c r="M39" s="227">
        <f t="shared" si="1"/>
        <v>0</v>
      </c>
      <c r="N39" s="227">
        <f t="shared" si="5"/>
        <v>0</v>
      </c>
      <c r="O39" s="227">
        <f t="shared" si="6"/>
        <v>0</v>
      </c>
      <c r="P39" s="228">
        <f t="shared" si="4"/>
        <v>0</v>
      </c>
    </row>
    <row r="40" spans="1:16" ht="20.100000000000001" customHeight="1" x14ac:dyDescent="0.25">
      <c r="A40" s="628">
        <v>34</v>
      </c>
      <c r="B40" s="269">
        <f>dtsiswa!D40</f>
        <v>0</v>
      </c>
      <c r="C40" s="36" t="s">
        <v>5</v>
      </c>
      <c r="D40" s="628"/>
      <c r="E40" s="628"/>
      <c r="F40" s="628"/>
      <c r="G40" s="628"/>
      <c r="H40" s="628"/>
      <c r="I40" s="628"/>
      <c r="J40" s="628"/>
      <c r="K40" s="628"/>
      <c r="L40" s="401">
        <f t="shared" si="0"/>
        <v>0</v>
      </c>
      <c r="M40" s="227">
        <f t="shared" si="1"/>
        <v>0</v>
      </c>
      <c r="N40" s="227">
        <f t="shared" si="5"/>
        <v>0</v>
      </c>
      <c r="O40" s="227">
        <f t="shared" si="6"/>
        <v>0</v>
      </c>
      <c r="P40" s="228">
        <f t="shared" si="4"/>
        <v>0</v>
      </c>
    </row>
    <row r="41" spans="1:16" ht="20.100000000000001" customHeight="1" x14ac:dyDescent="0.25">
      <c r="A41" s="628">
        <v>35</v>
      </c>
      <c r="B41" s="269">
        <f>dtsiswa!D41</f>
        <v>0</v>
      </c>
      <c r="C41" s="36" t="s">
        <v>5</v>
      </c>
      <c r="D41" s="628"/>
      <c r="E41" s="628"/>
      <c r="F41" s="628"/>
      <c r="G41" s="628"/>
      <c r="H41" s="628"/>
      <c r="I41" s="628"/>
      <c r="J41" s="628"/>
      <c r="K41" s="628"/>
      <c r="L41" s="401">
        <f t="shared" si="0"/>
        <v>0</v>
      </c>
      <c r="M41" s="227">
        <f t="shared" si="1"/>
        <v>0</v>
      </c>
      <c r="N41" s="227">
        <f t="shared" si="5"/>
        <v>0</v>
      </c>
      <c r="O41" s="227">
        <f t="shared" si="6"/>
        <v>0</v>
      </c>
      <c r="P41" s="228">
        <f t="shared" si="4"/>
        <v>0</v>
      </c>
    </row>
    <row r="42" spans="1:16" ht="20.100000000000001" customHeight="1" x14ac:dyDescent="0.25">
      <c r="A42" s="628">
        <v>36</v>
      </c>
      <c r="B42" s="269">
        <f>dtsiswa!D42</f>
        <v>0</v>
      </c>
      <c r="C42" s="36" t="s">
        <v>5</v>
      </c>
      <c r="D42" s="628"/>
      <c r="E42" s="628"/>
      <c r="F42" s="628"/>
      <c r="G42" s="628"/>
      <c r="H42" s="628"/>
      <c r="I42" s="628"/>
      <c r="J42" s="628"/>
      <c r="K42" s="628"/>
      <c r="L42" s="401">
        <f t="shared" si="0"/>
        <v>0</v>
      </c>
      <c r="M42" s="227">
        <f t="shared" si="1"/>
        <v>0</v>
      </c>
      <c r="N42" s="227">
        <f t="shared" si="5"/>
        <v>0</v>
      </c>
      <c r="O42" s="227">
        <f t="shared" si="6"/>
        <v>0</v>
      </c>
      <c r="P42" s="228">
        <f t="shared" si="4"/>
        <v>0</v>
      </c>
    </row>
    <row r="43" spans="1:16" ht="20.100000000000001" customHeight="1" x14ac:dyDescent="0.25">
      <c r="A43" s="628">
        <v>37</v>
      </c>
      <c r="B43" s="269">
        <f>dtsiswa!D43</f>
        <v>0</v>
      </c>
      <c r="C43" s="36" t="s">
        <v>5</v>
      </c>
      <c r="D43" s="628"/>
      <c r="E43" s="628"/>
      <c r="F43" s="628"/>
      <c r="G43" s="628"/>
      <c r="H43" s="628"/>
      <c r="I43" s="628"/>
      <c r="J43" s="628"/>
      <c r="K43" s="628"/>
      <c r="L43" s="401">
        <f t="shared" si="0"/>
        <v>0</v>
      </c>
      <c r="M43" s="227">
        <f t="shared" si="1"/>
        <v>0</v>
      </c>
      <c r="N43" s="227">
        <f t="shared" si="5"/>
        <v>0</v>
      </c>
      <c r="O43" s="227">
        <f t="shared" si="6"/>
        <v>0</v>
      </c>
      <c r="P43" s="228">
        <f t="shared" si="4"/>
        <v>0</v>
      </c>
    </row>
    <row r="44" spans="1:16" ht="20.100000000000001" customHeight="1" x14ac:dyDescent="0.25">
      <c r="A44" s="628">
        <v>38</v>
      </c>
      <c r="B44" s="269">
        <f>dtsiswa!D44</f>
        <v>0</v>
      </c>
      <c r="C44" s="36" t="s">
        <v>5</v>
      </c>
      <c r="D44" s="628"/>
      <c r="E44" s="628"/>
      <c r="F44" s="628"/>
      <c r="G44" s="628"/>
      <c r="H44" s="628"/>
      <c r="I44" s="628"/>
      <c r="J44" s="628"/>
      <c r="K44" s="628"/>
      <c r="L44" s="401">
        <f t="shared" si="0"/>
        <v>0</v>
      </c>
      <c r="M44" s="227">
        <f t="shared" si="1"/>
        <v>0</v>
      </c>
      <c r="N44" s="227">
        <f t="shared" si="5"/>
        <v>0</v>
      </c>
      <c r="O44" s="227">
        <f t="shared" si="6"/>
        <v>0</v>
      </c>
      <c r="P44" s="228">
        <f t="shared" si="4"/>
        <v>0</v>
      </c>
    </row>
    <row r="45" spans="1:16" ht="20.100000000000001" customHeight="1" x14ac:dyDescent="0.25">
      <c r="A45" s="628">
        <v>39</v>
      </c>
      <c r="B45" s="269">
        <f>dtsiswa!D45</f>
        <v>0</v>
      </c>
      <c r="C45" s="36" t="s">
        <v>5</v>
      </c>
      <c r="D45" s="628"/>
      <c r="E45" s="628"/>
      <c r="F45" s="628"/>
      <c r="G45" s="628"/>
      <c r="H45" s="628"/>
      <c r="I45" s="628"/>
      <c r="J45" s="628"/>
      <c r="K45" s="628"/>
      <c r="L45" s="401">
        <f t="shared" si="0"/>
        <v>0</v>
      </c>
      <c r="M45" s="227">
        <f t="shared" si="1"/>
        <v>0</v>
      </c>
      <c r="N45" s="227">
        <f t="shared" si="5"/>
        <v>0</v>
      </c>
      <c r="O45" s="227">
        <f t="shared" si="6"/>
        <v>0</v>
      </c>
      <c r="P45" s="228">
        <f t="shared" si="4"/>
        <v>0</v>
      </c>
    </row>
    <row r="46" spans="1:16" ht="20.100000000000001" customHeight="1" x14ac:dyDescent="0.25">
      <c r="A46" s="628">
        <v>40</v>
      </c>
      <c r="B46" s="269">
        <f>dtsiswa!D46</f>
        <v>0</v>
      </c>
      <c r="C46" s="36" t="s">
        <v>5</v>
      </c>
      <c r="D46" s="628">
        <v>1</v>
      </c>
      <c r="E46" s="1112">
        <v>1</v>
      </c>
      <c r="F46" s="1112">
        <v>1</v>
      </c>
      <c r="G46" s="1112">
        <v>1</v>
      </c>
      <c r="H46" s="1112">
        <v>1</v>
      </c>
      <c r="I46" s="1112">
        <v>0</v>
      </c>
      <c r="J46" s="628">
        <v>1</v>
      </c>
      <c r="K46" s="628">
        <v>2</v>
      </c>
      <c r="L46" s="401">
        <f t="shared" si="0"/>
        <v>72.727272727272734</v>
      </c>
      <c r="M46" s="227">
        <f t="shared" si="1"/>
        <v>4</v>
      </c>
      <c r="N46" s="227">
        <f t="shared" si="5"/>
        <v>1</v>
      </c>
      <c r="O46" s="227">
        <f t="shared" si="6"/>
        <v>3</v>
      </c>
      <c r="P46" s="228">
        <f t="shared" si="4"/>
        <v>72.727272727272734</v>
      </c>
    </row>
    <row r="47" spans="1:16" ht="20.100000000000001" customHeight="1" x14ac:dyDescent="0.25">
      <c r="A47" s="40"/>
      <c r="B47" s="47" t="s">
        <v>36</v>
      </c>
      <c r="C47" s="48"/>
      <c r="D47" s="49">
        <f t="shared" ref="D47:K47" si="7">COUNTIF(D7:D30,"0")</f>
        <v>0</v>
      </c>
      <c r="E47" s="49">
        <f t="shared" si="7"/>
        <v>0</v>
      </c>
      <c r="F47" s="49">
        <f t="shared" si="7"/>
        <v>0</v>
      </c>
      <c r="G47" s="49">
        <f t="shared" si="7"/>
        <v>0</v>
      </c>
      <c r="H47" s="49">
        <f t="shared" si="7"/>
        <v>0</v>
      </c>
      <c r="I47" s="49">
        <f t="shared" si="7"/>
        <v>0</v>
      </c>
      <c r="J47" s="49">
        <f t="shared" si="7"/>
        <v>0</v>
      </c>
      <c r="K47" s="49">
        <f t="shared" si="7"/>
        <v>0</v>
      </c>
      <c r="L47" s="49"/>
      <c r="M47" s="203"/>
      <c r="N47" s="203"/>
      <c r="O47" s="203"/>
      <c r="P47" s="239"/>
    </row>
    <row r="48" spans="1:16" ht="18" customHeight="1" x14ac:dyDescent="0.25">
      <c r="A48" s="50"/>
      <c r="B48" s="51" t="s">
        <v>37</v>
      </c>
      <c r="C48" s="51"/>
      <c r="D48" s="52"/>
      <c r="E48" s="52"/>
      <c r="F48" s="52"/>
      <c r="G48" s="52"/>
      <c r="H48" s="52"/>
      <c r="I48" s="52"/>
      <c r="J48" s="52"/>
      <c r="K48" s="52"/>
      <c r="L48" s="52"/>
      <c r="M48" s="53">
        <f>MAX(M7:M30)</f>
        <v>4</v>
      </c>
      <c r="N48" s="53">
        <f>MAX(N7:N30)</f>
        <v>2</v>
      </c>
      <c r="O48" s="53">
        <f>MAX(O7:O30)</f>
        <v>5</v>
      </c>
      <c r="P48" s="1121">
        <f>MAX(P7:P30)</f>
        <v>100</v>
      </c>
    </row>
    <row r="49" spans="1:16" ht="18" customHeight="1" x14ac:dyDescent="0.25">
      <c r="A49" s="54"/>
      <c r="B49" s="51" t="s">
        <v>38</v>
      </c>
      <c r="C49" s="51"/>
      <c r="D49" s="52"/>
      <c r="E49" s="52"/>
      <c r="F49" s="52"/>
      <c r="G49" s="52"/>
      <c r="H49" s="52"/>
      <c r="I49" s="52"/>
      <c r="J49" s="52"/>
      <c r="K49" s="52"/>
      <c r="L49" s="52"/>
      <c r="M49" s="53">
        <f>MIN(M7:M30)</f>
        <v>0</v>
      </c>
      <c r="N49" s="53">
        <f>MIN(N7:N30)</f>
        <v>0</v>
      </c>
      <c r="O49" s="53">
        <f>MIN(O7:O30)</f>
        <v>0</v>
      </c>
      <c r="P49" s="55">
        <f>MIN(P7:P30)</f>
        <v>0</v>
      </c>
    </row>
    <row r="50" spans="1:16" ht="18" customHeight="1" x14ac:dyDescent="0.25">
      <c r="A50" s="54"/>
      <c r="B50" s="51" t="s">
        <v>39</v>
      </c>
      <c r="C50" s="51"/>
      <c r="D50" s="52"/>
      <c r="E50" s="52"/>
      <c r="F50" s="52"/>
      <c r="G50" s="52"/>
      <c r="H50" s="52"/>
      <c r="I50" s="52"/>
      <c r="J50" s="52"/>
      <c r="K50" s="52"/>
      <c r="L50" s="52"/>
      <c r="M50" s="55">
        <f>AVERAGE(M7:M30)</f>
        <v>0.16666666666666666</v>
      </c>
      <c r="N50" s="55">
        <f>AVERAGE(N7:N30)</f>
        <v>8.3333333333333329E-2</v>
      </c>
      <c r="O50" s="55">
        <f>AVERAGE(O7:O30)</f>
        <v>0.20833333333333334</v>
      </c>
      <c r="P50" s="55">
        <f>AVERAGE(P7:P30)</f>
        <v>4.166666666666667</v>
      </c>
    </row>
  </sheetData>
  <mergeCells count="9">
    <mergeCell ref="N5:N6"/>
    <mergeCell ref="O5:O6"/>
    <mergeCell ref="P5:P6"/>
    <mergeCell ref="A5:A6"/>
    <mergeCell ref="B5:B6"/>
    <mergeCell ref="C5:C6"/>
    <mergeCell ref="L5:L6"/>
    <mergeCell ref="M5:M6"/>
    <mergeCell ref="D5:K5"/>
  </mergeCells>
  <pageMargins left="0.7" right="0.7" top="0.75" bottom="0.75" header="0.3" footer="0.3"/>
  <pageSetup paperSize="768" orientation="landscape" horizontalDpi="0" verticalDpi="0"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00B0F0"/>
  </sheetPr>
  <dimension ref="A1:P51"/>
  <sheetViews>
    <sheetView showGridLines="0" topLeftCell="A31" workbookViewId="0">
      <selection sqref="A1:Q1"/>
    </sheetView>
  </sheetViews>
  <sheetFormatPr defaultRowHeight="15" x14ac:dyDescent="0.25"/>
  <cols>
    <col min="1" max="1" width="5.42578125" customWidth="1"/>
    <col min="2" max="2" width="45.5703125" customWidth="1"/>
    <col min="3" max="3" width="6.7109375" customWidth="1"/>
    <col min="4" max="11" width="5.7109375" customWidth="1"/>
    <col min="12" max="12" width="9.85546875" customWidth="1"/>
    <col min="13" max="13" width="7.42578125" customWidth="1"/>
    <col min="14" max="14" width="8.5703125" customWidth="1"/>
    <col min="15" max="15" width="7.5703125" customWidth="1"/>
    <col min="16" max="16" width="12.5703125" customWidth="1"/>
  </cols>
  <sheetData>
    <row r="1" spans="1:16" ht="33.75" customHeight="1" x14ac:dyDescent="0.25">
      <c r="A1" s="1086"/>
      <c r="B1" s="1086"/>
      <c r="C1" s="1086"/>
      <c r="D1" s="1086"/>
      <c r="E1" s="1086"/>
      <c r="F1" s="1086"/>
      <c r="G1" s="1086"/>
      <c r="H1" s="1086"/>
      <c r="I1" s="1087"/>
      <c r="J1" s="1087"/>
      <c r="K1" s="1087"/>
      <c r="L1" s="1087"/>
      <c r="M1" s="1087"/>
      <c r="N1" s="1087"/>
      <c r="O1" s="1087"/>
      <c r="P1" s="1087"/>
    </row>
    <row r="2" spans="1:16" ht="15.75" x14ac:dyDescent="0.25">
      <c r="A2" s="56" t="s">
        <v>190</v>
      </c>
      <c r="I2" s="225"/>
      <c r="J2" s="274"/>
      <c r="K2" s="274"/>
      <c r="L2" s="274"/>
      <c r="M2" s="274"/>
      <c r="N2" s="274"/>
      <c r="O2" s="274"/>
      <c r="P2" s="274"/>
    </row>
    <row r="3" spans="1:16" ht="15.75" x14ac:dyDescent="0.25">
      <c r="A3" s="56" t="s">
        <v>688</v>
      </c>
      <c r="I3" s="225"/>
      <c r="J3" s="225"/>
      <c r="K3" s="225"/>
      <c r="L3" s="225"/>
      <c r="M3" s="225"/>
      <c r="N3" s="225"/>
      <c r="O3" s="225"/>
      <c r="P3" s="225"/>
    </row>
    <row r="4" spans="1:16" s="201" customFormat="1" ht="16.5" thickBot="1" x14ac:dyDescent="0.3">
      <c r="A4" s="230">
        <v>1</v>
      </c>
      <c r="B4" s="230">
        <v>2</v>
      </c>
      <c r="C4" s="230">
        <v>3</v>
      </c>
      <c r="D4" s="230">
        <v>4</v>
      </c>
      <c r="E4" s="230">
        <v>5</v>
      </c>
      <c r="F4" s="230">
        <v>6</v>
      </c>
      <c r="G4" s="230">
        <v>7</v>
      </c>
      <c r="H4" s="230">
        <v>8</v>
      </c>
      <c r="I4" s="230">
        <v>9</v>
      </c>
      <c r="J4" s="230">
        <v>10</v>
      </c>
      <c r="K4" s="230">
        <v>11</v>
      </c>
      <c r="L4" s="230">
        <v>12</v>
      </c>
      <c r="M4" s="230">
        <v>13</v>
      </c>
      <c r="N4" s="230">
        <v>14</v>
      </c>
      <c r="O4" s="230">
        <v>15</v>
      </c>
      <c r="P4" s="230">
        <v>16</v>
      </c>
    </row>
    <row r="5" spans="1:16" s="30" customFormat="1" ht="31.5" customHeight="1" thickBot="1" x14ac:dyDescent="0.3">
      <c r="A5" s="3156" t="s">
        <v>0</v>
      </c>
      <c r="B5" s="3156" t="s">
        <v>28</v>
      </c>
      <c r="C5" s="3158" t="s">
        <v>3</v>
      </c>
      <c r="D5" s="3213" t="s">
        <v>694</v>
      </c>
      <c r="E5" s="3214"/>
      <c r="F5" s="3214"/>
      <c r="G5" s="3214"/>
      <c r="H5" s="3214"/>
      <c r="I5" s="3214"/>
      <c r="J5" s="3214"/>
      <c r="K5" s="3215"/>
      <c r="L5" s="3209"/>
      <c r="M5" s="3211" t="s">
        <v>29</v>
      </c>
      <c r="N5" s="3205" t="s">
        <v>30</v>
      </c>
      <c r="O5" s="3205" t="s">
        <v>31</v>
      </c>
      <c r="P5" s="3207" t="s">
        <v>32</v>
      </c>
    </row>
    <row r="6" spans="1:16" ht="22.5" customHeight="1" thickBot="1" x14ac:dyDescent="0.3">
      <c r="A6" s="3157"/>
      <c r="B6" s="3157"/>
      <c r="C6" s="3159"/>
      <c r="D6" s="270" t="s">
        <v>29</v>
      </c>
      <c r="E6" s="271" t="s">
        <v>29</v>
      </c>
      <c r="F6" s="271" t="s">
        <v>29</v>
      </c>
      <c r="G6" s="271" t="s">
        <v>29</v>
      </c>
      <c r="H6" s="271" t="s">
        <v>29</v>
      </c>
      <c r="I6" s="637" t="s">
        <v>30</v>
      </c>
      <c r="J6" s="482" t="s">
        <v>31</v>
      </c>
      <c r="K6" s="636" t="s">
        <v>31</v>
      </c>
      <c r="L6" s="3210"/>
      <c r="M6" s="3212"/>
      <c r="N6" s="3206"/>
      <c r="O6" s="3206"/>
      <c r="P6" s="3208"/>
    </row>
    <row r="7" spans="1:16" ht="20.100000000000001" customHeight="1" x14ac:dyDescent="0.25">
      <c r="A7" s="34">
        <v>1</v>
      </c>
      <c r="B7" s="269" t="str">
        <f>dtsiswa!D7</f>
        <v>Achmad Zacky</v>
      </c>
      <c r="C7" s="36" t="s">
        <v>4</v>
      </c>
      <c r="D7" s="200">
        <v>1</v>
      </c>
      <c r="E7" s="200">
        <v>1</v>
      </c>
      <c r="F7" s="200">
        <v>0</v>
      </c>
      <c r="G7" s="200">
        <v>1</v>
      </c>
      <c r="H7" s="200">
        <v>0</v>
      </c>
      <c r="I7" s="200">
        <v>2</v>
      </c>
      <c r="J7" s="200">
        <v>3</v>
      </c>
      <c r="K7" s="200">
        <v>3</v>
      </c>
      <c r="L7" s="401">
        <f>SUM(D7:K7)*100/13</f>
        <v>84.615384615384613</v>
      </c>
      <c r="M7" s="227">
        <f>SUM(D7:H7)</f>
        <v>3</v>
      </c>
      <c r="N7" s="227">
        <f>I7</f>
        <v>2</v>
      </c>
      <c r="O7" s="227">
        <f>SUM(J7:K7)</f>
        <v>6</v>
      </c>
      <c r="P7" s="228">
        <f>L7</f>
        <v>84.615384615384613</v>
      </c>
    </row>
    <row r="8" spans="1:16" ht="20.100000000000001" customHeight="1" x14ac:dyDescent="0.25">
      <c r="A8" s="349">
        <v>2</v>
      </c>
      <c r="B8" s="269" t="str">
        <f>dtsiswa!D8</f>
        <v>Angelia Vabel R</v>
      </c>
      <c r="C8" s="36" t="s">
        <v>4</v>
      </c>
      <c r="D8" s="59"/>
      <c r="E8" s="59"/>
      <c r="F8" s="59"/>
      <c r="G8" s="59"/>
      <c r="H8" s="200"/>
      <c r="I8" s="59"/>
      <c r="J8" s="59"/>
      <c r="K8" s="59"/>
      <c r="L8" s="401">
        <f t="shared" ref="L8:L46" si="0">SUM(D8:K8)*100/13</f>
        <v>0</v>
      </c>
      <c r="M8" s="227">
        <f t="shared" ref="M8:M46" si="1">SUM(D8:H8)</f>
        <v>0</v>
      </c>
      <c r="N8" s="227">
        <f t="shared" ref="N8:N46" si="2">I8</f>
        <v>0</v>
      </c>
      <c r="O8" s="227">
        <f t="shared" ref="O8:O46" si="3">SUM(J8:K8)</f>
        <v>0</v>
      </c>
      <c r="P8" s="228">
        <f t="shared" ref="P8:P46" si="4">L8</f>
        <v>0</v>
      </c>
    </row>
    <row r="9" spans="1:16" ht="20.100000000000001" customHeight="1" x14ac:dyDescent="0.25">
      <c r="A9" s="349">
        <v>3</v>
      </c>
      <c r="B9" s="269" t="str">
        <f>dtsiswa!D9</f>
        <v>Anggun Dwi P.I</v>
      </c>
      <c r="C9" s="36" t="s">
        <v>4</v>
      </c>
      <c r="D9" s="59"/>
      <c r="E9" s="59"/>
      <c r="F9" s="59"/>
      <c r="G9" s="59"/>
      <c r="H9" s="200"/>
      <c r="I9" s="59"/>
      <c r="J9" s="59"/>
      <c r="K9" s="59"/>
      <c r="L9" s="401">
        <f t="shared" si="0"/>
        <v>0</v>
      </c>
      <c r="M9" s="227">
        <f t="shared" si="1"/>
        <v>0</v>
      </c>
      <c r="N9" s="227">
        <f t="shared" si="2"/>
        <v>0</v>
      </c>
      <c r="O9" s="227">
        <f t="shared" si="3"/>
        <v>0</v>
      </c>
      <c r="P9" s="228">
        <f t="shared" si="4"/>
        <v>0</v>
      </c>
    </row>
    <row r="10" spans="1:16" ht="20.100000000000001" customHeight="1" x14ac:dyDescent="0.25">
      <c r="A10" s="349">
        <v>4</v>
      </c>
      <c r="B10" s="269" t="str">
        <f>dtsiswa!D10</f>
        <v>Antonio Permata A</v>
      </c>
      <c r="C10" s="43" t="s">
        <v>4</v>
      </c>
      <c r="D10" s="59"/>
      <c r="E10" s="59"/>
      <c r="F10" s="59"/>
      <c r="G10" s="59"/>
      <c r="H10" s="200"/>
      <c r="I10" s="59"/>
      <c r="J10" s="59"/>
      <c r="K10" s="59"/>
      <c r="L10" s="401">
        <f t="shared" si="0"/>
        <v>0</v>
      </c>
      <c r="M10" s="227">
        <f t="shared" si="1"/>
        <v>0</v>
      </c>
      <c r="N10" s="227">
        <f t="shared" si="2"/>
        <v>0</v>
      </c>
      <c r="O10" s="227">
        <f t="shared" si="3"/>
        <v>0</v>
      </c>
      <c r="P10" s="228">
        <f t="shared" si="4"/>
        <v>0</v>
      </c>
    </row>
    <row r="11" spans="1:16" ht="20.100000000000001" customHeight="1" x14ac:dyDescent="0.25">
      <c r="A11" s="349">
        <v>5</v>
      </c>
      <c r="B11" s="269" t="str">
        <f>dtsiswa!D11</f>
        <v>Arya Pratama G</v>
      </c>
      <c r="C11" s="36" t="s">
        <v>5</v>
      </c>
      <c r="D11" s="59"/>
      <c r="E11" s="59"/>
      <c r="F11" s="59"/>
      <c r="G11" s="59"/>
      <c r="H11" s="200"/>
      <c r="I11" s="59"/>
      <c r="J11" s="59"/>
      <c r="K11" s="59"/>
      <c r="L11" s="401">
        <f t="shared" si="0"/>
        <v>0</v>
      </c>
      <c r="M11" s="227">
        <f t="shared" si="1"/>
        <v>0</v>
      </c>
      <c r="N11" s="227">
        <f t="shared" si="2"/>
        <v>0</v>
      </c>
      <c r="O11" s="227">
        <f t="shared" si="3"/>
        <v>0</v>
      </c>
      <c r="P11" s="228">
        <f t="shared" si="4"/>
        <v>0</v>
      </c>
    </row>
    <row r="12" spans="1:16" ht="20.100000000000001" customHeight="1" x14ac:dyDescent="0.25">
      <c r="A12" s="349">
        <v>6</v>
      </c>
      <c r="B12" s="269" t="str">
        <f>dtsiswa!D12</f>
        <v>Asyam Hanif Ihsan H</v>
      </c>
      <c r="C12" s="36" t="s">
        <v>5</v>
      </c>
      <c r="D12" s="59"/>
      <c r="E12" s="59"/>
      <c r="F12" s="59"/>
      <c r="G12" s="59"/>
      <c r="H12" s="59"/>
      <c r="I12" s="59"/>
      <c r="J12" s="59"/>
      <c r="K12" s="59"/>
      <c r="L12" s="401">
        <f t="shared" si="0"/>
        <v>0</v>
      </c>
      <c r="M12" s="227">
        <f t="shared" si="1"/>
        <v>0</v>
      </c>
      <c r="N12" s="227">
        <f t="shared" si="2"/>
        <v>0</v>
      </c>
      <c r="O12" s="227">
        <f t="shared" si="3"/>
        <v>0</v>
      </c>
      <c r="P12" s="228">
        <f t="shared" si="4"/>
        <v>0</v>
      </c>
    </row>
    <row r="13" spans="1:16" ht="20.100000000000001" customHeight="1" x14ac:dyDescent="0.25">
      <c r="A13" s="349">
        <v>7</v>
      </c>
      <c r="B13" s="269" t="str">
        <f>dtsiswa!D13</f>
        <v>Athaya Salsabilla Z</v>
      </c>
      <c r="C13" s="36" t="s">
        <v>4</v>
      </c>
      <c r="D13" s="59"/>
      <c r="E13" s="59"/>
      <c r="F13" s="59"/>
      <c r="G13" s="59"/>
      <c r="H13" s="59"/>
      <c r="I13" s="59"/>
      <c r="J13" s="59"/>
      <c r="K13" s="59"/>
      <c r="L13" s="401">
        <f t="shared" si="0"/>
        <v>0</v>
      </c>
      <c r="M13" s="227">
        <f t="shared" si="1"/>
        <v>0</v>
      </c>
      <c r="N13" s="227">
        <f t="shared" si="2"/>
        <v>0</v>
      </c>
      <c r="O13" s="227">
        <f t="shared" si="3"/>
        <v>0</v>
      </c>
      <c r="P13" s="228">
        <f t="shared" si="4"/>
        <v>0</v>
      </c>
    </row>
    <row r="14" spans="1:16" ht="20.100000000000001" customHeight="1" x14ac:dyDescent="0.25">
      <c r="A14" s="349">
        <v>8</v>
      </c>
      <c r="B14" s="269" t="str">
        <f>dtsiswa!D14</f>
        <v>Aulia Dea Rosalinda</v>
      </c>
      <c r="C14" s="36" t="s">
        <v>4</v>
      </c>
      <c r="D14" s="59"/>
      <c r="E14" s="59"/>
      <c r="F14" s="59"/>
      <c r="G14" s="59"/>
      <c r="H14" s="59"/>
      <c r="I14" s="59"/>
      <c r="J14" s="59"/>
      <c r="K14" s="59"/>
      <c r="L14" s="401">
        <f t="shared" si="0"/>
        <v>0</v>
      </c>
      <c r="M14" s="227">
        <f t="shared" si="1"/>
        <v>0</v>
      </c>
      <c r="N14" s="227">
        <f t="shared" si="2"/>
        <v>0</v>
      </c>
      <c r="O14" s="227">
        <f t="shared" si="3"/>
        <v>0</v>
      </c>
      <c r="P14" s="228">
        <f t="shared" si="4"/>
        <v>0</v>
      </c>
    </row>
    <row r="15" spans="1:16" ht="20.100000000000001" customHeight="1" x14ac:dyDescent="0.25">
      <c r="A15" s="349">
        <v>9</v>
      </c>
      <c r="B15" s="269" t="str">
        <f>dtsiswa!D15</f>
        <v>Claudia Gabriella L</v>
      </c>
      <c r="C15" s="36" t="s">
        <v>4</v>
      </c>
      <c r="D15" s="59"/>
      <c r="E15" s="59"/>
      <c r="F15" s="59"/>
      <c r="G15" s="59"/>
      <c r="H15" s="59"/>
      <c r="I15" s="59"/>
      <c r="J15" s="59"/>
      <c r="K15" s="59"/>
      <c r="L15" s="401">
        <f t="shared" si="0"/>
        <v>0</v>
      </c>
      <c r="M15" s="227">
        <f t="shared" si="1"/>
        <v>0</v>
      </c>
      <c r="N15" s="227">
        <f t="shared" si="2"/>
        <v>0</v>
      </c>
      <c r="O15" s="227">
        <f t="shared" si="3"/>
        <v>0</v>
      </c>
      <c r="P15" s="228">
        <f t="shared" si="4"/>
        <v>0</v>
      </c>
    </row>
    <row r="16" spans="1:16" ht="20.100000000000001" customHeight="1" x14ac:dyDescent="0.25">
      <c r="A16" s="349">
        <v>10</v>
      </c>
      <c r="B16" s="269" t="str">
        <f>dtsiswa!D16</f>
        <v xml:space="preserve">Deco Badarus Zaman </v>
      </c>
      <c r="C16" s="36" t="s">
        <v>4</v>
      </c>
      <c r="D16" s="59"/>
      <c r="E16" s="59"/>
      <c r="F16" s="59"/>
      <c r="G16" s="59"/>
      <c r="H16" s="59"/>
      <c r="I16" s="59"/>
      <c r="J16" s="59"/>
      <c r="K16" s="59"/>
      <c r="L16" s="401">
        <f t="shared" si="0"/>
        <v>0</v>
      </c>
      <c r="M16" s="227">
        <f t="shared" si="1"/>
        <v>0</v>
      </c>
      <c r="N16" s="227">
        <f t="shared" si="2"/>
        <v>0</v>
      </c>
      <c r="O16" s="227">
        <f t="shared" si="3"/>
        <v>0</v>
      </c>
      <c r="P16" s="228">
        <f t="shared" si="4"/>
        <v>0</v>
      </c>
    </row>
    <row r="17" spans="1:16" ht="20.100000000000001" customHeight="1" x14ac:dyDescent="0.25">
      <c r="A17" s="349">
        <v>11</v>
      </c>
      <c r="B17" s="269" t="str">
        <f>dtsiswa!D17</f>
        <v>Fania Mutiara Felichia</v>
      </c>
      <c r="C17" s="36" t="s">
        <v>4</v>
      </c>
      <c r="D17" s="59"/>
      <c r="E17" s="59"/>
      <c r="F17" s="59"/>
      <c r="G17" s="59"/>
      <c r="H17" s="59"/>
      <c r="I17" s="59"/>
      <c r="J17" s="59"/>
      <c r="K17" s="59"/>
      <c r="L17" s="401">
        <f t="shared" si="0"/>
        <v>0</v>
      </c>
      <c r="M17" s="227">
        <f t="shared" si="1"/>
        <v>0</v>
      </c>
      <c r="N17" s="227">
        <f t="shared" si="2"/>
        <v>0</v>
      </c>
      <c r="O17" s="227">
        <f t="shared" si="3"/>
        <v>0</v>
      </c>
      <c r="P17" s="228">
        <f t="shared" si="4"/>
        <v>0</v>
      </c>
    </row>
    <row r="18" spans="1:16" ht="20.100000000000001" customHeight="1" x14ac:dyDescent="0.25">
      <c r="A18" s="349">
        <v>12</v>
      </c>
      <c r="B18" s="269" t="str">
        <f>dtsiswa!D18</f>
        <v>Intan Dyah Nowari</v>
      </c>
      <c r="C18" s="36" t="s">
        <v>4</v>
      </c>
      <c r="D18" s="59"/>
      <c r="E18" s="59"/>
      <c r="F18" s="59"/>
      <c r="G18" s="59"/>
      <c r="H18" s="59"/>
      <c r="I18" s="59"/>
      <c r="J18" s="59"/>
      <c r="K18" s="59"/>
      <c r="L18" s="401">
        <f t="shared" si="0"/>
        <v>0</v>
      </c>
      <c r="M18" s="227">
        <f t="shared" si="1"/>
        <v>0</v>
      </c>
      <c r="N18" s="227">
        <f t="shared" si="2"/>
        <v>0</v>
      </c>
      <c r="O18" s="227">
        <f t="shared" si="3"/>
        <v>0</v>
      </c>
      <c r="P18" s="228">
        <f t="shared" si="4"/>
        <v>0</v>
      </c>
    </row>
    <row r="19" spans="1:16" ht="20.100000000000001" customHeight="1" x14ac:dyDescent="0.25">
      <c r="A19" s="349">
        <v>13</v>
      </c>
      <c r="B19" s="269" t="str">
        <f>dtsiswa!D19</f>
        <v>Misyanita Nurfitri S</v>
      </c>
      <c r="C19" s="36" t="s">
        <v>5</v>
      </c>
      <c r="D19" s="59"/>
      <c r="E19" s="59"/>
      <c r="F19" s="59"/>
      <c r="G19" s="59"/>
      <c r="H19" s="59"/>
      <c r="I19" s="59"/>
      <c r="J19" s="59"/>
      <c r="K19" s="59"/>
      <c r="L19" s="401">
        <f t="shared" si="0"/>
        <v>0</v>
      </c>
      <c r="M19" s="227">
        <f t="shared" si="1"/>
        <v>0</v>
      </c>
      <c r="N19" s="227">
        <f t="shared" si="2"/>
        <v>0</v>
      </c>
      <c r="O19" s="227">
        <f t="shared" si="3"/>
        <v>0</v>
      </c>
      <c r="P19" s="228">
        <f t="shared" si="4"/>
        <v>0</v>
      </c>
    </row>
    <row r="20" spans="1:16" ht="20.100000000000001" customHeight="1" x14ac:dyDescent="0.25">
      <c r="A20" s="349">
        <v>14</v>
      </c>
      <c r="B20" s="269" t="str">
        <f>dtsiswa!D20</f>
        <v>Moch Zidane Hita L. U</v>
      </c>
      <c r="C20" s="36" t="s">
        <v>4</v>
      </c>
      <c r="D20" s="59"/>
      <c r="E20" s="59"/>
      <c r="F20" s="59"/>
      <c r="G20" s="59"/>
      <c r="H20" s="59"/>
      <c r="I20" s="59"/>
      <c r="J20" s="59"/>
      <c r="K20" s="59"/>
      <c r="L20" s="401">
        <f t="shared" si="0"/>
        <v>0</v>
      </c>
      <c r="M20" s="227">
        <f t="shared" si="1"/>
        <v>0</v>
      </c>
      <c r="N20" s="227">
        <f t="shared" si="2"/>
        <v>0</v>
      </c>
      <c r="O20" s="227">
        <f t="shared" si="3"/>
        <v>0</v>
      </c>
      <c r="P20" s="228">
        <f t="shared" si="4"/>
        <v>0</v>
      </c>
    </row>
    <row r="21" spans="1:16" ht="20.100000000000001" customHeight="1" x14ac:dyDescent="0.25">
      <c r="A21" s="349">
        <v>15</v>
      </c>
      <c r="B21" s="269" t="str">
        <f>dtsiswa!D21</f>
        <v>Muhammad Ibra Maulana</v>
      </c>
      <c r="C21" s="36" t="s">
        <v>4</v>
      </c>
      <c r="D21" s="59"/>
      <c r="E21" s="59"/>
      <c r="F21" s="59"/>
      <c r="G21" s="59"/>
      <c r="H21" s="59"/>
      <c r="I21" s="59"/>
      <c r="J21" s="59"/>
      <c r="K21" s="59"/>
      <c r="L21" s="401">
        <f t="shared" si="0"/>
        <v>0</v>
      </c>
      <c r="M21" s="227">
        <f t="shared" si="1"/>
        <v>0</v>
      </c>
      <c r="N21" s="227">
        <f t="shared" si="2"/>
        <v>0</v>
      </c>
      <c r="O21" s="227">
        <f t="shared" si="3"/>
        <v>0</v>
      </c>
      <c r="P21" s="228">
        <f t="shared" si="4"/>
        <v>0</v>
      </c>
    </row>
    <row r="22" spans="1:16" ht="20.100000000000001" customHeight="1" x14ac:dyDescent="0.25">
      <c r="A22" s="349">
        <v>16</v>
      </c>
      <c r="B22" s="269" t="str">
        <f>dtsiswa!D22</f>
        <v>Nabilla Shiva Putri</v>
      </c>
      <c r="C22" s="36" t="s">
        <v>4</v>
      </c>
      <c r="D22" s="59"/>
      <c r="E22" s="59"/>
      <c r="F22" s="59"/>
      <c r="G22" s="59"/>
      <c r="H22" s="59"/>
      <c r="I22" s="59"/>
      <c r="J22" s="59"/>
      <c r="K22" s="59"/>
      <c r="L22" s="401">
        <f t="shared" si="0"/>
        <v>0</v>
      </c>
      <c r="M22" s="227">
        <f t="shared" si="1"/>
        <v>0</v>
      </c>
      <c r="N22" s="227">
        <f t="shared" si="2"/>
        <v>0</v>
      </c>
      <c r="O22" s="227">
        <f t="shared" si="3"/>
        <v>0</v>
      </c>
      <c r="P22" s="228">
        <f t="shared" si="4"/>
        <v>0</v>
      </c>
    </row>
    <row r="23" spans="1:16" ht="20.100000000000001" customHeight="1" x14ac:dyDescent="0.25">
      <c r="A23" s="349">
        <v>17</v>
      </c>
      <c r="B23" s="269" t="str">
        <f>dtsiswa!D23</f>
        <v>Naufal Falih F</v>
      </c>
      <c r="C23" s="36" t="s">
        <v>5</v>
      </c>
      <c r="D23" s="59"/>
      <c r="E23" s="59"/>
      <c r="F23" s="59"/>
      <c r="G23" s="59"/>
      <c r="H23" s="59"/>
      <c r="I23" s="59"/>
      <c r="J23" s="59"/>
      <c r="K23" s="59"/>
      <c r="L23" s="401">
        <f t="shared" si="0"/>
        <v>0</v>
      </c>
      <c r="M23" s="227">
        <f t="shared" si="1"/>
        <v>0</v>
      </c>
      <c r="N23" s="227">
        <f t="shared" si="2"/>
        <v>0</v>
      </c>
      <c r="O23" s="227">
        <f t="shared" si="3"/>
        <v>0</v>
      </c>
      <c r="P23" s="228">
        <f t="shared" si="4"/>
        <v>0</v>
      </c>
    </row>
    <row r="24" spans="1:16" ht="20.100000000000001" customHeight="1" x14ac:dyDescent="0.25">
      <c r="A24" s="349">
        <v>18</v>
      </c>
      <c r="B24" s="269" t="str">
        <f>dtsiswa!D24</f>
        <v>Nayla Annora Nobel W</v>
      </c>
      <c r="C24" s="36" t="s">
        <v>4</v>
      </c>
      <c r="D24" s="59"/>
      <c r="E24" s="59"/>
      <c r="F24" s="59"/>
      <c r="G24" s="59"/>
      <c r="H24" s="59"/>
      <c r="I24" s="59"/>
      <c r="J24" s="59"/>
      <c r="K24" s="59"/>
      <c r="L24" s="401">
        <f t="shared" si="0"/>
        <v>0</v>
      </c>
      <c r="M24" s="227">
        <f t="shared" si="1"/>
        <v>0</v>
      </c>
      <c r="N24" s="227">
        <f t="shared" si="2"/>
        <v>0</v>
      </c>
      <c r="O24" s="227">
        <f t="shared" si="3"/>
        <v>0</v>
      </c>
      <c r="P24" s="228">
        <f t="shared" si="4"/>
        <v>0</v>
      </c>
    </row>
    <row r="25" spans="1:16" ht="20.100000000000001" customHeight="1" x14ac:dyDescent="0.25">
      <c r="A25" s="349">
        <v>19</v>
      </c>
      <c r="B25" s="269" t="str">
        <f>dtsiswa!D25</f>
        <v>Raihan Danang P</v>
      </c>
      <c r="C25" s="36" t="s">
        <v>5</v>
      </c>
      <c r="D25" s="59"/>
      <c r="E25" s="59"/>
      <c r="F25" s="59"/>
      <c r="G25" s="59"/>
      <c r="H25" s="59"/>
      <c r="I25" s="59"/>
      <c r="J25" s="59"/>
      <c r="K25" s="59"/>
      <c r="L25" s="401">
        <f t="shared" si="0"/>
        <v>0</v>
      </c>
      <c r="M25" s="227">
        <f t="shared" si="1"/>
        <v>0</v>
      </c>
      <c r="N25" s="227">
        <f t="shared" si="2"/>
        <v>0</v>
      </c>
      <c r="O25" s="227">
        <f t="shared" si="3"/>
        <v>0</v>
      </c>
      <c r="P25" s="228">
        <f t="shared" si="4"/>
        <v>0</v>
      </c>
    </row>
    <row r="26" spans="1:16" ht="20.100000000000001" customHeight="1" x14ac:dyDescent="0.25">
      <c r="A26" s="349">
        <v>20</v>
      </c>
      <c r="B26" s="269" t="str">
        <f>dtsiswa!D26</f>
        <v>Roby Ardiyansyah</v>
      </c>
      <c r="C26" s="36" t="s">
        <v>5</v>
      </c>
      <c r="D26" s="349"/>
      <c r="E26" s="349"/>
      <c r="F26" s="628"/>
      <c r="G26" s="349"/>
      <c r="H26" s="349"/>
      <c r="I26" s="349"/>
      <c r="J26" s="349"/>
      <c r="K26" s="349"/>
      <c r="L26" s="401">
        <f t="shared" si="0"/>
        <v>0</v>
      </c>
      <c r="M26" s="227">
        <f t="shared" si="1"/>
        <v>0</v>
      </c>
      <c r="N26" s="227">
        <f t="shared" si="2"/>
        <v>0</v>
      </c>
      <c r="O26" s="227">
        <f t="shared" si="3"/>
        <v>0</v>
      </c>
      <c r="P26" s="228">
        <f t="shared" si="4"/>
        <v>0</v>
      </c>
    </row>
    <row r="27" spans="1:16" ht="20.100000000000001" customHeight="1" x14ac:dyDescent="0.25">
      <c r="A27" s="349">
        <v>21</v>
      </c>
      <c r="B27" s="269" t="str">
        <f>dtsiswa!D27</f>
        <v>Rojalingga Prana A</v>
      </c>
      <c r="C27" s="44" t="s">
        <v>4</v>
      </c>
      <c r="D27" s="59"/>
      <c r="E27" s="59"/>
      <c r="F27" s="59"/>
      <c r="G27" s="59"/>
      <c r="H27" s="59"/>
      <c r="I27" s="59"/>
      <c r="J27" s="59"/>
      <c r="K27" s="59"/>
      <c r="L27" s="401">
        <f t="shared" si="0"/>
        <v>0</v>
      </c>
      <c r="M27" s="227">
        <f t="shared" si="1"/>
        <v>0</v>
      </c>
      <c r="N27" s="227">
        <f t="shared" si="2"/>
        <v>0</v>
      </c>
      <c r="O27" s="227">
        <f t="shared" si="3"/>
        <v>0</v>
      </c>
      <c r="P27" s="228">
        <f t="shared" si="4"/>
        <v>0</v>
      </c>
    </row>
    <row r="28" spans="1:16" ht="20.100000000000001" customHeight="1" x14ac:dyDescent="0.25">
      <c r="A28" s="349">
        <v>22</v>
      </c>
      <c r="B28" s="269" t="str">
        <f>dtsiswa!D28</f>
        <v>Sally Savista A</v>
      </c>
      <c r="C28" s="45" t="s">
        <v>4</v>
      </c>
      <c r="D28" s="349"/>
      <c r="E28" s="349"/>
      <c r="F28" s="628"/>
      <c r="G28" s="349"/>
      <c r="H28" s="349"/>
      <c r="I28" s="349"/>
      <c r="J28" s="349"/>
      <c r="K28" s="349"/>
      <c r="L28" s="401">
        <f t="shared" si="0"/>
        <v>0</v>
      </c>
      <c r="M28" s="227">
        <f t="shared" si="1"/>
        <v>0</v>
      </c>
      <c r="N28" s="227">
        <f t="shared" si="2"/>
        <v>0</v>
      </c>
      <c r="O28" s="227">
        <f t="shared" si="3"/>
        <v>0</v>
      </c>
      <c r="P28" s="228">
        <f t="shared" si="4"/>
        <v>0</v>
      </c>
    </row>
    <row r="29" spans="1:16" ht="20.100000000000001" customHeight="1" x14ac:dyDescent="0.25">
      <c r="A29" s="349">
        <v>23</v>
      </c>
      <c r="B29" s="269" t="str">
        <f>dtsiswa!D29</f>
        <v xml:space="preserve">Tania Kaori Angelita </v>
      </c>
      <c r="C29" s="45" t="s">
        <v>5</v>
      </c>
      <c r="D29" s="349"/>
      <c r="E29" s="349"/>
      <c r="F29" s="628"/>
      <c r="G29" s="349"/>
      <c r="H29" s="349"/>
      <c r="I29" s="349"/>
      <c r="J29" s="349"/>
      <c r="K29" s="349"/>
      <c r="L29" s="401">
        <f t="shared" si="0"/>
        <v>0</v>
      </c>
      <c r="M29" s="227">
        <f t="shared" si="1"/>
        <v>0</v>
      </c>
      <c r="N29" s="227">
        <f t="shared" si="2"/>
        <v>0</v>
      </c>
      <c r="O29" s="227">
        <f t="shared" si="3"/>
        <v>0</v>
      </c>
      <c r="P29" s="228">
        <f t="shared" si="4"/>
        <v>0</v>
      </c>
    </row>
    <row r="30" spans="1:16" ht="20.100000000000001" customHeight="1" x14ac:dyDescent="0.25">
      <c r="A30" s="349">
        <v>24</v>
      </c>
      <c r="B30" s="269" t="str">
        <f>dtsiswa!D30</f>
        <v>Romzy Oka Ramadhani P</v>
      </c>
      <c r="C30" s="45" t="s">
        <v>5</v>
      </c>
      <c r="D30" s="349"/>
      <c r="E30" s="349"/>
      <c r="F30" s="628"/>
      <c r="G30" s="349"/>
      <c r="H30" s="349"/>
      <c r="I30" s="349"/>
      <c r="J30" s="349"/>
      <c r="K30" s="349"/>
      <c r="L30" s="401">
        <f t="shared" si="0"/>
        <v>0</v>
      </c>
      <c r="M30" s="227">
        <f t="shared" si="1"/>
        <v>0</v>
      </c>
      <c r="N30" s="227">
        <f t="shared" si="2"/>
        <v>0</v>
      </c>
      <c r="O30" s="227">
        <f t="shared" si="3"/>
        <v>0</v>
      </c>
      <c r="P30" s="228">
        <f t="shared" si="4"/>
        <v>0</v>
      </c>
    </row>
    <row r="31" spans="1:16" ht="20.100000000000001" customHeight="1" x14ac:dyDescent="0.25">
      <c r="A31" s="349">
        <v>25</v>
      </c>
      <c r="B31" s="269" t="str">
        <f>dtsiswa!D31</f>
        <v>Larasati Jagadhita P</v>
      </c>
      <c r="C31" s="36" t="s">
        <v>4</v>
      </c>
      <c r="D31" s="349"/>
      <c r="E31" s="349"/>
      <c r="F31" s="628"/>
      <c r="G31" s="349"/>
      <c r="H31" s="349"/>
      <c r="I31" s="349"/>
      <c r="J31" s="349"/>
      <c r="K31" s="349"/>
      <c r="L31" s="401">
        <f t="shared" si="0"/>
        <v>0</v>
      </c>
      <c r="M31" s="227">
        <f t="shared" si="1"/>
        <v>0</v>
      </c>
      <c r="N31" s="227">
        <f t="shared" si="2"/>
        <v>0</v>
      </c>
      <c r="O31" s="227">
        <f t="shared" si="3"/>
        <v>0</v>
      </c>
      <c r="P31" s="228">
        <f t="shared" si="4"/>
        <v>0</v>
      </c>
    </row>
    <row r="32" spans="1:16" ht="20.100000000000001" customHeight="1" x14ac:dyDescent="0.25">
      <c r="A32" s="349">
        <v>26</v>
      </c>
      <c r="B32" s="269" t="str">
        <f>dtsiswa!D32</f>
        <v>Meliana Citra A</v>
      </c>
      <c r="C32" s="36" t="s">
        <v>5</v>
      </c>
      <c r="D32" s="349"/>
      <c r="E32" s="349"/>
      <c r="F32" s="628"/>
      <c r="G32" s="349"/>
      <c r="H32" s="349"/>
      <c r="I32" s="349"/>
      <c r="J32" s="349"/>
      <c r="K32" s="349"/>
      <c r="L32" s="401">
        <f t="shared" si="0"/>
        <v>0</v>
      </c>
      <c r="M32" s="227">
        <f t="shared" si="1"/>
        <v>0</v>
      </c>
      <c r="N32" s="227">
        <f t="shared" si="2"/>
        <v>0</v>
      </c>
      <c r="O32" s="227">
        <f t="shared" si="3"/>
        <v>0</v>
      </c>
      <c r="P32" s="228">
        <f t="shared" si="4"/>
        <v>0</v>
      </c>
    </row>
    <row r="33" spans="1:16" ht="20.100000000000001" customHeight="1" x14ac:dyDescent="0.25">
      <c r="A33" s="349">
        <v>27</v>
      </c>
      <c r="B33" s="269" t="str">
        <f>dtsiswa!D33</f>
        <v>Mohammad Rizky</v>
      </c>
      <c r="C33" s="36" t="s">
        <v>5</v>
      </c>
      <c r="D33" s="628"/>
      <c r="E33" s="628"/>
      <c r="F33" s="628"/>
      <c r="G33" s="628"/>
      <c r="H33" s="628"/>
      <c r="I33" s="628"/>
      <c r="J33" s="628"/>
      <c r="K33" s="628"/>
      <c r="L33" s="401">
        <f t="shared" si="0"/>
        <v>0</v>
      </c>
      <c r="M33" s="227">
        <f t="shared" si="1"/>
        <v>0</v>
      </c>
      <c r="N33" s="227">
        <f t="shared" si="2"/>
        <v>0</v>
      </c>
      <c r="O33" s="227">
        <f t="shared" si="3"/>
        <v>0</v>
      </c>
      <c r="P33" s="228">
        <f t="shared" si="4"/>
        <v>0</v>
      </c>
    </row>
    <row r="34" spans="1:16" ht="20.100000000000001" customHeight="1" x14ac:dyDescent="0.25">
      <c r="A34" s="349">
        <v>28</v>
      </c>
      <c r="B34" s="269">
        <f>dtsiswa!D34</f>
        <v>0</v>
      </c>
      <c r="C34" s="36" t="s">
        <v>5</v>
      </c>
      <c r="D34" s="628"/>
      <c r="E34" s="628"/>
      <c r="F34" s="628"/>
      <c r="G34" s="628"/>
      <c r="H34" s="628"/>
      <c r="I34" s="628"/>
      <c r="J34" s="628"/>
      <c r="K34" s="628"/>
      <c r="L34" s="401">
        <f t="shared" si="0"/>
        <v>0</v>
      </c>
      <c r="M34" s="227">
        <f t="shared" si="1"/>
        <v>0</v>
      </c>
      <c r="N34" s="227">
        <f t="shared" si="2"/>
        <v>0</v>
      </c>
      <c r="O34" s="227">
        <f t="shared" si="3"/>
        <v>0</v>
      </c>
      <c r="P34" s="228">
        <f t="shared" si="4"/>
        <v>0</v>
      </c>
    </row>
    <row r="35" spans="1:16" ht="20.100000000000001" customHeight="1" x14ac:dyDescent="0.25">
      <c r="A35" s="349">
        <v>29</v>
      </c>
      <c r="B35" s="269">
        <f>dtsiswa!D35</f>
        <v>0</v>
      </c>
      <c r="C35" s="36" t="s">
        <v>5</v>
      </c>
      <c r="D35" s="628"/>
      <c r="E35" s="628"/>
      <c r="F35" s="628"/>
      <c r="G35" s="628"/>
      <c r="H35" s="628"/>
      <c r="I35" s="628"/>
      <c r="J35" s="628"/>
      <c r="K35" s="628"/>
      <c r="L35" s="401">
        <f t="shared" si="0"/>
        <v>0</v>
      </c>
      <c r="M35" s="227">
        <f t="shared" si="1"/>
        <v>0</v>
      </c>
      <c r="N35" s="227">
        <f t="shared" si="2"/>
        <v>0</v>
      </c>
      <c r="O35" s="227">
        <f t="shared" si="3"/>
        <v>0</v>
      </c>
      <c r="P35" s="228">
        <f t="shared" si="4"/>
        <v>0</v>
      </c>
    </row>
    <row r="36" spans="1:16" ht="20.100000000000001" customHeight="1" x14ac:dyDescent="0.25">
      <c r="A36" s="349">
        <v>30</v>
      </c>
      <c r="B36" s="269">
        <f>dtsiswa!D36</f>
        <v>0</v>
      </c>
      <c r="C36" s="36" t="s">
        <v>5</v>
      </c>
      <c r="D36" s="628"/>
      <c r="E36" s="628"/>
      <c r="F36" s="628"/>
      <c r="G36" s="628"/>
      <c r="H36" s="628"/>
      <c r="I36" s="628"/>
      <c r="J36" s="628"/>
      <c r="K36" s="628"/>
      <c r="L36" s="401">
        <f t="shared" si="0"/>
        <v>0</v>
      </c>
      <c r="M36" s="227">
        <f t="shared" si="1"/>
        <v>0</v>
      </c>
      <c r="N36" s="227">
        <f t="shared" si="2"/>
        <v>0</v>
      </c>
      <c r="O36" s="227">
        <f t="shared" si="3"/>
        <v>0</v>
      </c>
      <c r="P36" s="228">
        <f t="shared" si="4"/>
        <v>0</v>
      </c>
    </row>
    <row r="37" spans="1:16" ht="20.100000000000001" customHeight="1" x14ac:dyDescent="0.25">
      <c r="A37" s="628">
        <v>31</v>
      </c>
      <c r="B37" s="269">
        <f>dtsiswa!D37</f>
        <v>0</v>
      </c>
      <c r="C37" s="36" t="s">
        <v>5</v>
      </c>
      <c r="D37" s="628"/>
      <c r="E37" s="628"/>
      <c r="F37" s="628"/>
      <c r="G37" s="628"/>
      <c r="H37" s="628"/>
      <c r="I37" s="628"/>
      <c r="J37" s="628"/>
      <c r="K37" s="628"/>
      <c r="L37" s="401">
        <f t="shared" si="0"/>
        <v>0</v>
      </c>
      <c r="M37" s="227">
        <f t="shared" si="1"/>
        <v>0</v>
      </c>
      <c r="N37" s="227">
        <f t="shared" si="2"/>
        <v>0</v>
      </c>
      <c r="O37" s="227">
        <f t="shared" si="3"/>
        <v>0</v>
      </c>
      <c r="P37" s="228">
        <f t="shared" si="4"/>
        <v>0</v>
      </c>
    </row>
    <row r="38" spans="1:16" ht="20.100000000000001" customHeight="1" x14ac:dyDescent="0.25">
      <c r="A38" s="628">
        <v>32</v>
      </c>
      <c r="B38" s="269">
        <f>dtsiswa!D38</f>
        <v>0</v>
      </c>
      <c r="C38" s="36" t="s">
        <v>5</v>
      </c>
      <c r="D38" s="628"/>
      <c r="E38" s="628"/>
      <c r="F38" s="628"/>
      <c r="G38" s="628"/>
      <c r="H38" s="628"/>
      <c r="I38" s="628"/>
      <c r="J38" s="628"/>
      <c r="K38" s="628"/>
      <c r="L38" s="401">
        <f t="shared" si="0"/>
        <v>0</v>
      </c>
      <c r="M38" s="227">
        <f t="shared" si="1"/>
        <v>0</v>
      </c>
      <c r="N38" s="227">
        <f t="shared" si="2"/>
        <v>0</v>
      </c>
      <c r="O38" s="227">
        <f t="shared" si="3"/>
        <v>0</v>
      </c>
      <c r="P38" s="228">
        <f t="shared" si="4"/>
        <v>0</v>
      </c>
    </row>
    <row r="39" spans="1:16" ht="20.100000000000001" customHeight="1" x14ac:dyDescent="0.25">
      <c r="A39" s="628">
        <v>33</v>
      </c>
      <c r="B39" s="269">
        <f>dtsiswa!D39</f>
        <v>0</v>
      </c>
      <c r="C39" s="36" t="s">
        <v>5</v>
      </c>
      <c r="D39" s="628"/>
      <c r="E39" s="628"/>
      <c r="F39" s="628"/>
      <c r="G39" s="628"/>
      <c r="H39" s="628"/>
      <c r="I39" s="628"/>
      <c r="J39" s="628"/>
      <c r="K39" s="628"/>
      <c r="L39" s="401">
        <f t="shared" si="0"/>
        <v>0</v>
      </c>
      <c r="M39" s="227">
        <f t="shared" si="1"/>
        <v>0</v>
      </c>
      <c r="N39" s="227">
        <f t="shared" si="2"/>
        <v>0</v>
      </c>
      <c r="O39" s="227">
        <f t="shared" si="3"/>
        <v>0</v>
      </c>
      <c r="P39" s="228">
        <f t="shared" si="4"/>
        <v>0</v>
      </c>
    </row>
    <row r="40" spans="1:16" ht="20.100000000000001" customHeight="1" x14ac:dyDescent="0.25">
      <c r="A40" s="628">
        <v>34</v>
      </c>
      <c r="B40" s="269">
        <f>dtsiswa!D40</f>
        <v>0</v>
      </c>
      <c r="C40" s="36" t="s">
        <v>5</v>
      </c>
      <c r="D40" s="628"/>
      <c r="E40" s="628"/>
      <c r="F40" s="628"/>
      <c r="G40" s="628"/>
      <c r="H40" s="628"/>
      <c r="I40" s="628"/>
      <c r="J40" s="628"/>
      <c r="K40" s="628"/>
      <c r="L40" s="401">
        <f t="shared" si="0"/>
        <v>0</v>
      </c>
      <c r="M40" s="227">
        <f t="shared" si="1"/>
        <v>0</v>
      </c>
      <c r="N40" s="227">
        <f t="shared" si="2"/>
        <v>0</v>
      </c>
      <c r="O40" s="227">
        <f t="shared" si="3"/>
        <v>0</v>
      </c>
      <c r="P40" s="228">
        <f t="shared" si="4"/>
        <v>0</v>
      </c>
    </row>
    <row r="41" spans="1:16" ht="20.100000000000001" customHeight="1" x14ac:dyDescent="0.25">
      <c r="A41" s="628">
        <v>35</v>
      </c>
      <c r="B41" s="269">
        <f>dtsiswa!D41</f>
        <v>0</v>
      </c>
      <c r="C41" s="36" t="s">
        <v>5</v>
      </c>
      <c r="D41" s="628"/>
      <c r="E41" s="628"/>
      <c r="F41" s="628"/>
      <c r="G41" s="628"/>
      <c r="H41" s="628"/>
      <c r="I41" s="628"/>
      <c r="J41" s="628"/>
      <c r="K41" s="628"/>
      <c r="L41" s="401">
        <f t="shared" si="0"/>
        <v>0</v>
      </c>
      <c r="M41" s="227">
        <f t="shared" si="1"/>
        <v>0</v>
      </c>
      <c r="N41" s="227">
        <f t="shared" si="2"/>
        <v>0</v>
      </c>
      <c r="O41" s="227">
        <f t="shared" si="3"/>
        <v>0</v>
      </c>
      <c r="P41" s="228">
        <f t="shared" si="4"/>
        <v>0</v>
      </c>
    </row>
    <row r="42" spans="1:16" ht="20.100000000000001" customHeight="1" x14ac:dyDescent="0.25">
      <c r="A42" s="628">
        <v>36</v>
      </c>
      <c r="B42" s="269">
        <f>dtsiswa!D42</f>
        <v>0</v>
      </c>
      <c r="C42" s="36" t="s">
        <v>5</v>
      </c>
      <c r="D42" s="628"/>
      <c r="E42" s="628"/>
      <c r="F42" s="628"/>
      <c r="G42" s="628"/>
      <c r="H42" s="628"/>
      <c r="I42" s="628"/>
      <c r="J42" s="628"/>
      <c r="K42" s="628"/>
      <c r="L42" s="401">
        <f t="shared" si="0"/>
        <v>0</v>
      </c>
      <c r="M42" s="227">
        <f t="shared" si="1"/>
        <v>0</v>
      </c>
      <c r="N42" s="227">
        <f t="shared" si="2"/>
        <v>0</v>
      </c>
      <c r="O42" s="227">
        <f t="shared" si="3"/>
        <v>0</v>
      </c>
      <c r="P42" s="228">
        <f t="shared" si="4"/>
        <v>0</v>
      </c>
    </row>
    <row r="43" spans="1:16" ht="20.100000000000001" customHeight="1" x14ac:dyDescent="0.25">
      <c r="A43" s="628">
        <v>37</v>
      </c>
      <c r="B43" s="269">
        <f>dtsiswa!D43</f>
        <v>0</v>
      </c>
      <c r="C43" s="36" t="s">
        <v>5</v>
      </c>
      <c r="D43" s="628"/>
      <c r="E43" s="628"/>
      <c r="F43" s="628"/>
      <c r="G43" s="628"/>
      <c r="H43" s="628"/>
      <c r="I43" s="628"/>
      <c r="J43" s="628"/>
      <c r="K43" s="628"/>
      <c r="L43" s="401">
        <f t="shared" si="0"/>
        <v>0</v>
      </c>
      <c r="M43" s="227">
        <f t="shared" si="1"/>
        <v>0</v>
      </c>
      <c r="N43" s="227">
        <f t="shared" si="2"/>
        <v>0</v>
      </c>
      <c r="O43" s="227">
        <f t="shared" si="3"/>
        <v>0</v>
      </c>
      <c r="P43" s="228">
        <f t="shared" si="4"/>
        <v>0</v>
      </c>
    </row>
    <row r="44" spans="1:16" ht="20.100000000000001" customHeight="1" x14ac:dyDescent="0.25">
      <c r="A44" s="628">
        <v>38</v>
      </c>
      <c r="B44" s="269">
        <f>dtsiswa!D44</f>
        <v>0</v>
      </c>
      <c r="C44" s="36" t="s">
        <v>5</v>
      </c>
      <c r="D44" s="628"/>
      <c r="E44" s="628"/>
      <c r="F44" s="628"/>
      <c r="G44" s="628"/>
      <c r="H44" s="628"/>
      <c r="I44" s="628"/>
      <c r="J44" s="628"/>
      <c r="K44" s="628"/>
      <c r="L44" s="401">
        <f t="shared" si="0"/>
        <v>0</v>
      </c>
      <c r="M44" s="227">
        <f t="shared" si="1"/>
        <v>0</v>
      </c>
      <c r="N44" s="227">
        <f t="shared" si="2"/>
        <v>0</v>
      </c>
      <c r="O44" s="227">
        <f t="shared" si="3"/>
        <v>0</v>
      </c>
      <c r="P44" s="228">
        <f t="shared" si="4"/>
        <v>0</v>
      </c>
    </row>
    <row r="45" spans="1:16" ht="20.100000000000001" customHeight="1" x14ac:dyDescent="0.25">
      <c r="A45" s="628">
        <v>39</v>
      </c>
      <c r="B45" s="269">
        <f>dtsiswa!D45</f>
        <v>0</v>
      </c>
      <c r="C45" s="36" t="s">
        <v>5</v>
      </c>
      <c r="D45" s="628"/>
      <c r="E45" s="628"/>
      <c r="F45" s="628"/>
      <c r="G45" s="628"/>
      <c r="H45" s="628"/>
      <c r="I45" s="628"/>
      <c r="J45" s="628"/>
      <c r="K45" s="628"/>
      <c r="L45" s="401">
        <f t="shared" si="0"/>
        <v>0</v>
      </c>
      <c r="M45" s="227">
        <f t="shared" si="1"/>
        <v>0</v>
      </c>
      <c r="N45" s="227">
        <f t="shared" si="2"/>
        <v>0</v>
      </c>
      <c r="O45" s="227">
        <f t="shared" si="3"/>
        <v>0</v>
      </c>
      <c r="P45" s="228">
        <f t="shared" si="4"/>
        <v>0</v>
      </c>
    </row>
    <row r="46" spans="1:16" ht="20.100000000000001" customHeight="1" x14ac:dyDescent="0.25">
      <c r="A46" s="628">
        <v>40</v>
      </c>
      <c r="B46" s="269">
        <f>dtsiswa!D46</f>
        <v>0</v>
      </c>
      <c r="C46" s="36" t="s">
        <v>5</v>
      </c>
      <c r="D46" s="628"/>
      <c r="E46" s="628"/>
      <c r="F46" s="628"/>
      <c r="G46" s="628"/>
      <c r="H46" s="628"/>
      <c r="I46" s="628"/>
      <c r="J46" s="628"/>
      <c r="K46" s="628"/>
      <c r="L46" s="401">
        <f t="shared" si="0"/>
        <v>0</v>
      </c>
      <c r="M46" s="227">
        <f t="shared" si="1"/>
        <v>0</v>
      </c>
      <c r="N46" s="227">
        <f t="shared" si="2"/>
        <v>0</v>
      </c>
      <c r="O46" s="227">
        <f t="shared" si="3"/>
        <v>0</v>
      </c>
      <c r="P46" s="228">
        <f t="shared" si="4"/>
        <v>0</v>
      </c>
    </row>
    <row r="47" spans="1:16" ht="20.100000000000001" customHeight="1" x14ac:dyDescent="0.25">
      <c r="A47" s="349"/>
      <c r="B47" s="269"/>
      <c r="C47" s="36"/>
      <c r="D47" s="349"/>
      <c r="E47" s="349"/>
      <c r="F47" s="628"/>
      <c r="G47" s="349"/>
      <c r="H47" s="349"/>
      <c r="I47" s="349"/>
      <c r="J47" s="349"/>
      <c r="K47" s="349"/>
      <c r="L47" s="401"/>
      <c r="M47" s="203"/>
      <c r="N47" s="203"/>
      <c r="O47" s="203"/>
      <c r="P47" s="239"/>
    </row>
    <row r="48" spans="1:16" ht="20.100000000000001" customHeight="1" x14ac:dyDescent="0.25">
      <c r="A48" s="349"/>
      <c r="B48" s="47" t="s">
        <v>36</v>
      </c>
      <c r="C48" s="48"/>
      <c r="D48" s="49">
        <f t="shared" ref="D48:K48" si="5">COUNTIF(D7:D30,"0")</f>
        <v>0</v>
      </c>
      <c r="E48" s="49">
        <f t="shared" si="5"/>
        <v>0</v>
      </c>
      <c r="F48" s="49"/>
      <c r="G48" s="49">
        <f t="shared" si="5"/>
        <v>0</v>
      </c>
      <c r="H48" s="49">
        <f t="shared" si="5"/>
        <v>1</v>
      </c>
      <c r="I48" s="49">
        <f t="shared" si="5"/>
        <v>0</v>
      </c>
      <c r="J48" s="49">
        <f t="shared" si="5"/>
        <v>0</v>
      </c>
      <c r="K48" s="49">
        <f t="shared" si="5"/>
        <v>0</v>
      </c>
      <c r="L48" s="49"/>
      <c r="M48" s="203"/>
      <c r="N48" s="203"/>
      <c r="O48" s="203"/>
      <c r="P48" s="239"/>
    </row>
    <row r="49" spans="1:16" ht="18" customHeight="1" x14ac:dyDescent="0.25">
      <c r="A49" s="50"/>
      <c r="B49" s="51" t="s">
        <v>37</v>
      </c>
      <c r="C49" s="51"/>
      <c r="D49" s="52"/>
      <c r="E49" s="52"/>
      <c r="F49" s="52"/>
      <c r="G49" s="52"/>
      <c r="H49" s="52"/>
      <c r="I49" s="52"/>
      <c r="J49" s="52"/>
      <c r="K49" s="52"/>
      <c r="L49" s="52"/>
      <c r="M49" s="53">
        <f>MAX(M7:M30)</f>
        <v>3</v>
      </c>
      <c r="N49" s="53">
        <f>MAX(N7:N30)</f>
        <v>2</v>
      </c>
      <c r="O49" s="53">
        <f>MAX(O7:O30)</f>
        <v>6</v>
      </c>
      <c r="P49" s="53">
        <f>MAX(P7:P30)</f>
        <v>84.615384615384613</v>
      </c>
    </row>
    <row r="50" spans="1:16" ht="18" customHeight="1" x14ac:dyDescent="0.25">
      <c r="A50" s="54"/>
      <c r="B50" s="51" t="s">
        <v>38</v>
      </c>
      <c r="C50" s="51"/>
      <c r="D50" s="52"/>
      <c r="E50" s="52"/>
      <c r="F50" s="52"/>
      <c r="G50" s="52"/>
      <c r="H50" s="52"/>
      <c r="I50" s="52"/>
      <c r="J50" s="52"/>
      <c r="K50" s="52"/>
      <c r="L50" s="52"/>
      <c r="M50" s="53">
        <f>MIN(M7:M30)</f>
        <v>0</v>
      </c>
      <c r="N50" s="53">
        <f>MIN(N7:N30)</f>
        <v>0</v>
      </c>
      <c r="O50" s="53">
        <f>MIN(O7:O30)</f>
        <v>0</v>
      </c>
      <c r="P50" s="55">
        <f>MIN(P7:P30)</f>
        <v>0</v>
      </c>
    </row>
    <row r="51" spans="1:16" ht="18" customHeight="1" x14ac:dyDescent="0.25">
      <c r="A51" s="54"/>
      <c r="B51" s="51" t="s">
        <v>39</v>
      </c>
      <c r="C51" s="51"/>
      <c r="D51" s="52"/>
      <c r="E51" s="52"/>
      <c r="F51" s="52"/>
      <c r="G51" s="52"/>
      <c r="H51" s="52"/>
      <c r="I51" s="52"/>
      <c r="J51" s="52"/>
      <c r="K51" s="52"/>
      <c r="L51" s="52"/>
      <c r="M51" s="55">
        <f>AVERAGE(M7:M30)</f>
        <v>0.125</v>
      </c>
      <c r="N51" s="55">
        <f>AVERAGE(N7:N30)</f>
        <v>8.3333333333333329E-2</v>
      </c>
      <c r="O51" s="55">
        <f>AVERAGE(O7:O30)</f>
        <v>0.25</v>
      </c>
      <c r="P51" s="55">
        <f>AVERAGE(P7:P30)</f>
        <v>3.5256410256410255</v>
      </c>
    </row>
  </sheetData>
  <mergeCells count="9">
    <mergeCell ref="O5:O6"/>
    <mergeCell ref="P5:P6"/>
    <mergeCell ref="A5:A6"/>
    <mergeCell ref="B5:B6"/>
    <mergeCell ref="C5:C6"/>
    <mergeCell ref="L5:L6"/>
    <mergeCell ref="M5:M6"/>
    <mergeCell ref="N5:N6"/>
    <mergeCell ref="D5:K5"/>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00B0F0"/>
  </sheetPr>
  <dimension ref="A1:V51"/>
  <sheetViews>
    <sheetView showGridLines="0" topLeftCell="A34" workbookViewId="0">
      <selection sqref="A1:Q1"/>
    </sheetView>
  </sheetViews>
  <sheetFormatPr defaultRowHeight="15" x14ac:dyDescent="0.25"/>
  <cols>
    <col min="1" max="1" width="5.42578125" customWidth="1"/>
    <col min="2" max="2" width="45.5703125" customWidth="1"/>
    <col min="3" max="3" width="6.7109375" customWidth="1"/>
    <col min="4" max="11" width="5.7109375" customWidth="1"/>
    <col min="12" max="12" width="9.85546875" customWidth="1"/>
    <col min="13" max="13" width="7.42578125" customWidth="1"/>
    <col min="14" max="14" width="8.5703125" customWidth="1"/>
    <col min="15" max="15" width="7.5703125" customWidth="1"/>
    <col min="16" max="16" width="12.5703125" customWidth="1"/>
  </cols>
  <sheetData>
    <row r="1" spans="1:22" ht="42" customHeight="1" x14ac:dyDescent="0.25">
      <c r="A1" s="312"/>
      <c r="B1" s="312"/>
      <c r="C1" s="312"/>
      <c r="D1" s="312"/>
      <c r="E1" s="312"/>
      <c r="F1" s="312"/>
      <c r="G1" s="312"/>
      <c r="H1" s="312"/>
      <c r="I1" s="197"/>
      <c r="J1" s="197"/>
      <c r="K1" s="197"/>
      <c r="L1" s="197"/>
      <c r="M1" s="197"/>
      <c r="N1" s="197"/>
      <c r="O1" s="197"/>
      <c r="P1" s="197"/>
    </row>
    <row r="2" spans="1:22" ht="15.75" x14ac:dyDescent="0.25">
      <c r="A2" s="56" t="s">
        <v>433</v>
      </c>
      <c r="I2" s="225"/>
      <c r="J2" s="274"/>
      <c r="K2" s="274"/>
      <c r="L2" s="274"/>
      <c r="M2" s="274"/>
      <c r="N2" s="274"/>
      <c r="O2" s="489"/>
      <c r="P2" s="489"/>
      <c r="Q2" s="489"/>
      <c r="R2" s="489"/>
      <c r="S2" s="489"/>
      <c r="T2" s="489"/>
      <c r="U2" s="489"/>
      <c r="V2" s="168"/>
    </row>
    <row r="3" spans="1:22" ht="21" x14ac:dyDescent="0.35">
      <c r="A3" s="70" t="s">
        <v>689</v>
      </c>
      <c r="I3" s="225"/>
      <c r="J3" s="225"/>
      <c r="K3" s="225"/>
      <c r="L3" s="225"/>
      <c r="M3" s="225"/>
      <c r="N3" s="225"/>
      <c r="O3" s="225"/>
      <c r="P3" s="225"/>
    </row>
    <row r="4" spans="1:22" s="201" customFormat="1" ht="15.75" x14ac:dyDescent="0.25">
      <c r="A4" s="230">
        <v>1</v>
      </c>
      <c r="B4" s="230">
        <v>2</v>
      </c>
      <c r="C4" s="230">
        <v>3</v>
      </c>
      <c r="D4" s="230">
        <v>4</v>
      </c>
      <c r="E4" s="230">
        <v>5</v>
      </c>
      <c r="F4" s="230">
        <v>6</v>
      </c>
      <c r="G4" s="230">
        <v>7</v>
      </c>
      <c r="H4" s="230">
        <v>8</v>
      </c>
      <c r="I4" s="230">
        <v>9</v>
      </c>
      <c r="J4" s="230">
        <v>10</v>
      </c>
      <c r="K4" s="230">
        <v>11</v>
      </c>
      <c r="L4" s="230">
        <v>12</v>
      </c>
      <c r="M4" s="230">
        <v>13</v>
      </c>
      <c r="N4" s="230">
        <v>14</v>
      </c>
      <c r="O4" s="230">
        <v>15</v>
      </c>
      <c r="P4" s="230">
        <v>16</v>
      </c>
    </row>
    <row r="5" spans="1:22" s="30" customFormat="1" ht="31.5" customHeight="1" x14ac:dyDescent="0.25">
      <c r="A5" s="3136" t="s">
        <v>0</v>
      </c>
      <c r="B5" s="3136" t="s">
        <v>28</v>
      </c>
      <c r="C5" s="3136" t="s">
        <v>3</v>
      </c>
      <c r="D5" s="288" t="s">
        <v>7</v>
      </c>
      <c r="E5" s="288" t="s">
        <v>8</v>
      </c>
      <c r="F5" s="3218" t="s">
        <v>179</v>
      </c>
      <c r="G5" s="3219"/>
      <c r="H5" s="288" t="s">
        <v>20</v>
      </c>
      <c r="I5" s="288" t="s">
        <v>181</v>
      </c>
      <c r="J5" s="288" t="s">
        <v>182</v>
      </c>
      <c r="K5" s="288" t="s">
        <v>183</v>
      </c>
      <c r="L5" s="3217"/>
      <c r="M5" s="3131" t="s">
        <v>29</v>
      </c>
      <c r="N5" s="3131" t="s">
        <v>30</v>
      </c>
      <c r="O5" s="3131" t="s">
        <v>31</v>
      </c>
      <c r="P5" s="3216" t="s">
        <v>32</v>
      </c>
    </row>
    <row r="6" spans="1:22" ht="22.5" customHeight="1" x14ac:dyDescent="0.25">
      <c r="A6" s="3136"/>
      <c r="B6" s="3136"/>
      <c r="C6" s="3136"/>
      <c r="D6" s="487" t="s">
        <v>29</v>
      </c>
      <c r="E6" s="487" t="s">
        <v>29</v>
      </c>
      <c r="F6" s="487" t="s">
        <v>29</v>
      </c>
      <c r="G6" s="487" t="s">
        <v>29</v>
      </c>
      <c r="H6" s="488" t="s">
        <v>30</v>
      </c>
      <c r="I6" s="488" t="s">
        <v>30</v>
      </c>
      <c r="J6" s="487" t="s">
        <v>31</v>
      </c>
      <c r="K6" s="487" t="s">
        <v>31</v>
      </c>
      <c r="L6" s="3217"/>
      <c r="M6" s="3131"/>
      <c r="N6" s="3131"/>
      <c r="O6" s="3131"/>
      <c r="P6" s="3216"/>
    </row>
    <row r="7" spans="1:22" ht="20.100000000000001" customHeight="1" x14ac:dyDescent="0.25">
      <c r="A7" s="34">
        <v>1</v>
      </c>
      <c r="B7" s="486" t="str">
        <f>dtsiswa!D7</f>
        <v>Achmad Zacky</v>
      </c>
      <c r="C7" s="291" t="s">
        <v>4</v>
      </c>
      <c r="D7" s="200">
        <v>1</v>
      </c>
      <c r="E7" s="200">
        <v>1</v>
      </c>
      <c r="F7" s="200">
        <v>0</v>
      </c>
      <c r="G7" s="200">
        <v>0</v>
      </c>
      <c r="H7" s="200">
        <v>2</v>
      </c>
      <c r="I7" s="200">
        <v>2</v>
      </c>
      <c r="J7" s="200">
        <v>3</v>
      </c>
      <c r="K7" s="200">
        <v>1</v>
      </c>
      <c r="L7" s="401">
        <f>SUM(D7:K7)*100/14</f>
        <v>71.428571428571431</v>
      </c>
      <c r="M7" s="227">
        <f>SUM(D7:G7)</f>
        <v>2</v>
      </c>
      <c r="N7" s="227">
        <f>SUM(H7:I7)</f>
        <v>4</v>
      </c>
      <c r="O7" s="227">
        <f>SUM(J7:K7)</f>
        <v>4</v>
      </c>
      <c r="P7" s="228">
        <f>L7</f>
        <v>71.428571428571431</v>
      </c>
    </row>
    <row r="8" spans="1:22" ht="20.100000000000001" customHeight="1" x14ac:dyDescent="0.25">
      <c r="A8" s="349">
        <v>2</v>
      </c>
      <c r="B8" s="269" t="str">
        <f>dtsiswa!D8</f>
        <v>Angelia Vabel R</v>
      </c>
      <c r="C8" s="36" t="s">
        <v>4</v>
      </c>
      <c r="D8" s="59"/>
      <c r="E8" s="59"/>
      <c r="F8" s="200"/>
      <c r="G8" s="59"/>
      <c r="H8" s="59"/>
      <c r="I8" s="59"/>
      <c r="J8" s="59"/>
      <c r="K8" s="59"/>
      <c r="L8" s="401">
        <f t="shared" ref="L8:L46" si="0">SUM(D8:K8)*100/14</f>
        <v>0</v>
      </c>
      <c r="M8" s="227">
        <f t="shared" ref="M8:M46" si="1">SUM(D8:G8)</f>
        <v>0</v>
      </c>
      <c r="N8" s="227">
        <f t="shared" ref="N8:N46" si="2">SUM(H8:I8)</f>
        <v>0</v>
      </c>
      <c r="O8" s="227">
        <f t="shared" ref="O8:O46" si="3">SUM(J8:K8)</f>
        <v>0</v>
      </c>
      <c r="P8" s="228">
        <f t="shared" ref="P8:P37" si="4">L8</f>
        <v>0</v>
      </c>
    </row>
    <row r="9" spans="1:22" ht="20.100000000000001" customHeight="1" x14ac:dyDescent="0.25">
      <c r="A9" s="349">
        <v>3</v>
      </c>
      <c r="B9" s="269" t="str">
        <f>dtsiswa!D9</f>
        <v>Anggun Dwi P.I</v>
      </c>
      <c r="C9" s="36" t="s">
        <v>4</v>
      </c>
      <c r="D9" s="59"/>
      <c r="E9" s="59"/>
      <c r="F9" s="200"/>
      <c r="G9" s="59"/>
      <c r="H9" s="59"/>
      <c r="I9" s="59"/>
      <c r="J9" s="59"/>
      <c r="K9" s="59"/>
      <c r="L9" s="401">
        <f t="shared" si="0"/>
        <v>0</v>
      </c>
      <c r="M9" s="227">
        <f t="shared" si="1"/>
        <v>0</v>
      </c>
      <c r="N9" s="227">
        <f t="shared" si="2"/>
        <v>0</v>
      </c>
      <c r="O9" s="227">
        <f t="shared" si="3"/>
        <v>0</v>
      </c>
      <c r="P9" s="228">
        <f t="shared" si="4"/>
        <v>0</v>
      </c>
    </row>
    <row r="10" spans="1:22" ht="20.100000000000001" customHeight="1" x14ac:dyDescent="0.25">
      <c r="A10" s="349">
        <v>4</v>
      </c>
      <c r="B10" s="269" t="str">
        <f>dtsiswa!D10</f>
        <v>Antonio Permata A</v>
      </c>
      <c r="C10" s="43" t="s">
        <v>4</v>
      </c>
      <c r="D10" s="59"/>
      <c r="E10" s="59"/>
      <c r="F10" s="200"/>
      <c r="G10" s="59"/>
      <c r="H10" s="59"/>
      <c r="I10" s="59"/>
      <c r="J10" s="59"/>
      <c r="K10" s="59"/>
      <c r="L10" s="401">
        <f t="shared" si="0"/>
        <v>0</v>
      </c>
      <c r="M10" s="227">
        <f t="shared" si="1"/>
        <v>0</v>
      </c>
      <c r="N10" s="227">
        <f t="shared" si="2"/>
        <v>0</v>
      </c>
      <c r="O10" s="227">
        <f t="shared" si="3"/>
        <v>0</v>
      </c>
      <c r="P10" s="228">
        <f t="shared" si="4"/>
        <v>0</v>
      </c>
    </row>
    <row r="11" spans="1:22" ht="20.100000000000001" customHeight="1" x14ac:dyDescent="0.25">
      <c r="A11" s="349">
        <v>5</v>
      </c>
      <c r="B11" s="269" t="str">
        <f>dtsiswa!D11</f>
        <v>Arya Pratama G</v>
      </c>
      <c r="C11" s="36" t="s">
        <v>5</v>
      </c>
      <c r="D11" s="59"/>
      <c r="E11" s="59"/>
      <c r="F11" s="200"/>
      <c r="G11" s="59"/>
      <c r="H11" s="59"/>
      <c r="I11" s="59"/>
      <c r="J11" s="59"/>
      <c r="K11" s="59"/>
      <c r="L11" s="401">
        <f t="shared" si="0"/>
        <v>0</v>
      </c>
      <c r="M11" s="227">
        <f t="shared" si="1"/>
        <v>0</v>
      </c>
      <c r="N11" s="227">
        <f t="shared" si="2"/>
        <v>0</v>
      </c>
      <c r="O11" s="227">
        <f t="shared" si="3"/>
        <v>0</v>
      </c>
      <c r="P11" s="228">
        <f t="shared" si="4"/>
        <v>0</v>
      </c>
    </row>
    <row r="12" spans="1:22" ht="20.100000000000001" customHeight="1" x14ac:dyDescent="0.25">
      <c r="A12" s="349">
        <v>6</v>
      </c>
      <c r="B12" s="269" t="str">
        <f>dtsiswa!D12</f>
        <v>Asyam Hanif Ihsan H</v>
      </c>
      <c r="C12" s="36" t="s">
        <v>5</v>
      </c>
      <c r="D12" s="59"/>
      <c r="E12" s="59"/>
      <c r="F12" s="59"/>
      <c r="G12" s="59"/>
      <c r="H12" s="59"/>
      <c r="I12" s="59"/>
      <c r="J12" s="59"/>
      <c r="K12" s="59"/>
      <c r="L12" s="401">
        <f t="shared" si="0"/>
        <v>0</v>
      </c>
      <c r="M12" s="227">
        <f t="shared" si="1"/>
        <v>0</v>
      </c>
      <c r="N12" s="227">
        <f t="shared" si="2"/>
        <v>0</v>
      </c>
      <c r="O12" s="227">
        <f t="shared" si="3"/>
        <v>0</v>
      </c>
      <c r="P12" s="228">
        <f t="shared" si="4"/>
        <v>0</v>
      </c>
    </row>
    <row r="13" spans="1:22" ht="20.100000000000001" customHeight="1" x14ac:dyDescent="0.25">
      <c r="A13" s="349">
        <v>7</v>
      </c>
      <c r="B13" s="269" t="str">
        <f>dtsiswa!D13</f>
        <v>Athaya Salsabilla Z</v>
      </c>
      <c r="C13" s="36" t="s">
        <v>4</v>
      </c>
      <c r="D13" s="59"/>
      <c r="E13" s="59"/>
      <c r="F13" s="59"/>
      <c r="G13" s="59"/>
      <c r="H13" s="59"/>
      <c r="I13" s="59"/>
      <c r="J13" s="59"/>
      <c r="K13" s="59"/>
      <c r="L13" s="401">
        <f t="shared" si="0"/>
        <v>0</v>
      </c>
      <c r="M13" s="227">
        <f t="shared" si="1"/>
        <v>0</v>
      </c>
      <c r="N13" s="227">
        <f t="shared" si="2"/>
        <v>0</v>
      </c>
      <c r="O13" s="227">
        <f t="shared" si="3"/>
        <v>0</v>
      </c>
      <c r="P13" s="228">
        <f t="shared" si="4"/>
        <v>0</v>
      </c>
    </row>
    <row r="14" spans="1:22" ht="20.100000000000001" customHeight="1" x14ac:dyDescent="0.25">
      <c r="A14" s="349">
        <v>8</v>
      </c>
      <c r="B14" s="269" t="str">
        <f>dtsiswa!D14</f>
        <v>Aulia Dea Rosalinda</v>
      </c>
      <c r="C14" s="36" t="s">
        <v>4</v>
      </c>
      <c r="D14" s="59"/>
      <c r="E14" s="59"/>
      <c r="F14" s="59"/>
      <c r="G14" s="59"/>
      <c r="H14" s="59"/>
      <c r="I14" s="59"/>
      <c r="J14" s="59"/>
      <c r="K14" s="59"/>
      <c r="L14" s="401">
        <f t="shared" si="0"/>
        <v>0</v>
      </c>
      <c r="M14" s="227">
        <f t="shared" si="1"/>
        <v>0</v>
      </c>
      <c r="N14" s="227">
        <f t="shared" si="2"/>
        <v>0</v>
      </c>
      <c r="O14" s="227">
        <f t="shared" si="3"/>
        <v>0</v>
      </c>
      <c r="P14" s="228">
        <f t="shared" si="4"/>
        <v>0</v>
      </c>
    </row>
    <row r="15" spans="1:22" ht="20.100000000000001" customHeight="1" x14ac:dyDescent="0.25">
      <c r="A15" s="349">
        <v>9</v>
      </c>
      <c r="B15" s="269" t="str">
        <f>dtsiswa!D15</f>
        <v>Claudia Gabriella L</v>
      </c>
      <c r="C15" s="36" t="s">
        <v>4</v>
      </c>
      <c r="D15" s="59"/>
      <c r="E15" s="59"/>
      <c r="F15" s="59"/>
      <c r="G15" s="59"/>
      <c r="H15" s="59"/>
      <c r="I15" s="59"/>
      <c r="J15" s="59"/>
      <c r="K15" s="59"/>
      <c r="L15" s="401">
        <f t="shared" si="0"/>
        <v>0</v>
      </c>
      <c r="M15" s="227">
        <f t="shared" si="1"/>
        <v>0</v>
      </c>
      <c r="N15" s="227">
        <f t="shared" si="2"/>
        <v>0</v>
      </c>
      <c r="O15" s="227">
        <f t="shared" si="3"/>
        <v>0</v>
      </c>
      <c r="P15" s="228">
        <f t="shared" si="4"/>
        <v>0</v>
      </c>
    </row>
    <row r="16" spans="1:22" ht="20.100000000000001" customHeight="1" x14ac:dyDescent="0.25">
      <c r="A16" s="349">
        <v>10</v>
      </c>
      <c r="B16" s="269" t="str">
        <f>dtsiswa!D16</f>
        <v xml:space="preserve">Deco Badarus Zaman </v>
      </c>
      <c r="C16" s="36" t="s">
        <v>4</v>
      </c>
      <c r="D16" s="59"/>
      <c r="E16" s="59"/>
      <c r="F16" s="59"/>
      <c r="G16" s="59"/>
      <c r="H16" s="59"/>
      <c r="I16" s="59"/>
      <c r="J16" s="59"/>
      <c r="K16" s="59"/>
      <c r="L16" s="401">
        <f t="shared" si="0"/>
        <v>0</v>
      </c>
      <c r="M16" s="227">
        <f t="shared" si="1"/>
        <v>0</v>
      </c>
      <c r="N16" s="227">
        <f t="shared" si="2"/>
        <v>0</v>
      </c>
      <c r="O16" s="227">
        <f t="shared" si="3"/>
        <v>0</v>
      </c>
      <c r="P16" s="228">
        <f t="shared" si="4"/>
        <v>0</v>
      </c>
    </row>
    <row r="17" spans="1:16" ht="20.100000000000001" customHeight="1" x14ac:dyDescent="0.25">
      <c r="A17" s="349">
        <v>11</v>
      </c>
      <c r="B17" s="269" t="str">
        <f>dtsiswa!D17</f>
        <v>Fania Mutiara Felichia</v>
      </c>
      <c r="C17" s="36" t="s">
        <v>4</v>
      </c>
      <c r="D17" s="59"/>
      <c r="E17" s="59"/>
      <c r="F17" s="59"/>
      <c r="G17" s="59"/>
      <c r="H17" s="59"/>
      <c r="I17" s="59"/>
      <c r="J17" s="59"/>
      <c r="K17" s="59"/>
      <c r="L17" s="401">
        <f t="shared" si="0"/>
        <v>0</v>
      </c>
      <c r="M17" s="227">
        <f t="shared" si="1"/>
        <v>0</v>
      </c>
      <c r="N17" s="227">
        <f t="shared" si="2"/>
        <v>0</v>
      </c>
      <c r="O17" s="227">
        <f t="shared" si="3"/>
        <v>0</v>
      </c>
      <c r="P17" s="228">
        <f t="shared" si="4"/>
        <v>0</v>
      </c>
    </row>
    <row r="18" spans="1:16" ht="20.100000000000001" customHeight="1" x14ac:dyDescent="0.25">
      <c r="A18" s="349">
        <v>12</v>
      </c>
      <c r="B18" s="269" t="str">
        <f>dtsiswa!D18</f>
        <v>Intan Dyah Nowari</v>
      </c>
      <c r="C18" s="36" t="s">
        <v>4</v>
      </c>
      <c r="D18" s="59"/>
      <c r="E18" s="59"/>
      <c r="F18" s="59"/>
      <c r="G18" s="59"/>
      <c r="H18" s="59"/>
      <c r="I18" s="59"/>
      <c r="J18" s="59"/>
      <c r="K18" s="59"/>
      <c r="L18" s="401">
        <f t="shared" si="0"/>
        <v>0</v>
      </c>
      <c r="M18" s="227">
        <f t="shared" si="1"/>
        <v>0</v>
      </c>
      <c r="N18" s="227">
        <f t="shared" si="2"/>
        <v>0</v>
      </c>
      <c r="O18" s="227">
        <f t="shared" si="3"/>
        <v>0</v>
      </c>
      <c r="P18" s="228">
        <f t="shared" si="4"/>
        <v>0</v>
      </c>
    </row>
    <row r="19" spans="1:16" ht="20.100000000000001" customHeight="1" x14ac:dyDescent="0.25">
      <c r="A19" s="349">
        <v>13</v>
      </c>
      <c r="B19" s="269" t="str">
        <f>dtsiswa!D19</f>
        <v>Misyanita Nurfitri S</v>
      </c>
      <c r="C19" s="36" t="s">
        <v>5</v>
      </c>
      <c r="D19" s="59"/>
      <c r="E19" s="59"/>
      <c r="F19" s="59"/>
      <c r="G19" s="59"/>
      <c r="H19" s="59"/>
      <c r="I19" s="59"/>
      <c r="J19" s="59"/>
      <c r="K19" s="59"/>
      <c r="L19" s="401">
        <f t="shared" si="0"/>
        <v>0</v>
      </c>
      <c r="M19" s="227">
        <f t="shared" si="1"/>
        <v>0</v>
      </c>
      <c r="N19" s="227">
        <f t="shared" si="2"/>
        <v>0</v>
      </c>
      <c r="O19" s="227">
        <f t="shared" si="3"/>
        <v>0</v>
      </c>
      <c r="P19" s="228">
        <f t="shared" si="4"/>
        <v>0</v>
      </c>
    </row>
    <row r="20" spans="1:16" ht="20.100000000000001" customHeight="1" x14ac:dyDescent="0.25">
      <c r="A20" s="349">
        <v>14</v>
      </c>
      <c r="B20" s="269" t="str">
        <f>dtsiswa!D20</f>
        <v>Moch Zidane Hita L. U</v>
      </c>
      <c r="C20" s="36" t="s">
        <v>4</v>
      </c>
      <c r="D20" s="59"/>
      <c r="E20" s="59"/>
      <c r="F20" s="59"/>
      <c r="G20" s="59"/>
      <c r="H20" s="59"/>
      <c r="I20" s="59"/>
      <c r="J20" s="59"/>
      <c r="K20" s="59"/>
      <c r="L20" s="401">
        <f t="shared" si="0"/>
        <v>0</v>
      </c>
      <c r="M20" s="227">
        <f t="shared" si="1"/>
        <v>0</v>
      </c>
      <c r="N20" s="227">
        <f t="shared" si="2"/>
        <v>0</v>
      </c>
      <c r="O20" s="227">
        <f t="shared" si="3"/>
        <v>0</v>
      </c>
      <c r="P20" s="228">
        <f t="shared" si="4"/>
        <v>0</v>
      </c>
    </row>
    <row r="21" spans="1:16" ht="20.100000000000001" customHeight="1" x14ac:dyDescent="0.25">
      <c r="A21" s="349">
        <v>15</v>
      </c>
      <c r="B21" s="269" t="str">
        <f>dtsiswa!D21</f>
        <v>Muhammad Ibra Maulana</v>
      </c>
      <c r="C21" s="36" t="s">
        <v>4</v>
      </c>
      <c r="D21" s="59"/>
      <c r="E21" s="59"/>
      <c r="F21" s="59"/>
      <c r="G21" s="59"/>
      <c r="H21" s="59"/>
      <c r="I21" s="59"/>
      <c r="J21" s="59"/>
      <c r="K21" s="59"/>
      <c r="L21" s="401">
        <f t="shared" si="0"/>
        <v>0</v>
      </c>
      <c r="M21" s="227">
        <f t="shared" si="1"/>
        <v>0</v>
      </c>
      <c r="N21" s="227">
        <f t="shared" si="2"/>
        <v>0</v>
      </c>
      <c r="O21" s="227">
        <f t="shared" si="3"/>
        <v>0</v>
      </c>
      <c r="P21" s="228">
        <f t="shared" si="4"/>
        <v>0</v>
      </c>
    </row>
    <row r="22" spans="1:16" ht="20.100000000000001" customHeight="1" x14ac:dyDescent="0.25">
      <c r="A22" s="349">
        <v>16</v>
      </c>
      <c r="B22" s="269" t="str">
        <f>dtsiswa!D22</f>
        <v>Nabilla Shiva Putri</v>
      </c>
      <c r="C22" s="36" t="s">
        <v>4</v>
      </c>
      <c r="D22" s="59"/>
      <c r="E22" s="59"/>
      <c r="F22" s="59"/>
      <c r="G22" s="59"/>
      <c r="H22" s="59"/>
      <c r="I22" s="59"/>
      <c r="J22" s="59"/>
      <c r="K22" s="59"/>
      <c r="L22" s="401">
        <f t="shared" si="0"/>
        <v>0</v>
      </c>
      <c r="M22" s="227">
        <f t="shared" si="1"/>
        <v>0</v>
      </c>
      <c r="N22" s="227">
        <f t="shared" si="2"/>
        <v>0</v>
      </c>
      <c r="O22" s="227">
        <f t="shared" si="3"/>
        <v>0</v>
      </c>
      <c r="P22" s="228">
        <f t="shared" si="4"/>
        <v>0</v>
      </c>
    </row>
    <row r="23" spans="1:16" ht="20.100000000000001" customHeight="1" x14ac:dyDescent="0.25">
      <c r="A23" s="349">
        <v>17</v>
      </c>
      <c r="B23" s="269" t="str">
        <f>dtsiswa!D23</f>
        <v>Naufal Falih F</v>
      </c>
      <c r="C23" s="36" t="s">
        <v>5</v>
      </c>
      <c r="D23" s="59"/>
      <c r="E23" s="59"/>
      <c r="F23" s="59"/>
      <c r="G23" s="59"/>
      <c r="H23" s="59"/>
      <c r="I23" s="59"/>
      <c r="J23" s="59"/>
      <c r="K23" s="59"/>
      <c r="L23" s="401">
        <f t="shared" si="0"/>
        <v>0</v>
      </c>
      <c r="M23" s="227">
        <f t="shared" si="1"/>
        <v>0</v>
      </c>
      <c r="N23" s="227">
        <f t="shared" si="2"/>
        <v>0</v>
      </c>
      <c r="O23" s="227">
        <f t="shared" si="3"/>
        <v>0</v>
      </c>
      <c r="P23" s="228">
        <f t="shared" si="4"/>
        <v>0</v>
      </c>
    </row>
    <row r="24" spans="1:16" ht="20.100000000000001" customHeight="1" x14ac:dyDescent="0.25">
      <c r="A24" s="349">
        <v>18</v>
      </c>
      <c r="B24" s="269" t="str">
        <f>dtsiswa!D24</f>
        <v>Nayla Annora Nobel W</v>
      </c>
      <c r="C24" s="36" t="s">
        <v>4</v>
      </c>
      <c r="D24" s="59"/>
      <c r="E24" s="59"/>
      <c r="F24" s="59"/>
      <c r="G24" s="59"/>
      <c r="H24" s="59"/>
      <c r="I24" s="59"/>
      <c r="J24" s="59"/>
      <c r="K24" s="59"/>
      <c r="L24" s="401">
        <f t="shared" si="0"/>
        <v>0</v>
      </c>
      <c r="M24" s="227">
        <f t="shared" si="1"/>
        <v>0</v>
      </c>
      <c r="N24" s="227">
        <f t="shared" si="2"/>
        <v>0</v>
      </c>
      <c r="O24" s="227">
        <f t="shared" si="3"/>
        <v>0</v>
      </c>
      <c r="P24" s="228">
        <f t="shared" si="4"/>
        <v>0</v>
      </c>
    </row>
    <row r="25" spans="1:16" ht="20.100000000000001" customHeight="1" x14ac:dyDescent="0.25">
      <c r="A25" s="349">
        <v>19</v>
      </c>
      <c r="B25" s="269" t="str">
        <f>dtsiswa!D25</f>
        <v>Raihan Danang P</v>
      </c>
      <c r="C25" s="36" t="s">
        <v>5</v>
      </c>
      <c r="D25" s="59"/>
      <c r="E25" s="59"/>
      <c r="F25" s="59"/>
      <c r="G25" s="59"/>
      <c r="H25" s="59"/>
      <c r="I25" s="59"/>
      <c r="J25" s="59"/>
      <c r="K25" s="59"/>
      <c r="L25" s="401">
        <f t="shared" si="0"/>
        <v>0</v>
      </c>
      <c r="M25" s="227">
        <f t="shared" si="1"/>
        <v>0</v>
      </c>
      <c r="N25" s="227">
        <f t="shared" si="2"/>
        <v>0</v>
      </c>
      <c r="O25" s="227">
        <f t="shared" si="3"/>
        <v>0</v>
      </c>
      <c r="P25" s="228">
        <f t="shared" si="4"/>
        <v>0</v>
      </c>
    </row>
    <row r="26" spans="1:16" ht="20.100000000000001" customHeight="1" x14ac:dyDescent="0.25">
      <c r="A26" s="349">
        <v>20</v>
      </c>
      <c r="B26" s="269" t="str">
        <f>dtsiswa!D26</f>
        <v>Roby Ardiyansyah</v>
      </c>
      <c r="C26" s="36" t="s">
        <v>5</v>
      </c>
      <c r="D26" s="349"/>
      <c r="E26" s="349"/>
      <c r="F26" s="628"/>
      <c r="G26" s="349"/>
      <c r="H26" s="349"/>
      <c r="I26" s="349"/>
      <c r="J26" s="349"/>
      <c r="K26" s="349"/>
      <c r="L26" s="401">
        <f t="shared" si="0"/>
        <v>0</v>
      </c>
      <c r="M26" s="227">
        <f t="shared" si="1"/>
        <v>0</v>
      </c>
      <c r="N26" s="227">
        <f t="shared" si="2"/>
        <v>0</v>
      </c>
      <c r="O26" s="227">
        <f t="shared" si="3"/>
        <v>0</v>
      </c>
      <c r="P26" s="228">
        <f t="shared" si="4"/>
        <v>0</v>
      </c>
    </row>
    <row r="27" spans="1:16" ht="20.100000000000001" customHeight="1" x14ac:dyDescent="0.25">
      <c r="A27" s="349">
        <v>21</v>
      </c>
      <c r="B27" s="269" t="str">
        <f>dtsiswa!D27</f>
        <v>Rojalingga Prana A</v>
      </c>
      <c r="C27" s="44" t="s">
        <v>4</v>
      </c>
      <c r="D27" s="59"/>
      <c r="E27" s="59"/>
      <c r="F27" s="59"/>
      <c r="G27" s="59"/>
      <c r="H27" s="59"/>
      <c r="I27" s="59"/>
      <c r="J27" s="59"/>
      <c r="K27" s="59"/>
      <c r="L27" s="401">
        <f t="shared" si="0"/>
        <v>0</v>
      </c>
      <c r="M27" s="227">
        <f t="shared" si="1"/>
        <v>0</v>
      </c>
      <c r="N27" s="227">
        <f t="shared" si="2"/>
        <v>0</v>
      </c>
      <c r="O27" s="227">
        <f t="shared" si="3"/>
        <v>0</v>
      </c>
      <c r="P27" s="228">
        <f t="shared" si="4"/>
        <v>0</v>
      </c>
    </row>
    <row r="28" spans="1:16" ht="20.100000000000001" customHeight="1" x14ac:dyDescent="0.25">
      <c r="A28" s="349">
        <v>22</v>
      </c>
      <c r="B28" s="269" t="str">
        <f>dtsiswa!D28</f>
        <v>Sally Savista A</v>
      </c>
      <c r="C28" s="45" t="s">
        <v>4</v>
      </c>
      <c r="D28" s="349"/>
      <c r="E28" s="349"/>
      <c r="F28" s="628"/>
      <c r="G28" s="349"/>
      <c r="H28" s="349"/>
      <c r="I28" s="349"/>
      <c r="J28" s="349"/>
      <c r="K28" s="349"/>
      <c r="L28" s="401">
        <f t="shared" si="0"/>
        <v>0</v>
      </c>
      <c r="M28" s="227">
        <f t="shared" si="1"/>
        <v>0</v>
      </c>
      <c r="N28" s="227">
        <f t="shared" si="2"/>
        <v>0</v>
      </c>
      <c r="O28" s="227">
        <f t="shared" si="3"/>
        <v>0</v>
      </c>
      <c r="P28" s="228">
        <f t="shared" si="4"/>
        <v>0</v>
      </c>
    </row>
    <row r="29" spans="1:16" ht="20.100000000000001" customHeight="1" x14ac:dyDescent="0.25">
      <c r="A29" s="349">
        <v>23</v>
      </c>
      <c r="B29" s="269" t="str">
        <f>dtsiswa!D29</f>
        <v xml:space="preserve">Tania Kaori Angelita </v>
      </c>
      <c r="C29" s="45" t="s">
        <v>5</v>
      </c>
      <c r="D29" s="349"/>
      <c r="E29" s="349"/>
      <c r="F29" s="628"/>
      <c r="G29" s="349"/>
      <c r="H29" s="349"/>
      <c r="I29" s="349"/>
      <c r="J29" s="349"/>
      <c r="K29" s="349"/>
      <c r="L29" s="401">
        <f t="shared" si="0"/>
        <v>0</v>
      </c>
      <c r="M29" s="227">
        <f t="shared" si="1"/>
        <v>0</v>
      </c>
      <c r="N29" s="227">
        <f t="shared" si="2"/>
        <v>0</v>
      </c>
      <c r="O29" s="227">
        <f t="shared" si="3"/>
        <v>0</v>
      </c>
      <c r="P29" s="228">
        <f t="shared" si="4"/>
        <v>0</v>
      </c>
    </row>
    <row r="30" spans="1:16" ht="20.100000000000001" customHeight="1" x14ac:dyDescent="0.25">
      <c r="A30" s="349">
        <v>24</v>
      </c>
      <c r="B30" s="269" t="str">
        <f>dtsiswa!D30</f>
        <v>Romzy Oka Ramadhani P</v>
      </c>
      <c r="C30" s="45" t="s">
        <v>5</v>
      </c>
      <c r="D30" s="349"/>
      <c r="E30" s="349"/>
      <c r="F30" s="628"/>
      <c r="G30" s="349"/>
      <c r="H30" s="349"/>
      <c r="I30" s="349"/>
      <c r="J30" s="349"/>
      <c r="K30" s="349"/>
      <c r="L30" s="401">
        <f t="shared" si="0"/>
        <v>0</v>
      </c>
      <c r="M30" s="227">
        <f t="shared" si="1"/>
        <v>0</v>
      </c>
      <c r="N30" s="227">
        <f t="shared" si="2"/>
        <v>0</v>
      </c>
      <c r="O30" s="227">
        <f t="shared" si="3"/>
        <v>0</v>
      </c>
      <c r="P30" s="228">
        <f t="shared" si="4"/>
        <v>0</v>
      </c>
    </row>
    <row r="31" spans="1:16" ht="20.100000000000001" customHeight="1" x14ac:dyDescent="0.25">
      <c r="A31" s="349">
        <v>25</v>
      </c>
      <c r="B31" s="269" t="str">
        <f>dtsiswa!D31</f>
        <v>Larasati Jagadhita P</v>
      </c>
      <c r="C31" s="36" t="s">
        <v>4</v>
      </c>
      <c r="D31" s="349"/>
      <c r="E31" s="349"/>
      <c r="F31" s="628"/>
      <c r="G31" s="349"/>
      <c r="H31" s="349"/>
      <c r="I31" s="349"/>
      <c r="J31" s="349"/>
      <c r="K31" s="349"/>
      <c r="L31" s="401">
        <f t="shared" si="0"/>
        <v>0</v>
      </c>
      <c r="M31" s="227">
        <f t="shared" si="1"/>
        <v>0</v>
      </c>
      <c r="N31" s="227">
        <f t="shared" si="2"/>
        <v>0</v>
      </c>
      <c r="O31" s="227">
        <f t="shared" si="3"/>
        <v>0</v>
      </c>
      <c r="P31" s="228">
        <f t="shared" si="4"/>
        <v>0</v>
      </c>
    </row>
    <row r="32" spans="1:16" ht="20.100000000000001" customHeight="1" x14ac:dyDescent="0.25">
      <c r="A32" s="349">
        <v>26</v>
      </c>
      <c r="B32" s="269" t="str">
        <f>dtsiswa!D32</f>
        <v>Meliana Citra A</v>
      </c>
      <c r="C32" s="36" t="s">
        <v>5</v>
      </c>
      <c r="D32" s="349"/>
      <c r="E32" s="349"/>
      <c r="F32" s="628"/>
      <c r="G32" s="349"/>
      <c r="H32" s="349"/>
      <c r="I32" s="349"/>
      <c r="J32" s="349"/>
      <c r="K32" s="349"/>
      <c r="L32" s="401">
        <f t="shared" si="0"/>
        <v>0</v>
      </c>
      <c r="M32" s="227">
        <f t="shared" si="1"/>
        <v>0</v>
      </c>
      <c r="N32" s="227">
        <f t="shared" si="2"/>
        <v>0</v>
      </c>
      <c r="O32" s="227">
        <f t="shared" si="3"/>
        <v>0</v>
      </c>
      <c r="P32" s="228">
        <f t="shared" si="4"/>
        <v>0</v>
      </c>
    </row>
    <row r="33" spans="1:16" ht="20.100000000000001" customHeight="1" x14ac:dyDescent="0.25">
      <c r="A33" s="349">
        <v>27</v>
      </c>
      <c r="B33" s="269" t="str">
        <f>dtsiswa!D33</f>
        <v>Mohammad Rizky</v>
      </c>
      <c r="C33" s="36" t="s">
        <v>4</v>
      </c>
      <c r="D33" s="349"/>
      <c r="E33" s="349"/>
      <c r="F33" s="628"/>
      <c r="G33" s="349"/>
      <c r="H33" s="349"/>
      <c r="I33" s="349"/>
      <c r="J33" s="349"/>
      <c r="K33" s="349"/>
      <c r="L33" s="401">
        <f t="shared" si="0"/>
        <v>0</v>
      </c>
      <c r="M33" s="227">
        <f t="shared" si="1"/>
        <v>0</v>
      </c>
      <c r="N33" s="227">
        <f t="shared" si="2"/>
        <v>0</v>
      </c>
      <c r="O33" s="227">
        <f t="shared" si="3"/>
        <v>0</v>
      </c>
      <c r="P33" s="228">
        <f t="shared" si="4"/>
        <v>0</v>
      </c>
    </row>
    <row r="34" spans="1:16" ht="20.100000000000001" customHeight="1" x14ac:dyDescent="0.25">
      <c r="A34" s="349">
        <v>28</v>
      </c>
      <c r="B34" s="269">
        <f>dtsiswa!D34</f>
        <v>0</v>
      </c>
      <c r="C34" s="36" t="s">
        <v>4</v>
      </c>
      <c r="D34" s="349"/>
      <c r="E34" s="349"/>
      <c r="F34" s="628"/>
      <c r="G34" s="349"/>
      <c r="H34" s="349"/>
      <c r="I34" s="349"/>
      <c r="J34" s="349"/>
      <c r="K34" s="349"/>
      <c r="L34" s="401">
        <f t="shared" si="0"/>
        <v>0</v>
      </c>
      <c r="M34" s="227">
        <f t="shared" si="1"/>
        <v>0</v>
      </c>
      <c r="N34" s="227">
        <f t="shared" si="2"/>
        <v>0</v>
      </c>
      <c r="O34" s="227">
        <f t="shared" si="3"/>
        <v>0</v>
      </c>
      <c r="P34" s="228">
        <f t="shared" si="4"/>
        <v>0</v>
      </c>
    </row>
    <row r="35" spans="1:16" ht="20.100000000000001" customHeight="1" x14ac:dyDescent="0.25">
      <c r="A35" s="349">
        <v>29</v>
      </c>
      <c r="B35" s="269">
        <f>dtsiswa!D35</f>
        <v>0</v>
      </c>
      <c r="C35" s="36" t="s">
        <v>4</v>
      </c>
      <c r="D35" s="349"/>
      <c r="E35" s="349"/>
      <c r="F35" s="628"/>
      <c r="G35" s="349"/>
      <c r="H35" s="349"/>
      <c r="I35" s="349"/>
      <c r="J35" s="349"/>
      <c r="K35" s="349"/>
      <c r="L35" s="401">
        <f t="shared" si="0"/>
        <v>0</v>
      </c>
      <c r="M35" s="227">
        <f t="shared" si="1"/>
        <v>0</v>
      </c>
      <c r="N35" s="227">
        <f t="shared" si="2"/>
        <v>0</v>
      </c>
      <c r="O35" s="227">
        <f t="shared" si="3"/>
        <v>0</v>
      </c>
      <c r="P35" s="228">
        <f t="shared" si="4"/>
        <v>0</v>
      </c>
    </row>
    <row r="36" spans="1:16" ht="20.100000000000001" customHeight="1" x14ac:dyDescent="0.25">
      <c r="A36" s="349">
        <v>30</v>
      </c>
      <c r="B36" s="269">
        <f>dtsiswa!D36</f>
        <v>0</v>
      </c>
      <c r="C36" s="36" t="s">
        <v>5</v>
      </c>
      <c r="D36" s="349"/>
      <c r="E36" s="349"/>
      <c r="F36" s="628"/>
      <c r="G36" s="349"/>
      <c r="H36" s="349"/>
      <c r="I36" s="349"/>
      <c r="J36" s="349"/>
      <c r="K36" s="349"/>
      <c r="L36" s="401">
        <f t="shared" si="0"/>
        <v>0</v>
      </c>
      <c r="M36" s="227">
        <f t="shared" si="1"/>
        <v>0</v>
      </c>
      <c r="N36" s="227">
        <f t="shared" si="2"/>
        <v>0</v>
      </c>
      <c r="O36" s="227">
        <f t="shared" si="3"/>
        <v>0</v>
      </c>
      <c r="P36" s="228">
        <f t="shared" si="4"/>
        <v>0</v>
      </c>
    </row>
    <row r="37" spans="1:16" ht="20.100000000000001" customHeight="1" x14ac:dyDescent="0.25">
      <c r="A37" s="349">
        <v>31</v>
      </c>
      <c r="B37" s="269">
        <f>dtsiswa!D37</f>
        <v>0</v>
      </c>
      <c r="C37" s="36" t="s">
        <v>5</v>
      </c>
      <c r="D37" s="349"/>
      <c r="E37" s="349"/>
      <c r="F37" s="628"/>
      <c r="G37" s="349"/>
      <c r="H37" s="349"/>
      <c r="I37" s="349"/>
      <c r="J37" s="349"/>
      <c r="K37" s="349"/>
      <c r="L37" s="401">
        <f t="shared" si="0"/>
        <v>0</v>
      </c>
      <c r="M37" s="227">
        <f t="shared" si="1"/>
        <v>0</v>
      </c>
      <c r="N37" s="227">
        <f t="shared" si="2"/>
        <v>0</v>
      </c>
      <c r="O37" s="227">
        <f t="shared" si="3"/>
        <v>0</v>
      </c>
      <c r="P37" s="228">
        <f t="shared" si="4"/>
        <v>0</v>
      </c>
    </row>
    <row r="38" spans="1:16" ht="20.100000000000001" customHeight="1" x14ac:dyDescent="0.25">
      <c r="A38" s="628">
        <v>32</v>
      </c>
      <c r="B38" s="269">
        <f>dtsiswa!D38</f>
        <v>0</v>
      </c>
      <c r="C38" s="36" t="s">
        <v>5</v>
      </c>
      <c r="D38" s="628"/>
      <c r="E38" s="628"/>
      <c r="F38" s="628"/>
      <c r="G38" s="628"/>
      <c r="H38" s="628"/>
      <c r="I38" s="628"/>
      <c r="J38" s="628"/>
      <c r="K38" s="628"/>
      <c r="L38" s="401">
        <f t="shared" si="0"/>
        <v>0</v>
      </c>
      <c r="M38" s="227">
        <f t="shared" si="1"/>
        <v>0</v>
      </c>
      <c r="N38" s="227">
        <f t="shared" si="2"/>
        <v>0</v>
      </c>
      <c r="O38" s="227">
        <f t="shared" si="3"/>
        <v>0</v>
      </c>
      <c r="P38" s="228">
        <f t="shared" ref="P38:P46" si="5">L38</f>
        <v>0</v>
      </c>
    </row>
    <row r="39" spans="1:16" ht="20.100000000000001" customHeight="1" x14ac:dyDescent="0.25">
      <c r="A39" s="628">
        <v>33</v>
      </c>
      <c r="B39" s="269">
        <f>dtsiswa!D39</f>
        <v>0</v>
      </c>
      <c r="C39" s="36" t="s">
        <v>5</v>
      </c>
      <c r="D39" s="628"/>
      <c r="E39" s="628"/>
      <c r="F39" s="628"/>
      <c r="G39" s="628"/>
      <c r="H39" s="628"/>
      <c r="I39" s="628"/>
      <c r="J39" s="628"/>
      <c r="K39" s="628"/>
      <c r="L39" s="401">
        <f t="shared" si="0"/>
        <v>0</v>
      </c>
      <c r="M39" s="227">
        <f t="shared" si="1"/>
        <v>0</v>
      </c>
      <c r="N39" s="227">
        <f t="shared" si="2"/>
        <v>0</v>
      </c>
      <c r="O39" s="227">
        <f t="shared" si="3"/>
        <v>0</v>
      </c>
      <c r="P39" s="228">
        <f t="shared" si="5"/>
        <v>0</v>
      </c>
    </row>
    <row r="40" spans="1:16" ht="20.100000000000001" customHeight="1" x14ac:dyDescent="0.25">
      <c r="A40" s="628">
        <v>34</v>
      </c>
      <c r="B40" s="269">
        <f>dtsiswa!D40</f>
        <v>0</v>
      </c>
      <c r="C40" s="36" t="s">
        <v>5</v>
      </c>
      <c r="D40" s="628"/>
      <c r="E40" s="628"/>
      <c r="F40" s="628"/>
      <c r="G40" s="628"/>
      <c r="H40" s="628"/>
      <c r="I40" s="628"/>
      <c r="J40" s="628"/>
      <c r="K40" s="628"/>
      <c r="L40" s="401">
        <f t="shared" si="0"/>
        <v>0</v>
      </c>
      <c r="M40" s="227">
        <f t="shared" si="1"/>
        <v>0</v>
      </c>
      <c r="N40" s="227">
        <f t="shared" si="2"/>
        <v>0</v>
      </c>
      <c r="O40" s="227">
        <f t="shared" si="3"/>
        <v>0</v>
      </c>
      <c r="P40" s="228">
        <f t="shared" si="5"/>
        <v>0</v>
      </c>
    </row>
    <row r="41" spans="1:16" ht="20.100000000000001" customHeight="1" x14ac:dyDescent="0.25">
      <c r="A41" s="628">
        <v>35</v>
      </c>
      <c r="B41" s="269">
        <f>dtsiswa!D41</f>
        <v>0</v>
      </c>
      <c r="C41" s="36" t="s">
        <v>5</v>
      </c>
      <c r="D41" s="628"/>
      <c r="E41" s="628"/>
      <c r="F41" s="628"/>
      <c r="G41" s="628"/>
      <c r="H41" s="628"/>
      <c r="I41" s="628"/>
      <c r="J41" s="628"/>
      <c r="K41" s="628"/>
      <c r="L41" s="401">
        <f t="shared" si="0"/>
        <v>0</v>
      </c>
      <c r="M41" s="227">
        <f t="shared" si="1"/>
        <v>0</v>
      </c>
      <c r="N41" s="227">
        <f t="shared" si="2"/>
        <v>0</v>
      </c>
      <c r="O41" s="227">
        <f t="shared" si="3"/>
        <v>0</v>
      </c>
      <c r="P41" s="228">
        <f t="shared" si="5"/>
        <v>0</v>
      </c>
    </row>
    <row r="42" spans="1:16" ht="20.100000000000001" customHeight="1" x14ac:dyDescent="0.25">
      <c r="A42" s="628">
        <v>36</v>
      </c>
      <c r="B42" s="269">
        <f>dtsiswa!D42</f>
        <v>0</v>
      </c>
      <c r="C42" s="36" t="s">
        <v>5</v>
      </c>
      <c r="D42" s="628"/>
      <c r="E42" s="628"/>
      <c r="F42" s="628"/>
      <c r="G42" s="628"/>
      <c r="H42" s="628"/>
      <c r="I42" s="628"/>
      <c r="J42" s="628"/>
      <c r="K42" s="628"/>
      <c r="L42" s="401">
        <f t="shared" si="0"/>
        <v>0</v>
      </c>
      <c r="M42" s="227">
        <f t="shared" si="1"/>
        <v>0</v>
      </c>
      <c r="N42" s="227">
        <f t="shared" si="2"/>
        <v>0</v>
      </c>
      <c r="O42" s="227">
        <f t="shared" si="3"/>
        <v>0</v>
      </c>
      <c r="P42" s="228">
        <f t="shared" si="5"/>
        <v>0</v>
      </c>
    </row>
    <row r="43" spans="1:16" ht="20.100000000000001" customHeight="1" x14ac:dyDescent="0.25">
      <c r="A43" s="628">
        <v>37</v>
      </c>
      <c r="B43" s="269">
        <f>dtsiswa!D43</f>
        <v>0</v>
      </c>
      <c r="C43" s="36" t="s">
        <v>5</v>
      </c>
      <c r="D43" s="628"/>
      <c r="E43" s="628"/>
      <c r="F43" s="628"/>
      <c r="G43" s="628"/>
      <c r="H43" s="628"/>
      <c r="I43" s="628"/>
      <c r="J43" s="628"/>
      <c r="K43" s="628"/>
      <c r="L43" s="401">
        <f t="shared" si="0"/>
        <v>0</v>
      </c>
      <c r="M43" s="227">
        <f t="shared" si="1"/>
        <v>0</v>
      </c>
      <c r="N43" s="227">
        <f t="shared" si="2"/>
        <v>0</v>
      </c>
      <c r="O43" s="227">
        <f t="shared" si="3"/>
        <v>0</v>
      </c>
      <c r="P43" s="228">
        <f t="shared" si="5"/>
        <v>0</v>
      </c>
    </row>
    <row r="44" spans="1:16" ht="20.100000000000001" customHeight="1" x14ac:dyDescent="0.25">
      <c r="A44" s="628">
        <v>38</v>
      </c>
      <c r="B44" s="269">
        <f>dtsiswa!D44</f>
        <v>0</v>
      </c>
      <c r="C44" s="36" t="s">
        <v>5</v>
      </c>
      <c r="D44" s="628"/>
      <c r="E44" s="628"/>
      <c r="F44" s="628"/>
      <c r="G44" s="628"/>
      <c r="H44" s="628"/>
      <c r="I44" s="628"/>
      <c r="J44" s="628"/>
      <c r="K44" s="628"/>
      <c r="L44" s="401">
        <f t="shared" si="0"/>
        <v>0</v>
      </c>
      <c r="M44" s="227">
        <f t="shared" si="1"/>
        <v>0</v>
      </c>
      <c r="N44" s="227">
        <f t="shared" si="2"/>
        <v>0</v>
      </c>
      <c r="O44" s="227">
        <f t="shared" si="3"/>
        <v>0</v>
      </c>
      <c r="P44" s="228">
        <f t="shared" si="5"/>
        <v>0</v>
      </c>
    </row>
    <row r="45" spans="1:16" ht="20.100000000000001" customHeight="1" x14ac:dyDescent="0.25">
      <c r="A45" s="628">
        <v>39</v>
      </c>
      <c r="B45" s="269">
        <f>dtsiswa!D45</f>
        <v>0</v>
      </c>
      <c r="C45" s="36" t="s">
        <v>5</v>
      </c>
      <c r="D45" s="628"/>
      <c r="E45" s="628"/>
      <c r="F45" s="628"/>
      <c r="G45" s="628"/>
      <c r="H45" s="628"/>
      <c r="I45" s="628"/>
      <c r="J45" s="628"/>
      <c r="K45" s="628"/>
      <c r="L45" s="401">
        <f t="shared" si="0"/>
        <v>0</v>
      </c>
      <c r="M45" s="227">
        <f t="shared" si="1"/>
        <v>0</v>
      </c>
      <c r="N45" s="227">
        <f t="shared" si="2"/>
        <v>0</v>
      </c>
      <c r="O45" s="227">
        <f t="shared" si="3"/>
        <v>0</v>
      </c>
      <c r="P45" s="228">
        <f t="shared" si="5"/>
        <v>0</v>
      </c>
    </row>
    <row r="46" spans="1:16" ht="20.100000000000001" customHeight="1" x14ac:dyDescent="0.25">
      <c r="A46" s="628">
        <v>40</v>
      </c>
      <c r="B46" s="269">
        <f>dtsiswa!D46</f>
        <v>0</v>
      </c>
      <c r="C46" s="36" t="s">
        <v>5</v>
      </c>
      <c r="D46" s="628"/>
      <c r="E46" s="628"/>
      <c r="F46" s="628"/>
      <c r="G46" s="628"/>
      <c r="H46" s="628"/>
      <c r="I46" s="628"/>
      <c r="J46" s="628"/>
      <c r="K46" s="628"/>
      <c r="L46" s="401">
        <f t="shared" si="0"/>
        <v>0</v>
      </c>
      <c r="M46" s="227">
        <f t="shared" si="1"/>
        <v>0</v>
      </c>
      <c r="N46" s="227">
        <f t="shared" si="2"/>
        <v>0</v>
      </c>
      <c r="O46" s="227">
        <f t="shared" si="3"/>
        <v>0</v>
      </c>
      <c r="P46" s="228">
        <f t="shared" si="5"/>
        <v>0</v>
      </c>
    </row>
    <row r="47" spans="1:16" ht="20.100000000000001" customHeight="1" x14ac:dyDescent="0.25">
      <c r="A47" s="628"/>
      <c r="B47" s="269"/>
      <c r="C47" s="36"/>
      <c r="D47" s="628"/>
      <c r="E47" s="628"/>
      <c r="F47" s="628"/>
      <c r="G47" s="628"/>
      <c r="H47" s="628"/>
      <c r="I47" s="628"/>
      <c r="J47" s="628"/>
      <c r="K47" s="628"/>
      <c r="L47" s="401"/>
      <c r="M47" s="227"/>
      <c r="N47" s="227"/>
      <c r="O47" s="227"/>
      <c r="P47" s="228"/>
    </row>
    <row r="48" spans="1:16" ht="20.100000000000001" customHeight="1" x14ac:dyDescent="0.25">
      <c r="A48" s="349"/>
      <c r="B48" s="47" t="s">
        <v>36</v>
      </c>
      <c r="C48" s="48"/>
      <c r="D48" s="49">
        <f t="shared" ref="D48:K48" si="6">COUNTIF(D7:D30,"0")</f>
        <v>0</v>
      </c>
      <c r="E48" s="49">
        <f t="shared" si="6"/>
        <v>0</v>
      </c>
      <c r="F48" s="49"/>
      <c r="G48" s="49">
        <f t="shared" si="6"/>
        <v>1</v>
      </c>
      <c r="H48" s="49">
        <f t="shared" si="6"/>
        <v>0</v>
      </c>
      <c r="I48" s="49">
        <f t="shared" si="6"/>
        <v>0</v>
      </c>
      <c r="J48" s="49">
        <f t="shared" si="6"/>
        <v>0</v>
      </c>
      <c r="K48" s="49">
        <f t="shared" si="6"/>
        <v>0</v>
      </c>
      <c r="L48" s="49"/>
      <c r="M48" s="203"/>
      <c r="N48" s="203"/>
      <c r="O48" s="203"/>
      <c r="P48" s="239"/>
    </row>
    <row r="49" spans="1:16" ht="18" customHeight="1" x14ac:dyDescent="0.25">
      <c r="A49" s="50"/>
      <c r="B49" s="51" t="s">
        <v>37</v>
      </c>
      <c r="C49" s="51"/>
      <c r="D49" s="52"/>
      <c r="E49" s="52"/>
      <c r="F49" s="52"/>
      <c r="G49" s="52"/>
      <c r="H49" s="52"/>
      <c r="I49" s="52"/>
      <c r="J49" s="52"/>
      <c r="K49" s="52"/>
      <c r="L49" s="52"/>
      <c r="M49" s="53">
        <f>MAX(M7:M30)</f>
        <v>2</v>
      </c>
      <c r="N49" s="53">
        <f>MAX(N7:N30)</f>
        <v>4</v>
      </c>
      <c r="O49" s="53">
        <f>MAX(O7:O30)</f>
        <v>4</v>
      </c>
      <c r="P49" s="53">
        <f>MAX(P7:P30)</f>
        <v>71.428571428571431</v>
      </c>
    </row>
    <row r="50" spans="1:16" ht="18" customHeight="1" x14ac:dyDescent="0.25">
      <c r="A50" s="54"/>
      <c r="B50" s="51" t="s">
        <v>38</v>
      </c>
      <c r="C50" s="51"/>
      <c r="D50" s="52"/>
      <c r="E50" s="52"/>
      <c r="F50" s="52"/>
      <c r="G50" s="52"/>
      <c r="H50" s="52"/>
      <c r="I50" s="52"/>
      <c r="J50" s="52"/>
      <c r="K50" s="52"/>
      <c r="L50" s="52"/>
      <c r="M50" s="53">
        <f>MIN(M7:M30)</f>
        <v>0</v>
      </c>
      <c r="N50" s="53">
        <f>MIN(N7:N30)</f>
        <v>0</v>
      </c>
      <c r="O50" s="53">
        <f>MIN(O7:O30)</f>
        <v>0</v>
      </c>
      <c r="P50" s="55">
        <f>MIN(P7:P30)</f>
        <v>0</v>
      </c>
    </row>
    <row r="51" spans="1:16" ht="18" customHeight="1" x14ac:dyDescent="0.25">
      <c r="A51" s="54"/>
      <c r="B51" s="51" t="s">
        <v>39</v>
      </c>
      <c r="C51" s="51"/>
      <c r="D51" s="52"/>
      <c r="E51" s="52"/>
      <c r="F51" s="52"/>
      <c r="G51" s="52"/>
      <c r="H51" s="52"/>
      <c r="I51" s="52"/>
      <c r="J51" s="52"/>
      <c r="K51" s="52"/>
      <c r="L51" s="52"/>
      <c r="M51" s="55">
        <f>AVERAGE(M7:M30)</f>
        <v>8.3333333333333329E-2</v>
      </c>
      <c r="N51" s="55">
        <f>AVERAGE(N7:N30)</f>
        <v>0.16666666666666666</v>
      </c>
      <c r="O51" s="55">
        <f>AVERAGE(O7:O30)</f>
        <v>0.16666666666666666</v>
      </c>
      <c r="P51" s="55">
        <f>AVERAGE(P7:P30)</f>
        <v>2.9761904761904763</v>
      </c>
    </row>
  </sheetData>
  <mergeCells count="9">
    <mergeCell ref="O5:O6"/>
    <mergeCell ref="P5:P6"/>
    <mergeCell ref="A5:A6"/>
    <mergeCell ref="B5:B6"/>
    <mergeCell ref="C5:C6"/>
    <mergeCell ref="L5:L6"/>
    <mergeCell ref="M5:M6"/>
    <mergeCell ref="N5:N6"/>
    <mergeCell ref="F5:G5"/>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00B0F0"/>
  </sheetPr>
  <dimension ref="A1:P51"/>
  <sheetViews>
    <sheetView showGridLines="0" topLeftCell="A40" workbookViewId="0">
      <selection sqref="A1:Q1"/>
    </sheetView>
  </sheetViews>
  <sheetFormatPr defaultRowHeight="15" x14ac:dyDescent="0.25"/>
  <cols>
    <col min="1" max="1" width="5.42578125" customWidth="1"/>
    <col min="2" max="2" width="45.5703125" customWidth="1"/>
    <col min="3" max="3" width="5.42578125" customWidth="1"/>
    <col min="4" max="11" width="5.7109375" customWidth="1"/>
    <col min="12" max="12" width="9.85546875" customWidth="1"/>
    <col min="13" max="13" width="5.7109375" customWidth="1"/>
    <col min="14" max="15" width="4.85546875" customWidth="1"/>
    <col min="16" max="16" width="9.28515625" customWidth="1"/>
  </cols>
  <sheetData>
    <row r="1" spans="1:16" ht="48" customHeight="1" x14ac:dyDescent="0.25">
      <c r="A1" s="484"/>
      <c r="B1" s="484"/>
      <c r="C1" s="484"/>
      <c r="D1" s="484"/>
      <c r="E1" s="484"/>
      <c r="F1" s="484"/>
      <c r="G1" s="484"/>
      <c r="H1" s="484"/>
      <c r="I1" s="484"/>
      <c r="J1" s="484"/>
      <c r="K1" s="484"/>
      <c r="L1" s="485"/>
      <c r="M1" s="485"/>
      <c r="N1" s="485"/>
      <c r="O1" s="485"/>
      <c r="P1" s="485"/>
    </row>
    <row r="2" spans="1:16" ht="18.75" x14ac:dyDescent="0.3">
      <c r="A2" s="594" t="s">
        <v>190</v>
      </c>
      <c r="L2" s="274"/>
      <c r="M2" s="274"/>
      <c r="N2" s="274"/>
      <c r="O2" s="274"/>
      <c r="P2" s="274"/>
    </row>
    <row r="3" spans="1:16" ht="18.75" x14ac:dyDescent="0.3">
      <c r="A3" s="594" t="s">
        <v>690</v>
      </c>
      <c r="L3" s="225"/>
      <c r="M3" s="225"/>
      <c r="N3" s="225"/>
      <c r="O3" s="225"/>
      <c r="P3" s="225"/>
    </row>
    <row r="4" spans="1:16" s="201" customFormat="1" ht="16.5" thickBot="1" x14ac:dyDescent="0.3">
      <c r="A4" s="230">
        <v>1</v>
      </c>
      <c r="B4" s="230">
        <v>2</v>
      </c>
      <c r="C4" s="230">
        <v>3</v>
      </c>
      <c r="D4" s="230">
        <v>4</v>
      </c>
      <c r="E4" s="230">
        <v>5</v>
      </c>
      <c r="F4" s="230">
        <v>6</v>
      </c>
      <c r="G4" s="230">
        <v>7</v>
      </c>
      <c r="H4" s="230">
        <v>8</v>
      </c>
      <c r="I4" s="230">
        <v>9</v>
      </c>
      <c r="J4" s="230">
        <v>10</v>
      </c>
      <c r="K4" s="230">
        <v>11</v>
      </c>
      <c r="L4" s="230">
        <v>12</v>
      </c>
      <c r="M4" s="230">
        <v>13</v>
      </c>
      <c r="N4" s="230">
        <v>14</v>
      </c>
      <c r="O4" s="230">
        <v>15</v>
      </c>
      <c r="P4" s="230">
        <v>16</v>
      </c>
    </row>
    <row r="5" spans="1:16" s="30" customFormat="1" ht="31.5" customHeight="1" thickBot="1" x14ac:dyDescent="0.3">
      <c r="A5" s="3156" t="s">
        <v>0</v>
      </c>
      <c r="B5" s="3156" t="s">
        <v>28</v>
      </c>
      <c r="C5" s="3158" t="s">
        <v>3</v>
      </c>
      <c r="D5" s="3213" t="s">
        <v>10</v>
      </c>
      <c r="E5" s="3214"/>
      <c r="F5" s="3220"/>
      <c r="G5" s="3221" t="s">
        <v>8</v>
      </c>
      <c r="H5" s="3220"/>
      <c r="I5" s="3221" t="s">
        <v>20</v>
      </c>
      <c r="J5" s="3220"/>
      <c r="K5" s="275" t="s">
        <v>180</v>
      </c>
      <c r="L5" s="3209" t="s">
        <v>64</v>
      </c>
      <c r="M5" s="3211" t="s">
        <v>29</v>
      </c>
      <c r="N5" s="3205" t="s">
        <v>30</v>
      </c>
      <c r="O5" s="3205" t="s">
        <v>31</v>
      </c>
      <c r="P5" s="3207" t="s">
        <v>32</v>
      </c>
    </row>
    <row r="6" spans="1:16" ht="22.5" customHeight="1" thickBot="1" x14ac:dyDescent="0.3">
      <c r="A6" s="3157"/>
      <c r="B6" s="3157"/>
      <c r="C6" s="3159"/>
      <c r="D6" s="270" t="s">
        <v>29</v>
      </c>
      <c r="E6" s="270" t="s">
        <v>29</v>
      </c>
      <c r="F6" s="270" t="s">
        <v>29</v>
      </c>
      <c r="G6" s="271" t="s">
        <v>29</v>
      </c>
      <c r="H6" s="637" t="s">
        <v>212</v>
      </c>
      <c r="I6" s="637" t="s">
        <v>212</v>
      </c>
      <c r="J6" s="638" t="s">
        <v>200</v>
      </c>
      <c r="K6" s="483" t="s">
        <v>31</v>
      </c>
      <c r="L6" s="3210"/>
      <c r="M6" s="3212"/>
      <c r="N6" s="3206"/>
      <c r="O6" s="3206"/>
      <c r="P6" s="3208"/>
    </row>
    <row r="7" spans="1:16" ht="20.100000000000001" customHeight="1" x14ac:dyDescent="0.25">
      <c r="A7" s="34">
        <v>1</v>
      </c>
      <c r="B7" s="269" t="str">
        <f>dtsiswa!D7</f>
        <v>Achmad Zacky</v>
      </c>
      <c r="C7" s="36" t="s">
        <v>4</v>
      </c>
      <c r="D7" s="200">
        <v>1</v>
      </c>
      <c r="E7" s="200">
        <v>1</v>
      </c>
      <c r="F7" s="200">
        <v>1</v>
      </c>
      <c r="G7" s="200">
        <v>0</v>
      </c>
      <c r="H7" s="200">
        <v>2</v>
      </c>
      <c r="I7" s="200">
        <v>2</v>
      </c>
      <c r="J7" s="200">
        <v>2</v>
      </c>
      <c r="K7" s="200">
        <v>2</v>
      </c>
      <c r="L7" s="401">
        <f>SUM(D7:K7)*100/14</f>
        <v>78.571428571428569</v>
      </c>
      <c r="M7" s="227">
        <f>SUM(D7:G7)</f>
        <v>3</v>
      </c>
      <c r="N7" s="227">
        <f>SUM(H7:I7)</f>
        <v>4</v>
      </c>
      <c r="O7" s="227">
        <f>SUM(J7:K7)</f>
        <v>4</v>
      </c>
      <c r="P7" s="228">
        <f>L7</f>
        <v>78.571428571428569</v>
      </c>
    </row>
    <row r="8" spans="1:16" ht="20.100000000000001" customHeight="1" x14ac:dyDescent="0.25">
      <c r="A8" s="349">
        <v>2</v>
      </c>
      <c r="B8" s="269" t="str">
        <f>dtsiswa!D8</f>
        <v>Angelia Vabel R</v>
      </c>
      <c r="C8" s="36" t="s">
        <v>4</v>
      </c>
      <c r="D8" s="59"/>
      <c r="E8" s="200"/>
      <c r="F8" s="200"/>
      <c r="G8" s="59"/>
      <c r="H8" s="200"/>
      <c r="I8" s="200"/>
      <c r="J8" s="59"/>
      <c r="K8" s="59"/>
      <c r="L8" s="401">
        <f t="shared" ref="L8:L46" si="0">SUM(D8:K8)*100/14</f>
        <v>0</v>
      </c>
      <c r="M8" s="227">
        <f t="shared" ref="M8:M46" si="1">SUM(D8:G8)</f>
        <v>0</v>
      </c>
      <c r="N8" s="227">
        <f t="shared" ref="N8:N46" si="2">SUM(H8:I8)</f>
        <v>0</v>
      </c>
      <c r="O8" s="227">
        <f t="shared" ref="O8:O46" si="3">SUM(J8:K8)</f>
        <v>0</v>
      </c>
      <c r="P8" s="228">
        <f t="shared" ref="P8:P9" si="4">L8</f>
        <v>0</v>
      </c>
    </row>
    <row r="9" spans="1:16" ht="20.100000000000001" customHeight="1" x14ac:dyDescent="0.25">
      <c r="A9" s="349">
        <v>3</v>
      </c>
      <c r="B9" s="269" t="str">
        <f>dtsiswa!D9</f>
        <v>Anggun Dwi P.I</v>
      </c>
      <c r="C9" s="36" t="s">
        <v>4</v>
      </c>
      <c r="D9" s="59"/>
      <c r="E9" s="200"/>
      <c r="F9" s="200"/>
      <c r="G9" s="59"/>
      <c r="H9" s="200"/>
      <c r="I9" s="200"/>
      <c r="J9" s="59"/>
      <c r="K9" s="59"/>
      <c r="L9" s="401">
        <f t="shared" si="0"/>
        <v>0</v>
      </c>
      <c r="M9" s="227">
        <f t="shared" si="1"/>
        <v>0</v>
      </c>
      <c r="N9" s="227">
        <f t="shared" si="2"/>
        <v>0</v>
      </c>
      <c r="O9" s="227">
        <f t="shared" si="3"/>
        <v>0</v>
      </c>
      <c r="P9" s="228">
        <f t="shared" si="4"/>
        <v>0</v>
      </c>
    </row>
    <row r="10" spans="1:16" ht="20.100000000000001" customHeight="1" x14ac:dyDescent="0.25">
      <c r="A10" s="349">
        <v>4</v>
      </c>
      <c r="B10" s="269" t="str">
        <f>dtsiswa!D10</f>
        <v>Antonio Permata A</v>
      </c>
      <c r="C10" s="43" t="s">
        <v>4</v>
      </c>
      <c r="D10" s="59"/>
      <c r="E10" s="200"/>
      <c r="F10" s="200"/>
      <c r="G10" s="59"/>
      <c r="H10" s="200"/>
      <c r="I10" s="200"/>
      <c r="J10" s="59"/>
      <c r="K10" s="59"/>
      <c r="L10" s="401">
        <f t="shared" si="0"/>
        <v>0</v>
      </c>
      <c r="M10" s="227">
        <f t="shared" si="1"/>
        <v>0</v>
      </c>
      <c r="N10" s="227">
        <f t="shared" si="2"/>
        <v>0</v>
      </c>
      <c r="O10" s="227">
        <f t="shared" si="3"/>
        <v>0</v>
      </c>
      <c r="P10" s="228">
        <f t="shared" ref="P10:P37" si="5">L10</f>
        <v>0</v>
      </c>
    </row>
    <row r="11" spans="1:16" ht="20.100000000000001" customHeight="1" x14ac:dyDescent="0.25">
      <c r="A11" s="349">
        <v>5</v>
      </c>
      <c r="B11" s="269" t="str">
        <f>dtsiswa!D11</f>
        <v>Arya Pratama G</v>
      </c>
      <c r="C11" s="36" t="s">
        <v>5</v>
      </c>
      <c r="D11" s="59"/>
      <c r="E11" s="200"/>
      <c r="F11" s="200"/>
      <c r="G11" s="59"/>
      <c r="H11" s="200"/>
      <c r="I11" s="200"/>
      <c r="J11" s="59"/>
      <c r="K11" s="59"/>
      <c r="L11" s="401">
        <f t="shared" si="0"/>
        <v>0</v>
      </c>
      <c r="M11" s="227">
        <f t="shared" si="1"/>
        <v>0</v>
      </c>
      <c r="N11" s="227">
        <f t="shared" si="2"/>
        <v>0</v>
      </c>
      <c r="O11" s="227">
        <f t="shared" si="3"/>
        <v>0</v>
      </c>
      <c r="P11" s="228">
        <f t="shared" si="5"/>
        <v>0</v>
      </c>
    </row>
    <row r="12" spans="1:16" ht="20.100000000000001" customHeight="1" x14ac:dyDescent="0.25">
      <c r="A12" s="349">
        <v>6</v>
      </c>
      <c r="B12" s="269" t="str">
        <f>dtsiswa!D12</f>
        <v>Asyam Hanif Ihsan H</v>
      </c>
      <c r="C12" s="36" t="s">
        <v>5</v>
      </c>
      <c r="D12" s="59"/>
      <c r="E12" s="59"/>
      <c r="F12" s="59"/>
      <c r="G12" s="59"/>
      <c r="H12" s="59"/>
      <c r="I12" s="59"/>
      <c r="J12" s="59"/>
      <c r="K12" s="59"/>
      <c r="L12" s="401">
        <f t="shared" si="0"/>
        <v>0</v>
      </c>
      <c r="M12" s="227">
        <f t="shared" si="1"/>
        <v>0</v>
      </c>
      <c r="N12" s="227">
        <f t="shared" si="2"/>
        <v>0</v>
      </c>
      <c r="O12" s="227">
        <f t="shared" si="3"/>
        <v>0</v>
      </c>
      <c r="P12" s="228">
        <f t="shared" si="5"/>
        <v>0</v>
      </c>
    </row>
    <row r="13" spans="1:16" ht="20.100000000000001" customHeight="1" x14ac:dyDescent="0.25">
      <c r="A13" s="349">
        <v>7</v>
      </c>
      <c r="B13" s="269" t="str">
        <f>dtsiswa!D13</f>
        <v>Athaya Salsabilla Z</v>
      </c>
      <c r="C13" s="36" t="s">
        <v>4</v>
      </c>
      <c r="D13" s="59"/>
      <c r="E13" s="59"/>
      <c r="F13" s="59"/>
      <c r="G13" s="59"/>
      <c r="H13" s="59"/>
      <c r="I13" s="59"/>
      <c r="J13" s="59"/>
      <c r="K13" s="59"/>
      <c r="L13" s="401">
        <f t="shared" si="0"/>
        <v>0</v>
      </c>
      <c r="M13" s="227">
        <f t="shared" si="1"/>
        <v>0</v>
      </c>
      <c r="N13" s="227">
        <f t="shared" si="2"/>
        <v>0</v>
      </c>
      <c r="O13" s="227">
        <f t="shared" si="3"/>
        <v>0</v>
      </c>
      <c r="P13" s="228">
        <f t="shared" si="5"/>
        <v>0</v>
      </c>
    </row>
    <row r="14" spans="1:16" ht="20.100000000000001" customHeight="1" x14ac:dyDescent="0.25">
      <c r="A14" s="349">
        <v>8</v>
      </c>
      <c r="B14" s="269" t="str">
        <f>dtsiswa!D14</f>
        <v>Aulia Dea Rosalinda</v>
      </c>
      <c r="C14" s="36" t="s">
        <v>4</v>
      </c>
      <c r="D14" s="59"/>
      <c r="E14" s="59"/>
      <c r="F14" s="59"/>
      <c r="G14" s="59"/>
      <c r="H14" s="59"/>
      <c r="I14" s="59"/>
      <c r="J14" s="59"/>
      <c r="K14" s="59"/>
      <c r="L14" s="401">
        <f t="shared" si="0"/>
        <v>0</v>
      </c>
      <c r="M14" s="227">
        <f t="shared" si="1"/>
        <v>0</v>
      </c>
      <c r="N14" s="227">
        <f t="shared" si="2"/>
        <v>0</v>
      </c>
      <c r="O14" s="227">
        <f t="shared" si="3"/>
        <v>0</v>
      </c>
      <c r="P14" s="228">
        <f t="shared" si="5"/>
        <v>0</v>
      </c>
    </row>
    <row r="15" spans="1:16" ht="20.100000000000001" customHeight="1" x14ac:dyDescent="0.25">
      <c r="A15" s="349">
        <v>9</v>
      </c>
      <c r="B15" s="269" t="str">
        <f>dtsiswa!D15</f>
        <v>Claudia Gabriella L</v>
      </c>
      <c r="C15" s="36" t="s">
        <v>4</v>
      </c>
      <c r="D15" s="59"/>
      <c r="E15" s="59"/>
      <c r="F15" s="59"/>
      <c r="G15" s="59"/>
      <c r="H15" s="59"/>
      <c r="I15" s="59"/>
      <c r="J15" s="59"/>
      <c r="K15" s="59"/>
      <c r="L15" s="401">
        <f t="shared" si="0"/>
        <v>0</v>
      </c>
      <c r="M15" s="227">
        <f t="shared" si="1"/>
        <v>0</v>
      </c>
      <c r="N15" s="227">
        <f t="shared" si="2"/>
        <v>0</v>
      </c>
      <c r="O15" s="227">
        <f t="shared" si="3"/>
        <v>0</v>
      </c>
      <c r="P15" s="228">
        <f t="shared" si="5"/>
        <v>0</v>
      </c>
    </row>
    <row r="16" spans="1:16" ht="20.100000000000001" customHeight="1" x14ac:dyDescent="0.25">
      <c r="A16" s="349">
        <v>10</v>
      </c>
      <c r="B16" s="269" t="str">
        <f>dtsiswa!D16</f>
        <v xml:space="preserve">Deco Badarus Zaman </v>
      </c>
      <c r="C16" s="36" t="s">
        <v>4</v>
      </c>
      <c r="D16" s="59"/>
      <c r="E16" s="59"/>
      <c r="F16" s="59"/>
      <c r="G16" s="59"/>
      <c r="H16" s="59"/>
      <c r="I16" s="59"/>
      <c r="J16" s="59"/>
      <c r="K16" s="59"/>
      <c r="L16" s="401">
        <f t="shared" si="0"/>
        <v>0</v>
      </c>
      <c r="M16" s="227">
        <f t="shared" si="1"/>
        <v>0</v>
      </c>
      <c r="N16" s="227">
        <f t="shared" si="2"/>
        <v>0</v>
      </c>
      <c r="O16" s="227">
        <f t="shared" si="3"/>
        <v>0</v>
      </c>
      <c r="P16" s="228">
        <f t="shared" si="5"/>
        <v>0</v>
      </c>
    </row>
    <row r="17" spans="1:16" ht="20.100000000000001" customHeight="1" x14ac:dyDescent="0.25">
      <c r="A17" s="349">
        <v>11</v>
      </c>
      <c r="B17" s="269" t="str">
        <f>dtsiswa!D17</f>
        <v>Fania Mutiara Felichia</v>
      </c>
      <c r="C17" s="36" t="s">
        <v>4</v>
      </c>
      <c r="D17" s="59"/>
      <c r="E17" s="59"/>
      <c r="F17" s="59"/>
      <c r="G17" s="59"/>
      <c r="H17" s="59"/>
      <c r="I17" s="59"/>
      <c r="J17" s="59"/>
      <c r="K17" s="59"/>
      <c r="L17" s="401">
        <f t="shared" si="0"/>
        <v>0</v>
      </c>
      <c r="M17" s="227">
        <f t="shared" si="1"/>
        <v>0</v>
      </c>
      <c r="N17" s="227">
        <f t="shared" si="2"/>
        <v>0</v>
      </c>
      <c r="O17" s="227">
        <f t="shared" si="3"/>
        <v>0</v>
      </c>
      <c r="P17" s="228">
        <f t="shared" si="5"/>
        <v>0</v>
      </c>
    </row>
    <row r="18" spans="1:16" ht="20.100000000000001" customHeight="1" x14ac:dyDescent="0.25">
      <c r="A18" s="349">
        <v>12</v>
      </c>
      <c r="B18" s="269" t="str">
        <f>dtsiswa!D18</f>
        <v>Intan Dyah Nowari</v>
      </c>
      <c r="C18" s="36" t="s">
        <v>4</v>
      </c>
      <c r="D18" s="59"/>
      <c r="E18" s="59"/>
      <c r="F18" s="59"/>
      <c r="G18" s="59"/>
      <c r="H18" s="59"/>
      <c r="I18" s="59"/>
      <c r="J18" s="59"/>
      <c r="K18" s="59"/>
      <c r="L18" s="401">
        <f t="shared" si="0"/>
        <v>0</v>
      </c>
      <c r="M18" s="227">
        <f t="shared" si="1"/>
        <v>0</v>
      </c>
      <c r="N18" s="227">
        <f t="shared" si="2"/>
        <v>0</v>
      </c>
      <c r="O18" s="227">
        <f t="shared" si="3"/>
        <v>0</v>
      </c>
      <c r="P18" s="228">
        <f t="shared" si="5"/>
        <v>0</v>
      </c>
    </row>
    <row r="19" spans="1:16" ht="20.100000000000001" customHeight="1" x14ac:dyDescent="0.25">
      <c r="A19" s="349">
        <v>13</v>
      </c>
      <c r="B19" s="269" t="str">
        <f>dtsiswa!D19</f>
        <v>Misyanita Nurfitri S</v>
      </c>
      <c r="C19" s="36" t="s">
        <v>5</v>
      </c>
      <c r="D19" s="59"/>
      <c r="E19" s="59"/>
      <c r="F19" s="59"/>
      <c r="G19" s="59"/>
      <c r="H19" s="59"/>
      <c r="I19" s="59"/>
      <c r="J19" s="59"/>
      <c r="K19" s="59"/>
      <c r="L19" s="401">
        <f t="shared" si="0"/>
        <v>0</v>
      </c>
      <c r="M19" s="227">
        <f t="shared" si="1"/>
        <v>0</v>
      </c>
      <c r="N19" s="227">
        <f t="shared" si="2"/>
        <v>0</v>
      </c>
      <c r="O19" s="227">
        <f t="shared" si="3"/>
        <v>0</v>
      </c>
      <c r="P19" s="228">
        <f t="shared" si="5"/>
        <v>0</v>
      </c>
    </row>
    <row r="20" spans="1:16" ht="20.100000000000001" customHeight="1" x14ac:dyDescent="0.25">
      <c r="A20" s="349">
        <v>14</v>
      </c>
      <c r="B20" s="269" t="str">
        <f>dtsiswa!D20</f>
        <v>Moch Zidane Hita L. U</v>
      </c>
      <c r="C20" s="36" t="s">
        <v>4</v>
      </c>
      <c r="D20" s="59"/>
      <c r="E20" s="59"/>
      <c r="F20" s="59"/>
      <c r="G20" s="59"/>
      <c r="H20" s="59"/>
      <c r="I20" s="59"/>
      <c r="J20" s="59"/>
      <c r="K20" s="59"/>
      <c r="L20" s="401">
        <f t="shared" si="0"/>
        <v>0</v>
      </c>
      <c r="M20" s="227">
        <f t="shared" si="1"/>
        <v>0</v>
      </c>
      <c r="N20" s="227">
        <f t="shared" si="2"/>
        <v>0</v>
      </c>
      <c r="O20" s="227">
        <f t="shared" si="3"/>
        <v>0</v>
      </c>
      <c r="P20" s="228">
        <f t="shared" si="5"/>
        <v>0</v>
      </c>
    </row>
    <row r="21" spans="1:16" ht="20.100000000000001" customHeight="1" x14ac:dyDescent="0.25">
      <c r="A21" s="349">
        <v>15</v>
      </c>
      <c r="B21" s="269" t="str">
        <f>dtsiswa!D21</f>
        <v>Muhammad Ibra Maulana</v>
      </c>
      <c r="C21" s="36" t="s">
        <v>4</v>
      </c>
      <c r="D21" s="59"/>
      <c r="E21" s="59"/>
      <c r="F21" s="59"/>
      <c r="G21" s="59"/>
      <c r="H21" s="59"/>
      <c r="I21" s="59"/>
      <c r="J21" s="59"/>
      <c r="K21" s="59"/>
      <c r="L21" s="401">
        <f t="shared" si="0"/>
        <v>0</v>
      </c>
      <c r="M21" s="227">
        <f t="shared" si="1"/>
        <v>0</v>
      </c>
      <c r="N21" s="227">
        <f t="shared" si="2"/>
        <v>0</v>
      </c>
      <c r="O21" s="227">
        <f t="shared" si="3"/>
        <v>0</v>
      </c>
      <c r="P21" s="228">
        <f t="shared" si="5"/>
        <v>0</v>
      </c>
    </row>
    <row r="22" spans="1:16" ht="20.100000000000001" customHeight="1" x14ac:dyDescent="0.25">
      <c r="A22" s="349">
        <v>16</v>
      </c>
      <c r="B22" s="269" t="str">
        <f>dtsiswa!D22</f>
        <v>Nabilla Shiva Putri</v>
      </c>
      <c r="C22" s="36" t="s">
        <v>4</v>
      </c>
      <c r="D22" s="59"/>
      <c r="E22" s="59"/>
      <c r="F22" s="59"/>
      <c r="G22" s="59"/>
      <c r="H22" s="59"/>
      <c r="I22" s="59"/>
      <c r="J22" s="59"/>
      <c r="K22" s="59"/>
      <c r="L22" s="401">
        <f t="shared" si="0"/>
        <v>0</v>
      </c>
      <c r="M22" s="227">
        <f t="shared" si="1"/>
        <v>0</v>
      </c>
      <c r="N22" s="227">
        <f t="shared" si="2"/>
        <v>0</v>
      </c>
      <c r="O22" s="227">
        <f t="shared" si="3"/>
        <v>0</v>
      </c>
      <c r="P22" s="228">
        <f t="shared" si="5"/>
        <v>0</v>
      </c>
    </row>
    <row r="23" spans="1:16" ht="20.100000000000001" customHeight="1" x14ac:dyDescent="0.25">
      <c r="A23" s="349">
        <v>17</v>
      </c>
      <c r="B23" s="269" t="str">
        <f>dtsiswa!D23</f>
        <v>Naufal Falih F</v>
      </c>
      <c r="C23" s="36" t="s">
        <v>5</v>
      </c>
      <c r="D23" s="59"/>
      <c r="E23" s="59"/>
      <c r="F23" s="59"/>
      <c r="G23" s="59"/>
      <c r="H23" s="59"/>
      <c r="I23" s="59"/>
      <c r="J23" s="59"/>
      <c r="K23" s="59"/>
      <c r="L23" s="401">
        <f t="shared" si="0"/>
        <v>0</v>
      </c>
      <c r="M23" s="227">
        <f t="shared" si="1"/>
        <v>0</v>
      </c>
      <c r="N23" s="227">
        <f t="shared" si="2"/>
        <v>0</v>
      </c>
      <c r="O23" s="227">
        <f t="shared" si="3"/>
        <v>0</v>
      </c>
      <c r="P23" s="228">
        <f t="shared" si="5"/>
        <v>0</v>
      </c>
    </row>
    <row r="24" spans="1:16" ht="20.100000000000001" customHeight="1" x14ac:dyDescent="0.25">
      <c r="A24" s="349">
        <v>18</v>
      </c>
      <c r="B24" s="269" t="str">
        <f>dtsiswa!D24</f>
        <v>Nayla Annora Nobel W</v>
      </c>
      <c r="C24" s="36" t="s">
        <v>4</v>
      </c>
      <c r="D24" s="59"/>
      <c r="E24" s="59"/>
      <c r="F24" s="59"/>
      <c r="G24" s="59"/>
      <c r="H24" s="59"/>
      <c r="I24" s="59"/>
      <c r="J24" s="59"/>
      <c r="K24" s="59"/>
      <c r="L24" s="401">
        <f t="shared" si="0"/>
        <v>0</v>
      </c>
      <c r="M24" s="227">
        <f t="shared" si="1"/>
        <v>0</v>
      </c>
      <c r="N24" s="227">
        <f t="shared" si="2"/>
        <v>0</v>
      </c>
      <c r="O24" s="227">
        <f t="shared" si="3"/>
        <v>0</v>
      </c>
      <c r="P24" s="228">
        <f t="shared" si="5"/>
        <v>0</v>
      </c>
    </row>
    <row r="25" spans="1:16" ht="20.100000000000001" customHeight="1" x14ac:dyDescent="0.25">
      <c r="A25" s="349">
        <v>19</v>
      </c>
      <c r="B25" s="269" t="str">
        <f>dtsiswa!D25</f>
        <v>Raihan Danang P</v>
      </c>
      <c r="C25" s="36" t="s">
        <v>5</v>
      </c>
      <c r="D25" s="59"/>
      <c r="E25" s="59"/>
      <c r="F25" s="59"/>
      <c r="G25" s="59"/>
      <c r="H25" s="59"/>
      <c r="I25" s="59"/>
      <c r="J25" s="59"/>
      <c r="K25" s="59"/>
      <c r="L25" s="401">
        <f t="shared" si="0"/>
        <v>0</v>
      </c>
      <c r="M25" s="227">
        <f t="shared" si="1"/>
        <v>0</v>
      </c>
      <c r="N25" s="227">
        <f t="shared" si="2"/>
        <v>0</v>
      </c>
      <c r="O25" s="227">
        <f t="shared" si="3"/>
        <v>0</v>
      </c>
      <c r="P25" s="228">
        <f t="shared" si="5"/>
        <v>0</v>
      </c>
    </row>
    <row r="26" spans="1:16" ht="20.100000000000001" customHeight="1" x14ac:dyDescent="0.25">
      <c r="A26" s="349">
        <v>20</v>
      </c>
      <c r="B26" s="269" t="str">
        <f>dtsiswa!D26</f>
        <v>Roby Ardiyansyah</v>
      </c>
      <c r="C26" s="36" t="s">
        <v>5</v>
      </c>
      <c r="D26" s="349"/>
      <c r="E26" s="628"/>
      <c r="F26" s="628"/>
      <c r="G26" s="349"/>
      <c r="H26" s="628"/>
      <c r="I26" s="628"/>
      <c r="J26" s="349"/>
      <c r="K26" s="349"/>
      <c r="L26" s="401">
        <f t="shared" si="0"/>
        <v>0</v>
      </c>
      <c r="M26" s="227">
        <f t="shared" si="1"/>
        <v>0</v>
      </c>
      <c r="N26" s="227">
        <f t="shared" si="2"/>
        <v>0</v>
      </c>
      <c r="O26" s="227">
        <f t="shared" si="3"/>
        <v>0</v>
      </c>
      <c r="P26" s="228">
        <f t="shared" si="5"/>
        <v>0</v>
      </c>
    </row>
    <row r="27" spans="1:16" ht="20.100000000000001" customHeight="1" x14ac:dyDescent="0.25">
      <c r="A27" s="349">
        <v>21</v>
      </c>
      <c r="B27" s="269" t="str">
        <f>dtsiswa!D27</f>
        <v>Rojalingga Prana A</v>
      </c>
      <c r="C27" s="44" t="s">
        <v>4</v>
      </c>
      <c r="D27" s="59"/>
      <c r="E27" s="59"/>
      <c r="F27" s="59"/>
      <c r="G27" s="59"/>
      <c r="H27" s="59"/>
      <c r="I27" s="59"/>
      <c r="J27" s="59"/>
      <c r="K27" s="59"/>
      <c r="L27" s="401">
        <f t="shared" si="0"/>
        <v>0</v>
      </c>
      <c r="M27" s="227">
        <f t="shared" si="1"/>
        <v>0</v>
      </c>
      <c r="N27" s="227">
        <f t="shared" si="2"/>
        <v>0</v>
      </c>
      <c r="O27" s="227">
        <f t="shared" si="3"/>
        <v>0</v>
      </c>
      <c r="P27" s="228">
        <f t="shared" si="5"/>
        <v>0</v>
      </c>
    </row>
    <row r="28" spans="1:16" ht="20.100000000000001" customHeight="1" x14ac:dyDescent="0.25">
      <c r="A28" s="349">
        <v>22</v>
      </c>
      <c r="B28" s="269" t="str">
        <f>dtsiswa!D28</f>
        <v>Sally Savista A</v>
      </c>
      <c r="C28" s="45" t="s">
        <v>4</v>
      </c>
      <c r="D28" s="349"/>
      <c r="E28" s="628"/>
      <c r="F28" s="628"/>
      <c r="G28" s="349"/>
      <c r="H28" s="628"/>
      <c r="I28" s="628"/>
      <c r="J28" s="349"/>
      <c r="K28" s="349"/>
      <c r="L28" s="401">
        <f t="shared" si="0"/>
        <v>0</v>
      </c>
      <c r="M28" s="227">
        <f t="shared" si="1"/>
        <v>0</v>
      </c>
      <c r="N28" s="227">
        <f t="shared" si="2"/>
        <v>0</v>
      </c>
      <c r="O28" s="227">
        <f t="shared" si="3"/>
        <v>0</v>
      </c>
      <c r="P28" s="228">
        <f t="shared" si="5"/>
        <v>0</v>
      </c>
    </row>
    <row r="29" spans="1:16" ht="20.100000000000001" customHeight="1" x14ac:dyDescent="0.25">
      <c r="A29" s="349">
        <v>23</v>
      </c>
      <c r="B29" s="269" t="str">
        <f>dtsiswa!D29</f>
        <v xml:space="preserve">Tania Kaori Angelita </v>
      </c>
      <c r="C29" s="45" t="s">
        <v>5</v>
      </c>
      <c r="D29" s="349"/>
      <c r="E29" s="628"/>
      <c r="F29" s="628"/>
      <c r="G29" s="349"/>
      <c r="H29" s="628"/>
      <c r="I29" s="628"/>
      <c r="J29" s="349"/>
      <c r="K29" s="349"/>
      <c r="L29" s="401">
        <f t="shared" si="0"/>
        <v>0</v>
      </c>
      <c r="M29" s="227">
        <f t="shared" si="1"/>
        <v>0</v>
      </c>
      <c r="N29" s="227">
        <f t="shared" si="2"/>
        <v>0</v>
      </c>
      <c r="O29" s="227">
        <f t="shared" si="3"/>
        <v>0</v>
      </c>
      <c r="P29" s="228">
        <f t="shared" si="5"/>
        <v>0</v>
      </c>
    </row>
    <row r="30" spans="1:16" ht="20.100000000000001" customHeight="1" x14ac:dyDescent="0.25">
      <c r="A30" s="349">
        <v>24</v>
      </c>
      <c r="B30" s="269" t="str">
        <f>dtsiswa!D30</f>
        <v>Romzy Oka Ramadhani P</v>
      </c>
      <c r="C30" s="45" t="s">
        <v>5</v>
      </c>
      <c r="D30" s="349"/>
      <c r="E30" s="628"/>
      <c r="F30" s="628"/>
      <c r="G30" s="349"/>
      <c r="H30" s="628"/>
      <c r="I30" s="628"/>
      <c r="J30" s="349"/>
      <c r="K30" s="349"/>
      <c r="L30" s="401">
        <f t="shared" si="0"/>
        <v>0</v>
      </c>
      <c r="M30" s="227">
        <f t="shared" si="1"/>
        <v>0</v>
      </c>
      <c r="N30" s="227">
        <f t="shared" si="2"/>
        <v>0</v>
      </c>
      <c r="O30" s="227">
        <f t="shared" si="3"/>
        <v>0</v>
      </c>
      <c r="P30" s="228">
        <f t="shared" si="5"/>
        <v>0</v>
      </c>
    </row>
    <row r="31" spans="1:16" ht="20.100000000000001" customHeight="1" x14ac:dyDescent="0.25">
      <c r="A31" s="349">
        <v>25</v>
      </c>
      <c r="B31" s="269" t="str">
        <f>dtsiswa!D31</f>
        <v>Larasati Jagadhita P</v>
      </c>
      <c r="C31" s="36" t="s">
        <v>4</v>
      </c>
      <c r="D31" s="349"/>
      <c r="E31" s="628"/>
      <c r="F31" s="628"/>
      <c r="G31" s="349"/>
      <c r="H31" s="628"/>
      <c r="I31" s="628"/>
      <c r="J31" s="349"/>
      <c r="K31" s="349"/>
      <c r="L31" s="401">
        <f t="shared" si="0"/>
        <v>0</v>
      </c>
      <c r="M31" s="227">
        <f t="shared" si="1"/>
        <v>0</v>
      </c>
      <c r="N31" s="227">
        <f t="shared" si="2"/>
        <v>0</v>
      </c>
      <c r="O31" s="227">
        <f t="shared" si="3"/>
        <v>0</v>
      </c>
      <c r="P31" s="228">
        <f t="shared" si="5"/>
        <v>0</v>
      </c>
    </row>
    <row r="32" spans="1:16" ht="20.100000000000001" customHeight="1" x14ac:dyDescent="0.25">
      <c r="A32" s="349">
        <v>26</v>
      </c>
      <c r="B32" s="269" t="str">
        <f>dtsiswa!D32</f>
        <v>Meliana Citra A</v>
      </c>
      <c r="C32" s="36" t="s">
        <v>5</v>
      </c>
      <c r="D32" s="349"/>
      <c r="E32" s="628"/>
      <c r="F32" s="628"/>
      <c r="G32" s="349"/>
      <c r="H32" s="628"/>
      <c r="I32" s="628"/>
      <c r="J32" s="349"/>
      <c r="K32" s="349"/>
      <c r="L32" s="401">
        <f t="shared" si="0"/>
        <v>0</v>
      </c>
      <c r="M32" s="227">
        <f t="shared" si="1"/>
        <v>0</v>
      </c>
      <c r="N32" s="227">
        <f t="shared" si="2"/>
        <v>0</v>
      </c>
      <c r="O32" s="227">
        <f t="shared" si="3"/>
        <v>0</v>
      </c>
      <c r="P32" s="228">
        <f t="shared" si="5"/>
        <v>0</v>
      </c>
    </row>
    <row r="33" spans="1:16" ht="20.100000000000001" customHeight="1" x14ac:dyDescent="0.25">
      <c r="A33" s="349">
        <v>27</v>
      </c>
      <c r="B33" s="269" t="str">
        <f>dtsiswa!D33</f>
        <v>Mohammad Rizky</v>
      </c>
      <c r="C33" s="36" t="s">
        <v>4</v>
      </c>
      <c r="D33" s="349"/>
      <c r="E33" s="628"/>
      <c r="F33" s="628"/>
      <c r="G33" s="349"/>
      <c r="H33" s="628"/>
      <c r="I33" s="628"/>
      <c r="J33" s="349"/>
      <c r="K33" s="349"/>
      <c r="L33" s="401">
        <f t="shared" si="0"/>
        <v>0</v>
      </c>
      <c r="M33" s="227">
        <f t="shared" si="1"/>
        <v>0</v>
      </c>
      <c r="N33" s="227">
        <f t="shared" si="2"/>
        <v>0</v>
      </c>
      <c r="O33" s="227">
        <f t="shared" si="3"/>
        <v>0</v>
      </c>
      <c r="P33" s="228">
        <f t="shared" si="5"/>
        <v>0</v>
      </c>
    </row>
    <row r="34" spans="1:16" ht="20.100000000000001" customHeight="1" x14ac:dyDescent="0.25">
      <c r="A34" s="349">
        <v>28</v>
      </c>
      <c r="B34" s="269">
        <f>dtsiswa!D34</f>
        <v>0</v>
      </c>
      <c r="C34" s="36" t="s">
        <v>4</v>
      </c>
      <c r="D34" s="349"/>
      <c r="E34" s="628"/>
      <c r="F34" s="628"/>
      <c r="G34" s="349"/>
      <c r="H34" s="628"/>
      <c r="I34" s="628"/>
      <c r="J34" s="349"/>
      <c r="K34" s="349"/>
      <c r="L34" s="401">
        <f t="shared" si="0"/>
        <v>0</v>
      </c>
      <c r="M34" s="227">
        <f t="shared" si="1"/>
        <v>0</v>
      </c>
      <c r="N34" s="227">
        <f t="shared" si="2"/>
        <v>0</v>
      </c>
      <c r="O34" s="227">
        <f t="shared" si="3"/>
        <v>0</v>
      </c>
      <c r="P34" s="228">
        <f t="shared" si="5"/>
        <v>0</v>
      </c>
    </row>
    <row r="35" spans="1:16" ht="20.100000000000001" customHeight="1" x14ac:dyDescent="0.25">
      <c r="A35" s="349">
        <v>29</v>
      </c>
      <c r="B35" s="269">
        <f>dtsiswa!D35</f>
        <v>0</v>
      </c>
      <c r="C35" s="36" t="s">
        <v>4</v>
      </c>
      <c r="D35" s="349"/>
      <c r="E35" s="628"/>
      <c r="F35" s="628"/>
      <c r="G35" s="349"/>
      <c r="H35" s="628"/>
      <c r="I35" s="628"/>
      <c r="J35" s="349"/>
      <c r="K35" s="349"/>
      <c r="L35" s="401">
        <f t="shared" si="0"/>
        <v>0</v>
      </c>
      <c r="M35" s="227">
        <f t="shared" si="1"/>
        <v>0</v>
      </c>
      <c r="N35" s="227">
        <f t="shared" si="2"/>
        <v>0</v>
      </c>
      <c r="O35" s="227">
        <f t="shared" si="3"/>
        <v>0</v>
      </c>
      <c r="P35" s="228">
        <f t="shared" si="5"/>
        <v>0</v>
      </c>
    </row>
    <row r="36" spans="1:16" ht="20.100000000000001" customHeight="1" x14ac:dyDescent="0.25">
      <c r="A36" s="349">
        <v>30</v>
      </c>
      <c r="B36" s="269">
        <f>dtsiswa!D36</f>
        <v>0</v>
      </c>
      <c r="C36" s="36" t="s">
        <v>5</v>
      </c>
      <c r="D36" s="349"/>
      <c r="E36" s="628"/>
      <c r="F36" s="628"/>
      <c r="G36" s="349"/>
      <c r="H36" s="628"/>
      <c r="I36" s="628"/>
      <c r="J36" s="349"/>
      <c r="K36" s="349"/>
      <c r="L36" s="401">
        <f t="shared" si="0"/>
        <v>0</v>
      </c>
      <c r="M36" s="227">
        <f t="shared" si="1"/>
        <v>0</v>
      </c>
      <c r="N36" s="227">
        <f t="shared" si="2"/>
        <v>0</v>
      </c>
      <c r="O36" s="227">
        <f t="shared" si="3"/>
        <v>0</v>
      </c>
      <c r="P36" s="228">
        <f t="shared" si="5"/>
        <v>0</v>
      </c>
    </row>
    <row r="37" spans="1:16" ht="20.100000000000001" customHeight="1" x14ac:dyDescent="0.25">
      <c r="A37" s="349">
        <v>31</v>
      </c>
      <c r="B37" s="269">
        <f>dtsiswa!D37</f>
        <v>0</v>
      </c>
      <c r="C37" s="36" t="s">
        <v>5</v>
      </c>
      <c r="D37" s="349"/>
      <c r="E37" s="628"/>
      <c r="F37" s="628"/>
      <c r="G37" s="349"/>
      <c r="H37" s="628"/>
      <c r="I37" s="628"/>
      <c r="J37" s="349"/>
      <c r="K37" s="349"/>
      <c r="L37" s="401">
        <f t="shared" si="0"/>
        <v>0</v>
      </c>
      <c r="M37" s="227">
        <f t="shared" si="1"/>
        <v>0</v>
      </c>
      <c r="N37" s="227">
        <f t="shared" si="2"/>
        <v>0</v>
      </c>
      <c r="O37" s="227">
        <f t="shared" si="3"/>
        <v>0</v>
      </c>
      <c r="P37" s="228">
        <f t="shared" si="5"/>
        <v>0</v>
      </c>
    </row>
    <row r="38" spans="1:16" ht="20.100000000000001" customHeight="1" x14ac:dyDescent="0.25">
      <c r="A38" s="628">
        <v>32</v>
      </c>
      <c r="B38" s="269">
        <f>dtsiswa!D38</f>
        <v>0</v>
      </c>
      <c r="C38" s="36" t="s">
        <v>5</v>
      </c>
      <c r="D38" s="628"/>
      <c r="E38" s="628"/>
      <c r="F38" s="628"/>
      <c r="G38" s="628"/>
      <c r="H38" s="628"/>
      <c r="I38" s="628"/>
      <c r="J38" s="628"/>
      <c r="K38" s="628"/>
      <c r="L38" s="401">
        <f t="shared" si="0"/>
        <v>0</v>
      </c>
      <c r="M38" s="227">
        <f t="shared" si="1"/>
        <v>0</v>
      </c>
      <c r="N38" s="227">
        <f t="shared" si="2"/>
        <v>0</v>
      </c>
      <c r="O38" s="227">
        <f t="shared" si="3"/>
        <v>0</v>
      </c>
      <c r="P38" s="228">
        <f t="shared" ref="P38:P46" si="6">L38</f>
        <v>0</v>
      </c>
    </row>
    <row r="39" spans="1:16" ht="20.100000000000001" customHeight="1" x14ac:dyDescent="0.25">
      <c r="A39" s="628">
        <v>33</v>
      </c>
      <c r="B39" s="269">
        <f>dtsiswa!D39</f>
        <v>0</v>
      </c>
      <c r="C39" s="36" t="s">
        <v>5</v>
      </c>
      <c r="D39" s="628"/>
      <c r="E39" s="628"/>
      <c r="F39" s="628"/>
      <c r="G39" s="628"/>
      <c r="H39" s="628"/>
      <c r="I39" s="628"/>
      <c r="J39" s="628"/>
      <c r="K39" s="628"/>
      <c r="L39" s="401">
        <f t="shared" si="0"/>
        <v>0</v>
      </c>
      <c r="M39" s="227">
        <f t="shared" si="1"/>
        <v>0</v>
      </c>
      <c r="N39" s="227">
        <f t="shared" si="2"/>
        <v>0</v>
      </c>
      <c r="O39" s="227">
        <f t="shared" si="3"/>
        <v>0</v>
      </c>
      <c r="P39" s="228">
        <f t="shared" si="6"/>
        <v>0</v>
      </c>
    </row>
    <row r="40" spans="1:16" ht="20.100000000000001" customHeight="1" x14ac:dyDescent="0.25">
      <c r="A40" s="628">
        <v>34</v>
      </c>
      <c r="B40" s="269">
        <f>dtsiswa!D40</f>
        <v>0</v>
      </c>
      <c r="C40" s="36" t="s">
        <v>5</v>
      </c>
      <c r="D40" s="628"/>
      <c r="E40" s="628"/>
      <c r="F40" s="628"/>
      <c r="G40" s="628"/>
      <c r="H40" s="628"/>
      <c r="I40" s="628"/>
      <c r="J40" s="628"/>
      <c r="K40" s="628"/>
      <c r="L40" s="401">
        <f t="shared" si="0"/>
        <v>0</v>
      </c>
      <c r="M40" s="227">
        <f t="shared" si="1"/>
        <v>0</v>
      </c>
      <c r="N40" s="227">
        <f t="shared" si="2"/>
        <v>0</v>
      </c>
      <c r="O40" s="227">
        <f t="shared" si="3"/>
        <v>0</v>
      </c>
      <c r="P40" s="228">
        <f t="shared" si="6"/>
        <v>0</v>
      </c>
    </row>
    <row r="41" spans="1:16" ht="20.100000000000001" customHeight="1" x14ac:dyDescent="0.25">
      <c r="A41" s="628">
        <v>35</v>
      </c>
      <c r="B41" s="269">
        <f>dtsiswa!D41</f>
        <v>0</v>
      </c>
      <c r="C41" s="36" t="s">
        <v>5</v>
      </c>
      <c r="D41" s="628"/>
      <c r="E41" s="628"/>
      <c r="F41" s="628"/>
      <c r="G41" s="628"/>
      <c r="H41" s="628"/>
      <c r="I41" s="628"/>
      <c r="J41" s="628"/>
      <c r="K41" s="628"/>
      <c r="L41" s="401">
        <f t="shared" si="0"/>
        <v>0</v>
      </c>
      <c r="M41" s="227">
        <f t="shared" si="1"/>
        <v>0</v>
      </c>
      <c r="N41" s="227">
        <f t="shared" si="2"/>
        <v>0</v>
      </c>
      <c r="O41" s="227">
        <f t="shared" si="3"/>
        <v>0</v>
      </c>
      <c r="P41" s="228">
        <f t="shared" si="6"/>
        <v>0</v>
      </c>
    </row>
    <row r="42" spans="1:16" ht="20.100000000000001" customHeight="1" x14ac:dyDescent="0.25">
      <c r="A42" s="628">
        <v>36</v>
      </c>
      <c r="B42" s="269">
        <f>dtsiswa!D42</f>
        <v>0</v>
      </c>
      <c r="C42" s="36" t="s">
        <v>5</v>
      </c>
      <c r="D42" s="628"/>
      <c r="E42" s="628"/>
      <c r="F42" s="628"/>
      <c r="G42" s="628"/>
      <c r="H42" s="628"/>
      <c r="I42" s="628"/>
      <c r="J42" s="628"/>
      <c r="K42" s="628"/>
      <c r="L42" s="401">
        <f t="shared" si="0"/>
        <v>0</v>
      </c>
      <c r="M42" s="227">
        <f t="shared" si="1"/>
        <v>0</v>
      </c>
      <c r="N42" s="227">
        <f t="shared" si="2"/>
        <v>0</v>
      </c>
      <c r="O42" s="227">
        <f t="shared" si="3"/>
        <v>0</v>
      </c>
      <c r="P42" s="228">
        <f t="shared" si="6"/>
        <v>0</v>
      </c>
    </row>
    <row r="43" spans="1:16" ht="20.100000000000001" customHeight="1" x14ac:dyDescent="0.25">
      <c r="A43" s="628">
        <v>37</v>
      </c>
      <c r="B43" s="269">
        <f>dtsiswa!D43</f>
        <v>0</v>
      </c>
      <c r="C43" s="36" t="s">
        <v>5</v>
      </c>
      <c r="D43" s="628"/>
      <c r="E43" s="628"/>
      <c r="F43" s="628"/>
      <c r="G43" s="628"/>
      <c r="H43" s="628"/>
      <c r="I43" s="628"/>
      <c r="J43" s="628"/>
      <c r="K43" s="628"/>
      <c r="L43" s="401">
        <f t="shared" si="0"/>
        <v>0</v>
      </c>
      <c r="M43" s="227">
        <f t="shared" si="1"/>
        <v>0</v>
      </c>
      <c r="N43" s="227">
        <f t="shared" si="2"/>
        <v>0</v>
      </c>
      <c r="O43" s="227">
        <f t="shared" si="3"/>
        <v>0</v>
      </c>
      <c r="P43" s="228">
        <f t="shared" si="6"/>
        <v>0</v>
      </c>
    </row>
    <row r="44" spans="1:16" ht="20.100000000000001" customHeight="1" x14ac:dyDescent="0.25">
      <c r="A44" s="628">
        <v>38</v>
      </c>
      <c r="B44" s="269">
        <f>dtsiswa!D44</f>
        <v>0</v>
      </c>
      <c r="C44" s="36" t="s">
        <v>5</v>
      </c>
      <c r="D44" s="628"/>
      <c r="E44" s="628"/>
      <c r="F44" s="628"/>
      <c r="G44" s="628"/>
      <c r="H44" s="628"/>
      <c r="I44" s="628"/>
      <c r="J44" s="628"/>
      <c r="K44" s="628"/>
      <c r="L44" s="401">
        <f t="shared" si="0"/>
        <v>0</v>
      </c>
      <c r="M44" s="227">
        <f t="shared" si="1"/>
        <v>0</v>
      </c>
      <c r="N44" s="227">
        <f t="shared" si="2"/>
        <v>0</v>
      </c>
      <c r="O44" s="227">
        <f t="shared" si="3"/>
        <v>0</v>
      </c>
      <c r="P44" s="228">
        <f t="shared" si="6"/>
        <v>0</v>
      </c>
    </row>
    <row r="45" spans="1:16" ht="20.100000000000001" customHeight="1" x14ac:dyDescent="0.25">
      <c r="A45" s="628">
        <v>39</v>
      </c>
      <c r="B45" s="269">
        <f>dtsiswa!D45</f>
        <v>0</v>
      </c>
      <c r="C45" s="36" t="s">
        <v>5</v>
      </c>
      <c r="D45" s="628"/>
      <c r="E45" s="628"/>
      <c r="F45" s="628"/>
      <c r="G45" s="628"/>
      <c r="H45" s="628"/>
      <c r="I45" s="628"/>
      <c r="J45" s="628"/>
      <c r="K45" s="628"/>
      <c r="L45" s="401">
        <f t="shared" si="0"/>
        <v>0</v>
      </c>
      <c r="M45" s="227">
        <f t="shared" si="1"/>
        <v>0</v>
      </c>
      <c r="N45" s="227">
        <f t="shared" si="2"/>
        <v>0</v>
      </c>
      <c r="O45" s="227">
        <f t="shared" si="3"/>
        <v>0</v>
      </c>
      <c r="P45" s="228">
        <f t="shared" si="6"/>
        <v>0</v>
      </c>
    </row>
    <row r="46" spans="1:16" ht="20.100000000000001" customHeight="1" x14ac:dyDescent="0.25">
      <c r="A46" s="628">
        <v>40</v>
      </c>
      <c r="B46" s="269">
        <f>dtsiswa!D46</f>
        <v>0</v>
      </c>
      <c r="C46" s="36" t="s">
        <v>5</v>
      </c>
      <c r="D46" s="628"/>
      <c r="E46" s="628"/>
      <c r="F46" s="628"/>
      <c r="G46" s="628"/>
      <c r="H46" s="628"/>
      <c r="I46" s="628"/>
      <c r="J46" s="628"/>
      <c r="K46" s="628"/>
      <c r="L46" s="401">
        <f t="shared" si="0"/>
        <v>0</v>
      </c>
      <c r="M46" s="227">
        <f t="shared" si="1"/>
        <v>0</v>
      </c>
      <c r="N46" s="227">
        <f t="shared" si="2"/>
        <v>0</v>
      </c>
      <c r="O46" s="227">
        <f t="shared" si="3"/>
        <v>0</v>
      </c>
      <c r="P46" s="228">
        <f t="shared" si="6"/>
        <v>0</v>
      </c>
    </row>
    <row r="47" spans="1:16" ht="20.100000000000001" customHeight="1" x14ac:dyDescent="0.25">
      <c r="A47" s="628"/>
      <c r="B47" s="269"/>
      <c r="C47" s="36"/>
      <c r="D47" s="628"/>
      <c r="E47" s="628"/>
      <c r="F47" s="628"/>
      <c r="G47" s="628"/>
      <c r="H47" s="628"/>
      <c r="I47" s="628"/>
      <c r="J47" s="628"/>
      <c r="K47" s="628"/>
      <c r="L47" s="401"/>
      <c r="M47" s="227"/>
      <c r="N47" s="227"/>
      <c r="O47" s="227"/>
      <c r="P47" s="228"/>
    </row>
    <row r="48" spans="1:16" ht="20.100000000000001" customHeight="1" x14ac:dyDescent="0.25">
      <c r="A48" s="349"/>
      <c r="B48" s="47" t="s">
        <v>36</v>
      </c>
      <c r="C48" s="48"/>
      <c r="D48" s="49">
        <f t="shared" ref="D48:K48" si="7">COUNTIF(D7:D30,"0")</f>
        <v>0</v>
      </c>
      <c r="E48" s="49">
        <f t="shared" si="7"/>
        <v>0</v>
      </c>
      <c r="F48" s="49">
        <f t="shared" si="7"/>
        <v>0</v>
      </c>
      <c r="G48" s="49">
        <f t="shared" si="7"/>
        <v>1</v>
      </c>
      <c r="H48" s="49">
        <f t="shared" si="7"/>
        <v>0</v>
      </c>
      <c r="I48" s="49">
        <f t="shared" si="7"/>
        <v>0</v>
      </c>
      <c r="J48" s="49">
        <f t="shared" si="7"/>
        <v>0</v>
      </c>
      <c r="K48" s="49">
        <f t="shared" si="7"/>
        <v>0</v>
      </c>
      <c r="L48" s="401"/>
      <c r="M48" s="227"/>
      <c r="N48" s="227"/>
      <c r="O48" s="227"/>
      <c r="P48" s="228"/>
    </row>
    <row r="49" spans="1:16" ht="18" customHeight="1" x14ac:dyDescent="0.25">
      <c r="A49" s="50"/>
      <c r="B49" s="51" t="s">
        <v>37</v>
      </c>
      <c r="C49" s="51"/>
      <c r="D49" s="52"/>
      <c r="E49" s="52"/>
      <c r="F49" s="52"/>
      <c r="G49" s="52"/>
      <c r="H49" s="52"/>
      <c r="I49" s="52"/>
      <c r="J49" s="52"/>
      <c r="K49" s="52"/>
      <c r="L49" s="52"/>
      <c r="M49" s="53">
        <f>MAX(M7:M30)</f>
        <v>3</v>
      </c>
      <c r="N49" s="53">
        <f>MAX(N7:N30)</f>
        <v>4</v>
      </c>
      <c r="O49" s="53">
        <f>MAX(O7:O30)</f>
        <v>4</v>
      </c>
      <c r="P49" s="55">
        <f>MAX(P7:P30)</f>
        <v>78.571428571428569</v>
      </c>
    </row>
    <row r="50" spans="1:16" ht="18" customHeight="1" x14ac:dyDescent="0.25">
      <c r="A50" s="54"/>
      <c r="B50" s="51" t="s">
        <v>38</v>
      </c>
      <c r="C50" s="51"/>
      <c r="D50" s="52"/>
      <c r="E50" s="52"/>
      <c r="F50" s="52"/>
      <c r="G50" s="52"/>
      <c r="H50" s="52"/>
      <c r="I50" s="52"/>
      <c r="J50" s="52"/>
      <c r="K50" s="52"/>
      <c r="L50" s="52"/>
      <c r="M50" s="53">
        <f>MIN(M7:M30)</f>
        <v>0</v>
      </c>
      <c r="N50" s="53">
        <f>MIN(N7:N30)</f>
        <v>0</v>
      </c>
      <c r="O50" s="53">
        <f>MIN(O7:O30)</f>
        <v>0</v>
      </c>
      <c r="P50" s="55">
        <f>MIN(P7:P30)</f>
        <v>0</v>
      </c>
    </row>
    <row r="51" spans="1:16" ht="18" customHeight="1" x14ac:dyDescent="0.25">
      <c r="A51" s="54"/>
      <c r="B51" s="51" t="s">
        <v>39</v>
      </c>
      <c r="C51" s="51"/>
      <c r="D51" s="52"/>
      <c r="E51" s="52"/>
      <c r="F51" s="52"/>
      <c r="G51" s="52"/>
      <c r="H51" s="52"/>
      <c r="I51" s="52"/>
      <c r="J51" s="52"/>
      <c r="K51" s="52"/>
      <c r="L51" s="52"/>
      <c r="M51" s="55">
        <f>AVERAGE(M7:M30)</f>
        <v>0.125</v>
      </c>
      <c r="N51" s="55">
        <f>AVERAGE(N7:N30)</f>
        <v>0.16666666666666666</v>
      </c>
      <c r="O51" s="55">
        <f>AVERAGE(O7:O30)</f>
        <v>0.16666666666666666</v>
      </c>
      <c r="P51" s="55">
        <f>AVERAGE(P7:P30)</f>
        <v>3.2738095238095237</v>
      </c>
    </row>
  </sheetData>
  <mergeCells count="11">
    <mergeCell ref="O5:O6"/>
    <mergeCell ref="P5:P6"/>
    <mergeCell ref="A5:A6"/>
    <mergeCell ref="B5:B6"/>
    <mergeCell ref="C5:C6"/>
    <mergeCell ref="L5:L6"/>
    <mergeCell ref="M5:M6"/>
    <mergeCell ref="N5:N6"/>
    <mergeCell ref="D5:F5"/>
    <mergeCell ref="G5:H5"/>
    <mergeCell ref="I5:J5"/>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FFFF00"/>
  </sheetPr>
  <dimension ref="A1:P52"/>
  <sheetViews>
    <sheetView showGridLines="0" workbookViewId="0">
      <pane xSplit="2" ySplit="8" topLeftCell="C45"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7" customWidth="1"/>
    <col min="13" max="15" width="5.7109375" customWidth="1"/>
    <col min="16" max="16" width="10.7109375" customWidth="1"/>
  </cols>
  <sheetData>
    <row r="1" spans="1:16" ht="15.75" x14ac:dyDescent="0.25">
      <c r="A1" s="3222"/>
      <c r="B1" s="3223"/>
      <c r="C1" s="3223"/>
      <c r="D1" s="3223"/>
      <c r="E1" s="3223"/>
      <c r="F1" s="3223"/>
      <c r="G1" s="3223"/>
      <c r="H1" s="3223"/>
      <c r="I1" s="3223"/>
      <c r="J1" s="3223"/>
      <c r="K1" s="3223"/>
      <c r="L1" s="3223"/>
      <c r="M1" s="3223"/>
      <c r="N1" s="3223"/>
      <c r="O1" s="3223"/>
      <c r="P1" s="3223"/>
    </row>
    <row r="2" spans="1:16" ht="19.5" customHeight="1" x14ac:dyDescent="0.25">
      <c r="A2" s="3224"/>
      <c r="B2" s="3225"/>
      <c r="C2" s="3225"/>
      <c r="D2" s="3225"/>
      <c r="E2" s="3225"/>
      <c r="F2" s="3225"/>
      <c r="G2" s="3225"/>
      <c r="H2" s="3225"/>
      <c r="I2" s="3225"/>
      <c r="J2" s="3225"/>
      <c r="K2" s="3225"/>
      <c r="L2" s="3225"/>
      <c r="M2" s="3225"/>
      <c r="N2" s="3225"/>
      <c r="O2" s="3225"/>
      <c r="P2" s="3225"/>
    </row>
    <row r="3" spans="1:16" ht="21" x14ac:dyDescent="0.35">
      <c r="A3" s="544" t="s">
        <v>590</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136" t="s">
        <v>0</v>
      </c>
      <c r="B6" s="3136" t="s">
        <v>28</v>
      </c>
      <c r="C6" s="3136" t="s">
        <v>3</v>
      </c>
      <c r="D6" s="3146" t="s">
        <v>8</v>
      </c>
      <c r="E6" s="3147"/>
      <c r="F6" s="3147"/>
      <c r="G6" s="3147"/>
      <c r="H6" s="3147"/>
      <c r="I6" s="3147"/>
      <c r="J6" s="3147"/>
      <c r="K6" s="3148"/>
      <c r="L6" s="3137" t="s">
        <v>159</v>
      </c>
      <c r="M6" s="3131" t="s">
        <v>29</v>
      </c>
      <c r="N6" s="3131" t="s">
        <v>30</v>
      </c>
      <c r="O6" s="3131" t="s">
        <v>31</v>
      </c>
      <c r="P6" s="3149" t="s">
        <v>32</v>
      </c>
    </row>
    <row r="7" spans="1:16" s="30" customFormat="1" ht="20.25" customHeight="1" x14ac:dyDescent="0.25">
      <c r="A7" s="3136"/>
      <c r="B7" s="3136"/>
      <c r="C7" s="3136"/>
      <c r="D7" s="31" t="s">
        <v>29</v>
      </c>
      <c r="E7" s="31" t="s">
        <v>29</v>
      </c>
      <c r="F7" s="31" t="s">
        <v>29</v>
      </c>
      <c r="G7" s="31" t="s">
        <v>29</v>
      </c>
      <c r="H7" s="31" t="s">
        <v>29</v>
      </c>
      <c r="I7" s="32" t="s">
        <v>30</v>
      </c>
      <c r="J7" s="32" t="s">
        <v>30</v>
      </c>
      <c r="K7" s="937" t="s">
        <v>31</v>
      </c>
      <c r="L7" s="3137"/>
      <c r="M7" s="3131"/>
      <c r="N7" s="3131"/>
      <c r="O7" s="3131"/>
      <c r="P7" s="3149"/>
    </row>
    <row r="8" spans="1:16" ht="22.5" customHeight="1" x14ac:dyDescent="0.25">
      <c r="A8" s="3136"/>
      <c r="B8" s="3136"/>
      <c r="C8" s="3136"/>
      <c r="D8" s="284">
        <v>1</v>
      </c>
      <c r="E8" s="284">
        <v>2</v>
      </c>
      <c r="F8" s="284">
        <v>3</v>
      </c>
      <c r="G8" s="284">
        <v>4</v>
      </c>
      <c r="H8" s="284">
        <v>5</v>
      </c>
      <c r="I8" s="284">
        <v>6</v>
      </c>
      <c r="J8" s="284">
        <v>7</v>
      </c>
      <c r="K8" s="284">
        <v>8</v>
      </c>
      <c r="L8" s="3137"/>
      <c r="M8" s="3131"/>
      <c r="N8" s="3131"/>
      <c r="O8" s="3131"/>
      <c r="P8" s="3149"/>
    </row>
    <row r="9" spans="1:16" ht="20.100000000000001" customHeight="1" x14ac:dyDescent="0.25">
      <c r="A9" s="34">
        <v>1</v>
      </c>
      <c r="B9" s="198" t="str">
        <f t="shared" ref="B9:B48" si="0">VLOOKUP(A9,data_siswa,4,FALSE)</f>
        <v>Achmad Zacky</v>
      </c>
      <c r="C9" s="291" t="s">
        <v>4</v>
      </c>
      <c r="D9" s="200">
        <v>0</v>
      </c>
      <c r="E9" s="200">
        <v>0</v>
      </c>
      <c r="F9" s="200">
        <v>1</v>
      </c>
      <c r="G9" s="200">
        <v>1</v>
      </c>
      <c r="H9" s="200">
        <v>0</v>
      </c>
      <c r="I9" s="200">
        <v>1</v>
      </c>
      <c r="J9" s="200">
        <v>1</v>
      </c>
      <c r="K9" s="200">
        <v>2</v>
      </c>
      <c r="L9" s="640">
        <f>SUM(D9:K9)*100/9</f>
        <v>66.666666666666671</v>
      </c>
      <c r="M9" s="1091">
        <f>SUM(D9:H9)</f>
        <v>2</v>
      </c>
      <c r="N9" s="505">
        <f>SUM(I9:J9)</f>
        <v>2</v>
      </c>
      <c r="O9" s="505">
        <f>K9</f>
        <v>2</v>
      </c>
      <c r="P9" s="38">
        <f>L9</f>
        <v>66.666666666666671</v>
      </c>
    </row>
    <row r="10" spans="1:16" ht="20.100000000000001" customHeight="1" x14ac:dyDescent="0.25">
      <c r="A10" s="512">
        <v>2</v>
      </c>
      <c r="B10" s="198" t="str">
        <f t="shared" si="0"/>
        <v>Angelia Vabel R</v>
      </c>
      <c r="C10" s="36" t="s">
        <v>4</v>
      </c>
      <c r="D10" s="200"/>
      <c r="E10" s="200"/>
      <c r="F10" s="200"/>
      <c r="G10" s="200"/>
      <c r="H10" s="200"/>
      <c r="I10" s="200"/>
      <c r="J10" s="200"/>
      <c r="K10" s="200"/>
      <c r="L10" s="640">
        <f t="shared" ref="L10:L48" si="1">SUM(D10:K10)*100/9</f>
        <v>0</v>
      </c>
      <c r="M10" s="1091">
        <f t="shared" ref="M10:M48" si="2">SUM(D10:H10)</f>
        <v>0</v>
      </c>
      <c r="N10" s="505">
        <f t="shared" ref="N10:N48" si="3">SUM(I10:J10)</f>
        <v>0</v>
      </c>
      <c r="O10" s="505">
        <f t="shared" ref="O10:O48" si="4">K10</f>
        <v>0</v>
      </c>
      <c r="P10" s="38">
        <f t="shared" ref="P10:P48" si="5">L10</f>
        <v>0</v>
      </c>
    </row>
    <row r="11" spans="1:16" ht="20.100000000000001" customHeight="1" x14ac:dyDescent="0.25">
      <c r="A11" s="34">
        <v>3</v>
      </c>
      <c r="B11" s="198" t="str">
        <f t="shared" si="0"/>
        <v>Anggun Dwi P.I</v>
      </c>
      <c r="C11" s="36" t="s">
        <v>4</v>
      </c>
      <c r="D11" s="200"/>
      <c r="E11" s="200"/>
      <c r="F11" s="200"/>
      <c r="G11" s="200"/>
      <c r="H11" s="200"/>
      <c r="I11" s="200"/>
      <c r="J11" s="200"/>
      <c r="K11" s="200"/>
      <c r="L11" s="640">
        <f t="shared" si="1"/>
        <v>0</v>
      </c>
      <c r="M11" s="1091">
        <f t="shared" si="2"/>
        <v>0</v>
      </c>
      <c r="N11" s="505">
        <f t="shared" si="3"/>
        <v>0</v>
      </c>
      <c r="O11" s="505">
        <f t="shared" si="4"/>
        <v>0</v>
      </c>
      <c r="P11" s="38">
        <f t="shared" si="5"/>
        <v>0</v>
      </c>
    </row>
    <row r="12" spans="1:16" ht="20.100000000000001" customHeight="1" x14ac:dyDescent="0.25">
      <c r="A12" s="628">
        <v>4</v>
      </c>
      <c r="B12" s="198" t="str">
        <f t="shared" si="0"/>
        <v>Antonio Permata A</v>
      </c>
      <c r="C12" s="43" t="s">
        <v>4</v>
      </c>
      <c r="D12" s="200"/>
      <c r="E12" s="200"/>
      <c r="F12" s="200"/>
      <c r="G12" s="200"/>
      <c r="H12" s="200"/>
      <c r="I12" s="200"/>
      <c r="J12" s="200"/>
      <c r="K12" s="200"/>
      <c r="L12" s="640">
        <f t="shared" si="1"/>
        <v>0</v>
      </c>
      <c r="M12" s="1091">
        <f t="shared" si="2"/>
        <v>0</v>
      </c>
      <c r="N12" s="505">
        <f t="shared" si="3"/>
        <v>0</v>
      </c>
      <c r="O12" s="505">
        <f t="shared" si="4"/>
        <v>0</v>
      </c>
      <c r="P12" s="38">
        <f t="shared" si="5"/>
        <v>0</v>
      </c>
    </row>
    <row r="13" spans="1:16" ht="20.100000000000001" customHeight="1" x14ac:dyDescent="0.25">
      <c r="A13" s="34">
        <v>5</v>
      </c>
      <c r="B13" s="198" t="str">
        <f t="shared" si="0"/>
        <v>Arya Pratama G</v>
      </c>
      <c r="C13" s="36" t="s">
        <v>5</v>
      </c>
      <c r="D13" s="200"/>
      <c r="E13" s="200"/>
      <c r="F13" s="200"/>
      <c r="G13" s="200"/>
      <c r="H13" s="200"/>
      <c r="I13" s="200"/>
      <c r="J13" s="200"/>
      <c r="K13" s="200"/>
      <c r="L13" s="640">
        <f t="shared" si="1"/>
        <v>0</v>
      </c>
      <c r="M13" s="1091">
        <f t="shared" si="2"/>
        <v>0</v>
      </c>
      <c r="N13" s="505">
        <f t="shared" si="3"/>
        <v>0</v>
      </c>
      <c r="O13" s="505">
        <f t="shared" si="4"/>
        <v>0</v>
      </c>
      <c r="P13" s="38">
        <f t="shared" si="5"/>
        <v>0</v>
      </c>
    </row>
    <row r="14" spans="1:16" ht="20.100000000000001" customHeight="1" x14ac:dyDescent="0.25">
      <c r="A14" s="628">
        <v>6</v>
      </c>
      <c r="B14" s="198" t="str">
        <f t="shared" si="0"/>
        <v>Asyam Hanif Ihsan H</v>
      </c>
      <c r="C14" s="36" t="s">
        <v>5</v>
      </c>
      <c r="D14" s="59"/>
      <c r="E14" s="59"/>
      <c r="F14" s="59"/>
      <c r="G14" s="59"/>
      <c r="H14" s="59"/>
      <c r="I14" s="59"/>
      <c r="J14" s="59"/>
      <c r="K14" s="59"/>
      <c r="L14" s="640">
        <f t="shared" si="1"/>
        <v>0</v>
      </c>
      <c r="M14" s="1091">
        <f t="shared" si="2"/>
        <v>0</v>
      </c>
      <c r="N14" s="505">
        <f t="shared" si="3"/>
        <v>0</v>
      </c>
      <c r="O14" s="505">
        <f t="shared" si="4"/>
        <v>0</v>
      </c>
      <c r="P14" s="38">
        <f t="shared" si="5"/>
        <v>0</v>
      </c>
    </row>
    <row r="15" spans="1:16" ht="20.100000000000001" customHeight="1" x14ac:dyDescent="0.25">
      <c r="A15" s="34">
        <v>7</v>
      </c>
      <c r="B15" s="198" t="str">
        <f t="shared" si="0"/>
        <v>Athaya Salsabilla Z</v>
      </c>
      <c r="C15" s="36" t="s">
        <v>4</v>
      </c>
      <c r="D15" s="59"/>
      <c r="E15" s="59"/>
      <c r="F15" s="59"/>
      <c r="G15" s="59"/>
      <c r="H15" s="59"/>
      <c r="I15" s="59"/>
      <c r="J15" s="59"/>
      <c r="K15" s="59"/>
      <c r="L15" s="640">
        <f t="shared" si="1"/>
        <v>0</v>
      </c>
      <c r="M15" s="1091">
        <f t="shared" si="2"/>
        <v>0</v>
      </c>
      <c r="N15" s="505">
        <f t="shared" si="3"/>
        <v>0</v>
      </c>
      <c r="O15" s="505">
        <f t="shared" si="4"/>
        <v>0</v>
      </c>
      <c r="P15" s="38">
        <f t="shared" si="5"/>
        <v>0</v>
      </c>
    </row>
    <row r="16" spans="1:16" ht="20.100000000000001" customHeight="1" x14ac:dyDescent="0.25">
      <c r="A16" s="628">
        <v>8</v>
      </c>
      <c r="B16" s="198" t="str">
        <f t="shared" si="0"/>
        <v>Aulia Dea Rosalinda</v>
      </c>
      <c r="C16" s="36" t="s">
        <v>4</v>
      </c>
      <c r="D16" s="59"/>
      <c r="E16" s="59"/>
      <c r="F16" s="59"/>
      <c r="G16" s="59"/>
      <c r="H16" s="59"/>
      <c r="I16" s="59"/>
      <c r="J16" s="59"/>
      <c r="K16" s="59"/>
      <c r="L16" s="640">
        <f t="shared" si="1"/>
        <v>0</v>
      </c>
      <c r="M16" s="1091">
        <f t="shared" si="2"/>
        <v>0</v>
      </c>
      <c r="N16" s="505">
        <f t="shared" si="3"/>
        <v>0</v>
      </c>
      <c r="O16" s="505">
        <f t="shared" si="4"/>
        <v>0</v>
      </c>
      <c r="P16" s="38">
        <f t="shared" si="5"/>
        <v>0</v>
      </c>
    </row>
    <row r="17" spans="1:16" ht="20.100000000000001" customHeight="1" x14ac:dyDescent="0.25">
      <c r="A17" s="34">
        <v>9</v>
      </c>
      <c r="B17" s="198" t="str">
        <f t="shared" si="0"/>
        <v>Claudia Gabriella L</v>
      </c>
      <c r="C17" s="36" t="s">
        <v>4</v>
      </c>
      <c r="D17" s="59"/>
      <c r="E17" s="59"/>
      <c r="F17" s="59"/>
      <c r="G17" s="59"/>
      <c r="H17" s="59"/>
      <c r="I17" s="59"/>
      <c r="J17" s="59"/>
      <c r="K17" s="59"/>
      <c r="L17" s="640">
        <f t="shared" si="1"/>
        <v>0</v>
      </c>
      <c r="M17" s="1091">
        <f t="shared" si="2"/>
        <v>0</v>
      </c>
      <c r="N17" s="505">
        <f t="shared" si="3"/>
        <v>0</v>
      </c>
      <c r="O17" s="505">
        <f t="shared" si="4"/>
        <v>0</v>
      </c>
      <c r="P17" s="38">
        <f t="shared" si="5"/>
        <v>0</v>
      </c>
    </row>
    <row r="18" spans="1:16" ht="20.100000000000001" customHeight="1" x14ac:dyDescent="0.25">
      <c r="A18" s="628">
        <v>10</v>
      </c>
      <c r="B18" s="198" t="str">
        <f t="shared" si="0"/>
        <v xml:space="preserve">Deco Badarus Zaman </v>
      </c>
      <c r="C18" s="36" t="s">
        <v>4</v>
      </c>
      <c r="D18" s="59"/>
      <c r="E18" s="59"/>
      <c r="F18" s="59"/>
      <c r="G18" s="59"/>
      <c r="H18" s="59"/>
      <c r="I18" s="59"/>
      <c r="J18" s="59"/>
      <c r="K18" s="59"/>
      <c r="L18" s="640">
        <f t="shared" si="1"/>
        <v>0</v>
      </c>
      <c r="M18" s="1091">
        <f t="shared" si="2"/>
        <v>0</v>
      </c>
      <c r="N18" s="505">
        <f t="shared" si="3"/>
        <v>0</v>
      </c>
      <c r="O18" s="505">
        <f t="shared" si="4"/>
        <v>0</v>
      </c>
      <c r="P18" s="38">
        <f t="shared" si="5"/>
        <v>0</v>
      </c>
    </row>
    <row r="19" spans="1:16" ht="20.100000000000001" customHeight="1" x14ac:dyDescent="0.25">
      <c r="A19" s="34">
        <v>11</v>
      </c>
      <c r="B19" s="198" t="str">
        <f t="shared" si="0"/>
        <v>Fania Mutiara Felichia</v>
      </c>
      <c r="C19" s="36" t="s">
        <v>4</v>
      </c>
      <c r="D19" s="59"/>
      <c r="E19" s="59"/>
      <c r="F19" s="59"/>
      <c r="G19" s="59"/>
      <c r="H19" s="59"/>
      <c r="I19" s="59"/>
      <c r="J19" s="59"/>
      <c r="K19" s="59"/>
      <c r="L19" s="640">
        <f t="shared" si="1"/>
        <v>0</v>
      </c>
      <c r="M19" s="1091">
        <f t="shared" si="2"/>
        <v>0</v>
      </c>
      <c r="N19" s="505">
        <f t="shared" si="3"/>
        <v>0</v>
      </c>
      <c r="O19" s="505">
        <f t="shared" si="4"/>
        <v>0</v>
      </c>
      <c r="P19" s="38">
        <f t="shared" si="5"/>
        <v>0</v>
      </c>
    </row>
    <row r="20" spans="1:16" ht="20.100000000000001" customHeight="1" x14ac:dyDescent="0.25">
      <c r="A20" s="628">
        <v>12</v>
      </c>
      <c r="B20" s="198" t="str">
        <f t="shared" si="0"/>
        <v>Intan Dyah Nowari</v>
      </c>
      <c r="C20" s="36" t="s">
        <v>4</v>
      </c>
      <c r="D20" s="59"/>
      <c r="E20" s="59"/>
      <c r="F20" s="59"/>
      <c r="G20" s="59"/>
      <c r="H20" s="59"/>
      <c r="I20" s="59"/>
      <c r="J20" s="59"/>
      <c r="K20" s="59"/>
      <c r="L20" s="640">
        <f t="shared" si="1"/>
        <v>0</v>
      </c>
      <c r="M20" s="1091">
        <f t="shared" si="2"/>
        <v>0</v>
      </c>
      <c r="N20" s="505">
        <f t="shared" si="3"/>
        <v>0</v>
      </c>
      <c r="O20" s="505">
        <f t="shared" si="4"/>
        <v>0</v>
      </c>
      <c r="P20" s="38">
        <f t="shared" si="5"/>
        <v>0</v>
      </c>
    </row>
    <row r="21" spans="1:16" ht="20.100000000000001" customHeight="1" x14ac:dyDescent="0.25">
      <c r="A21" s="34">
        <v>13</v>
      </c>
      <c r="B21" s="198" t="str">
        <f t="shared" si="0"/>
        <v>Misyanita Nurfitri S</v>
      </c>
      <c r="C21" s="36" t="s">
        <v>5</v>
      </c>
      <c r="D21" s="59"/>
      <c r="E21" s="59"/>
      <c r="F21" s="59"/>
      <c r="G21" s="59"/>
      <c r="H21" s="59"/>
      <c r="I21" s="59"/>
      <c r="J21" s="59"/>
      <c r="K21" s="59"/>
      <c r="L21" s="640">
        <f t="shared" si="1"/>
        <v>0</v>
      </c>
      <c r="M21" s="1091">
        <f t="shared" si="2"/>
        <v>0</v>
      </c>
      <c r="N21" s="505">
        <f t="shared" si="3"/>
        <v>0</v>
      </c>
      <c r="O21" s="505">
        <f t="shared" si="4"/>
        <v>0</v>
      </c>
      <c r="P21" s="38">
        <f t="shared" si="5"/>
        <v>0</v>
      </c>
    </row>
    <row r="22" spans="1:16" ht="20.100000000000001" customHeight="1" x14ac:dyDescent="0.25">
      <c r="A22" s="628">
        <v>14</v>
      </c>
      <c r="B22" s="198" t="str">
        <f t="shared" si="0"/>
        <v>Moch Zidane Hita L. U</v>
      </c>
      <c r="C22" s="36" t="s">
        <v>4</v>
      </c>
      <c r="D22" s="59"/>
      <c r="E22" s="59"/>
      <c r="F22" s="59"/>
      <c r="G22" s="59"/>
      <c r="H22" s="59"/>
      <c r="I22" s="59"/>
      <c r="J22" s="59"/>
      <c r="K22" s="59"/>
      <c r="L22" s="640">
        <f t="shared" si="1"/>
        <v>0</v>
      </c>
      <c r="M22" s="1091">
        <f t="shared" si="2"/>
        <v>0</v>
      </c>
      <c r="N22" s="505">
        <f t="shared" si="3"/>
        <v>0</v>
      </c>
      <c r="O22" s="505">
        <f t="shared" si="4"/>
        <v>0</v>
      </c>
      <c r="P22" s="38">
        <f t="shared" si="5"/>
        <v>0</v>
      </c>
    </row>
    <row r="23" spans="1:16" ht="20.100000000000001" customHeight="1" x14ac:dyDescent="0.25">
      <c r="A23" s="34">
        <v>15</v>
      </c>
      <c r="B23" s="198" t="str">
        <f t="shared" si="0"/>
        <v>Muhammad Ibra Maulana</v>
      </c>
      <c r="C23" s="36" t="s">
        <v>4</v>
      </c>
      <c r="D23" s="59"/>
      <c r="E23" s="59"/>
      <c r="F23" s="59"/>
      <c r="G23" s="59"/>
      <c r="H23" s="59"/>
      <c r="I23" s="59"/>
      <c r="J23" s="59"/>
      <c r="K23" s="59"/>
      <c r="L23" s="640">
        <f t="shared" si="1"/>
        <v>0</v>
      </c>
      <c r="M23" s="1091">
        <f t="shared" si="2"/>
        <v>0</v>
      </c>
      <c r="N23" s="505">
        <f t="shared" si="3"/>
        <v>0</v>
      </c>
      <c r="O23" s="505">
        <f t="shared" si="4"/>
        <v>0</v>
      </c>
      <c r="P23" s="38">
        <f t="shared" si="5"/>
        <v>0</v>
      </c>
    </row>
    <row r="24" spans="1:16" ht="20.100000000000001" customHeight="1" x14ac:dyDescent="0.25">
      <c r="A24" s="628">
        <v>16</v>
      </c>
      <c r="B24" s="198" t="str">
        <f t="shared" si="0"/>
        <v>Nabilla Shiva Putri</v>
      </c>
      <c r="C24" s="36" t="s">
        <v>4</v>
      </c>
      <c r="D24" s="59"/>
      <c r="E24" s="59"/>
      <c r="F24" s="59"/>
      <c r="G24" s="59"/>
      <c r="H24" s="59"/>
      <c r="I24" s="59"/>
      <c r="J24" s="59"/>
      <c r="K24" s="59"/>
      <c r="L24" s="640">
        <f t="shared" si="1"/>
        <v>0</v>
      </c>
      <c r="M24" s="1091">
        <f t="shared" si="2"/>
        <v>0</v>
      </c>
      <c r="N24" s="505">
        <f t="shared" si="3"/>
        <v>0</v>
      </c>
      <c r="O24" s="505">
        <f t="shared" si="4"/>
        <v>0</v>
      </c>
      <c r="P24" s="38">
        <f t="shared" si="5"/>
        <v>0</v>
      </c>
    </row>
    <row r="25" spans="1:16" ht="20.100000000000001" customHeight="1" x14ac:dyDescent="0.25">
      <c r="A25" s="34">
        <v>17</v>
      </c>
      <c r="B25" s="198" t="str">
        <f t="shared" si="0"/>
        <v>Naufal Falih F</v>
      </c>
      <c r="C25" s="36" t="s">
        <v>5</v>
      </c>
      <c r="D25" s="59"/>
      <c r="E25" s="59"/>
      <c r="F25" s="59"/>
      <c r="G25" s="59"/>
      <c r="H25" s="59"/>
      <c r="I25" s="59"/>
      <c r="J25" s="59"/>
      <c r="K25" s="59"/>
      <c r="L25" s="640">
        <f t="shared" si="1"/>
        <v>0</v>
      </c>
      <c r="M25" s="1091">
        <f t="shared" si="2"/>
        <v>0</v>
      </c>
      <c r="N25" s="505">
        <f t="shared" si="3"/>
        <v>0</v>
      </c>
      <c r="O25" s="505">
        <f t="shared" si="4"/>
        <v>0</v>
      </c>
      <c r="P25" s="38">
        <f t="shared" si="5"/>
        <v>0</v>
      </c>
    </row>
    <row r="26" spans="1:16" ht="20.100000000000001" customHeight="1" x14ac:dyDescent="0.25">
      <c r="A26" s="628">
        <v>18</v>
      </c>
      <c r="B26" s="198" t="str">
        <f t="shared" si="0"/>
        <v>Nayla Annora Nobel W</v>
      </c>
      <c r="C26" s="36" t="s">
        <v>4</v>
      </c>
      <c r="D26" s="59"/>
      <c r="E26" s="59"/>
      <c r="F26" s="59"/>
      <c r="G26" s="59"/>
      <c r="H26" s="59"/>
      <c r="I26" s="59"/>
      <c r="J26" s="59"/>
      <c r="K26" s="59"/>
      <c r="L26" s="640">
        <f t="shared" si="1"/>
        <v>0</v>
      </c>
      <c r="M26" s="1091">
        <f t="shared" si="2"/>
        <v>0</v>
      </c>
      <c r="N26" s="505">
        <f t="shared" si="3"/>
        <v>0</v>
      </c>
      <c r="O26" s="505">
        <f t="shared" si="4"/>
        <v>0</v>
      </c>
      <c r="P26" s="38">
        <f t="shared" si="5"/>
        <v>0</v>
      </c>
    </row>
    <row r="27" spans="1:16" ht="20.100000000000001" customHeight="1" x14ac:dyDescent="0.25">
      <c r="A27" s="34">
        <v>19</v>
      </c>
      <c r="B27" s="198" t="str">
        <f t="shared" si="0"/>
        <v>Raihan Danang P</v>
      </c>
      <c r="C27" s="36" t="s">
        <v>5</v>
      </c>
      <c r="D27" s="59"/>
      <c r="E27" s="59"/>
      <c r="F27" s="59"/>
      <c r="G27" s="59"/>
      <c r="H27" s="59"/>
      <c r="I27" s="59"/>
      <c r="J27" s="59"/>
      <c r="K27" s="59"/>
      <c r="L27" s="640">
        <f t="shared" si="1"/>
        <v>0</v>
      </c>
      <c r="M27" s="1091">
        <f t="shared" si="2"/>
        <v>0</v>
      </c>
      <c r="N27" s="505">
        <f t="shared" si="3"/>
        <v>0</v>
      </c>
      <c r="O27" s="505">
        <f t="shared" si="4"/>
        <v>0</v>
      </c>
      <c r="P27" s="38">
        <f t="shared" si="5"/>
        <v>0</v>
      </c>
    </row>
    <row r="28" spans="1:16" ht="20.100000000000001" customHeight="1" x14ac:dyDescent="0.25">
      <c r="A28" s="628">
        <v>20</v>
      </c>
      <c r="B28" s="198" t="str">
        <f t="shared" si="0"/>
        <v>Roby Ardiyansyah</v>
      </c>
      <c r="C28" s="36" t="s">
        <v>5</v>
      </c>
      <c r="D28" s="512"/>
      <c r="E28" s="512"/>
      <c r="F28" s="512"/>
      <c r="G28" s="512"/>
      <c r="H28" s="512"/>
      <c r="I28" s="512"/>
      <c r="J28" s="512"/>
      <c r="K28" s="512"/>
      <c r="L28" s="640">
        <f t="shared" si="1"/>
        <v>0</v>
      </c>
      <c r="M28" s="1091">
        <f t="shared" si="2"/>
        <v>0</v>
      </c>
      <c r="N28" s="505">
        <f t="shared" si="3"/>
        <v>0</v>
      </c>
      <c r="O28" s="505">
        <f t="shared" si="4"/>
        <v>0</v>
      </c>
      <c r="P28" s="38">
        <f t="shared" si="5"/>
        <v>0</v>
      </c>
    </row>
    <row r="29" spans="1:16" ht="20.100000000000001" customHeight="1" x14ac:dyDescent="0.25">
      <c r="A29" s="34">
        <v>21</v>
      </c>
      <c r="B29" s="198" t="str">
        <f t="shared" si="0"/>
        <v>Rojalingga Prana A</v>
      </c>
      <c r="C29" s="44" t="s">
        <v>4</v>
      </c>
      <c r="D29" s="59"/>
      <c r="E29" s="59"/>
      <c r="F29" s="59"/>
      <c r="G29" s="59"/>
      <c r="H29" s="59"/>
      <c r="I29" s="59"/>
      <c r="J29" s="59"/>
      <c r="K29" s="59"/>
      <c r="L29" s="640">
        <f t="shared" si="1"/>
        <v>0</v>
      </c>
      <c r="M29" s="1091">
        <f t="shared" si="2"/>
        <v>0</v>
      </c>
      <c r="N29" s="505">
        <f t="shared" si="3"/>
        <v>0</v>
      </c>
      <c r="O29" s="505">
        <f t="shared" si="4"/>
        <v>0</v>
      </c>
      <c r="P29" s="38">
        <f t="shared" si="5"/>
        <v>0</v>
      </c>
    </row>
    <row r="30" spans="1:16" ht="20.100000000000001" customHeight="1" x14ac:dyDescent="0.25">
      <c r="A30" s="628">
        <v>22</v>
      </c>
      <c r="B30" s="198" t="str">
        <f t="shared" si="0"/>
        <v>Sally Savista A</v>
      </c>
      <c r="C30" s="45" t="s">
        <v>4</v>
      </c>
      <c r="D30" s="512"/>
      <c r="E30" s="512"/>
      <c r="F30" s="512"/>
      <c r="G30" s="512"/>
      <c r="H30" s="512"/>
      <c r="I30" s="512"/>
      <c r="J30" s="512"/>
      <c r="K30" s="512"/>
      <c r="L30" s="640">
        <f t="shared" si="1"/>
        <v>0</v>
      </c>
      <c r="M30" s="1091">
        <f t="shared" si="2"/>
        <v>0</v>
      </c>
      <c r="N30" s="505">
        <f t="shared" si="3"/>
        <v>0</v>
      </c>
      <c r="O30" s="505">
        <f t="shared" si="4"/>
        <v>0</v>
      </c>
      <c r="P30" s="38">
        <f t="shared" si="5"/>
        <v>0</v>
      </c>
    </row>
    <row r="31" spans="1:16" ht="20.100000000000001" customHeight="1" x14ac:dyDescent="0.25">
      <c r="A31" s="34">
        <v>23</v>
      </c>
      <c r="B31" s="198" t="str">
        <f t="shared" si="0"/>
        <v xml:space="preserve">Tania Kaori Angelita </v>
      </c>
      <c r="C31" s="45" t="s">
        <v>5</v>
      </c>
      <c r="D31" s="512"/>
      <c r="E31" s="512"/>
      <c r="F31" s="512"/>
      <c r="G31" s="512"/>
      <c r="H31" s="512"/>
      <c r="I31" s="512"/>
      <c r="J31" s="512"/>
      <c r="K31" s="512"/>
      <c r="L31" s="640">
        <f t="shared" si="1"/>
        <v>0</v>
      </c>
      <c r="M31" s="1091">
        <f t="shared" si="2"/>
        <v>0</v>
      </c>
      <c r="N31" s="505">
        <f t="shared" si="3"/>
        <v>0</v>
      </c>
      <c r="O31" s="505">
        <f t="shared" si="4"/>
        <v>0</v>
      </c>
      <c r="P31" s="38">
        <f t="shared" si="5"/>
        <v>0</v>
      </c>
    </row>
    <row r="32" spans="1:16" ht="20.100000000000001" customHeight="1" x14ac:dyDescent="0.25">
      <c r="A32" s="628">
        <v>24</v>
      </c>
      <c r="B32" s="198" t="str">
        <f t="shared" si="0"/>
        <v>Romzy Oka Ramadhani P</v>
      </c>
      <c r="C32" s="45" t="s">
        <v>5</v>
      </c>
      <c r="D32" s="512"/>
      <c r="E32" s="512"/>
      <c r="F32" s="512"/>
      <c r="G32" s="512"/>
      <c r="H32" s="512"/>
      <c r="I32" s="512"/>
      <c r="J32" s="512"/>
      <c r="K32" s="512"/>
      <c r="L32" s="640">
        <f t="shared" si="1"/>
        <v>0</v>
      </c>
      <c r="M32" s="1091">
        <f t="shared" si="2"/>
        <v>0</v>
      </c>
      <c r="N32" s="505">
        <f t="shared" si="3"/>
        <v>0</v>
      </c>
      <c r="O32" s="505">
        <f t="shared" si="4"/>
        <v>0</v>
      </c>
      <c r="P32" s="38">
        <f t="shared" si="5"/>
        <v>0</v>
      </c>
    </row>
    <row r="33" spans="1:16" ht="20.100000000000001" customHeight="1" x14ac:dyDescent="0.25">
      <c r="A33" s="34">
        <v>25</v>
      </c>
      <c r="B33" s="198" t="str">
        <f t="shared" si="0"/>
        <v>Larasati Jagadhita P</v>
      </c>
      <c r="C33" s="36" t="s">
        <v>4</v>
      </c>
      <c r="D33" s="512"/>
      <c r="E33" s="512"/>
      <c r="F33" s="512"/>
      <c r="G33" s="512"/>
      <c r="H33" s="512"/>
      <c r="I33" s="512"/>
      <c r="J33" s="512"/>
      <c r="K33" s="512"/>
      <c r="L33" s="640">
        <f t="shared" si="1"/>
        <v>0</v>
      </c>
      <c r="M33" s="1091">
        <f t="shared" si="2"/>
        <v>0</v>
      </c>
      <c r="N33" s="505">
        <f t="shared" si="3"/>
        <v>0</v>
      </c>
      <c r="O33" s="505">
        <f t="shared" si="4"/>
        <v>0</v>
      </c>
      <c r="P33" s="38">
        <f t="shared" si="5"/>
        <v>0</v>
      </c>
    </row>
    <row r="34" spans="1:16" ht="20.100000000000001" customHeight="1" x14ac:dyDescent="0.25">
      <c r="A34" s="628">
        <v>26</v>
      </c>
      <c r="B34" s="198" t="str">
        <f t="shared" si="0"/>
        <v>Meliana Citra A</v>
      </c>
      <c r="C34" s="36" t="s">
        <v>5</v>
      </c>
      <c r="D34" s="512"/>
      <c r="E34" s="512"/>
      <c r="F34" s="512"/>
      <c r="G34" s="512"/>
      <c r="H34" s="512"/>
      <c r="I34" s="512"/>
      <c r="J34" s="512"/>
      <c r="K34" s="512"/>
      <c r="L34" s="640">
        <f t="shared" si="1"/>
        <v>0</v>
      </c>
      <c r="M34" s="1091">
        <f t="shared" si="2"/>
        <v>0</v>
      </c>
      <c r="N34" s="505">
        <f t="shared" si="3"/>
        <v>0</v>
      </c>
      <c r="O34" s="505">
        <f t="shared" si="4"/>
        <v>0</v>
      </c>
      <c r="P34" s="38">
        <f t="shared" si="5"/>
        <v>0</v>
      </c>
    </row>
    <row r="35" spans="1:16" ht="20.100000000000001" customHeight="1" x14ac:dyDescent="0.25">
      <c r="A35" s="34">
        <v>27</v>
      </c>
      <c r="B35" s="198" t="str">
        <f t="shared" si="0"/>
        <v>Mohammad Rizky</v>
      </c>
      <c r="C35" s="36" t="s">
        <v>4</v>
      </c>
      <c r="D35" s="512"/>
      <c r="E35" s="512"/>
      <c r="F35" s="512"/>
      <c r="G35" s="512"/>
      <c r="H35" s="512"/>
      <c r="I35" s="512"/>
      <c r="J35" s="512"/>
      <c r="K35" s="512"/>
      <c r="L35" s="640">
        <f t="shared" si="1"/>
        <v>0</v>
      </c>
      <c r="M35" s="1091">
        <f t="shared" si="2"/>
        <v>0</v>
      </c>
      <c r="N35" s="505">
        <f t="shared" si="3"/>
        <v>0</v>
      </c>
      <c r="O35" s="505">
        <f t="shared" si="4"/>
        <v>0</v>
      </c>
      <c r="P35" s="38">
        <f t="shared" si="5"/>
        <v>0</v>
      </c>
    </row>
    <row r="36" spans="1:16" ht="20.100000000000001" customHeight="1" x14ac:dyDescent="0.25">
      <c r="A36" s="628">
        <v>28</v>
      </c>
      <c r="B36" s="198" t="e">
        <f t="shared" si="0"/>
        <v>#N/A</v>
      </c>
      <c r="C36" s="36" t="s">
        <v>4</v>
      </c>
      <c r="D36" s="512"/>
      <c r="E36" s="512"/>
      <c r="F36" s="512"/>
      <c r="G36" s="512"/>
      <c r="H36" s="512"/>
      <c r="I36" s="512"/>
      <c r="J36" s="512"/>
      <c r="K36" s="512"/>
      <c r="L36" s="640">
        <f t="shared" si="1"/>
        <v>0</v>
      </c>
      <c r="M36" s="1091">
        <f t="shared" si="2"/>
        <v>0</v>
      </c>
      <c r="N36" s="505">
        <f t="shared" si="3"/>
        <v>0</v>
      </c>
      <c r="O36" s="505">
        <f t="shared" si="4"/>
        <v>0</v>
      </c>
      <c r="P36" s="38">
        <f t="shared" si="5"/>
        <v>0</v>
      </c>
    </row>
    <row r="37" spans="1:16" ht="20.100000000000001" customHeight="1" x14ac:dyDescent="0.25">
      <c r="A37" s="34">
        <v>29</v>
      </c>
      <c r="B37" s="198" t="e">
        <f t="shared" si="0"/>
        <v>#N/A</v>
      </c>
      <c r="C37" s="36" t="s">
        <v>4</v>
      </c>
      <c r="D37" s="512"/>
      <c r="E37" s="512"/>
      <c r="F37" s="512"/>
      <c r="G37" s="512"/>
      <c r="H37" s="512"/>
      <c r="I37" s="512"/>
      <c r="J37" s="512"/>
      <c r="K37" s="512"/>
      <c r="L37" s="640">
        <f t="shared" si="1"/>
        <v>0</v>
      </c>
      <c r="M37" s="1091">
        <f t="shared" si="2"/>
        <v>0</v>
      </c>
      <c r="N37" s="505">
        <f t="shared" si="3"/>
        <v>0</v>
      </c>
      <c r="O37" s="505">
        <f t="shared" si="4"/>
        <v>0</v>
      </c>
      <c r="P37" s="38">
        <f t="shared" si="5"/>
        <v>0</v>
      </c>
    </row>
    <row r="38" spans="1:16" ht="20.100000000000001" customHeight="1" x14ac:dyDescent="0.25">
      <c r="A38" s="628">
        <v>30</v>
      </c>
      <c r="B38" s="198" t="e">
        <f t="shared" si="0"/>
        <v>#N/A</v>
      </c>
      <c r="C38" s="36" t="s">
        <v>5</v>
      </c>
      <c r="D38" s="512"/>
      <c r="E38" s="512"/>
      <c r="F38" s="512"/>
      <c r="G38" s="512"/>
      <c r="H38" s="512"/>
      <c r="I38" s="512"/>
      <c r="J38" s="512"/>
      <c r="K38" s="512"/>
      <c r="L38" s="640">
        <f t="shared" si="1"/>
        <v>0</v>
      </c>
      <c r="M38" s="1091">
        <f t="shared" si="2"/>
        <v>0</v>
      </c>
      <c r="N38" s="505">
        <f t="shared" si="3"/>
        <v>0</v>
      </c>
      <c r="O38" s="505">
        <f t="shared" si="4"/>
        <v>0</v>
      </c>
      <c r="P38" s="38">
        <f t="shared" si="5"/>
        <v>0</v>
      </c>
    </row>
    <row r="39" spans="1:16" ht="20.100000000000001" customHeight="1" x14ac:dyDescent="0.25">
      <c r="A39" s="34">
        <v>31</v>
      </c>
      <c r="B39" s="198" t="e">
        <f t="shared" si="0"/>
        <v>#N/A</v>
      </c>
      <c r="C39" s="36" t="s">
        <v>5</v>
      </c>
      <c r="D39" s="628"/>
      <c r="E39" s="628"/>
      <c r="F39" s="628"/>
      <c r="G39" s="628"/>
      <c r="H39" s="628"/>
      <c r="I39" s="628"/>
      <c r="J39" s="628"/>
      <c r="K39" s="628"/>
      <c r="L39" s="640">
        <f t="shared" si="1"/>
        <v>0</v>
      </c>
      <c r="M39" s="1091">
        <f t="shared" si="2"/>
        <v>0</v>
      </c>
      <c r="N39" s="505">
        <f t="shared" si="3"/>
        <v>0</v>
      </c>
      <c r="O39" s="505">
        <f t="shared" si="4"/>
        <v>0</v>
      </c>
      <c r="P39" s="38">
        <f t="shared" si="5"/>
        <v>0</v>
      </c>
    </row>
    <row r="40" spans="1:16" ht="20.100000000000001" customHeight="1" x14ac:dyDescent="0.25">
      <c r="A40" s="628">
        <v>32</v>
      </c>
      <c r="B40" s="198" t="e">
        <f t="shared" si="0"/>
        <v>#N/A</v>
      </c>
      <c r="C40" s="36" t="s">
        <v>5</v>
      </c>
      <c r="D40" s="628"/>
      <c r="E40" s="628"/>
      <c r="F40" s="628"/>
      <c r="G40" s="628"/>
      <c r="H40" s="628"/>
      <c r="I40" s="628"/>
      <c r="J40" s="628"/>
      <c r="K40" s="628"/>
      <c r="L40" s="640">
        <f t="shared" si="1"/>
        <v>0</v>
      </c>
      <c r="M40" s="1091">
        <f t="shared" si="2"/>
        <v>0</v>
      </c>
      <c r="N40" s="505">
        <f t="shared" si="3"/>
        <v>0</v>
      </c>
      <c r="O40" s="505">
        <f t="shared" si="4"/>
        <v>0</v>
      </c>
      <c r="P40" s="38">
        <f t="shared" si="5"/>
        <v>0</v>
      </c>
    </row>
    <row r="41" spans="1:16" ht="20.100000000000001" customHeight="1" x14ac:dyDescent="0.25">
      <c r="A41" s="34">
        <v>33</v>
      </c>
      <c r="B41" s="198" t="e">
        <f t="shared" si="0"/>
        <v>#N/A</v>
      </c>
      <c r="C41" s="36" t="s">
        <v>5</v>
      </c>
      <c r="D41" s="628"/>
      <c r="E41" s="628"/>
      <c r="F41" s="628"/>
      <c r="G41" s="628"/>
      <c r="H41" s="628"/>
      <c r="I41" s="628"/>
      <c r="J41" s="628"/>
      <c r="K41" s="628"/>
      <c r="L41" s="640">
        <f t="shared" si="1"/>
        <v>0</v>
      </c>
      <c r="M41" s="1091">
        <f t="shared" si="2"/>
        <v>0</v>
      </c>
      <c r="N41" s="505">
        <f t="shared" si="3"/>
        <v>0</v>
      </c>
      <c r="O41" s="505">
        <f t="shared" si="4"/>
        <v>0</v>
      </c>
      <c r="P41" s="38">
        <f t="shared" si="5"/>
        <v>0</v>
      </c>
    </row>
    <row r="42" spans="1:16" ht="20.100000000000001" customHeight="1" x14ac:dyDescent="0.25">
      <c r="A42" s="628">
        <v>34</v>
      </c>
      <c r="B42" s="198" t="e">
        <f t="shared" si="0"/>
        <v>#N/A</v>
      </c>
      <c r="C42" s="36" t="s">
        <v>5</v>
      </c>
      <c r="D42" s="628"/>
      <c r="E42" s="628"/>
      <c r="F42" s="628"/>
      <c r="G42" s="628"/>
      <c r="H42" s="628"/>
      <c r="I42" s="628"/>
      <c r="J42" s="628"/>
      <c r="K42" s="628"/>
      <c r="L42" s="640">
        <f t="shared" si="1"/>
        <v>0</v>
      </c>
      <c r="M42" s="1091">
        <f t="shared" si="2"/>
        <v>0</v>
      </c>
      <c r="N42" s="505">
        <f t="shared" si="3"/>
        <v>0</v>
      </c>
      <c r="O42" s="505">
        <f t="shared" si="4"/>
        <v>0</v>
      </c>
      <c r="P42" s="38">
        <f t="shared" si="5"/>
        <v>0</v>
      </c>
    </row>
    <row r="43" spans="1:16" ht="20.100000000000001" customHeight="1" x14ac:dyDescent="0.25">
      <c r="A43" s="34">
        <v>35</v>
      </c>
      <c r="B43" s="198" t="e">
        <f t="shared" si="0"/>
        <v>#N/A</v>
      </c>
      <c r="C43" s="36" t="s">
        <v>5</v>
      </c>
      <c r="D43" s="628"/>
      <c r="E43" s="628"/>
      <c r="F43" s="628"/>
      <c r="G43" s="628"/>
      <c r="H43" s="628"/>
      <c r="I43" s="628"/>
      <c r="J43" s="628"/>
      <c r="K43" s="628"/>
      <c r="L43" s="640">
        <f t="shared" si="1"/>
        <v>0</v>
      </c>
      <c r="M43" s="1091">
        <f t="shared" si="2"/>
        <v>0</v>
      </c>
      <c r="N43" s="505">
        <f t="shared" si="3"/>
        <v>0</v>
      </c>
      <c r="O43" s="505">
        <f t="shared" si="4"/>
        <v>0</v>
      </c>
      <c r="P43" s="38">
        <f t="shared" si="5"/>
        <v>0</v>
      </c>
    </row>
    <row r="44" spans="1:16" ht="20.100000000000001" customHeight="1" x14ac:dyDescent="0.25">
      <c r="A44" s="628">
        <v>36</v>
      </c>
      <c r="B44" s="198" t="e">
        <f t="shared" si="0"/>
        <v>#N/A</v>
      </c>
      <c r="C44" s="36" t="s">
        <v>5</v>
      </c>
      <c r="D44" s="628"/>
      <c r="E44" s="628"/>
      <c r="F44" s="628"/>
      <c r="G44" s="628"/>
      <c r="H44" s="628"/>
      <c r="I44" s="628"/>
      <c r="J44" s="628"/>
      <c r="K44" s="628"/>
      <c r="L44" s="640">
        <f t="shared" si="1"/>
        <v>0</v>
      </c>
      <c r="M44" s="1091">
        <f t="shared" si="2"/>
        <v>0</v>
      </c>
      <c r="N44" s="505">
        <f t="shared" si="3"/>
        <v>0</v>
      </c>
      <c r="O44" s="505">
        <f t="shared" si="4"/>
        <v>0</v>
      </c>
      <c r="P44" s="38">
        <f t="shared" si="5"/>
        <v>0</v>
      </c>
    </row>
    <row r="45" spans="1:16" ht="20.100000000000001" customHeight="1" x14ac:dyDescent="0.25">
      <c r="A45" s="34">
        <v>37</v>
      </c>
      <c r="B45" s="198" t="e">
        <f t="shared" si="0"/>
        <v>#N/A</v>
      </c>
      <c r="C45" s="36" t="s">
        <v>5</v>
      </c>
      <c r="D45" s="628"/>
      <c r="E45" s="628"/>
      <c r="F45" s="628"/>
      <c r="G45" s="628"/>
      <c r="H45" s="628"/>
      <c r="I45" s="628"/>
      <c r="J45" s="628"/>
      <c r="K45" s="628"/>
      <c r="L45" s="640">
        <f t="shared" si="1"/>
        <v>0</v>
      </c>
      <c r="M45" s="1091">
        <f t="shared" si="2"/>
        <v>0</v>
      </c>
      <c r="N45" s="505">
        <f t="shared" si="3"/>
        <v>0</v>
      </c>
      <c r="O45" s="505">
        <f t="shared" si="4"/>
        <v>0</v>
      </c>
      <c r="P45" s="38">
        <f t="shared" si="5"/>
        <v>0</v>
      </c>
    </row>
    <row r="46" spans="1:16" ht="20.100000000000001" customHeight="1" x14ac:dyDescent="0.25">
      <c r="A46" s="628">
        <v>38</v>
      </c>
      <c r="B46" s="198" t="e">
        <f t="shared" si="0"/>
        <v>#N/A</v>
      </c>
      <c r="C46" s="36" t="s">
        <v>5</v>
      </c>
      <c r="D46" s="628"/>
      <c r="E46" s="628"/>
      <c r="F46" s="628"/>
      <c r="G46" s="628"/>
      <c r="H46" s="628"/>
      <c r="I46" s="628"/>
      <c r="J46" s="628"/>
      <c r="K46" s="628"/>
      <c r="L46" s="640">
        <f t="shared" si="1"/>
        <v>0</v>
      </c>
      <c r="M46" s="1091">
        <f t="shared" si="2"/>
        <v>0</v>
      </c>
      <c r="N46" s="505">
        <f t="shared" si="3"/>
        <v>0</v>
      </c>
      <c r="O46" s="505">
        <f t="shared" si="4"/>
        <v>0</v>
      </c>
      <c r="P46" s="38">
        <f t="shared" si="5"/>
        <v>0</v>
      </c>
    </row>
    <row r="47" spans="1:16" ht="20.100000000000001" customHeight="1" x14ac:dyDescent="0.25">
      <c r="A47" s="34">
        <v>39</v>
      </c>
      <c r="B47" s="198" t="e">
        <f t="shared" si="0"/>
        <v>#N/A</v>
      </c>
      <c r="C47" s="36" t="s">
        <v>5</v>
      </c>
      <c r="D47" s="628"/>
      <c r="E47" s="628"/>
      <c r="F47" s="628"/>
      <c r="G47" s="628"/>
      <c r="H47" s="628"/>
      <c r="I47" s="628"/>
      <c r="J47" s="628"/>
      <c r="K47" s="628"/>
      <c r="L47" s="640">
        <f t="shared" si="1"/>
        <v>0</v>
      </c>
      <c r="M47" s="1091">
        <f t="shared" si="2"/>
        <v>0</v>
      </c>
      <c r="N47" s="505">
        <f t="shared" si="3"/>
        <v>0</v>
      </c>
      <c r="O47" s="505">
        <f t="shared" si="4"/>
        <v>0</v>
      </c>
      <c r="P47" s="38">
        <f t="shared" si="5"/>
        <v>0</v>
      </c>
    </row>
    <row r="48" spans="1:16" ht="20.100000000000001" customHeight="1" x14ac:dyDescent="0.25">
      <c r="A48" s="628">
        <v>40</v>
      </c>
      <c r="B48" s="198" t="e">
        <f t="shared" si="0"/>
        <v>#N/A</v>
      </c>
      <c r="C48" s="36" t="s">
        <v>5</v>
      </c>
      <c r="D48" s="628"/>
      <c r="E48" s="628"/>
      <c r="F48" s="628"/>
      <c r="G48" s="628"/>
      <c r="H48" s="628"/>
      <c r="I48" s="628"/>
      <c r="J48" s="628"/>
      <c r="K48" s="628"/>
      <c r="L48" s="640">
        <f t="shared" si="1"/>
        <v>0</v>
      </c>
      <c r="M48" s="1091">
        <f t="shared" si="2"/>
        <v>0</v>
      </c>
      <c r="N48" s="505">
        <f t="shared" si="3"/>
        <v>0</v>
      </c>
      <c r="O48" s="505">
        <f t="shared" si="4"/>
        <v>0</v>
      </c>
      <c r="P48" s="38">
        <f t="shared" si="5"/>
        <v>0</v>
      </c>
    </row>
    <row r="49" spans="2:16" ht="15.75" x14ac:dyDescent="0.25">
      <c r="B49" s="47" t="s">
        <v>36</v>
      </c>
      <c r="C49" s="48"/>
      <c r="D49" s="49">
        <f>COUNTIF(D9:D48,"0")</f>
        <v>1</v>
      </c>
      <c r="E49" s="49">
        <f t="shared" ref="E49:K49" si="6">COUNTIF(E9:E48,"0")</f>
        <v>1</v>
      </c>
      <c r="F49" s="49">
        <f t="shared" si="6"/>
        <v>0</v>
      </c>
      <c r="G49" s="49">
        <f t="shared" si="6"/>
        <v>0</v>
      </c>
      <c r="H49" s="49">
        <f t="shared" si="6"/>
        <v>1</v>
      </c>
      <c r="I49" s="49">
        <f t="shared" si="6"/>
        <v>0</v>
      </c>
      <c r="J49" s="49">
        <f t="shared" si="6"/>
        <v>0</v>
      </c>
      <c r="K49" s="49">
        <f t="shared" si="6"/>
        <v>0</v>
      </c>
      <c r="L49" s="401"/>
      <c r="M49" s="227"/>
      <c r="N49" s="227"/>
      <c r="O49" s="227"/>
      <c r="P49" s="228"/>
    </row>
    <row r="50" spans="2:16" ht="15.75" x14ac:dyDescent="0.25">
      <c r="B50" s="51" t="s">
        <v>37</v>
      </c>
      <c r="C50" s="51"/>
      <c r="D50" s="52"/>
      <c r="E50" s="52"/>
      <c r="F50" s="52"/>
      <c r="G50" s="52"/>
      <c r="H50" s="52"/>
      <c r="I50" s="52"/>
      <c r="J50" s="52"/>
      <c r="K50" s="52"/>
      <c r="L50" s="52"/>
      <c r="M50" s="1113">
        <f>MAX(M8:M31)</f>
        <v>2</v>
      </c>
      <c r="N50" s="1113">
        <f>MAX(N8:N31)</f>
        <v>2</v>
      </c>
      <c r="O50" s="1113">
        <f>MAX(O8:O31)</f>
        <v>2</v>
      </c>
      <c r="P50" s="55">
        <f>MAX(P8:P31)</f>
        <v>66.666666666666671</v>
      </c>
    </row>
    <row r="51" spans="2:16" ht="15.75" x14ac:dyDescent="0.25">
      <c r="B51" s="51" t="s">
        <v>38</v>
      </c>
      <c r="C51" s="51"/>
      <c r="D51" s="52"/>
      <c r="E51" s="52"/>
      <c r="F51" s="52"/>
      <c r="G51" s="52"/>
      <c r="H51" s="52"/>
      <c r="I51" s="52"/>
      <c r="J51" s="52"/>
      <c r="K51" s="52"/>
      <c r="L51" s="52"/>
      <c r="M51" s="1113">
        <f>MIN(M8:M31)</f>
        <v>0</v>
      </c>
      <c r="N51" s="1113">
        <f>MIN(N8:N31)</f>
        <v>0</v>
      </c>
      <c r="O51" s="1113">
        <f>MIN(O8:O31)</f>
        <v>0</v>
      </c>
      <c r="P51" s="55">
        <f>MIN(P8:P31)</f>
        <v>0</v>
      </c>
    </row>
    <row r="52" spans="2:16" ht="15.75" x14ac:dyDescent="0.25">
      <c r="B52" s="51" t="s">
        <v>39</v>
      </c>
      <c r="C52" s="51"/>
      <c r="D52" s="52"/>
      <c r="E52" s="52"/>
      <c r="F52" s="52"/>
      <c r="G52" s="52"/>
      <c r="H52" s="52"/>
      <c r="I52" s="52"/>
      <c r="J52" s="52"/>
      <c r="K52" s="52"/>
      <c r="L52" s="52"/>
      <c r="M52" s="55">
        <f>AVERAGE(M8:M31)</f>
        <v>8.6956521739130432E-2</v>
      </c>
      <c r="N52" s="55">
        <f>AVERAGE(N8:N31)</f>
        <v>8.6956521739130432E-2</v>
      </c>
      <c r="O52" s="55">
        <f>AVERAGE(O8:O31)</f>
        <v>8.6956521739130432E-2</v>
      </c>
      <c r="P52" s="55">
        <f>AVERAGE(P8:P31)</f>
        <v>2.8985507246376812</v>
      </c>
    </row>
  </sheetData>
  <mergeCells count="11">
    <mergeCell ref="M6:M8"/>
    <mergeCell ref="N6:N8"/>
    <mergeCell ref="O6:O8"/>
    <mergeCell ref="P6:P8"/>
    <mergeCell ref="A1:P1"/>
    <mergeCell ref="A2:P2"/>
    <mergeCell ref="A6:A8"/>
    <mergeCell ref="B6:B8"/>
    <mergeCell ref="C6:C8"/>
    <mergeCell ref="L6:L8"/>
    <mergeCell ref="D6:K6"/>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FFFF00"/>
  </sheetPr>
  <dimension ref="A1:P48"/>
  <sheetViews>
    <sheetView showGridLines="0" workbookViewId="0">
      <pane xSplit="2" ySplit="8" topLeftCell="C39"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85546875" style="642" customWidth="1"/>
    <col min="13" max="15" width="5.7109375" customWidth="1"/>
    <col min="16" max="16" width="10.7109375" customWidth="1"/>
  </cols>
  <sheetData>
    <row r="1" spans="1:16" ht="15.75" x14ac:dyDescent="0.25">
      <c r="A1" s="3226"/>
      <c r="B1" s="3227"/>
      <c r="C1" s="3227"/>
      <c r="D1" s="3227"/>
      <c r="E1" s="3227"/>
      <c r="F1" s="3227"/>
      <c r="G1" s="3227"/>
      <c r="H1" s="3227"/>
      <c r="I1" s="3227"/>
      <c r="J1" s="3227"/>
      <c r="K1" s="3227"/>
      <c r="L1" s="3227"/>
      <c r="M1" s="3227"/>
      <c r="N1" s="3227"/>
      <c r="O1" s="3227"/>
      <c r="P1" s="3227"/>
    </row>
    <row r="2" spans="1:16" ht="19.5" customHeight="1" x14ac:dyDescent="0.25">
      <c r="A2" s="3228"/>
      <c r="B2" s="3229"/>
      <c r="C2" s="3229"/>
      <c r="D2" s="3229"/>
      <c r="E2" s="3229"/>
      <c r="F2" s="3229"/>
      <c r="G2" s="3229"/>
      <c r="H2" s="3229"/>
      <c r="I2" s="3229"/>
      <c r="J2" s="3229"/>
      <c r="K2" s="3229"/>
      <c r="L2" s="3229"/>
      <c r="M2" s="3229"/>
      <c r="N2" s="3229"/>
      <c r="O2" s="3229"/>
      <c r="P2" s="3229"/>
    </row>
    <row r="3" spans="1:16" ht="21" x14ac:dyDescent="0.35">
      <c r="A3" s="544" t="s">
        <v>447</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643">
        <v>12</v>
      </c>
      <c r="M5" s="204">
        <v>13</v>
      </c>
      <c r="N5" s="204">
        <v>14</v>
      </c>
      <c r="O5" s="204">
        <v>15</v>
      </c>
      <c r="P5" s="204">
        <v>16</v>
      </c>
    </row>
    <row r="6" spans="1:16" s="30" customFormat="1" ht="20.25" customHeight="1" x14ac:dyDescent="0.25">
      <c r="A6" s="3136" t="s">
        <v>0</v>
      </c>
      <c r="B6" s="3136" t="s">
        <v>28</v>
      </c>
      <c r="C6" s="3136" t="s">
        <v>3</v>
      </c>
      <c r="D6" s="3146" t="s">
        <v>583</v>
      </c>
      <c r="E6" s="3147"/>
      <c r="F6" s="3147"/>
      <c r="G6" s="3147"/>
      <c r="H6" s="3147"/>
      <c r="I6" s="3147"/>
      <c r="J6" s="3147"/>
      <c r="K6" s="3148"/>
      <c r="L6" s="3230" t="s">
        <v>159</v>
      </c>
      <c r="M6" s="3131" t="s">
        <v>29</v>
      </c>
      <c r="N6" s="3131" t="s">
        <v>30</v>
      </c>
      <c r="O6" s="3131" t="s">
        <v>31</v>
      </c>
      <c r="P6" s="3149" t="s">
        <v>32</v>
      </c>
    </row>
    <row r="7" spans="1:16" s="30" customFormat="1" ht="20.25" customHeight="1" x14ac:dyDescent="0.25">
      <c r="A7" s="3136"/>
      <c r="B7" s="3136"/>
      <c r="C7" s="3136"/>
      <c r="D7" s="31" t="s">
        <v>29</v>
      </c>
      <c r="E7" s="31" t="s">
        <v>29</v>
      </c>
      <c r="F7" s="31" t="s">
        <v>29</v>
      </c>
      <c r="G7" s="31" t="s">
        <v>29</v>
      </c>
      <c r="H7" s="31" t="s">
        <v>29</v>
      </c>
      <c r="I7" s="32" t="s">
        <v>30</v>
      </c>
      <c r="J7" s="32" t="s">
        <v>30</v>
      </c>
      <c r="K7" s="937" t="s">
        <v>31</v>
      </c>
      <c r="L7" s="3230"/>
      <c r="M7" s="3131"/>
      <c r="N7" s="3131"/>
      <c r="O7" s="3131"/>
      <c r="P7" s="3149"/>
    </row>
    <row r="8" spans="1:16" ht="22.5" customHeight="1" x14ac:dyDescent="0.25">
      <c r="A8" s="3136"/>
      <c r="B8" s="3136"/>
      <c r="C8" s="3136"/>
      <c r="D8" s="284">
        <v>1</v>
      </c>
      <c r="E8" s="284">
        <v>2</v>
      </c>
      <c r="F8" s="284">
        <v>3</v>
      </c>
      <c r="G8" s="284">
        <v>4</v>
      </c>
      <c r="H8" s="284">
        <v>5</v>
      </c>
      <c r="I8" s="284">
        <v>6</v>
      </c>
      <c r="J8" s="284">
        <v>7</v>
      </c>
      <c r="K8" s="284">
        <v>8</v>
      </c>
      <c r="L8" s="3230"/>
      <c r="M8" s="3131"/>
      <c r="N8" s="3131"/>
      <c r="O8" s="3131"/>
      <c r="P8" s="3149"/>
    </row>
    <row r="9" spans="1:16" ht="20.100000000000001" customHeight="1" x14ac:dyDescent="0.25">
      <c r="A9" s="34">
        <v>1</v>
      </c>
      <c r="B9" s="198" t="str">
        <f t="shared" ref="B9:B48" si="0">VLOOKUP(A9,data_siswa,4,FALSE)</f>
        <v>Achmad Zacky</v>
      </c>
      <c r="C9" s="291" t="s">
        <v>4</v>
      </c>
      <c r="D9" s="200">
        <v>1</v>
      </c>
      <c r="E9" s="200">
        <v>1</v>
      </c>
      <c r="F9" s="200">
        <v>1</v>
      </c>
      <c r="G9" s="200">
        <v>0</v>
      </c>
      <c r="H9" s="200">
        <v>0</v>
      </c>
      <c r="I9" s="200">
        <v>2</v>
      </c>
      <c r="J9" s="200">
        <v>2</v>
      </c>
      <c r="K9" s="200">
        <v>3</v>
      </c>
      <c r="L9" s="640">
        <f>SUM(D9:K9)*100/12</f>
        <v>83.333333333333329</v>
      </c>
      <c r="M9" s="1091">
        <f>SUM(D9:H9)</f>
        <v>3</v>
      </c>
      <c r="N9" s="505">
        <f>SUM(I9:J9)</f>
        <v>4</v>
      </c>
      <c r="O9" s="505">
        <f>K9</f>
        <v>3</v>
      </c>
      <c r="P9" s="38">
        <f>L9</f>
        <v>83.333333333333329</v>
      </c>
    </row>
    <row r="10" spans="1:16" ht="20.100000000000001" customHeight="1" x14ac:dyDescent="0.25">
      <c r="A10" s="512">
        <v>2</v>
      </c>
      <c r="B10" s="198" t="str">
        <f t="shared" si="0"/>
        <v>Angelia Vabel R</v>
      </c>
      <c r="C10" s="36" t="s">
        <v>4</v>
      </c>
      <c r="D10" s="200"/>
      <c r="E10" s="200"/>
      <c r="F10" s="200"/>
      <c r="G10" s="200"/>
      <c r="H10" s="200"/>
      <c r="I10" s="200"/>
      <c r="J10" s="200"/>
      <c r="K10" s="200"/>
      <c r="L10" s="640">
        <f t="shared" ref="L10:L48" si="1">SUM(D10:K10)*100/12</f>
        <v>0</v>
      </c>
      <c r="M10" s="1091">
        <f t="shared" ref="M10:M48" si="2">SUM(D10:H10)</f>
        <v>0</v>
      </c>
      <c r="N10" s="505">
        <f t="shared" ref="N10:N48" si="3">SUM(I10:J10)</f>
        <v>0</v>
      </c>
      <c r="O10" s="505">
        <f t="shared" ref="O10:O48" si="4">K10</f>
        <v>0</v>
      </c>
      <c r="P10" s="38">
        <f t="shared" ref="P10:P48" si="5">L10</f>
        <v>0</v>
      </c>
    </row>
    <row r="11" spans="1:16" ht="20.100000000000001" customHeight="1" x14ac:dyDescent="0.25">
      <c r="A11" s="512">
        <v>3</v>
      </c>
      <c r="B11" s="198" t="str">
        <f t="shared" si="0"/>
        <v>Anggun Dwi P.I</v>
      </c>
      <c r="C11" s="36" t="s">
        <v>4</v>
      </c>
      <c r="D11" s="200"/>
      <c r="E11" s="200"/>
      <c r="F11" s="200"/>
      <c r="G11" s="200"/>
      <c r="H11" s="200"/>
      <c r="I11" s="200"/>
      <c r="J11" s="200"/>
      <c r="K11" s="200"/>
      <c r="L11" s="640">
        <f t="shared" si="1"/>
        <v>0</v>
      </c>
      <c r="M11" s="1091">
        <f t="shared" si="2"/>
        <v>0</v>
      </c>
      <c r="N11" s="505">
        <f t="shared" si="3"/>
        <v>0</v>
      </c>
      <c r="O11" s="505">
        <f t="shared" si="4"/>
        <v>0</v>
      </c>
      <c r="P11" s="38">
        <f t="shared" si="5"/>
        <v>0</v>
      </c>
    </row>
    <row r="12" spans="1:16" ht="20.100000000000001" customHeight="1" x14ac:dyDescent="0.25">
      <c r="A12" s="512">
        <v>4</v>
      </c>
      <c r="B12" s="198" t="str">
        <f t="shared" si="0"/>
        <v>Antonio Permata A</v>
      </c>
      <c r="C12" s="43" t="s">
        <v>4</v>
      </c>
      <c r="D12" s="200"/>
      <c r="E12" s="200"/>
      <c r="F12" s="200"/>
      <c r="G12" s="200"/>
      <c r="H12" s="200"/>
      <c r="I12" s="200"/>
      <c r="J12" s="200"/>
      <c r="K12" s="200"/>
      <c r="L12" s="640">
        <f t="shared" si="1"/>
        <v>0</v>
      </c>
      <c r="M12" s="1091">
        <f t="shared" si="2"/>
        <v>0</v>
      </c>
      <c r="N12" s="505">
        <f t="shared" si="3"/>
        <v>0</v>
      </c>
      <c r="O12" s="505">
        <f t="shared" si="4"/>
        <v>0</v>
      </c>
      <c r="P12" s="38">
        <f t="shared" si="5"/>
        <v>0</v>
      </c>
    </row>
    <row r="13" spans="1:16" ht="20.100000000000001" customHeight="1" x14ac:dyDescent="0.25">
      <c r="A13" s="512">
        <v>5</v>
      </c>
      <c r="B13" s="198" t="str">
        <f t="shared" si="0"/>
        <v>Arya Pratama G</v>
      </c>
      <c r="C13" s="36" t="s">
        <v>5</v>
      </c>
      <c r="D13" s="200"/>
      <c r="E13" s="200"/>
      <c r="F13" s="200"/>
      <c r="G13" s="200"/>
      <c r="H13" s="200"/>
      <c r="I13" s="200"/>
      <c r="J13" s="200"/>
      <c r="K13" s="200"/>
      <c r="L13" s="640">
        <f t="shared" si="1"/>
        <v>0</v>
      </c>
      <c r="M13" s="1091">
        <f t="shared" si="2"/>
        <v>0</v>
      </c>
      <c r="N13" s="505">
        <f t="shared" si="3"/>
        <v>0</v>
      </c>
      <c r="O13" s="505">
        <f t="shared" si="4"/>
        <v>0</v>
      </c>
      <c r="P13" s="38">
        <f t="shared" si="5"/>
        <v>0</v>
      </c>
    </row>
    <row r="14" spans="1:16" ht="20.100000000000001" customHeight="1" x14ac:dyDescent="0.25">
      <c r="A14" s="512">
        <v>6</v>
      </c>
      <c r="B14" s="198" t="str">
        <f t="shared" si="0"/>
        <v>Asyam Hanif Ihsan H</v>
      </c>
      <c r="C14" s="36" t="s">
        <v>5</v>
      </c>
      <c r="D14" s="59"/>
      <c r="E14" s="59"/>
      <c r="F14" s="59"/>
      <c r="G14" s="59"/>
      <c r="H14" s="59"/>
      <c r="I14" s="59"/>
      <c r="J14" s="59"/>
      <c r="K14" s="59"/>
      <c r="L14" s="640">
        <f t="shared" si="1"/>
        <v>0</v>
      </c>
      <c r="M14" s="1091">
        <f t="shared" si="2"/>
        <v>0</v>
      </c>
      <c r="N14" s="505">
        <f t="shared" si="3"/>
        <v>0</v>
      </c>
      <c r="O14" s="505">
        <f t="shared" si="4"/>
        <v>0</v>
      </c>
      <c r="P14" s="38">
        <f t="shared" si="5"/>
        <v>0</v>
      </c>
    </row>
    <row r="15" spans="1:16" ht="20.100000000000001" customHeight="1" x14ac:dyDescent="0.25">
      <c r="A15" s="512">
        <v>7</v>
      </c>
      <c r="B15" s="198" t="str">
        <f t="shared" si="0"/>
        <v>Athaya Salsabilla Z</v>
      </c>
      <c r="C15" s="36" t="s">
        <v>4</v>
      </c>
      <c r="D15" s="59"/>
      <c r="E15" s="59"/>
      <c r="F15" s="59"/>
      <c r="G15" s="59"/>
      <c r="H15" s="59"/>
      <c r="I15" s="59"/>
      <c r="J15" s="59"/>
      <c r="K15" s="59"/>
      <c r="L15" s="640">
        <f t="shared" si="1"/>
        <v>0</v>
      </c>
      <c r="M15" s="1091">
        <f t="shared" si="2"/>
        <v>0</v>
      </c>
      <c r="N15" s="505">
        <f t="shared" si="3"/>
        <v>0</v>
      </c>
      <c r="O15" s="505">
        <f t="shared" si="4"/>
        <v>0</v>
      </c>
      <c r="P15" s="38">
        <f t="shared" si="5"/>
        <v>0</v>
      </c>
    </row>
    <row r="16" spans="1:16" ht="20.100000000000001" customHeight="1" x14ac:dyDescent="0.25">
      <c r="A16" s="512">
        <v>8</v>
      </c>
      <c r="B16" s="198" t="str">
        <f t="shared" si="0"/>
        <v>Aulia Dea Rosalinda</v>
      </c>
      <c r="C16" s="36" t="s">
        <v>4</v>
      </c>
      <c r="D16" s="59"/>
      <c r="E16" s="59"/>
      <c r="F16" s="59"/>
      <c r="G16" s="59"/>
      <c r="H16" s="59"/>
      <c r="I16" s="59"/>
      <c r="J16" s="59"/>
      <c r="K16" s="59"/>
      <c r="L16" s="640">
        <f t="shared" si="1"/>
        <v>0</v>
      </c>
      <c r="M16" s="1091">
        <f t="shared" si="2"/>
        <v>0</v>
      </c>
      <c r="N16" s="505">
        <f t="shared" si="3"/>
        <v>0</v>
      </c>
      <c r="O16" s="505">
        <f t="shared" si="4"/>
        <v>0</v>
      </c>
      <c r="P16" s="38">
        <f t="shared" si="5"/>
        <v>0</v>
      </c>
    </row>
    <row r="17" spans="1:16" ht="20.100000000000001" customHeight="1" x14ac:dyDescent="0.25">
      <c r="A17" s="512">
        <v>9</v>
      </c>
      <c r="B17" s="198" t="str">
        <f t="shared" si="0"/>
        <v>Claudia Gabriella L</v>
      </c>
      <c r="C17" s="36" t="s">
        <v>4</v>
      </c>
      <c r="D17" s="59"/>
      <c r="E17" s="59"/>
      <c r="F17" s="59"/>
      <c r="G17" s="59"/>
      <c r="H17" s="59"/>
      <c r="I17" s="59"/>
      <c r="J17" s="59"/>
      <c r="K17" s="59"/>
      <c r="L17" s="640">
        <f t="shared" si="1"/>
        <v>0</v>
      </c>
      <c r="M17" s="1091">
        <f t="shared" si="2"/>
        <v>0</v>
      </c>
      <c r="N17" s="505">
        <f t="shared" si="3"/>
        <v>0</v>
      </c>
      <c r="O17" s="505">
        <f t="shared" si="4"/>
        <v>0</v>
      </c>
      <c r="P17" s="38">
        <f t="shared" si="5"/>
        <v>0</v>
      </c>
    </row>
    <row r="18" spans="1:16" ht="20.100000000000001" customHeight="1" x14ac:dyDescent="0.25">
      <c r="A18" s="512">
        <v>10</v>
      </c>
      <c r="B18" s="198" t="str">
        <f t="shared" si="0"/>
        <v xml:space="preserve">Deco Badarus Zaman </v>
      </c>
      <c r="C18" s="36" t="s">
        <v>4</v>
      </c>
      <c r="D18" s="59"/>
      <c r="E18" s="59"/>
      <c r="F18" s="59"/>
      <c r="G18" s="59"/>
      <c r="H18" s="59"/>
      <c r="I18" s="59"/>
      <c r="J18" s="59"/>
      <c r="K18" s="59"/>
      <c r="L18" s="640">
        <f t="shared" si="1"/>
        <v>0</v>
      </c>
      <c r="M18" s="1091">
        <f t="shared" si="2"/>
        <v>0</v>
      </c>
      <c r="N18" s="505">
        <f t="shared" si="3"/>
        <v>0</v>
      </c>
      <c r="O18" s="505">
        <f t="shared" si="4"/>
        <v>0</v>
      </c>
      <c r="P18" s="38">
        <f t="shared" si="5"/>
        <v>0</v>
      </c>
    </row>
    <row r="19" spans="1:16" ht="20.100000000000001" customHeight="1" x14ac:dyDescent="0.25">
      <c r="A19" s="512">
        <v>11</v>
      </c>
      <c r="B19" s="198" t="str">
        <f t="shared" si="0"/>
        <v>Fania Mutiara Felichia</v>
      </c>
      <c r="C19" s="36" t="s">
        <v>4</v>
      </c>
      <c r="D19" s="59"/>
      <c r="E19" s="59"/>
      <c r="F19" s="59"/>
      <c r="G19" s="59"/>
      <c r="H19" s="59"/>
      <c r="I19" s="59"/>
      <c r="J19" s="59"/>
      <c r="K19" s="59"/>
      <c r="L19" s="640">
        <f t="shared" si="1"/>
        <v>0</v>
      </c>
      <c r="M19" s="1091">
        <f t="shared" si="2"/>
        <v>0</v>
      </c>
      <c r="N19" s="505">
        <f t="shared" si="3"/>
        <v>0</v>
      </c>
      <c r="O19" s="505">
        <f t="shared" si="4"/>
        <v>0</v>
      </c>
      <c r="P19" s="38">
        <f t="shared" si="5"/>
        <v>0</v>
      </c>
    </row>
    <row r="20" spans="1:16" ht="20.100000000000001" customHeight="1" x14ac:dyDescent="0.25">
      <c r="A20" s="512">
        <v>12</v>
      </c>
      <c r="B20" s="198" t="str">
        <f t="shared" si="0"/>
        <v>Intan Dyah Nowari</v>
      </c>
      <c r="C20" s="36" t="s">
        <v>4</v>
      </c>
      <c r="D20" s="59"/>
      <c r="E20" s="59"/>
      <c r="F20" s="59"/>
      <c r="G20" s="59"/>
      <c r="H20" s="59"/>
      <c r="I20" s="59"/>
      <c r="J20" s="59"/>
      <c r="K20" s="59"/>
      <c r="L20" s="640">
        <f t="shared" si="1"/>
        <v>0</v>
      </c>
      <c r="M20" s="1091">
        <f t="shared" si="2"/>
        <v>0</v>
      </c>
      <c r="N20" s="505">
        <f t="shared" si="3"/>
        <v>0</v>
      </c>
      <c r="O20" s="505">
        <f t="shared" si="4"/>
        <v>0</v>
      </c>
      <c r="P20" s="38">
        <f t="shared" si="5"/>
        <v>0</v>
      </c>
    </row>
    <row r="21" spans="1:16" ht="20.100000000000001" customHeight="1" x14ac:dyDescent="0.25">
      <c r="A21" s="512">
        <v>13</v>
      </c>
      <c r="B21" s="198" t="str">
        <f t="shared" si="0"/>
        <v>Misyanita Nurfitri S</v>
      </c>
      <c r="C21" s="36" t="s">
        <v>5</v>
      </c>
      <c r="D21" s="59"/>
      <c r="E21" s="59"/>
      <c r="F21" s="59"/>
      <c r="G21" s="59"/>
      <c r="H21" s="59"/>
      <c r="I21" s="59"/>
      <c r="J21" s="59"/>
      <c r="K21" s="59"/>
      <c r="L21" s="640">
        <f t="shared" si="1"/>
        <v>0</v>
      </c>
      <c r="M21" s="1091">
        <f t="shared" si="2"/>
        <v>0</v>
      </c>
      <c r="N21" s="505">
        <f t="shared" si="3"/>
        <v>0</v>
      </c>
      <c r="O21" s="505">
        <f t="shared" si="4"/>
        <v>0</v>
      </c>
      <c r="P21" s="38">
        <f t="shared" si="5"/>
        <v>0</v>
      </c>
    </row>
    <row r="22" spans="1:16" ht="20.100000000000001" customHeight="1" x14ac:dyDescent="0.25">
      <c r="A22" s="512">
        <v>14</v>
      </c>
      <c r="B22" s="198" t="str">
        <f t="shared" si="0"/>
        <v>Moch Zidane Hita L. U</v>
      </c>
      <c r="C22" s="36" t="s">
        <v>4</v>
      </c>
      <c r="D22" s="59"/>
      <c r="E22" s="59"/>
      <c r="F22" s="59"/>
      <c r="G22" s="59"/>
      <c r="H22" s="59"/>
      <c r="I22" s="59"/>
      <c r="J22" s="59"/>
      <c r="K22" s="59"/>
      <c r="L22" s="640">
        <f t="shared" si="1"/>
        <v>0</v>
      </c>
      <c r="M22" s="1091">
        <f t="shared" si="2"/>
        <v>0</v>
      </c>
      <c r="N22" s="505">
        <f t="shared" si="3"/>
        <v>0</v>
      </c>
      <c r="O22" s="505">
        <f t="shared" si="4"/>
        <v>0</v>
      </c>
      <c r="P22" s="38">
        <f t="shared" si="5"/>
        <v>0</v>
      </c>
    </row>
    <row r="23" spans="1:16" ht="20.100000000000001" customHeight="1" x14ac:dyDescent="0.25">
      <c r="A23" s="512">
        <v>15</v>
      </c>
      <c r="B23" s="198" t="str">
        <f t="shared" si="0"/>
        <v>Muhammad Ibra Maulana</v>
      </c>
      <c r="C23" s="36" t="s">
        <v>4</v>
      </c>
      <c r="D23" s="59"/>
      <c r="E23" s="59"/>
      <c r="F23" s="59"/>
      <c r="G23" s="59"/>
      <c r="H23" s="59"/>
      <c r="I23" s="59"/>
      <c r="J23" s="59"/>
      <c r="K23" s="59"/>
      <c r="L23" s="640">
        <f t="shared" si="1"/>
        <v>0</v>
      </c>
      <c r="M23" s="1091">
        <f t="shared" si="2"/>
        <v>0</v>
      </c>
      <c r="N23" s="505">
        <f t="shared" si="3"/>
        <v>0</v>
      </c>
      <c r="O23" s="505">
        <f t="shared" si="4"/>
        <v>0</v>
      </c>
      <c r="P23" s="38">
        <f t="shared" si="5"/>
        <v>0</v>
      </c>
    </row>
    <row r="24" spans="1:16" ht="20.100000000000001" customHeight="1" x14ac:dyDescent="0.25">
      <c r="A24" s="512">
        <v>16</v>
      </c>
      <c r="B24" s="198" t="str">
        <f t="shared" si="0"/>
        <v>Nabilla Shiva Putri</v>
      </c>
      <c r="C24" s="36" t="s">
        <v>4</v>
      </c>
      <c r="D24" s="59"/>
      <c r="E24" s="59"/>
      <c r="F24" s="59"/>
      <c r="G24" s="59"/>
      <c r="H24" s="59"/>
      <c r="I24" s="59"/>
      <c r="J24" s="59"/>
      <c r="K24" s="59"/>
      <c r="L24" s="640">
        <f t="shared" si="1"/>
        <v>0</v>
      </c>
      <c r="M24" s="1091">
        <f t="shared" si="2"/>
        <v>0</v>
      </c>
      <c r="N24" s="505">
        <f t="shared" si="3"/>
        <v>0</v>
      </c>
      <c r="O24" s="505">
        <f t="shared" si="4"/>
        <v>0</v>
      </c>
      <c r="P24" s="38">
        <f t="shared" si="5"/>
        <v>0</v>
      </c>
    </row>
    <row r="25" spans="1:16" ht="20.100000000000001" customHeight="1" x14ac:dyDescent="0.25">
      <c r="A25" s="512">
        <v>17</v>
      </c>
      <c r="B25" s="198" t="str">
        <f t="shared" si="0"/>
        <v>Naufal Falih F</v>
      </c>
      <c r="C25" s="36" t="s">
        <v>5</v>
      </c>
      <c r="D25" s="59"/>
      <c r="E25" s="59"/>
      <c r="F25" s="59"/>
      <c r="G25" s="59"/>
      <c r="H25" s="59"/>
      <c r="I25" s="59"/>
      <c r="J25" s="59"/>
      <c r="K25" s="59"/>
      <c r="L25" s="640">
        <f t="shared" si="1"/>
        <v>0</v>
      </c>
      <c r="M25" s="1091">
        <f t="shared" si="2"/>
        <v>0</v>
      </c>
      <c r="N25" s="505">
        <f t="shared" si="3"/>
        <v>0</v>
      </c>
      <c r="O25" s="505">
        <f t="shared" si="4"/>
        <v>0</v>
      </c>
      <c r="P25" s="38">
        <f t="shared" si="5"/>
        <v>0</v>
      </c>
    </row>
    <row r="26" spans="1:16" ht="20.100000000000001" customHeight="1" x14ac:dyDescent="0.25">
      <c r="A26" s="512">
        <v>18</v>
      </c>
      <c r="B26" s="198" t="str">
        <f t="shared" si="0"/>
        <v>Nayla Annora Nobel W</v>
      </c>
      <c r="C26" s="36" t="s">
        <v>4</v>
      </c>
      <c r="D26" s="59"/>
      <c r="E26" s="59"/>
      <c r="F26" s="59"/>
      <c r="G26" s="59"/>
      <c r="H26" s="59"/>
      <c r="I26" s="59"/>
      <c r="J26" s="59"/>
      <c r="K26" s="59"/>
      <c r="L26" s="640">
        <f t="shared" si="1"/>
        <v>0</v>
      </c>
      <c r="M26" s="1091">
        <f t="shared" si="2"/>
        <v>0</v>
      </c>
      <c r="N26" s="505">
        <f t="shared" si="3"/>
        <v>0</v>
      </c>
      <c r="O26" s="505">
        <f t="shared" si="4"/>
        <v>0</v>
      </c>
      <c r="P26" s="38">
        <f t="shared" si="5"/>
        <v>0</v>
      </c>
    </row>
    <row r="27" spans="1:16" ht="20.100000000000001" customHeight="1" x14ac:dyDescent="0.25">
      <c r="A27" s="512">
        <v>19</v>
      </c>
      <c r="B27" s="198" t="str">
        <f t="shared" si="0"/>
        <v>Raihan Danang P</v>
      </c>
      <c r="C27" s="36" t="s">
        <v>5</v>
      </c>
      <c r="D27" s="59"/>
      <c r="E27" s="59"/>
      <c r="F27" s="59"/>
      <c r="G27" s="59"/>
      <c r="H27" s="59"/>
      <c r="I27" s="59"/>
      <c r="J27" s="59"/>
      <c r="K27" s="59"/>
      <c r="L27" s="640">
        <f t="shared" si="1"/>
        <v>0</v>
      </c>
      <c r="M27" s="1091">
        <f t="shared" si="2"/>
        <v>0</v>
      </c>
      <c r="N27" s="505">
        <f t="shared" si="3"/>
        <v>0</v>
      </c>
      <c r="O27" s="505">
        <f t="shared" si="4"/>
        <v>0</v>
      </c>
      <c r="P27" s="38">
        <f t="shared" si="5"/>
        <v>0</v>
      </c>
    </row>
    <row r="28" spans="1:16" ht="20.100000000000001" customHeight="1" x14ac:dyDescent="0.25">
      <c r="A28" s="512">
        <v>20</v>
      </c>
      <c r="B28" s="198" t="str">
        <f t="shared" si="0"/>
        <v>Roby Ardiyansyah</v>
      </c>
      <c r="C28" s="36" t="s">
        <v>5</v>
      </c>
      <c r="D28" s="512"/>
      <c r="E28" s="512"/>
      <c r="F28" s="512"/>
      <c r="G28" s="512"/>
      <c r="H28" s="512"/>
      <c r="I28" s="512"/>
      <c r="J28" s="512"/>
      <c r="K28" s="512"/>
      <c r="L28" s="640">
        <f t="shared" si="1"/>
        <v>0</v>
      </c>
      <c r="M28" s="1091">
        <f t="shared" si="2"/>
        <v>0</v>
      </c>
      <c r="N28" s="505">
        <f t="shared" si="3"/>
        <v>0</v>
      </c>
      <c r="O28" s="505">
        <f t="shared" si="4"/>
        <v>0</v>
      </c>
      <c r="P28" s="38">
        <f t="shared" si="5"/>
        <v>0</v>
      </c>
    </row>
    <row r="29" spans="1:16" ht="20.100000000000001" customHeight="1" x14ac:dyDescent="0.25">
      <c r="A29" s="512">
        <v>21</v>
      </c>
      <c r="B29" s="198" t="str">
        <f t="shared" si="0"/>
        <v>Rojalingga Prana A</v>
      </c>
      <c r="C29" s="44" t="s">
        <v>4</v>
      </c>
      <c r="D29" s="59"/>
      <c r="E29" s="59"/>
      <c r="F29" s="59"/>
      <c r="G29" s="59"/>
      <c r="H29" s="59"/>
      <c r="I29" s="59"/>
      <c r="J29" s="59"/>
      <c r="K29" s="59"/>
      <c r="L29" s="640">
        <f t="shared" si="1"/>
        <v>0</v>
      </c>
      <c r="M29" s="1091">
        <f t="shared" si="2"/>
        <v>0</v>
      </c>
      <c r="N29" s="505">
        <f t="shared" si="3"/>
        <v>0</v>
      </c>
      <c r="O29" s="505">
        <f t="shared" si="4"/>
        <v>0</v>
      </c>
      <c r="P29" s="38">
        <f t="shared" si="5"/>
        <v>0</v>
      </c>
    </row>
    <row r="30" spans="1:16" ht="20.100000000000001" customHeight="1" x14ac:dyDescent="0.25">
      <c r="A30" s="512">
        <v>22</v>
      </c>
      <c r="B30" s="198" t="str">
        <f t="shared" si="0"/>
        <v>Sally Savista A</v>
      </c>
      <c r="C30" s="45" t="s">
        <v>4</v>
      </c>
      <c r="D30" s="512"/>
      <c r="E30" s="512"/>
      <c r="F30" s="512"/>
      <c r="G30" s="512"/>
      <c r="H30" s="512"/>
      <c r="I30" s="512"/>
      <c r="J30" s="512"/>
      <c r="K30" s="512"/>
      <c r="L30" s="640">
        <f t="shared" si="1"/>
        <v>0</v>
      </c>
      <c r="M30" s="1091">
        <f t="shared" si="2"/>
        <v>0</v>
      </c>
      <c r="N30" s="505">
        <f t="shared" si="3"/>
        <v>0</v>
      </c>
      <c r="O30" s="505">
        <f t="shared" si="4"/>
        <v>0</v>
      </c>
      <c r="P30" s="38">
        <f t="shared" si="5"/>
        <v>0</v>
      </c>
    </row>
    <row r="31" spans="1:16" ht="20.100000000000001" customHeight="1" x14ac:dyDescent="0.25">
      <c r="A31" s="512">
        <v>23</v>
      </c>
      <c r="B31" s="198" t="str">
        <f t="shared" si="0"/>
        <v xml:space="preserve">Tania Kaori Angelita </v>
      </c>
      <c r="C31" s="45" t="s">
        <v>5</v>
      </c>
      <c r="D31" s="512"/>
      <c r="E31" s="512"/>
      <c r="F31" s="512"/>
      <c r="G31" s="512"/>
      <c r="H31" s="512"/>
      <c r="I31" s="512"/>
      <c r="J31" s="512"/>
      <c r="K31" s="512"/>
      <c r="L31" s="640">
        <f t="shared" si="1"/>
        <v>0</v>
      </c>
      <c r="M31" s="1091">
        <f t="shared" si="2"/>
        <v>0</v>
      </c>
      <c r="N31" s="505">
        <f t="shared" si="3"/>
        <v>0</v>
      </c>
      <c r="O31" s="505">
        <f t="shared" si="4"/>
        <v>0</v>
      </c>
      <c r="P31" s="38">
        <f t="shared" si="5"/>
        <v>0</v>
      </c>
    </row>
    <row r="32" spans="1:16" ht="20.100000000000001" customHeight="1" x14ac:dyDescent="0.25">
      <c r="A32" s="512">
        <v>24</v>
      </c>
      <c r="B32" s="198" t="str">
        <f t="shared" si="0"/>
        <v>Romzy Oka Ramadhani P</v>
      </c>
      <c r="C32" s="45" t="s">
        <v>5</v>
      </c>
      <c r="D32" s="512"/>
      <c r="E32" s="512"/>
      <c r="F32" s="512"/>
      <c r="G32" s="512"/>
      <c r="H32" s="512"/>
      <c r="I32" s="512"/>
      <c r="J32" s="512"/>
      <c r="K32" s="512"/>
      <c r="L32" s="640">
        <f t="shared" si="1"/>
        <v>0</v>
      </c>
      <c r="M32" s="1091">
        <f t="shared" si="2"/>
        <v>0</v>
      </c>
      <c r="N32" s="505">
        <f t="shared" si="3"/>
        <v>0</v>
      </c>
      <c r="O32" s="505">
        <f t="shared" si="4"/>
        <v>0</v>
      </c>
      <c r="P32" s="38">
        <f t="shared" si="5"/>
        <v>0</v>
      </c>
    </row>
    <row r="33" spans="1:16" ht="20.100000000000001" customHeight="1" x14ac:dyDescent="0.25">
      <c r="A33" s="512">
        <v>25</v>
      </c>
      <c r="B33" s="198" t="str">
        <f t="shared" si="0"/>
        <v>Larasati Jagadhita P</v>
      </c>
      <c r="C33" s="36" t="s">
        <v>4</v>
      </c>
      <c r="D33" s="512"/>
      <c r="E33" s="512"/>
      <c r="F33" s="512"/>
      <c r="G33" s="512"/>
      <c r="H33" s="512"/>
      <c r="I33" s="512"/>
      <c r="J33" s="512"/>
      <c r="K33" s="512"/>
      <c r="L33" s="640">
        <f t="shared" si="1"/>
        <v>0</v>
      </c>
      <c r="M33" s="1091">
        <f t="shared" si="2"/>
        <v>0</v>
      </c>
      <c r="N33" s="505">
        <f t="shared" si="3"/>
        <v>0</v>
      </c>
      <c r="O33" s="505">
        <f t="shared" si="4"/>
        <v>0</v>
      </c>
      <c r="P33" s="38">
        <f t="shared" si="5"/>
        <v>0</v>
      </c>
    </row>
    <row r="34" spans="1:16" ht="20.100000000000001" customHeight="1" x14ac:dyDescent="0.25">
      <c r="A34" s="512">
        <v>26</v>
      </c>
      <c r="B34" s="198" t="str">
        <f t="shared" si="0"/>
        <v>Meliana Citra A</v>
      </c>
      <c r="C34" s="36" t="s">
        <v>5</v>
      </c>
      <c r="D34" s="512"/>
      <c r="E34" s="512"/>
      <c r="F34" s="512"/>
      <c r="G34" s="512"/>
      <c r="H34" s="512"/>
      <c r="I34" s="512"/>
      <c r="J34" s="512"/>
      <c r="K34" s="512"/>
      <c r="L34" s="640">
        <f t="shared" si="1"/>
        <v>0</v>
      </c>
      <c r="M34" s="1091">
        <f t="shared" si="2"/>
        <v>0</v>
      </c>
      <c r="N34" s="505">
        <f t="shared" si="3"/>
        <v>0</v>
      </c>
      <c r="O34" s="505">
        <f t="shared" si="4"/>
        <v>0</v>
      </c>
      <c r="P34" s="38">
        <f t="shared" si="5"/>
        <v>0</v>
      </c>
    </row>
    <row r="35" spans="1:16" ht="20.100000000000001" customHeight="1" x14ac:dyDescent="0.25">
      <c r="A35" s="512">
        <v>27</v>
      </c>
      <c r="B35" s="198" t="str">
        <f t="shared" si="0"/>
        <v>Mohammad Rizky</v>
      </c>
      <c r="C35" s="36" t="s">
        <v>4</v>
      </c>
      <c r="D35" s="512"/>
      <c r="E35" s="512"/>
      <c r="F35" s="512"/>
      <c r="G35" s="512"/>
      <c r="H35" s="512"/>
      <c r="I35" s="512"/>
      <c r="J35" s="512"/>
      <c r="K35" s="512"/>
      <c r="L35" s="640">
        <f t="shared" si="1"/>
        <v>0</v>
      </c>
      <c r="M35" s="1091">
        <f t="shared" si="2"/>
        <v>0</v>
      </c>
      <c r="N35" s="505">
        <f t="shared" si="3"/>
        <v>0</v>
      </c>
      <c r="O35" s="505">
        <f t="shared" si="4"/>
        <v>0</v>
      </c>
      <c r="P35" s="38">
        <f t="shared" si="5"/>
        <v>0</v>
      </c>
    </row>
    <row r="36" spans="1:16" ht="20.100000000000001" customHeight="1" x14ac:dyDescent="0.25">
      <c r="A36" s="512">
        <v>28</v>
      </c>
      <c r="B36" s="198" t="e">
        <f t="shared" si="0"/>
        <v>#N/A</v>
      </c>
      <c r="C36" s="36" t="s">
        <v>4</v>
      </c>
      <c r="D36" s="512"/>
      <c r="E36" s="512"/>
      <c r="F36" s="512"/>
      <c r="G36" s="512"/>
      <c r="H36" s="512"/>
      <c r="I36" s="512"/>
      <c r="J36" s="512"/>
      <c r="K36" s="512"/>
      <c r="L36" s="640">
        <f t="shared" si="1"/>
        <v>0</v>
      </c>
      <c r="M36" s="1091">
        <f t="shared" si="2"/>
        <v>0</v>
      </c>
      <c r="N36" s="505">
        <f t="shared" si="3"/>
        <v>0</v>
      </c>
      <c r="O36" s="505">
        <f t="shared" si="4"/>
        <v>0</v>
      </c>
      <c r="P36" s="38">
        <f t="shared" si="5"/>
        <v>0</v>
      </c>
    </row>
    <row r="37" spans="1:16" ht="20.100000000000001" customHeight="1" x14ac:dyDescent="0.25">
      <c r="A37" s="512">
        <v>29</v>
      </c>
      <c r="B37" s="198" t="e">
        <f t="shared" si="0"/>
        <v>#N/A</v>
      </c>
      <c r="C37" s="36" t="s">
        <v>4</v>
      </c>
      <c r="D37" s="512"/>
      <c r="E37" s="512"/>
      <c r="F37" s="512"/>
      <c r="G37" s="512"/>
      <c r="H37" s="512"/>
      <c r="I37" s="512"/>
      <c r="J37" s="512"/>
      <c r="K37" s="512"/>
      <c r="L37" s="640">
        <f t="shared" si="1"/>
        <v>0</v>
      </c>
      <c r="M37" s="1091">
        <f t="shared" si="2"/>
        <v>0</v>
      </c>
      <c r="N37" s="505">
        <f t="shared" si="3"/>
        <v>0</v>
      </c>
      <c r="O37" s="505">
        <f t="shared" si="4"/>
        <v>0</v>
      </c>
      <c r="P37" s="38">
        <f t="shared" si="5"/>
        <v>0</v>
      </c>
    </row>
    <row r="38" spans="1:16" ht="20.100000000000001" customHeight="1" x14ac:dyDescent="0.25">
      <c r="A38" s="512">
        <v>30</v>
      </c>
      <c r="B38" s="198" t="e">
        <f t="shared" si="0"/>
        <v>#N/A</v>
      </c>
      <c r="C38" s="36" t="s">
        <v>5</v>
      </c>
      <c r="D38" s="512"/>
      <c r="E38" s="512"/>
      <c r="F38" s="512"/>
      <c r="G38" s="512"/>
      <c r="H38" s="512"/>
      <c r="I38" s="512"/>
      <c r="J38" s="512"/>
      <c r="K38" s="512"/>
      <c r="L38" s="640">
        <f t="shared" si="1"/>
        <v>0</v>
      </c>
      <c r="M38" s="1091">
        <f t="shared" si="2"/>
        <v>0</v>
      </c>
      <c r="N38" s="505">
        <f t="shared" si="3"/>
        <v>0</v>
      </c>
      <c r="O38" s="505">
        <f t="shared" si="4"/>
        <v>0</v>
      </c>
      <c r="P38" s="38">
        <f t="shared" si="5"/>
        <v>0</v>
      </c>
    </row>
    <row r="39" spans="1:16" ht="20.100000000000001" customHeight="1" x14ac:dyDescent="0.25">
      <c r="A39" s="512">
        <v>31</v>
      </c>
      <c r="B39" s="198" t="e">
        <f t="shared" si="0"/>
        <v>#N/A</v>
      </c>
      <c r="C39" s="36" t="s">
        <v>5</v>
      </c>
      <c r="D39" s="512"/>
      <c r="E39" s="512"/>
      <c r="F39" s="512"/>
      <c r="G39" s="512"/>
      <c r="H39" s="512"/>
      <c r="I39" s="512"/>
      <c r="J39" s="512"/>
      <c r="K39" s="512"/>
      <c r="L39" s="640">
        <f t="shared" si="1"/>
        <v>0</v>
      </c>
      <c r="M39" s="1091">
        <f t="shared" si="2"/>
        <v>0</v>
      </c>
      <c r="N39" s="505">
        <f t="shared" si="3"/>
        <v>0</v>
      </c>
      <c r="O39" s="505">
        <f t="shared" si="4"/>
        <v>0</v>
      </c>
      <c r="P39" s="38">
        <f t="shared" si="5"/>
        <v>0</v>
      </c>
    </row>
    <row r="40" spans="1:16" ht="20.100000000000001" customHeight="1" x14ac:dyDescent="0.25">
      <c r="A40" s="628">
        <v>32</v>
      </c>
      <c r="B40" s="198" t="e">
        <f t="shared" si="0"/>
        <v>#N/A</v>
      </c>
      <c r="C40" s="36" t="s">
        <v>5</v>
      </c>
      <c r="D40" s="628"/>
      <c r="E40" s="628"/>
      <c r="F40" s="628"/>
      <c r="G40" s="628"/>
      <c r="H40" s="628"/>
      <c r="I40" s="628"/>
      <c r="J40" s="628"/>
      <c r="K40" s="628"/>
      <c r="L40" s="640">
        <f t="shared" si="1"/>
        <v>0</v>
      </c>
      <c r="M40" s="1091">
        <f t="shared" si="2"/>
        <v>0</v>
      </c>
      <c r="N40" s="505">
        <f t="shared" si="3"/>
        <v>0</v>
      </c>
      <c r="O40" s="505">
        <f t="shared" si="4"/>
        <v>0</v>
      </c>
      <c r="P40" s="38">
        <f t="shared" si="5"/>
        <v>0</v>
      </c>
    </row>
    <row r="41" spans="1:16" ht="20.100000000000001" customHeight="1" x14ac:dyDescent="0.25">
      <c r="A41" s="628">
        <v>33</v>
      </c>
      <c r="B41" s="198" t="e">
        <f t="shared" si="0"/>
        <v>#N/A</v>
      </c>
      <c r="C41" s="36" t="s">
        <v>5</v>
      </c>
      <c r="D41" s="628"/>
      <c r="E41" s="628"/>
      <c r="F41" s="628"/>
      <c r="G41" s="628"/>
      <c r="H41" s="628"/>
      <c r="I41" s="628"/>
      <c r="J41" s="628"/>
      <c r="K41" s="628"/>
      <c r="L41" s="640">
        <f t="shared" si="1"/>
        <v>0</v>
      </c>
      <c r="M41" s="1091">
        <f t="shared" si="2"/>
        <v>0</v>
      </c>
      <c r="N41" s="505">
        <f t="shared" si="3"/>
        <v>0</v>
      </c>
      <c r="O41" s="505">
        <f t="shared" si="4"/>
        <v>0</v>
      </c>
      <c r="P41" s="38">
        <f t="shared" si="5"/>
        <v>0</v>
      </c>
    </row>
    <row r="42" spans="1:16" ht="20.100000000000001" customHeight="1" x14ac:dyDescent="0.25">
      <c r="A42" s="628">
        <v>34</v>
      </c>
      <c r="B42" s="198" t="e">
        <f t="shared" si="0"/>
        <v>#N/A</v>
      </c>
      <c r="C42" s="36" t="s">
        <v>5</v>
      </c>
      <c r="D42" s="628"/>
      <c r="E42" s="628"/>
      <c r="F42" s="628"/>
      <c r="G42" s="628"/>
      <c r="H42" s="628"/>
      <c r="I42" s="628"/>
      <c r="J42" s="628"/>
      <c r="K42" s="628"/>
      <c r="L42" s="640">
        <f t="shared" si="1"/>
        <v>0</v>
      </c>
      <c r="M42" s="1091">
        <f t="shared" si="2"/>
        <v>0</v>
      </c>
      <c r="N42" s="505">
        <f t="shared" si="3"/>
        <v>0</v>
      </c>
      <c r="O42" s="505">
        <f t="shared" si="4"/>
        <v>0</v>
      </c>
      <c r="P42" s="38">
        <f t="shared" si="5"/>
        <v>0</v>
      </c>
    </row>
    <row r="43" spans="1:16" ht="20.100000000000001" customHeight="1" x14ac:dyDescent="0.25">
      <c r="A43" s="628">
        <v>35</v>
      </c>
      <c r="B43" s="198" t="e">
        <f t="shared" si="0"/>
        <v>#N/A</v>
      </c>
      <c r="C43" s="36" t="s">
        <v>5</v>
      </c>
      <c r="D43" s="628"/>
      <c r="E43" s="628"/>
      <c r="F43" s="628"/>
      <c r="G43" s="628"/>
      <c r="H43" s="628"/>
      <c r="I43" s="628"/>
      <c r="J43" s="628"/>
      <c r="K43" s="628"/>
      <c r="L43" s="640">
        <f t="shared" si="1"/>
        <v>0</v>
      </c>
      <c r="M43" s="1091">
        <f t="shared" si="2"/>
        <v>0</v>
      </c>
      <c r="N43" s="505">
        <f t="shared" si="3"/>
        <v>0</v>
      </c>
      <c r="O43" s="505">
        <f t="shared" si="4"/>
        <v>0</v>
      </c>
      <c r="P43" s="38">
        <f t="shared" si="5"/>
        <v>0</v>
      </c>
    </row>
    <row r="44" spans="1:16" ht="20.100000000000001" customHeight="1" x14ac:dyDescent="0.25">
      <c r="A44" s="628">
        <v>36</v>
      </c>
      <c r="B44" s="198" t="e">
        <f t="shared" si="0"/>
        <v>#N/A</v>
      </c>
      <c r="C44" s="36" t="s">
        <v>5</v>
      </c>
      <c r="D44" s="628"/>
      <c r="E44" s="628"/>
      <c r="F44" s="628"/>
      <c r="G44" s="628"/>
      <c r="H44" s="628"/>
      <c r="I44" s="628"/>
      <c r="J44" s="628"/>
      <c r="K44" s="628"/>
      <c r="L44" s="640">
        <f t="shared" si="1"/>
        <v>0</v>
      </c>
      <c r="M44" s="1091">
        <f t="shared" si="2"/>
        <v>0</v>
      </c>
      <c r="N44" s="505">
        <f t="shared" si="3"/>
        <v>0</v>
      </c>
      <c r="O44" s="505">
        <f t="shared" si="4"/>
        <v>0</v>
      </c>
      <c r="P44" s="38">
        <f t="shared" si="5"/>
        <v>0</v>
      </c>
    </row>
    <row r="45" spans="1:16" ht="20.100000000000001" customHeight="1" x14ac:dyDescent="0.25">
      <c r="A45" s="628">
        <v>37</v>
      </c>
      <c r="B45" s="198" t="e">
        <f t="shared" si="0"/>
        <v>#N/A</v>
      </c>
      <c r="C45" s="36" t="s">
        <v>5</v>
      </c>
      <c r="D45" s="628"/>
      <c r="E45" s="628"/>
      <c r="F45" s="628"/>
      <c r="G45" s="628"/>
      <c r="H45" s="628"/>
      <c r="I45" s="628"/>
      <c r="J45" s="628"/>
      <c r="K45" s="628"/>
      <c r="L45" s="640">
        <f t="shared" si="1"/>
        <v>0</v>
      </c>
      <c r="M45" s="1091">
        <f t="shared" si="2"/>
        <v>0</v>
      </c>
      <c r="N45" s="505">
        <f t="shared" si="3"/>
        <v>0</v>
      </c>
      <c r="O45" s="505">
        <f t="shared" si="4"/>
        <v>0</v>
      </c>
      <c r="P45" s="38">
        <f t="shared" si="5"/>
        <v>0</v>
      </c>
    </row>
    <row r="46" spans="1:16" ht="20.100000000000001" customHeight="1" x14ac:dyDescent="0.25">
      <c r="A46" s="628">
        <v>38</v>
      </c>
      <c r="B46" s="198" t="e">
        <f t="shared" si="0"/>
        <v>#N/A</v>
      </c>
      <c r="C46" s="36" t="s">
        <v>5</v>
      </c>
      <c r="D46" s="628"/>
      <c r="E46" s="628"/>
      <c r="F46" s="628"/>
      <c r="G46" s="628"/>
      <c r="H46" s="628"/>
      <c r="I46" s="628"/>
      <c r="J46" s="628"/>
      <c r="K46" s="628"/>
      <c r="L46" s="640">
        <f t="shared" si="1"/>
        <v>0</v>
      </c>
      <c r="M46" s="1091">
        <f t="shared" si="2"/>
        <v>0</v>
      </c>
      <c r="N46" s="505">
        <f t="shared" si="3"/>
        <v>0</v>
      </c>
      <c r="O46" s="505">
        <f t="shared" si="4"/>
        <v>0</v>
      </c>
      <c r="P46" s="38">
        <f t="shared" si="5"/>
        <v>0</v>
      </c>
    </row>
    <row r="47" spans="1:16" ht="20.100000000000001" customHeight="1" x14ac:dyDescent="0.25">
      <c r="A47" s="628">
        <v>39</v>
      </c>
      <c r="B47" s="198" t="e">
        <f t="shared" si="0"/>
        <v>#N/A</v>
      </c>
      <c r="C47" s="36" t="s">
        <v>5</v>
      </c>
      <c r="D47" s="628"/>
      <c r="E47" s="628"/>
      <c r="F47" s="628"/>
      <c r="G47" s="628"/>
      <c r="H47" s="628"/>
      <c r="I47" s="628"/>
      <c r="J47" s="628"/>
      <c r="K47" s="628"/>
      <c r="L47" s="640">
        <f t="shared" si="1"/>
        <v>0</v>
      </c>
      <c r="M47" s="1091">
        <f t="shared" si="2"/>
        <v>0</v>
      </c>
      <c r="N47" s="505">
        <f t="shared" si="3"/>
        <v>0</v>
      </c>
      <c r="O47" s="505">
        <f t="shared" si="4"/>
        <v>0</v>
      </c>
      <c r="P47" s="38">
        <f t="shared" si="5"/>
        <v>0</v>
      </c>
    </row>
    <row r="48" spans="1:16" ht="20.100000000000001" customHeight="1" x14ac:dyDescent="0.25">
      <c r="A48" s="628">
        <v>40</v>
      </c>
      <c r="B48" s="198" t="e">
        <f t="shared" si="0"/>
        <v>#N/A</v>
      </c>
      <c r="C48" s="36" t="s">
        <v>5</v>
      </c>
      <c r="D48" s="628"/>
      <c r="E48" s="628"/>
      <c r="F48" s="628"/>
      <c r="G48" s="628"/>
      <c r="H48" s="628"/>
      <c r="I48" s="628"/>
      <c r="J48" s="628"/>
      <c r="K48" s="628"/>
      <c r="L48" s="640">
        <f t="shared" si="1"/>
        <v>0</v>
      </c>
      <c r="M48" s="1091">
        <f t="shared" si="2"/>
        <v>0</v>
      </c>
      <c r="N48" s="505">
        <f t="shared" si="3"/>
        <v>0</v>
      </c>
      <c r="O48" s="505">
        <f t="shared" si="4"/>
        <v>0</v>
      </c>
      <c r="P48" s="38">
        <f t="shared" si="5"/>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P48"/>
  <sheetViews>
    <sheetView showGridLines="0" workbookViewId="0">
      <pane xSplit="2" ySplit="8" topLeftCell="C42"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125"/>
      <c r="B1" s="3126"/>
      <c r="C1" s="3126"/>
      <c r="D1" s="3126"/>
      <c r="E1" s="3126"/>
      <c r="F1" s="3126"/>
      <c r="G1" s="3126"/>
      <c r="H1" s="3126"/>
      <c r="I1" s="3126"/>
      <c r="J1" s="3126"/>
      <c r="K1" s="3126"/>
      <c r="L1" s="3126"/>
      <c r="M1" s="3126"/>
      <c r="N1" s="3126"/>
      <c r="O1" s="3126"/>
      <c r="P1" s="3126"/>
    </row>
    <row r="2" spans="1:16" ht="19.5" customHeight="1" x14ac:dyDescent="0.25">
      <c r="A2" s="3127"/>
      <c r="B2" s="3128"/>
      <c r="C2" s="3128"/>
      <c r="D2" s="3128"/>
      <c r="E2" s="3128"/>
      <c r="F2" s="3128"/>
      <c r="G2" s="3128"/>
      <c r="H2" s="3128"/>
      <c r="I2" s="3128"/>
      <c r="J2" s="3128"/>
      <c r="K2" s="3128"/>
      <c r="L2" s="3128"/>
      <c r="M2" s="3128"/>
      <c r="N2" s="3128"/>
      <c r="O2" s="3128"/>
      <c r="P2" s="3128"/>
    </row>
    <row r="3" spans="1:16" ht="21" x14ac:dyDescent="0.35">
      <c r="A3" s="544" t="s">
        <v>448</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233" t="s">
        <v>584</v>
      </c>
      <c r="E6" s="3234"/>
      <c r="F6" s="3234"/>
      <c r="G6" s="3234"/>
      <c r="H6" s="3234"/>
      <c r="I6" s="3234"/>
      <c r="J6" s="3234"/>
      <c r="K6" s="3235"/>
      <c r="L6" s="3130" t="s">
        <v>159</v>
      </c>
      <c r="M6" s="3232" t="s">
        <v>29</v>
      </c>
      <c r="N6" s="3232" t="s">
        <v>30</v>
      </c>
      <c r="O6" s="3232" t="s">
        <v>31</v>
      </c>
      <c r="P6" s="3149" t="s">
        <v>32</v>
      </c>
    </row>
    <row r="7" spans="1:16" s="30" customFormat="1" ht="24" customHeight="1" x14ac:dyDescent="0.25">
      <c r="A7" s="3231"/>
      <c r="B7" s="3231"/>
      <c r="C7" s="3231"/>
      <c r="D7" s="31" t="s">
        <v>29</v>
      </c>
      <c r="E7" s="31" t="s">
        <v>29</v>
      </c>
      <c r="F7" s="31" t="s">
        <v>29</v>
      </c>
      <c r="G7" s="31" t="s">
        <v>29</v>
      </c>
      <c r="H7" s="31" t="s">
        <v>29</v>
      </c>
      <c r="I7" s="32" t="s">
        <v>30</v>
      </c>
      <c r="J7" s="32" t="s">
        <v>30</v>
      </c>
      <c r="K7" s="937" t="s">
        <v>31</v>
      </c>
      <c r="L7" s="3130"/>
      <c r="M7" s="3232"/>
      <c r="N7" s="3232"/>
      <c r="O7" s="3232"/>
      <c r="P7" s="3149"/>
    </row>
    <row r="8" spans="1:16" ht="18.7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 t="shared" ref="B9:B48" si="0">VLOOKUP(A9,data_siswa,4,FALSE)</f>
        <v>Achmad Zacky</v>
      </c>
      <c r="C9" s="291" t="s">
        <v>4</v>
      </c>
      <c r="D9" s="200">
        <v>1</v>
      </c>
      <c r="E9" s="200">
        <v>0</v>
      </c>
      <c r="F9" s="200">
        <v>1</v>
      </c>
      <c r="G9" s="200">
        <v>1</v>
      </c>
      <c r="H9" s="200">
        <v>0</v>
      </c>
      <c r="I9" s="200">
        <v>2</v>
      </c>
      <c r="J9" s="200">
        <v>2</v>
      </c>
      <c r="K9" s="200">
        <v>2</v>
      </c>
      <c r="L9" s="640">
        <f>SUM(D9:K9)*100/12</f>
        <v>75</v>
      </c>
      <c r="M9" s="1091">
        <f>SUM(D9:H9)</f>
        <v>3</v>
      </c>
      <c r="N9" s="505">
        <f>SUM(I9:J9)</f>
        <v>4</v>
      </c>
      <c r="O9" s="505">
        <f>K9</f>
        <v>2</v>
      </c>
      <c r="P9" s="38">
        <f>L9</f>
        <v>75</v>
      </c>
    </row>
    <row r="10" spans="1:16" ht="20.100000000000001" customHeight="1" x14ac:dyDescent="0.25">
      <c r="A10" s="512">
        <v>2</v>
      </c>
      <c r="B10" s="198" t="str">
        <f t="shared" si="0"/>
        <v>Angelia Vabel R</v>
      </c>
      <c r="C10" s="36" t="s">
        <v>4</v>
      </c>
      <c r="D10" s="200"/>
      <c r="E10" s="200"/>
      <c r="F10" s="200"/>
      <c r="G10" s="200"/>
      <c r="H10" s="200"/>
      <c r="I10" s="200"/>
      <c r="J10" s="200"/>
      <c r="K10" s="200"/>
      <c r="L10" s="640">
        <f t="shared" ref="L10:L48" si="1">SUM(D10:K10)*100/12</f>
        <v>0</v>
      </c>
      <c r="M10" s="1091">
        <f t="shared" ref="M10:M48" si="2">SUM(D10:H10)</f>
        <v>0</v>
      </c>
      <c r="N10" s="505">
        <f t="shared" ref="N10:N48" si="3">SUM(I10:J10)</f>
        <v>0</v>
      </c>
      <c r="O10" s="505">
        <f t="shared" ref="O10:O48" si="4">K10</f>
        <v>0</v>
      </c>
      <c r="P10" s="38">
        <f t="shared" ref="P10:P48" si="5">L10</f>
        <v>0</v>
      </c>
    </row>
    <row r="11" spans="1:16" ht="20.100000000000001" customHeight="1" x14ac:dyDescent="0.25">
      <c r="A11" s="512">
        <v>3</v>
      </c>
      <c r="B11" s="198" t="str">
        <f t="shared" si="0"/>
        <v>Anggun Dwi P.I</v>
      </c>
      <c r="C11" s="36" t="s">
        <v>4</v>
      </c>
      <c r="D11" s="200"/>
      <c r="E11" s="200"/>
      <c r="F11" s="200"/>
      <c r="G11" s="200"/>
      <c r="H11" s="200"/>
      <c r="I11" s="200"/>
      <c r="J11" s="200"/>
      <c r="K11" s="200"/>
      <c r="L11" s="640">
        <f t="shared" si="1"/>
        <v>0</v>
      </c>
      <c r="M11" s="1091">
        <f t="shared" si="2"/>
        <v>0</v>
      </c>
      <c r="N11" s="505">
        <f t="shared" si="3"/>
        <v>0</v>
      </c>
      <c r="O11" s="505">
        <f t="shared" si="4"/>
        <v>0</v>
      </c>
      <c r="P11" s="38">
        <f t="shared" si="5"/>
        <v>0</v>
      </c>
    </row>
    <row r="12" spans="1:16" ht="20.100000000000001" customHeight="1" x14ac:dyDescent="0.25">
      <c r="A12" s="512">
        <v>4</v>
      </c>
      <c r="B12" s="198" t="str">
        <f t="shared" si="0"/>
        <v>Antonio Permata A</v>
      </c>
      <c r="C12" s="43" t="s">
        <v>4</v>
      </c>
      <c r="D12" s="200"/>
      <c r="E12" s="200"/>
      <c r="F12" s="200"/>
      <c r="G12" s="200"/>
      <c r="H12" s="200"/>
      <c r="I12" s="200"/>
      <c r="J12" s="200"/>
      <c r="K12" s="200"/>
      <c r="L12" s="640">
        <f t="shared" si="1"/>
        <v>0</v>
      </c>
      <c r="M12" s="1091">
        <f t="shared" si="2"/>
        <v>0</v>
      </c>
      <c r="N12" s="505">
        <f t="shared" si="3"/>
        <v>0</v>
      </c>
      <c r="O12" s="505">
        <f t="shared" si="4"/>
        <v>0</v>
      </c>
      <c r="P12" s="38">
        <f t="shared" si="5"/>
        <v>0</v>
      </c>
    </row>
    <row r="13" spans="1:16" ht="20.100000000000001" customHeight="1" x14ac:dyDescent="0.25">
      <c r="A13" s="512">
        <v>5</v>
      </c>
      <c r="B13" s="198" t="str">
        <f t="shared" si="0"/>
        <v>Arya Pratama G</v>
      </c>
      <c r="C13" s="36" t="s">
        <v>5</v>
      </c>
      <c r="D13" s="200"/>
      <c r="E13" s="200"/>
      <c r="F13" s="200"/>
      <c r="G13" s="200"/>
      <c r="H13" s="200"/>
      <c r="I13" s="200"/>
      <c r="J13" s="200"/>
      <c r="K13" s="200"/>
      <c r="L13" s="640">
        <f t="shared" si="1"/>
        <v>0</v>
      </c>
      <c r="M13" s="1091">
        <f t="shared" si="2"/>
        <v>0</v>
      </c>
      <c r="N13" s="505">
        <f t="shared" si="3"/>
        <v>0</v>
      </c>
      <c r="O13" s="505">
        <f t="shared" si="4"/>
        <v>0</v>
      </c>
      <c r="P13" s="38">
        <f t="shared" si="5"/>
        <v>0</v>
      </c>
    </row>
    <row r="14" spans="1:16" ht="20.100000000000001" customHeight="1" x14ac:dyDescent="0.25">
      <c r="A14" s="512">
        <v>6</v>
      </c>
      <c r="B14" s="198" t="str">
        <f t="shared" si="0"/>
        <v>Asyam Hanif Ihsan H</v>
      </c>
      <c r="C14" s="36" t="s">
        <v>5</v>
      </c>
      <c r="D14" s="59"/>
      <c r="E14" s="59"/>
      <c r="F14" s="59"/>
      <c r="G14" s="59"/>
      <c r="H14" s="59"/>
      <c r="I14" s="59"/>
      <c r="J14" s="59"/>
      <c r="K14" s="59"/>
      <c r="L14" s="640">
        <f t="shared" si="1"/>
        <v>0</v>
      </c>
      <c r="M14" s="1091">
        <f t="shared" si="2"/>
        <v>0</v>
      </c>
      <c r="N14" s="505">
        <f t="shared" si="3"/>
        <v>0</v>
      </c>
      <c r="O14" s="505">
        <f t="shared" si="4"/>
        <v>0</v>
      </c>
      <c r="P14" s="38">
        <f t="shared" si="5"/>
        <v>0</v>
      </c>
    </row>
    <row r="15" spans="1:16" ht="20.100000000000001" customHeight="1" x14ac:dyDescent="0.25">
      <c r="A15" s="512">
        <v>7</v>
      </c>
      <c r="B15" s="198" t="str">
        <f t="shared" si="0"/>
        <v>Athaya Salsabilla Z</v>
      </c>
      <c r="C15" s="36" t="s">
        <v>4</v>
      </c>
      <c r="D15" s="59"/>
      <c r="E15" s="59"/>
      <c r="F15" s="59"/>
      <c r="G15" s="59"/>
      <c r="H15" s="59"/>
      <c r="I15" s="59"/>
      <c r="J15" s="59"/>
      <c r="K15" s="59"/>
      <c r="L15" s="640">
        <f t="shared" si="1"/>
        <v>0</v>
      </c>
      <c r="M15" s="1091">
        <f t="shared" si="2"/>
        <v>0</v>
      </c>
      <c r="N15" s="505">
        <f t="shared" si="3"/>
        <v>0</v>
      </c>
      <c r="O15" s="505">
        <f t="shared" si="4"/>
        <v>0</v>
      </c>
      <c r="P15" s="38">
        <f t="shared" si="5"/>
        <v>0</v>
      </c>
    </row>
    <row r="16" spans="1:16" ht="20.100000000000001" customHeight="1" x14ac:dyDescent="0.25">
      <c r="A16" s="512">
        <v>8</v>
      </c>
      <c r="B16" s="198" t="str">
        <f t="shared" si="0"/>
        <v>Aulia Dea Rosalinda</v>
      </c>
      <c r="C16" s="36" t="s">
        <v>4</v>
      </c>
      <c r="D16" s="59"/>
      <c r="E16" s="59"/>
      <c r="F16" s="59"/>
      <c r="G16" s="59"/>
      <c r="H16" s="59"/>
      <c r="I16" s="59"/>
      <c r="J16" s="59"/>
      <c r="K16" s="59"/>
      <c r="L16" s="640">
        <f t="shared" si="1"/>
        <v>0</v>
      </c>
      <c r="M16" s="1091">
        <f t="shared" si="2"/>
        <v>0</v>
      </c>
      <c r="N16" s="505">
        <f t="shared" si="3"/>
        <v>0</v>
      </c>
      <c r="O16" s="505">
        <f t="shared" si="4"/>
        <v>0</v>
      </c>
      <c r="P16" s="38">
        <f t="shared" si="5"/>
        <v>0</v>
      </c>
    </row>
    <row r="17" spans="1:16" ht="20.100000000000001" customHeight="1" x14ac:dyDescent="0.25">
      <c r="A17" s="512">
        <v>9</v>
      </c>
      <c r="B17" s="198" t="str">
        <f t="shared" si="0"/>
        <v>Claudia Gabriella L</v>
      </c>
      <c r="C17" s="36" t="s">
        <v>4</v>
      </c>
      <c r="D17" s="59"/>
      <c r="E17" s="59"/>
      <c r="F17" s="59"/>
      <c r="G17" s="59"/>
      <c r="H17" s="59"/>
      <c r="I17" s="59"/>
      <c r="J17" s="59"/>
      <c r="K17" s="59"/>
      <c r="L17" s="640">
        <f t="shared" si="1"/>
        <v>0</v>
      </c>
      <c r="M17" s="1091">
        <f t="shared" si="2"/>
        <v>0</v>
      </c>
      <c r="N17" s="505">
        <f t="shared" si="3"/>
        <v>0</v>
      </c>
      <c r="O17" s="505">
        <f t="shared" si="4"/>
        <v>0</v>
      </c>
      <c r="P17" s="38">
        <f t="shared" si="5"/>
        <v>0</v>
      </c>
    </row>
    <row r="18" spans="1:16" ht="20.100000000000001" customHeight="1" x14ac:dyDescent="0.25">
      <c r="A18" s="512">
        <v>10</v>
      </c>
      <c r="B18" s="198" t="str">
        <f t="shared" si="0"/>
        <v xml:space="preserve">Deco Badarus Zaman </v>
      </c>
      <c r="C18" s="36" t="s">
        <v>4</v>
      </c>
      <c r="D18" s="59"/>
      <c r="E18" s="59"/>
      <c r="F18" s="59"/>
      <c r="G18" s="59"/>
      <c r="H18" s="59"/>
      <c r="I18" s="59"/>
      <c r="J18" s="59"/>
      <c r="K18" s="59"/>
      <c r="L18" s="640">
        <f t="shared" si="1"/>
        <v>0</v>
      </c>
      <c r="M18" s="1091">
        <f t="shared" si="2"/>
        <v>0</v>
      </c>
      <c r="N18" s="505">
        <f t="shared" si="3"/>
        <v>0</v>
      </c>
      <c r="O18" s="505">
        <f t="shared" si="4"/>
        <v>0</v>
      </c>
      <c r="P18" s="38">
        <f t="shared" si="5"/>
        <v>0</v>
      </c>
    </row>
    <row r="19" spans="1:16" ht="20.100000000000001" customHeight="1" x14ac:dyDescent="0.25">
      <c r="A19" s="512">
        <v>11</v>
      </c>
      <c r="B19" s="198" t="str">
        <f t="shared" si="0"/>
        <v>Fania Mutiara Felichia</v>
      </c>
      <c r="C19" s="36" t="s">
        <v>4</v>
      </c>
      <c r="D19" s="59"/>
      <c r="E19" s="59"/>
      <c r="F19" s="59"/>
      <c r="G19" s="59"/>
      <c r="H19" s="59"/>
      <c r="I19" s="59"/>
      <c r="J19" s="59"/>
      <c r="K19" s="59"/>
      <c r="L19" s="640">
        <f t="shared" si="1"/>
        <v>0</v>
      </c>
      <c r="M19" s="1091">
        <f t="shared" si="2"/>
        <v>0</v>
      </c>
      <c r="N19" s="505">
        <f t="shared" si="3"/>
        <v>0</v>
      </c>
      <c r="O19" s="505">
        <f t="shared" si="4"/>
        <v>0</v>
      </c>
      <c r="P19" s="38">
        <f t="shared" si="5"/>
        <v>0</v>
      </c>
    </row>
    <row r="20" spans="1:16" ht="20.100000000000001" customHeight="1" x14ac:dyDescent="0.25">
      <c r="A20" s="512">
        <v>12</v>
      </c>
      <c r="B20" s="198" t="str">
        <f t="shared" si="0"/>
        <v>Intan Dyah Nowari</v>
      </c>
      <c r="C20" s="36" t="s">
        <v>4</v>
      </c>
      <c r="D20" s="59"/>
      <c r="E20" s="59"/>
      <c r="F20" s="59"/>
      <c r="G20" s="59"/>
      <c r="H20" s="59"/>
      <c r="I20" s="59"/>
      <c r="J20" s="59"/>
      <c r="K20" s="59"/>
      <c r="L20" s="640">
        <f t="shared" si="1"/>
        <v>0</v>
      </c>
      <c r="M20" s="1091">
        <f t="shared" si="2"/>
        <v>0</v>
      </c>
      <c r="N20" s="505">
        <f t="shared" si="3"/>
        <v>0</v>
      </c>
      <c r="O20" s="505">
        <f t="shared" si="4"/>
        <v>0</v>
      </c>
      <c r="P20" s="38">
        <f t="shared" si="5"/>
        <v>0</v>
      </c>
    </row>
    <row r="21" spans="1:16" ht="20.100000000000001" customHeight="1" x14ac:dyDescent="0.25">
      <c r="A21" s="512">
        <v>13</v>
      </c>
      <c r="B21" s="198" t="str">
        <f t="shared" si="0"/>
        <v>Misyanita Nurfitri S</v>
      </c>
      <c r="C21" s="36" t="s">
        <v>5</v>
      </c>
      <c r="D21" s="59"/>
      <c r="E21" s="59"/>
      <c r="F21" s="59"/>
      <c r="G21" s="59"/>
      <c r="H21" s="59"/>
      <c r="I21" s="59"/>
      <c r="J21" s="59"/>
      <c r="K21" s="59"/>
      <c r="L21" s="640">
        <f t="shared" si="1"/>
        <v>0</v>
      </c>
      <c r="M21" s="1091">
        <f t="shared" si="2"/>
        <v>0</v>
      </c>
      <c r="N21" s="505">
        <f t="shared" si="3"/>
        <v>0</v>
      </c>
      <c r="O21" s="505">
        <f t="shared" si="4"/>
        <v>0</v>
      </c>
      <c r="P21" s="38">
        <f t="shared" si="5"/>
        <v>0</v>
      </c>
    </row>
    <row r="22" spans="1:16" ht="20.100000000000001" customHeight="1" x14ac:dyDescent="0.25">
      <c r="A22" s="512">
        <v>14</v>
      </c>
      <c r="B22" s="198" t="str">
        <f t="shared" si="0"/>
        <v>Moch Zidane Hita L. U</v>
      </c>
      <c r="C22" s="36" t="s">
        <v>4</v>
      </c>
      <c r="D22" s="59"/>
      <c r="E22" s="59"/>
      <c r="F22" s="59"/>
      <c r="G22" s="59"/>
      <c r="H22" s="59"/>
      <c r="I22" s="59"/>
      <c r="J22" s="59"/>
      <c r="K22" s="59"/>
      <c r="L22" s="640">
        <f t="shared" si="1"/>
        <v>0</v>
      </c>
      <c r="M22" s="1091">
        <f t="shared" si="2"/>
        <v>0</v>
      </c>
      <c r="N22" s="505">
        <f t="shared" si="3"/>
        <v>0</v>
      </c>
      <c r="O22" s="505">
        <f t="shared" si="4"/>
        <v>0</v>
      </c>
      <c r="P22" s="38">
        <f t="shared" si="5"/>
        <v>0</v>
      </c>
    </row>
    <row r="23" spans="1:16" ht="20.100000000000001" customHeight="1" x14ac:dyDescent="0.25">
      <c r="A23" s="512">
        <v>15</v>
      </c>
      <c r="B23" s="198" t="str">
        <f t="shared" si="0"/>
        <v>Muhammad Ibra Maulana</v>
      </c>
      <c r="C23" s="36" t="s">
        <v>4</v>
      </c>
      <c r="D23" s="59"/>
      <c r="E23" s="59"/>
      <c r="F23" s="59"/>
      <c r="G23" s="59"/>
      <c r="H23" s="59"/>
      <c r="I23" s="59"/>
      <c r="J23" s="59"/>
      <c r="K23" s="59"/>
      <c r="L23" s="640">
        <f t="shared" si="1"/>
        <v>0</v>
      </c>
      <c r="M23" s="1091">
        <f t="shared" si="2"/>
        <v>0</v>
      </c>
      <c r="N23" s="505">
        <f t="shared" si="3"/>
        <v>0</v>
      </c>
      <c r="O23" s="505">
        <f t="shared" si="4"/>
        <v>0</v>
      </c>
      <c r="P23" s="38">
        <f t="shared" si="5"/>
        <v>0</v>
      </c>
    </row>
    <row r="24" spans="1:16" ht="20.100000000000001" customHeight="1" x14ac:dyDescent="0.25">
      <c r="A24" s="512">
        <v>16</v>
      </c>
      <c r="B24" s="198" t="str">
        <f t="shared" si="0"/>
        <v>Nabilla Shiva Putri</v>
      </c>
      <c r="C24" s="36" t="s">
        <v>4</v>
      </c>
      <c r="D24" s="59"/>
      <c r="E24" s="59"/>
      <c r="F24" s="59"/>
      <c r="G24" s="59"/>
      <c r="H24" s="59"/>
      <c r="I24" s="59"/>
      <c r="J24" s="59"/>
      <c r="K24" s="59"/>
      <c r="L24" s="640">
        <f t="shared" si="1"/>
        <v>0</v>
      </c>
      <c r="M24" s="1091">
        <f t="shared" si="2"/>
        <v>0</v>
      </c>
      <c r="N24" s="505">
        <f t="shared" si="3"/>
        <v>0</v>
      </c>
      <c r="O24" s="505">
        <f t="shared" si="4"/>
        <v>0</v>
      </c>
      <c r="P24" s="38">
        <f t="shared" si="5"/>
        <v>0</v>
      </c>
    </row>
    <row r="25" spans="1:16" ht="20.100000000000001" customHeight="1" x14ac:dyDescent="0.25">
      <c r="A25" s="512">
        <v>17</v>
      </c>
      <c r="B25" s="198" t="str">
        <f t="shared" si="0"/>
        <v>Naufal Falih F</v>
      </c>
      <c r="C25" s="36" t="s">
        <v>5</v>
      </c>
      <c r="D25" s="59"/>
      <c r="E25" s="59"/>
      <c r="F25" s="59"/>
      <c r="G25" s="59"/>
      <c r="H25" s="59"/>
      <c r="I25" s="59"/>
      <c r="J25" s="59"/>
      <c r="K25" s="59"/>
      <c r="L25" s="640">
        <f t="shared" si="1"/>
        <v>0</v>
      </c>
      <c r="M25" s="1091">
        <f t="shared" si="2"/>
        <v>0</v>
      </c>
      <c r="N25" s="505">
        <f t="shared" si="3"/>
        <v>0</v>
      </c>
      <c r="O25" s="505">
        <f t="shared" si="4"/>
        <v>0</v>
      </c>
      <c r="P25" s="38">
        <f t="shared" si="5"/>
        <v>0</v>
      </c>
    </row>
    <row r="26" spans="1:16" ht="20.100000000000001" customHeight="1" x14ac:dyDescent="0.25">
      <c r="A26" s="512">
        <v>18</v>
      </c>
      <c r="B26" s="198" t="str">
        <f t="shared" si="0"/>
        <v>Nayla Annora Nobel W</v>
      </c>
      <c r="C26" s="36" t="s">
        <v>4</v>
      </c>
      <c r="D26" s="59"/>
      <c r="E26" s="59"/>
      <c r="F26" s="59"/>
      <c r="G26" s="59"/>
      <c r="H26" s="59"/>
      <c r="I26" s="59"/>
      <c r="J26" s="59"/>
      <c r="K26" s="59"/>
      <c r="L26" s="640">
        <f t="shared" si="1"/>
        <v>0</v>
      </c>
      <c r="M26" s="1091">
        <f t="shared" si="2"/>
        <v>0</v>
      </c>
      <c r="N26" s="505">
        <f t="shared" si="3"/>
        <v>0</v>
      </c>
      <c r="O26" s="505">
        <f t="shared" si="4"/>
        <v>0</v>
      </c>
      <c r="P26" s="38">
        <f t="shared" si="5"/>
        <v>0</v>
      </c>
    </row>
    <row r="27" spans="1:16" ht="20.100000000000001" customHeight="1" x14ac:dyDescent="0.25">
      <c r="A27" s="512">
        <v>19</v>
      </c>
      <c r="B27" s="198" t="str">
        <f t="shared" si="0"/>
        <v>Raihan Danang P</v>
      </c>
      <c r="C27" s="36" t="s">
        <v>5</v>
      </c>
      <c r="D27" s="59"/>
      <c r="E27" s="59"/>
      <c r="F27" s="59"/>
      <c r="G27" s="59"/>
      <c r="H27" s="59"/>
      <c r="I27" s="59"/>
      <c r="J27" s="59"/>
      <c r="K27" s="59"/>
      <c r="L27" s="640">
        <f t="shared" si="1"/>
        <v>0</v>
      </c>
      <c r="M27" s="1091">
        <f t="shared" si="2"/>
        <v>0</v>
      </c>
      <c r="N27" s="505">
        <f t="shared" si="3"/>
        <v>0</v>
      </c>
      <c r="O27" s="505">
        <f t="shared" si="4"/>
        <v>0</v>
      </c>
      <c r="P27" s="38">
        <f t="shared" si="5"/>
        <v>0</v>
      </c>
    </row>
    <row r="28" spans="1:16" ht="20.100000000000001" customHeight="1" x14ac:dyDescent="0.25">
      <c r="A28" s="512">
        <v>20</v>
      </c>
      <c r="B28" s="198" t="str">
        <f t="shared" si="0"/>
        <v>Roby Ardiyansyah</v>
      </c>
      <c r="C28" s="36" t="s">
        <v>5</v>
      </c>
      <c r="D28" s="512"/>
      <c r="E28" s="512"/>
      <c r="F28" s="512"/>
      <c r="G28" s="512"/>
      <c r="H28" s="512"/>
      <c r="I28" s="512"/>
      <c r="J28" s="512"/>
      <c r="K28" s="512"/>
      <c r="L28" s="640">
        <f t="shared" si="1"/>
        <v>0</v>
      </c>
      <c r="M28" s="1091">
        <f t="shared" si="2"/>
        <v>0</v>
      </c>
      <c r="N28" s="505">
        <f t="shared" si="3"/>
        <v>0</v>
      </c>
      <c r="O28" s="505">
        <f t="shared" si="4"/>
        <v>0</v>
      </c>
      <c r="P28" s="38">
        <f t="shared" si="5"/>
        <v>0</v>
      </c>
    </row>
    <row r="29" spans="1:16" ht="20.100000000000001" customHeight="1" x14ac:dyDescent="0.25">
      <c r="A29" s="512">
        <v>21</v>
      </c>
      <c r="B29" s="198" t="str">
        <f t="shared" si="0"/>
        <v>Rojalingga Prana A</v>
      </c>
      <c r="C29" s="44" t="s">
        <v>4</v>
      </c>
      <c r="D29" s="59"/>
      <c r="E29" s="59"/>
      <c r="F29" s="59"/>
      <c r="G29" s="59"/>
      <c r="H29" s="59"/>
      <c r="I29" s="59"/>
      <c r="J29" s="59"/>
      <c r="K29" s="59"/>
      <c r="L29" s="640">
        <f t="shared" si="1"/>
        <v>0</v>
      </c>
      <c r="M29" s="1091">
        <f t="shared" si="2"/>
        <v>0</v>
      </c>
      <c r="N29" s="505">
        <f t="shared" si="3"/>
        <v>0</v>
      </c>
      <c r="O29" s="505">
        <f t="shared" si="4"/>
        <v>0</v>
      </c>
      <c r="P29" s="38">
        <f t="shared" si="5"/>
        <v>0</v>
      </c>
    </row>
    <row r="30" spans="1:16" ht="20.100000000000001" customHeight="1" x14ac:dyDescent="0.25">
      <c r="A30" s="512">
        <v>22</v>
      </c>
      <c r="B30" s="198" t="str">
        <f t="shared" si="0"/>
        <v>Sally Savista A</v>
      </c>
      <c r="C30" s="45" t="s">
        <v>4</v>
      </c>
      <c r="D30" s="512"/>
      <c r="E30" s="512"/>
      <c r="F30" s="512"/>
      <c r="G30" s="512"/>
      <c r="H30" s="512"/>
      <c r="I30" s="512"/>
      <c r="J30" s="512"/>
      <c r="K30" s="512"/>
      <c r="L30" s="640">
        <f t="shared" si="1"/>
        <v>0</v>
      </c>
      <c r="M30" s="1091">
        <f t="shared" si="2"/>
        <v>0</v>
      </c>
      <c r="N30" s="505">
        <f t="shared" si="3"/>
        <v>0</v>
      </c>
      <c r="O30" s="505">
        <f t="shared" si="4"/>
        <v>0</v>
      </c>
      <c r="P30" s="38">
        <f t="shared" si="5"/>
        <v>0</v>
      </c>
    </row>
    <row r="31" spans="1:16" ht="20.100000000000001" customHeight="1" x14ac:dyDescent="0.25">
      <c r="A31" s="512">
        <v>23</v>
      </c>
      <c r="B31" s="198" t="str">
        <f t="shared" si="0"/>
        <v xml:space="preserve">Tania Kaori Angelita </v>
      </c>
      <c r="C31" s="45" t="s">
        <v>5</v>
      </c>
      <c r="D31" s="512"/>
      <c r="E31" s="512"/>
      <c r="F31" s="512"/>
      <c r="G31" s="512"/>
      <c r="H31" s="512"/>
      <c r="I31" s="512"/>
      <c r="J31" s="512"/>
      <c r="K31" s="512"/>
      <c r="L31" s="640">
        <f t="shared" si="1"/>
        <v>0</v>
      </c>
      <c r="M31" s="1091">
        <f t="shared" si="2"/>
        <v>0</v>
      </c>
      <c r="N31" s="505">
        <f t="shared" si="3"/>
        <v>0</v>
      </c>
      <c r="O31" s="505">
        <f t="shared" si="4"/>
        <v>0</v>
      </c>
      <c r="P31" s="38">
        <f t="shared" si="5"/>
        <v>0</v>
      </c>
    </row>
    <row r="32" spans="1:16" ht="20.100000000000001" customHeight="1" x14ac:dyDescent="0.25">
      <c r="A32" s="512">
        <v>24</v>
      </c>
      <c r="B32" s="198" t="str">
        <f t="shared" si="0"/>
        <v>Romzy Oka Ramadhani P</v>
      </c>
      <c r="C32" s="45" t="s">
        <v>5</v>
      </c>
      <c r="D32" s="512"/>
      <c r="E32" s="512"/>
      <c r="F32" s="512"/>
      <c r="G32" s="512"/>
      <c r="H32" s="512"/>
      <c r="I32" s="512"/>
      <c r="J32" s="512"/>
      <c r="K32" s="512"/>
      <c r="L32" s="640">
        <f t="shared" si="1"/>
        <v>0</v>
      </c>
      <c r="M32" s="1091">
        <f t="shared" si="2"/>
        <v>0</v>
      </c>
      <c r="N32" s="505">
        <f t="shared" si="3"/>
        <v>0</v>
      </c>
      <c r="O32" s="505">
        <f t="shared" si="4"/>
        <v>0</v>
      </c>
      <c r="P32" s="38">
        <f t="shared" si="5"/>
        <v>0</v>
      </c>
    </row>
    <row r="33" spans="1:16" ht="20.100000000000001" customHeight="1" x14ac:dyDescent="0.25">
      <c r="A33" s="512">
        <v>25</v>
      </c>
      <c r="B33" s="198" t="str">
        <f t="shared" si="0"/>
        <v>Larasati Jagadhita P</v>
      </c>
      <c r="C33" s="36" t="s">
        <v>4</v>
      </c>
      <c r="D33" s="512"/>
      <c r="E33" s="512"/>
      <c r="F33" s="512"/>
      <c r="G33" s="512"/>
      <c r="H33" s="512"/>
      <c r="I33" s="512"/>
      <c r="J33" s="512"/>
      <c r="K33" s="512"/>
      <c r="L33" s="640">
        <f t="shared" si="1"/>
        <v>0</v>
      </c>
      <c r="M33" s="1091">
        <f t="shared" si="2"/>
        <v>0</v>
      </c>
      <c r="N33" s="505">
        <f t="shared" si="3"/>
        <v>0</v>
      </c>
      <c r="O33" s="505">
        <f t="shared" si="4"/>
        <v>0</v>
      </c>
      <c r="P33" s="38">
        <f t="shared" si="5"/>
        <v>0</v>
      </c>
    </row>
    <row r="34" spans="1:16" ht="20.100000000000001" customHeight="1" x14ac:dyDescent="0.25">
      <c r="A34" s="512">
        <v>26</v>
      </c>
      <c r="B34" s="198" t="str">
        <f t="shared" si="0"/>
        <v>Meliana Citra A</v>
      </c>
      <c r="C34" s="36" t="s">
        <v>5</v>
      </c>
      <c r="D34" s="512"/>
      <c r="E34" s="512"/>
      <c r="F34" s="512"/>
      <c r="G34" s="512"/>
      <c r="H34" s="512"/>
      <c r="I34" s="512"/>
      <c r="J34" s="512"/>
      <c r="K34" s="512"/>
      <c r="L34" s="640">
        <f t="shared" si="1"/>
        <v>0</v>
      </c>
      <c r="M34" s="1091">
        <f t="shared" si="2"/>
        <v>0</v>
      </c>
      <c r="N34" s="505">
        <f t="shared" si="3"/>
        <v>0</v>
      </c>
      <c r="O34" s="505">
        <f t="shared" si="4"/>
        <v>0</v>
      </c>
      <c r="P34" s="38">
        <f t="shared" si="5"/>
        <v>0</v>
      </c>
    </row>
    <row r="35" spans="1:16" ht="20.100000000000001" customHeight="1" x14ac:dyDescent="0.25">
      <c r="A35" s="512">
        <v>27</v>
      </c>
      <c r="B35" s="198" t="str">
        <f t="shared" si="0"/>
        <v>Mohammad Rizky</v>
      </c>
      <c r="C35" s="36" t="s">
        <v>4</v>
      </c>
      <c r="D35" s="512"/>
      <c r="E35" s="512"/>
      <c r="F35" s="512"/>
      <c r="G35" s="512"/>
      <c r="H35" s="512"/>
      <c r="I35" s="512"/>
      <c r="J35" s="512"/>
      <c r="K35" s="512"/>
      <c r="L35" s="640">
        <f t="shared" si="1"/>
        <v>0</v>
      </c>
      <c r="M35" s="1091">
        <f t="shared" si="2"/>
        <v>0</v>
      </c>
      <c r="N35" s="505">
        <f t="shared" si="3"/>
        <v>0</v>
      </c>
      <c r="O35" s="505">
        <f t="shared" si="4"/>
        <v>0</v>
      </c>
      <c r="P35" s="38">
        <f t="shared" si="5"/>
        <v>0</v>
      </c>
    </row>
    <row r="36" spans="1:16" ht="20.100000000000001" customHeight="1" x14ac:dyDescent="0.25">
      <c r="A36" s="512">
        <v>28</v>
      </c>
      <c r="B36" s="198" t="e">
        <f t="shared" si="0"/>
        <v>#N/A</v>
      </c>
      <c r="C36" s="36" t="s">
        <v>4</v>
      </c>
      <c r="D36" s="512"/>
      <c r="E36" s="512"/>
      <c r="F36" s="512"/>
      <c r="G36" s="512"/>
      <c r="H36" s="512"/>
      <c r="I36" s="512"/>
      <c r="J36" s="512"/>
      <c r="K36" s="512"/>
      <c r="L36" s="640">
        <f t="shared" si="1"/>
        <v>0</v>
      </c>
      <c r="M36" s="1091">
        <f t="shared" si="2"/>
        <v>0</v>
      </c>
      <c r="N36" s="505">
        <f t="shared" si="3"/>
        <v>0</v>
      </c>
      <c r="O36" s="505">
        <f t="shared" si="4"/>
        <v>0</v>
      </c>
      <c r="P36" s="38">
        <f t="shared" si="5"/>
        <v>0</v>
      </c>
    </row>
    <row r="37" spans="1:16" ht="20.100000000000001" customHeight="1" x14ac:dyDescent="0.25">
      <c r="A37" s="512">
        <v>29</v>
      </c>
      <c r="B37" s="198" t="e">
        <f t="shared" si="0"/>
        <v>#N/A</v>
      </c>
      <c r="C37" s="36" t="s">
        <v>4</v>
      </c>
      <c r="D37" s="512"/>
      <c r="E37" s="512"/>
      <c r="F37" s="512"/>
      <c r="G37" s="512"/>
      <c r="H37" s="512"/>
      <c r="I37" s="512"/>
      <c r="J37" s="512"/>
      <c r="K37" s="512"/>
      <c r="L37" s="640">
        <f t="shared" si="1"/>
        <v>0</v>
      </c>
      <c r="M37" s="1091">
        <f t="shared" si="2"/>
        <v>0</v>
      </c>
      <c r="N37" s="505">
        <f t="shared" si="3"/>
        <v>0</v>
      </c>
      <c r="O37" s="505">
        <f t="shared" si="4"/>
        <v>0</v>
      </c>
      <c r="P37" s="38">
        <f t="shared" si="5"/>
        <v>0</v>
      </c>
    </row>
    <row r="38" spans="1:16" ht="20.100000000000001" customHeight="1" x14ac:dyDescent="0.25">
      <c r="A38" s="512">
        <v>30</v>
      </c>
      <c r="B38" s="198" t="e">
        <f t="shared" si="0"/>
        <v>#N/A</v>
      </c>
      <c r="C38" s="36" t="s">
        <v>5</v>
      </c>
      <c r="D38" s="512"/>
      <c r="E38" s="512"/>
      <c r="F38" s="512"/>
      <c r="G38" s="512"/>
      <c r="H38" s="512"/>
      <c r="I38" s="512"/>
      <c r="J38" s="512"/>
      <c r="K38" s="512"/>
      <c r="L38" s="640">
        <f t="shared" si="1"/>
        <v>0</v>
      </c>
      <c r="M38" s="1091">
        <f t="shared" si="2"/>
        <v>0</v>
      </c>
      <c r="N38" s="505">
        <f t="shared" si="3"/>
        <v>0</v>
      </c>
      <c r="O38" s="505">
        <f t="shared" si="4"/>
        <v>0</v>
      </c>
      <c r="P38" s="38">
        <f t="shared" si="5"/>
        <v>0</v>
      </c>
    </row>
    <row r="39" spans="1:16" ht="20.100000000000001" customHeight="1" x14ac:dyDescent="0.25">
      <c r="A39" s="512">
        <v>31</v>
      </c>
      <c r="B39" s="198" t="e">
        <f t="shared" si="0"/>
        <v>#N/A</v>
      </c>
      <c r="C39" s="36" t="s">
        <v>5</v>
      </c>
      <c r="D39" s="512"/>
      <c r="E39" s="512"/>
      <c r="F39" s="512"/>
      <c r="G39" s="512"/>
      <c r="H39" s="512"/>
      <c r="I39" s="512"/>
      <c r="J39" s="512"/>
      <c r="K39" s="512"/>
      <c r="L39" s="640">
        <f t="shared" si="1"/>
        <v>0</v>
      </c>
      <c r="M39" s="1091">
        <f t="shared" si="2"/>
        <v>0</v>
      </c>
      <c r="N39" s="505">
        <f t="shared" si="3"/>
        <v>0</v>
      </c>
      <c r="O39" s="505">
        <f t="shared" si="4"/>
        <v>0</v>
      </c>
      <c r="P39" s="38">
        <f t="shared" si="5"/>
        <v>0</v>
      </c>
    </row>
    <row r="40" spans="1:16" ht="20.100000000000001" customHeight="1" x14ac:dyDescent="0.25">
      <c r="A40" s="628">
        <v>32</v>
      </c>
      <c r="B40" s="198" t="e">
        <f t="shared" si="0"/>
        <v>#N/A</v>
      </c>
      <c r="C40" s="36" t="s">
        <v>5</v>
      </c>
      <c r="D40" s="628"/>
      <c r="E40" s="628"/>
      <c r="F40" s="628"/>
      <c r="G40" s="628"/>
      <c r="H40" s="628"/>
      <c r="I40" s="628"/>
      <c r="J40" s="628"/>
      <c r="K40" s="628"/>
      <c r="L40" s="640">
        <f t="shared" si="1"/>
        <v>0</v>
      </c>
      <c r="M40" s="1091">
        <f t="shared" si="2"/>
        <v>0</v>
      </c>
      <c r="N40" s="505">
        <f t="shared" si="3"/>
        <v>0</v>
      </c>
      <c r="O40" s="505">
        <f t="shared" si="4"/>
        <v>0</v>
      </c>
      <c r="P40" s="38">
        <f t="shared" si="5"/>
        <v>0</v>
      </c>
    </row>
    <row r="41" spans="1:16" ht="20.100000000000001" customHeight="1" x14ac:dyDescent="0.25">
      <c r="A41" s="628">
        <v>33</v>
      </c>
      <c r="B41" s="198" t="e">
        <f t="shared" si="0"/>
        <v>#N/A</v>
      </c>
      <c r="C41" s="36" t="s">
        <v>5</v>
      </c>
      <c r="D41" s="628"/>
      <c r="E41" s="628"/>
      <c r="F41" s="628"/>
      <c r="G41" s="628"/>
      <c r="H41" s="628"/>
      <c r="I41" s="628"/>
      <c r="J41" s="628"/>
      <c r="K41" s="628"/>
      <c r="L41" s="640">
        <f t="shared" si="1"/>
        <v>0</v>
      </c>
      <c r="M41" s="1091">
        <f t="shared" si="2"/>
        <v>0</v>
      </c>
      <c r="N41" s="505">
        <f t="shared" si="3"/>
        <v>0</v>
      </c>
      <c r="O41" s="505">
        <f t="shared" si="4"/>
        <v>0</v>
      </c>
      <c r="P41" s="38">
        <f t="shared" si="5"/>
        <v>0</v>
      </c>
    </row>
    <row r="42" spans="1:16" ht="20.100000000000001" customHeight="1" x14ac:dyDescent="0.25">
      <c r="A42" s="628">
        <v>34</v>
      </c>
      <c r="B42" s="198" t="e">
        <f t="shared" si="0"/>
        <v>#N/A</v>
      </c>
      <c r="C42" s="36" t="s">
        <v>5</v>
      </c>
      <c r="D42" s="628"/>
      <c r="E42" s="628"/>
      <c r="F42" s="628"/>
      <c r="G42" s="628"/>
      <c r="H42" s="628"/>
      <c r="I42" s="628"/>
      <c r="J42" s="628"/>
      <c r="K42" s="628"/>
      <c r="L42" s="640">
        <f t="shared" si="1"/>
        <v>0</v>
      </c>
      <c r="M42" s="1091">
        <f t="shared" si="2"/>
        <v>0</v>
      </c>
      <c r="N42" s="505">
        <f t="shared" si="3"/>
        <v>0</v>
      </c>
      <c r="O42" s="505">
        <f t="shared" si="4"/>
        <v>0</v>
      </c>
      <c r="P42" s="38">
        <f t="shared" si="5"/>
        <v>0</v>
      </c>
    </row>
    <row r="43" spans="1:16" ht="20.100000000000001" customHeight="1" x14ac:dyDescent="0.25">
      <c r="A43" s="628">
        <v>35</v>
      </c>
      <c r="B43" s="198" t="e">
        <f t="shared" si="0"/>
        <v>#N/A</v>
      </c>
      <c r="C43" s="36" t="s">
        <v>5</v>
      </c>
      <c r="D43" s="628"/>
      <c r="E43" s="628"/>
      <c r="F43" s="628"/>
      <c r="G43" s="628"/>
      <c r="H43" s="628"/>
      <c r="I43" s="628"/>
      <c r="J43" s="628"/>
      <c r="K43" s="628"/>
      <c r="L43" s="640">
        <f t="shared" si="1"/>
        <v>0</v>
      </c>
      <c r="M43" s="1091">
        <f t="shared" si="2"/>
        <v>0</v>
      </c>
      <c r="N43" s="505">
        <f t="shared" si="3"/>
        <v>0</v>
      </c>
      <c r="O43" s="505">
        <f t="shared" si="4"/>
        <v>0</v>
      </c>
      <c r="P43" s="38">
        <f t="shared" si="5"/>
        <v>0</v>
      </c>
    </row>
    <row r="44" spans="1:16" ht="20.100000000000001" customHeight="1" x14ac:dyDescent="0.25">
      <c r="A44" s="628">
        <v>36</v>
      </c>
      <c r="B44" s="198" t="e">
        <f t="shared" si="0"/>
        <v>#N/A</v>
      </c>
      <c r="C44" s="36" t="s">
        <v>5</v>
      </c>
      <c r="D44" s="628"/>
      <c r="E44" s="628"/>
      <c r="F44" s="628"/>
      <c r="G44" s="628"/>
      <c r="H44" s="628"/>
      <c r="I44" s="628"/>
      <c r="J44" s="628"/>
      <c r="K44" s="628"/>
      <c r="L44" s="640">
        <f t="shared" si="1"/>
        <v>0</v>
      </c>
      <c r="M44" s="1091">
        <f t="shared" si="2"/>
        <v>0</v>
      </c>
      <c r="N44" s="505">
        <f t="shared" si="3"/>
        <v>0</v>
      </c>
      <c r="O44" s="505">
        <f t="shared" si="4"/>
        <v>0</v>
      </c>
      <c r="P44" s="38">
        <f t="shared" si="5"/>
        <v>0</v>
      </c>
    </row>
    <row r="45" spans="1:16" ht="20.100000000000001" customHeight="1" x14ac:dyDescent="0.25">
      <c r="A45" s="628">
        <v>37</v>
      </c>
      <c r="B45" s="198" t="e">
        <f t="shared" si="0"/>
        <v>#N/A</v>
      </c>
      <c r="C45" s="36" t="s">
        <v>5</v>
      </c>
      <c r="D45" s="628"/>
      <c r="E45" s="628"/>
      <c r="F45" s="628"/>
      <c r="G45" s="628"/>
      <c r="H45" s="628"/>
      <c r="I45" s="628"/>
      <c r="J45" s="628"/>
      <c r="K45" s="628"/>
      <c r="L45" s="640">
        <f t="shared" si="1"/>
        <v>0</v>
      </c>
      <c r="M45" s="1091">
        <f t="shared" si="2"/>
        <v>0</v>
      </c>
      <c r="N45" s="505">
        <f t="shared" si="3"/>
        <v>0</v>
      </c>
      <c r="O45" s="505">
        <f t="shared" si="4"/>
        <v>0</v>
      </c>
      <c r="P45" s="38">
        <f t="shared" si="5"/>
        <v>0</v>
      </c>
    </row>
    <row r="46" spans="1:16" ht="20.100000000000001" customHeight="1" x14ac:dyDescent="0.25">
      <c r="A46" s="628">
        <v>38</v>
      </c>
      <c r="B46" s="198" t="e">
        <f t="shared" si="0"/>
        <v>#N/A</v>
      </c>
      <c r="C46" s="36" t="s">
        <v>5</v>
      </c>
      <c r="D46" s="628"/>
      <c r="E46" s="628"/>
      <c r="F46" s="628"/>
      <c r="G46" s="628"/>
      <c r="H46" s="628"/>
      <c r="I46" s="628"/>
      <c r="J46" s="628"/>
      <c r="K46" s="628"/>
      <c r="L46" s="640">
        <f t="shared" si="1"/>
        <v>0</v>
      </c>
      <c r="M46" s="1091">
        <f t="shared" si="2"/>
        <v>0</v>
      </c>
      <c r="N46" s="505">
        <f t="shared" si="3"/>
        <v>0</v>
      </c>
      <c r="O46" s="505">
        <f t="shared" si="4"/>
        <v>0</v>
      </c>
      <c r="P46" s="38">
        <f t="shared" si="5"/>
        <v>0</v>
      </c>
    </row>
    <row r="47" spans="1:16" ht="20.100000000000001" customHeight="1" x14ac:dyDescent="0.25">
      <c r="A47" s="628">
        <v>39</v>
      </c>
      <c r="B47" s="198" t="e">
        <f t="shared" si="0"/>
        <v>#N/A</v>
      </c>
      <c r="C47" s="36" t="s">
        <v>5</v>
      </c>
      <c r="D47" s="628"/>
      <c r="E47" s="628"/>
      <c r="F47" s="628"/>
      <c r="G47" s="628"/>
      <c r="H47" s="628"/>
      <c r="I47" s="628"/>
      <c r="J47" s="628"/>
      <c r="K47" s="628"/>
      <c r="L47" s="640">
        <f t="shared" si="1"/>
        <v>0</v>
      </c>
      <c r="M47" s="1091">
        <f t="shared" si="2"/>
        <v>0</v>
      </c>
      <c r="N47" s="505">
        <f t="shared" si="3"/>
        <v>0</v>
      </c>
      <c r="O47" s="505">
        <f t="shared" si="4"/>
        <v>0</v>
      </c>
      <c r="P47" s="38">
        <f t="shared" si="5"/>
        <v>0</v>
      </c>
    </row>
    <row r="48" spans="1:16" ht="20.100000000000001" customHeight="1" x14ac:dyDescent="0.25">
      <c r="A48" s="628">
        <v>40</v>
      </c>
      <c r="B48" s="198" t="e">
        <f t="shared" si="0"/>
        <v>#N/A</v>
      </c>
      <c r="C48" s="36" t="s">
        <v>5</v>
      </c>
      <c r="D48" s="628"/>
      <c r="E48" s="628"/>
      <c r="F48" s="628"/>
      <c r="G48" s="628"/>
      <c r="H48" s="628"/>
      <c r="I48" s="628"/>
      <c r="J48" s="628"/>
      <c r="K48" s="628"/>
      <c r="L48" s="640">
        <f t="shared" si="1"/>
        <v>0</v>
      </c>
      <c r="M48" s="1091">
        <f t="shared" si="2"/>
        <v>0</v>
      </c>
      <c r="N48" s="505">
        <f t="shared" si="3"/>
        <v>0</v>
      </c>
      <c r="O48" s="505">
        <f t="shared" si="4"/>
        <v>0</v>
      </c>
      <c r="P48" s="38">
        <f t="shared" si="5"/>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FF00"/>
  </sheetPr>
  <dimension ref="A1:P48"/>
  <sheetViews>
    <sheetView showGridLines="0" workbookViewId="0">
      <pane xSplit="2" ySplit="8" topLeftCell="C45"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544" t="s">
        <v>591</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233" t="s">
        <v>585</v>
      </c>
      <c r="E6" s="3234"/>
      <c r="F6" s="3234"/>
      <c r="G6" s="3234"/>
      <c r="H6" s="3234"/>
      <c r="I6" s="3234"/>
      <c r="J6" s="3234"/>
      <c r="K6" s="3235"/>
      <c r="L6" s="3130" t="s">
        <v>159</v>
      </c>
      <c r="M6" s="3232" t="s">
        <v>29</v>
      </c>
      <c r="N6" s="3232" t="s">
        <v>30</v>
      </c>
      <c r="O6" s="3232" t="s">
        <v>31</v>
      </c>
      <c r="P6" s="3149" t="s">
        <v>32</v>
      </c>
    </row>
    <row r="7" spans="1:16" s="30" customFormat="1" ht="20.25" customHeight="1" x14ac:dyDescent="0.25">
      <c r="A7" s="3231"/>
      <c r="B7" s="3231"/>
      <c r="C7" s="3231"/>
      <c r="D7" s="31" t="s">
        <v>29</v>
      </c>
      <c r="E7" s="31" t="s">
        <v>29</v>
      </c>
      <c r="F7" s="31" t="s">
        <v>29</v>
      </c>
      <c r="G7" s="31" t="s">
        <v>29</v>
      </c>
      <c r="H7" s="31" t="s">
        <v>29</v>
      </c>
      <c r="I7" s="31" t="s">
        <v>29</v>
      </c>
      <c r="J7" s="32"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 t="shared" ref="B9:B48" si="0">VLOOKUP(A9,data_siswa,4,FALSE)</f>
        <v>Achmad Zacky</v>
      </c>
      <c r="C9" s="291" t="s">
        <v>4</v>
      </c>
      <c r="D9" s="200">
        <v>0</v>
      </c>
      <c r="E9" s="200">
        <v>1</v>
      </c>
      <c r="F9" s="200">
        <v>1</v>
      </c>
      <c r="G9" s="200">
        <v>1</v>
      </c>
      <c r="H9" s="200">
        <v>1</v>
      </c>
      <c r="I9" s="200">
        <v>0</v>
      </c>
      <c r="J9" s="200">
        <v>2</v>
      </c>
      <c r="K9" s="200">
        <v>3</v>
      </c>
      <c r="L9" s="640">
        <f>SUM(D9:K9)*100/11</f>
        <v>81.818181818181813</v>
      </c>
      <c r="M9" s="1091">
        <f>SUM(D9:I9)</f>
        <v>4</v>
      </c>
      <c r="N9" s="505">
        <f>J9</f>
        <v>2</v>
      </c>
      <c r="O9" s="505">
        <f>K9</f>
        <v>3</v>
      </c>
      <c r="P9" s="38">
        <f>L9</f>
        <v>81.818181818181813</v>
      </c>
    </row>
    <row r="10" spans="1:16" ht="20.100000000000001" customHeight="1" x14ac:dyDescent="0.25">
      <c r="A10" s="512">
        <v>2</v>
      </c>
      <c r="B10" s="198" t="str">
        <f t="shared" si="0"/>
        <v>Angelia Vabel R</v>
      </c>
      <c r="C10" s="36" t="s">
        <v>4</v>
      </c>
      <c r="D10" s="200"/>
      <c r="E10" s="200"/>
      <c r="F10" s="200"/>
      <c r="G10" s="200"/>
      <c r="H10" s="200"/>
      <c r="I10" s="200"/>
      <c r="J10" s="200"/>
      <c r="K10" s="200"/>
      <c r="L10" s="640">
        <f t="shared" ref="L10:L48" si="1">SUM(D10:K10)*100/11</f>
        <v>0</v>
      </c>
      <c r="M10" s="1091">
        <f t="shared" ref="M10:M48" si="2">SUM(D10:I10)</f>
        <v>0</v>
      </c>
      <c r="N10" s="505">
        <f t="shared" ref="N10:N48" si="3">J10</f>
        <v>0</v>
      </c>
      <c r="O10" s="505">
        <f t="shared" ref="O10:O48" si="4">K10</f>
        <v>0</v>
      </c>
      <c r="P10" s="38">
        <f t="shared" ref="P10:P48" si="5">L10</f>
        <v>0</v>
      </c>
    </row>
    <row r="11" spans="1:16" ht="20.100000000000001" customHeight="1" x14ac:dyDescent="0.25">
      <c r="A11" s="512">
        <v>3</v>
      </c>
      <c r="B11" s="198" t="str">
        <f t="shared" si="0"/>
        <v>Anggun Dwi P.I</v>
      </c>
      <c r="C11" s="36" t="s">
        <v>4</v>
      </c>
      <c r="D11" s="200"/>
      <c r="E11" s="200"/>
      <c r="F11" s="200"/>
      <c r="G11" s="200"/>
      <c r="H11" s="200"/>
      <c r="I11" s="200"/>
      <c r="J11" s="200"/>
      <c r="K11" s="200"/>
      <c r="L11" s="640">
        <f t="shared" si="1"/>
        <v>0</v>
      </c>
      <c r="M11" s="1091">
        <f t="shared" si="2"/>
        <v>0</v>
      </c>
      <c r="N11" s="505">
        <f t="shared" si="3"/>
        <v>0</v>
      </c>
      <c r="O11" s="505">
        <f t="shared" si="4"/>
        <v>0</v>
      </c>
      <c r="P11" s="38">
        <f t="shared" si="5"/>
        <v>0</v>
      </c>
    </row>
    <row r="12" spans="1:16" ht="20.100000000000001" customHeight="1" x14ac:dyDescent="0.25">
      <c r="A12" s="512">
        <v>4</v>
      </c>
      <c r="B12" s="198" t="str">
        <f t="shared" si="0"/>
        <v>Antonio Permata A</v>
      </c>
      <c r="C12" s="43" t="s">
        <v>4</v>
      </c>
      <c r="D12" s="200"/>
      <c r="E12" s="200"/>
      <c r="F12" s="200"/>
      <c r="G12" s="200"/>
      <c r="H12" s="200"/>
      <c r="I12" s="200"/>
      <c r="J12" s="200"/>
      <c r="K12" s="200"/>
      <c r="L12" s="640">
        <f t="shared" si="1"/>
        <v>0</v>
      </c>
      <c r="M12" s="1091">
        <f t="shared" si="2"/>
        <v>0</v>
      </c>
      <c r="N12" s="505">
        <f t="shared" si="3"/>
        <v>0</v>
      </c>
      <c r="O12" s="505">
        <f t="shared" si="4"/>
        <v>0</v>
      </c>
      <c r="P12" s="38">
        <f t="shared" si="5"/>
        <v>0</v>
      </c>
    </row>
    <row r="13" spans="1:16" ht="20.100000000000001" customHeight="1" x14ac:dyDescent="0.25">
      <c r="A13" s="512">
        <v>5</v>
      </c>
      <c r="B13" s="198" t="str">
        <f t="shared" si="0"/>
        <v>Arya Pratama G</v>
      </c>
      <c r="C13" s="36" t="s">
        <v>5</v>
      </c>
      <c r="D13" s="200"/>
      <c r="E13" s="200"/>
      <c r="F13" s="200"/>
      <c r="G13" s="200"/>
      <c r="H13" s="200"/>
      <c r="I13" s="200"/>
      <c r="J13" s="200"/>
      <c r="K13" s="200"/>
      <c r="L13" s="640">
        <f t="shared" si="1"/>
        <v>0</v>
      </c>
      <c r="M13" s="1091">
        <f t="shared" si="2"/>
        <v>0</v>
      </c>
      <c r="N13" s="505">
        <f t="shared" si="3"/>
        <v>0</v>
      </c>
      <c r="O13" s="505">
        <f t="shared" si="4"/>
        <v>0</v>
      </c>
      <c r="P13" s="38">
        <f t="shared" si="5"/>
        <v>0</v>
      </c>
    </row>
    <row r="14" spans="1:16" ht="20.100000000000001" customHeight="1" x14ac:dyDescent="0.25">
      <c r="A14" s="512">
        <v>6</v>
      </c>
      <c r="B14" s="198" t="str">
        <f t="shared" si="0"/>
        <v>Asyam Hanif Ihsan H</v>
      </c>
      <c r="C14" s="36" t="s">
        <v>5</v>
      </c>
      <c r="D14" s="59"/>
      <c r="E14" s="59"/>
      <c r="F14" s="59"/>
      <c r="G14" s="59"/>
      <c r="H14" s="59"/>
      <c r="I14" s="59"/>
      <c r="J14" s="59"/>
      <c r="K14" s="59"/>
      <c r="L14" s="640">
        <f t="shared" si="1"/>
        <v>0</v>
      </c>
      <c r="M14" s="1091">
        <f t="shared" si="2"/>
        <v>0</v>
      </c>
      <c r="N14" s="505">
        <f t="shared" si="3"/>
        <v>0</v>
      </c>
      <c r="O14" s="505">
        <f t="shared" si="4"/>
        <v>0</v>
      </c>
      <c r="P14" s="38">
        <f t="shared" si="5"/>
        <v>0</v>
      </c>
    </row>
    <row r="15" spans="1:16" ht="20.100000000000001" customHeight="1" x14ac:dyDescent="0.25">
      <c r="A15" s="512">
        <v>7</v>
      </c>
      <c r="B15" s="198" t="str">
        <f t="shared" si="0"/>
        <v>Athaya Salsabilla Z</v>
      </c>
      <c r="C15" s="36" t="s">
        <v>4</v>
      </c>
      <c r="D15" s="59"/>
      <c r="E15" s="59"/>
      <c r="F15" s="59"/>
      <c r="G15" s="59"/>
      <c r="H15" s="59"/>
      <c r="I15" s="59"/>
      <c r="J15" s="59"/>
      <c r="K15" s="59"/>
      <c r="L15" s="640">
        <f t="shared" si="1"/>
        <v>0</v>
      </c>
      <c r="M15" s="1091">
        <f t="shared" si="2"/>
        <v>0</v>
      </c>
      <c r="N15" s="505">
        <f t="shared" si="3"/>
        <v>0</v>
      </c>
      <c r="O15" s="505">
        <f t="shared" si="4"/>
        <v>0</v>
      </c>
      <c r="P15" s="38">
        <f t="shared" si="5"/>
        <v>0</v>
      </c>
    </row>
    <row r="16" spans="1:16" ht="20.100000000000001" customHeight="1" x14ac:dyDescent="0.25">
      <c r="A16" s="512">
        <v>8</v>
      </c>
      <c r="B16" s="198" t="str">
        <f t="shared" si="0"/>
        <v>Aulia Dea Rosalinda</v>
      </c>
      <c r="C16" s="36" t="s">
        <v>4</v>
      </c>
      <c r="D16" s="59"/>
      <c r="E16" s="59"/>
      <c r="F16" s="59"/>
      <c r="G16" s="59"/>
      <c r="H16" s="59"/>
      <c r="I16" s="59"/>
      <c r="J16" s="59"/>
      <c r="K16" s="59"/>
      <c r="L16" s="640">
        <f t="shared" si="1"/>
        <v>0</v>
      </c>
      <c r="M16" s="1091">
        <f t="shared" si="2"/>
        <v>0</v>
      </c>
      <c r="N16" s="505">
        <f t="shared" si="3"/>
        <v>0</v>
      </c>
      <c r="O16" s="505">
        <f t="shared" si="4"/>
        <v>0</v>
      </c>
      <c r="P16" s="38">
        <f t="shared" si="5"/>
        <v>0</v>
      </c>
    </row>
    <row r="17" spans="1:16" ht="20.100000000000001" customHeight="1" x14ac:dyDescent="0.25">
      <c r="A17" s="512">
        <v>9</v>
      </c>
      <c r="B17" s="198" t="str">
        <f t="shared" si="0"/>
        <v>Claudia Gabriella L</v>
      </c>
      <c r="C17" s="36" t="s">
        <v>4</v>
      </c>
      <c r="D17" s="59"/>
      <c r="E17" s="59"/>
      <c r="F17" s="59"/>
      <c r="G17" s="59"/>
      <c r="H17" s="59"/>
      <c r="I17" s="59"/>
      <c r="J17" s="59"/>
      <c r="K17" s="59"/>
      <c r="L17" s="640">
        <f t="shared" si="1"/>
        <v>0</v>
      </c>
      <c r="M17" s="1091">
        <f t="shared" si="2"/>
        <v>0</v>
      </c>
      <c r="N17" s="505">
        <f t="shared" si="3"/>
        <v>0</v>
      </c>
      <c r="O17" s="505">
        <f t="shared" si="4"/>
        <v>0</v>
      </c>
      <c r="P17" s="38">
        <f t="shared" si="5"/>
        <v>0</v>
      </c>
    </row>
    <row r="18" spans="1:16" ht="20.100000000000001" customHeight="1" x14ac:dyDescent="0.25">
      <c r="A18" s="512">
        <v>10</v>
      </c>
      <c r="B18" s="198" t="str">
        <f t="shared" si="0"/>
        <v xml:space="preserve">Deco Badarus Zaman </v>
      </c>
      <c r="C18" s="36" t="s">
        <v>4</v>
      </c>
      <c r="D18" s="59"/>
      <c r="E18" s="59"/>
      <c r="F18" s="59"/>
      <c r="G18" s="59"/>
      <c r="H18" s="59"/>
      <c r="I18" s="59"/>
      <c r="J18" s="59"/>
      <c r="K18" s="59"/>
      <c r="L18" s="640">
        <f t="shared" si="1"/>
        <v>0</v>
      </c>
      <c r="M18" s="1091">
        <f t="shared" si="2"/>
        <v>0</v>
      </c>
      <c r="N18" s="505">
        <f t="shared" si="3"/>
        <v>0</v>
      </c>
      <c r="O18" s="505">
        <f t="shared" si="4"/>
        <v>0</v>
      </c>
      <c r="P18" s="38">
        <f t="shared" si="5"/>
        <v>0</v>
      </c>
    </row>
    <row r="19" spans="1:16" ht="20.100000000000001" customHeight="1" x14ac:dyDescent="0.25">
      <c r="A19" s="512">
        <v>11</v>
      </c>
      <c r="B19" s="198" t="str">
        <f t="shared" si="0"/>
        <v>Fania Mutiara Felichia</v>
      </c>
      <c r="C19" s="36" t="s">
        <v>4</v>
      </c>
      <c r="D19" s="59"/>
      <c r="E19" s="59"/>
      <c r="F19" s="59"/>
      <c r="G19" s="59"/>
      <c r="H19" s="59"/>
      <c r="I19" s="59"/>
      <c r="J19" s="59"/>
      <c r="K19" s="59"/>
      <c r="L19" s="640">
        <f t="shared" si="1"/>
        <v>0</v>
      </c>
      <c r="M19" s="1091">
        <f t="shared" si="2"/>
        <v>0</v>
      </c>
      <c r="N19" s="505">
        <f t="shared" si="3"/>
        <v>0</v>
      </c>
      <c r="O19" s="505">
        <f t="shared" si="4"/>
        <v>0</v>
      </c>
      <c r="P19" s="38">
        <f t="shared" si="5"/>
        <v>0</v>
      </c>
    </row>
    <row r="20" spans="1:16" ht="20.100000000000001" customHeight="1" x14ac:dyDescent="0.25">
      <c r="A20" s="512">
        <v>12</v>
      </c>
      <c r="B20" s="198" t="str">
        <f t="shared" si="0"/>
        <v>Intan Dyah Nowari</v>
      </c>
      <c r="C20" s="36" t="s">
        <v>4</v>
      </c>
      <c r="D20" s="59"/>
      <c r="E20" s="59"/>
      <c r="F20" s="59"/>
      <c r="G20" s="59"/>
      <c r="H20" s="59"/>
      <c r="I20" s="59"/>
      <c r="J20" s="59"/>
      <c r="K20" s="59"/>
      <c r="L20" s="640">
        <f t="shared" si="1"/>
        <v>0</v>
      </c>
      <c r="M20" s="1091">
        <f t="shared" si="2"/>
        <v>0</v>
      </c>
      <c r="N20" s="505">
        <f t="shared" si="3"/>
        <v>0</v>
      </c>
      <c r="O20" s="505">
        <f t="shared" si="4"/>
        <v>0</v>
      </c>
      <c r="P20" s="38">
        <f t="shared" si="5"/>
        <v>0</v>
      </c>
    </row>
    <row r="21" spans="1:16" ht="20.100000000000001" customHeight="1" x14ac:dyDescent="0.25">
      <c r="A21" s="512">
        <v>13</v>
      </c>
      <c r="B21" s="198" t="str">
        <f t="shared" si="0"/>
        <v>Misyanita Nurfitri S</v>
      </c>
      <c r="C21" s="36" t="s">
        <v>5</v>
      </c>
      <c r="D21" s="59"/>
      <c r="E21" s="59"/>
      <c r="F21" s="59"/>
      <c r="G21" s="59"/>
      <c r="H21" s="59"/>
      <c r="I21" s="59"/>
      <c r="J21" s="59"/>
      <c r="K21" s="59"/>
      <c r="L21" s="640">
        <f t="shared" si="1"/>
        <v>0</v>
      </c>
      <c r="M21" s="1091">
        <f t="shared" si="2"/>
        <v>0</v>
      </c>
      <c r="N21" s="505">
        <f t="shared" si="3"/>
        <v>0</v>
      </c>
      <c r="O21" s="505">
        <f t="shared" si="4"/>
        <v>0</v>
      </c>
      <c r="P21" s="38">
        <f t="shared" si="5"/>
        <v>0</v>
      </c>
    </row>
    <row r="22" spans="1:16" ht="20.100000000000001" customHeight="1" x14ac:dyDescent="0.25">
      <c r="A22" s="512">
        <v>14</v>
      </c>
      <c r="B22" s="198" t="str">
        <f t="shared" si="0"/>
        <v>Moch Zidane Hita L. U</v>
      </c>
      <c r="C22" s="36" t="s">
        <v>4</v>
      </c>
      <c r="D22" s="59"/>
      <c r="E22" s="59"/>
      <c r="F22" s="59"/>
      <c r="G22" s="59"/>
      <c r="H22" s="59"/>
      <c r="I22" s="59"/>
      <c r="J22" s="59"/>
      <c r="K22" s="59"/>
      <c r="L22" s="640">
        <f t="shared" si="1"/>
        <v>0</v>
      </c>
      <c r="M22" s="1091">
        <f t="shared" si="2"/>
        <v>0</v>
      </c>
      <c r="N22" s="505">
        <f t="shared" si="3"/>
        <v>0</v>
      </c>
      <c r="O22" s="505">
        <f t="shared" si="4"/>
        <v>0</v>
      </c>
      <c r="P22" s="38">
        <f t="shared" si="5"/>
        <v>0</v>
      </c>
    </row>
    <row r="23" spans="1:16" ht="20.100000000000001" customHeight="1" x14ac:dyDescent="0.25">
      <c r="A23" s="512">
        <v>15</v>
      </c>
      <c r="B23" s="198" t="str">
        <f t="shared" si="0"/>
        <v>Muhammad Ibra Maulana</v>
      </c>
      <c r="C23" s="36" t="s">
        <v>4</v>
      </c>
      <c r="D23" s="59"/>
      <c r="E23" s="59"/>
      <c r="F23" s="59"/>
      <c r="G23" s="59"/>
      <c r="H23" s="59"/>
      <c r="I23" s="59"/>
      <c r="J23" s="59"/>
      <c r="K23" s="59"/>
      <c r="L23" s="640">
        <f t="shared" si="1"/>
        <v>0</v>
      </c>
      <c r="M23" s="1091">
        <f t="shared" si="2"/>
        <v>0</v>
      </c>
      <c r="N23" s="505">
        <f t="shared" si="3"/>
        <v>0</v>
      </c>
      <c r="O23" s="505">
        <f t="shared" si="4"/>
        <v>0</v>
      </c>
      <c r="P23" s="38">
        <f t="shared" si="5"/>
        <v>0</v>
      </c>
    </row>
    <row r="24" spans="1:16" ht="20.100000000000001" customHeight="1" x14ac:dyDescent="0.25">
      <c r="A24" s="512">
        <v>16</v>
      </c>
      <c r="B24" s="198" t="str">
        <f t="shared" si="0"/>
        <v>Nabilla Shiva Putri</v>
      </c>
      <c r="C24" s="36" t="s">
        <v>4</v>
      </c>
      <c r="D24" s="59"/>
      <c r="E24" s="59"/>
      <c r="F24" s="59"/>
      <c r="G24" s="59"/>
      <c r="H24" s="59"/>
      <c r="I24" s="59"/>
      <c r="J24" s="59"/>
      <c r="K24" s="59"/>
      <c r="L24" s="640">
        <f t="shared" si="1"/>
        <v>0</v>
      </c>
      <c r="M24" s="1091">
        <f t="shared" si="2"/>
        <v>0</v>
      </c>
      <c r="N24" s="505">
        <f t="shared" si="3"/>
        <v>0</v>
      </c>
      <c r="O24" s="505">
        <f t="shared" si="4"/>
        <v>0</v>
      </c>
      <c r="P24" s="38">
        <f t="shared" si="5"/>
        <v>0</v>
      </c>
    </row>
    <row r="25" spans="1:16" ht="20.100000000000001" customHeight="1" x14ac:dyDescent="0.25">
      <c r="A25" s="512">
        <v>17</v>
      </c>
      <c r="B25" s="198" t="str">
        <f t="shared" si="0"/>
        <v>Naufal Falih F</v>
      </c>
      <c r="C25" s="36" t="s">
        <v>5</v>
      </c>
      <c r="D25" s="59"/>
      <c r="E25" s="59"/>
      <c r="F25" s="59"/>
      <c r="G25" s="59"/>
      <c r="H25" s="59"/>
      <c r="I25" s="59"/>
      <c r="J25" s="59"/>
      <c r="K25" s="59"/>
      <c r="L25" s="640">
        <f t="shared" si="1"/>
        <v>0</v>
      </c>
      <c r="M25" s="1091">
        <f t="shared" si="2"/>
        <v>0</v>
      </c>
      <c r="N25" s="505">
        <f t="shared" si="3"/>
        <v>0</v>
      </c>
      <c r="O25" s="505">
        <f t="shared" si="4"/>
        <v>0</v>
      </c>
      <c r="P25" s="38">
        <f t="shared" si="5"/>
        <v>0</v>
      </c>
    </row>
    <row r="26" spans="1:16" ht="20.100000000000001" customHeight="1" x14ac:dyDescent="0.25">
      <c r="A26" s="512">
        <v>18</v>
      </c>
      <c r="B26" s="198" t="str">
        <f t="shared" si="0"/>
        <v>Nayla Annora Nobel W</v>
      </c>
      <c r="C26" s="36" t="s">
        <v>4</v>
      </c>
      <c r="D26" s="59"/>
      <c r="E26" s="59"/>
      <c r="F26" s="59"/>
      <c r="G26" s="59"/>
      <c r="H26" s="59"/>
      <c r="I26" s="59"/>
      <c r="J26" s="59"/>
      <c r="K26" s="59"/>
      <c r="L26" s="640">
        <f t="shared" si="1"/>
        <v>0</v>
      </c>
      <c r="M26" s="1091">
        <f t="shared" si="2"/>
        <v>0</v>
      </c>
      <c r="N26" s="505">
        <f t="shared" si="3"/>
        <v>0</v>
      </c>
      <c r="O26" s="505">
        <f t="shared" si="4"/>
        <v>0</v>
      </c>
      <c r="P26" s="38">
        <f t="shared" si="5"/>
        <v>0</v>
      </c>
    </row>
    <row r="27" spans="1:16" ht="20.100000000000001" customHeight="1" x14ac:dyDescent="0.25">
      <c r="A27" s="512">
        <v>19</v>
      </c>
      <c r="B27" s="198" t="str">
        <f t="shared" si="0"/>
        <v>Raihan Danang P</v>
      </c>
      <c r="C27" s="36" t="s">
        <v>5</v>
      </c>
      <c r="D27" s="59"/>
      <c r="E27" s="59"/>
      <c r="F27" s="59"/>
      <c r="G27" s="59"/>
      <c r="H27" s="59"/>
      <c r="I27" s="59"/>
      <c r="J27" s="59"/>
      <c r="K27" s="59"/>
      <c r="L27" s="640">
        <f t="shared" si="1"/>
        <v>0</v>
      </c>
      <c r="M27" s="1091">
        <f t="shared" si="2"/>
        <v>0</v>
      </c>
      <c r="N27" s="505">
        <f t="shared" si="3"/>
        <v>0</v>
      </c>
      <c r="O27" s="505">
        <f t="shared" si="4"/>
        <v>0</v>
      </c>
      <c r="P27" s="38">
        <f t="shared" si="5"/>
        <v>0</v>
      </c>
    </row>
    <row r="28" spans="1:16" ht="20.100000000000001" customHeight="1" x14ac:dyDescent="0.25">
      <c r="A28" s="512">
        <v>20</v>
      </c>
      <c r="B28" s="198" t="str">
        <f t="shared" si="0"/>
        <v>Roby Ardiyansyah</v>
      </c>
      <c r="C28" s="36" t="s">
        <v>5</v>
      </c>
      <c r="D28" s="512"/>
      <c r="E28" s="512"/>
      <c r="F28" s="512"/>
      <c r="G28" s="512"/>
      <c r="H28" s="512"/>
      <c r="I28" s="512"/>
      <c r="J28" s="512"/>
      <c r="K28" s="512"/>
      <c r="L28" s="640">
        <f t="shared" si="1"/>
        <v>0</v>
      </c>
      <c r="M28" s="1091">
        <f t="shared" si="2"/>
        <v>0</v>
      </c>
      <c r="N28" s="505">
        <f t="shared" si="3"/>
        <v>0</v>
      </c>
      <c r="O28" s="505">
        <f t="shared" si="4"/>
        <v>0</v>
      </c>
      <c r="P28" s="38">
        <f t="shared" si="5"/>
        <v>0</v>
      </c>
    </row>
    <row r="29" spans="1:16" ht="20.100000000000001" customHeight="1" x14ac:dyDescent="0.25">
      <c r="A29" s="512">
        <v>21</v>
      </c>
      <c r="B29" s="198" t="str">
        <f t="shared" si="0"/>
        <v>Rojalingga Prana A</v>
      </c>
      <c r="C29" s="44" t="s">
        <v>4</v>
      </c>
      <c r="D29" s="59"/>
      <c r="E29" s="59"/>
      <c r="F29" s="59"/>
      <c r="G29" s="59"/>
      <c r="H29" s="59"/>
      <c r="I29" s="59"/>
      <c r="J29" s="59"/>
      <c r="K29" s="59"/>
      <c r="L29" s="640">
        <f t="shared" si="1"/>
        <v>0</v>
      </c>
      <c r="M29" s="1091">
        <f t="shared" si="2"/>
        <v>0</v>
      </c>
      <c r="N29" s="505">
        <f t="shared" si="3"/>
        <v>0</v>
      </c>
      <c r="O29" s="505">
        <f t="shared" si="4"/>
        <v>0</v>
      </c>
      <c r="P29" s="38">
        <f t="shared" si="5"/>
        <v>0</v>
      </c>
    </row>
    <row r="30" spans="1:16" ht="20.100000000000001" customHeight="1" x14ac:dyDescent="0.25">
      <c r="A30" s="512">
        <v>22</v>
      </c>
      <c r="B30" s="198" t="str">
        <f t="shared" si="0"/>
        <v>Sally Savista A</v>
      </c>
      <c r="C30" s="45" t="s">
        <v>4</v>
      </c>
      <c r="D30" s="512"/>
      <c r="E30" s="512"/>
      <c r="F30" s="512"/>
      <c r="G30" s="512"/>
      <c r="H30" s="512"/>
      <c r="I30" s="512"/>
      <c r="J30" s="512"/>
      <c r="K30" s="512"/>
      <c r="L30" s="640">
        <f t="shared" si="1"/>
        <v>0</v>
      </c>
      <c r="M30" s="1091">
        <f t="shared" si="2"/>
        <v>0</v>
      </c>
      <c r="N30" s="505">
        <f t="shared" si="3"/>
        <v>0</v>
      </c>
      <c r="O30" s="505">
        <f t="shared" si="4"/>
        <v>0</v>
      </c>
      <c r="P30" s="38">
        <f t="shared" si="5"/>
        <v>0</v>
      </c>
    </row>
    <row r="31" spans="1:16" ht="20.100000000000001" customHeight="1" x14ac:dyDescent="0.25">
      <c r="A31" s="512">
        <v>23</v>
      </c>
      <c r="B31" s="198" t="str">
        <f t="shared" si="0"/>
        <v xml:space="preserve">Tania Kaori Angelita </v>
      </c>
      <c r="C31" s="45" t="s">
        <v>5</v>
      </c>
      <c r="D31" s="512"/>
      <c r="E31" s="512"/>
      <c r="F31" s="512"/>
      <c r="G31" s="512"/>
      <c r="H31" s="512"/>
      <c r="I31" s="512"/>
      <c r="J31" s="512"/>
      <c r="K31" s="512"/>
      <c r="L31" s="640">
        <f t="shared" si="1"/>
        <v>0</v>
      </c>
      <c r="M31" s="1091">
        <f t="shared" si="2"/>
        <v>0</v>
      </c>
      <c r="N31" s="505">
        <f t="shared" si="3"/>
        <v>0</v>
      </c>
      <c r="O31" s="505">
        <f t="shared" si="4"/>
        <v>0</v>
      </c>
      <c r="P31" s="38">
        <f t="shared" si="5"/>
        <v>0</v>
      </c>
    </row>
    <row r="32" spans="1:16" ht="20.100000000000001" customHeight="1" x14ac:dyDescent="0.25">
      <c r="A32" s="512">
        <v>24</v>
      </c>
      <c r="B32" s="198" t="str">
        <f t="shared" si="0"/>
        <v>Romzy Oka Ramadhani P</v>
      </c>
      <c r="C32" s="45" t="s">
        <v>5</v>
      </c>
      <c r="D32" s="512"/>
      <c r="E32" s="512"/>
      <c r="F32" s="512"/>
      <c r="G32" s="512"/>
      <c r="H32" s="512"/>
      <c r="I32" s="512"/>
      <c r="J32" s="512"/>
      <c r="K32" s="512"/>
      <c r="L32" s="640">
        <f t="shared" si="1"/>
        <v>0</v>
      </c>
      <c r="M32" s="1091">
        <f t="shared" si="2"/>
        <v>0</v>
      </c>
      <c r="N32" s="505">
        <f t="shared" si="3"/>
        <v>0</v>
      </c>
      <c r="O32" s="505">
        <f t="shared" si="4"/>
        <v>0</v>
      </c>
      <c r="P32" s="38">
        <f t="shared" si="5"/>
        <v>0</v>
      </c>
    </row>
    <row r="33" spans="1:16" ht="20.100000000000001" customHeight="1" x14ac:dyDescent="0.25">
      <c r="A33" s="512">
        <v>25</v>
      </c>
      <c r="B33" s="198" t="str">
        <f t="shared" si="0"/>
        <v>Larasati Jagadhita P</v>
      </c>
      <c r="C33" s="36" t="s">
        <v>4</v>
      </c>
      <c r="D33" s="512"/>
      <c r="E33" s="512"/>
      <c r="F33" s="512"/>
      <c r="G33" s="512"/>
      <c r="H33" s="512"/>
      <c r="I33" s="512"/>
      <c r="J33" s="512"/>
      <c r="K33" s="512"/>
      <c r="L33" s="640">
        <f t="shared" si="1"/>
        <v>0</v>
      </c>
      <c r="M33" s="1091">
        <f t="shared" si="2"/>
        <v>0</v>
      </c>
      <c r="N33" s="505">
        <f t="shared" si="3"/>
        <v>0</v>
      </c>
      <c r="O33" s="505">
        <f t="shared" si="4"/>
        <v>0</v>
      </c>
      <c r="P33" s="38">
        <f t="shared" si="5"/>
        <v>0</v>
      </c>
    </row>
    <row r="34" spans="1:16" ht="20.100000000000001" customHeight="1" x14ac:dyDescent="0.25">
      <c r="A34" s="512">
        <v>26</v>
      </c>
      <c r="B34" s="198" t="str">
        <f t="shared" si="0"/>
        <v>Meliana Citra A</v>
      </c>
      <c r="C34" s="36" t="s">
        <v>5</v>
      </c>
      <c r="D34" s="512"/>
      <c r="E34" s="512"/>
      <c r="F34" s="512"/>
      <c r="G34" s="512"/>
      <c r="H34" s="512"/>
      <c r="I34" s="512"/>
      <c r="J34" s="512"/>
      <c r="K34" s="512"/>
      <c r="L34" s="640">
        <f t="shared" si="1"/>
        <v>0</v>
      </c>
      <c r="M34" s="1091">
        <f t="shared" si="2"/>
        <v>0</v>
      </c>
      <c r="N34" s="505">
        <f t="shared" si="3"/>
        <v>0</v>
      </c>
      <c r="O34" s="505">
        <f t="shared" si="4"/>
        <v>0</v>
      </c>
      <c r="P34" s="38">
        <f t="shared" si="5"/>
        <v>0</v>
      </c>
    </row>
    <row r="35" spans="1:16" ht="20.100000000000001" customHeight="1" x14ac:dyDescent="0.25">
      <c r="A35" s="512">
        <v>27</v>
      </c>
      <c r="B35" s="198" t="str">
        <f t="shared" si="0"/>
        <v>Mohammad Rizky</v>
      </c>
      <c r="C35" s="36" t="s">
        <v>4</v>
      </c>
      <c r="D35" s="512"/>
      <c r="E35" s="512"/>
      <c r="F35" s="512"/>
      <c r="G35" s="512"/>
      <c r="H35" s="512"/>
      <c r="I35" s="512"/>
      <c r="J35" s="512"/>
      <c r="K35" s="512"/>
      <c r="L35" s="640">
        <f t="shared" si="1"/>
        <v>0</v>
      </c>
      <c r="M35" s="1091">
        <f t="shared" si="2"/>
        <v>0</v>
      </c>
      <c r="N35" s="505">
        <f t="shared" si="3"/>
        <v>0</v>
      </c>
      <c r="O35" s="505">
        <f t="shared" si="4"/>
        <v>0</v>
      </c>
      <c r="P35" s="38">
        <f t="shared" si="5"/>
        <v>0</v>
      </c>
    </row>
    <row r="36" spans="1:16" ht="20.100000000000001" customHeight="1" x14ac:dyDescent="0.25">
      <c r="A36" s="512">
        <v>28</v>
      </c>
      <c r="B36" s="198" t="e">
        <f t="shared" si="0"/>
        <v>#N/A</v>
      </c>
      <c r="C36" s="36" t="s">
        <v>4</v>
      </c>
      <c r="D36" s="512"/>
      <c r="E36" s="512"/>
      <c r="F36" s="512"/>
      <c r="G36" s="512"/>
      <c r="H36" s="512"/>
      <c r="I36" s="512"/>
      <c r="J36" s="512"/>
      <c r="K36" s="512"/>
      <c r="L36" s="640">
        <f t="shared" si="1"/>
        <v>0</v>
      </c>
      <c r="M36" s="1091">
        <f t="shared" si="2"/>
        <v>0</v>
      </c>
      <c r="N36" s="505">
        <f t="shared" si="3"/>
        <v>0</v>
      </c>
      <c r="O36" s="505">
        <f t="shared" si="4"/>
        <v>0</v>
      </c>
      <c r="P36" s="38">
        <f t="shared" si="5"/>
        <v>0</v>
      </c>
    </row>
    <row r="37" spans="1:16" ht="20.100000000000001" customHeight="1" x14ac:dyDescent="0.25">
      <c r="A37" s="512">
        <v>29</v>
      </c>
      <c r="B37" s="198" t="e">
        <f t="shared" si="0"/>
        <v>#N/A</v>
      </c>
      <c r="C37" s="36" t="s">
        <v>4</v>
      </c>
      <c r="D37" s="512"/>
      <c r="E37" s="512"/>
      <c r="F37" s="512"/>
      <c r="G37" s="512"/>
      <c r="H37" s="512"/>
      <c r="I37" s="512"/>
      <c r="J37" s="512"/>
      <c r="K37" s="512"/>
      <c r="L37" s="640">
        <f t="shared" si="1"/>
        <v>0</v>
      </c>
      <c r="M37" s="1091">
        <f t="shared" si="2"/>
        <v>0</v>
      </c>
      <c r="N37" s="505">
        <f t="shared" si="3"/>
        <v>0</v>
      </c>
      <c r="O37" s="505">
        <f t="shared" si="4"/>
        <v>0</v>
      </c>
      <c r="P37" s="38">
        <f t="shared" si="5"/>
        <v>0</v>
      </c>
    </row>
    <row r="38" spans="1:16" ht="20.100000000000001" customHeight="1" x14ac:dyDescent="0.25">
      <c r="A38" s="512">
        <v>30</v>
      </c>
      <c r="B38" s="198" t="e">
        <f t="shared" si="0"/>
        <v>#N/A</v>
      </c>
      <c r="C38" s="36" t="s">
        <v>5</v>
      </c>
      <c r="D38" s="512"/>
      <c r="E38" s="512"/>
      <c r="F38" s="512"/>
      <c r="G38" s="512"/>
      <c r="H38" s="512"/>
      <c r="I38" s="512"/>
      <c r="J38" s="512"/>
      <c r="K38" s="512"/>
      <c r="L38" s="640">
        <f t="shared" si="1"/>
        <v>0</v>
      </c>
      <c r="M38" s="1091">
        <f t="shared" si="2"/>
        <v>0</v>
      </c>
      <c r="N38" s="505">
        <f t="shared" si="3"/>
        <v>0</v>
      </c>
      <c r="O38" s="505">
        <f t="shared" si="4"/>
        <v>0</v>
      </c>
      <c r="P38" s="38">
        <f t="shared" si="5"/>
        <v>0</v>
      </c>
    </row>
    <row r="39" spans="1:16" ht="20.100000000000001" customHeight="1" x14ac:dyDescent="0.25">
      <c r="A39" s="512">
        <v>31</v>
      </c>
      <c r="B39" s="198" t="e">
        <f t="shared" si="0"/>
        <v>#N/A</v>
      </c>
      <c r="C39" s="36" t="s">
        <v>5</v>
      </c>
      <c r="D39" s="512"/>
      <c r="E39" s="512"/>
      <c r="F39" s="512"/>
      <c r="G39" s="512"/>
      <c r="H39" s="512"/>
      <c r="I39" s="512"/>
      <c r="J39" s="512"/>
      <c r="K39" s="512"/>
      <c r="L39" s="640">
        <f t="shared" si="1"/>
        <v>0</v>
      </c>
      <c r="M39" s="1091">
        <f t="shared" si="2"/>
        <v>0</v>
      </c>
      <c r="N39" s="505">
        <f t="shared" si="3"/>
        <v>0</v>
      </c>
      <c r="O39" s="505">
        <f t="shared" si="4"/>
        <v>0</v>
      </c>
      <c r="P39" s="38">
        <f t="shared" si="5"/>
        <v>0</v>
      </c>
    </row>
    <row r="40" spans="1:16" ht="20.100000000000001" customHeight="1" x14ac:dyDescent="0.25">
      <c r="A40" s="512">
        <v>32</v>
      </c>
      <c r="B40" s="198" t="e">
        <f t="shared" si="0"/>
        <v>#N/A</v>
      </c>
      <c r="D40" s="512"/>
      <c r="E40" s="512"/>
      <c r="F40" s="512"/>
      <c r="G40" s="512"/>
      <c r="H40" s="512"/>
      <c r="I40" s="512"/>
      <c r="J40" s="512"/>
      <c r="K40" s="512"/>
      <c r="L40" s="640">
        <f t="shared" si="1"/>
        <v>0</v>
      </c>
      <c r="M40" s="1091">
        <f t="shared" si="2"/>
        <v>0</v>
      </c>
      <c r="N40" s="505">
        <f t="shared" si="3"/>
        <v>0</v>
      </c>
      <c r="O40" s="505">
        <f t="shared" si="4"/>
        <v>0</v>
      </c>
      <c r="P40" s="38">
        <f t="shared" si="5"/>
        <v>0</v>
      </c>
    </row>
    <row r="41" spans="1:16" ht="20.100000000000001" customHeight="1" x14ac:dyDescent="0.25">
      <c r="A41" s="512">
        <v>33</v>
      </c>
      <c r="B41" s="198" t="e">
        <f t="shared" si="0"/>
        <v>#N/A</v>
      </c>
      <c r="C41" s="36"/>
      <c r="D41" s="512"/>
      <c r="E41" s="512"/>
      <c r="F41" s="512"/>
      <c r="G41" s="512"/>
      <c r="H41" s="512"/>
      <c r="I41" s="512"/>
      <c r="J41" s="512"/>
      <c r="K41" s="512"/>
      <c r="L41" s="640">
        <f t="shared" si="1"/>
        <v>0</v>
      </c>
      <c r="M41" s="1091">
        <f t="shared" si="2"/>
        <v>0</v>
      </c>
      <c r="N41" s="505">
        <f t="shared" si="3"/>
        <v>0</v>
      </c>
      <c r="O41" s="505">
        <f t="shared" si="4"/>
        <v>0</v>
      </c>
      <c r="P41" s="38">
        <f t="shared" si="5"/>
        <v>0</v>
      </c>
    </row>
    <row r="42" spans="1:16" ht="20.100000000000001" customHeight="1" x14ac:dyDescent="0.25">
      <c r="A42" s="628">
        <v>34</v>
      </c>
      <c r="B42" s="198" t="e">
        <f t="shared" si="0"/>
        <v>#N/A</v>
      </c>
      <c r="C42" s="36"/>
      <c r="D42" s="628"/>
      <c r="E42" s="628"/>
      <c r="F42" s="628"/>
      <c r="G42" s="628"/>
      <c r="H42" s="628"/>
      <c r="I42" s="628"/>
      <c r="J42" s="628"/>
      <c r="K42" s="628"/>
      <c r="L42" s="640">
        <f t="shared" si="1"/>
        <v>0</v>
      </c>
      <c r="M42" s="1091">
        <f t="shared" si="2"/>
        <v>0</v>
      </c>
      <c r="N42" s="505">
        <f t="shared" si="3"/>
        <v>0</v>
      </c>
      <c r="O42" s="505">
        <f t="shared" si="4"/>
        <v>0</v>
      </c>
      <c r="P42" s="38">
        <f t="shared" si="5"/>
        <v>0</v>
      </c>
    </row>
    <row r="43" spans="1:16" ht="20.100000000000001" customHeight="1" x14ac:dyDescent="0.25">
      <c r="A43" s="628">
        <v>35</v>
      </c>
      <c r="B43" s="198" t="e">
        <f t="shared" si="0"/>
        <v>#N/A</v>
      </c>
      <c r="C43" s="36"/>
      <c r="D43" s="628"/>
      <c r="E43" s="628"/>
      <c r="F43" s="628"/>
      <c r="G43" s="628"/>
      <c r="H43" s="628"/>
      <c r="I43" s="628"/>
      <c r="J43" s="628"/>
      <c r="K43" s="628"/>
      <c r="L43" s="640">
        <f t="shared" si="1"/>
        <v>0</v>
      </c>
      <c r="M43" s="1091">
        <f t="shared" si="2"/>
        <v>0</v>
      </c>
      <c r="N43" s="505">
        <f t="shared" si="3"/>
        <v>0</v>
      </c>
      <c r="O43" s="505">
        <f t="shared" si="4"/>
        <v>0</v>
      </c>
      <c r="P43" s="38">
        <f t="shared" si="5"/>
        <v>0</v>
      </c>
    </row>
    <row r="44" spans="1:16" ht="20.100000000000001" customHeight="1" x14ac:dyDescent="0.25">
      <c r="A44" s="628">
        <v>36</v>
      </c>
      <c r="B44" s="198" t="e">
        <f t="shared" si="0"/>
        <v>#N/A</v>
      </c>
      <c r="C44" s="36"/>
      <c r="D44" s="628"/>
      <c r="E44" s="628"/>
      <c r="F44" s="628"/>
      <c r="G44" s="628"/>
      <c r="H44" s="628"/>
      <c r="I44" s="628"/>
      <c r="J44" s="628"/>
      <c r="K44" s="628"/>
      <c r="L44" s="640">
        <f t="shared" si="1"/>
        <v>0</v>
      </c>
      <c r="M44" s="1091">
        <f t="shared" si="2"/>
        <v>0</v>
      </c>
      <c r="N44" s="505">
        <f t="shared" si="3"/>
        <v>0</v>
      </c>
      <c r="O44" s="505">
        <f t="shared" si="4"/>
        <v>0</v>
      </c>
      <c r="P44" s="38">
        <f t="shared" si="5"/>
        <v>0</v>
      </c>
    </row>
    <row r="45" spans="1:16" ht="20.100000000000001" customHeight="1" x14ac:dyDescent="0.25">
      <c r="A45" s="628">
        <v>37</v>
      </c>
      <c r="B45" s="198" t="e">
        <f t="shared" si="0"/>
        <v>#N/A</v>
      </c>
      <c r="C45" s="36"/>
      <c r="D45" s="628"/>
      <c r="E45" s="628"/>
      <c r="F45" s="628"/>
      <c r="G45" s="628"/>
      <c r="H45" s="628"/>
      <c r="I45" s="628"/>
      <c r="J45" s="628"/>
      <c r="K45" s="628"/>
      <c r="L45" s="640">
        <f t="shared" si="1"/>
        <v>0</v>
      </c>
      <c r="M45" s="1091">
        <f t="shared" si="2"/>
        <v>0</v>
      </c>
      <c r="N45" s="505">
        <f t="shared" si="3"/>
        <v>0</v>
      </c>
      <c r="O45" s="505">
        <f t="shared" si="4"/>
        <v>0</v>
      </c>
      <c r="P45" s="38">
        <f t="shared" si="5"/>
        <v>0</v>
      </c>
    </row>
    <row r="46" spans="1:16" ht="20.100000000000001" customHeight="1" x14ac:dyDescent="0.25">
      <c r="A46" s="628">
        <v>38</v>
      </c>
      <c r="B46" s="198" t="e">
        <f t="shared" si="0"/>
        <v>#N/A</v>
      </c>
      <c r="C46" s="36"/>
      <c r="D46" s="628"/>
      <c r="E46" s="628"/>
      <c r="F46" s="628"/>
      <c r="G46" s="628"/>
      <c r="H46" s="628"/>
      <c r="I46" s="628"/>
      <c r="J46" s="628"/>
      <c r="K46" s="628"/>
      <c r="L46" s="640">
        <f t="shared" si="1"/>
        <v>0</v>
      </c>
      <c r="M46" s="1091">
        <f t="shared" si="2"/>
        <v>0</v>
      </c>
      <c r="N46" s="505">
        <f t="shared" si="3"/>
        <v>0</v>
      </c>
      <c r="O46" s="505">
        <f t="shared" si="4"/>
        <v>0</v>
      </c>
      <c r="P46" s="38">
        <f t="shared" si="5"/>
        <v>0</v>
      </c>
    </row>
    <row r="47" spans="1:16" ht="20.100000000000001" customHeight="1" x14ac:dyDescent="0.25">
      <c r="A47" s="628">
        <v>39</v>
      </c>
      <c r="B47" s="198" t="e">
        <f t="shared" si="0"/>
        <v>#N/A</v>
      </c>
      <c r="C47" s="36"/>
      <c r="D47" s="628"/>
      <c r="E47" s="628"/>
      <c r="F47" s="628"/>
      <c r="G47" s="628"/>
      <c r="H47" s="628"/>
      <c r="I47" s="628"/>
      <c r="J47" s="628"/>
      <c r="K47" s="628"/>
      <c r="L47" s="640">
        <f t="shared" si="1"/>
        <v>0</v>
      </c>
      <c r="M47" s="1091">
        <f t="shared" si="2"/>
        <v>0</v>
      </c>
      <c r="N47" s="505">
        <f t="shared" si="3"/>
        <v>0</v>
      </c>
      <c r="O47" s="505">
        <f t="shared" si="4"/>
        <v>0</v>
      </c>
      <c r="P47" s="38">
        <f t="shared" si="5"/>
        <v>0</v>
      </c>
    </row>
    <row r="48" spans="1:16" ht="20.100000000000001" customHeight="1" x14ac:dyDescent="0.25">
      <c r="A48" s="628">
        <v>40</v>
      </c>
      <c r="B48" s="198" t="e">
        <f t="shared" si="0"/>
        <v>#N/A</v>
      </c>
      <c r="C48" s="36"/>
      <c r="D48" s="628"/>
      <c r="E48" s="628"/>
      <c r="F48" s="628"/>
      <c r="G48" s="628"/>
      <c r="H48" s="628"/>
      <c r="I48" s="628"/>
      <c r="J48" s="628"/>
      <c r="K48" s="628"/>
      <c r="L48" s="640">
        <f t="shared" si="1"/>
        <v>0</v>
      </c>
      <c r="M48" s="1091">
        <f t="shared" si="2"/>
        <v>0</v>
      </c>
      <c r="N48" s="505">
        <f t="shared" si="3"/>
        <v>0</v>
      </c>
      <c r="O48" s="505">
        <f t="shared" si="4"/>
        <v>0</v>
      </c>
      <c r="P48" s="38">
        <f t="shared" si="5"/>
        <v>0</v>
      </c>
    </row>
  </sheetData>
  <mergeCells count="11">
    <mergeCell ref="M6:M8"/>
    <mergeCell ref="N6:N8"/>
    <mergeCell ref="O6:O8"/>
    <mergeCell ref="P6:P8"/>
    <mergeCell ref="A1:P1"/>
    <mergeCell ref="A2:P2"/>
    <mergeCell ref="A6:A8"/>
    <mergeCell ref="B6:B8"/>
    <mergeCell ref="C6:C8"/>
    <mergeCell ref="L6:L8"/>
    <mergeCell ref="D6:K6"/>
  </mergeCells>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00B050"/>
  </sheetPr>
  <dimension ref="A1:P48"/>
  <sheetViews>
    <sheetView showGridLines="0" workbookViewId="0">
      <pane xSplit="2" ySplit="8" topLeftCell="C42"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544" t="s">
        <v>460</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146" t="s">
        <v>586</v>
      </c>
      <c r="E6" s="3147"/>
      <c r="F6" s="3147"/>
      <c r="G6" s="3147"/>
      <c r="H6" s="3147"/>
      <c r="I6" s="3147"/>
      <c r="J6" s="3147"/>
      <c r="K6" s="3148"/>
      <c r="L6" s="3130" t="s">
        <v>160</v>
      </c>
      <c r="M6" s="3232" t="s">
        <v>29</v>
      </c>
      <c r="N6" s="3232" t="s">
        <v>30</v>
      </c>
      <c r="O6" s="3232" t="s">
        <v>31</v>
      </c>
      <c r="P6" s="3149" t="s">
        <v>32</v>
      </c>
    </row>
    <row r="7" spans="1:16" s="30" customFormat="1" ht="20.25" customHeight="1" x14ac:dyDescent="0.25">
      <c r="A7" s="3231"/>
      <c r="B7" s="3231"/>
      <c r="C7" s="3231"/>
      <c r="D7" s="31" t="s">
        <v>29</v>
      </c>
      <c r="E7" s="31" t="s">
        <v>29</v>
      </c>
      <c r="F7" s="31" t="s">
        <v>29</v>
      </c>
      <c r="G7" s="31" t="s">
        <v>29</v>
      </c>
      <c r="H7" s="31" t="s">
        <v>29</v>
      </c>
      <c r="I7" s="31" t="s">
        <v>29</v>
      </c>
      <c r="J7" s="938"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0</v>
      </c>
      <c r="F9" s="200">
        <v>1</v>
      </c>
      <c r="G9" s="200">
        <v>1</v>
      </c>
      <c r="H9" s="200">
        <v>1</v>
      </c>
      <c r="I9" s="200">
        <v>2</v>
      </c>
      <c r="J9" s="200">
        <v>0</v>
      </c>
      <c r="K9" s="200">
        <v>3</v>
      </c>
      <c r="L9" s="640">
        <f>SUM(D9:K9)*100/12</f>
        <v>75</v>
      </c>
      <c r="M9" s="505">
        <f>SUM(D9:H9)+J9</f>
        <v>4</v>
      </c>
      <c r="N9" s="505">
        <f>I9</f>
        <v>2</v>
      </c>
      <c r="O9" s="505">
        <f>K9</f>
        <v>3</v>
      </c>
      <c r="P9" s="38">
        <f>L9</f>
        <v>75</v>
      </c>
    </row>
    <row r="10" spans="1:16" ht="20.100000000000001" customHeight="1" x14ac:dyDescent="0.25">
      <c r="A10" s="562">
        <v>2</v>
      </c>
      <c r="B10" s="35" t="str">
        <f>dtsiswa!D8</f>
        <v>Angelia Vabel R</v>
      </c>
      <c r="C10" s="36" t="s">
        <v>4</v>
      </c>
      <c r="D10" s="200"/>
      <c r="E10" s="200"/>
      <c r="F10" s="200"/>
      <c r="G10" s="200"/>
      <c r="H10" s="200"/>
      <c r="I10" s="200"/>
      <c r="J10" s="200"/>
      <c r="K10" s="200"/>
      <c r="L10" s="640">
        <f t="shared" ref="L10:L43" si="0">SUM(D10:K10)*100/12</f>
        <v>0</v>
      </c>
      <c r="M10" s="505">
        <f t="shared" ref="M10:M43" si="1">SUM(D10:H10)+J10</f>
        <v>0</v>
      </c>
      <c r="N10" s="505">
        <f t="shared" ref="N10:N43" si="2">I10</f>
        <v>0</v>
      </c>
      <c r="O10" s="505">
        <f t="shared" ref="O10:P43" si="3">K10</f>
        <v>0</v>
      </c>
      <c r="P10" s="38">
        <f t="shared" si="3"/>
        <v>0</v>
      </c>
    </row>
    <row r="11" spans="1:16" ht="20.100000000000001" customHeight="1" x14ac:dyDescent="0.25">
      <c r="A11" s="562">
        <v>3</v>
      </c>
      <c r="B11" s="35" t="str">
        <f>dtsiswa!D9</f>
        <v>Anggun Dwi P.I</v>
      </c>
      <c r="C11" s="36" t="s">
        <v>4</v>
      </c>
      <c r="D11" s="200"/>
      <c r="E11" s="200"/>
      <c r="F11" s="200"/>
      <c r="G11" s="200"/>
      <c r="H11" s="200"/>
      <c r="I11" s="200"/>
      <c r="J11" s="200"/>
      <c r="K11" s="200"/>
      <c r="L11" s="640">
        <f t="shared" si="0"/>
        <v>0</v>
      </c>
      <c r="M11" s="505">
        <f t="shared" si="1"/>
        <v>0</v>
      </c>
      <c r="N11" s="505">
        <f t="shared" si="2"/>
        <v>0</v>
      </c>
      <c r="O11" s="505">
        <f t="shared" si="3"/>
        <v>0</v>
      </c>
      <c r="P11" s="38">
        <f t="shared" si="3"/>
        <v>0</v>
      </c>
    </row>
    <row r="12" spans="1:16" ht="20.100000000000001" customHeight="1" x14ac:dyDescent="0.25">
      <c r="A12" s="562">
        <v>4</v>
      </c>
      <c r="B12" s="35" t="str">
        <f>dtsiswa!D10</f>
        <v>Antonio Permata A</v>
      </c>
      <c r="C12" s="43" t="s">
        <v>4</v>
      </c>
      <c r="D12" s="59"/>
      <c r="E12" s="59"/>
      <c r="F12" s="59"/>
      <c r="G12" s="59"/>
      <c r="H12" s="59"/>
      <c r="I12" s="59"/>
      <c r="J12" s="59"/>
      <c r="K12" s="59"/>
      <c r="L12" s="640">
        <f t="shared" si="0"/>
        <v>0</v>
      </c>
      <c r="M12" s="505">
        <f t="shared" si="1"/>
        <v>0</v>
      </c>
      <c r="N12" s="505">
        <f t="shared" si="2"/>
        <v>0</v>
      </c>
      <c r="O12" s="505">
        <f t="shared" si="3"/>
        <v>0</v>
      </c>
      <c r="P12" s="38">
        <f t="shared" si="3"/>
        <v>0</v>
      </c>
    </row>
    <row r="13" spans="1:16" ht="20.100000000000001" customHeight="1" x14ac:dyDescent="0.25">
      <c r="A13" s="562">
        <v>5</v>
      </c>
      <c r="B13" s="35" t="str">
        <f>dtsiswa!D11</f>
        <v>Arya Pratama G</v>
      </c>
      <c r="C13" s="36" t="s">
        <v>5</v>
      </c>
      <c r="D13" s="59"/>
      <c r="E13" s="59"/>
      <c r="F13" s="59"/>
      <c r="G13" s="59"/>
      <c r="H13" s="59"/>
      <c r="I13" s="59"/>
      <c r="J13" s="59"/>
      <c r="K13" s="59"/>
      <c r="L13" s="640">
        <f t="shared" si="0"/>
        <v>0</v>
      </c>
      <c r="M13" s="505">
        <f t="shared" si="1"/>
        <v>0</v>
      </c>
      <c r="N13" s="505">
        <f t="shared" si="2"/>
        <v>0</v>
      </c>
      <c r="O13" s="505">
        <f t="shared" si="3"/>
        <v>0</v>
      </c>
      <c r="P13" s="38">
        <f t="shared" si="3"/>
        <v>0</v>
      </c>
    </row>
    <row r="14" spans="1:16" ht="20.100000000000001" customHeight="1" x14ac:dyDescent="0.25">
      <c r="A14" s="562">
        <v>6</v>
      </c>
      <c r="B14" s="35" t="str">
        <f>dtsiswa!D12</f>
        <v>Asyam Hanif Ihsan H</v>
      </c>
      <c r="C14" s="36" t="s">
        <v>5</v>
      </c>
      <c r="D14" s="59"/>
      <c r="E14" s="59"/>
      <c r="F14" s="59"/>
      <c r="G14" s="59"/>
      <c r="H14" s="59"/>
      <c r="I14" s="59"/>
      <c r="J14" s="59"/>
      <c r="K14" s="59"/>
      <c r="L14" s="640">
        <f t="shared" si="0"/>
        <v>0</v>
      </c>
      <c r="M14" s="505">
        <f t="shared" si="1"/>
        <v>0</v>
      </c>
      <c r="N14" s="505">
        <f t="shared" si="2"/>
        <v>0</v>
      </c>
      <c r="O14" s="505">
        <f t="shared" si="3"/>
        <v>0</v>
      </c>
      <c r="P14" s="38">
        <f t="shared" si="3"/>
        <v>0</v>
      </c>
    </row>
    <row r="15" spans="1:16" ht="20.100000000000001" customHeight="1" x14ac:dyDescent="0.25">
      <c r="A15" s="562">
        <v>7</v>
      </c>
      <c r="B15" s="35" t="str">
        <f>dtsiswa!D13</f>
        <v>Athaya Salsabilla Z</v>
      </c>
      <c r="C15" s="36" t="s">
        <v>4</v>
      </c>
      <c r="D15" s="59"/>
      <c r="E15" s="59"/>
      <c r="F15" s="59"/>
      <c r="G15" s="59"/>
      <c r="H15" s="59"/>
      <c r="I15" s="59"/>
      <c r="J15" s="59"/>
      <c r="K15" s="59"/>
      <c r="L15" s="640">
        <f t="shared" si="0"/>
        <v>0</v>
      </c>
      <c r="M15" s="505">
        <f t="shared" si="1"/>
        <v>0</v>
      </c>
      <c r="N15" s="505">
        <f t="shared" si="2"/>
        <v>0</v>
      </c>
      <c r="O15" s="505">
        <f t="shared" si="3"/>
        <v>0</v>
      </c>
      <c r="P15" s="38">
        <f t="shared" si="3"/>
        <v>0</v>
      </c>
    </row>
    <row r="16" spans="1:16" ht="20.100000000000001" customHeight="1" x14ac:dyDescent="0.25">
      <c r="A16" s="562">
        <v>8</v>
      </c>
      <c r="B16" s="35" t="str">
        <f>dtsiswa!D14</f>
        <v>Aulia Dea Rosalinda</v>
      </c>
      <c r="C16" s="36" t="s">
        <v>4</v>
      </c>
      <c r="D16" s="59"/>
      <c r="E16" s="59"/>
      <c r="F16" s="59"/>
      <c r="G16" s="59"/>
      <c r="H16" s="59"/>
      <c r="I16" s="59"/>
      <c r="J16" s="59"/>
      <c r="K16" s="59"/>
      <c r="L16" s="640">
        <f t="shared" si="0"/>
        <v>0</v>
      </c>
      <c r="M16" s="505">
        <f t="shared" si="1"/>
        <v>0</v>
      </c>
      <c r="N16" s="505">
        <f t="shared" si="2"/>
        <v>0</v>
      </c>
      <c r="O16" s="505">
        <f t="shared" si="3"/>
        <v>0</v>
      </c>
      <c r="P16" s="38">
        <f t="shared" si="3"/>
        <v>0</v>
      </c>
    </row>
    <row r="17" spans="1:16" ht="20.100000000000001" customHeight="1" x14ac:dyDescent="0.25">
      <c r="A17" s="562">
        <v>9</v>
      </c>
      <c r="B17" s="35" t="str">
        <f>dtsiswa!D15</f>
        <v>Claudia Gabriella L</v>
      </c>
      <c r="C17" s="36" t="s">
        <v>4</v>
      </c>
      <c r="D17" s="59"/>
      <c r="E17" s="59"/>
      <c r="F17" s="59"/>
      <c r="G17" s="59"/>
      <c r="H17" s="59"/>
      <c r="I17" s="59"/>
      <c r="J17" s="59"/>
      <c r="K17" s="59"/>
      <c r="L17" s="640">
        <f t="shared" si="0"/>
        <v>0</v>
      </c>
      <c r="M17" s="505">
        <f t="shared" si="1"/>
        <v>0</v>
      </c>
      <c r="N17" s="505">
        <f t="shared" si="2"/>
        <v>0</v>
      </c>
      <c r="O17" s="505">
        <f t="shared" si="3"/>
        <v>0</v>
      </c>
      <c r="P17" s="38">
        <f t="shared" si="3"/>
        <v>0</v>
      </c>
    </row>
    <row r="18" spans="1:16" ht="20.100000000000001" customHeight="1" x14ac:dyDescent="0.25">
      <c r="A18" s="562">
        <v>10</v>
      </c>
      <c r="B18" s="35" t="str">
        <f>dtsiswa!D16</f>
        <v xml:space="preserve">Deco Badarus Zaman </v>
      </c>
      <c r="C18" s="36" t="s">
        <v>4</v>
      </c>
      <c r="D18" s="59"/>
      <c r="E18" s="59"/>
      <c r="F18" s="59"/>
      <c r="G18" s="59"/>
      <c r="H18" s="59"/>
      <c r="I18" s="59"/>
      <c r="J18" s="59"/>
      <c r="K18" s="59"/>
      <c r="L18" s="640">
        <f t="shared" si="0"/>
        <v>0</v>
      </c>
      <c r="M18" s="505">
        <f t="shared" si="1"/>
        <v>0</v>
      </c>
      <c r="N18" s="505">
        <f t="shared" si="2"/>
        <v>0</v>
      </c>
      <c r="O18" s="505">
        <f t="shared" si="3"/>
        <v>0</v>
      </c>
      <c r="P18" s="38">
        <f t="shared" si="3"/>
        <v>0</v>
      </c>
    </row>
    <row r="19" spans="1:16" ht="20.100000000000001" customHeight="1" x14ac:dyDescent="0.25">
      <c r="A19" s="562">
        <v>11</v>
      </c>
      <c r="B19" s="35" t="str">
        <f>dtsiswa!D17</f>
        <v>Fania Mutiara Felichia</v>
      </c>
      <c r="C19" s="36" t="s">
        <v>4</v>
      </c>
      <c r="D19" s="59"/>
      <c r="E19" s="59"/>
      <c r="F19" s="59"/>
      <c r="G19" s="59"/>
      <c r="H19" s="59"/>
      <c r="I19" s="59"/>
      <c r="J19" s="59"/>
      <c r="K19" s="59"/>
      <c r="L19" s="640">
        <f t="shared" si="0"/>
        <v>0</v>
      </c>
      <c r="M19" s="505">
        <f t="shared" si="1"/>
        <v>0</v>
      </c>
      <c r="N19" s="505">
        <f t="shared" si="2"/>
        <v>0</v>
      </c>
      <c r="O19" s="505">
        <f t="shared" si="3"/>
        <v>0</v>
      </c>
      <c r="P19" s="38">
        <f t="shared" si="3"/>
        <v>0</v>
      </c>
    </row>
    <row r="20" spans="1:16" ht="20.100000000000001" customHeight="1" x14ac:dyDescent="0.25">
      <c r="A20" s="562">
        <v>12</v>
      </c>
      <c r="B20" s="35" t="str">
        <f>dtsiswa!D18</f>
        <v>Intan Dyah Nowari</v>
      </c>
      <c r="C20" s="36" t="s">
        <v>4</v>
      </c>
      <c r="D20" s="59"/>
      <c r="E20" s="59"/>
      <c r="F20" s="59"/>
      <c r="G20" s="59"/>
      <c r="H20" s="59"/>
      <c r="I20" s="59"/>
      <c r="J20" s="59"/>
      <c r="K20" s="59"/>
      <c r="L20" s="640">
        <f t="shared" si="0"/>
        <v>0</v>
      </c>
      <c r="M20" s="505">
        <f t="shared" si="1"/>
        <v>0</v>
      </c>
      <c r="N20" s="505">
        <f t="shared" si="2"/>
        <v>0</v>
      </c>
      <c r="O20" s="505">
        <f t="shared" si="3"/>
        <v>0</v>
      </c>
      <c r="P20" s="38">
        <f t="shared" si="3"/>
        <v>0</v>
      </c>
    </row>
    <row r="21" spans="1:16" ht="20.100000000000001" customHeight="1" x14ac:dyDescent="0.25">
      <c r="A21" s="562">
        <v>13</v>
      </c>
      <c r="B21" s="35" t="str">
        <f>dtsiswa!D19</f>
        <v>Misyanita Nurfitri S</v>
      </c>
      <c r="C21" s="36" t="s">
        <v>5</v>
      </c>
      <c r="D21" s="59"/>
      <c r="E21" s="59"/>
      <c r="F21" s="59"/>
      <c r="G21" s="59"/>
      <c r="H21" s="59"/>
      <c r="I21" s="59"/>
      <c r="J21" s="59"/>
      <c r="K21" s="59"/>
      <c r="L21" s="640">
        <f t="shared" si="0"/>
        <v>0</v>
      </c>
      <c r="M21" s="505">
        <f t="shared" si="1"/>
        <v>0</v>
      </c>
      <c r="N21" s="505">
        <f t="shared" si="2"/>
        <v>0</v>
      </c>
      <c r="O21" s="505">
        <f t="shared" si="3"/>
        <v>0</v>
      </c>
      <c r="P21" s="38">
        <f t="shared" si="3"/>
        <v>0</v>
      </c>
    </row>
    <row r="22" spans="1:16" ht="20.100000000000001" customHeight="1" x14ac:dyDescent="0.25">
      <c r="A22" s="562">
        <v>14</v>
      </c>
      <c r="B22" s="35" t="str">
        <f>dtsiswa!D20</f>
        <v>Moch Zidane Hita L. U</v>
      </c>
      <c r="C22" s="36" t="s">
        <v>4</v>
      </c>
      <c r="D22" s="59"/>
      <c r="E22" s="59"/>
      <c r="F22" s="59"/>
      <c r="G22" s="59"/>
      <c r="H22" s="59"/>
      <c r="I22" s="59"/>
      <c r="J22" s="59"/>
      <c r="K22" s="59"/>
      <c r="L22" s="640">
        <f t="shared" si="0"/>
        <v>0</v>
      </c>
      <c r="M22" s="505">
        <f t="shared" si="1"/>
        <v>0</v>
      </c>
      <c r="N22" s="505">
        <f t="shared" si="2"/>
        <v>0</v>
      </c>
      <c r="O22" s="505">
        <f t="shared" si="3"/>
        <v>0</v>
      </c>
      <c r="P22" s="38">
        <f t="shared" si="3"/>
        <v>0</v>
      </c>
    </row>
    <row r="23" spans="1:16" ht="20.100000000000001" customHeight="1" x14ac:dyDescent="0.25">
      <c r="A23" s="562">
        <v>15</v>
      </c>
      <c r="B23" s="35" t="str">
        <f>dtsiswa!D21</f>
        <v>Muhammad Ibra Maulana</v>
      </c>
      <c r="C23" s="36" t="s">
        <v>4</v>
      </c>
      <c r="D23" s="59"/>
      <c r="E23" s="59"/>
      <c r="F23" s="59"/>
      <c r="G23" s="59"/>
      <c r="H23" s="59"/>
      <c r="I23" s="59"/>
      <c r="J23" s="59"/>
      <c r="K23" s="59"/>
      <c r="L23" s="640">
        <f t="shared" si="0"/>
        <v>0</v>
      </c>
      <c r="M23" s="505">
        <f t="shared" si="1"/>
        <v>0</v>
      </c>
      <c r="N23" s="505">
        <f t="shared" si="2"/>
        <v>0</v>
      </c>
      <c r="O23" s="505">
        <f t="shared" si="3"/>
        <v>0</v>
      </c>
      <c r="P23" s="38">
        <f t="shared" si="3"/>
        <v>0</v>
      </c>
    </row>
    <row r="24" spans="1:16" ht="20.100000000000001" customHeight="1" x14ac:dyDescent="0.25">
      <c r="A24" s="562">
        <v>16</v>
      </c>
      <c r="B24" s="35" t="str">
        <f>dtsiswa!D22</f>
        <v>Nabilla Shiva Putri</v>
      </c>
      <c r="C24" s="36" t="s">
        <v>4</v>
      </c>
      <c r="D24" s="59"/>
      <c r="E24" s="59"/>
      <c r="F24" s="59"/>
      <c r="G24" s="59"/>
      <c r="H24" s="59"/>
      <c r="I24" s="59"/>
      <c r="J24" s="59"/>
      <c r="K24" s="59"/>
      <c r="L24" s="640">
        <f t="shared" si="0"/>
        <v>0</v>
      </c>
      <c r="M24" s="505">
        <f t="shared" si="1"/>
        <v>0</v>
      </c>
      <c r="N24" s="505">
        <f t="shared" si="2"/>
        <v>0</v>
      </c>
      <c r="O24" s="505">
        <f t="shared" si="3"/>
        <v>0</v>
      </c>
      <c r="P24" s="38">
        <f t="shared" si="3"/>
        <v>0</v>
      </c>
    </row>
    <row r="25" spans="1:16" ht="20.100000000000001" customHeight="1" x14ac:dyDescent="0.25">
      <c r="A25" s="562">
        <v>17</v>
      </c>
      <c r="B25" s="35" t="str">
        <f>dtsiswa!D23</f>
        <v>Naufal Falih F</v>
      </c>
      <c r="C25" s="36" t="s">
        <v>5</v>
      </c>
      <c r="D25" s="59"/>
      <c r="E25" s="59"/>
      <c r="F25" s="59"/>
      <c r="G25" s="59"/>
      <c r="H25" s="59"/>
      <c r="I25" s="59"/>
      <c r="J25" s="59"/>
      <c r="K25" s="59"/>
      <c r="L25" s="640">
        <f t="shared" si="0"/>
        <v>0</v>
      </c>
      <c r="M25" s="505">
        <f t="shared" si="1"/>
        <v>0</v>
      </c>
      <c r="N25" s="505">
        <f t="shared" si="2"/>
        <v>0</v>
      </c>
      <c r="O25" s="505">
        <f t="shared" si="3"/>
        <v>0</v>
      </c>
      <c r="P25" s="38">
        <f t="shared" si="3"/>
        <v>0</v>
      </c>
    </row>
    <row r="26" spans="1:16" ht="20.100000000000001" customHeight="1" x14ac:dyDescent="0.25">
      <c r="A26" s="562">
        <v>18</v>
      </c>
      <c r="B26" s="35" t="str">
        <f>dtsiswa!D24</f>
        <v>Nayla Annora Nobel W</v>
      </c>
      <c r="C26" s="36" t="s">
        <v>4</v>
      </c>
      <c r="D26" s="59"/>
      <c r="E26" s="59"/>
      <c r="F26" s="59"/>
      <c r="G26" s="59"/>
      <c r="H26" s="59"/>
      <c r="I26" s="59"/>
      <c r="J26" s="59"/>
      <c r="K26" s="59"/>
      <c r="L26" s="640">
        <f t="shared" si="0"/>
        <v>0</v>
      </c>
      <c r="M26" s="505">
        <f t="shared" si="1"/>
        <v>0</v>
      </c>
      <c r="N26" s="505">
        <f t="shared" si="2"/>
        <v>0</v>
      </c>
      <c r="O26" s="505">
        <f t="shared" si="3"/>
        <v>0</v>
      </c>
      <c r="P26" s="38">
        <f t="shared" si="3"/>
        <v>0</v>
      </c>
    </row>
    <row r="27" spans="1:16" ht="20.100000000000001" customHeight="1" x14ac:dyDescent="0.25">
      <c r="A27" s="562">
        <v>19</v>
      </c>
      <c r="B27" s="35" t="str">
        <f>dtsiswa!D25</f>
        <v>Raihan Danang P</v>
      </c>
      <c r="C27" s="36" t="s">
        <v>5</v>
      </c>
      <c r="D27" s="59"/>
      <c r="E27" s="59"/>
      <c r="F27" s="59"/>
      <c r="G27" s="59"/>
      <c r="H27" s="59"/>
      <c r="I27" s="59"/>
      <c r="J27" s="59"/>
      <c r="K27" s="59"/>
      <c r="L27" s="640">
        <f t="shared" si="0"/>
        <v>0</v>
      </c>
      <c r="M27" s="505">
        <f t="shared" si="1"/>
        <v>0</v>
      </c>
      <c r="N27" s="505">
        <f t="shared" si="2"/>
        <v>0</v>
      </c>
      <c r="O27" s="505">
        <f t="shared" si="3"/>
        <v>0</v>
      </c>
      <c r="P27" s="38">
        <f t="shared" si="3"/>
        <v>0</v>
      </c>
    </row>
    <row r="28" spans="1:16" ht="20.100000000000001" customHeight="1" x14ac:dyDescent="0.25">
      <c r="A28" s="562">
        <v>20</v>
      </c>
      <c r="B28" s="35" t="str">
        <f>dtsiswa!D26</f>
        <v>Roby Ardiyansyah</v>
      </c>
      <c r="C28" s="36" t="s">
        <v>5</v>
      </c>
      <c r="D28" s="562"/>
      <c r="E28" s="562"/>
      <c r="F28" s="562"/>
      <c r="G28" s="562"/>
      <c r="H28" s="562"/>
      <c r="I28" s="562"/>
      <c r="J28" s="562"/>
      <c r="K28" s="562"/>
      <c r="L28" s="640">
        <f t="shared" si="0"/>
        <v>0</v>
      </c>
      <c r="M28" s="505">
        <f t="shared" si="1"/>
        <v>0</v>
      </c>
      <c r="N28" s="505">
        <f t="shared" si="2"/>
        <v>0</v>
      </c>
      <c r="O28" s="505">
        <f t="shared" si="3"/>
        <v>0</v>
      </c>
      <c r="P28" s="38">
        <f t="shared" si="3"/>
        <v>0</v>
      </c>
    </row>
    <row r="29" spans="1:16" ht="20.100000000000001" customHeight="1" x14ac:dyDescent="0.25">
      <c r="A29" s="562">
        <v>21</v>
      </c>
      <c r="B29" s="35" t="str">
        <f>dtsiswa!D27</f>
        <v>Rojalingga Prana A</v>
      </c>
      <c r="C29" s="44" t="s">
        <v>4</v>
      </c>
      <c r="D29" s="59"/>
      <c r="E29" s="59"/>
      <c r="F29" s="59"/>
      <c r="G29" s="59"/>
      <c r="H29" s="59"/>
      <c r="I29" s="59"/>
      <c r="J29" s="59"/>
      <c r="K29" s="59"/>
      <c r="L29" s="640">
        <f t="shared" si="0"/>
        <v>0</v>
      </c>
      <c r="M29" s="505">
        <f t="shared" si="1"/>
        <v>0</v>
      </c>
      <c r="N29" s="505">
        <f t="shared" si="2"/>
        <v>0</v>
      </c>
      <c r="O29" s="505">
        <f t="shared" si="3"/>
        <v>0</v>
      </c>
      <c r="P29" s="38">
        <f t="shared" si="3"/>
        <v>0</v>
      </c>
    </row>
    <row r="30" spans="1:16" ht="20.100000000000001" customHeight="1" x14ac:dyDescent="0.25">
      <c r="A30" s="562">
        <v>22</v>
      </c>
      <c r="B30" s="35" t="str">
        <f>dtsiswa!D28</f>
        <v>Sally Savista A</v>
      </c>
      <c r="C30" s="45" t="s">
        <v>4</v>
      </c>
      <c r="D30" s="562"/>
      <c r="E30" s="562"/>
      <c r="F30" s="562"/>
      <c r="G30" s="562"/>
      <c r="H30" s="562"/>
      <c r="I30" s="562"/>
      <c r="J30" s="562"/>
      <c r="K30" s="562"/>
      <c r="L30" s="640">
        <f t="shared" si="0"/>
        <v>0</v>
      </c>
      <c r="M30" s="505">
        <f t="shared" si="1"/>
        <v>0</v>
      </c>
      <c r="N30" s="505">
        <f t="shared" si="2"/>
        <v>0</v>
      </c>
      <c r="O30" s="505">
        <f t="shared" si="3"/>
        <v>0</v>
      </c>
      <c r="P30" s="38">
        <f t="shared" si="3"/>
        <v>0</v>
      </c>
    </row>
    <row r="31" spans="1:16" ht="20.100000000000001" customHeight="1" x14ac:dyDescent="0.25">
      <c r="A31" s="562">
        <v>23</v>
      </c>
      <c r="B31" s="35" t="str">
        <f>dtsiswa!D29</f>
        <v xml:space="preserve">Tania Kaori Angelita </v>
      </c>
      <c r="C31" s="45" t="s">
        <v>5</v>
      </c>
      <c r="D31" s="562"/>
      <c r="E31" s="562"/>
      <c r="F31" s="562"/>
      <c r="G31" s="562"/>
      <c r="H31" s="562"/>
      <c r="I31" s="562"/>
      <c r="J31" s="562"/>
      <c r="K31" s="562"/>
      <c r="L31" s="640">
        <f t="shared" si="0"/>
        <v>0</v>
      </c>
      <c r="M31" s="505">
        <f t="shared" si="1"/>
        <v>0</v>
      </c>
      <c r="N31" s="505">
        <f t="shared" si="2"/>
        <v>0</v>
      </c>
      <c r="O31" s="505">
        <f t="shared" si="3"/>
        <v>0</v>
      </c>
      <c r="P31" s="38">
        <f t="shared" si="3"/>
        <v>0</v>
      </c>
    </row>
    <row r="32" spans="1:16" ht="20.100000000000001" customHeight="1" x14ac:dyDescent="0.25">
      <c r="A32" s="562">
        <v>24</v>
      </c>
      <c r="B32" s="35" t="str">
        <f>dtsiswa!D30</f>
        <v>Romzy Oka Ramadhani P</v>
      </c>
      <c r="C32" s="45" t="s">
        <v>5</v>
      </c>
      <c r="D32" s="562"/>
      <c r="E32" s="562"/>
      <c r="F32" s="562"/>
      <c r="G32" s="562"/>
      <c r="H32" s="562"/>
      <c r="I32" s="562"/>
      <c r="J32" s="562"/>
      <c r="K32" s="562"/>
      <c r="L32" s="640">
        <f t="shared" si="0"/>
        <v>0</v>
      </c>
      <c r="M32" s="505">
        <f t="shared" si="1"/>
        <v>0</v>
      </c>
      <c r="N32" s="505">
        <f t="shared" si="2"/>
        <v>0</v>
      </c>
      <c r="O32" s="505">
        <f t="shared" si="3"/>
        <v>0</v>
      </c>
      <c r="P32" s="38">
        <f t="shared" si="3"/>
        <v>0</v>
      </c>
    </row>
    <row r="33" spans="1:16" ht="20.100000000000001" customHeight="1" x14ac:dyDescent="0.25">
      <c r="A33" s="562">
        <v>25</v>
      </c>
      <c r="B33" s="35" t="str">
        <f>dtsiswa!D31</f>
        <v>Larasati Jagadhita P</v>
      </c>
      <c r="C33" s="36" t="s">
        <v>4</v>
      </c>
      <c r="D33" s="562"/>
      <c r="E33" s="562"/>
      <c r="F33" s="562"/>
      <c r="G33" s="562"/>
      <c r="H33" s="562"/>
      <c r="I33" s="562"/>
      <c r="J33" s="562"/>
      <c r="K33" s="562"/>
      <c r="L33" s="640">
        <f t="shared" si="0"/>
        <v>0</v>
      </c>
      <c r="M33" s="505">
        <f t="shared" si="1"/>
        <v>0</v>
      </c>
      <c r="N33" s="505">
        <f t="shared" si="2"/>
        <v>0</v>
      </c>
      <c r="O33" s="505">
        <f t="shared" si="3"/>
        <v>0</v>
      </c>
      <c r="P33" s="38">
        <f t="shared" si="3"/>
        <v>0</v>
      </c>
    </row>
    <row r="34" spans="1:16" ht="20.100000000000001" customHeight="1" x14ac:dyDescent="0.25">
      <c r="A34" s="562">
        <v>26</v>
      </c>
      <c r="B34" s="35" t="str">
        <f>dtsiswa!D32</f>
        <v>Meliana Citra A</v>
      </c>
      <c r="C34" s="36" t="s">
        <v>5</v>
      </c>
      <c r="D34" s="562"/>
      <c r="E34" s="562"/>
      <c r="F34" s="562"/>
      <c r="G34" s="562"/>
      <c r="H34" s="562"/>
      <c r="I34" s="562"/>
      <c r="J34" s="562"/>
      <c r="K34" s="562"/>
      <c r="L34" s="640">
        <f t="shared" si="0"/>
        <v>0</v>
      </c>
      <c r="M34" s="505">
        <f t="shared" si="1"/>
        <v>0</v>
      </c>
      <c r="N34" s="505">
        <f t="shared" si="2"/>
        <v>0</v>
      </c>
      <c r="O34" s="505">
        <f t="shared" si="3"/>
        <v>0</v>
      </c>
      <c r="P34" s="38">
        <f t="shared" si="3"/>
        <v>0</v>
      </c>
    </row>
    <row r="35" spans="1:16" ht="20.100000000000001" customHeight="1" x14ac:dyDescent="0.25">
      <c r="A35" s="562">
        <v>27</v>
      </c>
      <c r="B35" s="35" t="str">
        <f>dtsiswa!D33</f>
        <v>Mohammad Rizky</v>
      </c>
      <c r="C35" s="36" t="s">
        <v>4</v>
      </c>
      <c r="D35" s="562"/>
      <c r="E35" s="562"/>
      <c r="F35" s="562"/>
      <c r="G35" s="562"/>
      <c r="H35" s="562"/>
      <c r="I35" s="562"/>
      <c r="J35" s="562"/>
      <c r="K35" s="562"/>
      <c r="L35" s="640">
        <f t="shared" si="0"/>
        <v>0</v>
      </c>
      <c r="M35" s="505">
        <f t="shared" si="1"/>
        <v>0</v>
      </c>
      <c r="N35" s="505">
        <f t="shared" si="2"/>
        <v>0</v>
      </c>
      <c r="O35" s="505">
        <f t="shared" si="3"/>
        <v>0</v>
      </c>
      <c r="P35" s="38">
        <f t="shared" si="3"/>
        <v>0</v>
      </c>
    </row>
    <row r="36" spans="1:16" ht="20.100000000000001" customHeight="1" x14ac:dyDescent="0.25">
      <c r="A36" s="562">
        <v>28</v>
      </c>
      <c r="B36" s="35">
        <f>dtsiswa!D34</f>
        <v>0</v>
      </c>
      <c r="C36" s="36" t="s">
        <v>4</v>
      </c>
      <c r="D36" s="562"/>
      <c r="E36" s="562"/>
      <c r="F36" s="562"/>
      <c r="G36" s="562"/>
      <c r="H36" s="562"/>
      <c r="I36" s="562"/>
      <c r="J36" s="562"/>
      <c r="K36" s="562"/>
      <c r="L36" s="640">
        <f t="shared" si="0"/>
        <v>0</v>
      </c>
      <c r="M36" s="505">
        <f t="shared" si="1"/>
        <v>0</v>
      </c>
      <c r="N36" s="505">
        <f t="shared" si="2"/>
        <v>0</v>
      </c>
      <c r="O36" s="505">
        <f t="shared" si="3"/>
        <v>0</v>
      </c>
      <c r="P36" s="38">
        <f t="shared" si="3"/>
        <v>0</v>
      </c>
    </row>
    <row r="37" spans="1:16" ht="20.100000000000001" customHeight="1" x14ac:dyDescent="0.25">
      <c r="A37" s="562">
        <v>29</v>
      </c>
      <c r="B37" s="35">
        <f>dtsiswa!D35</f>
        <v>0</v>
      </c>
      <c r="C37" s="36" t="s">
        <v>4</v>
      </c>
      <c r="D37" s="562"/>
      <c r="E37" s="562"/>
      <c r="F37" s="562"/>
      <c r="G37" s="562"/>
      <c r="H37" s="562"/>
      <c r="I37" s="562"/>
      <c r="J37" s="562"/>
      <c r="K37" s="562"/>
      <c r="L37" s="640">
        <f t="shared" si="0"/>
        <v>0</v>
      </c>
      <c r="M37" s="505">
        <f t="shared" si="1"/>
        <v>0</v>
      </c>
      <c r="N37" s="505">
        <f t="shared" si="2"/>
        <v>0</v>
      </c>
      <c r="O37" s="505">
        <f t="shared" si="3"/>
        <v>0</v>
      </c>
      <c r="P37" s="38">
        <f t="shared" si="3"/>
        <v>0</v>
      </c>
    </row>
    <row r="38" spans="1:16" ht="20.100000000000001" customHeight="1" x14ac:dyDescent="0.25">
      <c r="A38" s="562">
        <v>30</v>
      </c>
      <c r="B38" s="35">
        <f>dtsiswa!D36</f>
        <v>0</v>
      </c>
      <c r="C38" s="36" t="s">
        <v>5</v>
      </c>
      <c r="D38" s="562"/>
      <c r="E38" s="562"/>
      <c r="F38" s="562"/>
      <c r="G38" s="562"/>
      <c r="H38" s="562"/>
      <c r="I38" s="562"/>
      <c r="J38" s="562"/>
      <c r="K38" s="562"/>
      <c r="L38" s="640">
        <f t="shared" si="0"/>
        <v>0</v>
      </c>
      <c r="M38" s="505">
        <f t="shared" si="1"/>
        <v>0</v>
      </c>
      <c r="N38" s="505">
        <f t="shared" si="2"/>
        <v>0</v>
      </c>
      <c r="O38" s="505">
        <f t="shared" si="3"/>
        <v>0</v>
      </c>
      <c r="P38" s="38">
        <f t="shared" si="3"/>
        <v>0</v>
      </c>
    </row>
    <row r="39" spans="1:16" ht="20.100000000000001" customHeight="1" x14ac:dyDescent="0.25">
      <c r="A39" s="562">
        <v>31</v>
      </c>
      <c r="B39" s="35">
        <f>dtsiswa!D37</f>
        <v>0</v>
      </c>
      <c r="C39" s="36" t="s">
        <v>5</v>
      </c>
      <c r="D39" s="562"/>
      <c r="E39" s="562"/>
      <c r="F39" s="562"/>
      <c r="G39" s="562"/>
      <c r="H39" s="562"/>
      <c r="I39" s="562"/>
      <c r="J39" s="562"/>
      <c r="K39" s="562"/>
      <c r="L39" s="640">
        <f t="shared" si="0"/>
        <v>0</v>
      </c>
      <c r="M39" s="505">
        <f t="shared" si="1"/>
        <v>0</v>
      </c>
      <c r="N39" s="505">
        <f t="shared" si="2"/>
        <v>0</v>
      </c>
      <c r="O39" s="505">
        <f t="shared" si="3"/>
        <v>0</v>
      </c>
      <c r="P39" s="38">
        <f t="shared" si="3"/>
        <v>0</v>
      </c>
    </row>
    <row r="40" spans="1:16" ht="20.100000000000001" customHeight="1" x14ac:dyDescent="0.25">
      <c r="A40" s="562">
        <v>32</v>
      </c>
      <c r="B40" s="35">
        <f>dtsiswa!D38</f>
        <v>0</v>
      </c>
      <c r="D40" s="562"/>
      <c r="E40" s="562"/>
      <c r="F40" s="562"/>
      <c r="G40" s="562"/>
      <c r="H40" s="562"/>
      <c r="I40" s="562"/>
      <c r="J40" s="562"/>
      <c r="K40" s="562"/>
      <c r="L40" s="640">
        <f t="shared" si="0"/>
        <v>0</v>
      </c>
      <c r="M40" s="505">
        <f t="shared" si="1"/>
        <v>0</v>
      </c>
      <c r="N40" s="505">
        <f t="shared" si="2"/>
        <v>0</v>
      </c>
      <c r="O40" s="505">
        <f t="shared" si="3"/>
        <v>0</v>
      </c>
      <c r="P40" s="38">
        <f t="shared" si="3"/>
        <v>0</v>
      </c>
    </row>
    <row r="41" spans="1:16" ht="20.100000000000001" customHeight="1" x14ac:dyDescent="0.25">
      <c r="A41" s="562">
        <v>33</v>
      </c>
      <c r="B41" s="35">
        <f>dtsiswa!D39</f>
        <v>0</v>
      </c>
      <c r="C41" s="36"/>
      <c r="D41" s="562"/>
      <c r="E41" s="562"/>
      <c r="F41" s="562"/>
      <c r="G41" s="562"/>
      <c r="H41" s="562"/>
      <c r="I41" s="562"/>
      <c r="J41" s="562"/>
      <c r="K41" s="562"/>
      <c r="L41" s="640">
        <f t="shared" si="0"/>
        <v>0</v>
      </c>
      <c r="M41" s="505">
        <f t="shared" si="1"/>
        <v>0</v>
      </c>
      <c r="N41" s="505">
        <f t="shared" si="2"/>
        <v>0</v>
      </c>
      <c r="O41" s="505">
        <f t="shared" si="3"/>
        <v>0</v>
      </c>
      <c r="P41" s="38">
        <f t="shared" si="3"/>
        <v>0</v>
      </c>
    </row>
    <row r="42" spans="1:16" ht="20.100000000000001" customHeight="1" x14ac:dyDescent="0.25">
      <c r="A42" s="562">
        <v>34</v>
      </c>
      <c r="B42" s="35">
        <f>dtsiswa!D40</f>
        <v>0</v>
      </c>
      <c r="C42" s="36"/>
      <c r="D42" s="562"/>
      <c r="E42" s="562"/>
      <c r="F42" s="562"/>
      <c r="G42" s="562"/>
      <c r="H42" s="562"/>
      <c r="I42" s="562"/>
      <c r="J42" s="562"/>
      <c r="K42" s="562"/>
      <c r="L42" s="640">
        <f t="shared" si="0"/>
        <v>0</v>
      </c>
      <c r="M42" s="505">
        <f t="shared" si="1"/>
        <v>0</v>
      </c>
      <c r="N42" s="505">
        <f t="shared" si="2"/>
        <v>0</v>
      </c>
      <c r="O42" s="505">
        <f t="shared" si="3"/>
        <v>0</v>
      </c>
      <c r="P42" s="38">
        <f t="shared" si="3"/>
        <v>0</v>
      </c>
    </row>
    <row r="43" spans="1:16" ht="20.100000000000001" customHeight="1" x14ac:dyDescent="0.25">
      <c r="A43" s="562">
        <v>35</v>
      </c>
      <c r="B43" s="35">
        <f>dtsiswa!D41</f>
        <v>0</v>
      </c>
      <c r="C43" s="36"/>
      <c r="D43" s="562"/>
      <c r="E43" s="562"/>
      <c r="F43" s="562"/>
      <c r="G43" s="562"/>
      <c r="H43" s="562"/>
      <c r="I43" s="562"/>
      <c r="J43" s="562"/>
      <c r="K43" s="562"/>
      <c r="L43" s="640">
        <f t="shared" si="0"/>
        <v>0</v>
      </c>
      <c r="M43" s="505">
        <f t="shared" si="1"/>
        <v>0</v>
      </c>
      <c r="N43" s="505">
        <f t="shared" si="2"/>
        <v>0</v>
      </c>
      <c r="O43" s="505">
        <f t="shared" si="3"/>
        <v>0</v>
      </c>
      <c r="P43" s="38">
        <f t="shared" si="3"/>
        <v>0</v>
      </c>
    </row>
    <row r="44" spans="1:16" ht="20.100000000000001" customHeight="1" x14ac:dyDescent="0.25">
      <c r="A44" s="647">
        <v>36</v>
      </c>
      <c r="B44" s="35">
        <f>dtsiswa!D42</f>
        <v>0</v>
      </c>
      <c r="C44" s="36"/>
      <c r="D44" s="647"/>
      <c r="E44" s="647"/>
      <c r="F44" s="647"/>
      <c r="G44" s="647"/>
      <c r="H44" s="647"/>
      <c r="I44" s="647"/>
      <c r="J44" s="647"/>
      <c r="K44" s="647"/>
      <c r="L44" s="640">
        <f t="shared" ref="L44:L48" si="4">SUM(D44:K44)*100/12</f>
        <v>0</v>
      </c>
      <c r="M44" s="505">
        <f t="shared" ref="M44:M48" si="5">SUM(D44:H44)+J44</f>
        <v>0</v>
      </c>
      <c r="N44" s="505">
        <f t="shared" ref="N44:N48" si="6">I44</f>
        <v>0</v>
      </c>
      <c r="O44" s="505">
        <f t="shared" ref="O44:O48" si="7">K44</f>
        <v>0</v>
      </c>
      <c r="P44" s="38">
        <f t="shared" ref="P44:P48" si="8">L44</f>
        <v>0</v>
      </c>
    </row>
    <row r="45" spans="1:16" ht="20.100000000000001" customHeight="1" x14ac:dyDescent="0.25">
      <c r="A45" s="647">
        <v>37</v>
      </c>
      <c r="B45" s="35">
        <f>dtsiswa!D43</f>
        <v>0</v>
      </c>
      <c r="C45" s="36"/>
      <c r="D45" s="647"/>
      <c r="E45" s="647"/>
      <c r="F45" s="647"/>
      <c r="G45" s="647"/>
      <c r="H45" s="647"/>
      <c r="I45" s="647"/>
      <c r="J45" s="647"/>
      <c r="K45" s="647"/>
      <c r="L45" s="640">
        <f t="shared" si="4"/>
        <v>0</v>
      </c>
      <c r="M45" s="505">
        <f t="shared" si="5"/>
        <v>0</v>
      </c>
      <c r="N45" s="505">
        <f t="shared" si="6"/>
        <v>0</v>
      </c>
      <c r="O45" s="505">
        <f t="shared" si="7"/>
        <v>0</v>
      </c>
      <c r="P45" s="38">
        <f t="shared" si="8"/>
        <v>0</v>
      </c>
    </row>
    <row r="46" spans="1:16" ht="20.100000000000001" customHeight="1" x14ac:dyDescent="0.25">
      <c r="A46" s="647">
        <v>38</v>
      </c>
      <c r="B46" s="35">
        <f>dtsiswa!D44</f>
        <v>0</v>
      </c>
      <c r="C46" s="36"/>
      <c r="D46" s="647"/>
      <c r="E46" s="647"/>
      <c r="F46" s="647"/>
      <c r="G46" s="647"/>
      <c r="H46" s="647"/>
      <c r="I46" s="647"/>
      <c r="J46" s="647"/>
      <c r="K46" s="647"/>
      <c r="L46" s="640">
        <f t="shared" si="4"/>
        <v>0</v>
      </c>
      <c r="M46" s="505">
        <f t="shared" si="5"/>
        <v>0</v>
      </c>
      <c r="N46" s="505">
        <f t="shared" si="6"/>
        <v>0</v>
      </c>
      <c r="O46" s="505">
        <f t="shared" si="7"/>
        <v>0</v>
      </c>
      <c r="P46" s="38">
        <f t="shared" si="8"/>
        <v>0</v>
      </c>
    </row>
    <row r="47" spans="1:16" ht="20.100000000000001" customHeight="1" x14ac:dyDescent="0.25">
      <c r="A47" s="647">
        <v>39</v>
      </c>
      <c r="B47" s="35">
        <f>dtsiswa!D45</f>
        <v>0</v>
      </c>
      <c r="C47" s="36"/>
      <c r="D47" s="647"/>
      <c r="E47" s="647"/>
      <c r="F47" s="647"/>
      <c r="G47" s="647"/>
      <c r="H47" s="647"/>
      <c r="I47" s="647"/>
      <c r="J47" s="647"/>
      <c r="K47" s="647"/>
      <c r="L47" s="640">
        <f t="shared" si="4"/>
        <v>0</v>
      </c>
      <c r="M47" s="505">
        <f t="shared" si="5"/>
        <v>0</v>
      </c>
      <c r="N47" s="505">
        <f t="shared" si="6"/>
        <v>0</v>
      </c>
      <c r="O47" s="505">
        <f t="shared" si="7"/>
        <v>0</v>
      </c>
      <c r="P47" s="38">
        <f t="shared" si="8"/>
        <v>0</v>
      </c>
    </row>
    <row r="48" spans="1:16" ht="20.100000000000001" customHeight="1" x14ac:dyDescent="0.25">
      <c r="A48" s="647">
        <v>40</v>
      </c>
      <c r="B48" s="35">
        <f>dtsiswa!D46</f>
        <v>0</v>
      </c>
      <c r="C48" s="36"/>
      <c r="D48" s="647"/>
      <c r="E48" s="647"/>
      <c r="F48" s="647"/>
      <c r="G48" s="647"/>
      <c r="H48" s="647"/>
      <c r="I48" s="647"/>
      <c r="J48" s="647"/>
      <c r="K48" s="647"/>
      <c r="L48" s="640">
        <f t="shared" si="4"/>
        <v>0</v>
      </c>
      <c r="M48" s="505">
        <f t="shared" si="5"/>
        <v>0</v>
      </c>
      <c r="N48" s="505">
        <f t="shared" si="6"/>
        <v>0</v>
      </c>
      <c r="O48" s="505">
        <f t="shared" si="7"/>
        <v>0</v>
      </c>
      <c r="P48" s="38">
        <f t="shared" si="8"/>
        <v>0</v>
      </c>
    </row>
  </sheetData>
  <mergeCells count="11">
    <mergeCell ref="M6:M8"/>
    <mergeCell ref="N6:N8"/>
    <mergeCell ref="O6:O8"/>
    <mergeCell ref="P6:P8"/>
    <mergeCell ref="A1:P1"/>
    <mergeCell ref="A2:P2"/>
    <mergeCell ref="A6:A8"/>
    <mergeCell ref="B6:B8"/>
    <mergeCell ref="C6:C8"/>
    <mergeCell ref="L6:L8"/>
    <mergeCell ref="D6:K6"/>
  </mergeCell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00B050"/>
  </sheetPr>
  <dimension ref="A1:P48"/>
  <sheetViews>
    <sheetView showGridLines="0" workbookViewId="0">
      <pane xSplit="2" ySplit="8" topLeftCell="C45"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6" width="4.7109375" customWidth="1"/>
    <col min="7" max="7" width="5.2851562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1069" t="s">
        <v>442</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146" t="s">
        <v>587</v>
      </c>
      <c r="E6" s="3147"/>
      <c r="F6" s="3147"/>
      <c r="G6" s="3147"/>
      <c r="H6" s="3147"/>
      <c r="I6" s="3147"/>
      <c r="J6" s="3147"/>
      <c r="K6" s="3148"/>
      <c r="L6" s="3130" t="s">
        <v>159</v>
      </c>
      <c r="M6" s="3232" t="s">
        <v>29</v>
      </c>
      <c r="N6" s="3232" t="s">
        <v>30</v>
      </c>
      <c r="O6" s="3232" t="s">
        <v>31</v>
      </c>
      <c r="P6" s="3149" t="s">
        <v>32</v>
      </c>
    </row>
    <row r="7" spans="1:16" s="30" customFormat="1" ht="20.25" customHeight="1" x14ac:dyDescent="0.25">
      <c r="A7" s="3231"/>
      <c r="B7" s="3231"/>
      <c r="C7" s="3231"/>
      <c r="D7" s="31" t="s">
        <v>29</v>
      </c>
      <c r="E7" s="31" t="s">
        <v>29</v>
      </c>
      <c r="F7" s="31" t="s">
        <v>29</v>
      </c>
      <c r="G7" s="31" t="s">
        <v>29</v>
      </c>
      <c r="H7" s="31" t="s">
        <v>29</v>
      </c>
      <c r="I7" s="31" t="s">
        <v>29</v>
      </c>
      <c r="J7" s="938"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1</v>
      </c>
      <c r="F9" s="200">
        <v>1</v>
      </c>
      <c r="G9" s="200">
        <v>1</v>
      </c>
      <c r="H9" s="200">
        <v>1</v>
      </c>
      <c r="I9" s="200">
        <v>2</v>
      </c>
      <c r="J9" s="200">
        <v>0</v>
      </c>
      <c r="K9" s="200">
        <v>3</v>
      </c>
      <c r="L9" s="504">
        <f>SUM(D9:K9)*100/12</f>
        <v>83.333333333333329</v>
      </c>
      <c r="M9" s="505">
        <f>SUM(D9:H9)+J9</f>
        <v>5</v>
      </c>
      <c r="N9" s="505">
        <f>I9</f>
        <v>2</v>
      </c>
      <c r="O9" s="505">
        <f>K9</f>
        <v>3</v>
      </c>
      <c r="P9" s="38">
        <f>L9</f>
        <v>83.333333333333329</v>
      </c>
    </row>
    <row r="10" spans="1:16" ht="20.100000000000001" customHeight="1" x14ac:dyDescent="0.25">
      <c r="A10" s="570">
        <v>2</v>
      </c>
      <c r="B10" s="35" t="str">
        <f>dtsiswa!D8</f>
        <v>Angelia Vabel R</v>
      </c>
      <c r="C10" s="36" t="s">
        <v>4</v>
      </c>
      <c r="D10" s="200"/>
      <c r="E10" s="200"/>
      <c r="F10" s="200"/>
      <c r="G10" s="200"/>
      <c r="H10" s="200"/>
      <c r="I10" s="200"/>
      <c r="J10" s="200"/>
      <c r="K10" s="200"/>
      <c r="L10" s="504">
        <f t="shared" ref="L10:L43" si="0">SUM(D10:K10)*100/12</f>
        <v>0</v>
      </c>
      <c r="M10" s="505">
        <f t="shared" ref="M10:M43" si="1">SUM(D10:H10)+J10</f>
        <v>0</v>
      </c>
      <c r="N10" s="505">
        <f t="shared" ref="N10:N43" si="2">I10</f>
        <v>0</v>
      </c>
      <c r="O10" s="505">
        <f t="shared" ref="O10:P43" si="3">K10</f>
        <v>0</v>
      </c>
      <c r="P10" s="38">
        <f t="shared" si="3"/>
        <v>0</v>
      </c>
    </row>
    <row r="11" spans="1:16" ht="20.100000000000001" customHeight="1" x14ac:dyDescent="0.25">
      <c r="A11" s="570">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0.100000000000001" customHeight="1" x14ac:dyDescent="0.25">
      <c r="A12" s="570">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0.100000000000001" customHeight="1" x14ac:dyDescent="0.25">
      <c r="A13" s="570">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0.100000000000001" customHeight="1" x14ac:dyDescent="0.25">
      <c r="A14" s="570">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0.100000000000001" customHeight="1" x14ac:dyDescent="0.25">
      <c r="A15" s="570">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0.100000000000001" customHeight="1" x14ac:dyDescent="0.25">
      <c r="A16" s="570">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0.100000000000001" customHeight="1" x14ac:dyDescent="0.25">
      <c r="A17" s="570">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0.100000000000001" customHeight="1" x14ac:dyDescent="0.25">
      <c r="A18" s="570">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0.100000000000001" customHeight="1" x14ac:dyDescent="0.25">
      <c r="A19" s="570">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0.100000000000001" customHeight="1" x14ac:dyDescent="0.25">
      <c r="A20" s="570">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0.100000000000001" customHeight="1" x14ac:dyDescent="0.25">
      <c r="A21" s="570">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0.100000000000001" customHeight="1" x14ac:dyDescent="0.25">
      <c r="A22" s="570">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0.100000000000001" customHeight="1" x14ac:dyDescent="0.25">
      <c r="A23" s="570">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0.100000000000001" customHeight="1" x14ac:dyDescent="0.25">
      <c r="A24" s="570">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0.100000000000001" customHeight="1" x14ac:dyDescent="0.25">
      <c r="A25" s="570">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0.100000000000001" customHeight="1" x14ac:dyDescent="0.25">
      <c r="A26" s="570">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0.100000000000001" customHeight="1" x14ac:dyDescent="0.25">
      <c r="A27" s="570">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0.100000000000001" customHeight="1" x14ac:dyDescent="0.25">
      <c r="A28" s="570">
        <v>20</v>
      </c>
      <c r="B28" s="35" t="str">
        <f>dtsiswa!D26</f>
        <v>Roby Ardiyansyah</v>
      </c>
      <c r="C28" s="36" t="s">
        <v>5</v>
      </c>
      <c r="D28" s="570"/>
      <c r="E28" s="570"/>
      <c r="F28" s="570"/>
      <c r="G28" s="570"/>
      <c r="H28" s="570"/>
      <c r="I28" s="570"/>
      <c r="J28" s="570"/>
      <c r="K28" s="570"/>
      <c r="L28" s="504">
        <f t="shared" si="0"/>
        <v>0</v>
      </c>
      <c r="M28" s="505">
        <f t="shared" si="1"/>
        <v>0</v>
      </c>
      <c r="N28" s="505">
        <f t="shared" si="2"/>
        <v>0</v>
      </c>
      <c r="O28" s="505">
        <f t="shared" si="3"/>
        <v>0</v>
      </c>
      <c r="P28" s="38">
        <f t="shared" si="3"/>
        <v>0</v>
      </c>
    </row>
    <row r="29" spans="1:16" ht="20.100000000000001" customHeight="1" x14ac:dyDescent="0.25">
      <c r="A29" s="570">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0.100000000000001" customHeight="1" x14ac:dyDescent="0.25">
      <c r="A30" s="570">
        <v>22</v>
      </c>
      <c r="B30" s="35" t="str">
        <f>dtsiswa!D28</f>
        <v>Sally Savista A</v>
      </c>
      <c r="C30" s="45" t="s">
        <v>4</v>
      </c>
      <c r="D30" s="570"/>
      <c r="E30" s="570"/>
      <c r="F30" s="570"/>
      <c r="G30" s="570"/>
      <c r="H30" s="570"/>
      <c r="I30" s="570"/>
      <c r="J30" s="570"/>
      <c r="K30" s="570"/>
      <c r="L30" s="504">
        <f t="shared" si="0"/>
        <v>0</v>
      </c>
      <c r="M30" s="505">
        <f t="shared" si="1"/>
        <v>0</v>
      </c>
      <c r="N30" s="505">
        <f t="shared" si="2"/>
        <v>0</v>
      </c>
      <c r="O30" s="505">
        <f t="shared" si="3"/>
        <v>0</v>
      </c>
      <c r="P30" s="38">
        <f t="shared" si="3"/>
        <v>0</v>
      </c>
    </row>
    <row r="31" spans="1:16" ht="20.100000000000001" customHeight="1" x14ac:dyDescent="0.25">
      <c r="A31" s="570">
        <v>23</v>
      </c>
      <c r="B31" s="35" t="str">
        <f>dtsiswa!D29</f>
        <v xml:space="preserve">Tania Kaori Angelita </v>
      </c>
      <c r="C31" s="45" t="s">
        <v>5</v>
      </c>
      <c r="D31" s="570"/>
      <c r="E31" s="570"/>
      <c r="F31" s="570"/>
      <c r="G31" s="570"/>
      <c r="H31" s="570"/>
      <c r="I31" s="570"/>
      <c r="J31" s="570"/>
      <c r="K31" s="570"/>
      <c r="L31" s="504">
        <f t="shared" si="0"/>
        <v>0</v>
      </c>
      <c r="M31" s="505">
        <f t="shared" si="1"/>
        <v>0</v>
      </c>
      <c r="N31" s="505">
        <f t="shared" si="2"/>
        <v>0</v>
      </c>
      <c r="O31" s="505">
        <f t="shared" si="3"/>
        <v>0</v>
      </c>
      <c r="P31" s="38">
        <f t="shared" si="3"/>
        <v>0</v>
      </c>
    </row>
    <row r="32" spans="1:16" ht="20.100000000000001" customHeight="1" x14ac:dyDescent="0.25">
      <c r="A32" s="570">
        <v>24</v>
      </c>
      <c r="B32" s="35" t="str">
        <f>dtsiswa!D30</f>
        <v>Romzy Oka Ramadhani P</v>
      </c>
      <c r="C32" s="45" t="s">
        <v>5</v>
      </c>
      <c r="D32" s="570"/>
      <c r="E32" s="570"/>
      <c r="F32" s="570"/>
      <c r="G32" s="570"/>
      <c r="H32" s="570"/>
      <c r="I32" s="570"/>
      <c r="J32" s="570"/>
      <c r="K32" s="570"/>
      <c r="L32" s="504">
        <f t="shared" si="0"/>
        <v>0</v>
      </c>
      <c r="M32" s="505">
        <f t="shared" si="1"/>
        <v>0</v>
      </c>
      <c r="N32" s="505">
        <f t="shared" si="2"/>
        <v>0</v>
      </c>
      <c r="O32" s="505">
        <f t="shared" si="3"/>
        <v>0</v>
      </c>
      <c r="P32" s="38">
        <f t="shared" si="3"/>
        <v>0</v>
      </c>
    </row>
    <row r="33" spans="1:16" ht="20.100000000000001" customHeight="1" x14ac:dyDescent="0.25">
      <c r="A33" s="570">
        <v>25</v>
      </c>
      <c r="B33" s="35" t="str">
        <f>dtsiswa!D31</f>
        <v>Larasati Jagadhita P</v>
      </c>
      <c r="C33" s="36" t="s">
        <v>4</v>
      </c>
      <c r="D33" s="570"/>
      <c r="E33" s="570"/>
      <c r="F33" s="570"/>
      <c r="G33" s="570"/>
      <c r="H33" s="570"/>
      <c r="I33" s="570"/>
      <c r="J33" s="570"/>
      <c r="K33" s="570"/>
      <c r="L33" s="504">
        <f t="shared" si="0"/>
        <v>0</v>
      </c>
      <c r="M33" s="505">
        <f t="shared" si="1"/>
        <v>0</v>
      </c>
      <c r="N33" s="505">
        <f t="shared" si="2"/>
        <v>0</v>
      </c>
      <c r="O33" s="505">
        <f t="shared" si="3"/>
        <v>0</v>
      </c>
      <c r="P33" s="38">
        <f t="shared" si="3"/>
        <v>0</v>
      </c>
    </row>
    <row r="34" spans="1:16" ht="20.100000000000001" customHeight="1" x14ac:dyDescent="0.25">
      <c r="A34" s="570">
        <v>26</v>
      </c>
      <c r="B34" s="35" t="str">
        <f>dtsiswa!D32</f>
        <v>Meliana Citra A</v>
      </c>
      <c r="C34" s="36" t="s">
        <v>5</v>
      </c>
      <c r="D34" s="570"/>
      <c r="E34" s="570"/>
      <c r="F34" s="570"/>
      <c r="G34" s="570"/>
      <c r="H34" s="570"/>
      <c r="I34" s="570"/>
      <c r="J34" s="570"/>
      <c r="K34" s="570"/>
      <c r="L34" s="504">
        <f t="shared" si="0"/>
        <v>0</v>
      </c>
      <c r="M34" s="505">
        <f t="shared" si="1"/>
        <v>0</v>
      </c>
      <c r="N34" s="505">
        <f t="shared" si="2"/>
        <v>0</v>
      </c>
      <c r="O34" s="505">
        <f t="shared" si="3"/>
        <v>0</v>
      </c>
      <c r="P34" s="38">
        <f t="shared" si="3"/>
        <v>0</v>
      </c>
    </row>
    <row r="35" spans="1:16" ht="20.100000000000001" customHeight="1" x14ac:dyDescent="0.25">
      <c r="A35" s="570">
        <v>27</v>
      </c>
      <c r="B35" s="35" t="str">
        <f>dtsiswa!D33</f>
        <v>Mohammad Rizky</v>
      </c>
      <c r="C35" s="36" t="s">
        <v>4</v>
      </c>
      <c r="D35" s="570"/>
      <c r="E35" s="570"/>
      <c r="F35" s="570"/>
      <c r="G35" s="570"/>
      <c r="H35" s="570"/>
      <c r="I35" s="570"/>
      <c r="J35" s="570"/>
      <c r="K35" s="570"/>
      <c r="L35" s="504">
        <f t="shared" si="0"/>
        <v>0</v>
      </c>
      <c r="M35" s="505">
        <f t="shared" si="1"/>
        <v>0</v>
      </c>
      <c r="N35" s="505">
        <f t="shared" si="2"/>
        <v>0</v>
      </c>
      <c r="O35" s="505">
        <f t="shared" si="3"/>
        <v>0</v>
      </c>
      <c r="P35" s="38">
        <f t="shared" si="3"/>
        <v>0</v>
      </c>
    </row>
    <row r="36" spans="1:16" ht="20.100000000000001" customHeight="1" x14ac:dyDescent="0.25">
      <c r="A36" s="570">
        <v>28</v>
      </c>
      <c r="B36" s="35">
        <f>dtsiswa!D34</f>
        <v>0</v>
      </c>
      <c r="C36" s="36" t="s">
        <v>4</v>
      </c>
      <c r="D36" s="570"/>
      <c r="E36" s="570"/>
      <c r="F36" s="570"/>
      <c r="G36" s="570"/>
      <c r="H36" s="570"/>
      <c r="I36" s="570"/>
      <c r="J36" s="570"/>
      <c r="K36" s="570"/>
      <c r="L36" s="504">
        <f t="shared" si="0"/>
        <v>0</v>
      </c>
      <c r="M36" s="505">
        <f t="shared" si="1"/>
        <v>0</v>
      </c>
      <c r="N36" s="505">
        <f t="shared" si="2"/>
        <v>0</v>
      </c>
      <c r="O36" s="505">
        <f t="shared" si="3"/>
        <v>0</v>
      </c>
      <c r="P36" s="38">
        <f t="shared" si="3"/>
        <v>0</v>
      </c>
    </row>
    <row r="37" spans="1:16" ht="20.100000000000001" customHeight="1" x14ac:dyDescent="0.25">
      <c r="A37" s="570">
        <v>29</v>
      </c>
      <c r="B37" s="35">
        <f>dtsiswa!D35</f>
        <v>0</v>
      </c>
      <c r="C37" s="36" t="s">
        <v>4</v>
      </c>
      <c r="D37" s="570"/>
      <c r="E37" s="570"/>
      <c r="F37" s="570"/>
      <c r="G37" s="570"/>
      <c r="H37" s="570"/>
      <c r="I37" s="570"/>
      <c r="J37" s="570"/>
      <c r="K37" s="570"/>
      <c r="L37" s="504">
        <f t="shared" si="0"/>
        <v>0</v>
      </c>
      <c r="M37" s="505">
        <f t="shared" si="1"/>
        <v>0</v>
      </c>
      <c r="N37" s="505">
        <f t="shared" si="2"/>
        <v>0</v>
      </c>
      <c r="O37" s="505">
        <f t="shared" si="3"/>
        <v>0</v>
      </c>
      <c r="P37" s="38">
        <f t="shared" si="3"/>
        <v>0</v>
      </c>
    </row>
    <row r="38" spans="1:16" ht="20.100000000000001" customHeight="1" x14ac:dyDescent="0.25">
      <c r="A38" s="570">
        <v>30</v>
      </c>
      <c r="B38" s="35">
        <f>dtsiswa!D36</f>
        <v>0</v>
      </c>
      <c r="C38" s="36" t="s">
        <v>5</v>
      </c>
      <c r="D38" s="570"/>
      <c r="E38" s="570"/>
      <c r="F38" s="570"/>
      <c r="G38" s="570"/>
      <c r="H38" s="570"/>
      <c r="I38" s="570"/>
      <c r="J38" s="570"/>
      <c r="K38" s="570"/>
      <c r="L38" s="504">
        <f t="shared" si="0"/>
        <v>0</v>
      </c>
      <c r="M38" s="505">
        <f t="shared" si="1"/>
        <v>0</v>
      </c>
      <c r="N38" s="505">
        <f t="shared" si="2"/>
        <v>0</v>
      </c>
      <c r="O38" s="505">
        <f t="shared" si="3"/>
        <v>0</v>
      </c>
      <c r="P38" s="38">
        <f t="shared" si="3"/>
        <v>0</v>
      </c>
    </row>
    <row r="39" spans="1:16" ht="20.100000000000001" customHeight="1" x14ac:dyDescent="0.25">
      <c r="A39" s="570">
        <v>31</v>
      </c>
      <c r="B39" s="35">
        <f>dtsiswa!D37</f>
        <v>0</v>
      </c>
      <c r="C39" s="36" t="s">
        <v>5</v>
      </c>
      <c r="D39" s="570"/>
      <c r="E39" s="570"/>
      <c r="F39" s="570"/>
      <c r="G39" s="570"/>
      <c r="H39" s="570"/>
      <c r="I39" s="570"/>
      <c r="J39" s="570"/>
      <c r="K39" s="570"/>
      <c r="L39" s="504">
        <f t="shared" si="0"/>
        <v>0</v>
      </c>
      <c r="M39" s="505">
        <f t="shared" si="1"/>
        <v>0</v>
      </c>
      <c r="N39" s="505">
        <f t="shared" si="2"/>
        <v>0</v>
      </c>
      <c r="O39" s="505">
        <f t="shared" si="3"/>
        <v>0</v>
      </c>
      <c r="P39" s="38">
        <f t="shared" si="3"/>
        <v>0</v>
      </c>
    </row>
    <row r="40" spans="1:16" ht="20.100000000000001" customHeight="1" x14ac:dyDescent="0.25">
      <c r="A40" s="570">
        <v>32</v>
      </c>
      <c r="B40" s="35">
        <f>dtsiswa!D38</f>
        <v>0</v>
      </c>
      <c r="D40" s="570"/>
      <c r="E40" s="570"/>
      <c r="F40" s="570"/>
      <c r="G40" s="570"/>
      <c r="H40" s="570"/>
      <c r="I40" s="570"/>
      <c r="J40" s="570"/>
      <c r="K40" s="570"/>
      <c r="L40" s="504">
        <f t="shared" si="0"/>
        <v>0</v>
      </c>
      <c r="M40" s="505">
        <f t="shared" si="1"/>
        <v>0</v>
      </c>
      <c r="N40" s="505">
        <f t="shared" si="2"/>
        <v>0</v>
      </c>
      <c r="O40" s="505">
        <f t="shared" si="3"/>
        <v>0</v>
      </c>
      <c r="P40" s="38">
        <f t="shared" si="3"/>
        <v>0</v>
      </c>
    </row>
    <row r="41" spans="1:16" ht="20.100000000000001" customHeight="1" x14ac:dyDescent="0.25">
      <c r="A41" s="570">
        <v>33</v>
      </c>
      <c r="B41" s="35">
        <f>dtsiswa!D39</f>
        <v>0</v>
      </c>
      <c r="C41" s="36"/>
      <c r="D41" s="570"/>
      <c r="E41" s="570"/>
      <c r="F41" s="570"/>
      <c r="G41" s="570"/>
      <c r="H41" s="570"/>
      <c r="I41" s="570"/>
      <c r="J41" s="570"/>
      <c r="K41" s="570"/>
      <c r="L41" s="504">
        <f t="shared" si="0"/>
        <v>0</v>
      </c>
      <c r="M41" s="505">
        <f t="shared" si="1"/>
        <v>0</v>
      </c>
      <c r="N41" s="505">
        <f t="shared" si="2"/>
        <v>0</v>
      </c>
      <c r="O41" s="505">
        <f t="shared" si="3"/>
        <v>0</v>
      </c>
      <c r="P41" s="38">
        <f t="shared" si="3"/>
        <v>0</v>
      </c>
    </row>
    <row r="42" spans="1:16" ht="20.100000000000001" customHeight="1" x14ac:dyDescent="0.25">
      <c r="A42" s="570">
        <v>34</v>
      </c>
      <c r="B42" s="35">
        <f>dtsiswa!D40</f>
        <v>0</v>
      </c>
      <c r="C42" s="36"/>
      <c r="D42" s="570"/>
      <c r="E42" s="570"/>
      <c r="F42" s="570"/>
      <c r="G42" s="570"/>
      <c r="H42" s="570"/>
      <c r="I42" s="570"/>
      <c r="J42" s="570"/>
      <c r="K42" s="570"/>
      <c r="L42" s="504">
        <f t="shared" si="0"/>
        <v>0</v>
      </c>
      <c r="M42" s="505">
        <f t="shared" si="1"/>
        <v>0</v>
      </c>
      <c r="N42" s="505">
        <f t="shared" si="2"/>
        <v>0</v>
      </c>
      <c r="O42" s="505">
        <f t="shared" si="3"/>
        <v>0</v>
      </c>
      <c r="P42" s="38">
        <f t="shared" si="3"/>
        <v>0</v>
      </c>
    </row>
    <row r="43" spans="1:16" ht="20.100000000000001" customHeight="1" x14ac:dyDescent="0.25">
      <c r="A43" s="570">
        <v>35</v>
      </c>
      <c r="B43" s="35">
        <f>dtsiswa!D41</f>
        <v>0</v>
      </c>
      <c r="C43" s="36"/>
      <c r="D43" s="570"/>
      <c r="E43" s="570"/>
      <c r="F43" s="570"/>
      <c r="G43" s="570"/>
      <c r="H43" s="570"/>
      <c r="I43" s="570"/>
      <c r="J43" s="570"/>
      <c r="K43" s="570"/>
      <c r="L43" s="504">
        <f t="shared" si="0"/>
        <v>0</v>
      </c>
      <c r="M43" s="505">
        <f t="shared" si="1"/>
        <v>0</v>
      </c>
      <c r="N43" s="505">
        <f t="shared" si="2"/>
        <v>0</v>
      </c>
      <c r="O43" s="505">
        <f t="shared" si="3"/>
        <v>0</v>
      </c>
      <c r="P43" s="38">
        <f t="shared" si="3"/>
        <v>0</v>
      </c>
    </row>
    <row r="44" spans="1:16" ht="20.100000000000001" customHeight="1" x14ac:dyDescent="0.25">
      <c r="A44" s="647">
        <v>36</v>
      </c>
      <c r="B44" s="35">
        <f>dtsiswa!D42</f>
        <v>0</v>
      </c>
      <c r="C44" s="36"/>
      <c r="D44" s="647"/>
      <c r="E44" s="647"/>
      <c r="F44" s="647"/>
      <c r="G44" s="647"/>
      <c r="H44" s="647"/>
      <c r="I44" s="647"/>
      <c r="J44" s="647"/>
      <c r="K44" s="647"/>
      <c r="L44" s="504">
        <f t="shared" ref="L44:L48" si="4">SUM(D44:K44)*100/12</f>
        <v>0</v>
      </c>
      <c r="M44" s="505">
        <f t="shared" ref="M44:M48" si="5">SUM(D44:H44)+J44</f>
        <v>0</v>
      </c>
      <c r="N44" s="505">
        <f t="shared" ref="N44:N48" si="6">I44</f>
        <v>0</v>
      </c>
      <c r="O44" s="505">
        <f t="shared" ref="O44:O48" si="7">K44</f>
        <v>0</v>
      </c>
      <c r="P44" s="38">
        <f t="shared" ref="P44:P48" si="8">L44</f>
        <v>0</v>
      </c>
    </row>
    <row r="45" spans="1:16" ht="20.100000000000001" customHeight="1" x14ac:dyDescent="0.25">
      <c r="A45" s="647">
        <v>37</v>
      </c>
      <c r="B45" s="35">
        <f>dtsiswa!D43</f>
        <v>0</v>
      </c>
      <c r="C45" s="36"/>
      <c r="D45" s="647"/>
      <c r="E45" s="647"/>
      <c r="F45" s="647"/>
      <c r="G45" s="647"/>
      <c r="H45" s="647"/>
      <c r="I45" s="647"/>
      <c r="J45" s="647"/>
      <c r="K45" s="647"/>
      <c r="L45" s="504">
        <f t="shared" si="4"/>
        <v>0</v>
      </c>
      <c r="M45" s="505">
        <f t="shared" si="5"/>
        <v>0</v>
      </c>
      <c r="N45" s="505">
        <f t="shared" si="6"/>
        <v>0</v>
      </c>
      <c r="O45" s="505">
        <f t="shared" si="7"/>
        <v>0</v>
      </c>
      <c r="P45" s="38">
        <f t="shared" si="8"/>
        <v>0</v>
      </c>
    </row>
    <row r="46" spans="1:16" ht="20.100000000000001" customHeight="1" x14ac:dyDescent="0.25">
      <c r="A46" s="647">
        <v>38</v>
      </c>
      <c r="B46" s="35">
        <f>dtsiswa!D44</f>
        <v>0</v>
      </c>
      <c r="C46" s="36"/>
      <c r="D46" s="647"/>
      <c r="E46" s="647"/>
      <c r="F46" s="647"/>
      <c r="G46" s="647"/>
      <c r="H46" s="647"/>
      <c r="I46" s="647"/>
      <c r="J46" s="647"/>
      <c r="K46" s="647"/>
      <c r="L46" s="504">
        <f t="shared" si="4"/>
        <v>0</v>
      </c>
      <c r="M46" s="505">
        <f t="shared" si="5"/>
        <v>0</v>
      </c>
      <c r="N46" s="505">
        <f t="shared" si="6"/>
        <v>0</v>
      </c>
      <c r="O46" s="505">
        <f t="shared" si="7"/>
        <v>0</v>
      </c>
      <c r="P46" s="38">
        <f t="shared" si="8"/>
        <v>0</v>
      </c>
    </row>
    <row r="47" spans="1:16" ht="20.100000000000001" customHeight="1" x14ac:dyDescent="0.25">
      <c r="A47" s="647">
        <v>39</v>
      </c>
      <c r="B47" s="35">
        <f>dtsiswa!D45</f>
        <v>0</v>
      </c>
      <c r="C47" s="36"/>
      <c r="D47" s="647"/>
      <c r="E47" s="647"/>
      <c r="F47" s="647"/>
      <c r="G47" s="647"/>
      <c r="H47" s="647"/>
      <c r="I47" s="647"/>
      <c r="J47" s="647"/>
      <c r="K47" s="647"/>
      <c r="L47" s="504">
        <f t="shared" si="4"/>
        <v>0</v>
      </c>
      <c r="M47" s="505">
        <f t="shared" si="5"/>
        <v>0</v>
      </c>
      <c r="N47" s="505">
        <f t="shared" si="6"/>
        <v>0</v>
      </c>
      <c r="O47" s="505">
        <f t="shared" si="7"/>
        <v>0</v>
      </c>
      <c r="P47" s="38">
        <f t="shared" si="8"/>
        <v>0</v>
      </c>
    </row>
    <row r="48" spans="1:16" ht="20.100000000000001" customHeight="1" x14ac:dyDescent="0.25">
      <c r="A48" s="647">
        <v>40</v>
      </c>
      <c r="B48" s="35">
        <f>dtsiswa!D46</f>
        <v>0</v>
      </c>
      <c r="C48" s="36"/>
      <c r="D48" s="647"/>
      <c r="E48" s="647"/>
      <c r="F48" s="647"/>
      <c r="G48" s="647"/>
      <c r="H48" s="647"/>
      <c r="I48" s="647"/>
      <c r="J48" s="647"/>
      <c r="K48" s="647"/>
      <c r="L48" s="504">
        <f t="shared" si="4"/>
        <v>0</v>
      </c>
      <c r="M48" s="505">
        <f t="shared" si="5"/>
        <v>0</v>
      </c>
      <c r="N48" s="505">
        <f t="shared" si="6"/>
        <v>0</v>
      </c>
      <c r="O48" s="505">
        <f t="shared" si="7"/>
        <v>0</v>
      </c>
      <c r="P48" s="38">
        <f t="shared" si="8"/>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00B050"/>
  </sheetPr>
  <dimension ref="A1:P48"/>
  <sheetViews>
    <sheetView workbookViewId="0">
      <pane xSplit="2" ySplit="8" topLeftCell="C42"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1069" t="s">
        <v>441</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240" t="s">
        <v>588</v>
      </c>
      <c r="E6" s="3241"/>
      <c r="F6" s="3241"/>
      <c r="G6" s="3241"/>
      <c r="H6" s="3241"/>
      <c r="I6" s="3241"/>
      <c r="J6" s="3241"/>
      <c r="K6" s="3242"/>
      <c r="L6" s="3130" t="s">
        <v>159</v>
      </c>
      <c r="M6" s="3232" t="s">
        <v>29</v>
      </c>
      <c r="N6" s="3232" t="s">
        <v>30</v>
      </c>
      <c r="O6" s="3232" t="s">
        <v>31</v>
      </c>
      <c r="P6" s="3149" t="s">
        <v>32</v>
      </c>
    </row>
    <row r="7" spans="1:16" s="30" customFormat="1" ht="20.25" customHeight="1" x14ac:dyDescent="0.25">
      <c r="A7" s="3231"/>
      <c r="B7" s="3231"/>
      <c r="C7" s="3231"/>
      <c r="D7" s="31" t="s">
        <v>29</v>
      </c>
      <c r="E7" s="31" t="s">
        <v>29</v>
      </c>
      <c r="F7" s="31" t="s">
        <v>29</v>
      </c>
      <c r="G7" s="31" t="s">
        <v>29</v>
      </c>
      <c r="H7" s="31" t="s">
        <v>29</v>
      </c>
      <c r="I7" s="31" t="s">
        <v>29</v>
      </c>
      <c r="J7" s="938"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0</v>
      </c>
      <c r="E9" s="200">
        <v>1</v>
      </c>
      <c r="F9" s="200">
        <v>1</v>
      </c>
      <c r="G9" s="200">
        <v>0</v>
      </c>
      <c r="H9" s="200">
        <v>1</v>
      </c>
      <c r="I9" s="200">
        <v>2</v>
      </c>
      <c r="J9" s="200">
        <v>0</v>
      </c>
      <c r="K9" s="200">
        <v>3</v>
      </c>
      <c r="L9" s="504">
        <f>SUM(D9:K9)*100/11</f>
        <v>72.727272727272734</v>
      </c>
      <c r="M9" s="505">
        <f>SUM(D9:H9)+J9</f>
        <v>3</v>
      </c>
      <c r="N9" s="505">
        <f>I9</f>
        <v>2</v>
      </c>
      <c r="O9" s="505">
        <f>K9</f>
        <v>3</v>
      </c>
      <c r="P9" s="38">
        <f>L9</f>
        <v>72.727272727272734</v>
      </c>
    </row>
    <row r="10" spans="1:16" ht="20.100000000000001" customHeight="1" x14ac:dyDescent="0.25">
      <c r="A10" s="570">
        <v>2</v>
      </c>
      <c r="B10" s="35" t="str">
        <f>dtsiswa!D8</f>
        <v>Angelia Vabel R</v>
      </c>
      <c r="C10" s="36" t="s">
        <v>4</v>
      </c>
      <c r="D10" s="200"/>
      <c r="E10" s="200"/>
      <c r="F10" s="200"/>
      <c r="G10" s="200"/>
      <c r="H10" s="200"/>
      <c r="I10" s="200"/>
      <c r="J10" s="200"/>
      <c r="K10" s="200"/>
      <c r="L10" s="504">
        <f t="shared" ref="L10:L43" si="0">SUM(D10:K10)*100/11</f>
        <v>0</v>
      </c>
      <c r="M10" s="505">
        <f t="shared" ref="M10:M43" si="1">SUM(D10:H10)+J10</f>
        <v>0</v>
      </c>
      <c r="N10" s="505">
        <f t="shared" ref="N10:N43" si="2">I10</f>
        <v>0</v>
      </c>
      <c r="O10" s="505">
        <f t="shared" ref="O10:P43" si="3">K10</f>
        <v>0</v>
      </c>
      <c r="P10" s="38">
        <f t="shared" si="3"/>
        <v>0</v>
      </c>
    </row>
    <row r="11" spans="1:16" ht="20.100000000000001" customHeight="1" x14ac:dyDescent="0.25">
      <c r="A11" s="570">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0.100000000000001" customHeight="1" x14ac:dyDescent="0.25">
      <c r="A12" s="570">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0.100000000000001" customHeight="1" x14ac:dyDescent="0.25">
      <c r="A13" s="570">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0.100000000000001" customHeight="1" x14ac:dyDescent="0.25">
      <c r="A14" s="570">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0.100000000000001" customHeight="1" x14ac:dyDescent="0.25">
      <c r="A15" s="570">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0.100000000000001" customHeight="1" x14ac:dyDescent="0.25">
      <c r="A16" s="570">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0.100000000000001" customHeight="1" x14ac:dyDescent="0.25">
      <c r="A17" s="570">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0.100000000000001" customHeight="1" x14ac:dyDescent="0.25">
      <c r="A18" s="570">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0.100000000000001" customHeight="1" x14ac:dyDescent="0.25">
      <c r="A19" s="570">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0.100000000000001" customHeight="1" x14ac:dyDescent="0.25">
      <c r="A20" s="570">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0.100000000000001" customHeight="1" x14ac:dyDescent="0.25">
      <c r="A21" s="570">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0.100000000000001" customHeight="1" x14ac:dyDescent="0.25">
      <c r="A22" s="570">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0.100000000000001" customHeight="1" x14ac:dyDescent="0.25">
      <c r="A23" s="570">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0.100000000000001" customHeight="1" x14ac:dyDescent="0.25">
      <c r="A24" s="570">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0.100000000000001" customHeight="1" x14ac:dyDescent="0.25">
      <c r="A25" s="570">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0.100000000000001" customHeight="1" x14ac:dyDescent="0.25">
      <c r="A26" s="570">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0.100000000000001" customHeight="1" x14ac:dyDescent="0.25">
      <c r="A27" s="570">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0.100000000000001" customHeight="1" x14ac:dyDescent="0.25">
      <c r="A28" s="570">
        <v>20</v>
      </c>
      <c r="B28" s="35" t="str">
        <f>dtsiswa!D26</f>
        <v>Roby Ardiyansyah</v>
      </c>
      <c r="C28" s="36" t="s">
        <v>5</v>
      </c>
      <c r="D28" s="570"/>
      <c r="E28" s="570"/>
      <c r="F28" s="570"/>
      <c r="G28" s="570"/>
      <c r="H28" s="570"/>
      <c r="I28" s="570"/>
      <c r="J28" s="570"/>
      <c r="K28" s="570"/>
      <c r="L28" s="504">
        <f t="shared" si="0"/>
        <v>0</v>
      </c>
      <c r="M28" s="505">
        <f t="shared" si="1"/>
        <v>0</v>
      </c>
      <c r="N28" s="505">
        <f t="shared" si="2"/>
        <v>0</v>
      </c>
      <c r="O28" s="505">
        <f t="shared" si="3"/>
        <v>0</v>
      </c>
      <c r="P28" s="38">
        <f t="shared" si="3"/>
        <v>0</v>
      </c>
    </row>
    <row r="29" spans="1:16" ht="20.100000000000001" customHeight="1" x14ac:dyDescent="0.25">
      <c r="A29" s="570">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0.100000000000001" customHeight="1" x14ac:dyDescent="0.25">
      <c r="A30" s="570">
        <v>22</v>
      </c>
      <c r="B30" s="35" t="str">
        <f>dtsiswa!D28</f>
        <v>Sally Savista A</v>
      </c>
      <c r="C30" s="45" t="s">
        <v>4</v>
      </c>
      <c r="D30" s="570"/>
      <c r="E30" s="570"/>
      <c r="F30" s="570"/>
      <c r="G30" s="570"/>
      <c r="H30" s="570"/>
      <c r="I30" s="570"/>
      <c r="J30" s="570"/>
      <c r="K30" s="570"/>
      <c r="L30" s="504">
        <f t="shared" si="0"/>
        <v>0</v>
      </c>
      <c r="M30" s="505">
        <f t="shared" si="1"/>
        <v>0</v>
      </c>
      <c r="N30" s="505">
        <f t="shared" si="2"/>
        <v>0</v>
      </c>
      <c r="O30" s="505">
        <f t="shared" si="3"/>
        <v>0</v>
      </c>
      <c r="P30" s="38">
        <f t="shared" si="3"/>
        <v>0</v>
      </c>
    </row>
    <row r="31" spans="1:16" ht="20.100000000000001" customHeight="1" x14ac:dyDescent="0.25">
      <c r="A31" s="570">
        <v>23</v>
      </c>
      <c r="B31" s="35" t="str">
        <f>dtsiswa!D29</f>
        <v xml:space="preserve">Tania Kaori Angelita </v>
      </c>
      <c r="C31" s="45" t="s">
        <v>5</v>
      </c>
      <c r="D31" s="570"/>
      <c r="E31" s="570"/>
      <c r="F31" s="570"/>
      <c r="G31" s="570"/>
      <c r="H31" s="570"/>
      <c r="I31" s="570"/>
      <c r="J31" s="570"/>
      <c r="K31" s="570"/>
      <c r="L31" s="504">
        <f t="shared" si="0"/>
        <v>0</v>
      </c>
      <c r="M31" s="505">
        <f t="shared" si="1"/>
        <v>0</v>
      </c>
      <c r="N31" s="505">
        <f t="shared" si="2"/>
        <v>0</v>
      </c>
      <c r="O31" s="505">
        <f t="shared" si="3"/>
        <v>0</v>
      </c>
      <c r="P31" s="38">
        <f t="shared" si="3"/>
        <v>0</v>
      </c>
    </row>
    <row r="32" spans="1:16" ht="20.100000000000001" customHeight="1" x14ac:dyDescent="0.25">
      <c r="A32" s="570">
        <v>24</v>
      </c>
      <c r="B32" s="35" t="str">
        <f>dtsiswa!D30</f>
        <v>Romzy Oka Ramadhani P</v>
      </c>
      <c r="C32" s="45" t="s">
        <v>5</v>
      </c>
      <c r="D32" s="570"/>
      <c r="E32" s="570"/>
      <c r="F32" s="570"/>
      <c r="G32" s="570"/>
      <c r="H32" s="570"/>
      <c r="I32" s="570"/>
      <c r="J32" s="570"/>
      <c r="K32" s="570"/>
      <c r="L32" s="504">
        <f t="shared" si="0"/>
        <v>0</v>
      </c>
      <c r="M32" s="505">
        <f t="shared" si="1"/>
        <v>0</v>
      </c>
      <c r="N32" s="505">
        <f t="shared" si="2"/>
        <v>0</v>
      </c>
      <c r="O32" s="505">
        <f t="shared" si="3"/>
        <v>0</v>
      </c>
      <c r="P32" s="38">
        <f t="shared" si="3"/>
        <v>0</v>
      </c>
    </row>
    <row r="33" spans="1:16" ht="20.100000000000001" customHeight="1" x14ac:dyDescent="0.25">
      <c r="A33" s="570">
        <v>25</v>
      </c>
      <c r="B33" s="35" t="str">
        <f>dtsiswa!D31</f>
        <v>Larasati Jagadhita P</v>
      </c>
      <c r="C33" s="36" t="s">
        <v>4</v>
      </c>
      <c r="D33" s="570"/>
      <c r="E33" s="570"/>
      <c r="F33" s="570"/>
      <c r="G33" s="570"/>
      <c r="H33" s="570"/>
      <c r="I33" s="570"/>
      <c r="J33" s="570"/>
      <c r="K33" s="570"/>
      <c r="L33" s="504">
        <f t="shared" si="0"/>
        <v>0</v>
      </c>
      <c r="M33" s="505">
        <f t="shared" si="1"/>
        <v>0</v>
      </c>
      <c r="N33" s="505">
        <f t="shared" si="2"/>
        <v>0</v>
      </c>
      <c r="O33" s="505">
        <f t="shared" si="3"/>
        <v>0</v>
      </c>
      <c r="P33" s="38">
        <f t="shared" si="3"/>
        <v>0</v>
      </c>
    </row>
    <row r="34" spans="1:16" ht="20.100000000000001" customHeight="1" x14ac:dyDescent="0.25">
      <c r="A34" s="570">
        <v>26</v>
      </c>
      <c r="B34" s="35" t="str">
        <f>dtsiswa!D32</f>
        <v>Meliana Citra A</v>
      </c>
      <c r="C34" s="36" t="s">
        <v>5</v>
      </c>
      <c r="D34" s="570"/>
      <c r="E34" s="570"/>
      <c r="F34" s="570"/>
      <c r="G34" s="570"/>
      <c r="H34" s="570"/>
      <c r="I34" s="570"/>
      <c r="J34" s="570"/>
      <c r="K34" s="570"/>
      <c r="L34" s="504">
        <f t="shared" si="0"/>
        <v>0</v>
      </c>
      <c r="M34" s="505">
        <f t="shared" si="1"/>
        <v>0</v>
      </c>
      <c r="N34" s="505">
        <f t="shared" si="2"/>
        <v>0</v>
      </c>
      <c r="O34" s="505">
        <f t="shared" si="3"/>
        <v>0</v>
      </c>
      <c r="P34" s="38">
        <f t="shared" si="3"/>
        <v>0</v>
      </c>
    </row>
    <row r="35" spans="1:16" ht="20.100000000000001" customHeight="1" x14ac:dyDescent="0.25">
      <c r="A35" s="570">
        <v>27</v>
      </c>
      <c r="B35" s="35" t="str">
        <f>dtsiswa!D33</f>
        <v>Mohammad Rizky</v>
      </c>
      <c r="C35" s="36" t="s">
        <v>4</v>
      </c>
      <c r="D35" s="570"/>
      <c r="E35" s="570"/>
      <c r="F35" s="570"/>
      <c r="G35" s="570"/>
      <c r="H35" s="570"/>
      <c r="I35" s="570"/>
      <c r="J35" s="570"/>
      <c r="K35" s="570"/>
      <c r="L35" s="504">
        <f t="shared" si="0"/>
        <v>0</v>
      </c>
      <c r="M35" s="505">
        <f t="shared" si="1"/>
        <v>0</v>
      </c>
      <c r="N35" s="505">
        <f t="shared" si="2"/>
        <v>0</v>
      </c>
      <c r="O35" s="505">
        <f t="shared" si="3"/>
        <v>0</v>
      </c>
      <c r="P35" s="38">
        <f t="shared" si="3"/>
        <v>0</v>
      </c>
    </row>
    <row r="36" spans="1:16" ht="20.100000000000001" customHeight="1" x14ac:dyDescent="0.25">
      <c r="A36" s="570">
        <v>28</v>
      </c>
      <c r="B36" s="35">
        <f>dtsiswa!D34</f>
        <v>0</v>
      </c>
      <c r="C36" s="36" t="s">
        <v>4</v>
      </c>
      <c r="D36" s="570"/>
      <c r="E36" s="570"/>
      <c r="F36" s="570"/>
      <c r="G36" s="570"/>
      <c r="H36" s="570"/>
      <c r="I36" s="570"/>
      <c r="J36" s="570"/>
      <c r="K36" s="570"/>
      <c r="L36" s="504">
        <f t="shared" si="0"/>
        <v>0</v>
      </c>
      <c r="M36" s="505">
        <f t="shared" si="1"/>
        <v>0</v>
      </c>
      <c r="N36" s="505">
        <f t="shared" si="2"/>
        <v>0</v>
      </c>
      <c r="O36" s="505">
        <f t="shared" si="3"/>
        <v>0</v>
      </c>
      <c r="P36" s="38">
        <f t="shared" si="3"/>
        <v>0</v>
      </c>
    </row>
    <row r="37" spans="1:16" ht="20.100000000000001" customHeight="1" x14ac:dyDescent="0.25">
      <c r="A37" s="570">
        <v>29</v>
      </c>
      <c r="B37" s="35">
        <f>dtsiswa!D35</f>
        <v>0</v>
      </c>
      <c r="C37" s="36" t="s">
        <v>4</v>
      </c>
      <c r="D37" s="570"/>
      <c r="E37" s="570"/>
      <c r="F37" s="570"/>
      <c r="G37" s="570"/>
      <c r="H37" s="570"/>
      <c r="I37" s="570"/>
      <c r="J37" s="570"/>
      <c r="K37" s="570"/>
      <c r="L37" s="504">
        <f t="shared" si="0"/>
        <v>0</v>
      </c>
      <c r="M37" s="505">
        <f t="shared" si="1"/>
        <v>0</v>
      </c>
      <c r="N37" s="505">
        <f t="shared" si="2"/>
        <v>0</v>
      </c>
      <c r="O37" s="505">
        <f t="shared" si="3"/>
        <v>0</v>
      </c>
      <c r="P37" s="38">
        <f t="shared" si="3"/>
        <v>0</v>
      </c>
    </row>
    <row r="38" spans="1:16" ht="20.100000000000001" customHeight="1" x14ac:dyDescent="0.25">
      <c r="A38" s="570">
        <v>30</v>
      </c>
      <c r="B38" s="35">
        <f>dtsiswa!D36</f>
        <v>0</v>
      </c>
      <c r="C38" s="36" t="s">
        <v>5</v>
      </c>
      <c r="D38" s="570"/>
      <c r="E38" s="570"/>
      <c r="F38" s="570"/>
      <c r="G38" s="570"/>
      <c r="H38" s="570"/>
      <c r="I38" s="570"/>
      <c r="J38" s="570"/>
      <c r="K38" s="570"/>
      <c r="L38" s="504">
        <f t="shared" si="0"/>
        <v>0</v>
      </c>
      <c r="M38" s="505">
        <f t="shared" si="1"/>
        <v>0</v>
      </c>
      <c r="N38" s="505">
        <f t="shared" si="2"/>
        <v>0</v>
      </c>
      <c r="O38" s="505">
        <f t="shared" si="3"/>
        <v>0</v>
      </c>
      <c r="P38" s="38">
        <f t="shared" si="3"/>
        <v>0</v>
      </c>
    </row>
    <row r="39" spans="1:16" ht="20.100000000000001" customHeight="1" x14ac:dyDescent="0.25">
      <c r="A39" s="570">
        <v>31</v>
      </c>
      <c r="B39" s="35">
        <f>dtsiswa!D37</f>
        <v>0</v>
      </c>
      <c r="C39" s="36" t="s">
        <v>5</v>
      </c>
      <c r="D39" s="570"/>
      <c r="E39" s="570"/>
      <c r="F39" s="570"/>
      <c r="G39" s="570"/>
      <c r="H39" s="570"/>
      <c r="I39" s="570"/>
      <c r="J39" s="570"/>
      <c r="K39" s="570"/>
      <c r="L39" s="504">
        <f t="shared" si="0"/>
        <v>0</v>
      </c>
      <c r="M39" s="505">
        <f t="shared" si="1"/>
        <v>0</v>
      </c>
      <c r="N39" s="505">
        <f t="shared" si="2"/>
        <v>0</v>
      </c>
      <c r="O39" s="505">
        <f t="shared" si="3"/>
        <v>0</v>
      </c>
      <c r="P39" s="38">
        <f t="shared" si="3"/>
        <v>0</v>
      </c>
    </row>
    <row r="40" spans="1:16" ht="20.100000000000001" customHeight="1" x14ac:dyDescent="0.25">
      <c r="A40" s="570">
        <v>32</v>
      </c>
      <c r="B40" s="35">
        <f>dtsiswa!D38</f>
        <v>0</v>
      </c>
      <c r="D40" s="570"/>
      <c r="E40" s="570"/>
      <c r="F40" s="570"/>
      <c r="G40" s="570"/>
      <c r="H40" s="570"/>
      <c r="I40" s="570"/>
      <c r="J40" s="570"/>
      <c r="K40" s="570"/>
      <c r="L40" s="504">
        <f t="shared" si="0"/>
        <v>0</v>
      </c>
      <c r="M40" s="505">
        <f t="shared" si="1"/>
        <v>0</v>
      </c>
      <c r="N40" s="505">
        <f t="shared" si="2"/>
        <v>0</v>
      </c>
      <c r="O40" s="505">
        <f t="shared" si="3"/>
        <v>0</v>
      </c>
      <c r="P40" s="38">
        <f t="shared" si="3"/>
        <v>0</v>
      </c>
    </row>
    <row r="41" spans="1:16" ht="20.100000000000001" customHeight="1" x14ac:dyDescent="0.25">
      <c r="A41" s="570">
        <v>33</v>
      </c>
      <c r="B41" s="35">
        <f>dtsiswa!D39</f>
        <v>0</v>
      </c>
      <c r="C41" s="36"/>
      <c r="D41" s="570"/>
      <c r="E41" s="570"/>
      <c r="F41" s="570"/>
      <c r="G41" s="570"/>
      <c r="H41" s="570"/>
      <c r="I41" s="570"/>
      <c r="J41" s="570"/>
      <c r="K41" s="570"/>
      <c r="L41" s="504">
        <f t="shared" si="0"/>
        <v>0</v>
      </c>
      <c r="M41" s="505">
        <f t="shared" si="1"/>
        <v>0</v>
      </c>
      <c r="N41" s="505">
        <f t="shared" si="2"/>
        <v>0</v>
      </c>
      <c r="O41" s="505">
        <f t="shared" si="3"/>
        <v>0</v>
      </c>
      <c r="P41" s="38">
        <f t="shared" si="3"/>
        <v>0</v>
      </c>
    </row>
    <row r="42" spans="1:16" ht="20.100000000000001" customHeight="1" x14ac:dyDescent="0.25">
      <c r="A42" s="570">
        <v>34</v>
      </c>
      <c r="B42" s="35">
        <f>dtsiswa!D40</f>
        <v>0</v>
      </c>
      <c r="C42" s="36"/>
      <c r="D42" s="570"/>
      <c r="E42" s="570"/>
      <c r="F42" s="570"/>
      <c r="G42" s="570"/>
      <c r="H42" s="570"/>
      <c r="I42" s="570"/>
      <c r="J42" s="570"/>
      <c r="K42" s="570"/>
      <c r="L42" s="504">
        <f t="shared" si="0"/>
        <v>0</v>
      </c>
      <c r="M42" s="505">
        <f t="shared" si="1"/>
        <v>0</v>
      </c>
      <c r="N42" s="505">
        <f t="shared" si="2"/>
        <v>0</v>
      </c>
      <c r="O42" s="505">
        <f t="shared" si="3"/>
        <v>0</v>
      </c>
      <c r="P42" s="38">
        <f t="shared" si="3"/>
        <v>0</v>
      </c>
    </row>
    <row r="43" spans="1:16" ht="20.100000000000001" customHeight="1" x14ac:dyDescent="0.25">
      <c r="A43" s="570">
        <v>35</v>
      </c>
      <c r="B43" s="35">
        <f>dtsiswa!D41</f>
        <v>0</v>
      </c>
      <c r="C43" s="36"/>
      <c r="D43" s="570"/>
      <c r="E43" s="570"/>
      <c r="F43" s="570"/>
      <c r="G43" s="570"/>
      <c r="H43" s="570"/>
      <c r="I43" s="570"/>
      <c r="J43" s="570"/>
      <c r="K43" s="570"/>
      <c r="L43" s="504">
        <f t="shared" si="0"/>
        <v>0</v>
      </c>
      <c r="M43" s="505">
        <f t="shared" si="1"/>
        <v>0</v>
      </c>
      <c r="N43" s="505">
        <f t="shared" si="2"/>
        <v>0</v>
      </c>
      <c r="O43" s="505">
        <f t="shared" si="3"/>
        <v>0</v>
      </c>
      <c r="P43" s="38">
        <f t="shared" si="3"/>
        <v>0</v>
      </c>
    </row>
    <row r="44" spans="1:16" ht="20.100000000000001" customHeight="1" x14ac:dyDescent="0.25">
      <c r="A44" s="647">
        <v>36</v>
      </c>
      <c r="B44" s="35">
        <f>dtsiswa!D42</f>
        <v>0</v>
      </c>
      <c r="C44" s="36"/>
      <c r="D44" s="647"/>
      <c r="E44" s="647"/>
      <c r="F44" s="647"/>
      <c r="G44" s="647"/>
      <c r="H44" s="647"/>
      <c r="I44" s="647"/>
      <c r="J44" s="647"/>
      <c r="K44" s="647"/>
      <c r="L44" s="504">
        <f t="shared" ref="L44:L48" si="4">SUM(D44:K44)*100/11</f>
        <v>0</v>
      </c>
      <c r="M44" s="505">
        <f t="shared" ref="M44:M48" si="5">SUM(D44:H44)+J44</f>
        <v>0</v>
      </c>
      <c r="N44" s="505">
        <f t="shared" ref="N44:N48" si="6">I44</f>
        <v>0</v>
      </c>
      <c r="O44" s="505">
        <f t="shared" ref="O44:O48" si="7">K44</f>
        <v>0</v>
      </c>
      <c r="P44" s="38">
        <f t="shared" ref="P44:P48" si="8">L44</f>
        <v>0</v>
      </c>
    </row>
    <row r="45" spans="1:16" ht="20.100000000000001" customHeight="1" x14ac:dyDescent="0.25">
      <c r="A45" s="647">
        <v>37</v>
      </c>
      <c r="B45" s="35">
        <f>dtsiswa!D43</f>
        <v>0</v>
      </c>
      <c r="C45" s="36"/>
      <c r="D45" s="647"/>
      <c r="E45" s="647"/>
      <c r="F45" s="647"/>
      <c r="G45" s="647"/>
      <c r="H45" s="647"/>
      <c r="I45" s="647"/>
      <c r="J45" s="647"/>
      <c r="K45" s="647"/>
      <c r="L45" s="504">
        <f t="shared" si="4"/>
        <v>0</v>
      </c>
      <c r="M45" s="505">
        <f t="shared" si="5"/>
        <v>0</v>
      </c>
      <c r="N45" s="505">
        <f t="shared" si="6"/>
        <v>0</v>
      </c>
      <c r="O45" s="505">
        <f t="shared" si="7"/>
        <v>0</v>
      </c>
      <c r="P45" s="38">
        <f t="shared" si="8"/>
        <v>0</v>
      </c>
    </row>
    <row r="46" spans="1:16" ht="20.100000000000001" customHeight="1" x14ac:dyDescent="0.25">
      <c r="A46" s="647">
        <v>38</v>
      </c>
      <c r="B46" s="35">
        <f>dtsiswa!D44</f>
        <v>0</v>
      </c>
      <c r="C46" s="36"/>
      <c r="D46" s="647"/>
      <c r="E46" s="647"/>
      <c r="F46" s="647"/>
      <c r="G46" s="647"/>
      <c r="H46" s="647"/>
      <c r="I46" s="647"/>
      <c r="J46" s="647"/>
      <c r="K46" s="647"/>
      <c r="L46" s="504">
        <f t="shared" si="4"/>
        <v>0</v>
      </c>
      <c r="M46" s="505">
        <f t="shared" si="5"/>
        <v>0</v>
      </c>
      <c r="N46" s="505">
        <f t="shared" si="6"/>
        <v>0</v>
      </c>
      <c r="O46" s="505">
        <f t="shared" si="7"/>
        <v>0</v>
      </c>
      <c r="P46" s="38">
        <f t="shared" si="8"/>
        <v>0</v>
      </c>
    </row>
    <row r="47" spans="1:16" ht="20.100000000000001" customHeight="1" x14ac:dyDescent="0.25">
      <c r="A47" s="647">
        <v>39</v>
      </c>
      <c r="B47" s="35">
        <f>dtsiswa!D45</f>
        <v>0</v>
      </c>
      <c r="C47" s="36"/>
      <c r="D47" s="647"/>
      <c r="E47" s="647"/>
      <c r="F47" s="647"/>
      <c r="G47" s="647"/>
      <c r="H47" s="647"/>
      <c r="I47" s="647"/>
      <c r="J47" s="647"/>
      <c r="K47" s="647"/>
      <c r="L47" s="504">
        <f t="shared" si="4"/>
        <v>0</v>
      </c>
      <c r="M47" s="505">
        <f t="shared" si="5"/>
        <v>0</v>
      </c>
      <c r="N47" s="505">
        <f t="shared" si="6"/>
        <v>0</v>
      </c>
      <c r="O47" s="505">
        <f t="shared" si="7"/>
        <v>0</v>
      </c>
      <c r="P47" s="38">
        <f t="shared" si="8"/>
        <v>0</v>
      </c>
    </row>
    <row r="48" spans="1:16" ht="20.100000000000001" customHeight="1" x14ac:dyDescent="0.25">
      <c r="A48" s="647">
        <v>40</v>
      </c>
      <c r="B48" s="35">
        <f>dtsiswa!D46</f>
        <v>0</v>
      </c>
      <c r="C48" s="36"/>
      <c r="D48" s="647"/>
      <c r="E48" s="647"/>
      <c r="F48" s="647"/>
      <c r="G48" s="647"/>
      <c r="H48" s="647"/>
      <c r="I48" s="647"/>
      <c r="J48" s="647"/>
      <c r="K48" s="647"/>
      <c r="L48" s="504">
        <f t="shared" si="4"/>
        <v>0</v>
      </c>
      <c r="M48" s="505">
        <f t="shared" si="5"/>
        <v>0</v>
      </c>
      <c r="N48" s="505">
        <f t="shared" si="6"/>
        <v>0</v>
      </c>
      <c r="O48" s="505">
        <f t="shared" si="7"/>
        <v>0</v>
      </c>
      <c r="P48" s="38">
        <f t="shared" si="8"/>
        <v>0</v>
      </c>
    </row>
  </sheetData>
  <mergeCells count="11">
    <mergeCell ref="M6:M8"/>
    <mergeCell ref="N6:N8"/>
    <mergeCell ref="O6:O8"/>
    <mergeCell ref="P6:P8"/>
    <mergeCell ref="A1:P1"/>
    <mergeCell ref="A2:P2"/>
    <mergeCell ref="A6:A8"/>
    <mergeCell ref="B6:B8"/>
    <mergeCell ref="C6:C8"/>
    <mergeCell ref="L6:L8"/>
    <mergeCell ref="D6:K6"/>
  </mergeCells>
  <pageMargins left="0.7" right="0.7" top="0.75" bottom="0.75" header="0.3" footer="0.3"/>
  <pageSetup paperSize="9" orientation="portrait" horizontalDpi="0" verticalDpi="0"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B050"/>
  </sheetPr>
  <dimension ref="A1:P48"/>
  <sheetViews>
    <sheetView showGridLines="0" workbookViewId="0">
      <pane xSplit="2" ySplit="8" topLeftCell="D45"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544" t="s">
        <v>685</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30" customFormat="1" ht="20.25" customHeight="1" x14ac:dyDescent="0.25">
      <c r="A6" s="3231" t="s">
        <v>0</v>
      </c>
      <c r="B6" s="3231" t="s">
        <v>28</v>
      </c>
      <c r="C6" s="3231" t="s">
        <v>3</v>
      </c>
      <c r="D6" s="3146" t="s">
        <v>589</v>
      </c>
      <c r="E6" s="3147"/>
      <c r="F6" s="3147"/>
      <c r="G6" s="3147"/>
      <c r="H6" s="3147"/>
      <c r="I6" s="3147"/>
      <c r="J6" s="3147"/>
      <c r="K6" s="3148"/>
      <c r="L6" s="3130" t="s">
        <v>159</v>
      </c>
      <c r="M6" s="3232" t="s">
        <v>29</v>
      </c>
      <c r="N6" s="3232" t="s">
        <v>30</v>
      </c>
      <c r="O6" s="3232" t="s">
        <v>31</v>
      </c>
      <c r="P6" s="3149" t="s">
        <v>32</v>
      </c>
    </row>
    <row r="7" spans="1:16" s="30" customFormat="1" ht="20.25" customHeight="1" x14ac:dyDescent="0.25">
      <c r="A7" s="3231"/>
      <c r="B7" s="3231"/>
      <c r="C7" s="3231"/>
      <c r="D7" s="31" t="s">
        <v>29</v>
      </c>
      <c r="E7" s="31" t="s">
        <v>29</v>
      </c>
      <c r="F7" s="31" t="s">
        <v>29</v>
      </c>
      <c r="G7" s="31" t="s">
        <v>29</v>
      </c>
      <c r="H7" s="31" t="s">
        <v>29</v>
      </c>
      <c r="I7" s="31" t="s">
        <v>29</v>
      </c>
      <c r="J7" s="938"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4.95" customHeight="1" x14ac:dyDescent="0.25">
      <c r="A9" s="34">
        <v>1</v>
      </c>
      <c r="B9" s="198" t="str">
        <f>dtsiswa!D7</f>
        <v>Achmad Zacky</v>
      </c>
      <c r="C9" s="291" t="s">
        <v>4</v>
      </c>
      <c r="D9" s="200">
        <v>1</v>
      </c>
      <c r="E9" s="200">
        <v>0</v>
      </c>
      <c r="F9" s="200">
        <v>1</v>
      </c>
      <c r="G9" s="200">
        <v>1</v>
      </c>
      <c r="H9" s="200">
        <v>1</v>
      </c>
      <c r="I9" s="200">
        <v>2</v>
      </c>
      <c r="J9" s="200">
        <v>0</v>
      </c>
      <c r="K9" s="200">
        <v>3</v>
      </c>
      <c r="L9" s="504">
        <f>SUM(D9:K9)*100/11</f>
        <v>81.818181818181813</v>
      </c>
      <c r="M9" s="505">
        <f>SUM(D9:H9)+J9</f>
        <v>4</v>
      </c>
      <c r="N9" s="505">
        <f>I9</f>
        <v>2</v>
      </c>
      <c r="O9" s="505">
        <f>K9</f>
        <v>3</v>
      </c>
      <c r="P9" s="38">
        <f>L9</f>
        <v>81.818181818181813</v>
      </c>
    </row>
    <row r="10" spans="1:16" ht="24.95" customHeight="1" x14ac:dyDescent="0.25">
      <c r="A10" s="570">
        <v>2</v>
      </c>
      <c r="B10" s="35" t="str">
        <f>dtsiswa!D8</f>
        <v>Angelia Vabel R</v>
      </c>
      <c r="C10" s="36" t="s">
        <v>4</v>
      </c>
      <c r="D10" s="200"/>
      <c r="E10" s="200"/>
      <c r="F10" s="200"/>
      <c r="G10" s="200"/>
      <c r="H10" s="200"/>
      <c r="I10" s="200"/>
      <c r="J10" s="200"/>
      <c r="K10" s="200"/>
      <c r="L10" s="504">
        <f t="shared" ref="L10:L43" si="0">SUM(D10:K10)*100/11</f>
        <v>0</v>
      </c>
      <c r="M10" s="505">
        <f t="shared" ref="M10:M43" si="1">SUM(D10:H10)+J10</f>
        <v>0</v>
      </c>
      <c r="N10" s="505">
        <f t="shared" ref="N10:N43" si="2">I10</f>
        <v>0</v>
      </c>
      <c r="O10" s="505">
        <f t="shared" ref="O10:P43" si="3">K10</f>
        <v>0</v>
      </c>
      <c r="P10" s="38">
        <f t="shared" si="3"/>
        <v>0</v>
      </c>
    </row>
    <row r="11" spans="1:16" ht="24.95" customHeight="1" x14ac:dyDescent="0.25">
      <c r="A11" s="570">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4.95" customHeight="1" x14ac:dyDescent="0.25">
      <c r="A12" s="570">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4.95" customHeight="1" x14ac:dyDescent="0.25">
      <c r="A13" s="570">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4.95" customHeight="1" x14ac:dyDescent="0.25">
      <c r="A14" s="570">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4.95" customHeight="1" x14ac:dyDescent="0.25">
      <c r="A15" s="570">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4.95" customHeight="1" x14ac:dyDescent="0.25">
      <c r="A16" s="570">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4.95" customHeight="1" x14ac:dyDescent="0.25">
      <c r="A17" s="570">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4.95" customHeight="1" x14ac:dyDescent="0.25">
      <c r="A18" s="570">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4.95" customHeight="1" x14ac:dyDescent="0.25">
      <c r="A19" s="570">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4.95" customHeight="1" x14ac:dyDescent="0.25">
      <c r="A20" s="570">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4.95" customHeight="1" x14ac:dyDescent="0.25">
      <c r="A21" s="570">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4.95" customHeight="1" x14ac:dyDescent="0.25">
      <c r="A22" s="570">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4.95" customHeight="1" x14ac:dyDescent="0.25">
      <c r="A23" s="570">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4.95" customHeight="1" x14ac:dyDescent="0.25">
      <c r="A24" s="570">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4.95" customHeight="1" x14ac:dyDescent="0.25">
      <c r="A25" s="570">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4.95" customHeight="1" x14ac:dyDescent="0.25">
      <c r="A26" s="570">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4.95" customHeight="1" x14ac:dyDescent="0.25">
      <c r="A27" s="570">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4.95" customHeight="1" x14ac:dyDescent="0.25">
      <c r="A28" s="570">
        <v>20</v>
      </c>
      <c r="B28" s="35" t="str">
        <f>dtsiswa!D26</f>
        <v>Roby Ardiyansyah</v>
      </c>
      <c r="C28" s="36" t="s">
        <v>5</v>
      </c>
      <c r="D28" s="570"/>
      <c r="E28" s="570"/>
      <c r="F28" s="570"/>
      <c r="G28" s="570"/>
      <c r="H28" s="570"/>
      <c r="I28" s="570"/>
      <c r="J28" s="570"/>
      <c r="K28" s="570"/>
      <c r="L28" s="504">
        <f t="shared" si="0"/>
        <v>0</v>
      </c>
      <c r="M28" s="505">
        <f t="shared" si="1"/>
        <v>0</v>
      </c>
      <c r="N28" s="505">
        <f t="shared" si="2"/>
        <v>0</v>
      </c>
      <c r="O28" s="505">
        <f t="shared" si="3"/>
        <v>0</v>
      </c>
      <c r="P28" s="38">
        <f t="shared" si="3"/>
        <v>0</v>
      </c>
    </row>
    <row r="29" spans="1:16" ht="24.95" customHeight="1" x14ac:dyDescent="0.25">
      <c r="A29" s="570">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4.95" customHeight="1" x14ac:dyDescent="0.25">
      <c r="A30" s="570">
        <v>22</v>
      </c>
      <c r="B30" s="35" t="str">
        <f>dtsiswa!D28</f>
        <v>Sally Savista A</v>
      </c>
      <c r="C30" s="45" t="s">
        <v>4</v>
      </c>
      <c r="D30" s="570"/>
      <c r="E30" s="570"/>
      <c r="F30" s="570"/>
      <c r="G30" s="570"/>
      <c r="H30" s="570"/>
      <c r="I30" s="570"/>
      <c r="J30" s="570"/>
      <c r="K30" s="570"/>
      <c r="L30" s="504">
        <f t="shared" si="0"/>
        <v>0</v>
      </c>
      <c r="M30" s="505">
        <f t="shared" si="1"/>
        <v>0</v>
      </c>
      <c r="N30" s="505">
        <f t="shared" si="2"/>
        <v>0</v>
      </c>
      <c r="O30" s="505">
        <f t="shared" si="3"/>
        <v>0</v>
      </c>
      <c r="P30" s="38">
        <f t="shared" si="3"/>
        <v>0</v>
      </c>
    </row>
    <row r="31" spans="1:16" ht="24.95" customHeight="1" x14ac:dyDescent="0.25">
      <c r="A31" s="570">
        <v>23</v>
      </c>
      <c r="B31" s="35" t="str">
        <f>dtsiswa!D29</f>
        <v xml:space="preserve">Tania Kaori Angelita </v>
      </c>
      <c r="C31" s="45" t="s">
        <v>5</v>
      </c>
      <c r="D31" s="570"/>
      <c r="E31" s="570"/>
      <c r="F31" s="570"/>
      <c r="G31" s="570"/>
      <c r="H31" s="570"/>
      <c r="I31" s="570"/>
      <c r="J31" s="570"/>
      <c r="K31" s="570"/>
      <c r="L31" s="504">
        <f t="shared" si="0"/>
        <v>0</v>
      </c>
      <c r="M31" s="505">
        <f t="shared" si="1"/>
        <v>0</v>
      </c>
      <c r="N31" s="505">
        <f t="shared" si="2"/>
        <v>0</v>
      </c>
      <c r="O31" s="505">
        <f t="shared" si="3"/>
        <v>0</v>
      </c>
      <c r="P31" s="38">
        <f t="shared" si="3"/>
        <v>0</v>
      </c>
    </row>
    <row r="32" spans="1:16" ht="24.95" customHeight="1" x14ac:dyDescent="0.25">
      <c r="A32" s="570">
        <v>24</v>
      </c>
      <c r="B32" s="35" t="str">
        <f>dtsiswa!D30</f>
        <v>Romzy Oka Ramadhani P</v>
      </c>
      <c r="C32" s="45" t="s">
        <v>5</v>
      </c>
      <c r="D32" s="570"/>
      <c r="E32" s="570"/>
      <c r="F32" s="570"/>
      <c r="G32" s="570"/>
      <c r="H32" s="570"/>
      <c r="I32" s="570"/>
      <c r="J32" s="570"/>
      <c r="K32" s="570"/>
      <c r="L32" s="504">
        <f t="shared" si="0"/>
        <v>0</v>
      </c>
      <c r="M32" s="505">
        <f t="shared" si="1"/>
        <v>0</v>
      </c>
      <c r="N32" s="505">
        <f t="shared" si="2"/>
        <v>0</v>
      </c>
      <c r="O32" s="505">
        <f t="shared" si="3"/>
        <v>0</v>
      </c>
      <c r="P32" s="38">
        <f t="shared" si="3"/>
        <v>0</v>
      </c>
    </row>
    <row r="33" spans="1:16" ht="24.95" customHeight="1" x14ac:dyDescent="0.25">
      <c r="A33" s="570">
        <v>25</v>
      </c>
      <c r="B33" s="35" t="str">
        <f>dtsiswa!D31</f>
        <v>Larasati Jagadhita P</v>
      </c>
      <c r="C33" s="36" t="s">
        <v>4</v>
      </c>
      <c r="D33" s="570"/>
      <c r="E33" s="570"/>
      <c r="F33" s="570"/>
      <c r="G33" s="570"/>
      <c r="H33" s="570"/>
      <c r="I33" s="570"/>
      <c r="J33" s="570"/>
      <c r="K33" s="570"/>
      <c r="L33" s="504">
        <f t="shared" si="0"/>
        <v>0</v>
      </c>
      <c r="M33" s="505">
        <f t="shared" si="1"/>
        <v>0</v>
      </c>
      <c r="N33" s="505">
        <f t="shared" si="2"/>
        <v>0</v>
      </c>
      <c r="O33" s="505">
        <f t="shared" si="3"/>
        <v>0</v>
      </c>
      <c r="P33" s="38">
        <f t="shared" si="3"/>
        <v>0</v>
      </c>
    </row>
    <row r="34" spans="1:16" ht="24.95" customHeight="1" x14ac:dyDescent="0.25">
      <c r="A34" s="570">
        <v>26</v>
      </c>
      <c r="B34" s="35" t="str">
        <f>dtsiswa!D32</f>
        <v>Meliana Citra A</v>
      </c>
      <c r="C34" s="36" t="s">
        <v>5</v>
      </c>
      <c r="D34" s="570"/>
      <c r="E34" s="570"/>
      <c r="F34" s="570"/>
      <c r="G34" s="570"/>
      <c r="H34" s="570"/>
      <c r="I34" s="570"/>
      <c r="J34" s="570"/>
      <c r="K34" s="570"/>
      <c r="L34" s="504">
        <f t="shared" si="0"/>
        <v>0</v>
      </c>
      <c r="M34" s="505">
        <f t="shared" si="1"/>
        <v>0</v>
      </c>
      <c r="N34" s="505">
        <f t="shared" si="2"/>
        <v>0</v>
      </c>
      <c r="O34" s="505">
        <f t="shared" si="3"/>
        <v>0</v>
      </c>
      <c r="P34" s="38">
        <f t="shared" si="3"/>
        <v>0</v>
      </c>
    </row>
    <row r="35" spans="1:16" ht="24.95" customHeight="1" x14ac:dyDescent="0.25">
      <c r="A35" s="570">
        <v>27</v>
      </c>
      <c r="B35" s="35" t="str">
        <f>dtsiswa!D33</f>
        <v>Mohammad Rizky</v>
      </c>
      <c r="C35" s="36" t="s">
        <v>4</v>
      </c>
      <c r="D35" s="570"/>
      <c r="E35" s="570"/>
      <c r="F35" s="570"/>
      <c r="G35" s="570"/>
      <c r="H35" s="570"/>
      <c r="I35" s="570"/>
      <c r="J35" s="570"/>
      <c r="K35" s="570"/>
      <c r="L35" s="504">
        <f t="shared" si="0"/>
        <v>0</v>
      </c>
      <c r="M35" s="505">
        <f t="shared" si="1"/>
        <v>0</v>
      </c>
      <c r="N35" s="505">
        <f t="shared" si="2"/>
        <v>0</v>
      </c>
      <c r="O35" s="505">
        <f t="shared" si="3"/>
        <v>0</v>
      </c>
      <c r="P35" s="38">
        <f t="shared" si="3"/>
        <v>0</v>
      </c>
    </row>
    <row r="36" spans="1:16" ht="24.95" customHeight="1" x14ac:dyDescent="0.25">
      <c r="A36" s="570">
        <v>28</v>
      </c>
      <c r="B36" s="35">
        <f>dtsiswa!D34</f>
        <v>0</v>
      </c>
      <c r="C36" s="36" t="s">
        <v>4</v>
      </c>
      <c r="D36" s="570"/>
      <c r="E36" s="570"/>
      <c r="F36" s="570"/>
      <c r="G36" s="570"/>
      <c r="H36" s="570"/>
      <c r="I36" s="570"/>
      <c r="J36" s="570"/>
      <c r="K36" s="570"/>
      <c r="L36" s="504">
        <f t="shared" si="0"/>
        <v>0</v>
      </c>
      <c r="M36" s="505">
        <f t="shared" si="1"/>
        <v>0</v>
      </c>
      <c r="N36" s="505">
        <f t="shared" si="2"/>
        <v>0</v>
      </c>
      <c r="O36" s="505">
        <f t="shared" si="3"/>
        <v>0</v>
      </c>
      <c r="P36" s="38">
        <f t="shared" si="3"/>
        <v>0</v>
      </c>
    </row>
    <row r="37" spans="1:16" ht="24.95" customHeight="1" x14ac:dyDescent="0.25">
      <c r="A37" s="570">
        <v>29</v>
      </c>
      <c r="B37" s="35">
        <f>dtsiswa!D35</f>
        <v>0</v>
      </c>
      <c r="C37" s="36" t="s">
        <v>4</v>
      </c>
      <c r="D37" s="570"/>
      <c r="E37" s="570"/>
      <c r="F37" s="570"/>
      <c r="G37" s="570"/>
      <c r="H37" s="570"/>
      <c r="I37" s="570"/>
      <c r="J37" s="570"/>
      <c r="K37" s="570"/>
      <c r="L37" s="504">
        <f t="shared" si="0"/>
        <v>0</v>
      </c>
      <c r="M37" s="505">
        <f t="shared" si="1"/>
        <v>0</v>
      </c>
      <c r="N37" s="505">
        <f t="shared" si="2"/>
        <v>0</v>
      </c>
      <c r="O37" s="505">
        <f t="shared" si="3"/>
        <v>0</v>
      </c>
      <c r="P37" s="38">
        <f t="shared" si="3"/>
        <v>0</v>
      </c>
    </row>
    <row r="38" spans="1:16" ht="24.95" customHeight="1" x14ac:dyDescent="0.25">
      <c r="A38" s="570">
        <v>30</v>
      </c>
      <c r="B38" s="35">
        <f>dtsiswa!D36</f>
        <v>0</v>
      </c>
      <c r="C38" s="36" t="s">
        <v>5</v>
      </c>
      <c r="D38" s="570"/>
      <c r="E38" s="570"/>
      <c r="F38" s="570"/>
      <c r="G38" s="570"/>
      <c r="H38" s="570"/>
      <c r="I38" s="570"/>
      <c r="J38" s="570"/>
      <c r="K38" s="570"/>
      <c r="L38" s="504">
        <f t="shared" si="0"/>
        <v>0</v>
      </c>
      <c r="M38" s="505">
        <f t="shared" si="1"/>
        <v>0</v>
      </c>
      <c r="N38" s="505">
        <f t="shared" si="2"/>
        <v>0</v>
      </c>
      <c r="O38" s="505">
        <f t="shared" si="3"/>
        <v>0</v>
      </c>
      <c r="P38" s="38">
        <f t="shared" si="3"/>
        <v>0</v>
      </c>
    </row>
    <row r="39" spans="1:16" ht="24.95" customHeight="1" x14ac:dyDescent="0.25">
      <c r="A39" s="570">
        <v>31</v>
      </c>
      <c r="B39" s="35">
        <f>dtsiswa!D37</f>
        <v>0</v>
      </c>
      <c r="C39" s="36" t="s">
        <v>5</v>
      </c>
      <c r="D39" s="570"/>
      <c r="E39" s="570"/>
      <c r="F39" s="570"/>
      <c r="G39" s="570"/>
      <c r="H39" s="570"/>
      <c r="I39" s="570"/>
      <c r="J39" s="570"/>
      <c r="K39" s="570"/>
      <c r="L39" s="504">
        <f t="shared" si="0"/>
        <v>0</v>
      </c>
      <c r="M39" s="505">
        <f t="shared" si="1"/>
        <v>0</v>
      </c>
      <c r="N39" s="505">
        <f t="shared" si="2"/>
        <v>0</v>
      </c>
      <c r="O39" s="505">
        <f t="shared" si="3"/>
        <v>0</v>
      </c>
      <c r="P39" s="38">
        <f t="shared" si="3"/>
        <v>0</v>
      </c>
    </row>
    <row r="40" spans="1:16" ht="24.95" customHeight="1" x14ac:dyDescent="0.25">
      <c r="A40" s="570">
        <v>32</v>
      </c>
      <c r="B40" s="35">
        <f>dtsiswa!D38</f>
        <v>0</v>
      </c>
      <c r="D40" s="570"/>
      <c r="E40" s="570"/>
      <c r="F40" s="570"/>
      <c r="G40" s="570"/>
      <c r="H40" s="570"/>
      <c r="I40" s="570"/>
      <c r="J40" s="570"/>
      <c r="K40" s="570"/>
      <c r="L40" s="504">
        <f t="shared" si="0"/>
        <v>0</v>
      </c>
      <c r="M40" s="505">
        <f t="shared" si="1"/>
        <v>0</v>
      </c>
      <c r="N40" s="505">
        <f t="shared" si="2"/>
        <v>0</v>
      </c>
      <c r="O40" s="505">
        <f t="shared" si="3"/>
        <v>0</v>
      </c>
      <c r="P40" s="38">
        <f t="shared" si="3"/>
        <v>0</v>
      </c>
    </row>
    <row r="41" spans="1:16" ht="24.95" customHeight="1" x14ac:dyDescent="0.25">
      <c r="A41" s="570">
        <v>33</v>
      </c>
      <c r="B41" s="35">
        <f>dtsiswa!D39</f>
        <v>0</v>
      </c>
      <c r="C41" s="36"/>
      <c r="D41" s="570"/>
      <c r="E41" s="570"/>
      <c r="F41" s="570"/>
      <c r="G41" s="570"/>
      <c r="H41" s="570"/>
      <c r="I41" s="570"/>
      <c r="J41" s="570"/>
      <c r="K41" s="570"/>
      <c r="L41" s="504">
        <f t="shared" si="0"/>
        <v>0</v>
      </c>
      <c r="M41" s="505">
        <f t="shared" si="1"/>
        <v>0</v>
      </c>
      <c r="N41" s="505">
        <f t="shared" si="2"/>
        <v>0</v>
      </c>
      <c r="O41" s="505">
        <f t="shared" si="3"/>
        <v>0</v>
      </c>
      <c r="P41" s="38">
        <f t="shared" si="3"/>
        <v>0</v>
      </c>
    </row>
    <row r="42" spans="1:16" ht="24.95" customHeight="1" x14ac:dyDescent="0.25">
      <c r="A42" s="570">
        <v>34</v>
      </c>
      <c r="B42" s="35">
        <f>dtsiswa!D40</f>
        <v>0</v>
      </c>
      <c r="C42" s="36"/>
      <c r="D42" s="570"/>
      <c r="E42" s="570"/>
      <c r="F42" s="570"/>
      <c r="G42" s="570"/>
      <c r="H42" s="570"/>
      <c r="I42" s="570"/>
      <c r="J42" s="570"/>
      <c r="K42" s="570"/>
      <c r="L42" s="504">
        <f t="shared" si="0"/>
        <v>0</v>
      </c>
      <c r="M42" s="505">
        <f t="shared" si="1"/>
        <v>0</v>
      </c>
      <c r="N42" s="505">
        <f t="shared" si="2"/>
        <v>0</v>
      </c>
      <c r="O42" s="505">
        <f t="shared" si="3"/>
        <v>0</v>
      </c>
      <c r="P42" s="38">
        <f t="shared" si="3"/>
        <v>0</v>
      </c>
    </row>
    <row r="43" spans="1:16" ht="24.95" customHeight="1" x14ac:dyDescent="0.25">
      <c r="A43" s="570">
        <v>35</v>
      </c>
      <c r="B43" s="35">
        <f>dtsiswa!D41</f>
        <v>0</v>
      </c>
      <c r="C43" s="36"/>
      <c r="D43" s="570"/>
      <c r="E43" s="570"/>
      <c r="F43" s="570"/>
      <c r="G43" s="570"/>
      <c r="H43" s="570"/>
      <c r="I43" s="570"/>
      <c r="J43" s="570"/>
      <c r="K43" s="570"/>
      <c r="L43" s="504">
        <f t="shared" si="0"/>
        <v>0</v>
      </c>
      <c r="M43" s="505">
        <f t="shared" si="1"/>
        <v>0</v>
      </c>
      <c r="N43" s="505">
        <f t="shared" si="2"/>
        <v>0</v>
      </c>
      <c r="O43" s="505">
        <f t="shared" si="3"/>
        <v>0</v>
      </c>
      <c r="P43" s="38">
        <f t="shared" si="3"/>
        <v>0</v>
      </c>
    </row>
    <row r="44" spans="1:16" ht="24.95" customHeight="1" x14ac:dyDescent="0.25">
      <c r="A44" s="647">
        <v>36</v>
      </c>
      <c r="B44" s="35">
        <f>dtsiswa!D42</f>
        <v>0</v>
      </c>
      <c r="C44" s="36"/>
      <c r="D44" s="647"/>
      <c r="E44" s="647"/>
      <c r="F44" s="647"/>
      <c r="G44" s="647"/>
      <c r="H44" s="647"/>
      <c r="I44" s="647"/>
      <c r="J44" s="647"/>
      <c r="K44" s="647"/>
      <c r="L44" s="504">
        <f t="shared" ref="L44:L48" si="4">SUM(D44:K44)*100/11</f>
        <v>0</v>
      </c>
      <c r="M44" s="505">
        <f t="shared" ref="M44:M48" si="5">SUM(D44:H44)+J44</f>
        <v>0</v>
      </c>
      <c r="N44" s="505">
        <f t="shared" ref="N44:N48" si="6">I44</f>
        <v>0</v>
      </c>
      <c r="O44" s="505">
        <f t="shared" ref="O44:O48" si="7">K44</f>
        <v>0</v>
      </c>
      <c r="P44" s="38">
        <f t="shared" ref="P44:P48" si="8">L44</f>
        <v>0</v>
      </c>
    </row>
    <row r="45" spans="1:16" ht="24.95" customHeight="1" x14ac:dyDescent="0.25">
      <c r="A45" s="647">
        <v>37</v>
      </c>
      <c r="B45" s="35">
        <f>dtsiswa!D43</f>
        <v>0</v>
      </c>
      <c r="C45" s="36"/>
      <c r="D45" s="647"/>
      <c r="E45" s="647"/>
      <c r="F45" s="647"/>
      <c r="G45" s="647"/>
      <c r="H45" s="647"/>
      <c r="I45" s="647"/>
      <c r="J45" s="647"/>
      <c r="K45" s="647"/>
      <c r="L45" s="504">
        <f t="shared" si="4"/>
        <v>0</v>
      </c>
      <c r="M45" s="505">
        <f t="shared" si="5"/>
        <v>0</v>
      </c>
      <c r="N45" s="505">
        <f t="shared" si="6"/>
        <v>0</v>
      </c>
      <c r="O45" s="505">
        <f t="shared" si="7"/>
        <v>0</v>
      </c>
      <c r="P45" s="38">
        <f t="shared" si="8"/>
        <v>0</v>
      </c>
    </row>
    <row r="46" spans="1:16" ht="24.95" customHeight="1" x14ac:dyDescent="0.25">
      <c r="A46" s="647">
        <v>38</v>
      </c>
      <c r="B46" s="35">
        <f>dtsiswa!D44</f>
        <v>0</v>
      </c>
      <c r="C46" s="36"/>
      <c r="D46" s="647"/>
      <c r="E46" s="647"/>
      <c r="F46" s="647"/>
      <c r="G46" s="647"/>
      <c r="H46" s="647"/>
      <c r="I46" s="647"/>
      <c r="J46" s="647"/>
      <c r="K46" s="647"/>
      <c r="L46" s="504">
        <f t="shared" si="4"/>
        <v>0</v>
      </c>
      <c r="M46" s="505">
        <f t="shared" si="5"/>
        <v>0</v>
      </c>
      <c r="N46" s="505">
        <f t="shared" si="6"/>
        <v>0</v>
      </c>
      <c r="O46" s="505">
        <f t="shared" si="7"/>
        <v>0</v>
      </c>
      <c r="P46" s="38">
        <f t="shared" si="8"/>
        <v>0</v>
      </c>
    </row>
    <row r="47" spans="1:16" ht="24.95" customHeight="1" x14ac:dyDescent="0.25">
      <c r="A47" s="647">
        <v>39</v>
      </c>
      <c r="B47" s="35">
        <f>dtsiswa!D45</f>
        <v>0</v>
      </c>
      <c r="C47" s="36"/>
      <c r="D47" s="647"/>
      <c r="E47" s="647"/>
      <c r="F47" s="647"/>
      <c r="G47" s="647"/>
      <c r="H47" s="647"/>
      <c r="I47" s="647"/>
      <c r="J47" s="647"/>
      <c r="K47" s="647"/>
      <c r="L47" s="504">
        <f t="shared" si="4"/>
        <v>0</v>
      </c>
      <c r="M47" s="505">
        <f t="shared" si="5"/>
        <v>0</v>
      </c>
      <c r="N47" s="505">
        <f t="shared" si="6"/>
        <v>0</v>
      </c>
      <c r="O47" s="505">
        <f t="shared" si="7"/>
        <v>0</v>
      </c>
      <c r="P47" s="38">
        <f t="shared" si="8"/>
        <v>0</v>
      </c>
    </row>
    <row r="48" spans="1:16" ht="24.95" customHeight="1" x14ac:dyDescent="0.25">
      <c r="A48" s="647">
        <v>40</v>
      </c>
      <c r="B48" s="35">
        <f>dtsiswa!D46</f>
        <v>0</v>
      </c>
      <c r="C48" s="36"/>
      <c r="D48" s="647"/>
      <c r="E48" s="647"/>
      <c r="F48" s="647"/>
      <c r="G48" s="647"/>
      <c r="H48" s="647"/>
      <c r="I48" s="647"/>
      <c r="J48" s="647"/>
      <c r="K48" s="647"/>
      <c r="L48" s="504">
        <f t="shared" si="4"/>
        <v>0</v>
      </c>
      <c r="M48" s="505">
        <f t="shared" si="5"/>
        <v>0</v>
      </c>
      <c r="N48" s="505">
        <f t="shared" si="6"/>
        <v>0</v>
      </c>
      <c r="O48" s="505">
        <f t="shared" si="7"/>
        <v>0</v>
      </c>
      <c r="P48" s="38">
        <f t="shared" si="8"/>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rgb="FF00B0F0"/>
  </sheetPr>
  <dimension ref="A1:P48"/>
  <sheetViews>
    <sheetView showGridLines="0" workbookViewId="0">
      <pane xSplit="2" ySplit="8" topLeftCell="C41"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43"/>
      <c r="B1" s="3244"/>
      <c r="C1" s="3244"/>
      <c r="D1" s="3244"/>
      <c r="E1" s="3244"/>
      <c r="F1" s="3244"/>
      <c r="G1" s="3244"/>
      <c r="H1" s="3244"/>
      <c r="I1" s="3244"/>
      <c r="J1" s="3244"/>
      <c r="K1" s="3244"/>
      <c r="L1" s="3244"/>
      <c r="M1" s="3244"/>
      <c r="N1" s="3244"/>
      <c r="O1" s="3244"/>
      <c r="P1" s="3244"/>
    </row>
    <row r="2" spans="1:16" ht="19.5" customHeight="1" x14ac:dyDescent="0.25">
      <c r="A2" s="3245"/>
      <c r="B2" s="3246"/>
      <c r="C2" s="3246"/>
      <c r="D2" s="3246"/>
      <c r="E2" s="3246"/>
      <c r="F2" s="3246"/>
      <c r="G2" s="3246"/>
      <c r="H2" s="3246"/>
      <c r="I2" s="3246"/>
      <c r="J2" s="3246"/>
      <c r="K2" s="3246"/>
      <c r="L2" s="3246"/>
      <c r="M2" s="3246"/>
      <c r="N2" s="3246"/>
      <c r="O2" s="3246"/>
      <c r="P2" s="3246"/>
    </row>
    <row r="3" spans="1:16" ht="21" x14ac:dyDescent="0.35">
      <c r="A3" s="544" t="s">
        <v>44</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882" customFormat="1" ht="20.25" customHeight="1" x14ac:dyDescent="0.25">
      <c r="A6" s="3231" t="s">
        <v>0</v>
      </c>
      <c r="B6" s="3231" t="s">
        <v>28</v>
      </c>
      <c r="C6" s="3231" t="s">
        <v>3</v>
      </c>
      <c r="D6" s="3247" t="s">
        <v>20</v>
      </c>
      <c r="E6" s="3248"/>
      <c r="F6" s="3248"/>
      <c r="G6" s="3248"/>
      <c r="H6" s="3248"/>
      <c r="I6" s="3248"/>
      <c r="J6" s="3248"/>
      <c r="K6" s="3249"/>
      <c r="L6" s="3130" t="s">
        <v>159</v>
      </c>
      <c r="M6" s="3232" t="s">
        <v>29</v>
      </c>
      <c r="N6" s="3232" t="s">
        <v>30</v>
      </c>
      <c r="O6" s="3232" t="s">
        <v>31</v>
      </c>
      <c r="P6" s="3149" t="s">
        <v>32</v>
      </c>
    </row>
    <row r="7" spans="1:16" s="882" customFormat="1" ht="20.25" customHeight="1" x14ac:dyDescent="0.25">
      <c r="A7" s="3231"/>
      <c r="B7" s="3231"/>
      <c r="C7" s="3231"/>
      <c r="D7" s="31" t="s">
        <v>29</v>
      </c>
      <c r="E7" s="31" t="s">
        <v>29</v>
      </c>
      <c r="F7" s="31" t="s">
        <v>29</v>
      </c>
      <c r="G7" s="31" t="s">
        <v>29</v>
      </c>
      <c r="H7" s="31" t="s">
        <v>29</v>
      </c>
      <c r="I7" s="31" t="s">
        <v>29</v>
      </c>
      <c r="J7" s="546"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4.95" customHeight="1" x14ac:dyDescent="0.25">
      <c r="A9" s="34">
        <v>1</v>
      </c>
      <c r="B9" s="198" t="str">
        <f>dtsiswa!D7</f>
        <v>Achmad Zacky</v>
      </c>
      <c r="C9" s="291" t="s">
        <v>4</v>
      </c>
      <c r="D9" s="200">
        <v>1</v>
      </c>
      <c r="E9" s="200">
        <v>0</v>
      </c>
      <c r="F9" s="200">
        <v>1</v>
      </c>
      <c r="G9" s="200">
        <v>1</v>
      </c>
      <c r="H9" s="200">
        <v>1</v>
      </c>
      <c r="I9" s="200">
        <v>2</v>
      </c>
      <c r="J9" s="200">
        <v>0</v>
      </c>
      <c r="K9" s="200">
        <v>3</v>
      </c>
      <c r="L9" s="504">
        <f>SUM(D9:K9)*100/11</f>
        <v>81.818181818181813</v>
      </c>
      <c r="M9" s="505">
        <f>SUM(D9:I9)</f>
        <v>6</v>
      </c>
      <c r="N9" s="505">
        <f>J9</f>
        <v>0</v>
      </c>
      <c r="O9" s="505">
        <f>K9</f>
        <v>3</v>
      </c>
      <c r="P9" s="38">
        <f>L9</f>
        <v>81.818181818181813</v>
      </c>
    </row>
    <row r="10" spans="1:16" ht="24.95" customHeight="1" x14ac:dyDescent="0.25">
      <c r="A10" s="881">
        <v>2</v>
      </c>
      <c r="B10" s="35" t="str">
        <f>dtsiswa!D8</f>
        <v>Angelia Vabel R</v>
      </c>
      <c r="C10" s="36" t="s">
        <v>4</v>
      </c>
      <c r="D10" s="200"/>
      <c r="E10" s="200"/>
      <c r="F10" s="200"/>
      <c r="G10" s="200"/>
      <c r="H10" s="200"/>
      <c r="I10" s="200"/>
      <c r="J10" s="200"/>
      <c r="K10" s="200"/>
      <c r="L10" s="504">
        <f t="shared" ref="L10:L43" si="0">SUM(D10:K10)*100/11</f>
        <v>0</v>
      </c>
      <c r="M10" s="505">
        <f t="shared" ref="M10:M43" si="1">SUM(D10:H10)+J10</f>
        <v>0</v>
      </c>
      <c r="N10" s="505">
        <f t="shared" ref="N10:N43" si="2">I10</f>
        <v>0</v>
      </c>
      <c r="O10" s="505">
        <f t="shared" ref="O10:P43" si="3">K10</f>
        <v>0</v>
      </c>
      <c r="P10" s="38">
        <f t="shared" si="3"/>
        <v>0</v>
      </c>
    </row>
    <row r="11" spans="1:16" ht="24.95" customHeight="1" x14ac:dyDescent="0.25">
      <c r="A11" s="34">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4.95" customHeight="1" x14ac:dyDescent="0.25">
      <c r="A12" s="1112">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4.95" customHeight="1" x14ac:dyDescent="0.25">
      <c r="A13" s="34">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4.95" customHeight="1" x14ac:dyDescent="0.25">
      <c r="A14" s="1112">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4.95" customHeight="1" x14ac:dyDescent="0.25">
      <c r="A15" s="34">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4.95" customHeight="1" x14ac:dyDescent="0.25">
      <c r="A16" s="1112">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4.95" customHeight="1" x14ac:dyDescent="0.25">
      <c r="A17" s="34">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4.95" customHeight="1" x14ac:dyDescent="0.25">
      <c r="A18" s="1112">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4.95" customHeight="1" x14ac:dyDescent="0.25">
      <c r="A19" s="34">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4.95" customHeight="1" x14ac:dyDescent="0.25">
      <c r="A20" s="1112">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4.95" customHeight="1" x14ac:dyDescent="0.25">
      <c r="A21" s="34">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4.95" customHeight="1" x14ac:dyDescent="0.25">
      <c r="A22" s="1112">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4.95" customHeight="1" x14ac:dyDescent="0.25">
      <c r="A23" s="34">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4.95" customHeight="1" x14ac:dyDescent="0.25">
      <c r="A24" s="1112">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4.95" customHeight="1" x14ac:dyDescent="0.25">
      <c r="A25" s="34">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4.95" customHeight="1" x14ac:dyDescent="0.25">
      <c r="A26" s="1112">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4.95" customHeight="1" x14ac:dyDescent="0.25">
      <c r="A27" s="34">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4.95" customHeight="1" x14ac:dyDescent="0.25">
      <c r="A28" s="1112">
        <v>20</v>
      </c>
      <c r="B28" s="35" t="str">
        <f>dtsiswa!D26</f>
        <v>Roby Ardiyansyah</v>
      </c>
      <c r="C28" s="36" t="s">
        <v>5</v>
      </c>
      <c r="D28" s="881"/>
      <c r="E28" s="881"/>
      <c r="F28" s="881"/>
      <c r="G28" s="881"/>
      <c r="H28" s="881"/>
      <c r="I28" s="881"/>
      <c r="J28" s="881"/>
      <c r="K28" s="881"/>
      <c r="L28" s="504">
        <f t="shared" si="0"/>
        <v>0</v>
      </c>
      <c r="M28" s="505">
        <f t="shared" si="1"/>
        <v>0</v>
      </c>
      <c r="N28" s="505">
        <f t="shared" si="2"/>
        <v>0</v>
      </c>
      <c r="O28" s="505">
        <f t="shared" si="3"/>
        <v>0</v>
      </c>
      <c r="P28" s="38">
        <f t="shared" si="3"/>
        <v>0</v>
      </c>
    </row>
    <row r="29" spans="1:16" ht="24.95" customHeight="1" x14ac:dyDescent="0.25">
      <c r="A29" s="34">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4.95" customHeight="1" x14ac:dyDescent="0.25">
      <c r="A30" s="1112">
        <v>22</v>
      </c>
      <c r="B30" s="35" t="str">
        <f>dtsiswa!D28</f>
        <v>Sally Savista A</v>
      </c>
      <c r="C30" s="45" t="s">
        <v>4</v>
      </c>
      <c r="D30" s="881"/>
      <c r="E30" s="881"/>
      <c r="F30" s="881"/>
      <c r="G30" s="881"/>
      <c r="H30" s="881"/>
      <c r="I30" s="881"/>
      <c r="J30" s="881"/>
      <c r="K30" s="881"/>
      <c r="L30" s="504">
        <f t="shared" si="0"/>
        <v>0</v>
      </c>
      <c r="M30" s="505">
        <f t="shared" si="1"/>
        <v>0</v>
      </c>
      <c r="N30" s="505">
        <f t="shared" si="2"/>
        <v>0</v>
      </c>
      <c r="O30" s="505">
        <f t="shared" si="3"/>
        <v>0</v>
      </c>
      <c r="P30" s="38">
        <f t="shared" si="3"/>
        <v>0</v>
      </c>
    </row>
    <row r="31" spans="1:16" ht="24.95" customHeight="1" x14ac:dyDescent="0.25">
      <c r="A31" s="34">
        <v>23</v>
      </c>
      <c r="B31" s="35" t="str">
        <f>dtsiswa!D29</f>
        <v xml:space="preserve">Tania Kaori Angelita </v>
      </c>
      <c r="C31" s="45" t="s">
        <v>5</v>
      </c>
      <c r="D31" s="881"/>
      <c r="E31" s="881"/>
      <c r="F31" s="881"/>
      <c r="G31" s="881"/>
      <c r="H31" s="881"/>
      <c r="I31" s="881"/>
      <c r="J31" s="881"/>
      <c r="K31" s="881"/>
      <c r="L31" s="504">
        <f t="shared" si="0"/>
        <v>0</v>
      </c>
      <c r="M31" s="505">
        <f t="shared" si="1"/>
        <v>0</v>
      </c>
      <c r="N31" s="505">
        <f t="shared" si="2"/>
        <v>0</v>
      </c>
      <c r="O31" s="505">
        <f t="shared" si="3"/>
        <v>0</v>
      </c>
      <c r="P31" s="38">
        <f t="shared" si="3"/>
        <v>0</v>
      </c>
    </row>
    <row r="32" spans="1:16" ht="24.95" customHeight="1" x14ac:dyDescent="0.25">
      <c r="A32" s="1112">
        <v>24</v>
      </c>
      <c r="B32" s="35" t="str">
        <f>dtsiswa!D30</f>
        <v>Romzy Oka Ramadhani P</v>
      </c>
      <c r="C32" s="45" t="s">
        <v>5</v>
      </c>
      <c r="D32" s="881"/>
      <c r="E32" s="881"/>
      <c r="F32" s="881"/>
      <c r="G32" s="881"/>
      <c r="H32" s="881"/>
      <c r="I32" s="881"/>
      <c r="J32" s="881"/>
      <c r="K32" s="881"/>
      <c r="L32" s="504">
        <f t="shared" si="0"/>
        <v>0</v>
      </c>
      <c r="M32" s="505">
        <f t="shared" si="1"/>
        <v>0</v>
      </c>
      <c r="N32" s="505">
        <f t="shared" si="2"/>
        <v>0</v>
      </c>
      <c r="O32" s="505">
        <f t="shared" si="3"/>
        <v>0</v>
      </c>
      <c r="P32" s="38">
        <f t="shared" si="3"/>
        <v>0</v>
      </c>
    </row>
    <row r="33" spans="1:16" ht="24.95" customHeight="1" x14ac:dyDescent="0.25">
      <c r="A33" s="34">
        <v>25</v>
      </c>
      <c r="B33" s="35" t="str">
        <f>dtsiswa!D31</f>
        <v>Larasati Jagadhita P</v>
      </c>
      <c r="C33" s="36" t="s">
        <v>4</v>
      </c>
      <c r="D33" s="881"/>
      <c r="E33" s="881"/>
      <c r="F33" s="881"/>
      <c r="G33" s="881"/>
      <c r="H33" s="881"/>
      <c r="I33" s="881"/>
      <c r="J33" s="881"/>
      <c r="K33" s="881"/>
      <c r="L33" s="504">
        <f t="shared" si="0"/>
        <v>0</v>
      </c>
      <c r="M33" s="505">
        <f t="shared" si="1"/>
        <v>0</v>
      </c>
      <c r="N33" s="505">
        <f t="shared" si="2"/>
        <v>0</v>
      </c>
      <c r="O33" s="505">
        <f t="shared" si="3"/>
        <v>0</v>
      </c>
      <c r="P33" s="38">
        <f t="shared" si="3"/>
        <v>0</v>
      </c>
    </row>
    <row r="34" spans="1:16" ht="24.95" customHeight="1" x14ac:dyDescent="0.25">
      <c r="A34" s="1112">
        <v>26</v>
      </c>
      <c r="B34" s="35" t="str">
        <f>dtsiswa!D32</f>
        <v>Meliana Citra A</v>
      </c>
      <c r="C34" s="36" t="s">
        <v>5</v>
      </c>
      <c r="D34" s="881"/>
      <c r="E34" s="881"/>
      <c r="F34" s="881"/>
      <c r="G34" s="881"/>
      <c r="H34" s="881"/>
      <c r="I34" s="881"/>
      <c r="J34" s="881"/>
      <c r="K34" s="881"/>
      <c r="L34" s="504">
        <f t="shared" si="0"/>
        <v>0</v>
      </c>
      <c r="M34" s="505">
        <f t="shared" si="1"/>
        <v>0</v>
      </c>
      <c r="N34" s="505">
        <f t="shared" si="2"/>
        <v>0</v>
      </c>
      <c r="O34" s="505">
        <f t="shared" si="3"/>
        <v>0</v>
      </c>
      <c r="P34" s="38">
        <f t="shared" si="3"/>
        <v>0</v>
      </c>
    </row>
    <row r="35" spans="1:16" ht="24.95" customHeight="1" x14ac:dyDescent="0.25">
      <c r="A35" s="34">
        <v>27</v>
      </c>
      <c r="B35" s="35" t="str">
        <f>dtsiswa!D33</f>
        <v>Mohammad Rizky</v>
      </c>
      <c r="C35" s="36" t="s">
        <v>4</v>
      </c>
      <c r="D35" s="881"/>
      <c r="E35" s="881"/>
      <c r="F35" s="881"/>
      <c r="G35" s="881"/>
      <c r="H35" s="881"/>
      <c r="I35" s="881"/>
      <c r="J35" s="881"/>
      <c r="K35" s="881"/>
      <c r="L35" s="504">
        <f t="shared" si="0"/>
        <v>0</v>
      </c>
      <c r="M35" s="505">
        <f t="shared" si="1"/>
        <v>0</v>
      </c>
      <c r="N35" s="505">
        <f t="shared" si="2"/>
        <v>0</v>
      </c>
      <c r="O35" s="505">
        <f t="shared" si="3"/>
        <v>0</v>
      </c>
      <c r="P35" s="38">
        <f t="shared" si="3"/>
        <v>0</v>
      </c>
    </row>
    <row r="36" spans="1:16" ht="24.95" customHeight="1" x14ac:dyDescent="0.25">
      <c r="A36" s="1112">
        <v>28</v>
      </c>
      <c r="B36" s="35">
        <f>dtsiswa!D34</f>
        <v>0</v>
      </c>
      <c r="C36" s="36" t="s">
        <v>4</v>
      </c>
      <c r="D36" s="881"/>
      <c r="E36" s="881"/>
      <c r="F36" s="881"/>
      <c r="G36" s="881"/>
      <c r="H36" s="881"/>
      <c r="I36" s="881"/>
      <c r="J36" s="881"/>
      <c r="K36" s="881"/>
      <c r="L36" s="504">
        <f t="shared" si="0"/>
        <v>0</v>
      </c>
      <c r="M36" s="505">
        <f t="shared" si="1"/>
        <v>0</v>
      </c>
      <c r="N36" s="505">
        <f t="shared" si="2"/>
        <v>0</v>
      </c>
      <c r="O36" s="505">
        <f t="shared" si="3"/>
        <v>0</v>
      </c>
      <c r="P36" s="38">
        <f t="shared" si="3"/>
        <v>0</v>
      </c>
    </row>
    <row r="37" spans="1:16" ht="24.95" customHeight="1" x14ac:dyDescent="0.25">
      <c r="A37" s="34">
        <v>29</v>
      </c>
      <c r="B37" s="35">
        <f>dtsiswa!D35</f>
        <v>0</v>
      </c>
      <c r="C37" s="36" t="s">
        <v>4</v>
      </c>
      <c r="D37" s="881"/>
      <c r="E37" s="881"/>
      <c r="F37" s="881"/>
      <c r="G37" s="881"/>
      <c r="H37" s="881"/>
      <c r="I37" s="881"/>
      <c r="J37" s="881"/>
      <c r="K37" s="881"/>
      <c r="L37" s="504">
        <f t="shared" si="0"/>
        <v>0</v>
      </c>
      <c r="M37" s="505">
        <f t="shared" si="1"/>
        <v>0</v>
      </c>
      <c r="N37" s="505">
        <f t="shared" si="2"/>
        <v>0</v>
      </c>
      <c r="O37" s="505">
        <f t="shared" si="3"/>
        <v>0</v>
      </c>
      <c r="P37" s="38">
        <f t="shared" si="3"/>
        <v>0</v>
      </c>
    </row>
    <row r="38" spans="1:16" ht="24.95" customHeight="1" x14ac:dyDescent="0.25">
      <c r="A38" s="1112">
        <v>30</v>
      </c>
      <c r="B38" s="35">
        <f>dtsiswa!D36</f>
        <v>0</v>
      </c>
      <c r="C38" s="36" t="s">
        <v>5</v>
      </c>
      <c r="D38" s="881"/>
      <c r="E38" s="881"/>
      <c r="F38" s="881"/>
      <c r="G38" s="881"/>
      <c r="H38" s="881"/>
      <c r="I38" s="881"/>
      <c r="J38" s="881"/>
      <c r="K38" s="881"/>
      <c r="L38" s="504">
        <f t="shared" si="0"/>
        <v>0</v>
      </c>
      <c r="M38" s="505">
        <f t="shared" si="1"/>
        <v>0</v>
      </c>
      <c r="N38" s="505">
        <f t="shared" si="2"/>
        <v>0</v>
      </c>
      <c r="O38" s="505">
        <f t="shared" si="3"/>
        <v>0</v>
      </c>
      <c r="P38" s="38">
        <f t="shared" si="3"/>
        <v>0</v>
      </c>
    </row>
    <row r="39" spans="1:16" ht="24.95" customHeight="1" x14ac:dyDescent="0.25">
      <c r="A39" s="34">
        <v>31</v>
      </c>
      <c r="B39" s="35">
        <f>dtsiswa!D37</f>
        <v>0</v>
      </c>
      <c r="C39" s="36" t="s">
        <v>5</v>
      </c>
      <c r="D39" s="881"/>
      <c r="E39" s="881"/>
      <c r="F39" s="881"/>
      <c r="G39" s="881"/>
      <c r="H39" s="881"/>
      <c r="I39" s="881"/>
      <c r="J39" s="881"/>
      <c r="K39" s="881"/>
      <c r="L39" s="504">
        <f t="shared" si="0"/>
        <v>0</v>
      </c>
      <c r="M39" s="505">
        <f t="shared" si="1"/>
        <v>0</v>
      </c>
      <c r="N39" s="505">
        <f t="shared" si="2"/>
        <v>0</v>
      </c>
      <c r="O39" s="505">
        <f t="shared" si="3"/>
        <v>0</v>
      </c>
      <c r="P39" s="38">
        <f t="shared" si="3"/>
        <v>0</v>
      </c>
    </row>
    <row r="40" spans="1:16" ht="24.95" customHeight="1" x14ac:dyDescent="0.25">
      <c r="A40" s="1112">
        <v>32</v>
      </c>
      <c r="B40" s="35">
        <f>dtsiswa!D38</f>
        <v>0</v>
      </c>
      <c r="D40" s="881"/>
      <c r="E40" s="881"/>
      <c r="F40" s="881"/>
      <c r="G40" s="881"/>
      <c r="H40" s="881"/>
      <c r="I40" s="881"/>
      <c r="J40" s="881"/>
      <c r="K40" s="881"/>
      <c r="L40" s="504">
        <f t="shared" si="0"/>
        <v>0</v>
      </c>
      <c r="M40" s="505">
        <f t="shared" si="1"/>
        <v>0</v>
      </c>
      <c r="N40" s="505">
        <f t="shared" si="2"/>
        <v>0</v>
      </c>
      <c r="O40" s="505">
        <f t="shared" si="3"/>
        <v>0</v>
      </c>
      <c r="P40" s="38">
        <f t="shared" si="3"/>
        <v>0</v>
      </c>
    </row>
    <row r="41" spans="1:16" ht="24.95" customHeight="1" x14ac:dyDescent="0.25">
      <c r="A41" s="34">
        <v>33</v>
      </c>
      <c r="B41" s="35">
        <f>dtsiswa!D39</f>
        <v>0</v>
      </c>
      <c r="C41" s="36"/>
      <c r="D41" s="881"/>
      <c r="E41" s="881"/>
      <c r="F41" s="881"/>
      <c r="G41" s="881"/>
      <c r="H41" s="881"/>
      <c r="I41" s="881"/>
      <c r="J41" s="881"/>
      <c r="K41" s="881"/>
      <c r="L41" s="504">
        <f t="shared" si="0"/>
        <v>0</v>
      </c>
      <c r="M41" s="505">
        <f t="shared" si="1"/>
        <v>0</v>
      </c>
      <c r="N41" s="505">
        <f t="shared" si="2"/>
        <v>0</v>
      </c>
      <c r="O41" s="505">
        <f t="shared" si="3"/>
        <v>0</v>
      </c>
      <c r="P41" s="38">
        <f t="shared" si="3"/>
        <v>0</v>
      </c>
    </row>
    <row r="42" spans="1:16" ht="24.95" customHeight="1" x14ac:dyDescent="0.25">
      <c r="A42" s="1112">
        <v>34</v>
      </c>
      <c r="B42" s="35">
        <f>dtsiswa!D40</f>
        <v>0</v>
      </c>
      <c r="C42" s="36"/>
      <c r="D42" s="881"/>
      <c r="E42" s="881"/>
      <c r="F42" s="881"/>
      <c r="G42" s="881"/>
      <c r="H42" s="881"/>
      <c r="I42" s="881"/>
      <c r="J42" s="881"/>
      <c r="K42" s="881"/>
      <c r="L42" s="504">
        <f t="shared" si="0"/>
        <v>0</v>
      </c>
      <c r="M42" s="505">
        <f t="shared" si="1"/>
        <v>0</v>
      </c>
      <c r="N42" s="505">
        <f t="shared" si="2"/>
        <v>0</v>
      </c>
      <c r="O42" s="505">
        <f t="shared" si="3"/>
        <v>0</v>
      </c>
      <c r="P42" s="38">
        <f t="shared" si="3"/>
        <v>0</v>
      </c>
    </row>
    <row r="43" spans="1:16" ht="24.95" customHeight="1" x14ac:dyDescent="0.25">
      <c r="A43" s="34">
        <v>35</v>
      </c>
      <c r="B43" s="35">
        <f>dtsiswa!D41</f>
        <v>0</v>
      </c>
      <c r="C43" s="36"/>
      <c r="D43" s="881"/>
      <c r="E43" s="881"/>
      <c r="F43" s="881"/>
      <c r="G43" s="881"/>
      <c r="H43" s="881"/>
      <c r="I43" s="881"/>
      <c r="J43" s="881"/>
      <c r="K43" s="881"/>
      <c r="L43" s="504">
        <f t="shared" si="0"/>
        <v>0</v>
      </c>
      <c r="M43" s="505">
        <f t="shared" si="1"/>
        <v>0</v>
      </c>
      <c r="N43" s="505">
        <f t="shared" si="2"/>
        <v>0</v>
      </c>
      <c r="O43" s="505">
        <f t="shared" si="3"/>
        <v>0</v>
      </c>
      <c r="P43" s="38">
        <f t="shared" si="3"/>
        <v>0</v>
      </c>
    </row>
    <row r="44" spans="1:16" ht="24.95" customHeight="1" x14ac:dyDescent="0.25">
      <c r="A44" s="1112">
        <v>36</v>
      </c>
      <c r="B44" s="35">
        <f>dtsiswa!D42</f>
        <v>0</v>
      </c>
      <c r="C44" s="36"/>
      <c r="D44" s="1112"/>
      <c r="E44" s="1112"/>
      <c r="F44" s="1112"/>
      <c r="G44" s="1112"/>
      <c r="H44" s="1112"/>
      <c r="I44" s="1112"/>
      <c r="J44" s="1112"/>
      <c r="K44" s="1112"/>
      <c r="L44" s="504">
        <f t="shared" ref="L44:L48" si="4">SUM(D44:K44)*100/11</f>
        <v>0</v>
      </c>
      <c r="M44" s="505">
        <f t="shared" ref="M44:M48" si="5">SUM(D44:H44)+J44</f>
        <v>0</v>
      </c>
      <c r="N44" s="505">
        <f t="shared" ref="N44:N48" si="6">I44</f>
        <v>0</v>
      </c>
      <c r="O44" s="505">
        <f t="shared" ref="O44:O48" si="7">K44</f>
        <v>0</v>
      </c>
      <c r="P44" s="38">
        <f t="shared" ref="P44:P48" si="8">L44</f>
        <v>0</v>
      </c>
    </row>
    <row r="45" spans="1:16" ht="24.95" customHeight="1" x14ac:dyDescent="0.25">
      <c r="A45" s="34">
        <v>37</v>
      </c>
      <c r="B45" s="35">
        <f>dtsiswa!D43</f>
        <v>0</v>
      </c>
      <c r="C45" s="36"/>
      <c r="D45" s="1112"/>
      <c r="E45" s="1112"/>
      <c r="F45" s="1112"/>
      <c r="G45" s="1112"/>
      <c r="H45" s="1112"/>
      <c r="I45" s="1112"/>
      <c r="J45" s="1112"/>
      <c r="K45" s="1112"/>
      <c r="L45" s="504">
        <f t="shared" si="4"/>
        <v>0</v>
      </c>
      <c r="M45" s="505">
        <f t="shared" si="5"/>
        <v>0</v>
      </c>
      <c r="N45" s="505">
        <f t="shared" si="6"/>
        <v>0</v>
      </c>
      <c r="O45" s="505">
        <f t="shared" si="7"/>
        <v>0</v>
      </c>
      <c r="P45" s="38">
        <f t="shared" si="8"/>
        <v>0</v>
      </c>
    </row>
    <row r="46" spans="1:16" ht="24.95" customHeight="1" x14ac:dyDescent="0.25">
      <c r="A46" s="1112">
        <v>38</v>
      </c>
      <c r="B46" s="35">
        <f>dtsiswa!D44</f>
        <v>0</v>
      </c>
      <c r="C46" s="36"/>
      <c r="D46" s="1112"/>
      <c r="E46" s="1112"/>
      <c r="F46" s="1112"/>
      <c r="G46" s="1112"/>
      <c r="H46" s="1112"/>
      <c r="I46" s="1112"/>
      <c r="J46" s="1112"/>
      <c r="K46" s="1112"/>
      <c r="L46" s="504">
        <f t="shared" si="4"/>
        <v>0</v>
      </c>
      <c r="M46" s="505">
        <f t="shared" si="5"/>
        <v>0</v>
      </c>
      <c r="N46" s="505">
        <f t="shared" si="6"/>
        <v>0</v>
      </c>
      <c r="O46" s="505">
        <f t="shared" si="7"/>
        <v>0</v>
      </c>
      <c r="P46" s="38">
        <f t="shared" si="8"/>
        <v>0</v>
      </c>
    </row>
    <row r="47" spans="1:16" ht="24.95" customHeight="1" x14ac:dyDescent="0.25">
      <c r="A47" s="34">
        <v>39</v>
      </c>
      <c r="B47" s="35">
        <f>dtsiswa!D45</f>
        <v>0</v>
      </c>
      <c r="C47" s="36"/>
      <c r="D47" s="1112"/>
      <c r="E47" s="1112"/>
      <c r="F47" s="1112"/>
      <c r="G47" s="1112"/>
      <c r="H47" s="1112"/>
      <c r="I47" s="1112"/>
      <c r="J47" s="1112"/>
      <c r="K47" s="1112"/>
      <c r="L47" s="504">
        <f t="shared" si="4"/>
        <v>0</v>
      </c>
      <c r="M47" s="505">
        <f t="shared" si="5"/>
        <v>0</v>
      </c>
      <c r="N47" s="505">
        <f t="shared" si="6"/>
        <v>0</v>
      </c>
      <c r="O47" s="505">
        <f t="shared" si="7"/>
        <v>0</v>
      </c>
      <c r="P47" s="38">
        <f t="shared" si="8"/>
        <v>0</v>
      </c>
    </row>
    <row r="48" spans="1:16" ht="24.95" customHeight="1" x14ac:dyDescent="0.25">
      <c r="A48" s="1112">
        <v>40</v>
      </c>
      <c r="B48" s="35">
        <f>dtsiswa!D46</f>
        <v>0</v>
      </c>
      <c r="C48" s="36"/>
      <c r="D48" s="1112"/>
      <c r="E48" s="1112"/>
      <c r="F48" s="1112"/>
      <c r="G48" s="1112"/>
      <c r="H48" s="1112"/>
      <c r="I48" s="1112"/>
      <c r="J48" s="1112"/>
      <c r="K48" s="1112"/>
      <c r="L48" s="504">
        <f t="shared" si="4"/>
        <v>0</v>
      </c>
      <c r="M48" s="505">
        <f t="shared" si="5"/>
        <v>0</v>
      </c>
      <c r="N48" s="505">
        <f t="shared" si="6"/>
        <v>0</v>
      </c>
      <c r="O48" s="505">
        <f t="shared" si="7"/>
        <v>0</v>
      </c>
      <c r="P48" s="38">
        <f t="shared" si="8"/>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rgb="FF00B0F0"/>
  </sheetPr>
  <dimension ref="A1:P48"/>
  <sheetViews>
    <sheetView showGridLines="0" workbookViewId="0">
      <pane xSplit="2" ySplit="8" topLeftCell="C39"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36"/>
      <c r="B1" s="3237"/>
      <c r="C1" s="3237"/>
      <c r="D1" s="3237"/>
      <c r="E1" s="3237"/>
      <c r="F1" s="3237"/>
      <c r="G1" s="3237"/>
      <c r="H1" s="3237"/>
      <c r="I1" s="3237"/>
      <c r="J1" s="3237"/>
      <c r="K1" s="3237"/>
      <c r="L1" s="3237"/>
      <c r="M1" s="3237"/>
      <c r="N1" s="3237"/>
      <c r="O1" s="3237"/>
      <c r="P1" s="3237"/>
    </row>
    <row r="2" spans="1:16" ht="19.5" customHeight="1" x14ac:dyDescent="0.25">
      <c r="A2" s="3238"/>
      <c r="B2" s="3239"/>
      <c r="C2" s="3239"/>
      <c r="D2" s="3239"/>
      <c r="E2" s="3239"/>
      <c r="F2" s="3239"/>
      <c r="G2" s="3239"/>
      <c r="H2" s="3239"/>
      <c r="I2" s="3239"/>
      <c r="J2" s="3239"/>
      <c r="K2" s="3239"/>
      <c r="L2" s="3239"/>
      <c r="M2" s="3239"/>
      <c r="N2" s="3239"/>
      <c r="O2" s="3239"/>
      <c r="P2" s="3239"/>
    </row>
    <row r="3" spans="1:16" ht="21" x14ac:dyDescent="0.35">
      <c r="A3" s="544" t="s">
        <v>576</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882" customFormat="1" ht="20.25" customHeight="1" x14ac:dyDescent="0.25">
      <c r="A6" s="3231" t="s">
        <v>0</v>
      </c>
      <c r="B6" s="3231" t="s">
        <v>28</v>
      </c>
      <c r="C6" s="3231" t="s">
        <v>3</v>
      </c>
      <c r="D6" s="3250" t="s">
        <v>575</v>
      </c>
      <c r="E6" s="3251"/>
      <c r="F6" s="3251"/>
      <c r="G6" s="3251"/>
      <c r="H6" s="3251"/>
      <c r="I6" s="3251"/>
      <c r="J6" s="3251"/>
      <c r="K6" s="3252"/>
      <c r="L6" s="3130" t="s">
        <v>159</v>
      </c>
      <c r="M6" s="3232" t="s">
        <v>29</v>
      </c>
      <c r="N6" s="3232" t="s">
        <v>30</v>
      </c>
      <c r="O6" s="3232" t="s">
        <v>31</v>
      </c>
      <c r="P6" s="3149" t="s">
        <v>32</v>
      </c>
    </row>
    <row r="7" spans="1:16" s="882" customFormat="1" ht="20.25" customHeight="1" x14ac:dyDescent="0.25">
      <c r="A7" s="3231"/>
      <c r="B7" s="3231"/>
      <c r="C7" s="3231"/>
      <c r="D7" s="31" t="s">
        <v>29</v>
      </c>
      <c r="E7" s="31" t="s">
        <v>29</v>
      </c>
      <c r="F7" s="31" t="s">
        <v>29</v>
      </c>
      <c r="G7" s="31" t="s">
        <v>29</v>
      </c>
      <c r="H7" s="31" t="s">
        <v>29</v>
      </c>
      <c r="I7" s="31" t="s">
        <v>29</v>
      </c>
      <c r="J7" s="546"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1</v>
      </c>
      <c r="F9" s="200">
        <v>1</v>
      </c>
      <c r="G9" s="200">
        <v>1</v>
      </c>
      <c r="H9" s="200">
        <v>1</v>
      </c>
      <c r="I9" s="200">
        <v>0</v>
      </c>
      <c r="J9" s="200">
        <v>2</v>
      </c>
      <c r="K9" s="200">
        <v>3</v>
      </c>
      <c r="L9" s="504">
        <f>SUM(D9:K9)*100/11</f>
        <v>90.909090909090907</v>
      </c>
      <c r="M9" s="505">
        <f>SUM(D9:H9)+J9</f>
        <v>7</v>
      </c>
      <c r="N9" s="505">
        <f>I9</f>
        <v>0</v>
      </c>
      <c r="O9" s="505">
        <f>K9</f>
        <v>3</v>
      </c>
      <c r="P9" s="38">
        <f>L9</f>
        <v>90.909090909090907</v>
      </c>
    </row>
    <row r="10" spans="1:16" ht="20.100000000000001" customHeight="1" x14ac:dyDescent="0.25">
      <c r="A10" s="881">
        <v>2</v>
      </c>
      <c r="B10" s="198" t="str">
        <f>dtsiswa!D8</f>
        <v>Angelia Vabel R</v>
      </c>
      <c r="C10" s="36" t="s">
        <v>4</v>
      </c>
      <c r="D10" s="200"/>
      <c r="E10" s="200"/>
      <c r="F10" s="200"/>
      <c r="G10" s="200"/>
      <c r="H10" s="200"/>
      <c r="I10" s="200"/>
      <c r="J10" s="200"/>
      <c r="K10" s="200"/>
      <c r="L10" s="504">
        <f t="shared" ref="L10:L48" si="0">SUM(D10:K10)*100/11</f>
        <v>0</v>
      </c>
      <c r="M10" s="505">
        <f t="shared" ref="M10:M48" si="1">SUM(D10:H10)+J10</f>
        <v>0</v>
      </c>
      <c r="N10" s="505">
        <f t="shared" ref="N10:N48" si="2">I10</f>
        <v>0</v>
      </c>
      <c r="O10" s="505">
        <f t="shared" ref="O10:O48" si="3">K10</f>
        <v>0</v>
      </c>
      <c r="P10" s="38">
        <f t="shared" ref="P10:P48" si="4">L10</f>
        <v>0</v>
      </c>
    </row>
    <row r="11" spans="1:16" ht="20.100000000000001" customHeight="1" x14ac:dyDescent="0.25">
      <c r="A11" s="34">
        <v>3</v>
      </c>
      <c r="B11" s="198"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4"/>
        <v>0</v>
      </c>
    </row>
    <row r="12" spans="1:16" ht="20.100000000000001" customHeight="1" x14ac:dyDescent="0.25">
      <c r="A12" s="1112">
        <v>4</v>
      </c>
      <c r="B12" s="198"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4"/>
        <v>0</v>
      </c>
    </row>
    <row r="13" spans="1:16" ht="20.100000000000001" customHeight="1" x14ac:dyDescent="0.25">
      <c r="A13" s="34">
        <v>5</v>
      </c>
      <c r="B13" s="198"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4"/>
        <v>0</v>
      </c>
    </row>
    <row r="14" spans="1:16" ht="20.100000000000001" customHeight="1" x14ac:dyDescent="0.25">
      <c r="A14" s="1112">
        <v>6</v>
      </c>
      <c r="B14" s="198"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4"/>
        <v>0</v>
      </c>
    </row>
    <row r="15" spans="1:16" ht="20.100000000000001" customHeight="1" x14ac:dyDescent="0.25">
      <c r="A15" s="34">
        <v>7</v>
      </c>
      <c r="B15" s="198"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4"/>
        <v>0</v>
      </c>
    </row>
    <row r="16" spans="1:16" ht="20.100000000000001" customHeight="1" x14ac:dyDescent="0.25">
      <c r="A16" s="1112">
        <v>8</v>
      </c>
      <c r="B16" s="198"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4"/>
        <v>0</v>
      </c>
    </row>
    <row r="17" spans="1:16" ht="20.100000000000001" customHeight="1" x14ac:dyDescent="0.25">
      <c r="A17" s="34">
        <v>9</v>
      </c>
      <c r="B17" s="198"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4"/>
        <v>0</v>
      </c>
    </row>
    <row r="18" spans="1:16" ht="20.100000000000001" customHeight="1" x14ac:dyDescent="0.25">
      <c r="A18" s="1112">
        <v>10</v>
      </c>
      <c r="B18" s="198"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4"/>
        <v>0</v>
      </c>
    </row>
    <row r="19" spans="1:16" ht="20.100000000000001" customHeight="1" x14ac:dyDescent="0.25">
      <c r="A19" s="34">
        <v>11</v>
      </c>
      <c r="B19" s="198"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4"/>
        <v>0</v>
      </c>
    </row>
    <row r="20" spans="1:16" ht="20.100000000000001" customHeight="1" x14ac:dyDescent="0.25">
      <c r="A20" s="1112">
        <v>12</v>
      </c>
      <c r="B20" s="198"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4"/>
        <v>0</v>
      </c>
    </row>
    <row r="21" spans="1:16" ht="20.100000000000001" customHeight="1" x14ac:dyDescent="0.25">
      <c r="A21" s="34">
        <v>13</v>
      </c>
      <c r="B21" s="198"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4"/>
        <v>0</v>
      </c>
    </row>
    <row r="22" spans="1:16" ht="20.100000000000001" customHeight="1" x14ac:dyDescent="0.25">
      <c r="A22" s="1112">
        <v>14</v>
      </c>
      <c r="B22" s="198"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4"/>
        <v>0</v>
      </c>
    </row>
    <row r="23" spans="1:16" ht="20.100000000000001" customHeight="1" x14ac:dyDescent="0.25">
      <c r="A23" s="34">
        <v>15</v>
      </c>
      <c r="B23" s="198"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4"/>
        <v>0</v>
      </c>
    </row>
    <row r="24" spans="1:16" ht="20.100000000000001" customHeight="1" x14ac:dyDescent="0.25">
      <c r="A24" s="1112">
        <v>16</v>
      </c>
      <c r="B24" s="198"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4"/>
        <v>0</v>
      </c>
    </row>
    <row r="25" spans="1:16" ht="20.100000000000001" customHeight="1" x14ac:dyDescent="0.25">
      <c r="A25" s="34">
        <v>17</v>
      </c>
      <c r="B25" s="198"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4"/>
        <v>0</v>
      </c>
    </row>
    <row r="26" spans="1:16" ht="20.100000000000001" customHeight="1" x14ac:dyDescent="0.25">
      <c r="A26" s="1112">
        <v>18</v>
      </c>
      <c r="B26" s="198"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4"/>
        <v>0</v>
      </c>
    </row>
    <row r="27" spans="1:16" ht="20.100000000000001" customHeight="1" x14ac:dyDescent="0.25">
      <c r="A27" s="34">
        <v>19</v>
      </c>
      <c r="B27" s="198"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4"/>
        <v>0</v>
      </c>
    </row>
    <row r="28" spans="1:16" ht="20.100000000000001" customHeight="1" x14ac:dyDescent="0.25">
      <c r="A28" s="1112">
        <v>20</v>
      </c>
      <c r="B28" s="198" t="str">
        <f>dtsiswa!D26</f>
        <v>Roby Ardiyansyah</v>
      </c>
      <c r="C28" s="36" t="s">
        <v>5</v>
      </c>
      <c r="D28" s="881"/>
      <c r="E28" s="881"/>
      <c r="F28" s="881"/>
      <c r="G28" s="881"/>
      <c r="H28" s="881"/>
      <c r="I28" s="881"/>
      <c r="J28" s="881"/>
      <c r="K28" s="881"/>
      <c r="L28" s="504">
        <f t="shared" si="0"/>
        <v>0</v>
      </c>
      <c r="M28" s="505">
        <f t="shared" si="1"/>
        <v>0</v>
      </c>
      <c r="N28" s="505">
        <f t="shared" si="2"/>
        <v>0</v>
      </c>
      <c r="O28" s="505">
        <f t="shared" si="3"/>
        <v>0</v>
      </c>
      <c r="P28" s="38">
        <f t="shared" si="4"/>
        <v>0</v>
      </c>
    </row>
    <row r="29" spans="1:16" ht="20.100000000000001" customHeight="1" x14ac:dyDescent="0.25">
      <c r="A29" s="34">
        <v>21</v>
      </c>
      <c r="B29" s="198"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4"/>
        <v>0</v>
      </c>
    </row>
    <row r="30" spans="1:16" ht="20.100000000000001" customHeight="1" x14ac:dyDescent="0.25">
      <c r="A30" s="1112">
        <v>22</v>
      </c>
      <c r="B30" s="198" t="str">
        <f>dtsiswa!D28</f>
        <v>Sally Savista A</v>
      </c>
      <c r="C30" s="45" t="s">
        <v>4</v>
      </c>
      <c r="D30" s="881"/>
      <c r="E30" s="881"/>
      <c r="F30" s="881"/>
      <c r="G30" s="881"/>
      <c r="H30" s="881"/>
      <c r="I30" s="881"/>
      <c r="J30" s="881"/>
      <c r="K30" s="881"/>
      <c r="L30" s="504">
        <f t="shared" si="0"/>
        <v>0</v>
      </c>
      <c r="M30" s="505">
        <f t="shared" si="1"/>
        <v>0</v>
      </c>
      <c r="N30" s="505">
        <f t="shared" si="2"/>
        <v>0</v>
      </c>
      <c r="O30" s="505">
        <f t="shared" si="3"/>
        <v>0</v>
      </c>
      <c r="P30" s="38">
        <f t="shared" si="4"/>
        <v>0</v>
      </c>
    </row>
    <row r="31" spans="1:16" ht="20.100000000000001" customHeight="1" x14ac:dyDescent="0.25">
      <c r="A31" s="34">
        <v>23</v>
      </c>
      <c r="B31" s="198" t="str">
        <f>dtsiswa!D29</f>
        <v xml:space="preserve">Tania Kaori Angelita </v>
      </c>
      <c r="C31" s="45" t="s">
        <v>5</v>
      </c>
      <c r="D31" s="881"/>
      <c r="E31" s="881"/>
      <c r="F31" s="881"/>
      <c r="G31" s="881"/>
      <c r="H31" s="881"/>
      <c r="I31" s="881"/>
      <c r="J31" s="881"/>
      <c r="K31" s="881"/>
      <c r="L31" s="504">
        <f t="shared" si="0"/>
        <v>0</v>
      </c>
      <c r="M31" s="505">
        <f t="shared" si="1"/>
        <v>0</v>
      </c>
      <c r="N31" s="505">
        <f t="shared" si="2"/>
        <v>0</v>
      </c>
      <c r="O31" s="505">
        <f t="shared" si="3"/>
        <v>0</v>
      </c>
      <c r="P31" s="38">
        <f t="shared" si="4"/>
        <v>0</v>
      </c>
    </row>
    <row r="32" spans="1:16" ht="20.100000000000001" customHeight="1" x14ac:dyDescent="0.25">
      <c r="A32" s="1112">
        <v>24</v>
      </c>
      <c r="B32" s="198" t="str">
        <f>dtsiswa!D30</f>
        <v>Romzy Oka Ramadhani P</v>
      </c>
      <c r="C32" s="45" t="s">
        <v>5</v>
      </c>
      <c r="D32" s="881"/>
      <c r="E32" s="881"/>
      <c r="F32" s="881"/>
      <c r="G32" s="881"/>
      <c r="H32" s="881"/>
      <c r="I32" s="881"/>
      <c r="J32" s="881"/>
      <c r="K32" s="881"/>
      <c r="L32" s="504">
        <f t="shared" si="0"/>
        <v>0</v>
      </c>
      <c r="M32" s="505">
        <f t="shared" si="1"/>
        <v>0</v>
      </c>
      <c r="N32" s="505">
        <f t="shared" si="2"/>
        <v>0</v>
      </c>
      <c r="O32" s="505">
        <f t="shared" si="3"/>
        <v>0</v>
      </c>
      <c r="P32" s="38">
        <f t="shared" si="4"/>
        <v>0</v>
      </c>
    </row>
    <row r="33" spans="1:16" ht="20.100000000000001" customHeight="1" x14ac:dyDescent="0.25">
      <c r="A33" s="34">
        <v>25</v>
      </c>
      <c r="B33" s="198" t="str">
        <f>dtsiswa!D31</f>
        <v>Larasati Jagadhita P</v>
      </c>
      <c r="C33" s="36" t="s">
        <v>4</v>
      </c>
      <c r="D33" s="881"/>
      <c r="E33" s="881"/>
      <c r="F33" s="881"/>
      <c r="G33" s="881"/>
      <c r="H33" s="881"/>
      <c r="I33" s="881"/>
      <c r="J33" s="881"/>
      <c r="K33" s="881"/>
      <c r="L33" s="504">
        <f t="shared" si="0"/>
        <v>0</v>
      </c>
      <c r="M33" s="505">
        <f t="shared" si="1"/>
        <v>0</v>
      </c>
      <c r="N33" s="505">
        <f t="shared" si="2"/>
        <v>0</v>
      </c>
      <c r="O33" s="505">
        <f t="shared" si="3"/>
        <v>0</v>
      </c>
      <c r="P33" s="38">
        <f t="shared" si="4"/>
        <v>0</v>
      </c>
    </row>
    <row r="34" spans="1:16" ht="20.100000000000001" customHeight="1" x14ac:dyDescent="0.25">
      <c r="A34" s="1112">
        <v>26</v>
      </c>
      <c r="B34" s="198" t="str">
        <f>dtsiswa!D32</f>
        <v>Meliana Citra A</v>
      </c>
      <c r="C34" s="36" t="s">
        <v>5</v>
      </c>
      <c r="D34" s="881"/>
      <c r="E34" s="881"/>
      <c r="F34" s="881"/>
      <c r="G34" s="881"/>
      <c r="H34" s="881"/>
      <c r="I34" s="881"/>
      <c r="J34" s="881"/>
      <c r="K34" s="881"/>
      <c r="L34" s="504">
        <f t="shared" si="0"/>
        <v>0</v>
      </c>
      <c r="M34" s="505">
        <f t="shared" si="1"/>
        <v>0</v>
      </c>
      <c r="N34" s="505">
        <f t="shared" si="2"/>
        <v>0</v>
      </c>
      <c r="O34" s="505">
        <f t="shared" si="3"/>
        <v>0</v>
      </c>
      <c r="P34" s="38">
        <f t="shared" si="4"/>
        <v>0</v>
      </c>
    </row>
    <row r="35" spans="1:16" ht="20.100000000000001" customHeight="1" x14ac:dyDescent="0.25">
      <c r="A35" s="34">
        <v>27</v>
      </c>
      <c r="B35" s="198" t="str">
        <f>dtsiswa!D33</f>
        <v>Mohammad Rizky</v>
      </c>
      <c r="C35" s="36" t="s">
        <v>4</v>
      </c>
      <c r="D35" s="881"/>
      <c r="E35" s="881"/>
      <c r="F35" s="881"/>
      <c r="G35" s="881"/>
      <c r="H35" s="881"/>
      <c r="I35" s="881"/>
      <c r="J35" s="881"/>
      <c r="K35" s="881"/>
      <c r="L35" s="504">
        <f t="shared" si="0"/>
        <v>0</v>
      </c>
      <c r="M35" s="505">
        <f t="shared" si="1"/>
        <v>0</v>
      </c>
      <c r="N35" s="505">
        <f t="shared" si="2"/>
        <v>0</v>
      </c>
      <c r="O35" s="505">
        <f t="shared" si="3"/>
        <v>0</v>
      </c>
      <c r="P35" s="38">
        <f t="shared" si="4"/>
        <v>0</v>
      </c>
    </row>
    <row r="36" spans="1:16" ht="20.100000000000001" customHeight="1" x14ac:dyDescent="0.25">
      <c r="A36" s="1112">
        <v>28</v>
      </c>
      <c r="B36" s="198">
        <f>dtsiswa!D34</f>
        <v>0</v>
      </c>
      <c r="C36" s="36" t="s">
        <v>4</v>
      </c>
      <c r="D36" s="881"/>
      <c r="E36" s="881"/>
      <c r="F36" s="881"/>
      <c r="G36" s="881"/>
      <c r="H36" s="881"/>
      <c r="I36" s="881"/>
      <c r="J36" s="881"/>
      <c r="K36" s="881"/>
      <c r="L36" s="504">
        <f t="shared" si="0"/>
        <v>0</v>
      </c>
      <c r="M36" s="505">
        <f t="shared" si="1"/>
        <v>0</v>
      </c>
      <c r="N36" s="505">
        <f t="shared" si="2"/>
        <v>0</v>
      </c>
      <c r="O36" s="505">
        <f t="shared" si="3"/>
        <v>0</v>
      </c>
      <c r="P36" s="38">
        <f t="shared" si="4"/>
        <v>0</v>
      </c>
    </row>
    <row r="37" spans="1:16" ht="20.100000000000001" customHeight="1" x14ac:dyDescent="0.25">
      <c r="A37" s="34">
        <v>29</v>
      </c>
      <c r="B37" s="198">
        <f>dtsiswa!D35</f>
        <v>0</v>
      </c>
      <c r="C37" s="36" t="s">
        <v>4</v>
      </c>
      <c r="D37" s="881"/>
      <c r="E37" s="881"/>
      <c r="F37" s="881"/>
      <c r="G37" s="881"/>
      <c r="H37" s="881"/>
      <c r="I37" s="881"/>
      <c r="J37" s="881"/>
      <c r="K37" s="881"/>
      <c r="L37" s="504">
        <f t="shared" si="0"/>
        <v>0</v>
      </c>
      <c r="M37" s="505">
        <f t="shared" si="1"/>
        <v>0</v>
      </c>
      <c r="N37" s="505">
        <f t="shared" si="2"/>
        <v>0</v>
      </c>
      <c r="O37" s="505">
        <f t="shared" si="3"/>
        <v>0</v>
      </c>
      <c r="P37" s="38">
        <f t="shared" si="4"/>
        <v>0</v>
      </c>
    </row>
    <row r="38" spans="1:16" ht="20.100000000000001" customHeight="1" x14ac:dyDescent="0.25">
      <c r="A38" s="1112">
        <v>30</v>
      </c>
      <c r="B38" s="198">
        <f>dtsiswa!D36</f>
        <v>0</v>
      </c>
      <c r="C38" s="36" t="s">
        <v>5</v>
      </c>
      <c r="D38" s="881"/>
      <c r="E38" s="881"/>
      <c r="F38" s="881"/>
      <c r="G38" s="881"/>
      <c r="H38" s="881"/>
      <c r="I38" s="881"/>
      <c r="J38" s="881"/>
      <c r="K38" s="881"/>
      <c r="L38" s="504">
        <f t="shared" si="0"/>
        <v>0</v>
      </c>
      <c r="M38" s="505">
        <f t="shared" si="1"/>
        <v>0</v>
      </c>
      <c r="N38" s="505">
        <f t="shared" si="2"/>
        <v>0</v>
      </c>
      <c r="O38" s="505">
        <f t="shared" si="3"/>
        <v>0</v>
      </c>
      <c r="P38" s="38">
        <f t="shared" si="4"/>
        <v>0</v>
      </c>
    </row>
    <row r="39" spans="1:16" ht="20.100000000000001" customHeight="1" x14ac:dyDescent="0.25">
      <c r="A39" s="34">
        <v>31</v>
      </c>
      <c r="B39" s="198">
        <f>dtsiswa!D37</f>
        <v>0</v>
      </c>
      <c r="C39" s="36" t="s">
        <v>5</v>
      </c>
      <c r="D39" s="881"/>
      <c r="E39" s="881"/>
      <c r="F39" s="881"/>
      <c r="G39" s="881"/>
      <c r="H39" s="881"/>
      <c r="I39" s="881"/>
      <c r="J39" s="881"/>
      <c r="K39" s="881"/>
      <c r="L39" s="504">
        <f t="shared" si="0"/>
        <v>0</v>
      </c>
      <c r="M39" s="505">
        <f t="shared" si="1"/>
        <v>0</v>
      </c>
      <c r="N39" s="505">
        <f t="shared" si="2"/>
        <v>0</v>
      </c>
      <c r="O39" s="505">
        <f t="shared" si="3"/>
        <v>0</v>
      </c>
      <c r="P39" s="38">
        <f t="shared" si="4"/>
        <v>0</v>
      </c>
    </row>
    <row r="40" spans="1:16" ht="20.100000000000001" customHeight="1" x14ac:dyDescent="0.25">
      <c r="A40" s="1112">
        <v>32</v>
      </c>
      <c r="B40" s="198">
        <f>dtsiswa!D38</f>
        <v>0</v>
      </c>
      <c r="D40" s="881"/>
      <c r="E40" s="881"/>
      <c r="F40" s="881"/>
      <c r="G40" s="881"/>
      <c r="H40" s="881"/>
      <c r="I40" s="881"/>
      <c r="J40" s="881"/>
      <c r="K40" s="881"/>
      <c r="L40" s="504">
        <f t="shared" si="0"/>
        <v>0</v>
      </c>
      <c r="M40" s="505">
        <f t="shared" si="1"/>
        <v>0</v>
      </c>
      <c r="N40" s="505">
        <f t="shared" si="2"/>
        <v>0</v>
      </c>
      <c r="O40" s="505">
        <f t="shared" si="3"/>
        <v>0</v>
      </c>
      <c r="P40" s="38">
        <f t="shared" si="4"/>
        <v>0</v>
      </c>
    </row>
    <row r="41" spans="1:16" ht="20.100000000000001" customHeight="1" x14ac:dyDescent="0.25">
      <c r="A41" s="34">
        <v>33</v>
      </c>
      <c r="B41" s="198">
        <f>dtsiswa!D39</f>
        <v>0</v>
      </c>
      <c r="C41" s="36"/>
      <c r="D41" s="881"/>
      <c r="E41" s="881"/>
      <c r="F41" s="881"/>
      <c r="G41" s="881"/>
      <c r="H41" s="881"/>
      <c r="I41" s="881"/>
      <c r="J41" s="881"/>
      <c r="K41" s="881"/>
      <c r="L41" s="504">
        <f t="shared" si="0"/>
        <v>0</v>
      </c>
      <c r="M41" s="505">
        <f t="shared" si="1"/>
        <v>0</v>
      </c>
      <c r="N41" s="505">
        <f t="shared" si="2"/>
        <v>0</v>
      </c>
      <c r="O41" s="505">
        <f t="shared" si="3"/>
        <v>0</v>
      </c>
      <c r="P41" s="38">
        <f t="shared" si="4"/>
        <v>0</v>
      </c>
    </row>
    <row r="42" spans="1:16" ht="20.100000000000001" customHeight="1" x14ac:dyDescent="0.25">
      <c r="A42" s="1112">
        <v>34</v>
      </c>
      <c r="B42" s="198">
        <f>dtsiswa!D40</f>
        <v>0</v>
      </c>
      <c r="C42" s="36"/>
      <c r="D42" s="881"/>
      <c r="E42" s="881"/>
      <c r="F42" s="881"/>
      <c r="G42" s="881"/>
      <c r="H42" s="881"/>
      <c r="I42" s="881"/>
      <c r="J42" s="881"/>
      <c r="K42" s="881"/>
      <c r="L42" s="504">
        <f t="shared" si="0"/>
        <v>0</v>
      </c>
      <c r="M42" s="505">
        <f t="shared" si="1"/>
        <v>0</v>
      </c>
      <c r="N42" s="505">
        <f t="shared" si="2"/>
        <v>0</v>
      </c>
      <c r="O42" s="505">
        <f t="shared" si="3"/>
        <v>0</v>
      </c>
      <c r="P42" s="38">
        <f t="shared" si="4"/>
        <v>0</v>
      </c>
    </row>
    <row r="43" spans="1:16" ht="20.100000000000001" customHeight="1" x14ac:dyDescent="0.25">
      <c r="A43" s="34">
        <v>35</v>
      </c>
      <c r="B43" s="198">
        <f>dtsiswa!D41</f>
        <v>0</v>
      </c>
      <c r="C43" s="36"/>
      <c r="D43" s="881"/>
      <c r="E43" s="881"/>
      <c r="F43" s="881"/>
      <c r="G43" s="881"/>
      <c r="H43" s="881"/>
      <c r="I43" s="881"/>
      <c r="J43" s="881"/>
      <c r="K43" s="881"/>
      <c r="L43" s="504">
        <f t="shared" si="0"/>
        <v>0</v>
      </c>
      <c r="M43" s="505">
        <f t="shared" si="1"/>
        <v>0</v>
      </c>
      <c r="N43" s="505">
        <f t="shared" si="2"/>
        <v>0</v>
      </c>
      <c r="O43" s="505">
        <f t="shared" si="3"/>
        <v>0</v>
      </c>
      <c r="P43" s="38">
        <f t="shared" si="4"/>
        <v>0</v>
      </c>
    </row>
    <row r="44" spans="1:16" ht="20.100000000000001" customHeight="1" x14ac:dyDescent="0.25">
      <c r="A44" s="1112">
        <v>36</v>
      </c>
      <c r="B44" s="198">
        <f>dtsiswa!D42</f>
        <v>0</v>
      </c>
      <c r="C44" s="36"/>
      <c r="D44" s="1112"/>
      <c r="E44" s="1112"/>
      <c r="F44" s="1112"/>
      <c r="G44" s="1112"/>
      <c r="H44" s="1112"/>
      <c r="I44" s="1112"/>
      <c r="J44" s="1112"/>
      <c r="K44" s="1112"/>
      <c r="L44" s="504">
        <f t="shared" si="0"/>
        <v>0</v>
      </c>
      <c r="M44" s="505">
        <f t="shared" si="1"/>
        <v>0</v>
      </c>
      <c r="N44" s="505">
        <f t="shared" si="2"/>
        <v>0</v>
      </c>
      <c r="O44" s="505">
        <f t="shared" si="3"/>
        <v>0</v>
      </c>
      <c r="P44" s="38">
        <f t="shared" si="4"/>
        <v>0</v>
      </c>
    </row>
    <row r="45" spans="1:16" ht="20.100000000000001" customHeight="1" x14ac:dyDescent="0.25">
      <c r="A45" s="34">
        <v>37</v>
      </c>
      <c r="B45" s="198">
        <f>dtsiswa!D43</f>
        <v>0</v>
      </c>
      <c r="C45" s="36"/>
      <c r="D45" s="1112"/>
      <c r="E45" s="1112"/>
      <c r="F45" s="1112"/>
      <c r="G45" s="1112"/>
      <c r="H45" s="1112"/>
      <c r="I45" s="1112"/>
      <c r="J45" s="1112"/>
      <c r="K45" s="1112"/>
      <c r="L45" s="504">
        <f t="shared" si="0"/>
        <v>0</v>
      </c>
      <c r="M45" s="505">
        <f t="shared" si="1"/>
        <v>0</v>
      </c>
      <c r="N45" s="505">
        <f t="shared" si="2"/>
        <v>0</v>
      </c>
      <c r="O45" s="505">
        <f t="shared" si="3"/>
        <v>0</v>
      </c>
      <c r="P45" s="38">
        <f t="shared" si="4"/>
        <v>0</v>
      </c>
    </row>
    <row r="46" spans="1:16" ht="20.100000000000001" customHeight="1" x14ac:dyDescent="0.25">
      <c r="A46" s="1112">
        <v>38</v>
      </c>
      <c r="B46" s="198">
        <f>dtsiswa!D44</f>
        <v>0</v>
      </c>
      <c r="C46" s="36"/>
      <c r="D46" s="1112"/>
      <c r="E46" s="1112"/>
      <c r="F46" s="1112"/>
      <c r="G46" s="1112"/>
      <c r="H46" s="1112"/>
      <c r="I46" s="1112"/>
      <c r="J46" s="1112"/>
      <c r="K46" s="1112"/>
      <c r="L46" s="504">
        <f t="shared" si="0"/>
        <v>0</v>
      </c>
      <c r="M46" s="505">
        <f t="shared" si="1"/>
        <v>0</v>
      </c>
      <c r="N46" s="505">
        <f t="shared" si="2"/>
        <v>0</v>
      </c>
      <c r="O46" s="505">
        <f t="shared" si="3"/>
        <v>0</v>
      </c>
      <c r="P46" s="38">
        <f t="shared" si="4"/>
        <v>0</v>
      </c>
    </row>
    <row r="47" spans="1:16" ht="20.100000000000001" customHeight="1" x14ac:dyDescent="0.25">
      <c r="A47" s="34">
        <v>39</v>
      </c>
      <c r="B47" s="198">
        <f>dtsiswa!D45</f>
        <v>0</v>
      </c>
      <c r="C47" s="36"/>
      <c r="D47" s="1112"/>
      <c r="E47" s="1112"/>
      <c r="F47" s="1112"/>
      <c r="G47" s="1112"/>
      <c r="H47" s="1112"/>
      <c r="I47" s="1112"/>
      <c r="J47" s="1112"/>
      <c r="K47" s="1112"/>
      <c r="L47" s="504">
        <f t="shared" si="0"/>
        <v>0</v>
      </c>
      <c r="M47" s="505">
        <f t="shared" si="1"/>
        <v>0</v>
      </c>
      <c r="N47" s="505">
        <f t="shared" si="2"/>
        <v>0</v>
      </c>
      <c r="O47" s="505">
        <f t="shared" si="3"/>
        <v>0</v>
      </c>
      <c r="P47" s="38">
        <f t="shared" si="4"/>
        <v>0</v>
      </c>
    </row>
    <row r="48" spans="1:16" ht="20.100000000000001" customHeight="1" x14ac:dyDescent="0.25">
      <c r="A48" s="1112">
        <v>40</v>
      </c>
      <c r="B48" s="198">
        <f>dtsiswa!D46</f>
        <v>0</v>
      </c>
      <c r="C48" s="36"/>
      <c r="D48" s="1112"/>
      <c r="E48" s="1112"/>
      <c r="F48" s="1112"/>
      <c r="G48" s="1112"/>
      <c r="H48" s="1112"/>
      <c r="I48" s="1112"/>
      <c r="J48" s="1112"/>
      <c r="K48" s="1112"/>
      <c r="L48" s="504">
        <f t="shared" si="0"/>
        <v>0</v>
      </c>
      <c r="M48" s="505">
        <f t="shared" si="1"/>
        <v>0</v>
      </c>
      <c r="N48" s="505">
        <f t="shared" si="2"/>
        <v>0</v>
      </c>
      <c r="O48" s="505">
        <f t="shared" si="3"/>
        <v>0</v>
      </c>
      <c r="P48" s="38">
        <f t="shared" si="4"/>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rgb="FF00B0F0"/>
  </sheetPr>
  <dimension ref="A1:P48"/>
  <sheetViews>
    <sheetView showGridLines="0" workbookViewId="0">
      <pane xSplit="2" ySplit="8" topLeftCell="C44"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3"/>
      <c r="B1" s="3254"/>
      <c r="C1" s="3254"/>
      <c r="D1" s="3254"/>
      <c r="E1" s="3254"/>
      <c r="F1" s="3254"/>
      <c r="G1" s="3254"/>
      <c r="H1" s="3254"/>
      <c r="I1" s="3254"/>
      <c r="J1" s="3254"/>
      <c r="K1" s="3254"/>
      <c r="L1" s="3254"/>
      <c r="M1" s="3254"/>
      <c r="N1" s="3254"/>
      <c r="O1" s="3254"/>
      <c r="P1" s="3254"/>
    </row>
    <row r="2" spans="1:16" ht="19.5" customHeight="1" x14ac:dyDescent="0.25">
      <c r="A2" s="3255"/>
      <c r="B2" s="3256"/>
      <c r="C2" s="3256"/>
      <c r="D2" s="3256"/>
      <c r="E2" s="3256"/>
      <c r="F2" s="3256"/>
      <c r="G2" s="3256"/>
      <c r="H2" s="3256"/>
      <c r="I2" s="3256"/>
      <c r="J2" s="3256"/>
      <c r="K2" s="3256"/>
      <c r="L2" s="3256"/>
      <c r="M2" s="3256"/>
      <c r="N2" s="3256"/>
      <c r="O2" s="3256"/>
      <c r="P2" s="3256"/>
    </row>
    <row r="3" spans="1:16" ht="21" x14ac:dyDescent="0.35">
      <c r="A3" s="544" t="s">
        <v>691</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882" customFormat="1" ht="20.25" customHeight="1" x14ac:dyDescent="0.25">
      <c r="A6" s="3231" t="s">
        <v>0</v>
      </c>
      <c r="B6" s="3231" t="s">
        <v>28</v>
      </c>
      <c r="C6" s="3231" t="s">
        <v>3</v>
      </c>
      <c r="D6" s="3233" t="s">
        <v>20</v>
      </c>
      <c r="E6" s="3234"/>
      <c r="F6" s="3234"/>
      <c r="G6" s="3234"/>
      <c r="H6" s="3234"/>
      <c r="I6" s="3234"/>
      <c r="J6" s="3234"/>
      <c r="K6" s="3235"/>
      <c r="L6" s="3130" t="s">
        <v>159</v>
      </c>
      <c r="M6" s="3232" t="s">
        <v>29</v>
      </c>
      <c r="N6" s="3232" t="s">
        <v>30</v>
      </c>
      <c r="O6" s="3232" t="s">
        <v>31</v>
      </c>
      <c r="P6" s="3149" t="s">
        <v>32</v>
      </c>
    </row>
    <row r="7" spans="1:16" s="882" customFormat="1" ht="20.25" customHeight="1" x14ac:dyDescent="0.25">
      <c r="A7" s="3231"/>
      <c r="B7" s="3231"/>
      <c r="C7" s="3231"/>
      <c r="D7" s="31" t="s">
        <v>29</v>
      </c>
      <c r="E7" s="31" t="s">
        <v>29</v>
      </c>
      <c r="F7" s="31" t="s">
        <v>29</v>
      </c>
      <c r="G7" s="31" t="s">
        <v>29</v>
      </c>
      <c r="H7" s="31" t="s">
        <v>29</v>
      </c>
      <c r="I7" s="31" t="s">
        <v>29</v>
      </c>
      <c r="J7" s="546"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3.1" customHeight="1" x14ac:dyDescent="0.25">
      <c r="A9" s="34">
        <v>1</v>
      </c>
      <c r="B9" s="198" t="str">
        <f>dtsiswa!D7</f>
        <v>Achmad Zacky</v>
      </c>
      <c r="C9" s="291" t="s">
        <v>4</v>
      </c>
      <c r="D9" s="200">
        <v>1</v>
      </c>
      <c r="E9" s="200">
        <v>0</v>
      </c>
      <c r="F9" s="200">
        <v>1</v>
      </c>
      <c r="G9" s="200">
        <v>1</v>
      </c>
      <c r="H9" s="200">
        <v>1</v>
      </c>
      <c r="I9" s="200">
        <v>2</v>
      </c>
      <c r="J9" s="200">
        <v>0</v>
      </c>
      <c r="K9" s="200">
        <v>3</v>
      </c>
      <c r="L9" s="504">
        <f>SUM(D9:K9)*100/11</f>
        <v>81.818181818181813</v>
      </c>
      <c r="M9" s="505">
        <f>SUM(D9:H9)+J9</f>
        <v>4</v>
      </c>
      <c r="N9" s="505">
        <f>I9</f>
        <v>2</v>
      </c>
      <c r="O9" s="505">
        <f>K9</f>
        <v>3</v>
      </c>
      <c r="P9" s="38">
        <f>L9</f>
        <v>81.818181818181813</v>
      </c>
    </row>
    <row r="10" spans="1:16" ht="23.1" customHeight="1" x14ac:dyDescent="0.25">
      <c r="A10" s="881">
        <v>2</v>
      </c>
      <c r="B10" s="35" t="str">
        <f>dtsiswa!D8</f>
        <v>Angelia Vabel R</v>
      </c>
      <c r="C10" s="36" t="s">
        <v>4</v>
      </c>
      <c r="D10" s="200"/>
      <c r="E10" s="200"/>
      <c r="F10" s="200"/>
      <c r="G10" s="200"/>
      <c r="H10" s="200"/>
      <c r="I10" s="200"/>
      <c r="J10" s="200"/>
      <c r="K10" s="200"/>
      <c r="L10" s="504">
        <f t="shared" ref="L10:L43" si="0">SUM(D10:K10)*100/11</f>
        <v>0</v>
      </c>
      <c r="M10" s="505">
        <f t="shared" ref="M10:M43" si="1">SUM(D10:H10)+J10</f>
        <v>0</v>
      </c>
      <c r="N10" s="505">
        <f t="shared" ref="N10:N48" si="2">I10</f>
        <v>0</v>
      </c>
      <c r="O10" s="505">
        <f t="shared" ref="O10:P43" si="3">K10</f>
        <v>0</v>
      </c>
      <c r="P10" s="38">
        <f t="shared" si="3"/>
        <v>0</v>
      </c>
    </row>
    <row r="11" spans="1:16" ht="23.1" customHeight="1" x14ac:dyDescent="0.25">
      <c r="A11" s="34">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3.1" customHeight="1" x14ac:dyDescent="0.25">
      <c r="A12" s="1112">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3.1" customHeight="1" x14ac:dyDescent="0.25">
      <c r="A13" s="34">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3.1" customHeight="1" x14ac:dyDescent="0.25">
      <c r="A14" s="1112">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3.1" customHeight="1" x14ac:dyDescent="0.25">
      <c r="A15" s="34">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3.1" customHeight="1" x14ac:dyDescent="0.25">
      <c r="A16" s="1112">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3.1" customHeight="1" x14ac:dyDescent="0.25">
      <c r="A17" s="34">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3.1" customHeight="1" x14ac:dyDescent="0.25">
      <c r="A18" s="1112">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3.1" customHeight="1" x14ac:dyDescent="0.25">
      <c r="A19" s="34">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3.1" customHeight="1" x14ac:dyDescent="0.25">
      <c r="A20" s="1112">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3.1" customHeight="1" x14ac:dyDescent="0.25">
      <c r="A21" s="34">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3.1" customHeight="1" x14ac:dyDescent="0.25">
      <c r="A22" s="1112">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3.1" customHeight="1" x14ac:dyDescent="0.25">
      <c r="A23" s="34">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3.1" customHeight="1" x14ac:dyDescent="0.25">
      <c r="A24" s="1112">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3.1" customHeight="1" x14ac:dyDescent="0.25">
      <c r="A25" s="34">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3.1" customHeight="1" x14ac:dyDescent="0.25">
      <c r="A26" s="1112">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3.1" customHeight="1" x14ac:dyDescent="0.25">
      <c r="A27" s="34">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3.1" customHeight="1" x14ac:dyDescent="0.25">
      <c r="A28" s="1112">
        <v>20</v>
      </c>
      <c r="B28" s="35" t="str">
        <f>dtsiswa!D26</f>
        <v>Roby Ardiyansyah</v>
      </c>
      <c r="C28" s="36" t="s">
        <v>5</v>
      </c>
      <c r="D28" s="881"/>
      <c r="E28" s="881"/>
      <c r="F28" s="881"/>
      <c r="G28" s="881"/>
      <c r="H28" s="881"/>
      <c r="I28" s="881"/>
      <c r="J28" s="881"/>
      <c r="K28" s="881"/>
      <c r="L28" s="504">
        <f t="shared" si="0"/>
        <v>0</v>
      </c>
      <c r="M28" s="505">
        <f t="shared" si="1"/>
        <v>0</v>
      </c>
      <c r="N28" s="505">
        <f t="shared" si="2"/>
        <v>0</v>
      </c>
      <c r="O28" s="505">
        <f t="shared" si="3"/>
        <v>0</v>
      </c>
      <c r="P28" s="38">
        <f t="shared" si="3"/>
        <v>0</v>
      </c>
    </row>
    <row r="29" spans="1:16" ht="23.1" customHeight="1" x14ac:dyDescent="0.25">
      <c r="A29" s="34">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3.1" customHeight="1" x14ac:dyDescent="0.25">
      <c r="A30" s="1112">
        <v>22</v>
      </c>
      <c r="B30" s="35" t="str">
        <f>dtsiswa!D28</f>
        <v>Sally Savista A</v>
      </c>
      <c r="C30" s="45" t="s">
        <v>4</v>
      </c>
      <c r="D30" s="881"/>
      <c r="E30" s="881"/>
      <c r="F30" s="881"/>
      <c r="G30" s="881"/>
      <c r="H30" s="881"/>
      <c r="I30" s="881"/>
      <c r="J30" s="881"/>
      <c r="K30" s="881"/>
      <c r="L30" s="504">
        <f t="shared" si="0"/>
        <v>0</v>
      </c>
      <c r="M30" s="505">
        <f t="shared" si="1"/>
        <v>0</v>
      </c>
      <c r="N30" s="505">
        <f t="shared" si="2"/>
        <v>0</v>
      </c>
      <c r="O30" s="505">
        <f t="shared" si="3"/>
        <v>0</v>
      </c>
      <c r="P30" s="38">
        <f t="shared" si="3"/>
        <v>0</v>
      </c>
    </row>
    <row r="31" spans="1:16" ht="23.1" customHeight="1" x14ac:dyDescent="0.25">
      <c r="A31" s="34">
        <v>23</v>
      </c>
      <c r="B31" s="35" t="str">
        <f>dtsiswa!D29</f>
        <v xml:space="preserve">Tania Kaori Angelita </v>
      </c>
      <c r="C31" s="45" t="s">
        <v>5</v>
      </c>
      <c r="D31" s="881"/>
      <c r="E31" s="881"/>
      <c r="F31" s="881"/>
      <c r="G31" s="881"/>
      <c r="H31" s="881"/>
      <c r="I31" s="881"/>
      <c r="J31" s="881"/>
      <c r="K31" s="881"/>
      <c r="L31" s="504">
        <f t="shared" si="0"/>
        <v>0</v>
      </c>
      <c r="M31" s="505">
        <f t="shared" si="1"/>
        <v>0</v>
      </c>
      <c r="N31" s="505">
        <f t="shared" si="2"/>
        <v>0</v>
      </c>
      <c r="O31" s="505">
        <f t="shared" si="3"/>
        <v>0</v>
      </c>
      <c r="P31" s="38">
        <f t="shared" si="3"/>
        <v>0</v>
      </c>
    </row>
    <row r="32" spans="1:16" ht="23.1" customHeight="1" x14ac:dyDescent="0.25">
      <c r="A32" s="1112">
        <v>24</v>
      </c>
      <c r="B32" s="35" t="str">
        <f>dtsiswa!D30</f>
        <v>Romzy Oka Ramadhani P</v>
      </c>
      <c r="C32" s="45" t="s">
        <v>5</v>
      </c>
      <c r="D32" s="881"/>
      <c r="E32" s="881"/>
      <c r="F32" s="881"/>
      <c r="G32" s="881"/>
      <c r="H32" s="881"/>
      <c r="I32" s="881"/>
      <c r="J32" s="881"/>
      <c r="K32" s="881"/>
      <c r="L32" s="504">
        <f t="shared" si="0"/>
        <v>0</v>
      </c>
      <c r="M32" s="505">
        <f t="shared" si="1"/>
        <v>0</v>
      </c>
      <c r="N32" s="505">
        <f t="shared" si="2"/>
        <v>0</v>
      </c>
      <c r="O32" s="505">
        <f t="shared" si="3"/>
        <v>0</v>
      </c>
      <c r="P32" s="38">
        <f t="shared" si="3"/>
        <v>0</v>
      </c>
    </row>
    <row r="33" spans="1:16" ht="23.1" customHeight="1" x14ac:dyDescent="0.25">
      <c r="A33" s="34">
        <v>25</v>
      </c>
      <c r="B33" s="35" t="str">
        <f>dtsiswa!D31</f>
        <v>Larasati Jagadhita P</v>
      </c>
      <c r="C33" s="36" t="s">
        <v>4</v>
      </c>
      <c r="D33" s="881"/>
      <c r="E33" s="881"/>
      <c r="F33" s="881"/>
      <c r="G33" s="881"/>
      <c r="H33" s="881"/>
      <c r="I33" s="881"/>
      <c r="J33" s="881"/>
      <c r="K33" s="881"/>
      <c r="L33" s="504">
        <f t="shared" si="0"/>
        <v>0</v>
      </c>
      <c r="M33" s="505">
        <f t="shared" si="1"/>
        <v>0</v>
      </c>
      <c r="N33" s="505">
        <f t="shared" si="2"/>
        <v>0</v>
      </c>
      <c r="O33" s="505">
        <f t="shared" si="3"/>
        <v>0</v>
      </c>
      <c r="P33" s="38">
        <f t="shared" si="3"/>
        <v>0</v>
      </c>
    </row>
    <row r="34" spans="1:16" ht="23.1" customHeight="1" x14ac:dyDescent="0.25">
      <c r="A34" s="1112">
        <v>26</v>
      </c>
      <c r="B34" s="35" t="str">
        <f>dtsiswa!D32</f>
        <v>Meliana Citra A</v>
      </c>
      <c r="C34" s="36" t="s">
        <v>5</v>
      </c>
      <c r="D34" s="881"/>
      <c r="E34" s="881"/>
      <c r="F34" s="881"/>
      <c r="G34" s="881"/>
      <c r="H34" s="881"/>
      <c r="I34" s="881"/>
      <c r="J34" s="881"/>
      <c r="K34" s="881"/>
      <c r="L34" s="504">
        <f t="shared" si="0"/>
        <v>0</v>
      </c>
      <c r="M34" s="505">
        <f t="shared" si="1"/>
        <v>0</v>
      </c>
      <c r="N34" s="505">
        <f t="shared" si="2"/>
        <v>0</v>
      </c>
      <c r="O34" s="505">
        <f t="shared" si="3"/>
        <v>0</v>
      </c>
      <c r="P34" s="38">
        <f t="shared" si="3"/>
        <v>0</v>
      </c>
    </row>
    <row r="35" spans="1:16" ht="23.1" customHeight="1" x14ac:dyDescent="0.25">
      <c r="A35" s="34">
        <v>27</v>
      </c>
      <c r="B35" s="35" t="str">
        <f>dtsiswa!D33</f>
        <v>Mohammad Rizky</v>
      </c>
      <c r="C35" s="36" t="s">
        <v>4</v>
      </c>
      <c r="D35" s="881"/>
      <c r="E35" s="881"/>
      <c r="F35" s="881"/>
      <c r="G35" s="881"/>
      <c r="H35" s="881"/>
      <c r="I35" s="881"/>
      <c r="J35" s="881"/>
      <c r="K35" s="881"/>
      <c r="L35" s="504">
        <f t="shared" si="0"/>
        <v>0</v>
      </c>
      <c r="M35" s="505">
        <f t="shared" si="1"/>
        <v>0</v>
      </c>
      <c r="N35" s="505">
        <f t="shared" si="2"/>
        <v>0</v>
      </c>
      <c r="O35" s="505">
        <f t="shared" si="3"/>
        <v>0</v>
      </c>
      <c r="P35" s="38">
        <f t="shared" si="3"/>
        <v>0</v>
      </c>
    </row>
    <row r="36" spans="1:16" ht="23.1" customHeight="1" x14ac:dyDescent="0.25">
      <c r="A36" s="1112">
        <v>28</v>
      </c>
      <c r="B36" s="35">
        <f>dtsiswa!D34</f>
        <v>0</v>
      </c>
      <c r="C36" s="36" t="s">
        <v>4</v>
      </c>
      <c r="D36" s="881"/>
      <c r="E36" s="881"/>
      <c r="F36" s="881"/>
      <c r="G36" s="881"/>
      <c r="H36" s="881"/>
      <c r="I36" s="881"/>
      <c r="J36" s="881"/>
      <c r="K36" s="881"/>
      <c r="L36" s="504">
        <f t="shared" si="0"/>
        <v>0</v>
      </c>
      <c r="M36" s="505">
        <f t="shared" si="1"/>
        <v>0</v>
      </c>
      <c r="N36" s="505">
        <f t="shared" si="2"/>
        <v>0</v>
      </c>
      <c r="O36" s="505">
        <f t="shared" si="3"/>
        <v>0</v>
      </c>
      <c r="P36" s="38">
        <f t="shared" si="3"/>
        <v>0</v>
      </c>
    </row>
    <row r="37" spans="1:16" ht="23.1" customHeight="1" x14ac:dyDescent="0.25">
      <c r="A37" s="34">
        <v>29</v>
      </c>
      <c r="B37" s="35">
        <f>dtsiswa!D35</f>
        <v>0</v>
      </c>
      <c r="C37" s="36" t="s">
        <v>4</v>
      </c>
      <c r="D37" s="881"/>
      <c r="E37" s="881"/>
      <c r="F37" s="881"/>
      <c r="G37" s="881"/>
      <c r="H37" s="881"/>
      <c r="I37" s="881"/>
      <c r="J37" s="881"/>
      <c r="K37" s="881"/>
      <c r="L37" s="504">
        <f t="shared" si="0"/>
        <v>0</v>
      </c>
      <c r="M37" s="505">
        <f t="shared" si="1"/>
        <v>0</v>
      </c>
      <c r="N37" s="505">
        <f t="shared" si="2"/>
        <v>0</v>
      </c>
      <c r="O37" s="505">
        <f t="shared" si="3"/>
        <v>0</v>
      </c>
      <c r="P37" s="38">
        <f t="shared" si="3"/>
        <v>0</v>
      </c>
    </row>
    <row r="38" spans="1:16" ht="23.1" customHeight="1" x14ac:dyDescent="0.25">
      <c r="A38" s="1112">
        <v>30</v>
      </c>
      <c r="B38" s="35">
        <f>dtsiswa!D36</f>
        <v>0</v>
      </c>
      <c r="C38" s="36" t="s">
        <v>5</v>
      </c>
      <c r="D38" s="881"/>
      <c r="E38" s="881"/>
      <c r="F38" s="881"/>
      <c r="G38" s="881"/>
      <c r="H38" s="881"/>
      <c r="I38" s="881"/>
      <c r="J38" s="881"/>
      <c r="K38" s="881"/>
      <c r="L38" s="504">
        <f t="shared" si="0"/>
        <v>0</v>
      </c>
      <c r="M38" s="505">
        <f t="shared" si="1"/>
        <v>0</v>
      </c>
      <c r="N38" s="505">
        <f t="shared" si="2"/>
        <v>0</v>
      </c>
      <c r="O38" s="505">
        <f t="shared" si="3"/>
        <v>0</v>
      </c>
      <c r="P38" s="38">
        <f t="shared" si="3"/>
        <v>0</v>
      </c>
    </row>
    <row r="39" spans="1:16" ht="23.1" customHeight="1" x14ac:dyDescent="0.25">
      <c r="A39" s="34">
        <v>31</v>
      </c>
      <c r="B39" s="35">
        <f>dtsiswa!D37</f>
        <v>0</v>
      </c>
      <c r="C39" s="36" t="s">
        <v>5</v>
      </c>
      <c r="D39" s="881"/>
      <c r="E39" s="881"/>
      <c r="F39" s="881"/>
      <c r="G39" s="881"/>
      <c r="H39" s="881"/>
      <c r="I39" s="881"/>
      <c r="J39" s="881"/>
      <c r="K39" s="881"/>
      <c r="L39" s="504">
        <f t="shared" si="0"/>
        <v>0</v>
      </c>
      <c r="M39" s="505">
        <f t="shared" si="1"/>
        <v>0</v>
      </c>
      <c r="N39" s="505">
        <f t="shared" si="2"/>
        <v>0</v>
      </c>
      <c r="O39" s="505">
        <f t="shared" si="3"/>
        <v>0</v>
      </c>
      <c r="P39" s="38">
        <f t="shared" si="3"/>
        <v>0</v>
      </c>
    </row>
    <row r="40" spans="1:16" ht="23.1" customHeight="1" x14ac:dyDescent="0.25">
      <c r="A40" s="1112">
        <v>32</v>
      </c>
      <c r="B40" s="35">
        <f>dtsiswa!D38</f>
        <v>0</v>
      </c>
      <c r="D40" s="881"/>
      <c r="E40" s="881"/>
      <c r="F40" s="881"/>
      <c r="G40" s="881"/>
      <c r="H40" s="881"/>
      <c r="I40" s="881"/>
      <c r="J40" s="881"/>
      <c r="K40" s="881"/>
      <c r="L40" s="504">
        <f t="shared" si="0"/>
        <v>0</v>
      </c>
      <c r="M40" s="505">
        <f t="shared" si="1"/>
        <v>0</v>
      </c>
      <c r="N40" s="505">
        <f t="shared" si="2"/>
        <v>0</v>
      </c>
      <c r="O40" s="505">
        <f t="shared" si="3"/>
        <v>0</v>
      </c>
      <c r="P40" s="38">
        <f t="shared" si="3"/>
        <v>0</v>
      </c>
    </row>
    <row r="41" spans="1:16" ht="23.1" customHeight="1" x14ac:dyDescent="0.25">
      <c r="A41" s="34">
        <v>33</v>
      </c>
      <c r="B41" s="35">
        <f>dtsiswa!D39</f>
        <v>0</v>
      </c>
      <c r="C41" s="36"/>
      <c r="D41" s="881"/>
      <c r="E41" s="881"/>
      <c r="F41" s="881"/>
      <c r="G41" s="881"/>
      <c r="H41" s="881"/>
      <c r="I41" s="881"/>
      <c r="J41" s="881"/>
      <c r="K41" s="881"/>
      <c r="L41" s="504">
        <f t="shared" si="0"/>
        <v>0</v>
      </c>
      <c r="M41" s="505">
        <f t="shared" si="1"/>
        <v>0</v>
      </c>
      <c r="N41" s="505">
        <f t="shared" si="2"/>
        <v>0</v>
      </c>
      <c r="O41" s="505">
        <f t="shared" si="3"/>
        <v>0</v>
      </c>
      <c r="P41" s="38">
        <f t="shared" si="3"/>
        <v>0</v>
      </c>
    </row>
    <row r="42" spans="1:16" ht="23.1" customHeight="1" x14ac:dyDescent="0.25">
      <c r="A42" s="1112">
        <v>34</v>
      </c>
      <c r="B42" s="35">
        <f>dtsiswa!D40</f>
        <v>0</v>
      </c>
      <c r="C42" s="36"/>
      <c r="D42" s="881"/>
      <c r="E42" s="881"/>
      <c r="F42" s="881"/>
      <c r="G42" s="881"/>
      <c r="H42" s="881"/>
      <c r="I42" s="881"/>
      <c r="J42" s="881"/>
      <c r="K42" s="881"/>
      <c r="L42" s="504">
        <f t="shared" si="0"/>
        <v>0</v>
      </c>
      <c r="M42" s="505">
        <f t="shared" si="1"/>
        <v>0</v>
      </c>
      <c r="N42" s="505">
        <f t="shared" si="2"/>
        <v>0</v>
      </c>
      <c r="O42" s="505">
        <f t="shared" si="3"/>
        <v>0</v>
      </c>
      <c r="P42" s="38">
        <f t="shared" si="3"/>
        <v>0</v>
      </c>
    </row>
    <row r="43" spans="1:16" ht="23.1" customHeight="1" x14ac:dyDescent="0.25">
      <c r="A43" s="34">
        <v>35</v>
      </c>
      <c r="B43" s="35">
        <f>dtsiswa!D41</f>
        <v>0</v>
      </c>
      <c r="C43" s="36"/>
      <c r="D43" s="881"/>
      <c r="E43" s="881"/>
      <c r="F43" s="881"/>
      <c r="G43" s="881"/>
      <c r="H43" s="881"/>
      <c r="I43" s="881"/>
      <c r="J43" s="881"/>
      <c r="K43" s="881"/>
      <c r="L43" s="504">
        <f t="shared" si="0"/>
        <v>0</v>
      </c>
      <c r="M43" s="505">
        <f t="shared" si="1"/>
        <v>0</v>
      </c>
      <c r="N43" s="505">
        <f t="shared" si="2"/>
        <v>0</v>
      </c>
      <c r="O43" s="505">
        <f t="shared" si="3"/>
        <v>0</v>
      </c>
      <c r="P43" s="38">
        <f t="shared" si="3"/>
        <v>0</v>
      </c>
    </row>
    <row r="44" spans="1:16" ht="23.1" customHeight="1" x14ac:dyDescent="0.25">
      <c r="A44" s="1112">
        <v>36</v>
      </c>
      <c r="B44" s="35">
        <f>dtsiswa!D42</f>
        <v>0</v>
      </c>
      <c r="C44" s="36"/>
      <c r="D44" s="1112"/>
      <c r="E44" s="1112"/>
      <c r="F44" s="1112"/>
      <c r="G44" s="1112"/>
      <c r="H44" s="1112"/>
      <c r="I44" s="1112"/>
      <c r="J44" s="1112"/>
      <c r="K44" s="1112"/>
      <c r="L44" s="504">
        <f t="shared" ref="L44:L48" si="4">SUM(D44:K44)*100/11</f>
        <v>0</v>
      </c>
      <c r="M44" s="505">
        <f t="shared" ref="M44:M48" si="5">SUM(D44:H44)+J44</f>
        <v>0</v>
      </c>
      <c r="N44" s="505">
        <f t="shared" si="2"/>
        <v>0</v>
      </c>
      <c r="O44" s="505">
        <f t="shared" ref="O44:P48" si="6">K44</f>
        <v>0</v>
      </c>
      <c r="P44" s="38">
        <f t="shared" si="6"/>
        <v>0</v>
      </c>
    </row>
    <row r="45" spans="1:16" ht="23.1" customHeight="1" x14ac:dyDescent="0.25">
      <c r="A45" s="34">
        <v>37</v>
      </c>
      <c r="B45" s="35">
        <f>dtsiswa!D43</f>
        <v>0</v>
      </c>
      <c r="C45" s="36"/>
      <c r="D45" s="1112"/>
      <c r="E45" s="1112"/>
      <c r="F45" s="1112"/>
      <c r="G45" s="1112"/>
      <c r="H45" s="1112"/>
      <c r="I45" s="1112"/>
      <c r="J45" s="1112"/>
      <c r="K45" s="1112"/>
      <c r="L45" s="504">
        <f t="shared" si="4"/>
        <v>0</v>
      </c>
      <c r="M45" s="505">
        <f t="shared" si="5"/>
        <v>0</v>
      </c>
      <c r="N45" s="505">
        <f t="shared" si="2"/>
        <v>0</v>
      </c>
      <c r="O45" s="505">
        <f t="shared" si="6"/>
        <v>0</v>
      </c>
      <c r="P45" s="38">
        <f t="shared" si="6"/>
        <v>0</v>
      </c>
    </row>
    <row r="46" spans="1:16" ht="23.1" customHeight="1" x14ac:dyDescent="0.25">
      <c r="A46" s="1112">
        <v>38</v>
      </c>
      <c r="B46" s="35">
        <f>dtsiswa!D44</f>
        <v>0</v>
      </c>
      <c r="C46" s="36"/>
      <c r="D46" s="1112"/>
      <c r="E46" s="1112"/>
      <c r="F46" s="1112"/>
      <c r="G46" s="1112"/>
      <c r="H46" s="1112"/>
      <c r="I46" s="1112"/>
      <c r="J46" s="1112"/>
      <c r="K46" s="1112"/>
      <c r="L46" s="504">
        <f t="shared" si="4"/>
        <v>0</v>
      </c>
      <c r="M46" s="505">
        <f t="shared" si="5"/>
        <v>0</v>
      </c>
      <c r="N46" s="505">
        <f t="shared" si="2"/>
        <v>0</v>
      </c>
      <c r="O46" s="505">
        <f t="shared" si="6"/>
        <v>0</v>
      </c>
      <c r="P46" s="38">
        <f t="shared" si="6"/>
        <v>0</v>
      </c>
    </row>
    <row r="47" spans="1:16" ht="23.1" customHeight="1" x14ac:dyDescent="0.25">
      <c r="A47" s="34">
        <v>39</v>
      </c>
      <c r="B47" s="35">
        <f>dtsiswa!D45</f>
        <v>0</v>
      </c>
      <c r="C47" s="36"/>
      <c r="D47" s="1112"/>
      <c r="E47" s="1112"/>
      <c r="F47" s="1112"/>
      <c r="G47" s="1112"/>
      <c r="H47" s="1112"/>
      <c r="I47" s="1112"/>
      <c r="J47" s="1112"/>
      <c r="K47" s="1112"/>
      <c r="L47" s="504">
        <f t="shared" si="4"/>
        <v>0</v>
      </c>
      <c r="M47" s="505">
        <f t="shared" si="5"/>
        <v>0</v>
      </c>
      <c r="N47" s="505">
        <f t="shared" si="2"/>
        <v>0</v>
      </c>
      <c r="O47" s="505">
        <f t="shared" si="6"/>
        <v>0</v>
      </c>
      <c r="P47" s="38">
        <f t="shared" si="6"/>
        <v>0</v>
      </c>
    </row>
    <row r="48" spans="1:16" ht="23.1" customHeight="1" x14ac:dyDescent="0.25">
      <c r="A48" s="1112">
        <v>40</v>
      </c>
      <c r="B48" s="35">
        <f>dtsiswa!D46</f>
        <v>0</v>
      </c>
      <c r="C48" s="36"/>
      <c r="D48" s="1112"/>
      <c r="E48" s="1112"/>
      <c r="F48" s="1112"/>
      <c r="G48" s="1112"/>
      <c r="H48" s="1112"/>
      <c r="I48" s="1112"/>
      <c r="J48" s="1112"/>
      <c r="K48" s="1112"/>
      <c r="L48" s="504">
        <f t="shared" si="4"/>
        <v>0</v>
      </c>
      <c r="M48" s="505">
        <f t="shared" si="5"/>
        <v>0</v>
      </c>
      <c r="N48" s="505">
        <f t="shared" si="2"/>
        <v>0</v>
      </c>
      <c r="O48" s="505">
        <f t="shared" si="6"/>
        <v>0</v>
      </c>
      <c r="P48" s="38">
        <f t="shared" si="6"/>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00B0F0"/>
  </sheetPr>
  <dimension ref="A1:P48"/>
  <sheetViews>
    <sheetView showGridLines="0" workbookViewId="0">
      <pane xSplit="2" ySplit="8" topLeftCell="C40"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7"/>
      <c r="B1" s="3258"/>
      <c r="C1" s="3258"/>
      <c r="D1" s="3258"/>
      <c r="E1" s="3258"/>
      <c r="F1" s="3258"/>
      <c r="G1" s="3258"/>
      <c r="H1" s="3258"/>
      <c r="I1" s="3258"/>
      <c r="J1" s="3258"/>
      <c r="K1" s="3258"/>
      <c r="L1" s="3258"/>
      <c r="M1" s="3258"/>
      <c r="N1" s="3258"/>
      <c r="O1" s="3258"/>
      <c r="P1" s="3258"/>
    </row>
    <row r="2" spans="1:16" ht="19.5" customHeight="1" x14ac:dyDescent="0.25">
      <c r="A2" s="3259"/>
      <c r="B2" s="3260"/>
      <c r="C2" s="3260"/>
      <c r="D2" s="3260"/>
      <c r="E2" s="3260"/>
      <c r="F2" s="3260"/>
      <c r="G2" s="3260"/>
      <c r="H2" s="3260"/>
      <c r="I2" s="3260"/>
      <c r="J2" s="3260"/>
      <c r="K2" s="3260"/>
      <c r="L2" s="3260"/>
      <c r="M2" s="3260"/>
      <c r="N2" s="3260"/>
      <c r="O2" s="3260"/>
      <c r="P2" s="3260"/>
    </row>
    <row r="3" spans="1:16" ht="21" x14ac:dyDescent="0.35">
      <c r="A3" s="544" t="s">
        <v>692</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882" customFormat="1" ht="20.25" customHeight="1" x14ac:dyDescent="0.25">
      <c r="A6" s="3231" t="s">
        <v>0</v>
      </c>
      <c r="B6" s="3231" t="s">
        <v>28</v>
      </c>
      <c r="C6" s="3231" t="s">
        <v>3</v>
      </c>
      <c r="D6" s="3233" t="s">
        <v>20</v>
      </c>
      <c r="E6" s="3234"/>
      <c r="F6" s="3234"/>
      <c r="G6" s="3234"/>
      <c r="H6" s="3234"/>
      <c r="I6" s="3234"/>
      <c r="J6" s="3234"/>
      <c r="K6" s="3235"/>
      <c r="L6" s="3130" t="s">
        <v>159</v>
      </c>
      <c r="M6" s="3232" t="s">
        <v>29</v>
      </c>
      <c r="N6" s="3232" t="s">
        <v>30</v>
      </c>
      <c r="O6" s="3232" t="s">
        <v>31</v>
      </c>
      <c r="P6" s="3149" t="s">
        <v>32</v>
      </c>
    </row>
    <row r="7" spans="1:16" s="882" customFormat="1" ht="20.25" customHeight="1" x14ac:dyDescent="0.25">
      <c r="A7" s="3231"/>
      <c r="B7" s="3231"/>
      <c r="C7" s="3231"/>
      <c r="D7" s="31" t="s">
        <v>29</v>
      </c>
      <c r="E7" s="31" t="s">
        <v>29</v>
      </c>
      <c r="F7" s="31" t="s">
        <v>29</v>
      </c>
      <c r="G7" s="31" t="s">
        <v>29</v>
      </c>
      <c r="H7" s="31" t="s">
        <v>29</v>
      </c>
      <c r="I7" s="31" t="s">
        <v>29</v>
      </c>
      <c r="J7" s="546"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0</v>
      </c>
      <c r="F9" s="200">
        <v>1</v>
      </c>
      <c r="G9" s="200">
        <v>1</v>
      </c>
      <c r="H9" s="200">
        <v>1</v>
      </c>
      <c r="I9" s="200">
        <v>2</v>
      </c>
      <c r="J9" s="200">
        <v>0</v>
      </c>
      <c r="K9" s="200">
        <v>3</v>
      </c>
      <c r="L9" s="504">
        <f>SUM(D9:K9)*100/11</f>
        <v>81.818181818181813</v>
      </c>
      <c r="M9" s="505">
        <f>SUM(D9:H9)+J9</f>
        <v>4</v>
      </c>
      <c r="N9" s="505">
        <f>I9</f>
        <v>2</v>
      </c>
      <c r="O9" s="505">
        <f>K9</f>
        <v>3</v>
      </c>
      <c r="P9" s="38">
        <f>L9</f>
        <v>81.818181818181813</v>
      </c>
    </row>
    <row r="10" spans="1:16" ht="20.100000000000001" customHeight="1" x14ac:dyDescent="0.25">
      <c r="A10" s="881">
        <v>2</v>
      </c>
      <c r="B10" s="35" t="str">
        <f>dtsiswa!D8</f>
        <v>Angelia Vabel R</v>
      </c>
      <c r="C10" s="36" t="s">
        <v>4</v>
      </c>
      <c r="D10" s="200"/>
      <c r="E10" s="200"/>
      <c r="F10" s="200"/>
      <c r="G10" s="200"/>
      <c r="H10" s="200"/>
      <c r="I10" s="200"/>
      <c r="J10" s="200"/>
      <c r="K10" s="200"/>
      <c r="L10" s="504">
        <f t="shared" ref="L10:L43" si="0">SUM(D10:K10)*100/11</f>
        <v>0</v>
      </c>
      <c r="M10" s="505">
        <f t="shared" ref="M10:M43" si="1">SUM(D10:H10)+J10</f>
        <v>0</v>
      </c>
      <c r="N10" s="505">
        <f t="shared" ref="N10:N48" si="2">I10</f>
        <v>0</v>
      </c>
      <c r="O10" s="505">
        <f t="shared" ref="O10:P43" si="3">K10</f>
        <v>0</v>
      </c>
      <c r="P10" s="38">
        <f t="shared" si="3"/>
        <v>0</v>
      </c>
    </row>
    <row r="11" spans="1:16" ht="20.100000000000001" customHeight="1" x14ac:dyDescent="0.25">
      <c r="A11" s="34">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3"/>
        <v>0</v>
      </c>
    </row>
    <row r="12" spans="1:16" ht="20.100000000000001" customHeight="1" x14ac:dyDescent="0.25">
      <c r="A12" s="1112">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3"/>
        <v>0</v>
      </c>
    </row>
    <row r="13" spans="1:16" ht="20.100000000000001" customHeight="1" x14ac:dyDescent="0.25">
      <c r="A13" s="34">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3"/>
        <v>0</v>
      </c>
    </row>
    <row r="14" spans="1:16" ht="20.100000000000001" customHeight="1" x14ac:dyDescent="0.25">
      <c r="A14" s="1112">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3"/>
        <v>0</v>
      </c>
    </row>
    <row r="15" spans="1:16" ht="20.100000000000001" customHeight="1" x14ac:dyDescent="0.25">
      <c r="A15" s="34">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3"/>
        <v>0</v>
      </c>
    </row>
    <row r="16" spans="1:16" ht="20.100000000000001" customHeight="1" x14ac:dyDescent="0.25">
      <c r="A16" s="1112">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3"/>
        <v>0</v>
      </c>
    </row>
    <row r="17" spans="1:16" ht="20.100000000000001" customHeight="1" x14ac:dyDescent="0.25">
      <c r="A17" s="34">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3"/>
        <v>0</v>
      </c>
    </row>
    <row r="18" spans="1:16" ht="20.100000000000001" customHeight="1" x14ac:dyDescent="0.25">
      <c r="A18" s="1112">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3"/>
        <v>0</v>
      </c>
    </row>
    <row r="19" spans="1:16" ht="20.100000000000001" customHeight="1" x14ac:dyDescent="0.25">
      <c r="A19" s="34">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3"/>
        <v>0</v>
      </c>
    </row>
    <row r="20" spans="1:16" ht="20.100000000000001" customHeight="1" x14ac:dyDescent="0.25">
      <c r="A20" s="1112">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3"/>
        <v>0</v>
      </c>
    </row>
    <row r="21" spans="1:16" ht="20.100000000000001" customHeight="1" x14ac:dyDescent="0.25">
      <c r="A21" s="34">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3"/>
        <v>0</v>
      </c>
    </row>
    <row r="22" spans="1:16" ht="20.100000000000001" customHeight="1" x14ac:dyDescent="0.25">
      <c r="A22" s="1112">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3"/>
        <v>0</v>
      </c>
    </row>
    <row r="23" spans="1:16" ht="20.100000000000001" customHeight="1" x14ac:dyDescent="0.25">
      <c r="A23" s="34">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3"/>
        <v>0</v>
      </c>
    </row>
    <row r="24" spans="1:16" ht="20.100000000000001" customHeight="1" x14ac:dyDescent="0.25">
      <c r="A24" s="1112">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3"/>
        <v>0</v>
      </c>
    </row>
    <row r="25" spans="1:16" ht="20.100000000000001" customHeight="1" x14ac:dyDescent="0.25">
      <c r="A25" s="34">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3"/>
        <v>0</v>
      </c>
    </row>
    <row r="26" spans="1:16" ht="20.100000000000001" customHeight="1" x14ac:dyDescent="0.25">
      <c r="A26" s="1112">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3"/>
        <v>0</v>
      </c>
    </row>
    <row r="27" spans="1:16" ht="20.100000000000001" customHeight="1" x14ac:dyDescent="0.25">
      <c r="A27" s="34">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3"/>
        <v>0</v>
      </c>
    </row>
    <row r="28" spans="1:16" ht="20.100000000000001" customHeight="1" x14ac:dyDescent="0.25">
      <c r="A28" s="1112">
        <v>20</v>
      </c>
      <c r="B28" s="35" t="str">
        <f>dtsiswa!D26</f>
        <v>Roby Ardiyansyah</v>
      </c>
      <c r="C28" s="36" t="s">
        <v>5</v>
      </c>
      <c r="D28" s="881"/>
      <c r="E28" s="881"/>
      <c r="F28" s="881"/>
      <c r="G28" s="881"/>
      <c r="H28" s="881"/>
      <c r="I28" s="881"/>
      <c r="J28" s="881"/>
      <c r="K28" s="881"/>
      <c r="L28" s="504">
        <f t="shared" si="0"/>
        <v>0</v>
      </c>
      <c r="M28" s="505">
        <f t="shared" si="1"/>
        <v>0</v>
      </c>
      <c r="N28" s="505">
        <f t="shared" si="2"/>
        <v>0</v>
      </c>
      <c r="O28" s="505">
        <f t="shared" si="3"/>
        <v>0</v>
      </c>
      <c r="P28" s="38">
        <f t="shared" si="3"/>
        <v>0</v>
      </c>
    </row>
    <row r="29" spans="1:16" ht="20.100000000000001" customHeight="1" x14ac:dyDescent="0.25">
      <c r="A29" s="34">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3"/>
        <v>0</v>
      </c>
    </row>
    <row r="30" spans="1:16" ht="20.100000000000001" customHeight="1" x14ac:dyDescent="0.25">
      <c r="A30" s="1112">
        <v>22</v>
      </c>
      <c r="B30" s="35" t="str">
        <f>dtsiswa!D28</f>
        <v>Sally Savista A</v>
      </c>
      <c r="C30" s="45" t="s">
        <v>4</v>
      </c>
      <c r="D30" s="881"/>
      <c r="E30" s="881"/>
      <c r="F30" s="881"/>
      <c r="G30" s="881"/>
      <c r="H30" s="881"/>
      <c r="I30" s="881"/>
      <c r="J30" s="881"/>
      <c r="K30" s="881"/>
      <c r="L30" s="504">
        <f t="shared" si="0"/>
        <v>0</v>
      </c>
      <c r="M30" s="505">
        <f t="shared" si="1"/>
        <v>0</v>
      </c>
      <c r="N30" s="505">
        <f t="shared" si="2"/>
        <v>0</v>
      </c>
      <c r="O30" s="505">
        <f t="shared" si="3"/>
        <v>0</v>
      </c>
      <c r="P30" s="38">
        <f t="shared" si="3"/>
        <v>0</v>
      </c>
    </row>
    <row r="31" spans="1:16" ht="20.100000000000001" customHeight="1" x14ac:dyDescent="0.25">
      <c r="A31" s="34">
        <v>23</v>
      </c>
      <c r="B31" s="35" t="str">
        <f>dtsiswa!D29</f>
        <v xml:space="preserve">Tania Kaori Angelita </v>
      </c>
      <c r="C31" s="45" t="s">
        <v>5</v>
      </c>
      <c r="D31" s="881"/>
      <c r="E31" s="881"/>
      <c r="F31" s="881"/>
      <c r="G31" s="881"/>
      <c r="H31" s="881"/>
      <c r="I31" s="881"/>
      <c r="J31" s="881"/>
      <c r="K31" s="881"/>
      <c r="L31" s="504">
        <f t="shared" si="0"/>
        <v>0</v>
      </c>
      <c r="M31" s="505">
        <f t="shared" si="1"/>
        <v>0</v>
      </c>
      <c r="N31" s="505">
        <f t="shared" si="2"/>
        <v>0</v>
      </c>
      <c r="O31" s="505">
        <f t="shared" si="3"/>
        <v>0</v>
      </c>
      <c r="P31" s="38">
        <f t="shared" si="3"/>
        <v>0</v>
      </c>
    </row>
    <row r="32" spans="1:16" ht="20.100000000000001" customHeight="1" x14ac:dyDescent="0.25">
      <c r="A32" s="1112">
        <v>24</v>
      </c>
      <c r="B32" s="35" t="str">
        <f>dtsiswa!D30</f>
        <v>Romzy Oka Ramadhani P</v>
      </c>
      <c r="C32" s="45" t="s">
        <v>5</v>
      </c>
      <c r="D32" s="881"/>
      <c r="E32" s="881"/>
      <c r="F32" s="881"/>
      <c r="G32" s="881"/>
      <c r="H32" s="881"/>
      <c r="I32" s="881"/>
      <c r="J32" s="881"/>
      <c r="K32" s="881"/>
      <c r="L32" s="504">
        <f t="shared" si="0"/>
        <v>0</v>
      </c>
      <c r="M32" s="505">
        <f t="shared" si="1"/>
        <v>0</v>
      </c>
      <c r="N32" s="505">
        <f t="shared" si="2"/>
        <v>0</v>
      </c>
      <c r="O32" s="505">
        <f t="shared" si="3"/>
        <v>0</v>
      </c>
      <c r="P32" s="38">
        <f t="shared" si="3"/>
        <v>0</v>
      </c>
    </row>
    <row r="33" spans="1:16" ht="20.100000000000001" customHeight="1" x14ac:dyDescent="0.25">
      <c r="A33" s="34">
        <v>25</v>
      </c>
      <c r="B33" s="35" t="str">
        <f>dtsiswa!D31</f>
        <v>Larasati Jagadhita P</v>
      </c>
      <c r="C33" s="36" t="s">
        <v>4</v>
      </c>
      <c r="D33" s="881"/>
      <c r="E33" s="881"/>
      <c r="F33" s="881"/>
      <c r="G33" s="881"/>
      <c r="H33" s="881"/>
      <c r="I33" s="881"/>
      <c r="J33" s="881"/>
      <c r="K33" s="881"/>
      <c r="L33" s="504">
        <f t="shared" si="0"/>
        <v>0</v>
      </c>
      <c r="M33" s="505">
        <f t="shared" si="1"/>
        <v>0</v>
      </c>
      <c r="N33" s="505">
        <f t="shared" si="2"/>
        <v>0</v>
      </c>
      <c r="O33" s="505">
        <f t="shared" si="3"/>
        <v>0</v>
      </c>
      <c r="P33" s="38">
        <f t="shared" si="3"/>
        <v>0</v>
      </c>
    </row>
    <row r="34" spans="1:16" ht="20.100000000000001" customHeight="1" x14ac:dyDescent="0.25">
      <c r="A34" s="1112">
        <v>26</v>
      </c>
      <c r="B34" s="35" t="str">
        <f>dtsiswa!D32</f>
        <v>Meliana Citra A</v>
      </c>
      <c r="C34" s="36" t="s">
        <v>5</v>
      </c>
      <c r="D34" s="881"/>
      <c r="E34" s="881"/>
      <c r="F34" s="881"/>
      <c r="G34" s="881"/>
      <c r="H34" s="881"/>
      <c r="I34" s="881"/>
      <c r="J34" s="881"/>
      <c r="K34" s="881"/>
      <c r="L34" s="504">
        <f t="shared" si="0"/>
        <v>0</v>
      </c>
      <c r="M34" s="505">
        <f t="shared" si="1"/>
        <v>0</v>
      </c>
      <c r="N34" s="505">
        <f t="shared" si="2"/>
        <v>0</v>
      </c>
      <c r="O34" s="505">
        <f t="shared" si="3"/>
        <v>0</v>
      </c>
      <c r="P34" s="38">
        <f t="shared" si="3"/>
        <v>0</v>
      </c>
    </row>
    <row r="35" spans="1:16" ht="20.100000000000001" customHeight="1" x14ac:dyDescent="0.25">
      <c r="A35" s="34">
        <v>27</v>
      </c>
      <c r="B35" s="35" t="str">
        <f>dtsiswa!D33</f>
        <v>Mohammad Rizky</v>
      </c>
      <c r="C35" s="36" t="s">
        <v>4</v>
      </c>
      <c r="D35" s="881"/>
      <c r="E35" s="881"/>
      <c r="F35" s="881"/>
      <c r="G35" s="881"/>
      <c r="H35" s="881"/>
      <c r="I35" s="881"/>
      <c r="J35" s="881"/>
      <c r="K35" s="881"/>
      <c r="L35" s="504">
        <f t="shared" si="0"/>
        <v>0</v>
      </c>
      <c r="M35" s="505">
        <f t="shared" si="1"/>
        <v>0</v>
      </c>
      <c r="N35" s="505">
        <f t="shared" si="2"/>
        <v>0</v>
      </c>
      <c r="O35" s="505">
        <f t="shared" si="3"/>
        <v>0</v>
      </c>
      <c r="P35" s="38">
        <f t="shared" si="3"/>
        <v>0</v>
      </c>
    </row>
    <row r="36" spans="1:16" ht="20.100000000000001" customHeight="1" x14ac:dyDescent="0.25">
      <c r="A36" s="1112">
        <v>28</v>
      </c>
      <c r="B36" s="35">
        <f>dtsiswa!D34</f>
        <v>0</v>
      </c>
      <c r="C36" s="36" t="s">
        <v>4</v>
      </c>
      <c r="D36" s="881"/>
      <c r="E36" s="881"/>
      <c r="F36" s="881"/>
      <c r="G36" s="881"/>
      <c r="H36" s="881"/>
      <c r="I36" s="881"/>
      <c r="J36" s="881"/>
      <c r="K36" s="881"/>
      <c r="L36" s="504">
        <f t="shared" si="0"/>
        <v>0</v>
      </c>
      <c r="M36" s="505">
        <f t="shared" si="1"/>
        <v>0</v>
      </c>
      <c r="N36" s="505">
        <f t="shared" si="2"/>
        <v>0</v>
      </c>
      <c r="O36" s="505">
        <f t="shared" si="3"/>
        <v>0</v>
      </c>
      <c r="P36" s="38">
        <f t="shared" si="3"/>
        <v>0</v>
      </c>
    </row>
    <row r="37" spans="1:16" ht="20.100000000000001" customHeight="1" x14ac:dyDescent="0.25">
      <c r="A37" s="34">
        <v>29</v>
      </c>
      <c r="B37" s="35">
        <f>dtsiswa!D35</f>
        <v>0</v>
      </c>
      <c r="C37" s="36" t="s">
        <v>4</v>
      </c>
      <c r="D37" s="881"/>
      <c r="E37" s="881"/>
      <c r="F37" s="881"/>
      <c r="G37" s="881"/>
      <c r="H37" s="881"/>
      <c r="I37" s="881"/>
      <c r="J37" s="881"/>
      <c r="K37" s="881"/>
      <c r="L37" s="504">
        <f t="shared" si="0"/>
        <v>0</v>
      </c>
      <c r="M37" s="505">
        <f t="shared" si="1"/>
        <v>0</v>
      </c>
      <c r="N37" s="505">
        <f t="shared" si="2"/>
        <v>0</v>
      </c>
      <c r="O37" s="505">
        <f t="shared" si="3"/>
        <v>0</v>
      </c>
      <c r="P37" s="38">
        <f t="shared" si="3"/>
        <v>0</v>
      </c>
    </row>
    <row r="38" spans="1:16" ht="20.100000000000001" customHeight="1" x14ac:dyDescent="0.25">
      <c r="A38" s="1112">
        <v>30</v>
      </c>
      <c r="B38" s="35">
        <f>dtsiswa!D36</f>
        <v>0</v>
      </c>
      <c r="C38" s="36" t="s">
        <v>5</v>
      </c>
      <c r="D38" s="881"/>
      <c r="E38" s="881"/>
      <c r="F38" s="881"/>
      <c r="G38" s="881"/>
      <c r="H38" s="881"/>
      <c r="I38" s="881"/>
      <c r="J38" s="881"/>
      <c r="K38" s="881"/>
      <c r="L38" s="504">
        <f t="shared" si="0"/>
        <v>0</v>
      </c>
      <c r="M38" s="505">
        <f t="shared" si="1"/>
        <v>0</v>
      </c>
      <c r="N38" s="505">
        <f t="shared" si="2"/>
        <v>0</v>
      </c>
      <c r="O38" s="505">
        <f t="shared" si="3"/>
        <v>0</v>
      </c>
      <c r="P38" s="38">
        <f t="shared" si="3"/>
        <v>0</v>
      </c>
    </row>
    <row r="39" spans="1:16" ht="20.100000000000001" customHeight="1" x14ac:dyDescent="0.25">
      <c r="A39" s="34">
        <v>31</v>
      </c>
      <c r="B39" s="35">
        <f>dtsiswa!D37</f>
        <v>0</v>
      </c>
      <c r="C39" s="36" t="s">
        <v>5</v>
      </c>
      <c r="D39" s="881"/>
      <c r="E39" s="881"/>
      <c r="F39" s="881"/>
      <c r="G39" s="881"/>
      <c r="H39" s="881"/>
      <c r="I39" s="881"/>
      <c r="J39" s="881"/>
      <c r="K39" s="881"/>
      <c r="L39" s="504">
        <f t="shared" si="0"/>
        <v>0</v>
      </c>
      <c r="M39" s="505">
        <f t="shared" si="1"/>
        <v>0</v>
      </c>
      <c r="N39" s="505">
        <f t="shared" si="2"/>
        <v>0</v>
      </c>
      <c r="O39" s="505">
        <f t="shared" si="3"/>
        <v>0</v>
      </c>
      <c r="P39" s="38">
        <f t="shared" si="3"/>
        <v>0</v>
      </c>
    </row>
    <row r="40" spans="1:16" ht="20.100000000000001" customHeight="1" x14ac:dyDescent="0.25">
      <c r="A40" s="1112">
        <v>32</v>
      </c>
      <c r="B40" s="35">
        <f>dtsiswa!D38</f>
        <v>0</v>
      </c>
      <c r="D40" s="881"/>
      <c r="E40" s="881"/>
      <c r="F40" s="881"/>
      <c r="G40" s="881"/>
      <c r="H40" s="881"/>
      <c r="I40" s="881"/>
      <c r="J40" s="881"/>
      <c r="K40" s="881"/>
      <c r="L40" s="504">
        <f t="shared" si="0"/>
        <v>0</v>
      </c>
      <c r="M40" s="505">
        <f t="shared" si="1"/>
        <v>0</v>
      </c>
      <c r="N40" s="505">
        <f t="shared" si="2"/>
        <v>0</v>
      </c>
      <c r="O40" s="505">
        <f t="shared" si="3"/>
        <v>0</v>
      </c>
      <c r="P40" s="38">
        <f t="shared" si="3"/>
        <v>0</v>
      </c>
    </row>
    <row r="41" spans="1:16" ht="20.100000000000001" customHeight="1" x14ac:dyDescent="0.25">
      <c r="A41" s="34">
        <v>33</v>
      </c>
      <c r="B41" s="35">
        <f>dtsiswa!D39</f>
        <v>0</v>
      </c>
      <c r="C41" s="36"/>
      <c r="D41" s="881"/>
      <c r="E41" s="881"/>
      <c r="F41" s="881"/>
      <c r="G41" s="881"/>
      <c r="H41" s="881"/>
      <c r="I41" s="881"/>
      <c r="J41" s="881"/>
      <c r="K41" s="881"/>
      <c r="L41" s="504">
        <f t="shared" si="0"/>
        <v>0</v>
      </c>
      <c r="M41" s="505">
        <f t="shared" si="1"/>
        <v>0</v>
      </c>
      <c r="N41" s="505">
        <f t="shared" si="2"/>
        <v>0</v>
      </c>
      <c r="O41" s="505">
        <f t="shared" si="3"/>
        <v>0</v>
      </c>
      <c r="P41" s="38">
        <f t="shared" si="3"/>
        <v>0</v>
      </c>
    </row>
    <row r="42" spans="1:16" ht="20.100000000000001" customHeight="1" x14ac:dyDescent="0.25">
      <c r="A42" s="1112">
        <v>34</v>
      </c>
      <c r="B42" s="35">
        <f>dtsiswa!D40</f>
        <v>0</v>
      </c>
      <c r="C42" s="36"/>
      <c r="D42" s="881"/>
      <c r="E42" s="881"/>
      <c r="F42" s="881"/>
      <c r="G42" s="881"/>
      <c r="H42" s="881"/>
      <c r="I42" s="881"/>
      <c r="J42" s="881"/>
      <c r="K42" s="881"/>
      <c r="L42" s="504">
        <f t="shared" si="0"/>
        <v>0</v>
      </c>
      <c r="M42" s="505">
        <f t="shared" si="1"/>
        <v>0</v>
      </c>
      <c r="N42" s="505">
        <f t="shared" si="2"/>
        <v>0</v>
      </c>
      <c r="O42" s="505">
        <f t="shared" si="3"/>
        <v>0</v>
      </c>
      <c r="P42" s="38">
        <f t="shared" si="3"/>
        <v>0</v>
      </c>
    </row>
    <row r="43" spans="1:16" ht="15.75" x14ac:dyDescent="0.25">
      <c r="A43" s="34">
        <v>35</v>
      </c>
      <c r="B43" s="35">
        <f>dtsiswa!D41</f>
        <v>0</v>
      </c>
      <c r="C43" s="36"/>
      <c r="D43" s="881"/>
      <c r="E43" s="881"/>
      <c r="F43" s="881"/>
      <c r="G43" s="881"/>
      <c r="H43" s="881"/>
      <c r="I43" s="881"/>
      <c r="J43" s="881"/>
      <c r="K43" s="881"/>
      <c r="L43" s="504">
        <f t="shared" si="0"/>
        <v>0</v>
      </c>
      <c r="M43" s="505">
        <f t="shared" si="1"/>
        <v>0</v>
      </c>
      <c r="N43" s="505">
        <f t="shared" si="2"/>
        <v>0</v>
      </c>
      <c r="O43" s="505">
        <f t="shared" si="3"/>
        <v>0</v>
      </c>
      <c r="P43" s="38">
        <f t="shared" si="3"/>
        <v>0</v>
      </c>
    </row>
    <row r="44" spans="1:16" ht="15.75" x14ac:dyDescent="0.25">
      <c r="A44" s="1112">
        <v>36</v>
      </c>
      <c r="B44" s="35">
        <f>dtsiswa!D42</f>
        <v>0</v>
      </c>
      <c r="C44" s="36"/>
      <c r="D44" s="1112"/>
      <c r="E44" s="1112"/>
      <c r="F44" s="1112"/>
      <c r="G44" s="1112"/>
      <c r="H44" s="1112"/>
      <c r="I44" s="1112"/>
      <c r="J44" s="1112"/>
      <c r="K44" s="1112"/>
      <c r="L44" s="504">
        <f t="shared" ref="L44:L48" si="4">SUM(D44:K44)*100/11</f>
        <v>0</v>
      </c>
      <c r="M44" s="505">
        <f t="shared" ref="M44:M48" si="5">SUM(D44:H44)+J44</f>
        <v>0</v>
      </c>
      <c r="N44" s="505">
        <f t="shared" si="2"/>
        <v>0</v>
      </c>
      <c r="O44" s="505">
        <f t="shared" ref="O44:P48" si="6">K44</f>
        <v>0</v>
      </c>
      <c r="P44" s="38">
        <f t="shared" si="6"/>
        <v>0</v>
      </c>
    </row>
    <row r="45" spans="1:16" ht="15.75" x14ac:dyDescent="0.25">
      <c r="A45" s="34">
        <v>37</v>
      </c>
      <c r="B45" s="35">
        <f>dtsiswa!D43</f>
        <v>0</v>
      </c>
      <c r="C45" s="36"/>
      <c r="D45" s="1112"/>
      <c r="E45" s="1112"/>
      <c r="F45" s="1112"/>
      <c r="G45" s="1112"/>
      <c r="H45" s="1112"/>
      <c r="I45" s="1112"/>
      <c r="J45" s="1112"/>
      <c r="K45" s="1112"/>
      <c r="L45" s="504">
        <f t="shared" si="4"/>
        <v>0</v>
      </c>
      <c r="M45" s="505">
        <f t="shared" si="5"/>
        <v>0</v>
      </c>
      <c r="N45" s="505">
        <f t="shared" si="2"/>
        <v>0</v>
      </c>
      <c r="O45" s="505">
        <f t="shared" si="6"/>
        <v>0</v>
      </c>
      <c r="P45" s="38">
        <f t="shared" si="6"/>
        <v>0</v>
      </c>
    </row>
    <row r="46" spans="1:16" ht="15.75" x14ac:dyDescent="0.25">
      <c r="A46" s="1112">
        <v>38</v>
      </c>
      <c r="B46" s="35">
        <f>dtsiswa!D44</f>
        <v>0</v>
      </c>
      <c r="C46" s="36"/>
      <c r="D46" s="1112"/>
      <c r="E46" s="1112"/>
      <c r="F46" s="1112"/>
      <c r="G46" s="1112"/>
      <c r="H46" s="1112"/>
      <c r="I46" s="1112"/>
      <c r="J46" s="1112"/>
      <c r="K46" s="1112"/>
      <c r="L46" s="504">
        <f t="shared" si="4"/>
        <v>0</v>
      </c>
      <c r="M46" s="505">
        <f t="shared" si="5"/>
        <v>0</v>
      </c>
      <c r="N46" s="505">
        <f t="shared" si="2"/>
        <v>0</v>
      </c>
      <c r="O46" s="505">
        <f t="shared" si="6"/>
        <v>0</v>
      </c>
      <c r="P46" s="38">
        <f t="shared" si="6"/>
        <v>0</v>
      </c>
    </row>
    <row r="47" spans="1:16" ht="15.75" x14ac:dyDescent="0.25">
      <c r="A47" s="34">
        <v>39</v>
      </c>
      <c r="B47" s="35">
        <f>dtsiswa!D45</f>
        <v>0</v>
      </c>
      <c r="C47" s="36"/>
      <c r="D47" s="1112"/>
      <c r="E47" s="1112"/>
      <c r="F47" s="1112"/>
      <c r="G47" s="1112"/>
      <c r="H47" s="1112"/>
      <c r="I47" s="1112"/>
      <c r="J47" s="1112"/>
      <c r="K47" s="1112"/>
      <c r="L47" s="504">
        <f t="shared" si="4"/>
        <v>0</v>
      </c>
      <c r="M47" s="505">
        <f t="shared" si="5"/>
        <v>0</v>
      </c>
      <c r="N47" s="505">
        <f t="shared" si="2"/>
        <v>0</v>
      </c>
      <c r="O47" s="505">
        <f t="shared" si="6"/>
        <v>0</v>
      </c>
      <c r="P47" s="38">
        <f t="shared" si="6"/>
        <v>0</v>
      </c>
    </row>
    <row r="48" spans="1:16" ht="15.75" x14ac:dyDescent="0.25">
      <c r="A48" s="1112">
        <v>40</v>
      </c>
      <c r="B48" s="35">
        <f>dtsiswa!D46</f>
        <v>0</v>
      </c>
      <c r="C48" s="36"/>
      <c r="D48" s="1112"/>
      <c r="E48" s="1112"/>
      <c r="F48" s="1112"/>
      <c r="G48" s="1112"/>
      <c r="H48" s="1112"/>
      <c r="I48" s="1112"/>
      <c r="J48" s="1112"/>
      <c r="K48" s="1112"/>
      <c r="L48" s="504">
        <f t="shared" si="4"/>
        <v>0</v>
      </c>
      <c r="M48" s="505">
        <f t="shared" si="5"/>
        <v>0</v>
      </c>
      <c r="N48" s="505">
        <f t="shared" si="2"/>
        <v>0</v>
      </c>
      <c r="O48" s="505">
        <f t="shared" si="6"/>
        <v>0</v>
      </c>
      <c r="P48" s="38">
        <f t="shared" si="6"/>
        <v>0</v>
      </c>
    </row>
  </sheetData>
  <mergeCells count="11">
    <mergeCell ref="A1:P1"/>
    <mergeCell ref="A2:P2"/>
    <mergeCell ref="A6:A8"/>
    <mergeCell ref="B6:B8"/>
    <mergeCell ref="C6:C8"/>
    <mergeCell ref="L6:L8"/>
    <mergeCell ref="M6:M8"/>
    <mergeCell ref="N6:N8"/>
    <mergeCell ref="O6:O8"/>
    <mergeCell ref="P6:P8"/>
    <mergeCell ref="D6:K6"/>
  </mergeCells>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66FF33"/>
  </sheetPr>
  <dimension ref="A1:P48"/>
  <sheetViews>
    <sheetView showGridLines="0" workbookViewId="0">
      <pane xSplit="2" ySplit="8" topLeftCell="C38"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7"/>
      <c r="B1" s="3258"/>
      <c r="C1" s="3258"/>
      <c r="D1" s="3258"/>
      <c r="E1" s="3258"/>
      <c r="F1" s="3258"/>
      <c r="G1" s="3258"/>
      <c r="H1" s="3258"/>
      <c r="I1" s="3258"/>
      <c r="J1" s="3258"/>
      <c r="K1" s="3258"/>
      <c r="L1" s="3258"/>
      <c r="M1" s="3258"/>
      <c r="N1" s="3258"/>
      <c r="O1" s="3258"/>
      <c r="P1" s="3258"/>
    </row>
    <row r="2" spans="1:16" ht="19.5" customHeight="1" x14ac:dyDescent="0.25">
      <c r="A2" s="3259"/>
      <c r="B2" s="3260"/>
      <c r="C2" s="3260"/>
      <c r="D2" s="3260"/>
      <c r="E2" s="3260"/>
      <c r="F2" s="3260"/>
      <c r="G2" s="3260"/>
      <c r="H2" s="3260"/>
      <c r="I2" s="3260"/>
      <c r="J2" s="3260"/>
      <c r="K2" s="3260"/>
      <c r="L2" s="3260"/>
      <c r="M2" s="3260"/>
      <c r="N2" s="3260"/>
      <c r="O2" s="3260"/>
      <c r="P2" s="3260"/>
    </row>
    <row r="3" spans="1:16" ht="21" x14ac:dyDescent="0.35">
      <c r="A3" s="544" t="s">
        <v>577</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907" customFormat="1" ht="20.25" customHeight="1" x14ac:dyDescent="0.25">
      <c r="A6" s="3231" t="s">
        <v>0</v>
      </c>
      <c r="B6" s="3231" t="s">
        <v>28</v>
      </c>
      <c r="C6" s="3231" t="s">
        <v>3</v>
      </c>
      <c r="D6" s="3233" t="s">
        <v>18</v>
      </c>
      <c r="E6" s="3234"/>
      <c r="F6" s="3234"/>
      <c r="G6" s="3234"/>
      <c r="H6" s="3234"/>
      <c r="I6" s="3234"/>
      <c r="J6" s="3234"/>
      <c r="K6" s="3235"/>
      <c r="L6" s="3130" t="s">
        <v>159</v>
      </c>
      <c r="M6" s="3232" t="s">
        <v>29</v>
      </c>
      <c r="N6" s="3232" t="s">
        <v>30</v>
      </c>
      <c r="O6" s="3232" t="s">
        <v>31</v>
      </c>
      <c r="P6" s="3149" t="s">
        <v>32</v>
      </c>
    </row>
    <row r="7" spans="1:16" s="907" customFormat="1" ht="20.25" customHeight="1" x14ac:dyDescent="0.25">
      <c r="A7" s="3231"/>
      <c r="B7" s="3231"/>
      <c r="C7" s="3231"/>
      <c r="D7" s="31" t="s">
        <v>29</v>
      </c>
      <c r="E7" s="31" t="s">
        <v>29</v>
      </c>
      <c r="F7" s="31" t="s">
        <v>29</v>
      </c>
      <c r="G7" s="31" t="s">
        <v>29</v>
      </c>
      <c r="H7" s="31" t="s">
        <v>29</v>
      </c>
      <c r="I7" s="31" t="s">
        <v>29</v>
      </c>
      <c r="J7" s="32" t="s">
        <v>212</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0</v>
      </c>
      <c r="F9" s="200">
        <v>1</v>
      </c>
      <c r="G9" s="200">
        <v>1</v>
      </c>
      <c r="H9" s="200">
        <v>1</v>
      </c>
      <c r="I9" s="200">
        <v>2</v>
      </c>
      <c r="J9" s="200">
        <v>0</v>
      </c>
      <c r="K9" s="200">
        <v>3</v>
      </c>
      <c r="L9" s="504">
        <f>SUM(D9:K9)*100/11</f>
        <v>81.818181818181813</v>
      </c>
      <c r="M9" s="505">
        <f>SUM(D9:I9)</f>
        <v>6</v>
      </c>
      <c r="N9" s="505">
        <f>J9</f>
        <v>0</v>
      </c>
      <c r="O9" s="505">
        <f>K9</f>
        <v>3</v>
      </c>
      <c r="P9" s="38">
        <f>L9</f>
        <v>81.818181818181813</v>
      </c>
    </row>
    <row r="10" spans="1:16" ht="20.100000000000001" customHeight="1" x14ac:dyDescent="0.25">
      <c r="A10" s="906">
        <v>2</v>
      </c>
      <c r="B10" s="35" t="str">
        <f>dtsiswa!D8</f>
        <v>Angelia Vabel R</v>
      </c>
      <c r="C10" s="36" t="s">
        <v>4</v>
      </c>
      <c r="D10" s="200"/>
      <c r="E10" s="200"/>
      <c r="F10" s="200"/>
      <c r="G10" s="200"/>
      <c r="H10" s="200"/>
      <c r="I10" s="200"/>
      <c r="J10" s="200"/>
      <c r="K10" s="200"/>
      <c r="L10" s="504">
        <f t="shared" ref="L10:L43" si="0">SUM(D10:K10)*100/11</f>
        <v>0</v>
      </c>
      <c r="M10" s="505">
        <f t="shared" ref="M10:M43" si="1">SUM(D10:I10)</f>
        <v>0</v>
      </c>
      <c r="N10" s="505">
        <f t="shared" ref="N10:N43" si="2">J10</f>
        <v>0</v>
      </c>
      <c r="O10" s="505">
        <f t="shared" ref="O10:O43" si="3">K10</f>
        <v>0</v>
      </c>
      <c r="P10" s="38">
        <f t="shared" ref="P10:P43" si="4">L10</f>
        <v>0</v>
      </c>
    </row>
    <row r="11" spans="1:16" ht="20.100000000000001" customHeight="1" x14ac:dyDescent="0.25">
      <c r="A11" s="906">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4"/>
        <v>0</v>
      </c>
    </row>
    <row r="12" spans="1:16" ht="20.100000000000001" customHeight="1" x14ac:dyDescent="0.25">
      <c r="A12" s="906">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4"/>
        <v>0</v>
      </c>
    </row>
    <row r="13" spans="1:16" ht="20.100000000000001" customHeight="1" x14ac:dyDescent="0.25">
      <c r="A13" s="906">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4"/>
        <v>0</v>
      </c>
    </row>
    <row r="14" spans="1:16" ht="20.100000000000001" customHeight="1" x14ac:dyDescent="0.25">
      <c r="A14" s="906">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4"/>
        <v>0</v>
      </c>
    </row>
    <row r="15" spans="1:16" ht="20.100000000000001" customHeight="1" x14ac:dyDescent="0.25">
      <c r="A15" s="906">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4"/>
        <v>0</v>
      </c>
    </row>
    <row r="16" spans="1:16" ht="20.100000000000001" customHeight="1" x14ac:dyDescent="0.25">
      <c r="A16" s="906">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4"/>
        <v>0</v>
      </c>
    </row>
    <row r="17" spans="1:16" ht="20.100000000000001" customHeight="1" x14ac:dyDescent="0.25">
      <c r="A17" s="906">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4"/>
        <v>0</v>
      </c>
    </row>
    <row r="18" spans="1:16" ht="20.100000000000001" customHeight="1" x14ac:dyDescent="0.25">
      <c r="A18" s="906">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4"/>
        <v>0</v>
      </c>
    </row>
    <row r="19" spans="1:16" ht="20.100000000000001" customHeight="1" x14ac:dyDescent="0.25">
      <c r="A19" s="906">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4"/>
        <v>0</v>
      </c>
    </row>
    <row r="20" spans="1:16" ht="20.100000000000001" customHeight="1" x14ac:dyDescent="0.25">
      <c r="A20" s="906">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4"/>
        <v>0</v>
      </c>
    </row>
    <row r="21" spans="1:16" ht="20.100000000000001" customHeight="1" x14ac:dyDescent="0.25">
      <c r="A21" s="906">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4"/>
        <v>0</v>
      </c>
    </row>
    <row r="22" spans="1:16" ht="20.100000000000001" customHeight="1" x14ac:dyDescent="0.25">
      <c r="A22" s="906">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4"/>
        <v>0</v>
      </c>
    </row>
    <row r="23" spans="1:16" ht="20.100000000000001" customHeight="1" x14ac:dyDescent="0.25">
      <c r="A23" s="906">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4"/>
        <v>0</v>
      </c>
    </row>
    <row r="24" spans="1:16" ht="20.100000000000001" customHeight="1" x14ac:dyDescent="0.25">
      <c r="A24" s="906">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4"/>
        <v>0</v>
      </c>
    </row>
    <row r="25" spans="1:16" ht="20.100000000000001" customHeight="1" x14ac:dyDescent="0.25">
      <c r="A25" s="906">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4"/>
        <v>0</v>
      </c>
    </row>
    <row r="26" spans="1:16" ht="20.100000000000001" customHeight="1" x14ac:dyDescent="0.25">
      <c r="A26" s="906">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4"/>
        <v>0</v>
      </c>
    </row>
    <row r="27" spans="1:16" ht="20.100000000000001" customHeight="1" x14ac:dyDescent="0.25">
      <c r="A27" s="906">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4"/>
        <v>0</v>
      </c>
    </row>
    <row r="28" spans="1:16" ht="20.100000000000001" customHeight="1" x14ac:dyDescent="0.25">
      <c r="A28" s="906">
        <v>20</v>
      </c>
      <c r="B28" s="35" t="str">
        <f>dtsiswa!D26</f>
        <v>Roby Ardiyansyah</v>
      </c>
      <c r="C28" s="36" t="s">
        <v>5</v>
      </c>
      <c r="D28" s="906"/>
      <c r="E28" s="906"/>
      <c r="F28" s="906"/>
      <c r="G28" s="906"/>
      <c r="H28" s="906"/>
      <c r="I28" s="906"/>
      <c r="J28" s="906"/>
      <c r="K28" s="906"/>
      <c r="L28" s="504">
        <f t="shared" si="0"/>
        <v>0</v>
      </c>
      <c r="M28" s="505">
        <f t="shared" si="1"/>
        <v>0</v>
      </c>
      <c r="N28" s="505">
        <f t="shared" si="2"/>
        <v>0</v>
      </c>
      <c r="O28" s="505">
        <f t="shared" si="3"/>
        <v>0</v>
      </c>
      <c r="P28" s="38">
        <f t="shared" si="4"/>
        <v>0</v>
      </c>
    </row>
    <row r="29" spans="1:16" ht="20.100000000000001" customHeight="1" x14ac:dyDescent="0.25">
      <c r="A29" s="906">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4"/>
        <v>0</v>
      </c>
    </row>
    <row r="30" spans="1:16" ht="20.100000000000001" customHeight="1" x14ac:dyDescent="0.25">
      <c r="A30" s="906">
        <v>22</v>
      </c>
      <c r="B30" s="35" t="str">
        <f>dtsiswa!D28</f>
        <v>Sally Savista A</v>
      </c>
      <c r="C30" s="45" t="s">
        <v>4</v>
      </c>
      <c r="D30" s="906"/>
      <c r="E30" s="906"/>
      <c r="F30" s="906"/>
      <c r="G30" s="906"/>
      <c r="H30" s="906"/>
      <c r="I30" s="906"/>
      <c r="J30" s="906"/>
      <c r="K30" s="906"/>
      <c r="L30" s="504">
        <f t="shared" si="0"/>
        <v>0</v>
      </c>
      <c r="M30" s="505">
        <f t="shared" si="1"/>
        <v>0</v>
      </c>
      <c r="N30" s="505">
        <f t="shared" si="2"/>
        <v>0</v>
      </c>
      <c r="O30" s="505">
        <f t="shared" si="3"/>
        <v>0</v>
      </c>
      <c r="P30" s="38">
        <f t="shared" si="4"/>
        <v>0</v>
      </c>
    </row>
    <row r="31" spans="1:16" ht="20.100000000000001" customHeight="1" x14ac:dyDescent="0.25">
      <c r="A31" s="906">
        <v>23</v>
      </c>
      <c r="B31" s="35" t="str">
        <f>dtsiswa!D29</f>
        <v xml:space="preserve">Tania Kaori Angelita </v>
      </c>
      <c r="C31" s="45" t="s">
        <v>5</v>
      </c>
      <c r="D31" s="906"/>
      <c r="E31" s="906"/>
      <c r="F31" s="906"/>
      <c r="G31" s="906"/>
      <c r="H31" s="906"/>
      <c r="I31" s="906"/>
      <c r="J31" s="906"/>
      <c r="K31" s="906"/>
      <c r="L31" s="504">
        <f t="shared" si="0"/>
        <v>0</v>
      </c>
      <c r="M31" s="505">
        <f t="shared" si="1"/>
        <v>0</v>
      </c>
      <c r="N31" s="505">
        <f t="shared" si="2"/>
        <v>0</v>
      </c>
      <c r="O31" s="505">
        <f t="shared" si="3"/>
        <v>0</v>
      </c>
      <c r="P31" s="38">
        <f t="shared" si="4"/>
        <v>0</v>
      </c>
    </row>
    <row r="32" spans="1:16" ht="20.100000000000001" customHeight="1" x14ac:dyDescent="0.25">
      <c r="A32" s="906">
        <v>24</v>
      </c>
      <c r="B32" s="35" t="str">
        <f>dtsiswa!D30</f>
        <v>Romzy Oka Ramadhani P</v>
      </c>
      <c r="C32" s="45" t="s">
        <v>5</v>
      </c>
      <c r="D32" s="906"/>
      <c r="E32" s="906"/>
      <c r="F32" s="906"/>
      <c r="G32" s="906"/>
      <c r="H32" s="906"/>
      <c r="I32" s="906"/>
      <c r="J32" s="906"/>
      <c r="K32" s="906"/>
      <c r="L32" s="504">
        <f t="shared" si="0"/>
        <v>0</v>
      </c>
      <c r="M32" s="505">
        <f t="shared" si="1"/>
        <v>0</v>
      </c>
      <c r="N32" s="505">
        <f t="shared" si="2"/>
        <v>0</v>
      </c>
      <c r="O32" s="505">
        <f t="shared" si="3"/>
        <v>0</v>
      </c>
      <c r="P32" s="38">
        <f t="shared" si="4"/>
        <v>0</v>
      </c>
    </row>
    <row r="33" spans="1:16" ht="20.100000000000001" customHeight="1" x14ac:dyDescent="0.25">
      <c r="A33" s="906">
        <v>25</v>
      </c>
      <c r="B33" s="35" t="str">
        <f>dtsiswa!D31</f>
        <v>Larasati Jagadhita P</v>
      </c>
      <c r="C33" s="36" t="s">
        <v>4</v>
      </c>
      <c r="D33" s="906"/>
      <c r="E33" s="906"/>
      <c r="F33" s="906"/>
      <c r="G33" s="906"/>
      <c r="H33" s="906"/>
      <c r="I33" s="906"/>
      <c r="J33" s="906"/>
      <c r="K33" s="906"/>
      <c r="L33" s="504">
        <f t="shared" si="0"/>
        <v>0</v>
      </c>
      <c r="M33" s="505">
        <f t="shared" si="1"/>
        <v>0</v>
      </c>
      <c r="N33" s="505">
        <f t="shared" si="2"/>
        <v>0</v>
      </c>
      <c r="O33" s="505">
        <f t="shared" si="3"/>
        <v>0</v>
      </c>
      <c r="P33" s="38">
        <f t="shared" si="4"/>
        <v>0</v>
      </c>
    </row>
    <row r="34" spans="1:16" ht="20.100000000000001" customHeight="1" x14ac:dyDescent="0.25">
      <c r="A34" s="906">
        <v>26</v>
      </c>
      <c r="B34" s="35" t="str">
        <f>dtsiswa!D32</f>
        <v>Meliana Citra A</v>
      </c>
      <c r="C34" s="36" t="s">
        <v>5</v>
      </c>
      <c r="D34" s="906"/>
      <c r="E34" s="906"/>
      <c r="F34" s="906"/>
      <c r="G34" s="906"/>
      <c r="H34" s="906"/>
      <c r="I34" s="906"/>
      <c r="J34" s="906"/>
      <c r="K34" s="906"/>
      <c r="L34" s="504">
        <f t="shared" si="0"/>
        <v>0</v>
      </c>
      <c r="M34" s="505">
        <f t="shared" si="1"/>
        <v>0</v>
      </c>
      <c r="N34" s="505">
        <f t="shared" si="2"/>
        <v>0</v>
      </c>
      <c r="O34" s="505">
        <f t="shared" si="3"/>
        <v>0</v>
      </c>
      <c r="P34" s="38">
        <f t="shared" si="4"/>
        <v>0</v>
      </c>
    </row>
    <row r="35" spans="1:16" ht="20.100000000000001" customHeight="1" x14ac:dyDescent="0.25">
      <c r="A35" s="906">
        <v>27</v>
      </c>
      <c r="B35" s="35" t="str">
        <f>dtsiswa!D33</f>
        <v>Mohammad Rizky</v>
      </c>
      <c r="C35" s="36" t="s">
        <v>4</v>
      </c>
      <c r="D35" s="906"/>
      <c r="E35" s="906"/>
      <c r="F35" s="906"/>
      <c r="G35" s="906"/>
      <c r="H35" s="906"/>
      <c r="I35" s="906"/>
      <c r="J35" s="906"/>
      <c r="K35" s="906"/>
      <c r="L35" s="504">
        <f t="shared" si="0"/>
        <v>0</v>
      </c>
      <c r="M35" s="505">
        <f t="shared" si="1"/>
        <v>0</v>
      </c>
      <c r="N35" s="505">
        <f t="shared" si="2"/>
        <v>0</v>
      </c>
      <c r="O35" s="505">
        <f t="shared" si="3"/>
        <v>0</v>
      </c>
      <c r="P35" s="38">
        <f t="shared" si="4"/>
        <v>0</v>
      </c>
    </row>
    <row r="36" spans="1:16" ht="20.100000000000001" customHeight="1" x14ac:dyDescent="0.25">
      <c r="A36" s="906">
        <v>28</v>
      </c>
      <c r="B36" s="35">
        <f>dtsiswa!D34</f>
        <v>0</v>
      </c>
      <c r="C36" s="36" t="s">
        <v>4</v>
      </c>
      <c r="D36" s="906"/>
      <c r="E36" s="906"/>
      <c r="F36" s="906"/>
      <c r="G36" s="906"/>
      <c r="H36" s="906"/>
      <c r="I36" s="906"/>
      <c r="J36" s="906"/>
      <c r="K36" s="906"/>
      <c r="L36" s="504">
        <f t="shared" si="0"/>
        <v>0</v>
      </c>
      <c r="M36" s="505">
        <f t="shared" si="1"/>
        <v>0</v>
      </c>
      <c r="N36" s="505">
        <f t="shared" si="2"/>
        <v>0</v>
      </c>
      <c r="O36" s="505">
        <f t="shared" si="3"/>
        <v>0</v>
      </c>
      <c r="P36" s="38">
        <f t="shared" si="4"/>
        <v>0</v>
      </c>
    </row>
    <row r="37" spans="1:16" ht="20.100000000000001" customHeight="1" x14ac:dyDescent="0.25">
      <c r="A37" s="906">
        <v>29</v>
      </c>
      <c r="B37" s="35">
        <f>dtsiswa!D35</f>
        <v>0</v>
      </c>
      <c r="C37" s="36" t="s">
        <v>4</v>
      </c>
      <c r="D37" s="906"/>
      <c r="E37" s="906"/>
      <c r="F37" s="906"/>
      <c r="G37" s="906"/>
      <c r="H37" s="906"/>
      <c r="I37" s="906"/>
      <c r="J37" s="906"/>
      <c r="K37" s="906"/>
      <c r="L37" s="504">
        <f t="shared" si="0"/>
        <v>0</v>
      </c>
      <c r="M37" s="505">
        <f t="shared" si="1"/>
        <v>0</v>
      </c>
      <c r="N37" s="505">
        <f t="shared" si="2"/>
        <v>0</v>
      </c>
      <c r="O37" s="505">
        <f t="shared" si="3"/>
        <v>0</v>
      </c>
      <c r="P37" s="38">
        <f t="shared" si="4"/>
        <v>0</v>
      </c>
    </row>
    <row r="38" spans="1:16" ht="20.100000000000001" customHeight="1" x14ac:dyDescent="0.25">
      <c r="A38" s="906">
        <v>30</v>
      </c>
      <c r="B38" s="35">
        <f>dtsiswa!D36</f>
        <v>0</v>
      </c>
      <c r="C38" s="36" t="s">
        <v>5</v>
      </c>
      <c r="D38" s="906"/>
      <c r="E38" s="906"/>
      <c r="F38" s="906"/>
      <c r="G38" s="906"/>
      <c r="H38" s="906"/>
      <c r="I38" s="906"/>
      <c r="J38" s="906"/>
      <c r="K38" s="906"/>
      <c r="L38" s="504">
        <f t="shared" si="0"/>
        <v>0</v>
      </c>
      <c r="M38" s="505">
        <f t="shared" si="1"/>
        <v>0</v>
      </c>
      <c r="N38" s="505">
        <f t="shared" si="2"/>
        <v>0</v>
      </c>
      <c r="O38" s="505">
        <f t="shared" si="3"/>
        <v>0</v>
      </c>
      <c r="P38" s="38">
        <f t="shared" si="4"/>
        <v>0</v>
      </c>
    </row>
    <row r="39" spans="1:16" ht="20.100000000000001" customHeight="1" x14ac:dyDescent="0.25">
      <c r="A39" s="906">
        <v>31</v>
      </c>
      <c r="B39" s="35">
        <f>dtsiswa!D37</f>
        <v>0</v>
      </c>
      <c r="C39" s="36" t="s">
        <v>5</v>
      </c>
      <c r="D39" s="906"/>
      <c r="E39" s="906"/>
      <c r="F39" s="906"/>
      <c r="G39" s="906"/>
      <c r="H39" s="906"/>
      <c r="I39" s="906"/>
      <c r="J39" s="906"/>
      <c r="K39" s="906"/>
      <c r="L39" s="504">
        <f t="shared" si="0"/>
        <v>0</v>
      </c>
      <c r="M39" s="505">
        <f t="shared" si="1"/>
        <v>0</v>
      </c>
      <c r="N39" s="505">
        <f t="shared" si="2"/>
        <v>0</v>
      </c>
      <c r="O39" s="505">
        <f t="shared" si="3"/>
        <v>0</v>
      </c>
      <c r="P39" s="38">
        <f t="shared" si="4"/>
        <v>0</v>
      </c>
    </row>
    <row r="40" spans="1:16" ht="20.100000000000001" customHeight="1" x14ac:dyDescent="0.25">
      <c r="A40" s="906">
        <v>32</v>
      </c>
      <c r="B40" s="35">
        <f>dtsiswa!D38</f>
        <v>0</v>
      </c>
      <c r="D40" s="906"/>
      <c r="E40" s="906"/>
      <c r="F40" s="906"/>
      <c r="G40" s="906"/>
      <c r="H40" s="906"/>
      <c r="I40" s="906"/>
      <c r="J40" s="906"/>
      <c r="K40" s="906"/>
      <c r="L40" s="504">
        <f t="shared" si="0"/>
        <v>0</v>
      </c>
      <c r="M40" s="505">
        <f t="shared" si="1"/>
        <v>0</v>
      </c>
      <c r="N40" s="505">
        <f t="shared" si="2"/>
        <v>0</v>
      </c>
      <c r="O40" s="505">
        <f t="shared" si="3"/>
        <v>0</v>
      </c>
      <c r="P40" s="38">
        <f t="shared" si="4"/>
        <v>0</v>
      </c>
    </row>
    <row r="41" spans="1:16" ht="20.100000000000001" customHeight="1" x14ac:dyDescent="0.25">
      <c r="A41" s="906">
        <v>33</v>
      </c>
      <c r="B41" s="35">
        <f>dtsiswa!D39</f>
        <v>0</v>
      </c>
      <c r="C41" s="36"/>
      <c r="D41" s="906"/>
      <c r="E41" s="906"/>
      <c r="F41" s="906"/>
      <c r="G41" s="906"/>
      <c r="H41" s="906"/>
      <c r="I41" s="906"/>
      <c r="J41" s="906"/>
      <c r="K41" s="906"/>
      <c r="L41" s="504">
        <f t="shared" si="0"/>
        <v>0</v>
      </c>
      <c r="M41" s="505">
        <f t="shared" si="1"/>
        <v>0</v>
      </c>
      <c r="N41" s="505">
        <f t="shared" si="2"/>
        <v>0</v>
      </c>
      <c r="O41" s="505">
        <f t="shared" si="3"/>
        <v>0</v>
      </c>
      <c r="P41" s="38">
        <f t="shared" si="4"/>
        <v>0</v>
      </c>
    </row>
    <row r="42" spans="1:16" ht="20.100000000000001" customHeight="1" x14ac:dyDescent="0.25">
      <c r="A42" s="906">
        <v>34</v>
      </c>
      <c r="B42" s="35">
        <f>dtsiswa!D40</f>
        <v>0</v>
      </c>
      <c r="C42" s="36"/>
      <c r="D42" s="906"/>
      <c r="E42" s="906"/>
      <c r="F42" s="906"/>
      <c r="G42" s="906"/>
      <c r="H42" s="906"/>
      <c r="I42" s="906"/>
      <c r="J42" s="906"/>
      <c r="K42" s="906"/>
      <c r="L42" s="504">
        <f t="shared" si="0"/>
        <v>0</v>
      </c>
      <c r="M42" s="505">
        <f t="shared" si="1"/>
        <v>0</v>
      </c>
      <c r="N42" s="505">
        <f t="shared" si="2"/>
        <v>0</v>
      </c>
      <c r="O42" s="505">
        <f t="shared" si="3"/>
        <v>0</v>
      </c>
      <c r="P42" s="38">
        <f t="shared" si="4"/>
        <v>0</v>
      </c>
    </row>
    <row r="43" spans="1:16" ht="15.75" x14ac:dyDescent="0.25">
      <c r="A43" s="906">
        <v>35</v>
      </c>
      <c r="B43" s="35">
        <f>dtsiswa!D41</f>
        <v>0</v>
      </c>
      <c r="C43" s="36"/>
      <c r="D43" s="906"/>
      <c r="E43" s="906"/>
      <c r="F43" s="906"/>
      <c r="G43" s="906"/>
      <c r="H43" s="906"/>
      <c r="I43" s="906"/>
      <c r="J43" s="906"/>
      <c r="K43" s="906"/>
      <c r="L43" s="504">
        <f t="shared" si="0"/>
        <v>0</v>
      </c>
      <c r="M43" s="505">
        <f t="shared" si="1"/>
        <v>0</v>
      </c>
      <c r="N43" s="505">
        <f t="shared" si="2"/>
        <v>0</v>
      </c>
      <c r="O43" s="505">
        <f t="shared" si="3"/>
        <v>0</v>
      </c>
      <c r="P43" s="38">
        <f t="shared" si="4"/>
        <v>0</v>
      </c>
    </row>
    <row r="44" spans="1:16" ht="15.75" x14ac:dyDescent="0.25">
      <c r="A44" s="1112">
        <v>36</v>
      </c>
      <c r="B44" s="35">
        <f>dtsiswa!D42</f>
        <v>0</v>
      </c>
      <c r="C44" s="36"/>
      <c r="D44" s="1112"/>
      <c r="E44" s="1112"/>
      <c r="F44" s="1112"/>
      <c r="G44" s="1112"/>
      <c r="H44" s="1112"/>
      <c r="I44" s="1112"/>
      <c r="J44" s="1112"/>
      <c r="K44" s="1112"/>
      <c r="L44" s="504">
        <f t="shared" ref="L44:L48" si="5">SUM(D44:K44)*100/11</f>
        <v>0</v>
      </c>
      <c r="M44" s="505">
        <f t="shared" ref="M44:M48" si="6">SUM(D44:I44)</f>
        <v>0</v>
      </c>
      <c r="N44" s="505">
        <f t="shared" ref="N44:N48" si="7">J44</f>
        <v>0</v>
      </c>
      <c r="O44" s="505">
        <f t="shared" ref="O44:O48" si="8">K44</f>
        <v>0</v>
      </c>
      <c r="P44" s="38">
        <f t="shared" ref="P44:P48" si="9">L44</f>
        <v>0</v>
      </c>
    </row>
    <row r="45" spans="1:16" ht="15.75" x14ac:dyDescent="0.25">
      <c r="A45" s="1112">
        <v>37</v>
      </c>
      <c r="B45" s="35">
        <f>dtsiswa!D43</f>
        <v>0</v>
      </c>
      <c r="C45" s="36"/>
      <c r="D45" s="1112"/>
      <c r="E45" s="1112"/>
      <c r="F45" s="1112"/>
      <c r="G45" s="1112"/>
      <c r="H45" s="1112"/>
      <c r="I45" s="1112"/>
      <c r="J45" s="1112"/>
      <c r="K45" s="1112"/>
      <c r="L45" s="504">
        <f t="shared" si="5"/>
        <v>0</v>
      </c>
      <c r="M45" s="505">
        <f t="shared" si="6"/>
        <v>0</v>
      </c>
      <c r="N45" s="505">
        <f t="shared" si="7"/>
        <v>0</v>
      </c>
      <c r="O45" s="505">
        <f t="shared" si="8"/>
        <v>0</v>
      </c>
      <c r="P45" s="38">
        <f t="shared" si="9"/>
        <v>0</v>
      </c>
    </row>
    <row r="46" spans="1:16" ht="15.75" x14ac:dyDescent="0.25">
      <c r="A46" s="1112">
        <v>38</v>
      </c>
      <c r="B46" s="35">
        <f>dtsiswa!D44</f>
        <v>0</v>
      </c>
      <c r="C46" s="36"/>
      <c r="D46" s="1112"/>
      <c r="E46" s="1112"/>
      <c r="F46" s="1112"/>
      <c r="G46" s="1112"/>
      <c r="H46" s="1112"/>
      <c r="I46" s="1112"/>
      <c r="J46" s="1112"/>
      <c r="K46" s="1112"/>
      <c r="L46" s="504">
        <f t="shared" si="5"/>
        <v>0</v>
      </c>
      <c r="M46" s="505">
        <f t="shared" si="6"/>
        <v>0</v>
      </c>
      <c r="N46" s="505">
        <f t="shared" si="7"/>
        <v>0</v>
      </c>
      <c r="O46" s="505">
        <f t="shared" si="8"/>
        <v>0</v>
      </c>
      <c r="P46" s="38">
        <f t="shared" si="9"/>
        <v>0</v>
      </c>
    </row>
    <row r="47" spans="1:16" ht="15.75" x14ac:dyDescent="0.25">
      <c r="A47" s="1112">
        <v>39</v>
      </c>
      <c r="B47" s="35">
        <f>dtsiswa!D45</f>
        <v>0</v>
      </c>
      <c r="C47" s="36"/>
      <c r="D47" s="1112"/>
      <c r="E47" s="1112"/>
      <c r="F47" s="1112"/>
      <c r="G47" s="1112"/>
      <c r="H47" s="1112"/>
      <c r="I47" s="1112"/>
      <c r="J47" s="1112"/>
      <c r="K47" s="1112"/>
      <c r="L47" s="504">
        <f t="shared" si="5"/>
        <v>0</v>
      </c>
      <c r="M47" s="505">
        <f t="shared" si="6"/>
        <v>0</v>
      </c>
      <c r="N47" s="505">
        <f t="shared" si="7"/>
        <v>0</v>
      </c>
      <c r="O47" s="505">
        <f t="shared" si="8"/>
        <v>0</v>
      </c>
      <c r="P47" s="38">
        <f t="shared" si="9"/>
        <v>0</v>
      </c>
    </row>
    <row r="48" spans="1:16" ht="15.75" x14ac:dyDescent="0.25">
      <c r="A48" s="1112">
        <v>40</v>
      </c>
      <c r="B48" s="35">
        <f>dtsiswa!D46</f>
        <v>0</v>
      </c>
      <c r="C48" s="36"/>
      <c r="D48" s="1112"/>
      <c r="E48" s="1112"/>
      <c r="F48" s="1112"/>
      <c r="G48" s="1112"/>
      <c r="H48" s="1112"/>
      <c r="I48" s="1112"/>
      <c r="J48" s="1112"/>
      <c r="K48" s="1112"/>
      <c r="L48" s="504">
        <f t="shared" si="5"/>
        <v>0</v>
      </c>
      <c r="M48" s="505">
        <f t="shared" si="6"/>
        <v>0</v>
      </c>
      <c r="N48" s="505">
        <f t="shared" si="7"/>
        <v>0</v>
      </c>
      <c r="O48" s="505">
        <f t="shared" si="8"/>
        <v>0</v>
      </c>
      <c r="P48" s="38">
        <f t="shared" si="9"/>
        <v>0</v>
      </c>
    </row>
  </sheetData>
  <mergeCells count="11">
    <mergeCell ref="P6:P8"/>
    <mergeCell ref="A1:P1"/>
    <mergeCell ref="A2:P2"/>
    <mergeCell ref="A6:A8"/>
    <mergeCell ref="B6:B8"/>
    <mergeCell ref="C6:C8"/>
    <mergeCell ref="D6:K6"/>
    <mergeCell ref="L6:L8"/>
    <mergeCell ref="M6:M8"/>
    <mergeCell ref="N6:N8"/>
    <mergeCell ref="O6:O8"/>
  </mergeCells>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66FF33"/>
  </sheetPr>
  <dimension ref="A1:P48"/>
  <sheetViews>
    <sheetView showGridLines="0" workbookViewId="0">
      <pane xSplit="2" ySplit="8" topLeftCell="C38"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7"/>
      <c r="B1" s="3258"/>
      <c r="C1" s="3258"/>
      <c r="D1" s="3258"/>
      <c r="E1" s="3258"/>
      <c r="F1" s="3258"/>
      <c r="G1" s="3258"/>
      <c r="H1" s="3258"/>
      <c r="I1" s="3258"/>
      <c r="J1" s="3258"/>
      <c r="K1" s="3258"/>
      <c r="L1" s="3258"/>
      <c r="M1" s="3258"/>
      <c r="N1" s="3258"/>
      <c r="O1" s="3258"/>
      <c r="P1" s="3258"/>
    </row>
    <row r="2" spans="1:16" ht="19.5" customHeight="1" x14ac:dyDescent="0.25">
      <c r="A2" s="3259"/>
      <c r="B2" s="3260"/>
      <c r="C2" s="3260"/>
      <c r="D2" s="3260"/>
      <c r="E2" s="3260"/>
      <c r="F2" s="3260"/>
      <c r="G2" s="3260"/>
      <c r="H2" s="3260"/>
      <c r="I2" s="3260"/>
      <c r="J2" s="3260"/>
      <c r="K2" s="3260"/>
      <c r="L2" s="3260"/>
      <c r="M2" s="3260"/>
      <c r="N2" s="3260"/>
      <c r="O2" s="3260"/>
      <c r="P2" s="3260"/>
    </row>
    <row r="3" spans="1:16" ht="21" x14ac:dyDescent="0.35">
      <c r="A3" s="544" t="s">
        <v>578</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907" customFormat="1" ht="20.25" customHeight="1" x14ac:dyDescent="0.25">
      <c r="A6" s="3231" t="s">
        <v>0</v>
      </c>
      <c r="B6" s="3231" t="s">
        <v>28</v>
      </c>
      <c r="C6" s="3231" t="s">
        <v>3</v>
      </c>
      <c r="D6" s="3233" t="s">
        <v>581</v>
      </c>
      <c r="E6" s="3234"/>
      <c r="F6" s="3234"/>
      <c r="G6" s="3234"/>
      <c r="H6" s="3234"/>
      <c r="I6" s="3234"/>
      <c r="J6" s="3234"/>
      <c r="K6" s="3235"/>
      <c r="L6" s="3130" t="s">
        <v>159</v>
      </c>
      <c r="M6" s="3232" t="s">
        <v>29</v>
      </c>
      <c r="N6" s="3232" t="s">
        <v>30</v>
      </c>
      <c r="O6" s="3232" t="s">
        <v>31</v>
      </c>
      <c r="P6" s="3149" t="s">
        <v>32</v>
      </c>
    </row>
    <row r="7" spans="1:16" s="907" customFormat="1" ht="20.25" customHeight="1" x14ac:dyDescent="0.25">
      <c r="A7" s="3231"/>
      <c r="B7" s="3231"/>
      <c r="C7" s="3231"/>
      <c r="D7" s="31" t="s">
        <v>29</v>
      </c>
      <c r="E7" s="31" t="s">
        <v>29</v>
      </c>
      <c r="F7" s="31" t="s">
        <v>29</v>
      </c>
      <c r="G7" s="31" t="s">
        <v>29</v>
      </c>
      <c r="H7" s="31" t="s">
        <v>29</v>
      </c>
      <c r="I7" s="31" t="s">
        <v>29</v>
      </c>
      <c r="J7" s="32" t="s">
        <v>212</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1</v>
      </c>
      <c r="E9" s="200">
        <v>1</v>
      </c>
      <c r="F9" s="200">
        <v>0</v>
      </c>
      <c r="G9" s="200">
        <v>1</v>
      </c>
      <c r="H9" s="200">
        <v>1</v>
      </c>
      <c r="I9" s="200">
        <v>1</v>
      </c>
      <c r="J9" s="200">
        <v>2</v>
      </c>
      <c r="K9" s="200">
        <v>3</v>
      </c>
      <c r="L9" s="504">
        <f>SUM(D9:K9)*100/11</f>
        <v>90.909090909090907</v>
      </c>
      <c r="M9" s="505">
        <f>SUM(D9:I9)</f>
        <v>5</v>
      </c>
      <c r="N9" s="505">
        <f>J9</f>
        <v>2</v>
      </c>
      <c r="O9" s="505">
        <f>K9</f>
        <v>3</v>
      </c>
      <c r="P9" s="38">
        <f>L9</f>
        <v>90.909090909090907</v>
      </c>
    </row>
    <row r="10" spans="1:16" ht="20.100000000000001" customHeight="1" x14ac:dyDescent="0.25">
      <c r="A10" s="906">
        <v>2</v>
      </c>
      <c r="B10" s="35" t="str">
        <f>dtsiswa!D8</f>
        <v>Angelia Vabel R</v>
      </c>
      <c r="C10" s="36" t="s">
        <v>4</v>
      </c>
      <c r="D10" s="200"/>
      <c r="E10" s="200"/>
      <c r="F10" s="200"/>
      <c r="G10" s="200"/>
      <c r="H10" s="200"/>
      <c r="I10" s="200"/>
      <c r="J10" s="200"/>
      <c r="K10" s="200"/>
      <c r="L10" s="504">
        <f t="shared" ref="L10:L48" si="0">SUM(D10:K10)*100/11</f>
        <v>0</v>
      </c>
      <c r="M10" s="505">
        <f t="shared" ref="M10:M43" si="1">SUM(D10:I10)</f>
        <v>0</v>
      </c>
      <c r="N10" s="505">
        <f t="shared" ref="N10:N43" si="2">J10</f>
        <v>0</v>
      </c>
      <c r="O10" s="505">
        <f t="shared" ref="O10:P44" si="3">K10</f>
        <v>0</v>
      </c>
      <c r="P10" s="38">
        <f t="shared" ref="P10:P43" si="4">L10</f>
        <v>0</v>
      </c>
    </row>
    <row r="11" spans="1:16" ht="20.100000000000001" customHeight="1" x14ac:dyDescent="0.25">
      <c r="A11" s="906">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4"/>
        <v>0</v>
      </c>
    </row>
    <row r="12" spans="1:16" ht="20.100000000000001" customHeight="1" x14ac:dyDescent="0.25">
      <c r="A12" s="906">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4"/>
        <v>0</v>
      </c>
    </row>
    <row r="13" spans="1:16" ht="20.100000000000001" customHeight="1" x14ac:dyDescent="0.25">
      <c r="A13" s="906">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4"/>
        <v>0</v>
      </c>
    </row>
    <row r="14" spans="1:16" ht="20.100000000000001" customHeight="1" x14ac:dyDescent="0.25">
      <c r="A14" s="906">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4"/>
        <v>0</v>
      </c>
    </row>
    <row r="15" spans="1:16" ht="20.100000000000001" customHeight="1" x14ac:dyDescent="0.25">
      <c r="A15" s="906">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4"/>
        <v>0</v>
      </c>
    </row>
    <row r="16" spans="1:16" ht="20.100000000000001" customHeight="1" x14ac:dyDescent="0.25">
      <c r="A16" s="906">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4"/>
        <v>0</v>
      </c>
    </row>
    <row r="17" spans="1:16" ht="20.100000000000001" customHeight="1" x14ac:dyDescent="0.25">
      <c r="A17" s="906">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4"/>
        <v>0</v>
      </c>
    </row>
    <row r="18" spans="1:16" ht="20.100000000000001" customHeight="1" x14ac:dyDescent="0.25">
      <c r="A18" s="906">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4"/>
        <v>0</v>
      </c>
    </row>
    <row r="19" spans="1:16" ht="20.100000000000001" customHeight="1" x14ac:dyDescent="0.25">
      <c r="A19" s="906">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4"/>
        <v>0</v>
      </c>
    </row>
    <row r="20" spans="1:16" ht="20.100000000000001" customHeight="1" x14ac:dyDescent="0.25">
      <c r="A20" s="906">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4"/>
        <v>0</v>
      </c>
    </row>
    <row r="21" spans="1:16" ht="20.100000000000001" customHeight="1" x14ac:dyDescent="0.25">
      <c r="A21" s="906">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4"/>
        <v>0</v>
      </c>
    </row>
    <row r="22" spans="1:16" ht="20.100000000000001" customHeight="1" x14ac:dyDescent="0.25">
      <c r="A22" s="906">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4"/>
        <v>0</v>
      </c>
    </row>
    <row r="23" spans="1:16" ht="20.100000000000001" customHeight="1" x14ac:dyDescent="0.25">
      <c r="A23" s="906">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4"/>
        <v>0</v>
      </c>
    </row>
    <row r="24" spans="1:16" ht="20.100000000000001" customHeight="1" x14ac:dyDescent="0.25">
      <c r="A24" s="906">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4"/>
        <v>0</v>
      </c>
    </row>
    <row r="25" spans="1:16" ht="20.100000000000001" customHeight="1" x14ac:dyDescent="0.25">
      <c r="A25" s="906">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4"/>
        <v>0</v>
      </c>
    </row>
    <row r="26" spans="1:16" ht="20.100000000000001" customHeight="1" x14ac:dyDescent="0.25">
      <c r="A26" s="906">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4"/>
        <v>0</v>
      </c>
    </row>
    <row r="27" spans="1:16" ht="20.100000000000001" customHeight="1" x14ac:dyDescent="0.25">
      <c r="A27" s="906">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4"/>
        <v>0</v>
      </c>
    </row>
    <row r="28" spans="1:16" ht="20.100000000000001" customHeight="1" x14ac:dyDescent="0.25">
      <c r="A28" s="906">
        <v>20</v>
      </c>
      <c r="B28" s="35" t="str">
        <f>dtsiswa!D26</f>
        <v>Roby Ardiyansyah</v>
      </c>
      <c r="C28" s="36" t="s">
        <v>5</v>
      </c>
      <c r="D28" s="906"/>
      <c r="E28" s="906"/>
      <c r="F28" s="906"/>
      <c r="G28" s="906"/>
      <c r="H28" s="906"/>
      <c r="I28" s="906"/>
      <c r="J28" s="906"/>
      <c r="K28" s="906"/>
      <c r="L28" s="504">
        <f t="shared" si="0"/>
        <v>0</v>
      </c>
      <c r="M28" s="505">
        <f t="shared" si="1"/>
        <v>0</v>
      </c>
      <c r="N28" s="505">
        <f t="shared" si="2"/>
        <v>0</v>
      </c>
      <c r="O28" s="505">
        <f t="shared" si="3"/>
        <v>0</v>
      </c>
      <c r="P28" s="38">
        <f t="shared" si="4"/>
        <v>0</v>
      </c>
    </row>
    <row r="29" spans="1:16" ht="20.100000000000001" customHeight="1" x14ac:dyDescent="0.25">
      <c r="A29" s="906">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4"/>
        <v>0</v>
      </c>
    </row>
    <row r="30" spans="1:16" ht="20.100000000000001" customHeight="1" x14ac:dyDescent="0.25">
      <c r="A30" s="906">
        <v>22</v>
      </c>
      <c r="B30" s="35" t="str">
        <f>dtsiswa!D28</f>
        <v>Sally Savista A</v>
      </c>
      <c r="C30" s="45" t="s">
        <v>4</v>
      </c>
      <c r="D30" s="906"/>
      <c r="E30" s="906"/>
      <c r="F30" s="906"/>
      <c r="G30" s="906"/>
      <c r="H30" s="906"/>
      <c r="I30" s="906"/>
      <c r="J30" s="906"/>
      <c r="K30" s="906"/>
      <c r="L30" s="504">
        <f t="shared" si="0"/>
        <v>0</v>
      </c>
      <c r="M30" s="505">
        <f t="shared" si="1"/>
        <v>0</v>
      </c>
      <c r="N30" s="505">
        <f t="shared" si="2"/>
        <v>0</v>
      </c>
      <c r="O30" s="505">
        <f t="shared" si="3"/>
        <v>0</v>
      </c>
      <c r="P30" s="38">
        <f t="shared" si="4"/>
        <v>0</v>
      </c>
    </row>
    <row r="31" spans="1:16" ht="20.100000000000001" customHeight="1" x14ac:dyDescent="0.25">
      <c r="A31" s="906">
        <v>23</v>
      </c>
      <c r="B31" s="35" t="str">
        <f>dtsiswa!D29</f>
        <v xml:space="preserve">Tania Kaori Angelita </v>
      </c>
      <c r="C31" s="45" t="s">
        <v>5</v>
      </c>
      <c r="D31" s="906"/>
      <c r="E31" s="906"/>
      <c r="F31" s="906"/>
      <c r="G31" s="906"/>
      <c r="H31" s="906"/>
      <c r="I31" s="906"/>
      <c r="J31" s="906"/>
      <c r="K31" s="906"/>
      <c r="L31" s="504">
        <f t="shared" si="0"/>
        <v>0</v>
      </c>
      <c r="M31" s="505">
        <f t="shared" si="1"/>
        <v>0</v>
      </c>
      <c r="N31" s="505">
        <f t="shared" si="2"/>
        <v>0</v>
      </c>
      <c r="O31" s="505">
        <f t="shared" si="3"/>
        <v>0</v>
      </c>
      <c r="P31" s="38">
        <f t="shared" si="4"/>
        <v>0</v>
      </c>
    </row>
    <row r="32" spans="1:16" ht="20.100000000000001" customHeight="1" x14ac:dyDescent="0.25">
      <c r="A32" s="906">
        <v>24</v>
      </c>
      <c r="B32" s="35" t="str">
        <f>dtsiswa!D30</f>
        <v>Romzy Oka Ramadhani P</v>
      </c>
      <c r="C32" s="45" t="s">
        <v>5</v>
      </c>
      <c r="D32" s="906"/>
      <c r="E32" s="906"/>
      <c r="F32" s="906"/>
      <c r="G32" s="906"/>
      <c r="H32" s="906"/>
      <c r="I32" s="906"/>
      <c r="J32" s="906"/>
      <c r="K32" s="906"/>
      <c r="L32" s="504">
        <f t="shared" si="0"/>
        <v>0</v>
      </c>
      <c r="M32" s="505">
        <f t="shared" si="1"/>
        <v>0</v>
      </c>
      <c r="N32" s="505">
        <f t="shared" si="2"/>
        <v>0</v>
      </c>
      <c r="O32" s="505">
        <f t="shared" si="3"/>
        <v>0</v>
      </c>
      <c r="P32" s="38">
        <f t="shared" si="4"/>
        <v>0</v>
      </c>
    </row>
    <row r="33" spans="1:16" ht="20.100000000000001" customHeight="1" x14ac:dyDescent="0.25">
      <c r="A33" s="906">
        <v>25</v>
      </c>
      <c r="B33" s="35" t="str">
        <f>dtsiswa!D31</f>
        <v>Larasati Jagadhita P</v>
      </c>
      <c r="C33" s="36" t="s">
        <v>4</v>
      </c>
      <c r="D33" s="906"/>
      <c r="E33" s="906"/>
      <c r="F33" s="906"/>
      <c r="G33" s="906"/>
      <c r="H33" s="906"/>
      <c r="I33" s="906"/>
      <c r="J33" s="906"/>
      <c r="K33" s="906"/>
      <c r="L33" s="504">
        <f t="shared" si="0"/>
        <v>0</v>
      </c>
      <c r="M33" s="505">
        <f t="shared" si="1"/>
        <v>0</v>
      </c>
      <c r="N33" s="505">
        <f t="shared" si="2"/>
        <v>0</v>
      </c>
      <c r="O33" s="505">
        <f t="shared" si="3"/>
        <v>0</v>
      </c>
      <c r="P33" s="38">
        <f t="shared" si="4"/>
        <v>0</v>
      </c>
    </row>
    <row r="34" spans="1:16" ht="20.100000000000001" customHeight="1" x14ac:dyDescent="0.25">
      <c r="A34" s="906">
        <v>26</v>
      </c>
      <c r="B34" s="35" t="str">
        <f>dtsiswa!D32</f>
        <v>Meliana Citra A</v>
      </c>
      <c r="C34" s="36" t="s">
        <v>5</v>
      </c>
      <c r="D34" s="906"/>
      <c r="E34" s="906"/>
      <c r="F34" s="906"/>
      <c r="G34" s="906"/>
      <c r="H34" s="906"/>
      <c r="I34" s="906"/>
      <c r="J34" s="906"/>
      <c r="K34" s="906"/>
      <c r="L34" s="504">
        <f t="shared" si="0"/>
        <v>0</v>
      </c>
      <c r="M34" s="505">
        <f t="shared" si="1"/>
        <v>0</v>
      </c>
      <c r="N34" s="505">
        <f t="shared" si="2"/>
        <v>0</v>
      </c>
      <c r="O34" s="505">
        <f t="shared" si="3"/>
        <v>0</v>
      </c>
      <c r="P34" s="38">
        <f t="shared" si="4"/>
        <v>0</v>
      </c>
    </row>
    <row r="35" spans="1:16" ht="20.100000000000001" customHeight="1" x14ac:dyDescent="0.25">
      <c r="A35" s="906">
        <v>27</v>
      </c>
      <c r="B35" s="35" t="str">
        <f>dtsiswa!D33</f>
        <v>Mohammad Rizky</v>
      </c>
      <c r="C35" s="36" t="s">
        <v>4</v>
      </c>
      <c r="D35" s="906"/>
      <c r="E35" s="906"/>
      <c r="F35" s="906"/>
      <c r="G35" s="906"/>
      <c r="H35" s="906"/>
      <c r="I35" s="906"/>
      <c r="J35" s="906"/>
      <c r="K35" s="906"/>
      <c r="L35" s="504">
        <f t="shared" si="0"/>
        <v>0</v>
      </c>
      <c r="M35" s="505">
        <f t="shared" si="1"/>
        <v>0</v>
      </c>
      <c r="N35" s="505">
        <f t="shared" si="2"/>
        <v>0</v>
      </c>
      <c r="O35" s="505">
        <f t="shared" si="3"/>
        <v>0</v>
      </c>
      <c r="P35" s="38">
        <f t="shared" si="4"/>
        <v>0</v>
      </c>
    </row>
    <row r="36" spans="1:16" ht="20.100000000000001" customHeight="1" x14ac:dyDescent="0.25">
      <c r="A36" s="906">
        <v>28</v>
      </c>
      <c r="B36" s="35">
        <f>dtsiswa!D34</f>
        <v>0</v>
      </c>
      <c r="C36" s="36" t="s">
        <v>4</v>
      </c>
      <c r="D36" s="906"/>
      <c r="E36" s="906"/>
      <c r="F36" s="906"/>
      <c r="G36" s="906"/>
      <c r="H36" s="906"/>
      <c r="I36" s="906"/>
      <c r="J36" s="906"/>
      <c r="K36" s="906"/>
      <c r="L36" s="504">
        <f t="shared" si="0"/>
        <v>0</v>
      </c>
      <c r="M36" s="505">
        <f t="shared" si="1"/>
        <v>0</v>
      </c>
      <c r="N36" s="505">
        <f t="shared" si="2"/>
        <v>0</v>
      </c>
      <c r="O36" s="505">
        <f t="shared" si="3"/>
        <v>0</v>
      </c>
      <c r="P36" s="38">
        <f t="shared" si="4"/>
        <v>0</v>
      </c>
    </row>
    <row r="37" spans="1:16" ht="20.100000000000001" customHeight="1" x14ac:dyDescent="0.25">
      <c r="A37" s="906">
        <v>29</v>
      </c>
      <c r="B37" s="35">
        <f>dtsiswa!D35</f>
        <v>0</v>
      </c>
      <c r="C37" s="36" t="s">
        <v>4</v>
      </c>
      <c r="D37" s="906"/>
      <c r="E37" s="906"/>
      <c r="F37" s="906"/>
      <c r="G37" s="906"/>
      <c r="H37" s="906"/>
      <c r="I37" s="906"/>
      <c r="J37" s="906"/>
      <c r="K37" s="906"/>
      <c r="L37" s="504">
        <f t="shared" si="0"/>
        <v>0</v>
      </c>
      <c r="M37" s="505">
        <f t="shared" si="1"/>
        <v>0</v>
      </c>
      <c r="N37" s="505">
        <f t="shared" si="2"/>
        <v>0</v>
      </c>
      <c r="O37" s="505">
        <f t="shared" si="3"/>
        <v>0</v>
      </c>
      <c r="P37" s="38">
        <f t="shared" si="4"/>
        <v>0</v>
      </c>
    </row>
    <row r="38" spans="1:16" ht="20.100000000000001" customHeight="1" x14ac:dyDescent="0.25">
      <c r="A38" s="906">
        <v>30</v>
      </c>
      <c r="B38" s="35">
        <f>dtsiswa!D36</f>
        <v>0</v>
      </c>
      <c r="C38" s="36" t="s">
        <v>5</v>
      </c>
      <c r="D38" s="906"/>
      <c r="E38" s="906"/>
      <c r="F38" s="906"/>
      <c r="G38" s="906"/>
      <c r="H38" s="906"/>
      <c r="I38" s="906"/>
      <c r="J38" s="906"/>
      <c r="K38" s="906"/>
      <c r="L38" s="504">
        <f t="shared" si="0"/>
        <v>0</v>
      </c>
      <c r="M38" s="505">
        <f t="shared" si="1"/>
        <v>0</v>
      </c>
      <c r="N38" s="505">
        <f t="shared" si="2"/>
        <v>0</v>
      </c>
      <c r="O38" s="505">
        <f t="shared" si="3"/>
        <v>0</v>
      </c>
      <c r="P38" s="38">
        <f t="shared" si="4"/>
        <v>0</v>
      </c>
    </row>
    <row r="39" spans="1:16" ht="20.100000000000001" customHeight="1" x14ac:dyDescent="0.25">
      <c r="A39" s="906">
        <v>31</v>
      </c>
      <c r="B39" s="35">
        <f>dtsiswa!D37</f>
        <v>0</v>
      </c>
      <c r="C39" s="36" t="s">
        <v>5</v>
      </c>
      <c r="D39" s="906"/>
      <c r="E39" s="906"/>
      <c r="F39" s="906"/>
      <c r="G39" s="906"/>
      <c r="H39" s="906"/>
      <c r="I39" s="906"/>
      <c r="J39" s="906"/>
      <c r="K39" s="906"/>
      <c r="L39" s="504">
        <f t="shared" si="0"/>
        <v>0</v>
      </c>
      <c r="M39" s="505">
        <f t="shared" si="1"/>
        <v>0</v>
      </c>
      <c r="N39" s="505">
        <f t="shared" si="2"/>
        <v>0</v>
      </c>
      <c r="O39" s="505">
        <f t="shared" si="3"/>
        <v>0</v>
      </c>
      <c r="P39" s="38">
        <f t="shared" si="4"/>
        <v>0</v>
      </c>
    </row>
    <row r="40" spans="1:16" ht="20.100000000000001" customHeight="1" x14ac:dyDescent="0.25">
      <c r="A40" s="906">
        <v>32</v>
      </c>
      <c r="B40" s="35">
        <f>dtsiswa!D38</f>
        <v>0</v>
      </c>
      <c r="D40" s="906"/>
      <c r="E40" s="906"/>
      <c r="F40" s="906"/>
      <c r="G40" s="906"/>
      <c r="H40" s="906"/>
      <c r="I40" s="906"/>
      <c r="J40" s="906"/>
      <c r="K40" s="906"/>
      <c r="L40" s="504">
        <f t="shared" si="0"/>
        <v>0</v>
      </c>
      <c r="M40" s="505">
        <f t="shared" si="1"/>
        <v>0</v>
      </c>
      <c r="N40" s="505">
        <f t="shared" si="2"/>
        <v>0</v>
      </c>
      <c r="O40" s="505">
        <f t="shared" si="3"/>
        <v>0</v>
      </c>
      <c r="P40" s="38">
        <f t="shared" si="4"/>
        <v>0</v>
      </c>
    </row>
    <row r="41" spans="1:16" ht="20.100000000000001" customHeight="1" x14ac:dyDescent="0.25">
      <c r="A41" s="906">
        <v>33</v>
      </c>
      <c r="B41" s="35">
        <f>dtsiswa!D39</f>
        <v>0</v>
      </c>
      <c r="C41" s="36"/>
      <c r="D41" s="906"/>
      <c r="E41" s="906"/>
      <c r="F41" s="906"/>
      <c r="G41" s="906"/>
      <c r="H41" s="906"/>
      <c r="I41" s="906"/>
      <c r="J41" s="906"/>
      <c r="K41" s="906"/>
      <c r="L41" s="504">
        <f t="shared" si="0"/>
        <v>0</v>
      </c>
      <c r="M41" s="505">
        <f t="shared" si="1"/>
        <v>0</v>
      </c>
      <c r="N41" s="505">
        <f t="shared" si="2"/>
        <v>0</v>
      </c>
      <c r="O41" s="505">
        <f t="shared" si="3"/>
        <v>0</v>
      </c>
      <c r="P41" s="38">
        <f t="shared" si="4"/>
        <v>0</v>
      </c>
    </row>
    <row r="42" spans="1:16" ht="20.100000000000001" customHeight="1" x14ac:dyDescent="0.25">
      <c r="A42" s="906">
        <v>34</v>
      </c>
      <c r="B42" s="35">
        <f>dtsiswa!D40</f>
        <v>0</v>
      </c>
      <c r="C42" s="36"/>
      <c r="D42" s="906"/>
      <c r="E42" s="906"/>
      <c r="F42" s="906"/>
      <c r="G42" s="906"/>
      <c r="H42" s="906"/>
      <c r="I42" s="906"/>
      <c r="J42" s="906"/>
      <c r="K42" s="906"/>
      <c r="L42" s="504">
        <f t="shared" si="0"/>
        <v>0</v>
      </c>
      <c r="M42" s="505">
        <f t="shared" si="1"/>
        <v>0</v>
      </c>
      <c r="N42" s="505">
        <f t="shared" si="2"/>
        <v>0</v>
      </c>
      <c r="O42" s="505">
        <f t="shared" si="3"/>
        <v>0</v>
      </c>
      <c r="P42" s="38">
        <f t="shared" si="4"/>
        <v>0</v>
      </c>
    </row>
    <row r="43" spans="1:16" ht="15.75" x14ac:dyDescent="0.25">
      <c r="A43" s="1112">
        <v>35</v>
      </c>
      <c r="B43" s="35">
        <f>dtsiswa!D41</f>
        <v>0</v>
      </c>
      <c r="C43" s="36"/>
      <c r="D43" s="906"/>
      <c r="E43" s="906"/>
      <c r="F43" s="906"/>
      <c r="G43" s="906"/>
      <c r="H43" s="906"/>
      <c r="I43" s="906"/>
      <c r="J43" s="906"/>
      <c r="K43" s="906"/>
      <c r="L43" s="504">
        <f t="shared" si="0"/>
        <v>0</v>
      </c>
      <c r="M43" s="505">
        <f t="shared" si="1"/>
        <v>0</v>
      </c>
      <c r="N43" s="505">
        <f t="shared" si="2"/>
        <v>0</v>
      </c>
      <c r="O43" s="505">
        <f t="shared" si="3"/>
        <v>0</v>
      </c>
      <c r="P43" s="38">
        <f t="shared" si="4"/>
        <v>0</v>
      </c>
    </row>
    <row r="44" spans="1:16" ht="15.75" x14ac:dyDescent="0.25">
      <c r="A44" s="1112">
        <v>36</v>
      </c>
      <c r="B44" s="35">
        <f>dtsiswa!D42</f>
        <v>0</v>
      </c>
      <c r="C44" s="36"/>
      <c r="D44" s="1112"/>
      <c r="E44" s="1112"/>
      <c r="F44" s="1112"/>
      <c r="G44" s="1112"/>
      <c r="H44" s="1112"/>
      <c r="I44" s="1112"/>
      <c r="J44" s="1112"/>
      <c r="K44" s="1112"/>
      <c r="L44" s="504">
        <f t="shared" si="0"/>
        <v>0</v>
      </c>
      <c r="M44" s="505">
        <f t="shared" ref="M44:M48" si="5">SUM(D44:H44)+J44</f>
        <v>0</v>
      </c>
      <c r="N44" s="505">
        <f t="shared" ref="N44:N48" si="6">I44</f>
        <v>0</v>
      </c>
      <c r="O44" s="505">
        <f t="shared" si="3"/>
        <v>0</v>
      </c>
      <c r="P44" s="38">
        <f t="shared" si="3"/>
        <v>0</v>
      </c>
    </row>
    <row r="45" spans="1:16" ht="15.75" x14ac:dyDescent="0.25">
      <c r="A45" s="1112">
        <v>37</v>
      </c>
      <c r="B45" s="35">
        <f>dtsiswa!D43</f>
        <v>0</v>
      </c>
      <c r="C45" s="36"/>
      <c r="D45" s="1112"/>
      <c r="E45" s="1112"/>
      <c r="F45" s="1112"/>
      <c r="G45" s="1112"/>
      <c r="H45" s="1112"/>
      <c r="I45" s="1112"/>
      <c r="J45" s="1112"/>
      <c r="K45" s="1112"/>
      <c r="L45" s="504">
        <f t="shared" si="0"/>
        <v>0</v>
      </c>
      <c r="M45" s="505">
        <f t="shared" si="5"/>
        <v>0</v>
      </c>
      <c r="N45" s="505">
        <f t="shared" si="6"/>
        <v>0</v>
      </c>
      <c r="O45" s="505">
        <f t="shared" ref="O45:P48" si="7">K45</f>
        <v>0</v>
      </c>
      <c r="P45" s="38">
        <f t="shared" si="7"/>
        <v>0</v>
      </c>
    </row>
    <row r="46" spans="1:16" ht="15.75" x14ac:dyDescent="0.25">
      <c r="A46" s="1112">
        <v>38</v>
      </c>
      <c r="B46" s="35">
        <f>dtsiswa!D44</f>
        <v>0</v>
      </c>
      <c r="C46" s="36"/>
      <c r="D46" s="1112"/>
      <c r="E46" s="1112"/>
      <c r="F46" s="1112"/>
      <c r="G46" s="1112"/>
      <c r="H46" s="1112"/>
      <c r="I46" s="1112"/>
      <c r="J46" s="1112"/>
      <c r="K46" s="1112"/>
      <c r="L46" s="504">
        <f t="shared" si="0"/>
        <v>0</v>
      </c>
      <c r="M46" s="505">
        <f t="shared" si="5"/>
        <v>0</v>
      </c>
      <c r="N46" s="505">
        <f t="shared" si="6"/>
        <v>0</v>
      </c>
      <c r="O46" s="505">
        <f t="shared" si="7"/>
        <v>0</v>
      </c>
      <c r="P46" s="38">
        <f t="shared" si="7"/>
        <v>0</v>
      </c>
    </row>
    <row r="47" spans="1:16" ht="15.75" x14ac:dyDescent="0.25">
      <c r="A47" s="1112">
        <v>39</v>
      </c>
      <c r="B47" s="35">
        <f>dtsiswa!D45</f>
        <v>0</v>
      </c>
      <c r="C47" s="36"/>
      <c r="D47" s="1112"/>
      <c r="E47" s="1112"/>
      <c r="F47" s="1112"/>
      <c r="G47" s="1112"/>
      <c r="H47" s="1112"/>
      <c r="I47" s="1112"/>
      <c r="J47" s="1112"/>
      <c r="K47" s="1112"/>
      <c r="L47" s="504">
        <f t="shared" si="0"/>
        <v>0</v>
      </c>
      <c r="M47" s="505">
        <f t="shared" si="5"/>
        <v>0</v>
      </c>
      <c r="N47" s="505">
        <f t="shared" si="6"/>
        <v>0</v>
      </c>
      <c r="O47" s="505">
        <f t="shared" si="7"/>
        <v>0</v>
      </c>
      <c r="P47" s="38">
        <f t="shared" si="7"/>
        <v>0</v>
      </c>
    </row>
    <row r="48" spans="1:16" ht="15.75" x14ac:dyDescent="0.25">
      <c r="A48" s="1112">
        <v>40</v>
      </c>
      <c r="B48" s="35">
        <f>dtsiswa!D46</f>
        <v>0</v>
      </c>
      <c r="C48" s="36"/>
      <c r="D48" s="1112"/>
      <c r="E48" s="1112"/>
      <c r="F48" s="1112"/>
      <c r="G48" s="1112"/>
      <c r="H48" s="1112"/>
      <c r="I48" s="1112"/>
      <c r="J48" s="1112"/>
      <c r="K48" s="1112"/>
      <c r="L48" s="504">
        <f t="shared" si="0"/>
        <v>0</v>
      </c>
      <c r="M48" s="505">
        <f t="shared" si="5"/>
        <v>0</v>
      </c>
      <c r="N48" s="505">
        <f t="shared" si="6"/>
        <v>0</v>
      </c>
      <c r="O48" s="505">
        <f t="shared" si="7"/>
        <v>0</v>
      </c>
      <c r="P48" s="38">
        <f t="shared" si="7"/>
        <v>0</v>
      </c>
    </row>
  </sheetData>
  <mergeCells count="11">
    <mergeCell ref="P6:P8"/>
    <mergeCell ref="A1:P1"/>
    <mergeCell ref="A2:P2"/>
    <mergeCell ref="A6:A8"/>
    <mergeCell ref="B6:B8"/>
    <mergeCell ref="C6:C8"/>
    <mergeCell ref="D6:K6"/>
    <mergeCell ref="L6:L8"/>
    <mergeCell ref="M6:M8"/>
    <mergeCell ref="N6:N8"/>
    <mergeCell ref="O6:O8"/>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66FF33"/>
  </sheetPr>
  <dimension ref="A1:P48"/>
  <sheetViews>
    <sheetView showGridLines="0" workbookViewId="0">
      <pane xSplit="2" ySplit="8" topLeftCell="C35"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7"/>
      <c r="B1" s="3258"/>
      <c r="C1" s="3258"/>
      <c r="D1" s="3258"/>
      <c r="E1" s="3258"/>
      <c r="F1" s="3258"/>
      <c r="G1" s="3258"/>
      <c r="H1" s="3258"/>
      <c r="I1" s="3258"/>
      <c r="J1" s="3258"/>
      <c r="K1" s="3258"/>
      <c r="L1" s="3258"/>
      <c r="M1" s="3258"/>
      <c r="N1" s="3258"/>
      <c r="O1" s="3258"/>
      <c r="P1" s="3258"/>
    </row>
    <row r="2" spans="1:16" ht="19.5" customHeight="1" x14ac:dyDescent="0.25">
      <c r="A2" s="3259"/>
      <c r="B2" s="3260"/>
      <c r="C2" s="3260"/>
      <c r="D2" s="3260"/>
      <c r="E2" s="3260"/>
      <c r="F2" s="3260"/>
      <c r="G2" s="3260"/>
      <c r="H2" s="3260"/>
      <c r="I2" s="3260"/>
      <c r="J2" s="3260"/>
      <c r="K2" s="3260"/>
      <c r="L2" s="3260"/>
      <c r="M2" s="3260"/>
      <c r="N2" s="3260"/>
      <c r="O2" s="3260"/>
      <c r="P2" s="3260"/>
    </row>
    <row r="3" spans="1:16" ht="21" x14ac:dyDescent="0.35">
      <c r="A3" s="544" t="s">
        <v>579</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907" customFormat="1" ht="20.25" customHeight="1" x14ac:dyDescent="0.25">
      <c r="A6" s="3231" t="s">
        <v>0</v>
      </c>
      <c r="B6" s="3231" t="s">
        <v>28</v>
      </c>
      <c r="C6" s="3231" t="s">
        <v>3</v>
      </c>
      <c r="D6" s="3233" t="s">
        <v>581</v>
      </c>
      <c r="E6" s="3234"/>
      <c r="F6" s="3234"/>
      <c r="G6" s="3234"/>
      <c r="H6" s="3234"/>
      <c r="I6" s="3234"/>
      <c r="J6" s="3234"/>
      <c r="K6" s="3235"/>
      <c r="L6" s="3130" t="s">
        <v>159</v>
      </c>
      <c r="M6" s="3232" t="s">
        <v>29</v>
      </c>
      <c r="N6" s="3232" t="s">
        <v>30</v>
      </c>
      <c r="O6" s="3232" t="s">
        <v>31</v>
      </c>
      <c r="P6" s="3149" t="s">
        <v>32</v>
      </c>
    </row>
    <row r="7" spans="1:16" s="907" customFormat="1" ht="20.25" customHeight="1" x14ac:dyDescent="0.25">
      <c r="A7" s="3231"/>
      <c r="B7" s="3231"/>
      <c r="C7" s="3231"/>
      <c r="D7" s="31" t="s">
        <v>29</v>
      </c>
      <c r="E7" s="31" t="s">
        <v>29</v>
      </c>
      <c r="F7" s="31" t="s">
        <v>29</v>
      </c>
      <c r="G7" s="31" t="s">
        <v>29</v>
      </c>
      <c r="H7" s="31" t="s">
        <v>29</v>
      </c>
      <c r="I7" s="31" t="s">
        <v>29</v>
      </c>
      <c r="J7" s="32"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0</v>
      </c>
      <c r="E9" s="200">
        <v>0</v>
      </c>
      <c r="F9" s="200">
        <v>1</v>
      </c>
      <c r="G9" s="200">
        <v>1</v>
      </c>
      <c r="H9" s="200">
        <v>1</v>
      </c>
      <c r="I9" s="200">
        <v>1</v>
      </c>
      <c r="J9" s="200">
        <v>1</v>
      </c>
      <c r="K9" s="200">
        <v>3</v>
      </c>
      <c r="L9" s="504">
        <f>SUM(D9:K9)*100/11</f>
        <v>72.727272727272734</v>
      </c>
      <c r="M9" s="505">
        <f>SUM(D9:I9)+J9</f>
        <v>5</v>
      </c>
      <c r="N9" s="505">
        <f>J9</f>
        <v>1</v>
      </c>
      <c r="O9" s="505">
        <f>K9</f>
        <v>3</v>
      </c>
      <c r="P9" s="38">
        <f>L9</f>
        <v>72.727272727272734</v>
      </c>
    </row>
    <row r="10" spans="1:16" ht="20.100000000000001" customHeight="1" x14ac:dyDescent="0.25">
      <c r="A10" s="906">
        <v>2</v>
      </c>
      <c r="B10" s="35" t="str">
        <f>dtsiswa!D8</f>
        <v>Angelia Vabel R</v>
      </c>
      <c r="C10" s="36" t="s">
        <v>4</v>
      </c>
      <c r="D10" s="200"/>
      <c r="E10" s="200"/>
      <c r="F10" s="200"/>
      <c r="G10" s="200"/>
      <c r="H10" s="200"/>
      <c r="I10" s="200"/>
      <c r="J10" s="200"/>
      <c r="K10" s="200"/>
      <c r="L10" s="504">
        <f t="shared" ref="L10:L43" si="0">SUM(D10:K10)*100/11</f>
        <v>0</v>
      </c>
      <c r="M10" s="505">
        <f t="shared" ref="M10:M43" si="1">SUM(D10:I10)+J10</f>
        <v>0</v>
      </c>
      <c r="N10" s="505">
        <f t="shared" ref="N10:N43" si="2">J10</f>
        <v>0</v>
      </c>
      <c r="O10" s="505">
        <f t="shared" ref="O10:P44" si="3">K10</f>
        <v>0</v>
      </c>
      <c r="P10" s="38">
        <f t="shared" ref="P10:P43" si="4">L10</f>
        <v>0</v>
      </c>
    </row>
    <row r="11" spans="1:16" ht="20.100000000000001" customHeight="1" x14ac:dyDescent="0.25">
      <c r="A11" s="906">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4"/>
        <v>0</v>
      </c>
    </row>
    <row r="12" spans="1:16" ht="20.100000000000001" customHeight="1" x14ac:dyDescent="0.25">
      <c r="A12" s="906">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4"/>
        <v>0</v>
      </c>
    </row>
    <row r="13" spans="1:16" ht="20.100000000000001" customHeight="1" x14ac:dyDescent="0.25">
      <c r="A13" s="906">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4"/>
        <v>0</v>
      </c>
    </row>
    <row r="14" spans="1:16" ht="20.100000000000001" customHeight="1" x14ac:dyDescent="0.25">
      <c r="A14" s="906">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4"/>
        <v>0</v>
      </c>
    </row>
    <row r="15" spans="1:16" ht="20.100000000000001" customHeight="1" x14ac:dyDescent="0.25">
      <c r="A15" s="906">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4"/>
        <v>0</v>
      </c>
    </row>
    <row r="16" spans="1:16" ht="20.100000000000001" customHeight="1" x14ac:dyDescent="0.25">
      <c r="A16" s="906">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4"/>
        <v>0</v>
      </c>
    </row>
    <row r="17" spans="1:16" ht="20.100000000000001" customHeight="1" x14ac:dyDescent="0.25">
      <c r="A17" s="906">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4"/>
        <v>0</v>
      </c>
    </row>
    <row r="18" spans="1:16" ht="20.100000000000001" customHeight="1" x14ac:dyDescent="0.25">
      <c r="A18" s="906">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4"/>
        <v>0</v>
      </c>
    </row>
    <row r="19" spans="1:16" ht="20.100000000000001" customHeight="1" x14ac:dyDescent="0.25">
      <c r="A19" s="906">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4"/>
        <v>0</v>
      </c>
    </row>
    <row r="20" spans="1:16" ht="20.100000000000001" customHeight="1" x14ac:dyDescent="0.25">
      <c r="A20" s="906">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4"/>
        <v>0</v>
      </c>
    </row>
    <row r="21" spans="1:16" ht="20.100000000000001" customHeight="1" x14ac:dyDescent="0.25">
      <c r="A21" s="906">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4"/>
        <v>0</v>
      </c>
    </row>
    <row r="22" spans="1:16" ht="20.100000000000001" customHeight="1" x14ac:dyDescent="0.25">
      <c r="A22" s="906">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4"/>
        <v>0</v>
      </c>
    </row>
    <row r="23" spans="1:16" ht="20.100000000000001" customHeight="1" x14ac:dyDescent="0.25">
      <c r="A23" s="906">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4"/>
        <v>0</v>
      </c>
    </row>
    <row r="24" spans="1:16" ht="20.100000000000001" customHeight="1" x14ac:dyDescent="0.25">
      <c r="A24" s="906">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4"/>
        <v>0</v>
      </c>
    </row>
    <row r="25" spans="1:16" ht="20.100000000000001" customHeight="1" x14ac:dyDescent="0.25">
      <c r="A25" s="906">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4"/>
        <v>0</v>
      </c>
    </row>
    <row r="26" spans="1:16" ht="20.100000000000001" customHeight="1" x14ac:dyDescent="0.25">
      <c r="A26" s="906">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4"/>
        <v>0</v>
      </c>
    </row>
    <row r="27" spans="1:16" ht="20.100000000000001" customHeight="1" x14ac:dyDescent="0.25">
      <c r="A27" s="906">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4"/>
        <v>0</v>
      </c>
    </row>
    <row r="28" spans="1:16" ht="20.100000000000001" customHeight="1" x14ac:dyDescent="0.25">
      <c r="A28" s="906">
        <v>20</v>
      </c>
      <c r="B28" s="35" t="str">
        <f>dtsiswa!D26</f>
        <v>Roby Ardiyansyah</v>
      </c>
      <c r="C28" s="36" t="s">
        <v>5</v>
      </c>
      <c r="D28" s="906"/>
      <c r="E28" s="906"/>
      <c r="F28" s="906"/>
      <c r="G28" s="906"/>
      <c r="H28" s="906"/>
      <c r="I28" s="906"/>
      <c r="J28" s="906"/>
      <c r="K28" s="906"/>
      <c r="L28" s="504">
        <f t="shared" si="0"/>
        <v>0</v>
      </c>
      <c r="M28" s="505">
        <f t="shared" si="1"/>
        <v>0</v>
      </c>
      <c r="N28" s="505">
        <f t="shared" si="2"/>
        <v>0</v>
      </c>
      <c r="O28" s="505">
        <f t="shared" si="3"/>
        <v>0</v>
      </c>
      <c r="P28" s="38">
        <f t="shared" si="4"/>
        <v>0</v>
      </c>
    </row>
    <row r="29" spans="1:16" ht="20.100000000000001" customHeight="1" x14ac:dyDescent="0.25">
      <c r="A29" s="906">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4"/>
        <v>0</v>
      </c>
    </row>
    <row r="30" spans="1:16" ht="20.100000000000001" customHeight="1" x14ac:dyDescent="0.25">
      <c r="A30" s="906">
        <v>22</v>
      </c>
      <c r="B30" s="35" t="str">
        <f>dtsiswa!D28</f>
        <v>Sally Savista A</v>
      </c>
      <c r="C30" s="45" t="s">
        <v>4</v>
      </c>
      <c r="D30" s="906"/>
      <c r="E30" s="906"/>
      <c r="F30" s="906"/>
      <c r="G30" s="906"/>
      <c r="H30" s="906"/>
      <c r="I30" s="906"/>
      <c r="J30" s="906"/>
      <c r="K30" s="906"/>
      <c r="L30" s="504">
        <f t="shared" si="0"/>
        <v>0</v>
      </c>
      <c r="M30" s="505">
        <f t="shared" si="1"/>
        <v>0</v>
      </c>
      <c r="N30" s="505">
        <f t="shared" si="2"/>
        <v>0</v>
      </c>
      <c r="O30" s="505">
        <f t="shared" si="3"/>
        <v>0</v>
      </c>
      <c r="P30" s="38">
        <f t="shared" si="4"/>
        <v>0</v>
      </c>
    </row>
    <row r="31" spans="1:16" ht="20.100000000000001" customHeight="1" x14ac:dyDescent="0.25">
      <c r="A31" s="906">
        <v>23</v>
      </c>
      <c r="B31" s="35" t="str">
        <f>dtsiswa!D29</f>
        <v xml:space="preserve">Tania Kaori Angelita </v>
      </c>
      <c r="C31" s="45" t="s">
        <v>5</v>
      </c>
      <c r="D31" s="906"/>
      <c r="E31" s="906"/>
      <c r="F31" s="906"/>
      <c r="G31" s="906"/>
      <c r="H31" s="906"/>
      <c r="I31" s="906"/>
      <c r="J31" s="906"/>
      <c r="K31" s="906"/>
      <c r="L31" s="504">
        <f t="shared" si="0"/>
        <v>0</v>
      </c>
      <c r="M31" s="505">
        <f t="shared" si="1"/>
        <v>0</v>
      </c>
      <c r="N31" s="505">
        <f t="shared" si="2"/>
        <v>0</v>
      </c>
      <c r="O31" s="505">
        <f t="shared" si="3"/>
        <v>0</v>
      </c>
      <c r="P31" s="38">
        <f t="shared" si="4"/>
        <v>0</v>
      </c>
    </row>
    <row r="32" spans="1:16" ht="20.100000000000001" customHeight="1" x14ac:dyDescent="0.25">
      <c r="A32" s="906">
        <v>24</v>
      </c>
      <c r="B32" s="35" t="str">
        <f>dtsiswa!D30</f>
        <v>Romzy Oka Ramadhani P</v>
      </c>
      <c r="C32" s="45" t="s">
        <v>5</v>
      </c>
      <c r="D32" s="906"/>
      <c r="E32" s="906"/>
      <c r="F32" s="906"/>
      <c r="G32" s="906"/>
      <c r="H32" s="906"/>
      <c r="I32" s="906"/>
      <c r="J32" s="906"/>
      <c r="K32" s="906"/>
      <c r="L32" s="504">
        <f t="shared" si="0"/>
        <v>0</v>
      </c>
      <c r="M32" s="505">
        <f t="shared" si="1"/>
        <v>0</v>
      </c>
      <c r="N32" s="505">
        <f t="shared" si="2"/>
        <v>0</v>
      </c>
      <c r="O32" s="505">
        <f t="shared" si="3"/>
        <v>0</v>
      </c>
      <c r="P32" s="38">
        <f t="shared" si="4"/>
        <v>0</v>
      </c>
    </row>
    <row r="33" spans="1:16" ht="20.100000000000001" customHeight="1" x14ac:dyDescent="0.25">
      <c r="A33" s="906">
        <v>25</v>
      </c>
      <c r="B33" s="35" t="str">
        <f>dtsiswa!D31</f>
        <v>Larasati Jagadhita P</v>
      </c>
      <c r="C33" s="36" t="s">
        <v>4</v>
      </c>
      <c r="D33" s="906"/>
      <c r="E33" s="906"/>
      <c r="F33" s="906"/>
      <c r="G33" s="906"/>
      <c r="H33" s="906"/>
      <c r="I33" s="906"/>
      <c r="J33" s="906"/>
      <c r="K33" s="906"/>
      <c r="L33" s="504">
        <f t="shared" si="0"/>
        <v>0</v>
      </c>
      <c r="M33" s="505">
        <f t="shared" si="1"/>
        <v>0</v>
      </c>
      <c r="N33" s="505">
        <f t="shared" si="2"/>
        <v>0</v>
      </c>
      <c r="O33" s="505">
        <f t="shared" si="3"/>
        <v>0</v>
      </c>
      <c r="P33" s="38">
        <f t="shared" si="4"/>
        <v>0</v>
      </c>
    </row>
    <row r="34" spans="1:16" ht="20.100000000000001" customHeight="1" x14ac:dyDescent="0.25">
      <c r="A34" s="906">
        <v>26</v>
      </c>
      <c r="B34" s="35" t="str">
        <f>dtsiswa!D32</f>
        <v>Meliana Citra A</v>
      </c>
      <c r="C34" s="36" t="s">
        <v>5</v>
      </c>
      <c r="D34" s="906"/>
      <c r="E34" s="906"/>
      <c r="F34" s="906"/>
      <c r="G34" s="906"/>
      <c r="H34" s="906"/>
      <c r="I34" s="906"/>
      <c r="J34" s="906"/>
      <c r="K34" s="906"/>
      <c r="L34" s="504">
        <f t="shared" si="0"/>
        <v>0</v>
      </c>
      <c r="M34" s="505">
        <f t="shared" si="1"/>
        <v>0</v>
      </c>
      <c r="N34" s="505">
        <f t="shared" si="2"/>
        <v>0</v>
      </c>
      <c r="O34" s="505">
        <f t="shared" si="3"/>
        <v>0</v>
      </c>
      <c r="P34" s="38">
        <f t="shared" si="4"/>
        <v>0</v>
      </c>
    </row>
    <row r="35" spans="1:16" ht="20.100000000000001" customHeight="1" x14ac:dyDescent="0.25">
      <c r="A35" s="906">
        <v>27</v>
      </c>
      <c r="B35" s="35" t="str">
        <f>dtsiswa!D33</f>
        <v>Mohammad Rizky</v>
      </c>
      <c r="C35" s="36" t="s">
        <v>4</v>
      </c>
      <c r="D35" s="906"/>
      <c r="E35" s="906"/>
      <c r="F35" s="906"/>
      <c r="G35" s="906"/>
      <c r="H35" s="906"/>
      <c r="I35" s="906"/>
      <c r="J35" s="906"/>
      <c r="K35" s="906"/>
      <c r="L35" s="504">
        <f t="shared" si="0"/>
        <v>0</v>
      </c>
      <c r="M35" s="505">
        <f t="shared" si="1"/>
        <v>0</v>
      </c>
      <c r="N35" s="505">
        <f t="shared" si="2"/>
        <v>0</v>
      </c>
      <c r="O35" s="505">
        <f t="shared" si="3"/>
        <v>0</v>
      </c>
      <c r="P35" s="38">
        <f t="shared" si="4"/>
        <v>0</v>
      </c>
    </row>
    <row r="36" spans="1:16" ht="20.100000000000001" customHeight="1" x14ac:dyDescent="0.25">
      <c r="A36" s="906">
        <v>28</v>
      </c>
      <c r="B36" s="35">
        <f>dtsiswa!D34</f>
        <v>0</v>
      </c>
      <c r="C36" s="36" t="s">
        <v>4</v>
      </c>
      <c r="D36" s="906"/>
      <c r="E36" s="906"/>
      <c r="F36" s="906"/>
      <c r="G36" s="906"/>
      <c r="H36" s="906"/>
      <c r="I36" s="906"/>
      <c r="J36" s="906"/>
      <c r="K36" s="906"/>
      <c r="L36" s="504">
        <f t="shared" si="0"/>
        <v>0</v>
      </c>
      <c r="M36" s="505">
        <f t="shared" si="1"/>
        <v>0</v>
      </c>
      <c r="N36" s="505">
        <f t="shared" si="2"/>
        <v>0</v>
      </c>
      <c r="O36" s="505">
        <f t="shared" si="3"/>
        <v>0</v>
      </c>
      <c r="P36" s="38">
        <f t="shared" si="4"/>
        <v>0</v>
      </c>
    </row>
    <row r="37" spans="1:16" ht="20.100000000000001" customHeight="1" x14ac:dyDescent="0.25">
      <c r="A37" s="906">
        <v>29</v>
      </c>
      <c r="B37" s="35">
        <f>dtsiswa!D35</f>
        <v>0</v>
      </c>
      <c r="C37" s="36" t="s">
        <v>4</v>
      </c>
      <c r="D37" s="906"/>
      <c r="E37" s="906"/>
      <c r="F37" s="906"/>
      <c r="G37" s="906"/>
      <c r="H37" s="906"/>
      <c r="I37" s="906"/>
      <c r="J37" s="906"/>
      <c r="K37" s="906"/>
      <c r="L37" s="504">
        <f t="shared" si="0"/>
        <v>0</v>
      </c>
      <c r="M37" s="505">
        <f t="shared" si="1"/>
        <v>0</v>
      </c>
      <c r="N37" s="505">
        <f t="shared" si="2"/>
        <v>0</v>
      </c>
      <c r="O37" s="505">
        <f t="shared" si="3"/>
        <v>0</v>
      </c>
      <c r="P37" s="38">
        <f t="shared" si="4"/>
        <v>0</v>
      </c>
    </row>
    <row r="38" spans="1:16" ht="20.100000000000001" customHeight="1" x14ac:dyDescent="0.25">
      <c r="A38" s="906">
        <v>30</v>
      </c>
      <c r="B38" s="35">
        <f>dtsiswa!D36</f>
        <v>0</v>
      </c>
      <c r="C38" s="36" t="s">
        <v>5</v>
      </c>
      <c r="D38" s="906"/>
      <c r="E38" s="906"/>
      <c r="F38" s="906"/>
      <c r="G38" s="906"/>
      <c r="H38" s="906"/>
      <c r="I38" s="906"/>
      <c r="J38" s="906"/>
      <c r="K38" s="906"/>
      <c r="L38" s="504">
        <f t="shared" si="0"/>
        <v>0</v>
      </c>
      <c r="M38" s="505">
        <f t="shared" si="1"/>
        <v>0</v>
      </c>
      <c r="N38" s="505">
        <f t="shared" si="2"/>
        <v>0</v>
      </c>
      <c r="O38" s="505">
        <f t="shared" si="3"/>
        <v>0</v>
      </c>
      <c r="P38" s="38">
        <f t="shared" si="4"/>
        <v>0</v>
      </c>
    </row>
    <row r="39" spans="1:16" ht="20.100000000000001" customHeight="1" x14ac:dyDescent="0.25">
      <c r="A39" s="906">
        <v>31</v>
      </c>
      <c r="B39" s="35">
        <f>dtsiswa!D37</f>
        <v>0</v>
      </c>
      <c r="C39" s="36" t="s">
        <v>5</v>
      </c>
      <c r="D39" s="906"/>
      <c r="E39" s="906"/>
      <c r="F39" s="906"/>
      <c r="G39" s="906"/>
      <c r="H39" s="906"/>
      <c r="I39" s="906"/>
      <c r="J39" s="906"/>
      <c r="K39" s="906"/>
      <c r="L39" s="504">
        <f t="shared" si="0"/>
        <v>0</v>
      </c>
      <c r="M39" s="505">
        <f t="shared" si="1"/>
        <v>0</v>
      </c>
      <c r="N39" s="505">
        <f t="shared" si="2"/>
        <v>0</v>
      </c>
      <c r="O39" s="505">
        <f t="shared" si="3"/>
        <v>0</v>
      </c>
      <c r="P39" s="38">
        <f t="shared" si="4"/>
        <v>0</v>
      </c>
    </row>
    <row r="40" spans="1:16" ht="20.100000000000001" customHeight="1" x14ac:dyDescent="0.25">
      <c r="A40" s="906">
        <v>32</v>
      </c>
      <c r="B40" s="35">
        <f>dtsiswa!D38</f>
        <v>0</v>
      </c>
      <c r="D40" s="906"/>
      <c r="E40" s="906"/>
      <c r="F40" s="906"/>
      <c r="G40" s="906"/>
      <c r="H40" s="906"/>
      <c r="I40" s="906"/>
      <c r="J40" s="906"/>
      <c r="K40" s="906"/>
      <c r="L40" s="504">
        <f t="shared" si="0"/>
        <v>0</v>
      </c>
      <c r="M40" s="505">
        <f t="shared" si="1"/>
        <v>0</v>
      </c>
      <c r="N40" s="505">
        <f t="shared" si="2"/>
        <v>0</v>
      </c>
      <c r="O40" s="505">
        <f t="shared" si="3"/>
        <v>0</v>
      </c>
      <c r="P40" s="38">
        <f t="shared" si="4"/>
        <v>0</v>
      </c>
    </row>
    <row r="41" spans="1:16" ht="20.100000000000001" customHeight="1" x14ac:dyDescent="0.25">
      <c r="A41" s="1112">
        <v>33</v>
      </c>
      <c r="B41" s="35">
        <f>dtsiswa!D39</f>
        <v>0</v>
      </c>
      <c r="C41" s="36"/>
      <c r="D41" s="906"/>
      <c r="E41" s="906"/>
      <c r="F41" s="906"/>
      <c r="G41" s="906"/>
      <c r="H41" s="906"/>
      <c r="I41" s="906"/>
      <c r="J41" s="906"/>
      <c r="K41" s="906"/>
      <c r="L41" s="504">
        <f t="shared" si="0"/>
        <v>0</v>
      </c>
      <c r="M41" s="505">
        <f t="shared" si="1"/>
        <v>0</v>
      </c>
      <c r="N41" s="505">
        <f t="shared" si="2"/>
        <v>0</v>
      </c>
      <c r="O41" s="505">
        <f t="shared" si="3"/>
        <v>0</v>
      </c>
      <c r="P41" s="38">
        <f t="shared" si="4"/>
        <v>0</v>
      </c>
    </row>
    <row r="42" spans="1:16" ht="20.100000000000001" customHeight="1" x14ac:dyDescent="0.25">
      <c r="A42" s="1112">
        <v>34</v>
      </c>
      <c r="B42" s="35">
        <f>dtsiswa!D40</f>
        <v>0</v>
      </c>
      <c r="C42" s="36"/>
      <c r="D42" s="906"/>
      <c r="E42" s="906"/>
      <c r="F42" s="906"/>
      <c r="G42" s="906"/>
      <c r="H42" s="906"/>
      <c r="I42" s="906"/>
      <c r="J42" s="906"/>
      <c r="K42" s="906"/>
      <c r="L42" s="504">
        <f t="shared" si="0"/>
        <v>0</v>
      </c>
      <c r="M42" s="505">
        <f t="shared" si="1"/>
        <v>0</v>
      </c>
      <c r="N42" s="505">
        <f t="shared" si="2"/>
        <v>0</v>
      </c>
      <c r="O42" s="505">
        <f t="shared" si="3"/>
        <v>0</v>
      </c>
      <c r="P42" s="38">
        <f t="shared" si="4"/>
        <v>0</v>
      </c>
    </row>
    <row r="43" spans="1:16" ht="15.75" x14ac:dyDescent="0.25">
      <c r="A43" s="1112">
        <v>35</v>
      </c>
      <c r="B43" s="35">
        <f>dtsiswa!D41</f>
        <v>0</v>
      </c>
      <c r="C43" s="36"/>
      <c r="D43" s="906"/>
      <c r="E43" s="906"/>
      <c r="F43" s="906"/>
      <c r="G43" s="906"/>
      <c r="H43" s="906"/>
      <c r="I43" s="906"/>
      <c r="J43" s="906"/>
      <c r="K43" s="906"/>
      <c r="L43" s="504">
        <f t="shared" si="0"/>
        <v>0</v>
      </c>
      <c r="M43" s="505">
        <f t="shared" si="1"/>
        <v>0</v>
      </c>
      <c r="N43" s="505">
        <f t="shared" si="2"/>
        <v>0</v>
      </c>
      <c r="O43" s="505">
        <f t="shared" si="3"/>
        <v>0</v>
      </c>
      <c r="P43" s="38">
        <f t="shared" si="4"/>
        <v>0</v>
      </c>
    </row>
    <row r="44" spans="1:16" ht="15.75" x14ac:dyDescent="0.25">
      <c r="A44" s="1112">
        <v>36</v>
      </c>
      <c r="B44" s="35">
        <f>dtsiswa!D42</f>
        <v>0</v>
      </c>
      <c r="C44" s="36"/>
      <c r="D44" s="1112"/>
      <c r="E44" s="1112"/>
      <c r="F44" s="1112"/>
      <c r="G44" s="1112"/>
      <c r="H44" s="1112"/>
      <c r="I44" s="1112"/>
      <c r="J44" s="1112"/>
      <c r="K44" s="1112"/>
      <c r="L44" s="504">
        <f t="shared" ref="L44:L48" si="5">SUM(D44:K44)*100/11</f>
        <v>0</v>
      </c>
      <c r="M44" s="505">
        <f t="shared" ref="M44:M48" si="6">SUM(D44:H44)+J44</f>
        <v>0</v>
      </c>
      <c r="N44" s="505">
        <f t="shared" ref="N44:N48" si="7">I44</f>
        <v>0</v>
      </c>
      <c r="O44" s="505">
        <f t="shared" si="3"/>
        <v>0</v>
      </c>
      <c r="P44" s="38">
        <f t="shared" si="3"/>
        <v>0</v>
      </c>
    </row>
    <row r="45" spans="1:16" ht="15.75" x14ac:dyDescent="0.25">
      <c r="A45" s="1112">
        <v>37</v>
      </c>
      <c r="B45" s="35">
        <f>dtsiswa!D43</f>
        <v>0</v>
      </c>
      <c r="C45" s="36"/>
      <c r="D45" s="1112"/>
      <c r="E45" s="1112"/>
      <c r="F45" s="1112"/>
      <c r="G45" s="1112"/>
      <c r="H45" s="1112"/>
      <c r="I45" s="1112"/>
      <c r="J45" s="1112"/>
      <c r="K45" s="1112"/>
      <c r="L45" s="504">
        <f t="shared" si="5"/>
        <v>0</v>
      </c>
      <c r="M45" s="505">
        <f t="shared" si="6"/>
        <v>0</v>
      </c>
      <c r="N45" s="505">
        <f t="shared" si="7"/>
        <v>0</v>
      </c>
      <c r="O45" s="505">
        <f t="shared" ref="O45:P48" si="8">K45</f>
        <v>0</v>
      </c>
      <c r="P45" s="38">
        <f t="shared" si="8"/>
        <v>0</v>
      </c>
    </row>
    <row r="46" spans="1:16" ht="15.75" x14ac:dyDescent="0.25">
      <c r="A46" s="1112">
        <v>38</v>
      </c>
      <c r="B46" s="35">
        <f>dtsiswa!D44</f>
        <v>0</v>
      </c>
      <c r="C46" s="36"/>
      <c r="D46" s="1112"/>
      <c r="E46" s="1112"/>
      <c r="F46" s="1112"/>
      <c r="G46" s="1112"/>
      <c r="H46" s="1112"/>
      <c r="I46" s="1112"/>
      <c r="J46" s="1112"/>
      <c r="K46" s="1112"/>
      <c r="L46" s="504">
        <f t="shared" si="5"/>
        <v>0</v>
      </c>
      <c r="M46" s="505">
        <f t="shared" si="6"/>
        <v>0</v>
      </c>
      <c r="N46" s="505">
        <f t="shared" si="7"/>
        <v>0</v>
      </c>
      <c r="O46" s="505">
        <f t="shared" si="8"/>
        <v>0</v>
      </c>
      <c r="P46" s="38">
        <f t="shared" si="8"/>
        <v>0</v>
      </c>
    </row>
    <row r="47" spans="1:16" ht="15.75" x14ac:dyDescent="0.25">
      <c r="A47" s="1112">
        <v>39</v>
      </c>
      <c r="B47" s="35">
        <f>dtsiswa!D45</f>
        <v>0</v>
      </c>
      <c r="C47" s="36"/>
      <c r="D47" s="1112"/>
      <c r="E47" s="1112"/>
      <c r="F47" s="1112"/>
      <c r="G47" s="1112"/>
      <c r="H47" s="1112"/>
      <c r="I47" s="1112"/>
      <c r="J47" s="1112"/>
      <c r="K47" s="1112"/>
      <c r="L47" s="504">
        <f t="shared" si="5"/>
        <v>0</v>
      </c>
      <c r="M47" s="505">
        <f t="shared" si="6"/>
        <v>0</v>
      </c>
      <c r="N47" s="505">
        <f t="shared" si="7"/>
        <v>0</v>
      </c>
      <c r="O47" s="505">
        <f t="shared" si="8"/>
        <v>0</v>
      </c>
      <c r="P47" s="38">
        <f t="shared" si="8"/>
        <v>0</v>
      </c>
    </row>
    <row r="48" spans="1:16" ht="15.75" x14ac:dyDescent="0.25">
      <c r="A48" s="1112">
        <v>40</v>
      </c>
      <c r="B48" s="35">
        <f>dtsiswa!D46</f>
        <v>0</v>
      </c>
      <c r="C48" s="36"/>
      <c r="D48" s="1112"/>
      <c r="E48" s="1112"/>
      <c r="F48" s="1112"/>
      <c r="G48" s="1112"/>
      <c r="H48" s="1112"/>
      <c r="I48" s="1112"/>
      <c r="J48" s="1112"/>
      <c r="K48" s="1112"/>
      <c r="L48" s="504">
        <f t="shared" si="5"/>
        <v>0</v>
      </c>
      <c r="M48" s="505">
        <f t="shared" si="6"/>
        <v>0</v>
      </c>
      <c r="N48" s="505">
        <f t="shared" si="7"/>
        <v>0</v>
      </c>
      <c r="O48" s="505">
        <f t="shared" si="8"/>
        <v>0</v>
      </c>
      <c r="P48" s="38">
        <f t="shared" si="8"/>
        <v>0</v>
      </c>
    </row>
  </sheetData>
  <mergeCells count="11">
    <mergeCell ref="P6:P8"/>
    <mergeCell ref="A1:P1"/>
    <mergeCell ref="A2:P2"/>
    <mergeCell ref="A6:A8"/>
    <mergeCell ref="B6:B8"/>
    <mergeCell ref="C6:C8"/>
    <mergeCell ref="D6:K6"/>
    <mergeCell ref="L6:L8"/>
    <mergeCell ref="M6:M8"/>
    <mergeCell ref="N6:N8"/>
    <mergeCell ref="O6:O8"/>
  </mergeCells>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66FF33"/>
  </sheetPr>
  <dimension ref="A1:P48"/>
  <sheetViews>
    <sheetView showGridLines="0" workbookViewId="0">
      <pane xSplit="2" ySplit="8" topLeftCell="C27" activePane="bottomRight" state="frozen"/>
      <selection sqref="A1:Q1"/>
      <selection pane="topRight" sqref="A1:Q1"/>
      <selection pane="bottomLeft" sqref="A1:Q1"/>
      <selection pane="bottomRight" sqref="A1:Q1"/>
    </sheetView>
  </sheetViews>
  <sheetFormatPr defaultRowHeight="15" x14ac:dyDescent="0.25"/>
  <cols>
    <col min="1" max="1" width="4.7109375" customWidth="1"/>
    <col min="2" max="2" width="32.85546875" customWidth="1"/>
    <col min="3" max="4" width="5.42578125" customWidth="1"/>
    <col min="5" max="5" width="5.5703125" customWidth="1"/>
    <col min="6" max="7" width="4.7109375" customWidth="1"/>
    <col min="8" max="9" width="5.5703125" customWidth="1"/>
    <col min="10" max="11" width="6" customWidth="1"/>
    <col min="12" max="12" width="5.5703125" customWidth="1"/>
    <col min="13" max="15" width="5.7109375" customWidth="1"/>
    <col min="16" max="16" width="10.7109375" customWidth="1"/>
  </cols>
  <sheetData>
    <row r="1" spans="1:16" ht="15.75" x14ac:dyDescent="0.25">
      <c r="A1" s="3257"/>
      <c r="B1" s="3258"/>
      <c r="C1" s="3258"/>
      <c r="D1" s="3258"/>
      <c r="E1" s="3258"/>
      <c r="F1" s="3258"/>
      <c r="G1" s="3258"/>
      <c r="H1" s="3258"/>
      <c r="I1" s="3258"/>
      <c r="J1" s="3258"/>
      <c r="K1" s="3258"/>
      <c r="L1" s="3258"/>
      <c r="M1" s="3258"/>
      <c r="N1" s="3258"/>
      <c r="O1" s="3258"/>
      <c r="P1" s="3258"/>
    </row>
    <row r="2" spans="1:16" ht="19.5" customHeight="1" x14ac:dyDescent="0.25">
      <c r="A2" s="3259"/>
      <c r="B2" s="3260"/>
      <c r="C2" s="3260"/>
      <c r="D2" s="3260"/>
      <c r="E2" s="3260"/>
      <c r="F2" s="3260"/>
      <c r="G2" s="3260"/>
      <c r="H2" s="3260"/>
      <c r="I2" s="3260"/>
      <c r="J2" s="3260"/>
      <c r="K2" s="3260"/>
      <c r="L2" s="3260"/>
      <c r="M2" s="3260"/>
      <c r="N2" s="3260"/>
      <c r="O2" s="3260"/>
      <c r="P2" s="3260"/>
    </row>
    <row r="3" spans="1:16" ht="21" x14ac:dyDescent="0.35">
      <c r="A3" s="544" t="s">
        <v>580</v>
      </c>
    </row>
    <row r="4" spans="1:16" ht="21" x14ac:dyDescent="0.35">
      <c r="A4" s="544"/>
    </row>
    <row r="5" spans="1:16" s="204" customFormat="1" ht="15.75" x14ac:dyDescent="0.25">
      <c r="A5" s="204">
        <v>1</v>
      </c>
      <c r="B5" s="204">
        <v>2</v>
      </c>
      <c r="C5" s="204">
        <v>3</v>
      </c>
      <c r="D5" s="204">
        <v>4</v>
      </c>
      <c r="E5" s="204">
        <v>5</v>
      </c>
      <c r="F5" s="204">
        <v>6</v>
      </c>
      <c r="G5" s="204">
        <v>7</v>
      </c>
      <c r="H5" s="204">
        <v>8</v>
      </c>
      <c r="I5" s="204">
        <v>9</v>
      </c>
      <c r="J5" s="204">
        <v>10</v>
      </c>
      <c r="K5" s="204">
        <v>11</v>
      </c>
      <c r="L5" s="204">
        <v>12</v>
      </c>
      <c r="M5" s="204">
        <v>13</v>
      </c>
      <c r="N5" s="204">
        <v>14</v>
      </c>
      <c r="O5" s="204">
        <v>15</v>
      </c>
      <c r="P5" s="204">
        <v>16</v>
      </c>
    </row>
    <row r="6" spans="1:16" s="907" customFormat="1" ht="20.25" customHeight="1" x14ac:dyDescent="0.25">
      <c r="A6" s="3231" t="s">
        <v>0</v>
      </c>
      <c r="B6" s="3231" t="s">
        <v>28</v>
      </c>
      <c r="C6" s="3231" t="s">
        <v>3</v>
      </c>
      <c r="D6" s="3233" t="s">
        <v>582</v>
      </c>
      <c r="E6" s="3234"/>
      <c r="F6" s="3234"/>
      <c r="G6" s="3234"/>
      <c r="H6" s="3234"/>
      <c r="I6" s="3234"/>
      <c r="J6" s="3234"/>
      <c r="K6" s="3235"/>
      <c r="L6" s="3130" t="s">
        <v>159</v>
      </c>
      <c r="M6" s="3232" t="s">
        <v>29</v>
      </c>
      <c r="N6" s="3232" t="s">
        <v>30</v>
      </c>
      <c r="O6" s="3232" t="s">
        <v>31</v>
      </c>
      <c r="P6" s="3149" t="s">
        <v>32</v>
      </c>
    </row>
    <row r="7" spans="1:16" s="907" customFormat="1" ht="20.25" customHeight="1" x14ac:dyDescent="0.25">
      <c r="A7" s="3231"/>
      <c r="B7" s="3231"/>
      <c r="C7" s="3231"/>
      <c r="D7" s="31" t="s">
        <v>29</v>
      </c>
      <c r="E7" s="31" t="s">
        <v>29</v>
      </c>
      <c r="F7" s="31" t="s">
        <v>29</v>
      </c>
      <c r="G7" s="31" t="s">
        <v>29</v>
      </c>
      <c r="H7" s="31" t="s">
        <v>29</v>
      </c>
      <c r="I7" s="31" t="s">
        <v>29</v>
      </c>
      <c r="J7" s="32" t="s">
        <v>30</v>
      </c>
      <c r="K7" s="33" t="s">
        <v>31</v>
      </c>
      <c r="L7" s="3130"/>
      <c r="M7" s="3232"/>
      <c r="N7" s="3232"/>
      <c r="O7" s="3232"/>
      <c r="P7" s="3149"/>
    </row>
    <row r="8" spans="1:16" ht="22.5" customHeight="1" x14ac:dyDescent="0.25">
      <c r="A8" s="3231"/>
      <c r="B8" s="3231"/>
      <c r="C8" s="3231"/>
      <c r="D8" s="284">
        <v>1</v>
      </c>
      <c r="E8" s="284">
        <v>2</v>
      </c>
      <c r="F8" s="284">
        <v>3</v>
      </c>
      <c r="G8" s="284">
        <v>4</v>
      </c>
      <c r="H8" s="284">
        <v>5</v>
      </c>
      <c r="I8" s="284">
        <v>6</v>
      </c>
      <c r="J8" s="284">
        <v>7</v>
      </c>
      <c r="K8" s="284">
        <v>8</v>
      </c>
      <c r="L8" s="3130"/>
      <c r="M8" s="3232"/>
      <c r="N8" s="3232"/>
      <c r="O8" s="3232"/>
      <c r="P8" s="3149"/>
    </row>
    <row r="9" spans="1:16" ht="20.100000000000001" customHeight="1" x14ac:dyDescent="0.25">
      <c r="A9" s="34">
        <v>1</v>
      </c>
      <c r="B9" s="198" t="str">
        <f>dtsiswa!D7</f>
        <v>Achmad Zacky</v>
      </c>
      <c r="C9" s="291" t="s">
        <v>4</v>
      </c>
      <c r="D9" s="200">
        <v>0</v>
      </c>
      <c r="E9" s="200">
        <v>0</v>
      </c>
      <c r="F9" s="200">
        <v>1</v>
      </c>
      <c r="G9" s="200">
        <v>1</v>
      </c>
      <c r="H9" s="200">
        <v>1</v>
      </c>
      <c r="I9" s="200">
        <v>1</v>
      </c>
      <c r="J9" s="200">
        <v>0</v>
      </c>
      <c r="K9" s="200">
        <v>3</v>
      </c>
      <c r="L9" s="504">
        <f>SUM(D9:K9)*100/11</f>
        <v>63.636363636363633</v>
      </c>
      <c r="M9" s="505">
        <f>SUM(D9:I9)</f>
        <v>4</v>
      </c>
      <c r="N9" s="505">
        <f>J9</f>
        <v>0</v>
      </c>
      <c r="O9" s="505">
        <f>K9</f>
        <v>3</v>
      </c>
      <c r="P9" s="38">
        <f>L9</f>
        <v>63.636363636363633</v>
      </c>
    </row>
    <row r="10" spans="1:16" ht="20.100000000000001" customHeight="1" x14ac:dyDescent="0.25">
      <c r="A10" s="906">
        <v>2</v>
      </c>
      <c r="B10" s="35" t="str">
        <f>dtsiswa!D8</f>
        <v>Angelia Vabel R</v>
      </c>
      <c r="C10" s="36" t="s">
        <v>4</v>
      </c>
      <c r="D10" s="200"/>
      <c r="E10" s="200"/>
      <c r="F10" s="200"/>
      <c r="G10" s="200"/>
      <c r="H10" s="200"/>
      <c r="I10" s="200"/>
      <c r="J10" s="200"/>
      <c r="K10" s="200"/>
      <c r="L10" s="504">
        <f t="shared" ref="L10:L48" si="0">SUM(D10:K10)*100/11</f>
        <v>0</v>
      </c>
      <c r="M10" s="505">
        <f t="shared" ref="M10:M43" si="1">SUM(D10:I10)</f>
        <v>0</v>
      </c>
      <c r="N10" s="505">
        <f t="shared" ref="N10:N43" si="2">J10</f>
        <v>0</v>
      </c>
      <c r="O10" s="505">
        <f t="shared" ref="O10:P44" si="3">K10</f>
        <v>0</v>
      </c>
      <c r="P10" s="38">
        <f t="shared" ref="P10:P43" si="4">L10</f>
        <v>0</v>
      </c>
    </row>
    <row r="11" spans="1:16" ht="20.100000000000001" customHeight="1" x14ac:dyDescent="0.25">
      <c r="A11" s="906">
        <v>3</v>
      </c>
      <c r="B11" s="35" t="str">
        <f>dtsiswa!D9</f>
        <v>Anggun Dwi P.I</v>
      </c>
      <c r="C11" s="36" t="s">
        <v>4</v>
      </c>
      <c r="D11" s="200"/>
      <c r="E11" s="200"/>
      <c r="F11" s="200"/>
      <c r="G11" s="200"/>
      <c r="H11" s="200"/>
      <c r="I11" s="200"/>
      <c r="J11" s="200"/>
      <c r="K11" s="200"/>
      <c r="L11" s="504">
        <f t="shared" si="0"/>
        <v>0</v>
      </c>
      <c r="M11" s="505">
        <f t="shared" si="1"/>
        <v>0</v>
      </c>
      <c r="N11" s="505">
        <f t="shared" si="2"/>
        <v>0</v>
      </c>
      <c r="O11" s="505">
        <f t="shared" si="3"/>
        <v>0</v>
      </c>
      <c r="P11" s="38">
        <f t="shared" si="4"/>
        <v>0</v>
      </c>
    </row>
    <row r="12" spans="1:16" ht="20.100000000000001" customHeight="1" x14ac:dyDescent="0.25">
      <c r="A12" s="906">
        <v>4</v>
      </c>
      <c r="B12" s="35" t="str">
        <f>dtsiswa!D10</f>
        <v>Antonio Permata A</v>
      </c>
      <c r="C12" s="43" t="s">
        <v>4</v>
      </c>
      <c r="D12" s="59"/>
      <c r="E12" s="59"/>
      <c r="F12" s="59"/>
      <c r="G12" s="59"/>
      <c r="H12" s="59"/>
      <c r="I12" s="59"/>
      <c r="J12" s="59"/>
      <c r="K12" s="59"/>
      <c r="L12" s="504">
        <f t="shared" si="0"/>
        <v>0</v>
      </c>
      <c r="M12" s="505">
        <f t="shared" si="1"/>
        <v>0</v>
      </c>
      <c r="N12" s="505">
        <f t="shared" si="2"/>
        <v>0</v>
      </c>
      <c r="O12" s="505">
        <f t="shared" si="3"/>
        <v>0</v>
      </c>
      <c r="P12" s="38">
        <f t="shared" si="4"/>
        <v>0</v>
      </c>
    </row>
    <row r="13" spans="1:16" ht="20.100000000000001" customHeight="1" x14ac:dyDescent="0.25">
      <c r="A13" s="906">
        <v>5</v>
      </c>
      <c r="B13" s="35" t="str">
        <f>dtsiswa!D11</f>
        <v>Arya Pratama G</v>
      </c>
      <c r="C13" s="36" t="s">
        <v>5</v>
      </c>
      <c r="D13" s="59"/>
      <c r="E13" s="59"/>
      <c r="F13" s="59"/>
      <c r="G13" s="59"/>
      <c r="H13" s="59"/>
      <c r="I13" s="59"/>
      <c r="J13" s="59"/>
      <c r="K13" s="59"/>
      <c r="L13" s="504">
        <f t="shared" si="0"/>
        <v>0</v>
      </c>
      <c r="M13" s="505">
        <f t="shared" si="1"/>
        <v>0</v>
      </c>
      <c r="N13" s="505">
        <f t="shared" si="2"/>
        <v>0</v>
      </c>
      <c r="O13" s="505">
        <f t="shared" si="3"/>
        <v>0</v>
      </c>
      <c r="P13" s="38">
        <f t="shared" si="4"/>
        <v>0</v>
      </c>
    </row>
    <row r="14" spans="1:16" ht="20.100000000000001" customHeight="1" x14ac:dyDescent="0.25">
      <c r="A14" s="906">
        <v>6</v>
      </c>
      <c r="B14" s="35" t="str">
        <f>dtsiswa!D12</f>
        <v>Asyam Hanif Ihsan H</v>
      </c>
      <c r="C14" s="36" t="s">
        <v>5</v>
      </c>
      <c r="D14" s="59"/>
      <c r="E14" s="59"/>
      <c r="F14" s="59"/>
      <c r="G14" s="59"/>
      <c r="H14" s="59"/>
      <c r="I14" s="59"/>
      <c r="J14" s="59"/>
      <c r="K14" s="59"/>
      <c r="L14" s="504">
        <f t="shared" si="0"/>
        <v>0</v>
      </c>
      <c r="M14" s="505">
        <f t="shared" si="1"/>
        <v>0</v>
      </c>
      <c r="N14" s="505">
        <f t="shared" si="2"/>
        <v>0</v>
      </c>
      <c r="O14" s="505">
        <f t="shared" si="3"/>
        <v>0</v>
      </c>
      <c r="P14" s="38">
        <f t="shared" si="4"/>
        <v>0</v>
      </c>
    </row>
    <row r="15" spans="1:16" ht="20.100000000000001" customHeight="1" x14ac:dyDescent="0.25">
      <c r="A15" s="906">
        <v>7</v>
      </c>
      <c r="B15" s="35" t="str">
        <f>dtsiswa!D13</f>
        <v>Athaya Salsabilla Z</v>
      </c>
      <c r="C15" s="36" t="s">
        <v>4</v>
      </c>
      <c r="D15" s="59"/>
      <c r="E15" s="59"/>
      <c r="F15" s="59"/>
      <c r="G15" s="59"/>
      <c r="H15" s="59"/>
      <c r="I15" s="59"/>
      <c r="J15" s="59"/>
      <c r="K15" s="59"/>
      <c r="L15" s="504">
        <f t="shared" si="0"/>
        <v>0</v>
      </c>
      <c r="M15" s="505">
        <f t="shared" si="1"/>
        <v>0</v>
      </c>
      <c r="N15" s="505">
        <f t="shared" si="2"/>
        <v>0</v>
      </c>
      <c r="O15" s="505">
        <f t="shared" si="3"/>
        <v>0</v>
      </c>
      <c r="P15" s="38">
        <f t="shared" si="4"/>
        <v>0</v>
      </c>
    </row>
    <row r="16" spans="1:16" ht="20.100000000000001" customHeight="1" x14ac:dyDescent="0.25">
      <c r="A16" s="906">
        <v>8</v>
      </c>
      <c r="B16" s="35" t="str">
        <f>dtsiswa!D14</f>
        <v>Aulia Dea Rosalinda</v>
      </c>
      <c r="C16" s="36" t="s">
        <v>4</v>
      </c>
      <c r="D16" s="59"/>
      <c r="E16" s="59"/>
      <c r="F16" s="59"/>
      <c r="G16" s="59"/>
      <c r="H16" s="59"/>
      <c r="I16" s="59"/>
      <c r="J16" s="59"/>
      <c r="K16" s="59"/>
      <c r="L16" s="504">
        <f t="shared" si="0"/>
        <v>0</v>
      </c>
      <c r="M16" s="505">
        <f t="shared" si="1"/>
        <v>0</v>
      </c>
      <c r="N16" s="505">
        <f t="shared" si="2"/>
        <v>0</v>
      </c>
      <c r="O16" s="505">
        <f t="shared" si="3"/>
        <v>0</v>
      </c>
      <c r="P16" s="38">
        <f t="shared" si="4"/>
        <v>0</v>
      </c>
    </row>
    <row r="17" spans="1:16" ht="20.100000000000001" customHeight="1" x14ac:dyDescent="0.25">
      <c r="A17" s="906">
        <v>9</v>
      </c>
      <c r="B17" s="35" t="str">
        <f>dtsiswa!D15</f>
        <v>Claudia Gabriella L</v>
      </c>
      <c r="C17" s="36" t="s">
        <v>4</v>
      </c>
      <c r="D17" s="59"/>
      <c r="E17" s="59"/>
      <c r="F17" s="59"/>
      <c r="G17" s="59"/>
      <c r="H17" s="59"/>
      <c r="I17" s="59"/>
      <c r="J17" s="59"/>
      <c r="K17" s="59"/>
      <c r="L17" s="504">
        <f t="shared" si="0"/>
        <v>0</v>
      </c>
      <c r="M17" s="505">
        <f t="shared" si="1"/>
        <v>0</v>
      </c>
      <c r="N17" s="505">
        <f t="shared" si="2"/>
        <v>0</v>
      </c>
      <c r="O17" s="505">
        <f t="shared" si="3"/>
        <v>0</v>
      </c>
      <c r="P17" s="38">
        <f t="shared" si="4"/>
        <v>0</v>
      </c>
    </row>
    <row r="18" spans="1:16" ht="20.100000000000001" customHeight="1" x14ac:dyDescent="0.25">
      <c r="A18" s="906">
        <v>10</v>
      </c>
      <c r="B18" s="35" t="str">
        <f>dtsiswa!D16</f>
        <v xml:space="preserve">Deco Badarus Zaman </v>
      </c>
      <c r="C18" s="36" t="s">
        <v>4</v>
      </c>
      <c r="D18" s="59"/>
      <c r="E18" s="59"/>
      <c r="F18" s="59"/>
      <c r="G18" s="59"/>
      <c r="H18" s="59"/>
      <c r="I18" s="59"/>
      <c r="J18" s="59"/>
      <c r="K18" s="59"/>
      <c r="L18" s="504">
        <f t="shared" si="0"/>
        <v>0</v>
      </c>
      <c r="M18" s="505">
        <f t="shared" si="1"/>
        <v>0</v>
      </c>
      <c r="N18" s="505">
        <f t="shared" si="2"/>
        <v>0</v>
      </c>
      <c r="O18" s="505">
        <f t="shared" si="3"/>
        <v>0</v>
      </c>
      <c r="P18" s="38">
        <f t="shared" si="4"/>
        <v>0</v>
      </c>
    </row>
    <row r="19" spans="1:16" ht="20.100000000000001" customHeight="1" x14ac:dyDescent="0.25">
      <c r="A19" s="906">
        <v>11</v>
      </c>
      <c r="B19" s="35" t="str">
        <f>dtsiswa!D17</f>
        <v>Fania Mutiara Felichia</v>
      </c>
      <c r="C19" s="36" t="s">
        <v>4</v>
      </c>
      <c r="D19" s="59"/>
      <c r="E19" s="59"/>
      <c r="F19" s="59"/>
      <c r="G19" s="59"/>
      <c r="H19" s="59"/>
      <c r="I19" s="59"/>
      <c r="J19" s="59"/>
      <c r="K19" s="59"/>
      <c r="L19" s="504">
        <f t="shared" si="0"/>
        <v>0</v>
      </c>
      <c r="M19" s="505">
        <f t="shared" si="1"/>
        <v>0</v>
      </c>
      <c r="N19" s="505">
        <f t="shared" si="2"/>
        <v>0</v>
      </c>
      <c r="O19" s="505">
        <f t="shared" si="3"/>
        <v>0</v>
      </c>
      <c r="P19" s="38">
        <f t="shared" si="4"/>
        <v>0</v>
      </c>
    </row>
    <row r="20" spans="1:16" ht="20.100000000000001" customHeight="1" x14ac:dyDescent="0.25">
      <c r="A20" s="906">
        <v>12</v>
      </c>
      <c r="B20" s="35" t="str">
        <f>dtsiswa!D18</f>
        <v>Intan Dyah Nowari</v>
      </c>
      <c r="C20" s="36" t="s">
        <v>4</v>
      </c>
      <c r="D20" s="59"/>
      <c r="E20" s="59"/>
      <c r="F20" s="59"/>
      <c r="G20" s="59"/>
      <c r="H20" s="59"/>
      <c r="I20" s="59"/>
      <c r="J20" s="59"/>
      <c r="K20" s="59"/>
      <c r="L20" s="504">
        <f t="shared" si="0"/>
        <v>0</v>
      </c>
      <c r="M20" s="505">
        <f t="shared" si="1"/>
        <v>0</v>
      </c>
      <c r="N20" s="505">
        <f t="shared" si="2"/>
        <v>0</v>
      </c>
      <c r="O20" s="505">
        <f t="shared" si="3"/>
        <v>0</v>
      </c>
      <c r="P20" s="38">
        <f t="shared" si="4"/>
        <v>0</v>
      </c>
    </row>
    <row r="21" spans="1:16" ht="20.100000000000001" customHeight="1" x14ac:dyDescent="0.25">
      <c r="A21" s="906">
        <v>13</v>
      </c>
      <c r="B21" s="35" t="str">
        <f>dtsiswa!D19</f>
        <v>Misyanita Nurfitri S</v>
      </c>
      <c r="C21" s="36" t="s">
        <v>5</v>
      </c>
      <c r="D21" s="59"/>
      <c r="E21" s="59"/>
      <c r="F21" s="59"/>
      <c r="G21" s="59"/>
      <c r="H21" s="59"/>
      <c r="I21" s="59"/>
      <c r="J21" s="59"/>
      <c r="K21" s="59"/>
      <c r="L21" s="504">
        <f t="shared" si="0"/>
        <v>0</v>
      </c>
      <c r="M21" s="505">
        <f t="shared" si="1"/>
        <v>0</v>
      </c>
      <c r="N21" s="505">
        <f t="shared" si="2"/>
        <v>0</v>
      </c>
      <c r="O21" s="505">
        <f t="shared" si="3"/>
        <v>0</v>
      </c>
      <c r="P21" s="38">
        <f t="shared" si="4"/>
        <v>0</v>
      </c>
    </row>
    <row r="22" spans="1:16" ht="20.100000000000001" customHeight="1" x14ac:dyDescent="0.25">
      <c r="A22" s="906">
        <v>14</v>
      </c>
      <c r="B22" s="35" t="str">
        <f>dtsiswa!D20</f>
        <v>Moch Zidane Hita L. U</v>
      </c>
      <c r="C22" s="36" t="s">
        <v>4</v>
      </c>
      <c r="D22" s="59"/>
      <c r="E22" s="59"/>
      <c r="F22" s="59"/>
      <c r="G22" s="59"/>
      <c r="H22" s="59"/>
      <c r="I22" s="59"/>
      <c r="J22" s="59"/>
      <c r="K22" s="59"/>
      <c r="L22" s="504">
        <f t="shared" si="0"/>
        <v>0</v>
      </c>
      <c r="M22" s="505">
        <f t="shared" si="1"/>
        <v>0</v>
      </c>
      <c r="N22" s="505">
        <f t="shared" si="2"/>
        <v>0</v>
      </c>
      <c r="O22" s="505">
        <f t="shared" si="3"/>
        <v>0</v>
      </c>
      <c r="P22" s="38">
        <f t="shared" si="4"/>
        <v>0</v>
      </c>
    </row>
    <row r="23" spans="1:16" ht="20.100000000000001" customHeight="1" x14ac:dyDescent="0.25">
      <c r="A23" s="906">
        <v>15</v>
      </c>
      <c r="B23" s="35" t="str">
        <f>dtsiswa!D21</f>
        <v>Muhammad Ibra Maulana</v>
      </c>
      <c r="C23" s="36" t="s">
        <v>4</v>
      </c>
      <c r="D23" s="59"/>
      <c r="E23" s="59"/>
      <c r="F23" s="59"/>
      <c r="G23" s="59"/>
      <c r="H23" s="59"/>
      <c r="I23" s="59"/>
      <c r="J23" s="59"/>
      <c r="K23" s="59"/>
      <c r="L23" s="504">
        <f t="shared" si="0"/>
        <v>0</v>
      </c>
      <c r="M23" s="505">
        <f t="shared" si="1"/>
        <v>0</v>
      </c>
      <c r="N23" s="505">
        <f t="shared" si="2"/>
        <v>0</v>
      </c>
      <c r="O23" s="505">
        <f t="shared" si="3"/>
        <v>0</v>
      </c>
      <c r="P23" s="38">
        <f t="shared" si="4"/>
        <v>0</v>
      </c>
    </row>
    <row r="24" spans="1:16" ht="20.100000000000001" customHeight="1" x14ac:dyDescent="0.25">
      <c r="A24" s="906">
        <v>16</v>
      </c>
      <c r="B24" s="35" t="str">
        <f>dtsiswa!D22</f>
        <v>Nabilla Shiva Putri</v>
      </c>
      <c r="C24" s="36" t="s">
        <v>4</v>
      </c>
      <c r="D24" s="59"/>
      <c r="E24" s="59"/>
      <c r="F24" s="59"/>
      <c r="G24" s="59"/>
      <c r="H24" s="59"/>
      <c r="I24" s="59"/>
      <c r="J24" s="59"/>
      <c r="K24" s="59"/>
      <c r="L24" s="504">
        <f t="shared" si="0"/>
        <v>0</v>
      </c>
      <c r="M24" s="505">
        <f t="shared" si="1"/>
        <v>0</v>
      </c>
      <c r="N24" s="505">
        <f t="shared" si="2"/>
        <v>0</v>
      </c>
      <c r="O24" s="505">
        <f t="shared" si="3"/>
        <v>0</v>
      </c>
      <c r="P24" s="38">
        <f t="shared" si="4"/>
        <v>0</v>
      </c>
    </row>
    <row r="25" spans="1:16" ht="20.100000000000001" customHeight="1" x14ac:dyDescent="0.25">
      <c r="A25" s="906">
        <v>17</v>
      </c>
      <c r="B25" s="35" t="str">
        <f>dtsiswa!D23</f>
        <v>Naufal Falih F</v>
      </c>
      <c r="C25" s="36" t="s">
        <v>5</v>
      </c>
      <c r="D25" s="59"/>
      <c r="E25" s="59"/>
      <c r="F25" s="59"/>
      <c r="G25" s="59"/>
      <c r="H25" s="59"/>
      <c r="I25" s="59"/>
      <c r="J25" s="59"/>
      <c r="K25" s="59"/>
      <c r="L25" s="504">
        <f t="shared" si="0"/>
        <v>0</v>
      </c>
      <c r="M25" s="505">
        <f t="shared" si="1"/>
        <v>0</v>
      </c>
      <c r="N25" s="505">
        <f t="shared" si="2"/>
        <v>0</v>
      </c>
      <c r="O25" s="505">
        <f t="shared" si="3"/>
        <v>0</v>
      </c>
      <c r="P25" s="38">
        <f t="shared" si="4"/>
        <v>0</v>
      </c>
    </row>
    <row r="26" spans="1:16" ht="20.100000000000001" customHeight="1" x14ac:dyDescent="0.25">
      <c r="A26" s="906">
        <v>18</v>
      </c>
      <c r="B26" s="35" t="str">
        <f>dtsiswa!D24</f>
        <v>Nayla Annora Nobel W</v>
      </c>
      <c r="C26" s="36" t="s">
        <v>4</v>
      </c>
      <c r="D26" s="59"/>
      <c r="E26" s="59"/>
      <c r="F26" s="59"/>
      <c r="G26" s="59"/>
      <c r="H26" s="59"/>
      <c r="I26" s="59"/>
      <c r="J26" s="59"/>
      <c r="K26" s="59"/>
      <c r="L26" s="504">
        <f t="shared" si="0"/>
        <v>0</v>
      </c>
      <c r="M26" s="505">
        <f t="shared" si="1"/>
        <v>0</v>
      </c>
      <c r="N26" s="505">
        <f t="shared" si="2"/>
        <v>0</v>
      </c>
      <c r="O26" s="505">
        <f t="shared" si="3"/>
        <v>0</v>
      </c>
      <c r="P26" s="38">
        <f t="shared" si="4"/>
        <v>0</v>
      </c>
    </row>
    <row r="27" spans="1:16" ht="20.100000000000001" customHeight="1" x14ac:dyDescent="0.25">
      <c r="A27" s="906">
        <v>19</v>
      </c>
      <c r="B27" s="35" t="str">
        <f>dtsiswa!D25</f>
        <v>Raihan Danang P</v>
      </c>
      <c r="C27" s="36" t="s">
        <v>5</v>
      </c>
      <c r="D27" s="59"/>
      <c r="E27" s="59"/>
      <c r="F27" s="59"/>
      <c r="G27" s="59"/>
      <c r="H27" s="59"/>
      <c r="I27" s="59"/>
      <c r="J27" s="59"/>
      <c r="K27" s="59"/>
      <c r="L27" s="504">
        <f t="shared" si="0"/>
        <v>0</v>
      </c>
      <c r="M27" s="505">
        <f t="shared" si="1"/>
        <v>0</v>
      </c>
      <c r="N27" s="505">
        <f t="shared" si="2"/>
        <v>0</v>
      </c>
      <c r="O27" s="505">
        <f t="shared" si="3"/>
        <v>0</v>
      </c>
      <c r="P27" s="38">
        <f t="shared" si="4"/>
        <v>0</v>
      </c>
    </row>
    <row r="28" spans="1:16" ht="20.100000000000001" customHeight="1" x14ac:dyDescent="0.25">
      <c r="A28" s="906">
        <v>20</v>
      </c>
      <c r="B28" s="35" t="str">
        <f>dtsiswa!D26</f>
        <v>Roby Ardiyansyah</v>
      </c>
      <c r="C28" s="36" t="s">
        <v>5</v>
      </c>
      <c r="D28" s="906"/>
      <c r="E28" s="906"/>
      <c r="F28" s="906"/>
      <c r="G28" s="906"/>
      <c r="H28" s="906"/>
      <c r="I28" s="906"/>
      <c r="J28" s="906"/>
      <c r="K28" s="906"/>
      <c r="L28" s="504">
        <f t="shared" si="0"/>
        <v>0</v>
      </c>
      <c r="M28" s="505">
        <f t="shared" si="1"/>
        <v>0</v>
      </c>
      <c r="N28" s="505">
        <f t="shared" si="2"/>
        <v>0</v>
      </c>
      <c r="O28" s="505">
        <f t="shared" si="3"/>
        <v>0</v>
      </c>
      <c r="P28" s="38">
        <f t="shared" si="4"/>
        <v>0</v>
      </c>
    </row>
    <row r="29" spans="1:16" ht="20.100000000000001" customHeight="1" x14ac:dyDescent="0.25">
      <c r="A29" s="906">
        <v>21</v>
      </c>
      <c r="B29" s="35" t="str">
        <f>dtsiswa!D27</f>
        <v>Rojalingga Prana A</v>
      </c>
      <c r="C29" s="44" t="s">
        <v>4</v>
      </c>
      <c r="D29" s="59"/>
      <c r="E29" s="59"/>
      <c r="F29" s="59"/>
      <c r="G29" s="59"/>
      <c r="H29" s="59"/>
      <c r="I29" s="59"/>
      <c r="J29" s="59"/>
      <c r="K29" s="59"/>
      <c r="L29" s="504">
        <f t="shared" si="0"/>
        <v>0</v>
      </c>
      <c r="M29" s="505">
        <f t="shared" si="1"/>
        <v>0</v>
      </c>
      <c r="N29" s="505">
        <f t="shared" si="2"/>
        <v>0</v>
      </c>
      <c r="O29" s="505">
        <f t="shared" si="3"/>
        <v>0</v>
      </c>
      <c r="P29" s="38">
        <f t="shared" si="4"/>
        <v>0</v>
      </c>
    </row>
    <row r="30" spans="1:16" ht="20.100000000000001" customHeight="1" x14ac:dyDescent="0.25">
      <c r="A30" s="906">
        <v>22</v>
      </c>
      <c r="B30" s="35" t="str">
        <f>dtsiswa!D28</f>
        <v>Sally Savista A</v>
      </c>
      <c r="C30" s="45" t="s">
        <v>4</v>
      </c>
      <c r="D30" s="906"/>
      <c r="E30" s="906"/>
      <c r="F30" s="906"/>
      <c r="G30" s="906"/>
      <c r="H30" s="906"/>
      <c r="I30" s="906"/>
      <c r="J30" s="906"/>
      <c r="K30" s="906"/>
      <c r="L30" s="504">
        <f t="shared" si="0"/>
        <v>0</v>
      </c>
      <c r="M30" s="505">
        <f t="shared" si="1"/>
        <v>0</v>
      </c>
      <c r="N30" s="505">
        <f t="shared" si="2"/>
        <v>0</v>
      </c>
      <c r="O30" s="505">
        <f t="shared" si="3"/>
        <v>0</v>
      </c>
      <c r="P30" s="38">
        <f t="shared" si="4"/>
        <v>0</v>
      </c>
    </row>
    <row r="31" spans="1:16" ht="20.100000000000001" customHeight="1" x14ac:dyDescent="0.25">
      <c r="A31" s="906">
        <v>23</v>
      </c>
      <c r="B31" s="35" t="str">
        <f>dtsiswa!D29</f>
        <v xml:space="preserve">Tania Kaori Angelita </v>
      </c>
      <c r="C31" s="45" t="s">
        <v>5</v>
      </c>
      <c r="D31" s="906"/>
      <c r="E31" s="906"/>
      <c r="F31" s="906"/>
      <c r="G31" s="906"/>
      <c r="H31" s="906"/>
      <c r="I31" s="906"/>
      <c r="J31" s="906"/>
      <c r="K31" s="906"/>
      <c r="L31" s="504">
        <f t="shared" si="0"/>
        <v>0</v>
      </c>
      <c r="M31" s="505">
        <f t="shared" si="1"/>
        <v>0</v>
      </c>
      <c r="N31" s="505">
        <f t="shared" si="2"/>
        <v>0</v>
      </c>
      <c r="O31" s="505">
        <f t="shared" si="3"/>
        <v>0</v>
      </c>
      <c r="P31" s="38">
        <f t="shared" si="4"/>
        <v>0</v>
      </c>
    </row>
    <row r="32" spans="1:16" ht="20.100000000000001" customHeight="1" x14ac:dyDescent="0.25">
      <c r="A32" s="906">
        <v>24</v>
      </c>
      <c r="B32" s="35" t="str">
        <f>dtsiswa!D30</f>
        <v>Romzy Oka Ramadhani P</v>
      </c>
      <c r="C32" s="45" t="s">
        <v>5</v>
      </c>
      <c r="D32" s="906"/>
      <c r="E32" s="906"/>
      <c r="F32" s="906"/>
      <c r="G32" s="906"/>
      <c r="H32" s="906"/>
      <c r="I32" s="906"/>
      <c r="J32" s="906"/>
      <c r="K32" s="906"/>
      <c r="L32" s="504">
        <f t="shared" si="0"/>
        <v>0</v>
      </c>
      <c r="M32" s="505">
        <f t="shared" si="1"/>
        <v>0</v>
      </c>
      <c r="N32" s="505">
        <f t="shared" si="2"/>
        <v>0</v>
      </c>
      <c r="O32" s="505">
        <f t="shared" si="3"/>
        <v>0</v>
      </c>
      <c r="P32" s="38">
        <f t="shared" si="4"/>
        <v>0</v>
      </c>
    </row>
    <row r="33" spans="1:16" ht="20.100000000000001" customHeight="1" x14ac:dyDescent="0.25">
      <c r="A33" s="906">
        <v>25</v>
      </c>
      <c r="B33" s="35" t="str">
        <f>dtsiswa!D31</f>
        <v>Larasati Jagadhita P</v>
      </c>
      <c r="C33" s="36" t="s">
        <v>4</v>
      </c>
      <c r="D33" s="906"/>
      <c r="E33" s="906"/>
      <c r="F33" s="906"/>
      <c r="G33" s="906"/>
      <c r="H33" s="906"/>
      <c r="I33" s="906"/>
      <c r="J33" s="906"/>
      <c r="K33" s="906"/>
      <c r="L33" s="504">
        <f t="shared" si="0"/>
        <v>0</v>
      </c>
      <c r="M33" s="505">
        <f t="shared" si="1"/>
        <v>0</v>
      </c>
      <c r="N33" s="505">
        <f t="shared" si="2"/>
        <v>0</v>
      </c>
      <c r="O33" s="505">
        <f t="shared" si="3"/>
        <v>0</v>
      </c>
      <c r="P33" s="38">
        <f t="shared" si="4"/>
        <v>0</v>
      </c>
    </row>
    <row r="34" spans="1:16" ht="20.100000000000001" customHeight="1" x14ac:dyDescent="0.25">
      <c r="A34" s="906">
        <v>26</v>
      </c>
      <c r="B34" s="35" t="str">
        <f>dtsiswa!D32</f>
        <v>Meliana Citra A</v>
      </c>
      <c r="C34" s="36" t="s">
        <v>5</v>
      </c>
      <c r="D34" s="906"/>
      <c r="E34" s="906"/>
      <c r="F34" s="906"/>
      <c r="G34" s="906"/>
      <c r="H34" s="906"/>
      <c r="I34" s="906"/>
      <c r="J34" s="906"/>
      <c r="K34" s="906"/>
      <c r="L34" s="504">
        <f t="shared" si="0"/>
        <v>0</v>
      </c>
      <c r="M34" s="505">
        <f t="shared" si="1"/>
        <v>0</v>
      </c>
      <c r="N34" s="505">
        <f t="shared" si="2"/>
        <v>0</v>
      </c>
      <c r="O34" s="505">
        <f t="shared" si="3"/>
        <v>0</v>
      </c>
      <c r="P34" s="38">
        <f t="shared" si="4"/>
        <v>0</v>
      </c>
    </row>
    <row r="35" spans="1:16" ht="20.100000000000001" customHeight="1" x14ac:dyDescent="0.25">
      <c r="A35" s="906">
        <v>27</v>
      </c>
      <c r="B35" s="35" t="str">
        <f>dtsiswa!D33</f>
        <v>Mohammad Rizky</v>
      </c>
      <c r="C35" s="36" t="s">
        <v>4</v>
      </c>
      <c r="D35" s="906"/>
      <c r="E35" s="906"/>
      <c r="F35" s="906"/>
      <c r="G35" s="906"/>
      <c r="H35" s="906"/>
      <c r="I35" s="906"/>
      <c r="J35" s="906"/>
      <c r="K35" s="906"/>
      <c r="L35" s="504">
        <f t="shared" si="0"/>
        <v>0</v>
      </c>
      <c r="M35" s="505">
        <f t="shared" si="1"/>
        <v>0</v>
      </c>
      <c r="N35" s="505">
        <f t="shared" si="2"/>
        <v>0</v>
      </c>
      <c r="O35" s="505">
        <f t="shared" si="3"/>
        <v>0</v>
      </c>
      <c r="P35" s="38">
        <f t="shared" si="4"/>
        <v>0</v>
      </c>
    </row>
    <row r="36" spans="1:16" ht="20.100000000000001" customHeight="1" x14ac:dyDescent="0.25">
      <c r="A36" s="906">
        <v>28</v>
      </c>
      <c r="B36" s="35">
        <f>dtsiswa!D34</f>
        <v>0</v>
      </c>
      <c r="C36" s="36" t="s">
        <v>4</v>
      </c>
      <c r="D36" s="906"/>
      <c r="E36" s="906"/>
      <c r="F36" s="906"/>
      <c r="G36" s="906"/>
      <c r="H36" s="906"/>
      <c r="I36" s="906"/>
      <c r="J36" s="906"/>
      <c r="K36" s="906"/>
      <c r="L36" s="504">
        <f t="shared" si="0"/>
        <v>0</v>
      </c>
      <c r="M36" s="505">
        <f t="shared" si="1"/>
        <v>0</v>
      </c>
      <c r="N36" s="505">
        <f t="shared" si="2"/>
        <v>0</v>
      </c>
      <c r="O36" s="505">
        <f t="shared" si="3"/>
        <v>0</v>
      </c>
      <c r="P36" s="38">
        <f t="shared" si="4"/>
        <v>0</v>
      </c>
    </row>
    <row r="37" spans="1:16" ht="20.100000000000001" customHeight="1" x14ac:dyDescent="0.25">
      <c r="A37" s="906">
        <v>29</v>
      </c>
      <c r="B37" s="35">
        <f>dtsiswa!D35</f>
        <v>0</v>
      </c>
      <c r="C37" s="36" t="s">
        <v>4</v>
      </c>
      <c r="D37" s="906"/>
      <c r="E37" s="906"/>
      <c r="F37" s="906"/>
      <c r="G37" s="906"/>
      <c r="H37" s="906"/>
      <c r="I37" s="906"/>
      <c r="J37" s="906"/>
      <c r="K37" s="906"/>
      <c r="L37" s="504">
        <f t="shared" si="0"/>
        <v>0</v>
      </c>
      <c r="M37" s="505">
        <f t="shared" si="1"/>
        <v>0</v>
      </c>
      <c r="N37" s="505">
        <f t="shared" si="2"/>
        <v>0</v>
      </c>
      <c r="O37" s="505">
        <f t="shared" si="3"/>
        <v>0</v>
      </c>
      <c r="P37" s="38">
        <f t="shared" si="4"/>
        <v>0</v>
      </c>
    </row>
    <row r="38" spans="1:16" ht="20.100000000000001" customHeight="1" x14ac:dyDescent="0.25">
      <c r="A38" s="906">
        <v>30</v>
      </c>
      <c r="B38" s="35">
        <f>dtsiswa!D36</f>
        <v>0</v>
      </c>
      <c r="C38" s="36" t="s">
        <v>5</v>
      </c>
      <c r="D38" s="906"/>
      <c r="E38" s="906"/>
      <c r="F38" s="906"/>
      <c r="G38" s="906"/>
      <c r="H38" s="906"/>
      <c r="I38" s="906"/>
      <c r="J38" s="906"/>
      <c r="K38" s="906"/>
      <c r="L38" s="504">
        <f t="shared" si="0"/>
        <v>0</v>
      </c>
      <c r="M38" s="505">
        <f t="shared" si="1"/>
        <v>0</v>
      </c>
      <c r="N38" s="505">
        <f t="shared" si="2"/>
        <v>0</v>
      </c>
      <c r="O38" s="505">
        <f t="shared" si="3"/>
        <v>0</v>
      </c>
      <c r="P38" s="38">
        <f t="shared" si="4"/>
        <v>0</v>
      </c>
    </row>
    <row r="39" spans="1:16" ht="20.100000000000001" customHeight="1" x14ac:dyDescent="0.25">
      <c r="A39" s="906">
        <v>31</v>
      </c>
      <c r="B39" s="35">
        <f>dtsiswa!D37</f>
        <v>0</v>
      </c>
      <c r="C39" s="36" t="s">
        <v>5</v>
      </c>
      <c r="D39" s="906"/>
      <c r="E39" s="906"/>
      <c r="F39" s="906"/>
      <c r="G39" s="906"/>
      <c r="H39" s="906"/>
      <c r="I39" s="906"/>
      <c r="J39" s="906"/>
      <c r="K39" s="906"/>
      <c r="L39" s="504">
        <f t="shared" si="0"/>
        <v>0</v>
      </c>
      <c r="M39" s="505">
        <f t="shared" si="1"/>
        <v>0</v>
      </c>
      <c r="N39" s="505">
        <f t="shared" si="2"/>
        <v>0</v>
      </c>
      <c r="O39" s="505">
        <f t="shared" si="3"/>
        <v>0</v>
      </c>
      <c r="P39" s="38">
        <f t="shared" si="4"/>
        <v>0</v>
      </c>
    </row>
    <row r="40" spans="1:16" ht="20.100000000000001" customHeight="1" x14ac:dyDescent="0.25">
      <c r="A40" s="906">
        <v>32</v>
      </c>
      <c r="B40" s="35">
        <f>dtsiswa!D38</f>
        <v>0</v>
      </c>
      <c r="D40" s="906"/>
      <c r="E40" s="906"/>
      <c r="F40" s="906"/>
      <c r="G40" s="906"/>
      <c r="H40" s="906"/>
      <c r="I40" s="906"/>
      <c r="J40" s="906"/>
      <c r="K40" s="906"/>
      <c r="L40" s="504">
        <f t="shared" si="0"/>
        <v>0</v>
      </c>
      <c r="M40" s="505">
        <f t="shared" si="1"/>
        <v>0</v>
      </c>
      <c r="N40" s="505">
        <f t="shared" si="2"/>
        <v>0</v>
      </c>
      <c r="O40" s="505">
        <f t="shared" si="3"/>
        <v>0</v>
      </c>
      <c r="P40" s="38">
        <f t="shared" si="4"/>
        <v>0</v>
      </c>
    </row>
    <row r="41" spans="1:16" ht="20.100000000000001" customHeight="1" x14ac:dyDescent="0.25">
      <c r="A41" s="906">
        <v>33</v>
      </c>
      <c r="B41" s="35">
        <f>dtsiswa!D39</f>
        <v>0</v>
      </c>
      <c r="C41" s="36"/>
      <c r="D41" s="906"/>
      <c r="E41" s="906"/>
      <c r="F41" s="906"/>
      <c r="G41" s="906"/>
      <c r="H41" s="906"/>
      <c r="I41" s="906"/>
      <c r="J41" s="906"/>
      <c r="K41" s="906"/>
      <c r="L41" s="504">
        <f t="shared" si="0"/>
        <v>0</v>
      </c>
      <c r="M41" s="505">
        <f t="shared" si="1"/>
        <v>0</v>
      </c>
      <c r="N41" s="505">
        <f t="shared" si="2"/>
        <v>0</v>
      </c>
      <c r="O41" s="505">
        <f t="shared" si="3"/>
        <v>0</v>
      </c>
      <c r="P41" s="38">
        <f t="shared" si="4"/>
        <v>0</v>
      </c>
    </row>
    <row r="42" spans="1:16" ht="20.100000000000001" customHeight="1" x14ac:dyDescent="0.25">
      <c r="A42" s="906">
        <v>34</v>
      </c>
      <c r="B42" s="35">
        <f>dtsiswa!D40</f>
        <v>0</v>
      </c>
      <c r="C42" s="36"/>
      <c r="D42" s="906"/>
      <c r="E42" s="906"/>
      <c r="F42" s="906"/>
      <c r="G42" s="906"/>
      <c r="H42" s="906"/>
      <c r="I42" s="906"/>
      <c r="J42" s="906"/>
      <c r="K42" s="906"/>
      <c r="L42" s="504">
        <f t="shared" si="0"/>
        <v>0</v>
      </c>
      <c r="M42" s="505">
        <f t="shared" si="1"/>
        <v>0</v>
      </c>
      <c r="N42" s="505">
        <f t="shared" si="2"/>
        <v>0</v>
      </c>
      <c r="O42" s="505">
        <f t="shared" si="3"/>
        <v>0</v>
      </c>
      <c r="P42" s="38">
        <f t="shared" si="4"/>
        <v>0</v>
      </c>
    </row>
    <row r="43" spans="1:16" ht="15.75" x14ac:dyDescent="0.25">
      <c r="A43" s="906">
        <v>35</v>
      </c>
      <c r="B43" s="35">
        <f>dtsiswa!D41</f>
        <v>0</v>
      </c>
      <c r="C43" s="36"/>
      <c r="D43" s="906"/>
      <c r="E43" s="906"/>
      <c r="F43" s="906"/>
      <c r="G43" s="906"/>
      <c r="H43" s="906"/>
      <c r="I43" s="906"/>
      <c r="J43" s="906"/>
      <c r="K43" s="906"/>
      <c r="L43" s="504">
        <f t="shared" si="0"/>
        <v>0</v>
      </c>
      <c r="M43" s="505">
        <f t="shared" si="1"/>
        <v>0</v>
      </c>
      <c r="N43" s="505">
        <f t="shared" si="2"/>
        <v>0</v>
      </c>
      <c r="O43" s="505">
        <f t="shared" si="3"/>
        <v>0</v>
      </c>
      <c r="P43" s="38">
        <f t="shared" si="4"/>
        <v>0</v>
      </c>
    </row>
    <row r="44" spans="1:16" ht="15.75" x14ac:dyDescent="0.25">
      <c r="A44" s="1112">
        <v>36</v>
      </c>
      <c r="B44" s="35">
        <f>dtsiswa!D42</f>
        <v>0</v>
      </c>
      <c r="C44" s="36"/>
      <c r="D44" s="1112"/>
      <c r="E44" s="1112"/>
      <c r="F44" s="1112"/>
      <c r="G44" s="1112"/>
      <c r="H44" s="1112"/>
      <c r="I44" s="1112"/>
      <c r="J44" s="1112"/>
      <c r="K44" s="1112"/>
      <c r="L44" s="504">
        <f t="shared" si="0"/>
        <v>0</v>
      </c>
      <c r="M44" s="505">
        <f t="shared" ref="M44:M48" si="5">SUM(D44:H44)+J44</f>
        <v>0</v>
      </c>
      <c r="N44" s="505">
        <f t="shared" ref="N44:N48" si="6">I44</f>
        <v>0</v>
      </c>
      <c r="O44" s="505">
        <f t="shared" si="3"/>
        <v>0</v>
      </c>
      <c r="P44" s="38">
        <f t="shared" si="3"/>
        <v>0</v>
      </c>
    </row>
    <row r="45" spans="1:16" ht="15.75" x14ac:dyDescent="0.25">
      <c r="A45" s="1112">
        <v>37</v>
      </c>
      <c r="B45" s="35">
        <f>dtsiswa!D43</f>
        <v>0</v>
      </c>
      <c r="C45" s="36"/>
      <c r="D45" s="1112"/>
      <c r="E45" s="1112"/>
      <c r="F45" s="1112"/>
      <c r="G45" s="1112"/>
      <c r="H45" s="1112"/>
      <c r="I45" s="1112"/>
      <c r="J45" s="1112"/>
      <c r="K45" s="1112"/>
      <c r="L45" s="504">
        <f t="shared" si="0"/>
        <v>0</v>
      </c>
      <c r="M45" s="505">
        <f t="shared" si="5"/>
        <v>0</v>
      </c>
      <c r="N45" s="505">
        <f t="shared" si="6"/>
        <v>0</v>
      </c>
      <c r="O45" s="505">
        <f t="shared" ref="O45:P48" si="7">K45</f>
        <v>0</v>
      </c>
      <c r="P45" s="38">
        <f t="shared" si="7"/>
        <v>0</v>
      </c>
    </row>
    <row r="46" spans="1:16" ht="15.75" x14ac:dyDescent="0.25">
      <c r="A46" s="1112">
        <v>38</v>
      </c>
      <c r="B46" s="35">
        <f>dtsiswa!D44</f>
        <v>0</v>
      </c>
      <c r="C46" s="36"/>
      <c r="D46" s="1112"/>
      <c r="E46" s="1112"/>
      <c r="F46" s="1112"/>
      <c r="G46" s="1112"/>
      <c r="H46" s="1112"/>
      <c r="I46" s="1112"/>
      <c r="J46" s="1112"/>
      <c r="K46" s="1112"/>
      <c r="L46" s="504">
        <f t="shared" si="0"/>
        <v>0</v>
      </c>
      <c r="M46" s="505">
        <f t="shared" si="5"/>
        <v>0</v>
      </c>
      <c r="N46" s="505">
        <f t="shared" si="6"/>
        <v>0</v>
      </c>
      <c r="O46" s="505">
        <f t="shared" si="7"/>
        <v>0</v>
      </c>
      <c r="P46" s="38">
        <f t="shared" si="7"/>
        <v>0</v>
      </c>
    </row>
    <row r="47" spans="1:16" ht="15.75" x14ac:dyDescent="0.25">
      <c r="A47" s="1112">
        <v>39</v>
      </c>
      <c r="B47" s="35">
        <f>dtsiswa!D45</f>
        <v>0</v>
      </c>
      <c r="C47" s="36"/>
      <c r="D47" s="1112"/>
      <c r="E47" s="1112"/>
      <c r="F47" s="1112"/>
      <c r="G47" s="1112"/>
      <c r="H47" s="1112"/>
      <c r="I47" s="1112"/>
      <c r="J47" s="1112"/>
      <c r="K47" s="1112"/>
      <c r="L47" s="504">
        <f t="shared" si="0"/>
        <v>0</v>
      </c>
      <c r="M47" s="505">
        <f t="shared" si="5"/>
        <v>0</v>
      </c>
      <c r="N47" s="505">
        <f t="shared" si="6"/>
        <v>0</v>
      </c>
      <c r="O47" s="505">
        <f t="shared" si="7"/>
        <v>0</v>
      </c>
      <c r="P47" s="38">
        <f t="shared" si="7"/>
        <v>0</v>
      </c>
    </row>
    <row r="48" spans="1:16" ht="15.75" x14ac:dyDescent="0.25">
      <c r="A48" s="1112">
        <v>40</v>
      </c>
      <c r="B48" s="35">
        <f>dtsiswa!D46</f>
        <v>0</v>
      </c>
      <c r="C48" s="36"/>
      <c r="D48" s="1112"/>
      <c r="E48" s="1112"/>
      <c r="F48" s="1112"/>
      <c r="G48" s="1112"/>
      <c r="H48" s="1112"/>
      <c r="I48" s="1112"/>
      <c r="J48" s="1112"/>
      <c r="K48" s="1112"/>
      <c r="L48" s="504">
        <f t="shared" si="0"/>
        <v>0</v>
      </c>
      <c r="M48" s="505">
        <f t="shared" si="5"/>
        <v>0</v>
      </c>
      <c r="N48" s="505">
        <f t="shared" si="6"/>
        <v>0</v>
      </c>
      <c r="O48" s="505">
        <f t="shared" si="7"/>
        <v>0</v>
      </c>
      <c r="P48" s="38">
        <f t="shared" si="7"/>
        <v>0</v>
      </c>
    </row>
  </sheetData>
  <mergeCells count="11">
    <mergeCell ref="P6:P8"/>
    <mergeCell ref="A1:P1"/>
    <mergeCell ref="A2:P2"/>
    <mergeCell ref="A6:A8"/>
    <mergeCell ref="B6:B8"/>
    <mergeCell ref="C6:C8"/>
    <mergeCell ref="D6:K6"/>
    <mergeCell ref="L6:L8"/>
    <mergeCell ref="M6:M8"/>
    <mergeCell ref="N6:N8"/>
    <mergeCell ref="O6:O8"/>
  </mergeCells>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rgb="FFFF0000"/>
  </sheetPr>
  <dimension ref="A1:AX53"/>
  <sheetViews>
    <sheetView showGridLines="0" zoomScale="85" zoomScaleNormal="85" workbookViewId="0">
      <pane xSplit="2" ySplit="8" topLeftCell="L9" activePane="bottomRight" state="frozen"/>
      <selection sqref="A1:Q1"/>
      <selection pane="topRight" sqref="A1:Q1"/>
      <selection pane="bottomLeft" sqref="A1:Q1"/>
      <selection pane="bottomRight" sqref="A1:Q1"/>
    </sheetView>
  </sheetViews>
  <sheetFormatPr defaultRowHeight="15" x14ac:dyDescent="0.25"/>
  <cols>
    <col min="1" max="1" width="3.7109375" style="432" customWidth="1"/>
    <col min="2" max="2" width="41.85546875" style="432" customWidth="1"/>
    <col min="3" max="3" width="3.85546875" style="432" customWidth="1"/>
    <col min="4" max="14" width="3.5703125" style="432" customWidth="1"/>
    <col min="15" max="15" width="4.42578125" style="432" customWidth="1"/>
    <col min="16" max="27" width="3.5703125" style="432" customWidth="1"/>
    <col min="28" max="28" width="4.85546875" style="432" customWidth="1"/>
    <col min="29" max="40" width="3.5703125" style="432" customWidth="1"/>
    <col min="41" max="44" width="4.5703125" style="432" customWidth="1"/>
    <col min="45" max="45" width="6.85546875" style="432" customWidth="1"/>
    <col min="46" max="48" width="6.7109375" style="432" customWidth="1"/>
    <col min="49" max="49" width="8.140625" style="432" customWidth="1"/>
    <col min="50" max="50" width="17.28515625" style="432" customWidth="1"/>
    <col min="51" max="16384" width="9.140625" style="432"/>
  </cols>
  <sheetData>
    <row r="1" spans="1:50" ht="33.75" customHeight="1" x14ac:dyDescent="0.25">
      <c r="AJ1" s="982"/>
      <c r="AK1" s="982"/>
      <c r="AL1" s="982"/>
      <c r="AM1" s="982"/>
      <c r="AN1" s="982"/>
      <c r="AO1" s="982"/>
    </row>
    <row r="2" spans="1:50" ht="23.25" x14ac:dyDescent="0.35">
      <c r="A2" s="434" t="s">
        <v>53</v>
      </c>
      <c r="AJ2" s="433"/>
      <c r="AK2" s="433"/>
      <c r="AL2" s="433"/>
      <c r="AM2" s="433"/>
      <c r="AN2" s="433"/>
      <c r="AO2" s="433"/>
    </row>
    <row r="3" spans="1:50" ht="18.75" x14ac:dyDescent="0.3">
      <c r="A3" s="436" t="s">
        <v>695</v>
      </c>
    </row>
    <row r="4" spans="1:50" ht="18.75" x14ac:dyDescent="0.3">
      <c r="A4" s="436" t="s">
        <v>609</v>
      </c>
    </row>
    <row r="5" spans="1:50" s="438" customFormat="1" ht="16.5" thickBot="1" x14ac:dyDescent="0.3">
      <c r="A5" s="437">
        <v>1</v>
      </c>
      <c r="B5" s="437">
        <v>2</v>
      </c>
      <c r="C5" s="437">
        <v>3</v>
      </c>
      <c r="D5" s="437">
        <v>4</v>
      </c>
      <c r="E5" s="437">
        <v>5</v>
      </c>
      <c r="F5" s="437">
        <v>6</v>
      </c>
      <c r="G5" s="437">
        <v>7</v>
      </c>
      <c r="H5" s="437">
        <v>8</v>
      </c>
      <c r="I5" s="437">
        <v>9</v>
      </c>
      <c r="J5" s="437">
        <v>10</v>
      </c>
      <c r="K5" s="437">
        <v>11</v>
      </c>
      <c r="L5" s="437">
        <v>12</v>
      </c>
      <c r="M5" s="437">
        <v>13</v>
      </c>
      <c r="N5" s="437">
        <v>14</v>
      </c>
      <c r="O5" s="437">
        <v>15</v>
      </c>
      <c r="P5" s="437">
        <v>16</v>
      </c>
      <c r="Q5" s="437">
        <v>17</v>
      </c>
      <c r="R5" s="437">
        <v>18</v>
      </c>
      <c r="S5" s="437">
        <v>19</v>
      </c>
      <c r="T5" s="437">
        <v>20</v>
      </c>
      <c r="U5" s="437">
        <v>21</v>
      </c>
      <c r="V5" s="437">
        <v>22</v>
      </c>
      <c r="W5" s="437">
        <v>23</v>
      </c>
      <c r="X5" s="437">
        <v>24</v>
      </c>
      <c r="Y5" s="437">
        <v>25</v>
      </c>
      <c r="Z5" s="437">
        <v>26</v>
      </c>
      <c r="AA5" s="437">
        <v>27</v>
      </c>
      <c r="AB5" s="437">
        <v>28</v>
      </c>
      <c r="AC5" s="437">
        <v>29</v>
      </c>
      <c r="AD5" s="437">
        <v>30</v>
      </c>
      <c r="AE5" s="437">
        <v>31</v>
      </c>
      <c r="AF5" s="437">
        <v>32</v>
      </c>
      <c r="AG5" s="437">
        <v>33</v>
      </c>
      <c r="AH5" s="437">
        <v>34</v>
      </c>
      <c r="AI5" s="437">
        <v>35</v>
      </c>
      <c r="AJ5" s="437">
        <v>36</v>
      </c>
      <c r="AK5" s="437">
        <v>37</v>
      </c>
      <c r="AL5" s="437">
        <v>38</v>
      </c>
      <c r="AM5" s="437">
        <v>39</v>
      </c>
      <c r="AN5" s="437">
        <v>40</v>
      </c>
      <c r="AO5" s="437">
        <v>41</v>
      </c>
      <c r="AP5" s="437">
        <v>42</v>
      </c>
      <c r="AQ5" s="437">
        <v>43</v>
      </c>
      <c r="AR5" s="437">
        <v>44</v>
      </c>
      <c r="AS5" s="437">
        <v>45</v>
      </c>
      <c r="AT5" s="1093">
        <v>46</v>
      </c>
      <c r="AU5" s="1093">
        <v>47</v>
      </c>
      <c r="AV5" s="1093">
        <v>48</v>
      </c>
      <c r="AW5" s="437">
        <v>49</v>
      </c>
      <c r="AX5" s="437">
        <v>50</v>
      </c>
    </row>
    <row r="6" spans="1:50" s="439" customFormat="1" ht="20.25" customHeight="1" x14ac:dyDescent="0.25">
      <c r="A6" s="3105" t="s">
        <v>0</v>
      </c>
      <c r="B6" s="3105" t="s">
        <v>28</v>
      </c>
      <c r="C6" s="3105" t="s">
        <v>3</v>
      </c>
      <c r="D6" s="3106" t="s">
        <v>18</v>
      </c>
      <c r="E6" s="3106"/>
      <c r="F6" s="3106"/>
      <c r="G6" s="3106"/>
      <c r="H6" s="3106"/>
      <c r="I6" s="3106"/>
      <c r="J6" s="3106"/>
      <c r="K6" s="3106"/>
      <c r="L6" s="3106"/>
      <c r="M6" s="3106"/>
      <c r="N6" s="3106"/>
      <c r="O6" s="3106"/>
      <c r="P6" s="3106" t="s">
        <v>179</v>
      </c>
      <c r="Q6" s="3106"/>
      <c r="R6" s="3106"/>
      <c r="S6" s="3106"/>
      <c r="T6" s="3106"/>
      <c r="U6" s="3106"/>
      <c r="V6" s="3106"/>
      <c r="W6" s="3106"/>
      <c r="X6" s="3106"/>
      <c r="Y6" s="3106"/>
      <c r="Z6" s="3106"/>
      <c r="AA6" s="3106"/>
      <c r="AB6" s="3106"/>
      <c r="AC6" s="3106" t="s">
        <v>20</v>
      </c>
      <c r="AD6" s="3106"/>
      <c r="AE6" s="3106"/>
      <c r="AF6" s="3106"/>
      <c r="AG6" s="3106"/>
      <c r="AH6" s="3106"/>
      <c r="AI6" s="3106"/>
      <c r="AJ6" s="3106"/>
      <c r="AK6" s="3106"/>
      <c r="AL6" s="3106"/>
      <c r="AM6" s="3106"/>
      <c r="AN6" s="3106"/>
      <c r="AO6" s="3106"/>
      <c r="AP6" s="3111" t="s">
        <v>29</v>
      </c>
      <c r="AQ6" s="3114" t="s">
        <v>30</v>
      </c>
      <c r="AR6" s="3114" t="s">
        <v>31</v>
      </c>
      <c r="AS6" s="3117" t="s">
        <v>32</v>
      </c>
      <c r="AT6" s="3261" t="s">
        <v>158</v>
      </c>
      <c r="AU6" s="3261"/>
      <c r="AV6" s="3261"/>
      <c r="AW6" s="3122" t="s">
        <v>33</v>
      </c>
      <c r="AX6" s="3109" t="s">
        <v>34</v>
      </c>
    </row>
    <row r="7" spans="1:50" s="439" customFormat="1" ht="20.25" customHeight="1" x14ac:dyDescent="0.25">
      <c r="A7" s="3105"/>
      <c r="B7" s="3105"/>
      <c r="C7" s="3105"/>
      <c r="D7" s="440" t="s">
        <v>29</v>
      </c>
      <c r="E7" s="440" t="s">
        <v>29</v>
      </c>
      <c r="F7" s="440" t="s">
        <v>29</v>
      </c>
      <c r="G7" s="440" t="s">
        <v>29</v>
      </c>
      <c r="H7" s="440" t="s">
        <v>29</v>
      </c>
      <c r="I7" s="440" t="s">
        <v>29</v>
      </c>
      <c r="J7" s="441" t="s">
        <v>30</v>
      </c>
      <c r="K7" s="441" t="s">
        <v>30</v>
      </c>
      <c r="L7" s="441" t="s">
        <v>30</v>
      </c>
      <c r="M7" s="442" t="s">
        <v>31</v>
      </c>
      <c r="N7" s="442" t="s">
        <v>31</v>
      </c>
      <c r="O7" s="3107" t="s">
        <v>159</v>
      </c>
      <c r="P7" s="440" t="s">
        <v>29</v>
      </c>
      <c r="Q7" s="440" t="s">
        <v>29</v>
      </c>
      <c r="R7" s="440" t="s">
        <v>29</v>
      </c>
      <c r="S7" s="440" t="s">
        <v>29</v>
      </c>
      <c r="T7" s="440" t="s">
        <v>29</v>
      </c>
      <c r="U7" s="440" t="s">
        <v>29</v>
      </c>
      <c r="V7" s="440" t="s">
        <v>29</v>
      </c>
      <c r="W7" s="441" t="s">
        <v>30</v>
      </c>
      <c r="X7" s="441" t="s">
        <v>30</v>
      </c>
      <c r="Y7" s="441" t="s">
        <v>30</v>
      </c>
      <c r="Z7" s="441" t="s">
        <v>30</v>
      </c>
      <c r="AA7" s="442" t="s">
        <v>31</v>
      </c>
      <c r="AB7" s="3107" t="s">
        <v>159</v>
      </c>
      <c r="AC7" s="440" t="s">
        <v>29</v>
      </c>
      <c r="AD7" s="440" t="s">
        <v>29</v>
      </c>
      <c r="AE7" s="440" t="s">
        <v>29</v>
      </c>
      <c r="AF7" s="440" t="s">
        <v>29</v>
      </c>
      <c r="AG7" s="440" t="s">
        <v>29</v>
      </c>
      <c r="AH7" s="440" t="s">
        <v>29</v>
      </c>
      <c r="AI7" s="440" t="s">
        <v>29</v>
      </c>
      <c r="AJ7" s="441" t="s">
        <v>30</v>
      </c>
      <c r="AK7" s="441" t="s">
        <v>212</v>
      </c>
      <c r="AL7" s="441" t="s">
        <v>30</v>
      </c>
      <c r="AM7" s="442" t="s">
        <v>31</v>
      </c>
      <c r="AN7" s="442" t="s">
        <v>31</v>
      </c>
      <c r="AO7" s="3107" t="s">
        <v>159</v>
      </c>
      <c r="AP7" s="3112"/>
      <c r="AQ7" s="3115"/>
      <c r="AR7" s="3115"/>
      <c r="AS7" s="3118"/>
      <c r="AT7" s="3262"/>
      <c r="AU7" s="3262"/>
      <c r="AV7" s="3262"/>
      <c r="AW7" s="3123"/>
      <c r="AX7" s="3110"/>
    </row>
    <row r="8" spans="1:50" ht="22.5" customHeight="1" thickBot="1" x14ac:dyDescent="0.3">
      <c r="A8" s="3105"/>
      <c r="B8" s="3105"/>
      <c r="C8" s="3105"/>
      <c r="D8" s="963">
        <v>1</v>
      </c>
      <c r="E8" s="963">
        <v>2</v>
      </c>
      <c r="F8" s="963">
        <v>3</v>
      </c>
      <c r="G8" s="963">
        <v>4</v>
      </c>
      <c r="H8" s="963">
        <v>5</v>
      </c>
      <c r="I8" s="963">
        <v>6</v>
      </c>
      <c r="J8" s="963">
        <v>7</v>
      </c>
      <c r="K8" s="963">
        <v>8</v>
      </c>
      <c r="L8" s="963">
        <v>9</v>
      </c>
      <c r="M8" s="963">
        <v>10</v>
      </c>
      <c r="N8" s="963">
        <v>11</v>
      </c>
      <c r="O8" s="3107"/>
      <c r="P8" s="963">
        <v>1</v>
      </c>
      <c r="Q8" s="963">
        <v>2</v>
      </c>
      <c r="R8" s="963">
        <v>3</v>
      </c>
      <c r="S8" s="963">
        <v>4</v>
      </c>
      <c r="T8" s="963">
        <v>5</v>
      </c>
      <c r="U8" s="963">
        <v>6</v>
      </c>
      <c r="V8" s="963">
        <v>7</v>
      </c>
      <c r="W8" s="963">
        <v>8</v>
      </c>
      <c r="X8" s="963">
        <v>9</v>
      </c>
      <c r="Y8" s="963">
        <v>10</v>
      </c>
      <c r="Z8" s="963">
        <v>11</v>
      </c>
      <c r="AA8" s="963">
        <v>12</v>
      </c>
      <c r="AB8" s="3107"/>
      <c r="AC8" s="963">
        <v>1</v>
      </c>
      <c r="AD8" s="963">
        <v>2</v>
      </c>
      <c r="AE8" s="963">
        <v>3</v>
      </c>
      <c r="AF8" s="963">
        <v>4</v>
      </c>
      <c r="AG8" s="963">
        <v>5</v>
      </c>
      <c r="AH8" s="963">
        <v>6</v>
      </c>
      <c r="AI8" s="963">
        <v>7</v>
      </c>
      <c r="AJ8" s="963">
        <v>8</v>
      </c>
      <c r="AK8" s="963">
        <v>9</v>
      </c>
      <c r="AL8" s="963">
        <v>10</v>
      </c>
      <c r="AM8" s="963">
        <v>11</v>
      </c>
      <c r="AN8" s="963">
        <v>12</v>
      </c>
      <c r="AO8" s="3107"/>
      <c r="AP8" s="3113"/>
      <c r="AQ8" s="3116"/>
      <c r="AR8" s="3116"/>
      <c r="AS8" s="3119"/>
      <c r="AT8" s="970" t="s">
        <v>18</v>
      </c>
      <c r="AU8" s="970" t="s">
        <v>179</v>
      </c>
      <c r="AV8" s="970" t="s">
        <v>20</v>
      </c>
      <c r="AW8" s="3124"/>
      <c r="AX8" s="3110"/>
    </row>
    <row r="9" spans="1:50" ht="18" customHeight="1" x14ac:dyDescent="0.25">
      <c r="A9" s="361">
        <v>1</v>
      </c>
      <c r="B9" s="983" t="str">
        <f>dtsiswa!D7</f>
        <v>Achmad Zacky</v>
      </c>
      <c r="C9" s="984" t="s">
        <v>4</v>
      </c>
      <c r="D9" s="445">
        <v>1</v>
      </c>
      <c r="E9" s="445">
        <v>1</v>
      </c>
      <c r="F9" s="445">
        <v>1</v>
      </c>
      <c r="G9" s="445">
        <v>1</v>
      </c>
      <c r="H9" s="445">
        <v>1</v>
      </c>
      <c r="I9" s="445">
        <v>1</v>
      </c>
      <c r="J9" s="445">
        <v>2</v>
      </c>
      <c r="K9" s="445">
        <v>2</v>
      </c>
      <c r="L9" s="445">
        <v>2</v>
      </c>
      <c r="M9" s="445">
        <v>3</v>
      </c>
      <c r="N9" s="445">
        <v>3</v>
      </c>
      <c r="O9" s="446">
        <f>SUM(D9:M9)*100/18</f>
        <v>83.333333333333329</v>
      </c>
      <c r="P9" s="445">
        <v>1</v>
      </c>
      <c r="Q9" s="445">
        <v>1</v>
      </c>
      <c r="R9" s="445">
        <v>1</v>
      </c>
      <c r="S9" s="445">
        <v>1</v>
      </c>
      <c r="T9" s="445">
        <v>1</v>
      </c>
      <c r="U9" s="445">
        <v>0</v>
      </c>
      <c r="V9" s="445">
        <v>1</v>
      </c>
      <c r="W9" s="445">
        <v>2</v>
      </c>
      <c r="X9" s="445">
        <v>2</v>
      </c>
      <c r="Y9" s="445">
        <v>2</v>
      </c>
      <c r="Z9" s="445">
        <v>2</v>
      </c>
      <c r="AA9" s="445">
        <v>3</v>
      </c>
      <c r="AB9" s="446">
        <f>SUM(P9:AA9)*100/18</f>
        <v>94.444444444444443</v>
      </c>
      <c r="AC9" s="445">
        <v>1</v>
      </c>
      <c r="AD9" s="445">
        <v>1</v>
      </c>
      <c r="AE9" s="445">
        <v>1</v>
      </c>
      <c r="AF9" s="445">
        <v>1</v>
      </c>
      <c r="AG9" s="445">
        <v>1</v>
      </c>
      <c r="AH9" s="445">
        <v>1</v>
      </c>
      <c r="AI9" s="445">
        <v>1</v>
      </c>
      <c r="AJ9" s="445">
        <v>2</v>
      </c>
      <c r="AK9" s="445">
        <v>1</v>
      </c>
      <c r="AL9" s="445">
        <v>2</v>
      </c>
      <c r="AM9" s="445">
        <v>3</v>
      </c>
      <c r="AN9" s="445">
        <v>1</v>
      </c>
      <c r="AO9" s="446">
        <f>SUM(AC9:AN9)*100/19</f>
        <v>84.21052631578948</v>
      </c>
      <c r="AP9" s="463">
        <f>SUM(D9:I9)+SUM(P9:V9)+SUM(AC9:AI10)</f>
        <v>19</v>
      </c>
      <c r="AQ9" s="463">
        <f>SUM(J9:L9)+SUM(W9:Z9)+SUM(AJ9:AL9)</f>
        <v>19</v>
      </c>
      <c r="AR9" s="463">
        <f>SUM(M9:N9)+SUM(AA9)+SUM(AM9:AN9)</f>
        <v>13</v>
      </c>
      <c r="AS9" s="463">
        <f>SUM(AP9:AR9)*100/55</f>
        <v>92.727272727272734</v>
      </c>
      <c r="AT9" s="464">
        <f t="shared" ref="AT9:AT48" si="0">O9</f>
        <v>83.333333333333329</v>
      </c>
      <c r="AU9" s="464">
        <f t="shared" ref="AU9:AU48" si="1">AB9</f>
        <v>94.444444444444443</v>
      </c>
      <c r="AV9" s="464">
        <f t="shared" ref="AV9:AV48" si="2">AO9</f>
        <v>84.21052631578948</v>
      </c>
      <c r="AW9" s="465">
        <f t="shared" ref="AW9:AW48" si="3">AVERAGE(AT9:AV9)</f>
        <v>87.329434697855746</v>
      </c>
      <c r="AX9" s="466" t="str">
        <f>IF(AW9&gt;70,"TUNTAS","Tidak Tuntas")</f>
        <v>TUNTAS</v>
      </c>
    </row>
    <row r="10" spans="1:50" ht="18" customHeight="1" x14ac:dyDescent="0.25">
      <c r="A10" s="362">
        <v>2</v>
      </c>
      <c r="B10" s="443" t="str">
        <f>dtsiswa!D8</f>
        <v>Angelia Vabel R</v>
      </c>
      <c r="C10" s="444" t="s">
        <v>4</v>
      </c>
      <c r="D10" s="445"/>
      <c r="E10" s="445"/>
      <c r="F10" s="445"/>
      <c r="G10" s="445"/>
      <c r="H10" s="445"/>
      <c r="I10" s="445"/>
      <c r="J10" s="445"/>
      <c r="K10" s="445"/>
      <c r="L10" s="445"/>
      <c r="M10" s="445"/>
      <c r="N10" s="445"/>
      <c r="O10" s="446">
        <f t="shared" ref="O10:O40" si="4">SUM(D10:M10)*100/7</f>
        <v>0</v>
      </c>
      <c r="P10" s="445"/>
      <c r="Q10" s="445"/>
      <c r="R10" s="445"/>
      <c r="S10" s="445"/>
      <c r="T10" s="445"/>
      <c r="U10" s="445"/>
      <c r="V10" s="445"/>
      <c r="W10" s="445"/>
      <c r="X10" s="445"/>
      <c r="Y10" s="445"/>
      <c r="Z10" s="445"/>
      <c r="AA10" s="445"/>
      <c r="AB10" s="446">
        <f t="shared" ref="AB10:AB40" si="5">SUM(P10:AA10)*100/7</f>
        <v>0</v>
      </c>
      <c r="AC10" s="445"/>
      <c r="AD10" s="445"/>
      <c r="AE10" s="445"/>
      <c r="AF10" s="445"/>
      <c r="AG10" s="445"/>
      <c r="AH10" s="445"/>
      <c r="AI10" s="445"/>
      <c r="AJ10" s="445"/>
      <c r="AK10" s="445"/>
      <c r="AL10" s="445"/>
      <c r="AM10" s="445"/>
      <c r="AN10" s="445"/>
      <c r="AO10" s="446">
        <f t="shared" ref="AO10:AO49" si="6">SUM(AC10:AN10)*100/19</f>
        <v>0</v>
      </c>
      <c r="AP10" s="463">
        <f t="shared" ref="AP10:AP48" si="7">SUM(D10:I10)+SUM(P10:V10)+SUM(AC10:AI11)</f>
        <v>0</v>
      </c>
      <c r="AQ10" s="463">
        <f t="shared" ref="AQ10:AQ48" si="8">SUM(J10:L10)+SUM(W10:Z10)+SUM(AJ10:AL10)</f>
        <v>0</v>
      </c>
      <c r="AR10" s="463">
        <f t="shared" ref="AR10:AR48" si="9">SUM(M10:N10)+SUM(AA10)+SUM(AM10:AN10)</f>
        <v>0</v>
      </c>
      <c r="AS10" s="463">
        <f t="shared" ref="AS10:AS48" si="10">SUM(AP10:AR10)*100/55</f>
        <v>0</v>
      </c>
      <c r="AT10" s="464">
        <f t="shared" si="0"/>
        <v>0</v>
      </c>
      <c r="AU10" s="464">
        <f t="shared" si="1"/>
        <v>0</v>
      </c>
      <c r="AV10" s="464">
        <f t="shared" si="2"/>
        <v>0</v>
      </c>
      <c r="AW10" s="465">
        <f t="shared" si="3"/>
        <v>0</v>
      </c>
      <c r="AX10" s="466" t="str">
        <f t="shared" ref="AX10:AX48" si="11">IF(AW10&gt;70,"TUNTAS","Tidak Tuntas")</f>
        <v>Tidak Tuntas</v>
      </c>
    </row>
    <row r="11" spans="1:50" ht="18" customHeight="1" x14ac:dyDescent="0.25">
      <c r="A11" s="362">
        <v>3</v>
      </c>
      <c r="B11" s="443" t="str">
        <f>dtsiswa!D9</f>
        <v>Anggun Dwi P.I</v>
      </c>
      <c r="C11" s="444" t="s">
        <v>4</v>
      </c>
      <c r="D11" s="445"/>
      <c r="E11" s="445"/>
      <c r="F11" s="445"/>
      <c r="G11" s="445"/>
      <c r="H11" s="445"/>
      <c r="I11" s="445"/>
      <c r="J11" s="445"/>
      <c r="K11" s="445"/>
      <c r="L11" s="445"/>
      <c r="M11" s="445"/>
      <c r="N11" s="445"/>
      <c r="O11" s="446">
        <f t="shared" si="4"/>
        <v>0</v>
      </c>
      <c r="P11" s="445"/>
      <c r="Q11" s="445"/>
      <c r="R11" s="445"/>
      <c r="S11" s="445"/>
      <c r="T11" s="445"/>
      <c r="U11" s="445"/>
      <c r="V11" s="445"/>
      <c r="W11" s="445"/>
      <c r="X11" s="445"/>
      <c r="Y11" s="445"/>
      <c r="Z11" s="445"/>
      <c r="AA11" s="445"/>
      <c r="AB11" s="446">
        <f t="shared" si="5"/>
        <v>0</v>
      </c>
      <c r="AC11" s="445"/>
      <c r="AD11" s="445"/>
      <c r="AE11" s="445"/>
      <c r="AF11" s="445"/>
      <c r="AG11" s="445"/>
      <c r="AH11" s="445"/>
      <c r="AI11" s="445"/>
      <c r="AJ11" s="445"/>
      <c r="AK11" s="445"/>
      <c r="AL11" s="445"/>
      <c r="AM11" s="445"/>
      <c r="AN11" s="445"/>
      <c r="AO11" s="446">
        <f t="shared" si="6"/>
        <v>0</v>
      </c>
      <c r="AP11" s="463">
        <f t="shared" si="7"/>
        <v>0</v>
      </c>
      <c r="AQ11" s="463">
        <f t="shared" si="8"/>
        <v>0</v>
      </c>
      <c r="AR11" s="463">
        <f t="shared" si="9"/>
        <v>0</v>
      </c>
      <c r="AS11" s="463">
        <f t="shared" si="10"/>
        <v>0</v>
      </c>
      <c r="AT11" s="464">
        <f t="shared" si="0"/>
        <v>0</v>
      </c>
      <c r="AU11" s="464">
        <f t="shared" si="1"/>
        <v>0</v>
      </c>
      <c r="AV11" s="464">
        <f t="shared" si="2"/>
        <v>0</v>
      </c>
      <c r="AW11" s="465">
        <f t="shared" si="3"/>
        <v>0</v>
      </c>
      <c r="AX11" s="466" t="str">
        <f t="shared" si="11"/>
        <v>Tidak Tuntas</v>
      </c>
    </row>
    <row r="12" spans="1:50" ht="18" customHeight="1" x14ac:dyDescent="0.25">
      <c r="A12" s="362">
        <v>4</v>
      </c>
      <c r="B12" s="443" t="str">
        <f>dtsiswa!D10</f>
        <v>Antonio Permata A</v>
      </c>
      <c r="C12" s="448" t="s">
        <v>4</v>
      </c>
      <c r="D12" s="447"/>
      <c r="E12" s="447"/>
      <c r="F12" s="447"/>
      <c r="G12" s="447"/>
      <c r="H12" s="447"/>
      <c r="I12" s="447"/>
      <c r="J12" s="447"/>
      <c r="K12" s="447"/>
      <c r="L12" s="447"/>
      <c r="M12" s="447"/>
      <c r="N12" s="445"/>
      <c r="O12" s="446">
        <f t="shared" si="4"/>
        <v>0</v>
      </c>
      <c r="P12" s="447"/>
      <c r="Q12" s="447"/>
      <c r="R12" s="447"/>
      <c r="S12" s="447"/>
      <c r="T12" s="447"/>
      <c r="U12" s="447"/>
      <c r="V12" s="447"/>
      <c r="W12" s="447"/>
      <c r="X12" s="447"/>
      <c r="Y12" s="447"/>
      <c r="Z12" s="447"/>
      <c r="AA12" s="447"/>
      <c r="AB12" s="446">
        <f t="shared" si="5"/>
        <v>0</v>
      </c>
      <c r="AC12" s="447"/>
      <c r="AD12" s="447"/>
      <c r="AE12" s="447"/>
      <c r="AF12" s="447"/>
      <c r="AG12" s="447"/>
      <c r="AH12" s="447"/>
      <c r="AI12" s="447"/>
      <c r="AJ12" s="447"/>
      <c r="AK12" s="447"/>
      <c r="AL12" s="447"/>
      <c r="AM12" s="447"/>
      <c r="AN12" s="445"/>
      <c r="AO12" s="446">
        <f t="shared" si="6"/>
        <v>0</v>
      </c>
      <c r="AP12" s="463">
        <f t="shared" si="7"/>
        <v>0</v>
      </c>
      <c r="AQ12" s="463">
        <f t="shared" si="8"/>
        <v>0</v>
      </c>
      <c r="AR12" s="463">
        <f t="shared" si="9"/>
        <v>0</v>
      </c>
      <c r="AS12" s="463">
        <f t="shared" si="10"/>
        <v>0</v>
      </c>
      <c r="AT12" s="464">
        <f t="shared" si="0"/>
        <v>0</v>
      </c>
      <c r="AU12" s="464">
        <f t="shared" si="1"/>
        <v>0</v>
      </c>
      <c r="AV12" s="464">
        <f t="shared" si="2"/>
        <v>0</v>
      </c>
      <c r="AW12" s="465">
        <f t="shared" si="3"/>
        <v>0</v>
      </c>
      <c r="AX12" s="466" t="str">
        <f t="shared" si="11"/>
        <v>Tidak Tuntas</v>
      </c>
    </row>
    <row r="13" spans="1:50" ht="18" customHeight="1" x14ac:dyDescent="0.25">
      <c r="A13" s="362">
        <v>5</v>
      </c>
      <c r="B13" s="443" t="str">
        <f>dtsiswa!D11</f>
        <v>Arya Pratama G</v>
      </c>
      <c r="C13" s="444" t="s">
        <v>5</v>
      </c>
      <c r="D13" s="447"/>
      <c r="E13" s="447"/>
      <c r="F13" s="447"/>
      <c r="G13" s="447"/>
      <c r="H13" s="447"/>
      <c r="I13" s="447"/>
      <c r="J13" s="447"/>
      <c r="K13" s="447"/>
      <c r="L13" s="447"/>
      <c r="M13" s="447"/>
      <c r="N13" s="445"/>
      <c r="O13" s="446">
        <f t="shared" si="4"/>
        <v>0</v>
      </c>
      <c r="P13" s="447"/>
      <c r="Q13" s="447"/>
      <c r="R13" s="447"/>
      <c r="S13" s="447"/>
      <c r="T13" s="447"/>
      <c r="U13" s="447"/>
      <c r="V13" s="447"/>
      <c r="W13" s="447"/>
      <c r="X13" s="447"/>
      <c r="Y13" s="447"/>
      <c r="Z13" s="447"/>
      <c r="AA13" s="447"/>
      <c r="AB13" s="446">
        <f t="shared" si="5"/>
        <v>0</v>
      </c>
      <c r="AC13" s="447"/>
      <c r="AD13" s="447"/>
      <c r="AE13" s="447"/>
      <c r="AF13" s="447"/>
      <c r="AG13" s="447"/>
      <c r="AH13" s="447"/>
      <c r="AI13" s="447"/>
      <c r="AJ13" s="447"/>
      <c r="AK13" s="447"/>
      <c r="AL13" s="447"/>
      <c r="AM13" s="447"/>
      <c r="AN13" s="445"/>
      <c r="AO13" s="446">
        <f t="shared" si="6"/>
        <v>0</v>
      </c>
      <c r="AP13" s="463">
        <f t="shared" si="7"/>
        <v>0</v>
      </c>
      <c r="AQ13" s="463">
        <f t="shared" si="8"/>
        <v>0</v>
      </c>
      <c r="AR13" s="463">
        <f t="shared" si="9"/>
        <v>0</v>
      </c>
      <c r="AS13" s="463">
        <f t="shared" si="10"/>
        <v>0</v>
      </c>
      <c r="AT13" s="464">
        <f t="shared" si="0"/>
        <v>0</v>
      </c>
      <c r="AU13" s="464">
        <f t="shared" si="1"/>
        <v>0</v>
      </c>
      <c r="AV13" s="464">
        <f t="shared" si="2"/>
        <v>0</v>
      </c>
      <c r="AW13" s="465">
        <f t="shared" si="3"/>
        <v>0</v>
      </c>
      <c r="AX13" s="466" t="str">
        <f t="shared" si="11"/>
        <v>Tidak Tuntas</v>
      </c>
    </row>
    <row r="14" spans="1:50" ht="18" customHeight="1" x14ac:dyDescent="0.25">
      <c r="A14" s="362">
        <v>6</v>
      </c>
      <c r="B14" s="443" t="str">
        <f>dtsiswa!D12</f>
        <v>Asyam Hanif Ihsan H</v>
      </c>
      <c r="C14" s="444" t="s">
        <v>5</v>
      </c>
      <c r="D14" s="447"/>
      <c r="E14" s="447"/>
      <c r="F14" s="447"/>
      <c r="G14" s="447"/>
      <c r="H14" s="447"/>
      <c r="I14" s="447"/>
      <c r="J14" s="447"/>
      <c r="K14" s="447"/>
      <c r="L14" s="447"/>
      <c r="M14" s="447"/>
      <c r="N14" s="445"/>
      <c r="O14" s="446">
        <f t="shared" si="4"/>
        <v>0</v>
      </c>
      <c r="P14" s="447"/>
      <c r="Q14" s="447"/>
      <c r="R14" s="447"/>
      <c r="S14" s="447"/>
      <c r="T14" s="447"/>
      <c r="U14" s="447"/>
      <c r="V14" s="447"/>
      <c r="W14" s="447"/>
      <c r="X14" s="447"/>
      <c r="Y14" s="447"/>
      <c r="Z14" s="447"/>
      <c r="AA14" s="447"/>
      <c r="AB14" s="446">
        <f t="shared" si="5"/>
        <v>0</v>
      </c>
      <c r="AC14" s="447"/>
      <c r="AD14" s="447"/>
      <c r="AE14" s="447"/>
      <c r="AF14" s="447"/>
      <c r="AG14" s="447"/>
      <c r="AH14" s="447"/>
      <c r="AI14" s="447"/>
      <c r="AJ14" s="447"/>
      <c r="AK14" s="447"/>
      <c r="AL14" s="447"/>
      <c r="AM14" s="447"/>
      <c r="AN14" s="445"/>
      <c r="AO14" s="446">
        <f t="shared" si="6"/>
        <v>0</v>
      </c>
      <c r="AP14" s="463">
        <f t="shared" si="7"/>
        <v>0</v>
      </c>
      <c r="AQ14" s="463">
        <f t="shared" si="8"/>
        <v>0</v>
      </c>
      <c r="AR14" s="463">
        <f t="shared" si="9"/>
        <v>0</v>
      </c>
      <c r="AS14" s="463">
        <f t="shared" si="10"/>
        <v>0</v>
      </c>
      <c r="AT14" s="464">
        <f t="shared" si="0"/>
        <v>0</v>
      </c>
      <c r="AU14" s="464">
        <f t="shared" si="1"/>
        <v>0</v>
      </c>
      <c r="AV14" s="464">
        <f t="shared" si="2"/>
        <v>0</v>
      </c>
      <c r="AW14" s="465">
        <f t="shared" si="3"/>
        <v>0</v>
      </c>
      <c r="AX14" s="466" t="str">
        <f t="shared" si="11"/>
        <v>Tidak Tuntas</v>
      </c>
    </row>
    <row r="15" spans="1:50" ht="18" customHeight="1" x14ac:dyDescent="0.25">
      <c r="A15" s="362">
        <v>7</v>
      </c>
      <c r="B15" s="443" t="str">
        <f>dtsiswa!D13</f>
        <v>Athaya Salsabilla Z</v>
      </c>
      <c r="C15" s="444" t="s">
        <v>4</v>
      </c>
      <c r="D15" s="447"/>
      <c r="E15" s="447"/>
      <c r="F15" s="447"/>
      <c r="G15" s="447"/>
      <c r="H15" s="447"/>
      <c r="I15" s="447"/>
      <c r="J15" s="447"/>
      <c r="K15" s="447"/>
      <c r="L15" s="447"/>
      <c r="M15" s="447"/>
      <c r="N15" s="445"/>
      <c r="O15" s="446">
        <f t="shared" si="4"/>
        <v>0</v>
      </c>
      <c r="P15" s="447"/>
      <c r="Q15" s="447"/>
      <c r="R15" s="447"/>
      <c r="S15" s="447"/>
      <c r="T15" s="447"/>
      <c r="U15" s="447"/>
      <c r="V15" s="447"/>
      <c r="W15" s="447"/>
      <c r="X15" s="447"/>
      <c r="Y15" s="447"/>
      <c r="Z15" s="447"/>
      <c r="AA15" s="447"/>
      <c r="AB15" s="446">
        <f t="shared" si="5"/>
        <v>0</v>
      </c>
      <c r="AC15" s="447"/>
      <c r="AD15" s="447"/>
      <c r="AE15" s="447"/>
      <c r="AF15" s="447"/>
      <c r="AG15" s="447"/>
      <c r="AH15" s="447"/>
      <c r="AI15" s="447"/>
      <c r="AJ15" s="447"/>
      <c r="AK15" s="447"/>
      <c r="AL15" s="447"/>
      <c r="AM15" s="447"/>
      <c r="AN15" s="445"/>
      <c r="AO15" s="446">
        <f t="shared" si="6"/>
        <v>0</v>
      </c>
      <c r="AP15" s="463">
        <f t="shared" si="7"/>
        <v>0</v>
      </c>
      <c r="AQ15" s="463">
        <f t="shared" si="8"/>
        <v>0</v>
      </c>
      <c r="AR15" s="463">
        <f t="shared" si="9"/>
        <v>0</v>
      </c>
      <c r="AS15" s="463">
        <f t="shared" si="10"/>
        <v>0</v>
      </c>
      <c r="AT15" s="464">
        <f t="shared" si="0"/>
        <v>0</v>
      </c>
      <c r="AU15" s="464">
        <f t="shared" si="1"/>
        <v>0</v>
      </c>
      <c r="AV15" s="464">
        <f t="shared" si="2"/>
        <v>0</v>
      </c>
      <c r="AW15" s="465">
        <f t="shared" si="3"/>
        <v>0</v>
      </c>
      <c r="AX15" s="466" t="str">
        <f t="shared" si="11"/>
        <v>Tidak Tuntas</v>
      </c>
    </row>
    <row r="16" spans="1:50" ht="18" customHeight="1" x14ac:dyDescent="0.25">
      <c r="A16" s="362">
        <v>8</v>
      </c>
      <c r="B16" s="443" t="str">
        <f>dtsiswa!D14</f>
        <v>Aulia Dea Rosalinda</v>
      </c>
      <c r="C16" s="444" t="s">
        <v>4</v>
      </c>
      <c r="D16" s="447"/>
      <c r="E16" s="447"/>
      <c r="F16" s="447"/>
      <c r="G16" s="447"/>
      <c r="H16" s="447"/>
      <c r="I16" s="447"/>
      <c r="J16" s="447"/>
      <c r="K16" s="447"/>
      <c r="L16" s="447"/>
      <c r="M16" s="447"/>
      <c r="N16" s="445"/>
      <c r="O16" s="446">
        <f t="shared" si="4"/>
        <v>0</v>
      </c>
      <c r="P16" s="447"/>
      <c r="Q16" s="447"/>
      <c r="R16" s="447"/>
      <c r="S16" s="447"/>
      <c r="T16" s="447"/>
      <c r="U16" s="447"/>
      <c r="V16" s="447"/>
      <c r="W16" s="447"/>
      <c r="X16" s="447"/>
      <c r="Y16" s="447"/>
      <c r="Z16" s="447"/>
      <c r="AA16" s="447"/>
      <c r="AB16" s="446">
        <f t="shared" si="5"/>
        <v>0</v>
      </c>
      <c r="AC16" s="447"/>
      <c r="AD16" s="447"/>
      <c r="AE16" s="447"/>
      <c r="AF16" s="447"/>
      <c r="AG16" s="447"/>
      <c r="AH16" s="447"/>
      <c r="AI16" s="447"/>
      <c r="AJ16" s="447"/>
      <c r="AK16" s="447"/>
      <c r="AL16" s="447"/>
      <c r="AM16" s="447"/>
      <c r="AN16" s="445"/>
      <c r="AO16" s="446">
        <f t="shared" si="6"/>
        <v>0</v>
      </c>
      <c r="AP16" s="463">
        <f t="shared" si="7"/>
        <v>0</v>
      </c>
      <c r="AQ16" s="463">
        <f t="shared" si="8"/>
        <v>0</v>
      </c>
      <c r="AR16" s="463">
        <f t="shared" si="9"/>
        <v>0</v>
      </c>
      <c r="AS16" s="463">
        <f t="shared" si="10"/>
        <v>0</v>
      </c>
      <c r="AT16" s="464">
        <f t="shared" si="0"/>
        <v>0</v>
      </c>
      <c r="AU16" s="464">
        <f t="shared" si="1"/>
        <v>0</v>
      </c>
      <c r="AV16" s="464">
        <f t="shared" si="2"/>
        <v>0</v>
      </c>
      <c r="AW16" s="465">
        <f t="shared" si="3"/>
        <v>0</v>
      </c>
      <c r="AX16" s="466" t="str">
        <f t="shared" si="11"/>
        <v>Tidak Tuntas</v>
      </c>
    </row>
    <row r="17" spans="1:50" ht="18" customHeight="1" x14ac:dyDescent="0.25">
      <c r="A17" s="362">
        <v>9</v>
      </c>
      <c r="B17" s="443" t="str">
        <f>dtsiswa!D15</f>
        <v>Claudia Gabriella L</v>
      </c>
      <c r="C17" s="444" t="s">
        <v>4</v>
      </c>
      <c r="D17" s="447"/>
      <c r="E17" s="447"/>
      <c r="F17" s="447"/>
      <c r="G17" s="447"/>
      <c r="H17" s="447"/>
      <c r="I17" s="447"/>
      <c r="J17" s="447"/>
      <c r="K17" s="447"/>
      <c r="L17" s="447"/>
      <c r="M17" s="447"/>
      <c r="N17" s="445"/>
      <c r="O17" s="446">
        <f t="shared" si="4"/>
        <v>0</v>
      </c>
      <c r="P17" s="447"/>
      <c r="Q17" s="447"/>
      <c r="R17" s="447"/>
      <c r="S17" s="447"/>
      <c r="T17" s="447"/>
      <c r="U17" s="447"/>
      <c r="V17" s="447"/>
      <c r="W17" s="447"/>
      <c r="X17" s="447"/>
      <c r="Y17" s="447"/>
      <c r="Z17" s="447"/>
      <c r="AA17" s="447"/>
      <c r="AB17" s="446">
        <f t="shared" si="5"/>
        <v>0</v>
      </c>
      <c r="AC17" s="447"/>
      <c r="AD17" s="447"/>
      <c r="AE17" s="447"/>
      <c r="AF17" s="447"/>
      <c r="AG17" s="447"/>
      <c r="AH17" s="447"/>
      <c r="AI17" s="447"/>
      <c r="AJ17" s="447"/>
      <c r="AK17" s="447"/>
      <c r="AL17" s="447"/>
      <c r="AM17" s="447"/>
      <c r="AN17" s="445"/>
      <c r="AO17" s="446">
        <f t="shared" si="6"/>
        <v>0</v>
      </c>
      <c r="AP17" s="463">
        <f t="shared" si="7"/>
        <v>0</v>
      </c>
      <c r="AQ17" s="463">
        <f t="shared" si="8"/>
        <v>0</v>
      </c>
      <c r="AR17" s="463">
        <f t="shared" si="9"/>
        <v>0</v>
      </c>
      <c r="AS17" s="463">
        <f t="shared" si="10"/>
        <v>0</v>
      </c>
      <c r="AT17" s="464">
        <f t="shared" si="0"/>
        <v>0</v>
      </c>
      <c r="AU17" s="464">
        <f t="shared" si="1"/>
        <v>0</v>
      </c>
      <c r="AV17" s="464">
        <f t="shared" si="2"/>
        <v>0</v>
      </c>
      <c r="AW17" s="465">
        <f t="shared" si="3"/>
        <v>0</v>
      </c>
      <c r="AX17" s="466" t="str">
        <f t="shared" si="11"/>
        <v>Tidak Tuntas</v>
      </c>
    </row>
    <row r="18" spans="1:50" ht="18" customHeight="1" x14ac:dyDescent="0.25">
      <c r="A18" s="362">
        <v>10</v>
      </c>
      <c r="B18" s="443" t="str">
        <f>dtsiswa!D16</f>
        <v xml:space="preserve">Deco Badarus Zaman </v>
      </c>
      <c r="C18" s="444" t="s">
        <v>4</v>
      </c>
      <c r="D18" s="447"/>
      <c r="E18" s="447"/>
      <c r="F18" s="447"/>
      <c r="G18" s="447"/>
      <c r="H18" s="447"/>
      <c r="I18" s="447"/>
      <c r="J18" s="447"/>
      <c r="K18" s="447"/>
      <c r="L18" s="447"/>
      <c r="M18" s="447"/>
      <c r="N18" s="445"/>
      <c r="O18" s="446">
        <f t="shared" si="4"/>
        <v>0</v>
      </c>
      <c r="P18" s="447"/>
      <c r="Q18" s="447"/>
      <c r="R18" s="447"/>
      <c r="S18" s="447"/>
      <c r="T18" s="447"/>
      <c r="U18" s="447"/>
      <c r="V18" s="447"/>
      <c r="W18" s="447"/>
      <c r="X18" s="447"/>
      <c r="Y18" s="447"/>
      <c r="Z18" s="447"/>
      <c r="AA18" s="447"/>
      <c r="AB18" s="446">
        <f t="shared" si="5"/>
        <v>0</v>
      </c>
      <c r="AC18" s="447"/>
      <c r="AD18" s="447"/>
      <c r="AE18" s="447"/>
      <c r="AF18" s="447"/>
      <c r="AG18" s="447"/>
      <c r="AH18" s="447"/>
      <c r="AI18" s="447"/>
      <c r="AJ18" s="447"/>
      <c r="AK18" s="447"/>
      <c r="AL18" s="447"/>
      <c r="AM18" s="447"/>
      <c r="AN18" s="445"/>
      <c r="AO18" s="446">
        <f t="shared" si="6"/>
        <v>0</v>
      </c>
      <c r="AP18" s="463">
        <f t="shared" si="7"/>
        <v>0</v>
      </c>
      <c r="AQ18" s="463">
        <f t="shared" si="8"/>
        <v>0</v>
      </c>
      <c r="AR18" s="463">
        <f t="shared" si="9"/>
        <v>0</v>
      </c>
      <c r="AS18" s="463">
        <f t="shared" si="10"/>
        <v>0</v>
      </c>
      <c r="AT18" s="464">
        <f t="shared" si="0"/>
        <v>0</v>
      </c>
      <c r="AU18" s="464">
        <f t="shared" si="1"/>
        <v>0</v>
      </c>
      <c r="AV18" s="464">
        <f t="shared" si="2"/>
        <v>0</v>
      </c>
      <c r="AW18" s="465">
        <f t="shared" si="3"/>
        <v>0</v>
      </c>
      <c r="AX18" s="466" t="str">
        <f t="shared" si="11"/>
        <v>Tidak Tuntas</v>
      </c>
    </row>
    <row r="19" spans="1:50" ht="18" customHeight="1" x14ac:dyDescent="0.25">
      <c r="A19" s="362">
        <v>11</v>
      </c>
      <c r="B19" s="443" t="str">
        <f>dtsiswa!D17</f>
        <v>Fania Mutiara Felichia</v>
      </c>
      <c r="C19" s="444" t="s">
        <v>4</v>
      </c>
      <c r="D19" s="447"/>
      <c r="E19" s="447"/>
      <c r="F19" s="447"/>
      <c r="G19" s="447"/>
      <c r="H19" s="447"/>
      <c r="I19" s="447"/>
      <c r="J19" s="447"/>
      <c r="K19" s="447"/>
      <c r="L19" s="447"/>
      <c r="M19" s="447"/>
      <c r="N19" s="445"/>
      <c r="O19" s="446">
        <f t="shared" si="4"/>
        <v>0</v>
      </c>
      <c r="P19" s="447"/>
      <c r="Q19" s="447"/>
      <c r="R19" s="447"/>
      <c r="S19" s="447"/>
      <c r="T19" s="447"/>
      <c r="U19" s="447"/>
      <c r="V19" s="447"/>
      <c r="W19" s="447"/>
      <c r="X19" s="447"/>
      <c r="Y19" s="447"/>
      <c r="Z19" s="447"/>
      <c r="AA19" s="447"/>
      <c r="AB19" s="446">
        <f t="shared" si="5"/>
        <v>0</v>
      </c>
      <c r="AC19" s="447"/>
      <c r="AD19" s="447"/>
      <c r="AE19" s="447"/>
      <c r="AF19" s="447"/>
      <c r="AG19" s="447"/>
      <c r="AH19" s="447"/>
      <c r="AI19" s="447"/>
      <c r="AJ19" s="447"/>
      <c r="AK19" s="447"/>
      <c r="AL19" s="447"/>
      <c r="AM19" s="447"/>
      <c r="AN19" s="445"/>
      <c r="AO19" s="446">
        <f t="shared" si="6"/>
        <v>0</v>
      </c>
      <c r="AP19" s="463">
        <f t="shared" si="7"/>
        <v>0</v>
      </c>
      <c r="AQ19" s="463">
        <f t="shared" si="8"/>
        <v>0</v>
      </c>
      <c r="AR19" s="463">
        <f t="shared" si="9"/>
        <v>0</v>
      </c>
      <c r="AS19" s="463">
        <f t="shared" si="10"/>
        <v>0</v>
      </c>
      <c r="AT19" s="464">
        <f t="shared" si="0"/>
        <v>0</v>
      </c>
      <c r="AU19" s="464">
        <f t="shared" si="1"/>
        <v>0</v>
      </c>
      <c r="AV19" s="464">
        <f t="shared" si="2"/>
        <v>0</v>
      </c>
      <c r="AW19" s="465">
        <f t="shared" si="3"/>
        <v>0</v>
      </c>
      <c r="AX19" s="466" t="str">
        <f t="shared" si="11"/>
        <v>Tidak Tuntas</v>
      </c>
    </row>
    <row r="20" spans="1:50" ht="18" customHeight="1" x14ac:dyDescent="0.25">
      <c r="A20" s="362">
        <v>12</v>
      </c>
      <c r="B20" s="443" t="str">
        <f>dtsiswa!D18</f>
        <v>Intan Dyah Nowari</v>
      </c>
      <c r="C20" s="444" t="s">
        <v>4</v>
      </c>
      <c r="D20" s="447"/>
      <c r="E20" s="447"/>
      <c r="F20" s="447"/>
      <c r="G20" s="447"/>
      <c r="H20" s="447"/>
      <c r="I20" s="447"/>
      <c r="J20" s="447"/>
      <c r="K20" s="447"/>
      <c r="L20" s="447"/>
      <c r="M20" s="447"/>
      <c r="N20" s="445"/>
      <c r="O20" s="446">
        <f t="shared" si="4"/>
        <v>0</v>
      </c>
      <c r="P20" s="447"/>
      <c r="Q20" s="447"/>
      <c r="R20" s="447"/>
      <c r="S20" s="447"/>
      <c r="T20" s="447"/>
      <c r="U20" s="447"/>
      <c r="V20" s="447"/>
      <c r="W20" s="447"/>
      <c r="X20" s="447"/>
      <c r="Y20" s="447"/>
      <c r="Z20" s="447"/>
      <c r="AA20" s="447"/>
      <c r="AB20" s="446">
        <f t="shared" si="5"/>
        <v>0</v>
      </c>
      <c r="AC20" s="447"/>
      <c r="AD20" s="447"/>
      <c r="AE20" s="447"/>
      <c r="AF20" s="447"/>
      <c r="AG20" s="447"/>
      <c r="AH20" s="447"/>
      <c r="AI20" s="447"/>
      <c r="AJ20" s="447"/>
      <c r="AK20" s="447"/>
      <c r="AL20" s="447"/>
      <c r="AM20" s="447"/>
      <c r="AN20" s="445"/>
      <c r="AO20" s="446">
        <f t="shared" si="6"/>
        <v>0</v>
      </c>
      <c r="AP20" s="463">
        <f t="shared" si="7"/>
        <v>0</v>
      </c>
      <c r="AQ20" s="463">
        <f t="shared" si="8"/>
        <v>0</v>
      </c>
      <c r="AR20" s="463">
        <f t="shared" si="9"/>
        <v>0</v>
      </c>
      <c r="AS20" s="463">
        <f t="shared" si="10"/>
        <v>0</v>
      </c>
      <c r="AT20" s="464">
        <f t="shared" si="0"/>
        <v>0</v>
      </c>
      <c r="AU20" s="464">
        <f t="shared" si="1"/>
        <v>0</v>
      </c>
      <c r="AV20" s="464">
        <f t="shared" si="2"/>
        <v>0</v>
      </c>
      <c r="AW20" s="465">
        <f t="shared" si="3"/>
        <v>0</v>
      </c>
      <c r="AX20" s="466" t="str">
        <f t="shared" si="11"/>
        <v>Tidak Tuntas</v>
      </c>
    </row>
    <row r="21" spans="1:50" ht="18" customHeight="1" x14ac:dyDescent="0.25">
      <c r="A21" s="362">
        <v>13</v>
      </c>
      <c r="B21" s="443" t="str">
        <f>dtsiswa!D19</f>
        <v>Misyanita Nurfitri S</v>
      </c>
      <c r="C21" s="444" t="s">
        <v>5</v>
      </c>
      <c r="D21" s="447"/>
      <c r="E21" s="447"/>
      <c r="F21" s="447"/>
      <c r="G21" s="447"/>
      <c r="H21" s="447"/>
      <c r="I21" s="447"/>
      <c r="J21" s="447"/>
      <c r="K21" s="447"/>
      <c r="L21" s="447"/>
      <c r="M21" s="447"/>
      <c r="N21" s="445"/>
      <c r="O21" s="446">
        <f t="shared" si="4"/>
        <v>0</v>
      </c>
      <c r="P21" s="447"/>
      <c r="Q21" s="447"/>
      <c r="R21" s="447"/>
      <c r="S21" s="447"/>
      <c r="T21" s="447"/>
      <c r="U21" s="447"/>
      <c r="V21" s="447"/>
      <c r="W21" s="447"/>
      <c r="X21" s="447"/>
      <c r="Y21" s="447"/>
      <c r="Z21" s="447"/>
      <c r="AA21" s="447"/>
      <c r="AB21" s="446">
        <f t="shared" si="5"/>
        <v>0</v>
      </c>
      <c r="AC21" s="447"/>
      <c r="AD21" s="447"/>
      <c r="AE21" s="447"/>
      <c r="AF21" s="447"/>
      <c r="AG21" s="447"/>
      <c r="AH21" s="447"/>
      <c r="AI21" s="447"/>
      <c r="AJ21" s="447"/>
      <c r="AK21" s="447"/>
      <c r="AL21" s="447"/>
      <c r="AM21" s="447"/>
      <c r="AN21" s="445"/>
      <c r="AO21" s="446">
        <f t="shared" si="6"/>
        <v>0</v>
      </c>
      <c r="AP21" s="463">
        <f t="shared" si="7"/>
        <v>0</v>
      </c>
      <c r="AQ21" s="463">
        <f t="shared" si="8"/>
        <v>0</v>
      </c>
      <c r="AR21" s="463">
        <f t="shared" si="9"/>
        <v>0</v>
      </c>
      <c r="AS21" s="463">
        <f t="shared" si="10"/>
        <v>0</v>
      </c>
      <c r="AT21" s="464">
        <f t="shared" si="0"/>
        <v>0</v>
      </c>
      <c r="AU21" s="464">
        <f t="shared" si="1"/>
        <v>0</v>
      </c>
      <c r="AV21" s="464">
        <f t="shared" si="2"/>
        <v>0</v>
      </c>
      <c r="AW21" s="465">
        <f t="shared" si="3"/>
        <v>0</v>
      </c>
      <c r="AX21" s="466" t="str">
        <f t="shared" si="11"/>
        <v>Tidak Tuntas</v>
      </c>
    </row>
    <row r="22" spans="1:50" ht="18" customHeight="1" x14ac:dyDescent="0.25">
      <c r="A22" s="362">
        <v>14</v>
      </c>
      <c r="B22" s="443" t="str">
        <f>dtsiswa!D20</f>
        <v>Moch Zidane Hita L. U</v>
      </c>
      <c r="C22" s="444" t="s">
        <v>4</v>
      </c>
      <c r="D22" s="447"/>
      <c r="E22" s="447"/>
      <c r="F22" s="447"/>
      <c r="G22" s="447"/>
      <c r="H22" s="447"/>
      <c r="I22" s="447"/>
      <c r="J22" s="447"/>
      <c r="K22" s="447"/>
      <c r="L22" s="447"/>
      <c r="M22" s="447"/>
      <c r="N22" s="445"/>
      <c r="O22" s="446">
        <f t="shared" si="4"/>
        <v>0</v>
      </c>
      <c r="P22" s="447"/>
      <c r="Q22" s="447"/>
      <c r="R22" s="447"/>
      <c r="S22" s="447"/>
      <c r="T22" s="447"/>
      <c r="U22" s="447"/>
      <c r="V22" s="447"/>
      <c r="W22" s="447"/>
      <c r="X22" s="447"/>
      <c r="Y22" s="447"/>
      <c r="Z22" s="447"/>
      <c r="AA22" s="447"/>
      <c r="AB22" s="446">
        <f t="shared" si="5"/>
        <v>0</v>
      </c>
      <c r="AC22" s="447"/>
      <c r="AD22" s="447"/>
      <c r="AE22" s="447"/>
      <c r="AF22" s="447"/>
      <c r="AG22" s="447"/>
      <c r="AH22" s="447"/>
      <c r="AI22" s="447"/>
      <c r="AJ22" s="447"/>
      <c r="AK22" s="447"/>
      <c r="AL22" s="447"/>
      <c r="AM22" s="447"/>
      <c r="AN22" s="445"/>
      <c r="AO22" s="446">
        <f t="shared" si="6"/>
        <v>0</v>
      </c>
      <c r="AP22" s="463">
        <f t="shared" si="7"/>
        <v>0</v>
      </c>
      <c r="AQ22" s="463">
        <f t="shared" si="8"/>
        <v>0</v>
      </c>
      <c r="AR22" s="463">
        <f t="shared" si="9"/>
        <v>0</v>
      </c>
      <c r="AS22" s="463">
        <f t="shared" si="10"/>
        <v>0</v>
      </c>
      <c r="AT22" s="464">
        <f t="shared" si="0"/>
        <v>0</v>
      </c>
      <c r="AU22" s="464">
        <f t="shared" si="1"/>
        <v>0</v>
      </c>
      <c r="AV22" s="464">
        <f t="shared" si="2"/>
        <v>0</v>
      </c>
      <c r="AW22" s="465">
        <f t="shared" si="3"/>
        <v>0</v>
      </c>
      <c r="AX22" s="466" t="str">
        <f t="shared" si="11"/>
        <v>Tidak Tuntas</v>
      </c>
    </row>
    <row r="23" spans="1:50" ht="18" customHeight="1" x14ac:dyDescent="0.25">
      <c r="A23" s="362">
        <v>15</v>
      </c>
      <c r="B23" s="443" t="str">
        <f>dtsiswa!D21</f>
        <v>Muhammad Ibra Maulana</v>
      </c>
      <c r="C23" s="444" t="s">
        <v>4</v>
      </c>
      <c r="D23" s="447"/>
      <c r="E23" s="447"/>
      <c r="F23" s="447"/>
      <c r="G23" s="447"/>
      <c r="H23" s="447"/>
      <c r="I23" s="447"/>
      <c r="J23" s="447"/>
      <c r="K23" s="447"/>
      <c r="L23" s="447"/>
      <c r="M23" s="447"/>
      <c r="N23" s="445"/>
      <c r="O23" s="446">
        <f t="shared" si="4"/>
        <v>0</v>
      </c>
      <c r="P23" s="447"/>
      <c r="Q23" s="447"/>
      <c r="R23" s="447"/>
      <c r="S23" s="447"/>
      <c r="T23" s="447"/>
      <c r="U23" s="447"/>
      <c r="V23" s="447"/>
      <c r="W23" s="447"/>
      <c r="X23" s="447"/>
      <c r="Y23" s="447"/>
      <c r="Z23" s="447"/>
      <c r="AA23" s="447"/>
      <c r="AB23" s="446">
        <f t="shared" si="5"/>
        <v>0</v>
      </c>
      <c r="AC23" s="447"/>
      <c r="AD23" s="447"/>
      <c r="AE23" s="447"/>
      <c r="AF23" s="447"/>
      <c r="AG23" s="447"/>
      <c r="AH23" s="447"/>
      <c r="AI23" s="447"/>
      <c r="AJ23" s="447"/>
      <c r="AK23" s="447"/>
      <c r="AL23" s="447"/>
      <c r="AM23" s="447"/>
      <c r="AN23" s="445"/>
      <c r="AO23" s="446">
        <f t="shared" si="6"/>
        <v>0</v>
      </c>
      <c r="AP23" s="463">
        <f t="shared" si="7"/>
        <v>0</v>
      </c>
      <c r="AQ23" s="463">
        <f t="shared" si="8"/>
        <v>0</v>
      </c>
      <c r="AR23" s="463">
        <f t="shared" si="9"/>
        <v>0</v>
      </c>
      <c r="AS23" s="463">
        <f t="shared" si="10"/>
        <v>0</v>
      </c>
      <c r="AT23" s="464">
        <f t="shared" si="0"/>
        <v>0</v>
      </c>
      <c r="AU23" s="464">
        <f t="shared" si="1"/>
        <v>0</v>
      </c>
      <c r="AV23" s="464">
        <f t="shared" si="2"/>
        <v>0</v>
      </c>
      <c r="AW23" s="465">
        <f t="shared" si="3"/>
        <v>0</v>
      </c>
      <c r="AX23" s="466" t="str">
        <f t="shared" si="11"/>
        <v>Tidak Tuntas</v>
      </c>
    </row>
    <row r="24" spans="1:50" ht="18" customHeight="1" x14ac:dyDescent="0.25">
      <c r="A24" s="362">
        <v>16</v>
      </c>
      <c r="B24" s="443" t="str">
        <f>dtsiswa!D22</f>
        <v>Nabilla Shiva Putri</v>
      </c>
      <c r="C24" s="444" t="s">
        <v>4</v>
      </c>
      <c r="D24" s="447"/>
      <c r="E24" s="447"/>
      <c r="F24" s="447"/>
      <c r="G24" s="447"/>
      <c r="H24" s="447"/>
      <c r="I24" s="447"/>
      <c r="J24" s="447"/>
      <c r="K24" s="447"/>
      <c r="L24" s="447"/>
      <c r="M24" s="447"/>
      <c r="N24" s="445"/>
      <c r="O24" s="446">
        <f t="shared" si="4"/>
        <v>0</v>
      </c>
      <c r="P24" s="447"/>
      <c r="Q24" s="447"/>
      <c r="R24" s="447"/>
      <c r="S24" s="447"/>
      <c r="T24" s="447"/>
      <c r="U24" s="447"/>
      <c r="V24" s="447"/>
      <c r="W24" s="447"/>
      <c r="X24" s="447"/>
      <c r="Y24" s="447"/>
      <c r="Z24" s="447"/>
      <c r="AA24" s="447"/>
      <c r="AB24" s="446">
        <f t="shared" si="5"/>
        <v>0</v>
      </c>
      <c r="AC24" s="447"/>
      <c r="AD24" s="447"/>
      <c r="AE24" s="447"/>
      <c r="AF24" s="447"/>
      <c r="AG24" s="447"/>
      <c r="AH24" s="447"/>
      <c r="AI24" s="447"/>
      <c r="AJ24" s="447"/>
      <c r="AK24" s="447"/>
      <c r="AL24" s="447"/>
      <c r="AM24" s="447"/>
      <c r="AN24" s="445"/>
      <c r="AO24" s="446">
        <f t="shared" si="6"/>
        <v>0</v>
      </c>
      <c r="AP24" s="463">
        <f t="shared" si="7"/>
        <v>0</v>
      </c>
      <c r="AQ24" s="463">
        <f t="shared" si="8"/>
        <v>0</v>
      </c>
      <c r="AR24" s="463">
        <f t="shared" si="9"/>
        <v>0</v>
      </c>
      <c r="AS24" s="463">
        <f t="shared" si="10"/>
        <v>0</v>
      </c>
      <c r="AT24" s="464">
        <f t="shared" si="0"/>
        <v>0</v>
      </c>
      <c r="AU24" s="464">
        <f t="shared" si="1"/>
        <v>0</v>
      </c>
      <c r="AV24" s="464">
        <f t="shared" si="2"/>
        <v>0</v>
      </c>
      <c r="AW24" s="465">
        <f t="shared" si="3"/>
        <v>0</v>
      </c>
      <c r="AX24" s="466" t="str">
        <f t="shared" si="11"/>
        <v>Tidak Tuntas</v>
      </c>
    </row>
    <row r="25" spans="1:50" ht="18" customHeight="1" x14ac:dyDescent="0.25">
      <c r="A25" s="362">
        <v>17</v>
      </c>
      <c r="B25" s="443" t="str">
        <f>dtsiswa!D23</f>
        <v>Naufal Falih F</v>
      </c>
      <c r="C25" s="444" t="s">
        <v>5</v>
      </c>
      <c r="D25" s="447"/>
      <c r="E25" s="447"/>
      <c r="F25" s="447"/>
      <c r="G25" s="447"/>
      <c r="H25" s="447"/>
      <c r="I25" s="447"/>
      <c r="J25" s="447"/>
      <c r="K25" s="447"/>
      <c r="L25" s="447"/>
      <c r="M25" s="447"/>
      <c r="N25" s="445"/>
      <c r="O25" s="446">
        <f t="shared" si="4"/>
        <v>0</v>
      </c>
      <c r="P25" s="447"/>
      <c r="Q25" s="447"/>
      <c r="R25" s="447"/>
      <c r="S25" s="447"/>
      <c r="T25" s="447"/>
      <c r="U25" s="447"/>
      <c r="V25" s="447"/>
      <c r="W25" s="447"/>
      <c r="X25" s="447"/>
      <c r="Y25" s="447"/>
      <c r="Z25" s="447"/>
      <c r="AA25" s="447"/>
      <c r="AB25" s="446">
        <f t="shared" si="5"/>
        <v>0</v>
      </c>
      <c r="AC25" s="447"/>
      <c r="AD25" s="447"/>
      <c r="AE25" s="447"/>
      <c r="AF25" s="447"/>
      <c r="AG25" s="447"/>
      <c r="AH25" s="447"/>
      <c r="AI25" s="447"/>
      <c r="AJ25" s="447"/>
      <c r="AK25" s="447"/>
      <c r="AL25" s="447"/>
      <c r="AM25" s="447"/>
      <c r="AN25" s="445"/>
      <c r="AO25" s="446">
        <f t="shared" si="6"/>
        <v>0</v>
      </c>
      <c r="AP25" s="463">
        <f t="shared" si="7"/>
        <v>0</v>
      </c>
      <c r="AQ25" s="463">
        <f t="shared" si="8"/>
        <v>0</v>
      </c>
      <c r="AR25" s="463">
        <f t="shared" si="9"/>
        <v>0</v>
      </c>
      <c r="AS25" s="463">
        <f t="shared" si="10"/>
        <v>0</v>
      </c>
      <c r="AT25" s="464">
        <f t="shared" si="0"/>
        <v>0</v>
      </c>
      <c r="AU25" s="464">
        <f t="shared" si="1"/>
        <v>0</v>
      </c>
      <c r="AV25" s="464">
        <f t="shared" si="2"/>
        <v>0</v>
      </c>
      <c r="AW25" s="465">
        <f t="shared" si="3"/>
        <v>0</v>
      </c>
      <c r="AX25" s="466" t="str">
        <f t="shared" si="11"/>
        <v>Tidak Tuntas</v>
      </c>
    </row>
    <row r="26" spans="1:50" ht="18" customHeight="1" x14ac:dyDescent="0.25">
      <c r="A26" s="362">
        <v>18</v>
      </c>
      <c r="B26" s="443" t="str">
        <f>dtsiswa!D24</f>
        <v>Nayla Annora Nobel W</v>
      </c>
      <c r="C26" s="444" t="s">
        <v>4</v>
      </c>
      <c r="D26" s="447"/>
      <c r="E26" s="447"/>
      <c r="F26" s="447"/>
      <c r="G26" s="447"/>
      <c r="H26" s="447"/>
      <c r="I26" s="447"/>
      <c r="J26" s="447"/>
      <c r="K26" s="447"/>
      <c r="L26" s="447"/>
      <c r="M26" s="447"/>
      <c r="N26" s="445"/>
      <c r="O26" s="446">
        <f t="shared" si="4"/>
        <v>0</v>
      </c>
      <c r="P26" s="447"/>
      <c r="Q26" s="447"/>
      <c r="R26" s="447"/>
      <c r="S26" s="447"/>
      <c r="T26" s="447"/>
      <c r="U26" s="447"/>
      <c r="V26" s="447"/>
      <c r="W26" s="447"/>
      <c r="X26" s="447"/>
      <c r="Y26" s="447"/>
      <c r="Z26" s="447"/>
      <c r="AA26" s="447"/>
      <c r="AB26" s="446">
        <f t="shared" si="5"/>
        <v>0</v>
      </c>
      <c r="AC26" s="447"/>
      <c r="AD26" s="447"/>
      <c r="AE26" s="447"/>
      <c r="AF26" s="447"/>
      <c r="AG26" s="447"/>
      <c r="AH26" s="447"/>
      <c r="AI26" s="447"/>
      <c r="AJ26" s="447"/>
      <c r="AK26" s="447"/>
      <c r="AL26" s="447"/>
      <c r="AM26" s="447"/>
      <c r="AN26" s="445"/>
      <c r="AO26" s="446">
        <f t="shared" si="6"/>
        <v>0</v>
      </c>
      <c r="AP26" s="463">
        <f t="shared" si="7"/>
        <v>0</v>
      </c>
      <c r="AQ26" s="463">
        <f t="shared" si="8"/>
        <v>0</v>
      </c>
      <c r="AR26" s="463">
        <f t="shared" si="9"/>
        <v>0</v>
      </c>
      <c r="AS26" s="463">
        <f t="shared" si="10"/>
        <v>0</v>
      </c>
      <c r="AT26" s="464">
        <f t="shared" si="0"/>
        <v>0</v>
      </c>
      <c r="AU26" s="464">
        <f t="shared" si="1"/>
        <v>0</v>
      </c>
      <c r="AV26" s="464">
        <f t="shared" si="2"/>
        <v>0</v>
      </c>
      <c r="AW26" s="465">
        <f t="shared" si="3"/>
        <v>0</v>
      </c>
      <c r="AX26" s="466" t="str">
        <f t="shared" si="11"/>
        <v>Tidak Tuntas</v>
      </c>
    </row>
    <row r="27" spans="1:50" ht="18" customHeight="1" x14ac:dyDescent="0.25">
      <c r="A27" s="362">
        <v>19</v>
      </c>
      <c r="B27" s="443" t="str">
        <f>dtsiswa!D25</f>
        <v>Raihan Danang P</v>
      </c>
      <c r="C27" s="444" t="s">
        <v>5</v>
      </c>
      <c r="D27" s="447"/>
      <c r="E27" s="447"/>
      <c r="F27" s="447"/>
      <c r="G27" s="447"/>
      <c r="H27" s="447"/>
      <c r="I27" s="447"/>
      <c r="J27" s="447"/>
      <c r="K27" s="447"/>
      <c r="L27" s="447"/>
      <c r="M27" s="447"/>
      <c r="N27" s="445"/>
      <c r="O27" s="446">
        <f t="shared" si="4"/>
        <v>0</v>
      </c>
      <c r="P27" s="447"/>
      <c r="Q27" s="447"/>
      <c r="R27" s="447"/>
      <c r="S27" s="447"/>
      <c r="T27" s="447"/>
      <c r="U27" s="447"/>
      <c r="V27" s="447"/>
      <c r="W27" s="447"/>
      <c r="X27" s="447"/>
      <c r="Y27" s="447"/>
      <c r="Z27" s="447"/>
      <c r="AA27" s="447"/>
      <c r="AB27" s="446">
        <f t="shared" si="5"/>
        <v>0</v>
      </c>
      <c r="AC27" s="447"/>
      <c r="AD27" s="447"/>
      <c r="AE27" s="447"/>
      <c r="AF27" s="447"/>
      <c r="AG27" s="447"/>
      <c r="AH27" s="447"/>
      <c r="AI27" s="447"/>
      <c r="AJ27" s="447"/>
      <c r="AK27" s="447"/>
      <c r="AL27" s="447"/>
      <c r="AM27" s="447"/>
      <c r="AN27" s="445"/>
      <c r="AO27" s="446">
        <f t="shared" si="6"/>
        <v>0</v>
      </c>
      <c r="AP27" s="463">
        <f t="shared" si="7"/>
        <v>0</v>
      </c>
      <c r="AQ27" s="463">
        <f t="shared" si="8"/>
        <v>0</v>
      </c>
      <c r="AR27" s="463">
        <f t="shared" si="9"/>
        <v>0</v>
      </c>
      <c r="AS27" s="463">
        <f t="shared" si="10"/>
        <v>0</v>
      </c>
      <c r="AT27" s="464">
        <f t="shared" si="0"/>
        <v>0</v>
      </c>
      <c r="AU27" s="464">
        <f t="shared" si="1"/>
        <v>0</v>
      </c>
      <c r="AV27" s="464">
        <f t="shared" si="2"/>
        <v>0</v>
      </c>
      <c r="AW27" s="465">
        <f t="shared" si="3"/>
        <v>0</v>
      </c>
      <c r="AX27" s="466" t="str">
        <f t="shared" si="11"/>
        <v>Tidak Tuntas</v>
      </c>
    </row>
    <row r="28" spans="1:50" ht="18" customHeight="1" x14ac:dyDescent="0.25">
      <c r="A28" s="362">
        <v>20</v>
      </c>
      <c r="B28" s="443" t="str">
        <f>dtsiswa!D26</f>
        <v>Roby Ardiyansyah</v>
      </c>
      <c r="C28" s="444" t="s">
        <v>5</v>
      </c>
      <c r="D28" s="362"/>
      <c r="E28" s="362"/>
      <c r="F28" s="362"/>
      <c r="G28" s="362"/>
      <c r="H28" s="362"/>
      <c r="I28" s="362"/>
      <c r="J28" s="362"/>
      <c r="K28" s="362"/>
      <c r="L28" s="362"/>
      <c r="M28" s="362"/>
      <c r="N28" s="361"/>
      <c r="O28" s="446">
        <f t="shared" si="4"/>
        <v>0</v>
      </c>
      <c r="P28" s="362"/>
      <c r="Q28" s="362"/>
      <c r="R28" s="362"/>
      <c r="S28" s="362"/>
      <c r="T28" s="362"/>
      <c r="U28" s="362"/>
      <c r="V28" s="362"/>
      <c r="W28" s="362"/>
      <c r="X28" s="362"/>
      <c r="Y28" s="362"/>
      <c r="Z28" s="362"/>
      <c r="AA28" s="362"/>
      <c r="AB28" s="446">
        <f t="shared" si="5"/>
        <v>0</v>
      </c>
      <c r="AC28" s="362"/>
      <c r="AD28" s="362"/>
      <c r="AE28" s="362"/>
      <c r="AF28" s="362"/>
      <c r="AG28" s="362"/>
      <c r="AH28" s="362"/>
      <c r="AI28" s="362"/>
      <c r="AJ28" s="362"/>
      <c r="AK28" s="362"/>
      <c r="AL28" s="362"/>
      <c r="AM28" s="362"/>
      <c r="AN28" s="361"/>
      <c r="AO28" s="446">
        <f t="shared" si="6"/>
        <v>0</v>
      </c>
      <c r="AP28" s="463">
        <f t="shared" si="7"/>
        <v>0</v>
      </c>
      <c r="AQ28" s="463">
        <f t="shared" si="8"/>
        <v>0</v>
      </c>
      <c r="AR28" s="463">
        <f t="shared" si="9"/>
        <v>0</v>
      </c>
      <c r="AS28" s="463">
        <f t="shared" si="10"/>
        <v>0</v>
      </c>
      <c r="AT28" s="464">
        <f t="shared" si="0"/>
        <v>0</v>
      </c>
      <c r="AU28" s="464">
        <f t="shared" si="1"/>
        <v>0</v>
      </c>
      <c r="AV28" s="464">
        <f t="shared" si="2"/>
        <v>0</v>
      </c>
      <c r="AW28" s="465">
        <f t="shared" si="3"/>
        <v>0</v>
      </c>
      <c r="AX28" s="466" t="str">
        <f t="shared" si="11"/>
        <v>Tidak Tuntas</v>
      </c>
    </row>
    <row r="29" spans="1:50" ht="18" customHeight="1" x14ac:dyDescent="0.25">
      <c r="A29" s="362">
        <v>21</v>
      </c>
      <c r="B29" s="443" t="str">
        <f>dtsiswa!D27</f>
        <v>Rojalingga Prana A</v>
      </c>
      <c r="C29" s="449" t="s">
        <v>4</v>
      </c>
      <c r="D29" s="447"/>
      <c r="E29" s="447"/>
      <c r="F29" s="447"/>
      <c r="G29" s="447"/>
      <c r="H29" s="447"/>
      <c r="I29" s="447"/>
      <c r="J29" s="447"/>
      <c r="K29" s="447"/>
      <c r="L29" s="447"/>
      <c r="M29" s="447"/>
      <c r="N29" s="445"/>
      <c r="O29" s="446">
        <f t="shared" si="4"/>
        <v>0</v>
      </c>
      <c r="P29" s="447"/>
      <c r="Q29" s="447"/>
      <c r="R29" s="447"/>
      <c r="S29" s="447"/>
      <c r="T29" s="447"/>
      <c r="U29" s="447"/>
      <c r="V29" s="447"/>
      <c r="W29" s="447"/>
      <c r="X29" s="447"/>
      <c r="Y29" s="447"/>
      <c r="Z29" s="447"/>
      <c r="AA29" s="447"/>
      <c r="AB29" s="446">
        <f t="shared" si="5"/>
        <v>0</v>
      </c>
      <c r="AC29" s="447"/>
      <c r="AD29" s="447"/>
      <c r="AE29" s="447"/>
      <c r="AF29" s="447"/>
      <c r="AG29" s="447"/>
      <c r="AH29" s="447"/>
      <c r="AI29" s="447"/>
      <c r="AJ29" s="447"/>
      <c r="AK29" s="447"/>
      <c r="AL29" s="447"/>
      <c r="AM29" s="447"/>
      <c r="AN29" s="445"/>
      <c r="AO29" s="446">
        <f t="shared" si="6"/>
        <v>0</v>
      </c>
      <c r="AP29" s="463">
        <f t="shared" si="7"/>
        <v>0</v>
      </c>
      <c r="AQ29" s="463">
        <f t="shared" si="8"/>
        <v>0</v>
      </c>
      <c r="AR29" s="463">
        <f t="shared" si="9"/>
        <v>0</v>
      </c>
      <c r="AS29" s="463">
        <f t="shared" si="10"/>
        <v>0</v>
      </c>
      <c r="AT29" s="464">
        <f t="shared" si="0"/>
        <v>0</v>
      </c>
      <c r="AU29" s="464">
        <f t="shared" si="1"/>
        <v>0</v>
      </c>
      <c r="AV29" s="464">
        <f t="shared" si="2"/>
        <v>0</v>
      </c>
      <c r="AW29" s="465">
        <f t="shared" si="3"/>
        <v>0</v>
      </c>
      <c r="AX29" s="466" t="str">
        <f t="shared" si="11"/>
        <v>Tidak Tuntas</v>
      </c>
    </row>
    <row r="30" spans="1:50" ht="18" customHeight="1" x14ac:dyDescent="0.25">
      <c r="A30" s="362">
        <v>22</v>
      </c>
      <c r="B30" s="443" t="str">
        <f>dtsiswa!D28</f>
        <v>Sally Savista A</v>
      </c>
      <c r="C30" s="450"/>
      <c r="D30" s="362"/>
      <c r="E30" s="362"/>
      <c r="F30" s="362"/>
      <c r="G30" s="362"/>
      <c r="H30" s="362"/>
      <c r="I30" s="362"/>
      <c r="J30" s="362"/>
      <c r="K30" s="362"/>
      <c r="L30" s="362"/>
      <c r="M30" s="362"/>
      <c r="N30" s="361"/>
      <c r="O30" s="446">
        <f t="shared" si="4"/>
        <v>0</v>
      </c>
      <c r="P30" s="362"/>
      <c r="Q30" s="362"/>
      <c r="R30" s="362"/>
      <c r="S30" s="362"/>
      <c r="T30" s="362"/>
      <c r="U30" s="362"/>
      <c r="V30" s="362"/>
      <c r="W30" s="362"/>
      <c r="X30" s="362"/>
      <c r="Y30" s="362"/>
      <c r="Z30" s="362"/>
      <c r="AA30" s="362"/>
      <c r="AB30" s="446">
        <f t="shared" si="5"/>
        <v>0</v>
      </c>
      <c r="AC30" s="362"/>
      <c r="AD30" s="362"/>
      <c r="AE30" s="362"/>
      <c r="AF30" s="362"/>
      <c r="AG30" s="362"/>
      <c r="AH30" s="362"/>
      <c r="AI30" s="362"/>
      <c r="AJ30" s="362"/>
      <c r="AK30" s="362"/>
      <c r="AL30" s="362"/>
      <c r="AM30" s="362"/>
      <c r="AN30" s="361"/>
      <c r="AO30" s="446">
        <f t="shared" si="6"/>
        <v>0</v>
      </c>
      <c r="AP30" s="463">
        <f t="shared" si="7"/>
        <v>0</v>
      </c>
      <c r="AQ30" s="463">
        <f t="shared" si="8"/>
        <v>0</v>
      </c>
      <c r="AR30" s="463">
        <f t="shared" si="9"/>
        <v>0</v>
      </c>
      <c r="AS30" s="463">
        <f t="shared" si="10"/>
        <v>0</v>
      </c>
      <c r="AT30" s="464">
        <f t="shared" si="0"/>
        <v>0</v>
      </c>
      <c r="AU30" s="464">
        <f t="shared" si="1"/>
        <v>0</v>
      </c>
      <c r="AV30" s="464">
        <f t="shared" si="2"/>
        <v>0</v>
      </c>
      <c r="AW30" s="465">
        <f t="shared" si="3"/>
        <v>0</v>
      </c>
      <c r="AX30" s="466" t="str">
        <f t="shared" si="11"/>
        <v>Tidak Tuntas</v>
      </c>
    </row>
    <row r="31" spans="1:50" ht="18" customHeight="1" x14ac:dyDescent="0.25">
      <c r="A31" s="362">
        <v>23</v>
      </c>
      <c r="B31" s="443" t="str">
        <f>dtsiswa!D29</f>
        <v xml:space="preserve">Tania Kaori Angelita </v>
      </c>
      <c r="C31" s="450"/>
      <c r="D31" s="362"/>
      <c r="E31" s="362"/>
      <c r="F31" s="362"/>
      <c r="G31" s="362"/>
      <c r="H31" s="362"/>
      <c r="I31" s="362"/>
      <c r="J31" s="362"/>
      <c r="K31" s="362"/>
      <c r="L31" s="362"/>
      <c r="M31" s="362"/>
      <c r="N31" s="361"/>
      <c r="O31" s="446">
        <f t="shared" si="4"/>
        <v>0</v>
      </c>
      <c r="P31" s="362"/>
      <c r="Q31" s="362"/>
      <c r="R31" s="362"/>
      <c r="S31" s="362"/>
      <c r="T31" s="362"/>
      <c r="U31" s="362"/>
      <c r="V31" s="362"/>
      <c r="W31" s="362"/>
      <c r="X31" s="362"/>
      <c r="Y31" s="362"/>
      <c r="Z31" s="362"/>
      <c r="AA31" s="362"/>
      <c r="AB31" s="446">
        <f t="shared" si="5"/>
        <v>0</v>
      </c>
      <c r="AC31" s="362"/>
      <c r="AD31" s="362"/>
      <c r="AE31" s="362"/>
      <c r="AF31" s="362"/>
      <c r="AG31" s="362"/>
      <c r="AH31" s="362"/>
      <c r="AI31" s="362"/>
      <c r="AJ31" s="362"/>
      <c r="AK31" s="362"/>
      <c r="AL31" s="362"/>
      <c r="AM31" s="362"/>
      <c r="AN31" s="361"/>
      <c r="AO31" s="446">
        <f t="shared" si="6"/>
        <v>0</v>
      </c>
      <c r="AP31" s="463">
        <f t="shared" si="7"/>
        <v>0</v>
      </c>
      <c r="AQ31" s="463">
        <f t="shared" si="8"/>
        <v>0</v>
      </c>
      <c r="AR31" s="463">
        <f t="shared" si="9"/>
        <v>0</v>
      </c>
      <c r="AS31" s="463">
        <f t="shared" si="10"/>
        <v>0</v>
      </c>
      <c r="AT31" s="464">
        <f t="shared" si="0"/>
        <v>0</v>
      </c>
      <c r="AU31" s="464">
        <f t="shared" si="1"/>
        <v>0</v>
      </c>
      <c r="AV31" s="464">
        <f t="shared" si="2"/>
        <v>0</v>
      </c>
      <c r="AW31" s="465">
        <f t="shared" si="3"/>
        <v>0</v>
      </c>
      <c r="AX31" s="466" t="str">
        <f t="shared" si="11"/>
        <v>Tidak Tuntas</v>
      </c>
    </row>
    <row r="32" spans="1:50" ht="18" customHeight="1" x14ac:dyDescent="0.25">
      <c r="A32" s="362">
        <v>24</v>
      </c>
      <c r="B32" s="443" t="str">
        <f>dtsiswa!D30</f>
        <v>Romzy Oka Ramadhani P</v>
      </c>
      <c r="C32" s="450"/>
      <c r="D32" s="362"/>
      <c r="E32" s="362"/>
      <c r="F32" s="362"/>
      <c r="G32" s="362"/>
      <c r="H32" s="362"/>
      <c r="I32" s="362"/>
      <c r="J32" s="362"/>
      <c r="K32" s="362"/>
      <c r="L32" s="362"/>
      <c r="M32" s="362"/>
      <c r="N32" s="361"/>
      <c r="O32" s="446">
        <f t="shared" si="4"/>
        <v>0</v>
      </c>
      <c r="P32" s="362"/>
      <c r="Q32" s="362"/>
      <c r="R32" s="362"/>
      <c r="S32" s="362"/>
      <c r="T32" s="362"/>
      <c r="U32" s="362"/>
      <c r="V32" s="362"/>
      <c r="W32" s="362"/>
      <c r="X32" s="362"/>
      <c r="Y32" s="362"/>
      <c r="Z32" s="362"/>
      <c r="AA32" s="362"/>
      <c r="AB32" s="446">
        <f t="shared" si="5"/>
        <v>0</v>
      </c>
      <c r="AC32" s="362"/>
      <c r="AD32" s="362"/>
      <c r="AE32" s="362"/>
      <c r="AF32" s="362"/>
      <c r="AG32" s="362"/>
      <c r="AH32" s="362"/>
      <c r="AI32" s="362"/>
      <c r="AJ32" s="362"/>
      <c r="AK32" s="362"/>
      <c r="AL32" s="362"/>
      <c r="AM32" s="362"/>
      <c r="AN32" s="361"/>
      <c r="AO32" s="446">
        <f t="shared" si="6"/>
        <v>0</v>
      </c>
      <c r="AP32" s="463">
        <f t="shared" si="7"/>
        <v>0</v>
      </c>
      <c r="AQ32" s="463">
        <f t="shared" si="8"/>
        <v>0</v>
      </c>
      <c r="AR32" s="463">
        <f t="shared" si="9"/>
        <v>0</v>
      </c>
      <c r="AS32" s="463">
        <f t="shared" si="10"/>
        <v>0</v>
      </c>
      <c r="AT32" s="464">
        <f t="shared" si="0"/>
        <v>0</v>
      </c>
      <c r="AU32" s="464">
        <f t="shared" si="1"/>
        <v>0</v>
      </c>
      <c r="AV32" s="464">
        <f t="shared" si="2"/>
        <v>0</v>
      </c>
      <c r="AW32" s="465">
        <f t="shared" si="3"/>
        <v>0</v>
      </c>
      <c r="AX32" s="466" t="str">
        <f t="shared" si="11"/>
        <v>Tidak Tuntas</v>
      </c>
    </row>
    <row r="33" spans="1:50" ht="18" customHeight="1" x14ac:dyDescent="0.25">
      <c r="A33" s="362">
        <v>25</v>
      </c>
      <c r="B33" s="443" t="str">
        <f>dtsiswa!D31</f>
        <v>Larasati Jagadhita P</v>
      </c>
      <c r="C33" s="444"/>
      <c r="D33" s="362"/>
      <c r="E33" s="362"/>
      <c r="F33" s="362"/>
      <c r="G33" s="362"/>
      <c r="H33" s="362"/>
      <c r="I33" s="362"/>
      <c r="J33" s="362"/>
      <c r="K33" s="362"/>
      <c r="L33" s="362"/>
      <c r="M33" s="362"/>
      <c r="N33" s="361"/>
      <c r="O33" s="446">
        <f t="shared" si="4"/>
        <v>0</v>
      </c>
      <c r="P33" s="362"/>
      <c r="Q33" s="362"/>
      <c r="R33" s="362"/>
      <c r="S33" s="362"/>
      <c r="T33" s="362"/>
      <c r="U33" s="362"/>
      <c r="V33" s="362"/>
      <c r="W33" s="362"/>
      <c r="X33" s="362"/>
      <c r="Y33" s="362"/>
      <c r="Z33" s="362"/>
      <c r="AA33" s="362"/>
      <c r="AB33" s="446">
        <f t="shared" si="5"/>
        <v>0</v>
      </c>
      <c r="AC33" s="362"/>
      <c r="AD33" s="362"/>
      <c r="AE33" s="362"/>
      <c r="AF33" s="362"/>
      <c r="AG33" s="362"/>
      <c r="AH33" s="362"/>
      <c r="AI33" s="362"/>
      <c r="AJ33" s="362"/>
      <c r="AK33" s="362"/>
      <c r="AL33" s="362"/>
      <c r="AM33" s="362"/>
      <c r="AN33" s="361"/>
      <c r="AO33" s="446">
        <f t="shared" si="6"/>
        <v>0</v>
      </c>
      <c r="AP33" s="463">
        <f t="shared" si="7"/>
        <v>0</v>
      </c>
      <c r="AQ33" s="463">
        <f t="shared" si="8"/>
        <v>0</v>
      </c>
      <c r="AR33" s="463">
        <f t="shared" si="9"/>
        <v>0</v>
      </c>
      <c r="AS33" s="463">
        <f t="shared" si="10"/>
        <v>0</v>
      </c>
      <c r="AT33" s="464">
        <f t="shared" si="0"/>
        <v>0</v>
      </c>
      <c r="AU33" s="464">
        <f t="shared" si="1"/>
        <v>0</v>
      </c>
      <c r="AV33" s="464">
        <f t="shared" si="2"/>
        <v>0</v>
      </c>
      <c r="AW33" s="465">
        <f t="shared" si="3"/>
        <v>0</v>
      </c>
      <c r="AX33" s="466" t="str">
        <f t="shared" si="11"/>
        <v>Tidak Tuntas</v>
      </c>
    </row>
    <row r="34" spans="1:50" ht="18" customHeight="1" x14ac:dyDescent="0.25">
      <c r="A34" s="362">
        <v>26</v>
      </c>
      <c r="B34" s="443" t="str">
        <f>dtsiswa!D32</f>
        <v>Meliana Citra A</v>
      </c>
      <c r="C34" s="444"/>
      <c r="D34" s="362"/>
      <c r="E34" s="362"/>
      <c r="F34" s="362"/>
      <c r="G34" s="362"/>
      <c r="H34" s="362"/>
      <c r="I34" s="362"/>
      <c r="J34" s="362"/>
      <c r="K34" s="362"/>
      <c r="L34" s="362"/>
      <c r="M34" s="362"/>
      <c r="N34" s="361"/>
      <c r="O34" s="446">
        <f t="shared" si="4"/>
        <v>0</v>
      </c>
      <c r="P34" s="362"/>
      <c r="Q34" s="362"/>
      <c r="R34" s="362"/>
      <c r="S34" s="362"/>
      <c r="T34" s="362"/>
      <c r="U34" s="362"/>
      <c r="V34" s="362"/>
      <c r="W34" s="362"/>
      <c r="X34" s="362"/>
      <c r="Y34" s="362"/>
      <c r="Z34" s="362"/>
      <c r="AA34" s="362"/>
      <c r="AB34" s="446">
        <f t="shared" si="5"/>
        <v>0</v>
      </c>
      <c r="AC34" s="362"/>
      <c r="AD34" s="362"/>
      <c r="AE34" s="362"/>
      <c r="AF34" s="362"/>
      <c r="AG34" s="362"/>
      <c r="AH34" s="362"/>
      <c r="AI34" s="362"/>
      <c r="AJ34" s="362"/>
      <c r="AK34" s="362"/>
      <c r="AL34" s="362"/>
      <c r="AM34" s="362"/>
      <c r="AN34" s="361"/>
      <c r="AO34" s="446">
        <f t="shared" si="6"/>
        <v>0</v>
      </c>
      <c r="AP34" s="463">
        <f t="shared" si="7"/>
        <v>0</v>
      </c>
      <c r="AQ34" s="463">
        <f t="shared" si="8"/>
        <v>0</v>
      </c>
      <c r="AR34" s="463">
        <f t="shared" si="9"/>
        <v>0</v>
      </c>
      <c r="AS34" s="463">
        <f t="shared" si="10"/>
        <v>0</v>
      </c>
      <c r="AT34" s="464">
        <f t="shared" si="0"/>
        <v>0</v>
      </c>
      <c r="AU34" s="464">
        <f t="shared" si="1"/>
        <v>0</v>
      </c>
      <c r="AV34" s="464">
        <f t="shared" si="2"/>
        <v>0</v>
      </c>
      <c r="AW34" s="465">
        <f t="shared" si="3"/>
        <v>0</v>
      </c>
      <c r="AX34" s="466" t="str">
        <f t="shared" si="11"/>
        <v>Tidak Tuntas</v>
      </c>
    </row>
    <row r="35" spans="1:50" ht="18" customHeight="1" x14ac:dyDescent="0.25">
      <c r="A35" s="362">
        <v>27</v>
      </c>
      <c r="B35" s="443" t="str">
        <f>dtsiswa!D33</f>
        <v>Mohammad Rizky</v>
      </c>
      <c r="C35" s="444"/>
      <c r="D35" s="362"/>
      <c r="E35" s="362"/>
      <c r="F35" s="362"/>
      <c r="G35" s="362"/>
      <c r="H35" s="362"/>
      <c r="I35" s="362"/>
      <c r="J35" s="362"/>
      <c r="K35" s="362"/>
      <c r="L35" s="362"/>
      <c r="M35" s="362"/>
      <c r="N35" s="361"/>
      <c r="O35" s="446">
        <f t="shared" si="4"/>
        <v>0</v>
      </c>
      <c r="P35" s="362"/>
      <c r="Q35" s="362"/>
      <c r="R35" s="362"/>
      <c r="S35" s="362"/>
      <c r="T35" s="362"/>
      <c r="U35" s="362"/>
      <c r="V35" s="362"/>
      <c r="W35" s="362"/>
      <c r="X35" s="362"/>
      <c r="Y35" s="362"/>
      <c r="Z35" s="362"/>
      <c r="AA35" s="362"/>
      <c r="AB35" s="446">
        <f t="shared" si="5"/>
        <v>0</v>
      </c>
      <c r="AC35" s="362"/>
      <c r="AD35" s="362"/>
      <c r="AE35" s="362"/>
      <c r="AF35" s="362"/>
      <c r="AG35" s="362"/>
      <c r="AH35" s="362"/>
      <c r="AI35" s="362"/>
      <c r="AJ35" s="362"/>
      <c r="AK35" s="362"/>
      <c r="AL35" s="362"/>
      <c r="AM35" s="362"/>
      <c r="AN35" s="361"/>
      <c r="AO35" s="446">
        <f t="shared" si="6"/>
        <v>0</v>
      </c>
      <c r="AP35" s="463">
        <f t="shared" si="7"/>
        <v>0</v>
      </c>
      <c r="AQ35" s="463">
        <f t="shared" si="8"/>
        <v>0</v>
      </c>
      <c r="AR35" s="463">
        <f t="shared" si="9"/>
        <v>0</v>
      </c>
      <c r="AS35" s="463">
        <f t="shared" si="10"/>
        <v>0</v>
      </c>
      <c r="AT35" s="464">
        <f t="shared" si="0"/>
        <v>0</v>
      </c>
      <c r="AU35" s="464">
        <f t="shared" si="1"/>
        <v>0</v>
      </c>
      <c r="AV35" s="464">
        <f t="shared" si="2"/>
        <v>0</v>
      </c>
      <c r="AW35" s="465">
        <f t="shared" si="3"/>
        <v>0</v>
      </c>
      <c r="AX35" s="466" t="str">
        <f t="shared" si="11"/>
        <v>Tidak Tuntas</v>
      </c>
    </row>
    <row r="36" spans="1:50" ht="18" customHeight="1" x14ac:dyDescent="0.25">
      <c r="A36" s="362">
        <v>28</v>
      </c>
      <c r="B36" s="443">
        <f>dtsiswa!D34</f>
        <v>0</v>
      </c>
      <c r="C36" s="444"/>
      <c r="D36" s="362"/>
      <c r="E36" s="362"/>
      <c r="F36" s="362"/>
      <c r="G36" s="362"/>
      <c r="H36" s="362"/>
      <c r="I36" s="362"/>
      <c r="J36" s="362"/>
      <c r="K36" s="362"/>
      <c r="L36" s="362"/>
      <c r="M36" s="362"/>
      <c r="N36" s="361"/>
      <c r="O36" s="446">
        <f t="shared" si="4"/>
        <v>0</v>
      </c>
      <c r="P36" s="362"/>
      <c r="Q36" s="362"/>
      <c r="R36" s="362"/>
      <c r="S36" s="362"/>
      <c r="T36" s="362"/>
      <c r="U36" s="362"/>
      <c r="V36" s="362"/>
      <c r="W36" s="362"/>
      <c r="X36" s="362"/>
      <c r="Y36" s="362"/>
      <c r="Z36" s="362"/>
      <c r="AA36" s="362"/>
      <c r="AB36" s="446">
        <f t="shared" si="5"/>
        <v>0</v>
      </c>
      <c r="AC36" s="362"/>
      <c r="AD36" s="362"/>
      <c r="AE36" s="362"/>
      <c r="AF36" s="362"/>
      <c r="AG36" s="362"/>
      <c r="AH36" s="362"/>
      <c r="AI36" s="362"/>
      <c r="AJ36" s="362"/>
      <c r="AK36" s="362"/>
      <c r="AL36" s="362"/>
      <c r="AM36" s="362"/>
      <c r="AN36" s="361"/>
      <c r="AO36" s="446">
        <f t="shared" si="6"/>
        <v>0</v>
      </c>
      <c r="AP36" s="463">
        <f t="shared" si="7"/>
        <v>0</v>
      </c>
      <c r="AQ36" s="463">
        <f t="shared" si="8"/>
        <v>0</v>
      </c>
      <c r="AR36" s="463">
        <f t="shared" si="9"/>
        <v>0</v>
      </c>
      <c r="AS36" s="463">
        <f t="shared" si="10"/>
        <v>0</v>
      </c>
      <c r="AT36" s="464">
        <f t="shared" si="0"/>
        <v>0</v>
      </c>
      <c r="AU36" s="464">
        <f t="shared" si="1"/>
        <v>0</v>
      </c>
      <c r="AV36" s="464">
        <f t="shared" si="2"/>
        <v>0</v>
      </c>
      <c r="AW36" s="465">
        <f t="shared" si="3"/>
        <v>0</v>
      </c>
      <c r="AX36" s="466" t="str">
        <f t="shared" si="11"/>
        <v>Tidak Tuntas</v>
      </c>
    </row>
    <row r="37" spans="1:50" ht="18" customHeight="1" x14ac:dyDescent="0.25">
      <c r="A37" s="362">
        <v>29</v>
      </c>
      <c r="B37" s="443">
        <f>dtsiswa!D35</f>
        <v>0</v>
      </c>
      <c r="C37" s="444"/>
      <c r="D37" s="362"/>
      <c r="E37" s="362"/>
      <c r="F37" s="362"/>
      <c r="G37" s="362"/>
      <c r="H37" s="362"/>
      <c r="I37" s="362"/>
      <c r="J37" s="362"/>
      <c r="K37" s="362"/>
      <c r="L37" s="362"/>
      <c r="M37" s="362"/>
      <c r="N37" s="361"/>
      <c r="O37" s="446">
        <f t="shared" si="4"/>
        <v>0</v>
      </c>
      <c r="P37" s="362"/>
      <c r="Q37" s="362"/>
      <c r="R37" s="362"/>
      <c r="S37" s="362"/>
      <c r="T37" s="362"/>
      <c r="U37" s="362"/>
      <c r="V37" s="362"/>
      <c r="W37" s="362"/>
      <c r="X37" s="362"/>
      <c r="Y37" s="362"/>
      <c r="Z37" s="362"/>
      <c r="AA37" s="362"/>
      <c r="AB37" s="446">
        <f t="shared" si="5"/>
        <v>0</v>
      </c>
      <c r="AC37" s="362"/>
      <c r="AD37" s="362"/>
      <c r="AE37" s="362"/>
      <c r="AF37" s="362"/>
      <c r="AG37" s="362"/>
      <c r="AH37" s="362"/>
      <c r="AI37" s="362"/>
      <c r="AJ37" s="362"/>
      <c r="AK37" s="362"/>
      <c r="AL37" s="362"/>
      <c r="AM37" s="362"/>
      <c r="AN37" s="361"/>
      <c r="AO37" s="446">
        <f t="shared" si="6"/>
        <v>0</v>
      </c>
      <c r="AP37" s="463">
        <f t="shared" si="7"/>
        <v>0</v>
      </c>
      <c r="AQ37" s="463">
        <f t="shared" si="8"/>
        <v>0</v>
      </c>
      <c r="AR37" s="463">
        <f t="shared" si="9"/>
        <v>0</v>
      </c>
      <c r="AS37" s="463">
        <f t="shared" si="10"/>
        <v>0</v>
      </c>
      <c r="AT37" s="464">
        <f t="shared" si="0"/>
        <v>0</v>
      </c>
      <c r="AU37" s="464">
        <f t="shared" si="1"/>
        <v>0</v>
      </c>
      <c r="AV37" s="464">
        <f t="shared" si="2"/>
        <v>0</v>
      </c>
      <c r="AW37" s="465">
        <f t="shared" si="3"/>
        <v>0</v>
      </c>
      <c r="AX37" s="466" t="str">
        <f t="shared" si="11"/>
        <v>Tidak Tuntas</v>
      </c>
    </row>
    <row r="38" spans="1:50" ht="18" customHeight="1" x14ac:dyDescent="0.25">
      <c r="A38" s="362">
        <v>30</v>
      </c>
      <c r="B38" s="443">
        <f>dtsiswa!D36</f>
        <v>0</v>
      </c>
      <c r="C38" s="444"/>
      <c r="D38" s="362"/>
      <c r="E38" s="362"/>
      <c r="F38" s="362"/>
      <c r="G38" s="362"/>
      <c r="H38" s="362"/>
      <c r="I38" s="362"/>
      <c r="J38" s="362"/>
      <c r="K38" s="362"/>
      <c r="L38" s="362"/>
      <c r="M38" s="362"/>
      <c r="N38" s="361"/>
      <c r="O38" s="446">
        <f t="shared" si="4"/>
        <v>0</v>
      </c>
      <c r="P38" s="362"/>
      <c r="Q38" s="362"/>
      <c r="R38" s="362"/>
      <c r="S38" s="362"/>
      <c r="T38" s="362"/>
      <c r="U38" s="362"/>
      <c r="V38" s="362"/>
      <c r="W38" s="362"/>
      <c r="X38" s="362"/>
      <c r="Y38" s="362"/>
      <c r="Z38" s="362"/>
      <c r="AA38" s="362"/>
      <c r="AB38" s="446">
        <f t="shared" si="5"/>
        <v>0</v>
      </c>
      <c r="AC38" s="362"/>
      <c r="AD38" s="362"/>
      <c r="AE38" s="362"/>
      <c r="AF38" s="362"/>
      <c r="AG38" s="362"/>
      <c r="AH38" s="362"/>
      <c r="AI38" s="362"/>
      <c r="AJ38" s="362"/>
      <c r="AK38" s="362"/>
      <c r="AL38" s="362"/>
      <c r="AM38" s="362"/>
      <c r="AN38" s="361"/>
      <c r="AO38" s="446">
        <f t="shared" si="6"/>
        <v>0</v>
      </c>
      <c r="AP38" s="463">
        <f t="shared" si="7"/>
        <v>0</v>
      </c>
      <c r="AQ38" s="463">
        <f t="shared" si="8"/>
        <v>0</v>
      </c>
      <c r="AR38" s="463">
        <f t="shared" si="9"/>
        <v>0</v>
      </c>
      <c r="AS38" s="463">
        <f t="shared" si="10"/>
        <v>0</v>
      </c>
      <c r="AT38" s="464">
        <f t="shared" si="0"/>
        <v>0</v>
      </c>
      <c r="AU38" s="464">
        <f t="shared" si="1"/>
        <v>0</v>
      </c>
      <c r="AV38" s="464">
        <f t="shared" si="2"/>
        <v>0</v>
      </c>
      <c r="AW38" s="465">
        <f t="shared" si="3"/>
        <v>0</v>
      </c>
      <c r="AX38" s="466" t="str">
        <f t="shared" si="11"/>
        <v>Tidak Tuntas</v>
      </c>
    </row>
    <row r="39" spans="1:50" ht="18" customHeight="1" x14ac:dyDescent="0.25">
      <c r="A39" s="362">
        <v>31</v>
      </c>
      <c r="B39" s="443">
        <f>dtsiswa!D37</f>
        <v>0</v>
      </c>
      <c r="C39" s="444"/>
      <c r="D39" s="362"/>
      <c r="E39" s="362"/>
      <c r="F39" s="362"/>
      <c r="G39" s="362"/>
      <c r="H39" s="362"/>
      <c r="I39" s="362"/>
      <c r="J39" s="362"/>
      <c r="K39" s="362"/>
      <c r="L39" s="362"/>
      <c r="M39" s="362"/>
      <c r="N39" s="361"/>
      <c r="O39" s="446">
        <f t="shared" si="4"/>
        <v>0</v>
      </c>
      <c r="P39" s="362"/>
      <c r="Q39" s="362"/>
      <c r="R39" s="362"/>
      <c r="S39" s="362"/>
      <c r="T39" s="362"/>
      <c r="U39" s="362"/>
      <c r="V39" s="362"/>
      <c r="W39" s="362"/>
      <c r="X39" s="362"/>
      <c r="Y39" s="362"/>
      <c r="Z39" s="362"/>
      <c r="AA39" s="362"/>
      <c r="AB39" s="446">
        <f t="shared" si="5"/>
        <v>0</v>
      </c>
      <c r="AC39" s="362"/>
      <c r="AD39" s="362"/>
      <c r="AE39" s="362"/>
      <c r="AF39" s="362"/>
      <c r="AG39" s="362"/>
      <c r="AH39" s="362"/>
      <c r="AI39" s="362"/>
      <c r="AJ39" s="362"/>
      <c r="AK39" s="362"/>
      <c r="AL39" s="362"/>
      <c r="AM39" s="362"/>
      <c r="AN39" s="361"/>
      <c r="AO39" s="446">
        <f t="shared" si="6"/>
        <v>0</v>
      </c>
      <c r="AP39" s="463">
        <f t="shared" si="7"/>
        <v>0</v>
      </c>
      <c r="AQ39" s="463">
        <f t="shared" si="8"/>
        <v>0</v>
      </c>
      <c r="AR39" s="463">
        <f t="shared" si="9"/>
        <v>0</v>
      </c>
      <c r="AS39" s="463">
        <f t="shared" si="10"/>
        <v>0</v>
      </c>
      <c r="AT39" s="464">
        <f t="shared" si="0"/>
        <v>0</v>
      </c>
      <c r="AU39" s="464">
        <f t="shared" si="1"/>
        <v>0</v>
      </c>
      <c r="AV39" s="464">
        <f t="shared" si="2"/>
        <v>0</v>
      </c>
      <c r="AW39" s="465">
        <f t="shared" si="3"/>
        <v>0</v>
      </c>
      <c r="AX39" s="466" t="str">
        <f t="shared" si="11"/>
        <v>Tidak Tuntas</v>
      </c>
    </row>
    <row r="40" spans="1:50" ht="18" customHeight="1" x14ac:dyDescent="0.25">
      <c r="A40" s="362">
        <v>32</v>
      </c>
      <c r="B40" s="443">
        <f>dtsiswa!D38</f>
        <v>0</v>
      </c>
      <c r="C40" s="444"/>
      <c r="D40" s="362"/>
      <c r="E40" s="362"/>
      <c r="F40" s="362"/>
      <c r="G40" s="362"/>
      <c r="H40" s="362"/>
      <c r="I40" s="362"/>
      <c r="J40" s="362"/>
      <c r="K40" s="362"/>
      <c r="L40" s="362"/>
      <c r="M40" s="362"/>
      <c r="N40" s="361"/>
      <c r="O40" s="446">
        <f t="shared" si="4"/>
        <v>0</v>
      </c>
      <c r="P40" s="362"/>
      <c r="Q40" s="362"/>
      <c r="R40" s="362"/>
      <c r="S40" s="362"/>
      <c r="T40" s="362"/>
      <c r="U40" s="362"/>
      <c r="V40" s="362"/>
      <c r="W40" s="362"/>
      <c r="X40" s="362"/>
      <c r="Y40" s="362"/>
      <c r="Z40" s="362"/>
      <c r="AA40" s="362"/>
      <c r="AB40" s="446">
        <f t="shared" si="5"/>
        <v>0</v>
      </c>
      <c r="AC40" s="362"/>
      <c r="AD40" s="362"/>
      <c r="AE40" s="362"/>
      <c r="AF40" s="362"/>
      <c r="AG40" s="362"/>
      <c r="AH40" s="362"/>
      <c r="AI40" s="362"/>
      <c r="AJ40" s="362"/>
      <c r="AK40" s="362"/>
      <c r="AL40" s="362"/>
      <c r="AM40" s="362"/>
      <c r="AN40" s="361"/>
      <c r="AO40" s="446">
        <f t="shared" si="6"/>
        <v>0</v>
      </c>
      <c r="AP40" s="463">
        <f t="shared" si="7"/>
        <v>0</v>
      </c>
      <c r="AQ40" s="463">
        <f t="shared" si="8"/>
        <v>0</v>
      </c>
      <c r="AR40" s="463">
        <f t="shared" si="9"/>
        <v>0</v>
      </c>
      <c r="AS40" s="463">
        <f t="shared" si="10"/>
        <v>0</v>
      </c>
      <c r="AT40" s="464">
        <f t="shared" si="0"/>
        <v>0</v>
      </c>
      <c r="AU40" s="464">
        <f t="shared" si="1"/>
        <v>0</v>
      </c>
      <c r="AV40" s="464">
        <f t="shared" si="2"/>
        <v>0</v>
      </c>
      <c r="AW40" s="465">
        <f t="shared" si="3"/>
        <v>0</v>
      </c>
      <c r="AX40" s="466" t="str">
        <f t="shared" si="11"/>
        <v>Tidak Tuntas</v>
      </c>
    </row>
    <row r="41" spans="1:50" ht="18" customHeight="1" x14ac:dyDescent="0.25">
      <c r="A41" s="362">
        <v>33</v>
      </c>
      <c r="B41" s="443">
        <f>dtsiswa!D39</f>
        <v>0</v>
      </c>
      <c r="C41" s="444"/>
      <c r="D41" s="362"/>
      <c r="E41" s="362"/>
      <c r="F41" s="362"/>
      <c r="G41" s="362"/>
      <c r="H41" s="362"/>
      <c r="I41" s="362"/>
      <c r="J41" s="362"/>
      <c r="K41" s="362"/>
      <c r="L41" s="362"/>
      <c r="M41" s="362"/>
      <c r="N41" s="361"/>
      <c r="O41" s="446">
        <f t="shared" ref="O41:O43" si="12">SUM(D41:M41)*100/7</f>
        <v>0</v>
      </c>
      <c r="P41" s="362"/>
      <c r="Q41" s="362"/>
      <c r="R41" s="362"/>
      <c r="S41" s="362"/>
      <c r="T41" s="362"/>
      <c r="U41" s="362"/>
      <c r="V41" s="362"/>
      <c r="W41" s="362"/>
      <c r="X41" s="362"/>
      <c r="Y41" s="362"/>
      <c r="Z41" s="362"/>
      <c r="AA41" s="362"/>
      <c r="AB41" s="446">
        <f t="shared" ref="AB41:AB48" si="13">SUM(P41:AA41)*100/7</f>
        <v>0</v>
      </c>
      <c r="AC41" s="362"/>
      <c r="AD41" s="362"/>
      <c r="AE41" s="362"/>
      <c r="AF41" s="362"/>
      <c r="AG41" s="362"/>
      <c r="AH41" s="362"/>
      <c r="AI41" s="362"/>
      <c r="AJ41" s="362"/>
      <c r="AK41" s="362"/>
      <c r="AL41" s="362"/>
      <c r="AM41" s="362"/>
      <c r="AN41" s="361"/>
      <c r="AO41" s="446">
        <f t="shared" si="6"/>
        <v>0</v>
      </c>
      <c r="AP41" s="463">
        <f t="shared" si="7"/>
        <v>0</v>
      </c>
      <c r="AQ41" s="463">
        <f t="shared" si="8"/>
        <v>0</v>
      </c>
      <c r="AR41" s="463">
        <f t="shared" si="9"/>
        <v>0</v>
      </c>
      <c r="AS41" s="463">
        <f t="shared" si="10"/>
        <v>0</v>
      </c>
      <c r="AT41" s="464">
        <f t="shared" si="0"/>
        <v>0</v>
      </c>
      <c r="AU41" s="464">
        <f t="shared" si="1"/>
        <v>0</v>
      </c>
      <c r="AV41" s="464">
        <f t="shared" si="2"/>
        <v>0</v>
      </c>
      <c r="AW41" s="465">
        <f t="shared" si="3"/>
        <v>0</v>
      </c>
      <c r="AX41" s="466" t="str">
        <f t="shared" si="11"/>
        <v>Tidak Tuntas</v>
      </c>
    </row>
    <row r="42" spans="1:50" ht="18" customHeight="1" x14ac:dyDescent="0.25">
      <c r="A42" s="362">
        <v>34</v>
      </c>
      <c r="B42" s="443">
        <f>dtsiswa!D40</f>
        <v>0</v>
      </c>
      <c r="C42" s="444"/>
      <c r="D42" s="362"/>
      <c r="E42" s="362"/>
      <c r="F42" s="362"/>
      <c r="G42" s="362"/>
      <c r="H42" s="362"/>
      <c r="I42" s="362"/>
      <c r="J42" s="362"/>
      <c r="K42" s="362"/>
      <c r="L42" s="362"/>
      <c r="M42" s="362"/>
      <c r="N42" s="361"/>
      <c r="O42" s="446">
        <f t="shared" si="12"/>
        <v>0</v>
      </c>
      <c r="P42" s="362"/>
      <c r="Q42" s="362"/>
      <c r="R42" s="362"/>
      <c r="S42" s="362"/>
      <c r="T42" s="362"/>
      <c r="U42" s="362"/>
      <c r="V42" s="362"/>
      <c r="W42" s="362"/>
      <c r="X42" s="362"/>
      <c r="Y42" s="362"/>
      <c r="Z42" s="362"/>
      <c r="AA42" s="362"/>
      <c r="AB42" s="446">
        <f t="shared" si="13"/>
        <v>0</v>
      </c>
      <c r="AC42" s="362"/>
      <c r="AD42" s="362"/>
      <c r="AE42" s="362"/>
      <c r="AF42" s="362"/>
      <c r="AG42" s="362"/>
      <c r="AH42" s="362"/>
      <c r="AI42" s="362"/>
      <c r="AJ42" s="362"/>
      <c r="AK42" s="362"/>
      <c r="AL42" s="362"/>
      <c r="AM42" s="362"/>
      <c r="AN42" s="361"/>
      <c r="AO42" s="446">
        <f t="shared" si="6"/>
        <v>0</v>
      </c>
      <c r="AP42" s="463">
        <f t="shared" si="7"/>
        <v>0</v>
      </c>
      <c r="AQ42" s="463">
        <f t="shared" si="8"/>
        <v>0</v>
      </c>
      <c r="AR42" s="463">
        <f t="shared" si="9"/>
        <v>0</v>
      </c>
      <c r="AS42" s="463">
        <f t="shared" si="10"/>
        <v>0</v>
      </c>
      <c r="AT42" s="464">
        <f t="shared" si="0"/>
        <v>0</v>
      </c>
      <c r="AU42" s="464">
        <f t="shared" si="1"/>
        <v>0</v>
      </c>
      <c r="AV42" s="464">
        <f t="shared" si="2"/>
        <v>0</v>
      </c>
      <c r="AW42" s="465">
        <f t="shared" si="3"/>
        <v>0</v>
      </c>
      <c r="AX42" s="466" t="str">
        <f t="shared" si="11"/>
        <v>Tidak Tuntas</v>
      </c>
    </row>
    <row r="43" spans="1:50" ht="18" customHeight="1" x14ac:dyDescent="0.25">
      <c r="A43" s="362">
        <v>35</v>
      </c>
      <c r="B43" s="443">
        <f>dtsiswa!D41</f>
        <v>0</v>
      </c>
      <c r="C43" s="444"/>
      <c r="D43" s="362"/>
      <c r="E43" s="362"/>
      <c r="F43" s="362"/>
      <c r="G43" s="362"/>
      <c r="H43" s="362"/>
      <c r="I43" s="362"/>
      <c r="J43" s="362"/>
      <c r="K43" s="362"/>
      <c r="L43" s="362"/>
      <c r="M43" s="362"/>
      <c r="N43" s="361"/>
      <c r="O43" s="446">
        <f t="shared" si="12"/>
        <v>0</v>
      </c>
      <c r="P43" s="362"/>
      <c r="Q43" s="362"/>
      <c r="R43" s="362"/>
      <c r="S43" s="362"/>
      <c r="T43" s="362"/>
      <c r="U43" s="362"/>
      <c r="V43" s="362"/>
      <c r="W43" s="362"/>
      <c r="X43" s="362"/>
      <c r="Y43" s="362"/>
      <c r="Z43" s="362"/>
      <c r="AA43" s="362"/>
      <c r="AB43" s="446">
        <f t="shared" si="13"/>
        <v>0</v>
      </c>
      <c r="AC43" s="362"/>
      <c r="AD43" s="362"/>
      <c r="AE43" s="362"/>
      <c r="AF43" s="362"/>
      <c r="AG43" s="362"/>
      <c r="AH43" s="362"/>
      <c r="AI43" s="362"/>
      <c r="AJ43" s="362"/>
      <c r="AK43" s="362"/>
      <c r="AL43" s="362"/>
      <c r="AM43" s="362"/>
      <c r="AN43" s="361"/>
      <c r="AO43" s="446">
        <f t="shared" si="6"/>
        <v>0</v>
      </c>
      <c r="AP43" s="463">
        <f t="shared" si="7"/>
        <v>0</v>
      </c>
      <c r="AQ43" s="463">
        <f t="shared" si="8"/>
        <v>0</v>
      </c>
      <c r="AR43" s="463">
        <f t="shared" si="9"/>
        <v>0</v>
      </c>
      <c r="AS43" s="463">
        <f t="shared" si="10"/>
        <v>0</v>
      </c>
      <c r="AT43" s="464">
        <f t="shared" si="0"/>
        <v>0</v>
      </c>
      <c r="AU43" s="464">
        <f t="shared" si="1"/>
        <v>0</v>
      </c>
      <c r="AV43" s="464">
        <f t="shared" si="2"/>
        <v>0</v>
      </c>
      <c r="AW43" s="465">
        <f t="shared" si="3"/>
        <v>0</v>
      </c>
      <c r="AX43" s="466" t="str">
        <f t="shared" si="11"/>
        <v>Tidak Tuntas</v>
      </c>
    </row>
    <row r="44" spans="1:50" ht="18" customHeight="1" x14ac:dyDescent="0.25">
      <c r="A44" s="362">
        <v>36</v>
      </c>
      <c r="B44" s="443">
        <f>dtsiswa!D42</f>
        <v>0</v>
      </c>
      <c r="C44" s="444"/>
      <c r="D44" s="362"/>
      <c r="E44" s="362"/>
      <c r="F44" s="362"/>
      <c r="G44" s="362"/>
      <c r="H44" s="362"/>
      <c r="I44" s="362"/>
      <c r="J44" s="362"/>
      <c r="K44" s="362"/>
      <c r="L44" s="362"/>
      <c r="M44" s="362"/>
      <c r="N44" s="361"/>
      <c r="O44" s="446">
        <f t="shared" ref="O44:O48" si="14">SUM(D44:M44)*100/7</f>
        <v>0</v>
      </c>
      <c r="P44" s="362"/>
      <c r="Q44" s="362"/>
      <c r="R44" s="362"/>
      <c r="S44" s="362"/>
      <c r="T44" s="362"/>
      <c r="U44" s="362"/>
      <c r="V44" s="362"/>
      <c r="W44" s="362"/>
      <c r="X44" s="362"/>
      <c r="Y44" s="362"/>
      <c r="Z44" s="362"/>
      <c r="AA44" s="362"/>
      <c r="AB44" s="446">
        <f t="shared" si="13"/>
        <v>0</v>
      </c>
      <c r="AC44" s="362"/>
      <c r="AD44" s="362"/>
      <c r="AE44" s="362"/>
      <c r="AF44" s="362"/>
      <c r="AG44" s="362"/>
      <c r="AH44" s="362"/>
      <c r="AI44" s="362"/>
      <c r="AJ44" s="362"/>
      <c r="AK44" s="362"/>
      <c r="AL44" s="362"/>
      <c r="AM44" s="362"/>
      <c r="AN44" s="361"/>
      <c r="AO44" s="446">
        <f t="shared" si="6"/>
        <v>0</v>
      </c>
      <c r="AP44" s="463">
        <f t="shared" si="7"/>
        <v>0</v>
      </c>
      <c r="AQ44" s="463">
        <f t="shared" si="8"/>
        <v>0</v>
      </c>
      <c r="AR44" s="463">
        <f t="shared" si="9"/>
        <v>0</v>
      </c>
      <c r="AS44" s="463">
        <f t="shared" si="10"/>
        <v>0</v>
      </c>
      <c r="AT44" s="464">
        <f t="shared" si="0"/>
        <v>0</v>
      </c>
      <c r="AU44" s="464">
        <f t="shared" si="1"/>
        <v>0</v>
      </c>
      <c r="AV44" s="464">
        <f t="shared" si="2"/>
        <v>0</v>
      </c>
      <c r="AW44" s="465">
        <f t="shared" si="3"/>
        <v>0</v>
      </c>
      <c r="AX44" s="466" t="str">
        <f t="shared" si="11"/>
        <v>Tidak Tuntas</v>
      </c>
    </row>
    <row r="45" spans="1:50" ht="18" customHeight="1" x14ac:dyDescent="0.25">
      <c r="A45" s="362">
        <v>37</v>
      </c>
      <c r="B45" s="443">
        <f>dtsiswa!D43</f>
        <v>0</v>
      </c>
      <c r="C45" s="444"/>
      <c r="D45" s="362"/>
      <c r="E45" s="362"/>
      <c r="F45" s="362"/>
      <c r="G45" s="362"/>
      <c r="H45" s="362"/>
      <c r="I45" s="362"/>
      <c r="J45" s="362"/>
      <c r="K45" s="362"/>
      <c r="L45" s="362"/>
      <c r="M45" s="362"/>
      <c r="N45" s="361"/>
      <c r="O45" s="446">
        <f t="shared" si="14"/>
        <v>0</v>
      </c>
      <c r="P45" s="362"/>
      <c r="Q45" s="362"/>
      <c r="R45" s="362"/>
      <c r="S45" s="362"/>
      <c r="T45" s="362"/>
      <c r="U45" s="362"/>
      <c r="V45" s="362"/>
      <c r="W45" s="362"/>
      <c r="X45" s="362"/>
      <c r="Y45" s="362"/>
      <c r="Z45" s="362"/>
      <c r="AA45" s="362"/>
      <c r="AB45" s="446">
        <f t="shared" si="13"/>
        <v>0</v>
      </c>
      <c r="AC45" s="362"/>
      <c r="AD45" s="362"/>
      <c r="AE45" s="362"/>
      <c r="AF45" s="362"/>
      <c r="AG45" s="362"/>
      <c r="AH45" s="362"/>
      <c r="AI45" s="362"/>
      <c r="AJ45" s="362"/>
      <c r="AK45" s="362"/>
      <c r="AL45" s="362"/>
      <c r="AM45" s="362"/>
      <c r="AN45" s="361"/>
      <c r="AO45" s="446">
        <f t="shared" si="6"/>
        <v>0</v>
      </c>
      <c r="AP45" s="463">
        <f t="shared" si="7"/>
        <v>0</v>
      </c>
      <c r="AQ45" s="463">
        <f t="shared" si="8"/>
        <v>0</v>
      </c>
      <c r="AR45" s="463">
        <f t="shared" si="9"/>
        <v>0</v>
      </c>
      <c r="AS45" s="463">
        <f t="shared" si="10"/>
        <v>0</v>
      </c>
      <c r="AT45" s="464">
        <f t="shared" si="0"/>
        <v>0</v>
      </c>
      <c r="AU45" s="464">
        <f t="shared" si="1"/>
        <v>0</v>
      </c>
      <c r="AV45" s="464">
        <f t="shared" si="2"/>
        <v>0</v>
      </c>
      <c r="AW45" s="465">
        <f t="shared" si="3"/>
        <v>0</v>
      </c>
      <c r="AX45" s="466" t="str">
        <f t="shared" si="11"/>
        <v>Tidak Tuntas</v>
      </c>
    </row>
    <row r="46" spans="1:50" ht="18" customHeight="1" x14ac:dyDescent="0.25">
      <c r="A46" s="362">
        <v>38</v>
      </c>
      <c r="B46" s="443">
        <f>dtsiswa!D44</f>
        <v>0</v>
      </c>
      <c r="C46" s="444"/>
      <c r="D46" s="362"/>
      <c r="E46" s="362"/>
      <c r="F46" s="362"/>
      <c r="G46" s="362"/>
      <c r="H46" s="362"/>
      <c r="I46" s="362"/>
      <c r="J46" s="362"/>
      <c r="K46" s="362"/>
      <c r="L46" s="362"/>
      <c r="M46" s="362"/>
      <c r="N46" s="361"/>
      <c r="O46" s="446">
        <f t="shared" si="14"/>
        <v>0</v>
      </c>
      <c r="P46" s="362"/>
      <c r="Q46" s="362"/>
      <c r="R46" s="362"/>
      <c r="S46" s="362"/>
      <c r="T46" s="362"/>
      <c r="U46" s="362"/>
      <c r="V46" s="362"/>
      <c r="W46" s="362"/>
      <c r="X46" s="362"/>
      <c r="Y46" s="362"/>
      <c r="Z46" s="362"/>
      <c r="AA46" s="362"/>
      <c r="AB46" s="446">
        <f t="shared" si="13"/>
        <v>0</v>
      </c>
      <c r="AC46" s="362"/>
      <c r="AD46" s="362"/>
      <c r="AE46" s="362"/>
      <c r="AF46" s="362"/>
      <c r="AG46" s="362"/>
      <c r="AH46" s="362"/>
      <c r="AI46" s="362"/>
      <c r="AJ46" s="362"/>
      <c r="AK46" s="362"/>
      <c r="AL46" s="362"/>
      <c r="AM46" s="362"/>
      <c r="AN46" s="361"/>
      <c r="AO46" s="446">
        <f t="shared" si="6"/>
        <v>0</v>
      </c>
      <c r="AP46" s="463">
        <f t="shared" si="7"/>
        <v>0</v>
      </c>
      <c r="AQ46" s="463">
        <f t="shared" si="8"/>
        <v>0</v>
      </c>
      <c r="AR46" s="463">
        <f t="shared" si="9"/>
        <v>0</v>
      </c>
      <c r="AS46" s="463">
        <f t="shared" si="10"/>
        <v>0</v>
      </c>
      <c r="AT46" s="464">
        <f t="shared" si="0"/>
        <v>0</v>
      </c>
      <c r="AU46" s="464">
        <f t="shared" si="1"/>
        <v>0</v>
      </c>
      <c r="AV46" s="464">
        <f t="shared" si="2"/>
        <v>0</v>
      </c>
      <c r="AW46" s="465">
        <f t="shared" si="3"/>
        <v>0</v>
      </c>
      <c r="AX46" s="466" t="str">
        <f t="shared" si="11"/>
        <v>Tidak Tuntas</v>
      </c>
    </row>
    <row r="47" spans="1:50" ht="18" customHeight="1" x14ac:dyDescent="0.25">
      <c r="A47" s="362">
        <v>39</v>
      </c>
      <c r="B47" s="443">
        <f>dtsiswa!D45</f>
        <v>0</v>
      </c>
      <c r="C47" s="444"/>
      <c r="D47" s="362"/>
      <c r="E47" s="362"/>
      <c r="F47" s="362"/>
      <c r="G47" s="362"/>
      <c r="H47" s="362"/>
      <c r="I47" s="362"/>
      <c r="J47" s="362"/>
      <c r="K47" s="362"/>
      <c r="L47" s="362"/>
      <c r="M47" s="362"/>
      <c r="N47" s="361"/>
      <c r="O47" s="446">
        <f t="shared" si="14"/>
        <v>0</v>
      </c>
      <c r="P47" s="362"/>
      <c r="Q47" s="362"/>
      <c r="R47" s="362"/>
      <c r="S47" s="362"/>
      <c r="T47" s="362"/>
      <c r="U47" s="362"/>
      <c r="V47" s="362"/>
      <c r="W47" s="362"/>
      <c r="X47" s="362"/>
      <c r="Y47" s="362"/>
      <c r="Z47" s="362"/>
      <c r="AA47" s="362"/>
      <c r="AB47" s="446">
        <f t="shared" si="13"/>
        <v>0</v>
      </c>
      <c r="AC47" s="362"/>
      <c r="AD47" s="362"/>
      <c r="AE47" s="362"/>
      <c r="AF47" s="362"/>
      <c r="AG47" s="362"/>
      <c r="AH47" s="362"/>
      <c r="AI47" s="362"/>
      <c r="AJ47" s="362"/>
      <c r="AK47" s="362"/>
      <c r="AL47" s="362"/>
      <c r="AM47" s="362"/>
      <c r="AN47" s="361"/>
      <c r="AO47" s="446">
        <f t="shared" si="6"/>
        <v>0</v>
      </c>
      <c r="AP47" s="463">
        <f t="shared" si="7"/>
        <v>0</v>
      </c>
      <c r="AQ47" s="463">
        <f t="shared" si="8"/>
        <v>0</v>
      </c>
      <c r="AR47" s="463">
        <f t="shared" si="9"/>
        <v>0</v>
      </c>
      <c r="AS47" s="463">
        <f t="shared" si="10"/>
        <v>0</v>
      </c>
      <c r="AT47" s="464">
        <f t="shared" si="0"/>
        <v>0</v>
      </c>
      <c r="AU47" s="464">
        <f t="shared" si="1"/>
        <v>0</v>
      </c>
      <c r="AV47" s="464">
        <f t="shared" si="2"/>
        <v>0</v>
      </c>
      <c r="AW47" s="465">
        <f t="shared" si="3"/>
        <v>0</v>
      </c>
      <c r="AX47" s="466" t="str">
        <f t="shared" si="11"/>
        <v>Tidak Tuntas</v>
      </c>
    </row>
    <row r="48" spans="1:50" ht="18" customHeight="1" x14ac:dyDescent="0.25">
      <c r="A48" s="362">
        <v>40</v>
      </c>
      <c r="B48" s="443">
        <f>dtsiswa!D46</f>
        <v>0</v>
      </c>
      <c r="C48" s="444"/>
      <c r="D48" s="362"/>
      <c r="E48" s="362"/>
      <c r="F48" s="362"/>
      <c r="G48" s="362"/>
      <c r="H48" s="362"/>
      <c r="I48" s="362"/>
      <c r="J48" s="362"/>
      <c r="K48" s="362"/>
      <c r="L48" s="362"/>
      <c r="M48" s="362"/>
      <c r="N48" s="361"/>
      <c r="O48" s="446">
        <f t="shared" si="14"/>
        <v>0</v>
      </c>
      <c r="P48" s="362"/>
      <c r="Q48" s="362"/>
      <c r="R48" s="362"/>
      <c r="S48" s="362"/>
      <c r="T48" s="362"/>
      <c r="U48" s="362"/>
      <c r="V48" s="362"/>
      <c r="W48" s="362"/>
      <c r="X48" s="362"/>
      <c r="Y48" s="362"/>
      <c r="Z48" s="362"/>
      <c r="AA48" s="362"/>
      <c r="AB48" s="446">
        <f t="shared" si="13"/>
        <v>0</v>
      </c>
      <c r="AC48" s="362"/>
      <c r="AD48" s="362"/>
      <c r="AE48" s="362"/>
      <c r="AF48" s="362"/>
      <c r="AG48" s="362"/>
      <c r="AH48" s="362"/>
      <c r="AI48" s="362"/>
      <c r="AJ48" s="362"/>
      <c r="AK48" s="362"/>
      <c r="AL48" s="362"/>
      <c r="AM48" s="362"/>
      <c r="AN48" s="361"/>
      <c r="AO48" s="446">
        <f t="shared" si="6"/>
        <v>0</v>
      </c>
      <c r="AP48" s="463">
        <f t="shared" si="7"/>
        <v>0</v>
      </c>
      <c r="AQ48" s="463">
        <f t="shared" si="8"/>
        <v>0</v>
      </c>
      <c r="AR48" s="463">
        <f t="shared" si="9"/>
        <v>0</v>
      </c>
      <c r="AS48" s="463">
        <f t="shared" si="10"/>
        <v>0</v>
      </c>
      <c r="AT48" s="464">
        <f t="shared" si="0"/>
        <v>0</v>
      </c>
      <c r="AU48" s="464">
        <f t="shared" si="1"/>
        <v>0</v>
      </c>
      <c r="AV48" s="464">
        <f t="shared" si="2"/>
        <v>0</v>
      </c>
      <c r="AW48" s="465">
        <f t="shared" si="3"/>
        <v>0</v>
      </c>
      <c r="AX48" s="466" t="str">
        <f t="shared" si="11"/>
        <v>Tidak Tuntas</v>
      </c>
    </row>
    <row r="49" spans="1:50" ht="18" customHeight="1" x14ac:dyDescent="0.25">
      <c r="A49" s="362"/>
      <c r="B49" s="443"/>
      <c r="C49" s="444"/>
      <c r="D49" s="362"/>
      <c r="E49" s="362"/>
      <c r="F49" s="362"/>
      <c r="G49" s="362"/>
      <c r="H49" s="362"/>
      <c r="I49" s="362"/>
      <c r="J49" s="362"/>
      <c r="K49" s="362"/>
      <c r="L49" s="362"/>
      <c r="M49" s="362"/>
      <c r="N49" s="361"/>
      <c r="O49" s="446"/>
      <c r="P49" s="362"/>
      <c r="Q49" s="362"/>
      <c r="R49" s="362"/>
      <c r="S49" s="362"/>
      <c r="T49" s="362"/>
      <c r="U49" s="362"/>
      <c r="V49" s="362"/>
      <c r="W49" s="362"/>
      <c r="X49" s="362"/>
      <c r="Y49" s="362"/>
      <c r="Z49" s="362"/>
      <c r="AA49" s="362"/>
      <c r="AB49" s="446"/>
      <c r="AC49" s="362"/>
      <c r="AD49" s="362"/>
      <c r="AE49" s="362"/>
      <c r="AF49" s="362"/>
      <c r="AG49" s="362"/>
      <c r="AH49" s="362"/>
      <c r="AI49" s="362"/>
      <c r="AJ49" s="362"/>
      <c r="AK49" s="362"/>
      <c r="AL49" s="362"/>
      <c r="AM49" s="362"/>
      <c r="AN49" s="361"/>
      <c r="AO49" s="446">
        <f t="shared" si="6"/>
        <v>0</v>
      </c>
      <c r="AP49" s="452"/>
      <c r="AQ49" s="452"/>
      <c r="AR49" s="452"/>
      <c r="AS49" s="452"/>
      <c r="AT49" s="453"/>
      <c r="AU49" s="453"/>
      <c r="AV49" s="453"/>
      <c r="AW49" s="454"/>
      <c r="AX49" s="451"/>
    </row>
    <row r="50" spans="1:50" ht="18" customHeight="1" x14ac:dyDescent="0.25">
      <c r="A50" s="362"/>
      <c r="B50" s="455" t="s">
        <v>36</v>
      </c>
      <c r="C50" s="454"/>
      <c r="D50" s="456">
        <f t="shared" ref="D50:AM50" si="15">COUNTIF(D9:D32,"0")</f>
        <v>0</v>
      </c>
      <c r="E50" s="456"/>
      <c r="F50" s="456"/>
      <c r="G50" s="456"/>
      <c r="H50" s="456"/>
      <c r="I50" s="456">
        <f t="shared" si="15"/>
        <v>0</v>
      </c>
      <c r="J50" s="456">
        <f t="shared" si="15"/>
        <v>0</v>
      </c>
      <c r="K50" s="456"/>
      <c r="L50" s="456"/>
      <c r="M50" s="456">
        <f t="shared" si="15"/>
        <v>0</v>
      </c>
      <c r="N50" s="456"/>
      <c r="O50" s="456"/>
      <c r="P50" s="456">
        <f t="shared" si="15"/>
        <v>0</v>
      </c>
      <c r="Q50" s="456">
        <f t="shared" si="15"/>
        <v>0</v>
      </c>
      <c r="R50" s="456"/>
      <c r="S50" s="456"/>
      <c r="T50" s="456"/>
      <c r="U50" s="456"/>
      <c r="V50" s="456"/>
      <c r="W50" s="456">
        <f t="shared" si="15"/>
        <v>0</v>
      </c>
      <c r="X50" s="456"/>
      <c r="Y50" s="456"/>
      <c r="Z50" s="456"/>
      <c r="AA50" s="456">
        <f t="shared" si="15"/>
        <v>0</v>
      </c>
      <c r="AB50" s="456"/>
      <c r="AC50" s="456">
        <f t="shared" si="15"/>
        <v>0</v>
      </c>
      <c r="AD50" s="456">
        <f t="shared" si="15"/>
        <v>0</v>
      </c>
      <c r="AE50" s="456"/>
      <c r="AF50" s="456"/>
      <c r="AG50" s="456"/>
      <c r="AH50" s="456"/>
      <c r="AI50" s="456"/>
      <c r="AJ50" s="456">
        <f t="shared" si="15"/>
        <v>0</v>
      </c>
      <c r="AK50" s="456"/>
      <c r="AL50" s="456"/>
      <c r="AM50" s="456">
        <f t="shared" si="15"/>
        <v>0</v>
      </c>
      <c r="AN50" s="456"/>
      <c r="AO50" s="456"/>
      <c r="AP50" s="452"/>
      <c r="AQ50" s="452"/>
      <c r="AR50" s="452"/>
      <c r="AS50" s="452"/>
      <c r="AT50" s="415"/>
      <c r="AU50" s="415"/>
      <c r="AV50" s="415"/>
      <c r="AW50" s="451"/>
      <c r="AX50" s="451"/>
    </row>
    <row r="51" spans="1:50" ht="18" customHeight="1" x14ac:dyDescent="0.25">
      <c r="A51" s="457"/>
      <c r="B51" s="458" t="s">
        <v>37</v>
      </c>
      <c r="C51" s="458"/>
      <c r="D51" s="459"/>
      <c r="E51" s="459"/>
      <c r="F51" s="459"/>
      <c r="G51" s="459"/>
      <c r="H51" s="459"/>
      <c r="I51" s="459"/>
      <c r="J51" s="459"/>
      <c r="K51" s="459"/>
      <c r="L51" s="459"/>
      <c r="M51" s="459"/>
      <c r="N51" s="459"/>
      <c r="O51" s="459"/>
      <c r="P51" s="459"/>
      <c r="Q51" s="459"/>
      <c r="R51" s="459"/>
      <c r="S51" s="459"/>
      <c r="T51" s="459"/>
      <c r="U51" s="459"/>
      <c r="V51" s="459"/>
      <c r="W51" s="459"/>
      <c r="X51" s="459"/>
      <c r="Y51" s="459"/>
      <c r="Z51" s="459"/>
      <c r="AA51" s="459"/>
      <c r="AB51" s="459"/>
      <c r="AC51" s="459"/>
      <c r="AD51" s="459"/>
      <c r="AE51" s="459"/>
      <c r="AF51" s="459"/>
      <c r="AG51" s="459"/>
      <c r="AH51" s="459"/>
      <c r="AI51" s="459"/>
      <c r="AJ51" s="460"/>
      <c r="AK51" s="460"/>
      <c r="AL51" s="460"/>
      <c r="AM51" s="460"/>
      <c r="AN51" s="460"/>
      <c r="AO51" s="460"/>
      <c r="AP51" s="461">
        <f t="shared" ref="AP51:AV51" si="16">MAX(AP9:AP32)</f>
        <v>19</v>
      </c>
      <c r="AQ51" s="461">
        <f t="shared" si="16"/>
        <v>19</v>
      </c>
      <c r="AR51" s="461">
        <f t="shared" si="16"/>
        <v>13</v>
      </c>
      <c r="AS51" s="461">
        <f t="shared" si="16"/>
        <v>92.727272727272734</v>
      </c>
      <c r="AT51" s="461">
        <f t="shared" si="16"/>
        <v>83.333333333333329</v>
      </c>
      <c r="AU51" s="461">
        <f t="shared" si="16"/>
        <v>94.444444444444443</v>
      </c>
      <c r="AV51" s="461">
        <f t="shared" si="16"/>
        <v>84.21052631578948</v>
      </c>
      <c r="AW51" s="451"/>
      <c r="AX51" s="451"/>
    </row>
    <row r="52" spans="1:50" ht="18" customHeight="1" x14ac:dyDescent="0.25">
      <c r="A52" s="462"/>
      <c r="B52" s="458" t="s">
        <v>38</v>
      </c>
      <c r="C52" s="458"/>
      <c r="D52" s="459"/>
      <c r="E52" s="459"/>
      <c r="F52" s="459"/>
      <c r="G52" s="459"/>
      <c r="H52" s="459"/>
      <c r="I52" s="459"/>
      <c r="J52" s="459"/>
      <c r="K52" s="459"/>
      <c r="L52" s="459"/>
      <c r="M52" s="459"/>
      <c r="N52" s="459"/>
      <c r="O52" s="459"/>
      <c r="P52" s="459"/>
      <c r="Q52" s="459"/>
      <c r="R52" s="459"/>
      <c r="S52" s="459"/>
      <c r="T52" s="459"/>
      <c r="U52" s="459"/>
      <c r="V52" s="459"/>
      <c r="W52" s="459"/>
      <c r="X52" s="459"/>
      <c r="Y52" s="459"/>
      <c r="Z52" s="459"/>
      <c r="AA52" s="459"/>
      <c r="AB52" s="459"/>
      <c r="AC52" s="459"/>
      <c r="AD52" s="459"/>
      <c r="AE52" s="459"/>
      <c r="AF52" s="459"/>
      <c r="AG52" s="459"/>
      <c r="AH52" s="459"/>
      <c r="AI52" s="459"/>
      <c r="AJ52" s="460"/>
      <c r="AK52" s="460"/>
      <c r="AL52" s="460"/>
      <c r="AM52" s="460"/>
      <c r="AN52" s="460"/>
      <c r="AO52" s="460"/>
      <c r="AP52" s="461">
        <f t="shared" ref="AP52:AV52" si="17">MIN(AP9:AP32)</f>
        <v>0</v>
      </c>
      <c r="AQ52" s="461">
        <f t="shared" si="17"/>
        <v>0</v>
      </c>
      <c r="AR52" s="461">
        <f t="shared" si="17"/>
        <v>0</v>
      </c>
      <c r="AS52" s="461">
        <f t="shared" si="17"/>
        <v>0</v>
      </c>
      <c r="AT52" s="461">
        <f t="shared" si="17"/>
        <v>0</v>
      </c>
      <c r="AU52" s="461">
        <f t="shared" si="17"/>
        <v>0</v>
      </c>
      <c r="AV52" s="461">
        <f t="shared" si="17"/>
        <v>0</v>
      </c>
      <c r="AW52" s="451"/>
      <c r="AX52" s="451"/>
    </row>
    <row r="53" spans="1:50" ht="18" customHeight="1" x14ac:dyDescent="0.25">
      <c r="A53" s="462"/>
      <c r="B53" s="458" t="s">
        <v>39</v>
      </c>
      <c r="C53" s="458"/>
      <c r="D53" s="459"/>
      <c r="E53" s="459"/>
      <c r="F53" s="459"/>
      <c r="G53" s="459"/>
      <c r="H53" s="459"/>
      <c r="I53" s="459"/>
      <c r="J53" s="459"/>
      <c r="K53" s="459"/>
      <c r="L53" s="459"/>
      <c r="M53" s="459"/>
      <c r="N53" s="459"/>
      <c r="O53" s="459"/>
      <c r="P53" s="459"/>
      <c r="Q53" s="459"/>
      <c r="R53" s="459"/>
      <c r="S53" s="459"/>
      <c r="T53" s="459"/>
      <c r="U53" s="459"/>
      <c r="V53" s="459"/>
      <c r="W53" s="459"/>
      <c r="X53" s="459"/>
      <c r="Y53" s="459"/>
      <c r="Z53" s="459"/>
      <c r="AA53" s="459"/>
      <c r="AB53" s="459"/>
      <c r="AC53" s="459"/>
      <c r="AD53" s="459"/>
      <c r="AE53" s="459"/>
      <c r="AF53" s="459"/>
      <c r="AG53" s="459"/>
      <c r="AH53" s="459"/>
      <c r="AI53" s="459"/>
      <c r="AJ53" s="460"/>
      <c r="AK53" s="460"/>
      <c r="AL53" s="460"/>
      <c r="AM53" s="460"/>
      <c r="AN53" s="460"/>
      <c r="AO53" s="460"/>
      <c r="AP53" s="461">
        <f t="shared" ref="AP53:AV53" si="18">AVERAGE(AP9:AP32)</f>
        <v>0.79166666666666663</v>
      </c>
      <c r="AQ53" s="461">
        <f t="shared" si="18"/>
        <v>0.79166666666666663</v>
      </c>
      <c r="AR53" s="461">
        <f t="shared" si="18"/>
        <v>0.54166666666666663</v>
      </c>
      <c r="AS53" s="461">
        <f t="shared" si="18"/>
        <v>3.8636363636363638</v>
      </c>
      <c r="AT53" s="461">
        <f t="shared" si="18"/>
        <v>3.4722222222222219</v>
      </c>
      <c r="AU53" s="461">
        <f t="shared" si="18"/>
        <v>3.9351851851851851</v>
      </c>
      <c r="AV53" s="461">
        <f t="shared" si="18"/>
        <v>3.5087719298245617</v>
      </c>
      <c r="AW53" s="451"/>
      <c r="AX53" s="451"/>
    </row>
  </sheetData>
  <mergeCells count="16">
    <mergeCell ref="A6:A8"/>
    <mergeCell ref="B6:B8"/>
    <mergeCell ref="C6:C8"/>
    <mergeCell ref="D6:O6"/>
    <mergeCell ref="P6:AB6"/>
    <mergeCell ref="AS6:AS8"/>
    <mergeCell ref="AT6:AV7"/>
    <mergeCell ref="AW6:AW8"/>
    <mergeCell ref="AX6:AX8"/>
    <mergeCell ref="O7:O8"/>
    <mergeCell ref="AB7:AB8"/>
    <mergeCell ref="AO7:AO8"/>
    <mergeCell ref="AP6:AP8"/>
    <mergeCell ref="AQ6:AQ8"/>
    <mergeCell ref="AR6:AR8"/>
    <mergeCell ref="AC6:AO6"/>
  </mergeCells>
  <conditionalFormatting sqref="AW9:AW48">
    <cfRule type="top10" dxfId="3" priority="1" bottom="1" rank="5"/>
  </conditionalFormatting>
  <pageMargins left="0.7" right="0.7" top="0.75" bottom="0.75" header="0.3" footer="0.3"/>
  <pageSetup paperSize="9" orientation="portrait" horizontalDpi="0" verticalDpi="0"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rgb="FFFFC000"/>
  </sheetPr>
  <dimension ref="A1:CI46"/>
  <sheetViews>
    <sheetView workbookViewId="0">
      <pane xSplit="2" ySplit="6" topLeftCell="C7" activePane="bottomRight" state="frozen"/>
      <selection activeCell="Q20" sqref="Q20"/>
      <selection pane="topRight" activeCell="Q20" sqref="Q20"/>
      <selection pane="bottomLeft" activeCell="Q20" sqref="Q20"/>
      <selection pane="bottomRight" activeCell="N9" sqref="N9"/>
    </sheetView>
  </sheetViews>
  <sheetFormatPr defaultRowHeight="15" x14ac:dyDescent="0.25"/>
  <cols>
    <col min="1" max="1" width="6.42578125" style="149" customWidth="1"/>
    <col min="2" max="2" width="35" customWidth="1"/>
    <col min="3" max="10" width="4.7109375" customWidth="1"/>
    <col min="11" max="14" width="5.7109375" customWidth="1"/>
    <col min="15" max="15" width="7.85546875" customWidth="1"/>
    <col min="16" max="75" width="5.7109375" customWidth="1"/>
    <col min="76" max="76" width="6" customWidth="1"/>
    <col min="77" max="87" width="5.7109375" customWidth="1"/>
  </cols>
  <sheetData>
    <row r="1" spans="1:87" ht="15.75" x14ac:dyDescent="0.25">
      <c r="A1" s="553" t="s">
        <v>436</v>
      </c>
    </row>
    <row r="2" spans="1:87" ht="18.75" x14ac:dyDescent="0.25">
      <c r="A2" s="511" t="s">
        <v>437</v>
      </c>
    </row>
    <row r="3" spans="1:87" ht="25.5" customHeight="1" thickBot="1" x14ac:dyDescent="0.3">
      <c r="A3" s="204">
        <v>1</v>
      </c>
      <c r="B3" s="204">
        <v>2</v>
      </c>
      <c r="C3" s="204">
        <v>3</v>
      </c>
      <c r="D3" s="204">
        <v>4</v>
      </c>
      <c r="E3" s="204">
        <v>5</v>
      </c>
      <c r="F3" s="204">
        <v>6</v>
      </c>
      <c r="G3" s="204">
        <v>7</v>
      </c>
      <c r="H3" s="204">
        <v>8</v>
      </c>
      <c r="I3" s="204">
        <v>9</v>
      </c>
      <c r="J3" s="204">
        <v>10</v>
      </c>
      <c r="K3" s="204">
        <v>11</v>
      </c>
      <c r="L3" s="204">
        <v>12</v>
      </c>
      <c r="M3" s="204">
        <v>13</v>
      </c>
      <c r="N3" s="204">
        <v>14</v>
      </c>
      <c r="O3" s="204">
        <v>15</v>
      </c>
      <c r="P3" s="204">
        <v>16</v>
      </c>
      <c r="Q3" s="204">
        <v>17</v>
      </c>
      <c r="R3" s="204">
        <v>18</v>
      </c>
      <c r="S3" s="204">
        <v>19</v>
      </c>
      <c r="T3" s="204">
        <v>20</v>
      </c>
      <c r="U3" s="204">
        <v>21</v>
      </c>
      <c r="V3" s="204">
        <v>22</v>
      </c>
      <c r="W3" s="204">
        <v>23</v>
      </c>
      <c r="X3" s="204">
        <v>24</v>
      </c>
      <c r="Y3" s="204">
        <v>25</v>
      </c>
      <c r="Z3" s="204">
        <v>26</v>
      </c>
      <c r="AA3" s="204">
        <v>27</v>
      </c>
      <c r="AB3" s="204">
        <v>28</v>
      </c>
      <c r="AC3" s="204">
        <v>29</v>
      </c>
      <c r="AD3" s="204">
        <v>30</v>
      </c>
      <c r="AE3" s="204">
        <v>31</v>
      </c>
      <c r="AF3" s="204">
        <v>32</v>
      </c>
      <c r="AG3" s="204">
        <v>33</v>
      </c>
      <c r="AH3" s="204">
        <v>34</v>
      </c>
      <c r="AI3" s="204">
        <v>35</v>
      </c>
      <c r="AJ3" s="204">
        <v>36</v>
      </c>
      <c r="AK3" s="204">
        <v>37</v>
      </c>
      <c r="AL3" s="204">
        <v>38</v>
      </c>
      <c r="AM3" s="204">
        <v>39</v>
      </c>
      <c r="AN3" s="204">
        <v>40</v>
      </c>
      <c r="AO3" s="204">
        <v>41</v>
      </c>
      <c r="AP3" s="204">
        <v>42</v>
      </c>
      <c r="AQ3" s="204">
        <v>43</v>
      </c>
      <c r="AR3" s="204">
        <v>44</v>
      </c>
      <c r="AS3" s="204">
        <v>45</v>
      </c>
      <c r="AT3" s="204">
        <v>46</v>
      </c>
      <c r="AU3" s="204">
        <v>47</v>
      </c>
      <c r="AV3" s="204">
        <v>48</v>
      </c>
      <c r="AW3" s="204">
        <v>49</v>
      </c>
      <c r="AX3" s="204">
        <v>50</v>
      </c>
      <c r="AY3" s="204">
        <v>51</v>
      </c>
      <c r="AZ3" s="204">
        <v>52</v>
      </c>
      <c r="BA3" s="204">
        <v>53</v>
      </c>
      <c r="BB3" s="204">
        <v>54</v>
      </c>
      <c r="BC3" s="204">
        <v>55</v>
      </c>
      <c r="BD3" s="204">
        <v>56</v>
      </c>
      <c r="BE3" s="204">
        <v>57</v>
      </c>
      <c r="BF3" s="204">
        <v>58</v>
      </c>
      <c r="BG3" s="204">
        <v>59</v>
      </c>
      <c r="BH3" s="204">
        <v>60</v>
      </c>
      <c r="BI3" s="204">
        <v>61</v>
      </c>
      <c r="BJ3" s="204">
        <v>62</v>
      </c>
      <c r="BK3" s="204">
        <v>63</v>
      </c>
      <c r="BL3" s="204">
        <v>64</v>
      </c>
      <c r="BM3" s="204">
        <v>65</v>
      </c>
      <c r="BN3" s="204">
        <v>66</v>
      </c>
      <c r="BO3" s="204">
        <v>67</v>
      </c>
      <c r="BP3" s="204">
        <v>68</v>
      </c>
      <c r="BQ3" s="204">
        <v>69</v>
      </c>
      <c r="BR3" s="204">
        <v>70</v>
      </c>
      <c r="BS3" s="204">
        <v>71</v>
      </c>
      <c r="BT3" s="204">
        <v>72</v>
      </c>
      <c r="BU3" s="204">
        <v>73</v>
      </c>
      <c r="BV3" s="204">
        <v>74</v>
      </c>
      <c r="BW3" s="204">
        <v>75</v>
      </c>
      <c r="BX3" s="204">
        <v>76</v>
      </c>
      <c r="BY3" s="204">
        <v>77</v>
      </c>
      <c r="BZ3" s="204">
        <v>78</v>
      </c>
      <c r="CA3" s="204">
        <v>79</v>
      </c>
      <c r="CB3" s="204">
        <v>80</v>
      </c>
      <c r="CC3" s="204">
        <v>81</v>
      </c>
      <c r="CD3" s="204">
        <v>82</v>
      </c>
      <c r="CE3" s="204">
        <v>83</v>
      </c>
      <c r="CF3" s="204">
        <v>84</v>
      </c>
      <c r="CG3" s="204">
        <v>85</v>
      </c>
      <c r="CH3" s="204">
        <v>86</v>
      </c>
      <c r="CI3" s="204">
        <v>87</v>
      </c>
    </row>
    <row r="4" spans="1:87" s="140" customFormat="1" ht="21" customHeight="1" x14ac:dyDescent="0.25">
      <c r="A4" s="3299" t="s">
        <v>0</v>
      </c>
      <c r="B4" s="3300" t="s">
        <v>1</v>
      </c>
      <c r="C4" s="3296" t="s">
        <v>438</v>
      </c>
      <c r="D4" s="3297"/>
      <c r="E4" s="3297"/>
      <c r="F4" s="3297"/>
      <c r="G4" s="3297"/>
      <c r="H4" s="3297"/>
      <c r="I4" s="3297"/>
      <c r="J4" s="3298"/>
      <c r="K4" s="3279" t="s">
        <v>191</v>
      </c>
      <c r="L4" s="3281"/>
      <c r="M4" s="3281"/>
      <c r="N4" s="3281"/>
      <c r="O4" s="3281"/>
      <c r="P4" s="3281"/>
      <c r="Q4" s="3281"/>
      <c r="R4" s="3281"/>
      <c r="S4" s="3281"/>
      <c r="T4" s="3281"/>
      <c r="U4" s="3281"/>
      <c r="V4" s="3287"/>
      <c r="W4" s="3288" t="s">
        <v>439</v>
      </c>
      <c r="X4" s="3289"/>
      <c r="Y4" s="3289"/>
      <c r="Z4" s="3289"/>
      <c r="AA4" s="3289"/>
      <c r="AB4" s="3289"/>
      <c r="AC4" s="3289"/>
      <c r="AD4" s="3289"/>
      <c r="AE4" s="3290"/>
      <c r="AF4" s="3284" t="s">
        <v>197</v>
      </c>
      <c r="AG4" s="3285"/>
      <c r="AH4" s="3285"/>
      <c r="AI4" s="3285"/>
      <c r="AJ4" s="3285"/>
      <c r="AK4" s="3285"/>
      <c r="AL4" s="3285"/>
      <c r="AM4" s="3285"/>
      <c r="AN4" s="3285"/>
      <c r="AO4" s="3285"/>
      <c r="AP4" s="3285"/>
      <c r="AQ4" s="3285"/>
      <c r="AR4" s="3285"/>
      <c r="AS4" s="3285"/>
      <c r="AT4" s="3285"/>
      <c r="AU4" s="3285"/>
      <c r="AV4" s="3285"/>
      <c r="AW4" s="3285"/>
      <c r="AX4" s="3285"/>
      <c r="AY4" s="3285"/>
      <c r="AZ4" s="3285"/>
      <c r="BA4" s="3285"/>
      <c r="BB4" s="3285"/>
      <c r="BC4" s="3285"/>
      <c r="BD4" s="3285"/>
      <c r="BE4" s="3286"/>
      <c r="BF4" s="3279" t="s">
        <v>198</v>
      </c>
      <c r="BG4" s="3280"/>
      <c r="BH4" s="3281"/>
      <c r="BI4" s="3281"/>
      <c r="BJ4" s="3281"/>
      <c r="BK4" s="3281"/>
      <c r="BL4" s="3281"/>
      <c r="BM4" s="3281"/>
      <c r="BN4" s="3281"/>
      <c r="BO4" s="3281"/>
      <c r="BP4" s="3281"/>
      <c r="BQ4" s="3281"/>
      <c r="BR4" s="3282"/>
      <c r="BS4" s="3263" t="s">
        <v>215</v>
      </c>
      <c r="BT4" s="3264"/>
      <c r="BU4" s="3264"/>
      <c r="BV4" s="3264"/>
      <c r="BW4" s="3264"/>
      <c r="BX4" s="3264"/>
      <c r="BY4" s="3264"/>
      <c r="BZ4" s="3264"/>
      <c r="CA4" s="3264"/>
      <c r="CB4" s="3264"/>
      <c r="CC4" s="3264"/>
      <c r="CD4" s="3264"/>
      <c r="CE4" s="3264"/>
      <c r="CF4" s="3264"/>
      <c r="CG4" s="3265"/>
      <c r="CH4" s="3265"/>
      <c r="CI4" s="3266"/>
    </row>
    <row r="5" spans="1:87" ht="15.75" thickBot="1" x14ac:dyDescent="0.3">
      <c r="A5" s="3299"/>
      <c r="B5" s="3300"/>
      <c r="C5" s="473" t="s">
        <v>7</v>
      </c>
      <c r="D5" s="468" t="s">
        <v>10</v>
      </c>
      <c r="E5" s="468" t="s">
        <v>8</v>
      </c>
      <c r="F5" s="468" t="s">
        <v>18</v>
      </c>
      <c r="G5" s="468" t="s">
        <v>20</v>
      </c>
      <c r="H5" s="468" t="s">
        <v>19</v>
      </c>
      <c r="I5" s="468" t="s">
        <v>23</v>
      </c>
      <c r="J5" s="474" t="s">
        <v>21</v>
      </c>
      <c r="K5" s="3267" t="s">
        <v>156</v>
      </c>
      <c r="L5" s="3268"/>
      <c r="M5" s="3268"/>
      <c r="N5" s="3268"/>
      <c r="O5" s="469" t="s">
        <v>26</v>
      </c>
      <c r="P5" s="3272" t="s">
        <v>50</v>
      </c>
      <c r="Q5" s="3272"/>
      <c r="R5" s="3272"/>
      <c r="S5" s="3273" t="s">
        <v>51</v>
      </c>
      <c r="T5" s="3273"/>
      <c r="U5" s="3273"/>
      <c r="V5" s="3274"/>
      <c r="W5" s="3291" t="s">
        <v>156</v>
      </c>
      <c r="X5" s="3292"/>
      <c r="Y5" s="3294" t="s">
        <v>26</v>
      </c>
      <c r="Z5" s="3295"/>
      <c r="AA5" s="3293" t="s">
        <v>50</v>
      </c>
      <c r="AB5" s="3293"/>
      <c r="AC5" s="3277" t="s">
        <v>51</v>
      </c>
      <c r="AD5" s="3277"/>
      <c r="AE5" s="3278"/>
      <c r="AF5" s="3267" t="s">
        <v>156</v>
      </c>
      <c r="AG5" s="3268"/>
      <c r="AH5" s="3268"/>
      <c r="AI5" s="3268"/>
      <c r="AJ5" s="3268"/>
      <c r="AK5" s="3268"/>
      <c r="AL5" s="3268"/>
      <c r="AM5" s="3276" t="s">
        <v>26</v>
      </c>
      <c r="AN5" s="3276"/>
      <c r="AO5" s="3276"/>
      <c r="AP5" s="3276"/>
      <c r="AQ5" s="3276"/>
      <c r="AR5" s="3276"/>
      <c r="AS5" s="3276"/>
      <c r="AT5" s="3276"/>
      <c r="AU5" s="3272" t="s">
        <v>50</v>
      </c>
      <c r="AV5" s="3272"/>
      <c r="AW5" s="3272"/>
      <c r="AX5" s="3272"/>
      <c r="AY5" s="3272"/>
      <c r="AZ5" s="3272"/>
      <c r="BA5" s="3272"/>
      <c r="BB5" s="3277" t="s">
        <v>51</v>
      </c>
      <c r="BC5" s="3277"/>
      <c r="BD5" s="3277"/>
      <c r="BE5" s="3278"/>
      <c r="BF5" s="3267" t="s">
        <v>156</v>
      </c>
      <c r="BG5" s="3283"/>
      <c r="BH5" s="3268"/>
      <c r="BI5" s="3268"/>
      <c r="BJ5" s="3269" t="s">
        <v>26</v>
      </c>
      <c r="BK5" s="3270"/>
      <c r="BL5" s="3272" t="s">
        <v>50</v>
      </c>
      <c r="BM5" s="3272"/>
      <c r="BN5" s="3272"/>
      <c r="BO5" s="3273" t="s">
        <v>51</v>
      </c>
      <c r="BP5" s="3273"/>
      <c r="BQ5" s="3273"/>
      <c r="BR5" s="3275"/>
      <c r="BS5" s="3267" t="s">
        <v>156</v>
      </c>
      <c r="BT5" s="3268"/>
      <c r="BU5" s="3268"/>
      <c r="BV5" s="3269" t="s">
        <v>26</v>
      </c>
      <c r="BW5" s="3270"/>
      <c r="BX5" s="3271"/>
      <c r="BY5" s="3272" t="s">
        <v>50</v>
      </c>
      <c r="BZ5" s="3272"/>
      <c r="CA5" s="3272"/>
      <c r="CB5" s="3272"/>
      <c r="CC5" s="3272"/>
      <c r="CD5" s="3273" t="s">
        <v>51</v>
      </c>
      <c r="CE5" s="3273"/>
      <c r="CF5" s="3273"/>
      <c r="CG5" s="3274"/>
      <c r="CH5" s="3274"/>
      <c r="CI5" s="3275"/>
    </row>
    <row r="6" spans="1:87" ht="18" customHeight="1" thickBot="1" x14ac:dyDescent="0.3">
      <c r="A6" s="3299"/>
      <c r="B6" s="3300"/>
      <c r="C6" s="3301"/>
      <c r="D6" s="3103"/>
      <c r="E6" s="3103"/>
      <c r="F6" s="3103"/>
      <c r="G6" s="3103"/>
      <c r="H6" s="3103"/>
      <c r="I6" s="3103"/>
      <c r="J6" s="3302"/>
      <c r="K6" s="470" t="s">
        <v>12</v>
      </c>
      <c r="L6" s="471" t="s">
        <v>7</v>
      </c>
      <c r="M6" s="471" t="s">
        <v>10</v>
      </c>
      <c r="N6" s="471" t="s">
        <v>8</v>
      </c>
      <c r="O6" s="471" t="s">
        <v>7</v>
      </c>
      <c r="P6" s="471" t="s">
        <v>7</v>
      </c>
      <c r="Q6" s="471" t="s">
        <v>10</v>
      </c>
      <c r="R6" s="471" t="s">
        <v>8</v>
      </c>
      <c r="S6" s="471" t="s">
        <v>12</v>
      </c>
      <c r="T6" s="471" t="s">
        <v>7</v>
      </c>
      <c r="U6" s="471" t="s">
        <v>10</v>
      </c>
      <c r="V6" s="479" t="s">
        <v>8</v>
      </c>
      <c r="W6" s="498" t="s">
        <v>12</v>
      </c>
      <c r="X6" s="499" t="s">
        <v>8</v>
      </c>
      <c r="Y6" s="499" t="s">
        <v>12</v>
      </c>
      <c r="Z6" s="499" t="s">
        <v>7</v>
      </c>
      <c r="AA6" s="499" t="s">
        <v>12</v>
      </c>
      <c r="AB6" s="499" t="s">
        <v>10</v>
      </c>
      <c r="AC6" s="499" t="s">
        <v>12</v>
      </c>
      <c r="AD6" s="499" t="s">
        <v>8</v>
      </c>
      <c r="AE6" s="500" t="s">
        <v>18</v>
      </c>
      <c r="AF6" s="481" t="s">
        <v>12</v>
      </c>
      <c r="AG6" s="471" t="s">
        <v>7</v>
      </c>
      <c r="AH6" s="471" t="s">
        <v>8</v>
      </c>
      <c r="AI6" s="471" t="s">
        <v>18</v>
      </c>
      <c r="AJ6" s="471" t="s">
        <v>180</v>
      </c>
      <c r="AK6" s="471" t="s">
        <v>182</v>
      </c>
      <c r="AL6" s="471" t="s">
        <v>183</v>
      </c>
      <c r="AM6" s="471" t="s">
        <v>12</v>
      </c>
      <c r="AN6" s="471" t="s">
        <v>7</v>
      </c>
      <c r="AO6" s="471" t="s">
        <v>8</v>
      </c>
      <c r="AP6" s="471" t="s">
        <v>18</v>
      </c>
      <c r="AQ6" s="471" t="s">
        <v>180</v>
      </c>
      <c r="AR6" s="471" t="s">
        <v>181</v>
      </c>
      <c r="AS6" s="471" t="s">
        <v>182</v>
      </c>
      <c r="AT6" s="471" t="s">
        <v>183</v>
      </c>
      <c r="AU6" s="471" t="s">
        <v>7</v>
      </c>
      <c r="AV6" s="471" t="s">
        <v>8</v>
      </c>
      <c r="AW6" s="471" t="s">
        <v>179</v>
      </c>
      <c r="AX6" s="471" t="s">
        <v>20</v>
      </c>
      <c r="AY6" s="471" t="s">
        <v>181</v>
      </c>
      <c r="AZ6" s="471" t="s">
        <v>182</v>
      </c>
      <c r="BA6" s="479" t="s">
        <v>183</v>
      </c>
      <c r="BB6" s="498" t="s">
        <v>10</v>
      </c>
      <c r="BC6" s="499" t="s">
        <v>8</v>
      </c>
      <c r="BD6" s="499" t="s">
        <v>20</v>
      </c>
      <c r="BE6" s="500" t="s">
        <v>180</v>
      </c>
      <c r="BF6" s="548" t="s">
        <v>12</v>
      </c>
      <c r="BG6" s="549" t="s">
        <v>7</v>
      </c>
      <c r="BH6" s="550" t="s">
        <v>8</v>
      </c>
      <c r="BI6" s="550" t="s">
        <v>18</v>
      </c>
      <c r="BJ6" s="550" t="s">
        <v>12</v>
      </c>
      <c r="BK6" s="550" t="s">
        <v>8</v>
      </c>
      <c r="BL6" s="550" t="s">
        <v>12</v>
      </c>
      <c r="BM6" s="550" t="s">
        <v>7</v>
      </c>
      <c r="BN6" s="550" t="s">
        <v>8</v>
      </c>
      <c r="BO6" s="550" t="s">
        <v>12</v>
      </c>
      <c r="BP6" s="550" t="s">
        <v>7</v>
      </c>
      <c r="BQ6" s="550" t="s">
        <v>10</v>
      </c>
      <c r="BR6" s="551" t="s">
        <v>8</v>
      </c>
      <c r="BS6" s="470" t="s">
        <v>12</v>
      </c>
      <c r="BT6" s="470" t="s">
        <v>8</v>
      </c>
      <c r="BU6" s="470" t="s">
        <v>20</v>
      </c>
      <c r="BV6" s="471" t="s">
        <v>12</v>
      </c>
      <c r="BW6" s="471" t="s">
        <v>7</v>
      </c>
      <c r="BX6" s="471" t="s">
        <v>10</v>
      </c>
      <c r="BY6" s="471" t="s">
        <v>7</v>
      </c>
      <c r="BZ6" s="471" t="s">
        <v>10</v>
      </c>
      <c r="CA6" s="471" t="s">
        <v>8</v>
      </c>
      <c r="CB6" s="471" t="s">
        <v>18</v>
      </c>
      <c r="CC6" s="471" t="s">
        <v>20</v>
      </c>
      <c r="CD6" s="471" t="s">
        <v>12</v>
      </c>
      <c r="CE6" s="471" t="s">
        <v>7</v>
      </c>
      <c r="CF6" s="471" t="s">
        <v>10</v>
      </c>
      <c r="CG6" s="479" t="s">
        <v>18</v>
      </c>
      <c r="CH6" s="479" t="s">
        <v>179</v>
      </c>
      <c r="CI6" s="472" t="s">
        <v>20</v>
      </c>
    </row>
    <row r="7" spans="1:87" ht="18" customHeight="1" x14ac:dyDescent="0.25">
      <c r="A7" s="370">
        <v>1</v>
      </c>
      <c r="B7" s="554" t="str">
        <f t="shared" ref="B7:B41" si="0">VLOOKUP(A7,data_siswa,4,FALSE)</f>
        <v>Achmad Zacky</v>
      </c>
      <c r="C7" s="241"/>
      <c r="D7" s="547"/>
      <c r="E7" s="547"/>
      <c r="F7" s="547"/>
      <c r="G7" s="547"/>
      <c r="H7" s="547"/>
      <c r="I7" s="547"/>
      <c r="J7" s="555"/>
      <c r="K7" s="502"/>
      <c r="L7" s="493"/>
      <c r="M7" s="493"/>
      <c r="N7" s="493"/>
      <c r="O7" s="493"/>
      <c r="P7" s="493"/>
      <c r="Q7" s="493"/>
      <c r="R7" s="493"/>
      <c r="S7" s="493"/>
      <c r="T7" s="493"/>
      <c r="U7" s="493"/>
      <c r="V7" s="494"/>
      <c r="W7" s="492"/>
      <c r="X7" s="493"/>
      <c r="Y7" s="493"/>
      <c r="Z7" s="493"/>
      <c r="AA7" s="493"/>
      <c r="AB7" s="493"/>
      <c r="AC7" s="493"/>
      <c r="AD7" s="493"/>
      <c r="AE7" s="494"/>
      <c r="AF7" s="502"/>
      <c r="AG7" s="493"/>
      <c r="AH7" s="493"/>
      <c r="AI7" s="493"/>
      <c r="AJ7" s="493"/>
      <c r="AK7" s="493"/>
      <c r="AL7" s="494"/>
      <c r="AM7" s="492"/>
      <c r="AN7" s="493"/>
      <c r="AO7" s="493"/>
      <c r="AP7" s="493"/>
      <c r="AQ7" s="493"/>
      <c r="AR7" s="493"/>
      <c r="AS7" s="493"/>
      <c r="AT7" s="497"/>
      <c r="AU7" s="492"/>
      <c r="AV7" s="493"/>
      <c r="AW7" s="493"/>
      <c r="AX7" s="493"/>
      <c r="AY7" s="493"/>
      <c r="AZ7" s="493"/>
      <c r="BA7" s="497"/>
      <c r="BB7" s="492"/>
      <c r="BC7" s="493"/>
      <c r="BD7" s="493"/>
      <c r="BE7" s="497"/>
      <c r="BF7" s="492"/>
      <c r="BG7" s="493"/>
      <c r="BH7" s="493"/>
      <c r="BI7" s="493"/>
      <c r="BJ7" s="493"/>
      <c r="BK7" s="493"/>
      <c r="BL7" s="493"/>
      <c r="BM7" s="493"/>
      <c r="BN7" s="493"/>
      <c r="BO7" s="493"/>
      <c r="BP7" s="493"/>
      <c r="BQ7" s="493"/>
      <c r="BR7" s="494"/>
      <c r="BS7" s="510"/>
      <c r="BT7" s="507"/>
      <c r="BU7" s="507"/>
      <c r="BV7" s="507"/>
      <c r="BW7" s="507"/>
      <c r="BX7" s="507"/>
      <c r="BY7" s="507"/>
      <c r="BZ7" s="507"/>
      <c r="CA7" s="507"/>
      <c r="CB7" s="507"/>
      <c r="CC7" s="507"/>
      <c r="CD7" s="507"/>
      <c r="CE7" s="507"/>
      <c r="CF7" s="507"/>
      <c r="CG7" s="507"/>
      <c r="CH7" s="507"/>
      <c r="CI7" s="508"/>
    </row>
    <row r="8" spans="1:87" ht="18" customHeight="1" x14ac:dyDescent="0.25">
      <c r="A8" s="370">
        <v>2</v>
      </c>
      <c r="B8" s="554" t="str">
        <f t="shared" si="0"/>
        <v>Angelia Vabel R</v>
      </c>
      <c r="C8" s="242"/>
      <c r="D8" s="512"/>
      <c r="E8" s="512"/>
      <c r="F8" s="512"/>
      <c r="G8" s="512"/>
      <c r="H8" s="512"/>
      <c r="I8" s="512"/>
      <c r="J8" s="556"/>
      <c r="K8" s="491"/>
      <c r="L8" s="480"/>
      <c r="M8" s="480"/>
      <c r="N8" s="480"/>
      <c r="O8" s="480"/>
      <c r="P8" s="480"/>
      <c r="Q8" s="480"/>
      <c r="R8" s="480"/>
      <c r="S8" s="480"/>
      <c r="T8" s="480"/>
      <c r="U8" s="480"/>
      <c r="V8" s="496"/>
      <c r="W8" s="501"/>
      <c r="X8" s="325"/>
      <c r="Y8" s="325"/>
      <c r="Z8" s="325"/>
      <c r="AA8" s="325"/>
      <c r="AB8" s="325"/>
      <c r="AC8" s="325"/>
      <c r="AD8" s="325"/>
      <c r="AE8" s="552"/>
      <c r="AF8" s="491"/>
      <c r="AG8" s="480"/>
      <c r="AH8" s="480"/>
      <c r="AI8" s="480"/>
      <c r="AJ8" s="480"/>
      <c r="AK8" s="480"/>
      <c r="AL8" s="496"/>
      <c r="AM8" s="495"/>
      <c r="AN8" s="480"/>
      <c r="AO8" s="480"/>
      <c r="AP8" s="480"/>
      <c r="AQ8" s="480"/>
      <c r="AR8" s="480"/>
      <c r="AS8" s="480"/>
      <c r="AT8" s="490"/>
      <c r="AU8" s="495"/>
      <c r="AV8" s="480"/>
      <c r="AW8" s="480"/>
      <c r="AX8" s="480"/>
      <c r="AY8" s="480"/>
      <c r="AZ8" s="480"/>
      <c r="BA8" s="490"/>
      <c r="BB8" s="501"/>
      <c r="BC8" s="325"/>
      <c r="BD8" s="325"/>
      <c r="BE8" s="506"/>
      <c r="BF8" s="501"/>
      <c r="BG8" s="325"/>
      <c r="BH8" s="325"/>
      <c r="BI8" s="325"/>
      <c r="BJ8" s="325"/>
      <c r="BK8" s="325"/>
      <c r="BL8" s="325"/>
      <c r="BM8" s="325"/>
      <c r="BN8" s="325"/>
      <c r="BO8" s="325"/>
      <c r="BP8" s="325"/>
      <c r="BQ8" s="325"/>
      <c r="BR8" s="552"/>
      <c r="BS8" s="231"/>
      <c r="BT8" s="46"/>
      <c r="BU8" s="46"/>
      <c r="BV8" s="46"/>
      <c r="BW8" s="46"/>
      <c r="BX8" s="46"/>
      <c r="BY8" s="46"/>
      <c r="BZ8" s="46"/>
      <c r="CA8" s="46"/>
      <c r="CB8" s="46"/>
      <c r="CC8" s="46"/>
      <c r="CD8" s="46"/>
      <c r="CE8" s="46"/>
      <c r="CF8" s="46"/>
      <c r="CG8" s="46"/>
      <c r="CH8" s="46"/>
      <c r="CI8" s="509"/>
    </row>
    <row r="9" spans="1:87" ht="18" customHeight="1" x14ac:dyDescent="0.25">
      <c r="A9" s="370">
        <v>3</v>
      </c>
      <c r="B9" s="554" t="str">
        <f t="shared" si="0"/>
        <v>Anggun Dwi P.I</v>
      </c>
      <c r="C9" s="242"/>
      <c r="D9" s="512"/>
      <c r="E9" s="512"/>
      <c r="F9" s="512"/>
      <c r="G9" s="512"/>
      <c r="H9" s="512"/>
      <c r="I9" s="512"/>
      <c r="J9" s="556"/>
      <c r="K9" s="491"/>
      <c r="L9" s="480"/>
      <c r="M9" s="480"/>
      <c r="N9" s="480"/>
      <c r="O9" s="480"/>
      <c r="P9" s="480"/>
      <c r="Q9" s="480"/>
      <c r="R9" s="480"/>
      <c r="S9" s="480"/>
      <c r="T9" s="480"/>
      <c r="U9" s="480"/>
      <c r="V9" s="496"/>
      <c r="W9" s="501"/>
      <c r="X9" s="325"/>
      <c r="Y9" s="325"/>
      <c r="Z9" s="325"/>
      <c r="AA9" s="325"/>
      <c r="AB9" s="325"/>
      <c r="AC9" s="325"/>
      <c r="AD9" s="325"/>
      <c r="AE9" s="552"/>
      <c r="AF9" s="491"/>
      <c r="AG9" s="480"/>
      <c r="AH9" s="480"/>
      <c r="AI9" s="480"/>
      <c r="AJ9" s="480"/>
      <c r="AK9" s="480"/>
      <c r="AL9" s="496"/>
      <c r="AM9" s="495"/>
      <c r="AN9" s="480"/>
      <c r="AO9" s="480"/>
      <c r="AP9" s="480"/>
      <c r="AQ9" s="480"/>
      <c r="AR9" s="480"/>
      <c r="AS9" s="480"/>
      <c r="AT9" s="490"/>
      <c r="AU9" s="495"/>
      <c r="AV9" s="480"/>
      <c r="AW9" s="480"/>
      <c r="AX9" s="480"/>
      <c r="AY9" s="480"/>
      <c r="AZ9" s="480"/>
      <c r="BA9" s="490"/>
      <c r="BB9" s="501"/>
      <c r="BC9" s="325"/>
      <c r="BD9" s="325"/>
      <c r="BE9" s="506"/>
      <c r="BF9" s="501"/>
      <c r="BG9" s="325"/>
      <c r="BH9" s="325"/>
      <c r="BI9" s="325"/>
      <c r="BJ9" s="325"/>
      <c r="BK9" s="325"/>
      <c r="BL9" s="325"/>
      <c r="BM9" s="325"/>
      <c r="BN9" s="325"/>
      <c r="BO9" s="325"/>
      <c r="BP9" s="325"/>
      <c r="BQ9" s="325"/>
      <c r="BR9" s="552"/>
      <c r="BS9" s="231"/>
      <c r="BT9" s="46"/>
      <c r="BU9" s="46"/>
      <c r="BV9" s="46"/>
      <c r="BW9" s="46"/>
      <c r="BX9" s="46"/>
      <c r="BY9" s="46"/>
      <c r="BZ9" s="46"/>
      <c r="CA9" s="46"/>
      <c r="CB9" s="46"/>
      <c r="CC9" s="46"/>
      <c r="CD9" s="46"/>
      <c r="CE9" s="46"/>
      <c r="CF9" s="46"/>
      <c r="CG9" s="46"/>
      <c r="CH9" s="46"/>
      <c r="CI9" s="509"/>
    </row>
    <row r="10" spans="1:87" ht="18" customHeight="1" x14ac:dyDescent="0.25">
      <c r="A10" s="370">
        <v>4</v>
      </c>
      <c r="B10" s="554" t="str">
        <f t="shared" si="0"/>
        <v>Antonio Permata A</v>
      </c>
      <c r="C10" s="242"/>
      <c r="D10" s="512"/>
      <c r="E10" s="512"/>
      <c r="F10" s="512"/>
      <c r="G10" s="512"/>
      <c r="H10" s="512"/>
      <c r="I10" s="512"/>
      <c r="J10" s="556"/>
      <c r="K10" s="491"/>
      <c r="L10" s="480"/>
      <c r="M10" s="480"/>
      <c r="N10" s="480"/>
      <c r="O10" s="480"/>
      <c r="P10" s="480"/>
      <c r="Q10" s="480"/>
      <c r="R10" s="480"/>
      <c r="S10" s="480"/>
      <c r="T10" s="480"/>
      <c r="U10" s="480"/>
      <c r="V10" s="496"/>
      <c r="W10" s="501"/>
      <c r="X10" s="325"/>
      <c r="Y10" s="325"/>
      <c r="Z10" s="325"/>
      <c r="AA10" s="325"/>
      <c r="AB10" s="325"/>
      <c r="AC10" s="325"/>
      <c r="AD10" s="325"/>
      <c r="AE10" s="552"/>
      <c r="AF10" s="491"/>
      <c r="AG10" s="480"/>
      <c r="AH10" s="480"/>
      <c r="AI10" s="480"/>
      <c r="AJ10" s="480"/>
      <c r="AK10" s="480"/>
      <c r="AL10" s="496"/>
      <c r="AM10" s="495"/>
      <c r="AN10" s="480"/>
      <c r="AO10" s="480"/>
      <c r="AP10" s="480"/>
      <c r="AQ10" s="480"/>
      <c r="AR10" s="480"/>
      <c r="AS10" s="480"/>
      <c r="AT10" s="490"/>
      <c r="AU10" s="495"/>
      <c r="AV10" s="480"/>
      <c r="AW10" s="480"/>
      <c r="AX10" s="480"/>
      <c r="AY10" s="480"/>
      <c r="AZ10" s="480"/>
      <c r="BA10" s="490"/>
      <c r="BB10" s="501"/>
      <c r="BC10" s="325"/>
      <c r="BD10" s="325"/>
      <c r="BE10" s="506"/>
      <c r="BF10" s="501"/>
      <c r="BG10" s="325"/>
      <c r="BH10" s="325"/>
      <c r="BI10" s="325"/>
      <c r="BJ10" s="325"/>
      <c r="BK10" s="325"/>
      <c r="BL10" s="325"/>
      <c r="BM10" s="325"/>
      <c r="BN10" s="325"/>
      <c r="BO10" s="325"/>
      <c r="BP10" s="325"/>
      <c r="BQ10" s="325"/>
      <c r="BR10" s="552"/>
      <c r="BS10" s="231"/>
      <c r="BT10" s="46"/>
      <c r="BU10" s="46"/>
      <c r="BV10" s="46"/>
      <c r="BW10" s="46"/>
      <c r="BX10" s="46"/>
      <c r="BY10" s="46"/>
      <c r="BZ10" s="46"/>
      <c r="CA10" s="46"/>
      <c r="CB10" s="46"/>
      <c r="CC10" s="46"/>
      <c r="CD10" s="46"/>
      <c r="CE10" s="46"/>
      <c r="CF10" s="46"/>
      <c r="CG10" s="46"/>
      <c r="CH10" s="46"/>
      <c r="CI10" s="509"/>
    </row>
    <row r="11" spans="1:87" ht="18" customHeight="1" x14ac:dyDescent="0.25">
      <c r="A11" s="370">
        <v>5</v>
      </c>
      <c r="B11" s="554" t="str">
        <f t="shared" si="0"/>
        <v>Arya Pratama G</v>
      </c>
      <c r="C11" s="242"/>
      <c r="D11" s="512"/>
      <c r="E11" s="512"/>
      <c r="F11" s="512"/>
      <c r="G11" s="512"/>
      <c r="H11" s="512"/>
      <c r="I11" s="512"/>
      <c r="J11" s="556"/>
      <c r="K11" s="491"/>
      <c r="L11" s="480"/>
      <c r="M11" s="480"/>
      <c r="N11" s="480"/>
      <c r="O11" s="480"/>
      <c r="P11" s="480"/>
      <c r="Q11" s="480"/>
      <c r="R11" s="480"/>
      <c r="S11" s="480"/>
      <c r="T11" s="480"/>
      <c r="U11" s="480"/>
      <c r="V11" s="496"/>
      <c r="W11" s="501"/>
      <c r="X11" s="325"/>
      <c r="Y11" s="325"/>
      <c r="Z11" s="325"/>
      <c r="AA11" s="325"/>
      <c r="AB11" s="325"/>
      <c r="AC11" s="325"/>
      <c r="AD11" s="325"/>
      <c r="AE11" s="552"/>
      <c r="AF11" s="491"/>
      <c r="AG11" s="480"/>
      <c r="AH11" s="480"/>
      <c r="AI11" s="480"/>
      <c r="AJ11" s="480"/>
      <c r="AK11" s="480"/>
      <c r="AL11" s="496"/>
      <c r="AM11" s="495"/>
      <c r="AN11" s="480"/>
      <c r="AO11" s="480"/>
      <c r="AP11" s="480"/>
      <c r="AQ11" s="480"/>
      <c r="AR11" s="480"/>
      <c r="AS11" s="480"/>
      <c r="AT11" s="490"/>
      <c r="AU11" s="495"/>
      <c r="AV11" s="480"/>
      <c r="AW11" s="480"/>
      <c r="AX11" s="480"/>
      <c r="AY11" s="480"/>
      <c r="AZ11" s="480"/>
      <c r="BA11" s="490"/>
      <c r="BB11" s="501"/>
      <c r="BC11" s="325"/>
      <c r="BD11" s="325"/>
      <c r="BE11" s="506"/>
      <c r="BF11" s="501"/>
      <c r="BG11" s="325"/>
      <c r="BH11" s="325"/>
      <c r="BI11" s="325"/>
      <c r="BJ11" s="325"/>
      <c r="BK11" s="325"/>
      <c r="BL11" s="325"/>
      <c r="BM11" s="325"/>
      <c r="BN11" s="325"/>
      <c r="BO11" s="325"/>
      <c r="BP11" s="325"/>
      <c r="BQ11" s="325"/>
      <c r="BR11" s="552"/>
      <c r="BS11" s="231"/>
      <c r="BT11" s="46"/>
      <c r="BU11" s="46"/>
      <c r="BV11" s="46"/>
      <c r="BW11" s="46"/>
      <c r="BX11" s="46"/>
      <c r="BY11" s="46"/>
      <c r="BZ11" s="46"/>
      <c r="CA11" s="46"/>
      <c r="CB11" s="46"/>
      <c r="CC11" s="46"/>
      <c r="CD11" s="46"/>
      <c r="CE11" s="46"/>
      <c r="CF11" s="46"/>
      <c r="CG11" s="46"/>
      <c r="CH11" s="46"/>
      <c r="CI11" s="509"/>
    </row>
    <row r="12" spans="1:87" ht="18" customHeight="1" x14ac:dyDescent="0.25">
      <c r="A12" s="370">
        <v>6</v>
      </c>
      <c r="B12" s="554" t="str">
        <f t="shared" si="0"/>
        <v>Asyam Hanif Ihsan H</v>
      </c>
      <c r="C12" s="242"/>
      <c r="D12" s="512"/>
      <c r="E12" s="512"/>
      <c r="F12" s="512"/>
      <c r="G12" s="512"/>
      <c r="H12" s="512"/>
      <c r="I12" s="512"/>
      <c r="J12" s="556"/>
      <c r="K12" s="491"/>
      <c r="L12" s="480"/>
      <c r="M12" s="480"/>
      <c r="N12" s="480"/>
      <c r="O12" s="480"/>
      <c r="P12" s="480"/>
      <c r="Q12" s="480"/>
      <c r="R12" s="480"/>
      <c r="S12" s="480"/>
      <c r="T12" s="480"/>
      <c r="U12" s="480"/>
      <c r="V12" s="496"/>
      <c r="W12" s="501"/>
      <c r="X12" s="325"/>
      <c r="Y12" s="325"/>
      <c r="Z12" s="325"/>
      <c r="AA12" s="325"/>
      <c r="AB12" s="325"/>
      <c r="AC12" s="325"/>
      <c r="AD12" s="325"/>
      <c r="AE12" s="552"/>
      <c r="AF12" s="491"/>
      <c r="AG12" s="480"/>
      <c r="AH12" s="480"/>
      <c r="AI12" s="480"/>
      <c r="AJ12" s="480"/>
      <c r="AK12" s="480"/>
      <c r="AL12" s="496"/>
      <c r="AM12" s="495"/>
      <c r="AN12" s="480"/>
      <c r="AO12" s="480"/>
      <c r="AP12" s="480"/>
      <c r="AQ12" s="480"/>
      <c r="AR12" s="480"/>
      <c r="AS12" s="480"/>
      <c r="AT12" s="490"/>
      <c r="AU12" s="495"/>
      <c r="AV12" s="480"/>
      <c r="AW12" s="480"/>
      <c r="AX12" s="480"/>
      <c r="AY12" s="480"/>
      <c r="AZ12" s="480"/>
      <c r="BA12" s="490"/>
      <c r="BB12" s="501"/>
      <c r="BC12" s="325"/>
      <c r="BD12" s="325"/>
      <c r="BE12" s="506"/>
      <c r="BF12" s="501"/>
      <c r="BG12" s="325"/>
      <c r="BH12" s="325"/>
      <c r="BI12" s="325"/>
      <c r="BJ12" s="325"/>
      <c r="BK12" s="325"/>
      <c r="BL12" s="325"/>
      <c r="BM12" s="325"/>
      <c r="BN12" s="325"/>
      <c r="BO12" s="325"/>
      <c r="BP12" s="325"/>
      <c r="BQ12" s="325"/>
      <c r="BR12" s="552"/>
      <c r="BS12" s="231"/>
      <c r="BT12" s="46"/>
      <c r="BU12" s="46"/>
      <c r="BV12" s="46"/>
      <c r="BW12" s="46"/>
      <c r="BX12" s="46"/>
      <c r="BY12" s="46"/>
      <c r="BZ12" s="46"/>
      <c r="CA12" s="46"/>
      <c r="CB12" s="46"/>
      <c r="CC12" s="46"/>
      <c r="CD12" s="46"/>
      <c r="CE12" s="46"/>
      <c r="CF12" s="46"/>
      <c r="CG12" s="46"/>
      <c r="CH12" s="46"/>
      <c r="CI12" s="509"/>
    </row>
    <row r="13" spans="1:87" ht="18" customHeight="1" x14ac:dyDescent="0.25">
      <c r="A13" s="370">
        <v>7</v>
      </c>
      <c r="B13" s="554" t="str">
        <f t="shared" si="0"/>
        <v>Athaya Salsabilla Z</v>
      </c>
      <c r="C13" s="242"/>
      <c r="D13" s="512"/>
      <c r="E13" s="512"/>
      <c r="F13" s="512"/>
      <c r="G13" s="512"/>
      <c r="H13" s="512"/>
      <c r="I13" s="512"/>
      <c r="J13" s="556"/>
      <c r="K13" s="491"/>
      <c r="L13" s="480"/>
      <c r="M13" s="480"/>
      <c r="N13" s="480"/>
      <c r="O13" s="480"/>
      <c r="P13" s="480"/>
      <c r="Q13" s="480"/>
      <c r="R13" s="480"/>
      <c r="S13" s="480"/>
      <c r="T13" s="480"/>
      <c r="U13" s="480"/>
      <c r="V13" s="496"/>
      <c r="W13" s="501"/>
      <c r="X13" s="325"/>
      <c r="Y13" s="325"/>
      <c r="Z13" s="325"/>
      <c r="AA13" s="325"/>
      <c r="AB13" s="325"/>
      <c r="AC13" s="325"/>
      <c r="AD13" s="325"/>
      <c r="AE13" s="552"/>
      <c r="AF13" s="491"/>
      <c r="AG13" s="480"/>
      <c r="AH13" s="480"/>
      <c r="AI13" s="480"/>
      <c r="AJ13" s="480"/>
      <c r="AK13" s="480"/>
      <c r="AL13" s="496"/>
      <c r="AM13" s="495"/>
      <c r="AN13" s="480"/>
      <c r="AO13" s="480"/>
      <c r="AP13" s="480"/>
      <c r="AQ13" s="480"/>
      <c r="AR13" s="480"/>
      <c r="AS13" s="480"/>
      <c r="AT13" s="490"/>
      <c r="AU13" s="495"/>
      <c r="AV13" s="480"/>
      <c r="AW13" s="480"/>
      <c r="AX13" s="480"/>
      <c r="AY13" s="480"/>
      <c r="AZ13" s="480"/>
      <c r="BA13" s="490"/>
      <c r="BB13" s="501"/>
      <c r="BC13" s="325"/>
      <c r="BD13" s="325"/>
      <c r="BE13" s="506"/>
      <c r="BF13" s="501"/>
      <c r="BG13" s="325"/>
      <c r="BH13" s="325"/>
      <c r="BI13" s="325"/>
      <c r="BJ13" s="325"/>
      <c r="BK13" s="325"/>
      <c r="BL13" s="325"/>
      <c r="BM13" s="325"/>
      <c r="BN13" s="325"/>
      <c r="BO13" s="325"/>
      <c r="BP13" s="325"/>
      <c r="BQ13" s="325"/>
      <c r="BR13" s="552"/>
      <c r="BS13" s="231"/>
      <c r="BT13" s="46"/>
      <c r="BU13" s="46"/>
      <c r="BV13" s="46"/>
      <c r="BW13" s="46"/>
      <c r="BX13" s="46"/>
      <c r="BY13" s="46"/>
      <c r="BZ13" s="46"/>
      <c r="CA13" s="46"/>
      <c r="CB13" s="46"/>
      <c r="CC13" s="46"/>
      <c r="CD13" s="46"/>
      <c r="CE13" s="46"/>
      <c r="CF13" s="46"/>
      <c r="CG13" s="46"/>
      <c r="CH13" s="46"/>
      <c r="CI13" s="509"/>
    </row>
    <row r="14" spans="1:87" ht="18" customHeight="1" x14ac:dyDescent="0.25">
      <c r="A14" s="370">
        <v>8</v>
      </c>
      <c r="B14" s="554" t="str">
        <f t="shared" si="0"/>
        <v>Aulia Dea Rosalinda</v>
      </c>
      <c r="C14" s="242"/>
      <c r="D14" s="512"/>
      <c r="E14" s="512"/>
      <c r="F14" s="512"/>
      <c r="G14" s="512"/>
      <c r="H14" s="512"/>
      <c r="I14" s="512"/>
      <c r="J14" s="556"/>
      <c r="K14" s="491"/>
      <c r="L14" s="480"/>
      <c r="M14" s="480"/>
      <c r="N14" s="480"/>
      <c r="O14" s="480"/>
      <c r="P14" s="480"/>
      <c r="Q14" s="480"/>
      <c r="R14" s="480"/>
      <c r="S14" s="480"/>
      <c r="T14" s="480"/>
      <c r="U14" s="480"/>
      <c r="V14" s="496"/>
      <c r="W14" s="501"/>
      <c r="X14" s="325"/>
      <c r="Y14" s="325"/>
      <c r="Z14" s="325"/>
      <c r="AA14" s="325"/>
      <c r="AB14" s="325"/>
      <c r="AC14" s="325"/>
      <c r="AD14" s="325"/>
      <c r="AE14" s="552"/>
      <c r="AF14" s="491"/>
      <c r="AG14" s="480"/>
      <c r="AH14" s="480"/>
      <c r="AI14" s="480"/>
      <c r="AJ14" s="480"/>
      <c r="AK14" s="480"/>
      <c r="AL14" s="496"/>
      <c r="AM14" s="495"/>
      <c r="AN14" s="480"/>
      <c r="AO14" s="480"/>
      <c r="AP14" s="480"/>
      <c r="AQ14" s="480"/>
      <c r="AR14" s="480"/>
      <c r="AS14" s="480"/>
      <c r="AT14" s="490"/>
      <c r="AU14" s="495"/>
      <c r="AV14" s="480"/>
      <c r="AW14" s="480"/>
      <c r="AX14" s="480"/>
      <c r="AY14" s="480"/>
      <c r="AZ14" s="480"/>
      <c r="BA14" s="490"/>
      <c r="BB14" s="501"/>
      <c r="BC14" s="325"/>
      <c r="BD14" s="325"/>
      <c r="BE14" s="506"/>
      <c r="BF14" s="501"/>
      <c r="BG14" s="325"/>
      <c r="BH14" s="325"/>
      <c r="BI14" s="325"/>
      <c r="BJ14" s="325"/>
      <c r="BK14" s="325"/>
      <c r="BL14" s="325"/>
      <c r="BM14" s="325"/>
      <c r="BN14" s="325"/>
      <c r="BO14" s="325"/>
      <c r="BP14" s="325"/>
      <c r="BQ14" s="325"/>
      <c r="BR14" s="552"/>
      <c r="BS14" s="231"/>
      <c r="BT14" s="46"/>
      <c r="BU14" s="46"/>
      <c r="BV14" s="46"/>
      <c r="BW14" s="46"/>
      <c r="BX14" s="46"/>
      <c r="BY14" s="46"/>
      <c r="BZ14" s="46"/>
      <c r="CA14" s="46"/>
      <c r="CB14" s="46"/>
      <c r="CC14" s="46"/>
      <c r="CD14" s="46"/>
      <c r="CE14" s="46"/>
      <c r="CF14" s="46"/>
      <c r="CG14" s="46"/>
      <c r="CH14" s="46"/>
      <c r="CI14" s="509"/>
    </row>
    <row r="15" spans="1:87" ht="18" customHeight="1" x14ac:dyDescent="0.25">
      <c r="A15" s="370">
        <v>9</v>
      </c>
      <c r="B15" s="554" t="str">
        <f t="shared" si="0"/>
        <v>Claudia Gabriella L</v>
      </c>
      <c r="C15" s="242"/>
      <c r="D15" s="512"/>
      <c r="E15" s="512"/>
      <c r="F15" s="512"/>
      <c r="G15" s="512"/>
      <c r="H15" s="512"/>
      <c r="I15" s="512"/>
      <c r="J15" s="556"/>
      <c r="K15" s="491"/>
      <c r="L15" s="480"/>
      <c r="M15" s="480"/>
      <c r="N15" s="480"/>
      <c r="O15" s="480"/>
      <c r="P15" s="480"/>
      <c r="Q15" s="480"/>
      <c r="R15" s="480"/>
      <c r="S15" s="480"/>
      <c r="T15" s="480"/>
      <c r="U15" s="480"/>
      <c r="V15" s="496"/>
      <c r="W15" s="501"/>
      <c r="X15" s="325"/>
      <c r="Y15" s="325"/>
      <c r="Z15" s="325"/>
      <c r="AA15" s="325"/>
      <c r="AB15" s="325"/>
      <c r="AC15" s="325"/>
      <c r="AD15" s="325"/>
      <c r="AE15" s="552"/>
      <c r="AF15" s="491"/>
      <c r="AG15" s="480"/>
      <c r="AH15" s="480"/>
      <c r="AI15" s="480"/>
      <c r="AJ15" s="480"/>
      <c r="AK15" s="480"/>
      <c r="AL15" s="496"/>
      <c r="AM15" s="495"/>
      <c r="AN15" s="480"/>
      <c r="AO15" s="480"/>
      <c r="AP15" s="480"/>
      <c r="AQ15" s="480"/>
      <c r="AR15" s="480"/>
      <c r="AS15" s="480"/>
      <c r="AT15" s="490"/>
      <c r="AU15" s="495"/>
      <c r="AV15" s="480"/>
      <c r="AW15" s="480"/>
      <c r="AX15" s="480"/>
      <c r="AY15" s="480"/>
      <c r="AZ15" s="480"/>
      <c r="BA15" s="490"/>
      <c r="BB15" s="501"/>
      <c r="BC15" s="325"/>
      <c r="BD15" s="325"/>
      <c r="BE15" s="506"/>
      <c r="BF15" s="501"/>
      <c r="BG15" s="325"/>
      <c r="BH15" s="325"/>
      <c r="BI15" s="325"/>
      <c r="BJ15" s="325"/>
      <c r="BK15" s="325"/>
      <c r="BL15" s="325"/>
      <c r="BM15" s="325"/>
      <c r="BN15" s="325"/>
      <c r="BO15" s="325"/>
      <c r="BP15" s="325"/>
      <c r="BQ15" s="325"/>
      <c r="BR15" s="552"/>
      <c r="BS15" s="231"/>
      <c r="BT15" s="46"/>
      <c r="BU15" s="46"/>
      <c r="BV15" s="46"/>
      <c r="BW15" s="46"/>
      <c r="BX15" s="46"/>
      <c r="BY15" s="46"/>
      <c r="BZ15" s="46"/>
      <c r="CA15" s="46"/>
      <c r="CB15" s="46"/>
      <c r="CC15" s="46"/>
      <c r="CD15" s="46"/>
      <c r="CE15" s="46"/>
      <c r="CF15" s="46"/>
      <c r="CG15" s="46"/>
      <c r="CH15" s="46"/>
      <c r="CI15" s="509"/>
    </row>
    <row r="16" spans="1:87" ht="18" customHeight="1" x14ac:dyDescent="0.25">
      <c r="A16" s="370">
        <v>10</v>
      </c>
      <c r="B16" s="554" t="str">
        <f t="shared" si="0"/>
        <v xml:space="preserve">Deco Badarus Zaman </v>
      </c>
      <c r="C16" s="242"/>
      <c r="D16" s="512"/>
      <c r="E16" s="512"/>
      <c r="F16" s="512"/>
      <c r="G16" s="512"/>
      <c r="H16" s="512"/>
      <c r="I16" s="512"/>
      <c r="J16" s="556"/>
      <c r="K16" s="491"/>
      <c r="L16" s="480"/>
      <c r="M16" s="480"/>
      <c r="N16" s="480"/>
      <c r="O16" s="480"/>
      <c r="P16" s="480"/>
      <c r="Q16" s="480"/>
      <c r="R16" s="480"/>
      <c r="S16" s="480"/>
      <c r="T16" s="480"/>
      <c r="U16" s="480"/>
      <c r="V16" s="496"/>
      <c r="W16" s="501"/>
      <c r="X16" s="325"/>
      <c r="Y16" s="325"/>
      <c r="Z16" s="325"/>
      <c r="AA16" s="325"/>
      <c r="AB16" s="325"/>
      <c r="AC16" s="325"/>
      <c r="AD16" s="325"/>
      <c r="AE16" s="552"/>
      <c r="AF16" s="491"/>
      <c r="AG16" s="480"/>
      <c r="AH16" s="480"/>
      <c r="AI16" s="480"/>
      <c r="AJ16" s="480"/>
      <c r="AK16" s="480"/>
      <c r="AL16" s="496"/>
      <c r="AM16" s="495"/>
      <c r="AN16" s="480"/>
      <c r="AO16" s="480"/>
      <c r="AP16" s="480"/>
      <c r="AQ16" s="480"/>
      <c r="AR16" s="480"/>
      <c r="AS16" s="480"/>
      <c r="AT16" s="490"/>
      <c r="AU16" s="495"/>
      <c r="AV16" s="480"/>
      <c r="AW16" s="480"/>
      <c r="AX16" s="480"/>
      <c r="AY16" s="480"/>
      <c r="AZ16" s="480"/>
      <c r="BA16" s="490"/>
      <c r="BB16" s="501"/>
      <c r="BC16" s="325"/>
      <c r="BD16" s="325"/>
      <c r="BE16" s="506"/>
      <c r="BF16" s="501"/>
      <c r="BG16" s="325"/>
      <c r="BH16" s="325"/>
      <c r="BI16" s="325"/>
      <c r="BJ16" s="325"/>
      <c r="BK16" s="325"/>
      <c r="BL16" s="325"/>
      <c r="BM16" s="325"/>
      <c r="BN16" s="325"/>
      <c r="BO16" s="325"/>
      <c r="BP16" s="325"/>
      <c r="BQ16" s="325"/>
      <c r="BR16" s="552"/>
      <c r="BS16" s="231"/>
      <c r="BT16" s="46"/>
      <c r="BU16" s="46"/>
      <c r="BV16" s="46"/>
      <c r="BW16" s="46"/>
      <c r="BX16" s="46"/>
      <c r="BY16" s="46"/>
      <c r="BZ16" s="46"/>
      <c r="CA16" s="46"/>
      <c r="CB16" s="46"/>
      <c r="CC16" s="46"/>
      <c r="CD16" s="46"/>
      <c r="CE16" s="46"/>
      <c r="CF16" s="46"/>
      <c r="CG16" s="46"/>
      <c r="CH16" s="46"/>
      <c r="CI16" s="509"/>
    </row>
    <row r="17" spans="1:87" ht="18" customHeight="1" x14ac:dyDescent="0.25">
      <c r="A17" s="370">
        <v>11</v>
      </c>
      <c r="B17" s="554" t="str">
        <f t="shared" si="0"/>
        <v>Fania Mutiara Felichia</v>
      </c>
      <c r="C17" s="242"/>
      <c r="D17" s="512"/>
      <c r="E17" s="512"/>
      <c r="F17" s="512"/>
      <c r="G17" s="512"/>
      <c r="H17" s="512"/>
      <c r="I17" s="512"/>
      <c r="J17" s="556"/>
      <c r="K17" s="491"/>
      <c r="L17" s="480"/>
      <c r="M17" s="480"/>
      <c r="N17" s="480"/>
      <c r="O17" s="480"/>
      <c r="P17" s="480"/>
      <c r="Q17" s="480"/>
      <c r="R17" s="480"/>
      <c r="S17" s="480"/>
      <c r="T17" s="480"/>
      <c r="U17" s="480"/>
      <c r="V17" s="496"/>
      <c r="W17" s="501"/>
      <c r="X17" s="325"/>
      <c r="Y17" s="325"/>
      <c r="Z17" s="325"/>
      <c r="AA17" s="325"/>
      <c r="AB17" s="325"/>
      <c r="AC17" s="325"/>
      <c r="AD17" s="325"/>
      <c r="AE17" s="552"/>
      <c r="AF17" s="491"/>
      <c r="AG17" s="480"/>
      <c r="AH17" s="480"/>
      <c r="AI17" s="480"/>
      <c r="AJ17" s="480"/>
      <c r="AK17" s="480"/>
      <c r="AL17" s="496"/>
      <c r="AM17" s="495"/>
      <c r="AN17" s="480"/>
      <c r="AO17" s="480"/>
      <c r="AP17" s="480"/>
      <c r="AQ17" s="480"/>
      <c r="AR17" s="480"/>
      <c r="AS17" s="480"/>
      <c r="AT17" s="490"/>
      <c r="AU17" s="495"/>
      <c r="AV17" s="480"/>
      <c r="AW17" s="480"/>
      <c r="AX17" s="480"/>
      <c r="AY17" s="480"/>
      <c r="AZ17" s="480"/>
      <c r="BA17" s="490"/>
      <c r="BB17" s="501"/>
      <c r="BC17" s="325"/>
      <c r="BD17" s="325"/>
      <c r="BE17" s="506"/>
      <c r="BF17" s="501"/>
      <c r="BG17" s="325"/>
      <c r="BH17" s="325"/>
      <c r="BI17" s="325"/>
      <c r="BJ17" s="325"/>
      <c r="BK17" s="325"/>
      <c r="BL17" s="325"/>
      <c r="BM17" s="325"/>
      <c r="BN17" s="325"/>
      <c r="BO17" s="325"/>
      <c r="BP17" s="325"/>
      <c r="BQ17" s="325"/>
      <c r="BR17" s="552"/>
      <c r="BS17" s="231"/>
      <c r="BT17" s="46"/>
      <c r="BU17" s="46"/>
      <c r="BV17" s="46"/>
      <c r="BW17" s="46"/>
      <c r="BX17" s="46"/>
      <c r="BY17" s="46"/>
      <c r="BZ17" s="46"/>
      <c r="CA17" s="46"/>
      <c r="CB17" s="46"/>
      <c r="CC17" s="46"/>
      <c r="CD17" s="46"/>
      <c r="CE17" s="46"/>
      <c r="CF17" s="46"/>
      <c r="CG17" s="46"/>
      <c r="CH17" s="46"/>
      <c r="CI17" s="509"/>
    </row>
    <row r="18" spans="1:87" ht="18" customHeight="1" x14ac:dyDescent="0.25">
      <c r="A18" s="370">
        <v>12</v>
      </c>
      <c r="B18" s="554" t="str">
        <f t="shared" si="0"/>
        <v>Intan Dyah Nowari</v>
      </c>
      <c r="C18" s="242"/>
      <c r="D18" s="512"/>
      <c r="E18" s="512"/>
      <c r="F18" s="512"/>
      <c r="G18" s="512"/>
      <c r="H18" s="512"/>
      <c r="I18" s="512"/>
      <c r="J18" s="556"/>
      <c r="K18" s="491"/>
      <c r="L18" s="480"/>
      <c r="M18" s="480"/>
      <c r="N18" s="480"/>
      <c r="O18" s="480"/>
      <c r="P18" s="480"/>
      <c r="Q18" s="480"/>
      <c r="R18" s="480"/>
      <c r="S18" s="480"/>
      <c r="T18" s="480"/>
      <c r="U18" s="480"/>
      <c r="V18" s="496"/>
      <c r="W18" s="501"/>
      <c r="X18" s="325"/>
      <c r="Y18" s="325"/>
      <c r="Z18" s="325"/>
      <c r="AA18" s="325"/>
      <c r="AB18" s="325"/>
      <c r="AC18" s="325"/>
      <c r="AD18" s="325"/>
      <c r="AE18" s="552"/>
      <c r="AF18" s="491"/>
      <c r="AG18" s="480"/>
      <c r="AH18" s="480"/>
      <c r="AI18" s="480"/>
      <c r="AJ18" s="480"/>
      <c r="AK18" s="480"/>
      <c r="AL18" s="496"/>
      <c r="AM18" s="495"/>
      <c r="AN18" s="480"/>
      <c r="AO18" s="480"/>
      <c r="AP18" s="480"/>
      <c r="AQ18" s="480"/>
      <c r="AR18" s="480"/>
      <c r="AS18" s="480"/>
      <c r="AT18" s="490"/>
      <c r="AU18" s="495"/>
      <c r="AV18" s="480"/>
      <c r="AW18" s="480"/>
      <c r="AX18" s="480"/>
      <c r="AY18" s="480"/>
      <c r="AZ18" s="480"/>
      <c r="BA18" s="490"/>
      <c r="BB18" s="501"/>
      <c r="BC18" s="325"/>
      <c r="BD18" s="325"/>
      <c r="BE18" s="506"/>
      <c r="BF18" s="501"/>
      <c r="BG18" s="325"/>
      <c r="BH18" s="325"/>
      <c r="BI18" s="325"/>
      <c r="BJ18" s="325"/>
      <c r="BK18" s="325"/>
      <c r="BL18" s="325"/>
      <c r="BM18" s="325"/>
      <c r="BN18" s="325"/>
      <c r="BO18" s="325"/>
      <c r="BP18" s="325"/>
      <c r="BQ18" s="325"/>
      <c r="BR18" s="552"/>
      <c r="BS18" s="231"/>
      <c r="BT18" s="46"/>
      <c r="BU18" s="46"/>
      <c r="BV18" s="46"/>
      <c r="BW18" s="46"/>
      <c r="BX18" s="46"/>
      <c r="BY18" s="46"/>
      <c r="BZ18" s="46"/>
      <c r="CA18" s="46"/>
      <c r="CB18" s="46"/>
      <c r="CC18" s="46"/>
      <c r="CD18" s="46"/>
      <c r="CE18" s="46"/>
      <c r="CF18" s="46"/>
      <c r="CG18" s="46"/>
      <c r="CH18" s="46"/>
      <c r="CI18" s="509"/>
    </row>
    <row r="19" spans="1:87" ht="18" customHeight="1" x14ac:dyDescent="0.25">
      <c r="A19" s="370">
        <v>13</v>
      </c>
      <c r="B19" s="554" t="str">
        <f t="shared" si="0"/>
        <v>Misyanita Nurfitri S</v>
      </c>
      <c r="C19" s="242"/>
      <c r="D19" s="512"/>
      <c r="E19" s="512"/>
      <c r="F19" s="512"/>
      <c r="G19" s="512"/>
      <c r="H19" s="512"/>
      <c r="I19" s="512"/>
      <c r="J19" s="556"/>
      <c r="K19" s="491"/>
      <c r="L19" s="480"/>
      <c r="M19" s="480"/>
      <c r="N19" s="480"/>
      <c r="O19" s="480"/>
      <c r="P19" s="480"/>
      <c r="Q19" s="480"/>
      <c r="R19" s="480"/>
      <c r="S19" s="480"/>
      <c r="T19" s="480"/>
      <c r="U19" s="480"/>
      <c r="V19" s="496"/>
      <c r="W19" s="501"/>
      <c r="X19" s="325"/>
      <c r="Y19" s="325"/>
      <c r="Z19" s="325"/>
      <c r="AA19" s="325"/>
      <c r="AB19" s="325"/>
      <c r="AC19" s="325"/>
      <c r="AD19" s="325"/>
      <c r="AE19" s="552"/>
      <c r="AF19" s="491"/>
      <c r="AG19" s="480"/>
      <c r="AH19" s="480"/>
      <c r="AI19" s="480"/>
      <c r="AJ19" s="480"/>
      <c r="AK19" s="480"/>
      <c r="AL19" s="496"/>
      <c r="AM19" s="495"/>
      <c r="AN19" s="480"/>
      <c r="AO19" s="480"/>
      <c r="AP19" s="480"/>
      <c r="AQ19" s="480"/>
      <c r="AR19" s="480"/>
      <c r="AS19" s="480"/>
      <c r="AT19" s="490"/>
      <c r="AU19" s="495"/>
      <c r="AV19" s="480"/>
      <c r="AW19" s="480"/>
      <c r="AX19" s="480"/>
      <c r="AY19" s="480"/>
      <c r="AZ19" s="480"/>
      <c r="BA19" s="490"/>
      <c r="BB19" s="501"/>
      <c r="BC19" s="325"/>
      <c r="BD19" s="325"/>
      <c r="BE19" s="506"/>
      <c r="BF19" s="501"/>
      <c r="BG19" s="325"/>
      <c r="BH19" s="325"/>
      <c r="BI19" s="325"/>
      <c r="BJ19" s="325"/>
      <c r="BK19" s="325"/>
      <c r="BL19" s="325"/>
      <c r="BM19" s="325"/>
      <c r="BN19" s="325"/>
      <c r="BO19" s="325"/>
      <c r="BP19" s="325"/>
      <c r="BQ19" s="325"/>
      <c r="BR19" s="552"/>
      <c r="BS19" s="231"/>
      <c r="BT19" s="46"/>
      <c r="BU19" s="46"/>
      <c r="BV19" s="46"/>
      <c r="BW19" s="46"/>
      <c r="BX19" s="46"/>
      <c r="BY19" s="46"/>
      <c r="BZ19" s="46"/>
      <c r="CA19" s="46"/>
      <c r="CB19" s="46"/>
      <c r="CC19" s="46"/>
      <c r="CD19" s="46"/>
      <c r="CE19" s="46"/>
      <c r="CF19" s="46"/>
      <c r="CG19" s="46"/>
      <c r="CH19" s="46"/>
      <c r="CI19" s="509"/>
    </row>
    <row r="20" spans="1:87" ht="18" customHeight="1" x14ac:dyDescent="0.25">
      <c r="A20" s="370">
        <v>14</v>
      </c>
      <c r="B20" s="554" t="str">
        <f t="shared" si="0"/>
        <v>Moch Zidane Hita L. U</v>
      </c>
      <c r="C20" s="242"/>
      <c r="D20" s="512"/>
      <c r="E20" s="512"/>
      <c r="F20" s="512"/>
      <c r="G20" s="512"/>
      <c r="H20" s="512"/>
      <c r="I20" s="512"/>
      <c r="J20" s="556"/>
      <c r="K20" s="491"/>
      <c r="L20" s="480"/>
      <c r="M20" s="480"/>
      <c r="N20" s="480"/>
      <c r="O20" s="480"/>
      <c r="P20" s="480"/>
      <c r="Q20" s="480"/>
      <c r="R20" s="480"/>
      <c r="S20" s="480"/>
      <c r="T20" s="480"/>
      <c r="U20" s="480"/>
      <c r="V20" s="496"/>
      <c r="W20" s="501"/>
      <c r="X20" s="325"/>
      <c r="Y20" s="325"/>
      <c r="Z20" s="325"/>
      <c r="AA20" s="325"/>
      <c r="AB20" s="325"/>
      <c r="AC20" s="325"/>
      <c r="AD20" s="325"/>
      <c r="AE20" s="552"/>
      <c r="AF20" s="491"/>
      <c r="AG20" s="480"/>
      <c r="AH20" s="480"/>
      <c r="AI20" s="480"/>
      <c r="AJ20" s="480"/>
      <c r="AK20" s="480"/>
      <c r="AL20" s="496"/>
      <c r="AM20" s="495"/>
      <c r="AN20" s="480"/>
      <c r="AO20" s="480"/>
      <c r="AP20" s="480"/>
      <c r="AQ20" s="480"/>
      <c r="AR20" s="480"/>
      <c r="AS20" s="480"/>
      <c r="AT20" s="490"/>
      <c r="AU20" s="495"/>
      <c r="AV20" s="480"/>
      <c r="AW20" s="480"/>
      <c r="AX20" s="480"/>
      <c r="AY20" s="480"/>
      <c r="AZ20" s="480"/>
      <c r="BA20" s="490"/>
      <c r="BB20" s="501"/>
      <c r="BC20" s="325"/>
      <c r="BD20" s="325"/>
      <c r="BE20" s="506"/>
      <c r="BF20" s="501"/>
      <c r="BG20" s="325"/>
      <c r="BH20" s="325"/>
      <c r="BI20" s="325"/>
      <c r="BJ20" s="325"/>
      <c r="BK20" s="325"/>
      <c r="BL20" s="325"/>
      <c r="BM20" s="325"/>
      <c r="BN20" s="325"/>
      <c r="BO20" s="325"/>
      <c r="BP20" s="325"/>
      <c r="BQ20" s="325"/>
      <c r="BR20" s="552"/>
      <c r="BS20" s="231"/>
      <c r="BT20" s="46"/>
      <c r="BU20" s="46"/>
      <c r="BV20" s="46"/>
      <c r="BW20" s="46"/>
      <c r="BX20" s="46"/>
      <c r="BY20" s="46"/>
      <c r="BZ20" s="46"/>
      <c r="CA20" s="46"/>
      <c r="CB20" s="46"/>
      <c r="CC20" s="46"/>
      <c r="CD20" s="46"/>
      <c r="CE20" s="46"/>
      <c r="CF20" s="46"/>
      <c r="CG20" s="46"/>
      <c r="CH20" s="46"/>
      <c r="CI20" s="509"/>
    </row>
    <row r="21" spans="1:87" ht="18" customHeight="1" x14ac:dyDescent="0.25">
      <c r="A21" s="370">
        <v>15</v>
      </c>
      <c r="B21" s="554" t="str">
        <f t="shared" si="0"/>
        <v>Muhammad Ibra Maulana</v>
      </c>
      <c r="C21" s="242"/>
      <c r="D21" s="512"/>
      <c r="E21" s="512"/>
      <c r="F21" s="512"/>
      <c r="G21" s="512"/>
      <c r="H21" s="512"/>
      <c r="I21" s="512"/>
      <c r="J21" s="556"/>
      <c r="K21" s="491"/>
      <c r="L21" s="480"/>
      <c r="M21" s="480"/>
      <c r="N21" s="480"/>
      <c r="O21" s="480"/>
      <c r="P21" s="480"/>
      <c r="Q21" s="480"/>
      <c r="R21" s="480"/>
      <c r="S21" s="480"/>
      <c r="T21" s="480"/>
      <c r="U21" s="480"/>
      <c r="V21" s="496"/>
      <c r="W21" s="501"/>
      <c r="X21" s="325"/>
      <c r="Y21" s="325"/>
      <c r="Z21" s="325"/>
      <c r="AA21" s="325"/>
      <c r="AB21" s="325"/>
      <c r="AC21" s="325"/>
      <c r="AD21" s="325"/>
      <c r="AE21" s="552"/>
      <c r="AF21" s="491"/>
      <c r="AG21" s="480"/>
      <c r="AH21" s="480"/>
      <c r="AI21" s="480"/>
      <c r="AJ21" s="480"/>
      <c r="AK21" s="480"/>
      <c r="AL21" s="496"/>
      <c r="AM21" s="495"/>
      <c r="AN21" s="480"/>
      <c r="AO21" s="480"/>
      <c r="AP21" s="480"/>
      <c r="AQ21" s="480"/>
      <c r="AR21" s="480"/>
      <c r="AS21" s="480"/>
      <c r="AT21" s="490"/>
      <c r="AU21" s="495"/>
      <c r="AV21" s="480"/>
      <c r="AW21" s="480"/>
      <c r="AX21" s="480"/>
      <c r="AY21" s="480"/>
      <c r="AZ21" s="480"/>
      <c r="BA21" s="490"/>
      <c r="BB21" s="501"/>
      <c r="BC21" s="325"/>
      <c r="BD21" s="325"/>
      <c r="BE21" s="506"/>
      <c r="BF21" s="501"/>
      <c r="BG21" s="325"/>
      <c r="BH21" s="325"/>
      <c r="BI21" s="325"/>
      <c r="BJ21" s="325"/>
      <c r="BK21" s="325"/>
      <c r="BL21" s="325"/>
      <c r="BM21" s="325"/>
      <c r="BN21" s="325"/>
      <c r="BO21" s="325"/>
      <c r="BP21" s="325"/>
      <c r="BQ21" s="325"/>
      <c r="BR21" s="552"/>
      <c r="BS21" s="231"/>
      <c r="BT21" s="46"/>
      <c r="BU21" s="46"/>
      <c r="BV21" s="46"/>
      <c r="BW21" s="46"/>
      <c r="BX21" s="46"/>
      <c r="BY21" s="46"/>
      <c r="BZ21" s="46"/>
      <c r="CA21" s="46"/>
      <c r="CB21" s="46"/>
      <c r="CC21" s="46"/>
      <c r="CD21" s="46"/>
      <c r="CE21" s="46"/>
      <c r="CF21" s="46"/>
      <c r="CG21" s="46"/>
      <c r="CH21" s="46"/>
      <c r="CI21" s="509"/>
    </row>
    <row r="22" spans="1:87" ht="18" customHeight="1" x14ac:dyDescent="0.25">
      <c r="A22" s="370">
        <v>16</v>
      </c>
      <c r="B22" s="554" t="str">
        <f t="shared" si="0"/>
        <v>Nabilla Shiva Putri</v>
      </c>
      <c r="C22" s="242"/>
      <c r="D22" s="512"/>
      <c r="E22" s="512"/>
      <c r="F22" s="512"/>
      <c r="G22" s="512"/>
      <c r="H22" s="512"/>
      <c r="I22" s="512"/>
      <c r="J22" s="556"/>
      <c r="K22" s="491"/>
      <c r="L22" s="480"/>
      <c r="M22" s="480"/>
      <c r="N22" s="480"/>
      <c r="O22" s="480"/>
      <c r="P22" s="480"/>
      <c r="Q22" s="480"/>
      <c r="R22" s="480"/>
      <c r="S22" s="480"/>
      <c r="T22" s="480"/>
      <c r="U22" s="480"/>
      <c r="V22" s="496"/>
      <c r="W22" s="501"/>
      <c r="X22" s="325"/>
      <c r="Y22" s="325"/>
      <c r="Z22" s="325"/>
      <c r="AA22" s="325"/>
      <c r="AB22" s="325"/>
      <c r="AC22" s="325"/>
      <c r="AD22" s="325"/>
      <c r="AE22" s="552"/>
      <c r="AF22" s="491"/>
      <c r="AG22" s="480"/>
      <c r="AH22" s="480"/>
      <c r="AI22" s="480"/>
      <c r="AJ22" s="480"/>
      <c r="AK22" s="480"/>
      <c r="AL22" s="496"/>
      <c r="AM22" s="495"/>
      <c r="AN22" s="480"/>
      <c r="AO22" s="480"/>
      <c r="AP22" s="480"/>
      <c r="AQ22" s="480"/>
      <c r="AR22" s="480"/>
      <c r="AS22" s="480"/>
      <c r="AT22" s="490"/>
      <c r="AU22" s="495"/>
      <c r="AV22" s="480"/>
      <c r="AW22" s="480"/>
      <c r="AX22" s="480"/>
      <c r="AY22" s="480"/>
      <c r="AZ22" s="480"/>
      <c r="BA22" s="490"/>
      <c r="BB22" s="501"/>
      <c r="BC22" s="325"/>
      <c r="BD22" s="325"/>
      <c r="BE22" s="506"/>
      <c r="BF22" s="501"/>
      <c r="BG22" s="325"/>
      <c r="BH22" s="325"/>
      <c r="BI22" s="325"/>
      <c r="BJ22" s="325"/>
      <c r="BK22" s="325"/>
      <c r="BL22" s="325"/>
      <c r="BM22" s="325"/>
      <c r="BN22" s="325"/>
      <c r="BO22" s="325"/>
      <c r="BP22" s="325"/>
      <c r="BQ22" s="325"/>
      <c r="BR22" s="552"/>
      <c r="BS22" s="231"/>
      <c r="BT22" s="46"/>
      <c r="BU22" s="46"/>
      <c r="BV22" s="46"/>
      <c r="BW22" s="46"/>
      <c r="BX22" s="46"/>
      <c r="BY22" s="46"/>
      <c r="BZ22" s="46"/>
      <c r="CA22" s="46"/>
      <c r="CB22" s="46"/>
      <c r="CC22" s="46"/>
      <c r="CD22" s="46"/>
      <c r="CE22" s="46"/>
      <c r="CF22" s="46"/>
      <c r="CG22" s="46"/>
      <c r="CH22" s="46"/>
      <c r="CI22" s="509"/>
    </row>
    <row r="23" spans="1:87" ht="18" customHeight="1" x14ac:dyDescent="0.25">
      <c r="A23" s="370">
        <v>17</v>
      </c>
      <c r="B23" s="554" t="str">
        <f t="shared" si="0"/>
        <v>Naufal Falih F</v>
      </c>
      <c r="C23" s="242"/>
      <c r="D23" s="512"/>
      <c r="E23" s="512"/>
      <c r="F23" s="512"/>
      <c r="G23" s="512"/>
      <c r="H23" s="512"/>
      <c r="I23" s="512"/>
      <c r="J23" s="556"/>
      <c r="K23" s="491"/>
      <c r="L23" s="480"/>
      <c r="M23" s="480"/>
      <c r="N23" s="480"/>
      <c r="O23" s="480"/>
      <c r="P23" s="480"/>
      <c r="Q23" s="480"/>
      <c r="R23" s="480"/>
      <c r="S23" s="480"/>
      <c r="T23" s="480"/>
      <c r="U23" s="480"/>
      <c r="V23" s="496"/>
      <c r="W23" s="501"/>
      <c r="X23" s="325"/>
      <c r="Y23" s="325"/>
      <c r="Z23" s="325"/>
      <c r="AA23" s="325"/>
      <c r="AB23" s="325"/>
      <c r="AC23" s="325"/>
      <c r="AD23" s="325"/>
      <c r="AE23" s="552"/>
      <c r="AF23" s="491"/>
      <c r="AG23" s="480"/>
      <c r="AH23" s="480"/>
      <c r="AI23" s="480"/>
      <c r="AJ23" s="480"/>
      <c r="AK23" s="480"/>
      <c r="AL23" s="496"/>
      <c r="AM23" s="495"/>
      <c r="AN23" s="480"/>
      <c r="AO23" s="480"/>
      <c r="AP23" s="480"/>
      <c r="AQ23" s="480"/>
      <c r="AR23" s="480"/>
      <c r="AS23" s="480"/>
      <c r="AT23" s="490"/>
      <c r="AU23" s="495"/>
      <c r="AV23" s="480"/>
      <c r="AW23" s="480"/>
      <c r="AX23" s="480"/>
      <c r="AY23" s="480"/>
      <c r="AZ23" s="480"/>
      <c r="BA23" s="490"/>
      <c r="BB23" s="501"/>
      <c r="BC23" s="325"/>
      <c r="BD23" s="325"/>
      <c r="BE23" s="506"/>
      <c r="BF23" s="501"/>
      <c r="BG23" s="325"/>
      <c r="BH23" s="325"/>
      <c r="BI23" s="325"/>
      <c r="BJ23" s="325"/>
      <c r="BK23" s="325"/>
      <c r="BL23" s="325"/>
      <c r="BM23" s="325"/>
      <c r="BN23" s="325"/>
      <c r="BO23" s="325"/>
      <c r="BP23" s="325"/>
      <c r="BQ23" s="325"/>
      <c r="BR23" s="552"/>
      <c r="BS23" s="231"/>
      <c r="BT23" s="46"/>
      <c r="BU23" s="46"/>
      <c r="BV23" s="46"/>
      <c r="BW23" s="46"/>
      <c r="BX23" s="46"/>
      <c r="BY23" s="46"/>
      <c r="BZ23" s="46"/>
      <c r="CA23" s="46"/>
      <c r="CB23" s="46"/>
      <c r="CC23" s="46"/>
      <c r="CD23" s="46"/>
      <c r="CE23" s="46"/>
      <c r="CF23" s="46"/>
      <c r="CG23" s="46"/>
      <c r="CH23" s="46"/>
      <c r="CI23" s="509"/>
    </row>
    <row r="24" spans="1:87" ht="18" customHeight="1" x14ac:dyDescent="0.25">
      <c r="A24" s="370">
        <v>18</v>
      </c>
      <c r="B24" s="554" t="str">
        <f t="shared" si="0"/>
        <v>Nayla Annora Nobel W</v>
      </c>
      <c r="C24" s="242"/>
      <c r="D24" s="512"/>
      <c r="E24" s="512"/>
      <c r="F24" s="512"/>
      <c r="G24" s="512"/>
      <c r="H24" s="512"/>
      <c r="I24" s="512"/>
      <c r="J24" s="556"/>
      <c r="K24" s="491"/>
      <c r="L24" s="480"/>
      <c r="M24" s="480"/>
      <c r="N24" s="480"/>
      <c r="O24" s="480"/>
      <c r="P24" s="480"/>
      <c r="Q24" s="480"/>
      <c r="R24" s="480"/>
      <c r="S24" s="480"/>
      <c r="T24" s="480"/>
      <c r="U24" s="480"/>
      <c r="V24" s="496"/>
      <c r="W24" s="501"/>
      <c r="X24" s="325"/>
      <c r="Y24" s="325"/>
      <c r="Z24" s="325"/>
      <c r="AA24" s="325"/>
      <c r="AB24" s="325"/>
      <c r="AC24" s="325"/>
      <c r="AD24" s="325"/>
      <c r="AE24" s="552"/>
      <c r="AF24" s="491"/>
      <c r="AG24" s="480"/>
      <c r="AH24" s="480"/>
      <c r="AI24" s="480"/>
      <c r="AJ24" s="480"/>
      <c r="AK24" s="480"/>
      <c r="AL24" s="496"/>
      <c r="AM24" s="495"/>
      <c r="AN24" s="480"/>
      <c r="AO24" s="480"/>
      <c r="AP24" s="480"/>
      <c r="AQ24" s="480"/>
      <c r="AR24" s="480"/>
      <c r="AS24" s="480"/>
      <c r="AT24" s="490"/>
      <c r="AU24" s="495"/>
      <c r="AV24" s="480"/>
      <c r="AW24" s="480"/>
      <c r="AX24" s="480"/>
      <c r="AY24" s="480"/>
      <c r="AZ24" s="480"/>
      <c r="BA24" s="490"/>
      <c r="BB24" s="501"/>
      <c r="BC24" s="325"/>
      <c r="BD24" s="325"/>
      <c r="BE24" s="506"/>
      <c r="BF24" s="501"/>
      <c r="BG24" s="325"/>
      <c r="BH24" s="325"/>
      <c r="BI24" s="325"/>
      <c r="BJ24" s="325"/>
      <c r="BK24" s="325"/>
      <c r="BL24" s="325"/>
      <c r="BM24" s="325"/>
      <c r="BN24" s="325"/>
      <c r="BO24" s="325"/>
      <c r="BP24" s="325"/>
      <c r="BQ24" s="325"/>
      <c r="BR24" s="552"/>
      <c r="BS24" s="231"/>
      <c r="BT24" s="46"/>
      <c r="BU24" s="46"/>
      <c r="BV24" s="46"/>
      <c r="BW24" s="46"/>
      <c r="BX24" s="46"/>
      <c r="BY24" s="46"/>
      <c r="BZ24" s="46"/>
      <c r="CA24" s="46"/>
      <c r="CB24" s="46"/>
      <c r="CC24" s="46"/>
      <c r="CD24" s="46"/>
      <c r="CE24" s="46"/>
      <c r="CF24" s="46"/>
      <c r="CG24" s="46"/>
      <c r="CH24" s="46"/>
      <c r="CI24" s="509"/>
    </row>
    <row r="25" spans="1:87" ht="18" customHeight="1" x14ac:dyDescent="0.25">
      <c r="A25" s="370">
        <v>19</v>
      </c>
      <c r="B25" s="554" t="str">
        <f t="shared" si="0"/>
        <v>Raihan Danang P</v>
      </c>
      <c r="C25" s="242"/>
      <c r="D25" s="512"/>
      <c r="E25" s="512"/>
      <c r="F25" s="512"/>
      <c r="G25" s="512"/>
      <c r="H25" s="512"/>
      <c r="I25" s="512"/>
      <c r="J25" s="556"/>
      <c r="K25" s="491"/>
      <c r="L25" s="480"/>
      <c r="M25" s="480"/>
      <c r="N25" s="480"/>
      <c r="O25" s="480"/>
      <c r="P25" s="480"/>
      <c r="Q25" s="480"/>
      <c r="R25" s="480"/>
      <c r="S25" s="480"/>
      <c r="T25" s="480"/>
      <c r="U25" s="480"/>
      <c r="V25" s="496"/>
      <c r="W25" s="501"/>
      <c r="X25" s="325"/>
      <c r="Y25" s="325"/>
      <c r="Z25" s="325"/>
      <c r="AA25" s="325"/>
      <c r="AB25" s="325"/>
      <c r="AC25" s="325"/>
      <c r="AD25" s="325"/>
      <c r="AE25" s="552"/>
      <c r="AF25" s="491"/>
      <c r="AG25" s="480"/>
      <c r="AH25" s="480"/>
      <c r="AI25" s="480"/>
      <c r="AJ25" s="480"/>
      <c r="AK25" s="480"/>
      <c r="AL25" s="496"/>
      <c r="AM25" s="495"/>
      <c r="AN25" s="480"/>
      <c r="AO25" s="480"/>
      <c r="AP25" s="480"/>
      <c r="AQ25" s="480"/>
      <c r="AR25" s="480"/>
      <c r="AS25" s="480"/>
      <c r="AT25" s="490"/>
      <c r="AU25" s="495"/>
      <c r="AV25" s="480"/>
      <c r="AW25" s="480"/>
      <c r="AX25" s="480"/>
      <c r="AY25" s="480"/>
      <c r="AZ25" s="480"/>
      <c r="BA25" s="490"/>
      <c r="BB25" s="501"/>
      <c r="BC25" s="325"/>
      <c r="BD25" s="325"/>
      <c r="BE25" s="506"/>
      <c r="BF25" s="501"/>
      <c r="BG25" s="325"/>
      <c r="BH25" s="325"/>
      <c r="BI25" s="325"/>
      <c r="BJ25" s="325"/>
      <c r="BK25" s="325"/>
      <c r="BL25" s="325"/>
      <c r="BM25" s="325"/>
      <c r="BN25" s="325"/>
      <c r="BO25" s="325"/>
      <c r="BP25" s="325"/>
      <c r="BQ25" s="325"/>
      <c r="BR25" s="552"/>
      <c r="BS25" s="231"/>
      <c r="BT25" s="46"/>
      <c r="BU25" s="46"/>
      <c r="BV25" s="46"/>
      <c r="BW25" s="46"/>
      <c r="BX25" s="46"/>
      <c r="BY25" s="46"/>
      <c r="BZ25" s="46"/>
      <c r="CA25" s="46"/>
      <c r="CB25" s="46"/>
      <c r="CC25" s="46"/>
      <c r="CD25" s="46"/>
      <c r="CE25" s="46"/>
      <c r="CF25" s="46"/>
      <c r="CG25" s="46"/>
      <c r="CH25" s="46"/>
      <c r="CI25" s="509"/>
    </row>
    <row r="26" spans="1:87" ht="18" customHeight="1" x14ac:dyDescent="0.25">
      <c r="A26" s="370">
        <v>20</v>
      </c>
      <c r="B26" s="554" t="str">
        <f t="shared" si="0"/>
        <v>Roby Ardiyansyah</v>
      </c>
      <c r="C26" s="242"/>
      <c r="D26" s="512"/>
      <c r="E26" s="512"/>
      <c r="F26" s="512"/>
      <c r="G26" s="512"/>
      <c r="H26" s="512"/>
      <c r="I26" s="512"/>
      <c r="J26" s="556"/>
      <c r="K26" s="491"/>
      <c r="L26" s="480"/>
      <c r="M26" s="480"/>
      <c r="N26" s="480"/>
      <c r="O26" s="480"/>
      <c r="P26" s="480"/>
      <c r="Q26" s="480"/>
      <c r="R26" s="480"/>
      <c r="S26" s="480"/>
      <c r="T26" s="480"/>
      <c r="U26" s="480"/>
      <c r="V26" s="496"/>
      <c r="W26" s="501"/>
      <c r="X26" s="325"/>
      <c r="Y26" s="325"/>
      <c r="Z26" s="325"/>
      <c r="AA26" s="325"/>
      <c r="AB26" s="325"/>
      <c r="AC26" s="325"/>
      <c r="AD26" s="325"/>
      <c r="AE26" s="552"/>
      <c r="AF26" s="491"/>
      <c r="AG26" s="480"/>
      <c r="AH26" s="480"/>
      <c r="AI26" s="480"/>
      <c r="AJ26" s="480"/>
      <c r="AK26" s="480"/>
      <c r="AL26" s="496"/>
      <c r="AM26" s="495"/>
      <c r="AN26" s="480"/>
      <c r="AO26" s="480"/>
      <c r="AP26" s="480"/>
      <c r="AQ26" s="480"/>
      <c r="AR26" s="480"/>
      <c r="AS26" s="480"/>
      <c r="AT26" s="490"/>
      <c r="AU26" s="495"/>
      <c r="AV26" s="480"/>
      <c r="AW26" s="480"/>
      <c r="AX26" s="480"/>
      <c r="AY26" s="480"/>
      <c r="AZ26" s="480"/>
      <c r="BA26" s="490"/>
      <c r="BB26" s="501"/>
      <c r="BC26" s="325"/>
      <c r="BD26" s="325"/>
      <c r="BE26" s="506"/>
      <c r="BF26" s="501"/>
      <c r="BG26" s="325"/>
      <c r="BH26" s="325"/>
      <c r="BI26" s="325"/>
      <c r="BJ26" s="325"/>
      <c r="BK26" s="325"/>
      <c r="BL26" s="325"/>
      <c r="BM26" s="325"/>
      <c r="BN26" s="325"/>
      <c r="BO26" s="325"/>
      <c r="BP26" s="325"/>
      <c r="BQ26" s="325"/>
      <c r="BR26" s="552"/>
      <c r="BS26" s="231"/>
      <c r="BT26" s="46"/>
      <c r="BU26" s="46"/>
      <c r="BV26" s="46"/>
      <c r="BW26" s="46"/>
      <c r="BX26" s="46"/>
      <c r="BY26" s="46"/>
      <c r="BZ26" s="46"/>
      <c r="CA26" s="46"/>
      <c r="CB26" s="46"/>
      <c r="CC26" s="46"/>
      <c r="CD26" s="46"/>
      <c r="CE26" s="46"/>
      <c r="CF26" s="46"/>
      <c r="CG26" s="46"/>
      <c r="CH26" s="46"/>
      <c r="CI26" s="509"/>
    </row>
    <row r="27" spans="1:87" ht="18" customHeight="1" x14ac:dyDescent="0.25">
      <c r="A27" s="370">
        <v>21</v>
      </c>
      <c r="B27" s="554" t="str">
        <f t="shared" si="0"/>
        <v>Rojalingga Prana A</v>
      </c>
      <c r="C27" s="242"/>
      <c r="D27" s="512"/>
      <c r="E27" s="512"/>
      <c r="F27" s="512"/>
      <c r="G27" s="512"/>
      <c r="H27" s="512"/>
      <c r="I27" s="512"/>
      <c r="J27" s="556"/>
      <c r="K27" s="491"/>
      <c r="L27" s="480"/>
      <c r="M27" s="480"/>
      <c r="N27" s="480"/>
      <c r="O27" s="480"/>
      <c r="P27" s="480"/>
      <c r="Q27" s="480"/>
      <c r="R27" s="480"/>
      <c r="S27" s="480"/>
      <c r="T27" s="480"/>
      <c r="U27" s="480"/>
      <c r="V27" s="496"/>
      <c r="W27" s="501"/>
      <c r="X27" s="325"/>
      <c r="Y27" s="325"/>
      <c r="Z27" s="325"/>
      <c r="AA27" s="325"/>
      <c r="AB27" s="325"/>
      <c r="AC27" s="325"/>
      <c r="AD27" s="325"/>
      <c r="AE27" s="552"/>
      <c r="AF27" s="491"/>
      <c r="AG27" s="480"/>
      <c r="AH27" s="480"/>
      <c r="AI27" s="480"/>
      <c r="AJ27" s="480"/>
      <c r="AK27" s="480"/>
      <c r="AL27" s="496"/>
      <c r="AM27" s="495"/>
      <c r="AN27" s="480"/>
      <c r="AO27" s="480"/>
      <c r="AP27" s="480"/>
      <c r="AQ27" s="480"/>
      <c r="AR27" s="480"/>
      <c r="AS27" s="480"/>
      <c r="AT27" s="490"/>
      <c r="AU27" s="495"/>
      <c r="AV27" s="480"/>
      <c r="AW27" s="480"/>
      <c r="AX27" s="480"/>
      <c r="AY27" s="480"/>
      <c r="AZ27" s="480"/>
      <c r="BA27" s="490"/>
      <c r="BB27" s="501"/>
      <c r="BC27" s="325"/>
      <c r="BD27" s="325"/>
      <c r="BE27" s="506"/>
      <c r="BF27" s="501"/>
      <c r="BG27" s="325"/>
      <c r="BH27" s="325"/>
      <c r="BI27" s="325"/>
      <c r="BJ27" s="325"/>
      <c r="BK27" s="325"/>
      <c r="BL27" s="325"/>
      <c r="BM27" s="325"/>
      <c r="BN27" s="325"/>
      <c r="BO27" s="325"/>
      <c r="BP27" s="325"/>
      <c r="BQ27" s="325"/>
      <c r="BR27" s="552"/>
      <c r="BS27" s="231"/>
      <c r="BT27" s="46"/>
      <c r="BU27" s="46"/>
      <c r="BV27" s="46"/>
      <c r="BW27" s="46"/>
      <c r="BX27" s="46"/>
      <c r="BY27" s="46"/>
      <c r="BZ27" s="46"/>
      <c r="CA27" s="46"/>
      <c r="CB27" s="46"/>
      <c r="CC27" s="46"/>
      <c r="CD27" s="46"/>
      <c r="CE27" s="46"/>
      <c r="CF27" s="46"/>
      <c r="CG27" s="46"/>
      <c r="CH27" s="46"/>
      <c r="CI27" s="509"/>
    </row>
    <row r="28" spans="1:87" ht="18" customHeight="1" x14ac:dyDescent="0.25">
      <c r="A28" s="370">
        <v>22</v>
      </c>
      <c r="B28" s="554" t="str">
        <f t="shared" si="0"/>
        <v>Sally Savista A</v>
      </c>
      <c r="C28" s="242"/>
      <c r="D28" s="512"/>
      <c r="E28" s="512"/>
      <c r="F28" s="512"/>
      <c r="G28" s="512"/>
      <c r="H28" s="512"/>
      <c r="I28" s="512"/>
      <c r="J28" s="556"/>
      <c r="K28" s="491"/>
      <c r="L28" s="480"/>
      <c r="M28" s="480"/>
      <c r="N28" s="480"/>
      <c r="O28" s="480"/>
      <c r="P28" s="480"/>
      <c r="Q28" s="480"/>
      <c r="R28" s="480"/>
      <c r="S28" s="480"/>
      <c r="T28" s="480"/>
      <c r="U28" s="480"/>
      <c r="V28" s="496"/>
      <c r="W28" s="501"/>
      <c r="X28" s="325"/>
      <c r="Y28" s="325"/>
      <c r="Z28" s="325"/>
      <c r="AA28" s="325"/>
      <c r="AB28" s="325"/>
      <c r="AC28" s="325"/>
      <c r="AD28" s="325"/>
      <c r="AE28" s="552"/>
      <c r="AF28" s="491"/>
      <c r="AG28" s="480"/>
      <c r="AH28" s="480"/>
      <c r="AI28" s="480"/>
      <c r="AJ28" s="480"/>
      <c r="AK28" s="480"/>
      <c r="AL28" s="496"/>
      <c r="AM28" s="495"/>
      <c r="AN28" s="480"/>
      <c r="AO28" s="480"/>
      <c r="AP28" s="480"/>
      <c r="AQ28" s="480"/>
      <c r="AR28" s="480"/>
      <c r="AS28" s="480"/>
      <c r="AT28" s="490"/>
      <c r="AU28" s="495"/>
      <c r="AV28" s="480"/>
      <c r="AW28" s="480"/>
      <c r="AX28" s="480"/>
      <c r="AY28" s="480"/>
      <c r="AZ28" s="480"/>
      <c r="BA28" s="490"/>
      <c r="BB28" s="501"/>
      <c r="BC28" s="325"/>
      <c r="BD28" s="325"/>
      <c r="BE28" s="506"/>
      <c r="BF28" s="501"/>
      <c r="BG28" s="325"/>
      <c r="BH28" s="325"/>
      <c r="BI28" s="325"/>
      <c r="BJ28" s="325"/>
      <c r="BK28" s="325"/>
      <c r="BL28" s="325"/>
      <c r="BM28" s="325"/>
      <c r="BN28" s="325"/>
      <c r="BO28" s="325"/>
      <c r="BP28" s="325"/>
      <c r="BQ28" s="325"/>
      <c r="BR28" s="552"/>
      <c r="BS28" s="231"/>
      <c r="BT28" s="46"/>
      <c r="BU28" s="46"/>
      <c r="BV28" s="46"/>
      <c r="BW28" s="46"/>
      <c r="BX28" s="46"/>
      <c r="BY28" s="46"/>
      <c r="BZ28" s="46"/>
      <c r="CA28" s="46"/>
      <c r="CB28" s="46"/>
      <c r="CC28" s="46"/>
      <c r="CD28" s="46"/>
      <c r="CE28" s="46"/>
      <c r="CF28" s="46"/>
      <c r="CG28" s="46"/>
      <c r="CH28" s="46"/>
      <c r="CI28" s="509"/>
    </row>
    <row r="29" spans="1:87" ht="18" customHeight="1" x14ac:dyDescent="0.25">
      <c r="A29" s="370">
        <v>23</v>
      </c>
      <c r="B29" s="554" t="str">
        <f t="shared" si="0"/>
        <v xml:space="preserve">Tania Kaori Angelita </v>
      </c>
      <c r="C29" s="242"/>
      <c r="D29" s="512"/>
      <c r="E29" s="512"/>
      <c r="F29" s="512"/>
      <c r="G29" s="512"/>
      <c r="H29" s="512"/>
      <c r="I29" s="512"/>
      <c r="J29" s="556"/>
      <c r="K29" s="491"/>
      <c r="L29" s="480"/>
      <c r="M29" s="480"/>
      <c r="N29" s="480"/>
      <c r="O29" s="480"/>
      <c r="P29" s="480"/>
      <c r="Q29" s="480"/>
      <c r="R29" s="480"/>
      <c r="S29" s="480"/>
      <c r="T29" s="480"/>
      <c r="U29" s="480"/>
      <c r="V29" s="496"/>
      <c r="W29" s="501"/>
      <c r="X29" s="325"/>
      <c r="Y29" s="325"/>
      <c r="Z29" s="325"/>
      <c r="AA29" s="325"/>
      <c r="AB29" s="325"/>
      <c r="AC29" s="325"/>
      <c r="AD29" s="325"/>
      <c r="AE29" s="552"/>
      <c r="AF29" s="491"/>
      <c r="AG29" s="480"/>
      <c r="AH29" s="480"/>
      <c r="AI29" s="480"/>
      <c r="AJ29" s="480"/>
      <c r="AK29" s="480"/>
      <c r="AL29" s="496"/>
      <c r="AM29" s="495"/>
      <c r="AN29" s="480"/>
      <c r="AO29" s="480"/>
      <c r="AP29" s="480"/>
      <c r="AQ29" s="480"/>
      <c r="AR29" s="480"/>
      <c r="AS29" s="480"/>
      <c r="AT29" s="490"/>
      <c r="AU29" s="495"/>
      <c r="AV29" s="480"/>
      <c r="AW29" s="480"/>
      <c r="AX29" s="480"/>
      <c r="AY29" s="480"/>
      <c r="AZ29" s="480"/>
      <c r="BA29" s="490"/>
      <c r="BB29" s="501"/>
      <c r="BC29" s="325"/>
      <c r="BD29" s="325"/>
      <c r="BE29" s="506"/>
      <c r="BF29" s="501"/>
      <c r="BG29" s="325"/>
      <c r="BH29" s="325"/>
      <c r="BI29" s="325"/>
      <c r="BJ29" s="325"/>
      <c r="BK29" s="325"/>
      <c r="BL29" s="325"/>
      <c r="BM29" s="325"/>
      <c r="BN29" s="325"/>
      <c r="BO29" s="325"/>
      <c r="BP29" s="325"/>
      <c r="BQ29" s="325"/>
      <c r="BR29" s="552"/>
      <c r="BS29" s="231"/>
      <c r="BT29" s="46"/>
      <c r="BU29" s="46"/>
      <c r="BV29" s="46"/>
      <c r="BW29" s="46"/>
      <c r="BX29" s="46"/>
      <c r="BY29" s="46"/>
      <c r="BZ29" s="46"/>
      <c r="CA29" s="46"/>
      <c r="CB29" s="46"/>
      <c r="CC29" s="46"/>
      <c r="CD29" s="46"/>
      <c r="CE29" s="46"/>
      <c r="CF29" s="46"/>
      <c r="CG29" s="46"/>
      <c r="CH29" s="46"/>
      <c r="CI29" s="509"/>
    </row>
    <row r="30" spans="1:87" ht="18" customHeight="1" x14ac:dyDescent="0.25">
      <c r="A30" s="370">
        <v>24</v>
      </c>
      <c r="B30" s="554" t="str">
        <f t="shared" si="0"/>
        <v>Romzy Oka Ramadhani P</v>
      </c>
      <c r="C30" s="242"/>
      <c r="D30" s="512"/>
      <c r="E30" s="512"/>
      <c r="F30" s="512"/>
      <c r="G30" s="512"/>
      <c r="H30" s="512"/>
      <c r="I30" s="512"/>
      <c r="J30" s="556"/>
      <c r="K30" s="491"/>
      <c r="L30" s="480"/>
      <c r="M30" s="480"/>
      <c r="N30" s="480"/>
      <c r="O30" s="480"/>
      <c r="P30" s="480"/>
      <c r="Q30" s="480"/>
      <c r="R30" s="480"/>
      <c r="S30" s="480"/>
      <c r="T30" s="480"/>
      <c r="U30" s="480"/>
      <c r="V30" s="496"/>
      <c r="W30" s="501"/>
      <c r="X30" s="325"/>
      <c r="Y30" s="325"/>
      <c r="Z30" s="325"/>
      <c r="AA30" s="325"/>
      <c r="AB30" s="325"/>
      <c r="AC30" s="325"/>
      <c r="AD30" s="325"/>
      <c r="AE30" s="552"/>
      <c r="AF30" s="491"/>
      <c r="AG30" s="480"/>
      <c r="AH30" s="480"/>
      <c r="AI30" s="480"/>
      <c r="AJ30" s="480"/>
      <c r="AK30" s="480"/>
      <c r="AL30" s="496"/>
      <c r="AM30" s="495"/>
      <c r="AN30" s="480"/>
      <c r="AO30" s="480"/>
      <c r="AP30" s="480"/>
      <c r="AQ30" s="480"/>
      <c r="AR30" s="480"/>
      <c r="AS30" s="480"/>
      <c r="AT30" s="490"/>
      <c r="AU30" s="495"/>
      <c r="AV30" s="480"/>
      <c r="AW30" s="480"/>
      <c r="AX30" s="480"/>
      <c r="AY30" s="480"/>
      <c r="AZ30" s="480"/>
      <c r="BA30" s="490"/>
      <c r="BB30" s="501"/>
      <c r="BC30" s="325"/>
      <c r="BD30" s="325"/>
      <c r="BE30" s="506"/>
      <c r="BF30" s="501"/>
      <c r="BG30" s="325"/>
      <c r="BH30" s="325"/>
      <c r="BI30" s="325"/>
      <c r="BJ30" s="325"/>
      <c r="BK30" s="325"/>
      <c r="BL30" s="325"/>
      <c r="BM30" s="325"/>
      <c r="BN30" s="325"/>
      <c r="BO30" s="325"/>
      <c r="BP30" s="325"/>
      <c r="BQ30" s="325"/>
      <c r="BR30" s="552"/>
      <c r="BS30" s="231"/>
      <c r="BT30" s="46"/>
      <c r="BU30" s="46"/>
      <c r="BV30" s="46"/>
      <c r="BW30" s="46"/>
      <c r="BX30" s="46"/>
      <c r="BY30" s="46"/>
      <c r="BZ30" s="46"/>
      <c r="CA30" s="46"/>
      <c r="CB30" s="46"/>
      <c r="CC30" s="46"/>
      <c r="CD30" s="46"/>
      <c r="CE30" s="46"/>
      <c r="CF30" s="46"/>
      <c r="CG30" s="46"/>
      <c r="CH30" s="46"/>
      <c r="CI30" s="509"/>
    </row>
    <row r="31" spans="1:87" ht="18" customHeight="1" x14ac:dyDescent="0.25">
      <c r="A31" s="370">
        <v>25</v>
      </c>
      <c r="B31" s="554" t="str">
        <f t="shared" si="0"/>
        <v>Larasati Jagadhita P</v>
      </c>
      <c r="C31" s="242"/>
      <c r="D31" s="512"/>
      <c r="E31" s="512"/>
      <c r="F31" s="512"/>
      <c r="G31" s="512"/>
      <c r="H31" s="512"/>
      <c r="I31" s="512"/>
      <c r="J31" s="556"/>
      <c r="K31" s="491"/>
      <c r="L31" s="480"/>
      <c r="M31" s="480"/>
      <c r="N31" s="480"/>
      <c r="O31" s="480"/>
      <c r="P31" s="480"/>
      <c r="Q31" s="480"/>
      <c r="R31" s="480"/>
      <c r="S31" s="480"/>
      <c r="T31" s="480"/>
      <c r="U31" s="480"/>
      <c r="V31" s="496"/>
      <c r="W31" s="501"/>
      <c r="X31" s="325"/>
      <c r="Y31" s="325"/>
      <c r="Z31" s="325"/>
      <c r="AA31" s="325"/>
      <c r="AB31" s="325"/>
      <c r="AC31" s="325"/>
      <c r="AD31" s="325"/>
      <c r="AE31" s="552"/>
      <c r="AF31" s="491"/>
      <c r="AG31" s="480"/>
      <c r="AH31" s="480"/>
      <c r="AI31" s="480"/>
      <c r="AJ31" s="480"/>
      <c r="AK31" s="480"/>
      <c r="AL31" s="496"/>
      <c r="AM31" s="495"/>
      <c r="AN31" s="480"/>
      <c r="AO31" s="480"/>
      <c r="AP31" s="480"/>
      <c r="AQ31" s="480"/>
      <c r="AR31" s="480"/>
      <c r="AS31" s="480"/>
      <c r="AT31" s="490"/>
      <c r="AU31" s="495"/>
      <c r="AV31" s="480"/>
      <c r="AW31" s="480"/>
      <c r="AX31" s="480"/>
      <c r="AY31" s="480"/>
      <c r="AZ31" s="480"/>
      <c r="BA31" s="490"/>
      <c r="BB31" s="501"/>
      <c r="BC31" s="325"/>
      <c r="BD31" s="325"/>
      <c r="BE31" s="506"/>
      <c r="BF31" s="501"/>
      <c r="BG31" s="325"/>
      <c r="BH31" s="325"/>
      <c r="BI31" s="325"/>
      <c r="BJ31" s="325"/>
      <c r="BK31" s="325"/>
      <c r="BL31" s="325"/>
      <c r="BM31" s="325"/>
      <c r="BN31" s="325"/>
      <c r="BO31" s="325"/>
      <c r="BP31" s="325"/>
      <c r="BQ31" s="325"/>
      <c r="BR31" s="552"/>
      <c r="BS31" s="231"/>
      <c r="BT31" s="46"/>
      <c r="BU31" s="46"/>
      <c r="BV31" s="46"/>
      <c r="BW31" s="46"/>
      <c r="BX31" s="46"/>
      <c r="BY31" s="46"/>
      <c r="BZ31" s="46"/>
      <c r="CA31" s="46"/>
      <c r="CB31" s="46"/>
      <c r="CC31" s="46"/>
      <c r="CD31" s="46"/>
      <c r="CE31" s="46"/>
      <c r="CF31" s="46"/>
      <c r="CG31" s="46"/>
      <c r="CH31" s="46"/>
      <c r="CI31" s="509"/>
    </row>
    <row r="32" spans="1:87" ht="18" customHeight="1" x14ac:dyDescent="0.25">
      <c r="A32" s="370">
        <v>26</v>
      </c>
      <c r="B32" s="554" t="str">
        <f t="shared" si="0"/>
        <v>Meliana Citra A</v>
      </c>
      <c r="C32" s="242"/>
      <c r="D32" s="512"/>
      <c r="E32" s="512"/>
      <c r="F32" s="512"/>
      <c r="G32" s="512"/>
      <c r="H32" s="512"/>
      <c r="I32" s="512"/>
      <c r="J32" s="556"/>
      <c r="K32" s="491"/>
      <c r="L32" s="480"/>
      <c r="M32" s="480"/>
      <c r="N32" s="480"/>
      <c r="O32" s="480"/>
      <c r="P32" s="480"/>
      <c r="Q32" s="480"/>
      <c r="R32" s="480"/>
      <c r="S32" s="480"/>
      <c r="T32" s="480"/>
      <c r="U32" s="480"/>
      <c r="V32" s="496"/>
      <c r="W32" s="501"/>
      <c r="X32" s="325"/>
      <c r="Y32" s="325"/>
      <c r="Z32" s="325"/>
      <c r="AA32" s="325"/>
      <c r="AB32" s="325"/>
      <c r="AC32" s="325"/>
      <c r="AD32" s="325"/>
      <c r="AE32" s="552"/>
      <c r="AF32" s="491"/>
      <c r="AG32" s="480"/>
      <c r="AH32" s="480"/>
      <c r="AI32" s="480"/>
      <c r="AJ32" s="480"/>
      <c r="AK32" s="480"/>
      <c r="AL32" s="496"/>
      <c r="AM32" s="495"/>
      <c r="AN32" s="480"/>
      <c r="AO32" s="480"/>
      <c r="AP32" s="480"/>
      <c r="AQ32" s="480"/>
      <c r="AR32" s="480"/>
      <c r="AS32" s="480"/>
      <c r="AT32" s="490"/>
      <c r="AU32" s="495"/>
      <c r="AV32" s="480"/>
      <c r="AW32" s="480"/>
      <c r="AX32" s="480"/>
      <c r="AY32" s="480"/>
      <c r="AZ32" s="480"/>
      <c r="BA32" s="490"/>
      <c r="BB32" s="501"/>
      <c r="BC32" s="325"/>
      <c r="BD32" s="325"/>
      <c r="BE32" s="506"/>
      <c r="BF32" s="501"/>
      <c r="BG32" s="325"/>
      <c r="BH32" s="325"/>
      <c r="BI32" s="325"/>
      <c r="BJ32" s="325"/>
      <c r="BK32" s="325"/>
      <c r="BL32" s="325"/>
      <c r="BM32" s="325"/>
      <c r="BN32" s="325"/>
      <c r="BO32" s="325"/>
      <c r="BP32" s="325"/>
      <c r="BQ32" s="325"/>
      <c r="BR32" s="552"/>
      <c r="BS32" s="231"/>
      <c r="BT32" s="46"/>
      <c r="BU32" s="46"/>
      <c r="BV32" s="46"/>
      <c r="BW32" s="46"/>
      <c r="BX32" s="46"/>
      <c r="BY32" s="46"/>
      <c r="BZ32" s="46"/>
      <c r="CA32" s="46"/>
      <c r="CB32" s="46"/>
      <c r="CC32" s="46"/>
      <c r="CD32" s="46"/>
      <c r="CE32" s="46"/>
      <c r="CF32" s="46"/>
      <c r="CG32" s="46"/>
      <c r="CH32" s="46"/>
      <c r="CI32" s="509"/>
    </row>
    <row r="33" spans="1:87" ht="18" customHeight="1" x14ac:dyDescent="0.25">
      <c r="A33" s="370">
        <v>27</v>
      </c>
      <c r="B33" s="554" t="str">
        <f t="shared" si="0"/>
        <v>Mohammad Rizky</v>
      </c>
      <c r="C33" s="242"/>
      <c r="D33" s="512"/>
      <c r="E33" s="512"/>
      <c r="F33" s="512"/>
      <c r="G33" s="512"/>
      <c r="H33" s="512"/>
      <c r="I33" s="512"/>
      <c r="J33" s="556"/>
      <c r="K33" s="491"/>
      <c r="L33" s="480"/>
      <c r="M33" s="480"/>
      <c r="N33" s="480"/>
      <c r="O33" s="480"/>
      <c r="P33" s="480"/>
      <c r="Q33" s="480"/>
      <c r="R33" s="480"/>
      <c r="S33" s="480"/>
      <c r="T33" s="480"/>
      <c r="U33" s="480"/>
      <c r="V33" s="496"/>
      <c r="W33" s="501"/>
      <c r="X33" s="325"/>
      <c r="Y33" s="325"/>
      <c r="Z33" s="325"/>
      <c r="AA33" s="325"/>
      <c r="AB33" s="325"/>
      <c r="AC33" s="325"/>
      <c r="AD33" s="325"/>
      <c r="AE33" s="552"/>
      <c r="AF33" s="491"/>
      <c r="AG33" s="480"/>
      <c r="AH33" s="480"/>
      <c r="AI33" s="480"/>
      <c r="AJ33" s="480"/>
      <c r="AK33" s="480"/>
      <c r="AL33" s="496"/>
      <c r="AM33" s="495"/>
      <c r="AN33" s="480"/>
      <c r="AO33" s="480"/>
      <c r="AP33" s="480"/>
      <c r="AQ33" s="480"/>
      <c r="AR33" s="480"/>
      <c r="AS33" s="480"/>
      <c r="AT33" s="490"/>
      <c r="AU33" s="495"/>
      <c r="AV33" s="480"/>
      <c r="AW33" s="480"/>
      <c r="AX33" s="480"/>
      <c r="AY33" s="480"/>
      <c r="AZ33" s="480"/>
      <c r="BA33" s="490"/>
      <c r="BB33" s="501"/>
      <c r="BC33" s="325"/>
      <c r="BD33" s="325"/>
      <c r="BE33" s="506"/>
      <c r="BF33" s="501"/>
      <c r="BG33" s="325"/>
      <c r="BH33" s="325"/>
      <c r="BI33" s="325"/>
      <c r="BJ33" s="325"/>
      <c r="BK33" s="325"/>
      <c r="BL33" s="325"/>
      <c r="BM33" s="325"/>
      <c r="BN33" s="325"/>
      <c r="BO33" s="325"/>
      <c r="BP33" s="325"/>
      <c r="BQ33" s="325"/>
      <c r="BR33" s="552"/>
      <c r="BS33" s="231"/>
      <c r="BT33" s="46"/>
      <c r="BU33" s="46"/>
      <c r="BV33" s="46"/>
      <c r="BW33" s="46"/>
      <c r="BX33" s="46"/>
      <c r="BY33" s="46"/>
      <c r="BZ33" s="46"/>
      <c r="CA33" s="46"/>
      <c r="CB33" s="46"/>
      <c r="CC33" s="46"/>
      <c r="CD33" s="46"/>
      <c r="CE33" s="46"/>
      <c r="CF33" s="46"/>
      <c r="CG33" s="46"/>
      <c r="CH33" s="46"/>
      <c r="CI33" s="509"/>
    </row>
    <row r="34" spans="1:87" ht="18" customHeight="1" x14ac:dyDescent="0.25">
      <c r="A34" s="370">
        <v>28</v>
      </c>
      <c r="B34" s="554" t="e">
        <f t="shared" si="0"/>
        <v>#N/A</v>
      </c>
      <c r="C34" s="242"/>
      <c r="D34" s="512"/>
      <c r="E34" s="512"/>
      <c r="F34" s="512"/>
      <c r="G34" s="512"/>
      <c r="H34" s="512"/>
      <c r="I34" s="512"/>
      <c r="J34" s="556"/>
      <c r="K34" s="491"/>
      <c r="L34" s="480"/>
      <c r="M34" s="480"/>
      <c r="N34" s="480"/>
      <c r="O34" s="480"/>
      <c r="P34" s="480"/>
      <c r="Q34" s="480"/>
      <c r="R34" s="480"/>
      <c r="S34" s="480"/>
      <c r="T34" s="480"/>
      <c r="U34" s="480"/>
      <c r="V34" s="496"/>
      <c r="W34" s="501"/>
      <c r="X34" s="325"/>
      <c r="Y34" s="325"/>
      <c r="Z34" s="325"/>
      <c r="AA34" s="325"/>
      <c r="AB34" s="325"/>
      <c r="AC34" s="325"/>
      <c r="AD34" s="325"/>
      <c r="AE34" s="552"/>
      <c r="AF34" s="491"/>
      <c r="AG34" s="480"/>
      <c r="AH34" s="480"/>
      <c r="AI34" s="480"/>
      <c r="AJ34" s="480"/>
      <c r="AK34" s="480"/>
      <c r="AL34" s="496"/>
      <c r="AM34" s="495"/>
      <c r="AN34" s="480"/>
      <c r="AO34" s="480"/>
      <c r="AP34" s="480"/>
      <c r="AQ34" s="480"/>
      <c r="AR34" s="480"/>
      <c r="AS34" s="480"/>
      <c r="AT34" s="490"/>
      <c r="AU34" s="495"/>
      <c r="AV34" s="480"/>
      <c r="AW34" s="480"/>
      <c r="AX34" s="480"/>
      <c r="AY34" s="480"/>
      <c r="AZ34" s="480"/>
      <c r="BA34" s="490"/>
      <c r="BB34" s="501"/>
      <c r="BC34" s="325"/>
      <c r="BD34" s="325"/>
      <c r="BE34" s="506"/>
      <c r="BF34" s="501"/>
      <c r="BG34" s="325"/>
      <c r="BH34" s="325"/>
      <c r="BI34" s="325"/>
      <c r="BJ34" s="325"/>
      <c r="BK34" s="325"/>
      <c r="BL34" s="325"/>
      <c r="BM34" s="325"/>
      <c r="BN34" s="325"/>
      <c r="BO34" s="325"/>
      <c r="BP34" s="325"/>
      <c r="BQ34" s="325"/>
      <c r="BR34" s="552"/>
      <c r="BS34" s="231"/>
      <c r="BT34" s="46"/>
      <c r="BU34" s="46"/>
      <c r="BV34" s="46"/>
      <c r="BW34" s="46"/>
      <c r="BX34" s="46"/>
      <c r="BY34" s="46"/>
      <c r="BZ34" s="46"/>
      <c r="CA34" s="46"/>
      <c r="CB34" s="46"/>
      <c r="CC34" s="46"/>
      <c r="CD34" s="46"/>
      <c r="CE34" s="46"/>
      <c r="CF34" s="46"/>
      <c r="CG34" s="46"/>
      <c r="CH34" s="46"/>
      <c r="CI34" s="509"/>
    </row>
    <row r="35" spans="1:87" ht="18" customHeight="1" x14ac:dyDescent="0.25">
      <c r="A35" s="370">
        <v>29</v>
      </c>
      <c r="B35" s="554" t="e">
        <f t="shared" si="0"/>
        <v>#N/A</v>
      </c>
      <c r="C35" s="242"/>
      <c r="D35" s="512"/>
      <c r="E35" s="512"/>
      <c r="F35" s="512"/>
      <c r="G35" s="512"/>
      <c r="H35" s="512"/>
      <c r="I35" s="512"/>
      <c r="J35" s="556"/>
      <c r="K35" s="491"/>
      <c r="L35" s="480"/>
      <c r="M35" s="480"/>
      <c r="N35" s="480"/>
      <c r="O35" s="480"/>
      <c r="P35" s="480"/>
      <c r="Q35" s="480"/>
      <c r="R35" s="480"/>
      <c r="S35" s="480"/>
      <c r="T35" s="480"/>
      <c r="U35" s="480"/>
      <c r="V35" s="496"/>
      <c r="W35" s="501"/>
      <c r="X35" s="325"/>
      <c r="Y35" s="325"/>
      <c r="Z35" s="325"/>
      <c r="AA35" s="325"/>
      <c r="AB35" s="325"/>
      <c r="AC35" s="325"/>
      <c r="AD35" s="325"/>
      <c r="AE35" s="552"/>
      <c r="AF35" s="491"/>
      <c r="AG35" s="480"/>
      <c r="AH35" s="480"/>
      <c r="AI35" s="480"/>
      <c r="AJ35" s="480"/>
      <c r="AK35" s="480"/>
      <c r="AL35" s="496"/>
      <c r="AM35" s="495"/>
      <c r="AN35" s="480"/>
      <c r="AO35" s="480"/>
      <c r="AP35" s="480"/>
      <c r="AQ35" s="480"/>
      <c r="AR35" s="480"/>
      <c r="AS35" s="480"/>
      <c r="AT35" s="490"/>
      <c r="AU35" s="495"/>
      <c r="AV35" s="480"/>
      <c r="AW35" s="480"/>
      <c r="AX35" s="480"/>
      <c r="AY35" s="480"/>
      <c r="AZ35" s="480"/>
      <c r="BA35" s="490"/>
      <c r="BB35" s="501"/>
      <c r="BC35" s="325"/>
      <c r="BD35" s="325"/>
      <c r="BE35" s="506"/>
      <c r="BF35" s="501"/>
      <c r="BG35" s="325"/>
      <c r="BH35" s="325"/>
      <c r="BI35" s="325"/>
      <c r="BJ35" s="325"/>
      <c r="BK35" s="325"/>
      <c r="BL35" s="325"/>
      <c r="BM35" s="325"/>
      <c r="BN35" s="325"/>
      <c r="BO35" s="325"/>
      <c r="BP35" s="325"/>
      <c r="BQ35" s="325"/>
      <c r="BR35" s="552"/>
      <c r="BS35" s="231"/>
      <c r="BT35" s="46"/>
      <c r="BU35" s="46"/>
      <c r="BV35" s="46"/>
      <c r="BW35" s="46"/>
      <c r="BX35" s="46"/>
      <c r="BY35" s="46"/>
      <c r="BZ35" s="46"/>
      <c r="CA35" s="46"/>
      <c r="CB35" s="46"/>
      <c r="CC35" s="46"/>
      <c r="CD35" s="46"/>
      <c r="CE35" s="46"/>
      <c r="CF35" s="46"/>
      <c r="CG35" s="46"/>
      <c r="CH35" s="46"/>
      <c r="CI35" s="509"/>
    </row>
    <row r="36" spans="1:87" ht="18" customHeight="1" x14ac:dyDescent="0.25">
      <c r="A36" s="370">
        <v>30</v>
      </c>
      <c r="B36" s="554" t="e">
        <f t="shared" si="0"/>
        <v>#N/A</v>
      </c>
      <c r="C36" s="242"/>
      <c r="D36" s="512"/>
      <c r="E36" s="512"/>
      <c r="F36" s="512"/>
      <c r="G36" s="512"/>
      <c r="H36" s="512"/>
      <c r="I36" s="512"/>
      <c r="J36" s="556"/>
      <c r="K36" s="491"/>
      <c r="L36" s="480"/>
      <c r="M36" s="480"/>
      <c r="N36" s="480"/>
      <c r="O36" s="480"/>
      <c r="P36" s="480"/>
      <c r="Q36" s="480"/>
      <c r="R36" s="480"/>
      <c r="S36" s="480"/>
      <c r="T36" s="480"/>
      <c r="U36" s="480"/>
      <c r="V36" s="496"/>
      <c r="W36" s="501"/>
      <c r="X36" s="325"/>
      <c r="Y36" s="325"/>
      <c r="Z36" s="325"/>
      <c r="AA36" s="325"/>
      <c r="AB36" s="325"/>
      <c r="AC36" s="325"/>
      <c r="AD36" s="325"/>
      <c r="AE36" s="552"/>
      <c r="AF36" s="491"/>
      <c r="AG36" s="480"/>
      <c r="AH36" s="480"/>
      <c r="AI36" s="480"/>
      <c r="AJ36" s="480"/>
      <c r="AK36" s="480"/>
      <c r="AL36" s="496"/>
      <c r="AM36" s="495"/>
      <c r="AN36" s="480"/>
      <c r="AO36" s="480"/>
      <c r="AP36" s="480"/>
      <c r="AQ36" s="480"/>
      <c r="AR36" s="480"/>
      <c r="AS36" s="480"/>
      <c r="AT36" s="490"/>
      <c r="AU36" s="495"/>
      <c r="AV36" s="480"/>
      <c r="AW36" s="480"/>
      <c r="AX36" s="480"/>
      <c r="AY36" s="480"/>
      <c r="AZ36" s="480"/>
      <c r="BA36" s="490"/>
      <c r="BB36" s="501"/>
      <c r="BC36" s="325"/>
      <c r="BD36" s="325"/>
      <c r="BE36" s="506"/>
      <c r="BF36" s="501"/>
      <c r="BG36" s="325"/>
      <c r="BH36" s="325"/>
      <c r="BI36" s="325"/>
      <c r="BJ36" s="325"/>
      <c r="BK36" s="325"/>
      <c r="BL36" s="325"/>
      <c r="BM36" s="325"/>
      <c r="BN36" s="325"/>
      <c r="BO36" s="325"/>
      <c r="BP36" s="325"/>
      <c r="BQ36" s="325"/>
      <c r="BR36" s="552"/>
      <c r="BS36" s="231"/>
      <c r="BT36" s="46"/>
      <c r="BU36" s="46"/>
      <c r="BV36" s="46"/>
      <c r="BW36" s="46"/>
      <c r="BX36" s="46"/>
      <c r="BY36" s="46"/>
      <c r="BZ36" s="46"/>
      <c r="CA36" s="46"/>
      <c r="CB36" s="46"/>
      <c r="CC36" s="46"/>
      <c r="CD36" s="46"/>
      <c r="CE36" s="46"/>
      <c r="CF36" s="46"/>
      <c r="CG36" s="46"/>
      <c r="CH36" s="46"/>
      <c r="CI36" s="509"/>
    </row>
    <row r="37" spans="1:87" ht="18" customHeight="1" x14ac:dyDescent="0.25">
      <c r="A37" s="370">
        <v>31</v>
      </c>
      <c r="B37" s="554" t="e">
        <f t="shared" si="0"/>
        <v>#N/A</v>
      </c>
      <c r="C37" s="242"/>
      <c r="D37" s="512"/>
      <c r="E37" s="512"/>
      <c r="F37" s="512"/>
      <c r="G37" s="512"/>
      <c r="H37" s="512"/>
      <c r="I37" s="512"/>
      <c r="J37" s="556"/>
      <c r="K37" s="491"/>
      <c r="L37" s="480"/>
      <c r="M37" s="480"/>
      <c r="N37" s="480"/>
      <c r="O37" s="480"/>
      <c r="P37" s="480"/>
      <c r="Q37" s="480"/>
      <c r="R37" s="480"/>
      <c r="S37" s="480"/>
      <c r="T37" s="480"/>
      <c r="U37" s="480"/>
      <c r="V37" s="496"/>
      <c r="W37" s="501"/>
      <c r="X37" s="325"/>
      <c r="Y37" s="325"/>
      <c r="Z37" s="325"/>
      <c r="AA37" s="325"/>
      <c r="AB37" s="325"/>
      <c r="AC37" s="325"/>
      <c r="AD37" s="325"/>
      <c r="AE37" s="552"/>
      <c r="AF37" s="491"/>
      <c r="AG37" s="480"/>
      <c r="AH37" s="480"/>
      <c r="AI37" s="480"/>
      <c r="AJ37" s="480"/>
      <c r="AK37" s="480"/>
      <c r="AL37" s="496"/>
      <c r="AM37" s="495"/>
      <c r="AN37" s="480"/>
      <c r="AO37" s="480"/>
      <c r="AP37" s="480"/>
      <c r="AQ37" s="480"/>
      <c r="AR37" s="480"/>
      <c r="AS37" s="480"/>
      <c r="AT37" s="490"/>
      <c r="AU37" s="495"/>
      <c r="AV37" s="480"/>
      <c r="AW37" s="480"/>
      <c r="AX37" s="480"/>
      <c r="AY37" s="480"/>
      <c r="AZ37" s="480"/>
      <c r="BA37" s="490"/>
      <c r="BB37" s="501"/>
      <c r="BC37" s="325"/>
      <c r="BD37" s="325"/>
      <c r="BE37" s="506"/>
      <c r="BF37" s="501"/>
      <c r="BG37" s="325"/>
      <c r="BH37" s="325"/>
      <c r="BI37" s="325"/>
      <c r="BJ37" s="325"/>
      <c r="BK37" s="325"/>
      <c r="BL37" s="325"/>
      <c r="BM37" s="325"/>
      <c r="BN37" s="325"/>
      <c r="BO37" s="325"/>
      <c r="BP37" s="325"/>
      <c r="BQ37" s="325"/>
      <c r="BR37" s="552"/>
      <c r="BS37" s="231"/>
      <c r="BT37" s="46"/>
      <c r="BU37" s="46"/>
      <c r="BV37" s="46"/>
      <c r="BW37" s="46"/>
      <c r="BX37" s="46"/>
      <c r="BY37" s="46"/>
      <c r="BZ37" s="46"/>
      <c r="CA37" s="46"/>
      <c r="CB37" s="46"/>
      <c r="CC37" s="46"/>
      <c r="CD37" s="46"/>
      <c r="CE37" s="46"/>
      <c r="CF37" s="46"/>
      <c r="CG37" s="46"/>
      <c r="CH37" s="46"/>
      <c r="CI37" s="509"/>
    </row>
    <row r="38" spans="1:87" ht="18" customHeight="1" x14ac:dyDescent="0.25">
      <c r="A38" s="370">
        <v>32</v>
      </c>
      <c r="B38" s="554" t="e">
        <f t="shared" si="0"/>
        <v>#N/A</v>
      </c>
      <c r="C38" s="242"/>
      <c r="D38" s="512"/>
      <c r="E38" s="512"/>
      <c r="F38" s="512"/>
      <c r="G38" s="512"/>
      <c r="H38" s="512"/>
      <c r="I38" s="512"/>
      <c r="J38" s="556"/>
      <c r="K38" s="491"/>
      <c r="L38" s="480"/>
      <c r="M38" s="480"/>
      <c r="N38" s="480"/>
      <c r="O38" s="480"/>
      <c r="P38" s="480"/>
      <c r="Q38" s="480"/>
      <c r="R38" s="480"/>
      <c r="S38" s="480"/>
      <c r="T38" s="480"/>
      <c r="U38" s="480"/>
      <c r="V38" s="496"/>
      <c r="W38" s="501"/>
      <c r="X38" s="325"/>
      <c r="Y38" s="325"/>
      <c r="Z38" s="325"/>
      <c r="AA38" s="325"/>
      <c r="AB38" s="325"/>
      <c r="AC38" s="325"/>
      <c r="AD38" s="325"/>
      <c r="AE38" s="552"/>
      <c r="AF38" s="491"/>
      <c r="AG38" s="480"/>
      <c r="AH38" s="480"/>
      <c r="AI38" s="480"/>
      <c r="AJ38" s="480"/>
      <c r="AK38" s="480"/>
      <c r="AL38" s="496"/>
      <c r="AM38" s="495"/>
      <c r="AN38" s="480"/>
      <c r="AO38" s="480"/>
      <c r="AP38" s="480"/>
      <c r="AQ38" s="480"/>
      <c r="AR38" s="480"/>
      <c r="AS38" s="480"/>
      <c r="AT38" s="490"/>
      <c r="AU38" s="495"/>
      <c r="AV38" s="480"/>
      <c r="AW38" s="480"/>
      <c r="AX38" s="480"/>
      <c r="AY38" s="480"/>
      <c r="AZ38" s="480"/>
      <c r="BA38" s="490"/>
      <c r="BB38" s="501"/>
      <c r="BC38" s="325"/>
      <c r="BD38" s="325"/>
      <c r="BE38" s="506"/>
      <c r="BF38" s="501"/>
      <c r="BG38" s="325"/>
      <c r="BH38" s="325"/>
      <c r="BI38" s="325"/>
      <c r="BJ38" s="325"/>
      <c r="BK38" s="325"/>
      <c r="BL38" s="325"/>
      <c r="BM38" s="325"/>
      <c r="BN38" s="325"/>
      <c r="BO38" s="325"/>
      <c r="BP38" s="325"/>
      <c r="BQ38" s="325"/>
      <c r="BR38" s="552"/>
      <c r="BS38" s="231"/>
      <c r="BT38" s="46"/>
      <c r="BU38" s="46"/>
      <c r="BV38" s="46"/>
      <c r="BW38" s="46"/>
      <c r="BX38" s="46"/>
      <c r="BY38" s="46"/>
      <c r="BZ38" s="46"/>
      <c r="CA38" s="46"/>
      <c r="CB38" s="46"/>
      <c r="CC38" s="46"/>
      <c r="CD38" s="46"/>
      <c r="CE38" s="46"/>
      <c r="CF38" s="46"/>
      <c r="CG38" s="46"/>
      <c r="CH38" s="46"/>
      <c r="CI38" s="509"/>
    </row>
    <row r="39" spans="1:87" ht="18" customHeight="1" x14ac:dyDescent="0.25">
      <c r="A39" s="370">
        <v>33</v>
      </c>
      <c r="B39" s="554" t="e">
        <f t="shared" si="0"/>
        <v>#N/A</v>
      </c>
      <c r="C39" s="242"/>
      <c r="D39" s="512"/>
      <c r="E39" s="512"/>
      <c r="F39" s="512"/>
      <c r="G39" s="512"/>
      <c r="H39" s="512"/>
      <c r="I39" s="512"/>
      <c r="J39" s="556"/>
      <c r="K39" s="491"/>
      <c r="L39" s="480"/>
      <c r="M39" s="480"/>
      <c r="N39" s="480"/>
      <c r="O39" s="480"/>
      <c r="P39" s="480"/>
      <c r="Q39" s="480"/>
      <c r="R39" s="480"/>
      <c r="S39" s="480"/>
      <c r="T39" s="480"/>
      <c r="U39" s="480"/>
      <c r="V39" s="496"/>
      <c r="W39" s="501"/>
      <c r="X39" s="325"/>
      <c r="Y39" s="325"/>
      <c r="Z39" s="325"/>
      <c r="AA39" s="325"/>
      <c r="AB39" s="325"/>
      <c r="AC39" s="325"/>
      <c r="AD39" s="325"/>
      <c r="AE39" s="552"/>
      <c r="AF39" s="491"/>
      <c r="AG39" s="480"/>
      <c r="AH39" s="480"/>
      <c r="AI39" s="480"/>
      <c r="AJ39" s="480"/>
      <c r="AK39" s="480"/>
      <c r="AL39" s="496"/>
      <c r="AM39" s="495"/>
      <c r="AN39" s="480"/>
      <c r="AO39" s="480"/>
      <c r="AP39" s="480"/>
      <c r="AQ39" s="480"/>
      <c r="AR39" s="480"/>
      <c r="AS39" s="480"/>
      <c r="AT39" s="490"/>
      <c r="AU39" s="495"/>
      <c r="AV39" s="480"/>
      <c r="AW39" s="480"/>
      <c r="AX39" s="480"/>
      <c r="AY39" s="480"/>
      <c r="AZ39" s="480"/>
      <c r="BA39" s="490"/>
      <c r="BB39" s="501"/>
      <c r="BC39" s="325"/>
      <c r="BD39" s="325"/>
      <c r="BE39" s="506"/>
      <c r="BF39" s="501"/>
      <c r="BG39" s="325"/>
      <c r="BH39" s="325"/>
      <c r="BI39" s="325"/>
      <c r="BJ39" s="325"/>
      <c r="BK39" s="325"/>
      <c r="BL39" s="325"/>
      <c r="BM39" s="325"/>
      <c r="BN39" s="325"/>
      <c r="BO39" s="325"/>
      <c r="BP39" s="325"/>
      <c r="BQ39" s="325"/>
      <c r="BR39" s="552"/>
      <c r="BS39" s="231"/>
      <c r="BT39" s="46"/>
      <c r="BU39" s="46"/>
      <c r="BV39" s="46"/>
      <c r="BW39" s="46"/>
      <c r="BX39" s="46"/>
      <c r="BY39" s="46"/>
      <c r="BZ39" s="46"/>
      <c r="CA39" s="46"/>
      <c r="CB39" s="46"/>
      <c r="CC39" s="46"/>
      <c r="CD39" s="46"/>
      <c r="CE39" s="46"/>
      <c r="CF39" s="46"/>
      <c r="CG39" s="46"/>
      <c r="CH39" s="46"/>
      <c r="CI39" s="509"/>
    </row>
    <row r="40" spans="1:87" ht="18" customHeight="1" x14ac:dyDescent="0.25">
      <c r="A40" s="370">
        <v>34</v>
      </c>
      <c r="B40" s="554" t="e">
        <f t="shared" si="0"/>
        <v>#N/A</v>
      </c>
      <c r="C40" s="242"/>
      <c r="D40" s="512"/>
      <c r="E40" s="512"/>
      <c r="F40" s="512"/>
      <c r="G40" s="512"/>
      <c r="H40" s="512"/>
      <c r="I40" s="512"/>
      <c r="J40" s="556"/>
      <c r="K40" s="491"/>
      <c r="L40" s="480"/>
      <c r="M40" s="480"/>
      <c r="N40" s="480"/>
      <c r="O40" s="480"/>
      <c r="P40" s="480"/>
      <c r="Q40" s="480"/>
      <c r="R40" s="480"/>
      <c r="S40" s="480"/>
      <c r="T40" s="480"/>
      <c r="U40" s="480"/>
      <c r="V40" s="496"/>
      <c r="W40" s="501"/>
      <c r="X40" s="325"/>
      <c r="Y40" s="325"/>
      <c r="Z40" s="325"/>
      <c r="AA40" s="325"/>
      <c r="AB40" s="325"/>
      <c r="AC40" s="325"/>
      <c r="AD40" s="325"/>
      <c r="AE40" s="552"/>
      <c r="AF40" s="491"/>
      <c r="AG40" s="480"/>
      <c r="AH40" s="480"/>
      <c r="AI40" s="480"/>
      <c r="AJ40" s="480"/>
      <c r="AK40" s="480"/>
      <c r="AL40" s="496"/>
      <c r="AM40" s="495"/>
      <c r="AN40" s="480"/>
      <c r="AO40" s="480"/>
      <c r="AP40" s="480"/>
      <c r="AQ40" s="480"/>
      <c r="AR40" s="480"/>
      <c r="AS40" s="480"/>
      <c r="AT40" s="490"/>
      <c r="AU40" s="495"/>
      <c r="AV40" s="480"/>
      <c r="AW40" s="480"/>
      <c r="AX40" s="480"/>
      <c r="AY40" s="480"/>
      <c r="AZ40" s="480"/>
      <c r="BA40" s="490"/>
      <c r="BB40" s="501"/>
      <c r="BC40" s="325"/>
      <c r="BD40" s="325"/>
      <c r="BE40" s="506"/>
      <c r="BF40" s="501"/>
      <c r="BG40" s="325"/>
      <c r="BH40" s="325"/>
      <c r="BI40" s="325"/>
      <c r="BJ40" s="325"/>
      <c r="BK40" s="325"/>
      <c r="BL40" s="325"/>
      <c r="BM40" s="325"/>
      <c r="BN40" s="325"/>
      <c r="BO40" s="325"/>
      <c r="BP40" s="325"/>
      <c r="BQ40" s="325"/>
      <c r="BR40" s="552"/>
      <c r="BS40" s="231"/>
      <c r="BT40" s="46"/>
      <c r="BU40" s="46"/>
      <c r="BV40" s="46"/>
      <c r="BW40" s="46"/>
      <c r="BX40" s="46"/>
      <c r="BY40" s="46"/>
      <c r="BZ40" s="46"/>
      <c r="CA40" s="46"/>
      <c r="CB40" s="46"/>
      <c r="CC40" s="46"/>
      <c r="CD40" s="46"/>
      <c r="CE40" s="46"/>
      <c r="CF40" s="46"/>
      <c r="CG40" s="46"/>
      <c r="CH40" s="46"/>
      <c r="CI40" s="509"/>
    </row>
    <row r="41" spans="1:87" ht="18" customHeight="1" x14ac:dyDescent="0.25">
      <c r="A41" s="577">
        <v>35</v>
      </c>
      <c r="B41" s="595" t="e">
        <f t="shared" si="0"/>
        <v>#N/A</v>
      </c>
      <c r="C41" s="577"/>
      <c r="D41" s="577"/>
      <c r="E41" s="577"/>
      <c r="F41" s="577"/>
      <c r="G41" s="577"/>
      <c r="H41" s="577"/>
      <c r="I41" s="577"/>
      <c r="J41" s="577"/>
      <c r="K41" s="325"/>
      <c r="L41" s="325"/>
      <c r="M41" s="325"/>
      <c r="N41" s="325"/>
      <c r="O41" s="325"/>
      <c r="P41" s="325"/>
      <c r="Q41" s="325"/>
      <c r="R41" s="325"/>
      <c r="S41" s="325"/>
      <c r="T41" s="325"/>
      <c r="U41" s="325"/>
      <c r="V41" s="325"/>
      <c r="W41" s="325"/>
      <c r="X41" s="325"/>
      <c r="Y41" s="325"/>
      <c r="Z41" s="325"/>
      <c r="AA41" s="325"/>
      <c r="AB41" s="325"/>
      <c r="AC41" s="325"/>
      <c r="AD41" s="325"/>
      <c r="AE41" s="325"/>
      <c r="AF41" s="325"/>
      <c r="AG41" s="325"/>
      <c r="AH41" s="325"/>
      <c r="AI41" s="325"/>
      <c r="AJ41" s="325"/>
      <c r="AK41" s="325"/>
      <c r="AL41" s="325"/>
      <c r="AM41" s="325"/>
      <c r="AN41" s="325"/>
      <c r="AO41" s="325"/>
      <c r="AP41" s="325"/>
      <c r="AQ41" s="325"/>
      <c r="AR41" s="325"/>
      <c r="AS41" s="325"/>
      <c r="AT41" s="325"/>
      <c r="AU41" s="325"/>
      <c r="AV41" s="325"/>
      <c r="AW41" s="325"/>
      <c r="AX41" s="325"/>
      <c r="AY41" s="325"/>
      <c r="AZ41" s="325"/>
      <c r="BA41" s="325"/>
      <c r="BB41" s="325"/>
      <c r="BC41" s="325"/>
      <c r="BD41" s="325"/>
      <c r="BE41" s="325"/>
      <c r="BF41" s="325"/>
      <c r="BG41" s="325"/>
      <c r="BH41" s="325"/>
      <c r="BI41" s="325"/>
      <c r="BJ41" s="325"/>
      <c r="BK41" s="325"/>
      <c r="BL41" s="325"/>
      <c r="BM41" s="325"/>
      <c r="BN41" s="325"/>
      <c r="BO41" s="325"/>
      <c r="BP41" s="325"/>
      <c r="BQ41" s="325"/>
      <c r="BR41" s="325"/>
      <c r="BS41" s="46"/>
      <c r="BT41" s="46"/>
      <c r="BU41" s="46"/>
      <c r="BV41" s="46"/>
      <c r="BW41" s="46"/>
      <c r="BX41" s="46"/>
      <c r="BY41" s="46"/>
      <c r="BZ41" s="46"/>
      <c r="CA41" s="46"/>
      <c r="CB41" s="46"/>
      <c r="CC41" s="46"/>
      <c r="CD41" s="46"/>
      <c r="CE41" s="46"/>
      <c r="CF41" s="46"/>
      <c r="CG41" s="46"/>
      <c r="CH41" s="46"/>
      <c r="CI41" s="46"/>
    </row>
    <row r="42" spans="1:87" ht="18" customHeight="1" x14ac:dyDescent="0.25">
      <c r="A42" s="577">
        <v>36</v>
      </c>
      <c r="B42" s="595" t="e">
        <f t="shared" ref="B42:B46" si="1">VLOOKUP(A42,data_siswa,4,FALSE)</f>
        <v>#N/A</v>
      </c>
      <c r="C42" s="46"/>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c r="AY42" s="46"/>
      <c r="AZ42" s="46"/>
      <c r="BA42" s="46"/>
      <c r="BB42" s="46"/>
      <c r="BC42" s="46"/>
      <c r="BD42" s="46"/>
      <c r="BE42" s="46"/>
      <c r="BF42" s="46"/>
      <c r="BG42" s="46"/>
      <c r="BH42" s="46"/>
      <c r="BI42" s="46"/>
      <c r="BJ42" s="46"/>
      <c r="BK42" s="46"/>
      <c r="BL42" s="46"/>
      <c r="BM42" s="46"/>
      <c r="BN42" s="46"/>
      <c r="BO42" s="46"/>
      <c r="BP42" s="46"/>
      <c r="BQ42" s="46"/>
      <c r="BR42" s="46"/>
      <c r="BS42" s="46"/>
      <c r="BT42" s="46"/>
      <c r="BU42" s="46"/>
      <c r="BV42" s="46"/>
      <c r="BW42" s="46"/>
      <c r="BX42" s="46"/>
      <c r="BY42" s="46"/>
      <c r="BZ42" s="46"/>
      <c r="CA42" s="46"/>
      <c r="CB42" s="46"/>
      <c r="CC42" s="46"/>
      <c r="CD42" s="46"/>
      <c r="CE42" s="46"/>
      <c r="CF42" s="46"/>
      <c r="CG42" s="46"/>
      <c r="CH42" s="46"/>
      <c r="CI42" s="46"/>
    </row>
    <row r="43" spans="1:87" ht="18" customHeight="1" x14ac:dyDescent="0.25">
      <c r="A43" s="577">
        <v>37</v>
      </c>
      <c r="B43" s="595" t="e">
        <f t="shared" si="1"/>
        <v>#N/A</v>
      </c>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c r="BR43" s="46"/>
      <c r="BS43" s="46"/>
      <c r="BT43" s="46"/>
      <c r="BU43" s="46"/>
      <c r="BV43" s="46"/>
      <c r="BW43" s="46"/>
      <c r="BX43" s="46"/>
      <c r="BY43" s="46"/>
      <c r="BZ43" s="46"/>
      <c r="CA43" s="46"/>
      <c r="CB43" s="46"/>
      <c r="CC43" s="46"/>
      <c r="CD43" s="46"/>
      <c r="CE43" s="46"/>
      <c r="CF43" s="46"/>
      <c r="CG43" s="46"/>
      <c r="CH43" s="46"/>
      <c r="CI43" s="46"/>
    </row>
    <row r="44" spans="1:87" ht="18" customHeight="1" x14ac:dyDescent="0.25">
      <c r="A44" s="577">
        <v>38</v>
      </c>
      <c r="B44" s="595" t="e">
        <f t="shared" si="1"/>
        <v>#N/A</v>
      </c>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BZ44" s="46"/>
      <c r="CA44" s="46"/>
      <c r="CB44" s="46"/>
      <c r="CC44" s="46"/>
      <c r="CD44" s="46"/>
      <c r="CE44" s="46"/>
      <c r="CF44" s="46"/>
      <c r="CG44" s="46"/>
      <c r="CH44" s="46"/>
      <c r="CI44" s="46"/>
    </row>
    <row r="45" spans="1:87" ht="18" customHeight="1" x14ac:dyDescent="0.25">
      <c r="A45" s="577">
        <v>39</v>
      </c>
      <c r="B45" s="595" t="e">
        <f t="shared" si="1"/>
        <v>#N/A</v>
      </c>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row>
    <row r="46" spans="1:87" ht="18" customHeight="1" x14ac:dyDescent="0.25">
      <c r="A46" s="577">
        <v>40</v>
      </c>
      <c r="B46" s="595" t="e">
        <f t="shared" si="1"/>
        <v>#N/A</v>
      </c>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row>
  </sheetData>
  <mergeCells count="28">
    <mergeCell ref="C4:J4"/>
    <mergeCell ref="A4:A6"/>
    <mergeCell ref="B4:B6"/>
    <mergeCell ref="C6:J6"/>
    <mergeCell ref="P5:R5"/>
    <mergeCell ref="S5:V5"/>
    <mergeCell ref="K4:V4"/>
    <mergeCell ref="W4:AE4"/>
    <mergeCell ref="W5:X5"/>
    <mergeCell ref="AA5:AB5"/>
    <mergeCell ref="AC5:AE5"/>
    <mergeCell ref="Y5:Z5"/>
    <mergeCell ref="K5:N5"/>
    <mergeCell ref="AF5:AL5"/>
    <mergeCell ref="AM5:AT5"/>
    <mergeCell ref="AU5:BA5"/>
    <mergeCell ref="BB5:BE5"/>
    <mergeCell ref="BF4:BR4"/>
    <mergeCell ref="BF5:BI5"/>
    <mergeCell ref="BL5:BN5"/>
    <mergeCell ref="BO5:BR5"/>
    <mergeCell ref="BJ5:BK5"/>
    <mergeCell ref="AF4:BE4"/>
    <mergeCell ref="BS4:CI4"/>
    <mergeCell ref="BS5:BU5"/>
    <mergeCell ref="BV5:BX5"/>
    <mergeCell ref="BY5:CC5"/>
    <mergeCell ref="CD5:CI5"/>
  </mergeCells>
  <pageMargins left="0.7" right="0.7" top="0.75" bottom="0.75" header="0.3" footer="0.3"/>
  <pageSetup paperSize="9" orientation="portrait" horizontalDpi="0" verticalDpi="0"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M102"/>
  <sheetViews>
    <sheetView showGridLines="0" view="pageBreakPreview" zoomScaleSheetLayoutView="100" workbookViewId="0">
      <selection sqref="A1:F1"/>
    </sheetView>
  </sheetViews>
  <sheetFormatPr defaultRowHeight="15" x14ac:dyDescent="0.25"/>
  <sheetData>
    <row r="1" spans="1:6" ht="23.25" x14ac:dyDescent="0.35">
      <c r="A1" s="3309" t="s">
        <v>462</v>
      </c>
      <c r="B1" s="3310"/>
      <c r="C1" s="3310"/>
      <c r="D1" s="3310"/>
      <c r="E1" s="3310"/>
      <c r="F1" s="3311"/>
    </row>
    <row r="34" spans="1:5" x14ac:dyDescent="0.25">
      <c r="A34" s="3312" t="s">
        <v>463</v>
      </c>
      <c r="B34" s="3313"/>
      <c r="C34" s="3313"/>
      <c r="D34" s="3313"/>
      <c r="E34" s="3314"/>
    </row>
    <row r="35" spans="1:5" x14ac:dyDescent="0.25">
      <c r="A35" s="3315"/>
      <c r="B35" s="3316"/>
      <c r="C35" s="3316"/>
      <c r="D35" s="3316"/>
      <c r="E35" s="3317"/>
    </row>
    <row r="67" ht="24.75" customHeight="1" x14ac:dyDescent="0.25"/>
    <row r="101" spans="8:13" x14ac:dyDescent="0.25">
      <c r="H101" s="3303" t="s">
        <v>977</v>
      </c>
      <c r="I101" s="3304"/>
      <c r="J101" s="3304"/>
      <c r="K101" s="3304"/>
      <c r="L101" s="3304"/>
      <c r="M101" s="3305"/>
    </row>
    <row r="102" spans="8:13" x14ac:dyDescent="0.25">
      <c r="H102" s="3306"/>
      <c r="I102" s="3307"/>
      <c r="J102" s="3307"/>
      <c r="K102" s="3307"/>
      <c r="L102" s="3307"/>
      <c r="M102" s="3308"/>
    </row>
  </sheetData>
  <mergeCells count="3">
    <mergeCell ref="H101:M102"/>
    <mergeCell ref="A1:F1"/>
    <mergeCell ref="A34:E35"/>
  </mergeCells>
  <pageMargins left="0.77" right="0.7" top="0.75" bottom="0.75" header="0.3" footer="0.3"/>
  <pageSetup paperSize="9" orientation="landscape" horizontalDpi="300" verticalDpi="300"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3:F46"/>
  <sheetViews>
    <sheetView showGridLines="0" workbookViewId="0"/>
  </sheetViews>
  <sheetFormatPr defaultRowHeight="15" x14ac:dyDescent="0.25"/>
  <cols>
    <col min="1" max="1" width="5.7109375" customWidth="1"/>
    <col min="2" max="2" width="33.85546875" customWidth="1"/>
    <col min="3" max="6" width="35.7109375" customWidth="1"/>
  </cols>
  <sheetData>
    <row r="3" spans="1:6" ht="23.25" x14ac:dyDescent="0.35">
      <c r="A3" s="29" t="s">
        <v>483</v>
      </c>
    </row>
    <row r="4" spans="1:6" s="1" customFormat="1" ht="18.75" customHeight="1" x14ac:dyDescent="0.2">
      <c r="A4" s="573" t="s">
        <v>0</v>
      </c>
      <c r="B4" s="573" t="s">
        <v>1</v>
      </c>
      <c r="C4" s="2353" t="s">
        <v>484</v>
      </c>
      <c r="D4" s="2353"/>
      <c r="E4" s="2353"/>
      <c r="F4" s="2353"/>
    </row>
    <row r="5" spans="1:6" s="1" customFormat="1" ht="18.75" customHeight="1" x14ac:dyDescent="0.2">
      <c r="A5" s="656">
        <v>1</v>
      </c>
      <c r="B5" s="656"/>
      <c r="C5" s="654" t="s">
        <v>485</v>
      </c>
      <c r="D5" s="650" t="s">
        <v>137</v>
      </c>
      <c r="E5" s="657" t="s">
        <v>486</v>
      </c>
      <c r="F5" s="658" t="s">
        <v>487</v>
      </c>
    </row>
    <row r="6" spans="1:6" x14ac:dyDescent="0.25">
      <c r="A6" s="644">
        <v>1</v>
      </c>
      <c r="B6" s="655" t="str">
        <f t="shared" ref="B6:B45" si="0">VLOOKUP(A6,data_siswa,4,FALSE)</f>
        <v>Achmad Zacky</v>
      </c>
      <c r="C6" s="46" t="s">
        <v>488</v>
      </c>
      <c r="D6" s="46" t="s">
        <v>491</v>
      </c>
      <c r="E6" s="46" t="s">
        <v>490</v>
      </c>
      <c r="F6" s="46" t="s">
        <v>489</v>
      </c>
    </row>
    <row r="7" spans="1:6" x14ac:dyDescent="0.25">
      <c r="A7" s="644">
        <v>2</v>
      </c>
      <c r="B7" s="655" t="str">
        <f t="shared" si="0"/>
        <v>Angelia Vabel R</v>
      </c>
      <c r="C7" s="46"/>
      <c r="D7" s="46"/>
      <c r="E7" s="46"/>
      <c r="F7" s="46"/>
    </row>
    <row r="8" spans="1:6" x14ac:dyDescent="0.25">
      <c r="A8" s="644">
        <v>3</v>
      </c>
      <c r="B8" s="655" t="str">
        <f t="shared" si="0"/>
        <v>Anggun Dwi P.I</v>
      </c>
      <c r="C8" s="46"/>
      <c r="D8" s="46"/>
      <c r="E8" s="46"/>
      <c r="F8" s="46"/>
    </row>
    <row r="9" spans="1:6" x14ac:dyDescent="0.25">
      <c r="A9" s="644">
        <v>4</v>
      </c>
      <c r="B9" s="655" t="str">
        <f t="shared" si="0"/>
        <v>Antonio Permata A</v>
      </c>
      <c r="C9" s="46"/>
      <c r="D9" s="46"/>
      <c r="E9" s="46"/>
      <c r="F9" s="46"/>
    </row>
    <row r="10" spans="1:6" x14ac:dyDescent="0.25">
      <c r="A10" s="644">
        <v>5</v>
      </c>
      <c r="B10" s="655" t="str">
        <f t="shared" si="0"/>
        <v>Arya Pratama G</v>
      </c>
      <c r="C10" s="46"/>
      <c r="D10" s="46"/>
      <c r="E10" s="46"/>
      <c r="F10" s="46"/>
    </row>
    <row r="11" spans="1:6" x14ac:dyDescent="0.25">
      <c r="A11" s="644">
        <v>6</v>
      </c>
      <c r="B11" s="655" t="str">
        <f t="shared" si="0"/>
        <v>Asyam Hanif Ihsan H</v>
      </c>
      <c r="C11" s="46"/>
      <c r="D11" s="46"/>
      <c r="E11" s="46"/>
      <c r="F11" s="46"/>
    </row>
    <row r="12" spans="1:6" x14ac:dyDescent="0.25">
      <c r="A12" s="644">
        <v>7</v>
      </c>
      <c r="B12" s="655" t="str">
        <f t="shared" si="0"/>
        <v>Athaya Salsabilla Z</v>
      </c>
      <c r="C12" s="46"/>
      <c r="D12" s="46"/>
      <c r="E12" s="46"/>
      <c r="F12" s="46"/>
    </row>
    <row r="13" spans="1:6" x14ac:dyDescent="0.25">
      <c r="A13" s="644">
        <v>8</v>
      </c>
      <c r="B13" s="655" t="str">
        <f t="shared" si="0"/>
        <v>Aulia Dea Rosalinda</v>
      </c>
      <c r="C13" s="46"/>
      <c r="D13" s="46"/>
      <c r="E13" s="46"/>
      <c r="F13" s="46"/>
    </row>
    <row r="14" spans="1:6" x14ac:dyDescent="0.25">
      <c r="A14" s="644">
        <v>9</v>
      </c>
      <c r="B14" s="655" t="str">
        <f t="shared" si="0"/>
        <v>Claudia Gabriella L</v>
      </c>
      <c r="C14" s="46"/>
      <c r="D14" s="46"/>
      <c r="E14" s="46"/>
      <c r="F14" s="46"/>
    </row>
    <row r="15" spans="1:6" x14ac:dyDescent="0.25">
      <c r="A15" s="644">
        <v>10</v>
      </c>
      <c r="B15" s="655" t="str">
        <f t="shared" si="0"/>
        <v xml:space="preserve">Deco Badarus Zaman </v>
      </c>
      <c r="C15" s="46"/>
      <c r="D15" s="46"/>
      <c r="E15" s="46"/>
      <c r="F15" s="46"/>
    </row>
    <row r="16" spans="1:6" x14ac:dyDescent="0.25">
      <c r="A16" s="644">
        <v>11</v>
      </c>
      <c r="B16" s="655" t="str">
        <f t="shared" si="0"/>
        <v>Fania Mutiara Felichia</v>
      </c>
      <c r="C16" s="46"/>
      <c r="D16" s="46"/>
      <c r="E16" s="46"/>
      <c r="F16" s="46"/>
    </row>
    <row r="17" spans="1:6" x14ac:dyDescent="0.25">
      <c r="A17" s="644">
        <v>12</v>
      </c>
      <c r="B17" s="655" t="str">
        <f t="shared" si="0"/>
        <v>Intan Dyah Nowari</v>
      </c>
      <c r="C17" s="46"/>
      <c r="D17" s="46"/>
      <c r="E17" s="46"/>
      <c r="F17" s="46"/>
    </row>
    <row r="18" spans="1:6" x14ac:dyDescent="0.25">
      <c r="A18" s="644">
        <v>13</v>
      </c>
      <c r="B18" s="655" t="str">
        <f t="shared" si="0"/>
        <v>Misyanita Nurfitri S</v>
      </c>
      <c r="C18" s="46"/>
      <c r="D18" s="46"/>
      <c r="E18" s="46"/>
      <c r="F18" s="46"/>
    </row>
    <row r="19" spans="1:6" x14ac:dyDescent="0.25">
      <c r="A19" s="644">
        <v>14</v>
      </c>
      <c r="B19" s="655" t="str">
        <f t="shared" si="0"/>
        <v>Moch Zidane Hita L. U</v>
      </c>
      <c r="C19" s="46"/>
      <c r="D19" s="46"/>
      <c r="E19" s="46"/>
      <c r="F19" s="46"/>
    </row>
    <row r="20" spans="1:6" x14ac:dyDescent="0.25">
      <c r="A20" s="644">
        <v>15</v>
      </c>
      <c r="B20" s="655" t="str">
        <f t="shared" si="0"/>
        <v>Muhammad Ibra Maulana</v>
      </c>
      <c r="C20" s="46"/>
      <c r="D20" s="46"/>
      <c r="E20" s="46"/>
      <c r="F20" s="46"/>
    </row>
    <row r="21" spans="1:6" x14ac:dyDescent="0.25">
      <c r="A21" s="644">
        <v>16</v>
      </c>
      <c r="B21" s="655" t="str">
        <f t="shared" si="0"/>
        <v>Nabilla Shiva Putri</v>
      </c>
      <c r="C21" s="46"/>
      <c r="D21" s="46"/>
      <c r="E21" s="46"/>
      <c r="F21" s="46"/>
    </row>
    <row r="22" spans="1:6" x14ac:dyDescent="0.25">
      <c r="A22" s="644">
        <v>17</v>
      </c>
      <c r="B22" s="655" t="str">
        <f t="shared" si="0"/>
        <v>Naufal Falih F</v>
      </c>
      <c r="C22" s="46"/>
      <c r="D22" s="46"/>
      <c r="E22" s="46"/>
      <c r="F22" s="46"/>
    </row>
    <row r="23" spans="1:6" x14ac:dyDescent="0.25">
      <c r="A23" s="644">
        <v>18</v>
      </c>
      <c r="B23" s="655" t="str">
        <f t="shared" si="0"/>
        <v>Nayla Annora Nobel W</v>
      </c>
      <c r="C23" s="46"/>
      <c r="D23" s="46"/>
      <c r="E23" s="46"/>
      <c r="F23" s="46"/>
    </row>
    <row r="24" spans="1:6" x14ac:dyDescent="0.25">
      <c r="A24" s="644">
        <v>19</v>
      </c>
      <c r="B24" s="655" t="str">
        <f t="shared" si="0"/>
        <v>Raihan Danang P</v>
      </c>
      <c r="C24" s="46"/>
      <c r="D24" s="46"/>
      <c r="E24" s="46"/>
      <c r="F24" s="46"/>
    </row>
    <row r="25" spans="1:6" x14ac:dyDescent="0.25">
      <c r="A25" s="644">
        <v>20</v>
      </c>
      <c r="B25" s="655" t="str">
        <f t="shared" si="0"/>
        <v>Roby Ardiyansyah</v>
      </c>
      <c r="C25" s="46"/>
      <c r="D25" s="46"/>
      <c r="E25" s="46"/>
      <c r="F25" s="46"/>
    </row>
    <row r="26" spans="1:6" x14ac:dyDescent="0.25">
      <c r="A26" s="644">
        <v>21</v>
      </c>
      <c r="B26" s="655" t="str">
        <f t="shared" si="0"/>
        <v>Rojalingga Prana A</v>
      </c>
      <c r="C26" s="46"/>
      <c r="D26" s="46"/>
      <c r="E26" s="46"/>
      <c r="F26" s="46"/>
    </row>
    <row r="27" spans="1:6" x14ac:dyDescent="0.25">
      <c r="A27" s="644">
        <v>22</v>
      </c>
      <c r="B27" s="655" t="str">
        <f t="shared" si="0"/>
        <v>Sally Savista A</v>
      </c>
      <c r="C27" s="46"/>
      <c r="D27" s="46"/>
      <c r="E27" s="46"/>
      <c r="F27" s="46"/>
    </row>
    <row r="28" spans="1:6" x14ac:dyDescent="0.25">
      <c r="A28" s="644">
        <v>23</v>
      </c>
      <c r="B28" s="655" t="str">
        <f t="shared" si="0"/>
        <v xml:space="preserve">Tania Kaori Angelita </v>
      </c>
      <c r="C28" s="46"/>
      <c r="D28" s="46"/>
      <c r="E28" s="46"/>
      <c r="F28" s="46"/>
    </row>
    <row r="29" spans="1:6" x14ac:dyDescent="0.25">
      <c r="A29" s="644">
        <v>24</v>
      </c>
      <c r="B29" s="655" t="str">
        <f t="shared" si="0"/>
        <v>Romzy Oka Ramadhani P</v>
      </c>
      <c r="C29" s="46"/>
      <c r="D29" s="46"/>
      <c r="E29" s="46"/>
      <c r="F29" s="46"/>
    </row>
    <row r="30" spans="1:6" x14ac:dyDescent="0.25">
      <c r="A30" s="644">
        <v>25</v>
      </c>
      <c r="B30" s="655" t="str">
        <f t="shared" si="0"/>
        <v>Larasati Jagadhita P</v>
      </c>
      <c r="C30" s="46"/>
      <c r="D30" s="46"/>
      <c r="E30" s="46"/>
      <c r="F30" s="46"/>
    </row>
    <row r="31" spans="1:6" x14ac:dyDescent="0.25">
      <c r="A31" s="644">
        <v>26</v>
      </c>
      <c r="B31" s="655" t="str">
        <f t="shared" si="0"/>
        <v>Meliana Citra A</v>
      </c>
      <c r="C31" s="46"/>
      <c r="D31" s="46"/>
      <c r="E31" s="46"/>
      <c r="F31" s="46"/>
    </row>
    <row r="32" spans="1:6" x14ac:dyDescent="0.25">
      <c r="A32" s="644">
        <v>27</v>
      </c>
      <c r="B32" s="655" t="str">
        <f t="shared" si="0"/>
        <v>Mohammad Rizky</v>
      </c>
      <c r="C32" s="46"/>
      <c r="D32" s="46"/>
      <c r="E32" s="46"/>
      <c r="F32" s="46"/>
    </row>
    <row r="33" spans="1:6" x14ac:dyDescent="0.25">
      <c r="A33" s="644">
        <v>28</v>
      </c>
      <c r="B33" s="655" t="e">
        <f t="shared" si="0"/>
        <v>#N/A</v>
      </c>
      <c r="C33" s="46"/>
      <c r="D33" s="46"/>
      <c r="E33" s="46"/>
      <c r="F33" s="46"/>
    </row>
    <row r="34" spans="1:6" x14ac:dyDescent="0.25">
      <c r="A34" s="644">
        <v>29</v>
      </c>
      <c r="B34" s="655" t="e">
        <f t="shared" si="0"/>
        <v>#N/A</v>
      </c>
      <c r="C34" s="46"/>
      <c r="D34" s="46"/>
      <c r="E34" s="46"/>
      <c r="F34" s="46"/>
    </row>
    <row r="35" spans="1:6" x14ac:dyDescent="0.25">
      <c r="A35" s="644">
        <v>30</v>
      </c>
      <c r="B35" s="655" t="e">
        <f t="shared" si="0"/>
        <v>#N/A</v>
      </c>
      <c r="C35" s="46"/>
      <c r="D35" s="46"/>
      <c r="E35" s="46"/>
      <c r="F35" s="46"/>
    </row>
    <row r="36" spans="1:6" x14ac:dyDescent="0.25">
      <c r="A36" s="644">
        <v>31</v>
      </c>
      <c r="B36" s="655" t="e">
        <f t="shared" si="0"/>
        <v>#N/A</v>
      </c>
      <c r="C36" s="46"/>
      <c r="D36" s="46"/>
      <c r="E36" s="46"/>
      <c r="F36" s="46"/>
    </row>
    <row r="37" spans="1:6" x14ac:dyDescent="0.25">
      <c r="A37" s="644">
        <v>32</v>
      </c>
      <c r="B37" s="655" t="e">
        <f t="shared" si="0"/>
        <v>#N/A</v>
      </c>
      <c r="C37" s="46"/>
      <c r="D37" s="46"/>
      <c r="E37" s="46"/>
      <c r="F37" s="46"/>
    </row>
    <row r="38" spans="1:6" x14ac:dyDescent="0.25">
      <c r="A38" s="644">
        <v>33</v>
      </c>
      <c r="B38" s="655" t="e">
        <f t="shared" si="0"/>
        <v>#N/A</v>
      </c>
      <c r="C38" s="46"/>
      <c r="D38" s="46"/>
      <c r="E38" s="46"/>
      <c r="F38" s="46"/>
    </row>
    <row r="39" spans="1:6" x14ac:dyDescent="0.25">
      <c r="A39" s="644">
        <v>34</v>
      </c>
      <c r="B39" s="655" t="e">
        <f t="shared" si="0"/>
        <v>#N/A</v>
      </c>
      <c r="C39" s="46"/>
      <c r="D39" s="46"/>
      <c r="E39" s="46"/>
      <c r="F39" s="46"/>
    </row>
    <row r="40" spans="1:6" x14ac:dyDescent="0.25">
      <c r="A40" s="644">
        <v>35</v>
      </c>
      <c r="B40" s="655" t="e">
        <f t="shared" si="0"/>
        <v>#N/A</v>
      </c>
      <c r="C40" s="46"/>
      <c r="D40" s="46"/>
      <c r="E40" s="46"/>
      <c r="F40" s="46"/>
    </row>
    <row r="41" spans="1:6" x14ac:dyDescent="0.25">
      <c r="A41" s="644">
        <v>36</v>
      </c>
      <c r="B41" s="655" t="e">
        <f t="shared" si="0"/>
        <v>#N/A</v>
      </c>
      <c r="C41" s="46"/>
      <c r="D41" s="46"/>
      <c r="E41" s="46"/>
      <c r="F41" s="46"/>
    </row>
    <row r="42" spans="1:6" x14ac:dyDescent="0.25">
      <c r="A42" s="644">
        <v>37</v>
      </c>
      <c r="B42" s="655" t="e">
        <f t="shared" si="0"/>
        <v>#N/A</v>
      </c>
      <c r="C42" s="46"/>
      <c r="D42" s="46"/>
      <c r="E42" s="46"/>
      <c r="F42" s="46"/>
    </row>
    <row r="43" spans="1:6" x14ac:dyDescent="0.25">
      <c r="A43" s="644">
        <v>38</v>
      </c>
      <c r="B43" s="655" t="e">
        <f t="shared" si="0"/>
        <v>#N/A</v>
      </c>
      <c r="C43" s="46"/>
      <c r="D43" s="46"/>
      <c r="E43" s="46"/>
      <c r="F43" s="46"/>
    </row>
    <row r="44" spans="1:6" x14ac:dyDescent="0.25">
      <c r="A44" s="644">
        <v>39</v>
      </c>
      <c r="B44" s="655" t="e">
        <f t="shared" si="0"/>
        <v>#N/A</v>
      </c>
      <c r="C44" s="46"/>
      <c r="D44" s="46"/>
      <c r="E44" s="46"/>
      <c r="F44" s="46"/>
    </row>
    <row r="45" spans="1:6" x14ac:dyDescent="0.25">
      <c r="A45" s="644">
        <v>40</v>
      </c>
      <c r="B45" s="655" t="e">
        <f t="shared" si="0"/>
        <v>#N/A</v>
      </c>
      <c r="C45" s="46"/>
      <c r="D45" s="46"/>
      <c r="E45" s="46"/>
      <c r="F45" s="46"/>
    </row>
    <row r="46" spans="1:6" x14ac:dyDescent="0.25">
      <c r="A46" s="46"/>
      <c r="B46" s="46"/>
      <c r="C46" s="46"/>
      <c r="D46" s="46"/>
      <c r="E46" s="46"/>
      <c r="F46" s="46"/>
    </row>
  </sheetData>
  <mergeCells count="1">
    <mergeCell ref="C4:F4"/>
  </mergeCells>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J70"/>
  <sheetViews>
    <sheetView showGridLines="0" topLeftCell="A4" workbookViewId="0">
      <pane xSplit="2" ySplit="11" topLeftCell="C15" activePane="bottomRight" state="frozen"/>
      <selection activeCell="A4" sqref="A4"/>
      <selection pane="topRight" activeCell="C4" sqref="C4"/>
      <selection pane="bottomLeft" activeCell="A15" sqref="A15"/>
      <selection pane="bottomRight" activeCell="C15" sqref="C15"/>
    </sheetView>
  </sheetViews>
  <sheetFormatPr defaultRowHeight="15" x14ac:dyDescent="0.25"/>
  <cols>
    <col min="1" max="1" width="4.5703125" style="352" bestFit="1" customWidth="1"/>
    <col min="2" max="2" width="40.140625" style="352" customWidth="1"/>
    <col min="3" max="5" width="5.7109375" style="352" customWidth="1"/>
    <col min="6" max="6" width="4.85546875" style="352" customWidth="1"/>
    <col min="7" max="7" width="4.85546875" style="352" hidden="1" customWidth="1"/>
    <col min="8" max="8" width="44" style="352" customWidth="1"/>
    <col min="9" max="9" width="9.140625" style="352"/>
    <col min="10" max="10" width="0" style="352" hidden="1" customWidth="1"/>
    <col min="11" max="11" width="9.140625" style="352" hidden="1" customWidth="1"/>
    <col min="12" max="13" width="3.5703125" style="773" hidden="1" customWidth="1"/>
    <col min="14" max="15" width="3.5703125" style="353" hidden="1" customWidth="1"/>
    <col min="16" max="20" width="3.5703125" style="1966" hidden="1" customWidth="1"/>
    <col min="21" max="25" width="3.5703125" style="1967" hidden="1" customWidth="1"/>
    <col min="26" max="30" width="3.5703125" style="1968" hidden="1" customWidth="1"/>
    <col min="31" max="35" width="3.5703125" style="1969" hidden="1" customWidth="1"/>
    <col min="36" max="36" width="9.140625" style="352" hidden="1" customWidth="1"/>
    <col min="37" max="16384" width="9.140625" style="352"/>
  </cols>
  <sheetData>
    <row r="1" spans="1:35" ht="27" x14ac:dyDescent="0.35">
      <c r="A1" s="3325" t="s">
        <v>720</v>
      </c>
      <c r="B1" s="3325"/>
      <c r="C1" s="3325"/>
      <c r="D1" s="3325"/>
      <c r="E1" s="3325"/>
      <c r="F1" s="3325"/>
      <c r="G1" s="3325"/>
      <c r="H1" s="3325"/>
    </row>
    <row r="2" spans="1:35" ht="21" x14ac:dyDescent="0.35">
      <c r="A2" s="1147" t="s">
        <v>719</v>
      </c>
      <c r="B2" s="774"/>
      <c r="C2" s="775"/>
      <c r="D2" s="775"/>
      <c r="E2" s="775"/>
      <c r="F2" s="773"/>
      <c r="G2" s="773"/>
      <c r="H2" s="773"/>
    </row>
    <row r="3" spans="1:35" ht="18.75" x14ac:dyDescent="0.3">
      <c r="A3" s="3326"/>
      <c r="B3" s="3326"/>
      <c r="C3" s="3326"/>
      <c r="D3" s="3326"/>
      <c r="E3" s="3326"/>
      <c r="F3" s="3326"/>
      <c r="G3" s="3326"/>
      <c r="H3" s="3326"/>
    </row>
    <row r="4" spans="1:35" ht="16.5" x14ac:dyDescent="0.3">
      <c r="A4" s="776"/>
      <c r="B4" s="777" t="s">
        <v>528</v>
      </c>
      <c r="C4" s="778"/>
      <c r="D4" s="779"/>
      <c r="E4" s="779"/>
      <c r="F4" s="779"/>
      <c r="G4" s="779"/>
      <c r="H4" s="773"/>
    </row>
    <row r="5" spans="1:35" x14ac:dyDescent="0.25">
      <c r="A5" s="776">
        <v>1</v>
      </c>
      <c r="B5" s="1894" t="s">
        <v>994</v>
      </c>
      <c r="C5" s="781"/>
      <c r="D5" s="782"/>
      <c r="E5" s="782"/>
      <c r="F5" s="782"/>
      <c r="G5" s="782"/>
      <c r="H5" s="773"/>
      <c r="L5" s="1970"/>
      <c r="M5" s="1970"/>
    </row>
    <row r="6" spans="1:35" x14ac:dyDescent="0.25">
      <c r="A6" s="776">
        <v>2</v>
      </c>
      <c r="B6" s="1894" t="s">
        <v>995</v>
      </c>
      <c r="C6" s="781"/>
      <c r="D6" s="782"/>
      <c r="E6" s="782"/>
      <c r="F6" s="782"/>
      <c r="G6" s="782"/>
      <c r="H6" s="773"/>
      <c r="L6" s="1970"/>
      <c r="M6" s="1970"/>
    </row>
    <row r="7" spans="1:35" x14ac:dyDescent="0.25">
      <c r="A7" s="776">
        <v>3</v>
      </c>
      <c r="B7" s="1894" t="s">
        <v>996</v>
      </c>
      <c r="C7" s="781"/>
      <c r="D7" s="782"/>
      <c r="E7" s="782"/>
      <c r="F7" s="782"/>
      <c r="G7" s="782"/>
      <c r="H7" s="773"/>
      <c r="L7" s="1970"/>
      <c r="M7" s="1970"/>
      <c r="R7" s="1966">
        <v>4</v>
      </c>
      <c r="V7" s="1967">
        <v>3</v>
      </c>
    </row>
    <row r="8" spans="1:35" x14ac:dyDescent="0.25">
      <c r="A8" s="776">
        <v>4</v>
      </c>
      <c r="B8" s="1894" t="s">
        <v>997</v>
      </c>
      <c r="C8" s="781"/>
      <c r="D8" s="782"/>
      <c r="E8" s="782"/>
      <c r="F8" s="782"/>
      <c r="G8" s="782"/>
      <c r="H8" s="773"/>
      <c r="L8" s="1970"/>
      <c r="M8" s="1970"/>
    </row>
    <row r="9" spans="1:35" x14ac:dyDescent="0.25">
      <c r="A9" s="776">
        <v>5</v>
      </c>
      <c r="B9" s="780"/>
      <c r="C9" s="783"/>
      <c r="D9" s="784"/>
      <c r="E9" s="784"/>
      <c r="F9" s="784"/>
      <c r="G9" s="784"/>
      <c r="H9" s="773"/>
      <c r="L9" s="1970"/>
      <c r="M9" s="1970"/>
    </row>
    <row r="10" spans="1:35" x14ac:dyDescent="0.25">
      <c r="A10" s="776"/>
      <c r="B10" s="785"/>
      <c r="C10" s="783"/>
      <c r="D10" s="784"/>
      <c r="E10" s="784"/>
      <c r="F10" s="784"/>
      <c r="G10" s="784"/>
      <c r="H10" s="773"/>
      <c r="L10" s="1970"/>
      <c r="M10" s="1970"/>
    </row>
    <row r="11" spans="1:35" s="745" customFormat="1" x14ac:dyDescent="0.25">
      <c r="A11" s="1146">
        <v>1</v>
      </c>
      <c r="B11" s="1965">
        <v>2</v>
      </c>
      <c r="C11" s="1146">
        <v>3</v>
      </c>
      <c r="D11" s="1965">
        <v>4</v>
      </c>
      <c r="E11" s="1146">
        <v>5</v>
      </c>
      <c r="F11" s="1965">
        <v>6</v>
      </c>
      <c r="G11" s="1146">
        <v>7</v>
      </c>
      <c r="H11" s="1965">
        <v>8</v>
      </c>
      <c r="L11" s="773"/>
      <c r="M11" s="773"/>
      <c r="N11" s="353"/>
      <c r="O11" s="353"/>
      <c r="P11" s="1966"/>
      <c r="Q11" s="1966"/>
      <c r="R11" s="1966"/>
      <c r="S11" s="1966"/>
      <c r="T11" s="1966"/>
      <c r="U11" s="1967"/>
      <c r="V11" s="1967"/>
      <c r="W11" s="1967"/>
      <c r="X11" s="1967"/>
      <c r="Y11" s="1967"/>
      <c r="Z11" s="1968"/>
      <c r="AA11" s="1968"/>
      <c r="AB11" s="1968"/>
      <c r="AC11" s="1968"/>
      <c r="AD11" s="1968"/>
      <c r="AE11" s="1969"/>
      <c r="AF11" s="1969"/>
      <c r="AG11" s="1969"/>
      <c r="AH11" s="1969"/>
      <c r="AI11" s="1969"/>
    </row>
    <row r="12" spans="1:35" ht="60" customHeight="1" x14ac:dyDescent="0.25">
      <c r="A12" s="3327" t="s">
        <v>118</v>
      </c>
      <c r="B12" s="3322" t="s">
        <v>535</v>
      </c>
      <c r="C12" s="3328" t="s">
        <v>530</v>
      </c>
      <c r="D12" s="3328" t="s">
        <v>531</v>
      </c>
      <c r="E12" s="3328" t="s">
        <v>532</v>
      </c>
      <c r="F12" s="3328" t="s">
        <v>533</v>
      </c>
      <c r="G12" s="3318" t="s">
        <v>534</v>
      </c>
      <c r="H12" s="3321" t="s">
        <v>138</v>
      </c>
      <c r="L12" s="10"/>
      <c r="M12" s="10"/>
      <c r="P12" s="1971" t="str">
        <f>B5</f>
        <v>ketaatan beribadah,</v>
      </c>
      <c r="Q12" s="1971" t="str">
        <f>B6</f>
        <v>berperilaku syukur,</v>
      </c>
      <c r="R12" s="1971" t="str">
        <f>B7</f>
        <v>berdo'a sebelum melakukan kegiatan,</v>
      </c>
      <c r="S12" s="1971" t="str">
        <f>B8</f>
        <v>toleransi beragama,</v>
      </c>
      <c r="T12" s="1971">
        <f>B9</f>
        <v>0</v>
      </c>
    </row>
    <row r="13" spans="1:35" ht="15.75" x14ac:dyDescent="0.25">
      <c r="A13" s="3327"/>
      <c r="B13" s="3323"/>
      <c r="C13" s="3328"/>
      <c r="D13" s="3328"/>
      <c r="E13" s="3328"/>
      <c r="F13" s="3328"/>
      <c r="G13" s="3319"/>
      <c r="H13" s="3321"/>
      <c r="L13" s="10"/>
      <c r="M13" s="10"/>
    </row>
    <row r="14" spans="1:35" ht="15.75" x14ac:dyDescent="0.25">
      <c r="A14" s="3327"/>
      <c r="B14" s="3324"/>
      <c r="C14" s="3328"/>
      <c r="D14" s="3328"/>
      <c r="E14" s="3328"/>
      <c r="F14" s="3328"/>
      <c r="G14" s="3320"/>
      <c r="H14" s="3321"/>
      <c r="L14" s="10"/>
      <c r="M14" s="10"/>
    </row>
    <row r="15" spans="1:35" ht="78" customHeight="1" x14ac:dyDescent="0.25">
      <c r="A15" s="1986">
        <v>1</v>
      </c>
      <c r="B15" s="1895" t="str">
        <f t="shared" ref="B15:B54" si="0">VLOOKUP(A15,data_siswa,4)</f>
        <v>Achmad Zacky</v>
      </c>
      <c r="C15" s="1799">
        <v>4</v>
      </c>
      <c r="D15" s="1799">
        <v>4</v>
      </c>
      <c r="E15" s="1799">
        <v>3</v>
      </c>
      <c r="F15" s="1799">
        <v>2</v>
      </c>
      <c r="G15" s="754"/>
      <c r="H15" s="1981" t="str">
        <f>IF(OR(C15=1,D15=1,E15=1,F15=1,G15=1),CONCATENATE(" ",L15," ",M15," ",N15,O15," "),CONCATENATE(" ",L15," ",M15," ",N15," "))</f>
        <v xml:space="preserve"> Sangat baik dalam ketaatan beribadah,berperilaku syukur,    Baik dalam   berdo'a sebelum melakukan kegiatan,   Dengan bimbingan dan pendampingan yang lebih, akan mampu meningkatkan sikap    toleransi beragama,  </v>
      </c>
      <c r="L15" s="1972" t="str">
        <f>IF(OR(C15=4,D15=4,E15=4,F15=4,G15=4),CONCATENATE("Sangat baik dalam ",P15,Q15,R15,S15,T15,),CONCATENATE(" ",P15,Q15,R15,S15,T15,))</f>
        <v xml:space="preserve">Sangat baik dalam ketaatan beribadah,berperilaku syukur,   </v>
      </c>
      <c r="M15" s="1973" t="str">
        <f>IF(OR(C15=3,D15=3,E15=3,F15=3,G15=3),CONCATENATE("Baik dalam ",U15,V15,W15,X15,Y15,),CONCATENATE(" ",U15,V15,W15,X15,Y15,))</f>
        <v xml:space="preserve">Baik dalam   berdo'a sebelum melakukan kegiatan,  </v>
      </c>
      <c r="N15" s="1974" t="str">
        <f>IF(OR(C15=2,D15=2,E15=2,F15=2,G15=2),CONCATENATE("Dengan bimbingan dan pendampingan yang lebih, akan mampu meningkatkan sikap ",Z15,AA15,AB15,AC15,AD15,),CONCATENATE(" ",Z15,AA15,AB15,AC15,AD15,))</f>
        <v xml:space="preserve">Dengan bimbingan dan pendampingan yang lebih, akan mampu meningkatkan sikap    toleransi beragama, </v>
      </c>
      <c r="O15" s="1974" t="str">
        <f>IF(OR(C15=1,D15=1,E15=1,F15=1,G15=1),CONCATENATE("perlu bimbingan ",AE15,AF15,AG15,AH15,AI15,),CONCATENATE(" ",Z15,AA15,AB15,AC15,AD15,))</f>
        <v xml:space="preserve">    toleransi beragama, </v>
      </c>
      <c r="P15" s="1975" t="str">
        <f>IF(C15=4,$P$12," ")</f>
        <v>ketaatan beribadah,</v>
      </c>
      <c r="Q15" s="1975" t="str">
        <f>IF(D15=4,$Q$12," ")</f>
        <v>berperilaku syukur,</v>
      </c>
      <c r="R15" s="1975" t="str">
        <f>IF(E15=4,$R$12," ")</f>
        <v xml:space="preserve"> </v>
      </c>
      <c r="S15" s="1975" t="str">
        <f>IF(F15=4,$S$12," ")</f>
        <v xml:space="preserve"> </v>
      </c>
      <c r="T15" s="1975" t="str">
        <f>IF(G15=4,$T$12," ")</f>
        <v xml:space="preserve"> </v>
      </c>
      <c r="U15" s="1976" t="str">
        <f>IF(C15=3,$P$12," ")</f>
        <v xml:space="preserve"> </v>
      </c>
      <c r="V15" s="1976" t="str">
        <f>IF(D15=3,$Q$12," ")</f>
        <v xml:space="preserve"> </v>
      </c>
      <c r="W15" s="1976" t="str">
        <f>IF(E15=3,$R$12," ")</f>
        <v>berdo'a sebelum melakukan kegiatan,</v>
      </c>
      <c r="X15" s="1976" t="str">
        <f>IF(F15=3,$S$12," ")</f>
        <v xml:space="preserve"> </v>
      </c>
      <c r="Y15" s="1976" t="str">
        <f>IF(G15=3,$T$12," ")</f>
        <v xml:space="preserve"> </v>
      </c>
      <c r="Z15" s="1977" t="str">
        <f>IF(C15=2,$P$12," ")</f>
        <v xml:space="preserve"> </v>
      </c>
      <c r="AA15" s="1977" t="str">
        <f>IF(D15=2,$Q$12," ")</f>
        <v xml:space="preserve"> </v>
      </c>
      <c r="AB15" s="1977" t="str">
        <f>IF(E15=2,$R$12," ")</f>
        <v xml:space="preserve"> </v>
      </c>
      <c r="AC15" s="1977" t="str">
        <f>IF(F15=2,$S$12," ")</f>
        <v>toleransi beragama,</v>
      </c>
      <c r="AD15" s="1977" t="str">
        <f>IF(G15=2,$T$12," ")</f>
        <v xml:space="preserve"> </v>
      </c>
      <c r="AE15" s="1978" t="str">
        <f>IF(C15=1,$P$12," ")</f>
        <v xml:space="preserve"> </v>
      </c>
      <c r="AF15" s="1978" t="str">
        <f>IF(D15=1,$Q$12," ")</f>
        <v xml:space="preserve"> </v>
      </c>
      <c r="AG15" s="1978" t="str">
        <f>IF(E15=1,$R$12," ")</f>
        <v xml:space="preserve"> </v>
      </c>
      <c r="AH15" s="1978" t="str">
        <f>IF(F15=1,$S$12," ")</f>
        <v xml:space="preserve"> </v>
      </c>
      <c r="AI15" s="1978" t="str">
        <f>IF(G15=1,$T$12," ")</f>
        <v xml:space="preserve"> </v>
      </c>
    </row>
    <row r="16" spans="1:35" ht="24.95" customHeight="1" x14ac:dyDescent="0.25">
      <c r="A16" s="1986">
        <v>2</v>
      </c>
      <c r="B16" s="1895" t="str">
        <f t="shared" si="0"/>
        <v>Angelia Vabel R</v>
      </c>
      <c r="C16" s="1799">
        <v>4</v>
      </c>
      <c r="D16" s="1799">
        <v>4</v>
      </c>
      <c r="E16" s="1799">
        <v>4</v>
      </c>
      <c r="F16" s="1799">
        <v>3</v>
      </c>
      <c r="G16" s="754"/>
      <c r="H16" s="1981" t="str">
        <f t="shared" ref="H16:H54" si="1">IF(OR(C16=1,D16=1,E16=1,F16=1,G16=1),CONCATENATE(" ",L16," ",M16," ",N16,O16," "),CONCATENATE(" ",L16," ",M16," ",N16,O16," "))</f>
        <v xml:space="preserve"> Sangat baik dalam ketaatan beribadah,berperilaku syukur,berdo'a sebelum melakukan kegiatan,   Baik dalam    toleransi beragama,               </v>
      </c>
      <c r="L16" s="1972" t="str">
        <f t="shared" ref="L16:L54" si="2">IF(OR(C16=4,D16=4,E16=4,F16=4,G16=4),CONCATENATE("Sangat baik dalam ",P16,Q16,R16,S16,T16,),CONCATENATE(" ",P16,Q16,R16,S16,T16,))</f>
        <v xml:space="preserve">Sangat baik dalam ketaatan beribadah,berperilaku syukur,berdo'a sebelum melakukan kegiatan,  </v>
      </c>
      <c r="M16" s="1973" t="str">
        <f t="shared" ref="M16:M54" si="3">IF(OR(C16=3,D16=3,E16=3,F16=3,G16=3),CONCATENATE("Baik dalam ",U16,V16,W16,X16,Y16,),CONCATENATE(" ",U16,V16,W16,X16,Y16,))</f>
        <v xml:space="preserve">Baik dalam    toleransi beragama, </v>
      </c>
      <c r="N16" s="1974" t="str">
        <f t="shared" ref="N16:N54" si="4">IF(OR(C16=2,D16=2,E16=2,F16=2,G16=2),CONCATENATE("Dengan bimbingan dan pendampingan yang lebih, akan mampu meningkatkan  sikap ",Z16,AA16,AB16,AC16,AD16,),CONCATENATE(" ",Z16,AA16,AB16,AC16,AD16,))</f>
        <v xml:space="preserve">      </v>
      </c>
      <c r="O16" s="1974" t="str">
        <f t="shared" ref="O16:O54" si="5">IF(OR(C16=1,D16=1,E16=1,F16=1,G16=1),CONCATENATE("perlu bimbingan ",AE16,AF16,AG16,AH16,AI16,),CONCATENATE(" ",Z16,AA16,AB16,AC16,AD16,))</f>
        <v xml:space="preserve">      </v>
      </c>
      <c r="P16" s="1975" t="str">
        <f t="shared" ref="P16:P54" si="6">IF(C16=4,$P$12," ")</f>
        <v>ketaatan beribadah,</v>
      </c>
      <c r="Q16" s="1975" t="str">
        <f t="shared" ref="Q16:Q54" si="7">IF(D16=4,$Q$12," ")</f>
        <v>berperilaku syukur,</v>
      </c>
      <c r="R16" s="1975" t="str">
        <f t="shared" ref="R16:R54" si="8">IF(E16=4,$R$12," ")</f>
        <v>berdo'a sebelum melakukan kegiatan,</v>
      </c>
      <c r="S16" s="1975" t="str">
        <f t="shared" ref="S16:S54" si="9">IF(F16=4,$S$12," ")</f>
        <v xml:space="preserve"> </v>
      </c>
      <c r="T16" s="1975" t="str">
        <f t="shared" ref="T16:T54" si="10">IF(G16=4,$T$12," ")</f>
        <v xml:space="preserve"> </v>
      </c>
      <c r="U16" s="1976" t="str">
        <f t="shared" ref="U16:U54" si="11">IF(C16=3,$P$12," ")</f>
        <v xml:space="preserve"> </v>
      </c>
      <c r="V16" s="1976" t="str">
        <f t="shared" ref="V16:V54" si="12">IF(D16=3,$Q$12," ")</f>
        <v xml:space="preserve"> </v>
      </c>
      <c r="W16" s="1976" t="str">
        <f t="shared" ref="W16:W54" si="13">IF(E16=3,$R$12," ")</f>
        <v xml:space="preserve"> </v>
      </c>
      <c r="X16" s="1976" t="str">
        <f t="shared" ref="X16:X54" si="14">IF(F16=3,$S$12," ")</f>
        <v>toleransi beragama,</v>
      </c>
      <c r="Y16" s="1976" t="str">
        <f t="shared" ref="Y16:Y54" si="15">IF(G16=3,$T$12," ")</f>
        <v xml:space="preserve"> </v>
      </c>
      <c r="Z16" s="1977" t="str">
        <f t="shared" ref="Z16:Z54" si="16">IF(C16=2,$P$12," ")</f>
        <v xml:space="preserve"> </v>
      </c>
      <c r="AA16" s="1977" t="str">
        <f t="shared" ref="AA16:AA54" si="17">IF(D16=2,$Q$12," ")</f>
        <v xml:space="preserve"> </v>
      </c>
      <c r="AB16" s="1977" t="str">
        <f t="shared" ref="AB16:AB54" si="18">IF(E16=2,$R$12," ")</f>
        <v xml:space="preserve"> </v>
      </c>
      <c r="AC16" s="1977" t="str">
        <f t="shared" ref="AC16:AC54" si="19">IF(F16=2,$S$12," ")</f>
        <v xml:space="preserve"> </v>
      </c>
      <c r="AD16" s="1977" t="str">
        <f t="shared" ref="AD16:AD54" si="20">IF(G16=2,$T$12," ")</f>
        <v xml:space="preserve"> </v>
      </c>
      <c r="AE16" s="1978" t="str">
        <f t="shared" ref="AE16:AE54" si="21">IF(C16=1,$P$12," ")</f>
        <v xml:space="preserve"> </v>
      </c>
      <c r="AF16" s="1978" t="str">
        <f t="shared" ref="AF16:AF54" si="22">IF(D16=1,$Q$12," ")</f>
        <v xml:space="preserve"> </v>
      </c>
      <c r="AG16" s="1978" t="str">
        <f t="shared" ref="AG16:AG54" si="23">IF(E16=1,$R$12," ")</f>
        <v xml:space="preserve"> </v>
      </c>
      <c r="AH16" s="1978" t="str">
        <f t="shared" ref="AH16:AH54" si="24">IF(F16=1,$S$12," ")</f>
        <v xml:space="preserve"> </v>
      </c>
      <c r="AI16" s="1978" t="str">
        <f t="shared" ref="AI16:AI54" si="25">IF(G16=1,$T$12," ")</f>
        <v xml:space="preserve"> </v>
      </c>
    </row>
    <row r="17" spans="1:35" x14ac:dyDescent="0.25">
      <c r="A17" s="1986">
        <v>3</v>
      </c>
      <c r="B17" s="1895" t="str">
        <f t="shared" si="0"/>
        <v>Anggun Dwi P.I</v>
      </c>
      <c r="C17" s="1799"/>
      <c r="D17" s="1799"/>
      <c r="E17" s="1799"/>
      <c r="F17" s="1799"/>
      <c r="G17" s="754"/>
      <c r="H17" s="1981" t="str">
        <f t="shared" si="1"/>
        <v xml:space="preserve">                            </v>
      </c>
      <c r="L17" s="1972" t="str">
        <f t="shared" si="2"/>
        <v xml:space="preserve">      </v>
      </c>
      <c r="M17" s="1973" t="str">
        <f t="shared" si="3"/>
        <v xml:space="preserve">      </v>
      </c>
      <c r="N17" s="1974" t="str">
        <f t="shared" si="4"/>
        <v xml:space="preserve">      </v>
      </c>
      <c r="O17" s="1974" t="str">
        <f t="shared" si="5"/>
        <v xml:space="preserve">      </v>
      </c>
      <c r="P17" s="1975" t="str">
        <f t="shared" si="6"/>
        <v xml:space="preserve"> </v>
      </c>
      <c r="Q17" s="1975" t="str">
        <f t="shared" si="7"/>
        <v xml:space="preserve"> </v>
      </c>
      <c r="R17" s="1975" t="str">
        <f t="shared" si="8"/>
        <v xml:space="preserve"> </v>
      </c>
      <c r="S17" s="1975" t="str">
        <f t="shared" si="9"/>
        <v xml:space="preserve"> </v>
      </c>
      <c r="T17" s="1975" t="str">
        <f t="shared" si="10"/>
        <v xml:space="preserve"> </v>
      </c>
      <c r="U17" s="1976" t="str">
        <f t="shared" si="11"/>
        <v xml:space="preserve"> </v>
      </c>
      <c r="V17" s="1976" t="str">
        <f t="shared" si="12"/>
        <v xml:space="preserve"> </v>
      </c>
      <c r="W17" s="1976" t="str">
        <f t="shared" si="13"/>
        <v xml:space="preserve"> </v>
      </c>
      <c r="X17" s="1976" t="str">
        <f t="shared" si="14"/>
        <v xml:space="preserve"> </v>
      </c>
      <c r="Y17" s="1976" t="str">
        <f t="shared" si="15"/>
        <v xml:space="preserve"> </v>
      </c>
      <c r="Z17" s="1977" t="str">
        <f t="shared" si="16"/>
        <v xml:space="preserve"> </v>
      </c>
      <c r="AA17" s="1977" t="str">
        <f t="shared" si="17"/>
        <v xml:space="preserve"> </v>
      </c>
      <c r="AB17" s="1977" t="str">
        <f t="shared" si="18"/>
        <v xml:space="preserve"> </v>
      </c>
      <c r="AC17" s="1977" t="str">
        <f t="shared" si="19"/>
        <v xml:space="preserve"> </v>
      </c>
      <c r="AD17" s="1977" t="str">
        <f t="shared" si="20"/>
        <v xml:space="preserve"> </v>
      </c>
      <c r="AE17" s="1978" t="str">
        <f t="shared" si="21"/>
        <v xml:space="preserve"> </v>
      </c>
      <c r="AF17" s="1978" t="str">
        <f t="shared" si="22"/>
        <v xml:space="preserve"> </v>
      </c>
      <c r="AG17" s="1978" t="str">
        <f t="shared" si="23"/>
        <v xml:space="preserve"> </v>
      </c>
      <c r="AH17" s="1978" t="str">
        <f t="shared" si="24"/>
        <v xml:space="preserve"> </v>
      </c>
      <c r="AI17" s="1978" t="str">
        <f t="shared" si="25"/>
        <v xml:space="preserve"> </v>
      </c>
    </row>
    <row r="18" spans="1:35" x14ac:dyDescent="0.25">
      <c r="A18" s="1986">
        <v>4</v>
      </c>
      <c r="B18" s="1895" t="str">
        <f t="shared" si="0"/>
        <v>Antonio Permata A</v>
      </c>
      <c r="C18" s="1799"/>
      <c r="D18" s="1799"/>
      <c r="E18" s="1799"/>
      <c r="F18" s="1799"/>
      <c r="G18" s="754"/>
      <c r="H18" s="1981" t="str">
        <f t="shared" si="1"/>
        <v xml:space="preserve">                            </v>
      </c>
      <c r="L18" s="1972" t="str">
        <f t="shared" si="2"/>
        <v xml:space="preserve">      </v>
      </c>
      <c r="M18" s="1973" t="str">
        <f t="shared" si="3"/>
        <v xml:space="preserve">      </v>
      </c>
      <c r="N18" s="1974" t="str">
        <f t="shared" si="4"/>
        <v xml:space="preserve">      </v>
      </c>
      <c r="O18" s="1974" t="str">
        <f t="shared" si="5"/>
        <v xml:space="preserve">      </v>
      </c>
      <c r="P18" s="1975" t="str">
        <f t="shared" si="6"/>
        <v xml:space="preserve"> </v>
      </c>
      <c r="Q18" s="1975" t="str">
        <f t="shared" si="7"/>
        <v xml:space="preserve"> </v>
      </c>
      <c r="R18" s="1975" t="str">
        <f t="shared" si="8"/>
        <v xml:space="preserve"> </v>
      </c>
      <c r="S18" s="1975" t="str">
        <f t="shared" si="9"/>
        <v xml:space="preserve"> </v>
      </c>
      <c r="T18" s="1975" t="str">
        <f t="shared" si="10"/>
        <v xml:space="preserve"> </v>
      </c>
      <c r="U18" s="1976" t="str">
        <f t="shared" si="11"/>
        <v xml:space="preserve"> </v>
      </c>
      <c r="V18" s="1976" t="str">
        <f t="shared" si="12"/>
        <v xml:space="preserve"> </v>
      </c>
      <c r="W18" s="1976" t="str">
        <f t="shared" si="13"/>
        <v xml:space="preserve"> </v>
      </c>
      <c r="X18" s="1976" t="str">
        <f t="shared" si="14"/>
        <v xml:space="preserve"> </v>
      </c>
      <c r="Y18" s="1976" t="str">
        <f t="shared" si="15"/>
        <v xml:space="preserve"> </v>
      </c>
      <c r="Z18" s="1977" t="str">
        <f t="shared" si="16"/>
        <v xml:space="preserve"> </v>
      </c>
      <c r="AA18" s="1977" t="str">
        <f t="shared" si="17"/>
        <v xml:space="preserve"> </v>
      </c>
      <c r="AB18" s="1977" t="str">
        <f t="shared" si="18"/>
        <v xml:space="preserve"> </v>
      </c>
      <c r="AC18" s="1977" t="str">
        <f t="shared" si="19"/>
        <v xml:space="preserve"> </v>
      </c>
      <c r="AD18" s="1977" t="str">
        <f t="shared" si="20"/>
        <v xml:space="preserve"> </v>
      </c>
      <c r="AE18" s="1978" t="str">
        <f t="shared" si="21"/>
        <v xml:space="preserve"> </v>
      </c>
      <c r="AF18" s="1978" t="str">
        <f t="shared" si="22"/>
        <v xml:space="preserve"> </v>
      </c>
      <c r="AG18" s="1978" t="str">
        <f t="shared" si="23"/>
        <v xml:space="preserve"> </v>
      </c>
      <c r="AH18" s="1978" t="str">
        <f t="shared" si="24"/>
        <v xml:space="preserve"> </v>
      </c>
      <c r="AI18" s="1978" t="str">
        <f t="shared" si="25"/>
        <v xml:space="preserve"> </v>
      </c>
    </row>
    <row r="19" spans="1:35" x14ac:dyDescent="0.25">
      <c r="A19" s="1986">
        <v>5</v>
      </c>
      <c r="B19" s="1895" t="str">
        <f t="shared" si="0"/>
        <v>Arya Pratama G</v>
      </c>
      <c r="C19" s="1799"/>
      <c r="D19" s="1799"/>
      <c r="E19" s="1799"/>
      <c r="F19" s="1799"/>
      <c r="G19" s="754"/>
      <c r="H19" s="1981" t="str">
        <f t="shared" si="1"/>
        <v xml:space="preserve">                            </v>
      </c>
      <c r="L19" s="1972" t="str">
        <f t="shared" si="2"/>
        <v xml:space="preserve">      </v>
      </c>
      <c r="M19" s="1973" t="str">
        <f t="shared" si="3"/>
        <v xml:space="preserve">      </v>
      </c>
      <c r="N19" s="1974" t="str">
        <f t="shared" si="4"/>
        <v xml:space="preserve">      </v>
      </c>
      <c r="O19" s="1974" t="str">
        <f t="shared" si="5"/>
        <v xml:space="preserve">      </v>
      </c>
      <c r="P19" s="1975" t="str">
        <f t="shared" si="6"/>
        <v xml:space="preserve"> </v>
      </c>
      <c r="Q19" s="1975" t="str">
        <f t="shared" si="7"/>
        <v xml:space="preserve"> </v>
      </c>
      <c r="R19" s="1975" t="str">
        <f t="shared" si="8"/>
        <v xml:space="preserve"> </v>
      </c>
      <c r="S19" s="1975" t="str">
        <f t="shared" si="9"/>
        <v xml:space="preserve"> </v>
      </c>
      <c r="T19" s="1975" t="str">
        <f t="shared" si="10"/>
        <v xml:space="preserve"> </v>
      </c>
      <c r="U19" s="1976" t="str">
        <f t="shared" si="11"/>
        <v xml:space="preserve"> </v>
      </c>
      <c r="V19" s="1976" t="str">
        <f t="shared" si="12"/>
        <v xml:space="preserve"> </v>
      </c>
      <c r="W19" s="1976" t="str">
        <f t="shared" si="13"/>
        <v xml:space="preserve"> </v>
      </c>
      <c r="X19" s="1976" t="str">
        <f t="shared" si="14"/>
        <v xml:space="preserve"> </v>
      </c>
      <c r="Y19" s="1976" t="str">
        <f t="shared" si="15"/>
        <v xml:space="preserve"> </v>
      </c>
      <c r="Z19" s="1977" t="str">
        <f t="shared" si="16"/>
        <v xml:space="preserve"> </v>
      </c>
      <c r="AA19" s="1977" t="str">
        <f t="shared" si="17"/>
        <v xml:space="preserve"> </v>
      </c>
      <c r="AB19" s="1977" t="str">
        <f t="shared" si="18"/>
        <v xml:space="preserve"> </v>
      </c>
      <c r="AC19" s="1977" t="str">
        <f t="shared" si="19"/>
        <v xml:space="preserve"> </v>
      </c>
      <c r="AD19" s="1977" t="str">
        <f t="shared" si="20"/>
        <v xml:space="preserve"> </v>
      </c>
      <c r="AE19" s="1978" t="str">
        <f t="shared" si="21"/>
        <v xml:space="preserve"> </v>
      </c>
      <c r="AF19" s="1978" t="str">
        <f t="shared" si="22"/>
        <v xml:space="preserve"> </v>
      </c>
      <c r="AG19" s="1978" t="str">
        <f t="shared" si="23"/>
        <v xml:space="preserve"> </v>
      </c>
      <c r="AH19" s="1978" t="str">
        <f t="shared" si="24"/>
        <v xml:space="preserve"> </v>
      </c>
      <c r="AI19" s="1978" t="str">
        <f t="shared" si="25"/>
        <v xml:space="preserve"> </v>
      </c>
    </row>
    <row r="20" spans="1:35" x14ac:dyDescent="0.25">
      <c r="A20" s="1986">
        <v>6</v>
      </c>
      <c r="B20" s="1895" t="str">
        <f t="shared" si="0"/>
        <v>Asyam Hanif Ihsan H</v>
      </c>
      <c r="C20" s="1799"/>
      <c r="D20" s="1799"/>
      <c r="E20" s="1799"/>
      <c r="F20" s="1799"/>
      <c r="G20" s="754"/>
      <c r="H20" s="1981" t="str">
        <f t="shared" si="1"/>
        <v xml:space="preserve">                            </v>
      </c>
      <c r="L20" s="1972" t="str">
        <f t="shared" si="2"/>
        <v xml:space="preserve">      </v>
      </c>
      <c r="M20" s="1973" t="str">
        <f t="shared" si="3"/>
        <v xml:space="preserve">      </v>
      </c>
      <c r="N20" s="1974" t="str">
        <f t="shared" si="4"/>
        <v xml:space="preserve">      </v>
      </c>
      <c r="O20" s="1974" t="str">
        <f t="shared" si="5"/>
        <v xml:space="preserve">      </v>
      </c>
      <c r="P20" s="1975" t="str">
        <f t="shared" si="6"/>
        <v xml:space="preserve"> </v>
      </c>
      <c r="Q20" s="1975" t="str">
        <f t="shared" si="7"/>
        <v xml:space="preserve"> </v>
      </c>
      <c r="R20" s="1975" t="str">
        <f t="shared" si="8"/>
        <v xml:space="preserve"> </v>
      </c>
      <c r="S20" s="1975" t="str">
        <f t="shared" si="9"/>
        <v xml:space="preserve"> </v>
      </c>
      <c r="T20" s="1975" t="str">
        <f t="shared" si="10"/>
        <v xml:space="preserve"> </v>
      </c>
      <c r="U20" s="1976" t="str">
        <f t="shared" si="11"/>
        <v xml:space="preserve"> </v>
      </c>
      <c r="V20" s="1976" t="str">
        <f t="shared" si="12"/>
        <v xml:space="preserve"> </v>
      </c>
      <c r="W20" s="1976" t="str">
        <f t="shared" si="13"/>
        <v xml:space="preserve"> </v>
      </c>
      <c r="X20" s="1976" t="str">
        <f t="shared" si="14"/>
        <v xml:space="preserve"> </v>
      </c>
      <c r="Y20" s="1976" t="str">
        <f t="shared" si="15"/>
        <v xml:space="preserve"> </v>
      </c>
      <c r="Z20" s="1977" t="str">
        <f t="shared" si="16"/>
        <v xml:space="preserve"> </v>
      </c>
      <c r="AA20" s="1977" t="str">
        <f t="shared" si="17"/>
        <v xml:space="preserve"> </v>
      </c>
      <c r="AB20" s="1977" t="str">
        <f t="shared" si="18"/>
        <v xml:space="preserve"> </v>
      </c>
      <c r="AC20" s="1977" t="str">
        <f t="shared" si="19"/>
        <v xml:space="preserve"> </v>
      </c>
      <c r="AD20" s="1977" t="str">
        <f t="shared" si="20"/>
        <v xml:space="preserve"> </v>
      </c>
      <c r="AE20" s="1978" t="str">
        <f t="shared" si="21"/>
        <v xml:space="preserve"> </v>
      </c>
      <c r="AF20" s="1978" t="str">
        <f t="shared" si="22"/>
        <v xml:space="preserve"> </v>
      </c>
      <c r="AG20" s="1978" t="str">
        <f t="shared" si="23"/>
        <v xml:space="preserve"> </v>
      </c>
      <c r="AH20" s="1978" t="str">
        <f t="shared" si="24"/>
        <v xml:space="preserve"> </v>
      </c>
      <c r="AI20" s="1978" t="str">
        <f t="shared" si="25"/>
        <v xml:space="preserve"> </v>
      </c>
    </row>
    <row r="21" spans="1:35" x14ac:dyDescent="0.25">
      <c r="A21" s="1986">
        <v>7</v>
      </c>
      <c r="B21" s="1895" t="str">
        <f t="shared" si="0"/>
        <v>Athaya Salsabilla Z</v>
      </c>
      <c r="C21" s="1799"/>
      <c r="D21" s="1799"/>
      <c r="E21" s="1799"/>
      <c r="F21" s="1799"/>
      <c r="G21" s="754"/>
      <c r="H21" s="1981" t="str">
        <f t="shared" si="1"/>
        <v xml:space="preserve">                            </v>
      </c>
      <c r="L21" s="1972" t="str">
        <f t="shared" si="2"/>
        <v xml:space="preserve">      </v>
      </c>
      <c r="M21" s="1973" t="str">
        <f t="shared" si="3"/>
        <v xml:space="preserve">      </v>
      </c>
      <c r="N21" s="1974" t="str">
        <f t="shared" si="4"/>
        <v xml:space="preserve">      </v>
      </c>
      <c r="O21" s="1974" t="str">
        <f t="shared" si="5"/>
        <v xml:space="preserve">      </v>
      </c>
      <c r="P21" s="1975" t="str">
        <f t="shared" si="6"/>
        <v xml:space="preserve"> </v>
      </c>
      <c r="Q21" s="1975" t="str">
        <f t="shared" si="7"/>
        <v xml:space="preserve"> </v>
      </c>
      <c r="R21" s="1975" t="str">
        <f t="shared" si="8"/>
        <v xml:space="preserve"> </v>
      </c>
      <c r="S21" s="1975" t="str">
        <f t="shared" si="9"/>
        <v xml:space="preserve"> </v>
      </c>
      <c r="T21" s="1975" t="str">
        <f t="shared" si="10"/>
        <v xml:space="preserve"> </v>
      </c>
      <c r="U21" s="1976" t="str">
        <f t="shared" si="11"/>
        <v xml:space="preserve"> </v>
      </c>
      <c r="V21" s="1976" t="str">
        <f t="shared" si="12"/>
        <v xml:space="preserve"> </v>
      </c>
      <c r="W21" s="1976" t="str">
        <f t="shared" si="13"/>
        <v xml:space="preserve"> </v>
      </c>
      <c r="X21" s="1976" t="str">
        <f t="shared" si="14"/>
        <v xml:space="preserve"> </v>
      </c>
      <c r="Y21" s="1976" t="str">
        <f t="shared" si="15"/>
        <v xml:space="preserve"> </v>
      </c>
      <c r="Z21" s="1977" t="str">
        <f t="shared" si="16"/>
        <v xml:space="preserve"> </v>
      </c>
      <c r="AA21" s="1977" t="str">
        <f t="shared" si="17"/>
        <v xml:space="preserve"> </v>
      </c>
      <c r="AB21" s="1977" t="str">
        <f t="shared" si="18"/>
        <v xml:space="preserve"> </v>
      </c>
      <c r="AC21" s="1977" t="str">
        <f t="shared" si="19"/>
        <v xml:space="preserve"> </v>
      </c>
      <c r="AD21" s="1977" t="str">
        <f t="shared" si="20"/>
        <v xml:space="preserve"> </v>
      </c>
      <c r="AE21" s="1978" t="str">
        <f t="shared" si="21"/>
        <v xml:space="preserve"> </v>
      </c>
      <c r="AF21" s="1978" t="str">
        <f t="shared" si="22"/>
        <v xml:space="preserve"> </v>
      </c>
      <c r="AG21" s="1978" t="str">
        <f t="shared" si="23"/>
        <v xml:space="preserve"> </v>
      </c>
      <c r="AH21" s="1978" t="str">
        <f t="shared" si="24"/>
        <v xml:space="preserve"> </v>
      </c>
      <c r="AI21" s="1978" t="str">
        <f t="shared" si="25"/>
        <v xml:space="preserve"> </v>
      </c>
    </row>
    <row r="22" spans="1:35" x14ac:dyDescent="0.25">
      <c r="A22" s="1986">
        <v>8</v>
      </c>
      <c r="B22" s="1895" t="str">
        <f t="shared" si="0"/>
        <v>Aulia Dea Rosalinda</v>
      </c>
      <c r="C22" s="1799"/>
      <c r="D22" s="1799"/>
      <c r="E22" s="1799"/>
      <c r="F22" s="1799"/>
      <c r="G22" s="754"/>
      <c r="H22" s="1981" t="str">
        <f t="shared" si="1"/>
        <v xml:space="preserve">                            </v>
      </c>
      <c r="L22" s="1972" t="str">
        <f t="shared" si="2"/>
        <v xml:space="preserve">      </v>
      </c>
      <c r="M22" s="1973" t="str">
        <f t="shared" si="3"/>
        <v xml:space="preserve">      </v>
      </c>
      <c r="N22" s="1974" t="str">
        <f t="shared" si="4"/>
        <v xml:space="preserve">      </v>
      </c>
      <c r="O22" s="1974" t="str">
        <f t="shared" si="5"/>
        <v xml:space="preserve">      </v>
      </c>
      <c r="P22" s="1975" t="str">
        <f t="shared" si="6"/>
        <v xml:space="preserve"> </v>
      </c>
      <c r="Q22" s="1975" t="str">
        <f t="shared" si="7"/>
        <v xml:space="preserve"> </v>
      </c>
      <c r="R22" s="1975" t="str">
        <f t="shared" si="8"/>
        <v xml:space="preserve"> </v>
      </c>
      <c r="S22" s="1975" t="str">
        <f t="shared" si="9"/>
        <v xml:space="preserve"> </v>
      </c>
      <c r="T22" s="1975" t="str">
        <f t="shared" si="10"/>
        <v xml:space="preserve"> </v>
      </c>
      <c r="U22" s="1976" t="str">
        <f t="shared" si="11"/>
        <v xml:space="preserve"> </v>
      </c>
      <c r="V22" s="1976" t="str">
        <f t="shared" si="12"/>
        <v xml:space="preserve"> </v>
      </c>
      <c r="W22" s="1976" t="str">
        <f t="shared" si="13"/>
        <v xml:space="preserve"> </v>
      </c>
      <c r="X22" s="1976" t="str">
        <f t="shared" si="14"/>
        <v xml:space="preserve"> </v>
      </c>
      <c r="Y22" s="1976" t="str">
        <f t="shared" si="15"/>
        <v xml:space="preserve"> </v>
      </c>
      <c r="Z22" s="1977" t="str">
        <f t="shared" si="16"/>
        <v xml:space="preserve"> </v>
      </c>
      <c r="AA22" s="1977" t="str">
        <f t="shared" si="17"/>
        <v xml:space="preserve"> </v>
      </c>
      <c r="AB22" s="1977" t="str">
        <f t="shared" si="18"/>
        <v xml:space="preserve"> </v>
      </c>
      <c r="AC22" s="1977" t="str">
        <f t="shared" si="19"/>
        <v xml:space="preserve"> </v>
      </c>
      <c r="AD22" s="1977" t="str">
        <f t="shared" si="20"/>
        <v xml:space="preserve"> </v>
      </c>
      <c r="AE22" s="1978" t="str">
        <f t="shared" si="21"/>
        <v xml:space="preserve"> </v>
      </c>
      <c r="AF22" s="1978" t="str">
        <f t="shared" si="22"/>
        <v xml:space="preserve"> </v>
      </c>
      <c r="AG22" s="1978" t="str">
        <f t="shared" si="23"/>
        <v xml:space="preserve"> </v>
      </c>
      <c r="AH22" s="1978" t="str">
        <f t="shared" si="24"/>
        <v xml:space="preserve"> </v>
      </c>
      <c r="AI22" s="1978" t="str">
        <f t="shared" si="25"/>
        <v xml:space="preserve"> </v>
      </c>
    </row>
    <row r="23" spans="1:35" x14ac:dyDescent="0.25">
      <c r="A23" s="1986">
        <v>9</v>
      </c>
      <c r="B23" s="1895" t="str">
        <f t="shared" si="0"/>
        <v>Claudia Gabriella L</v>
      </c>
      <c r="C23" s="1799"/>
      <c r="D23" s="1799"/>
      <c r="E23" s="1799"/>
      <c r="F23" s="1799"/>
      <c r="G23" s="754"/>
      <c r="H23" s="1981" t="str">
        <f t="shared" si="1"/>
        <v xml:space="preserve">                            </v>
      </c>
      <c r="L23" s="1972" t="str">
        <f t="shared" si="2"/>
        <v xml:space="preserve">      </v>
      </c>
      <c r="M23" s="1973" t="str">
        <f t="shared" si="3"/>
        <v xml:space="preserve">      </v>
      </c>
      <c r="N23" s="1974" t="str">
        <f t="shared" si="4"/>
        <v xml:space="preserve">      </v>
      </c>
      <c r="O23" s="1974" t="str">
        <f t="shared" si="5"/>
        <v xml:space="preserve">      </v>
      </c>
      <c r="P23" s="1975" t="str">
        <f t="shared" si="6"/>
        <v xml:space="preserve"> </v>
      </c>
      <c r="Q23" s="1975" t="str">
        <f t="shared" si="7"/>
        <v xml:space="preserve"> </v>
      </c>
      <c r="R23" s="1975" t="str">
        <f t="shared" si="8"/>
        <v xml:space="preserve"> </v>
      </c>
      <c r="S23" s="1975" t="str">
        <f t="shared" si="9"/>
        <v xml:space="preserve"> </v>
      </c>
      <c r="T23" s="1975" t="str">
        <f t="shared" si="10"/>
        <v xml:space="preserve"> </v>
      </c>
      <c r="U23" s="1976" t="str">
        <f t="shared" si="11"/>
        <v xml:space="preserve"> </v>
      </c>
      <c r="V23" s="1976" t="str">
        <f t="shared" si="12"/>
        <v xml:space="preserve"> </v>
      </c>
      <c r="W23" s="1976" t="str">
        <f t="shared" si="13"/>
        <v xml:space="preserve"> </v>
      </c>
      <c r="X23" s="1976" t="str">
        <f t="shared" si="14"/>
        <v xml:space="preserve"> </v>
      </c>
      <c r="Y23" s="1976" t="str">
        <f t="shared" si="15"/>
        <v xml:space="preserve"> </v>
      </c>
      <c r="Z23" s="1977" t="str">
        <f t="shared" si="16"/>
        <v xml:space="preserve"> </v>
      </c>
      <c r="AA23" s="1977" t="str">
        <f t="shared" si="17"/>
        <v xml:space="preserve"> </v>
      </c>
      <c r="AB23" s="1977" t="str">
        <f t="shared" si="18"/>
        <v xml:space="preserve"> </v>
      </c>
      <c r="AC23" s="1977" t="str">
        <f t="shared" si="19"/>
        <v xml:space="preserve"> </v>
      </c>
      <c r="AD23" s="1977" t="str">
        <f t="shared" si="20"/>
        <v xml:space="preserve"> </v>
      </c>
      <c r="AE23" s="1978" t="str">
        <f t="shared" si="21"/>
        <v xml:space="preserve"> </v>
      </c>
      <c r="AF23" s="1978" t="str">
        <f t="shared" si="22"/>
        <v xml:space="preserve"> </v>
      </c>
      <c r="AG23" s="1978" t="str">
        <f t="shared" si="23"/>
        <v xml:space="preserve"> </v>
      </c>
      <c r="AH23" s="1978" t="str">
        <f t="shared" si="24"/>
        <v xml:space="preserve"> </v>
      </c>
      <c r="AI23" s="1978" t="str">
        <f t="shared" si="25"/>
        <v xml:space="preserve"> </v>
      </c>
    </row>
    <row r="24" spans="1:35" x14ac:dyDescent="0.25">
      <c r="A24" s="1986">
        <v>10</v>
      </c>
      <c r="B24" s="1895" t="str">
        <f t="shared" si="0"/>
        <v xml:space="preserve">Deco Badarus Zaman </v>
      </c>
      <c r="C24" s="1799"/>
      <c r="D24" s="1799"/>
      <c r="E24" s="1799"/>
      <c r="F24" s="1799"/>
      <c r="G24" s="754"/>
      <c r="H24" s="1981" t="str">
        <f t="shared" si="1"/>
        <v xml:space="preserve">                            </v>
      </c>
      <c r="L24" s="1972" t="str">
        <f t="shared" si="2"/>
        <v xml:space="preserve">      </v>
      </c>
      <c r="M24" s="1973" t="str">
        <f t="shared" si="3"/>
        <v xml:space="preserve">      </v>
      </c>
      <c r="N24" s="1974" t="str">
        <f t="shared" si="4"/>
        <v xml:space="preserve">      </v>
      </c>
      <c r="O24" s="1974" t="str">
        <f t="shared" si="5"/>
        <v xml:space="preserve">      </v>
      </c>
      <c r="P24" s="1975" t="str">
        <f t="shared" si="6"/>
        <v xml:space="preserve"> </v>
      </c>
      <c r="Q24" s="1975" t="str">
        <f t="shared" si="7"/>
        <v xml:space="preserve"> </v>
      </c>
      <c r="R24" s="1975" t="str">
        <f t="shared" si="8"/>
        <v xml:space="preserve"> </v>
      </c>
      <c r="S24" s="1975" t="str">
        <f t="shared" si="9"/>
        <v xml:space="preserve"> </v>
      </c>
      <c r="T24" s="1975" t="str">
        <f t="shared" si="10"/>
        <v xml:space="preserve"> </v>
      </c>
      <c r="U24" s="1976" t="str">
        <f t="shared" si="11"/>
        <v xml:space="preserve"> </v>
      </c>
      <c r="V24" s="1976" t="str">
        <f t="shared" si="12"/>
        <v xml:space="preserve"> </v>
      </c>
      <c r="W24" s="1976" t="str">
        <f t="shared" si="13"/>
        <v xml:space="preserve"> </v>
      </c>
      <c r="X24" s="1976" t="str">
        <f t="shared" si="14"/>
        <v xml:space="preserve"> </v>
      </c>
      <c r="Y24" s="1976" t="str">
        <f t="shared" si="15"/>
        <v xml:space="preserve"> </v>
      </c>
      <c r="Z24" s="1977" t="str">
        <f t="shared" si="16"/>
        <v xml:space="preserve"> </v>
      </c>
      <c r="AA24" s="1977" t="str">
        <f t="shared" si="17"/>
        <v xml:space="preserve"> </v>
      </c>
      <c r="AB24" s="1977" t="str">
        <f t="shared" si="18"/>
        <v xml:space="preserve"> </v>
      </c>
      <c r="AC24" s="1977" t="str">
        <f t="shared" si="19"/>
        <v xml:space="preserve"> </v>
      </c>
      <c r="AD24" s="1977" t="str">
        <f t="shared" si="20"/>
        <v xml:space="preserve"> </v>
      </c>
      <c r="AE24" s="1978" t="str">
        <f t="shared" si="21"/>
        <v xml:space="preserve"> </v>
      </c>
      <c r="AF24" s="1978" t="str">
        <f t="shared" si="22"/>
        <v xml:space="preserve"> </v>
      </c>
      <c r="AG24" s="1978" t="str">
        <f t="shared" si="23"/>
        <v xml:space="preserve"> </v>
      </c>
      <c r="AH24" s="1978" t="str">
        <f t="shared" si="24"/>
        <v xml:space="preserve"> </v>
      </c>
      <c r="AI24" s="1978" t="str">
        <f t="shared" si="25"/>
        <v xml:space="preserve"> </v>
      </c>
    </row>
    <row r="25" spans="1:35" x14ac:dyDescent="0.25">
      <c r="A25" s="1986">
        <v>11</v>
      </c>
      <c r="B25" s="1895" t="str">
        <f t="shared" si="0"/>
        <v>Fania Mutiara Felichia</v>
      </c>
      <c r="C25" s="1799"/>
      <c r="D25" s="1799"/>
      <c r="E25" s="1799"/>
      <c r="F25" s="1799"/>
      <c r="G25" s="754"/>
      <c r="H25" s="1981" t="str">
        <f t="shared" si="1"/>
        <v xml:space="preserve">                            </v>
      </c>
      <c r="L25" s="1972" t="str">
        <f t="shared" si="2"/>
        <v xml:space="preserve">      </v>
      </c>
      <c r="M25" s="1973" t="str">
        <f t="shared" si="3"/>
        <v xml:space="preserve">      </v>
      </c>
      <c r="N25" s="1974" t="str">
        <f t="shared" si="4"/>
        <v xml:space="preserve">      </v>
      </c>
      <c r="O25" s="1974" t="str">
        <f t="shared" si="5"/>
        <v xml:space="preserve">      </v>
      </c>
      <c r="P25" s="1975" t="str">
        <f t="shared" si="6"/>
        <v xml:space="preserve"> </v>
      </c>
      <c r="Q25" s="1975" t="str">
        <f t="shared" si="7"/>
        <v xml:space="preserve"> </v>
      </c>
      <c r="R25" s="1975" t="str">
        <f t="shared" si="8"/>
        <v xml:space="preserve"> </v>
      </c>
      <c r="S25" s="1975" t="str">
        <f t="shared" si="9"/>
        <v xml:space="preserve"> </v>
      </c>
      <c r="T25" s="1975" t="str">
        <f t="shared" si="10"/>
        <v xml:space="preserve"> </v>
      </c>
      <c r="U25" s="1976" t="str">
        <f t="shared" si="11"/>
        <v xml:space="preserve"> </v>
      </c>
      <c r="V25" s="1976" t="str">
        <f t="shared" si="12"/>
        <v xml:space="preserve"> </v>
      </c>
      <c r="W25" s="1976" t="str">
        <f t="shared" si="13"/>
        <v xml:space="preserve"> </v>
      </c>
      <c r="X25" s="1976" t="str">
        <f t="shared" si="14"/>
        <v xml:space="preserve"> </v>
      </c>
      <c r="Y25" s="1976" t="str">
        <f t="shared" si="15"/>
        <v xml:space="preserve"> </v>
      </c>
      <c r="Z25" s="1977" t="str">
        <f t="shared" si="16"/>
        <v xml:space="preserve"> </v>
      </c>
      <c r="AA25" s="1977" t="str">
        <f t="shared" si="17"/>
        <v xml:space="preserve"> </v>
      </c>
      <c r="AB25" s="1977" t="str">
        <f t="shared" si="18"/>
        <v xml:space="preserve"> </v>
      </c>
      <c r="AC25" s="1977" t="str">
        <f t="shared" si="19"/>
        <v xml:space="preserve"> </v>
      </c>
      <c r="AD25" s="1977" t="str">
        <f t="shared" si="20"/>
        <v xml:space="preserve"> </v>
      </c>
      <c r="AE25" s="1978" t="str">
        <f t="shared" si="21"/>
        <v xml:space="preserve"> </v>
      </c>
      <c r="AF25" s="1978" t="str">
        <f t="shared" si="22"/>
        <v xml:space="preserve"> </v>
      </c>
      <c r="AG25" s="1978" t="str">
        <f t="shared" si="23"/>
        <v xml:space="preserve"> </v>
      </c>
      <c r="AH25" s="1978" t="str">
        <f t="shared" si="24"/>
        <v xml:space="preserve"> </v>
      </c>
      <c r="AI25" s="1978" t="str">
        <f t="shared" si="25"/>
        <v xml:space="preserve"> </v>
      </c>
    </row>
    <row r="26" spans="1:35" x14ac:dyDescent="0.25">
      <c r="A26" s="1986">
        <v>12</v>
      </c>
      <c r="B26" s="1895" t="str">
        <f t="shared" si="0"/>
        <v>Intan Dyah Nowari</v>
      </c>
      <c r="C26" s="1799"/>
      <c r="D26" s="1799"/>
      <c r="E26" s="1799"/>
      <c r="F26" s="1799"/>
      <c r="G26" s="754"/>
      <c r="H26" s="1981" t="str">
        <f t="shared" si="1"/>
        <v xml:space="preserve">                            </v>
      </c>
      <c r="L26" s="1972" t="str">
        <f t="shared" si="2"/>
        <v xml:space="preserve">      </v>
      </c>
      <c r="M26" s="1973" t="str">
        <f t="shared" si="3"/>
        <v xml:space="preserve">      </v>
      </c>
      <c r="N26" s="1974" t="str">
        <f t="shared" si="4"/>
        <v xml:space="preserve">      </v>
      </c>
      <c r="O26" s="1974" t="str">
        <f t="shared" si="5"/>
        <v xml:space="preserve">      </v>
      </c>
      <c r="P26" s="1975" t="str">
        <f t="shared" si="6"/>
        <v xml:space="preserve"> </v>
      </c>
      <c r="Q26" s="1975" t="str">
        <f t="shared" si="7"/>
        <v xml:space="preserve"> </v>
      </c>
      <c r="R26" s="1975" t="str">
        <f t="shared" si="8"/>
        <v xml:space="preserve"> </v>
      </c>
      <c r="S26" s="1975" t="str">
        <f t="shared" si="9"/>
        <v xml:space="preserve"> </v>
      </c>
      <c r="T26" s="1975" t="str">
        <f t="shared" si="10"/>
        <v xml:space="preserve"> </v>
      </c>
      <c r="U26" s="1976" t="str">
        <f t="shared" si="11"/>
        <v xml:space="preserve"> </v>
      </c>
      <c r="V26" s="1976" t="str">
        <f t="shared" si="12"/>
        <v xml:space="preserve"> </v>
      </c>
      <c r="W26" s="1976" t="str">
        <f t="shared" si="13"/>
        <v xml:space="preserve"> </v>
      </c>
      <c r="X26" s="1976" t="str">
        <f t="shared" si="14"/>
        <v xml:space="preserve"> </v>
      </c>
      <c r="Y26" s="1976" t="str">
        <f t="shared" si="15"/>
        <v xml:space="preserve"> </v>
      </c>
      <c r="Z26" s="1977" t="str">
        <f t="shared" si="16"/>
        <v xml:space="preserve"> </v>
      </c>
      <c r="AA26" s="1977" t="str">
        <f t="shared" si="17"/>
        <v xml:space="preserve"> </v>
      </c>
      <c r="AB26" s="1977" t="str">
        <f t="shared" si="18"/>
        <v xml:space="preserve"> </v>
      </c>
      <c r="AC26" s="1977" t="str">
        <f t="shared" si="19"/>
        <v xml:space="preserve"> </v>
      </c>
      <c r="AD26" s="1977" t="str">
        <f t="shared" si="20"/>
        <v xml:space="preserve"> </v>
      </c>
      <c r="AE26" s="1978" t="str">
        <f t="shared" si="21"/>
        <v xml:space="preserve"> </v>
      </c>
      <c r="AF26" s="1978" t="str">
        <f t="shared" si="22"/>
        <v xml:space="preserve"> </v>
      </c>
      <c r="AG26" s="1978" t="str">
        <f t="shared" si="23"/>
        <v xml:space="preserve"> </v>
      </c>
      <c r="AH26" s="1978" t="str">
        <f t="shared" si="24"/>
        <v xml:space="preserve"> </v>
      </c>
      <c r="AI26" s="1978" t="str">
        <f t="shared" si="25"/>
        <v xml:space="preserve"> </v>
      </c>
    </row>
    <row r="27" spans="1:35" x14ac:dyDescent="0.25">
      <c r="A27" s="1986">
        <v>13</v>
      </c>
      <c r="B27" s="1895" t="str">
        <f t="shared" si="0"/>
        <v>Misyanita Nurfitri S</v>
      </c>
      <c r="C27" s="1799"/>
      <c r="D27" s="1799"/>
      <c r="E27" s="1799"/>
      <c r="F27" s="1799"/>
      <c r="G27" s="754"/>
      <c r="H27" s="1981" t="str">
        <f t="shared" si="1"/>
        <v xml:space="preserve">                            </v>
      </c>
      <c r="L27" s="1972" t="str">
        <f t="shared" si="2"/>
        <v xml:space="preserve">      </v>
      </c>
      <c r="M27" s="1973" t="str">
        <f t="shared" si="3"/>
        <v xml:space="preserve">      </v>
      </c>
      <c r="N27" s="1974" t="str">
        <f t="shared" si="4"/>
        <v xml:space="preserve">      </v>
      </c>
      <c r="O27" s="1974" t="str">
        <f t="shared" si="5"/>
        <v xml:space="preserve">      </v>
      </c>
      <c r="P27" s="1975" t="str">
        <f t="shared" si="6"/>
        <v xml:space="preserve"> </v>
      </c>
      <c r="Q27" s="1975" t="str">
        <f t="shared" si="7"/>
        <v xml:space="preserve"> </v>
      </c>
      <c r="R27" s="1975" t="str">
        <f t="shared" si="8"/>
        <v xml:space="preserve"> </v>
      </c>
      <c r="S27" s="1975" t="str">
        <f t="shared" si="9"/>
        <v xml:space="preserve"> </v>
      </c>
      <c r="T27" s="1975" t="str">
        <f t="shared" si="10"/>
        <v xml:space="preserve"> </v>
      </c>
      <c r="U27" s="1976" t="str">
        <f t="shared" si="11"/>
        <v xml:space="preserve"> </v>
      </c>
      <c r="V27" s="1976" t="str">
        <f t="shared" si="12"/>
        <v xml:space="preserve"> </v>
      </c>
      <c r="W27" s="1976" t="str">
        <f t="shared" si="13"/>
        <v xml:space="preserve"> </v>
      </c>
      <c r="X27" s="1976" t="str">
        <f t="shared" si="14"/>
        <v xml:space="preserve"> </v>
      </c>
      <c r="Y27" s="1976" t="str">
        <f t="shared" si="15"/>
        <v xml:space="preserve"> </v>
      </c>
      <c r="Z27" s="1977" t="str">
        <f t="shared" si="16"/>
        <v xml:space="preserve"> </v>
      </c>
      <c r="AA27" s="1977" t="str">
        <f t="shared" si="17"/>
        <v xml:space="preserve"> </v>
      </c>
      <c r="AB27" s="1977" t="str">
        <f t="shared" si="18"/>
        <v xml:space="preserve"> </v>
      </c>
      <c r="AC27" s="1977" t="str">
        <f t="shared" si="19"/>
        <v xml:space="preserve"> </v>
      </c>
      <c r="AD27" s="1977" t="str">
        <f t="shared" si="20"/>
        <v xml:space="preserve"> </v>
      </c>
      <c r="AE27" s="1978" t="str">
        <f t="shared" si="21"/>
        <v xml:space="preserve"> </v>
      </c>
      <c r="AF27" s="1978" t="str">
        <f t="shared" si="22"/>
        <v xml:space="preserve"> </v>
      </c>
      <c r="AG27" s="1978" t="str">
        <f t="shared" si="23"/>
        <v xml:space="preserve"> </v>
      </c>
      <c r="AH27" s="1978" t="str">
        <f t="shared" si="24"/>
        <v xml:space="preserve"> </v>
      </c>
      <c r="AI27" s="1978" t="str">
        <f t="shared" si="25"/>
        <v xml:space="preserve"> </v>
      </c>
    </row>
    <row r="28" spans="1:35" x14ac:dyDescent="0.25">
      <c r="A28" s="1986">
        <v>14</v>
      </c>
      <c r="B28" s="1895" t="str">
        <f t="shared" si="0"/>
        <v>Moch Zidane Hita L. U</v>
      </c>
      <c r="C28" s="1799"/>
      <c r="D28" s="1799"/>
      <c r="E28" s="1799"/>
      <c r="F28" s="1799"/>
      <c r="G28" s="754"/>
      <c r="H28" s="1981" t="str">
        <f t="shared" si="1"/>
        <v xml:space="preserve">                            </v>
      </c>
      <c r="L28" s="1972" t="str">
        <f t="shared" si="2"/>
        <v xml:space="preserve">      </v>
      </c>
      <c r="M28" s="1973" t="str">
        <f t="shared" si="3"/>
        <v xml:space="preserve">      </v>
      </c>
      <c r="N28" s="1974" t="str">
        <f t="shared" si="4"/>
        <v xml:space="preserve">      </v>
      </c>
      <c r="O28" s="1974" t="str">
        <f t="shared" si="5"/>
        <v xml:space="preserve">      </v>
      </c>
      <c r="P28" s="1975" t="str">
        <f t="shared" si="6"/>
        <v xml:space="preserve"> </v>
      </c>
      <c r="Q28" s="1975" t="str">
        <f t="shared" si="7"/>
        <v xml:space="preserve"> </v>
      </c>
      <c r="R28" s="1975" t="str">
        <f t="shared" si="8"/>
        <v xml:space="preserve"> </v>
      </c>
      <c r="S28" s="1975" t="str">
        <f t="shared" si="9"/>
        <v xml:space="preserve"> </v>
      </c>
      <c r="T28" s="1975" t="str">
        <f t="shared" si="10"/>
        <v xml:space="preserve"> </v>
      </c>
      <c r="U28" s="1976" t="str">
        <f t="shared" si="11"/>
        <v xml:space="preserve"> </v>
      </c>
      <c r="V28" s="1976" t="str">
        <f t="shared" si="12"/>
        <v xml:space="preserve"> </v>
      </c>
      <c r="W28" s="1976" t="str">
        <f t="shared" si="13"/>
        <v xml:space="preserve"> </v>
      </c>
      <c r="X28" s="1976" t="str">
        <f t="shared" si="14"/>
        <v xml:space="preserve"> </v>
      </c>
      <c r="Y28" s="1976" t="str">
        <f t="shared" si="15"/>
        <v xml:space="preserve"> </v>
      </c>
      <c r="Z28" s="1977" t="str">
        <f t="shared" si="16"/>
        <v xml:space="preserve"> </v>
      </c>
      <c r="AA28" s="1977" t="str">
        <f t="shared" si="17"/>
        <v xml:space="preserve"> </v>
      </c>
      <c r="AB28" s="1977" t="str">
        <f t="shared" si="18"/>
        <v xml:space="preserve"> </v>
      </c>
      <c r="AC28" s="1977" t="str">
        <f t="shared" si="19"/>
        <v xml:space="preserve"> </v>
      </c>
      <c r="AD28" s="1977" t="str">
        <f t="shared" si="20"/>
        <v xml:space="preserve"> </v>
      </c>
      <c r="AE28" s="1978" t="str">
        <f t="shared" si="21"/>
        <v xml:space="preserve"> </v>
      </c>
      <c r="AF28" s="1978" t="str">
        <f t="shared" si="22"/>
        <v xml:space="preserve"> </v>
      </c>
      <c r="AG28" s="1978" t="str">
        <f t="shared" si="23"/>
        <v xml:space="preserve"> </v>
      </c>
      <c r="AH28" s="1978" t="str">
        <f t="shared" si="24"/>
        <v xml:space="preserve"> </v>
      </c>
      <c r="AI28" s="1978" t="str">
        <f t="shared" si="25"/>
        <v xml:space="preserve"> </v>
      </c>
    </row>
    <row r="29" spans="1:35" x14ac:dyDescent="0.25">
      <c r="A29" s="1986">
        <v>15</v>
      </c>
      <c r="B29" s="1895" t="str">
        <f t="shared" si="0"/>
        <v>Muhammad Ibra Maulana</v>
      </c>
      <c r="C29" s="1799"/>
      <c r="D29" s="1799"/>
      <c r="E29" s="1799"/>
      <c r="F29" s="1799"/>
      <c r="G29" s="754"/>
      <c r="H29" s="1981" t="str">
        <f t="shared" si="1"/>
        <v xml:space="preserve">                            </v>
      </c>
      <c r="L29" s="1972" t="str">
        <f t="shared" si="2"/>
        <v xml:space="preserve">      </v>
      </c>
      <c r="M29" s="1973" t="str">
        <f t="shared" si="3"/>
        <v xml:space="preserve">      </v>
      </c>
      <c r="N29" s="1974" t="str">
        <f t="shared" si="4"/>
        <v xml:space="preserve">      </v>
      </c>
      <c r="O29" s="1974" t="str">
        <f t="shared" si="5"/>
        <v xml:space="preserve">      </v>
      </c>
      <c r="P29" s="1975" t="str">
        <f t="shared" si="6"/>
        <v xml:space="preserve"> </v>
      </c>
      <c r="Q29" s="1975" t="str">
        <f t="shared" si="7"/>
        <v xml:space="preserve"> </v>
      </c>
      <c r="R29" s="1975" t="str">
        <f t="shared" si="8"/>
        <v xml:space="preserve"> </v>
      </c>
      <c r="S29" s="1975" t="str">
        <f t="shared" si="9"/>
        <v xml:space="preserve"> </v>
      </c>
      <c r="T29" s="1975" t="str">
        <f t="shared" si="10"/>
        <v xml:space="preserve"> </v>
      </c>
      <c r="U29" s="1976" t="str">
        <f t="shared" si="11"/>
        <v xml:space="preserve"> </v>
      </c>
      <c r="V29" s="1976" t="str">
        <f t="shared" si="12"/>
        <v xml:space="preserve"> </v>
      </c>
      <c r="W29" s="1976" t="str">
        <f t="shared" si="13"/>
        <v xml:space="preserve"> </v>
      </c>
      <c r="X29" s="1976" t="str">
        <f t="shared" si="14"/>
        <v xml:space="preserve"> </v>
      </c>
      <c r="Y29" s="1976" t="str">
        <f t="shared" si="15"/>
        <v xml:space="preserve"> </v>
      </c>
      <c r="Z29" s="1977" t="str">
        <f t="shared" si="16"/>
        <v xml:space="preserve"> </v>
      </c>
      <c r="AA29" s="1977" t="str">
        <f t="shared" si="17"/>
        <v xml:space="preserve"> </v>
      </c>
      <c r="AB29" s="1977" t="str">
        <f t="shared" si="18"/>
        <v xml:space="preserve"> </v>
      </c>
      <c r="AC29" s="1977" t="str">
        <f t="shared" si="19"/>
        <v xml:space="preserve"> </v>
      </c>
      <c r="AD29" s="1977" t="str">
        <f t="shared" si="20"/>
        <v xml:space="preserve"> </v>
      </c>
      <c r="AE29" s="1978" t="str">
        <f t="shared" si="21"/>
        <v xml:space="preserve"> </v>
      </c>
      <c r="AF29" s="1978" t="str">
        <f t="shared" si="22"/>
        <v xml:space="preserve"> </v>
      </c>
      <c r="AG29" s="1978" t="str">
        <f t="shared" si="23"/>
        <v xml:space="preserve"> </v>
      </c>
      <c r="AH29" s="1978" t="str">
        <f t="shared" si="24"/>
        <v xml:space="preserve"> </v>
      </c>
      <c r="AI29" s="1978" t="str">
        <f t="shared" si="25"/>
        <v xml:space="preserve"> </v>
      </c>
    </row>
    <row r="30" spans="1:35" x14ac:dyDescent="0.25">
      <c r="A30" s="1986">
        <v>16</v>
      </c>
      <c r="B30" s="1895" t="str">
        <f t="shared" si="0"/>
        <v>Nabilla Shiva Putri</v>
      </c>
      <c r="C30" s="1799"/>
      <c r="D30" s="1799"/>
      <c r="E30" s="1799"/>
      <c r="F30" s="1799"/>
      <c r="G30" s="754"/>
      <c r="H30" s="1981" t="str">
        <f t="shared" si="1"/>
        <v xml:space="preserve">                            </v>
      </c>
      <c r="L30" s="1972" t="str">
        <f t="shared" si="2"/>
        <v xml:space="preserve">      </v>
      </c>
      <c r="M30" s="1973" t="str">
        <f t="shared" si="3"/>
        <v xml:space="preserve">      </v>
      </c>
      <c r="N30" s="1974" t="str">
        <f t="shared" si="4"/>
        <v xml:space="preserve">      </v>
      </c>
      <c r="O30" s="1974" t="str">
        <f t="shared" si="5"/>
        <v xml:space="preserve">      </v>
      </c>
      <c r="P30" s="1975" t="str">
        <f t="shared" si="6"/>
        <v xml:space="preserve"> </v>
      </c>
      <c r="Q30" s="1975" t="str">
        <f t="shared" si="7"/>
        <v xml:space="preserve"> </v>
      </c>
      <c r="R30" s="1975" t="str">
        <f t="shared" si="8"/>
        <v xml:space="preserve"> </v>
      </c>
      <c r="S30" s="1975" t="str">
        <f t="shared" si="9"/>
        <v xml:space="preserve"> </v>
      </c>
      <c r="T30" s="1975" t="str">
        <f t="shared" si="10"/>
        <v xml:space="preserve"> </v>
      </c>
      <c r="U30" s="1976" t="str">
        <f t="shared" si="11"/>
        <v xml:space="preserve"> </v>
      </c>
      <c r="V30" s="1976" t="str">
        <f t="shared" si="12"/>
        <v xml:space="preserve"> </v>
      </c>
      <c r="W30" s="1976" t="str">
        <f t="shared" si="13"/>
        <v xml:space="preserve"> </v>
      </c>
      <c r="X30" s="1976" t="str">
        <f t="shared" si="14"/>
        <v xml:space="preserve"> </v>
      </c>
      <c r="Y30" s="1976" t="str">
        <f t="shared" si="15"/>
        <v xml:space="preserve"> </v>
      </c>
      <c r="Z30" s="1977" t="str">
        <f t="shared" si="16"/>
        <v xml:space="preserve"> </v>
      </c>
      <c r="AA30" s="1977" t="str">
        <f t="shared" si="17"/>
        <v xml:space="preserve"> </v>
      </c>
      <c r="AB30" s="1977" t="str">
        <f t="shared" si="18"/>
        <v xml:space="preserve"> </v>
      </c>
      <c r="AC30" s="1977" t="str">
        <f t="shared" si="19"/>
        <v xml:space="preserve"> </v>
      </c>
      <c r="AD30" s="1977" t="str">
        <f t="shared" si="20"/>
        <v xml:space="preserve"> </v>
      </c>
      <c r="AE30" s="1978" t="str">
        <f t="shared" si="21"/>
        <v xml:space="preserve"> </v>
      </c>
      <c r="AF30" s="1978" t="str">
        <f t="shared" si="22"/>
        <v xml:space="preserve"> </v>
      </c>
      <c r="AG30" s="1978" t="str">
        <f t="shared" si="23"/>
        <v xml:space="preserve"> </v>
      </c>
      <c r="AH30" s="1978" t="str">
        <f t="shared" si="24"/>
        <v xml:space="preserve"> </v>
      </c>
      <c r="AI30" s="1978" t="str">
        <f t="shared" si="25"/>
        <v xml:space="preserve"> </v>
      </c>
    </row>
    <row r="31" spans="1:35" x14ac:dyDescent="0.25">
      <c r="A31" s="1986">
        <v>17</v>
      </c>
      <c r="B31" s="1895" t="str">
        <f t="shared" si="0"/>
        <v>Naufal Falih F</v>
      </c>
      <c r="C31" s="1799"/>
      <c r="D31" s="1799"/>
      <c r="E31" s="1799"/>
      <c r="F31" s="1799"/>
      <c r="G31" s="754"/>
      <c r="H31" s="1981" t="str">
        <f t="shared" si="1"/>
        <v xml:space="preserve">                            </v>
      </c>
      <c r="L31" s="1972" t="str">
        <f t="shared" si="2"/>
        <v xml:space="preserve">      </v>
      </c>
      <c r="M31" s="1973" t="str">
        <f t="shared" si="3"/>
        <v xml:space="preserve">      </v>
      </c>
      <c r="N31" s="1974" t="str">
        <f t="shared" si="4"/>
        <v xml:space="preserve">      </v>
      </c>
      <c r="O31" s="1974" t="str">
        <f t="shared" si="5"/>
        <v xml:space="preserve">      </v>
      </c>
      <c r="P31" s="1975" t="str">
        <f t="shared" si="6"/>
        <v xml:space="preserve"> </v>
      </c>
      <c r="Q31" s="1975" t="str">
        <f t="shared" si="7"/>
        <v xml:space="preserve"> </v>
      </c>
      <c r="R31" s="1975" t="str">
        <f t="shared" si="8"/>
        <v xml:space="preserve"> </v>
      </c>
      <c r="S31" s="1975" t="str">
        <f t="shared" si="9"/>
        <v xml:space="preserve"> </v>
      </c>
      <c r="T31" s="1975" t="str">
        <f t="shared" si="10"/>
        <v xml:space="preserve"> </v>
      </c>
      <c r="U31" s="1976" t="str">
        <f t="shared" si="11"/>
        <v xml:space="preserve"> </v>
      </c>
      <c r="V31" s="1976" t="str">
        <f t="shared" si="12"/>
        <v xml:space="preserve"> </v>
      </c>
      <c r="W31" s="1976" t="str">
        <f t="shared" si="13"/>
        <v xml:space="preserve"> </v>
      </c>
      <c r="X31" s="1976" t="str">
        <f t="shared" si="14"/>
        <v xml:space="preserve"> </v>
      </c>
      <c r="Y31" s="1976" t="str">
        <f t="shared" si="15"/>
        <v xml:space="preserve"> </v>
      </c>
      <c r="Z31" s="1977" t="str">
        <f t="shared" si="16"/>
        <v xml:space="preserve"> </v>
      </c>
      <c r="AA31" s="1977" t="str">
        <f t="shared" si="17"/>
        <v xml:space="preserve"> </v>
      </c>
      <c r="AB31" s="1977" t="str">
        <f t="shared" si="18"/>
        <v xml:space="preserve"> </v>
      </c>
      <c r="AC31" s="1977" t="str">
        <f t="shared" si="19"/>
        <v xml:space="preserve"> </v>
      </c>
      <c r="AD31" s="1977" t="str">
        <f t="shared" si="20"/>
        <v xml:space="preserve"> </v>
      </c>
      <c r="AE31" s="1978" t="str">
        <f t="shared" si="21"/>
        <v xml:space="preserve"> </v>
      </c>
      <c r="AF31" s="1978" t="str">
        <f t="shared" si="22"/>
        <v xml:space="preserve"> </v>
      </c>
      <c r="AG31" s="1978" t="str">
        <f t="shared" si="23"/>
        <v xml:space="preserve"> </v>
      </c>
      <c r="AH31" s="1978" t="str">
        <f t="shared" si="24"/>
        <v xml:space="preserve"> </v>
      </c>
      <c r="AI31" s="1978" t="str">
        <f t="shared" si="25"/>
        <v xml:space="preserve"> </v>
      </c>
    </row>
    <row r="32" spans="1:35" x14ac:dyDescent="0.25">
      <c r="A32" s="1986">
        <v>18</v>
      </c>
      <c r="B32" s="1895" t="str">
        <f t="shared" si="0"/>
        <v>Nayla Annora Nobel W</v>
      </c>
      <c r="C32" s="1799"/>
      <c r="D32" s="1799"/>
      <c r="E32" s="1799"/>
      <c r="F32" s="1799"/>
      <c r="G32" s="754"/>
      <c r="H32" s="1981" t="str">
        <f t="shared" si="1"/>
        <v xml:space="preserve">                            </v>
      </c>
      <c r="L32" s="1972" t="str">
        <f t="shared" si="2"/>
        <v xml:space="preserve">      </v>
      </c>
      <c r="M32" s="1973" t="str">
        <f t="shared" si="3"/>
        <v xml:space="preserve">      </v>
      </c>
      <c r="N32" s="1974" t="str">
        <f t="shared" si="4"/>
        <v xml:space="preserve">      </v>
      </c>
      <c r="O32" s="1974" t="str">
        <f t="shared" si="5"/>
        <v xml:space="preserve">      </v>
      </c>
      <c r="P32" s="1975" t="str">
        <f t="shared" si="6"/>
        <v xml:space="preserve"> </v>
      </c>
      <c r="Q32" s="1975" t="str">
        <f t="shared" si="7"/>
        <v xml:space="preserve"> </v>
      </c>
      <c r="R32" s="1975" t="str">
        <f t="shared" si="8"/>
        <v xml:space="preserve"> </v>
      </c>
      <c r="S32" s="1975" t="str">
        <f t="shared" si="9"/>
        <v xml:space="preserve"> </v>
      </c>
      <c r="T32" s="1975" t="str">
        <f t="shared" si="10"/>
        <v xml:space="preserve"> </v>
      </c>
      <c r="U32" s="1976" t="str">
        <f t="shared" si="11"/>
        <v xml:space="preserve"> </v>
      </c>
      <c r="V32" s="1976" t="str">
        <f t="shared" si="12"/>
        <v xml:space="preserve"> </v>
      </c>
      <c r="W32" s="1976" t="str">
        <f t="shared" si="13"/>
        <v xml:space="preserve"> </v>
      </c>
      <c r="X32" s="1976" t="str">
        <f t="shared" si="14"/>
        <v xml:space="preserve"> </v>
      </c>
      <c r="Y32" s="1976" t="str">
        <f t="shared" si="15"/>
        <v xml:space="preserve"> </v>
      </c>
      <c r="Z32" s="1977" t="str">
        <f t="shared" si="16"/>
        <v xml:space="preserve"> </v>
      </c>
      <c r="AA32" s="1977" t="str">
        <f t="shared" si="17"/>
        <v xml:space="preserve"> </v>
      </c>
      <c r="AB32" s="1977" t="str">
        <f t="shared" si="18"/>
        <v xml:space="preserve"> </v>
      </c>
      <c r="AC32" s="1977" t="str">
        <f t="shared" si="19"/>
        <v xml:space="preserve"> </v>
      </c>
      <c r="AD32" s="1977" t="str">
        <f t="shared" si="20"/>
        <v xml:space="preserve"> </v>
      </c>
      <c r="AE32" s="1978" t="str">
        <f t="shared" si="21"/>
        <v xml:space="preserve"> </v>
      </c>
      <c r="AF32" s="1978" t="str">
        <f t="shared" si="22"/>
        <v xml:space="preserve"> </v>
      </c>
      <c r="AG32" s="1978" t="str">
        <f t="shared" si="23"/>
        <v xml:space="preserve"> </v>
      </c>
      <c r="AH32" s="1978" t="str">
        <f t="shared" si="24"/>
        <v xml:space="preserve"> </v>
      </c>
      <c r="AI32" s="1978" t="str">
        <f t="shared" si="25"/>
        <v xml:space="preserve"> </v>
      </c>
    </row>
    <row r="33" spans="1:35" x14ac:dyDescent="0.25">
      <c r="A33" s="1986">
        <v>19</v>
      </c>
      <c r="B33" s="1895" t="str">
        <f t="shared" si="0"/>
        <v>Raihan Danang P</v>
      </c>
      <c r="C33" s="1799"/>
      <c r="D33" s="1799"/>
      <c r="E33" s="1799"/>
      <c r="F33" s="1799"/>
      <c r="G33" s="754"/>
      <c r="H33" s="1981" t="str">
        <f t="shared" si="1"/>
        <v xml:space="preserve">                            </v>
      </c>
      <c r="L33" s="1972" t="str">
        <f t="shared" si="2"/>
        <v xml:space="preserve">      </v>
      </c>
      <c r="M33" s="1973" t="str">
        <f t="shared" si="3"/>
        <v xml:space="preserve">      </v>
      </c>
      <c r="N33" s="1974" t="str">
        <f t="shared" si="4"/>
        <v xml:space="preserve">      </v>
      </c>
      <c r="O33" s="1974" t="str">
        <f t="shared" si="5"/>
        <v xml:space="preserve">      </v>
      </c>
      <c r="P33" s="1975" t="str">
        <f t="shared" si="6"/>
        <v xml:space="preserve"> </v>
      </c>
      <c r="Q33" s="1975" t="str">
        <f t="shared" si="7"/>
        <v xml:space="preserve"> </v>
      </c>
      <c r="R33" s="1975" t="str">
        <f t="shared" si="8"/>
        <v xml:space="preserve"> </v>
      </c>
      <c r="S33" s="1975" t="str">
        <f t="shared" si="9"/>
        <v xml:space="preserve"> </v>
      </c>
      <c r="T33" s="1975" t="str">
        <f t="shared" si="10"/>
        <v xml:space="preserve"> </v>
      </c>
      <c r="U33" s="1976" t="str">
        <f t="shared" si="11"/>
        <v xml:space="preserve"> </v>
      </c>
      <c r="V33" s="1976" t="str">
        <f t="shared" si="12"/>
        <v xml:space="preserve"> </v>
      </c>
      <c r="W33" s="1976" t="str">
        <f t="shared" si="13"/>
        <v xml:space="preserve"> </v>
      </c>
      <c r="X33" s="1976" t="str">
        <f t="shared" si="14"/>
        <v xml:space="preserve"> </v>
      </c>
      <c r="Y33" s="1976" t="str">
        <f t="shared" si="15"/>
        <v xml:space="preserve"> </v>
      </c>
      <c r="Z33" s="1977" t="str">
        <f t="shared" si="16"/>
        <v xml:space="preserve"> </v>
      </c>
      <c r="AA33" s="1977" t="str">
        <f t="shared" si="17"/>
        <v xml:space="preserve"> </v>
      </c>
      <c r="AB33" s="1977" t="str">
        <f t="shared" si="18"/>
        <v xml:space="preserve"> </v>
      </c>
      <c r="AC33" s="1977" t="str">
        <f t="shared" si="19"/>
        <v xml:space="preserve"> </v>
      </c>
      <c r="AD33" s="1977" t="str">
        <f t="shared" si="20"/>
        <v xml:space="preserve"> </v>
      </c>
      <c r="AE33" s="1978" t="str">
        <f t="shared" si="21"/>
        <v xml:space="preserve"> </v>
      </c>
      <c r="AF33" s="1978" t="str">
        <f t="shared" si="22"/>
        <v xml:space="preserve"> </v>
      </c>
      <c r="AG33" s="1978" t="str">
        <f t="shared" si="23"/>
        <v xml:space="preserve"> </v>
      </c>
      <c r="AH33" s="1978" t="str">
        <f t="shared" si="24"/>
        <v xml:space="preserve"> </v>
      </c>
      <c r="AI33" s="1978" t="str">
        <f t="shared" si="25"/>
        <v xml:space="preserve"> </v>
      </c>
    </row>
    <row r="34" spans="1:35" x14ac:dyDescent="0.25">
      <c r="A34" s="1986">
        <v>20</v>
      </c>
      <c r="B34" s="1895" t="str">
        <f t="shared" si="0"/>
        <v>Roby Ardiyansyah</v>
      </c>
      <c r="C34" s="1799"/>
      <c r="D34" s="1799"/>
      <c r="E34" s="1799"/>
      <c r="F34" s="1799"/>
      <c r="G34" s="754"/>
      <c r="H34" s="1981" t="str">
        <f t="shared" si="1"/>
        <v xml:space="preserve">                            </v>
      </c>
      <c r="L34" s="1972" t="str">
        <f t="shared" si="2"/>
        <v xml:space="preserve">      </v>
      </c>
      <c r="M34" s="1973" t="str">
        <f t="shared" si="3"/>
        <v xml:space="preserve">      </v>
      </c>
      <c r="N34" s="1974" t="str">
        <f t="shared" si="4"/>
        <v xml:space="preserve">      </v>
      </c>
      <c r="O34" s="1974" t="str">
        <f t="shared" si="5"/>
        <v xml:space="preserve">      </v>
      </c>
      <c r="P34" s="1975" t="str">
        <f t="shared" si="6"/>
        <v xml:space="preserve"> </v>
      </c>
      <c r="Q34" s="1975" t="str">
        <f t="shared" si="7"/>
        <v xml:space="preserve"> </v>
      </c>
      <c r="R34" s="1975" t="str">
        <f t="shared" si="8"/>
        <v xml:space="preserve"> </v>
      </c>
      <c r="S34" s="1975" t="str">
        <f t="shared" si="9"/>
        <v xml:space="preserve"> </v>
      </c>
      <c r="T34" s="1975" t="str">
        <f t="shared" si="10"/>
        <v xml:space="preserve"> </v>
      </c>
      <c r="U34" s="1976" t="str">
        <f t="shared" si="11"/>
        <v xml:space="preserve"> </v>
      </c>
      <c r="V34" s="1976" t="str">
        <f t="shared" si="12"/>
        <v xml:space="preserve"> </v>
      </c>
      <c r="W34" s="1976" t="str">
        <f t="shared" si="13"/>
        <v xml:space="preserve"> </v>
      </c>
      <c r="X34" s="1976" t="str">
        <f t="shared" si="14"/>
        <v xml:space="preserve"> </v>
      </c>
      <c r="Y34" s="1976" t="str">
        <f t="shared" si="15"/>
        <v xml:space="preserve"> </v>
      </c>
      <c r="Z34" s="1977" t="str">
        <f t="shared" si="16"/>
        <v xml:space="preserve"> </v>
      </c>
      <c r="AA34" s="1977" t="str">
        <f t="shared" si="17"/>
        <v xml:space="preserve"> </v>
      </c>
      <c r="AB34" s="1977" t="str">
        <f t="shared" si="18"/>
        <v xml:space="preserve"> </v>
      </c>
      <c r="AC34" s="1977" t="str">
        <f t="shared" si="19"/>
        <v xml:space="preserve"> </v>
      </c>
      <c r="AD34" s="1977" t="str">
        <f t="shared" si="20"/>
        <v xml:space="preserve"> </v>
      </c>
      <c r="AE34" s="1978" t="str">
        <f t="shared" si="21"/>
        <v xml:space="preserve"> </v>
      </c>
      <c r="AF34" s="1978" t="str">
        <f t="shared" si="22"/>
        <v xml:space="preserve"> </v>
      </c>
      <c r="AG34" s="1978" t="str">
        <f t="shared" si="23"/>
        <v xml:space="preserve"> </v>
      </c>
      <c r="AH34" s="1978" t="str">
        <f t="shared" si="24"/>
        <v xml:space="preserve"> </v>
      </c>
      <c r="AI34" s="1978" t="str">
        <f t="shared" si="25"/>
        <v xml:space="preserve"> </v>
      </c>
    </row>
    <row r="35" spans="1:35" x14ac:dyDescent="0.25">
      <c r="A35" s="1986">
        <v>21</v>
      </c>
      <c r="B35" s="1895" t="str">
        <f t="shared" si="0"/>
        <v>Rojalingga Prana A</v>
      </c>
      <c r="C35" s="1799"/>
      <c r="D35" s="1799"/>
      <c r="E35" s="1799"/>
      <c r="F35" s="1799"/>
      <c r="G35" s="754"/>
      <c r="H35" s="1981" t="str">
        <f t="shared" si="1"/>
        <v xml:space="preserve">                            </v>
      </c>
      <c r="L35" s="1972" t="str">
        <f t="shared" si="2"/>
        <v xml:space="preserve">      </v>
      </c>
      <c r="M35" s="1973" t="str">
        <f t="shared" si="3"/>
        <v xml:space="preserve">      </v>
      </c>
      <c r="N35" s="1974" t="str">
        <f t="shared" si="4"/>
        <v xml:space="preserve">      </v>
      </c>
      <c r="O35" s="1974" t="str">
        <f t="shared" si="5"/>
        <v xml:space="preserve">      </v>
      </c>
      <c r="P35" s="1975" t="str">
        <f t="shared" si="6"/>
        <v xml:space="preserve"> </v>
      </c>
      <c r="Q35" s="1975" t="str">
        <f t="shared" si="7"/>
        <v xml:space="preserve"> </v>
      </c>
      <c r="R35" s="1975" t="str">
        <f t="shared" si="8"/>
        <v xml:space="preserve"> </v>
      </c>
      <c r="S35" s="1975" t="str">
        <f t="shared" si="9"/>
        <v xml:space="preserve"> </v>
      </c>
      <c r="T35" s="1975" t="str">
        <f t="shared" si="10"/>
        <v xml:space="preserve"> </v>
      </c>
      <c r="U35" s="1976" t="str">
        <f t="shared" si="11"/>
        <v xml:space="preserve"> </v>
      </c>
      <c r="V35" s="1976" t="str">
        <f t="shared" si="12"/>
        <v xml:space="preserve"> </v>
      </c>
      <c r="W35" s="1976" t="str">
        <f t="shared" si="13"/>
        <v xml:space="preserve"> </v>
      </c>
      <c r="X35" s="1976" t="str">
        <f t="shared" si="14"/>
        <v xml:space="preserve"> </v>
      </c>
      <c r="Y35" s="1976" t="str">
        <f t="shared" si="15"/>
        <v xml:space="preserve"> </v>
      </c>
      <c r="Z35" s="1977" t="str">
        <f t="shared" si="16"/>
        <v xml:space="preserve"> </v>
      </c>
      <c r="AA35" s="1977" t="str">
        <f t="shared" si="17"/>
        <v xml:space="preserve"> </v>
      </c>
      <c r="AB35" s="1977" t="str">
        <f t="shared" si="18"/>
        <v xml:space="preserve"> </v>
      </c>
      <c r="AC35" s="1977" t="str">
        <f t="shared" si="19"/>
        <v xml:space="preserve"> </v>
      </c>
      <c r="AD35" s="1977" t="str">
        <f t="shared" si="20"/>
        <v xml:space="preserve"> </v>
      </c>
      <c r="AE35" s="1978" t="str">
        <f t="shared" si="21"/>
        <v xml:space="preserve"> </v>
      </c>
      <c r="AF35" s="1978" t="str">
        <f t="shared" si="22"/>
        <v xml:space="preserve"> </v>
      </c>
      <c r="AG35" s="1978" t="str">
        <f t="shared" si="23"/>
        <v xml:space="preserve"> </v>
      </c>
      <c r="AH35" s="1978" t="str">
        <f t="shared" si="24"/>
        <v xml:space="preserve"> </v>
      </c>
      <c r="AI35" s="1978" t="str">
        <f t="shared" si="25"/>
        <v xml:space="preserve"> </v>
      </c>
    </row>
    <row r="36" spans="1:35" x14ac:dyDescent="0.25">
      <c r="A36" s="1986">
        <v>22</v>
      </c>
      <c r="B36" s="1895" t="str">
        <f t="shared" si="0"/>
        <v>Sally Savista A</v>
      </c>
      <c r="C36" s="1799"/>
      <c r="D36" s="1799"/>
      <c r="E36" s="1799"/>
      <c r="F36" s="1799"/>
      <c r="G36" s="754"/>
      <c r="H36" s="1981" t="str">
        <f t="shared" si="1"/>
        <v xml:space="preserve">                            </v>
      </c>
      <c r="L36" s="1972" t="str">
        <f t="shared" si="2"/>
        <v xml:space="preserve">      </v>
      </c>
      <c r="M36" s="1973" t="str">
        <f t="shared" si="3"/>
        <v xml:space="preserve">      </v>
      </c>
      <c r="N36" s="1974" t="str">
        <f t="shared" si="4"/>
        <v xml:space="preserve">      </v>
      </c>
      <c r="O36" s="1974" t="str">
        <f t="shared" si="5"/>
        <v xml:space="preserve">      </v>
      </c>
      <c r="P36" s="1975" t="str">
        <f t="shared" si="6"/>
        <v xml:space="preserve"> </v>
      </c>
      <c r="Q36" s="1975" t="str">
        <f t="shared" si="7"/>
        <v xml:space="preserve"> </v>
      </c>
      <c r="R36" s="1975" t="str">
        <f t="shared" si="8"/>
        <v xml:space="preserve"> </v>
      </c>
      <c r="S36" s="1975" t="str">
        <f t="shared" si="9"/>
        <v xml:space="preserve"> </v>
      </c>
      <c r="T36" s="1975" t="str">
        <f t="shared" si="10"/>
        <v xml:space="preserve"> </v>
      </c>
      <c r="U36" s="1976" t="str">
        <f t="shared" si="11"/>
        <v xml:space="preserve"> </v>
      </c>
      <c r="V36" s="1976" t="str">
        <f t="shared" si="12"/>
        <v xml:space="preserve"> </v>
      </c>
      <c r="W36" s="1976" t="str">
        <f t="shared" si="13"/>
        <v xml:space="preserve"> </v>
      </c>
      <c r="X36" s="1976" t="str">
        <f t="shared" si="14"/>
        <v xml:space="preserve"> </v>
      </c>
      <c r="Y36" s="1976" t="str">
        <f t="shared" si="15"/>
        <v xml:space="preserve"> </v>
      </c>
      <c r="Z36" s="1977" t="str">
        <f t="shared" si="16"/>
        <v xml:space="preserve"> </v>
      </c>
      <c r="AA36" s="1977" t="str">
        <f t="shared" si="17"/>
        <v xml:space="preserve"> </v>
      </c>
      <c r="AB36" s="1977" t="str">
        <f t="shared" si="18"/>
        <v xml:space="preserve"> </v>
      </c>
      <c r="AC36" s="1977" t="str">
        <f t="shared" si="19"/>
        <v xml:space="preserve"> </v>
      </c>
      <c r="AD36" s="1977" t="str">
        <f t="shared" si="20"/>
        <v xml:space="preserve"> </v>
      </c>
      <c r="AE36" s="1978" t="str">
        <f t="shared" si="21"/>
        <v xml:space="preserve"> </v>
      </c>
      <c r="AF36" s="1978" t="str">
        <f t="shared" si="22"/>
        <v xml:space="preserve"> </v>
      </c>
      <c r="AG36" s="1978" t="str">
        <f t="shared" si="23"/>
        <v xml:space="preserve"> </v>
      </c>
      <c r="AH36" s="1978" t="str">
        <f t="shared" si="24"/>
        <v xml:space="preserve"> </v>
      </c>
      <c r="AI36" s="1978" t="str">
        <f t="shared" si="25"/>
        <v xml:space="preserve"> </v>
      </c>
    </row>
    <row r="37" spans="1:35" x14ac:dyDescent="0.25">
      <c r="A37" s="1986">
        <v>23</v>
      </c>
      <c r="B37" s="1895" t="str">
        <f t="shared" si="0"/>
        <v xml:space="preserve">Tania Kaori Angelita </v>
      </c>
      <c r="C37" s="1799"/>
      <c r="D37" s="1799"/>
      <c r="E37" s="1799"/>
      <c r="F37" s="1799"/>
      <c r="G37" s="754"/>
      <c r="H37" s="1981" t="str">
        <f t="shared" si="1"/>
        <v xml:space="preserve">                            </v>
      </c>
      <c r="L37" s="1972" t="str">
        <f t="shared" si="2"/>
        <v xml:space="preserve">      </v>
      </c>
      <c r="M37" s="1973" t="str">
        <f t="shared" si="3"/>
        <v xml:space="preserve">      </v>
      </c>
      <c r="N37" s="1974" t="str">
        <f t="shared" si="4"/>
        <v xml:space="preserve">      </v>
      </c>
      <c r="O37" s="1974" t="str">
        <f t="shared" si="5"/>
        <v xml:space="preserve">      </v>
      </c>
      <c r="P37" s="1975" t="str">
        <f t="shared" si="6"/>
        <v xml:space="preserve"> </v>
      </c>
      <c r="Q37" s="1975" t="str">
        <f t="shared" si="7"/>
        <v xml:space="preserve"> </v>
      </c>
      <c r="R37" s="1975" t="str">
        <f t="shared" si="8"/>
        <v xml:space="preserve"> </v>
      </c>
      <c r="S37" s="1975" t="str">
        <f t="shared" si="9"/>
        <v xml:space="preserve"> </v>
      </c>
      <c r="T37" s="1975" t="str">
        <f t="shared" si="10"/>
        <v xml:space="preserve"> </v>
      </c>
      <c r="U37" s="1976" t="str">
        <f t="shared" si="11"/>
        <v xml:space="preserve"> </v>
      </c>
      <c r="V37" s="1976" t="str">
        <f t="shared" si="12"/>
        <v xml:space="preserve"> </v>
      </c>
      <c r="W37" s="1976" t="str">
        <f t="shared" si="13"/>
        <v xml:space="preserve"> </v>
      </c>
      <c r="X37" s="1976" t="str">
        <f t="shared" si="14"/>
        <v xml:space="preserve"> </v>
      </c>
      <c r="Y37" s="1976" t="str">
        <f t="shared" si="15"/>
        <v xml:space="preserve"> </v>
      </c>
      <c r="Z37" s="1977" t="str">
        <f t="shared" si="16"/>
        <v xml:space="preserve"> </v>
      </c>
      <c r="AA37" s="1977" t="str">
        <f t="shared" si="17"/>
        <v xml:space="preserve"> </v>
      </c>
      <c r="AB37" s="1977" t="str">
        <f t="shared" si="18"/>
        <v xml:space="preserve"> </v>
      </c>
      <c r="AC37" s="1977" t="str">
        <f t="shared" si="19"/>
        <v xml:space="preserve"> </v>
      </c>
      <c r="AD37" s="1977" t="str">
        <f t="shared" si="20"/>
        <v xml:space="preserve"> </v>
      </c>
      <c r="AE37" s="1978" t="str">
        <f t="shared" si="21"/>
        <v xml:space="preserve"> </v>
      </c>
      <c r="AF37" s="1978" t="str">
        <f t="shared" si="22"/>
        <v xml:space="preserve"> </v>
      </c>
      <c r="AG37" s="1978" t="str">
        <f t="shared" si="23"/>
        <v xml:space="preserve"> </v>
      </c>
      <c r="AH37" s="1978" t="str">
        <f t="shared" si="24"/>
        <v xml:space="preserve"> </v>
      </c>
      <c r="AI37" s="1978" t="str">
        <f t="shared" si="25"/>
        <v xml:space="preserve"> </v>
      </c>
    </row>
    <row r="38" spans="1:35" x14ac:dyDescent="0.25">
      <c r="A38" s="1986">
        <v>24</v>
      </c>
      <c r="B38" s="1895" t="str">
        <f t="shared" si="0"/>
        <v>Romzy Oka Ramadhani P</v>
      </c>
      <c r="C38" s="1799"/>
      <c r="D38" s="1799"/>
      <c r="E38" s="1799"/>
      <c r="F38" s="1799"/>
      <c r="G38" s="754"/>
      <c r="H38" s="1981" t="str">
        <f t="shared" si="1"/>
        <v xml:space="preserve">                            </v>
      </c>
      <c r="L38" s="1972" t="str">
        <f t="shared" si="2"/>
        <v xml:space="preserve">      </v>
      </c>
      <c r="M38" s="1973" t="str">
        <f t="shared" si="3"/>
        <v xml:space="preserve">      </v>
      </c>
      <c r="N38" s="1974" t="str">
        <f t="shared" si="4"/>
        <v xml:space="preserve">      </v>
      </c>
      <c r="O38" s="1974" t="str">
        <f t="shared" si="5"/>
        <v xml:space="preserve">      </v>
      </c>
      <c r="P38" s="1975" t="str">
        <f t="shared" si="6"/>
        <v xml:space="preserve"> </v>
      </c>
      <c r="Q38" s="1975" t="str">
        <f t="shared" si="7"/>
        <v xml:space="preserve"> </v>
      </c>
      <c r="R38" s="1975" t="str">
        <f t="shared" si="8"/>
        <v xml:space="preserve"> </v>
      </c>
      <c r="S38" s="1975" t="str">
        <f t="shared" si="9"/>
        <v xml:space="preserve"> </v>
      </c>
      <c r="T38" s="1975" t="str">
        <f t="shared" si="10"/>
        <v xml:space="preserve"> </v>
      </c>
      <c r="U38" s="1976" t="str">
        <f t="shared" si="11"/>
        <v xml:space="preserve"> </v>
      </c>
      <c r="V38" s="1976" t="str">
        <f t="shared" si="12"/>
        <v xml:space="preserve"> </v>
      </c>
      <c r="W38" s="1976" t="str">
        <f t="shared" si="13"/>
        <v xml:space="preserve"> </v>
      </c>
      <c r="X38" s="1976" t="str">
        <f t="shared" si="14"/>
        <v xml:space="preserve"> </v>
      </c>
      <c r="Y38" s="1976" t="str">
        <f t="shared" si="15"/>
        <v xml:space="preserve"> </v>
      </c>
      <c r="Z38" s="1977" t="str">
        <f t="shared" si="16"/>
        <v xml:space="preserve"> </v>
      </c>
      <c r="AA38" s="1977" t="str">
        <f t="shared" si="17"/>
        <v xml:space="preserve"> </v>
      </c>
      <c r="AB38" s="1977" t="str">
        <f t="shared" si="18"/>
        <v xml:space="preserve"> </v>
      </c>
      <c r="AC38" s="1977" t="str">
        <f t="shared" si="19"/>
        <v xml:space="preserve"> </v>
      </c>
      <c r="AD38" s="1977" t="str">
        <f t="shared" si="20"/>
        <v xml:space="preserve"> </v>
      </c>
      <c r="AE38" s="1978" t="str">
        <f t="shared" si="21"/>
        <v xml:space="preserve"> </v>
      </c>
      <c r="AF38" s="1978" t="str">
        <f t="shared" si="22"/>
        <v xml:space="preserve"> </v>
      </c>
      <c r="AG38" s="1978" t="str">
        <f t="shared" si="23"/>
        <v xml:space="preserve"> </v>
      </c>
      <c r="AH38" s="1978" t="str">
        <f t="shared" si="24"/>
        <v xml:space="preserve"> </v>
      </c>
      <c r="AI38" s="1978" t="str">
        <f t="shared" si="25"/>
        <v xml:space="preserve"> </v>
      </c>
    </row>
    <row r="39" spans="1:35" x14ac:dyDescent="0.25">
      <c r="A39" s="1986">
        <v>25</v>
      </c>
      <c r="B39" s="1895" t="str">
        <f t="shared" si="0"/>
        <v>Larasati Jagadhita P</v>
      </c>
      <c r="C39" s="1799"/>
      <c r="D39" s="1799"/>
      <c r="E39" s="1799"/>
      <c r="F39" s="1799"/>
      <c r="G39" s="754"/>
      <c r="H39" s="1981" t="str">
        <f t="shared" si="1"/>
        <v xml:space="preserve">                            </v>
      </c>
      <c r="L39" s="1972" t="str">
        <f t="shared" si="2"/>
        <v xml:space="preserve">      </v>
      </c>
      <c r="M39" s="1973" t="str">
        <f t="shared" si="3"/>
        <v xml:space="preserve">      </v>
      </c>
      <c r="N39" s="1974" t="str">
        <f t="shared" si="4"/>
        <v xml:space="preserve">      </v>
      </c>
      <c r="O39" s="1974" t="str">
        <f t="shared" si="5"/>
        <v xml:space="preserve">      </v>
      </c>
      <c r="P39" s="1975" t="str">
        <f t="shared" si="6"/>
        <v xml:space="preserve"> </v>
      </c>
      <c r="Q39" s="1975" t="str">
        <f t="shared" si="7"/>
        <v xml:space="preserve"> </v>
      </c>
      <c r="R39" s="1975" t="str">
        <f t="shared" si="8"/>
        <v xml:space="preserve"> </v>
      </c>
      <c r="S39" s="1975" t="str">
        <f t="shared" si="9"/>
        <v xml:space="preserve"> </v>
      </c>
      <c r="T39" s="1975" t="str">
        <f t="shared" si="10"/>
        <v xml:space="preserve"> </v>
      </c>
      <c r="U39" s="1976" t="str">
        <f t="shared" si="11"/>
        <v xml:space="preserve"> </v>
      </c>
      <c r="V39" s="1976" t="str">
        <f t="shared" si="12"/>
        <v xml:space="preserve"> </v>
      </c>
      <c r="W39" s="1976" t="str">
        <f t="shared" si="13"/>
        <v xml:space="preserve"> </v>
      </c>
      <c r="X39" s="1976" t="str">
        <f t="shared" si="14"/>
        <v xml:space="preserve"> </v>
      </c>
      <c r="Y39" s="1976" t="str">
        <f t="shared" si="15"/>
        <v xml:space="preserve"> </v>
      </c>
      <c r="Z39" s="1977" t="str">
        <f t="shared" si="16"/>
        <v xml:space="preserve"> </v>
      </c>
      <c r="AA39" s="1977" t="str">
        <f t="shared" si="17"/>
        <v xml:space="preserve"> </v>
      </c>
      <c r="AB39" s="1977" t="str">
        <f t="shared" si="18"/>
        <v xml:space="preserve"> </v>
      </c>
      <c r="AC39" s="1977" t="str">
        <f t="shared" si="19"/>
        <v xml:space="preserve"> </v>
      </c>
      <c r="AD39" s="1977" t="str">
        <f t="shared" si="20"/>
        <v xml:space="preserve"> </v>
      </c>
      <c r="AE39" s="1978" t="str">
        <f t="shared" si="21"/>
        <v xml:space="preserve"> </v>
      </c>
      <c r="AF39" s="1978" t="str">
        <f t="shared" si="22"/>
        <v xml:space="preserve"> </v>
      </c>
      <c r="AG39" s="1978" t="str">
        <f t="shared" si="23"/>
        <v xml:space="preserve"> </v>
      </c>
      <c r="AH39" s="1978" t="str">
        <f t="shared" si="24"/>
        <v xml:space="preserve"> </v>
      </c>
      <c r="AI39" s="1978" t="str">
        <f t="shared" si="25"/>
        <v xml:space="preserve"> </v>
      </c>
    </row>
    <row r="40" spans="1:35" x14ac:dyDescent="0.25">
      <c r="A40" s="1986">
        <v>26</v>
      </c>
      <c r="B40" s="1895" t="str">
        <f t="shared" si="0"/>
        <v>Meliana Citra A</v>
      </c>
      <c r="C40" s="1799"/>
      <c r="D40" s="1799"/>
      <c r="E40" s="1799"/>
      <c r="F40" s="1799"/>
      <c r="G40" s="754"/>
      <c r="H40" s="1981" t="str">
        <f t="shared" si="1"/>
        <v xml:space="preserve">                            </v>
      </c>
      <c r="L40" s="1972" t="str">
        <f t="shared" si="2"/>
        <v xml:space="preserve">      </v>
      </c>
      <c r="M40" s="1973" t="str">
        <f t="shared" si="3"/>
        <v xml:space="preserve">      </v>
      </c>
      <c r="N40" s="1974" t="str">
        <f t="shared" si="4"/>
        <v xml:space="preserve">      </v>
      </c>
      <c r="O40" s="1974" t="str">
        <f t="shared" si="5"/>
        <v xml:space="preserve">      </v>
      </c>
      <c r="P40" s="1975" t="str">
        <f t="shared" si="6"/>
        <v xml:space="preserve"> </v>
      </c>
      <c r="Q40" s="1975" t="str">
        <f t="shared" si="7"/>
        <v xml:space="preserve"> </v>
      </c>
      <c r="R40" s="1975" t="str">
        <f t="shared" si="8"/>
        <v xml:space="preserve"> </v>
      </c>
      <c r="S40" s="1975" t="str">
        <f t="shared" si="9"/>
        <v xml:space="preserve"> </v>
      </c>
      <c r="T40" s="1975" t="str">
        <f t="shared" si="10"/>
        <v xml:space="preserve"> </v>
      </c>
      <c r="U40" s="1976" t="str">
        <f t="shared" si="11"/>
        <v xml:space="preserve"> </v>
      </c>
      <c r="V40" s="1976" t="str">
        <f t="shared" si="12"/>
        <v xml:space="preserve"> </v>
      </c>
      <c r="W40" s="1976" t="str">
        <f t="shared" si="13"/>
        <v xml:space="preserve"> </v>
      </c>
      <c r="X40" s="1976" t="str">
        <f t="shared" si="14"/>
        <v xml:space="preserve"> </v>
      </c>
      <c r="Y40" s="1976" t="str">
        <f t="shared" si="15"/>
        <v xml:space="preserve"> </v>
      </c>
      <c r="Z40" s="1977" t="str">
        <f t="shared" si="16"/>
        <v xml:space="preserve"> </v>
      </c>
      <c r="AA40" s="1977" t="str">
        <f t="shared" si="17"/>
        <v xml:space="preserve"> </v>
      </c>
      <c r="AB40" s="1977" t="str">
        <f t="shared" si="18"/>
        <v xml:space="preserve"> </v>
      </c>
      <c r="AC40" s="1977" t="str">
        <f t="shared" si="19"/>
        <v xml:space="preserve"> </v>
      </c>
      <c r="AD40" s="1977" t="str">
        <f t="shared" si="20"/>
        <v xml:space="preserve"> </v>
      </c>
      <c r="AE40" s="1978" t="str">
        <f t="shared" si="21"/>
        <v xml:space="preserve"> </v>
      </c>
      <c r="AF40" s="1978" t="str">
        <f t="shared" si="22"/>
        <v xml:space="preserve"> </v>
      </c>
      <c r="AG40" s="1978" t="str">
        <f t="shared" si="23"/>
        <v xml:space="preserve"> </v>
      </c>
      <c r="AH40" s="1978" t="str">
        <f t="shared" si="24"/>
        <v xml:space="preserve"> </v>
      </c>
      <c r="AI40" s="1978" t="str">
        <f t="shared" si="25"/>
        <v xml:space="preserve"> </v>
      </c>
    </row>
    <row r="41" spans="1:35" x14ac:dyDescent="0.25">
      <c r="A41" s="1986">
        <v>27</v>
      </c>
      <c r="B41" s="1895">
        <f t="shared" si="0"/>
        <v>0</v>
      </c>
      <c r="C41" s="1799"/>
      <c r="D41" s="1799"/>
      <c r="E41" s="1799"/>
      <c r="F41" s="1799"/>
      <c r="G41" s="754"/>
      <c r="H41" s="1981" t="str">
        <f t="shared" si="1"/>
        <v xml:space="preserve">                            </v>
      </c>
      <c r="L41" s="1972" t="str">
        <f t="shared" si="2"/>
        <v xml:space="preserve">      </v>
      </c>
      <c r="M41" s="1973" t="str">
        <f t="shared" si="3"/>
        <v xml:space="preserve">      </v>
      </c>
      <c r="N41" s="1974" t="str">
        <f t="shared" si="4"/>
        <v xml:space="preserve">      </v>
      </c>
      <c r="O41" s="1974" t="str">
        <f t="shared" si="5"/>
        <v xml:space="preserve">      </v>
      </c>
      <c r="P41" s="1975" t="str">
        <f t="shared" si="6"/>
        <v xml:space="preserve"> </v>
      </c>
      <c r="Q41" s="1975" t="str">
        <f t="shared" si="7"/>
        <v xml:space="preserve"> </v>
      </c>
      <c r="R41" s="1975" t="str">
        <f t="shared" si="8"/>
        <v xml:space="preserve"> </v>
      </c>
      <c r="S41" s="1975" t="str">
        <f t="shared" si="9"/>
        <v xml:space="preserve"> </v>
      </c>
      <c r="T41" s="1975" t="str">
        <f t="shared" si="10"/>
        <v xml:space="preserve"> </v>
      </c>
      <c r="U41" s="1976" t="str">
        <f t="shared" si="11"/>
        <v xml:space="preserve"> </v>
      </c>
      <c r="V41" s="1976" t="str">
        <f t="shared" si="12"/>
        <v xml:space="preserve"> </v>
      </c>
      <c r="W41" s="1976" t="str">
        <f t="shared" si="13"/>
        <v xml:space="preserve"> </v>
      </c>
      <c r="X41" s="1976" t="str">
        <f t="shared" si="14"/>
        <v xml:space="preserve"> </v>
      </c>
      <c r="Y41" s="1976" t="str">
        <f t="shared" si="15"/>
        <v xml:space="preserve"> </v>
      </c>
      <c r="Z41" s="1977" t="str">
        <f t="shared" si="16"/>
        <v xml:space="preserve"> </v>
      </c>
      <c r="AA41" s="1977" t="str">
        <f t="shared" si="17"/>
        <v xml:space="preserve"> </v>
      </c>
      <c r="AB41" s="1977" t="str">
        <f t="shared" si="18"/>
        <v xml:space="preserve"> </v>
      </c>
      <c r="AC41" s="1977" t="str">
        <f t="shared" si="19"/>
        <v xml:space="preserve"> </v>
      </c>
      <c r="AD41" s="1977" t="str">
        <f t="shared" si="20"/>
        <v xml:space="preserve"> </v>
      </c>
      <c r="AE41" s="1978" t="str">
        <f t="shared" si="21"/>
        <v xml:space="preserve"> </v>
      </c>
      <c r="AF41" s="1978" t="str">
        <f t="shared" si="22"/>
        <v xml:space="preserve"> </v>
      </c>
      <c r="AG41" s="1978" t="str">
        <f t="shared" si="23"/>
        <v xml:space="preserve"> </v>
      </c>
      <c r="AH41" s="1978" t="str">
        <f t="shared" si="24"/>
        <v xml:space="preserve"> </v>
      </c>
      <c r="AI41" s="1978" t="str">
        <f t="shared" si="25"/>
        <v xml:space="preserve"> </v>
      </c>
    </row>
    <row r="42" spans="1:35" x14ac:dyDescent="0.25">
      <c r="A42" s="1986">
        <v>28</v>
      </c>
      <c r="B42" s="1895">
        <f t="shared" si="0"/>
        <v>0</v>
      </c>
      <c r="C42" s="1799"/>
      <c r="D42" s="1799"/>
      <c r="E42" s="1799"/>
      <c r="F42" s="1799"/>
      <c r="G42" s="754"/>
      <c r="H42" s="1981" t="str">
        <f t="shared" si="1"/>
        <v xml:space="preserve">                            </v>
      </c>
      <c r="L42" s="1972" t="str">
        <f t="shared" si="2"/>
        <v xml:space="preserve">      </v>
      </c>
      <c r="M42" s="1973" t="str">
        <f t="shared" si="3"/>
        <v xml:space="preserve">      </v>
      </c>
      <c r="N42" s="1974" t="str">
        <f t="shared" si="4"/>
        <v xml:space="preserve">      </v>
      </c>
      <c r="O42" s="1974" t="str">
        <f t="shared" si="5"/>
        <v xml:space="preserve">      </v>
      </c>
      <c r="P42" s="1975" t="str">
        <f t="shared" si="6"/>
        <v xml:space="preserve"> </v>
      </c>
      <c r="Q42" s="1975" t="str">
        <f t="shared" si="7"/>
        <v xml:space="preserve"> </v>
      </c>
      <c r="R42" s="1975" t="str">
        <f t="shared" si="8"/>
        <v xml:space="preserve"> </v>
      </c>
      <c r="S42" s="1975" t="str">
        <f t="shared" si="9"/>
        <v xml:space="preserve"> </v>
      </c>
      <c r="T42" s="1975" t="str">
        <f t="shared" si="10"/>
        <v xml:space="preserve"> </v>
      </c>
      <c r="U42" s="1976" t="str">
        <f t="shared" si="11"/>
        <v xml:space="preserve"> </v>
      </c>
      <c r="V42" s="1976" t="str">
        <f t="shared" si="12"/>
        <v xml:space="preserve"> </v>
      </c>
      <c r="W42" s="1976" t="str">
        <f t="shared" si="13"/>
        <v xml:space="preserve"> </v>
      </c>
      <c r="X42" s="1976" t="str">
        <f t="shared" si="14"/>
        <v xml:space="preserve"> </v>
      </c>
      <c r="Y42" s="1976" t="str">
        <f t="shared" si="15"/>
        <v xml:space="preserve"> </v>
      </c>
      <c r="Z42" s="1977" t="str">
        <f t="shared" si="16"/>
        <v xml:space="preserve"> </v>
      </c>
      <c r="AA42" s="1977" t="str">
        <f t="shared" si="17"/>
        <v xml:space="preserve"> </v>
      </c>
      <c r="AB42" s="1977" t="str">
        <f t="shared" si="18"/>
        <v xml:space="preserve"> </v>
      </c>
      <c r="AC42" s="1977" t="str">
        <f t="shared" si="19"/>
        <v xml:space="preserve"> </v>
      </c>
      <c r="AD42" s="1977" t="str">
        <f t="shared" si="20"/>
        <v xml:space="preserve"> </v>
      </c>
      <c r="AE42" s="1978" t="str">
        <f t="shared" si="21"/>
        <v xml:space="preserve"> </v>
      </c>
      <c r="AF42" s="1978" t="str">
        <f t="shared" si="22"/>
        <v xml:space="preserve"> </v>
      </c>
      <c r="AG42" s="1978" t="str">
        <f t="shared" si="23"/>
        <v xml:space="preserve"> </v>
      </c>
      <c r="AH42" s="1978" t="str">
        <f t="shared" si="24"/>
        <v xml:space="preserve"> </v>
      </c>
      <c r="AI42" s="1978" t="str">
        <f t="shared" si="25"/>
        <v xml:space="preserve"> </v>
      </c>
    </row>
    <row r="43" spans="1:35" x14ac:dyDescent="0.25">
      <c r="A43" s="1986">
        <v>29</v>
      </c>
      <c r="B43" s="1895">
        <f t="shared" si="0"/>
        <v>0</v>
      </c>
      <c r="C43" s="1799"/>
      <c r="D43" s="1799"/>
      <c r="E43" s="1799"/>
      <c r="F43" s="1799"/>
      <c r="G43" s="754"/>
      <c r="H43" s="1981" t="str">
        <f t="shared" si="1"/>
        <v xml:space="preserve">                            </v>
      </c>
      <c r="L43" s="1972" t="str">
        <f t="shared" si="2"/>
        <v xml:space="preserve">      </v>
      </c>
      <c r="M43" s="1973" t="str">
        <f t="shared" si="3"/>
        <v xml:space="preserve">      </v>
      </c>
      <c r="N43" s="1974" t="str">
        <f t="shared" si="4"/>
        <v xml:space="preserve">      </v>
      </c>
      <c r="O43" s="1974" t="str">
        <f t="shared" si="5"/>
        <v xml:space="preserve">      </v>
      </c>
      <c r="P43" s="1975" t="str">
        <f t="shared" si="6"/>
        <v xml:space="preserve"> </v>
      </c>
      <c r="Q43" s="1975" t="str">
        <f t="shared" si="7"/>
        <v xml:space="preserve"> </v>
      </c>
      <c r="R43" s="1975" t="str">
        <f t="shared" si="8"/>
        <v xml:space="preserve"> </v>
      </c>
      <c r="S43" s="1975" t="str">
        <f t="shared" si="9"/>
        <v xml:space="preserve"> </v>
      </c>
      <c r="T43" s="1975" t="str">
        <f t="shared" si="10"/>
        <v xml:space="preserve"> </v>
      </c>
      <c r="U43" s="1976" t="str">
        <f t="shared" si="11"/>
        <v xml:space="preserve"> </v>
      </c>
      <c r="V43" s="1976" t="str">
        <f t="shared" si="12"/>
        <v xml:space="preserve"> </v>
      </c>
      <c r="W43" s="1976" t="str">
        <f t="shared" si="13"/>
        <v xml:space="preserve"> </v>
      </c>
      <c r="X43" s="1976" t="str">
        <f t="shared" si="14"/>
        <v xml:space="preserve"> </v>
      </c>
      <c r="Y43" s="1976" t="str">
        <f t="shared" si="15"/>
        <v xml:space="preserve"> </v>
      </c>
      <c r="Z43" s="1977" t="str">
        <f t="shared" si="16"/>
        <v xml:space="preserve"> </v>
      </c>
      <c r="AA43" s="1977" t="str">
        <f t="shared" si="17"/>
        <v xml:space="preserve"> </v>
      </c>
      <c r="AB43" s="1977" t="str">
        <f t="shared" si="18"/>
        <v xml:space="preserve"> </v>
      </c>
      <c r="AC43" s="1977" t="str">
        <f t="shared" si="19"/>
        <v xml:space="preserve"> </v>
      </c>
      <c r="AD43" s="1977" t="str">
        <f t="shared" si="20"/>
        <v xml:space="preserve"> </v>
      </c>
      <c r="AE43" s="1978" t="str">
        <f t="shared" si="21"/>
        <v xml:space="preserve"> </v>
      </c>
      <c r="AF43" s="1978" t="str">
        <f t="shared" si="22"/>
        <v xml:space="preserve"> </v>
      </c>
      <c r="AG43" s="1978" t="str">
        <f t="shared" si="23"/>
        <v xml:space="preserve"> </v>
      </c>
      <c r="AH43" s="1978" t="str">
        <f t="shared" si="24"/>
        <v xml:space="preserve"> </v>
      </c>
      <c r="AI43" s="1978" t="str">
        <f t="shared" si="25"/>
        <v xml:space="preserve"> </v>
      </c>
    </row>
    <row r="44" spans="1:35" x14ac:dyDescent="0.25">
      <c r="A44" s="1986">
        <v>30</v>
      </c>
      <c r="B44" s="1895">
        <f t="shared" si="0"/>
        <v>0</v>
      </c>
      <c r="C44" s="1799"/>
      <c r="D44" s="1799"/>
      <c r="E44" s="1799"/>
      <c r="F44" s="1799"/>
      <c r="G44" s="754"/>
      <c r="H44" s="1981" t="str">
        <f t="shared" si="1"/>
        <v xml:space="preserve">                            </v>
      </c>
      <c r="L44" s="1972" t="str">
        <f t="shared" si="2"/>
        <v xml:space="preserve">      </v>
      </c>
      <c r="M44" s="1973" t="str">
        <f t="shared" si="3"/>
        <v xml:space="preserve">      </v>
      </c>
      <c r="N44" s="1974" t="str">
        <f t="shared" si="4"/>
        <v xml:space="preserve">      </v>
      </c>
      <c r="O44" s="1974" t="str">
        <f t="shared" si="5"/>
        <v xml:space="preserve">      </v>
      </c>
      <c r="P44" s="1975" t="str">
        <f t="shared" si="6"/>
        <v xml:space="preserve"> </v>
      </c>
      <c r="Q44" s="1975" t="str">
        <f t="shared" si="7"/>
        <v xml:space="preserve"> </v>
      </c>
      <c r="R44" s="1975" t="str">
        <f t="shared" si="8"/>
        <v xml:space="preserve"> </v>
      </c>
      <c r="S44" s="1975" t="str">
        <f t="shared" si="9"/>
        <v xml:space="preserve"> </v>
      </c>
      <c r="T44" s="1975" t="str">
        <f t="shared" si="10"/>
        <v xml:space="preserve"> </v>
      </c>
      <c r="U44" s="1976" t="str">
        <f t="shared" si="11"/>
        <v xml:space="preserve"> </v>
      </c>
      <c r="V44" s="1976" t="str">
        <f t="shared" si="12"/>
        <v xml:space="preserve"> </v>
      </c>
      <c r="W44" s="1976" t="str">
        <f t="shared" si="13"/>
        <v xml:space="preserve"> </v>
      </c>
      <c r="X44" s="1976" t="str">
        <f t="shared" si="14"/>
        <v xml:space="preserve"> </v>
      </c>
      <c r="Y44" s="1976" t="str">
        <f t="shared" si="15"/>
        <v xml:space="preserve"> </v>
      </c>
      <c r="Z44" s="1977" t="str">
        <f t="shared" si="16"/>
        <v xml:space="preserve"> </v>
      </c>
      <c r="AA44" s="1977" t="str">
        <f t="shared" si="17"/>
        <v xml:space="preserve"> </v>
      </c>
      <c r="AB44" s="1977" t="str">
        <f t="shared" si="18"/>
        <v xml:space="preserve"> </v>
      </c>
      <c r="AC44" s="1977" t="str">
        <f t="shared" si="19"/>
        <v xml:space="preserve"> </v>
      </c>
      <c r="AD44" s="1977" t="str">
        <f t="shared" si="20"/>
        <v xml:space="preserve"> </v>
      </c>
      <c r="AE44" s="1978" t="str">
        <f t="shared" si="21"/>
        <v xml:space="preserve"> </v>
      </c>
      <c r="AF44" s="1978" t="str">
        <f t="shared" si="22"/>
        <v xml:space="preserve"> </v>
      </c>
      <c r="AG44" s="1978" t="str">
        <f t="shared" si="23"/>
        <v xml:space="preserve"> </v>
      </c>
      <c r="AH44" s="1978" t="str">
        <f t="shared" si="24"/>
        <v xml:space="preserve"> </v>
      </c>
      <c r="AI44" s="1978" t="str">
        <f t="shared" si="25"/>
        <v xml:space="preserve"> </v>
      </c>
    </row>
    <row r="45" spans="1:35" x14ac:dyDescent="0.25">
      <c r="A45" s="1986">
        <v>31</v>
      </c>
      <c r="B45" s="1895">
        <f t="shared" si="0"/>
        <v>0</v>
      </c>
      <c r="C45" s="1799"/>
      <c r="D45" s="1799"/>
      <c r="E45" s="1799"/>
      <c r="F45" s="1799"/>
      <c r="G45" s="754"/>
      <c r="H45" s="1981" t="str">
        <f t="shared" si="1"/>
        <v xml:space="preserve">                            </v>
      </c>
      <c r="L45" s="1972" t="str">
        <f t="shared" si="2"/>
        <v xml:space="preserve">      </v>
      </c>
      <c r="M45" s="1973" t="str">
        <f t="shared" si="3"/>
        <v xml:space="preserve">      </v>
      </c>
      <c r="N45" s="1974" t="str">
        <f t="shared" si="4"/>
        <v xml:space="preserve">      </v>
      </c>
      <c r="O45" s="1974" t="str">
        <f t="shared" si="5"/>
        <v xml:space="preserve">      </v>
      </c>
      <c r="P45" s="1975" t="str">
        <f t="shared" si="6"/>
        <v xml:space="preserve"> </v>
      </c>
      <c r="Q45" s="1975" t="str">
        <f t="shared" si="7"/>
        <v xml:space="preserve"> </v>
      </c>
      <c r="R45" s="1975" t="str">
        <f t="shared" si="8"/>
        <v xml:space="preserve"> </v>
      </c>
      <c r="S45" s="1975" t="str">
        <f t="shared" si="9"/>
        <v xml:space="preserve"> </v>
      </c>
      <c r="T45" s="1975" t="str">
        <f t="shared" si="10"/>
        <v xml:space="preserve"> </v>
      </c>
      <c r="U45" s="1976" t="str">
        <f t="shared" si="11"/>
        <v xml:space="preserve"> </v>
      </c>
      <c r="V45" s="1976" t="str">
        <f t="shared" si="12"/>
        <v xml:space="preserve"> </v>
      </c>
      <c r="W45" s="1976" t="str">
        <f t="shared" si="13"/>
        <v xml:space="preserve"> </v>
      </c>
      <c r="X45" s="1976" t="str">
        <f t="shared" si="14"/>
        <v xml:space="preserve"> </v>
      </c>
      <c r="Y45" s="1976" t="str">
        <f t="shared" si="15"/>
        <v xml:space="preserve"> </v>
      </c>
      <c r="Z45" s="1977" t="str">
        <f t="shared" si="16"/>
        <v xml:space="preserve"> </v>
      </c>
      <c r="AA45" s="1977" t="str">
        <f t="shared" si="17"/>
        <v xml:space="preserve"> </v>
      </c>
      <c r="AB45" s="1977" t="str">
        <f t="shared" si="18"/>
        <v xml:space="preserve"> </v>
      </c>
      <c r="AC45" s="1977" t="str">
        <f t="shared" si="19"/>
        <v xml:space="preserve"> </v>
      </c>
      <c r="AD45" s="1977" t="str">
        <f t="shared" si="20"/>
        <v xml:space="preserve"> </v>
      </c>
      <c r="AE45" s="1978" t="str">
        <f t="shared" si="21"/>
        <v xml:space="preserve"> </v>
      </c>
      <c r="AF45" s="1978" t="str">
        <f t="shared" si="22"/>
        <v xml:space="preserve"> </v>
      </c>
      <c r="AG45" s="1978" t="str">
        <f t="shared" si="23"/>
        <v xml:space="preserve"> </v>
      </c>
      <c r="AH45" s="1978" t="str">
        <f t="shared" si="24"/>
        <v xml:space="preserve"> </v>
      </c>
      <c r="AI45" s="1978" t="str">
        <f t="shared" si="25"/>
        <v xml:space="preserve"> </v>
      </c>
    </row>
    <row r="46" spans="1:35" x14ac:dyDescent="0.25">
      <c r="A46" s="1986">
        <v>32</v>
      </c>
      <c r="B46" s="1895">
        <f t="shared" si="0"/>
        <v>0</v>
      </c>
      <c r="C46" s="1799"/>
      <c r="D46" s="1799"/>
      <c r="E46" s="1799"/>
      <c r="F46" s="1799"/>
      <c r="G46" s="754"/>
      <c r="H46" s="1981" t="str">
        <f t="shared" si="1"/>
        <v xml:space="preserve">                            </v>
      </c>
      <c r="L46" s="1972" t="str">
        <f t="shared" si="2"/>
        <v xml:space="preserve">      </v>
      </c>
      <c r="M46" s="1973" t="str">
        <f t="shared" si="3"/>
        <v xml:space="preserve">      </v>
      </c>
      <c r="N46" s="1974" t="str">
        <f t="shared" si="4"/>
        <v xml:space="preserve">      </v>
      </c>
      <c r="O46" s="1974" t="str">
        <f t="shared" si="5"/>
        <v xml:space="preserve">      </v>
      </c>
      <c r="P46" s="1975" t="str">
        <f t="shared" si="6"/>
        <v xml:space="preserve"> </v>
      </c>
      <c r="Q46" s="1975" t="str">
        <f t="shared" si="7"/>
        <v xml:space="preserve"> </v>
      </c>
      <c r="R46" s="1975" t="str">
        <f t="shared" si="8"/>
        <v xml:space="preserve"> </v>
      </c>
      <c r="S46" s="1975" t="str">
        <f t="shared" si="9"/>
        <v xml:space="preserve"> </v>
      </c>
      <c r="T46" s="1975" t="str">
        <f t="shared" si="10"/>
        <v xml:space="preserve"> </v>
      </c>
      <c r="U46" s="1976" t="str">
        <f t="shared" si="11"/>
        <v xml:space="preserve"> </v>
      </c>
      <c r="V46" s="1976" t="str">
        <f t="shared" si="12"/>
        <v xml:space="preserve"> </v>
      </c>
      <c r="W46" s="1976" t="str">
        <f t="shared" si="13"/>
        <v xml:space="preserve"> </v>
      </c>
      <c r="X46" s="1976" t="str">
        <f t="shared" si="14"/>
        <v xml:space="preserve"> </v>
      </c>
      <c r="Y46" s="1976" t="str">
        <f t="shared" si="15"/>
        <v xml:space="preserve"> </v>
      </c>
      <c r="Z46" s="1977" t="str">
        <f t="shared" si="16"/>
        <v xml:space="preserve"> </v>
      </c>
      <c r="AA46" s="1977" t="str">
        <f t="shared" si="17"/>
        <v xml:space="preserve"> </v>
      </c>
      <c r="AB46" s="1977" t="str">
        <f t="shared" si="18"/>
        <v xml:space="preserve"> </v>
      </c>
      <c r="AC46" s="1977" t="str">
        <f t="shared" si="19"/>
        <v xml:space="preserve"> </v>
      </c>
      <c r="AD46" s="1977" t="str">
        <f t="shared" si="20"/>
        <v xml:space="preserve"> </v>
      </c>
      <c r="AE46" s="1978" t="str">
        <f t="shared" si="21"/>
        <v xml:space="preserve"> </v>
      </c>
      <c r="AF46" s="1978" t="str">
        <f t="shared" si="22"/>
        <v xml:space="preserve"> </v>
      </c>
      <c r="AG46" s="1978" t="str">
        <f t="shared" si="23"/>
        <v xml:space="preserve"> </v>
      </c>
      <c r="AH46" s="1978" t="str">
        <f t="shared" si="24"/>
        <v xml:space="preserve"> </v>
      </c>
      <c r="AI46" s="1978" t="str">
        <f t="shared" si="25"/>
        <v xml:space="preserve"> </v>
      </c>
    </row>
    <row r="47" spans="1:35" x14ac:dyDescent="0.25">
      <c r="A47" s="1986">
        <v>33</v>
      </c>
      <c r="B47" s="1895">
        <f t="shared" si="0"/>
        <v>0</v>
      </c>
      <c r="C47" s="1799"/>
      <c r="D47" s="1799"/>
      <c r="E47" s="1799"/>
      <c r="F47" s="1799"/>
      <c r="G47" s="754"/>
      <c r="H47" s="1981" t="str">
        <f t="shared" si="1"/>
        <v xml:space="preserve">                            </v>
      </c>
      <c r="L47" s="1972" t="str">
        <f t="shared" si="2"/>
        <v xml:space="preserve">      </v>
      </c>
      <c r="M47" s="1973" t="str">
        <f t="shared" si="3"/>
        <v xml:space="preserve">      </v>
      </c>
      <c r="N47" s="1974" t="str">
        <f t="shared" si="4"/>
        <v xml:space="preserve">      </v>
      </c>
      <c r="O47" s="1974" t="str">
        <f t="shared" si="5"/>
        <v xml:space="preserve">      </v>
      </c>
      <c r="P47" s="1975" t="str">
        <f t="shared" si="6"/>
        <v xml:space="preserve"> </v>
      </c>
      <c r="Q47" s="1975" t="str">
        <f t="shared" si="7"/>
        <v xml:space="preserve"> </v>
      </c>
      <c r="R47" s="1975" t="str">
        <f t="shared" si="8"/>
        <v xml:space="preserve"> </v>
      </c>
      <c r="S47" s="1975" t="str">
        <f t="shared" si="9"/>
        <v xml:space="preserve"> </v>
      </c>
      <c r="T47" s="1975" t="str">
        <f t="shared" si="10"/>
        <v xml:space="preserve"> </v>
      </c>
      <c r="U47" s="1976" t="str">
        <f t="shared" si="11"/>
        <v xml:space="preserve"> </v>
      </c>
      <c r="V47" s="1976" t="str">
        <f t="shared" si="12"/>
        <v xml:space="preserve"> </v>
      </c>
      <c r="W47" s="1976" t="str">
        <f t="shared" si="13"/>
        <v xml:space="preserve"> </v>
      </c>
      <c r="X47" s="1976" t="str">
        <f t="shared" si="14"/>
        <v xml:space="preserve"> </v>
      </c>
      <c r="Y47" s="1976" t="str">
        <f t="shared" si="15"/>
        <v xml:space="preserve"> </v>
      </c>
      <c r="Z47" s="1977" t="str">
        <f t="shared" si="16"/>
        <v xml:space="preserve"> </v>
      </c>
      <c r="AA47" s="1977" t="str">
        <f t="shared" si="17"/>
        <v xml:space="preserve"> </v>
      </c>
      <c r="AB47" s="1977" t="str">
        <f t="shared" si="18"/>
        <v xml:space="preserve"> </v>
      </c>
      <c r="AC47" s="1977" t="str">
        <f t="shared" si="19"/>
        <v xml:space="preserve"> </v>
      </c>
      <c r="AD47" s="1977" t="str">
        <f t="shared" si="20"/>
        <v xml:space="preserve"> </v>
      </c>
      <c r="AE47" s="1978" t="str">
        <f t="shared" si="21"/>
        <v xml:space="preserve"> </v>
      </c>
      <c r="AF47" s="1978" t="str">
        <f t="shared" si="22"/>
        <v xml:space="preserve"> </v>
      </c>
      <c r="AG47" s="1978" t="str">
        <f t="shared" si="23"/>
        <v xml:space="preserve"> </v>
      </c>
      <c r="AH47" s="1978" t="str">
        <f t="shared" si="24"/>
        <v xml:space="preserve"> </v>
      </c>
      <c r="AI47" s="1978" t="str">
        <f t="shared" si="25"/>
        <v xml:space="preserve"> </v>
      </c>
    </row>
    <row r="48" spans="1:35" x14ac:dyDescent="0.25">
      <c r="A48" s="1986">
        <v>34</v>
      </c>
      <c r="B48" s="1895">
        <f t="shared" si="0"/>
        <v>0</v>
      </c>
      <c r="C48" s="1799"/>
      <c r="D48" s="1799"/>
      <c r="E48" s="1799"/>
      <c r="F48" s="1799"/>
      <c r="G48" s="754"/>
      <c r="H48" s="1981" t="str">
        <f t="shared" si="1"/>
        <v xml:space="preserve">                            </v>
      </c>
      <c r="L48" s="1972" t="str">
        <f t="shared" si="2"/>
        <v xml:space="preserve">      </v>
      </c>
      <c r="M48" s="1973" t="str">
        <f t="shared" si="3"/>
        <v xml:space="preserve">      </v>
      </c>
      <c r="N48" s="1974" t="str">
        <f t="shared" si="4"/>
        <v xml:space="preserve">      </v>
      </c>
      <c r="O48" s="1974" t="str">
        <f t="shared" si="5"/>
        <v xml:space="preserve">      </v>
      </c>
      <c r="P48" s="1975" t="str">
        <f t="shared" si="6"/>
        <v xml:space="preserve"> </v>
      </c>
      <c r="Q48" s="1975" t="str">
        <f t="shared" si="7"/>
        <v xml:space="preserve"> </v>
      </c>
      <c r="R48" s="1975" t="str">
        <f t="shared" si="8"/>
        <v xml:space="preserve"> </v>
      </c>
      <c r="S48" s="1975" t="str">
        <f t="shared" si="9"/>
        <v xml:space="preserve"> </v>
      </c>
      <c r="T48" s="1975" t="str">
        <f t="shared" si="10"/>
        <v xml:space="preserve"> </v>
      </c>
      <c r="U48" s="1976" t="str">
        <f t="shared" si="11"/>
        <v xml:space="preserve"> </v>
      </c>
      <c r="V48" s="1976" t="str">
        <f t="shared" si="12"/>
        <v xml:space="preserve"> </v>
      </c>
      <c r="W48" s="1976" t="str">
        <f t="shared" si="13"/>
        <v xml:space="preserve"> </v>
      </c>
      <c r="X48" s="1976" t="str">
        <f t="shared" si="14"/>
        <v xml:space="preserve"> </v>
      </c>
      <c r="Y48" s="1976" t="str">
        <f t="shared" si="15"/>
        <v xml:space="preserve"> </v>
      </c>
      <c r="Z48" s="1977" t="str">
        <f t="shared" si="16"/>
        <v xml:space="preserve"> </v>
      </c>
      <c r="AA48" s="1977" t="str">
        <f t="shared" si="17"/>
        <v xml:space="preserve"> </v>
      </c>
      <c r="AB48" s="1977" t="str">
        <f t="shared" si="18"/>
        <v xml:space="preserve"> </v>
      </c>
      <c r="AC48" s="1977" t="str">
        <f t="shared" si="19"/>
        <v xml:space="preserve"> </v>
      </c>
      <c r="AD48" s="1977" t="str">
        <f t="shared" si="20"/>
        <v xml:space="preserve"> </v>
      </c>
      <c r="AE48" s="1978" t="str">
        <f t="shared" si="21"/>
        <v xml:space="preserve"> </v>
      </c>
      <c r="AF48" s="1978" t="str">
        <f t="shared" si="22"/>
        <v xml:space="preserve"> </v>
      </c>
      <c r="AG48" s="1978" t="str">
        <f t="shared" si="23"/>
        <v xml:space="preserve"> </v>
      </c>
      <c r="AH48" s="1978" t="str">
        <f t="shared" si="24"/>
        <v xml:space="preserve"> </v>
      </c>
      <c r="AI48" s="1978" t="str">
        <f t="shared" si="25"/>
        <v xml:space="preserve"> </v>
      </c>
    </row>
    <row r="49" spans="1:35" x14ac:dyDescent="0.25">
      <c r="A49" s="1986">
        <v>35</v>
      </c>
      <c r="B49" s="1895">
        <f t="shared" si="0"/>
        <v>0</v>
      </c>
      <c r="C49" s="1799"/>
      <c r="D49" s="1799"/>
      <c r="E49" s="1799"/>
      <c r="F49" s="1799"/>
      <c r="G49" s="754"/>
      <c r="H49" s="1981" t="str">
        <f t="shared" si="1"/>
        <v xml:space="preserve">                            </v>
      </c>
      <c r="L49" s="1972" t="str">
        <f t="shared" si="2"/>
        <v xml:space="preserve">      </v>
      </c>
      <c r="M49" s="1973" t="str">
        <f t="shared" si="3"/>
        <v xml:space="preserve">      </v>
      </c>
      <c r="N49" s="1974" t="str">
        <f t="shared" si="4"/>
        <v xml:space="preserve">      </v>
      </c>
      <c r="O49" s="1974" t="str">
        <f t="shared" si="5"/>
        <v xml:space="preserve">      </v>
      </c>
      <c r="P49" s="1975" t="str">
        <f t="shared" si="6"/>
        <v xml:space="preserve"> </v>
      </c>
      <c r="Q49" s="1975" t="str">
        <f t="shared" si="7"/>
        <v xml:space="preserve"> </v>
      </c>
      <c r="R49" s="1975" t="str">
        <f t="shared" si="8"/>
        <v xml:space="preserve"> </v>
      </c>
      <c r="S49" s="1975" t="str">
        <f t="shared" si="9"/>
        <v xml:space="preserve"> </v>
      </c>
      <c r="T49" s="1975" t="str">
        <f t="shared" si="10"/>
        <v xml:space="preserve"> </v>
      </c>
      <c r="U49" s="1976" t="str">
        <f t="shared" si="11"/>
        <v xml:space="preserve"> </v>
      </c>
      <c r="V49" s="1976" t="str">
        <f t="shared" si="12"/>
        <v xml:space="preserve"> </v>
      </c>
      <c r="W49" s="1976" t="str">
        <f t="shared" si="13"/>
        <v xml:space="preserve"> </v>
      </c>
      <c r="X49" s="1976" t="str">
        <f t="shared" si="14"/>
        <v xml:space="preserve"> </v>
      </c>
      <c r="Y49" s="1976" t="str">
        <f t="shared" si="15"/>
        <v xml:space="preserve"> </v>
      </c>
      <c r="Z49" s="1977" t="str">
        <f t="shared" si="16"/>
        <v xml:space="preserve"> </v>
      </c>
      <c r="AA49" s="1977" t="str">
        <f t="shared" si="17"/>
        <v xml:space="preserve"> </v>
      </c>
      <c r="AB49" s="1977" t="str">
        <f t="shared" si="18"/>
        <v xml:space="preserve"> </v>
      </c>
      <c r="AC49" s="1977" t="str">
        <f t="shared" si="19"/>
        <v xml:space="preserve"> </v>
      </c>
      <c r="AD49" s="1977" t="str">
        <f t="shared" si="20"/>
        <v xml:space="preserve"> </v>
      </c>
      <c r="AE49" s="1978" t="str">
        <f t="shared" si="21"/>
        <v xml:space="preserve"> </v>
      </c>
      <c r="AF49" s="1978" t="str">
        <f t="shared" si="22"/>
        <v xml:space="preserve"> </v>
      </c>
      <c r="AG49" s="1978" t="str">
        <f t="shared" si="23"/>
        <v xml:space="preserve"> </v>
      </c>
      <c r="AH49" s="1978" t="str">
        <f t="shared" si="24"/>
        <v xml:space="preserve"> </v>
      </c>
      <c r="AI49" s="1978" t="str">
        <f t="shared" si="25"/>
        <v xml:space="preserve"> </v>
      </c>
    </row>
    <row r="50" spans="1:35" x14ac:dyDescent="0.25">
      <c r="A50" s="1986">
        <v>36</v>
      </c>
      <c r="B50" s="1895">
        <f t="shared" si="0"/>
        <v>0</v>
      </c>
      <c r="C50" s="1799"/>
      <c r="D50" s="1799"/>
      <c r="E50" s="1799"/>
      <c r="F50" s="1799"/>
      <c r="G50" s="754"/>
      <c r="H50" s="1981" t="str">
        <f t="shared" si="1"/>
        <v xml:space="preserve">                            </v>
      </c>
      <c r="L50" s="1972" t="str">
        <f t="shared" si="2"/>
        <v xml:space="preserve">      </v>
      </c>
      <c r="M50" s="1973" t="str">
        <f t="shared" si="3"/>
        <v xml:space="preserve">      </v>
      </c>
      <c r="N50" s="1974" t="str">
        <f t="shared" si="4"/>
        <v xml:space="preserve">      </v>
      </c>
      <c r="O50" s="1974" t="str">
        <f t="shared" si="5"/>
        <v xml:space="preserve">      </v>
      </c>
      <c r="P50" s="1975" t="str">
        <f t="shared" si="6"/>
        <v xml:space="preserve"> </v>
      </c>
      <c r="Q50" s="1975" t="str">
        <f t="shared" si="7"/>
        <v xml:space="preserve"> </v>
      </c>
      <c r="R50" s="1975" t="str">
        <f t="shared" si="8"/>
        <v xml:space="preserve"> </v>
      </c>
      <c r="S50" s="1975" t="str">
        <f t="shared" si="9"/>
        <v xml:space="preserve"> </v>
      </c>
      <c r="T50" s="1975" t="str">
        <f t="shared" si="10"/>
        <v xml:space="preserve"> </v>
      </c>
      <c r="U50" s="1976" t="str">
        <f t="shared" si="11"/>
        <v xml:space="preserve"> </v>
      </c>
      <c r="V50" s="1976" t="str">
        <f t="shared" si="12"/>
        <v xml:space="preserve"> </v>
      </c>
      <c r="W50" s="1976" t="str">
        <f t="shared" si="13"/>
        <v xml:space="preserve"> </v>
      </c>
      <c r="X50" s="1976" t="str">
        <f t="shared" si="14"/>
        <v xml:space="preserve"> </v>
      </c>
      <c r="Y50" s="1976" t="str">
        <f t="shared" si="15"/>
        <v xml:space="preserve"> </v>
      </c>
      <c r="Z50" s="1977" t="str">
        <f t="shared" si="16"/>
        <v xml:space="preserve"> </v>
      </c>
      <c r="AA50" s="1977" t="str">
        <f t="shared" si="17"/>
        <v xml:space="preserve"> </v>
      </c>
      <c r="AB50" s="1977" t="str">
        <f t="shared" si="18"/>
        <v xml:space="preserve"> </v>
      </c>
      <c r="AC50" s="1977" t="str">
        <f t="shared" si="19"/>
        <v xml:space="preserve"> </v>
      </c>
      <c r="AD50" s="1977" t="str">
        <f t="shared" si="20"/>
        <v xml:space="preserve"> </v>
      </c>
      <c r="AE50" s="1978" t="str">
        <f t="shared" si="21"/>
        <v xml:space="preserve"> </v>
      </c>
      <c r="AF50" s="1978" t="str">
        <f t="shared" si="22"/>
        <v xml:space="preserve"> </v>
      </c>
      <c r="AG50" s="1978" t="str">
        <f t="shared" si="23"/>
        <v xml:space="preserve"> </v>
      </c>
      <c r="AH50" s="1978" t="str">
        <f t="shared" si="24"/>
        <v xml:space="preserve"> </v>
      </c>
      <c r="AI50" s="1978" t="str">
        <f t="shared" si="25"/>
        <v xml:space="preserve"> </v>
      </c>
    </row>
    <row r="51" spans="1:35" x14ac:dyDescent="0.25">
      <c r="A51" s="1986">
        <v>37</v>
      </c>
      <c r="B51" s="1895">
        <f t="shared" si="0"/>
        <v>0</v>
      </c>
      <c r="C51" s="1799"/>
      <c r="D51" s="1799"/>
      <c r="E51" s="1799"/>
      <c r="F51" s="1799"/>
      <c r="G51" s="754"/>
      <c r="H51" s="1981" t="str">
        <f t="shared" si="1"/>
        <v xml:space="preserve">                            </v>
      </c>
      <c r="L51" s="1972" t="str">
        <f t="shared" si="2"/>
        <v xml:space="preserve">      </v>
      </c>
      <c r="M51" s="1973" t="str">
        <f t="shared" si="3"/>
        <v xml:space="preserve">      </v>
      </c>
      <c r="N51" s="1974" t="str">
        <f t="shared" si="4"/>
        <v xml:space="preserve">      </v>
      </c>
      <c r="O51" s="1974" t="str">
        <f t="shared" si="5"/>
        <v xml:space="preserve">      </v>
      </c>
      <c r="P51" s="1975" t="str">
        <f t="shared" si="6"/>
        <v xml:space="preserve"> </v>
      </c>
      <c r="Q51" s="1975" t="str">
        <f t="shared" si="7"/>
        <v xml:space="preserve"> </v>
      </c>
      <c r="R51" s="1975" t="str">
        <f t="shared" si="8"/>
        <v xml:space="preserve"> </v>
      </c>
      <c r="S51" s="1975" t="str">
        <f t="shared" si="9"/>
        <v xml:space="preserve"> </v>
      </c>
      <c r="T51" s="1975" t="str">
        <f t="shared" si="10"/>
        <v xml:space="preserve"> </v>
      </c>
      <c r="U51" s="1976" t="str">
        <f t="shared" si="11"/>
        <v xml:space="preserve"> </v>
      </c>
      <c r="V51" s="1976" t="str">
        <f t="shared" si="12"/>
        <v xml:space="preserve"> </v>
      </c>
      <c r="W51" s="1976" t="str">
        <f t="shared" si="13"/>
        <v xml:space="preserve"> </v>
      </c>
      <c r="X51" s="1976" t="str">
        <f t="shared" si="14"/>
        <v xml:space="preserve"> </v>
      </c>
      <c r="Y51" s="1976" t="str">
        <f t="shared" si="15"/>
        <v xml:space="preserve"> </v>
      </c>
      <c r="Z51" s="1977" t="str">
        <f t="shared" si="16"/>
        <v xml:space="preserve"> </v>
      </c>
      <c r="AA51" s="1977" t="str">
        <f t="shared" si="17"/>
        <v xml:space="preserve"> </v>
      </c>
      <c r="AB51" s="1977" t="str">
        <f t="shared" si="18"/>
        <v xml:space="preserve"> </v>
      </c>
      <c r="AC51" s="1977" t="str">
        <f t="shared" si="19"/>
        <v xml:space="preserve"> </v>
      </c>
      <c r="AD51" s="1977" t="str">
        <f t="shared" si="20"/>
        <v xml:space="preserve"> </v>
      </c>
      <c r="AE51" s="1978" t="str">
        <f t="shared" si="21"/>
        <v xml:space="preserve"> </v>
      </c>
      <c r="AF51" s="1978" t="str">
        <f t="shared" si="22"/>
        <v xml:space="preserve"> </v>
      </c>
      <c r="AG51" s="1978" t="str">
        <f t="shared" si="23"/>
        <v xml:space="preserve"> </v>
      </c>
      <c r="AH51" s="1978" t="str">
        <f t="shared" si="24"/>
        <v xml:space="preserve"> </v>
      </c>
      <c r="AI51" s="1978" t="str">
        <f t="shared" si="25"/>
        <v xml:space="preserve"> </v>
      </c>
    </row>
    <row r="52" spans="1:35" x14ac:dyDescent="0.25">
      <c r="A52" s="1986">
        <v>38</v>
      </c>
      <c r="B52" s="1895">
        <f t="shared" si="0"/>
        <v>0</v>
      </c>
      <c r="C52" s="1799"/>
      <c r="D52" s="1799"/>
      <c r="E52" s="1799"/>
      <c r="F52" s="1799"/>
      <c r="G52" s="754"/>
      <c r="H52" s="1981" t="str">
        <f t="shared" si="1"/>
        <v xml:space="preserve">                            </v>
      </c>
      <c r="L52" s="1972" t="str">
        <f t="shared" si="2"/>
        <v xml:space="preserve">      </v>
      </c>
      <c r="M52" s="1973" t="str">
        <f t="shared" si="3"/>
        <v xml:space="preserve">      </v>
      </c>
      <c r="N52" s="1974" t="str">
        <f t="shared" si="4"/>
        <v xml:space="preserve">      </v>
      </c>
      <c r="O52" s="1974" t="str">
        <f t="shared" si="5"/>
        <v xml:space="preserve">      </v>
      </c>
      <c r="P52" s="1975" t="str">
        <f t="shared" si="6"/>
        <v xml:space="preserve"> </v>
      </c>
      <c r="Q52" s="1975" t="str">
        <f t="shared" si="7"/>
        <v xml:space="preserve"> </v>
      </c>
      <c r="R52" s="1975" t="str">
        <f t="shared" si="8"/>
        <v xml:space="preserve"> </v>
      </c>
      <c r="S52" s="1975" t="str">
        <f t="shared" si="9"/>
        <v xml:space="preserve"> </v>
      </c>
      <c r="T52" s="1975" t="str">
        <f t="shared" si="10"/>
        <v xml:space="preserve"> </v>
      </c>
      <c r="U52" s="1976" t="str">
        <f t="shared" si="11"/>
        <v xml:space="preserve"> </v>
      </c>
      <c r="V52" s="1976" t="str">
        <f t="shared" si="12"/>
        <v xml:space="preserve"> </v>
      </c>
      <c r="W52" s="1976" t="str">
        <f t="shared" si="13"/>
        <v xml:space="preserve"> </v>
      </c>
      <c r="X52" s="1976" t="str">
        <f t="shared" si="14"/>
        <v xml:space="preserve"> </v>
      </c>
      <c r="Y52" s="1976" t="str">
        <f t="shared" si="15"/>
        <v xml:space="preserve"> </v>
      </c>
      <c r="Z52" s="1977" t="str">
        <f t="shared" si="16"/>
        <v xml:space="preserve"> </v>
      </c>
      <c r="AA52" s="1977" t="str">
        <f t="shared" si="17"/>
        <v xml:space="preserve"> </v>
      </c>
      <c r="AB52" s="1977" t="str">
        <f t="shared" si="18"/>
        <v xml:space="preserve"> </v>
      </c>
      <c r="AC52" s="1977" t="str">
        <f t="shared" si="19"/>
        <v xml:space="preserve"> </v>
      </c>
      <c r="AD52" s="1977" t="str">
        <f t="shared" si="20"/>
        <v xml:space="preserve"> </v>
      </c>
      <c r="AE52" s="1978" t="str">
        <f t="shared" si="21"/>
        <v xml:space="preserve"> </v>
      </c>
      <c r="AF52" s="1978" t="str">
        <f t="shared" si="22"/>
        <v xml:space="preserve"> </v>
      </c>
      <c r="AG52" s="1978" t="str">
        <f t="shared" si="23"/>
        <v xml:space="preserve"> </v>
      </c>
      <c r="AH52" s="1978" t="str">
        <f t="shared" si="24"/>
        <v xml:space="preserve"> </v>
      </c>
      <c r="AI52" s="1978" t="str">
        <f t="shared" si="25"/>
        <v xml:space="preserve"> </v>
      </c>
    </row>
    <row r="53" spans="1:35" x14ac:dyDescent="0.25">
      <c r="A53" s="1986">
        <v>39</v>
      </c>
      <c r="B53" s="1895">
        <f t="shared" si="0"/>
        <v>0</v>
      </c>
      <c r="C53" s="1799"/>
      <c r="D53" s="1799"/>
      <c r="E53" s="1799"/>
      <c r="F53" s="1799"/>
      <c r="G53" s="754"/>
      <c r="H53" s="1981" t="str">
        <f t="shared" si="1"/>
        <v xml:space="preserve">                            </v>
      </c>
      <c r="L53" s="1972" t="str">
        <f t="shared" si="2"/>
        <v xml:space="preserve">      </v>
      </c>
      <c r="M53" s="1973" t="str">
        <f t="shared" si="3"/>
        <v xml:space="preserve">      </v>
      </c>
      <c r="N53" s="1974" t="str">
        <f t="shared" si="4"/>
        <v xml:space="preserve">      </v>
      </c>
      <c r="O53" s="1974" t="str">
        <f t="shared" si="5"/>
        <v xml:space="preserve">      </v>
      </c>
      <c r="P53" s="1975" t="str">
        <f t="shared" si="6"/>
        <v xml:space="preserve"> </v>
      </c>
      <c r="Q53" s="1975" t="str">
        <f t="shared" si="7"/>
        <v xml:space="preserve"> </v>
      </c>
      <c r="R53" s="1975" t="str">
        <f t="shared" si="8"/>
        <v xml:space="preserve"> </v>
      </c>
      <c r="S53" s="1975" t="str">
        <f t="shared" si="9"/>
        <v xml:space="preserve"> </v>
      </c>
      <c r="T53" s="1975" t="str">
        <f t="shared" si="10"/>
        <v xml:space="preserve"> </v>
      </c>
      <c r="U53" s="1976" t="str">
        <f t="shared" si="11"/>
        <v xml:space="preserve"> </v>
      </c>
      <c r="V53" s="1976" t="str">
        <f t="shared" si="12"/>
        <v xml:space="preserve"> </v>
      </c>
      <c r="W53" s="1976" t="str">
        <f t="shared" si="13"/>
        <v xml:space="preserve"> </v>
      </c>
      <c r="X53" s="1976" t="str">
        <f t="shared" si="14"/>
        <v xml:space="preserve"> </v>
      </c>
      <c r="Y53" s="1976" t="str">
        <f t="shared" si="15"/>
        <v xml:space="preserve"> </v>
      </c>
      <c r="Z53" s="1977" t="str">
        <f t="shared" si="16"/>
        <v xml:space="preserve"> </v>
      </c>
      <c r="AA53" s="1977" t="str">
        <f t="shared" si="17"/>
        <v xml:space="preserve"> </v>
      </c>
      <c r="AB53" s="1977" t="str">
        <f t="shared" si="18"/>
        <v xml:space="preserve"> </v>
      </c>
      <c r="AC53" s="1977" t="str">
        <f t="shared" si="19"/>
        <v xml:space="preserve"> </v>
      </c>
      <c r="AD53" s="1977" t="str">
        <f t="shared" si="20"/>
        <v xml:space="preserve"> </v>
      </c>
      <c r="AE53" s="1978" t="str">
        <f t="shared" si="21"/>
        <v xml:space="preserve"> </v>
      </c>
      <c r="AF53" s="1978" t="str">
        <f t="shared" si="22"/>
        <v xml:space="preserve"> </v>
      </c>
      <c r="AG53" s="1978" t="str">
        <f t="shared" si="23"/>
        <v xml:space="preserve"> </v>
      </c>
      <c r="AH53" s="1978" t="str">
        <f t="shared" si="24"/>
        <v xml:space="preserve"> </v>
      </c>
      <c r="AI53" s="1978" t="str">
        <f t="shared" si="25"/>
        <v xml:space="preserve"> </v>
      </c>
    </row>
    <row r="54" spans="1:35" x14ac:dyDescent="0.25">
      <c r="A54" s="1986">
        <v>40</v>
      </c>
      <c r="B54" s="1895">
        <f t="shared" si="0"/>
        <v>0</v>
      </c>
      <c r="C54" s="1799"/>
      <c r="D54" s="1799"/>
      <c r="E54" s="1799"/>
      <c r="F54" s="1799"/>
      <c r="G54" s="754"/>
      <c r="H54" s="1981" t="str">
        <f t="shared" si="1"/>
        <v xml:space="preserve">                            </v>
      </c>
      <c r="L54" s="1972" t="str">
        <f t="shared" si="2"/>
        <v xml:space="preserve">      </v>
      </c>
      <c r="M54" s="1973" t="str">
        <f t="shared" si="3"/>
        <v xml:space="preserve">      </v>
      </c>
      <c r="N54" s="1974" t="str">
        <f t="shared" si="4"/>
        <v xml:space="preserve">      </v>
      </c>
      <c r="O54" s="1974" t="str">
        <f t="shared" si="5"/>
        <v xml:space="preserve">      </v>
      </c>
      <c r="P54" s="1975" t="str">
        <f t="shared" si="6"/>
        <v xml:space="preserve"> </v>
      </c>
      <c r="Q54" s="1975" t="str">
        <f t="shared" si="7"/>
        <v xml:space="preserve"> </v>
      </c>
      <c r="R54" s="1975" t="str">
        <f t="shared" si="8"/>
        <v xml:space="preserve"> </v>
      </c>
      <c r="S54" s="1975" t="str">
        <f t="shared" si="9"/>
        <v xml:space="preserve"> </v>
      </c>
      <c r="T54" s="1975" t="str">
        <f t="shared" si="10"/>
        <v xml:space="preserve"> </v>
      </c>
      <c r="U54" s="1976" t="str">
        <f t="shared" si="11"/>
        <v xml:space="preserve"> </v>
      </c>
      <c r="V54" s="1976" t="str">
        <f t="shared" si="12"/>
        <v xml:space="preserve"> </v>
      </c>
      <c r="W54" s="1976" t="str">
        <f t="shared" si="13"/>
        <v xml:space="preserve"> </v>
      </c>
      <c r="X54" s="1976" t="str">
        <f t="shared" si="14"/>
        <v xml:space="preserve"> </v>
      </c>
      <c r="Y54" s="1976" t="str">
        <f t="shared" si="15"/>
        <v xml:space="preserve"> </v>
      </c>
      <c r="Z54" s="1977" t="str">
        <f t="shared" si="16"/>
        <v xml:space="preserve"> </v>
      </c>
      <c r="AA54" s="1977" t="str">
        <f t="shared" si="17"/>
        <v xml:space="preserve"> </v>
      </c>
      <c r="AB54" s="1977" t="str">
        <f t="shared" si="18"/>
        <v xml:space="preserve"> </v>
      </c>
      <c r="AC54" s="1977" t="str">
        <f t="shared" si="19"/>
        <v xml:space="preserve"> </v>
      </c>
      <c r="AD54" s="1977" t="str">
        <f t="shared" si="20"/>
        <v xml:space="preserve"> </v>
      </c>
      <c r="AE54" s="1978" t="str">
        <f t="shared" si="21"/>
        <v xml:space="preserve"> </v>
      </c>
      <c r="AF54" s="1978" t="str">
        <f t="shared" si="22"/>
        <v xml:space="preserve"> </v>
      </c>
      <c r="AG54" s="1978" t="str">
        <f t="shared" si="23"/>
        <v xml:space="preserve"> </v>
      </c>
      <c r="AH54" s="1978" t="str">
        <f t="shared" si="24"/>
        <v xml:space="preserve"> </v>
      </c>
      <c r="AI54" s="1978" t="str">
        <f t="shared" si="25"/>
        <v xml:space="preserve"> </v>
      </c>
    </row>
    <row r="55" spans="1:35" x14ac:dyDescent="0.25">
      <c r="L55" s="1972" t="str">
        <f t="shared" ref="L55:L65" si="26">IF(OR(C55=4,D55=4,E55=4,F55=4,G55=4),CONCATENATE("Sangat baik ",P55,Q55,R55,S55,T55,),CONCATENATE(" ",P55,Q55,R55,S55,T55,))</f>
        <v xml:space="preserve">      </v>
      </c>
      <c r="M55" s="1973" t="str">
        <f t="shared" ref="M55:M65" si="27">IF(OR(C55=3,D55=3,E55=3,F55=3,G55=3),CONCATENATE("Baik",U55,V55,W55,X55,Y55,),CONCATENATE(" ",U55,V55,W55,X55,Y55,))</f>
        <v xml:space="preserve">      </v>
      </c>
      <c r="N55" s="1974" t="str">
        <f t="shared" ref="N55:N65" si="28">IF(OR(C55=2,D55=2,E55=2,F55=2,G55=2),CONCATENATE("Dengan bimbingan dan pendampingan yang lebih, akan mampu   meningkatkan  ",Z55,AA55,AB55,AC55,AD55,),CONCATENATE(" ",Z55,AA55,AB55,AC55,AD55,))</f>
        <v xml:space="preserve">      </v>
      </c>
      <c r="O55" s="1974" t="str">
        <f t="shared" ref="O55:O65" si="29">IF(OR(C55=1,D55=1,E55=1,F55=1,G55=1),CONCATENATE("perlu bimbingan ",AE55,AF55,AG55,AH55,AI55,),CONCATENATE(" ",Z55,AA55,AB55,AC55,AD55,))</f>
        <v xml:space="preserve">      </v>
      </c>
      <c r="P55" s="1975" t="str">
        <f t="shared" ref="P55:P65" si="30">IF(C55=4,$P$12," ")</f>
        <v xml:space="preserve"> </v>
      </c>
      <c r="Q55" s="1975" t="str">
        <f t="shared" ref="Q55:Q65" si="31">IF(D55=4,$Q$12," ")</f>
        <v xml:space="preserve"> </v>
      </c>
      <c r="R55" s="1975" t="str">
        <f t="shared" ref="R55:R65" si="32">IF(E55=4,$R$12," ")</f>
        <v xml:space="preserve"> </v>
      </c>
      <c r="S55" s="1975" t="str">
        <f t="shared" ref="S55:S65" si="33">IF(F55=4,$S$12," ")</f>
        <v xml:space="preserve"> </v>
      </c>
      <c r="T55" s="1975" t="str">
        <f t="shared" ref="T55:T65" si="34">IF(G55=4,$T$12," ")</f>
        <v xml:space="preserve"> </v>
      </c>
      <c r="U55" s="1976" t="str">
        <f t="shared" ref="U55:U65" si="35">IF(C55=3,$P$12," ")</f>
        <v xml:space="preserve"> </v>
      </c>
      <c r="V55" s="1976" t="str">
        <f t="shared" ref="V55:V65" si="36">IF(D55=3,$Q$12," ")</f>
        <v xml:space="preserve"> </v>
      </c>
      <c r="W55" s="1976" t="str">
        <f t="shared" ref="W55:W65" si="37">IF(E55=3,$R$12," ")</f>
        <v xml:space="preserve"> </v>
      </c>
      <c r="X55" s="1976" t="str">
        <f t="shared" ref="X55:X65" si="38">IF(F55=3,$S$12," ")</f>
        <v xml:space="preserve"> </v>
      </c>
      <c r="Y55" s="1976" t="str">
        <f t="shared" ref="Y55:Y65" si="39">IF(G55=3,$T$12," ")</f>
        <v xml:space="preserve"> </v>
      </c>
      <c r="Z55" s="1977" t="str">
        <f t="shared" ref="Z55:Z65" si="40">IF(C55=2,$P$12," ")</f>
        <v xml:space="preserve"> </v>
      </c>
      <c r="AA55" s="1977" t="str">
        <f t="shared" ref="AA55:AA65" si="41">IF(D55=2,$Q$12," ")</f>
        <v xml:space="preserve"> </v>
      </c>
      <c r="AB55" s="1977" t="str">
        <f t="shared" ref="AB55:AB65" si="42">IF(E55=2,$R$12," ")</f>
        <v xml:space="preserve"> </v>
      </c>
      <c r="AC55" s="1977" t="str">
        <f t="shared" ref="AC55:AC65" si="43">IF(F55=2,$S$12," ")</f>
        <v xml:space="preserve"> </v>
      </c>
      <c r="AD55" s="1977" t="str">
        <f t="shared" ref="AD55:AD65" si="44">IF(G55=2,$T$12," ")</f>
        <v xml:space="preserve"> </v>
      </c>
      <c r="AE55" s="1978" t="str">
        <f t="shared" ref="AE55:AE65" si="45">IF(C55=1,$P$12," ")</f>
        <v xml:space="preserve"> </v>
      </c>
      <c r="AF55" s="1978" t="str">
        <f t="shared" ref="AF55:AF65" si="46">IF(D55=1,$Q$12," ")</f>
        <v xml:space="preserve"> </v>
      </c>
      <c r="AG55" s="1978" t="str">
        <f t="shared" ref="AG55:AG65" si="47">IF(E55=1,$R$12," ")</f>
        <v xml:space="preserve"> </v>
      </c>
      <c r="AH55" s="1978" t="str">
        <f t="shared" ref="AH55:AH65" si="48">IF(F55=1,$S$12," ")</f>
        <v xml:space="preserve"> </v>
      </c>
      <c r="AI55" s="1978" t="str">
        <f t="shared" ref="AI55:AI65" si="49">IF(G55=1,$T$12," ")</f>
        <v xml:space="preserve"> </v>
      </c>
    </row>
    <row r="56" spans="1:35" x14ac:dyDescent="0.25">
      <c r="L56" s="1972" t="str">
        <f t="shared" si="26"/>
        <v xml:space="preserve">      </v>
      </c>
      <c r="M56" s="1973" t="str">
        <f t="shared" si="27"/>
        <v xml:space="preserve">      </v>
      </c>
      <c r="N56" s="1974" t="str">
        <f t="shared" si="28"/>
        <v xml:space="preserve">      </v>
      </c>
      <c r="O56" s="1974" t="str">
        <f t="shared" si="29"/>
        <v xml:space="preserve">      </v>
      </c>
      <c r="P56" s="1975" t="str">
        <f t="shared" si="30"/>
        <v xml:space="preserve"> </v>
      </c>
      <c r="Q56" s="1975" t="str">
        <f t="shared" si="31"/>
        <v xml:space="preserve"> </v>
      </c>
      <c r="R56" s="1975" t="str">
        <f t="shared" si="32"/>
        <v xml:space="preserve"> </v>
      </c>
      <c r="S56" s="1975" t="str">
        <f t="shared" si="33"/>
        <v xml:space="preserve"> </v>
      </c>
      <c r="T56" s="1975" t="str">
        <f t="shared" si="34"/>
        <v xml:space="preserve"> </v>
      </c>
      <c r="U56" s="1976" t="str">
        <f t="shared" si="35"/>
        <v xml:space="preserve"> </v>
      </c>
      <c r="V56" s="1976" t="str">
        <f t="shared" si="36"/>
        <v xml:space="preserve"> </v>
      </c>
      <c r="W56" s="1976" t="str">
        <f t="shared" si="37"/>
        <v xml:space="preserve"> </v>
      </c>
      <c r="X56" s="1976" t="str">
        <f t="shared" si="38"/>
        <v xml:space="preserve"> </v>
      </c>
      <c r="Y56" s="1976" t="str">
        <f t="shared" si="39"/>
        <v xml:space="preserve"> </v>
      </c>
      <c r="Z56" s="1977" t="str">
        <f t="shared" si="40"/>
        <v xml:space="preserve"> </v>
      </c>
      <c r="AA56" s="1977" t="str">
        <f t="shared" si="41"/>
        <v xml:space="preserve"> </v>
      </c>
      <c r="AB56" s="1977" t="str">
        <f t="shared" si="42"/>
        <v xml:space="preserve"> </v>
      </c>
      <c r="AC56" s="1977" t="str">
        <f t="shared" si="43"/>
        <v xml:space="preserve"> </v>
      </c>
      <c r="AD56" s="1977" t="str">
        <f t="shared" si="44"/>
        <v xml:space="preserve"> </v>
      </c>
      <c r="AE56" s="1978" t="str">
        <f t="shared" si="45"/>
        <v xml:space="preserve"> </v>
      </c>
      <c r="AF56" s="1978" t="str">
        <f t="shared" si="46"/>
        <v xml:space="preserve"> </v>
      </c>
      <c r="AG56" s="1978" t="str">
        <f t="shared" si="47"/>
        <v xml:space="preserve"> </v>
      </c>
      <c r="AH56" s="1978" t="str">
        <f t="shared" si="48"/>
        <v xml:space="preserve"> </v>
      </c>
      <c r="AI56" s="1978" t="str">
        <f t="shared" si="49"/>
        <v xml:space="preserve"> </v>
      </c>
    </row>
    <row r="57" spans="1:35" x14ac:dyDescent="0.25">
      <c r="L57" s="1972" t="str">
        <f t="shared" si="26"/>
        <v xml:space="preserve">      </v>
      </c>
      <c r="M57" s="1973" t="str">
        <f t="shared" si="27"/>
        <v xml:space="preserve">      </v>
      </c>
      <c r="N57" s="1974" t="str">
        <f t="shared" si="28"/>
        <v xml:space="preserve">      </v>
      </c>
      <c r="O57" s="1974" t="str">
        <f t="shared" si="29"/>
        <v xml:space="preserve">      </v>
      </c>
      <c r="P57" s="1975" t="str">
        <f t="shared" si="30"/>
        <v xml:space="preserve"> </v>
      </c>
      <c r="Q57" s="1975" t="str">
        <f t="shared" si="31"/>
        <v xml:space="preserve"> </v>
      </c>
      <c r="R57" s="1975" t="str">
        <f t="shared" si="32"/>
        <v xml:space="preserve"> </v>
      </c>
      <c r="S57" s="1975" t="str">
        <f t="shared" si="33"/>
        <v xml:space="preserve"> </v>
      </c>
      <c r="T57" s="1975" t="str">
        <f t="shared" si="34"/>
        <v xml:space="preserve"> </v>
      </c>
      <c r="U57" s="1976" t="str">
        <f t="shared" si="35"/>
        <v xml:space="preserve"> </v>
      </c>
      <c r="V57" s="1976" t="str">
        <f t="shared" si="36"/>
        <v xml:space="preserve"> </v>
      </c>
      <c r="W57" s="1976" t="str">
        <f t="shared" si="37"/>
        <v xml:space="preserve"> </v>
      </c>
      <c r="X57" s="1976" t="str">
        <f t="shared" si="38"/>
        <v xml:space="preserve"> </v>
      </c>
      <c r="Y57" s="1976" t="str">
        <f t="shared" si="39"/>
        <v xml:space="preserve"> </v>
      </c>
      <c r="Z57" s="1977" t="str">
        <f t="shared" si="40"/>
        <v xml:space="preserve"> </v>
      </c>
      <c r="AA57" s="1977" t="str">
        <f t="shared" si="41"/>
        <v xml:space="preserve"> </v>
      </c>
      <c r="AB57" s="1977" t="str">
        <f t="shared" si="42"/>
        <v xml:space="preserve"> </v>
      </c>
      <c r="AC57" s="1977" t="str">
        <f t="shared" si="43"/>
        <v xml:space="preserve"> </v>
      </c>
      <c r="AD57" s="1977" t="str">
        <f t="shared" si="44"/>
        <v xml:space="preserve"> </v>
      </c>
      <c r="AE57" s="1978" t="str">
        <f t="shared" si="45"/>
        <v xml:space="preserve"> </v>
      </c>
      <c r="AF57" s="1978" t="str">
        <f t="shared" si="46"/>
        <v xml:space="preserve"> </v>
      </c>
      <c r="AG57" s="1978" t="str">
        <f t="shared" si="47"/>
        <v xml:space="preserve"> </v>
      </c>
      <c r="AH57" s="1978" t="str">
        <f t="shared" si="48"/>
        <v xml:space="preserve"> </v>
      </c>
      <c r="AI57" s="1978" t="str">
        <f t="shared" si="49"/>
        <v xml:space="preserve"> </v>
      </c>
    </row>
    <row r="58" spans="1:35" x14ac:dyDescent="0.25">
      <c r="L58" s="1972" t="str">
        <f t="shared" si="26"/>
        <v xml:space="preserve">      </v>
      </c>
      <c r="M58" s="1973" t="str">
        <f t="shared" si="27"/>
        <v xml:space="preserve">      </v>
      </c>
      <c r="N58" s="1974" t="str">
        <f t="shared" si="28"/>
        <v xml:space="preserve">      </v>
      </c>
      <c r="O58" s="1974" t="str">
        <f t="shared" si="29"/>
        <v xml:space="preserve">      </v>
      </c>
      <c r="P58" s="1975" t="str">
        <f t="shared" si="30"/>
        <v xml:space="preserve"> </v>
      </c>
      <c r="Q58" s="1975" t="str">
        <f t="shared" si="31"/>
        <v xml:space="preserve"> </v>
      </c>
      <c r="R58" s="1975" t="str">
        <f t="shared" si="32"/>
        <v xml:space="preserve"> </v>
      </c>
      <c r="S58" s="1975" t="str">
        <f t="shared" si="33"/>
        <v xml:space="preserve"> </v>
      </c>
      <c r="T58" s="1975" t="str">
        <f t="shared" si="34"/>
        <v xml:space="preserve"> </v>
      </c>
      <c r="U58" s="1976" t="str">
        <f t="shared" si="35"/>
        <v xml:space="preserve"> </v>
      </c>
      <c r="V58" s="1976" t="str">
        <f t="shared" si="36"/>
        <v xml:space="preserve"> </v>
      </c>
      <c r="W58" s="1976" t="str">
        <f t="shared" si="37"/>
        <v xml:space="preserve"> </v>
      </c>
      <c r="X58" s="1976" t="str">
        <f t="shared" si="38"/>
        <v xml:space="preserve"> </v>
      </c>
      <c r="Y58" s="1976" t="str">
        <f t="shared" si="39"/>
        <v xml:space="preserve"> </v>
      </c>
      <c r="Z58" s="1977" t="str">
        <f t="shared" si="40"/>
        <v xml:space="preserve"> </v>
      </c>
      <c r="AA58" s="1977" t="str">
        <f t="shared" si="41"/>
        <v xml:space="preserve"> </v>
      </c>
      <c r="AB58" s="1977" t="str">
        <f t="shared" si="42"/>
        <v xml:space="preserve"> </v>
      </c>
      <c r="AC58" s="1977" t="str">
        <f t="shared" si="43"/>
        <v xml:space="preserve"> </v>
      </c>
      <c r="AD58" s="1977" t="str">
        <f t="shared" si="44"/>
        <v xml:space="preserve"> </v>
      </c>
      <c r="AE58" s="1978" t="str">
        <f t="shared" si="45"/>
        <v xml:space="preserve"> </v>
      </c>
      <c r="AF58" s="1978" t="str">
        <f t="shared" si="46"/>
        <v xml:space="preserve"> </v>
      </c>
      <c r="AG58" s="1978" t="str">
        <f t="shared" si="47"/>
        <v xml:space="preserve"> </v>
      </c>
      <c r="AH58" s="1978" t="str">
        <f t="shared" si="48"/>
        <v xml:space="preserve"> </v>
      </c>
      <c r="AI58" s="1978" t="str">
        <f t="shared" si="49"/>
        <v xml:space="preserve"> </v>
      </c>
    </row>
    <row r="59" spans="1:35" x14ac:dyDescent="0.25">
      <c r="L59" s="1972" t="str">
        <f t="shared" si="26"/>
        <v xml:space="preserve">      </v>
      </c>
      <c r="M59" s="1973" t="str">
        <f t="shared" si="27"/>
        <v xml:space="preserve">      </v>
      </c>
      <c r="N59" s="1974" t="str">
        <f t="shared" si="28"/>
        <v xml:space="preserve">      </v>
      </c>
      <c r="O59" s="1974" t="str">
        <f t="shared" si="29"/>
        <v xml:space="preserve">      </v>
      </c>
      <c r="P59" s="1975" t="str">
        <f t="shared" si="30"/>
        <v xml:space="preserve"> </v>
      </c>
      <c r="Q59" s="1975" t="str">
        <f t="shared" si="31"/>
        <v xml:space="preserve"> </v>
      </c>
      <c r="R59" s="1975" t="str">
        <f t="shared" si="32"/>
        <v xml:space="preserve"> </v>
      </c>
      <c r="S59" s="1975" t="str">
        <f t="shared" si="33"/>
        <v xml:space="preserve"> </v>
      </c>
      <c r="T59" s="1975" t="str">
        <f t="shared" si="34"/>
        <v xml:space="preserve"> </v>
      </c>
      <c r="U59" s="1976" t="str">
        <f t="shared" si="35"/>
        <v xml:space="preserve"> </v>
      </c>
      <c r="V59" s="1976" t="str">
        <f t="shared" si="36"/>
        <v xml:space="preserve"> </v>
      </c>
      <c r="W59" s="1976" t="str">
        <f t="shared" si="37"/>
        <v xml:space="preserve"> </v>
      </c>
      <c r="X59" s="1976" t="str">
        <f t="shared" si="38"/>
        <v xml:space="preserve"> </v>
      </c>
      <c r="Y59" s="1976" t="str">
        <f t="shared" si="39"/>
        <v xml:space="preserve"> </v>
      </c>
      <c r="Z59" s="1977" t="str">
        <f t="shared" si="40"/>
        <v xml:space="preserve"> </v>
      </c>
      <c r="AA59" s="1977" t="str">
        <f t="shared" si="41"/>
        <v xml:space="preserve"> </v>
      </c>
      <c r="AB59" s="1977" t="str">
        <f t="shared" si="42"/>
        <v xml:space="preserve"> </v>
      </c>
      <c r="AC59" s="1977" t="str">
        <f t="shared" si="43"/>
        <v xml:space="preserve"> </v>
      </c>
      <c r="AD59" s="1977" t="str">
        <f t="shared" si="44"/>
        <v xml:space="preserve"> </v>
      </c>
      <c r="AE59" s="1978" t="str">
        <f t="shared" si="45"/>
        <v xml:space="preserve"> </v>
      </c>
      <c r="AF59" s="1978" t="str">
        <f t="shared" si="46"/>
        <v xml:space="preserve"> </v>
      </c>
      <c r="AG59" s="1978" t="str">
        <f t="shared" si="47"/>
        <v xml:space="preserve"> </v>
      </c>
      <c r="AH59" s="1978" t="str">
        <f t="shared" si="48"/>
        <v xml:space="preserve"> </v>
      </c>
      <c r="AI59" s="1978" t="str">
        <f t="shared" si="49"/>
        <v xml:space="preserve"> </v>
      </c>
    </row>
    <row r="60" spans="1:35" x14ac:dyDescent="0.25">
      <c r="L60" s="1972" t="str">
        <f t="shared" si="26"/>
        <v xml:space="preserve">      </v>
      </c>
      <c r="M60" s="1973" t="str">
        <f t="shared" si="27"/>
        <v xml:space="preserve">      </v>
      </c>
      <c r="N60" s="1974" t="str">
        <f t="shared" si="28"/>
        <v xml:space="preserve">      </v>
      </c>
      <c r="O60" s="1974" t="str">
        <f t="shared" si="29"/>
        <v xml:space="preserve">      </v>
      </c>
      <c r="P60" s="1975" t="str">
        <f t="shared" si="30"/>
        <v xml:space="preserve"> </v>
      </c>
      <c r="Q60" s="1975" t="str">
        <f t="shared" si="31"/>
        <v xml:space="preserve"> </v>
      </c>
      <c r="R60" s="1975" t="str">
        <f t="shared" si="32"/>
        <v xml:space="preserve"> </v>
      </c>
      <c r="S60" s="1975" t="str">
        <f t="shared" si="33"/>
        <v xml:space="preserve"> </v>
      </c>
      <c r="T60" s="1975" t="str">
        <f t="shared" si="34"/>
        <v xml:space="preserve"> </v>
      </c>
      <c r="U60" s="1976" t="str">
        <f t="shared" si="35"/>
        <v xml:space="preserve"> </v>
      </c>
      <c r="V60" s="1976" t="str">
        <f t="shared" si="36"/>
        <v xml:space="preserve"> </v>
      </c>
      <c r="W60" s="1976" t="str">
        <f t="shared" si="37"/>
        <v xml:space="preserve"> </v>
      </c>
      <c r="X60" s="1976" t="str">
        <f t="shared" si="38"/>
        <v xml:space="preserve"> </v>
      </c>
      <c r="Y60" s="1976" t="str">
        <f t="shared" si="39"/>
        <v xml:space="preserve"> </v>
      </c>
      <c r="Z60" s="1977" t="str">
        <f t="shared" si="40"/>
        <v xml:space="preserve"> </v>
      </c>
      <c r="AA60" s="1977" t="str">
        <f t="shared" si="41"/>
        <v xml:space="preserve"> </v>
      </c>
      <c r="AB60" s="1977" t="str">
        <f t="shared" si="42"/>
        <v xml:space="preserve"> </v>
      </c>
      <c r="AC60" s="1977" t="str">
        <f t="shared" si="43"/>
        <v xml:space="preserve"> </v>
      </c>
      <c r="AD60" s="1977" t="str">
        <f t="shared" si="44"/>
        <v xml:space="preserve"> </v>
      </c>
      <c r="AE60" s="1978" t="str">
        <f t="shared" si="45"/>
        <v xml:space="preserve"> </v>
      </c>
      <c r="AF60" s="1978" t="str">
        <f t="shared" si="46"/>
        <v xml:space="preserve"> </v>
      </c>
      <c r="AG60" s="1978" t="str">
        <f t="shared" si="47"/>
        <v xml:space="preserve"> </v>
      </c>
      <c r="AH60" s="1978" t="str">
        <f t="shared" si="48"/>
        <v xml:space="preserve"> </v>
      </c>
      <c r="AI60" s="1978" t="str">
        <f t="shared" si="49"/>
        <v xml:space="preserve"> </v>
      </c>
    </row>
    <row r="61" spans="1:35" x14ac:dyDescent="0.25">
      <c r="L61" s="1972" t="str">
        <f t="shared" si="26"/>
        <v xml:space="preserve">      </v>
      </c>
      <c r="M61" s="1973" t="str">
        <f t="shared" si="27"/>
        <v xml:space="preserve">      </v>
      </c>
      <c r="N61" s="1974" t="str">
        <f t="shared" si="28"/>
        <v xml:space="preserve">      </v>
      </c>
      <c r="O61" s="1974" t="str">
        <f t="shared" si="29"/>
        <v xml:space="preserve">      </v>
      </c>
      <c r="P61" s="1975" t="str">
        <f t="shared" si="30"/>
        <v xml:space="preserve"> </v>
      </c>
      <c r="Q61" s="1975" t="str">
        <f t="shared" si="31"/>
        <v xml:space="preserve"> </v>
      </c>
      <c r="R61" s="1975" t="str">
        <f t="shared" si="32"/>
        <v xml:space="preserve"> </v>
      </c>
      <c r="S61" s="1975" t="str">
        <f t="shared" si="33"/>
        <v xml:space="preserve"> </v>
      </c>
      <c r="T61" s="1975" t="str">
        <f t="shared" si="34"/>
        <v xml:space="preserve"> </v>
      </c>
      <c r="U61" s="1976" t="str">
        <f t="shared" si="35"/>
        <v xml:space="preserve"> </v>
      </c>
      <c r="V61" s="1976" t="str">
        <f t="shared" si="36"/>
        <v xml:space="preserve"> </v>
      </c>
      <c r="W61" s="1976" t="str">
        <f t="shared" si="37"/>
        <v xml:space="preserve"> </v>
      </c>
      <c r="X61" s="1976" t="str">
        <f t="shared" si="38"/>
        <v xml:space="preserve"> </v>
      </c>
      <c r="Y61" s="1976" t="str">
        <f t="shared" si="39"/>
        <v xml:space="preserve"> </v>
      </c>
      <c r="Z61" s="1977" t="str">
        <f t="shared" si="40"/>
        <v xml:space="preserve"> </v>
      </c>
      <c r="AA61" s="1977" t="str">
        <f t="shared" si="41"/>
        <v xml:space="preserve"> </v>
      </c>
      <c r="AB61" s="1977" t="str">
        <f t="shared" si="42"/>
        <v xml:space="preserve"> </v>
      </c>
      <c r="AC61" s="1977" t="str">
        <f t="shared" si="43"/>
        <v xml:space="preserve"> </v>
      </c>
      <c r="AD61" s="1977" t="str">
        <f t="shared" si="44"/>
        <v xml:space="preserve"> </v>
      </c>
      <c r="AE61" s="1978" t="str">
        <f t="shared" si="45"/>
        <v xml:space="preserve"> </v>
      </c>
      <c r="AF61" s="1978" t="str">
        <f t="shared" si="46"/>
        <v xml:space="preserve"> </v>
      </c>
      <c r="AG61" s="1978" t="str">
        <f t="shared" si="47"/>
        <v xml:space="preserve"> </v>
      </c>
      <c r="AH61" s="1978" t="str">
        <f t="shared" si="48"/>
        <v xml:space="preserve"> </v>
      </c>
      <c r="AI61" s="1978" t="str">
        <f t="shared" si="49"/>
        <v xml:space="preserve"> </v>
      </c>
    </row>
    <row r="62" spans="1:35" x14ac:dyDescent="0.25">
      <c r="L62" s="1972" t="str">
        <f t="shared" si="26"/>
        <v xml:space="preserve">      </v>
      </c>
      <c r="M62" s="1973" t="str">
        <f t="shared" si="27"/>
        <v xml:space="preserve">      </v>
      </c>
      <c r="N62" s="1974" t="str">
        <f t="shared" si="28"/>
        <v xml:space="preserve">      </v>
      </c>
      <c r="O62" s="1974" t="str">
        <f t="shared" si="29"/>
        <v xml:space="preserve">      </v>
      </c>
      <c r="P62" s="1975" t="str">
        <f t="shared" si="30"/>
        <v xml:space="preserve"> </v>
      </c>
      <c r="Q62" s="1975" t="str">
        <f t="shared" si="31"/>
        <v xml:space="preserve"> </v>
      </c>
      <c r="R62" s="1975" t="str">
        <f t="shared" si="32"/>
        <v xml:space="preserve"> </v>
      </c>
      <c r="S62" s="1975" t="str">
        <f t="shared" si="33"/>
        <v xml:space="preserve"> </v>
      </c>
      <c r="T62" s="1975" t="str">
        <f t="shared" si="34"/>
        <v xml:space="preserve"> </v>
      </c>
      <c r="U62" s="1976" t="str">
        <f t="shared" si="35"/>
        <v xml:space="preserve"> </v>
      </c>
      <c r="V62" s="1976" t="str">
        <f t="shared" si="36"/>
        <v xml:space="preserve"> </v>
      </c>
      <c r="W62" s="1976" t="str">
        <f t="shared" si="37"/>
        <v xml:space="preserve"> </v>
      </c>
      <c r="X62" s="1976" t="str">
        <f t="shared" si="38"/>
        <v xml:space="preserve"> </v>
      </c>
      <c r="Y62" s="1976" t="str">
        <f t="shared" si="39"/>
        <v xml:space="preserve"> </v>
      </c>
      <c r="Z62" s="1977" t="str">
        <f t="shared" si="40"/>
        <v xml:space="preserve"> </v>
      </c>
      <c r="AA62" s="1977" t="str">
        <f t="shared" si="41"/>
        <v xml:space="preserve"> </v>
      </c>
      <c r="AB62" s="1977" t="str">
        <f t="shared" si="42"/>
        <v xml:space="preserve"> </v>
      </c>
      <c r="AC62" s="1977" t="str">
        <f t="shared" si="43"/>
        <v xml:space="preserve"> </v>
      </c>
      <c r="AD62" s="1977" t="str">
        <f t="shared" si="44"/>
        <v xml:space="preserve"> </v>
      </c>
      <c r="AE62" s="1978" t="str">
        <f t="shared" si="45"/>
        <v xml:space="preserve"> </v>
      </c>
      <c r="AF62" s="1978" t="str">
        <f t="shared" si="46"/>
        <v xml:space="preserve"> </v>
      </c>
      <c r="AG62" s="1978" t="str">
        <f t="shared" si="47"/>
        <v xml:space="preserve"> </v>
      </c>
      <c r="AH62" s="1978" t="str">
        <f t="shared" si="48"/>
        <v xml:space="preserve"> </v>
      </c>
      <c r="AI62" s="1978" t="str">
        <f t="shared" si="49"/>
        <v xml:space="preserve"> </v>
      </c>
    </row>
    <row r="63" spans="1:35" x14ac:dyDescent="0.25">
      <c r="L63" s="1972" t="str">
        <f t="shared" si="26"/>
        <v xml:space="preserve">      </v>
      </c>
      <c r="M63" s="1973" t="str">
        <f t="shared" si="27"/>
        <v xml:space="preserve">      </v>
      </c>
      <c r="N63" s="1974" t="str">
        <f t="shared" si="28"/>
        <v xml:space="preserve">      </v>
      </c>
      <c r="O63" s="1974" t="str">
        <f t="shared" si="29"/>
        <v xml:space="preserve">      </v>
      </c>
      <c r="P63" s="1975" t="str">
        <f t="shared" si="30"/>
        <v xml:space="preserve"> </v>
      </c>
      <c r="Q63" s="1975" t="str">
        <f t="shared" si="31"/>
        <v xml:space="preserve"> </v>
      </c>
      <c r="R63" s="1975" t="str">
        <f t="shared" si="32"/>
        <v xml:space="preserve"> </v>
      </c>
      <c r="S63" s="1975" t="str">
        <f t="shared" si="33"/>
        <v xml:space="preserve"> </v>
      </c>
      <c r="T63" s="1975" t="str">
        <f t="shared" si="34"/>
        <v xml:space="preserve"> </v>
      </c>
      <c r="U63" s="1976" t="str">
        <f t="shared" si="35"/>
        <v xml:space="preserve"> </v>
      </c>
      <c r="V63" s="1976" t="str">
        <f t="shared" si="36"/>
        <v xml:space="preserve"> </v>
      </c>
      <c r="W63" s="1976" t="str">
        <f t="shared" si="37"/>
        <v xml:space="preserve"> </v>
      </c>
      <c r="X63" s="1976" t="str">
        <f t="shared" si="38"/>
        <v xml:space="preserve"> </v>
      </c>
      <c r="Y63" s="1976" t="str">
        <f t="shared" si="39"/>
        <v xml:space="preserve"> </v>
      </c>
      <c r="Z63" s="1977" t="str">
        <f t="shared" si="40"/>
        <v xml:space="preserve"> </v>
      </c>
      <c r="AA63" s="1977" t="str">
        <f t="shared" si="41"/>
        <v xml:space="preserve"> </v>
      </c>
      <c r="AB63" s="1977" t="str">
        <f t="shared" si="42"/>
        <v xml:space="preserve"> </v>
      </c>
      <c r="AC63" s="1977" t="str">
        <f t="shared" si="43"/>
        <v xml:space="preserve"> </v>
      </c>
      <c r="AD63" s="1977" t="str">
        <f t="shared" si="44"/>
        <v xml:space="preserve"> </v>
      </c>
      <c r="AE63" s="1978" t="str">
        <f t="shared" si="45"/>
        <v xml:space="preserve"> </v>
      </c>
      <c r="AF63" s="1978" t="str">
        <f t="shared" si="46"/>
        <v xml:space="preserve"> </v>
      </c>
      <c r="AG63" s="1978" t="str">
        <f t="shared" si="47"/>
        <v xml:space="preserve"> </v>
      </c>
      <c r="AH63" s="1978" t="str">
        <f t="shared" si="48"/>
        <v xml:space="preserve"> </v>
      </c>
      <c r="AI63" s="1978" t="str">
        <f t="shared" si="49"/>
        <v xml:space="preserve"> </v>
      </c>
    </row>
    <row r="64" spans="1:35" x14ac:dyDescent="0.25">
      <c r="L64" s="1972" t="str">
        <f t="shared" si="26"/>
        <v xml:space="preserve">      </v>
      </c>
      <c r="M64" s="1973" t="str">
        <f t="shared" si="27"/>
        <v xml:space="preserve">      </v>
      </c>
      <c r="N64" s="1974" t="str">
        <f t="shared" si="28"/>
        <v xml:space="preserve">      </v>
      </c>
      <c r="O64" s="1974" t="str">
        <f t="shared" si="29"/>
        <v xml:space="preserve">      </v>
      </c>
      <c r="P64" s="1975" t="str">
        <f t="shared" si="30"/>
        <v xml:space="preserve"> </v>
      </c>
      <c r="Q64" s="1975" t="str">
        <f t="shared" si="31"/>
        <v xml:space="preserve"> </v>
      </c>
      <c r="R64" s="1975" t="str">
        <f t="shared" si="32"/>
        <v xml:space="preserve"> </v>
      </c>
      <c r="S64" s="1975" t="str">
        <f t="shared" si="33"/>
        <v xml:space="preserve"> </v>
      </c>
      <c r="T64" s="1975" t="str">
        <f t="shared" si="34"/>
        <v xml:space="preserve"> </v>
      </c>
      <c r="U64" s="1976" t="str">
        <f t="shared" si="35"/>
        <v xml:space="preserve"> </v>
      </c>
      <c r="V64" s="1976" t="str">
        <f t="shared" si="36"/>
        <v xml:space="preserve"> </v>
      </c>
      <c r="W64" s="1976" t="str">
        <f t="shared" si="37"/>
        <v xml:space="preserve"> </v>
      </c>
      <c r="X64" s="1976" t="str">
        <f t="shared" si="38"/>
        <v xml:space="preserve"> </v>
      </c>
      <c r="Y64" s="1976" t="str">
        <f t="shared" si="39"/>
        <v xml:space="preserve"> </v>
      </c>
      <c r="Z64" s="1977" t="str">
        <f t="shared" si="40"/>
        <v xml:space="preserve"> </v>
      </c>
      <c r="AA64" s="1977" t="str">
        <f t="shared" si="41"/>
        <v xml:space="preserve"> </v>
      </c>
      <c r="AB64" s="1977" t="str">
        <f t="shared" si="42"/>
        <v xml:space="preserve"> </v>
      </c>
      <c r="AC64" s="1977" t="str">
        <f t="shared" si="43"/>
        <v xml:space="preserve"> </v>
      </c>
      <c r="AD64" s="1977" t="str">
        <f t="shared" si="44"/>
        <v xml:space="preserve"> </v>
      </c>
      <c r="AE64" s="1978" t="str">
        <f t="shared" si="45"/>
        <v xml:space="preserve"> </v>
      </c>
      <c r="AF64" s="1978" t="str">
        <f t="shared" si="46"/>
        <v xml:space="preserve"> </v>
      </c>
      <c r="AG64" s="1978" t="str">
        <f t="shared" si="47"/>
        <v xml:space="preserve"> </v>
      </c>
      <c r="AH64" s="1978" t="str">
        <f t="shared" si="48"/>
        <v xml:space="preserve"> </v>
      </c>
      <c r="AI64" s="1978" t="str">
        <f t="shared" si="49"/>
        <v xml:space="preserve"> </v>
      </c>
    </row>
    <row r="65" spans="12:35" x14ac:dyDescent="0.25">
      <c r="L65" s="1972" t="str">
        <f t="shared" si="26"/>
        <v xml:space="preserve">      </v>
      </c>
      <c r="M65" s="1973" t="str">
        <f t="shared" si="27"/>
        <v xml:space="preserve">      </v>
      </c>
      <c r="N65" s="1974" t="str">
        <f t="shared" si="28"/>
        <v xml:space="preserve">      </v>
      </c>
      <c r="O65" s="1974" t="str">
        <f t="shared" si="29"/>
        <v xml:space="preserve">      </v>
      </c>
      <c r="P65" s="1975" t="str">
        <f t="shared" si="30"/>
        <v xml:space="preserve"> </v>
      </c>
      <c r="Q65" s="1975" t="str">
        <f t="shared" si="31"/>
        <v xml:space="preserve"> </v>
      </c>
      <c r="R65" s="1975" t="str">
        <f t="shared" si="32"/>
        <v xml:space="preserve"> </v>
      </c>
      <c r="S65" s="1975" t="str">
        <f t="shared" si="33"/>
        <v xml:space="preserve"> </v>
      </c>
      <c r="T65" s="1975" t="str">
        <f t="shared" si="34"/>
        <v xml:space="preserve"> </v>
      </c>
      <c r="U65" s="1976" t="str">
        <f t="shared" si="35"/>
        <v xml:space="preserve"> </v>
      </c>
      <c r="V65" s="1976" t="str">
        <f t="shared" si="36"/>
        <v xml:space="preserve"> </v>
      </c>
      <c r="W65" s="1976" t="str">
        <f t="shared" si="37"/>
        <v xml:space="preserve"> </v>
      </c>
      <c r="X65" s="1976" t="str">
        <f t="shared" si="38"/>
        <v xml:space="preserve"> </v>
      </c>
      <c r="Y65" s="1976" t="str">
        <f t="shared" si="39"/>
        <v xml:space="preserve"> </v>
      </c>
      <c r="Z65" s="1977" t="str">
        <f t="shared" si="40"/>
        <v xml:space="preserve"> </v>
      </c>
      <c r="AA65" s="1977" t="str">
        <f t="shared" si="41"/>
        <v xml:space="preserve"> </v>
      </c>
      <c r="AB65" s="1977" t="str">
        <f t="shared" si="42"/>
        <v xml:space="preserve"> </v>
      </c>
      <c r="AC65" s="1977" t="str">
        <f t="shared" si="43"/>
        <v xml:space="preserve"> </v>
      </c>
      <c r="AD65" s="1977" t="str">
        <f t="shared" si="44"/>
        <v xml:space="preserve"> </v>
      </c>
      <c r="AE65" s="1978" t="str">
        <f t="shared" si="45"/>
        <v xml:space="preserve"> </v>
      </c>
      <c r="AF65" s="1978" t="str">
        <f t="shared" si="46"/>
        <v xml:space="preserve"> </v>
      </c>
      <c r="AG65" s="1978" t="str">
        <f t="shared" si="47"/>
        <v xml:space="preserve"> </v>
      </c>
      <c r="AH65" s="1978" t="str">
        <f t="shared" si="48"/>
        <v xml:space="preserve"> </v>
      </c>
      <c r="AI65" s="1978" t="str">
        <f t="shared" si="49"/>
        <v xml:space="preserve"> </v>
      </c>
    </row>
    <row r="68" spans="12:35" x14ac:dyDescent="0.25">
      <c r="L68" s="775"/>
      <c r="M68" s="775"/>
    </row>
    <row r="69" spans="12:35" x14ac:dyDescent="0.25">
      <c r="L69" s="1979"/>
      <c r="M69" s="1979"/>
    </row>
    <row r="70" spans="12:35" x14ac:dyDescent="0.25">
      <c r="L70" s="1980"/>
      <c r="M70" s="1980"/>
    </row>
  </sheetData>
  <sheetProtection password="C6F9" sheet="1" objects="1" scenarios="1"/>
  <mergeCells count="10">
    <mergeCell ref="G12:G14"/>
    <mergeCell ref="H12:H14"/>
    <mergeCell ref="B12:B14"/>
    <mergeCell ref="A1:H1"/>
    <mergeCell ref="A3:H3"/>
    <mergeCell ref="A12:A14"/>
    <mergeCell ref="C12:C14"/>
    <mergeCell ref="D12:D14"/>
    <mergeCell ref="E12:E14"/>
    <mergeCell ref="F12:F14"/>
  </mergeCells>
  <pageMargins left="0.7" right="0.7" top="0.75" bottom="0.75" header="0.3" footer="0.3"/>
  <pageSetup paperSize="9" orientation="portrait" horizontalDpi="0" verticalDpi="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AI253"/>
  <sheetViews>
    <sheetView showGridLines="0" topLeftCell="A4" workbookViewId="0">
      <pane xSplit="2" ySplit="11" topLeftCell="C15" activePane="bottomRight" state="frozen"/>
      <selection activeCell="A4" sqref="A4"/>
      <selection pane="topRight" activeCell="C4" sqref="C4"/>
      <selection pane="bottomLeft" activeCell="A15" sqref="A15"/>
      <selection pane="bottomRight" activeCell="C15" sqref="C15"/>
    </sheetView>
  </sheetViews>
  <sheetFormatPr defaultRowHeight="15" x14ac:dyDescent="0.25"/>
  <cols>
    <col min="1" max="1" width="4.5703125" style="352" bestFit="1" customWidth="1"/>
    <col min="2" max="2" width="33.140625" style="886" customWidth="1"/>
    <col min="3" max="6" width="5.7109375" style="352" customWidth="1"/>
    <col min="7" max="7" width="5.7109375" style="352" hidden="1" customWidth="1"/>
    <col min="8" max="8" width="42.5703125" style="352" bestFit="1" customWidth="1"/>
    <col min="9" max="11" width="9.140625" style="352"/>
    <col min="12" max="13" width="3.5703125" style="773" hidden="1" customWidth="1"/>
    <col min="14" max="15" width="3.5703125" style="353" hidden="1" customWidth="1"/>
    <col min="16" max="20" width="3.5703125" style="1966" hidden="1" customWidth="1"/>
    <col min="21" max="25" width="3.5703125" style="1967" hidden="1" customWidth="1"/>
    <col min="26" max="30" width="3.5703125" style="1968" hidden="1" customWidth="1"/>
    <col min="31" max="35" width="3.5703125" style="1969" hidden="1" customWidth="1"/>
    <col min="36" max="46" width="0" style="352" hidden="1" customWidth="1"/>
    <col min="47" max="16384" width="9.140625" style="352"/>
  </cols>
  <sheetData>
    <row r="1" spans="1:35" ht="27" x14ac:dyDescent="0.35">
      <c r="A1" s="786" t="s">
        <v>718</v>
      </c>
      <c r="B1" s="1982"/>
      <c r="C1" s="786"/>
      <c r="D1" s="786"/>
      <c r="E1" s="786"/>
      <c r="F1" s="786"/>
      <c r="G1" s="786"/>
      <c r="H1" s="786"/>
    </row>
    <row r="2" spans="1:35" ht="21" x14ac:dyDescent="0.35">
      <c r="A2" s="1147" t="s">
        <v>719</v>
      </c>
      <c r="B2" s="1983"/>
      <c r="C2" s="775"/>
      <c r="D2" s="775"/>
      <c r="E2" s="775"/>
      <c r="F2" s="773"/>
      <c r="G2" s="773"/>
      <c r="H2" s="773"/>
    </row>
    <row r="3" spans="1:35" ht="21" x14ac:dyDescent="0.35">
      <c r="A3" s="1147"/>
      <c r="B3" s="1983"/>
      <c r="C3" s="775"/>
      <c r="D3" s="775"/>
      <c r="E3" s="775"/>
      <c r="F3" s="773"/>
      <c r="G3" s="773"/>
      <c r="H3" s="773"/>
    </row>
    <row r="4" spans="1:35" ht="16.5" x14ac:dyDescent="0.3">
      <c r="A4" s="776"/>
      <c r="B4" s="1984" t="s">
        <v>528</v>
      </c>
      <c r="C4" s="778"/>
      <c r="D4" s="779"/>
      <c r="E4" s="779"/>
      <c r="F4" s="779"/>
      <c r="G4" s="779"/>
      <c r="H4" s="773"/>
    </row>
    <row r="5" spans="1:35" x14ac:dyDescent="0.25">
      <c r="A5" s="776">
        <v>1</v>
      </c>
      <c r="B5" s="1148" t="s">
        <v>993</v>
      </c>
      <c r="C5" s="781"/>
      <c r="D5" s="782"/>
      <c r="E5" s="782"/>
      <c r="F5" s="782"/>
      <c r="G5" s="782"/>
      <c r="H5" s="773"/>
      <c r="L5" s="1970"/>
      <c r="M5" s="1970"/>
    </row>
    <row r="6" spans="1:35" x14ac:dyDescent="0.25">
      <c r="A6" s="776">
        <v>2</v>
      </c>
      <c r="B6" s="1148" t="s">
        <v>998</v>
      </c>
      <c r="C6" s="781"/>
      <c r="D6" s="782"/>
      <c r="E6" s="782"/>
      <c r="F6" s="782"/>
      <c r="G6" s="782"/>
      <c r="H6" s="773"/>
      <c r="L6" s="1970"/>
      <c r="M6" s="1970"/>
    </row>
    <row r="7" spans="1:35" x14ac:dyDescent="0.25">
      <c r="A7" s="776">
        <v>3</v>
      </c>
      <c r="B7" s="1148" t="s">
        <v>999</v>
      </c>
      <c r="C7" s="781"/>
      <c r="D7" s="782"/>
      <c r="E7" s="782"/>
      <c r="F7" s="782"/>
      <c r="G7" s="782"/>
      <c r="H7" s="773"/>
      <c r="L7" s="1970"/>
      <c r="M7" s="1970"/>
      <c r="R7" s="1966">
        <v>4</v>
      </c>
      <c r="V7" s="1967">
        <v>3</v>
      </c>
    </row>
    <row r="8" spans="1:35" x14ac:dyDescent="0.25">
      <c r="A8" s="776">
        <v>4</v>
      </c>
      <c r="B8" s="1149" t="s">
        <v>1000</v>
      </c>
      <c r="C8" s="781"/>
      <c r="D8" s="782"/>
      <c r="E8" s="782"/>
      <c r="F8" s="782"/>
      <c r="G8" s="782"/>
      <c r="H8" s="773"/>
      <c r="L8" s="1970"/>
      <c r="M8" s="1970"/>
    </row>
    <row r="9" spans="1:35" x14ac:dyDescent="0.25">
      <c r="A9" s="776">
        <v>5</v>
      </c>
      <c r="B9" s="1149"/>
      <c r="C9" s="783"/>
      <c r="D9" s="784"/>
      <c r="E9" s="784"/>
      <c r="F9" s="784"/>
      <c r="G9" s="784"/>
      <c r="H9" s="773"/>
      <c r="L9" s="1970"/>
      <c r="M9" s="1970"/>
    </row>
    <row r="10" spans="1:35" x14ac:dyDescent="0.25">
      <c r="A10" s="1899">
        <v>6</v>
      </c>
      <c r="B10" s="1900"/>
      <c r="C10" s="1901"/>
      <c r="D10" s="1902"/>
      <c r="E10" s="1902"/>
      <c r="F10" s="1902"/>
      <c r="G10" s="1902"/>
      <c r="H10" s="1897"/>
      <c r="L10" s="1970"/>
      <c r="M10" s="1970"/>
    </row>
    <row r="11" spans="1:35" x14ac:dyDescent="0.25">
      <c r="A11" s="1137">
        <v>1</v>
      </c>
      <c r="B11" s="1898">
        <v>2</v>
      </c>
      <c r="C11" s="1137">
        <v>3</v>
      </c>
      <c r="D11" s="1898">
        <v>4</v>
      </c>
      <c r="E11" s="1137">
        <v>5</v>
      </c>
      <c r="F11" s="1898">
        <v>6</v>
      </c>
      <c r="G11" s="1137">
        <v>7</v>
      </c>
      <c r="H11" s="1898">
        <v>8</v>
      </c>
    </row>
    <row r="12" spans="1:35" ht="15" customHeight="1" x14ac:dyDescent="0.25">
      <c r="A12" s="3327" t="s">
        <v>118</v>
      </c>
      <c r="B12" s="3329" t="s">
        <v>529</v>
      </c>
      <c r="C12" s="3328" t="s">
        <v>530</v>
      </c>
      <c r="D12" s="3328" t="s">
        <v>531</v>
      </c>
      <c r="E12" s="3328" t="s">
        <v>532</v>
      </c>
      <c r="F12" s="3328" t="s">
        <v>533</v>
      </c>
      <c r="G12" s="2111"/>
      <c r="H12" s="3321" t="s">
        <v>138</v>
      </c>
      <c r="L12" s="10"/>
      <c r="M12" s="10"/>
      <c r="P12" s="1971" t="str">
        <f>B5</f>
        <v>Jujur,</v>
      </c>
      <c r="Q12" s="1971" t="str">
        <f>B6</f>
        <v xml:space="preserve">disiplin, </v>
      </c>
      <c r="R12" s="1971" t="str">
        <f>B7</f>
        <v xml:space="preserve">percaya diri, </v>
      </c>
      <c r="S12" s="1971" t="str">
        <f>B8</f>
        <v xml:space="preserve">santun, </v>
      </c>
      <c r="T12" s="1971">
        <f>B9</f>
        <v>0</v>
      </c>
    </row>
    <row r="13" spans="1:35" ht="15.75" x14ac:dyDescent="0.25">
      <c r="A13" s="3327"/>
      <c r="B13" s="3330"/>
      <c r="C13" s="3328"/>
      <c r="D13" s="3328"/>
      <c r="E13" s="3328"/>
      <c r="F13" s="3328"/>
      <c r="G13" s="2111"/>
      <c r="H13" s="3321"/>
      <c r="L13" s="10"/>
      <c r="M13" s="10"/>
    </row>
    <row r="14" spans="1:35" ht="15.75" x14ac:dyDescent="0.25">
      <c r="A14" s="3327"/>
      <c r="B14" s="2110" t="s">
        <v>535</v>
      </c>
      <c r="C14" s="3328"/>
      <c r="D14" s="3328"/>
      <c r="E14" s="3328"/>
      <c r="F14" s="3328"/>
      <c r="G14" s="2111"/>
      <c r="H14" s="3321"/>
      <c r="L14" s="10"/>
      <c r="M14" s="10"/>
    </row>
    <row r="15" spans="1:35" ht="85.5" customHeight="1" x14ac:dyDescent="0.25">
      <c r="A15" s="2108">
        <v>1</v>
      </c>
      <c r="B15" s="1985" t="str">
        <f t="shared" ref="B15:B54" si="0">VLOOKUP(A15,data_siswa,4)</f>
        <v>Achmad Zacky</v>
      </c>
      <c r="C15" s="1903">
        <v>2</v>
      </c>
      <c r="D15" s="1903">
        <v>4</v>
      </c>
      <c r="E15" s="1903">
        <v>3</v>
      </c>
      <c r="F15" s="1799">
        <v>3</v>
      </c>
      <c r="G15" s="1799"/>
      <c r="H15" s="1896" t="str">
        <f>IF(OR(C15=1,D15=1,E15=1,F15=1,G15=1),CONCATENATE(" ",L15," ",M15," ",N15,O15," "),CONCATENATE(" ",L15," ",M15," ",N15," "))</f>
        <v xml:space="preserve"> Sangat baik dalam bersikap  disiplin,     Baik dalam bersikap   percaya diri, santun,   Dengan bimbingan dan pendampingan yang lebih, akan mampu meningkatkan bersikap Jujur,     </v>
      </c>
      <c r="L15" s="1972" t="str">
        <f>IF(OR(C15=4,D15=4,E15=4,F15=4,G15=4),CONCATENATE("Sangat baik dalam bersikap ",P15,Q15,R15,S15,T15,),CONCATENATE(" ",P15,Q15,R15,S15,T15,))</f>
        <v xml:space="preserve">Sangat baik dalam bersikap  disiplin,    </v>
      </c>
      <c r="M15" s="1973" t="str">
        <f>IF(OR(C15=3,D15=3,E15=3,F15=3,G15=3),CONCATENATE("Baik dalam bersikap ",U15,V15,W15,X15,Y15,),CONCATENATE(" ",U15,V15,W15,X15,Y15,))</f>
        <v xml:space="preserve">Baik dalam bersikap   percaya diri, santun,  </v>
      </c>
      <c r="N15" s="1974" t="str">
        <f>IF(OR(C15=2,D15=2,E15=2,F15=2,G15=2),CONCATENATE("Dengan bimbingan dan pendampingan yang lebih, akan mampu meningkatkan bersikap ",Z15,AA15,AB15,AC15,AD15,),CONCATENATE(" ",Z15,AA15,AB15,AC15,AD15,))</f>
        <v xml:space="preserve">Dengan bimbingan dan pendampingan yang lebih, akan mampu meningkatkan bersikap Jujur,    </v>
      </c>
      <c r="O15" s="1974" t="str">
        <f>IF(OR(C15=1,D15=1,E15=1,F15=1,G15=1),CONCATENATE("perlu bimbingan ",AE15,AF15,AG15,AH15,AI15,),CONCATENATE(" ",Z15,AA15,AB15,AC15,AD15,))</f>
        <v xml:space="preserve"> Jujur,    </v>
      </c>
      <c r="P15" s="1975" t="str">
        <f>IF(C15=4,$P$12," ")</f>
        <v xml:space="preserve"> </v>
      </c>
      <c r="Q15" s="1975" t="str">
        <f>IF(D15=4,$Q$12," ")</f>
        <v xml:space="preserve">disiplin, </v>
      </c>
      <c r="R15" s="1975" t="str">
        <f>IF(E15=4,$R$12," ")</f>
        <v xml:space="preserve"> </v>
      </c>
      <c r="S15" s="1975" t="str">
        <f>IF(F15=4,$S$12," ")</f>
        <v xml:space="preserve"> </v>
      </c>
      <c r="T15" s="1975" t="str">
        <f>IF(G15=4,$T$12," ")</f>
        <v xml:space="preserve"> </v>
      </c>
      <c r="U15" s="1976" t="str">
        <f>IF(C15=3,$P$12," ")</f>
        <v xml:space="preserve"> </v>
      </c>
      <c r="V15" s="1976" t="str">
        <f>IF(D15=3,$Q$12," ")</f>
        <v xml:space="preserve"> </v>
      </c>
      <c r="W15" s="1976" t="str">
        <f>IF(E15=3,$R$12," ")</f>
        <v xml:space="preserve">percaya diri, </v>
      </c>
      <c r="X15" s="1976" t="str">
        <f>IF(F15=3,$S$12," ")</f>
        <v xml:space="preserve">santun, </v>
      </c>
      <c r="Y15" s="1976" t="str">
        <f>IF(G15=3,$T$12," ")</f>
        <v xml:space="preserve"> </v>
      </c>
      <c r="Z15" s="1977" t="str">
        <f>IF(C15=2,$P$12," ")</f>
        <v>Jujur,</v>
      </c>
      <c r="AA15" s="1977" t="str">
        <f>IF(D15=2,$Q$12," ")</f>
        <v xml:space="preserve"> </v>
      </c>
      <c r="AB15" s="1977" t="str">
        <f>IF(E15=2,$R$12," ")</f>
        <v xml:space="preserve"> </v>
      </c>
      <c r="AC15" s="1977" t="str">
        <f>IF(F15=2,$S$12," ")</f>
        <v xml:space="preserve"> </v>
      </c>
      <c r="AD15" s="1977" t="str">
        <f>IF(G15=2,$T$12," ")</f>
        <v xml:space="preserve"> </v>
      </c>
      <c r="AE15" s="1978" t="str">
        <f>IF(C15=1,$P$12," ")</f>
        <v xml:space="preserve"> </v>
      </c>
      <c r="AF15" s="1978" t="str">
        <f>IF(D15=1,$Q$12," ")</f>
        <v xml:space="preserve"> </v>
      </c>
      <c r="AG15" s="1978" t="str">
        <f>IF(E15=1,$R$12," ")</f>
        <v xml:space="preserve"> </v>
      </c>
      <c r="AH15" s="1978" t="str">
        <f>IF(F15=1,$S$12," ")</f>
        <v xml:space="preserve"> </v>
      </c>
      <c r="AI15" s="1978" t="str">
        <f>IF(G15=1,$T$12," ")</f>
        <v xml:space="preserve"> </v>
      </c>
    </row>
    <row r="16" spans="1:35" ht="24.95" customHeight="1" x14ac:dyDescent="0.25">
      <c r="A16" s="2108">
        <v>2</v>
      </c>
      <c r="B16" s="1985" t="str">
        <f t="shared" si="0"/>
        <v>Angelia Vabel R</v>
      </c>
      <c r="C16" s="1903"/>
      <c r="D16" s="1903"/>
      <c r="E16" s="1903"/>
      <c r="F16" s="1799"/>
      <c r="G16" s="1799"/>
      <c r="H16" s="1896" t="str">
        <f t="shared" ref="H16:H54" si="1">IF(OR(C16=1,D16=1,E16=1,F16=1,G16=1),CONCATENATE(" ",L16," ",M16," ",N16,O16," "),CONCATENATE(" ",L16," ",M16," ",N16," "))</f>
        <v xml:space="preserve">                      </v>
      </c>
      <c r="L16" s="1972" t="str">
        <f>IF(OR(C16=4,D16=4,E16=4,F16=4,G16=4),CONCATENATE("Sangat baik dalam bersikap ",P16,Q16,R16,S16,T16,),CONCATENATE(" ",P16,Q16,R16,S16,T16,))</f>
        <v xml:space="preserve">      </v>
      </c>
      <c r="M16" s="1973" t="str">
        <f>IF(OR(C16=3,D16=3,E16=3,F16=3,G16=3),CONCATENATE("Baik dalam bersikap ",U16,V16,W16,X16,Y16,),CONCATENATE(" ",U16,V16,W16,X16,Y16,))</f>
        <v xml:space="preserve">      </v>
      </c>
      <c r="N16" s="1974" t="str">
        <f>IF(OR(C16=2,D16=2,E16=2,F16=2,G16=2),CONCATENATE("Dengan bimbingan dan pendampingan yang lebih, akan mampu meningkatkan bersikap ",Z16,AA16,AB16,AC16,AD16,),CONCATENATE(" ",Z16,AA16,AB16,AC16,AD16,))</f>
        <v xml:space="preserve">      </v>
      </c>
      <c r="O16" s="1974" t="str">
        <f>IF(OR(C16=1,D16=1,E16=1,F16=1,G16=1),CONCATENATE("perlu bimbingan ",AE16,AF16,AG16,AH16,AI16,),CONCATENATE(" ",Z16,AA16,AB16,AC16,AD16,))</f>
        <v xml:space="preserve">      </v>
      </c>
      <c r="P16" s="1975" t="str">
        <f>IF(C16=4,$P$12," ")</f>
        <v xml:space="preserve"> </v>
      </c>
      <c r="Q16" s="1975" t="str">
        <f>IF(D16=4,$Q$12," ")</f>
        <v xml:space="preserve"> </v>
      </c>
      <c r="R16" s="1975" t="str">
        <f>IF(E16=4,$R$12," ")</f>
        <v xml:space="preserve"> </v>
      </c>
      <c r="S16" s="1975" t="str">
        <f>IF(F16=4,$S$12," ")</f>
        <v xml:space="preserve"> </v>
      </c>
      <c r="T16" s="1975" t="str">
        <f>IF(G16=4,$T$12," ")</f>
        <v xml:space="preserve"> </v>
      </c>
      <c r="U16" s="1976" t="str">
        <f>IF(C16=3,$P$12," ")</f>
        <v xml:space="preserve"> </v>
      </c>
      <c r="V16" s="1976" t="str">
        <f>IF(D16=3,$Q$12," ")</f>
        <v xml:space="preserve"> </v>
      </c>
      <c r="W16" s="1976" t="str">
        <f>IF(E16=3,$R$12," ")</f>
        <v xml:space="preserve"> </v>
      </c>
      <c r="X16" s="1976" t="str">
        <f>IF(F16=3,$S$12," ")</f>
        <v xml:space="preserve"> </v>
      </c>
      <c r="Y16" s="1976" t="str">
        <f>IF(G16=3,$T$12," ")</f>
        <v xml:space="preserve"> </v>
      </c>
      <c r="Z16" s="1977" t="str">
        <f>IF(C16=2,$P$12," ")</f>
        <v xml:space="preserve"> </v>
      </c>
      <c r="AA16" s="1977" t="str">
        <f>IF(D16=2,$Q$12," ")</f>
        <v xml:space="preserve"> </v>
      </c>
      <c r="AB16" s="1977" t="str">
        <f>IF(E16=2,$R$12," ")</f>
        <v xml:space="preserve"> </v>
      </c>
      <c r="AC16" s="1977" t="str">
        <f>IF(F16=2,$S$12," ")</f>
        <v xml:space="preserve"> </v>
      </c>
      <c r="AD16" s="1977" t="str">
        <f>IF(G16=2,$T$12," ")</f>
        <v xml:space="preserve"> </v>
      </c>
      <c r="AE16" s="1978" t="str">
        <f>IF(C16=1,$P$12," ")</f>
        <v xml:space="preserve"> </v>
      </c>
      <c r="AF16" s="1978" t="str">
        <f>IF(D16=1,$Q$12," ")</f>
        <v xml:space="preserve"> </v>
      </c>
      <c r="AG16" s="1978" t="str">
        <f>IF(E16=1,$R$12," ")</f>
        <v xml:space="preserve"> </v>
      </c>
      <c r="AH16" s="1978" t="str">
        <f>IF(F16=1,$S$12," ")</f>
        <v xml:space="preserve"> </v>
      </c>
      <c r="AI16" s="1978" t="str">
        <f>IF(G16=1,$T$12," ")</f>
        <v xml:space="preserve"> </v>
      </c>
    </row>
    <row r="17" spans="1:35" x14ac:dyDescent="0.25">
      <c r="A17" s="2108">
        <v>3</v>
      </c>
      <c r="B17" s="1985" t="str">
        <f t="shared" si="0"/>
        <v>Anggun Dwi P.I</v>
      </c>
      <c r="C17" s="1903"/>
      <c r="D17" s="1903"/>
      <c r="E17" s="1903"/>
      <c r="F17" s="1799"/>
      <c r="G17" s="1799"/>
      <c r="H17" s="1896" t="str">
        <f t="shared" si="1"/>
        <v xml:space="preserve">                      </v>
      </c>
      <c r="L17" s="1972" t="str">
        <f t="shared" ref="L17:L54" si="2">IF(OR(C17=4,D17=4,E17=4,F17=4,G17=4),CONCATENATE("Sangat baik dalam bersikap ",P17,Q17,R17,S17,T17,),CONCATENATE(" ",P17,Q17,R17,S17,T17,))</f>
        <v xml:space="preserve">      </v>
      </c>
      <c r="M17" s="1973" t="str">
        <f t="shared" ref="M17:M54" si="3">IF(OR(C17=3,D17=3,E17=3,F17=3,G17=3),CONCATENATE("Baik dalam bersikap ",U17,V17,W17,X17,Y17,),CONCATENATE(" ",U17,V17,W17,X17,Y17,))</f>
        <v xml:space="preserve">      </v>
      </c>
      <c r="N17" s="1974" t="str">
        <f t="shared" ref="N17:N54" si="4">IF(OR(C17=2,D17=2,E17=2,F17=2,G17=2),CONCATENATE("Dengan bimbingan dan pendampingan yang lebih, akan mampu meningkatkan bersikap ",Z17,AA17,AB17,AC17,AD17,),CONCATENATE(" ",Z17,AA17,AB17,AC17,AD17,))</f>
        <v xml:space="preserve">      </v>
      </c>
      <c r="O17" s="1974" t="str">
        <f t="shared" ref="O17:O54" si="5">IF(OR(C17=1,D17=1,E17=1,F17=1,G17=1),CONCATENATE("perlu bimbingan ",AE17,AF17,AG17,AH17,AI17,),CONCATENATE(" ",Z17,AA17,AB17,AC17,AD17,))</f>
        <v xml:space="preserve">      </v>
      </c>
      <c r="P17" s="1975" t="str">
        <f t="shared" ref="P17:P54" si="6">IF(C17=4,$P$12," ")</f>
        <v xml:space="preserve"> </v>
      </c>
      <c r="Q17" s="1975" t="str">
        <f t="shared" ref="Q17:Q54" si="7">IF(D17=4,$Q$12," ")</f>
        <v xml:space="preserve"> </v>
      </c>
      <c r="R17" s="1975" t="str">
        <f t="shared" ref="R17:R54" si="8">IF(E17=4,$R$12," ")</f>
        <v xml:space="preserve"> </v>
      </c>
      <c r="S17" s="1975" t="str">
        <f t="shared" ref="S17:S54" si="9">IF(F17=4,$S$12," ")</f>
        <v xml:space="preserve"> </v>
      </c>
      <c r="T17" s="1975" t="str">
        <f t="shared" ref="T17:T54" si="10">IF(G17=4,$T$12," ")</f>
        <v xml:space="preserve"> </v>
      </c>
      <c r="U17" s="1976" t="str">
        <f t="shared" ref="U17:U54" si="11">IF(C17=3,$P$12," ")</f>
        <v xml:space="preserve"> </v>
      </c>
      <c r="V17" s="1976" t="str">
        <f t="shared" ref="V17:V54" si="12">IF(D17=3,$Q$12," ")</f>
        <v xml:space="preserve"> </v>
      </c>
      <c r="W17" s="1976" t="str">
        <f t="shared" ref="W17:W54" si="13">IF(E17=3,$R$12," ")</f>
        <v xml:space="preserve"> </v>
      </c>
      <c r="X17" s="1976" t="str">
        <f t="shared" ref="X17:X54" si="14">IF(F17=3,$S$12," ")</f>
        <v xml:space="preserve"> </v>
      </c>
      <c r="Y17" s="1976" t="str">
        <f t="shared" ref="Y17:Y54" si="15">IF(G17=3,$T$12," ")</f>
        <v xml:space="preserve"> </v>
      </c>
      <c r="Z17" s="1977" t="str">
        <f t="shared" ref="Z17:Z54" si="16">IF(C17=2,$P$12," ")</f>
        <v xml:space="preserve"> </v>
      </c>
      <c r="AA17" s="1977" t="str">
        <f t="shared" ref="AA17:AA54" si="17">IF(D17=2,$Q$12," ")</f>
        <v xml:space="preserve"> </v>
      </c>
      <c r="AB17" s="1977" t="str">
        <f t="shared" ref="AB17:AB54" si="18">IF(E17=2,$R$12," ")</f>
        <v xml:space="preserve"> </v>
      </c>
      <c r="AC17" s="1977" t="str">
        <f t="shared" ref="AC17:AC54" si="19">IF(F17=2,$S$12," ")</f>
        <v xml:space="preserve"> </v>
      </c>
      <c r="AD17" s="1977" t="str">
        <f t="shared" ref="AD17:AD54" si="20">IF(G17=2,$T$12," ")</f>
        <v xml:space="preserve"> </v>
      </c>
      <c r="AE17" s="1978" t="str">
        <f t="shared" ref="AE17:AE54" si="21">IF(C17=1,$P$12," ")</f>
        <v xml:space="preserve"> </v>
      </c>
      <c r="AF17" s="1978" t="str">
        <f t="shared" ref="AF17:AF54" si="22">IF(D17=1,$Q$12," ")</f>
        <v xml:space="preserve"> </v>
      </c>
      <c r="AG17" s="1978" t="str">
        <f t="shared" ref="AG17:AG54" si="23">IF(E17=1,$R$12," ")</f>
        <v xml:space="preserve"> </v>
      </c>
      <c r="AH17" s="1978" t="str">
        <f t="shared" ref="AH17:AH54" si="24">IF(F17=1,$S$12," ")</f>
        <v xml:space="preserve"> </v>
      </c>
      <c r="AI17" s="1978" t="str">
        <f t="shared" ref="AI17:AI54" si="25">IF(G17=1,$T$12," ")</f>
        <v xml:space="preserve"> </v>
      </c>
    </row>
    <row r="18" spans="1:35" x14ac:dyDescent="0.25">
      <c r="A18" s="2108">
        <v>4</v>
      </c>
      <c r="B18" s="1985" t="str">
        <f t="shared" si="0"/>
        <v>Antonio Permata A</v>
      </c>
      <c r="C18" s="1903"/>
      <c r="D18" s="1903"/>
      <c r="E18" s="1903"/>
      <c r="F18" s="1799"/>
      <c r="G18" s="1799"/>
      <c r="H18" s="1896" t="str">
        <f t="shared" si="1"/>
        <v xml:space="preserve">                      </v>
      </c>
      <c r="L18" s="1972" t="str">
        <f t="shared" si="2"/>
        <v xml:space="preserve">      </v>
      </c>
      <c r="M18" s="1973" t="str">
        <f t="shared" si="3"/>
        <v xml:space="preserve">      </v>
      </c>
      <c r="N18" s="1974" t="str">
        <f t="shared" si="4"/>
        <v xml:space="preserve">      </v>
      </c>
      <c r="O18" s="1974" t="str">
        <f t="shared" si="5"/>
        <v xml:space="preserve">      </v>
      </c>
      <c r="P18" s="1975" t="str">
        <f t="shared" si="6"/>
        <v xml:space="preserve"> </v>
      </c>
      <c r="Q18" s="1975" t="str">
        <f t="shared" si="7"/>
        <v xml:space="preserve"> </v>
      </c>
      <c r="R18" s="1975" t="str">
        <f t="shared" si="8"/>
        <v xml:space="preserve"> </v>
      </c>
      <c r="S18" s="1975" t="str">
        <f t="shared" si="9"/>
        <v xml:space="preserve"> </v>
      </c>
      <c r="T18" s="1975" t="str">
        <f t="shared" si="10"/>
        <v xml:space="preserve"> </v>
      </c>
      <c r="U18" s="1976" t="str">
        <f t="shared" si="11"/>
        <v xml:space="preserve"> </v>
      </c>
      <c r="V18" s="1976" t="str">
        <f t="shared" si="12"/>
        <v xml:space="preserve"> </v>
      </c>
      <c r="W18" s="1976" t="str">
        <f t="shared" si="13"/>
        <v xml:space="preserve"> </v>
      </c>
      <c r="X18" s="1976" t="str">
        <f t="shared" si="14"/>
        <v xml:space="preserve"> </v>
      </c>
      <c r="Y18" s="1976" t="str">
        <f t="shared" si="15"/>
        <v xml:space="preserve"> </v>
      </c>
      <c r="Z18" s="1977" t="str">
        <f t="shared" si="16"/>
        <v xml:space="preserve"> </v>
      </c>
      <c r="AA18" s="1977" t="str">
        <f t="shared" si="17"/>
        <v xml:space="preserve"> </v>
      </c>
      <c r="AB18" s="1977" t="str">
        <f t="shared" si="18"/>
        <v xml:space="preserve"> </v>
      </c>
      <c r="AC18" s="1977" t="str">
        <f t="shared" si="19"/>
        <v xml:space="preserve"> </v>
      </c>
      <c r="AD18" s="1977" t="str">
        <f t="shared" si="20"/>
        <v xml:space="preserve"> </v>
      </c>
      <c r="AE18" s="1978" t="str">
        <f t="shared" si="21"/>
        <v xml:space="preserve"> </v>
      </c>
      <c r="AF18" s="1978" t="str">
        <f t="shared" si="22"/>
        <v xml:space="preserve"> </v>
      </c>
      <c r="AG18" s="1978" t="str">
        <f t="shared" si="23"/>
        <v xml:space="preserve"> </v>
      </c>
      <c r="AH18" s="1978" t="str">
        <f t="shared" si="24"/>
        <v xml:space="preserve"> </v>
      </c>
      <c r="AI18" s="1978" t="str">
        <f t="shared" si="25"/>
        <v xml:space="preserve"> </v>
      </c>
    </row>
    <row r="19" spans="1:35" x14ac:dyDescent="0.25">
      <c r="A19" s="2108">
        <v>5</v>
      </c>
      <c r="B19" s="1985" t="str">
        <f t="shared" si="0"/>
        <v>Arya Pratama G</v>
      </c>
      <c r="C19" s="1903"/>
      <c r="D19" s="1903"/>
      <c r="E19" s="1903"/>
      <c r="F19" s="1799"/>
      <c r="G19" s="1799"/>
      <c r="H19" s="1896" t="str">
        <f t="shared" si="1"/>
        <v xml:space="preserve">                      </v>
      </c>
      <c r="L19" s="1972" t="str">
        <f t="shared" si="2"/>
        <v xml:space="preserve">      </v>
      </c>
      <c r="M19" s="1973" t="str">
        <f t="shared" si="3"/>
        <v xml:space="preserve">      </v>
      </c>
      <c r="N19" s="1974" t="str">
        <f t="shared" si="4"/>
        <v xml:space="preserve">      </v>
      </c>
      <c r="O19" s="1974" t="str">
        <f t="shared" si="5"/>
        <v xml:space="preserve">      </v>
      </c>
      <c r="P19" s="1975" t="str">
        <f t="shared" si="6"/>
        <v xml:space="preserve"> </v>
      </c>
      <c r="Q19" s="1975" t="str">
        <f t="shared" si="7"/>
        <v xml:space="preserve"> </v>
      </c>
      <c r="R19" s="1975" t="str">
        <f t="shared" si="8"/>
        <v xml:space="preserve"> </v>
      </c>
      <c r="S19" s="1975" t="str">
        <f t="shared" si="9"/>
        <v xml:space="preserve"> </v>
      </c>
      <c r="T19" s="1975" t="str">
        <f t="shared" si="10"/>
        <v xml:space="preserve"> </v>
      </c>
      <c r="U19" s="1976" t="str">
        <f t="shared" si="11"/>
        <v xml:space="preserve"> </v>
      </c>
      <c r="V19" s="1976" t="str">
        <f t="shared" si="12"/>
        <v xml:space="preserve"> </v>
      </c>
      <c r="W19" s="1976" t="str">
        <f t="shared" si="13"/>
        <v xml:space="preserve"> </v>
      </c>
      <c r="X19" s="1976" t="str">
        <f t="shared" si="14"/>
        <v xml:space="preserve"> </v>
      </c>
      <c r="Y19" s="1976" t="str">
        <f t="shared" si="15"/>
        <v xml:space="preserve"> </v>
      </c>
      <c r="Z19" s="1977" t="str">
        <f t="shared" si="16"/>
        <v xml:space="preserve"> </v>
      </c>
      <c r="AA19" s="1977" t="str">
        <f t="shared" si="17"/>
        <v xml:space="preserve"> </v>
      </c>
      <c r="AB19" s="1977" t="str">
        <f t="shared" si="18"/>
        <v xml:space="preserve"> </v>
      </c>
      <c r="AC19" s="1977" t="str">
        <f t="shared" si="19"/>
        <v xml:space="preserve"> </v>
      </c>
      <c r="AD19" s="1977" t="str">
        <f t="shared" si="20"/>
        <v xml:space="preserve"> </v>
      </c>
      <c r="AE19" s="1978" t="str">
        <f t="shared" si="21"/>
        <v xml:space="preserve"> </v>
      </c>
      <c r="AF19" s="1978" t="str">
        <f t="shared" si="22"/>
        <v xml:space="preserve"> </v>
      </c>
      <c r="AG19" s="1978" t="str">
        <f t="shared" si="23"/>
        <v xml:space="preserve"> </v>
      </c>
      <c r="AH19" s="1978" t="str">
        <f t="shared" si="24"/>
        <v xml:space="preserve"> </v>
      </c>
      <c r="AI19" s="1978" t="str">
        <f t="shared" si="25"/>
        <v xml:space="preserve"> </v>
      </c>
    </row>
    <row r="20" spans="1:35" x14ac:dyDescent="0.25">
      <c r="A20" s="2108">
        <v>6</v>
      </c>
      <c r="B20" s="1985" t="str">
        <f t="shared" si="0"/>
        <v>Asyam Hanif Ihsan H</v>
      </c>
      <c r="C20" s="1903"/>
      <c r="D20" s="1903"/>
      <c r="E20" s="1903"/>
      <c r="F20" s="1799"/>
      <c r="G20" s="1799"/>
      <c r="H20" s="1896" t="str">
        <f t="shared" si="1"/>
        <v xml:space="preserve">                      </v>
      </c>
      <c r="L20" s="1972" t="str">
        <f t="shared" si="2"/>
        <v xml:space="preserve">      </v>
      </c>
      <c r="M20" s="1973" t="str">
        <f t="shared" si="3"/>
        <v xml:space="preserve">      </v>
      </c>
      <c r="N20" s="1974" t="str">
        <f t="shared" si="4"/>
        <v xml:space="preserve">      </v>
      </c>
      <c r="O20" s="1974" t="str">
        <f t="shared" si="5"/>
        <v xml:space="preserve">      </v>
      </c>
      <c r="P20" s="1975" t="str">
        <f t="shared" si="6"/>
        <v xml:space="preserve"> </v>
      </c>
      <c r="Q20" s="1975" t="str">
        <f t="shared" si="7"/>
        <v xml:space="preserve"> </v>
      </c>
      <c r="R20" s="1975" t="str">
        <f t="shared" si="8"/>
        <v xml:space="preserve"> </v>
      </c>
      <c r="S20" s="1975" t="str">
        <f t="shared" si="9"/>
        <v xml:space="preserve"> </v>
      </c>
      <c r="T20" s="1975" t="str">
        <f t="shared" si="10"/>
        <v xml:space="preserve"> </v>
      </c>
      <c r="U20" s="1976" t="str">
        <f t="shared" si="11"/>
        <v xml:space="preserve"> </v>
      </c>
      <c r="V20" s="1976" t="str">
        <f t="shared" si="12"/>
        <v xml:space="preserve"> </v>
      </c>
      <c r="W20" s="1976" t="str">
        <f t="shared" si="13"/>
        <v xml:space="preserve"> </v>
      </c>
      <c r="X20" s="1976" t="str">
        <f t="shared" si="14"/>
        <v xml:space="preserve"> </v>
      </c>
      <c r="Y20" s="1976" t="str">
        <f t="shared" si="15"/>
        <v xml:space="preserve"> </v>
      </c>
      <c r="Z20" s="1977" t="str">
        <f t="shared" si="16"/>
        <v xml:space="preserve"> </v>
      </c>
      <c r="AA20" s="1977" t="str">
        <f t="shared" si="17"/>
        <v xml:space="preserve"> </v>
      </c>
      <c r="AB20" s="1977" t="str">
        <f t="shared" si="18"/>
        <v xml:space="preserve"> </v>
      </c>
      <c r="AC20" s="1977" t="str">
        <f t="shared" si="19"/>
        <v xml:space="preserve"> </v>
      </c>
      <c r="AD20" s="1977" t="str">
        <f t="shared" si="20"/>
        <v xml:space="preserve"> </v>
      </c>
      <c r="AE20" s="1978" t="str">
        <f t="shared" si="21"/>
        <v xml:space="preserve"> </v>
      </c>
      <c r="AF20" s="1978" t="str">
        <f t="shared" si="22"/>
        <v xml:space="preserve"> </v>
      </c>
      <c r="AG20" s="1978" t="str">
        <f t="shared" si="23"/>
        <v xml:space="preserve"> </v>
      </c>
      <c r="AH20" s="1978" t="str">
        <f t="shared" si="24"/>
        <v xml:space="preserve"> </v>
      </c>
      <c r="AI20" s="1978" t="str">
        <f t="shared" si="25"/>
        <v xml:space="preserve"> </v>
      </c>
    </row>
    <row r="21" spans="1:35" x14ac:dyDescent="0.25">
      <c r="A21" s="2108">
        <v>7</v>
      </c>
      <c r="B21" s="1985" t="str">
        <f t="shared" si="0"/>
        <v>Athaya Salsabilla Z</v>
      </c>
      <c r="C21" s="1903"/>
      <c r="D21" s="1903"/>
      <c r="E21" s="1903"/>
      <c r="F21" s="1799"/>
      <c r="G21" s="1799"/>
      <c r="H21" s="1896" t="str">
        <f t="shared" si="1"/>
        <v xml:space="preserve">                      </v>
      </c>
      <c r="L21" s="1972" t="str">
        <f t="shared" si="2"/>
        <v xml:space="preserve">      </v>
      </c>
      <c r="M21" s="1973" t="str">
        <f t="shared" si="3"/>
        <v xml:space="preserve">      </v>
      </c>
      <c r="N21" s="1974" t="str">
        <f t="shared" si="4"/>
        <v xml:space="preserve">      </v>
      </c>
      <c r="O21" s="1974" t="str">
        <f t="shared" si="5"/>
        <v xml:space="preserve">      </v>
      </c>
      <c r="P21" s="1975" t="str">
        <f t="shared" si="6"/>
        <v xml:space="preserve"> </v>
      </c>
      <c r="Q21" s="1975" t="str">
        <f t="shared" si="7"/>
        <v xml:space="preserve"> </v>
      </c>
      <c r="R21" s="1975" t="str">
        <f t="shared" si="8"/>
        <v xml:space="preserve"> </v>
      </c>
      <c r="S21" s="1975" t="str">
        <f t="shared" si="9"/>
        <v xml:space="preserve"> </v>
      </c>
      <c r="T21" s="1975" t="str">
        <f t="shared" si="10"/>
        <v xml:space="preserve"> </v>
      </c>
      <c r="U21" s="1976" t="str">
        <f t="shared" si="11"/>
        <v xml:space="preserve"> </v>
      </c>
      <c r="V21" s="1976" t="str">
        <f t="shared" si="12"/>
        <v xml:space="preserve"> </v>
      </c>
      <c r="W21" s="1976" t="str">
        <f t="shared" si="13"/>
        <v xml:space="preserve"> </v>
      </c>
      <c r="X21" s="1976" t="str">
        <f t="shared" si="14"/>
        <v xml:space="preserve"> </v>
      </c>
      <c r="Y21" s="1976" t="str">
        <f t="shared" si="15"/>
        <v xml:space="preserve"> </v>
      </c>
      <c r="Z21" s="1977" t="str">
        <f t="shared" si="16"/>
        <v xml:space="preserve"> </v>
      </c>
      <c r="AA21" s="1977" t="str">
        <f t="shared" si="17"/>
        <v xml:space="preserve"> </v>
      </c>
      <c r="AB21" s="1977" t="str">
        <f t="shared" si="18"/>
        <v xml:space="preserve"> </v>
      </c>
      <c r="AC21" s="1977" t="str">
        <f t="shared" si="19"/>
        <v xml:space="preserve"> </v>
      </c>
      <c r="AD21" s="1977" t="str">
        <f t="shared" si="20"/>
        <v xml:space="preserve"> </v>
      </c>
      <c r="AE21" s="1978" t="str">
        <f t="shared" si="21"/>
        <v xml:space="preserve"> </v>
      </c>
      <c r="AF21" s="1978" t="str">
        <f t="shared" si="22"/>
        <v xml:space="preserve"> </v>
      </c>
      <c r="AG21" s="1978" t="str">
        <f t="shared" si="23"/>
        <v xml:space="preserve"> </v>
      </c>
      <c r="AH21" s="1978" t="str">
        <f t="shared" si="24"/>
        <v xml:space="preserve"> </v>
      </c>
      <c r="AI21" s="1978" t="str">
        <f t="shared" si="25"/>
        <v xml:space="preserve"> </v>
      </c>
    </row>
    <row r="22" spans="1:35" x14ac:dyDescent="0.25">
      <c r="A22" s="2108">
        <v>8</v>
      </c>
      <c r="B22" s="1985" t="str">
        <f t="shared" si="0"/>
        <v>Aulia Dea Rosalinda</v>
      </c>
      <c r="C22" s="1903"/>
      <c r="D22" s="1903"/>
      <c r="E22" s="1903"/>
      <c r="F22" s="1799"/>
      <c r="G22" s="1799"/>
      <c r="H22" s="1896" t="str">
        <f t="shared" si="1"/>
        <v xml:space="preserve">                      </v>
      </c>
      <c r="L22" s="1972" t="str">
        <f t="shared" si="2"/>
        <v xml:space="preserve">      </v>
      </c>
      <c r="M22" s="1973" t="str">
        <f t="shared" si="3"/>
        <v xml:space="preserve">      </v>
      </c>
      <c r="N22" s="1974" t="str">
        <f t="shared" si="4"/>
        <v xml:space="preserve">      </v>
      </c>
      <c r="O22" s="1974" t="str">
        <f t="shared" si="5"/>
        <v xml:space="preserve">      </v>
      </c>
      <c r="P22" s="1975" t="str">
        <f t="shared" si="6"/>
        <v xml:space="preserve"> </v>
      </c>
      <c r="Q22" s="1975" t="str">
        <f t="shared" si="7"/>
        <v xml:space="preserve"> </v>
      </c>
      <c r="R22" s="1975" t="str">
        <f t="shared" si="8"/>
        <v xml:space="preserve"> </v>
      </c>
      <c r="S22" s="1975" t="str">
        <f t="shared" si="9"/>
        <v xml:space="preserve"> </v>
      </c>
      <c r="T22" s="1975" t="str">
        <f t="shared" si="10"/>
        <v xml:space="preserve"> </v>
      </c>
      <c r="U22" s="1976" t="str">
        <f t="shared" si="11"/>
        <v xml:space="preserve"> </v>
      </c>
      <c r="V22" s="1976" t="str">
        <f t="shared" si="12"/>
        <v xml:space="preserve"> </v>
      </c>
      <c r="W22" s="1976" t="str">
        <f t="shared" si="13"/>
        <v xml:space="preserve"> </v>
      </c>
      <c r="X22" s="1976" t="str">
        <f t="shared" si="14"/>
        <v xml:space="preserve"> </v>
      </c>
      <c r="Y22" s="1976" t="str">
        <f t="shared" si="15"/>
        <v xml:space="preserve"> </v>
      </c>
      <c r="Z22" s="1977" t="str">
        <f t="shared" si="16"/>
        <v xml:space="preserve"> </v>
      </c>
      <c r="AA22" s="1977" t="str">
        <f t="shared" si="17"/>
        <v xml:space="preserve"> </v>
      </c>
      <c r="AB22" s="1977" t="str">
        <f t="shared" si="18"/>
        <v xml:space="preserve"> </v>
      </c>
      <c r="AC22" s="1977" t="str">
        <f t="shared" si="19"/>
        <v xml:space="preserve"> </v>
      </c>
      <c r="AD22" s="1977" t="str">
        <f t="shared" si="20"/>
        <v xml:space="preserve"> </v>
      </c>
      <c r="AE22" s="1978" t="str">
        <f t="shared" si="21"/>
        <v xml:space="preserve"> </v>
      </c>
      <c r="AF22" s="1978" t="str">
        <f t="shared" si="22"/>
        <v xml:space="preserve"> </v>
      </c>
      <c r="AG22" s="1978" t="str">
        <f t="shared" si="23"/>
        <v xml:space="preserve"> </v>
      </c>
      <c r="AH22" s="1978" t="str">
        <f t="shared" si="24"/>
        <v xml:space="preserve"> </v>
      </c>
      <c r="AI22" s="1978" t="str">
        <f t="shared" si="25"/>
        <v xml:space="preserve"> </v>
      </c>
    </row>
    <row r="23" spans="1:35" x14ac:dyDescent="0.25">
      <c r="A23" s="2108">
        <v>9</v>
      </c>
      <c r="B23" s="1985" t="str">
        <f t="shared" si="0"/>
        <v>Claudia Gabriella L</v>
      </c>
      <c r="C23" s="1903"/>
      <c r="D23" s="1903"/>
      <c r="E23" s="1903"/>
      <c r="F23" s="1799"/>
      <c r="G23" s="1799"/>
      <c r="H23" s="1896" t="str">
        <f t="shared" si="1"/>
        <v xml:space="preserve">                      </v>
      </c>
      <c r="L23" s="1972" t="str">
        <f t="shared" si="2"/>
        <v xml:space="preserve">      </v>
      </c>
      <c r="M23" s="1973" t="str">
        <f t="shared" si="3"/>
        <v xml:space="preserve">      </v>
      </c>
      <c r="N23" s="1974" t="str">
        <f t="shared" si="4"/>
        <v xml:space="preserve">      </v>
      </c>
      <c r="O23" s="1974" t="str">
        <f t="shared" si="5"/>
        <v xml:space="preserve">      </v>
      </c>
      <c r="P23" s="1975" t="str">
        <f t="shared" si="6"/>
        <v xml:space="preserve"> </v>
      </c>
      <c r="Q23" s="1975" t="str">
        <f t="shared" si="7"/>
        <v xml:space="preserve"> </v>
      </c>
      <c r="R23" s="1975" t="str">
        <f t="shared" si="8"/>
        <v xml:space="preserve"> </v>
      </c>
      <c r="S23" s="1975" t="str">
        <f t="shared" si="9"/>
        <v xml:space="preserve"> </v>
      </c>
      <c r="T23" s="1975" t="str">
        <f t="shared" si="10"/>
        <v xml:space="preserve"> </v>
      </c>
      <c r="U23" s="1976" t="str">
        <f t="shared" si="11"/>
        <v xml:space="preserve"> </v>
      </c>
      <c r="V23" s="1976" t="str">
        <f t="shared" si="12"/>
        <v xml:space="preserve"> </v>
      </c>
      <c r="W23" s="1976" t="str">
        <f t="shared" si="13"/>
        <v xml:space="preserve"> </v>
      </c>
      <c r="X23" s="1976" t="str">
        <f t="shared" si="14"/>
        <v xml:space="preserve"> </v>
      </c>
      <c r="Y23" s="1976" t="str">
        <f t="shared" si="15"/>
        <v xml:space="preserve"> </v>
      </c>
      <c r="Z23" s="1977" t="str">
        <f t="shared" si="16"/>
        <v xml:space="preserve"> </v>
      </c>
      <c r="AA23" s="1977" t="str">
        <f t="shared" si="17"/>
        <v xml:space="preserve"> </v>
      </c>
      <c r="AB23" s="1977" t="str">
        <f t="shared" si="18"/>
        <v xml:space="preserve"> </v>
      </c>
      <c r="AC23" s="1977" t="str">
        <f t="shared" si="19"/>
        <v xml:space="preserve"> </v>
      </c>
      <c r="AD23" s="1977" t="str">
        <f t="shared" si="20"/>
        <v xml:space="preserve"> </v>
      </c>
      <c r="AE23" s="1978" t="str">
        <f t="shared" si="21"/>
        <v xml:space="preserve"> </v>
      </c>
      <c r="AF23" s="1978" t="str">
        <f t="shared" si="22"/>
        <v xml:space="preserve"> </v>
      </c>
      <c r="AG23" s="1978" t="str">
        <f t="shared" si="23"/>
        <v xml:space="preserve"> </v>
      </c>
      <c r="AH23" s="1978" t="str">
        <f t="shared" si="24"/>
        <v xml:space="preserve"> </v>
      </c>
      <c r="AI23" s="1978" t="str">
        <f t="shared" si="25"/>
        <v xml:space="preserve"> </v>
      </c>
    </row>
    <row r="24" spans="1:35" x14ac:dyDescent="0.25">
      <c r="A24" s="2108">
        <v>10</v>
      </c>
      <c r="B24" s="1985" t="str">
        <f t="shared" si="0"/>
        <v xml:space="preserve">Deco Badarus Zaman </v>
      </c>
      <c r="C24" s="1903"/>
      <c r="D24" s="1903"/>
      <c r="E24" s="1903"/>
      <c r="F24" s="1799"/>
      <c r="G24" s="1799"/>
      <c r="H24" s="1896" t="str">
        <f t="shared" si="1"/>
        <v xml:space="preserve">                      </v>
      </c>
      <c r="L24" s="1972" t="str">
        <f t="shared" si="2"/>
        <v xml:space="preserve">      </v>
      </c>
      <c r="M24" s="1973" t="str">
        <f t="shared" si="3"/>
        <v xml:space="preserve">      </v>
      </c>
      <c r="N24" s="1974" t="str">
        <f t="shared" si="4"/>
        <v xml:space="preserve">      </v>
      </c>
      <c r="O24" s="1974" t="str">
        <f t="shared" si="5"/>
        <v xml:space="preserve">      </v>
      </c>
      <c r="P24" s="1975" t="str">
        <f t="shared" si="6"/>
        <v xml:space="preserve"> </v>
      </c>
      <c r="Q24" s="1975" t="str">
        <f t="shared" si="7"/>
        <v xml:space="preserve"> </v>
      </c>
      <c r="R24" s="1975" t="str">
        <f t="shared" si="8"/>
        <v xml:space="preserve"> </v>
      </c>
      <c r="S24" s="1975" t="str">
        <f t="shared" si="9"/>
        <v xml:space="preserve"> </v>
      </c>
      <c r="T24" s="1975" t="str">
        <f t="shared" si="10"/>
        <v xml:space="preserve"> </v>
      </c>
      <c r="U24" s="1976" t="str">
        <f t="shared" si="11"/>
        <v xml:space="preserve"> </v>
      </c>
      <c r="V24" s="1976" t="str">
        <f t="shared" si="12"/>
        <v xml:space="preserve"> </v>
      </c>
      <c r="W24" s="1976" t="str">
        <f t="shared" si="13"/>
        <v xml:space="preserve"> </v>
      </c>
      <c r="X24" s="1976" t="str">
        <f t="shared" si="14"/>
        <v xml:space="preserve"> </v>
      </c>
      <c r="Y24" s="1976" t="str">
        <f t="shared" si="15"/>
        <v xml:space="preserve"> </v>
      </c>
      <c r="Z24" s="1977" t="str">
        <f t="shared" si="16"/>
        <v xml:space="preserve"> </v>
      </c>
      <c r="AA24" s="1977" t="str">
        <f t="shared" si="17"/>
        <v xml:space="preserve"> </v>
      </c>
      <c r="AB24" s="1977" t="str">
        <f t="shared" si="18"/>
        <v xml:space="preserve"> </v>
      </c>
      <c r="AC24" s="1977" t="str">
        <f t="shared" si="19"/>
        <v xml:space="preserve"> </v>
      </c>
      <c r="AD24" s="1977" t="str">
        <f t="shared" si="20"/>
        <v xml:space="preserve"> </v>
      </c>
      <c r="AE24" s="1978" t="str">
        <f t="shared" si="21"/>
        <v xml:space="preserve"> </v>
      </c>
      <c r="AF24" s="1978" t="str">
        <f t="shared" si="22"/>
        <v xml:space="preserve"> </v>
      </c>
      <c r="AG24" s="1978" t="str">
        <f t="shared" si="23"/>
        <v xml:space="preserve"> </v>
      </c>
      <c r="AH24" s="1978" t="str">
        <f t="shared" si="24"/>
        <v xml:space="preserve"> </v>
      </c>
      <c r="AI24" s="1978" t="str">
        <f t="shared" si="25"/>
        <v xml:space="preserve"> </v>
      </c>
    </row>
    <row r="25" spans="1:35" x14ac:dyDescent="0.25">
      <c r="A25" s="2108">
        <v>11</v>
      </c>
      <c r="B25" s="1985" t="str">
        <f t="shared" si="0"/>
        <v>Fania Mutiara Felichia</v>
      </c>
      <c r="C25" s="1903"/>
      <c r="D25" s="1903"/>
      <c r="E25" s="1903"/>
      <c r="F25" s="1799"/>
      <c r="G25" s="1799"/>
      <c r="H25" s="1896" t="str">
        <f t="shared" si="1"/>
        <v xml:space="preserve">                      </v>
      </c>
      <c r="L25" s="1972" t="str">
        <f t="shared" si="2"/>
        <v xml:space="preserve">      </v>
      </c>
      <c r="M25" s="1973" t="str">
        <f t="shared" si="3"/>
        <v xml:space="preserve">      </v>
      </c>
      <c r="N25" s="1974" t="str">
        <f t="shared" si="4"/>
        <v xml:space="preserve">      </v>
      </c>
      <c r="O25" s="1974" t="str">
        <f t="shared" si="5"/>
        <v xml:space="preserve">      </v>
      </c>
      <c r="P25" s="1975" t="str">
        <f t="shared" si="6"/>
        <v xml:space="preserve"> </v>
      </c>
      <c r="Q25" s="1975" t="str">
        <f t="shared" si="7"/>
        <v xml:space="preserve"> </v>
      </c>
      <c r="R25" s="1975" t="str">
        <f t="shared" si="8"/>
        <v xml:space="preserve"> </v>
      </c>
      <c r="S25" s="1975" t="str">
        <f t="shared" si="9"/>
        <v xml:space="preserve"> </v>
      </c>
      <c r="T25" s="1975" t="str">
        <f t="shared" si="10"/>
        <v xml:space="preserve"> </v>
      </c>
      <c r="U25" s="1976" t="str">
        <f t="shared" si="11"/>
        <v xml:space="preserve"> </v>
      </c>
      <c r="V25" s="1976" t="str">
        <f t="shared" si="12"/>
        <v xml:space="preserve"> </v>
      </c>
      <c r="W25" s="1976" t="str">
        <f t="shared" si="13"/>
        <v xml:space="preserve"> </v>
      </c>
      <c r="X25" s="1976" t="str">
        <f t="shared" si="14"/>
        <v xml:space="preserve"> </v>
      </c>
      <c r="Y25" s="1976" t="str">
        <f t="shared" si="15"/>
        <v xml:space="preserve"> </v>
      </c>
      <c r="Z25" s="1977" t="str">
        <f t="shared" si="16"/>
        <v xml:space="preserve"> </v>
      </c>
      <c r="AA25" s="1977" t="str">
        <f t="shared" si="17"/>
        <v xml:space="preserve"> </v>
      </c>
      <c r="AB25" s="1977" t="str">
        <f t="shared" si="18"/>
        <v xml:space="preserve"> </v>
      </c>
      <c r="AC25" s="1977" t="str">
        <f t="shared" si="19"/>
        <v xml:space="preserve"> </v>
      </c>
      <c r="AD25" s="1977" t="str">
        <f t="shared" si="20"/>
        <v xml:space="preserve"> </v>
      </c>
      <c r="AE25" s="1978" t="str">
        <f t="shared" si="21"/>
        <v xml:space="preserve"> </v>
      </c>
      <c r="AF25" s="1978" t="str">
        <f t="shared" si="22"/>
        <v xml:space="preserve"> </v>
      </c>
      <c r="AG25" s="1978" t="str">
        <f t="shared" si="23"/>
        <v xml:space="preserve"> </v>
      </c>
      <c r="AH25" s="1978" t="str">
        <f t="shared" si="24"/>
        <v xml:space="preserve"> </v>
      </c>
      <c r="AI25" s="1978" t="str">
        <f t="shared" si="25"/>
        <v xml:space="preserve"> </v>
      </c>
    </row>
    <row r="26" spans="1:35" x14ac:dyDescent="0.25">
      <c r="A26" s="2108">
        <v>12</v>
      </c>
      <c r="B26" s="1985" t="str">
        <f t="shared" si="0"/>
        <v>Intan Dyah Nowari</v>
      </c>
      <c r="C26" s="1903"/>
      <c r="D26" s="1903"/>
      <c r="E26" s="1903"/>
      <c r="F26" s="1799"/>
      <c r="G26" s="1799"/>
      <c r="H26" s="1896" t="str">
        <f t="shared" si="1"/>
        <v xml:space="preserve">                      </v>
      </c>
      <c r="L26" s="1972" t="str">
        <f t="shared" si="2"/>
        <v xml:space="preserve">      </v>
      </c>
      <c r="M26" s="1973" t="str">
        <f t="shared" si="3"/>
        <v xml:space="preserve">      </v>
      </c>
      <c r="N26" s="1974" t="str">
        <f t="shared" si="4"/>
        <v xml:space="preserve">      </v>
      </c>
      <c r="O26" s="1974" t="str">
        <f t="shared" si="5"/>
        <v xml:space="preserve">      </v>
      </c>
      <c r="P26" s="1975" t="str">
        <f t="shared" si="6"/>
        <v xml:space="preserve"> </v>
      </c>
      <c r="Q26" s="1975" t="str">
        <f t="shared" si="7"/>
        <v xml:space="preserve"> </v>
      </c>
      <c r="R26" s="1975" t="str">
        <f t="shared" si="8"/>
        <v xml:space="preserve"> </v>
      </c>
      <c r="S26" s="1975" t="str">
        <f t="shared" si="9"/>
        <v xml:space="preserve"> </v>
      </c>
      <c r="T26" s="1975" t="str">
        <f t="shared" si="10"/>
        <v xml:space="preserve"> </v>
      </c>
      <c r="U26" s="1976" t="str">
        <f t="shared" si="11"/>
        <v xml:space="preserve"> </v>
      </c>
      <c r="V26" s="1976" t="str">
        <f t="shared" si="12"/>
        <v xml:space="preserve"> </v>
      </c>
      <c r="W26" s="1976" t="str">
        <f t="shared" si="13"/>
        <v xml:space="preserve"> </v>
      </c>
      <c r="X26" s="1976" t="str">
        <f t="shared" si="14"/>
        <v xml:space="preserve"> </v>
      </c>
      <c r="Y26" s="1976" t="str">
        <f t="shared" si="15"/>
        <v xml:space="preserve"> </v>
      </c>
      <c r="Z26" s="1977" t="str">
        <f t="shared" si="16"/>
        <v xml:space="preserve"> </v>
      </c>
      <c r="AA26" s="1977" t="str">
        <f t="shared" si="17"/>
        <v xml:space="preserve"> </v>
      </c>
      <c r="AB26" s="1977" t="str">
        <f t="shared" si="18"/>
        <v xml:space="preserve"> </v>
      </c>
      <c r="AC26" s="1977" t="str">
        <f t="shared" si="19"/>
        <v xml:space="preserve"> </v>
      </c>
      <c r="AD26" s="1977" t="str">
        <f t="shared" si="20"/>
        <v xml:space="preserve"> </v>
      </c>
      <c r="AE26" s="1978" t="str">
        <f t="shared" si="21"/>
        <v xml:space="preserve"> </v>
      </c>
      <c r="AF26" s="1978" t="str">
        <f t="shared" si="22"/>
        <v xml:space="preserve"> </v>
      </c>
      <c r="AG26" s="1978" t="str">
        <f t="shared" si="23"/>
        <v xml:space="preserve"> </v>
      </c>
      <c r="AH26" s="1978" t="str">
        <f t="shared" si="24"/>
        <v xml:space="preserve"> </v>
      </c>
      <c r="AI26" s="1978" t="str">
        <f t="shared" si="25"/>
        <v xml:space="preserve"> </v>
      </c>
    </row>
    <row r="27" spans="1:35" x14ac:dyDescent="0.25">
      <c r="A27" s="2108">
        <v>13</v>
      </c>
      <c r="B27" s="1985" t="str">
        <f t="shared" si="0"/>
        <v>Misyanita Nurfitri S</v>
      </c>
      <c r="C27" s="1903"/>
      <c r="D27" s="1903"/>
      <c r="E27" s="1903"/>
      <c r="F27" s="1799"/>
      <c r="G27" s="1799"/>
      <c r="H27" s="1896" t="str">
        <f t="shared" si="1"/>
        <v xml:space="preserve">                      </v>
      </c>
      <c r="L27" s="1972" t="str">
        <f t="shared" si="2"/>
        <v xml:space="preserve">      </v>
      </c>
      <c r="M27" s="1973" t="str">
        <f t="shared" si="3"/>
        <v xml:space="preserve">      </v>
      </c>
      <c r="N27" s="1974" t="str">
        <f t="shared" si="4"/>
        <v xml:space="preserve">      </v>
      </c>
      <c r="O27" s="1974" t="str">
        <f t="shared" si="5"/>
        <v xml:space="preserve">      </v>
      </c>
      <c r="P27" s="1975" t="str">
        <f t="shared" si="6"/>
        <v xml:space="preserve"> </v>
      </c>
      <c r="Q27" s="1975" t="str">
        <f t="shared" si="7"/>
        <v xml:space="preserve"> </v>
      </c>
      <c r="R27" s="1975" t="str">
        <f t="shared" si="8"/>
        <v xml:space="preserve"> </v>
      </c>
      <c r="S27" s="1975" t="str">
        <f t="shared" si="9"/>
        <v xml:space="preserve"> </v>
      </c>
      <c r="T27" s="1975" t="str">
        <f t="shared" si="10"/>
        <v xml:space="preserve"> </v>
      </c>
      <c r="U27" s="1976" t="str">
        <f t="shared" si="11"/>
        <v xml:space="preserve"> </v>
      </c>
      <c r="V27" s="1976" t="str">
        <f t="shared" si="12"/>
        <v xml:space="preserve"> </v>
      </c>
      <c r="W27" s="1976" t="str">
        <f t="shared" si="13"/>
        <v xml:space="preserve"> </v>
      </c>
      <c r="X27" s="1976" t="str">
        <f t="shared" si="14"/>
        <v xml:space="preserve"> </v>
      </c>
      <c r="Y27" s="1976" t="str">
        <f t="shared" si="15"/>
        <v xml:space="preserve"> </v>
      </c>
      <c r="Z27" s="1977" t="str">
        <f t="shared" si="16"/>
        <v xml:space="preserve"> </v>
      </c>
      <c r="AA27" s="1977" t="str">
        <f t="shared" si="17"/>
        <v xml:space="preserve"> </v>
      </c>
      <c r="AB27" s="1977" t="str">
        <f t="shared" si="18"/>
        <v xml:space="preserve"> </v>
      </c>
      <c r="AC27" s="1977" t="str">
        <f t="shared" si="19"/>
        <v xml:space="preserve"> </v>
      </c>
      <c r="AD27" s="1977" t="str">
        <f t="shared" si="20"/>
        <v xml:space="preserve"> </v>
      </c>
      <c r="AE27" s="1978" t="str">
        <f t="shared" si="21"/>
        <v xml:space="preserve"> </v>
      </c>
      <c r="AF27" s="1978" t="str">
        <f t="shared" si="22"/>
        <v xml:space="preserve"> </v>
      </c>
      <c r="AG27" s="1978" t="str">
        <f t="shared" si="23"/>
        <v xml:space="preserve"> </v>
      </c>
      <c r="AH27" s="1978" t="str">
        <f t="shared" si="24"/>
        <v xml:space="preserve"> </v>
      </c>
      <c r="AI27" s="1978" t="str">
        <f t="shared" si="25"/>
        <v xml:space="preserve"> </v>
      </c>
    </row>
    <row r="28" spans="1:35" x14ac:dyDescent="0.25">
      <c r="A28" s="2108">
        <v>14</v>
      </c>
      <c r="B28" s="1985" t="str">
        <f t="shared" si="0"/>
        <v>Moch Zidane Hita L. U</v>
      </c>
      <c r="C28" s="1903"/>
      <c r="D28" s="1903"/>
      <c r="E28" s="1903"/>
      <c r="F28" s="1799"/>
      <c r="G28" s="1799"/>
      <c r="H28" s="1896" t="str">
        <f t="shared" si="1"/>
        <v xml:space="preserve">                      </v>
      </c>
      <c r="L28" s="1972" t="str">
        <f t="shared" si="2"/>
        <v xml:space="preserve">      </v>
      </c>
      <c r="M28" s="1973" t="str">
        <f t="shared" si="3"/>
        <v xml:space="preserve">      </v>
      </c>
      <c r="N28" s="1974" t="str">
        <f t="shared" si="4"/>
        <v xml:space="preserve">      </v>
      </c>
      <c r="O28" s="1974" t="str">
        <f t="shared" si="5"/>
        <v xml:space="preserve">      </v>
      </c>
      <c r="P28" s="1975" t="str">
        <f t="shared" si="6"/>
        <v xml:space="preserve"> </v>
      </c>
      <c r="Q28" s="1975" t="str">
        <f t="shared" si="7"/>
        <v xml:space="preserve"> </v>
      </c>
      <c r="R28" s="1975" t="str">
        <f t="shared" si="8"/>
        <v xml:space="preserve"> </v>
      </c>
      <c r="S28" s="1975" t="str">
        <f t="shared" si="9"/>
        <v xml:space="preserve"> </v>
      </c>
      <c r="T28" s="1975" t="str">
        <f t="shared" si="10"/>
        <v xml:space="preserve"> </v>
      </c>
      <c r="U28" s="1976" t="str">
        <f t="shared" si="11"/>
        <v xml:space="preserve"> </v>
      </c>
      <c r="V28" s="1976" t="str">
        <f t="shared" si="12"/>
        <v xml:space="preserve"> </v>
      </c>
      <c r="W28" s="1976" t="str">
        <f t="shared" si="13"/>
        <v xml:space="preserve"> </v>
      </c>
      <c r="X28" s="1976" t="str">
        <f t="shared" si="14"/>
        <v xml:space="preserve"> </v>
      </c>
      <c r="Y28" s="1976" t="str">
        <f t="shared" si="15"/>
        <v xml:space="preserve"> </v>
      </c>
      <c r="Z28" s="1977" t="str">
        <f t="shared" si="16"/>
        <v xml:space="preserve"> </v>
      </c>
      <c r="AA28" s="1977" t="str">
        <f t="shared" si="17"/>
        <v xml:space="preserve"> </v>
      </c>
      <c r="AB28" s="1977" t="str">
        <f t="shared" si="18"/>
        <v xml:space="preserve"> </v>
      </c>
      <c r="AC28" s="1977" t="str">
        <f t="shared" si="19"/>
        <v xml:space="preserve"> </v>
      </c>
      <c r="AD28" s="1977" t="str">
        <f t="shared" si="20"/>
        <v xml:space="preserve"> </v>
      </c>
      <c r="AE28" s="1978" t="str">
        <f t="shared" si="21"/>
        <v xml:space="preserve"> </v>
      </c>
      <c r="AF28" s="1978" t="str">
        <f t="shared" si="22"/>
        <v xml:space="preserve"> </v>
      </c>
      <c r="AG28" s="1978" t="str">
        <f t="shared" si="23"/>
        <v xml:space="preserve"> </v>
      </c>
      <c r="AH28" s="1978" t="str">
        <f t="shared" si="24"/>
        <v xml:space="preserve"> </v>
      </c>
      <c r="AI28" s="1978" t="str">
        <f t="shared" si="25"/>
        <v xml:space="preserve"> </v>
      </c>
    </row>
    <row r="29" spans="1:35" x14ac:dyDescent="0.25">
      <c r="A29" s="2108">
        <v>15</v>
      </c>
      <c r="B29" s="1985" t="str">
        <f t="shared" si="0"/>
        <v>Muhammad Ibra Maulana</v>
      </c>
      <c r="C29" s="1903"/>
      <c r="D29" s="1903"/>
      <c r="E29" s="1903"/>
      <c r="F29" s="1799"/>
      <c r="G29" s="1799"/>
      <c r="H29" s="1896" t="str">
        <f t="shared" si="1"/>
        <v xml:space="preserve">                      </v>
      </c>
      <c r="L29" s="1972" t="str">
        <f t="shared" si="2"/>
        <v xml:space="preserve">      </v>
      </c>
      <c r="M29" s="1973" t="str">
        <f t="shared" si="3"/>
        <v xml:space="preserve">      </v>
      </c>
      <c r="N29" s="1974" t="str">
        <f t="shared" si="4"/>
        <v xml:space="preserve">      </v>
      </c>
      <c r="O29" s="1974" t="str">
        <f t="shared" si="5"/>
        <v xml:space="preserve">      </v>
      </c>
      <c r="P29" s="1975" t="str">
        <f t="shared" si="6"/>
        <v xml:space="preserve"> </v>
      </c>
      <c r="Q29" s="1975" t="str">
        <f t="shared" si="7"/>
        <v xml:space="preserve"> </v>
      </c>
      <c r="R29" s="1975" t="str">
        <f t="shared" si="8"/>
        <v xml:space="preserve"> </v>
      </c>
      <c r="S29" s="1975" t="str">
        <f t="shared" si="9"/>
        <v xml:space="preserve"> </v>
      </c>
      <c r="T29" s="1975" t="str">
        <f t="shared" si="10"/>
        <v xml:space="preserve"> </v>
      </c>
      <c r="U29" s="1976" t="str">
        <f t="shared" si="11"/>
        <v xml:space="preserve"> </v>
      </c>
      <c r="V29" s="1976" t="str">
        <f t="shared" si="12"/>
        <v xml:space="preserve"> </v>
      </c>
      <c r="W29" s="1976" t="str">
        <f t="shared" si="13"/>
        <v xml:space="preserve"> </v>
      </c>
      <c r="X29" s="1976" t="str">
        <f t="shared" si="14"/>
        <v xml:space="preserve"> </v>
      </c>
      <c r="Y29" s="1976" t="str">
        <f t="shared" si="15"/>
        <v xml:space="preserve"> </v>
      </c>
      <c r="Z29" s="1977" t="str">
        <f t="shared" si="16"/>
        <v xml:space="preserve"> </v>
      </c>
      <c r="AA29" s="1977" t="str">
        <f t="shared" si="17"/>
        <v xml:space="preserve"> </v>
      </c>
      <c r="AB29" s="1977" t="str">
        <f t="shared" si="18"/>
        <v xml:space="preserve"> </v>
      </c>
      <c r="AC29" s="1977" t="str">
        <f t="shared" si="19"/>
        <v xml:space="preserve"> </v>
      </c>
      <c r="AD29" s="1977" t="str">
        <f t="shared" si="20"/>
        <v xml:space="preserve"> </v>
      </c>
      <c r="AE29" s="1978" t="str">
        <f t="shared" si="21"/>
        <v xml:space="preserve"> </v>
      </c>
      <c r="AF29" s="1978" t="str">
        <f t="shared" si="22"/>
        <v xml:space="preserve"> </v>
      </c>
      <c r="AG29" s="1978" t="str">
        <f t="shared" si="23"/>
        <v xml:space="preserve"> </v>
      </c>
      <c r="AH29" s="1978" t="str">
        <f t="shared" si="24"/>
        <v xml:space="preserve"> </v>
      </c>
      <c r="AI29" s="1978" t="str">
        <f t="shared" si="25"/>
        <v xml:space="preserve"> </v>
      </c>
    </row>
    <row r="30" spans="1:35" x14ac:dyDescent="0.25">
      <c r="A30" s="2108">
        <v>16</v>
      </c>
      <c r="B30" s="1985" t="str">
        <f t="shared" si="0"/>
        <v>Nabilla Shiva Putri</v>
      </c>
      <c r="C30" s="1903"/>
      <c r="D30" s="1903"/>
      <c r="E30" s="1903"/>
      <c r="F30" s="1799"/>
      <c r="G30" s="1799"/>
      <c r="H30" s="1896" t="str">
        <f t="shared" si="1"/>
        <v xml:space="preserve">                      </v>
      </c>
      <c r="L30" s="1972" t="str">
        <f t="shared" si="2"/>
        <v xml:space="preserve">      </v>
      </c>
      <c r="M30" s="1973" t="str">
        <f t="shared" si="3"/>
        <v xml:space="preserve">      </v>
      </c>
      <c r="N30" s="1974" t="str">
        <f t="shared" si="4"/>
        <v xml:space="preserve">      </v>
      </c>
      <c r="O30" s="1974" t="str">
        <f t="shared" si="5"/>
        <v xml:space="preserve">      </v>
      </c>
      <c r="P30" s="1975" t="str">
        <f t="shared" si="6"/>
        <v xml:space="preserve"> </v>
      </c>
      <c r="Q30" s="1975" t="str">
        <f t="shared" si="7"/>
        <v xml:space="preserve"> </v>
      </c>
      <c r="R30" s="1975" t="str">
        <f t="shared" si="8"/>
        <v xml:space="preserve"> </v>
      </c>
      <c r="S30" s="1975" t="str">
        <f t="shared" si="9"/>
        <v xml:space="preserve"> </v>
      </c>
      <c r="T30" s="1975" t="str">
        <f t="shared" si="10"/>
        <v xml:space="preserve"> </v>
      </c>
      <c r="U30" s="1976" t="str">
        <f t="shared" si="11"/>
        <v xml:space="preserve"> </v>
      </c>
      <c r="V30" s="1976" t="str">
        <f t="shared" si="12"/>
        <v xml:space="preserve"> </v>
      </c>
      <c r="W30" s="1976" t="str">
        <f t="shared" si="13"/>
        <v xml:space="preserve"> </v>
      </c>
      <c r="X30" s="1976" t="str">
        <f t="shared" si="14"/>
        <v xml:space="preserve"> </v>
      </c>
      <c r="Y30" s="1976" t="str">
        <f t="shared" si="15"/>
        <v xml:space="preserve"> </v>
      </c>
      <c r="Z30" s="1977" t="str">
        <f t="shared" si="16"/>
        <v xml:space="preserve"> </v>
      </c>
      <c r="AA30" s="1977" t="str">
        <f t="shared" si="17"/>
        <v xml:space="preserve"> </v>
      </c>
      <c r="AB30" s="1977" t="str">
        <f t="shared" si="18"/>
        <v xml:space="preserve"> </v>
      </c>
      <c r="AC30" s="1977" t="str">
        <f t="shared" si="19"/>
        <v xml:space="preserve"> </v>
      </c>
      <c r="AD30" s="1977" t="str">
        <f t="shared" si="20"/>
        <v xml:space="preserve"> </v>
      </c>
      <c r="AE30" s="1978" t="str">
        <f t="shared" si="21"/>
        <v xml:space="preserve"> </v>
      </c>
      <c r="AF30" s="1978" t="str">
        <f t="shared" si="22"/>
        <v xml:space="preserve"> </v>
      </c>
      <c r="AG30" s="1978" t="str">
        <f t="shared" si="23"/>
        <v xml:space="preserve"> </v>
      </c>
      <c r="AH30" s="1978" t="str">
        <f t="shared" si="24"/>
        <v xml:space="preserve"> </v>
      </c>
      <c r="AI30" s="1978" t="str">
        <f t="shared" si="25"/>
        <v xml:space="preserve"> </v>
      </c>
    </row>
    <row r="31" spans="1:35" x14ac:dyDescent="0.25">
      <c r="A31" s="2108">
        <v>17</v>
      </c>
      <c r="B31" s="1985" t="str">
        <f t="shared" si="0"/>
        <v>Naufal Falih F</v>
      </c>
      <c r="C31" s="1903"/>
      <c r="D31" s="1903"/>
      <c r="E31" s="1903"/>
      <c r="F31" s="1799"/>
      <c r="G31" s="1799"/>
      <c r="H31" s="1896" t="str">
        <f t="shared" si="1"/>
        <v xml:space="preserve">                      </v>
      </c>
      <c r="L31" s="1972" t="str">
        <f t="shared" si="2"/>
        <v xml:space="preserve">      </v>
      </c>
      <c r="M31" s="1973" t="str">
        <f t="shared" si="3"/>
        <v xml:space="preserve">      </v>
      </c>
      <c r="N31" s="1974" t="str">
        <f t="shared" si="4"/>
        <v xml:space="preserve">      </v>
      </c>
      <c r="O31" s="1974" t="str">
        <f t="shared" si="5"/>
        <v xml:space="preserve">      </v>
      </c>
      <c r="P31" s="1975" t="str">
        <f t="shared" si="6"/>
        <v xml:space="preserve"> </v>
      </c>
      <c r="Q31" s="1975" t="str">
        <f t="shared" si="7"/>
        <v xml:space="preserve"> </v>
      </c>
      <c r="R31" s="1975" t="str">
        <f t="shared" si="8"/>
        <v xml:space="preserve"> </v>
      </c>
      <c r="S31" s="1975" t="str">
        <f t="shared" si="9"/>
        <v xml:space="preserve"> </v>
      </c>
      <c r="T31" s="1975" t="str">
        <f t="shared" si="10"/>
        <v xml:space="preserve"> </v>
      </c>
      <c r="U31" s="1976" t="str">
        <f t="shared" si="11"/>
        <v xml:space="preserve"> </v>
      </c>
      <c r="V31" s="1976" t="str">
        <f t="shared" si="12"/>
        <v xml:space="preserve"> </v>
      </c>
      <c r="W31" s="1976" t="str">
        <f t="shared" si="13"/>
        <v xml:space="preserve"> </v>
      </c>
      <c r="X31" s="1976" t="str">
        <f t="shared" si="14"/>
        <v xml:space="preserve"> </v>
      </c>
      <c r="Y31" s="1976" t="str">
        <f t="shared" si="15"/>
        <v xml:space="preserve"> </v>
      </c>
      <c r="Z31" s="1977" t="str">
        <f t="shared" si="16"/>
        <v xml:space="preserve"> </v>
      </c>
      <c r="AA31" s="1977" t="str">
        <f t="shared" si="17"/>
        <v xml:space="preserve"> </v>
      </c>
      <c r="AB31" s="1977" t="str">
        <f t="shared" si="18"/>
        <v xml:space="preserve"> </v>
      </c>
      <c r="AC31" s="1977" t="str">
        <f t="shared" si="19"/>
        <v xml:space="preserve"> </v>
      </c>
      <c r="AD31" s="1977" t="str">
        <f t="shared" si="20"/>
        <v xml:space="preserve"> </v>
      </c>
      <c r="AE31" s="1978" t="str">
        <f t="shared" si="21"/>
        <v xml:space="preserve"> </v>
      </c>
      <c r="AF31" s="1978" t="str">
        <f t="shared" si="22"/>
        <v xml:space="preserve"> </v>
      </c>
      <c r="AG31" s="1978" t="str">
        <f t="shared" si="23"/>
        <v xml:space="preserve"> </v>
      </c>
      <c r="AH31" s="1978" t="str">
        <f t="shared" si="24"/>
        <v xml:space="preserve"> </v>
      </c>
      <c r="AI31" s="1978" t="str">
        <f t="shared" si="25"/>
        <v xml:space="preserve"> </v>
      </c>
    </row>
    <row r="32" spans="1:35" x14ac:dyDescent="0.25">
      <c r="A32" s="2108">
        <v>18</v>
      </c>
      <c r="B32" s="1985" t="str">
        <f t="shared" si="0"/>
        <v>Nayla Annora Nobel W</v>
      </c>
      <c r="C32" s="1903"/>
      <c r="D32" s="1903"/>
      <c r="E32" s="1903"/>
      <c r="F32" s="1799"/>
      <c r="G32" s="1799"/>
      <c r="H32" s="1896" t="str">
        <f t="shared" si="1"/>
        <v xml:space="preserve">                      </v>
      </c>
      <c r="L32" s="1972" t="str">
        <f t="shared" si="2"/>
        <v xml:space="preserve">      </v>
      </c>
      <c r="M32" s="1973" t="str">
        <f t="shared" si="3"/>
        <v xml:space="preserve">      </v>
      </c>
      <c r="N32" s="1974" t="str">
        <f t="shared" si="4"/>
        <v xml:space="preserve">      </v>
      </c>
      <c r="O32" s="1974" t="str">
        <f t="shared" si="5"/>
        <v xml:space="preserve">      </v>
      </c>
      <c r="P32" s="1975" t="str">
        <f t="shared" si="6"/>
        <v xml:space="preserve"> </v>
      </c>
      <c r="Q32" s="1975" t="str">
        <f t="shared" si="7"/>
        <v xml:space="preserve"> </v>
      </c>
      <c r="R32" s="1975" t="str">
        <f t="shared" si="8"/>
        <v xml:space="preserve"> </v>
      </c>
      <c r="S32" s="1975" t="str">
        <f t="shared" si="9"/>
        <v xml:space="preserve"> </v>
      </c>
      <c r="T32" s="1975" t="str">
        <f t="shared" si="10"/>
        <v xml:space="preserve"> </v>
      </c>
      <c r="U32" s="1976" t="str">
        <f t="shared" si="11"/>
        <v xml:space="preserve"> </v>
      </c>
      <c r="V32" s="1976" t="str">
        <f t="shared" si="12"/>
        <v xml:space="preserve"> </v>
      </c>
      <c r="W32" s="1976" t="str">
        <f t="shared" si="13"/>
        <v xml:space="preserve"> </v>
      </c>
      <c r="X32" s="1976" t="str">
        <f t="shared" si="14"/>
        <v xml:space="preserve"> </v>
      </c>
      <c r="Y32" s="1976" t="str">
        <f t="shared" si="15"/>
        <v xml:space="preserve"> </v>
      </c>
      <c r="Z32" s="1977" t="str">
        <f t="shared" si="16"/>
        <v xml:space="preserve"> </v>
      </c>
      <c r="AA32" s="1977" t="str">
        <f t="shared" si="17"/>
        <v xml:space="preserve"> </v>
      </c>
      <c r="AB32" s="1977" t="str">
        <f t="shared" si="18"/>
        <v xml:space="preserve"> </v>
      </c>
      <c r="AC32" s="1977" t="str">
        <f t="shared" si="19"/>
        <v xml:space="preserve"> </v>
      </c>
      <c r="AD32" s="1977" t="str">
        <f t="shared" si="20"/>
        <v xml:space="preserve"> </v>
      </c>
      <c r="AE32" s="1978" t="str">
        <f t="shared" si="21"/>
        <v xml:space="preserve"> </v>
      </c>
      <c r="AF32" s="1978" t="str">
        <f t="shared" si="22"/>
        <v xml:space="preserve"> </v>
      </c>
      <c r="AG32" s="1978" t="str">
        <f t="shared" si="23"/>
        <v xml:space="preserve"> </v>
      </c>
      <c r="AH32" s="1978" t="str">
        <f t="shared" si="24"/>
        <v xml:space="preserve"> </v>
      </c>
      <c r="AI32" s="1978" t="str">
        <f t="shared" si="25"/>
        <v xml:space="preserve"> </v>
      </c>
    </row>
    <row r="33" spans="1:35" x14ac:dyDescent="0.25">
      <c r="A33" s="2108">
        <v>19</v>
      </c>
      <c r="B33" s="1985" t="str">
        <f t="shared" si="0"/>
        <v>Raihan Danang P</v>
      </c>
      <c r="C33" s="1903"/>
      <c r="D33" s="1903"/>
      <c r="E33" s="1903"/>
      <c r="F33" s="1799"/>
      <c r="G33" s="1799"/>
      <c r="H33" s="1896" t="str">
        <f t="shared" si="1"/>
        <v xml:space="preserve">                      </v>
      </c>
      <c r="L33" s="1972" t="str">
        <f t="shared" si="2"/>
        <v xml:space="preserve">      </v>
      </c>
      <c r="M33" s="1973" t="str">
        <f t="shared" si="3"/>
        <v xml:space="preserve">      </v>
      </c>
      <c r="N33" s="1974" t="str">
        <f t="shared" si="4"/>
        <v xml:space="preserve">      </v>
      </c>
      <c r="O33" s="1974" t="str">
        <f t="shared" si="5"/>
        <v xml:space="preserve">      </v>
      </c>
      <c r="P33" s="1975" t="str">
        <f t="shared" si="6"/>
        <v xml:space="preserve"> </v>
      </c>
      <c r="Q33" s="1975" t="str">
        <f t="shared" si="7"/>
        <v xml:space="preserve"> </v>
      </c>
      <c r="R33" s="1975" t="str">
        <f t="shared" si="8"/>
        <v xml:space="preserve"> </v>
      </c>
      <c r="S33" s="1975" t="str">
        <f t="shared" si="9"/>
        <v xml:space="preserve"> </v>
      </c>
      <c r="T33" s="1975" t="str">
        <f t="shared" si="10"/>
        <v xml:space="preserve"> </v>
      </c>
      <c r="U33" s="1976" t="str">
        <f t="shared" si="11"/>
        <v xml:space="preserve"> </v>
      </c>
      <c r="V33" s="1976" t="str">
        <f t="shared" si="12"/>
        <v xml:space="preserve"> </v>
      </c>
      <c r="W33" s="1976" t="str">
        <f t="shared" si="13"/>
        <v xml:space="preserve"> </v>
      </c>
      <c r="X33" s="1976" t="str">
        <f t="shared" si="14"/>
        <v xml:space="preserve"> </v>
      </c>
      <c r="Y33" s="1976" t="str">
        <f t="shared" si="15"/>
        <v xml:space="preserve"> </v>
      </c>
      <c r="Z33" s="1977" t="str">
        <f t="shared" si="16"/>
        <v xml:space="preserve"> </v>
      </c>
      <c r="AA33" s="1977" t="str">
        <f t="shared" si="17"/>
        <v xml:space="preserve"> </v>
      </c>
      <c r="AB33" s="1977" t="str">
        <f t="shared" si="18"/>
        <v xml:space="preserve"> </v>
      </c>
      <c r="AC33" s="1977" t="str">
        <f t="shared" si="19"/>
        <v xml:space="preserve"> </v>
      </c>
      <c r="AD33" s="1977" t="str">
        <f t="shared" si="20"/>
        <v xml:space="preserve"> </v>
      </c>
      <c r="AE33" s="1978" t="str">
        <f t="shared" si="21"/>
        <v xml:space="preserve"> </v>
      </c>
      <c r="AF33" s="1978" t="str">
        <f t="shared" si="22"/>
        <v xml:space="preserve"> </v>
      </c>
      <c r="AG33" s="1978" t="str">
        <f t="shared" si="23"/>
        <v xml:space="preserve"> </v>
      </c>
      <c r="AH33" s="1978" t="str">
        <f t="shared" si="24"/>
        <v xml:space="preserve"> </v>
      </c>
      <c r="AI33" s="1978" t="str">
        <f t="shared" si="25"/>
        <v xml:space="preserve"> </v>
      </c>
    </row>
    <row r="34" spans="1:35" x14ac:dyDescent="0.25">
      <c r="A34" s="2108">
        <v>20</v>
      </c>
      <c r="B34" s="1985" t="str">
        <f t="shared" si="0"/>
        <v>Roby Ardiyansyah</v>
      </c>
      <c r="C34" s="1903"/>
      <c r="D34" s="1903"/>
      <c r="E34" s="1903"/>
      <c r="F34" s="1799"/>
      <c r="G34" s="1799"/>
      <c r="H34" s="1896" t="str">
        <f t="shared" si="1"/>
        <v xml:space="preserve">                      </v>
      </c>
      <c r="L34" s="1972" t="str">
        <f t="shared" si="2"/>
        <v xml:space="preserve">      </v>
      </c>
      <c r="M34" s="1973" t="str">
        <f t="shared" si="3"/>
        <v xml:space="preserve">      </v>
      </c>
      <c r="N34" s="1974" t="str">
        <f t="shared" si="4"/>
        <v xml:space="preserve">      </v>
      </c>
      <c r="O34" s="1974" t="str">
        <f t="shared" si="5"/>
        <v xml:space="preserve">      </v>
      </c>
      <c r="P34" s="1975" t="str">
        <f t="shared" si="6"/>
        <v xml:space="preserve"> </v>
      </c>
      <c r="Q34" s="1975" t="str">
        <f t="shared" si="7"/>
        <v xml:space="preserve"> </v>
      </c>
      <c r="R34" s="1975" t="str">
        <f t="shared" si="8"/>
        <v xml:space="preserve"> </v>
      </c>
      <c r="S34" s="1975" t="str">
        <f t="shared" si="9"/>
        <v xml:space="preserve"> </v>
      </c>
      <c r="T34" s="1975" t="str">
        <f t="shared" si="10"/>
        <v xml:space="preserve"> </v>
      </c>
      <c r="U34" s="1976" t="str">
        <f t="shared" si="11"/>
        <v xml:space="preserve"> </v>
      </c>
      <c r="V34" s="1976" t="str">
        <f t="shared" si="12"/>
        <v xml:space="preserve"> </v>
      </c>
      <c r="W34" s="1976" t="str">
        <f t="shared" si="13"/>
        <v xml:space="preserve"> </v>
      </c>
      <c r="X34" s="1976" t="str">
        <f t="shared" si="14"/>
        <v xml:space="preserve"> </v>
      </c>
      <c r="Y34" s="1976" t="str">
        <f t="shared" si="15"/>
        <v xml:space="preserve"> </v>
      </c>
      <c r="Z34" s="1977" t="str">
        <f t="shared" si="16"/>
        <v xml:space="preserve"> </v>
      </c>
      <c r="AA34" s="1977" t="str">
        <f t="shared" si="17"/>
        <v xml:space="preserve"> </v>
      </c>
      <c r="AB34" s="1977" t="str">
        <f t="shared" si="18"/>
        <v xml:space="preserve"> </v>
      </c>
      <c r="AC34" s="1977" t="str">
        <f t="shared" si="19"/>
        <v xml:space="preserve"> </v>
      </c>
      <c r="AD34" s="1977" t="str">
        <f t="shared" si="20"/>
        <v xml:space="preserve"> </v>
      </c>
      <c r="AE34" s="1978" t="str">
        <f t="shared" si="21"/>
        <v xml:space="preserve"> </v>
      </c>
      <c r="AF34" s="1978" t="str">
        <f t="shared" si="22"/>
        <v xml:space="preserve"> </v>
      </c>
      <c r="AG34" s="1978" t="str">
        <f t="shared" si="23"/>
        <v xml:space="preserve"> </v>
      </c>
      <c r="AH34" s="1978" t="str">
        <f t="shared" si="24"/>
        <v xml:space="preserve"> </v>
      </c>
      <c r="AI34" s="1978" t="str">
        <f t="shared" si="25"/>
        <v xml:space="preserve"> </v>
      </c>
    </row>
    <row r="35" spans="1:35" x14ac:dyDescent="0.25">
      <c r="A35" s="2108">
        <v>21</v>
      </c>
      <c r="B35" s="1985" t="str">
        <f t="shared" si="0"/>
        <v>Rojalingga Prana A</v>
      </c>
      <c r="C35" s="1903"/>
      <c r="D35" s="1903"/>
      <c r="E35" s="1903"/>
      <c r="F35" s="1799"/>
      <c r="G35" s="1799"/>
      <c r="H35" s="1896" t="str">
        <f t="shared" si="1"/>
        <v xml:space="preserve">                      </v>
      </c>
      <c r="L35" s="1972" t="str">
        <f t="shared" si="2"/>
        <v xml:space="preserve">      </v>
      </c>
      <c r="M35" s="1973" t="str">
        <f t="shared" si="3"/>
        <v xml:space="preserve">      </v>
      </c>
      <c r="N35" s="1974" t="str">
        <f t="shared" si="4"/>
        <v xml:space="preserve">      </v>
      </c>
      <c r="O35" s="1974" t="str">
        <f t="shared" si="5"/>
        <v xml:space="preserve">      </v>
      </c>
      <c r="P35" s="1975" t="str">
        <f t="shared" si="6"/>
        <v xml:space="preserve"> </v>
      </c>
      <c r="Q35" s="1975" t="str">
        <f t="shared" si="7"/>
        <v xml:space="preserve"> </v>
      </c>
      <c r="R35" s="1975" t="str">
        <f t="shared" si="8"/>
        <v xml:space="preserve"> </v>
      </c>
      <c r="S35" s="1975" t="str">
        <f t="shared" si="9"/>
        <v xml:space="preserve"> </v>
      </c>
      <c r="T35" s="1975" t="str">
        <f t="shared" si="10"/>
        <v xml:space="preserve"> </v>
      </c>
      <c r="U35" s="1976" t="str">
        <f t="shared" si="11"/>
        <v xml:space="preserve"> </v>
      </c>
      <c r="V35" s="1976" t="str">
        <f t="shared" si="12"/>
        <v xml:space="preserve"> </v>
      </c>
      <c r="W35" s="1976" t="str">
        <f t="shared" si="13"/>
        <v xml:space="preserve"> </v>
      </c>
      <c r="X35" s="1976" t="str">
        <f t="shared" si="14"/>
        <v xml:space="preserve"> </v>
      </c>
      <c r="Y35" s="1976" t="str">
        <f t="shared" si="15"/>
        <v xml:space="preserve"> </v>
      </c>
      <c r="Z35" s="1977" t="str">
        <f t="shared" si="16"/>
        <v xml:space="preserve"> </v>
      </c>
      <c r="AA35" s="1977" t="str">
        <f t="shared" si="17"/>
        <v xml:space="preserve"> </v>
      </c>
      <c r="AB35" s="1977" t="str">
        <f t="shared" si="18"/>
        <v xml:space="preserve"> </v>
      </c>
      <c r="AC35" s="1977" t="str">
        <f t="shared" si="19"/>
        <v xml:space="preserve"> </v>
      </c>
      <c r="AD35" s="1977" t="str">
        <f t="shared" si="20"/>
        <v xml:space="preserve"> </v>
      </c>
      <c r="AE35" s="1978" t="str">
        <f t="shared" si="21"/>
        <v xml:space="preserve"> </v>
      </c>
      <c r="AF35" s="1978" t="str">
        <f t="shared" si="22"/>
        <v xml:space="preserve"> </v>
      </c>
      <c r="AG35" s="1978" t="str">
        <f t="shared" si="23"/>
        <v xml:space="preserve"> </v>
      </c>
      <c r="AH35" s="1978" t="str">
        <f t="shared" si="24"/>
        <v xml:space="preserve"> </v>
      </c>
      <c r="AI35" s="1978" t="str">
        <f t="shared" si="25"/>
        <v xml:space="preserve"> </v>
      </c>
    </row>
    <row r="36" spans="1:35" x14ac:dyDescent="0.25">
      <c r="A36" s="2108">
        <v>22</v>
      </c>
      <c r="B36" s="1985" t="str">
        <f t="shared" si="0"/>
        <v>Sally Savista A</v>
      </c>
      <c r="C36" s="1903"/>
      <c r="D36" s="1903"/>
      <c r="E36" s="1903"/>
      <c r="F36" s="1799"/>
      <c r="G36" s="1799"/>
      <c r="H36" s="1896" t="str">
        <f t="shared" si="1"/>
        <v xml:space="preserve">                      </v>
      </c>
      <c r="L36" s="1972" t="str">
        <f t="shared" si="2"/>
        <v xml:space="preserve">      </v>
      </c>
      <c r="M36" s="1973" t="str">
        <f t="shared" si="3"/>
        <v xml:space="preserve">      </v>
      </c>
      <c r="N36" s="1974" t="str">
        <f t="shared" si="4"/>
        <v xml:space="preserve">      </v>
      </c>
      <c r="O36" s="1974" t="str">
        <f t="shared" si="5"/>
        <v xml:space="preserve">      </v>
      </c>
      <c r="P36" s="1975" t="str">
        <f t="shared" si="6"/>
        <v xml:space="preserve"> </v>
      </c>
      <c r="Q36" s="1975" t="str">
        <f t="shared" si="7"/>
        <v xml:space="preserve"> </v>
      </c>
      <c r="R36" s="1975" t="str">
        <f t="shared" si="8"/>
        <v xml:space="preserve"> </v>
      </c>
      <c r="S36" s="1975" t="str">
        <f t="shared" si="9"/>
        <v xml:space="preserve"> </v>
      </c>
      <c r="T36" s="1975" t="str">
        <f t="shared" si="10"/>
        <v xml:space="preserve"> </v>
      </c>
      <c r="U36" s="1976" t="str">
        <f t="shared" si="11"/>
        <v xml:space="preserve"> </v>
      </c>
      <c r="V36" s="1976" t="str">
        <f t="shared" si="12"/>
        <v xml:space="preserve"> </v>
      </c>
      <c r="W36" s="1976" t="str">
        <f t="shared" si="13"/>
        <v xml:space="preserve"> </v>
      </c>
      <c r="X36" s="1976" t="str">
        <f t="shared" si="14"/>
        <v xml:space="preserve"> </v>
      </c>
      <c r="Y36" s="1976" t="str">
        <f t="shared" si="15"/>
        <v xml:space="preserve"> </v>
      </c>
      <c r="Z36" s="1977" t="str">
        <f t="shared" si="16"/>
        <v xml:space="preserve"> </v>
      </c>
      <c r="AA36" s="1977" t="str">
        <f t="shared" si="17"/>
        <v xml:space="preserve"> </v>
      </c>
      <c r="AB36" s="1977" t="str">
        <f t="shared" si="18"/>
        <v xml:space="preserve"> </v>
      </c>
      <c r="AC36" s="1977" t="str">
        <f t="shared" si="19"/>
        <v xml:space="preserve"> </v>
      </c>
      <c r="AD36" s="1977" t="str">
        <f t="shared" si="20"/>
        <v xml:space="preserve"> </v>
      </c>
      <c r="AE36" s="1978" t="str">
        <f t="shared" si="21"/>
        <v xml:space="preserve"> </v>
      </c>
      <c r="AF36" s="1978" t="str">
        <f t="shared" si="22"/>
        <v xml:space="preserve"> </v>
      </c>
      <c r="AG36" s="1978" t="str">
        <f t="shared" si="23"/>
        <v xml:space="preserve"> </v>
      </c>
      <c r="AH36" s="1978" t="str">
        <f t="shared" si="24"/>
        <v xml:space="preserve"> </v>
      </c>
      <c r="AI36" s="1978" t="str">
        <f t="shared" si="25"/>
        <v xml:space="preserve"> </v>
      </c>
    </row>
    <row r="37" spans="1:35" x14ac:dyDescent="0.25">
      <c r="A37" s="2108">
        <v>23</v>
      </c>
      <c r="B37" s="1985" t="str">
        <f t="shared" si="0"/>
        <v xml:space="preserve">Tania Kaori Angelita </v>
      </c>
      <c r="C37" s="1903"/>
      <c r="D37" s="1903"/>
      <c r="E37" s="1903"/>
      <c r="F37" s="1799"/>
      <c r="G37" s="1799"/>
      <c r="H37" s="1896" t="str">
        <f t="shared" si="1"/>
        <v xml:space="preserve">                      </v>
      </c>
      <c r="L37" s="1972" t="str">
        <f t="shared" si="2"/>
        <v xml:space="preserve">      </v>
      </c>
      <c r="M37" s="1973" t="str">
        <f t="shared" si="3"/>
        <v xml:space="preserve">      </v>
      </c>
      <c r="N37" s="1974" t="str">
        <f t="shared" si="4"/>
        <v xml:space="preserve">      </v>
      </c>
      <c r="O37" s="1974" t="str">
        <f t="shared" si="5"/>
        <v xml:space="preserve">      </v>
      </c>
      <c r="P37" s="1975" t="str">
        <f t="shared" si="6"/>
        <v xml:space="preserve"> </v>
      </c>
      <c r="Q37" s="1975" t="str">
        <f t="shared" si="7"/>
        <v xml:space="preserve"> </v>
      </c>
      <c r="R37" s="1975" t="str">
        <f t="shared" si="8"/>
        <v xml:space="preserve"> </v>
      </c>
      <c r="S37" s="1975" t="str">
        <f t="shared" si="9"/>
        <v xml:space="preserve"> </v>
      </c>
      <c r="T37" s="1975" t="str">
        <f t="shared" si="10"/>
        <v xml:space="preserve"> </v>
      </c>
      <c r="U37" s="1976" t="str">
        <f t="shared" si="11"/>
        <v xml:space="preserve"> </v>
      </c>
      <c r="V37" s="1976" t="str">
        <f t="shared" si="12"/>
        <v xml:space="preserve"> </v>
      </c>
      <c r="W37" s="1976" t="str">
        <f t="shared" si="13"/>
        <v xml:space="preserve"> </v>
      </c>
      <c r="X37" s="1976" t="str">
        <f t="shared" si="14"/>
        <v xml:space="preserve"> </v>
      </c>
      <c r="Y37" s="1976" t="str">
        <f t="shared" si="15"/>
        <v xml:space="preserve"> </v>
      </c>
      <c r="Z37" s="1977" t="str">
        <f t="shared" si="16"/>
        <v xml:space="preserve"> </v>
      </c>
      <c r="AA37" s="1977" t="str">
        <f t="shared" si="17"/>
        <v xml:space="preserve"> </v>
      </c>
      <c r="AB37" s="1977" t="str">
        <f t="shared" si="18"/>
        <v xml:space="preserve"> </v>
      </c>
      <c r="AC37" s="1977" t="str">
        <f t="shared" si="19"/>
        <v xml:space="preserve"> </v>
      </c>
      <c r="AD37" s="1977" t="str">
        <f t="shared" si="20"/>
        <v xml:space="preserve"> </v>
      </c>
      <c r="AE37" s="1978" t="str">
        <f t="shared" si="21"/>
        <v xml:space="preserve"> </v>
      </c>
      <c r="AF37" s="1978" t="str">
        <f t="shared" si="22"/>
        <v xml:space="preserve"> </v>
      </c>
      <c r="AG37" s="1978" t="str">
        <f t="shared" si="23"/>
        <v xml:space="preserve"> </v>
      </c>
      <c r="AH37" s="1978" t="str">
        <f t="shared" si="24"/>
        <v xml:space="preserve"> </v>
      </c>
      <c r="AI37" s="1978" t="str">
        <f t="shared" si="25"/>
        <v xml:space="preserve"> </v>
      </c>
    </row>
    <row r="38" spans="1:35" x14ac:dyDescent="0.25">
      <c r="A38" s="2108">
        <v>24</v>
      </c>
      <c r="B38" s="1985" t="str">
        <f t="shared" si="0"/>
        <v>Romzy Oka Ramadhani P</v>
      </c>
      <c r="C38" s="1903"/>
      <c r="D38" s="1903"/>
      <c r="E38" s="1903"/>
      <c r="F38" s="1799"/>
      <c r="G38" s="1799"/>
      <c r="H38" s="1896" t="str">
        <f t="shared" si="1"/>
        <v xml:space="preserve">                      </v>
      </c>
      <c r="L38" s="1972" t="str">
        <f t="shared" si="2"/>
        <v xml:space="preserve">      </v>
      </c>
      <c r="M38" s="1973" t="str">
        <f t="shared" si="3"/>
        <v xml:space="preserve">      </v>
      </c>
      <c r="N38" s="1974" t="str">
        <f t="shared" si="4"/>
        <v xml:space="preserve">      </v>
      </c>
      <c r="O38" s="1974" t="str">
        <f t="shared" si="5"/>
        <v xml:space="preserve">      </v>
      </c>
      <c r="P38" s="1975" t="str">
        <f t="shared" si="6"/>
        <v xml:space="preserve"> </v>
      </c>
      <c r="Q38" s="1975" t="str">
        <f t="shared" si="7"/>
        <v xml:space="preserve"> </v>
      </c>
      <c r="R38" s="1975" t="str">
        <f t="shared" si="8"/>
        <v xml:space="preserve"> </v>
      </c>
      <c r="S38" s="1975" t="str">
        <f t="shared" si="9"/>
        <v xml:space="preserve"> </v>
      </c>
      <c r="T38" s="1975" t="str">
        <f t="shared" si="10"/>
        <v xml:space="preserve"> </v>
      </c>
      <c r="U38" s="1976" t="str">
        <f t="shared" si="11"/>
        <v xml:space="preserve"> </v>
      </c>
      <c r="V38" s="1976" t="str">
        <f t="shared" si="12"/>
        <v xml:space="preserve"> </v>
      </c>
      <c r="W38" s="1976" t="str">
        <f t="shared" si="13"/>
        <v xml:space="preserve"> </v>
      </c>
      <c r="X38" s="1976" t="str">
        <f t="shared" si="14"/>
        <v xml:space="preserve"> </v>
      </c>
      <c r="Y38" s="1976" t="str">
        <f t="shared" si="15"/>
        <v xml:space="preserve"> </v>
      </c>
      <c r="Z38" s="1977" t="str">
        <f t="shared" si="16"/>
        <v xml:space="preserve"> </v>
      </c>
      <c r="AA38" s="1977" t="str">
        <f t="shared" si="17"/>
        <v xml:space="preserve"> </v>
      </c>
      <c r="AB38" s="1977" t="str">
        <f t="shared" si="18"/>
        <v xml:space="preserve"> </v>
      </c>
      <c r="AC38" s="1977" t="str">
        <f t="shared" si="19"/>
        <v xml:space="preserve"> </v>
      </c>
      <c r="AD38" s="1977" t="str">
        <f t="shared" si="20"/>
        <v xml:space="preserve"> </v>
      </c>
      <c r="AE38" s="1978" t="str">
        <f t="shared" si="21"/>
        <v xml:space="preserve"> </v>
      </c>
      <c r="AF38" s="1978" t="str">
        <f t="shared" si="22"/>
        <v xml:space="preserve"> </v>
      </c>
      <c r="AG38" s="1978" t="str">
        <f t="shared" si="23"/>
        <v xml:space="preserve"> </v>
      </c>
      <c r="AH38" s="1978" t="str">
        <f t="shared" si="24"/>
        <v xml:space="preserve"> </v>
      </c>
      <c r="AI38" s="1978" t="str">
        <f t="shared" si="25"/>
        <v xml:space="preserve"> </v>
      </c>
    </row>
    <row r="39" spans="1:35" x14ac:dyDescent="0.25">
      <c r="A39" s="2108">
        <v>25</v>
      </c>
      <c r="B39" s="1985" t="str">
        <f t="shared" si="0"/>
        <v>Larasati Jagadhita P</v>
      </c>
      <c r="C39" s="1903"/>
      <c r="D39" s="1903"/>
      <c r="E39" s="1903"/>
      <c r="F39" s="1799"/>
      <c r="G39" s="1799"/>
      <c r="H39" s="1896" t="str">
        <f t="shared" si="1"/>
        <v xml:space="preserve">                      </v>
      </c>
      <c r="L39" s="1972" t="str">
        <f t="shared" si="2"/>
        <v xml:space="preserve">      </v>
      </c>
      <c r="M39" s="1973" t="str">
        <f t="shared" si="3"/>
        <v xml:space="preserve">      </v>
      </c>
      <c r="N39" s="1974" t="str">
        <f t="shared" si="4"/>
        <v xml:space="preserve">      </v>
      </c>
      <c r="O39" s="1974" t="str">
        <f t="shared" si="5"/>
        <v xml:space="preserve">      </v>
      </c>
      <c r="P39" s="1975" t="str">
        <f t="shared" si="6"/>
        <v xml:space="preserve"> </v>
      </c>
      <c r="Q39" s="1975" t="str">
        <f t="shared" si="7"/>
        <v xml:space="preserve"> </v>
      </c>
      <c r="R39" s="1975" t="str">
        <f t="shared" si="8"/>
        <v xml:space="preserve"> </v>
      </c>
      <c r="S39" s="1975" t="str">
        <f t="shared" si="9"/>
        <v xml:space="preserve"> </v>
      </c>
      <c r="T39" s="1975" t="str">
        <f t="shared" si="10"/>
        <v xml:space="preserve"> </v>
      </c>
      <c r="U39" s="1976" t="str">
        <f t="shared" si="11"/>
        <v xml:space="preserve"> </v>
      </c>
      <c r="V39" s="1976" t="str">
        <f t="shared" si="12"/>
        <v xml:space="preserve"> </v>
      </c>
      <c r="W39" s="1976" t="str">
        <f t="shared" si="13"/>
        <v xml:space="preserve"> </v>
      </c>
      <c r="X39" s="1976" t="str">
        <f t="shared" si="14"/>
        <v xml:space="preserve"> </v>
      </c>
      <c r="Y39" s="1976" t="str">
        <f t="shared" si="15"/>
        <v xml:space="preserve"> </v>
      </c>
      <c r="Z39" s="1977" t="str">
        <f t="shared" si="16"/>
        <v xml:space="preserve"> </v>
      </c>
      <c r="AA39" s="1977" t="str">
        <f t="shared" si="17"/>
        <v xml:space="preserve"> </v>
      </c>
      <c r="AB39" s="1977" t="str">
        <f t="shared" si="18"/>
        <v xml:space="preserve"> </v>
      </c>
      <c r="AC39" s="1977" t="str">
        <f t="shared" si="19"/>
        <v xml:space="preserve"> </v>
      </c>
      <c r="AD39" s="1977" t="str">
        <f t="shared" si="20"/>
        <v xml:space="preserve"> </v>
      </c>
      <c r="AE39" s="1978" t="str">
        <f t="shared" si="21"/>
        <v xml:space="preserve"> </v>
      </c>
      <c r="AF39" s="1978" t="str">
        <f t="shared" si="22"/>
        <v xml:space="preserve"> </v>
      </c>
      <c r="AG39" s="1978" t="str">
        <f t="shared" si="23"/>
        <v xml:space="preserve"> </v>
      </c>
      <c r="AH39" s="1978" t="str">
        <f t="shared" si="24"/>
        <v xml:space="preserve"> </v>
      </c>
      <c r="AI39" s="1978" t="str">
        <f t="shared" si="25"/>
        <v xml:space="preserve"> </v>
      </c>
    </row>
    <row r="40" spans="1:35" x14ac:dyDescent="0.25">
      <c r="A40" s="2108">
        <v>26</v>
      </c>
      <c r="B40" s="1985" t="str">
        <f t="shared" si="0"/>
        <v>Meliana Citra A</v>
      </c>
      <c r="C40" s="1903"/>
      <c r="D40" s="1903"/>
      <c r="E40" s="1903"/>
      <c r="F40" s="1799"/>
      <c r="G40" s="1799"/>
      <c r="H40" s="1896" t="str">
        <f t="shared" si="1"/>
        <v xml:space="preserve">                      </v>
      </c>
      <c r="L40" s="1972" t="str">
        <f t="shared" si="2"/>
        <v xml:space="preserve">      </v>
      </c>
      <c r="M40" s="1973" t="str">
        <f t="shared" si="3"/>
        <v xml:space="preserve">      </v>
      </c>
      <c r="N40" s="1974" t="str">
        <f t="shared" si="4"/>
        <v xml:space="preserve">      </v>
      </c>
      <c r="O40" s="1974" t="str">
        <f t="shared" si="5"/>
        <v xml:space="preserve">      </v>
      </c>
      <c r="P40" s="1975" t="str">
        <f t="shared" si="6"/>
        <v xml:space="preserve"> </v>
      </c>
      <c r="Q40" s="1975" t="str">
        <f t="shared" si="7"/>
        <v xml:space="preserve"> </v>
      </c>
      <c r="R40" s="1975" t="str">
        <f t="shared" si="8"/>
        <v xml:space="preserve"> </v>
      </c>
      <c r="S40" s="1975" t="str">
        <f t="shared" si="9"/>
        <v xml:space="preserve"> </v>
      </c>
      <c r="T40" s="1975" t="str">
        <f t="shared" si="10"/>
        <v xml:space="preserve"> </v>
      </c>
      <c r="U40" s="1976" t="str">
        <f t="shared" si="11"/>
        <v xml:space="preserve"> </v>
      </c>
      <c r="V40" s="1976" t="str">
        <f t="shared" si="12"/>
        <v xml:space="preserve"> </v>
      </c>
      <c r="W40" s="1976" t="str">
        <f t="shared" si="13"/>
        <v xml:space="preserve"> </v>
      </c>
      <c r="X40" s="1976" t="str">
        <f t="shared" si="14"/>
        <v xml:space="preserve"> </v>
      </c>
      <c r="Y40" s="1976" t="str">
        <f t="shared" si="15"/>
        <v xml:space="preserve"> </v>
      </c>
      <c r="Z40" s="1977" t="str">
        <f t="shared" si="16"/>
        <v xml:space="preserve"> </v>
      </c>
      <c r="AA40" s="1977" t="str">
        <f t="shared" si="17"/>
        <v xml:space="preserve"> </v>
      </c>
      <c r="AB40" s="1977" t="str">
        <f t="shared" si="18"/>
        <v xml:space="preserve"> </v>
      </c>
      <c r="AC40" s="1977" t="str">
        <f t="shared" si="19"/>
        <v xml:space="preserve"> </v>
      </c>
      <c r="AD40" s="1977" t="str">
        <f t="shared" si="20"/>
        <v xml:space="preserve"> </v>
      </c>
      <c r="AE40" s="1978" t="str">
        <f t="shared" si="21"/>
        <v xml:space="preserve"> </v>
      </c>
      <c r="AF40" s="1978" t="str">
        <f t="shared" si="22"/>
        <v xml:space="preserve"> </v>
      </c>
      <c r="AG40" s="1978" t="str">
        <f t="shared" si="23"/>
        <v xml:space="preserve"> </v>
      </c>
      <c r="AH40" s="1978" t="str">
        <f t="shared" si="24"/>
        <v xml:space="preserve"> </v>
      </c>
      <c r="AI40" s="1978" t="str">
        <f t="shared" si="25"/>
        <v xml:space="preserve"> </v>
      </c>
    </row>
    <row r="41" spans="1:35" x14ac:dyDescent="0.25">
      <c r="A41" s="2108">
        <v>27</v>
      </c>
      <c r="B41" s="1985">
        <f t="shared" si="0"/>
        <v>0</v>
      </c>
      <c r="C41" s="1903"/>
      <c r="D41" s="1903"/>
      <c r="E41" s="1903"/>
      <c r="F41" s="1799"/>
      <c r="G41" s="1799"/>
      <c r="H41" s="1896" t="str">
        <f t="shared" si="1"/>
        <v xml:space="preserve">                      </v>
      </c>
      <c r="L41" s="1972" t="str">
        <f t="shared" si="2"/>
        <v xml:space="preserve">      </v>
      </c>
      <c r="M41" s="1973" t="str">
        <f t="shared" si="3"/>
        <v xml:space="preserve">      </v>
      </c>
      <c r="N41" s="1974" t="str">
        <f t="shared" si="4"/>
        <v xml:space="preserve">      </v>
      </c>
      <c r="O41" s="1974" t="str">
        <f t="shared" si="5"/>
        <v xml:space="preserve">      </v>
      </c>
      <c r="P41" s="1975" t="str">
        <f t="shared" si="6"/>
        <v xml:space="preserve"> </v>
      </c>
      <c r="Q41" s="1975" t="str">
        <f t="shared" si="7"/>
        <v xml:space="preserve"> </v>
      </c>
      <c r="R41" s="1975" t="str">
        <f t="shared" si="8"/>
        <v xml:space="preserve"> </v>
      </c>
      <c r="S41" s="1975" t="str">
        <f t="shared" si="9"/>
        <v xml:space="preserve"> </v>
      </c>
      <c r="T41" s="1975" t="str">
        <f t="shared" si="10"/>
        <v xml:space="preserve"> </v>
      </c>
      <c r="U41" s="1976" t="str">
        <f t="shared" si="11"/>
        <v xml:space="preserve"> </v>
      </c>
      <c r="V41" s="1976" t="str">
        <f t="shared" si="12"/>
        <v xml:space="preserve"> </v>
      </c>
      <c r="W41" s="1976" t="str">
        <f t="shared" si="13"/>
        <v xml:space="preserve"> </v>
      </c>
      <c r="X41" s="1976" t="str">
        <f t="shared" si="14"/>
        <v xml:space="preserve"> </v>
      </c>
      <c r="Y41" s="1976" t="str">
        <f t="shared" si="15"/>
        <v xml:space="preserve"> </v>
      </c>
      <c r="Z41" s="1977" t="str">
        <f t="shared" si="16"/>
        <v xml:space="preserve"> </v>
      </c>
      <c r="AA41" s="1977" t="str">
        <f t="shared" si="17"/>
        <v xml:space="preserve"> </v>
      </c>
      <c r="AB41" s="1977" t="str">
        <f t="shared" si="18"/>
        <v xml:space="preserve"> </v>
      </c>
      <c r="AC41" s="1977" t="str">
        <f t="shared" si="19"/>
        <v xml:space="preserve"> </v>
      </c>
      <c r="AD41" s="1977" t="str">
        <f t="shared" si="20"/>
        <v xml:space="preserve"> </v>
      </c>
      <c r="AE41" s="1978" t="str">
        <f t="shared" si="21"/>
        <v xml:space="preserve"> </v>
      </c>
      <c r="AF41" s="1978" t="str">
        <f t="shared" si="22"/>
        <v xml:space="preserve"> </v>
      </c>
      <c r="AG41" s="1978" t="str">
        <f t="shared" si="23"/>
        <v xml:space="preserve"> </v>
      </c>
      <c r="AH41" s="1978" t="str">
        <f t="shared" si="24"/>
        <v xml:space="preserve"> </v>
      </c>
      <c r="AI41" s="1978" t="str">
        <f t="shared" si="25"/>
        <v xml:space="preserve"> </v>
      </c>
    </row>
    <row r="42" spans="1:35" x14ac:dyDescent="0.25">
      <c r="A42" s="2108">
        <v>28</v>
      </c>
      <c r="B42" s="1985">
        <f t="shared" si="0"/>
        <v>0</v>
      </c>
      <c r="C42" s="1903"/>
      <c r="D42" s="1903"/>
      <c r="E42" s="1903"/>
      <c r="F42" s="1799"/>
      <c r="G42" s="1799"/>
      <c r="H42" s="1896" t="str">
        <f t="shared" si="1"/>
        <v xml:space="preserve">                      </v>
      </c>
      <c r="L42" s="1972" t="str">
        <f t="shared" si="2"/>
        <v xml:space="preserve">      </v>
      </c>
      <c r="M42" s="1973" t="str">
        <f t="shared" si="3"/>
        <v xml:space="preserve">      </v>
      </c>
      <c r="N42" s="1974" t="str">
        <f t="shared" si="4"/>
        <v xml:space="preserve">      </v>
      </c>
      <c r="O42" s="1974" t="str">
        <f t="shared" si="5"/>
        <v xml:space="preserve">      </v>
      </c>
      <c r="P42" s="1975" t="str">
        <f t="shared" si="6"/>
        <v xml:space="preserve"> </v>
      </c>
      <c r="Q42" s="1975" t="str">
        <f t="shared" si="7"/>
        <v xml:space="preserve"> </v>
      </c>
      <c r="R42" s="1975" t="str">
        <f t="shared" si="8"/>
        <v xml:space="preserve"> </v>
      </c>
      <c r="S42" s="1975" t="str">
        <f t="shared" si="9"/>
        <v xml:space="preserve"> </v>
      </c>
      <c r="T42" s="1975" t="str">
        <f t="shared" si="10"/>
        <v xml:space="preserve"> </v>
      </c>
      <c r="U42" s="1976" t="str">
        <f t="shared" si="11"/>
        <v xml:space="preserve"> </v>
      </c>
      <c r="V42" s="1976" t="str">
        <f t="shared" si="12"/>
        <v xml:space="preserve"> </v>
      </c>
      <c r="W42" s="1976" t="str">
        <f t="shared" si="13"/>
        <v xml:space="preserve"> </v>
      </c>
      <c r="X42" s="1976" t="str">
        <f t="shared" si="14"/>
        <v xml:space="preserve"> </v>
      </c>
      <c r="Y42" s="1976" t="str">
        <f t="shared" si="15"/>
        <v xml:space="preserve"> </v>
      </c>
      <c r="Z42" s="1977" t="str">
        <f t="shared" si="16"/>
        <v xml:space="preserve"> </v>
      </c>
      <c r="AA42" s="1977" t="str">
        <f t="shared" si="17"/>
        <v xml:space="preserve"> </v>
      </c>
      <c r="AB42" s="1977" t="str">
        <f t="shared" si="18"/>
        <v xml:space="preserve"> </v>
      </c>
      <c r="AC42" s="1977" t="str">
        <f t="shared" si="19"/>
        <v xml:space="preserve"> </v>
      </c>
      <c r="AD42" s="1977" t="str">
        <f t="shared" si="20"/>
        <v xml:space="preserve"> </v>
      </c>
      <c r="AE42" s="1978" t="str">
        <f t="shared" si="21"/>
        <v xml:space="preserve"> </v>
      </c>
      <c r="AF42" s="1978" t="str">
        <f t="shared" si="22"/>
        <v xml:space="preserve"> </v>
      </c>
      <c r="AG42" s="1978" t="str">
        <f t="shared" si="23"/>
        <v xml:space="preserve"> </v>
      </c>
      <c r="AH42" s="1978" t="str">
        <f t="shared" si="24"/>
        <v xml:space="preserve"> </v>
      </c>
      <c r="AI42" s="1978" t="str">
        <f t="shared" si="25"/>
        <v xml:space="preserve"> </v>
      </c>
    </row>
    <row r="43" spans="1:35" x14ac:dyDescent="0.25">
      <c r="A43" s="2108">
        <v>29</v>
      </c>
      <c r="B43" s="1985">
        <f t="shared" si="0"/>
        <v>0</v>
      </c>
      <c r="C43" s="1903"/>
      <c r="D43" s="1903"/>
      <c r="E43" s="1903"/>
      <c r="F43" s="1799"/>
      <c r="G43" s="1799"/>
      <c r="H43" s="1896" t="str">
        <f t="shared" si="1"/>
        <v xml:space="preserve">                      </v>
      </c>
      <c r="L43" s="1972" t="str">
        <f t="shared" si="2"/>
        <v xml:space="preserve">      </v>
      </c>
      <c r="M43" s="1973" t="str">
        <f t="shared" si="3"/>
        <v xml:space="preserve">      </v>
      </c>
      <c r="N43" s="1974" t="str">
        <f t="shared" si="4"/>
        <v xml:space="preserve">      </v>
      </c>
      <c r="O43" s="1974" t="str">
        <f t="shared" si="5"/>
        <v xml:space="preserve">      </v>
      </c>
      <c r="P43" s="1975" t="str">
        <f t="shared" si="6"/>
        <v xml:space="preserve"> </v>
      </c>
      <c r="Q43" s="1975" t="str">
        <f t="shared" si="7"/>
        <v xml:space="preserve"> </v>
      </c>
      <c r="R43" s="1975" t="str">
        <f t="shared" si="8"/>
        <v xml:space="preserve"> </v>
      </c>
      <c r="S43" s="1975" t="str">
        <f t="shared" si="9"/>
        <v xml:space="preserve"> </v>
      </c>
      <c r="T43" s="1975" t="str">
        <f t="shared" si="10"/>
        <v xml:space="preserve"> </v>
      </c>
      <c r="U43" s="1976" t="str">
        <f t="shared" si="11"/>
        <v xml:space="preserve"> </v>
      </c>
      <c r="V43" s="1976" t="str">
        <f t="shared" si="12"/>
        <v xml:space="preserve"> </v>
      </c>
      <c r="W43" s="1976" t="str">
        <f t="shared" si="13"/>
        <v xml:space="preserve"> </v>
      </c>
      <c r="X43" s="1976" t="str">
        <f t="shared" si="14"/>
        <v xml:space="preserve"> </v>
      </c>
      <c r="Y43" s="1976" t="str">
        <f t="shared" si="15"/>
        <v xml:space="preserve"> </v>
      </c>
      <c r="Z43" s="1977" t="str">
        <f t="shared" si="16"/>
        <v xml:space="preserve"> </v>
      </c>
      <c r="AA43" s="1977" t="str">
        <f t="shared" si="17"/>
        <v xml:space="preserve"> </v>
      </c>
      <c r="AB43" s="1977" t="str">
        <f t="shared" si="18"/>
        <v xml:space="preserve"> </v>
      </c>
      <c r="AC43" s="1977" t="str">
        <f t="shared" si="19"/>
        <v xml:space="preserve"> </v>
      </c>
      <c r="AD43" s="1977" t="str">
        <f t="shared" si="20"/>
        <v xml:space="preserve"> </v>
      </c>
      <c r="AE43" s="1978" t="str">
        <f t="shared" si="21"/>
        <v xml:space="preserve"> </v>
      </c>
      <c r="AF43" s="1978" t="str">
        <f t="shared" si="22"/>
        <v xml:space="preserve"> </v>
      </c>
      <c r="AG43" s="1978" t="str">
        <f t="shared" si="23"/>
        <v xml:space="preserve"> </v>
      </c>
      <c r="AH43" s="1978" t="str">
        <f t="shared" si="24"/>
        <v xml:space="preserve"> </v>
      </c>
      <c r="AI43" s="1978" t="str">
        <f t="shared" si="25"/>
        <v xml:space="preserve"> </v>
      </c>
    </row>
    <row r="44" spans="1:35" x14ac:dyDescent="0.25">
      <c r="A44" s="2108">
        <v>30</v>
      </c>
      <c r="B44" s="1985">
        <f t="shared" si="0"/>
        <v>0</v>
      </c>
      <c r="C44" s="1903"/>
      <c r="D44" s="1903"/>
      <c r="E44" s="1903"/>
      <c r="F44" s="1799"/>
      <c r="G44" s="1799"/>
      <c r="H44" s="1896" t="str">
        <f t="shared" si="1"/>
        <v xml:space="preserve">                      </v>
      </c>
      <c r="L44" s="1972" t="str">
        <f t="shared" si="2"/>
        <v xml:space="preserve">      </v>
      </c>
      <c r="M44" s="1973" t="str">
        <f t="shared" si="3"/>
        <v xml:space="preserve">      </v>
      </c>
      <c r="N44" s="1974" t="str">
        <f t="shared" si="4"/>
        <v xml:space="preserve">      </v>
      </c>
      <c r="O44" s="1974" t="str">
        <f t="shared" si="5"/>
        <v xml:space="preserve">      </v>
      </c>
      <c r="P44" s="1975" t="str">
        <f t="shared" si="6"/>
        <v xml:space="preserve"> </v>
      </c>
      <c r="Q44" s="1975" t="str">
        <f t="shared" si="7"/>
        <v xml:space="preserve"> </v>
      </c>
      <c r="R44" s="1975" t="str">
        <f t="shared" si="8"/>
        <v xml:space="preserve"> </v>
      </c>
      <c r="S44" s="1975" t="str">
        <f t="shared" si="9"/>
        <v xml:space="preserve"> </v>
      </c>
      <c r="T44" s="1975" t="str">
        <f t="shared" si="10"/>
        <v xml:space="preserve"> </v>
      </c>
      <c r="U44" s="1976" t="str">
        <f t="shared" si="11"/>
        <v xml:space="preserve"> </v>
      </c>
      <c r="V44" s="1976" t="str">
        <f t="shared" si="12"/>
        <v xml:space="preserve"> </v>
      </c>
      <c r="W44" s="1976" t="str">
        <f t="shared" si="13"/>
        <v xml:space="preserve"> </v>
      </c>
      <c r="X44" s="1976" t="str">
        <f t="shared" si="14"/>
        <v xml:space="preserve"> </v>
      </c>
      <c r="Y44" s="1976" t="str">
        <f t="shared" si="15"/>
        <v xml:space="preserve"> </v>
      </c>
      <c r="Z44" s="1977" t="str">
        <f t="shared" si="16"/>
        <v xml:space="preserve"> </v>
      </c>
      <c r="AA44" s="1977" t="str">
        <f t="shared" si="17"/>
        <v xml:space="preserve"> </v>
      </c>
      <c r="AB44" s="1977" t="str">
        <f t="shared" si="18"/>
        <v xml:space="preserve"> </v>
      </c>
      <c r="AC44" s="1977" t="str">
        <f t="shared" si="19"/>
        <v xml:space="preserve"> </v>
      </c>
      <c r="AD44" s="1977" t="str">
        <f t="shared" si="20"/>
        <v xml:space="preserve"> </v>
      </c>
      <c r="AE44" s="1978" t="str">
        <f t="shared" si="21"/>
        <v xml:space="preserve"> </v>
      </c>
      <c r="AF44" s="1978" t="str">
        <f t="shared" si="22"/>
        <v xml:space="preserve"> </v>
      </c>
      <c r="AG44" s="1978" t="str">
        <f t="shared" si="23"/>
        <v xml:space="preserve"> </v>
      </c>
      <c r="AH44" s="1978" t="str">
        <f t="shared" si="24"/>
        <v xml:space="preserve"> </v>
      </c>
      <c r="AI44" s="1978" t="str">
        <f t="shared" si="25"/>
        <v xml:space="preserve"> </v>
      </c>
    </row>
    <row r="45" spans="1:35" x14ac:dyDescent="0.25">
      <c r="A45" s="2108">
        <v>31</v>
      </c>
      <c r="B45" s="1985">
        <f t="shared" si="0"/>
        <v>0</v>
      </c>
      <c r="C45" s="1903"/>
      <c r="D45" s="1903"/>
      <c r="E45" s="1903"/>
      <c r="F45" s="1799"/>
      <c r="G45" s="1799"/>
      <c r="H45" s="1896" t="str">
        <f t="shared" si="1"/>
        <v xml:space="preserve">                      </v>
      </c>
      <c r="L45" s="1972" t="str">
        <f t="shared" si="2"/>
        <v xml:space="preserve">      </v>
      </c>
      <c r="M45" s="1973" t="str">
        <f t="shared" si="3"/>
        <v xml:space="preserve">      </v>
      </c>
      <c r="N45" s="1974" t="str">
        <f t="shared" si="4"/>
        <v xml:space="preserve">      </v>
      </c>
      <c r="O45" s="1974" t="str">
        <f t="shared" si="5"/>
        <v xml:space="preserve">      </v>
      </c>
      <c r="P45" s="1975" t="str">
        <f t="shared" si="6"/>
        <v xml:space="preserve"> </v>
      </c>
      <c r="Q45" s="1975" t="str">
        <f t="shared" si="7"/>
        <v xml:space="preserve"> </v>
      </c>
      <c r="R45" s="1975" t="str">
        <f t="shared" si="8"/>
        <v xml:space="preserve"> </v>
      </c>
      <c r="S45" s="1975" t="str">
        <f t="shared" si="9"/>
        <v xml:space="preserve"> </v>
      </c>
      <c r="T45" s="1975" t="str">
        <f t="shared" si="10"/>
        <v xml:space="preserve"> </v>
      </c>
      <c r="U45" s="1976" t="str">
        <f t="shared" si="11"/>
        <v xml:space="preserve"> </v>
      </c>
      <c r="V45" s="1976" t="str">
        <f t="shared" si="12"/>
        <v xml:space="preserve"> </v>
      </c>
      <c r="W45" s="1976" t="str">
        <f t="shared" si="13"/>
        <v xml:space="preserve"> </v>
      </c>
      <c r="X45" s="1976" t="str">
        <f t="shared" si="14"/>
        <v xml:space="preserve"> </v>
      </c>
      <c r="Y45" s="1976" t="str">
        <f t="shared" si="15"/>
        <v xml:space="preserve"> </v>
      </c>
      <c r="Z45" s="1977" t="str">
        <f t="shared" si="16"/>
        <v xml:space="preserve"> </v>
      </c>
      <c r="AA45" s="1977" t="str">
        <f t="shared" si="17"/>
        <v xml:space="preserve"> </v>
      </c>
      <c r="AB45" s="1977" t="str">
        <f t="shared" si="18"/>
        <v xml:space="preserve"> </v>
      </c>
      <c r="AC45" s="1977" t="str">
        <f t="shared" si="19"/>
        <v xml:space="preserve"> </v>
      </c>
      <c r="AD45" s="1977" t="str">
        <f t="shared" si="20"/>
        <v xml:space="preserve"> </v>
      </c>
      <c r="AE45" s="1978" t="str">
        <f t="shared" si="21"/>
        <v xml:space="preserve"> </v>
      </c>
      <c r="AF45" s="1978" t="str">
        <f t="shared" si="22"/>
        <v xml:space="preserve"> </v>
      </c>
      <c r="AG45" s="1978" t="str">
        <f t="shared" si="23"/>
        <v xml:space="preserve"> </v>
      </c>
      <c r="AH45" s="1978" t="str">
        <f t="shared" si="24"/>
        <v xml:space="preserve"> </v>
      </c>
      <c r="AI45" s="1978" t="str">
        <f t="shared" si="25"/>
        <v xml:space="preserve"> </v>
      </c>
    </row>
    <row r="46" spans="1:35" x14ac:dyDescent="0.25">
      <c r="A46" s="2108">
        <v>32</v>
      </c>
      <c r="B46" s="1985">
        <f t="shared" si="0"/>
        <v>0</v>
      </c>
      <c r="C46" s="1903"/>
      <c r="D46" s="1903"/>
      <c r="E46" s="1903"/>
      <c r="F46" s="1799"/>
      <c r="G46" s="1799"/>
      <c r="H46" s="1896" t="str">
        <f t="shared" si="1"/>
        <v xml:space="preserve">                      </v>
      </c>
      <c r="L46" s="1972" t="str">
        <f t="shared" si="2"/>
        <v xml:space="preserve">      </v>
      </c>
      <c r="M46" s="1973" t="str">
        <f t="shared" si="3"/>
        <v xml:space="preserve">      </v>
      </c>
      <c r="N46" s="1974" t="str">
        <f t="shared" si="4"/>
        <v xml:space="preserve">      </v>
      </c>
      <c r="O46" s="1974" t="str">
        <f t="shared" si="5"/>
        <v xml:space="preserve">      </v>
      </c>
      <c r="P46" s="1975" t="str">
        <f t="shared" si="6"/>
        <v xml:space="preserve"> </v>
      </c>
      <c r="Q46" s="1975" t="str">
        <f t="shared" si="7"/>
        <v xml:space="preserve"> </v>
      </c>
      <c r="R46" s="1975" t="str">
        <f t="shared" si="8"/>
        <v xml:space="preserve"> </v>
      </c>
      <c r="S46" s="1975" t="str">
        <f t="shared" si="9"/>
        <v xml:space="preserve"> </v>
      </c>
      <c r="T46" s="1975" t="str">
        <f t="shared" si="10"/>
        <v xml:space="preserve"> </v>
      </c>
      <c r="U46" s="1976" t="str">
        <f t="shared" si="11"/>
        <v xml:space="preserve"> </v>
      </c>
      <c r="V46" s="1976" t="str">
        <f t="shared" si="12"/>
        <v xml:space="preserve"> </v>
      </c>
      <c r="W46" s="1976" t="str">
        <f t="shared" si="13"/>
        <v xml:space="preserve"> </v>
      </c>
      <c r="X46" s="1976" t="str">
        <f t="shared" si="14"/>
        <v xml:space="preserve"> </v>
      </c>
      <c r="Y46" s="1976" t="str">
        <f t="shared" si="15"/>
        <v xml:space="preserve"> </v>
      </c>
      <c r="Z46" s="1977" t="str">
        <f t="shared" si="16"/>
        <v xml:space="preserve"> </v>
      </c>
      <c r="AA46" s="1977" t="str">
        <f t="shared" si="17"/>
        <v xml:space="preserve"> </v>
      </c>
      <c r="AB46" s="1977" t="str">
        <f t="shared" si="18"/>
        <v xml:space="preserve"> </v>
      </c>
      <c r="AC46" s="1977" t="str">
        <f t="shared" si="19"/>
        <v xml:space="preserve"> </v>
      </c>
      <c r="AD46" s="1977" t="str">
        <f t="shared" si="20"/>
        <v xml:space="preserve"> </v>
      </c>
      <c r="AE46" s="1978" t="str">
        <f t="shared" si="21"/>
        <v xml:space="preserve"> </v>
      </c>
      <c r="AF46" s="1978" t="str">
        <f t="shared" si="22"/>
        <v xml:space="preserve"> </v>
      </c>
      <c r="AG46" s="1978" t="str">
        <f t="shared" si="23"/>
        <v xml:space="preserve"> </v>
      </c>
      <c r="AH46" s="1978" t="str">
        <f t="shared" si="24"/>
        <v xml:space="preserve"> </v>
      </c>
      <c r="AI46" s="1978" t="str">
        <f t="shared" si="25"/>
        <v xml:space="preserve"> </v>
      </c>
    </row>
    <row r="47" spans="1:35" x14ac:dyDescent="0.25">
      <c r="A47" s="2108">
        <v>33</v>
      </c>
      <c r="B47" s="1985">
        <f t="shared" si="0"/>
        <v>0</v>
      </c>
      <c r="C47" s="1903"/>
      <c r="D47" s="1903"/>
      <c r="E47" s="1903"/>
      <c r="F47" s="1799"/>
      <c r="G47" s="1799"/>
      <c r="H47" s="1896" t="str">
        <f t="shared" si="1"/>
        <v xml:space="preserve">                      </v>
      </c>
      <c r="L47" s="1972" t="str">
        <f t="shared" si="2"/>
        <v xml:space="preserve">      </v>
      </c>
      <c r="M47" s="1973" t="str">
        <f t="shared" si="3"/>
        <v xml:space="preserve">      </v>
      </c>
      <c r="N47" s="1974" t="str">
        <f t="shared" si="4"/>
        <v xml:space="preserve">      </v>
      </c>
      <c r="O47" s="1974" t="str">
        <f t="shared" si="5"/>
        <v xml:space="preserve">      </v>
      </c>
      <c r="P47" s="1975" t="str">
        <f t="shared" si="6"/>
        <v xml:space="preserve"> </v>
      </c>
      <c r="Q47" s="1975" t="str">
        <f t="shared" si="7"/>
        <v xml:space="preserve"> </v>
      </c>
      <c r="R47" s="1975" t="str">
        <f t="shared" si="8"/>
        <v xml:space="preserve"> </v>
      </c>
      <c r="S47" s="1975" t="str">
        <f t="shared" si="9"/>
        <v xml:space="preserve"> </v>
      </c>
      <c r="T47" s="1975" t="str">
        <f t="shared" si="10"/>
        <v xml:space="preserve"> </v>
      </c>
      <c r="U47" s="1976" t="str">
        <f t="shared" si="11"/>
        <v xml:space="preserve"> </v>
      </c>
      <c r="V47" s="1976" t="str">
        <f t="shared" si="12"/>
        <v xml:space="preserve"> </v>
      </c>
      <c r="W47" s="1976" t="str">
        <f t="shared" si="13"/>
        <v xml:space="preserve"> </v>
      </c>
      <c r="X47" s="1976" t="str">
        <f t="shared" si="14"/>
        <v xml:space="preserve"> </v>
      </c>
      <c r="Y47" s="1976" t="str">
        <f t="shared" si="15"/>
        <v xml:space="preserve"> </v>
      </c>
      <c r="Z47" s="1977" t="str">
        <f t="shared" si="16"/>
        <v xml:space="preserve"> </v>
      </c>
      <c r="AA47" s="1977" t="str">
        <f t="shared" si="17"/>
        <v xml:space="preserve"> </v>
      </c>
      <c r="AB47" s="1977" t="str">
        <f t="shared" si="18"/>
        <v xml:space="preserve"> </v>
      </c>
      <c r="AC47" s="1977" t="str">
        <f t="shared" si="19"/>
        <v xml:space="preserve"> </v>
      </c>
      <c r="AD47" s="1977" t="str">
        <f t="shared" si="20"/>
        <v xml:space="preserve"> </v>
      </c>
      <c r="AE47" s="1978" t="str">
        <f t="shared" si="21"/>
        <v xml:space="preserve"> </v>
      </c>
      <c r="AF47" s="1978" t="str">
        <f t="shared" si="22"/>
        <v xml:space="preserve"> </v>
      </c>
      <c r="AG47" s="1978" t="str">
        <f t="shared" si="23"/>
        <v xml:space="preserve"> </v>
      </c>
      <c r="AH47" s="1978" t="str">
        <f t="shared" si="24"/>
        <v xml:space="preserve"> </v>
      </c>
      <c r="AI47" s="1978" t="str">
        <f t="shared" si="25"/>
        <v xml:space="preserve"> </v>
      </c>
    </row>
    <row r="48" spans="1:35" x14ac:dyDescent="0.25">
      <c r="A48" s="2108">
        <v>34</v>
      </c>
      <c r="B48" s="1985">
        <f t="shared" si="0"/>
        <v>0</v>
      </c>
      <c r="C48" s="1903"/>
      <c r="D48" s="1903"/>
      <c r="E48" s="1903"/>
      <c r="F48" s="1799"/>
      <c r="G48" s="1799"/>
      <c r="H48" s="1896" t="str">
        <f t="shared" si="1"/>
        <v xml:space="preserve">                      </v>
      </c>
      <c r="L48" s="1972" t="str">
        <f t="shared" si="2"/>
        <v xml:space="preserve">      </v>
      </c>
      <c r="M48" s="1973" t="str">
        <f t="shared" si="3"/>
        <v xml:space="preserve">      </v>
      </c>
      <c r="N48" s="1974" t="str">
        <f t="shared" si="4"/>
        <v xml:space="preserve">      </v>
      </c>
      <c r="O48" s="1974" t="str">
        <f t="shared" si="5"/>
        <v xml:space="preserve">      </v>
      </c>
      <c r="P48" s="1975" t="str">
        <f t="shared" si="6"/>
        <v xml:space="preserve"> </v>
      </c>
      <c r="Q48" s="1975" t="str">
        <f t="shared" si="7"/>
        <v xml:space="preserve"> </v>
      </c>
      <c r="R48" s="1975" t="str">
        <f t="shared" si="8"/>
        <v xml:space="preserve"> </v>
      </c>
      <c r="S48" s="1975" t="str">
        <f t="shared" si="9"/>
        <v xml:space="preserve"> </v>
      </c>
      <c r="T48" s="1975" t="str">
        <f t="shared" si="10"/>
        <v xml:space="preserve"> </v>
      </c>
      <c r="U48" s="1976" t="str">
        <f t="shared" si="11"/>
        <v xml:space="preserve"> </v>
      </c>
      <c r="V48" s="1976" t="str">
        <f t="shared" si="12"/>
        <v xml:space="preserve"> </v>
      </c>
      <c r="W48" s="1976" t="str">
        <f t="shared" si="13"/>
        <v xml:space="preserve"> </v>
      </c>
      <c r="X48" s="1976" t="str">
        <f t="shared" si="14"/>
        <v xml:space="preserve"> </v>
      </c>
      <c r="Y48" s="1976" t="str">
        <f t="shared" si="15"/>
        <v xml:space="preserve"> </v>
      </c>
      <c r="Z48" s="1977" t="str">
        <f t="shared" si="16"/>
        <v xml:space="preserve"> </v>
      </c>
      <c r="AA48" s="1977" t="str">
        <f t="shared" si="17"/>
        <v xml:space="preserve"> </v>
      </c>
      <c r="AB48" s="1977" t="str">
        <f t="shared" si="18"/>
        <v xml:space="preserve"> </v>
      </c>
      <c r="AC48" s="1977" t="str">
        <f t="shared" si="19"/>
        <v xml:space="preserve"> </v>
      </c>
      <c r="AD48" s="1977" t="str">
        <f t="shared" si="20"/>
        <v xml:space="preserve"> </v>
      </c>
      <c r="AE48" s="1978" t="str">
        <f t="shared" si="21"/>
        <v xml:space="preserve"> </v>
      </c>
      <c r="AF48" s="1978" t="str">
        <f t="shared" si="22"/>
        <v xml:space="preserve"> </v>
      </c>
      <c r="AG48" s="1978" t="str">
        <f t="shared" si="23"/>
        <v xml:space="preserve"> </v>
      </c>
      <c r="AH48" s="1978" t="str">
        <f t="shared" si="24"/>
        <v xml:space="preserve"> </v>
      </c>
      <c r="AI48" s="1978" t="str">
        <f t="shared" si="25"/>
        <v xml:space="preserve"> </v>
      </c>
    </row>
    <row r="49" spans="1:35" x14ac:dyDescent="0.25">
      <c r="A49" s="2108">
        <v>35</v>
      </c>
      <c r="B49" s="1985">
        <f t="shared" si="0"/>
        <v>0</v>
      </c>
      <c r="C49" s="1903"/>
      <c r="D49" s="1903"/>
      <c r="E49" s="1903"/>
      <c r="F49" s="1799"/>
      <c r="G49" s="1799"/>
      <c r="H49" s="1896" t="str">
        <f t="shared" si="1"/>
        <v xml:space="preserve">                      </v>
      </c>
      <c r="L49" s="1972" t="str">
        <f t="shared" si="2"/>
        <v xml:space="preserve">      </v>
      </c>
      <c r="M49" s="1973" t="str">
        <f t="shared" si="3"/>
        <v xml:space="preserve">      </v>
      </c>
      <c r="N49" s="1974" t="str">
        <f t="shared" si="4"/>
        <v xml:space="preserve">      </v>
      </c>
      <c r="O49" s="1974" t="str">
        <f t="shared" si="5"/>
        <v xml:space="preserve">      </v>
      </c>
      <c r="P49" s="1975" t="str">
        <f t="shared" si="6"/>
        <v xml:space="preserve"> </v>
      </c>
      <c r="Q49" s="1975" t="str">
        <f t="shared" si="7"/>
        <v xml:space="preserve"> </v>
      </c>
      <c r="R49" s="1975" t="str">
        <f t="shared" si="8"/>
        <v xml:space="preserve"> </v>
      </c>
      <c r="S49" s="1975" t="str">
        <f t="shared" si="9"/>
        <v xml:space="preserve"> </v>
      </c>
      <c r="T49" s="1975" t="str">
        <f t="shared" si="10"/>
        <v xml:space="preserve"> </v>
      </c>
      <c r="U49" s="1976" t="str">
        <f t="shared" si="11"/>
        <v xml:space="preserve"> </v>
      </c>
      <c r="V49" s="1976" t="str">
        <f t="shared" si="12"/>
        <v xml:space="preserve"> </v>
      </c>
      <c r="W49" s="1976" t="str">
        <f t="shared" si="13"/>
        <v xml:space="preserve"> </v>
      </c>
      <c r="X49" s="1976" t="str">
        <f t="shared" si="14"/>
        <v xml:space="preserve"> </v>
      </c>
      <c r="Y49" s="1976" t="str">
        <f t="shared" si="15"/>
        <v xml:space="preserve"> </v>
      </c>
      <c r="Z49" s="1977" t="str">
        <f t="shared" si="16"/>
        <v xml:space="preserve"> </v>
      </c>
      <c r="AA49" s="1977" t="str">
        <f t="shared" si="17"/>
        <v xml:space="preserve"> </v>
      </c>
      <c r="AB49" s="1977" t="str">
        <f t="shared" si="18"/>
        <v xml:space="preserve"> </v>
      </c>
      <c r="AC49" s="1977" t="str">
        <f t="shared" si="19"/>
        <v xml:space="preserve"> </v>
      </c>
      <c r="AD49" s="1977" t="str">
        <f t="shared" si="20"/>
        <v xml:space="preserve"> </v>
      </c>
      <c r="AE49" s="1978" t="str">
        <f t="shared" si="21"/>
        <v xml:space="preserve"> </v>
      </c>
      <c r="AF49" s="1978" t="str">
        <f t="shared" si="22"/>
        <v xml:space="preserve"> </v>
      </c>
      <c r="AG49" s="1978" t="str">
        <f t="shared" si="23"/>
        <v xml:space="preserve"> </v>
      </c>
      <c r="AH49" s="1978" t="str">
        <f t="shared" si="24"/>
        <v xml:space="preserve"> </v>
      </c>
      <c r="AI49" s="1978" t="str">
        <f t="shared" si="25"/>
        <v xml:space="preserve"> </v>
      </c>
    </row>
    <row r="50" spans="1:35" x14ac:dyDescent="0.25">
      <c r="A50" s="2108">
        <v>36</v>
      </c>
      <c r="B50" s="1985">
        <f t="shared" si="0"/>
        <v>0</v>
      </c>
      <c r="C50" s="1903"/>
      <c r="D50" s="1903"/>
      <c r="E50" s="1903"/>
      <c r="F50" s="1799"/>
      <c r="G50" s="1799"/>
      <c r="H50" s="1896" t="str">
        <f t="shared" si="1"/>
        <v xml:space="preserve">                      </v>
      </c>
      <c r="L50" s="1972" t="str">
        <f t="shared" si="2"/>
        <v xml:space="preserve">      </v>
      </c>
      <c r="M50" s="1973" t="str">
        <f t="shared" si="3"/>
        <v xml:space="preserve">      </v>
      </c>
      <c r="N50" s="1974" t="str">
        <f t="shared" si="4"/>
        <v xml:space="preserve">      </v>
      </c>
      <c r="O50" s="1974" t="str">
        <f t="shared" si="5"/>
        <v xml:space="preserve">      </v>
      </c>
      <c r="P50" s="1975" t="str">
        <f t="shared" si="6"/>
        <v xml:space="preserve"> </v>
      </c>
      <c r="Q50" s="1975" t="str">
        <f t="shared" si="7"/>
        <v xml:space="preserve"> </v>
      </c>
      <c r="R50" s="1975" t="str">
        <f t="shared" si="8"/>
        <v xml:space="preserve"> </v>
      </c>
      <c r="S50" s="1975" t="str">
        <f t="shared" si="9"/>
        <v xml:space="preserve"> </v>
      </c>
      <c r="T50" s="1975" t="str">
        <f t="shared" si="10"/>
        <v xml:space="preserve"> </v>
      </c>
      <c r="U50" s="1976" t="str">
        <f t="shared" si="11"/>
        <v xml:space="preserve"> </v>
      </c>
      <c r="V50" s="1976" t="str">
        <f t="shared" si="12"/>
        <v xml:space="preserve"> </v>
      </c>
      <c r="W50" s="1976" t="str">
        <f t="shared" si="13"/>
        <v xml:space="preserve"> </v>
      </c>
      <c r="X50" s="1976" t="str">
        <f t="shared" si="14"/>
        <v xml:space="preserve"> </v>
      </c>
      <c r="Y50" s="1976" t="str">
        <f t="shared" si="15"/>
        <v xml:space="preserve"> </v>
      </c>
      <c r="Z50" s="1977" t="str">
        <f t="shared" si="16"/>
        <v xml:space="preserve"> </v>
      </c>
      <c r="AA50" s="1977" t="str">
        <f t="shared" si="17"/>
        <v xml:space="preserve"> </v>
      </c>
      <c r="AB50" s="1977" t="str">
        <f t="shared" si="18"/>
        <v xml:space="preserve"> </v>
      </c>
      <c r="AC50" s="1977" t="str">
        <f t="shared" si="19"/>
        <v xml:space="preserve"> </v>
      </c>
      <c r="AD50" s="1977" t="str">
        <f t="shared" si="20"/>
        <v xml:space="preserve"> </v>
      </c>
      <c r="AE50" s="1978" t="str">
        <f t="shared" si="21"/>
        <v xml:space="preserve"> </v>
      </c>
      <c r="AF50" s="1978" t="str">
        <f t="shared" si="22"/>
        <v xml:space="preserve"> </v>
      </c>
      <c r="AG50" s="1978" t="str">
        <f t="shared" si="23"/>
        <v xml:space="preserve"> </v>
      </c>
      <c r="AH50" s="1978" t="str">
        <f t="shared" si="24"/>
        <v xml:space="preserve"> </v>
      </c>
      <c r="AI50" s="1978" t="str">
        <f t="shared" si="25"/>
        <v xml:space="preserve"> </v>
      </c>
    </row>
    <row r="51" spans="1:35" x14ac:dyDescent="0.25">
      <c r="A51" s="2108">
        <v>37</v>
      </c>
      <c r="B51" s="1985">
        <f t="shared" si="0"/>
        <v>0</v>
      </c>
      <c r="C51" s="1903"/>
      <c r="D51" s="1903"/>
      <c r="E51" s="1903"/>
      <c r="F51" s="1799"/>
      <c r="G51" s="1799"/>
      <c r="H51" s="1896" t="str">
        <f t="shared" si="1"/>
        <v xml:space="preserve">                      </v>
      </c>
      <c r="L51" s="1972" t="str">
        <f t="shared" si="2"/>
        <v xml:space="preserve">      </v>
      </c>
      <c r="M51" s="1973" t="str">
        <f t="shared" si="3"/>
        <v xml:space="preserve">      </v>
      </c>
      <c r="N51" s="1974" t="str">
        <f t="shared" si="4"/>
        <v xml:space="preserve">      </v>
      </c>
      <c r="O51" s="1974" t="str">
        <f t="shared" si="5"/>
        <v xml:space="preserve">      </v>
      </c>
      <c r="P51" s="1975" t="str">
        <f t="shared" si="6"/>
        <v xml:space="preserve"> </v>
      </c>
      <c r="Q51" s="1975" t="str">
        <f t="shared" si="7"/>
        <v xml:space="preserve"> </v>
      </c>
      <c r="R51" s="1975" t="str">
        <f t="shared" si="8"/>
        <v xml:space="preserve"> </v>
      </c>
      <c r="S51" s="1975" t="str">
        <f t="shared" si="9"/>
        <v xml:space="preserve"> </v>
      </c>
      <c r="T51" s="1975" t="str">
        <f t="shared" si="10"/>
        <v xml:space="preserve"> </v>
      </c>
      <c r="U51" s="1976" t="str">
        <f t="shared" si="11"/>
        <v xml:space="preserve"> </v>
      </c>
      <c r="V51" s="1976" t="str">
        <f t="shared" si="12"/>
        <v xml:space="preserve"> </v>
      </c>
      <c r="W51" s="1976" t="str">
        <f t="shared" si="13"/>
        <v xml:space="preserve"> </v>
      </c>
      <c r="X51" s="1976" t="str">
        <f t="shared" si="14"/>
        <v xml:space="preserve"> </v>
      </c>
      <c r="Y51" s="1976" t="str">
        <f t="shared" si="15"/>
        <v xml:space="preserve"> </v>
      </c>
      <c r="Z51" s="1977" t="str">
        <f t="shared" si="16"/>
        <v xml:space="preserve"> </v>
      </c>
      <c r="AA51" s="1977" t="str">
        <f t="shared" si="17"/>
        <v xml:space="preserve"> </v>
      </c>
      <c r="AB51" s="1977" t="str">
        <f t="shared" si="18"/>
        <v xml:space="preserve"> </v>
      </c>
      <c r="AC51" s="1977" t="str">
        <f t="shared" si="19"/>
        <v xml:space="preserve"> </v>
      </c>
      <c r="AD51" s="1977" t="str">
        <f t="shared" si="20"/>
        <v xml:space="preserve"> </v>
      </c>
      <c r="AE51" s="1978" t="str">
        <f t="shared" si="21"/>
        <v xml:space="preserve"> </v>
      </c>
      <c r="AF51" s="1978" t="str">
        <f t="shared" si="22"/>
        <v xml:space="preserve"> </v>
      </c>
      <c r="AG51" s="1978" t="str">
        <f t="shared" si="23"/>
        <v xml:space="preserve"> </v>
      </c>
      <c r="AH51" s="1978" t="str">
        <f t="shared" si="24"/>
        <v xml:space="preserve"> </v>
      </c>
      <c r="AI51" s="1978" t="str">
        <f t="shared" si="25"/>
        <v xml:space="preserve"> </v>
      </c>
    </row>
    <row r="52" spans="1:35" x14ac:dyDescent="0.25">
      <c r="A52" s="2108">
        <v>38</v>
      </c>
      <c r="B52" s="1985">
        <f t="shared" si="0"/>
        <v>0</v>
      </c>
      <c r="C52" s="1903"/>
      <c r="D52" s="1903"/>
      <c r="E52" s="1903"/>
      <c r="F52" s="1799"/>
      <c r="G52" s="1799"/>
      <c r="H52" s="1896" t="str">
        <f t="shared" si="1"/>
        <v xml:space="preserve">                      </v>
      </c>
      <c r="L52" s="1972" t="str">
        <f t="shared" si="2"/>
        <v xml:space="preserve">      </v>
      </c>
      <c r="M52" s="1973" t="str">
        <f t="shared" si="3"/>
        <v xml:space="preserve">      </v>
      </c>
      <c r="N52" s="1974" t="str">
        <f t="shared" si="4"/>
        <v xml:space="preserve">      </v>
      </c>
      <c r="O52" s="1974" t="str">
        <f t="shared" si="5"/>
        <v xml:space="preserve">      </v>
      </c>
      <c r="P52" s="1975" t="str">
        <f t="shared" si="6"/>
        <v xml:space="preserve"> </v>
      </c>
      <c r="Q52" s="1975" t="str">
        <f t="shared" si="7"/>
        <v xml:space="preserve"> </v>
      </c>
      <c r="R52" s="1975" t="str">
        <f t="shared" si="8"/>
        <v xml:space="preserve"> </v>
      </c>
      <c r="S52" s="1975" t="str">
        <f t="shared" si="9"/>
        <v xml:space="preserve"> </v>
      </c>
      <c r="T52" s="1975" t="str">
        <f t="shared" si="10"/>
        <v xml:space="preserve"> </v>
      </c>
      <c r="U52" s="1976" t="str">
        <f t="shared" si="11"/>
        <v xml:space="preserve"> </v>
      </c>
      <c r="V52" s="1976" t="str">
        <f t="shared" si="12"/>
        <v xml:space="preserve"> </v>
      </c>
      <c r="W52" s="1976" t="str">
        <f t="shared" si="13"/>
        <v xml:space="preserve"> </v>
      </c>
      <c r="X52" s="1976" t="str">
        <f t="shared" si="14"/>
        <v xml:space="preserve"> </v>
      </c>
      <c r="Y52" s="1976" t="str">
        <f t="shared" si="15"/>
        <v xml:space="preserve"> </v>
      </c>
      <c r="Z52" s="1977" t="str">
        <f t="shared" si="16"/>
        <v xml:space="preserve"> </v>
      </c>
      <c r="AA52" s="1977" t="str">
        <f t="shared" si="17"/>
        <v xml:space="preserve"> </v>
      </c>
      <c r="AB52" s="1977" t="str">
        <f t="shared" si="18"/>
        <v xml:space="preserve"> </v>
      </c>
      <c r="AC52" s="1977" t="str">
        <f t="shared" si="19"/>
        <v xml:space="preserve"> </v>
      </c>
      <c r="AD52" s="1977" t="str">
        <f t="shared" si="20"/>
        <v xml:space="preserve"> </v>
      </c>
      <c r="AE52" s="1978" t="str">
        <f t="shared" si="21"/>
        <v xml:space="preserve"> </v>
      </c>
      <c r="AF52" s="1978" t="str">
        <f t="shared" si="22"/>
        <v xml:space="preserve"> </v>
      </c>
      <c r="AG52" s="1978" t="str">
        <f t="shared" si="23"/>
        <v xml:space="preserve"> </v>
      </c>
      <c r="AH52" s="1978" t="str">
        <f t="shared" si="24"/>
        <v xml:space="preserve"> </v>
      </c>
      <c r="AI52" s="1978" t="str">
        <f t="shared" si="25"/>
        <v xml:space="preserve"> </v>
      </c>
    </row>
    <row r="53" spans="1:35" x14ac:dyDescent="0.25">
      <c r="A53" s="2108">
        <v>39</v>
      </c>
      <c r="B53" s="1985">
        <f t="shared" si="0"/>
        <v>0</v>
      </c>
      <c r="C53" s="1903"/>
      <c r="D53" s="1903"/>
      <c r="E53" s="1903"/>
      <c r="F53" s="1799"/>
      <c r="G53" s="1799"/>
      <c r="H53" s="1896" t="str">
        <f t="shared" si="1"/>
        <v xml:space="preserve">                      </v>
      </c>
      <c r="L53" s="1972" t="str">
        <f t="shared" si="2"/>
        <v xml:space="preserve">      </v>
      </c>
      <c r="M53" s="1973" t="str">
        <f t="shared" si="3"/>
        <v xml:space="preserve">      </v>
      </c>
      <c r="N53" s="1974" t="str">
        <f t="shared" si="4"/>
        <v xml:space="preserve">      </v>
      </c>
      <c r="O53" s="1974" t="str">
        <f t="shared" si="5"/>
        <v xml:space="preserve">      </v>
      </c>
      <c r="P53" s="1975" t="str">
        <f t="shared" si="6"/>
        <v xml:space="preserve"> </v>
      </c>
      <c r="Q53" s="1975" t="str">
        <f t="shared" si="7"/>
        <v xml:space="preserve"> </v>
      </c>
      <c r="R53" s="1975" t="str">
        <f t="shared" si="8"/>
        <v xml:space="preserve"> </v>
      </c>
      <c r="S53" s="1975" t="str">
        <f t="shared" si="9"/>
        <v xml:space="preserve"> </v>
      </c>
      <c r="T53" s="1975" t="str">
        <f t="shared" si="10"/>
        <v xml:space="preserve"> </v>
      </c>
      <c r="U53" s="1976" t="str">
        <f t="shared" si="11"/>
        <v xml:space="preserve"> </v>
      </c>
      <c r="V53" s="1976" t="str">
        <f t="shared" si="12"/>
        <v xml:space="preserve"> </v>
      </c>
      <c r="W53" s="1976" t="str">
        <f t="shared" si="13"/>
        <v xml:space="preserve"> </v>
      </c>
      <c r="X53" s="1976" t="str">
        <f t="shared" si="14"/>
        <v xml:space="preserve"> </v>
      </c>
      <c r="Y53" s="1976" t="str">
        <f t="shared" si="15"/>
        <v xml:space="preserve"> </v>
      </c>
      <c r="Z53" s="1977" t="str">
        <f t="shared" si="16"/>
        <v xml:space="preserve"> </v>
      </c>
      <c r="AA53" s="1977" t="str">
        <f t="shared" si="17"/>
        <v xml:space="preserve"> </v>
      </c>
      <c r="AB53" s="1977" t="str">
        <f t="shared" si="18"/>
        <v xml:space="preserve"> </v>
      </c>
      <c r="AC53" s="1977" t="str">
        <f t="shared" si="19"/>
        <v xml:space="preserve"> </v>
      </c>
      <c r="AD53" s="1977" t="str">
        <f t="shared" si="20"/>
        <v xml:space="preserve"> </v>
      </c>
      <c r="AE53" s="1978" t="str">
        <f t="shared" si="21"/>
        <v xml:space="preserve"> </v>
      </c>
      <c r="AF53" s="1978" t="str">
        <f t="shared" si="22"/>
        <v xml:space="preserve"> </v>
      </c>
      <c r="AG53" s="1978" t="str">
        <f t="shared" si="23"/>
        <v xml:space="preserve"> </v>
      </c>
      <c r="AH53" s="1978" t="str">
        <f t="shared" si="24"/>
        <v xml:space="preserve"> </v>
      </c>
      <c r="AI53" s="1978" t="str">
        <f t="shared" si="25"/>
        <v xml:space="preserve"> </v>
      </c>
    </row>
    <row r="54" spans="1:35" x14ac:dyDescent="0.25">
      <c r="A54" s="2108">
        <v>40</v>
      </c>
      <c r="B54" s="1985">
        <f t="shared" si="0"/>
        <v>0</v>
      </c>
      <c r="C54" s="1903"/>
      <c r="D54" s="1903"/>
      <c r="E54" s="1903"/>
      <c r="F54" s="1799"/>
      <c r="G54" s="1799"/>
      <c r="H54" s="1896" t="str">
        <f t="shared" si="1"/>
        <v xml:space="preserve">                      </v>
      </c>
      <c r="L54" s="1972" t="str">
        <f t="shared" si="2"/>
        <v xml:space="preserve">      </v>
      </c>
      <c r="M54" s="1973" t="str">
        <f t="shared" si="3"/>
        <v xml:space="preserve">      </v>
      </c>
      <c r="N54" s="1974" t="str">
        <f t="shared" si="4"/>
        <v xml:space="preserve">      </v>
      </c>
      <c r="O54" s="1974" t="str">
        <f t="shared" si="5"/>
        <v xml:space="preserve">      </v>
      </c>
      <c r="P54" s="1975" t="str">
        <f t="shared" si="6"/>
        <v xml:space="preserve"> </v>
      </c>
      <c r="Q54" s="1975" t="str">
        <f t="shared" si="7"/>
        <v xml:space="preserve"> </v>
      </c>
      <c r="R54" s="1975" t="str">
        <f t="shared" si="8"/>
        <v xml:space="preserve"> </v>
      </c>
      <c r="S54" s="1975" t="str">
        <f t="shared" si="9"/>
        <v xml:space="preserve"> </v>
      </c>
      <c r="T54" s="1975" t="str">
        <f t="shared" si="10"/>
        <v xml:space="preserve"> </v>
      </c>
      <c r="U54" s="1976" t="str">
        <f t="shared" si="11"/>
        <v xml:space="preserve"> </v>
      </c>
      <c r="V54" s="1976" t="str">
        <f t="shared" si="12"/>
        <v xml:space="preserve"> </v>
      </c>
      <c r="W54" s="1976" t="str">
        <f t="shared" si="13"/>
        <v xml:space="preserve"> </v>
      </c>
      <c r="X54" s="1976" t="str">
        <f t="shared" si="14"/>
        <v xml:space="preserve"> </v>
      </c>
      <c r="Y54" s="1976" t="str">
        <f t="shared" si="15"/>
        <v xml:space="preserve"> </v>
      </c>
      <c r="Z54" s="1977" t="str">
        <f t="shared" si="16"/>
        <v xml:space="preserve"> </v>
      </c>
      <c r="AA54" s="1977" t="str">
        <f t="shared" si="17"/>
        <v xml:space="preserve"> </v>
      </c>
      <c r="AB54" s="1977" t="str">
        <f t="shared" si="18"/>
        <v xml:space="preserve"> </v>
      </c>
      <c r="AC54" s="1977" t="str">
        <f t="shared" si="19"/>
        <v xml:space="preserve"> </v>
      </c>
      <c r="AD54" s="1977" t="str">
        <f t="shared" si="20"/>
        <v xml:space="preserve"> </v>
      </c>
      <c r="AE54" s="1978" t="str">
        <f t="shared" si="21"/>
        <v xml:space="preserve"> </v>
      </c>
      <c r="AF54" s="1978" t="str">
        <f t="shared" si="22"/>
        <v xml:space="preserve"> </v>
      </c>
      <c r="AG54" s="1978" t="str">
        <f t="shared" si="23"/>
        <v xml:space="preserve"> </v>
      </c>
      <c r="AH54" s="1978" t="str">
        <f t="shared" si="24"/>
        <v xml:space="preserve"> </v>
      </c>
      <c r="AI54" s="1978" t="str">
        <f t="shared" si="25"/>
        <v xml:space="preserve"> </v>
      </c>
    </row>
    <row r="55" spans="1:35" x14ac:dyDescent="0.25">
      <c r="L55" s="1972" t="str">
        <f t="shared" ref="L55:L73" si="26">IF(OR(C55=4,D55=4,E55=4,F55=4,G55=4),CONCATENATE("Sangat baik dalam bersikap",P55,Q55,R55,S55,T55,),CONCATENATE(" ",P55,Q55,R55,S55,T55,))</f>
        <v xml:space="preserve">      </v>
      </c>
      <c r="M55" s="1973" t="str">
        <f t="shared" ref="M55:M73" si="27">IF(OR(C55=3,D55=3,E55=3,F55=3,G55=3),CONCATENATE("Baik dalam bersikap",U55,V55,W55,X55,Y55,),CONCATENATE(" ",U55,V55,W55,X55,Y55,))</f>
        <v xml:space="preserve">      </v>
      </c>
      <c r="N55" s="1974" t="str">
        <f t="shared" ref="N55:N73" si="28">IF(OR(C55=2,D55=2,E55=2,F55=2,G55=2),CONCATENATE("Dengan bimbingan dan pendampingan yang lebih, akan mampu   meningkatkan dalam bersikap ",Z55,AA55,AB55,AC55,AD55,),CONCATENATE(" ",Z55,AA55,AB55,AC55,AD55,))</f>
        <v xml:space="preserve">      </v>
      </c>
      <c r="O55" s="1974" t="str">
        <f t="shared" ref="O55:O73" si="29">IF(OR(C55=1,D55=1,E55=1,F55=1,G55=1),CONCATENATE("perlu bimbingan ",AE55,AF55,AG55,AH55,AI55,),CONCATENATE(" ",Z55,AA55,AB55,AC55,AD55,))</f>
        <v xml:space="preserve">      </v>
      </c>
      <c r="P55" s="1975" t="str">
        <f t="shared" ref="P55:P73" si="30">IF(C55=4,$P$12," ")</f>
        <v xml:space="preserve"> </v>
      </c>
      <c r="Q55" s="1975" t="str">
        <f t="shared" ref="Q55:Q73" si="31">IF(D55=4,$Q$12," ")</f>
        <v xml:space="preserve"> </v>
      </c>
      <c r="R55" s="1975" t="str">
        <f t="shared" ref="R55:R73" si="32">IF(E55=4,$R$12," ")</f>
        <v xml:space="preserve"> </v>
      </c>
      <c r="S55" s="1975" t="str">
        <f t="shared" ref="S55:S73" si="33">IF(F55=4,$S$12," ")</f>
        <v xml:space="preserve"> </v>
      </c>
      <c r="T55" s="1975" t="str">
        <f t="shared" ref="T55:T73" si="34">IF(G55=4,$T$12," ")</f>
        <v xml:space="preserve"> </v>
      </c>
      <c r="U55" s="1976" t="str">
        <f t="shared" ref="U55:U73" si="35">IF(C55=3,$P$12," ")</f>
        <v xml:space="preserve"> </v>
      </c>
      <c r="V55" s="1976" t="str">
        <f t="shared" ref="V55:V73" si="36">IF(D55=3,$Q$12," ")</f>
        <v xml:space="preserve"> </v>
      </c>
      <c r="W55" s="1976" t="str">
        <f t="shared" ref="W55:W73" si="37">IF(E55=3,$R$12," ")</f>
        <v xml:space="preserve"> </v>
      </c>
      <c r="X55" s="1976" t="str">
        <f t="shared" ref="X55:X73" si="38">IF(F55=3,$S$12," ")</f>
        <v xml:space="preserve"> </v>
      </c>
      <c r="Y55" s="1976" t="str">
        <f t="shared" ref="Y55:Y73" si="39">IF(G55=3,$T$12," ")</f>
        <v xml:space="preserve"> </v>
      </c>
      <c r="Z55" s="1977" t="str">
        <f t="shared" ref="Z55:Z73" si="40">IF(C55=2,$P$12," ")</f>
        <v xml:space="preserve"> </v>
      </c>
      <c r="AA55" s="1977" t="str">
        <f t="shared" ref="AA55:AA73" si="41">IF(D55=2,$Q$12," ")</f>
        <v xml:space="preserve"> </v>
      </c>
      <c r="AB55" s="1977" t="str">
        <f t="shared" ref="AB55:AB73" si="42">IF(E55=2,$R$12," ")</f>
        <v xml:space="preserve"> </v>
      </c>
      <c r="AC55" s="1977" t="str">
        <f t="shared" ref="AC55:AC73" si="43">IF(F55=2,$S$12," ")</f>
        <v xml:space="preserve"> </v>
      </c>
      <c r="AD55" s="1977" t="str">
        <f t="shared" ref="AD55:AD73" si="44">IF(G55=2,$T$12," ")</f>
        <v xml:space="preserve"> </v>
      </c>
      <c r="AE55" s="1978" t="str">
        <f t="shared" ref="AE55:AE73" si="45">IF(C55=1,$P$12," ")</f>
        <v xml:space="preserve"> </v>
      </c>
      <c r="AF55" s="1978" t="str">
        <f t="shared" ref="AF55:AF73" si="46">IF(D55=1,$Q$12," ")</f>
        <v xml:space="preserve"> </v>
      </c>
      <c r="AG55" s="1978" t="str">
        <f t="shared" ref="AG55:AG73" si="47">IF(E55=1,$R$12," ")</f>
        <v xml:space="preserve"> </v>
      </c>
      <c r="AH55" s="1978" t="str">
        <f t="shared" ref="AH55:AH73" si="48">IF(F55=1,$S$12," ")</f>
        <v xml:space="preserve"> </v>
      </c>
      <c r="AI55" s="1978" t="str">
        <f t="shared" ref="AI55:AI73" si="49">IF(G55=1,$T$12," ")</f>
        <v xml:space="preserve"> </v>
      </c>
    </row>
    <row r="56" spans="1:35" x14ac:dyDescent="0.25">
      <c r="L56" s="1972" t="str">
        <f t="shared" si="26"/>
        <v xml:space="preserve">      </v>
      </c>
      <c r="M56" s="1973" t="str">
        <f t="shared" si="27"/>
        <v xml:space="preserve">      </v>
      </c>
      <c r="N56" s="1974" t="str">
        <f t="shared" si="28"/>
        <v xml:space="preserve">      </v>
      </c>
      <c r="O56" s="1974" t="str">
        <f t="shared" si="29"/>
        <v xml:space="preserve">      </v>
      </c>
      <c r="P56" s="1975" t="str">
        <f t="shared" si="30"/>
        <v xml:space="preserve"> </v>
      </c>
      <c r="Q56" s="1975" t="str">
        <f t="shared" si="31"/>
        <v xml:space="preserve"> </v>
      </c>
      <c r="R56" s="1975" t="str">
        <f t="shared" si="32"/>
        <v xml:space="preserve"> </v>
      </c>
      <c r="S56" s="1975" t="str">
        <f t="shared" si="33"/>
        <v xml:space="preserve"> </v>
      </c>
      <c r="T56" s="1975" t="str">
        <f t="shared" si="34"/>
        <v xml:space="preserve"> </v>
      </c>
      <c r="U56" s="1976" t="str">
        <f t="shared" si="35"/>
        <v xml:space="preserve"> </v>
      </c>
      <c r="V56" s="1976" t="str">
        <f t="shared" si="36"/>
        <v xml:space="preserve"> </v>
      </c>
      <c r="W56" s="1976" t="str">
        <f t="shared" si="37"/>
        <v xml:space="preserve"> </v>
      </c>
      <c r="X56" s="1976" t="str">
        <f t="shared" si="38"/>
        <v xml:space="preserve"> </v>
      </c>
      <c r="Y56" s="1976" t="str">
        <f t="shared" si="39"/>
        <v xml:space="preserve"> </v>
      </c>
      <c r="Z56" s="1977" t="str">
        <f t="shared" si="40"/>
        <v xml:space="preserve"> </v>
      </c>
      <c r="AA56" s="1977" t="str">
        <f t="shared" si="41"/>
        <v xml:space="preserve"> </v>
      </c>
      <c r="AB56" s="1977" t="str">
        <f t="shared" si="42"/>
        <v xml:space="preserve"> </v>
      </c>
      <c r="AC56" s="1977" t="str">
        <f t="shared" si="43"/>
        <v xml:space="preserve"> </v>
      </c>
      <c r="AD56" s="1977" t="str">
        <f t="shared" si="44"/>
        <v xml:space="preserve"> </v>
      </c>
      <c r="AE56" s="1978" t="str">
        <f t="shared" si="45"/>
        <v xml:space="preserve"> </v>
      </c>
      <c r="AF56" s="1978" t="str">
        <f t="shared" si="46"/>
        <v xml:space="preserve"> </v>
      </c>
      <c r="AG56" s="1978" t="str">
        <f t="shared" si="47"/>
        <v xml:space="preserve"> </v>
      </c>
      <c r="AH56" s="1978" t="str">
        <f t="shared" si="48"/>
        <v xml:space="preserve"> </v>
      </c>
      <c r="AI56" s="1978" t="str">
        <f t="shared" si="49"/>
        <v xml:space="preserve"> </v>
      </c>
    </row>
    <row r="57" spans="1:35" x14ac:dyDescent="0.25">
      <c r="L57" s="1972" t="str">
        <f t="shared" si="26"/>
        <v xml:space="preserve">      </v>
      </c>
      <c r="M57" s="1973" t="str">
        <f t="shared" si="27"/>
        <v xml:space="preserve">      </v>
      </c>
      <c r="N57" s="1974" t="str">
        <f t="shared" si="28"/>
        <v xml:space="preserve">      </v>
      </c>
      <c r="O57" s="1974" t="str">
        <f t="shared" si="29"/>
        <v xml:space="preserve">      </v>
      </c>
      <c r="P57" s="1975" t="str">
        <f t="shared" si="30"/>
        <v xml:space="preserve"> </v>
      </c>
      <c r="Q57" s="1975" t="str">
        <f t="shared" si="31"/>
        <v xml:space="preserve"> </v>
      </c>
      <c r="R57" s="1975" t="str">
        <f t="shared" si="32"/>
        <v xml:space="preserve"> </v>
      </c>
      <c r="S57" s="1975" t="str">
        <f t="shared" si="33"/>
        <v xml:space="preserve"> </v>
      </c>
      <c r="T57" s="1975" t="str">
        <f t="shared" si="34"/>
        <v xml:space="preserve"> </v>
      </c>
      <c r="U57" s="1976" t="str">
        <f t="shared" si="35"/>
        <v xml:space="preserve"> </v>
      </c>
      <c r="V57" s="1976" t="str">
        <f t="shared" si="36"/>
        <v xml:space="preserve"> </v>
      </c>
      <c r="W57" s="1976" t="str">
        <f t="shared" si="37"/>
        <v xml:space="preserve"> </v>
      </c>
      <c r="X57" s="1976" t="str">
        <f t="shared" si="38"/>
        <v xml:space="preserve"> </v>
      </c>
      <c r="Y57" s="1976" t="str">
        <f t="shared" si="39"/>
        <v xml:space="preserve"> </v>
      </c>
      <c r="Z57" s="1977" t="str">
        <f t="shared" si="40"/>
        <v xml:space="preserve"> </v>
      </c>
      <c r="AA57" s="1977" t="str">
        <f t="shared" si="41"/>
        <v xml:space="preserve"> </v>
      </c>
      <c r="AB57" s="1977" t="str">
        <f t="shared" si="42"/>
        <v xml:space="preserve"> </v>
      </c>
      <c r="AC57" s="1977" t="str">
        <f t="shared" si="43"/>
        <v xml:space="preserve"> </v>
      </c>
      <c r="AD57" s="1977" t="str">
        <f t="shared" si="44"/>
        <v xml:space="preserve"> </v>
      </c>
      <c r="AE57" s="1978" t="str">
        <f t="shared" si="45"/>
        <v xml:space="preserve"> </v>
      </c>
      <c r="AF57" s="1978" t="str">
        <f t="shared" si="46"/>
        <v xml:space="preserve"> </v>
      </c>
      <c r="AG57" s="1978" t="str">
        <f t="shared" si="47"/>
        <v xml:space="preserve"> </v>
      </c>
      <c r="AH57" s="1978" t="str">
        <f t="shared" si="48"/>
        <v xml:space="preserve"> </v>
      </c>
      <c r="AI57" s="1978" t="str">
        <f t="shared" si="49"/>
        <v xml:space="preserve"> </v>
      </c>
    </row>
    <row r="58" spans="1:35" x14ac:dyDescent="0.25">
      <c r="L58" s="1972" t="str">
        <f t="shared" si="26"/>
        <v xml:space="preserve">      </v>
      </c>
      <c r="M58" s="1973" t="str">
        <f t="shared" si="27"/>
        <v xml:space="preserve">      </v>
      </c>
      <c r="N58" s="1974" t="str">
        <f t="shared" si="28"/>
        <v xml:space="preserve">      </v>
      </c>
      <c r="O58" s="1974" t="str">
        <f t="shared" si="29"/>
        <v xml:space="preserve">      </v>
      </c>
      <c r="P58" s="1975" t="str">
        <f t="shared" si="30"/>
        <v xml:space="preserve"> </v>
      </c>
      <c r="Q58" s="1975" t="str">
        <f t="shared" si="31"/>
        <v xml:space="preserve"> </v>
      </c>
      <c r="R58" s="1975" t="str">
        <f t="shared" si="32"/>
        <v xml:space="preserve"> </v>
      </c>
      <c r="S58" s="1975" t="str">
        <f t="shared" si="33"/>
        <v xml:space="preserve"> </v>
      </c>
      <c r="T58" s="1975" t="str">
        <f t="shared" si="34"/>
        <v xml:space="preserve"> </v>
      </c>
      <c r="U58" s="1976" t="str">
        <f t="shared" si="35"/>
        <v xml:space="preserve"> </v>
      </c>
      <c r="V58" s="1976" t="str">
        <f t="shared" si="36"/>
        <v xml:space="preserve"> </v>
      </c>
      <c r="W58" s="1976" t="str">
        <f t="shared" si="37"/>
        <v xml:space="preserve"> </v>
      </c>
      <c r="X58" s="1976" t="str">
        <f t="shared" si="38"/>
        <v xml:space="preserve"> </v>
      </c>
      <c r="Y58" s="1976" t="str">
        <f t="shared" si="39"/>
        <v xml:space="preserve"> </v>
      </c>
      <c r="Z58" s="1977" t="str">
        <f t="shared" si="40"/>
        <v xml:space="preserve"> </v>
      </c>
      <c r="AA58" s="1977" t="str">
        <f t="shared" si="41"/>
        <v xml:space="preserve"> </v>
      </c>
      <c r="AB58" s="1977" t="str">
        <f t="shared" si="42"/>
        <v xml:space="preserve"> </v>
      </c>
      <c r="AC58" s="1977" t="str">
        <f t="shared" si="43"/>
        <v xml:space="preserve"> </v>
      </c>
      <c r="AD58" s="1977" t="str">
        <f t="shared" si="44"/>
        <v xml:space="preserve"> </v>
      </c>
      <c r="AE58" s="1978" t="str">
        <f t="shared" si="45"/>
        <v xml:space="preserve"> </v>
      </c>
      <c r="AF58" s="1978" t="str">
        <f t="shared" si="46"/>
        <v xml:space="preserve"> </v>
      </c>
      <c r="AG58" s="1978" t="str">
        <f t="shared" si="47"/>
        <v xml:space="preserve"> </v>
      </c>
      <c r="AH58" s="1978" t="str">
        <f t="shared" si="48"/>
        <v xml:space="preserve"> </v>
      </c>
      <c r="AI58" s="1978" t="str">
        <f t="shared" si="49"/>
        <v xml:space="preserve"> </v>
      </c>
    </row>
    <row r="59" spans="1:35" x14ac:dyDescent="0.25">
      <c r="L59" s="1972" t="str">
        <f t="shared" si="26"/>
        <v xml:space="preserve">      </v>
      </c>
      <c r="M59" s="1973" t="str">
        <f t="shared" si="27"/>
        <v xml:space="preserve">      </v>
      </c>
      <c r="N59" s="1974" t="str">
        <f t="shared" si="28"/>
        <v xml:space="preserve">      </v>
      </c>
      <c r="O59" s="1974" t="str">
        <f t="shared" si="29"/>
        <v xml:space="preserve">      </v>
      </c>
      <c r="P59" s="1975" t="str">
        <f t="shared" si="30"/>
        <v xml:space="preserve"> </v>
      </c>
      <c r="Q59" s="1975" t="str">
        <f t="shared" si="31"/>
        <v xml:space="preserve"> </v>
      </c>
      <c r="R59" s="1975" t="str">
        <f t="shared" si="32"/>
        <v xml:space="preserve"> </v>
      </c>
      <c r="S59" s="1975" t="str">
        <f t="shared" si="33"/>
        <v xml:space="preserve"> </v>
      </c>
      <c r="T59" s="1975" t="str">
        <f t="shared" si="34"/>
        <v xml:space="preserve"> </v>
      </c>
      <c r="U59" s="1976" t="str">
        <f t="shared" si="35"/>
        <v xml:space="preserve"> </v>
      </c>
      <c r="V59" s="1976" t="str">
        <f t="shared" si="36"/>
        <v xml:space="preserve"> </v>
      </c>
      <c r="W59" s="1976" t="str">
        <f t="shared" si="37"/>
        <v xml:space="preserve"> </v>
      </c>
      <c r="X59" s="1976" t="str">
        <f t="shared" si="38"/>
        <v xml:space="preserve"> </v>
      </c>
      <c r="Y59" s="1976" t="str">
        <f t="shared" si="39"/>
        <v xml:space="preserve"> </v>
      </c>
      <c r="Z59" s="1977" t="str">
        <f t="shared" si="40"/>
        <v xml:space="preserve"> </v>
      </c>
      <c r="AA59" s="1977" t="str">
        <f t="shared" si="41"/>
        <v xml:space="preserve"> </v>
      </c>
      <c r="AB59" s="1977" t="str">
        <f t="shared" si="42"/>
        <v xml:space="preserve"> </v>
      </c>
      <c r="AC59" s="1977" t="str">
        <f t="shared" si="43"/>
        <v xml:space="preserve"> </v>
      </c>
      <c r="AD59" s="1977" t="str">
        <f t="shared" si="44"/>
        <v xml:space="preserve"> </v>
      </c>
      <c r="AE59" s="1978" t="str">
        <f t="shared" si="45"/>
        <v xml:space="preserve"> </v>
      </c>
      <c r="AF59" s="1978" t="str">
        <f t="shared" si="46"/>
        <v xml:space="preserve"> </v>
      </c>
      <c r="AG59" s="1978" t="str">
        <f t="shared" si="47"/>
        <v xml:space="preserve"> </v>
      </c>
      <c r="AH59" s="1978" t="str">
        <f t="shared" si="48"/>
        <v xml:space="preserve"> </v>
      </c>
      <c r="AI59" s="1978" t="str">
        <f t="shared" si="49"/>
        <v xml:space="preserve"> </v>
      </c>
    </row>
    <row r="60" spans="1:35" x14ac:dyDescent="0.25">
      <c r="L60" s="1972" t="str">
        <f t="shared" si="26"/>
        <v xml:space="preserve">      </v>
      </c>
      <c r="M60" s="1973" t="str">
        <f t="shared" si="27"/>
        <v xml:space="preserve">      </v>
      </c>
      <c r="N60" s="1974" t="str">
        <f t="shared" si="28"/>
        <v xml:space="preserve">      </v>
      </c>
      <c r="O60" s="1974" t="str">
        <f t="shared" si="29"/>
        <v xml:space="preserve">      </v>
      </c>
      <c r="P60" s="1975" t="str">
        <f t="shared" si="30"/>
        <v xml:space="preserve"> </v>
      </c>
      <c r="Q60" s="1975" t="str">
        <f t="shared" si="31"/>
        <v xml:space="preserve"> </v>
      </c>
      <c r="R60" s="1975" t="str">
        <f t="shared" si="32"/>
        <v xml:space="preserve"> </v>
      </c>
      <c r="S60" s="1975" t="str">
        <f t="shared" si="33"/>
        <v xml:space="preserve"> </v>
      </c>
      <c r="T60" s="1975" t="str">
        <f t="shared" si="34"/>
        <v xml:space="preserve"> </v>
      </c>
      <c r="U60" s="1976" t="str">
        <f t="shared" si="35"/>
        <v xml:space="preserve"> </v>
      </c>
      <c r="V60" s="1976" t="str">
        <f t="shared" si="36"/>
        <v xml:space="preserve"> </v>
      </c>
      <c r="W60" s="1976" t="str">
        <f t="shared" si="37"/>
        <v xml:space="preserve"> </v>
      </c>
      <c r="X60" s="1976" t="str">
        <f t="shared" si="38"/>
        <v xml:space="preserve"> </v>
      </c>
      <c r="Y60" s="1976" t="str">
        <f t="shared" si="39"/>
        <v xml:space="preserve"> </v>
      </c>
      <c r="Z60" s="1977" t="str">
        <f t="shared" si="40"/>
        <v xml:space="preserve"> </v>
      </c>
      <c r="AA60" s="1977" t="str">
        <f t="shared" si="41"/>
        <v xml:space="preserve"> </v>
      </c>
      <c r="AB60" s="1977" t="str">
        <f t="shared" si="42"/>
        <v xml:space="preserve"> </v>
      </c>
      <c r="AC60" s="1977" t="str">
        <f t="shared" si="43"/>
        <v xml:space="preserve"> </v>
      </c>
      <c r="AD60" s="1977" t="str">
        <f t="shared" si="44"/>
        <v xml:space="preserve"> </v>
      </c>
      <c r="AE60" s="1978" t="str">
        <f t="shared" si="45"/>
        <v xml:space="preserve"> </v>
      </c>
      <c r="AF60" s="1978" t="str">
        <f t="shared" si="46"/>
        <v xml:space="preserve"> </v>
      </c>
      <c r="AG60" s="1978" t="str">
        <f t="shared" si="47"/>
        <v xml:space="preserve"> </v>
      </c>
      <c r="AH60" s="1978" t="str">
        <f t="shared" si="48"/>
        <v xml:space="preserve"> </v>
      </c>
      <c r="AI60" s="1978" t="str">
        <f t="shared" si="49"/>
        <v xml:space="preserve"> </v>
      </c>
    </row>
    <row r="61" spans="1:35" x14ac:dyDescent="0.25">
      <c r="L61" s="1972" t="str">
        <f t="shared" si="26"/>
        <v xml:space="preserve">      </v>
      </c>
      <c r="M61" s="1973" t="str">
        <f t="shared" si="27"/>
        <v xml:space="preserve">      </v>
      </c>
      <c r="N61" s="1974" t="str">
        <f t="shared" si="28"/>
        <v xml:space="preserve">      </v>
      </c>
      <c r="O61" s="1974" t="str">
        <f t="shared" si="29"/>
        <v xml:space="preserve">      </v>
      </c>
      <c r="P61" s="1975" t="str">
        <f t="shared" si="30"/>
        <v xml:space="preserve"> </v>
      </c>
      <c r="Q61" s="1975" t="str">
        <f t="shared" si="31"/>
        <v xml:space="preserve"> </v>
      </c>
      <c r="R61" s="1975" t="str">
        <f t="shared" si="32"/>
        <v xml:space="preserve"> </v>
      </c>
      <c r="S61" s="1975" t="str">
        <f t="shared" si="33"/>
        <v xml:space="preserve"> </v>
      </c>
      <c r="T61" s="1975" t="str">
        <f t="shared" si="34"/>
        <v xml:space="preserve"> </v>
      </c>
      <c r="U61" s="1976" t="str">
        <f t="shared" si="35"/>
        <v xml:space="preserve"> </v>
      </c>
      <c r="V61" s="1976" t="str">
        <f t="shared" si="36"/>
        <v xml:space="preserve"> </v>
      </c>
      <c r="W61" s="1976" t="str">
        <f t="shared" si="37"/>
        <v xml:space="preserve"> </v>
      </c>
      <c r="X61" s="1976" t="str">
        <f t="shared" si="38"/>
        <v xml:space="preserve"> </v>
      </c>
      <c r="Y61" s="1976" t="str">
        <f t="shared" si="39"/>
        <v xml:space="preserve"> </v>
      </c>
      <c r="Z61" s="1977" t="str">
        <f t="shared" si="40"/>
        <v xml:space="preserve"> </v>
      </c>
      <c r="AA61" s="1977" t="str">
        <f t="shared" si="41"/>
        <v xml:space="preserve"> </v>
      </c>
      <c r="AB61" s="1977" t="str">
        <f t="shared" si="42"/>
        <v xml:space="preserve"> </v>
      </c>
      <c r="AC61" s="1977" t="str">
        <f t="shared" si="43"/>
        <v xml:space="preserve"> </v>
      </c>
      <c r="AD61" s="1977" t="str">
        <f t="shared" si="44"/>
        <v xml:space="preserve"> </v>
      </c>
      <c r="AE61" s="1978" t="str">
        <f t="shared" si="45"/>
        <v xml:space="preserve"> </v>
      </c>
      <c r="AF61" s="1978" t="str">
        <f t="shared" si="46"/>
        <v xml:space="preserve"> </v>
      </c>
      <c r="AG61" s="1978" t="str">
        <f t="shared" si="47"/>
        <v xml:space="preserve"> </v>
      </c>
      <c r="AH61" s="1978" t="str">
        <f t="shared" si="48"/>
        <v xml:space="preserve"> </v>
      </c>
      <c r="AI61" s="1978" t="str">
        <f t="shared" si="49"/>
        <v xml:space="preserve"> </v>
      </c>
    </row>
    <row r="62" spans="1:35" x14ac:dyDescent="0.25">
      <c r="L62" s="1972" t="str">
        <f t="shared" si="26"/>
        <v xml:space="preserve">      </v>
      </c>
      <c r="M62" s="1973" t="str">
        <f t="shared" si="27"/>
        <v xml:space="preserve">      </v>
      </c>
      <c r="N62" s="1974" t="str">
        <f t="shared" si="28"/>
        <v xml:space="preserve">      </v>
      </c>
      <c r="O62" s="1974" t="str">
        <f t="shared" si="29"/>
        <v xml:space="preserve">      </v>
      </c>
      <c r="P62" s="1975" t="str">
        <f t="shared" si="30"/>
        <v xml:space="preserve"> </v>
      </c>
      <c r="Q62" s="1975" t="str">
        <f t="shared" si="31"/>
        <v xml:space="preserve"> </v>
      </c>
      <c r="R62" s="1975" t="str">
        <f t="shared" si="32"/>
        <v xml:space="preserve"> </v>
      </c>
      <c r="S62" s="1975" t="str">
        <f t="shared" si="33"/>
        <v xml:space="preserve"> </v>
      </c>
      <c r="T62" s="1975" t="str">
        <f t="shared" si="34"/>
        <v xml:space="preserve"> </v>
      </c>
      <c r="U62" s="1976" t="str">
        <f t="shared" si="35"/>
        <v xml:space="preserve"> </v>
      </c>
      <c r="V62" s="1976" t="str">
        <f t="shared" si="36"/>
        <v xml:space="preserve"> </v>
      </c>
      <c r="W62" s="1976" t="str">
        <f t="shared" si="37"/>
        <v xml:space="preserve"> </v>
      </c>
      <c r="X62" s="1976" t="str">
        <f t="shared" si="38"/>
        <v xml:space="preserve"> </v>
      </c>
      <c r="Y62" s="1976" t="str">
        <f t="shared" si="39"/>
        <v xml:space="preserve"> </v>
      </c>
      <c r="Z62" s="1977" t="str">
        <f t="shared" si="40"/>
        <v xml:space="preserve"> </v>
      </c>
      <c r="AA62" s="1977" t="str">
        <f t="shared" si="41"/>
        <v xml:space="preserve"> </v>
      </c>
      <c r="AB62" s="1977" t="str">
        <f t="shared" si="42"/>
        <v xml:space="preserve"> </v>
      </c>
      <c r="AC62" s="1977" t="str">
        <f t="shared" si="43"/>
        <v xml:space="preserve"> </v>
      </c>
      <c r="AD62" s="1977" t="str">
        <f t="shared" si="44"/>
        <v xml:space="preserve"> </v>
      </c>
      <c r="AE62" s="1978" t="str">
        <f t="shared" si="45"/>
        <v xml:space="preserve"> </v>
      </c>
      <c r="AF62" s="1978" t="str">
        <f t="shared" si="46"/>
        <v xml:space="preserve"> </v>
      </c>
      <c r="AG62" s="1978" t="str">
        <f t="shared" si="47"/>
        <v xml:space="preserve"> </v>
      </c>
      <c r="AH62" s="1978" t="str">
        <f t="shared" si="48"/>
        <v xml:space="preserve"> </v>
      </c>
      <c r="AI62" s="1978" t="str">
        <f t="shared" si="49"/>
        <v xml:space="preserve"> </v>
      </c>
    </row>
    <row r="63" spans="1:35" x14ac:dyDescent="0.25">
      <c r="L63" s="1972" t="str">
        <f t="shared" si="26"/>
        <v xml:space="preserve">      </v>
      </c>
      <c r="M63" s="1973" t="str">
        <f t="shared" si="27"/>
        <v xml:space="preserve">      </v>
      </c>
      <c r="N63" s="1974" t="str">
        <f t="shared" si="28"/>
        <v xml:space="preserve">      </v>
      </c>
      <c r="O63" s="1974" t="str">
        <f t="shared" si="29"/>
        <v xml:space="preserve">      </v>
      </c>
      <c r="P63" s="1975" t="str">
        <f t="shared" si="30"/>
        <v xml:space="preserve"> </v>
      </c>
      <c r="Q63" s="1975" t="str">
        <f t="shared" si="31"/>
        <v xml:space="preserve"> </v>
      </c>
      <c r="R63" s="1975" t="str">
        <f t="shared" si="32"/>
        <v xml:space="preserve"> </v>
      </c>
      <c r="S63" s="1975" t="str">
        <f t="shared" si="33"/>
        <v xml:space="preserve"> </v>
      </c>
      <c r="T63" s="1975" t="str">
        <f t="shared" si="34"/>
        <v xml:space="preserve"> </v>
      </c>
      <c r="U63" s="1976" t="str">
        <f t="shared" si="35"/>
        <v xml:space="preserve"> </v>
      </c>
      <c r="V63" s="1976" t="str">
        <f t="shared" si="36"/>
        <v xml:space="preserve"> </v>
      </c>
      <c r="W63" s="1976" t="str">
        <f t="shared" si="37"/>
        <v xml:space="preserve"> </v>
      </c>
      <c r="X63" s="1976" t="str">
        <f t="shared" si="38"/>
        <v xml:space="preserve"> </v>
      </c>
      <c r="Y63" s="1976" t="str">
        <f t="shared" si="39"/>
        <v xml:space="preserve"> </v>
      </c>
      <c r="Z63" s="1977" t="str">
        <f t="shared" si="40"/>
        <v xml:space="preserve"> </v>
      </c>
      <c r="AA63" s="1977" t="str">
        <f t="shared" si="41"/>
        <v xml:space="preserve"> </v>
      </c>
      <c r="AB63" s="1977" t="str">
        <f t="shared" si="42"/>
        <v xml:space="preserve"> </v>
      </c>
      <c r="AC63" s="1977" t="str">
        <f t="shared" si="43"/>
        <v xml:space="preserve"> </v>
      </c>
      <c r="AD63" s="1977" t="str">
        <f t="shared" si="44"/>
        <v xml:space="preserve"> </v>
      </c>
      <c r="AE63" s="1978" t="str">
        <f t="shared" si="45"/>
        <v xml:space="preserve"> </v>
      </c>
      <c r="AF63" s="1978" t="str">
        <f t="shared" si="46"/>
        <v xml:space="preserve"> </v>
      </c>
      <c r="AG63" s="1978" t="str">
        <f t="shared" si="47"/>
        <v xml:space="preserve"> </v>
      </c>
      <c r="AH63" s="1978" t="str">
        <f t="shared" si="48"/>
        <v xml:space="preserve"> </v>
      </c>
      <c r="AI63" s="1978" t="str">
        <f t="shared" si="49"/>
        <v xml:space="preserve"> </v>
      </c>
    </row>
    <row r="64" spans="1:35" x14ac:dyDescent="0.25">
      <c r="L64" s="1972" t="str">
        <f t="shared" si="26"/>
        <v xml:space="preserve">      </v>
      </c>
      <c r="M64" s="1973" t="str">
        <f t="shared" si="27"/>
        <v xml:space="preserve">      </v>
      </c>
      <c r="N64" s="1974" t="str">
        <f t="shared" si="28"/>
        <v xml:space="preserve">      </v>
      </c>
      <c r="O64" s="1974" t="str">
        <f t="shared" si="29"/>
        <v xml:space="preserve">      </v>
      </c>
      <c r="P64" s="1975" t="str">
        <f t="shared" si="30"/>
        <v xml:space="preserve"> </v>
      </c>
      <c r="Q64" s="1975" t="str">
        <f t="shared" si="31"/>
        <v xml:space="preserve"> </v>
      </c>
      <c r="R64" s="1975" t="str">
        <f t="shared" si="32"/>
        <v xml:space="preserve"> </v>
      </c>
      <c r="S64" s="1975" t="str">
        <f t="shared" si="33"/>
        <v xml:space="preserve"> </v>
      </c>
      <c r="T64" s="1975" t="str">
        <f t="shared" si="34"/>
        <v xml:space="preserve"> </v>
      </c>
      <c r="U64" s="1976" t="str">
        <f t="shared" si="35"/>
        <v xml:space="preserve"> </v>
      </c>
      <c r="V64" s="1976" t="str">
        <f t="shared" si="36"/>
        <v xml:space="preserve"> </v>
      </c>
      <c r="W64" s="1976" t="str">
        <f t="shared" si="37"/>
        <v xml:space="preserve"> </v>
      </c>
      <c r="X64" s="1976" t="str">
        <f t="shared" si="38"/>
        <v xml:space="preserve"> </v>
      </c>
      <c r="Y64" s="1976" t="str">
        <f t="shared" si="39"/>
        <v xml:space="preserve"> </v>
      </c>
      <c r="Z64" s="1977" t="str">
        <f t="shared" si="40"/>
        <v xml:space="preserve"> </v>
      </c>
      <c r="AA64" s="1977" t="str">
        <f t="shared" si="41"/>
        <v xml:space="preserve"> </v>
      </c>
      <c r="AB64" s="1977" t="str">
        <f t="shared" si="42"/>
        <v xml:space="preserve"> </v>
      </c>
      <c r="AC64" s="1977" t="str">
        <f t="shared" si="43"/>
        <v xml:space="preserve"> </v>
      </c>
      <c r="AD64" s="1977" t="str">
        <f t="shared" si="44"/>
        <v xml:space="preserve"> </v>
      </c>
      <c r="AE64" s="1978" t="str">
        <f t="shared" si="45"/>
        <v xml:space="preserve"> </v>
      </c>
      <c r="AF64" s="1978" t="str">
        <f t="shared" si="46"/>
        <v xml:space="preserve"> </v>
      </c>
      <c r="AG64" s="1978" t="str">
        <f t="shared" si="47"/>
        <v xml:space="preserve"> </v>
      </c>
      <c r="AH64" s="1978" t="str">
        <f t="shared" si="48"/>
        <v xml:space="preserve"> </v>
      </c>
      <c r="AI64" s="1978" t="str">
        <f t="shared" si="49"/>
        <v xml:space="preserve"> </v>
      </c>
    </row>
    <row r="65" spans="12:35" s="352" customFormat="1" x14ac:dyDescent="0.25">
      <c r="L65" s="1972" t="str">
        <f t="shared" si="26"/>
        <v xml:space="preserve">      </v>
      </c>
      <c r="M65" s="1973" t="str">
        <f t="shared" si="27"/>
        <v xml:space="preserve">      </v>
      </c>
      <c r="N65" s="1974" t="str">
        <f t="shared" si="28"/>
        <v xml:space="preserve">      </v>
      </c>
      <c r="O65" s="1974" t="str">
        <f t="shared" si="29"/>
        <v xml:space="preserve">      </v>
      </c>
      <c r="P65" s="1975" t="str">
        <f t="shared" si="30"/>
        <v xml:space="preserve"> </v>
      </c>
      <c r="Q65" s="1975" t="str">
        <f t="shared" si="31"/>
        <v xml:space="preserve"> </v>
      </c>
      <c r="R65" s="1975" t="str">
        <f t="shared" si="32"/>
        <v xml:space="preserve"> </v>
      </c>
      <c r="S65" s="1975" t="str">
        <f t="shared" si="33"/>
        <v xml:space="preserve"> </v>
      </c>
      <c r="T65" s="1975" t="str">
        <f t="shared" si="34"/>
        <v xml:space="preserve"> </v>
      </c>
      <c r="U65" s="1976" t="str">
        <f t="shared" si="35"/>
        <v xml:space="preserve"> </v>
      </c>
      <c r="V65" s="1976" t="str">
        <f t="shared" si="36"/>
        <v xml:space="preserve"> </v>
      </c>
      <c r="W65" s="1976" t="str">
        <f t="shared" si="37"/>
        <v xml:space="preserve"> </v>
      </c>
      <c r="X65" s="1976" t="str">
        <f t="shared" si="38"/>
        <v xml:space="preserve"> </v>
      </c>
      <c r="Y65" s="1976" t="str">
        <f t="shared" si="39"/>
        <v xml:space="preserve"> </v>
      </c>
      <c r="Z65" s="1977" t="str">
        <f t="shared" si="40"/>
        <v xml:space="preserve"> </v>
      </c>
      <c r="AA65" s="1977" t="str">
        <f t="shared" si="41"/>
        <v xml:space="preserve"> </v>
      </c>
      <c r="AB65" s="1977" t="str">
        <f t="shared" si="42"/>
        <v xml:space="preserve"> </v>
      </c>
      <c r="AC65" s="1977" t="str">
        <f t="shared" si="43"/>
        <v xml:space="preserve"> </v>
      </c>
      <c r="AD65" s="1977" t="str">
        <f t="shared" si="44"/>
        <v xml:space="preserve"> </v>
      </c>
      <c r="AE65" s="1978" t="str">
        <f t="shared" si="45"/>
        <v xml:space="preserve"> </v>
      </c>
      <c r="AF65" s="1978" t="str">
        <f t="shared" si="46"/>
        <v xml:space="preserve"> </v>
      </c>
      <c r="AG65" s="1978" t="str">
        <f t="shared" si="47"/>
        <v xml:space="preserve"> </v>
      </c>
      <c r="AH65" s="1978" t="str">
        <f t="shared" si="48"/>
        <v xml:space="preserve"> </v>
      </c>
      <c r="AI65" s="1978" t="str">
        <f t="shared" si="49"/>
        <v xml:space="preserve"> </v>
      </c>
    </row>
    <row r="66" spans="12:35" s="352" customFormat="1" x14ac:dyDescent="0.25">
      <c r="L66" s="1972" t="str">
        <f t="shared" si="26"/>
        <v xml:space="preserve">      </v>
      </c>
      <c r="M66" s="1973" t="str">
        <f t="shared" si="27"/>
        <v xml:space="preserve">      </v>
      </c>
      <c r="N66" s="1974" t="str">
        <f t="shared" si="28"/>
        <v xml:space="preserve">      </v>
      </c>
      <c r="O66" s="1974" t="str">
        <f t="shared" si="29"/>
        <v xml:space="preserve">      </v>
      </c>
      <c r="P66" s="1975" t="str">
        <f t="shared" si="30"/>
        <v xml:space="preserve"> </v>
      </c>
      <c r="Q66" s="1975" t="str">
        <f t="shared" si="31"/>
        <v xml:space="preserve"> </v>
      </c>
      <c r="R66" s="1975" t="str">
        <f t="shared" si="32"/>
        <v xml:space="preserve"> </v>
      </c>
      <c r="S66" s="1975" t="str">
        <f t="shared" si="33"/>
        <v xml:space="preserve"> </v>
      </c>
      <c r="T66" s="1975" t="str">
        <f t="shared" si="34"/>
        <v xml:space="preserve"> </v>
      </c>
      <c r="U66" s="1976" t="str">
        <f t="shared" si="35"/>
        <v xml:space="preserve"> </v>
      </c>
      <c r="V66" s="1976" t="str">
        <f t="shared" si="36"/>
        <v xml:space="preserve"> </v>
      </c>
      <c r="W66" s="1976" t="str">
        <f t="shared" si="37"/>
        <v xml:space="preserve"> </v>
      </c>
      <c r="X66" s="1976" t="str">
        <f t="shared" si="38"/>
        <v xml:space="preserve"> </v>
      </c>
      <c r="Y66" s="1976" t="str">
        <f t="shared" si="39"/>
        <v xml:space="preserve"> </v>
      </c>
      <c r="Z66" s="1977" t="str">
        <f t="shared" si="40"/>
        <v xml:space="preserve"> </v>
      </c>
      <c r="AA66" s="1977" t="str">
        <f t="shared" si="41"/>
        <v xml:space="preserve"> </v>
      </c>
      <c r="AB66" s="1977" t="str">
        <f t="shared" si="42"/>
        <v xml:space="preserve"> </v>
      </c>
      <c r="AC66" s="1977" t="str">
        <f t="shared" si="43"/>
        <v xml:space="preserve"> </v>
      </c>
      <c r="AD66" s="1977" t="str">
        <f t="shared" si="44"/>
        <v xml:space="preserve"> </v>
      </c>
      <c r="AE66" s="1978" t="str">
        <f t="shared" si="45"/>
        <v xml:space="preserve"> </v>
      </c>
      <c r="AF66" s="1978" t="str">
        <f t="shared" si="46"/>
        <v xml:space="preserve"> </v>
      </c>
      <c r="AG66" s="1978" t="str">
        <f t="shared" si="47"/>
        <v xml:space="preserve"> </v>
      </c>
      <c r="AH66" s="1978" t="str">
        <f t="shared" si="48"/>
        <v xml:space="preserve"> </v>
      </c>
      <c r="AI66" s="1978" t="str">
        <f t="shared" si="49"/>
        <v xml:space="preserve"> </v>
      </c>
    </row>
    <row r="67" spans="12:35" s="352" customFormat="1" x14ac:dyDescent="0.25">
      <c r="L67" s="1972" t="str">
        <f t="shared" si="26"/>
        <v xml:space="preserve">      </v>
      </c>
      <c r="M67" s="1973" t="str">
        <f t="shared" si="27"/>
        <v xml:space="preserve">      </v>
      </c>
      <c r="N67" s="1974" t="str">
        <f t="shared" si="28"/>
        <v xml:space="preserve">      </v>
      </c>
      <c r="O67" s="1974" t="str">
        <f t="shared" si="29"/>
        <v xml:space="preserve">      </v>
      </c>
      <c r="P67" s="1975" t="str">
        <f t="shared" si="30"/>
        <v xml:space="preserve"> </v>
      </c>
      <c r="Q67" s="1975" t="str">
        <f t="shared" si="31"/>
        <v xml:space="preserve"> </v>
      </c>
      <c r="R67" s="1975" t="str">
        <f t="shared" si="32"/>
        <v xml:space="preserve"> </v>
      </c>
      <c r="S67" s="1975" t="str">
        <f t="shared" si="33"/>
        <v xml:space="preserve"> </v>
      </c>
      <c r="T67" s="1975" t="str">
        <f t="shared" si="34"/>
        <v xml:space="preserve"> </v>
      </c>
      <c r="U67" s="1976" t="str">
        <f t="shared" si="35"/>
        <v xml:space="preserve"> </v>
      </c>
      <c r="V67" s="1976" t="str">
        <f t="shared" si="36"/>
        <v xml:space="preserve"> </v>
      </c>
      <c r="W67" s="1976" t="str">
        <f t="shared" si="37"/>
        <v xml:space="preserve"> </v>
      </c>
      <c r="X67" s="1976" t="str">
        <f t="shared" si="38"/>
        <v xml:space="preserve"> </v>
      </c>
      <c r="Y67" s="1976" t="str">
        <f t="shared" si="39"/>
        <v xml:space="preserve"> </v>
      </c>
      <c r="Z67" s="1977" t="str">
        <f t="shared" si="40"/>
        <v xml:space="preserve"> </v>
      </c>
      <c r="AA67" s="1977" t="str">
        <f t="shared" si="41"/>
        <v xml:space="preserve"> </v>
      </c>
      <c r="AB67" s="1977" t="str">
        <f t="shared" si="42"/>
        <v xml:space="preserve"> </v>
      </c>
      <c r="AC67" s="1977" t="str">
        <f t="shared" si="43"/>
        <v xml:space="preserve"> </v>
      </c>
      <c r="AD67" s="1977" t="str">
        <f t="shared" si="44"/>
        <v xml:space="preserve"> </v>
      </c>
      <c r="AE67" s="1978" t="str">
        <f t="shared" si="45"/>
        <v xml:space="preserve"> </v>
      </c>
      <c r="AF67" s="1978" t="str">
        <f t="shared" si="46"/>
        <v xml:space="preserve"> </v>
      </c>
      <c r="AG67" s="1978" t="str">
        <f t="shared" si="47"/>
        <v xml:space="preserve"> </v>
      </c>
      <c r="AH67" s="1978" t="str">
        <f t="shared" si="48"/>
        <v xml:space="preserve"> </v>
      </c>
      <c r="AI67" s="1978" t="str">
        <f t="shared" si="49"/>
        <v xml:space="preserve"> </v>
      </c>
    </row>
    <row r="68" spans="12:35" s="352" customFormat="1" x14ac:dyDescent="0.25">
      <c r="L68" s="1972" t="str">
        <f t="shared" si="26"/>
        <v xml:space="preserve">      </v>
      </c>
      <c r="M68" s="1973" t="str">
        <f t="shared" si="27"/>
        <v xml:space="preserve">      </v>
      </c>
      <c r="N68" s="1974" t="str">
        <f t="shared" si="28"/>
        <v xml:space="preserve">      </v>
      </c>
      <c r="O68" s="1974" t="str">
        <f t="shared" si="29"/>
        <v xml:space="preserve">      </v>
      </c>
      <c r="P68" s="1975" t="str">
        <f t="shared" si="30"/>
        <v xml:space="preserve"> </v>
      </c>
      <c r="Q68" s="1975" t="str">
        <f t="shared" si="31"/>
        <v xml:space="preserve"> </v>
      </c>
      <c r="R68" s="1975" t="str">
        <f t="shared" si="32"/>
        <v xml:space="preserve"> </v>
      </c>
      <c r="S68" s="1975" t="str">
        <f t="shared" si="33"/>
        <v xml:space="preserve"> </v>
      </c>
      <c r="T68" s="1975" t="str">
        <f t="shared" si="34"/>
        <v xml:space="preserve"> </v>
      </c>
      <c r="U68" s="1976" t="str">
        <f t="shared" si="35"/>
        <v xml:space="preserve"> </v>
      </c>
      <c r="V68" s="1976" t="str">
        <f t="shared" si="36"/>
        <v xml:space="preserve"> </v>
      </c>
      <c r="W68" s="1976" t="str">
        <f t="shared" si="37"/>
        <v xml:space="preserve"> </v>
      </c>
      <c r="X68" s="1976" t="str">
        <f t="shared" si="38"/>
        <v xml:space="preserve"> </v>
      </c>
      <c r="Y68" s="1976" t="str">
        <f t="shared" si="39"/>
        <v xml:space="preserve"> </v>
      </c>
      <c r="Z68" s="1977" t="str">
        <f t="shared" si="40"/>
        <v xml:space="preserve"> </v>
      </c>
      <c r="AA68" s="1977" t="str">
        <f t="shared" si="41"/>
        <v xml:space="preserve"> </v>
      </c>
      <c r="AB68" s="1977" t="str">
        <f t="shared" si="42"/>
        <v xml:space="preserve"> </v>
      </c>
      <c r="AC68" s="1977" t="str">
        <f t="shared" si="43"/>
        <v xml:space="preserve"> </v>
      </c>
      <c r="AD68" s="1977" t="str">
        <f t="shared" si="44"/>
        <v xml:space="preserve"> </v>
      </c>
      <c r="AE68" s="1978" t="str">
        <f t="shared" si="45"/>
        <v xml:space="preserve"> </v>
      </c>
      <c r="AF68" s="1978" t="str">
        <f t="shared" si="46"/>
        <v xml:space="preserve"> </v>
      </c>
      <c r="AG68" s="1978" t="str">
        <f t="shared" si="47"/>
        <v xml:space="preserve"> </v>
      </c>
      <c r="AH68" s="1978" t="str">
        <f t="shared" si="48"/>
        <v xml:space="preserve"> </v>
      </c>
      <c r="AI68" s="1978" t="str">
        <f t="shared" si="49"/>
        <v xml:space="preserve"> </v>
      </c>
    </row>
    <row r="69" spans="12:35" s="352" customFormat="1" x14ac:dyDescent="0.25">
      <c r="L69" s="1972" t="str">
        <f t="shared" si="26"/>
        <v xml:space="preserve">      </v>
      </c>
      <c r="M69" s="1973" t="str">
        <f t="shared" si="27"/>
        <v xml:space="preserve">      </v>
      </c>
      <c r="N69" s="1974" t="str">
        <f t="shared" si="28"/>
        <v xml:space="preserve">      </v>
      </c>
      <c r="O69" s="1974" t="str">
        <f t="shared" si="29"/>
        <v xml:space="preserve">      </v>
      </c>
      <c r="P69" s="1975" t="str">
        <f t="shared" si="30"/>
        <v xml:space="preserve"> </v>
      </c>
      <c r="Q69" s="1975" t="str">
        <f t="shared" si="31"/>
        <v xml:space="preserve"> </v>
      </c>
      <c r="R69" s="1975" t="str">
        <f t="shared" si="32"/>
        <v xml:space="preserve"> </v>
      </c>
      <c r="S69" s="1975" t="str">
        <f t="shared" si="33"/>
        <v xml:space="preserve"> </v>
      </c>
      <c r="T69" s="1975" t="str">
        <f t="shared" si="34"/>
        <v xml:space="preserve"> </v>
      </c>
      <c r="U69" s="1976" t="str">
        <f t="shared" si="35"/>
        <v xml:space="preserve"> </v>
      </c>
      <c r="V69" s="1976" t="str">
        <f t="shared" si="36"/>
        <v xml:space="preserve"> </v>
      </c>
      <c r="W69" s="1976" t="str">
        <f t="shared" si="37"/>
        <v xml:space="preserve"> </v>
      </c>
      <c r="X69" s="1976" t="str">
        <f t="shared" si="38"/>
        <v xml:space="preserve"> </v>
      </c>
      <c r="Y69" s="1976" t="str">
        <f t="shared" si="39"/>
        <v xml:space="preserve"> </v>
      </c>
      <c r="Z69" s="1977" t="str">
        <f t="shared" si="40"/>
        <v xml:space="preserve"> </v>
      </c>
      <c r="AA69" s="1977" t="str">
        <f t="shared" si="41"/>
        <v xml:space="preserve"> </v>
      </c>
      <c r="AB69" s="1977" t="str">
        <f t="shared" si="42"/>
        <v xml:space="preserve"> </v>
      </c>
      <c r="AC69" s="1977" t="str">
        <f t="shared" si="43"/>
        <v xml:space="preserve"> </v>
      </c>
      <c r="AD69" s="1977" t="str">
        <f t="shared" si="44"/>
        <v xml:space="preserve"> </v>
      </c>
      <c r="AE69" s="1978" t="str">
        <f t="shared" si="45"/>
        <v xml:space="preserve"> </v>
      </c>
      <c r="AF69" s="1978" t="str">
        <f t="shared" si="46"/>
        <v xml:space="preserve"> </v>
      </c>
      <c r="AG69" s="1978" t="str">
        <f t="shared" si="47"/>
        <v xml:space="preserve"> </v>
      </c>
      <c r="AH69" s="1978" t="str">
        <f t="shared" si="48"/>
        <v xml:space="preserve"> </v>
      </c>
      <c r="AI69" s="1978" t="str">
        <f t="shared" si="49"/>
        <v xml:space="preserve"> </v>
      </c>
    </row>
    <row r="70" spans="12:35" s="352" customFormat="1" x14ac:dyDescent="0.25">
      <c r="L70" s="1972" t="str">
        <f t="shared" si="26"/>
        <v xml:space="preserve">      </v>
      </c>
      <c r="M70" s="1973" t="str">
        <f t="shared" si="27"/>
        <v xml:space="preserve">      </v>
      </c>
      <c r="N70" s="1974" t="str">
        <f t="shared" si="28"/>
        <v xml:space="preserve">      </v>
      </c>
      <c r="O70" s="1974" t="str">
        <f t="shared" si="29"/>
        <v xml:space="preserve">      </v>
      </c>
      <c r="P70" s="1975" t="str">
        <f t="shared" si="30"/>
        <v xml:space="preserve"> </v>
      </c>
      <c r="Q70" s="1975" t="str">
        <f t="shared" si="31"/>
        <v xml:space="preserve"> </v>
      </c>
      <c r="R70" s="1975" t="str">
        <f t="shared" si="32"/>
        <v xml:space="preserve"> </v>
      </c>
      <c r="S70" s="1975" t="str">
        <f t="shared" si="33"/>
        <v xml:space="preserve"> </v>
      </c>
      <c r="T70" s="1975" t="str">
        <f t="shared" si="34"/>
        <v xml:space="preserve"> </v>
      </c>
      <c r="U70" s="1976" t="str">
        <f t="shared" si="35"/>
        <v xml:space="preserve"> </v>
      </c>
      <c r="V70" s="1976" t="str">
        <f t="shared" si="36"/>
        <v xml:space="preserve"> </v>
      </c>
      <c r="W70" s="1976" t="str">
        <f t="shared" si="37"/>
        <v xml:space="preserve"> </v>
      </c>
      <c r="X70" s="1976" t="str">
        <f t="shared" si="38"/>
        <v xml:space="preserve"> </v>
      </c>
      <c r="Y70" s="1976" t="str">
        <f t="shared" si="39"/>
        <v xml:space="preserve"> </v>
      </c>
      <c r="Z70" s="1977" t="str">
        <f t="shared" si="40"/>
        <v xml:space="preserve"> </v>
      </c>
      <c r="AA70" s="1977" t="str">
        <f t="shared" si="41"/>
        <v xml:space="preserve"> </v>
      </c>
      <c r="AB70" s="1977" t="str">
        <f t="shared" si="42"/>
        <v xml:space="preserve"> </v>
      </c>
      <c r="AC70" s="1977" t="str">
        <f t="shared" si="43"/>
        <v xml:space="preserve"> </v>
      </c>
      <c r="AD70" s="1977" t="str">
        <f t="shared" si="44"/>
        <v xml:space="preserve"> </v>
      </c>
      <c r="AE70" s="1978" t="str">
        <f t="shared" si="45"/>
        <v xml:space="preserve"> </v>
      </c>
      <c r="AF70" s="1978" t="str">
        <f t="shared" si="46"/>
        <v xml:space="preserve"> </v>
      </c>
      <c r="AG70" s="1978" t="str">
        <f t="shared" si="47"/>
        <v xml:space="preserve"> </v>
      </c>
      <c r="AH70" s="1978" t="str">
        <f t="shared" si="48"/>
        <v xml:space="preserve"> </v>
      </c>
      <c r="AI70" s="1978" t="str">
        <f t="shared" si="49"/>
        <v xml:space="preserve"> </v>
      </c>
    </row>
    <row r="71" spans="12:35" s="352" customFormat="1" x14ac:dyDescent="0.25">
      <c r="L71" s="1972" t="str">
        <f t="shared" si="26"/>
        <v xml:space="preserve">      </v>
      </c>
      <c r="M71" s="1973" t="str">
        <f t="shared" si="27"/>
        <v xml:space="preserve">      </v>
      </c>
      <c r="N71" s="1974" t="str">
        <f t="shared" si="28"/>
        <v xml:space="preserve">      </v>
      </c>
      <c r="O71" s="1974" t="str">
        <f t="shared" si="29"/>
        <v xml:space="preserve">      </v>
      </c>
      <c r="P71" s="1975" t="str">
        <f t="shared" si="30"/>
        <v xml:space="preserve"> </v>
      </c>
      <c r="Q71" s="1975" t="str">
        <f t="shared" si="31"/>
        <v xml:space="preserve"> </v>
      </c>
      <c r="R71" s="1975" t="str">
        <f t="shared" si="32"/>
        <v xml:space="preserve"> </v>
      </c>
      <c r="S71" s="1975" t="str">
        <f t="shared" si="33"/>
        <v xml:space="preserve"> </v>
      </c>
      <c r="T71" s="1975" t="str">
        <f t="shared" si="34"/>
        <v xml:space="preserve"> </v>
      </c>
      <c r="U71" s="1976" t="str">
        <f t="shared" si="35"/>
        <v xml:space="preserve"> </v>
      </c>
      <c r="V71" s="1976" t="str">
        <f t="shared" si="36"/>
        <v xml:space="preserve"> </v>
      </c>
      <c r="W71" s="1976" t="str">
        <f t="shared" si="37"/>
        <v xml:space="preserve"> </v>
      </c>
      <c r="X71" s="1976" t="str">
        <f t="shared" si="38"/>
        <v xml:space="preserve"> </v>
      </c>
      <c r="Y71" s="1976" t="str">
        <f t="shared" si="39"/>
        <v xml:space="preserve"> </v>
      </c>
      <c r="Z71" s="1977" t="str">
        <f t="shared" si="40"/>
        <v xml:space="preserve"> </v>
      </c>
      <c r="AA71" s="1977" t="str">
        <f t="shared" si="41"/>
        <v xml:space="preserve"> </v>
      </c>
      <c r="AB71" s="1977" t="str">
        <f t="shared" si="42"/>
        <v xml:space="preserve"> </v>
      </c>
      <c r="AC71" s="1977" t="str">
        <f t="shared" si="43"/>
        <v xml:space="preserve"> </v>
      </c>
      <c r="AD71" s="1977" t="str">
        <f t="shared" si="44"/>
        <v xml:space="preserve"> </v>
      </c>
      <c r="AE71" s="1978" t="str">
        <f t="shared" si="45"/>
        <v xml:space="preserve"> </v>
      </c>
      <c r="AF71" s="1978" t="str">
        <f t="shared" si="46"/>
        <v xml:space="preserve"> </v>
      </c>
      <c r="AG71" s="1978" t="str">
        <f t="shared" si="47"/>
        <v xml:space="preserve"> </v>
      </c>
      <c r="AH71" s="1978" t="str">
        <f t="shared" si="48"/>
        <v xml:space="preserve"> </v>
      </c>
      <c r="AI71" s="1978" t="str">
        <f t="shared" si="49"/>
        <v xml:space="preserve"> </v>
      </c>
    </row>
    <row r="72" spans="12:35" s="352" customFormat="1" x14ac:dyDescent="0.25">
      <c r="L72" s="1972" t="str">
        <f t="shared" si="26"/>
        <v xml:space="preserve">      </v>
      </c>
      <c r="M72" s="1973" t="str">
        <f t="shared" si="27"/>
        <v xml:space="preserve">      </v>
      </c>
      <c r="N72" s="1974" t="str">
        <f t="shared" si="28"/>
        <v xml:space="preserve">      </v>
      </c>
      <c r="O72" s="1974" t="str">
        <f t="shared" si="29"/>
        <v xml:space="preserve">      </v>
      </c>
      <c r="P72" s="1975" t="str">
        <f t="shared" si="30"/>
        <v xml:space="preserve"> </v>
      </c>
      <c r="Q72" s="1975" t="str">
        <f t="shared" si="31"/>
        <v xml:space="preserve"> </v>
      </c>
      <c r="R72" s="1975" t="str">
        <f t="shared" si="32"/>
        <v xml:space="preserve"> </v>
      </c>
      <c r="S72" s="1975" t="str">
        <f t="shared" si="33"/>
        <v xml:space="preserve"> </v>
      </c>
      <c r="T72" s="1975" t="str">
        <f t="shared" si="34"/>
        <v xml:space="preserve"> </v>
      </c>
      <c r="U72" s="1976" t="str">
        <f t="shared" si="35"/>
        <v xml:space="preserve"> </v>
      </c>
      <c r="V72" s="1976" t="str">
        <f t="shared" si="36"/>
        <v xml:space="preserve"> </v>
      </c>
      <c r="W72" s="1976" t="str">
        <f t="shared" si="37"/>
        <v xml:space="preserve"> </v>
      </c>
      <c r="X72" s="1976" t="str">
        <f t="shared" si="38"/>
        <v xml:space="preserve"> </v>
      </c>
      <c r="Y72" s="1976" t="str">
        <f t="shared" si="39"/>
        <v xml:space="preserve"> </v>
      </c>
      <c r="Z72" s="1977" t="str">
        <f t="shared" si="40"/>
        <v xml:space="preserve"> </v>
      </c>
      <c r="AA72" s="1977" t="str">
        <f t="shared" si="41"/>
        <v xml:space="preserve"> </v>
      </c>
      <c r="AB72" s="1977" t="str">
        <f t="shared" si="42"/>
        <v xml:space="preserve"> </v>
      </c>
      <c r="AC72" s="1977" t="str">
        <f t="shared" si="43"/>
        <v xml:space="preserve"> </v>
      </c>
      <c r="AD72" s="1977" t="str">
        <f t="shared" si="44"/>
        <v xml:space="preserve"> </v>
      </c>
      <c r="AE72" s="1978" t="str">
        <f t="shared" si="45"/>
        <v xml:space="preserve"> </v>
      </c>
      <c r="AF72" s="1978" t="str">
        <f t="shared" si="46"/>
        <v xml:space="preserve"> </v>
      </c>
      <c r="AG72" s="1978" t="str">
        <f t="shared" si="47"/>
        <v xml:space="preserve"> </v>
      </c>
      <c r="AH72" s="1978" t="str">
        <f t="shared" si="48"/>
        <v xml:space="preserve"> </v>
      </c>
      <c r="AI72" s="1978" t="str">
        <f t="shared" si="49"/>
        <v xml:space="preserve"> </v>
      </c>
    </row>
    <row r="73" spans="12:35" s="352" customFormat="1" x14ac:dyDescent="0.25">
      <c r="L73" s="1972" t="str">
        <f t="shared" si="26"/>
        <v xml:space="preserve">      </v>
      </c>
      <c r="M73" s="1973" t="str">
        <f t="shared" si="27"/>
        <v xml:space="preserve">      </v>
      </c>
      <c r="N73" s="1974" t="str">
        <f t="shared" si="28"/>
        <v xml:space="preserve">      </v>
      </c>
      <c r="O73" s="1974" t="str">
        <f t="shared" si="29"/>
        <v xml:space="preserve">      </v>
      </c>
      <c r="P73" s="1975" t="str">
        <f t="shared" si="30"/>
        <v xml:space="preserve"> </v>
      </c>
      <c r="Q73" s="1975" t="str">
        <f t="shared" si="31"/>
        <v xml:space="preserve"> </v>
      </c>
      <c r="R73" s="1975" t="str">
        <f t="shared" si="32"/>
        <v xml:space="preserve"> </v>
      </c>
      <c r="S73" s="1975" t="str">
        <f t="shared" si="33"/>
        <v xml:space="preserve"> </v>
      </c>
      <c r="T73" s="1975" t="str">
        <f t="shared" si="34"/>
        <v xml:space="preserve"> </v>
      </c>
      <c r="U73" s="1976" t="str">
        <f t="shared" si="35"/>
        <v xml:space="preserve"> </v>
      </c>
      <c r="V73" s="1976" t="str">
        <f t="shared" si="36"/>
        <v xml:space="preserve"> </v>
      </c>
      <c r="W73" s="1976" t="str">
        <f t="shared" si="37"/>
        <v xml:space="preserve"> </v>
      </c>
      <c r="X73" s="1976" t="str">
        <f t="shared" si="38"/>
        <v xml:space="preserve"> </v>
      </c>
      <c r="Y73" s="1976" t="str">
        <f t="shared" si="39"/>
        <v xml:space="preserve"> </v>
      </c>
      <c r="Z73" s="1977" t="str">
        <f t="shared" si="40"/>
        <v xml:space="preserve"> </v>
      </c>
      <c r="AA73" s="1977" t="str">
        <f t="shared" si="41"/>
        <v xml:space="preserve"> </v>
      </c>
      <c r="AB73" s="1977" t="str">
        <f t="shared" si="42"/>
        <v xml:space="preserve"> </v>
      </c>
      <c r="AC73" s="1977" t="str">
        <f t="shared" si="43"/>
        <v xml:space="preserve"> </v>
      </c>
      <c r="AD73" s="1977" t="str">
        <f t="shared" si="44"/>
        <v xml:space="preserve"> </v>
      </c>
      <c r="AE73" s="1978" t="str">
        <f t="shared" si="45"/>
        <v xml:space="preserve"> </v>
      </c>
      <c r="AF73" s="1978" t="str">
        <f t="shared" si="46"/>
        <v xml:space="preserve"> </v>
      </c>
      <c r="AG73" s="1978" t="str">
        <f t="shared" si="47"/>
        <v xml:space="preserve"> </v>
      </c>
      <c r="AH73" s="1978" t="str">
        <f t="shared" si="48"/>
        <v xml:space="preserve"> </v>
      </c>
      <c r="AI73" s="1978" t="str">
        <f t="shared" si="49"/>
        <v xml:space="preserve"> </v>
      </c>
    </row>
    <row r="74" spans="12:35" s="352" customFormat="1" x14ac:dyDescent="0.25">
      <c r="L74" s="1972" t="str">
        <f t="shared" ref="L74:L79" si="50">IF(OR(C74=4,D74=4,E74=4,F74=4,G74=4),CONCATENATE("Sangat baik",P74,Q74,R74,S74,T74,),CONCATENATE(" ",P74,Q74,R74,S74,T74,))</f>
        <v xml:space="preserve">      </v>
      </c>
      <c r="M74" s="1973" t="str">
        <f t="shared" ref="M74:M79" si="51">IF(OR(C74=3,D74=3,E74=3,F74=3,G74=3),CONCATENATE("Baik ",U74,V74,W74,X74,Y74,),CONCATENATE(" ",U74,V74,W74,X74,Y74,))</f>
        <v xml:space="preserve">      </v>
      </c>
      <c r="N74" s="1974" t="str">
        <f t="shared" ref="N74:N79" si="52">IF(OR(C74=2,D74=2,E74=2,F74=2,G74=2),CONCATENATE("Dengan bimbingan dan pendampingan yang lebih, akan mampu   meningkatkan  ",Z74,AA74,AB74,AC74,AD74,),CONCATENATE(" ",Z74,AA74,AB74,AC74,AD74,))</f>
        <v xml:space="preserve">      </v>
      </c>
      <c r="O74" s="1974" t="str">
        <f t="shared" ref="O74:O79" si="53">IF(OR(C74=1,D74=1,E74=1,F74=1,G74=1),CONCATENATE("perlu bimbingan ",AE74,AF74,AG74,AH74,AI74,),CONCATENATE(" ",Z74,AA74,AB74,AC74,AD74,))</f>
        <v xml:space="preserve">      </v>
      </c>
      <c r="P74" s="1975" t="str">
        <f t="shared" ref="P74:P79" si="54">IF(C74=4,$P$12," ")</f>
        <v xml:space="preserve"> </v>
      </c>
      <c r="Q74" s="1975" t="str">
        <f t="shared" ref="Q74:Q79" si="55">IF(D74=4,$Q$12," ")</f>
        <v xml:space="preserve"> </v>
      </c>
      <c r="R74" s="1975" t="str">
        <f t="shared" ref="R74:R79" si="56">IF(E74=4,$R$12," ")</f>
        <v xml:space="preserve"> </v>
      </c>
      <c r="S74" s="1975" t="str">
        <f t="shared" ref="S74:S79" si="57">IF(F74=4,$S$12," ")</f>
        <v xml:space="preserve"> </v>
      </c>
      <c r="T74" s="1975" t="str">
        <f t="shared" ref="T74:T79" si="58">IF(G74=4,$T$12," ")</f>
        <v xml:space="preserve"> </v>
      </c>
      <c r="U74" s="1976" t="str">
        <f t="shared" ref="U74:U79" si="59">IF(C74=3,$P$12," ")</f>
        <v xml:space="preserve"> </v>
      </c>
      <c r="V74" s="1976" t="str">
        <f t="shared" ref="V74:V79" si="60">IF(D74=3,$Q$12," ")</f>
        <v xml:space="preserve"> </v>
      </c>
      <c r="W74" s="1976" t="str">
        <f t="shared" ref="W74:W79" si="61">IF(E74=3,$R$12," ")</f>
        <v xml:space="preserve"> </v>
      </c>
      <c r="X74" s="1976" t="str">
        <f t="shared" ref="X74:X79" si="62">IF(F74=3,$S$12," ")</f>
        <v xml:space="preserve"> </v>
      </c>
      <c r="Y74" s="1976" t="str">
        <f t="shared" ref="Y74:Y79" si="63">IF(G74=3,$T$12," ")</f>
        <v xml:space="preserve"> </v>
      </c>
      <c r="Z74" s="1977" t="str">
        <f t="shared" ref="Z74:Z79" si="64">IF(C74=2,$P$12," ")</f>
        <v xml:space="preserve"> </v>
      </c>
      <c r="AA74" s="1977" t="str">
        <f t="shared" ref="AA74:AA79" si="65">IF(D74=2,$Q$12," ")</f>
        <v xml:space="preserve"> </v>
      </c>
      <c r="AB74" s="1977" t="str">
        <f t="shared" ref="AB74:AB79" si="66">IF(E74=2,$R$12," ")</f>
        <v xml:space="preserve"> </v>
      </c>
      <c r="AC74" s="1977" t="str">
        <f t="shared" ref="AC74:AC79" si="67">IF(F74=2,$S$12," ")</f>
        <v xml:space="preserve"> </v>
      </c>
      <c r="AD74" s="1977" t="str">
        <f t="shared" ref="AD74:AD79" si="68">IF(G74=2,$T$12," ")</f>
        <v xml:space="preserve"> </v>
      </c>
      <c r="AE74" s="1978" t="str">
        <f t="shared" ref="AE74:AE79" si="69">IF(C74=1,$P$12," ")</f>
        <v xml:space="preserve"> </v>
      </c>
      <c r="AF74" s="1978" t="str">
        <f t="shared" ref="AF74:AF79" si="70">IF(D74=1,$Q$12," ")</f>
        <v xml:space="preserve"> </v>
      </c>
      <c r="AG74" s="1978" t="str">
        <f t="shared" ref="AG74:AG79" si="71">IF(E74=1,$R$12," ")</f>
        <v xml:space="preserve"> </v>
      </c>
      <c r="AH74" s="1978" t="str">
        <f t="shared" ref="AH74:AH79" si="72">IF(F74=1,$S$12," ")</f>
        <v xml:space="preserve"> </v>
      </c>
      <c r="AI74" s="1978" t="str">
        <f t="shared" ref="AI74:AI79" si="73">IF(G74=1,$T$12," ")</f>
        <v xml:space="preserve"> </v>
      </c>
    </row>
    <row r="75" spans="12:35" s="352" customFormat="1" x14ac:dyDescent="0.25">
      <c r="L75" s="1972" t="str">
        <f t="shared" si="50"/>
        <v xml:space="preserve">      </v>
      </c>
      <c r="M75" s="1973" t="str">
        <f t="shared" si="51"/>
        <v xml:space="preserve">      </v>
      </c>
      <c r="N75" s="1974" t="str">
        <f t="shared" si="52"/>
        <v xml:space="preserve">      </v>
      </c>
      <c r="O75" s="1974" t="str">
        <f t="shared" si="53"/>
        <v xml:space="preserve">      </v>
      </c>
      <c r="P75" s="1975" t="str">
        <f t="shared" si="54"/>
        <v xml:space="preserve"> </v>
      </c>
      <c r="Q75" s="1975" t="str">
        <f t="shared" si="55"/>
        <v xml:space="preserve"> </v>
      </c>
      <c r="R75" s="1975" t="str">
        <f t="shared" si="56"/>
        <v xml:space="preserve"> </v>
      </c>
      <c r="S75" s="1975" t="str">
        <f t="shared" si="57"/>
        <v xml:space="preserve"> </v>
      </c>
      <c r="T75" s="1975" t="str">
        <f t="shared" si="58"/>
        <v xml:space="preserve"> </v>
      </c>
      <c r="U75" s="1976" t="str">
        <f t="shared" si="59"/>
        <v xml:space="preserve"> </v>
      </c>
      <c r="V75" s="1976" t="str">
        <f t="shared" si="60"/>
        <v xml:space="preserve"> </v>
      </c>
      <c r="W75" s="1976" t="str">
        <f t="shared" si="61"/>
        <v xml:space="preserve"> </v>
      </c>
      <c r="X75" s="1976" t="str">
        <f t="shared" si="62"/>
        <v xml:space="preserve"> </v>
      </c>
      <c r="Y75" s="1976" t="str">
        <f t="shared" si="63"/>
        <v xml:space="preserve"> </v>
      </c>
      <c r="Z75" s="1977" t="str">
        <f t="shared" si="64"/>
        <v xml:space="preserve"> </v>
      </c>
      <c r="AA75" s="1977" t="str">
        <f t="shared" si="65"/>
        <v xml:space="preserve"> </v>
      </c>
      <c r="AB75" s="1977" t="str">
        <f t="shared" si="66"/>
        <v xml:space="preserve"> </v>
      </c>
      <c r="AC75" s="1977" t="str">
        <f t="shared" si="67"/>
        <v xml:space="preserve"> </v>
      </c>
      <c r="AD75" s="1977" t="str">
        <f t="shared" si="68"/>
        <v xml:space="preserve"> </v>
      </c>
      <c r="AE75" s="1978" t="str">
        <f t="shared" si="69"/>
        <v xml:space="preserve"> </v>
      </c>
      <c r="AF75" s="1978" t="str">
        <f t="shared" si="70"/>
        <v xml:space="preserve"> </v>
      </c>
      <c r="AG75" s="1978" t="str">
        <f t="shared" si="71"/>
        <v xml:space="preserve"> </v>
      </c>
      <c r="AH75" s="1978" t="str">
        <f t="shared" si="72"/>
        <v xml:space="preserve"> </v>
      </c>
      <c r="AI75" s="1978" t="str">
        <f t="shared" si="73"/>
        <v xml:space="preserve"> </v>
      </c>
    </row>
    <row r="76" spans="12:35" s="352" customFormat="1" x14ac:dyDescent="0.25">
      <c r="L76" s="1972" t="str">
        <f t="shared" si="50"/>
        <v xml:space="preserve">      </v>
      </c>
      <c r="M76" s="1973" t="str">
        <f t="shared" si="51"/>
        <v xml:space="preserve">      </v>
      </c>
      <c r="N76" s="1974" t="str">
        <f t="shared" si="52"/>
        <v xml:space="preserve">      </v>
      </c>
      <c r="O76" s="1974" t="str">
        <f t="shared" si="53"/>
        <v xml:space="preserve">      </v>
      </c>
      <c r="P76" s="1975" t="str">
        <f t="shared" si="54"/>
        <v xml:space="preserve"> </v>
      </c>
      <c r="Q76" s="1975" t="str">
        <f t="shared" si="55"/>
        <v xml:space="preserve"> </v>
      </c>
      <c r="R76" s="1975" t="str">
        <f t="shared" si="56"/>
        <v xml:space="preserve"> </v>
      </c>
      <c r="S76" s="1975" t="str">
        <f t="shared" si="57"/>
        <v xml:space="preserve"> </v>
      </c>
      <c r="T76" s="1975" t="str">
        <f t="shared" si="58"/>
        <v xml:space="preserve"> </v>
      </c>
      <c r="U76" s="1976" t="str">
        <f t="shared" si="59"/>
        <v xml:space="preserve"> </v>
      </c>
      <c r="V76" s="1976" t="str">
        <f t="shared" si="60"/>
        <v xml:space="preserve"> </v>
      </c>
      <c r="W76" s="1976" t="str">
        <f t="shared" si="61"/>
        <v xml:space="preserve"> </v>
      </c>
      <c r="X76" s="1976" t="str">
        <f t="shared" si="62"/>
        <v xml:space="preserve"> </v>
      </c>
      <c r="Y76" s="1976" t="str">
        <f t="shared" si="63"/>
        <v xml:space="preserve"> </v>
      </c>
      <c r="Z76" s="1977" t="str">
        <f t="shared" si="64"/>
        <v xml:space="preserve"> </v>
      </c>
      <c r="AA76" s="1977" t="str">
        <f t="shared" si="65"/>
        <v xml:space="preserve"> </v>
      </c>
      <c r="AB76" s="1977" t="str">
        <f t="shared" si="66"/>
        <v xml:space="preserve"> </v>
      </c>
      <c r="AC76" s="1977" t="str">
        <f t="shared" si="67"/>
        <v xml:space="preserve"> </v>
      </c>
      <c r="AD76" s="1977" t="str">
        <f t="shared" si="68"/>
        <v xml:space="preserve"> </v>
      </c>
      <c r="AE76" s="1978" t="str">
        <f t="shared" si="69"/>
        <v xml:space="preserve"> </v>
      </c>
      <c r="AF76" s="1978" t="str">
        <f t="shared" si="70"/>
        <v xml:space="preserve"> </v>
      </c>
      <c r="AG76" s="1978" t="str">
        <f t="shared" si="71"/>
        <v xml:space="preserve"> </v>
      </c>
      <c r="AH76" s="1978" t="str">
        <f t="shared" si="72"/>
        <v xml:space="preserve"> </v>
      </c>
      <c r="AI76" s="1978" t="str">
        <f t="shared" si="73"/>
        <v xml:space="preserve"> </v>
      </c>
    </row>
    <row r="77" spans="12:35" s="352" customFormat="1" x14ac:dyDescent="0.25">
      <c r="L77" s="1972" t="str">
        <f t="shared" si="50"/>
        <v xml:space="preserve">      </v>
      </c>
      <c r="M77" s="1973" t="str">
        <f t="shared" si="51"/>
        <v xml:space="preserve">      </v>
      </c>
      <c r="N77" s="1974" t="str">
        <f t="shared" si="52"/>
        <v xml:space="preserve">      </v>
      </c>
      <c r="O77" s="1974" t="str">
        <f t="shared" si="53"/>
        <v xml:space="preserve">      </v>
      </c>
      <c r="P77" s="1975" t="str">
        <f t="shared" si="54"/>
        <v xml:space="preserve"> </v>
      </c>
      <c r="Q77" s="1975" t="str">
        <f t="shared" si="55"/>
        <v xml:space="preserve"> </v>
      </c>
      <c r="R77" s="1975" t="str">
        <f t="shared" si="56"/>
        <v xml:space="preserve"> </v>
      </c>
      <c r="S77" s="1975" t="str">
        <f t="shared" si="57"/>
        <v xml:space="preserve"> </v>
      </c>
      <c r="T77" s="1975" t="str">
        <f t="shared" si="58"/>
        <v xml:space="preserve"> </v>
      </c>
      <c r="U77" s="1976" t="str">
        <f t="shared" si="59"/>
        <v xml:space="preserve"> </v>
      </c>
      <c r="V77" s="1976" t="str">
        <f t="shared" si="60"/>
        <v xml:space="preserve"> </v>
      </c>
      <c r="W77" s="1976" t="str">
        <f t="shared" si="61"/>
        <v xml:space="preserve"> </v>
      </c>
      <c r="X77" s="1976" t="str">
        <f t="shared" si="62"/>
        <v xml:space="preserve"> </v>
      </c>
      <c r="Y77" s="1976" t="str">
        <f t="shared" si="63"/>
        <v xml:space="preserve"> </v>
      </c>
      <c r="Z77" s="1977" t="str">
        <f t="shared" si="64"/>
        <v xml:space="preserve"> </v>
      </c>
      <c r="AA77" s="1977" t="str">
        <f t="shared" si="65"/>
        <v xml:space="preserve"> </v>
      </c>
      <c r="AB77" s="1977" t="str">
        <f t="shared" si="66"/>
        <v xml:space="preserve"> </v>
      </c>
      <c r="AC77" s="1977" t="str">
        <f t="shared" si="67"/>
        <v xml:space="preserve"> </v>
      </c>
      <c r="AD77" s="1977" t="str">
        <f t="shared" si="68"/>
        <v xml:space="preserve"> </v>
      </c>
      <c r="AE77" s="1978" t="str">
        <f t="shared" si="69"/>
        <v xml:space="preserve"> </v>
      </c>
      <c r="AF77" s="1978" t="str">
        <f t="shared" si="70"/>
        <v xml:space="preserve"> </v>
      </c>
      <c r="AG77" s="1978" t="str">
        <f t="shared" si="71"/>
        <v xml:space="preserve"> </v>
      </c>
      <c r="AH77" s="1978" t="str">
        <f t="shared" si="72"/>
        <v xml:space="preserve"> </v>
      </c>
      <c r="AI77" s="1978" t="str">
        <f t="shared" si="73"/>
        <v xml:space="preserve"> </v>
      </c>
    </row>
    <row r="78" spans="12:35" s="352" customFormat="1" x14ac:dyDescent="0.25">
      <c r="L78" s="1972" t="str">
        <f t="shared" si="50"/>
        <v xml:space="preserve">      </v>
      </c>
      <c r="M78" s="1973" t="str">
        <f t="shared" si="51"/>
        <v xml:space="preserve">      </v>
      </c>
      <c r="N78" s="1974" t="str">
        <f t="shared" si="52"/>
        <v xml:space="preserve">      </v>
      </c>
      <c r="O78" s="1974" t="str">
        <f t="shared" si="53"/>
        <v xml:space="preserve">      </v>
      </c>
      <c r="P78" s="1975" t="str">
        <f t="shared" si="54"/>
        <v xml:space="preserve"> </v>
      </c>
      <c r="Q78" s="1975" t="str">
        <f t="shared" si="55"/>
        <v xml:space="preserve"> </v>
      </c>
      <c r="R78" s="1975" t="str">
        <f t="shared" si="56"/>
        <v xml:space="preserve"> </v>
      </c>
      <c r="S78" s="1975" t="str">
        <f t="shared" si="57"/>
        <v xml:space="preserve"> </v>
      </c>
      <c r="T78" s="1975" t="str">
        <f t="shared" si="58"/>
        <v xml:space="preserve"> </v>
      </c>
      <c r="U78" s="1976" t="str">
        <f t="shared" si="59"/>
        <v xml:space="preserve"> </v>
      </c>
      <c r="V78" s="1976" t="str">
        <f t="shared" si="60"/>
        <v xml:space="preserve"> </v>
      </c>
      <c r="W78" s="1976" t="str">
        <f t="shared" si="61"/>
        <v xml:space="preserve"> </v>
      </c>
      <c r="X78" s="1976" t="str">
        <f t="shared" si="62"/>
        <v xml:space="preserve"> </v>
      </c>
      <c r="Y78" s="1976" t="str">
        <f t="shared" si="63"/>
        <v xml:space="preserve"> </v>
      </c>
      <c r="Z78" s="1977" t="str">
        <f t="shared" si="64"/>
        <v xml:space="preserve"> </v>
      </c>
      <c r="AA78" s="1977" t="str">
        <f t="shared" si="65"/>
        <v xml:space="preserve"> </v>
      </c>
      <c r="AB78" s="1977" t="str">
        <f t="shared" si="66"/>
        <v xml:space="preserve"> </v>
      </c>
      <c r="AC78" s="1977" t="str">
        <f t="shared" si="67"/>
        <v xml:space="preserve"> </v>
      </c>
      <c r="AD78" s="1977" t="str">
        <f t="shared" si="68"/>
        <v xml:space="preserve"> </v>
      </c>
      <c r="AE78" s="1978" t="str">
        <f t="shared" si="69"/>
        <v xml:space="preserve"> </v>
      </c>
      <c r="AF78" s="1978" t="str">
        <f t="shared" si="70"/>
        <v xml:space="preserve"> </v>
      </c>
      <c r="AG78" s="1978" t="str">
        <f t="shared" si="71"/>
        <v xml:space="preserve"> </v>
      </c>
      <c r="AH78" s="1978" t="str">
        <f t="shared" si="72"/>
        <v xml:space="preserve"> </v>
      </c>
      <c r="AI78" s="1978" t="str">
        <f t="shared" si="73"/>
        <v xml:space="preserve"> </v>
      </c>
    </row>
    <row r="79" spans="12:35" s="352" customFormat="1" x14ac:dyDescent="0.25">
      <c r="L79" s="1972" t="str">
        <f t="shared" si="50"/>
        <v xml:space="preserve">      </v>
      </c>
      <c r="M79" s="1973" t="str">
        <f t="shared" si="51"/>
        <v xml:space="preserve">      </v>
      </c>
      <c r="N79" s="1974" t="str">
        <f t="shared" si="52"/>
        <v xml:space="preserve">      </v>
      </c>
      <c r="O79" s="1974" t="str">
        <f t="shared" si="53"/>
        <v xml:space="preserve">      </v>
      </c>
      <c r="P79" s="1975" t="str">
        <f t="shared" si="54"/>
        <v xml:space="preserve"> </v>
      </c>
      <c r="Q79" s="1975" t="str">
        <f t="shared" si="55"/>
        <v xml:space="preserve"> </v>
      </c>
      <c r="R79" s="1975" t="str">
        <f t="shared" si="56"/>
        <v xml:space="preserve"> </v>
      </c>
      <c r="S79" s="1975" t="str">
        <f t="shared" si="57"/>
        <v xml:space="preserve"> </v>
      </c>
      <c r="T79" s="1975" t="str">
        <f t="shared" si="58"/>
        <v xml:space="preserve"> </v>
      </c>
      <c r="U79" s="1976" t="str">
        <f t="shared" si="59"/>
        <v xml:space="preserve"> </v>
      </c>
      <c r="V79" s="1976" t="str">
        <f t="shared" si="60"/>
        <v xml:space="preserve"> </v>
      </c>
      <c r="W79" s="1976" t="str">
        <f t="shared" si="61"/>
        <v xml:space="preserve"> </v>
      </c>
      <c r="X79" s="1976" t="str">
        <f t="shared" si="62"/>
        <v xml:space="preserve"> </v>
      </c>
      <c r="Y79" s="1976" t="str">
        <f t="shared" si="63"/>
        <v xml:space="preserve"> </v>
      </c>
      <c r="Z79" s="1977" t="str">
        <f t="shared" si="64"/>
        <v xml:space="preserve"> </v>
      </c>
      <c r="AA79" s="1977" t="str">
        <f t="shared" si="65"/>
        <v xml:space="preserve"> </v>
      </c>
      <c r="AB79" s="1977" t="str">
        <f t="shared" si="66"/>
        <v xml:space="preserve"> </v>
      </c>
      <c r="AC79" s="1977" t="str">
        <f t="shared" si="67"/>
        <v xml:space="preserve"> </v>
      </c>
      <c r="AD79" s="1977" t="str">
        <f t="shared" si="68"/>
        <v xml:space="preserve"> </v>
      </c>
      <c r="AE79" s="1978" t="str">
        <f t="shared" si="69"/>
        <v xml:space="preserve"> </v>
      </c>
      <c r="AF79" s="1978" t="str">
        <f t="shared" si="70"/>
        <v xml:space="preserve"> </v>
      </c>
      <c r="AG79" s="1978" t="str">
        <f t="shared" si="71"/>
        <v xml:space="preserve"> </v>
      </c>
      <c r="AH79" s="1978" t="str">
        <f t="shared" si="72"/>
        <v xml:space="preserve"> </v>
      </c>
      <c r="AI79" s="1978" t="str">
        <f t="shared" si="73"/>
        <v xml:space="preserve"> </v>
      </c>
    </row>
    <row r="80" spans="12:35" s="352" customFormat="1" x14ac:dyDescent="0.25">
      <c r="L80" s="1972" t="str">
        <f t="shared" ref="L80:L143" si="74">IF(OR(C80=4,D80=4,E80=4,F80=4,G80=4),CONCATENATE("Sangat baik",P80,Q80,R80,S80,T80,),CONCATENATE(" ",P80,Q80,R80,S80,T80,))</f>
        <v xml:space="preserve">      </v>
      </c>
      <c r="M80" s="1973" t="str">
        <f t="shared" ref="M80:M143" si="75">IF(OR(C80=3,D80=3,E80=3,F80=3,G80=3),CONCATENATE("Baik ",U80,V80,W80,X80,Y80,),CONCATENATE(" ",U80,V80,W80,X80,Y80,))</f>
        <v xml:space="preserve">      </v>
      </c>
      <c r="N80" s="1974" t="str">
        <f t="shared" ref="N80:N143" si="76">IF(OR(C80=2,D80=2,E80=2,F80=2,G80=2),CONCATENATE("Dengan bimbingan dan pendampingan yang lebih, akan mampu   meningkatkan  ",Z80,AA80,AB80,AC80,AD80,),CONCATENATE(" ",Z80,AA80,AB80,AC80,AD80,))</f>
        <v xml:space="preserve">      </v>
      </c>
      <c r="O80" s="1974" t="str">
        <f t="shared" ref="O80:O143" si="77">IF(OR(C80=1,D80=1,E80=1,F80=1,G80=1),CONCATENATE("perlu bimbingan ",AE80,AF80,AG80,AH80,AI80,),CONCATENATE(" ",Z80,AA80,AB80,AC80,AD80,))</f>
        <v xml:space="preserve">      </v>
      </c>
      <c r="P80" s="1975" t="str">
        <f t="shared" ref="P80:P143" si="78">IF(C80=4,$P$12," ")</f>
        <v xml:space="preserve"> </v>
      </c>
      <c r="Q80" s="1975" t="str">
        <f t="shared" ref="Q80:Q143" si="79">IF(D80=4,$Q$12," ")</f>
        <v xml:space="preserve"> </v>
      </c>
      <c r="R80" s="1975" t="str">
        <f t="shared" ref="R80:R143" si="80">IF(E80=4,$R$12," ")</f>
        <v xml:space="preserve"> </v>
      </c>
      <c r="S80" s="1975" t="str">
        <f t="shared" ref="S80:S143" si="81">IF(F80=4,$S$12," ")</f>
        <v xml:space="preserve"> </v>
      </c>
      <c r="T80" s="1975" t="str">
        <f t="shared" ref="T80:T143" si="82">IF(G80=4,$T$12," ")</f>
        <v xml:space="preserve"> </v>
      </c>
      <c r="U80" s="1976" t="str">
        <f t="shared" ref="U80:U143" si="83">IF(C80=3,$P$12," ")</f>
        <v xml:space="preserve"> </v>
      </c>
      <c r="V80" s="1976" t="str">
        <f t="shared" ref="V80:V143" si="84">IF(D80=3,$Q$12," ")</f>
        <v xml:space="preserve"> </v>
      </c>
      <c r="W80" s="1976" t="str">
        <f t="shared" ref="W80:W143" si="85">IF(E80=3,$R$12," ")</f>
        <v xml:space="preserve"> </v>
      </c>
      <c r="X80" s="1976" t="str">
        <f t="shared" ref="X80:X143" si="86">IF(F80=3,$S$12," ")</f>
        <v xml:space="preserve"> </v>
      </c>
      <c r="Y80" s="1976" t="str">
        <f t="shared" ref="Y80:Y143" si="87">IF(G80=3,$T$12," ")</f>
        <v xml:space="preserve"> </v>
      </c>
      <c r="Z80" s="1977" t="str">
        <f t="shared" ref="Z80:Z143" si="88">IF(C80=2,$P$12," ")</f>
        <v xml:space="preserve"> </v>
      </c>
      <c r="AA80" s="1977" t="str">
        <f t="shared" ref="AA80:AA143" si="89">IF(D80=2,$Q$12," ")</f>
        <v xml:space="preserve"> </v>
      </c>
      <c r="AB80" s="1977" t="str">
        <f t="shared" ref="AB80:AB143" si="90">IF(E80=2,$R$12," ")</f>
        <v xml:space="preserve"> </v>
      </c>
      <c r="AC80" s="1977" t="str">
        <f t="shared" ref="AC80:AC143" si="91">IF(F80=2,$S$12," ")</f>
        <v xml:space="preserve"> </v>
      </c>
      <c r="AD80" s="1977" t="str">
        <f t="shared" ref="AD80:AD143" si="92">IF(G80=2,$T$12," ")</f>
        <v xml:space="preserve"> </v>
      </c>
      <c r="AE80" s="1978" t="str">
        <f t="shared" ref="AE80:AE143" si="93">IF(C80=1,$P$12," ")</f>
        <v xml:space="preserve"> </v>
      </c>
      <c r="AF80" s="1978" t="str">
        <f t="shared" ref="AF80:AF143" si="94">IF(D80=1,$Q$12," ")</f>
        <v xml:space="preserve"> </v>
      </c>
      <c r="AG80" s="1978" t="str">
        <f t="shared" ref="AG80:AG143" si="95">IF(E80=1,$R$12," ")</f>
        <v xml:space="preserve"> </v>
      </c>
      <c r="AH80" s="1978" t="str">
        <f t="shared" ref="AH80:AH143" si="96">IF(F80=1,$S$12," ")</f>
        <v xml:space="preserve"> </v>
      </c>
      <c r="AI80" s="1978" t="str">
        <f t="shared" ref="AI80:AI143" si="97">IF(G80=1,$T$12," ")</f>
        <v xml:space="preserve"> </v>
      </c>
    </row>
    <row r="81" spans="12:35" s="352" customFormat="1" x14ac:dyDescent="0.25">
      <c r="L81" s="1972" t="str">
        <f t="shared" si="74"/>
        <v xml:space="preserve">      </v>
      </c>
      <c r="M81" s="1973" t="str">
        <f t="shared" si="75"/>
        <v xml:space="preserve">      </v>
      </c>
      <c r="N81" s="1974" t="str">
        <f t="shared" si="76"/>
        <v xml:space="preserve">      </v>
      </c>
      <c r="O81" s="1974" t="str">
        <f t="shared" si="77"/>
        <v xml:space="preserve">      </v>
      </c>
      <c r="P81" s="1975" t="str">
        <f t="shared" si="78"/>
        <v xml:space="preserve"> </v>
      </c>
      <c r="Q81" s="1975" t="str">
        <f t="shared" si="79"/>
        <v xml:space="preserve"> </v>
      </c>
      <c r="R81" s="1975" t="str">
        <f t="shared" si="80"/>
        <v xml:space="preserve"> </v>
      </c>
      <c r="S81" s="1975" t="str">
        <f t="shared" si="81"/>
        <v xml:space="preserve"> </v>
      </c>
      <c r="T81" s="1975" t="str">
        <f t="shared" si="82"/>
        <v xml:space="preserve"> </v>
      </c>
      <c r="U81" s="1976" t="str">
        <f t="shared" si="83"/>
        <v xml:space="preserve"> </v>
      </c>
      <c r="V81" s="1976" t="str">
        <f t="shared" si="84"/>
        <v xml:space="preserve"> </v>
      </c>
      <c r="W81" s="1976" t="str">
        <f t="shared" si="85"/>
        <v xml:space="preserve"> </v>
      </c>
      <c r="X81" s="1976" t="str">
        <f t="shared" si="86"/>
        <v xml:space="preserve"> </v>
      </c>
      <c r="Y81" s="1976" t="str">
        <f t="shared" si="87"/>
        <v xml:space="preserve"> </v>
      </c>
      <c r="Z81" s="1977" t="str">
        <f t="shared" si="88"/>
        <v xml:space="preserve"> </v>
      </c>
      <c r="AA81" s="1977" t="str">
        <f t="shared" si="89"/>
        <v xml:space="preserve"> </v>
      </c>
      <c r="AB81" s="1977" t="str">
        <f t="shared" si="90"/>
        <v xml:space="preserve"> </v>
      </c>
      <c r="AC81" s="1977" t="str">
        <f t="shared" si="91"/>
        <v xml:space="preserve"> </v>
      </c>
      <c r="AD81" s="1977" t="str">
        <f t="shared" si="92"/>
        <v xml:space="preserve"> </v>
      </c>
      <c r="AE81" s="1978" t="str">
        <f t="shared" si="93"/>
        <v xml:space="preserve"> </v>
      </c>
      <c r="AF81" s="1978" t="str">
        <f t="shared" si="94"/>
        <v xml:space="preserve"> </v>
      </c>
      <c r="AG81" s="1978" t="str">
        <f t="shared" si="95"/>
        <v xml:space="preserve"> </v>
      </c>
      <c r="AH81" s="1978" t="str">
        <f t="shared" si="96"/>
        <v xml:space="preserve"> </v>
      </c>
      <c r="AI81" s="1978" t="str">
        <f t="shared" si="97"/>
        <v xml:space="preserve"> </v>
      </c>
    </row>
    <row r="82" spans="12:35" s="352" customFormat="1" x14ac:dyDescent="0.25">
      <c r="L82" s="1972" t="str">
        <f t="shared" si="74"/>
        <v xml:space="preserve">      </v>
      </c>
      <c r="M82" s="1973" t="str">
        <f t="shared" si="75"/>
        <v xml:space="preserve">      </v>
      </c>
      <c r="N82" s="1974" t="str">
        <f t="shared" si="76"/>
        <v xml:space="preserve">      </v>
      </c>
      <c r="O82" s="1974" t="str">
        <f t="shared" si="77"/>
        <v xml:space="preserve">      </v>
      </c>
      <c r="P82" s="1975" t="str">
        <f t="shared" si="78"/>
        <v xml:space="preserve"> </v>
      </c>
      <c r="Q82" s="1975" t="str">
        <f t="shared" si="79"/>
        <v xml:space="preserve"> </v>
      </c>
      <c r="R82" s="1975" t="str">
        <f t="shared" si="80"/>
        <v xml:space="preserve"> </v>
      </c>
      <c r="S82" s="1975" t="str">
        <f t="shared" si="81"/>
        <v xml:space="preserve"> </v>
      </c>
      <c r="T82" s="1975" t="str">
        <f t="shared" si="82"/>
        <v xml:space="preserve"> </v>
      </c>
      <c r="U82" s="1976" t="str">
        <f t="shared" si="83"/>
        <v xml:space="preserve"> </v>
      </c>
      <c r="V82" s="1976" t="str">
        <f t="shared" si="84"/>
        <v xml:space="preserve"> </v>
      </c>
      <c r="W82" s="1976" t="str">
        <f t="shared" si="85"/>
        <v xml:space="preserve"> </v>
      </c>
      <c r="X82" s="1976" t="str">
        <f t="shared" si="86"/>
        <v xml:space="preserve"> </v>
      </c>
      <c r="Y82" s="1976" t="str">
        <f t="shared" si="87"/>
        <v xml:space="preserve"> </v>
      </c>
      <c r="Z82" s="1977" t="str">
        <f t="shared" si="88"/>
        <v xml:space="preserve"> </v>
      </c>
      <c r="AA82" s="1977" t="str">
        <f t="shared" si="89"/>
        <v xml:space="preserve"> </v>
      </c>
      <c r="AB82" s="1977" t="str">
        <f t="shared" si="90"/>
        <v xml:space="preserve"> </v>
      </c>
      <c r="AC82" s="1977" t="str">
        <f t="shared" si="91"/>
        <v xml:space="preserve"> </v>
      </c>
      <c r="AD82" s="1977" t="str">
        <f t="shared" si="92"/>
        <v xml:space="preserve"> </v>
      </c>
      <c r="AE82" s="1978" t="str">
        <f t="shared" si="93"/>
        <v xml:space="preserve"> </v>
      </c>
      <c r="AF82" s="1978" t="str">
        <f t="shared" si="94"/>
        <v xml:space="preserve"> </v>
      </c>
      <c r="AG82" s="1978" t="str">
        <f t="shared" si="95"/>
        <v xml:space="preserve"> </v>
      </c>
      <c r="AH82" s="1978" t="str">
        <f t="shared" si="96"/>
        <v xml:space="preserve"> </v>
      </c>
      <c r="AI82" s="1978" t="str">
        <f t="shared" si="97"/>
        <v xml:space="preserve"> </v>
      </c>
    </row>
    <row r="83" spans="12:35" s="352" customFormat="1" x14ac:dyDescent="0.25">
      <c r="L83" s="1972" t="str">
        <f t="shared" si="74"/>
        <v xml:space="preserve">      </v>
      </c>
      <c r="M83" s="1973" t="str">
        <f t="shared" si="75"/>
        <v xml:space="preserve">      </v>
      </c>
      <c r="N83" s="1974" t="str">
        <f t="shared" si="76"/>
        <v xml:space="preserve">      </v>
      </c>
      <c r="O83" s="1974" t="str">
        <f t="shared" si="77"/>
        <v xml:space="preserve">      </v>
      </c>
      <c r="P83" s="1975" t="str">
        <f t="shared" si="78"/>
        <v xml:space="preserve"> </v>
      </c>
      <c r="Q83" s="1975" t="str">
        <f t="shared" si="79"/>
        <v xml:space="preserve"> </v>
      </c>
      <c r="R83" s="1975" t="str">
        <f t="shared" si="80"/>
        <v xml:space="preserve"> </v>
      </c>
      <c r="S83" s="1975" t="str">
        <f t="shared" si="81"/>
        <v xml:space="preserve"> </v>
      </c>
      <c r="T83" s="1975" t="str">
        <f t="shared" si="82"/>
        <v xml:space="preserve"> </v>
      </c>
      <c r="U83" s="1976" t="str">
        <f t="shared" si="83"/>
        <v xml:space="preserve"> </v>
      </c>
      <c r="V83" s="1976" t="str">
        <f t="shared" si="84"/>
        <v xml:space="preserve"> </v>
      </c>
      <c r="W83" s="1976" t="str">
        <f t="shared" si="85"/>
        <v xml:space="preserve"> </v>
      </c>
      <c r="X83" s="1976" t="str">
        <f t="shared" si="86"/>
        <v xml:space="preserve"> </v>
      </c>
      <c r="Y83" s="1976" t="str">
        <f t="shared" si="87"/>
        <v xml:space="preserve"> </v>
      </c>
      <c r="Z83" s="1977" t="str">
        <f t="shared" si="88"/>
        <v xml:space="preserve"> </v>
      </c>
      <c r="AA83" s="1977" t="str">
        <f t="shared" si="89"/>
        <v xml:space="preserve"> </v>
      </c>
      <c r="AB83" s="1977" t="str">
        <f t="shared" si="90"/>
        <v xml:space="preserve"> </v>
      </c>
      <c r="AC83" s="1977" t="str">
        <f t="shared" si="91"/>
        <v xml:space="preserve"> </v>
      </c>
      <c r="AD83" s="1977" t="str">
        <f t="shared" si="92"/>
        <v xml:space="preserve"> </v>
      </c>
      <c r="AE83" s="1978" t="str">
        <f t="shared" si="93"/>
        <v xml:space="preserve"> </v>
      </c>
      <c r="AF83" s="1978" t="str">
        <f t="shared" si="94"/>
        <v xml:space="preserve"> </v>
      </c>
      <c r="AG83" s="1978" t="str">
        <f t="shared" si="95"/>
        <v xml:space="preserve"> </v>
      </c>
      <c r="AH83" s="1978" t="str">
        <f t="shared" si="96"/>
        <v xml:space="preserve"> </v>
      </c>
      <c r="AI83" s="1978" t="str">
        <f t="shared" si="97"/>
        <v xml:space="preserve"> </v>
      </c>
    </row>
    <row r="84" spans="12:35" s="352" customFormat="1" x14ac:dyDescent="0.25">
      <c r="L84" s="1972" t="str">
        <f t="shared" si="74"/>
        <v xml:space="preserve">      </v>
      </c>
      <c r="M84" s="1973" t="str">
        <f t="shared" si="75"/>
        <v xml:space="preserve">      </v>
      </c>
      <c r="N84" s="1974" t="str">
        <f t="shared" si="76"/>
        <v xml:space="preserve">      </v>
      </c>
      <c r="O84" s="1974" t="str">
        <f t="shared" si="77"/>
        <v xml:space="preserve">      </v>
      </c>
      <c r="P84" s="1975" t="str">
        <f t="shared" si="78"/>
        <v xml:space="preserve"> </v>
      </c>
      <c r="Q84" s="1975" t="str">
        <f t="shared" si="79"/>
        <v xml:space="preserve"> </v>
      </c>
      <c r="R84" s="1975" t="str">
        <f t="shared" si="80"/>
        <v xml:space="preserve"> </v>
      </c>
      <c r="S84" s="1975" t="str">
        <f t="shared" si="81"/>
        <v xml:space="preserve"> </v>
      </c>
      <c r="T84" s="1975" t="str">
        <f t="shared" si="82"/>
        <v xml:space="preserve"> </v>
      </c>
      <c r="U84" s="1976" t="str">
        <f t="shared" si="83"/>
        <v xml:space="preserve"> </v>
      </c>
      <c r="V84" s="1976" t="str">
        <f t="shared" si="84"/>
        <v xml:space="preserve"> </v>
      </c>
      <c r="W84" s="1976" t="str">
        <f t="shared" si="85"/>
        <v xml:space="preserve"> </v>
      </c>
      <c r="X84" s="1976" t="str">
        <f t="shared" si="86"/>
        <v xml:space="preserve"> </v>
      </c>
      <c r="Y84" s="1976" t="str">
        <f t="shared" si="87"/>
        <v xml:space="preserve"> </v>
      </c>
      <c r="Z84" s="1977" t="str">
        <f t="shared" si="88"/>
        <v xml:space="preserve"> </v>
      </c>
      <c r="AA84" s="1977" t="str">
        <f t="shared" si="89"/>
        <v xml:space="preserve"> </v>
      </c>
      <c r="AB84" s="1977" t="str">
        <f t="shared" si="90"/>
        <v xml:space="preserve"> </v>
      </c>
      <c r="AC84" s="1977" t="str">
        <f t="shared" si="91"/>
        <v xml:space="preserve"> </v>
      </c>
      <c r="AD84" s="1977" t="str">
        <f t="shared" si="92"/>
        <v xml:space="preserve"> </v>
      </c>
      <c r="AE84" s="1978" t="str">
        <f t="shared" si="93"/>
        <v xml:space="preserve"> </v>
      </c>
      <c r="AF84" s="1978" t="str">
        <f t="shared" si="94"/>
        <v xml:space="preserve"> </v>
      </c>
      <c r="AG84" s="1978" t="str">
        <f t="shared" si="95"/>
        <v xml:space="preserve"> </v>
      </c>
      <c r="AH84" s="1978" t="str">
        <f t="shared" si="96"/>
        <v xml:space="preserve"> </v>
      </c>
      <c r="AI84" s="1978" t="str">
        <f t="shared" si="97"/>
        <v xml:space="preserve"> </v>
      </c>
    </row>
    <row r="85" spans="12:35" s="352" customFormat="1" x14ac:dyDescent="0.25">
      <c r="L85" s="1972" t="str">
        <f t="shared" si="74"/>
        <v xml:space="preserve">      </v>
      </c>
      <c r="M85" s="1973" t="str">
        <f t="shared" si="75"/>
        <v xml:space="preserve">      </v>
      </c>
      <c r="N85" s="1974" t="str">
        <f t="shared" si="76"/>
        <v xml:space="preserve">      </v>
      </c>
      <c r="O85" s="1974" t="str">
        <f t="shared" si="77"/>
        <v xml:space="preserve">      </v>
      </c>
      <c r="P85" s="1975" t="str">
        <f t="shared" si="78"/>
        <v xml:space="preserve"> </v>
      </c>
      <c r="Q85" s="1975" t="str">
        <f t="shared" si="79"/>
        <v xml:space="preserve"> </v>
      </c>
      <c r="R85" s="1975" t="str">
        <f t="shared" si="80"/>
        <v xml:space="preserve"> </v>
      </c>
      <c r="S85" s="1975" t="str">
        <f t="shared" si="81"/>
        <v xml:space="preserve"> </v>
      </c>
      <c r="T85" s="1975" t="str">
        <f t="shared" si="82"/>
        <v xml:space="preserve"> </v>
      </c>
      <c r="U85" s="1976" t="str">
        <f t="shared" si="83"/>
        <v xml:space="preserve"> </v>
      </c>
      <c r="V85" s="1976" t="str">
        <f t="shared" si="84"/>
        <v xml:space="preserve"> </v>
      </c>
      <c r="W85" s="1976" t="str">
        <f t="shared" si="85"/>
        <v xml:space="preserve"> </v>
      </c>
      <c r="X85" s="1976" t="str">
        <f t="shared" si="86"/>
        <v xml:space="preserve"> </v>
      </c>
      <c r="Y85" s="1976" t="str">
        <f t="shared" si="87"/>
        <v xml:space="preserve"> </v>
      </c>
      <c r="Z85" s="1977" t="str">
        <f t="shared" si="88"/>
        <v xml:space="preserve"> </v>
      </c>
      <c r="AA85" s="1977" t="str">
        <f t="shared" si="89"/>
        <v xml:space="preserve"> </v>
      </c>
      <c r="AB85" s="1977" t="str">
        <f t="shared" si="90"/>
        <v xml:space="preserve"> </v>
      </c>
      <c r="AC85" s="1977" t="str">
        <f t="shared" si="91"/>
        <v xml:space="preserve"> </v>
      </c>
      <c r="AD85" s="1977" t="str">
        <f t="shared" si="92"/>
        <v xml:space="preserve"> </v>
      </c>
      <c r="AE85" s="1978" t="str">
        <f t="shared" si="93"/>
        <v xml:space="preserve"> </v>
      </c>
      <c r="AF85" s="1978" t="str">
        <f t="shared" si="94"/>
        <v xml:space="preserve"> </v>
      </c>
      <c r="AG85" s="1978" t="str">
        <f t="shared" si="95"/>
        <v xml:space="preserve"> </v>
      </c>
      <c r="AH85" s="1978" t="str">
        <f t="shared" si="96"/>
        <v xml:space="preserve"> </v>
      </c>
      <c r="AI85" s="1978" t="str">
        <f t="shared" si="97"/>
        <v xml:space="preserve"> </v>
      </c>
    </row>
    <row r="86" spans="12:35" s="352" customFormat="1" x14ac:dyDescent="0.25">
      <c r="L86" s="1972" t="str">
        <f t="shared" si="74"/>
        <v xml:space="preserve">      </v>
      </c>
      <c r="M86" s="1973" t="str">
        <f t="shared" si="75"/>
        <v xml:space="preserve">      </v>
      </c>
      <c r="N86" s="1974" t="str">
        <f t="shared" si="76"/>
        <v xml:space="preserve">      </v>
      </c>
      <c r="O86" s="1974" t="str">
        <f t="shared" si="77"/>
        <v xml:space="preserve">      </v>
      </c>
      <c r="P86" s="1975" t="str">
        <f t="shared" si="78"/>
        <v xml:space="preserve"> </v>
      </c>
      <c r="Q86" s="1975" t="str">
        <f t="shared" si="79"/>
        <v xml:space="preserve"> </v>
      </c>
      <c r="R86" s="1975" t="str">
        <f t="shared" si="80"/>
        <v xml:space="preserve"> </v>
      </c>
      <c r="S86" s="1975" t="str">
        <f t="shared" si="81"/>
        <v xml:space="preserve"> </v>
      </c>
      <c r="T86" s="1975" t="str">
        <f t="shared" si="82"/>
        <v xml:space="preserve"> </v>
      </c>
      <c r="U86" s="1976" t="str">
        <f t="shared" si="83"/>
        <v xml:space="preserve"> </v>
      </c>
      <c r="V86" s="1976" t="str">
        <f t="shared" si="84"/>
        <v xml:space="preserve"> </v>
      </c>
      <c r="W86" s="1976" t="str">
        <f t="shared" si="85"/>
        <v xml:space="preserve"> </v>
      </c>
      <c r="X86" s="1976" t="str">
        <f t="shared" si="86"/>
        <v xml:space="preserve"> </v>
      </c>
      <c r="Y86" s="1976" t="str">
        <f t="shared" si="87"/>
        <v xml:space="preserve"> </v>
      </c>
      <c r="Z86" s="1977" t="str">
        <f t="shared" si="88"/>
        <v xml:space="preserve"> </v>
      </c>
      <c r="AA86" s="1977" t="str">
        <f t="shared" si="89"/>
        <v xml:space="preserve"> </v>
      </c>
      <c r="AB86" s="1977" t="str">
        <f t="shared" si="90"/>
        <v xml:space="preserve"> </v>
      </c>
      <c r="AC86" s="1977" t="str">
        <f t="shared" si="91"/>
        <v xml:space="preserve"> </v>
      </c>
      <c r="AD86" s="1977" t="str">
        <f t="shared" si="92"/>
        <v xml:space="preserve"> </v>
      </c>
      <c r="AE86" s="1978" t="str">
        <f t="shared" si="93"/>
        <v xml:space="preserve"> </v>
      </c>
      <c r="AF86" s="1978" t="str">
        <f t="shared" si="94"/>
        <v xml:space="preserve"> </v>
      </c>
      <c r="AG86" s="1978" t="str">
        <f t="shared" si="95"/>
        <v xml:space="preserve"> </v>
      </c>
      <c r="AH86" s="1978" t="str">
        <f t="shared" si="96"/>
        <v xml:space="preserve"> </v>
      </c>
      <c r="AI86" s="1978" t="str">
        <f t="shared" si="97"/>
        <v xml:space="preserve"> </v>
      </c>
    </row>
    <row r="87" spans="12:35" s="352" customFormat="1" x14ac:dyDescent="0.25">
      <c r="L87" s="1972" t="str">
        <f t="shared" si="74"/>
        <v xml:space="preserve">      </v>
      </c>
      <c r="M87" s="1973" t="str">
        <f t="shared" si="75"/>
        <v xml:space="preserve">      </v>
      </c>
      <c r="N87" s="1974" t="str">
        <f t="shared" si="76"/>
        <v xml:space="preserve">      </v>
      </c>
      <c r="O87" s="1974" t="str">
        <f t="shared" si="77"/>
        <v xml:space="preserve">      </v>
      </c>
      <c r="P87" s="1975" t="str">
        <f t="shared" si="78"/>
        <v xml:space="preserve"> </v>
      </c>
      <c r="Q87" s="1975" t="str">
        <f t="shared" si="79"/>
        <v xml:space="preserve"> </v>
      </c>
      <c r="R87" s="1975" t="str">
        <f t="shared" si="80"/>
        <v xml:space="preserve"> </v>
      </c>
      <c r="S87" s="1975" t="str">
        <f t="shared" si="81"/>
        <v xml:space="preserve"> </v>
      </c>
      <c r="T87" s="1975" t="str">
        <f t="shared" si="82"/>
        <v xml:space="preserve"> </v>
      </c>
      <c r="U87" s="1976" t="str">
        <f t="shared" si="83"/>
        <v xml:space="preserve"> </v>
      </c>
      <c r="V87" s="1976" t="str">
        <f t="shared" si="84"/>
        <v xml:space="preserve"> </v>
      </c>
      <c r="W87" s="1976" t="str">
        <f t="shared" si="85"/>
        <v xml:space="preserve"> </v>
      </c>
      <c r="X87" s="1976" t="str">
        <f t="shared" si="86"/>
        <v xml:space="preserve"> </v>
      </c>
      <c r="Y87" s="1976" t="str">
        <f t="shared" si="87"/>
        <v xml:space="preserve"> </v>
      </c>
      <c r="Z87" s="1977" t="str">
        <f t="shared" si="88"/>
        <v xml:space="preserve"> </v>
      </c>
      <c r="AA87" s="1977" t="str">
        <f t="shared" si="89"/>
        <v xml:space="preserve"> </v>
      </c>
      <c r="AB87" s="1977" t="str">
        <f t="shared" si="90"/>
        <v xml:space="preserve"> </v>
      </c>
      <c r="AC87" s="1977" t="str">
        <f t="shared" si="91"/>
        <v xml:space="preserve"> </v>
      </c>
      <c r="AD87" s="1977" t="str">
        <f t="shared" si="92"/>
        <v xml:space="preserve"> </v>
      </c>
      <c r="AE87" s="1978" t="str">
        <f t="shared" si="93"/>
        <v xml:space="preserve"> </v>
      </c>
      <c r="AF87" s="1978" t="str">
        <f t="shared" si="94"/>
        <v xml:space="preserve"> </v>
      </c>
      <c r="AG87" s="1978" t="str">
        <f t="shared" si="95"/>
        <v xml:space="preserve"> </v>
      </c>
      <c r="AH87" s="1978" t="str">
        <f t="shared" si="96"/>
        <v xml:space="preserve"> </v>
      </c>
      <c r="AI87" s="1978" t="str">
        <f t="shared" si="97"/>
        <v xml:space="preserve"> </v>
      </c>
    </row>
    <row r="88" spans="12:35" s="352" customFormat="1" x14ac:dyDescent="0.25">
      <c r="L88" s="1972" t="str">
        <f t="shared" si="74"/>
        <v xml:space="preserve">      </v>
      </c>
      <c r="M88" s="1973" t="str">
        <f t="shared" si="75"/>
        <v xml:space="preserve">      </v>
      </c>
      <c r="N88" s="1974" t="str">
        <f t="shared" si="76"/>
        <v xml:space="preserve">      </v>
      </c>
      <c r="O88" s="1974" t="str">
        <f t="shared" si="77"/>
        <v xml:space="preserve">      </v>
      </c>
      <c r="P88" s="1975" t="str">
        <f t="shared" si="78"/>
        <v xml:space="preserve"> </v>
      </c>
      <c r="Q88" s="1975" t="str">
        <f t="shared" si="79"/>
        <v xml:space="preserve"> </v>
      </c>
      <c r="R88" s="1975" t="str">
        <f t="shared" si="80"/>
        <v xml:space="preserve"> </v>
      </c>
      <c r="S88" s="1975" t="str">
        <f t="shared" si="81"/>
        <v xml:space="preserve"> </v>
      </c>
      <c r="T88" s="1975" t="str">
        <f t="shared" si="82"/>
        <v xml:space="preserve"> </v>
      </c>
      <c r="U88" s="1976" t="str">
        <f t="shared" si="83"/>
        <v xml:space="preserve"> </v>
      </c>
      <c r="V88" s="1976" t="str">
        <f t="shared" si="84"/>
        <v xml:space="preserve"> </v>
      </c>
      <c r="W88" s="1976" t="str">
        <f t="shared" si="85"/>
        <v xml:space="preserve"> </v>
      </c>
      <c r="X88" s="1976" t="str">
        <f t="shared" si="86"/>
        <v xml:space="preserve"> </v>
      </c>
      <c r="Y88" s="1976" t="str">
        <f t="shared" si="87"/>
        <v xml:space="preserve"> </v>
      </c>
      <c r="Z88" s="1977" t="str">
        <f t="shared" si="88"/>
        <v xml:space="preserve"> </v>
      </c>
      <c r="AA88" s="1977" t="str">
        <f t="shared" si="89"/>
        <v xml:space="preserve"> </v>
      </c>
      <c r="AB88" s="1977" t="str">
        <f t="shared" si="90"/>
        <v xml:space="preserve"> </v>
      </c>
      <c r="AC88" s="1977" t="str">
        <f t="shared" si="91"/>
        <v xml:space="preserve"> </v>
      </c>
      <c r="AD88" s="1977" t="str">
        <f t="shared" si="92"/>
        <v xml:space="preserve"> </v>
      </c>
      <c r="AE88" s="1978" t="str">
        <f t="shared" si="93"/>
        <v xml:space="preserve"> </v>
      </c>
      <c r="AF88" s="1978" t="str">
        <f t="shared" si="94"/>
        <v xml:space="preserve"> </v>
      </c>
      <c r="AG88" s="1978" t="str">
        <f t="shared" si="95"/>
        <v xml:space="preserve"> </v>
      </c>
      <c r="AH88" s="1978" t="str">
        <f t="shared" si="96"/>
        <v xml:space="preserve"> </v>
      </c>
      <c r="AI88" s="1978" t="str">
        <f t="shared" si="97"/>
        <v xml:space="preserve"> </v>
      </c>
    </row>
    <row r="89" spans="12:35" s="352" customFormat="1" x14ac:dyDescent="0.25">
      <c r="L89" s="1972" t="str">
        <f t="shared" si="74"/>
        <v xml:space="preserve">      </v>
      </c>
      <c r="M89" s="1973" t="str">
        <f t="shared" si="75"/>
        <v xml:space="preserve">      </v>
      </c>
      <c r="N89" s="1974" t="str">
        <f t="shared" si="76"/>
        <v xml:space="preserve">      </v>
      </c>
      <c r="O89" s="1974" t="str">
        <f t="shared" si="77"/>
        <v xml:space="preserve">      </v>
      </c>
      <c r="P89" s="1975" t="str">
        <f t="shared" si="78"/>
        <v xml:space="preserve"> </v>
      </c>
      <c r="Q89" s="1975" t="str">
        <f t="shared" si="79"/>
        <v xml:space="preserve"> </v>
      </c>
      <c r="R89" s="1975" t="str">
        <f t="shared" si="80"/>
        <v xml:space="preserve"> </v>
      </c>
      <c r="S89" s="1975" t="str">
        <f t="shared" si="81"/>
        <v xml:space="preserve"> </v>
      </c>
      <c r="T89" s="1975" t="str">
        <f t="shared" si="82"/>
        <v xml:space="preserve"> </v>
      </c>
      <c r="U89" s="1976" t="str">
        <f t="shared" si="83"/>
        <v xml:space="preserve"> </v>
      </c>
      <c r="V89" s="1976" t="str">
        <f t="shared" si="84"/>
        <v xml:space="preserve"> </v>
      </c>
      <c r="W89" s="1976" t="str">
        <f t="shared" si="85"/>
        <v xml:space="preserve"> </v>
      </c>
      <c r="X89" s="1976" t="str">
        <f t="shared" si="86"/>
        <v xml:space="preserve"> </v>
      </c>
      <c r="Y89" s="1976" t="str">
        <f t="shared" si="87"/>
        <v xml:space="preserve"> </v>
      </c>
      <c r="Z89" s="1977" t="str">
        <f t="shared" si="88"/>
        <v xml:space="preserve"> </v>
      </c>
      <c r="AA89" s="1977" t="str">
        <f t="shared" si="89"/>
        <v xml:space="preserve"> </v>
      </c>
      <c r="AB89" s="1977" t="str">
        <f t="shared" si="90"/>
        <v xml:space="preserve"> </v>
      </c>
      <c r="AC89" s="1977" t="str">
        <f t="shared" si="91"/>
        <v xml:space="preserve"> </v>
      </c>
      <c r="AD89" s="1977" t="str">
        <f t="shared" si="92"/>
        <v xml:space="preserve"> </v>
      </c>
      <c r="AE89" s="1978" t="str">
        <f t="shared" si="93"/>
        <v xml:space="preserve"> </v>
      </c>
      <c r="AF89" s="1978" t="str">
        <f t="shared" si="94"/>
        <v xml:space="preserve"> </v>
      </c>
      <c r="AG89" s="1978" t="str">
        <f t="shared" si="95"/>
        <v xml:space="preserve"> </v>
      </c>
      <c r="AH89" s="1978" t="str">
        <f t="shared" si="96"/>
        <v xml:space="preserve"> </v>
      </c>
      <c r="AI89" s="1978" t="str">
        <f t="shared" si="97"/>
        <v xml:space="preserve"> </v>
      </c>
    </row>
    <row r="90" spans="12:35" s="352" customFormat="1" x14ac:dyDescent="0.25">
      <c r="L90" s="1972" t="str">
        <f t="shared" si="74"/>
        <v xml:space="preserve">      </v>
      </c>
      <c r="M90" s="1973" t="str">
        <f t="shared" si="75"/>
        <v xml:space="preserve">      </v>
      </c>
      <c r="N90" s="1974" t="str">
        <f t="shared" si="76"/>
        <v xml:space="preserve">      </v>
      </c>
      <c r="O90" s="1974" t="str">
        <f t="shared" si="77"/>
        <v xml:space="preserve">      </v>
      </c>
      <c r="P90" s="1975" t="str">
        <f t="shared" si="78"/>
        <v xml:space="preserve"> </v>
      </c>
      <c r="Q90" s="1975" t="str">
        <f t="shared" si="79"/>
        <v xml:space="preserve"> </v>
      </c>
      <c r="R90" s="1975" t="str">
        <f t="shared" si="80"/>
        <v xml:space="preserve"> </v>
      </c>
      <c r="S90" s="1975" t="str">
        <f t="shared" si="81"/>
        <v xml:space="preserve"> </v>
      </c>
      <c r="T90" s="1975" t="str">
        <f t="shared" si="82"/>
        <v xml:space="preserve"> </v>
      </c>
      <c r="U90" s="1976" t="str">
        <f t="shared" si="83"/>
        <v xml:space="preserve"> </v>
      </c>
      <c r="V90" s="1976" t="str">
        <f t="shared" si="84"/>
        <v xml:space="preserve"> </v>
      </c>
      <c r="W90" s="1976" t="str">
        <f t="shared" si="85"/>
        <v xml:space="preserve"> </v>
      </c>
      <c r="X90" s="1976" t="str">
        <f t="shared" si="86"/>
        <v xml:space="preserve"> </v>
      </c>
      <c r="Y90" s="1976" t="str">
        <f t="shared" si="87"/>
        <v xml:space="preserve"> </v>
      </c>
      <c r="Z90" s="1977" t="str">
        <f t="shared" si="88"/>
        <v xml:space="preserve"> </v>
      </c>
      <c r="AA90" s="1977" t="str">
        <f t="shared" si="89"/>
        <v xml:space="preserve"> </v>
      </c>
      <c r="AB90" s="1977" t="str">
        <f t="shared" si="90"/>
        <v xml:space="preserve"> </v>
      </c>
      <c r="AC90" s="1977" t="str">
        <f t="shared" si="91"/>
        <v xml:space="preserve"> </v>
      </c>
      <c r="AD90" s="1977" t="str">
        <f t="shared" si="92"/>
        <v xml:space="preserve"> </v>
      </c>
      <c r="AE90" s="1978" t="str">
        <f t="shared" si="93"/>
        <v xml:space="preserve"> </v>
      </c>
      <c r="AF90" s="1978" t="str">
        <f t="shared" si="94"/>
        <v xml:space="preserve"> </v>
      </c>
      <c r="AG90" s="1978" t="str">
        <f t="shared" si="95"/>
        <v xml:space="preserve"> </v>
      </c>
      <c r="AH90" s="1978" t="str">
        <f t="shared" si="96"/>
        <v xml:space="preserve"> </v>
      </c>
      <c r="AI90" s="1978" t="str">
        <f t="shared" si="97"/>
        <v xml:space="preserve"> </v>
      </c>
    </row>
    <row r="91" spans="12:35" s="352" customFormat="1" x14ac:dyDescent="0.25">
      <c r="L91" s="1972" t="str">
        <f t="shared" si="74"/>
        <v xml:space="preserve">      </v>
      </c>
      <c r="M91" s="1973" t="str">
        <f t="shared" si="75"/>
        <v xml:space="preserve">      </v>
      </c>
      <c r="N91" s="1974" t="str">
        <f t="shared" si="76"/>
        <v xml:space="preserve">      </v>
      </c>
      <c r="O91" s="1974" t="str">
        <f t="shared" si="77"/>
        <v xml:space="preserve">      </v>
      </c>
      <c r="P91" s="1975" t="str">
        <f t="shared" si="78"/>
        <v xml:space="preserve"> </v>
      </c>
      <c r="Q91" s="1975" t="str">
        <f t="shared" si="79"/>
        <v xml:space="preserve"> </v>
      </c>
      <c r="R91" s="1975" t="str">
        <f t="shared" si="80"/>
        <v xml:space="preserve"> </v>
      </c>
      <c r="S91" s="1975" t="str">
        <f t="shared" si="81"/>
        <v xml:space="preserve"> </v>
      </c>
      <c r="T91" s="1975" t="str">
        <f t="shared" si="82"/>
        <v xml:space="preserve"> </v>
      </c>
      <c r="U91" s="1976" t="str">
        <f t="shared" si="83"/>
        <v xml:space="preserve"> </v>
      </c>
      <c r="V91" s="1976" t="str">
        <f t="shared" si="84"/>
        <v xml:space="preserve"> </v>
      </c>
      <c r="W91" s="1976" t="str">
        <f t="shared" si="85"/>
        <v xml:space="preserve"> </v>
      </c>
      <c r="X91" s="1976" t="str">
        <f t="shared" si="86"/>
        <v xml:space="preserve"> </v>
      </c>
      <c r="Y91" s="1976" t="str">
        <f t="shared" si="87"/>
        <v xml:space="preserve"> </v>
      </c>
      <c r="Z91" s="1977" t="str">
        <f t="shared" si="88"/>
        <v xml:space="preserve"> </v>
      </c>
      <c r="AA91" s="1977" t="str">
        <f t="shared" si="89"/>
        <v xml:space="preserve"> </v>
      </c>
      <c r="AB91" s="1977" t="str">
        <f t="shared" si="90"/>
        <v xml:space="preserve"> </v>
      </c>
      <c r="AC91" s="1977" t="str">
        <f t="shared" si="91"/>
        <v xml:space="preserve"> </v>
      </c>
      <c r="AD91" s="1977" t="str">
        <f t="shared" si="92"/>
        <v xml:space="preserve"> </v>
      </c>
      <c r="AE91" s="1978" t="str">
        <f t="shared" si="93"/>
        <v xml:space="preserve"> </v>
      </c>
      <c r="AF91" s="1978" t="str">
        <f t="shared" si="94"/>
        <v xml:space="preserve"> </v>
      </c>
      <c r="AG91" s="1978" t="str">
        <f t="shared" si="95"/>
        <v xml:space="preserve"> </v>
      </c>
      <c r="AH91" s="1978" t="str">
        <f t="shared" si="96"/>
        <v xml:space="preserve"> </v>
      </c>
      <c r="AI91" s="1978" t="str">
        <f t="shared" si="97"/>
        <v xml:space="preserve"> </v>
      </c>
    </row>
    <row r="92" spans="12:35" s="352" customFormat="1" x14ac:dyDescent="0.25">
      <c r="L92" s="1972" t="str">
        <f t="shared" si="74"/>
        <v xml:space="preserve">      </v>
      </c>
      <c r="M92" s="1973" t="str">
        <f t="shared" si="75"/>
        <v xml:space="preserve">      </v>
      </c>
      <c r="N92" s="1974" t="str">
        <f t="shared" si="76"/>
        <v xml:space="preserve">      </v>
      </c>
      <c r="O92" s="1974" t="str">
        <f t="shared" si="77"/>
        <v xml:space="preserve">      </v>
      </c>
      <c r="P92" s="1975" t="str">
        <f t="shared" si="78"/>
        <v xml:space="preserve"> </v>
      </c>
      <c r="Q92" s="1975" t="str">
        <f t="shared" si="79"/>
        <v xml:space="preserve"> </v>
      </c>
      <c r="R92" s="1975" t="str">
        <f t="shared" si="80"/>
        <v xml:space="preserve"> </v>
      </c>
      <c r="S92" s="1975" t="str">
        <f t="shared" si="81"/>
        <v xml:space="preserve"> </v>
      </c>
      <c r="T92" s="1975" t="str">
        <f t="shared" si="82"/>
        <v xml:space="preserve"> </v>
      </c>
      <c r="U92" s="1976" t="str">
        <f t="shared" si="83"/>
        <v xml:space="preserve"> </v>
      </c>
      <c r="V92" s="1976" t="str">
        <f t="shared" si="84"/>
        <v xml:space="preserve"> </v>
      </c>
      <c r="W92" s="1976" t="str">
        <f t="shared" si="85"/>
        <v xml:space="preserve"> </v>
      </c>
      <c r="X92" s="1976" t="str">
        <f t="shared" si="86"/>
        <v xml:space="preserve"> </v>
      </c>
      <c r="Y92" s="1976" t="str">
        <f t="shared" si="87"/>
        <v xml:space="preserve"> </v>
      </c>
      <c r="Z92" s="1977" t="str">
        <f t="shared" si="88"/>
        <v xml:space="preserve"> </v>
      </c>
      <c r="AA92" s="1977" t="str">
        <f t="shared" si="89"/>
        <v xml:space="preserve"> </v>
      </c>
      <c r="AB92" s="1977" t="str">
        <f t="shared" si="90"/>
        <v xml:space="preserve"> </v>
      </c>
      <c r="AC92" s="1977" t="str">
        <f t="shared" si="91"/>
        <v xml:space="preserve"> </v>
      </c>
      <c r="AD92" s="1977" t="str">
        <f t="shared" si="92"/>
        <v xml:space="preserve"> </v>
      </c>
      <c r="AE92" s="1978" t="str">
        <f t="shared" si="93"/>
        <v xml:space="preserve"> </v>
      </c>
      <c r="AF92" s="1978" t="str">
        <f t="shared" si="94"/>
        <v xml:space="preserve"> </v>
      </c>
      <c r="AG92" s="1978" t="str">
        <f t="shared" si="95"/>
        <v xml:space="preserve"> </v>
      </c>
      <c r="AH92" s="1978" t="str">
        <f t="shared" si="96"/>
        <v xml:space="preserve"> </v>
      </c>
      <c r="AI92" s="1978" t="str">
        <f t="shared" si="97"/>
        <v xml:space="preserve"> </v>
      </c>
    </row>
    <row r="93" spans="12:35" s="352" customFormat="1" x14ac:dyDescent="0.25">
      <c r="L93" s="1972" t="str">
        <f t="shared" si="74"/>
        <v xml:space="preserve">      </v>
      </c>
      <c r="M93" s="1973" t="str">
        <f t="shared" si="75"/>
        <v xml:space="preserve">      </v>
      </c>
      <c r="N93" s="1974" t="str">
        <f t="shared" si="76"/>
        <v xml:space="preserve">      </v>
      </c>
      <c r="O93" s="1974" t="str">
        <f t="shared" si="77"/>
        <v xml:space="preserve">      </v>
      </c>
      <c r="P93" s="1975" t="str">
        <f t="shared" si="78"/>
        <v xml:space="preserve"> </v>
      </c>
      <c r="Q93" s="1975" t="str">
        <f t="shared" si="79"/>
        <v xml:space="preserve"> </v>
      </c>
      <c r="R93" s="1975" t="str">
        <f t="shared" si="80"/>
        <v xml:space="preserve"> </v>
      </c>
      <c r="S93" s="1975" t="str">
        <f t="shared" si="81"/>
        <v xml:space="preserve"> </v>
      </c>
      <c r="T93" s="1975" t="str">
        <f t="shared" si="82"/>
        <v xml:space="preserve"> </v>
      </c>
      <c r="U93" s="1976" t="str">
        <f t="shared" si="83"/>
        <v xml:space="preserve"> </v>
      </c>
      <c r="V93" s="1976" t="str">
        <f t="shared" si="84"/>
        <v xml:space="preserve"> </v>
      </c>
      <c r="W93" s="1976" t="str">
        <f t="shared" si="85"/>
        <v xml:space="preserve"> </v>
      </c>
      <c r="X93" s="1976" t="str">
        <f t="shared" si="86"/>
        <v xml:space="preserve"> </v>
      </c>
      <c r="Y93" s="1976" t="str">
        <f t="shared" si="87"/>
        <v xml:space="preserve"> </v>
      </c>
      <c r="Z93" s="1977" t="str">
        <f t="shared" si="88"/>
        <v xml:space="preserve"> </v>
      </c>
      <c r="AA93" s="1977" t="str">
        <f t="shared" si="89"/>
        <v xml:space="preserve"> </v>
      </c>
      <c r="AB93" s="1977" t="str">
        <f t="shared" si="90"/>
        <v xml:space="preserve"> </v>
      </c>
      <c r="AC93" s="1977" t="str">
        <f t="shared" si="91"/>
        <v xml:space="preserve"> </v>
      </c>
      <c r="AD93" s="1977" t="str">
        <f t="shared" si="92"/>
        <v xml:space="preserve"> </v>
      </c>
      <c r="AE93" s="1978" t="str">
        <f t="shared" si="93"/>
        <v xml:space="preserve"> </v>
      </c>
      <c r="AF93" s="1978" t="str">
        <f t="shared" si="94"/>
        <v xml:space="preserve"> </v>
      </c>
      <c r="AG93" s="1978" t="str">
        <f t="shared" si="95"/>
        <v xml:space="preserve"> </v>
      </c>
      <c r="AH93" s="1978" t="str">
        <f t="shared" si="96"/>
        <v xml:space="preserve"> </v>
      </c>
      <c r="AI93" s="1978" t="str">
        <f t="shared" si="97"/>
        <v xml:space="preserve"> </v>
      </c>
    </row>
    <row r="94" spans="12:35" s="352" customFormat="1" x14ac:dyDescent="0.25">
      <c r="L94" s="1972" t="str">
        <f t="shared" si="74"/>
        <v xml:space="preserve">      </v>
      </c>
      <c r="M94" s="1973" t="str">
        <f t="shared" si="75"/>
        <v xml:space="preserve">      </v>
      </c>
      <c r="N94" s="1974" t="str">
        <f t="shared" si="76"/>
        <v xml:space="preserve">      </v>
      </c>
      <c r="O94" s="1974" t="str">
        <f t="shared" si="77"/>
        <v xml:space="preserve">      </v>
      </c>
      <c r="P94" s="1975" t="str">
        <f t="shared" si="78"/>
        <v xml:space="preserve"> </v>
      </c>
      <c r="Q94" s="1975" t="str">
        <f t="shared" si="79"/>
        <v xml:space="preserve"> </v>
      </c>
      <c r="R94" s="1975" t="str">
        <f t="shared" si="80"/>
        <v xml:space="preserve"> </v>
      </c>
      <c r="S94" s="1975" t="str">
        <f t="shared" si="81"/>
        <v xml:space="preserve"> </v>
      </c>
      <c r="T94" s="1975" t="str">
        <f t="shared" si="82"/>
        <v xml:space="preserve"> </v>
      </c>
      <c r="U94" s="1976" t="str">
        <f t="shared" si="83"/>
        <v xml:space="preserve"> </v>
      </c>
      <c r="V94" s="1976" t="str">
        <f t="shared" si="84"/>
        <v xml:space="preserve"> </v>
      </c>
      <c r="W94" s="1976" t="str">
        <f t="shared" si="85"/>
        <v xml:space="preserve"> </v>
      </c>
      <c r="X94" s="1976" t="str">
        <f t="shared" si="86"/>
        <v xml:space="preserve"> </v>
      </c>
      <c r="Y94" s="1976" t="str">
        <f t="shared" si="87"/>
        <v xml:space="preserve"> </v>
      </c>
      <c r="Z94" s="1977" t="str">
        <f t="shared" si="88"/>
        <v xml:space="preserve"> </v>
      </c>
      <c r="AA94" s="1977" t="str">
        <f t="shared" si="89"/>
        <v xml:space="preserve"> </v>
      </c>
      <c r="AB94" s="1977" t="str">
        <f t="shared" si="90"/>
        <v xml:space="preserve"> </v>
      </c>
      <c r="AC94" s="1977" t="str">
        <f t="shared" si="91"/>
        <v xml:space="preserve"> </v>
      </c>
      <c r="AD94" s="1977" t="str">
        <f t="shared" si="92"/>
        <v xml:space="preserve"> </v>
      </c>
      <c r="AE94" s="1978" t="str">
        <f t="shared" si="93"/>
        <v xml:space="preserve"> </v>
      </c>
      <c r="AF94" s="1978" t="str">
        <f t="shared" si="94"/>
        <v xml:space="preserve"> </v>
      </c>
      <c r="AG94" s="1978" t="str">
        <f t="shared" si="95"/>
        <v xml:space="preserve"> </v>
      </c>
      <c r="AH94" s="1978" t="str">
        <f t="shared" si="96"/>
        <v xml:space="preserve"> </v>
      </c>
      <c r="AI94" s="1978" t="str">
        <f t="shared" si="97"/>
        <v xml:space="preserve"> </v>
      </c>
    </row>
    <row r="95" spans="12:35" s="352" customFormat="1" x14ac:dyDescent="0.25">
      <c r="L95" s="1972" t="str">
        <f t="shared" si="74"/>
        <v xml:space="preserve">      </v>
      </c>
      <c r="M95" s="1973" t="str">
        <f t="shared" si="75"/>
        <v xml:space="preserve">      </v>
      </c>
      <c r="N95" s="1974" t="str">
        <f t="shared" si="76"/>
        <v xml:space="preserve">      </v>
      </c>
      <c r="O95" s="1974" t="str">
        <f t="shared" si="77"/>
        <v xml:space="preserve">      </v>
      </c>
      <c r="P95" s="1975" t="str">
        <f t="shared" si="78"/>
        <v xml:space="preserve"> </v>
      </c>
      <c r="Q95" s="1975" t="str">
        <f t="shared" si="79"/>
        <v xml:space="preserve"> </v>
      </c>
      <c r="R95" s="1975" t="str">
        <f t="shared" si="80"/>
        <v xml:space="preserve"> </v>
      </c>
      <c r="S95" s="1975" t="str">
        <f t="shared" si="81"/>
        <v xml:space="preserve"> </v>
      </c>
      <c r="T95" s="1975" t="str">
        <f t="shared" si="82"/>
        <v xml:space="preserve"> </v>
      </c>
      <c r="U95" s="1976" t="str">
        <f t="shared" si="83"/>
        <v xml:space="preserve"> </v>
      </c>
      <c r="V95" s="1976" t="str">
        <f t="shared" si="84"/>
        <v xml:space="preserve"> </v>
      </c>
      <c r="W95" s="1976" t="str">
        <f t="shared" si="85"/>
        <v xml:space="preserve"> </v>
      </c>
      <c r="X95" s="1976" t="str">
        <f t="shared" si="86"/>
        <v xml:space="preserve"> </v>
      </c>
      <c r="Y95" s="1976" t="str">
        <f t="shared" si="87"/>
        <v xml:space="preserve"> </v>
      </c>
      <c r="Z95" s="1977" t="str">
        <f t="shared" si="88"/>
        <v xml:space="preserve"> </v>
      </c>
      <c r="AA95" s="1977" t="str">
        <f t="shared" si="89"/>
        <v xml:space="preserve"> </v>
      </c>
      <c r="AB95" s="1977" t="str">
        <f t="shared" si="90"/>
        <v xml:space="preserve"> </v>
      </c>
      <c r="AC95" s="1977" t="str">
        <f t="shared" si="91"/>
        <v xml:space="preserve"> </v>
      </c>
      <c r="AD95" s="1977" t="str">
        <f t="shared" si="92"/>
        <v xml:space="preserve"> </v>
      </c>
      <c r="AE95" s="1978" t="str">
        <f t="shared" si="93"/>
        <v xml:space="preserve"> </v>
      </c>
      <c r="AF95" s="1978" t="str">
        <f t="shared" si="94"/>
        <v xml:space="preserve"> </v>
      </c>
      <c r="AG95" s="1978" t="str">
        <f t="shared" si="95"/>
        <v xml:space="preserve"> </v>
      </c>
      <c r="AH95" s="1978" t="str">
        <f t="shared" si="96"/>
        <v xml:space="preserve"> </v>
      </c>
      <c r="AI95" s="1978" t="str">
        <f t="shared" si="97"/>
        <v xml:space="preserve"> </v>
      </c>
    </row>
    <row r="96" spans="12:35" s="352" customFormat="1" x14ac:dyDescent="0.25">
      <c r="L96" s="1972" t="str">
        <f t="shared" si="74"/>
        <v xml:space="preserve">      </v>
      </c>
      <c r="M96" s="1973" t="str">
        <f t="shared" si="75"/>
        <v xml:space="preserve">      </v>
      </c>
      <c r="N96" s="1974" t="str">
        <f t="shared" si="76"/>
        <v xml:space="preserve">      </v>
      </c>
      <c r="O96" s="1974" t="str">
        <f t="shared" si="77"/>
        <v xml:space="preserve">      </v>
      </c>
      <c r="P96" s="1975" t="str">
        <f t="shared" si="78"/>
        <v xml:space="preserve"> </v>
      </c>
      <c r="Q96" s="1975" t="str">
        <f t="shared" si="79"/>
        <v xml:space="preserve"> </v>
      </c>
      <c r="R96" s="1975" t="str">
        <f t="shared" si="80"/>
        <v xml:space="preserve"> </v>
      </c>
      <c r="S96" s="1975" t="str">
        <f t="shared" si="81"/>
        <v xml:space="preserve"> </v>
      </c>
      <c r="T96" s="1975" t="str">
        <f t="shared" si="82"/>
        <v xml:space="preserve"> </v>
      </c>
      <c r="U96" s="1976" t="str">
        <f t="shared" si="83"/>
        <v xml:space="preserve"> </v>
      </c>
      <c r="V96" s="1976" t="str">
        <f t="shared" si="84"/>
        <v xml:space="preserve"> </v>
      </c>
      <c r="W96" s="1976" t="str">
        <f t="shared" si="85"/>
        <v xml:space="preserve"> </v>
      </c>
      <c r="X96" s="1976" t="str">
        <f t="shared" si="86"/>
        <v xml:space="preserve"> </v>
      </c>
      <c r="Y96" s="1976" t="str">
        <f t="shared" si="87"/>
        <v xml:space="preserve"> </v>
      </c>
      <c r="Z96" s="1977" t="str">
        <f t="shared" si="88"/>
        <v xml:space="preserve"> </v>
      </c>
      <c r="AA96" s="1977" t="str">
        <f t="shared" si="89"/>
        <v xml:space="preserve"> </v>
      </c>
      <c r="AB96" s="1977" t="str">
        <f t="shared" si="90"/>
        <v xml:space="preserve"> </v>
      </c>
      <c r="AC96" s="1977" t="str">
        <f t="shared" si="91"/>
        <v xml:space="preserve"> </v>
      </c>
      <c r="AD96" s="1977" t="str">
        <f t="shared" si="92"/>
        <v xml:space="preserve"> </v>
      </c>
      <c r="AE96" s="1978" t="str">
        <f t="shared" si="93"/>
        <v xml:space="preserve"> </v>
      </c>
      <c r="AF96" s="1978" t="str">
        <f t="shared" si="94"/>
        <v xml:space="preserve"> </v>
      </c>
      <c r="AG96" s="1978" t="str">
        <f t="shared" si="95"/>
        <v xml:space="preserve"> </v>
      </c>
      <c r="AH96" s="1978" t="str">
        <f t="shared" si="96"/>
        <v xml:space="preserve"> </v>
      </c>
      <c r="AI96" s="1978" t="str">
        <f t="shared" si="97"/>
        <v xml:space="preserve"> </v>
      </c>
    </row>
    <row r="97" spans="12:35" s="352" customFormat="1" x14ac:dyDescent="0.25">
      <c r="L97" s="1972" t="str">
        <f t="shared" si="74"/>
        <v xml:space="preserve">      </v>
      </c>
      <c r="M97" s="1973" t="str">
        <f t="shared" si="75"/>
        <v xml:space="preserve">      </v>
      </c>
      <c r="N97" s="1974" t="str">
        <f t="shared" si="76"/>
        <v xml:space="preserve">      </v>
      </c>
      <c r="O97" s="1974" t="str">
        <f t="shared" si="77"/>
        <v xml:space="preserve">      </v>
      </c>
      <c r="P97" s="1975" t="str">
        <f t="shared" si="78"/>
        <v xml:space="preserve"> </v>
      </c>
      <c r="Q97" s="1975" t="str">
        <f t="shared" si="79"/>
        <v xml:space="preserve"> </v>
      </c>
      <c r="R97" s="1975" t="str">
        <f t="shared" si="80"/>
        <v xml:space="preserve"> </v>
      </c>
      <c r="S97" s="1975" t="str">
        <f t="shared" si="81"/>
        <v xml:space="preserve"> </v>
      </c>
      <c r="T97" s="1975" t="str">
        <f t="shared" si="82"/>
        <v xml:space="preserve"> </v>
      </c>
      <c r="U97" s="1976" t="str">
        <f t="shared" si="83"/>
        <v xml:space="preserve"> </v>
      </c>
      <c r="V97" s="1976" t="str">
        <f t="shared" si="84"/>
        <v xml:space="preserve"> </v>
      </c>
      <c r="W97" s="1976" t="str">
        <f t="shared" si="85"/>
        <v xml:space="preserve"> </v>
      </c>
      <c r="X97" s="1976" t="str">
        <f t="shared" si="86"/>
        <v xml:space="preserve"> </v>
      </c>
      <c r="Y97" s="1976" t="str">
        <f t="shared" si="87"/>
        <v xml:space="preserve"> </v>
      </c>
      <c r="Z97" s="1977" t="str">
        <f t="shared" si="88"/>
        <v xml:space="preserve"> </v>
      </c>
      <c r="AA97" s="1977" t="str">
        <f t="shared" si="89"/>
        <v xml:space="preserve"> </v>
      </c>
      <c r="AB97" s="1977" t="str">
        <f t="shared" si="90"/>
        <v xml:space="preserve"> </v>
      </c>
      <c r="AC97" s="1977" t="str">
        <f t="shared" si="91"/>
        <v xml:space="preserve"> </v>
      </c>
      <c r="AD97" s="1977" t="str">
        <f t="shared" si="92"/>
        <v xml:space="preserve"> </v>
      </c>
      <c r="AE97" s="1978" t="str">
        <f t="shared" si="93"/>
        <v xml:space="preserve"> </v>
      </c>
      <c r="AF97" s="1978" t="str">
        <f t="shared" si="94"/>
        <v xml:space="preserve"> </v>
      </c>
      <c r="AG97" s="1978" t="str">
        <f t="shared" si="95"/>
        <v xml:space="preserve"> </v>
      </c>
      <c r="AH97" s="1978" t="str">
        <f t="shared" si="96"/>
        <v xml:space="preserve"> </v>
      </c>
      <c r="AI97" s="1978" t="str">
        <f t="shared" si="97"/>
        <v xml:space="preserve"> </v>
      </c>
    </row>
    <row r="98" spans="12:35" s="352" customFormat="1" x14ac:dyDescent="0.25">
      <c r="L98" s="1972" t="str">
        <f t="shared" si="74"/>
        <v xml:space="preserve">      </v>
      </c>
      <c r="M98" s="1973" t="str">
        <f t="shared" si="75"/>
        <v xml:space="preserve">      </v>
      </c>
      <c r="N98" s="1974" t="str">
        <f t="shared" si="76"/>
        <v xml:space="preserve">      </v>
      </c>
      <c r="O98" s="1974" t="str">
        <f t="shared" si="77"/>
        <v xml:space="preserve">      </v>
      </c>
      <c r="P98" s="1975" t="str">
        <f t="shared" si="78"/>
        <v xml:space="preserve"> </v>
      </c>
      <c r="Q98" s="1975" t="str">
        <f t="shared" si="79"/>
        <v xml:space="preserve"> </v>
      </c>
      <c r="R98" s="1975" t="str">
        <f t="shared" si="80"/>
        <v xml:space="preserve"> </v>
      </c>
      <c r="S98" s="1975" t="str">
        <f t="shared" si="81"/>
        <v xml:space="preserve"> </v>
      </c>
      <c r="T98" s="1975" t="str">
        <f t="shared" si="82"/>
        <v xml:space="preserve"> </v>
      </c>
      <c r="U98" s="1976" t="str">
        <f t="shared" si="83"/>
        <v xml:space="preserve"> </v>
      </c>
      <c r="V98" s="1976" t="str">
        <f t="shared" si="84"/>
        <v xml:space="preserve"> </v>
      </c>
      <c r="W98" s="1976" t="str">
        <f t="shared" si="85"/>
        <v xml:space="preserve"> </v>
      </c>
      <c r="X98" s="1976" t="str">
        <f t="shared" si="86"/>
        <v xml:space="preserve"> </v>
      </c>
      <c r="Y98" s="1976" t="str">
        <f t="shared" si="87"/>
        <v xml:space="preserve"> </v>
      </c>
      <c r="Z98" s="1977" t="str">
        <f t="shared" si="88"/>
        <v xml:space="preserve"> </v>
      </c>
      <c r="AA98" s="1977" t="str">
        <f t="shared" si="89"/>
        <v xml:space="preserve"> </v>
      </c>
      <c r="AB98" s="1977" t="str">
        <f t="shared" si="90"/>
        <v xml:space="preserve"> </v>
      </c>
      <c r="AC98" s="1977" t="str">
        <f t="shared" si="91"/>
        <v xml:space="preserve"> </v>
      </c>
      <c r="AD98" s="1977" t="str">
        <f t="shared" si="92"/>
        <v xml:space="preserve"> </v>
      </c>
      <c r="AE98" s="1978" t="str">
        <f t="shared" si="93"/>
        <v xml:space="preserve"> </v>
      </c>
      <c r="AF98" s="1978" t="str">
        <f t="shared" si="94"/>
        <v xml:space="preserve"> </v>
      </c>
      <c r="AG98" s="1978" t="str">
        <f t="shared" si="95"/>
        <v xml:space="preserve"> </v>
      </c>
      <c r="AH98" s="1978" t="str">
        <f t="shared" si="96"/>
        <v xml:space="preserve"> </v>
      </c>
      <c r="AI98" s="1978" t="str">
        <f t="shared" si="97"/>
        <v xml:space="preserve"> </v>
      </c>
    </row>
    <row r="99" spans="12:35" s="352" customFormat="1" x14ac:dyDescent="0.25">
      <c r="L99" s="1972" t="str">
        <f t="shared" si="74"/>
        <v xml:space="preserve">      </v>
      </c>
      <c r="M99" s="1973" t="str">
        <f t="shared" si="75"/>
        <v xml:space="preserve">      </v>
      </c>
      <c r="N99" s="1974" t="str">
        <f t="shared" si="76"/>
        <v xml:space="preserve">      </v>
      </c>
      <c r="O99" s="1974" t="str">
        <f t="shared" si="77"/>
        <v xml:space="preserve">      </v>
      </c>
      <c r="P99" s="1975" t="str">
        <f t="shared" si="78"/>
        <v xml:space="preserve"> </v>
      </c>
      <c r="Q99" s="1975" t="str">
        <f t="shared" si="79"/>
        <v xml:space="preserve"> </v>
      </c>
      <c r="R99" s="1975" t="str">
        <f t="shared" si="80"/>
        <v xml:space="preserve"> </v>
      </c>
      <c r="S99" s="1975" t="str">
        <f t="shared" si="81"/>
        <v xml:space="preserve"> </v>
      </c>
      <c r="T99" s="1975" t="str">
        <f t="shared" si="82"/>
        <v xml:space="preserve"> </v>
      </c>
      <c r="U99" s="1976" t="str">
        <f t="shared" si="83"/>
        <v xml:space="preserve"> </v>
      </c>
      <c r="V99" s="1976" t="str">
        <f t="shared" si="84"/>
        <v xml:space="preserve"> </v>
      </c>
      <c r="W99" s="1976" t="str">
        <f t="shared" si="85"/>
        <v xml:space="preserve"> </v>
      </c>
      <c r="X99" s="1976" t="str">
        <f t="shared" si="86"/>
        <v xml:space="preserve"> </v>
      </c>
      <c r="Y99" s="1976" t="str">
        <f t="shared" si="87"/>
        <v xml:space="preserve"> </v>
      </c>
      <c r="Z99" s="1977" t="str">
        <f t="shared" si="88"/>
        <v xml:space="preserve"> </v>
      </c>
      <c r="AA99" s="1977" t="str">
        <f t="shared" si="89"/>
        <v xml:space="preserve"> </v>
      </c>
      <c r="AB99" s="1977" t="str">
        <f t="shared" si="90"/>
        <v xml:space="preserve"> </v>
      </c>
      <c r="AC99" s="1977" t="str">
        <f t="shared" si="91"/>
        <v xml:space="preserve"> </v>
      </c>
      <c r="AD99" s="1977" t="str">
        <f t="shared" si="92"/>
        <v xml:space="preserve"> </v>
      </c>
      <c r="AE99" s="1978" t="str">
        <f t="shared" si="93"/>
        <v xml:space="preserve"> </v>
      </c>
      <c r="AF99" s="1978" t="str">
        <f t="shared" si="94"/>
        <v xml:space="preserve"> </v>
      </c>
      <c r="AG99" s="1978" t="str">
        <f t="shared" si="95"/>
        <v xml:space="preserve"> </v>
      </c>
      <c r="AH99" s="1978" t="str">
        <f t="shared" si="96"/>
        <v xml:space="preserve"> </v>
      </c>
      <c r="AI99" s="1978" t="str">
        <f t="shared" si="97"/>
        <v xml:space="preserve"> </v>
      </c>
    </row>
    <row r="100" spans="12:35" s="352" customFormat="1" x14ac:dyDescent="0.25">
      <c r="L100" s="1972" t="str">
        <f t="shared" si="74"/>
        <v xml:space="preserve">      </v>
      </c>
      <c r="M100" s="1973" t="str">
        <f t="shared" si="75"/>
        <v xml:space="preserve">      </v>
      </c>
      <c r="N100" s="1974" t="str">
        <f t="shared" si="76"/>
        <v xml:space="preserve">      </v>
      </c>
      <c r="O100" s="1974" t="str">
        <f t="shared" si="77"/>
        <v xml:space="preserve">      </v>
      </c>
      <c r="P100" s="1975" t="str">
        <f t="shared" si="78"/>
        <v xml:space="preserve"> </v>
      </c>
      <c r="Q100" s="1975" t="str">
        <f t="shared" si="79"/>
        <v xml:space="preserve"> </v>
      </c>
      <c r="R100" s="1975" t="str">
        <f t="shared" si="80"/>
        <v xml:space="preserve"> </v>
      </c>
      <c r="S100" s="1975" t="str">
        <f t="shared" si="81"/>
        <v xml:space="preserve"> </v>
      </c>
      <c r="T100" s="1975" t="str">
        <f t="shared" si="82"/>
        <v xml:space="preserve"> </v>
      </c>
      <c r="U100" s="1976" t="str">
        <f t="shared" si="83"/>
        <v xml:space="preserve"> </v>
      </c>
      <c r="V100" s="1976" t="str">
        <f t="shared" si="84"/>
        <v xml:space="preserve"> </v>
      </c>
      <c r="W100" s="1976" t="str">
        <f t="shared" si="85"/>
        <v xml:space="preserve"> </v>
      </c>
      <c r="X100" s="1976" t="str">
        <f t="shared" si="86"/>
        <v xml:space="preserve"> </v>
      </c>
      <c r="Y100" s="1976" t="str">
        <f t="shared" si="87"/>
        <v xml:space="preserve"> </v>
      </c>
      <c r="Z100" s="1977" t="str">
        <f t="shared" si="88"/>
        <v xml:space="preserve"> </v>
      </c>
      <c r="AA100" s="1977" t="str">
        <f t="shared" si="89"/>
        <v xml:space="preserve"> </v>
      </c>
      <c r="AB100" s="1977" t="str">
        <f t="shared" si="90"/>
        <v xml:space="preserve"> </v>
      </c>
      <c r="AC100" s="1977" t="str">
        <f t="shared" si="91"/>
        <v xml:space="preserve"> </v>
      </c>
      <c r="AD100" s="1977" t="str">
        <f t="shared" si="92"/>
        <v xml:space="preserve"> </v>
      </c>
      <c r="AE100" s="1978" t="str">
        <f t="shared" si="93"/>
        <v xml:space="preserve"> </v>
      </c>
      <c r="AF100" s="1978" t="str">
        <f t="shared" si="94"/>
        <v xml:space="preserve"> </v>
      </c>
      <c r="AG100" s="1978" t="str">
        <f t="shared" si="95"/>
        <v xml:space="preserve"> </v>
      </c>
      <c r="AH100" s="1978" t="str">
        <f t="shared" si="96"/>
        <v xml:space="preserve"> </v>
      </c>
      <c r="AI100" s="1978" t="str">
        <f t="shared" si="97"/>
        <v xml:space="preserve"> </v>
      </c>
    </row>
    <row r="101" spans="12:35" s="352" customFormat="1" x14ac:dyDescent="0.25">
      <c r="L101" s="1972" t="str">
        <f t="shared" si="74"/>
        <v xml:space="preserve">      </v>
      </c>
      <c r="M101" s="1973" t="str">
        <f t="shared" si="75"/>
        <v xml:space="preserve">      </v>
      </c>
      <c r="N101" s="1974" t="str">
        <f t="shared" si="76"/>
        <v xml:space="preserve">      </v>
      </c>
      <c r="O101" s="1974" t="str">
        <f t="shared" si="77"/>
        <v xml:space="preserve">      </v>
      </c>
      <c r="P101" s="1975" t="str">
        <f t="shared" si="78"/>
        <v xml:space="preserve"> </v>
      </c>
      <c r="Q101" s="1975" t="str">
        <f t="shared" si="79"/>
        <v xml:space="preserve"> </v>
      </c>
      <c r="R101" s="1975" t="str">
        <f t="shared" si="80"/>
        <v xml:space="preserve"> </v>
      </c>
      <c r="S101" s="1975" t="str">
        <f t="shared" si="81"/>
        <v xml:space="preserve"> </v>
      </c>
      <c r="T101" s="1975" t="str">
        <f t="shared" si="82"/>
        <v xml:space="preserve"> </v>
      </c>
      <c r="U101" s="1976" t="str">
        <f t="shared" si="83"/>
        <v xml:space="preserve"> </v>
      </c>
      <c r="V101" s="1976" t="str">
        <f t="shared" si="84"/>
        <v xml:space="preserve"> </v>
      </c>
      <c r="W101" s="1976" t="str">
        <f t="shared" si="85"/>
        <v xml:space="preserve"> </v>
      </c>
      <c r="X101" s="1976" t="str">
        <f t="shared" si="86"/>
        <v xml:space="preserve"> </v>
      </c>
      <c r="Y101" s="1976" t="str">
        <f t="shared" si="87"/>
        <v xml:space="preserve"> </v>
      </c>
      <c r="Z101" s="1977" t="str">
        <f t="shared" si="88"/>
        <v xml:space="preserve"> </v>
      </c>
      <c r="AA101" s="1977" t="str">
        <f t="shared" si="89"/>
        <v xml:space="preserve"> </v>
      </c>
      <c r="AB101" s="1977" t="str">
        <f t="shared" si="90"/>
        <v xml:space="preserve"> </v>
      </c>
      <c r="AC101" s="1977" t="str">
        <f t="shared" si="91"/>
        <v xml:space="preserve"> </v>
      </c>
      <c r="AD101" s="1977" t="str">
        <f t="shared" si="92"/>
        <v xml:space="preserve"> </v>
      </c>
      <c r="AE101" s="1978" t="str">
        <f t="shared" si="93"/>
        <v xml:space="preserve"> </v>
      </c>
      <c r="AF101" s="1978" t="str">
        <f t="shared" si="94"/>
        <v xml:space="preserve"> </v>
      </c>
      <c r="AG101" s="1978" t="str">
        <f t="shared" si="95"/>
        <v xml:space="preserve"> </v>
      </c>
      <c r="AH101" s="1978" t="str">
        <f t="shared" si="96"/>
        <v xml:space="preserve"> </v>
      </c>
      <c r="AI101" s="1978" t="str">
        <f t="shared" si="97"/>
        <v xml:space="preserve"> </v>
      </c>
    </row>
    <row r="102" spans="12:35" s="352" customFormat="1" x14ac:dyDescent="0.25">
      <c r="L102" s="1972" t="str">
        <f t="shared" si="74"/>
        <v xml:space="preserve">      </v>
      </c>
      <c r="M102" s="1973" t="str">
        <f t="shared" si="75"/>
        <v xml:space="preserve">      </v>
      </c>
      <c r="N102" s="1974" t="str">
        <f t="shared" si="76"/>
        <v xml:space="preserve">      </v>
      </c>
      <c r="O102" s="1974" t="str">
        <f t="shared" si="77"/>
        <v xml:space="preserve">      </v>
      </c>
      <c r="P102" s="1975" t="str">
        <f t="shared" si="78"/>
        <v xml:space="preserve"> </v>
      </c>
      <c r="Q102" s="1975" t="str">
        <f t="shared" si="79"/>
        <v xml:space="preserve"> </v>
      </c>
      <c r="R102" s="1975" t="str">
        <f t="shared" si="80"/>
        <v xml:space="preserve"> </v>
      </c>
      <c r="S102" s="1975" t="str">
        <f t="shared" si="81"/>
        <v xml:space="preserve"> </v>
      </c>
      <c r="T102" s="1975" t="str">
        <f t="shared" si="82"/>
        <v xml:space="preserve"> </v>
      </c>
      <c r="U102" s="1976" t="str">
        <f t="shared" si="83"/>
        <v xml:space="preserve"> </v>
      </c>
      <c r="V102" s="1976" t="str">
        <f t="shared" si="84"/>
        <v xml:space="preserve"> </v>
      </c>
      <c r="W102" s="1976" t="str">
        <f t="shared" si="85"/>
        <v xml:space="preserve"> </v>
      </c>
      <c r="X102" s="1976" t="str">
        <f t="shared" si="86"/>
        <v xml:space="preserve"> </v>
      </c>
      <c r="Y102" s="1976" t="str">
        <f t="shared" si="87"/>
        <v xml:space="preserve"> </v>
      </c>
      <c r="Z102" s="1977" t="str">
        <f t="shared" si="88"/>
        <v xml:space="preserve"> </v>
      </c>
      <c r="AA102" s="1977" t="str">
        <f t="shared" si="89"/>
        <v xml:space="preserve"> </v>
      </c>
      <c r="AB102" s="1977" t="str">
        <f t="shared" si="90"/>
        <v xml:space="preserve"> </v>
      </c>
      <c r="AC102" s="1977" t="str">
        <f t="shared" si="91"/>
        <v xml:space="preserve"> </v>
      </c>
      <c r="AD102" s="1977" t="str">
        <f t="shared" si="92"/>
        <v xml:space="preserve"> </v>
      </c>
      <c r="AE102" s="1978" t="str">
        <f t="shared" si="93"/>
        <v xml:space="preserve"> </v>
      </c>
      <c r="AF102" s="1978" t="str">
        <f t="shared" si="94"/>
        <v xml:space="preserve"> </v>
      </c>
      <c r="AG102" s="1978" t="str">
        <f t="shared" si="95"/>
        <v xml:space="preserve"> </v>
      </c>
      <c r="AH102" s="1978" t="str">
        <f t="shared" si="96"/>
        <v xml:space="preserve"> </v>
      </c>
      <c r="AI102" s="1978" t="str">
        <f t="shared" si="97"/>
        <v xml:space="preserve"> </v>
      </c>
    </row>
    <row r="103" spans="12:35" s="352" customFormat="1" x14ac:dyDescent="0.25">
      <c r="L103" s="1972" t="str">
        <f t="shared" si="74"/>
        <v xml:space="preserve">      </v>
      </c>
      <c r="M103" s="1973" t="str">
        <f t="shared" si="75"/>
        <v xml:space="preserve">      </v>
      </c>
      <c r="N103" s="1974" t="str">
        <f t="shared" si="76"/>
        <v xml:space="preserve">      </v>
      </c>
      <c r="O103" s="1974" t="str">
        <f t="shared" si="77"/>
        <v xml:space="preserve">      </v>
      </c>
      <c r="P103" s="1975" t="str">
        <f t="shared" si="78"/>
        <v xml:space="preserve"> </v>
      </c>
      <c r="Q103" s="1975" t="str">
        <f t="shared" si="79"/>
        <v xml:space="preserve"> </v>
      </c>
      <c r="R103" s="1975" t="str">
        <f t="shared" si="80"/>
        <v xml:space="preserve"> </v>
      </c>
      <c r="S103" s="1975" t="str">
        <f t="shared" si="81"/>
        <v xml:space="preserve"> </v>
      </c>
      <c r="T103" s="1975" t="str">
        <f t="shared" si="82"/>
        <v xml:space="preserve"> </v>
      </c>
      <c r="U103" s="1976" t="str">
        <f t="shared" si="83"/>
        <v xml:space="preserve"> </v>
      </c>
      <c r="V103" s="1976" t="str">
        <f t="shared" si="84"/>
        <v xml:space="preserve"> </v>
      </c>
      <c r="W103" s="1976" t="str">
        <f t="shared" si="85"/>
        <v xml:space="preserve"> </v>
      </c>
      <c r="X103" s="1976" t="str">
        <f t="shared" si="86"/>
        <v xml:space="preserve"> </v>
      </c>
      <c r="Y103" s="1976" t="str">
        <f t="shared" si="87"/>
        <v xml:space="preserve"> </v>
      </c>
      <c r="Z103" s="1977" t="str">
        <f t="shared" si="88"/>
        <v xml:space="preserve"> </v>
      </c>
      <c r="AA103" s="1977" t="str">
        <f t="shared" si="89"/>
        <v xml:space="preserve"> </v>
      </c>
      <c r="AB103" s="1977" t="str">
        <f t="shared" si="90"/>
        <v xml:space="preserve"> </v>
      </c>
      <c r="AC103" s="1977" t="str">
        <f t="shared" si="91"/>
        <v xml:space="preserve"> </v>
      </c>
      <c r="AD103" s="1977" t="str">
        <f t="shared" si="92"/>
        <v xml:space="preserve"> </v>
      </c>
      <c r="AE103" s="1978" t="str">
        <f t="shared" si="93"/>
        <v xml:space="preserve"> </v>
      </c>
      <c r="AF103" s="1978" t="str">
        <f t="shared" si="94"/>
        <v xml:space="preserve"> </v>
      </c>
      <c r="AG103" s="1978" t="str">
        <f t="shared" si="95"/>
        <v xml:space="preserve"> </v>
      </c>
      <c r="AH103" s="1978" t="str">
        <f t="shared" si="96"/>
        <v xml:space="preserve"> </v>
      </c>
      <c r="AI103" s="1978" t="str">
        <f t="shared" si="97"/>
        <v xml:space="preserve"> </v>
      </c>
    </row>
    <row r="104" spans="12:35" s="352" customFormat="1" x14ac:dyDescent="0.25">
      <c r="L104" s="1972" t="str">
        <f t="shared" si="74"/>
        <v xml:space="preserve">      </v>
      </c>
      <c r="M104" s="1973" t="str">
        <f t="shared" si="75"/>
        <v xml:space="preserve">      </v>
      </c>
      <c r="N104" s="1974" t="str">
        <f t="shared" si="76"/>
        <v xml:space="preserve">      </v>
      </c>
      <c r="O104" s="1974" t="str">
        <f t="shared" si="77"/>
        <v xml:space="preserve">      </v>
      </c>
      <c r="P104" s="1975" t="str">
        <f t="shared" si="78"/>
        <v xml:space="preserve"> </v>
      </c>
      <c r="Q104" s="1975" t="str">
        <f t="shared" si="79"/>
        <v xml:space="preserve"> </v>
      </c>
      <c r="R104" s="1975" t="str">
        <f t="shared" si="80"/>
        <v xml:space="preserve"> </v>
      </c>
      <c r="S104" s="1975" t="str">
        <f t="shared" si="81"/>
        <v xml:space="preserve"> </v>
      </c>
      <c r="T104" s="1975" t="str">
        <f t="shared" si="82"/>
        <v xml:space="preserve"> </v>
      </c>
      <c r="U104" s="1976" t="str">
        <f t="shared" si="83"/>
        <v xml:space="preserve"> </v>
      </c>
      <c r="V104" s="1976" t="str">
        <f t="shared" si="84"/>
        <v xml:space="preserve"> </v>
      </c>
      <c r="W104" s="1976" t="str">
        <f t="shared" si="85"/>
        <v xml:space="preserve"> </v>
      </c>
      <c r="X104" s="1976" t="str">
        <f t="shared" si="86"/>
        <v xml:space="preserve"> </v>
      </c>
      <c r="Y104" s="1976" t="str">
        <f t="shared" si="87"/>
        <v xml:space="preserve"> </v>
      </c>
      <c r="Z104" s="1977" t="str">
        <f t="shared" si="88"/>
        <v xml:space="preserve"> </v>
      </c>
      <c r="AA104" s="1977" t="str">
        <f t="shared" si="89"/>
        <v xml:space="preserve"> </v>
      </c>
      <c r="AB104" s="1977" t="str">
        <f t="shared" si="90"/>
        <v xml:space="preserve"> </v>
      </c>
      <c r="AC104" s="1977" t="str">
        <f t="shared" si="91"/>
        <v xml:space="preserve"> </v>
      </c>
      <c r="AD104" s="1977" t="str">
        <f t="shared" si="92"/>
        <v xml:space="preserve"> </v>
      </c>
      <c r="AE104" s="1978" t="str">
        <f t="shared" si="93"/>
        <v xml:space="preserve"> </v>
      </c>
      <c r="AF104" s="1978" t="str">
        <f t="shared" si="94"/>
        <v xml:space="preserve"> </v>
      </c>
      <c r="AG104" s="1978" t="str">
        <f t="shared" si="95"/>
        <v xml:space="preserve"> </v>
      </c>
      <c r="AH104" s="1978" t="str">
        <f t="shared" si="96"/>
        <v xml:space="preserve"> </v>
      </c>
      <c r="AI104" s="1978" t="str">
        <f t="shared" si="97"/>
        <v xml:space="preserve"> </v>
      </c>
    </row>
    <row r="105" spans="12:35" s="352" customFormat="1" x14ac:dyDescent="0.25">
      <c r="L105" s="1972" t="str">
        <f t="shared" si="74"/>
        <v xml:space="preserve">      </v>
      </c>
      <c r="M105" s="1973" t="str">
        <f t="shared" si="75"/>
        <v xml:space="preserve">      </v>
      </c>
      <c r="N105" s="1974" t="str">
        <f t="shared" si="76"/>
        <v xml:space="preserve">      </v>
      </c>
      <c r="O105" s="1974" t="str">
        <f t="shared" si="77"/>
        <v xml:space="preserve">      </v>
      </c>
      <c r="P105" s="1975" t="str">
        <f t="shared" si="78"/>
        <v xml:space="preserve"> </v>
      </c>
      <c r="Q105" s="1975" t="str">
        <f t="shared" si="79"/>
        <v xml:space="preserve"> </v>
      </c>
      <c r="R105" s="1975" t="str">
        <f t="shared" si="80"/>
        <v xml:space="preserve"> </v>
      </c>
      <c r="S105" s="1975" t="str">
        <f t="shared" si="81"/>
        <v xml:space="preserve"> </v>
      </c>
      <c r="T105" s="1975" t="str">
        <f t="shared" si="82"/>
        <v xml:space="preserve"> </v>
      </c>
      <c r="U105" s="1976" t="str">
        <f t="shared" si="83"/>
        <v xml:space="preserve"> </v>
      </c>
      <c r="V105" s="1976" t="str">
        <f t="shared" si="84"/>
        <v xml:space="preserve"> </v>
      </c>
      <c r="W105" s="1976" t="str">
        <f t="shared" si="85"/>
        <v xml:space="preserve"> </v>
      </c>
      <c r="X105" s="1976" t="str">
        <f t="shared" si="86"/>
        <v xml:space="preserve"> </v>
      </c>
      <c r="Y105" s="1976" t="str">
        <f t="shared" si="87"/>
        <v xml:space="preserve"> </v>
      </c>
      <c r="Z105" s="1977" t="str">
        <f t="shared" si="88"/>
        <v xml:space="preserve"> </v>
      </c>
      <c r="AA105" s="1977" t="str">
        <f t="shared" si="89"/>
        <v xml:space="preserve"> </v>
      </c>
      <c r="AB105" s="1977" t="str">
        <f t="shared" si="90"/>
        <v xml:space="preserve"> </v>
      </c>
      <c r="AC105" s="1977" t="str">
        <f t="shared" si="91"/>
        <v xml:space="preserve"> </v>
      </c>
      <c r="AD105" s="1977" t="str">
        <f t="shared" si="92"/>
        <v xml:space="preserve"> </v>
      </c>
      <c r="AE105" s="1978" t="str">
        <f t="shared" si="93"/>
        <v xml:space="preserve"> </v>
      </c>
      <c r="AF105" s="1978" t="str">
        <f t="shared" si="94"/>
        <v xml:space="preserve"> </v>
      </c>
      <c r="AG105" s="1978" t="str">
        <f t="shared" si="95"/>
        <v xml:space="preserve"> </v>
      </c>
      <c r="AH105" s="1978" t="str">
        <f t="shared" si="96"/>
        <v xml:space="preserve"> </v>
      </c>
      <c r="AI105" s="1978" t="str">
        <f t="shared" si="97"/>
        <v xml:space="preserve"> </v>
      </c>
    </row>
    <row r="106" spans="12:35" s="352" customFormat="1" x14ac:dyDescent="0.25">
      <c r="L106" s="1972" t="str">
        <f t="shared" si="74"/>
        <v xml:space="preserve">      </v>
      </c>
      <c r="M106" s="1973" t="str">
        <f t="shared" si="75"/>
        <v xml:space="preserve">      </v>
      </c>
      <c r="N106" s="1974" t="str">
        <f t="shared" si="76"/>
        <v xml:space="preserve">      </v>
      </c>
      <c r="O106" s="1974" t="str">
        <f t="shared" si="77"/>
        <v xml:space="preserve">      </v>
      </c>
      <c r="P106" s="1975" t="str">
        <f t="shared" si="78"/>
        <v xml:space="preserve"> </v>
      </c>
      <c r="Q106" s="1975" t="str">
        <f t="shared" si="79"/>
        <v xml:space="preserve"> </v>
      </c>
      <c r="R106" s="1975" t="str">
        <f t="shared" si="80"/>
        <v xml:space="preserve"> </v>
      </c>
      <c r="S106" s="1975" t="str">
        <f t="shared" si="81"/>
        <v xml:space="preserve"> </v>
      </c>
      <c r="T106" s="1975" t="str">
        <f t="shared" si="82"/>
        <v xml:space="preserve"> </v>
      </c>
      <c r="U106" s="1976" t="str">
        <f t="shared" si="83"/>
        <v xml:space="preserve"> </v>
      </c>
      <c r="V106" s="1976" t="str">
        <f t="shared" si="84"/>
        <v xml:space="preserve"> </v>
      </c>
      <c r="W106" s="1976" t="str">
        <f t="shared" si="85"/>
        <v xml:space="preserve"> </v>
      </c>
      <c r="X106" s="1976" t="str">
        <f t="shared" si="86"/>
        <v xml:space="preserve"> </v>
      </c>
      <c r="Y106" s="1976" t="str">
        <f t="shared" si="87"/>
        <v xml:space="preserve"> </v>
      </c>
      <c r="Z106" s="1977" t="str">
        <f t="shared" si="88"/>
        <v xml:space="preserve"> </v>
      </c>
      <c r="AA106" s="1977" t="str">
        <f t="shared" si="89"/>
        <v xml:space="preserve"> </v>
      </c>
      <c r="AB106" s="1977" t="str">
        <f t="shared" si="90"/>
        <v xml:space="preserve"> </v>
      </c>
      <c r="AC106" s="1977" t="str">
        <f t="shared" si="91"/>
        <v xml:space="preserve"> </v>
      </c>
      <c r="AD106" s="1977" t="str">
        <f t="shared" si="92"/>
        <v xml:space="preserve"> </v>
      </c>
      <c r="AE106" s="1978" t="str">
        <f t="shared" si="93"/>
        <v xml:space="preserve"> </v>
      </c>
      <c r="AF106" s="1978" t="str">
        <f t="shared" si="94"/>
        <v xml:space="preserve"> </v>
      </c>
      <c r="AG106" s="1978" t="str">
        <f t="shared" si="95"/>
        <v xml:space="preserve"> </v>
      </c>
      <c r="AH106" s="1978" t="str">
        <f t="shared" si="96"/>
        <v xml:space="preserve"> </v>
      </c>
      <c r="AI106" s="1978" t="str">
        <f t="shared" si="97"/>
        <v xml:space="preserve"> </v>
      </c>
    </row>
    <row r="107" spans="12:35" s="352" customFormat="1" x14ac:dyDescent="0.25">
      <c r="L107" s="1972" t="str">
        <f t="shared" si="74"/>
        <v xml:space="preserve">      </v>
      </c>
      <c r="M107" s="1973" t="str">
        <f t="shared" si="75"/>
        <v xml:space="preserve">      </v>
      </c>
      <c r="N107" s="1974" t="str">
        <f t="shared" si="76"/>
        <v xml:space="preserve">      </v>
      </c>
      <c r="O107" s="1974" t="str">
        <f t="shared" si="77"/>
        <v xml:space="preserve">      </v>
      </c>
      <c r="P107" s="1975" t="str">
        <f t="shared" si="78"/>
        <v xml:space="preserve"> </v>
      </c>
      <c r="Q107" s="1975" t="str">
        <f t="shared" si="79"/>
        <v xml:space="preserve"> </v>
      </c>
      <c r="R107" s="1975" t="str">
        <f t="shared" si="80"/>
        <v xml:space="preserve"> </v>
      </c>
      <c r="S107" s="1975" t="str">
        <f t="shared" si="81"/>
        <v xml:space="preserve"> </v>
      </c>
      <c r="T107" s="1975" t="str">
        <f t="shared" si="82"/>
        <v xml:space="preserve"> </v>
      </c>
      <c r="U107" s="1976" t="str">
        <f t="shared" si="83"/>
        <v xml:space="preserve"> </v>
      </c>
      <c r="V107" s="1976" t="str">
        <f t="shared" si="84"/>
        <v xml:space="preserve"> </v>
      </c>
      <c r="W107" s="1976" t="str">
        <f t="shared" si="85"/>
        <v xml:space="preserve"> </v>
      </c>
      <c r="X107" s="1976" t="str">
        <f t="shared" si="86"/>
        <v xml:space="preserve"> </v>
      </c>
      <c r="Y107" s="1976" t="str">
        <f t="shared" si="87"/>
        <v xml:space="preserve"> </v>
      </c>
      <c r="Z107" s="1977" t="str">
        <f t="shared" si="88"/>
        <v xml:space="preserve"> </v>
      </c>
      <c r="AA107" s="1977" t="str">
        <f t="shared" si="89"/>
        <v xml:space="preserve"> </v>
      </c>
      <c r="AB107" s="1977" t="str">
        <f t="shared" si="90"/>
        <v xml:space="preserve"> </v>
      </c>
      <c r="AC107" s="1977" t="str">
        <f t="shared" si="91"/>
        <v xml:space="preserve"> </v>
      </c>
      <c r="AD107" s="1977" t="str">
        <f t="shared" si="92"/>
        <v xml:space="preserve"> </v>
      </c>
      <c r="AE107" s="1978" t="str">
        <f t="shared" si="93"/>
        <v xml:space="preserve"> </v>
      </c>
      <c r="AF107" s="1978" t="str">
        <f t="shared" si="94"/>
        <v xml:space="preserve"> </v>
      </c>
      <c r="AG107" s="1978" t="str">
        <f t="shared" si="95"/>
        <v xml:space="preserve"> </v>
      </c>
      <c r="AH107" s="1978" t="str">
        <f t="shared" si="96"/>
        <v xml:space="preserve"> </v>
      </c>
      <c r="AI107" s="1978" t="str">
        <f t="shared" si="97"/>
        <v xml:space="preserve"> </v>
      </c>
    </row>
    <row r="108" spans="12:35" s="352" customFormat="1" x14ac:dyDescent="0.25">
      <c r="L108" s="1972" t="str">
        <f t="shared" si="74"/>
        <v xml:space="preserve">      </v>
      </c>
      <c r="M108" s="1973" t="str">
        <f t="shared" si="75"/>
        <v xml:space="preserve">      </v>
      </c>
      <c r="N108" s="1974" t="str">
        <f t="shared" si="76"/>
        <v xml:space="preserve">      </v>
      </c>
      <c r="O108" s="1974" t="str">
        <f t="shared" si="77"/>
        <v xml:space="preserve">      </v>
      </c>
      <c r="P108" s="1975" t="str">
        <f t="shared" si="78"/>
        <v xml:space="preserve"> </v>
      </c>
      <c r="Q108" s="1975" t="str">
        <f t="shared" si="79"/>
        <v xml:space="preserve"> </v>
      </c>
      <c r="R108" s="1975" t="str">
        <f t="shared" si="80"/>
        <v xml:space="preserve"> </v>
      </c>
      <c r="S108" s="1975" t="str">
        <f t="shared" si="81"/>
        <v xml:space="preserve"> </v>
      </c>
      <c r="T108" s="1975" t="str">
        <f t="shared" si="82"/>
        <v xml:space="preserve"> </v>
      </c>
      <c r="U108" s="1976" t="str">
        <f t="shared" si="83"/>
        <v xml:space="preserve"> </v>
      </c>
      <c r="V108" s="1976" t="str">
        <f t="shared" si="84"/>
        <v xml:space="preserve"> </v>
      </c>
      <c r="W108" s="1976" t="str">
        <f t="shared" si="85"/>
        <v xml:space="preserve"> </v>
      </c>
      <c r="X108" s="1976" t="str">
        <f t="shared" si="86"/>
        <v xml:space="preserve"> </v>
      </c>
      <c r="Y108" s="1976" t="str">
        <f t="shared" si="87"/>
        <v xml:space="preserve"> </v>
      </c>
      <c r="Z108" s="1977" t="str">
        <f t="shared" si="88"/>
        <v xml:space="preserve"> </v>
      </c>
      <c r="AA108" s="1977" t="str">
        <f t="shared" si="89"/>
        <v xml:space="preserve"> </v>
      </c>
      <c r="AB108" s="1977" t="str">
        <f t="shared" si="90"/>
        <v xml:space="preserve"> </v>
      </c>
      <c r="AC108" s="1977" t="str">
        <f t="shared" si="91"/>
        <v xml:space="preserve"> </v>
      </c>
      <c r="AD108" s="1977" t="str">
        <f t="shared" si="92"/>
        <v xml:space="preserve"> </v>
      </c>
      <c r="AE108" s="1978" t="str">
        <f t="shared" si="93"/>
        <v xml:space="preserve"> </v>
      </c>
      <c r="AF108" s="1978" t="str">
        <f t="shared" si="94"/>
        <v xml:space="preserve"> </v>
      </c>
      <c r="AG108" s="1978" t="str">
        <f t="shared" si="95"/>
        <v xml:space="preserve"> </v>
      </c>
      <c r="AH108" s="1978" t="str">
        <f t="shared" si="96"/>
        <v xml:space="preserve"> </v>
      </c>
      <c r="AI108" s="1978" t="str">
        <f t="shared" si="97"/>
        <v xml:space="preserve"> </v>
      </c>
    </row>
    <row r="109" spans="12:35" s="352" customFormat="1" x14ac:dyDescent="0.25">
      <c r="L109" s="1972" t="str">
        <f t="shared" si="74"/>
        <v xml:space="preserve">      </v>
      </c>
      <c r="M109" s="1973" t="str">
        <f t="shared" si="75"/>
        <v xml:space="preserve">      </v>
      </c>
      <c r="N109" s="1974" t="str">
        <f t="shared" si="76"/>
        <v xml:space="preserve">      </v>
      </c>
      <c r="O109" s="1974" t="str">
        <f t="shared" si="77"/>
        <v xml:space="preserve">      </v>
      </c>
      <c r="P109" s="1975" t="str">
        <f t="shared" si="78"/>
        <v xml:space="preserve"> </v>
      </c>
      <c r="Q109" s="1975" t="str">
        <f t="shared" si="79"/>
        <v xml:space="preserve"> </v>
      </c>
      <c r="R109" s="1975" t="str">
        <f t="shared" si="80"/>
        <v xml:space="preserve"> </v>
      </c>
      <c r="S109" s="1975" t="str">
        <f t="shared" si="81"/>
        <v xml:space="preserve"> </v>
      </c>
      <c r="T109" s="1975" t="str">
        <f t="shared" si="82"/>
        <v xml:space="preserve"> </v>
      </c>
      <c r="U109" s="1976" t="str">
        <f t="shared" si="83"/>
        <v xml:space="preserve"> </v>
      </c>
      <c r="V109" s="1976" t="str">
        <f t="shared" si="84"/>
        <v xml:space="preserve"> </v>
      </c>
      <c r="W109" s="1976" t="str">
        <f t="shared" si="85"/>
        <v xml:space="preserve"> </v>
      </c>
      <c r="X109" s="1976" t="str">
        <f t="shared" si="86"/>
        <v xml:space="preserve"> </v>
      </c>
      <c r="Y109" s="1976" t="str">
        <f t="shared" si="87"/>
        <v xml:space="preserve"> </v>
      </c>
      <c r="Z109" s="1977" t="str">
        <f t="shared" si="88"/>
        <v xml:space="preserve"> </v>
      </c>
      <c r="AA109" s="1977" t="str">
        <f t="shared" si="89"/>
        <v xml:space="preserve"> </v>
      </c>
      <c r="AB109" s="1977" t="str">
        <f t="shared" si="90"/>
        <v xml:space="preserve"> </v>
      </c>
      <c r="AC109" s="1977" t="str">
        <f t="shared" si="91"/>
        <v xml:space="preserve"> </v>
      </c>
      <c r="AD109" s="1977" t="str">
        <f t="shared" si="92"/>
        <v xml:space="preserve"> </v>
      </c>
      <c r="AE109" s="1978" t="str">
        <f t="shared" si="93"/>
        <v xml:space="preserve"> </v>
      </c>
      <c r="AF109" s="1978" t="str">
        <f t="shared" si="94"/>
        <v xml:space="preserve"> </v>
      </c>
      <c r="AG109" s="1978" t="str">
        <f t="shared" si="95"/>
        <v xml:space="preserve"> </v>
      </c>
      <c r="AH109" s="1978" t="str">
        <f t="shared" si="96"/>
        <v xml:space="preserve"> </v>
      </c>
      <c r="AI109" s="1978" t="str">
        <f t="shared" si="97"/>
        <v xml:space="preserve"> </v>
      </c>
    </row>
    <row r="110" spans="12:35" s="352" customFormat="1" x14ac:dyDescent="0.25">
      <c r="L110" s="1972" t="str">
        <f t="shared" si="74"/>
        <v xml:space="preserve">      </v>
      </c>
      <c r="M110" s="1973" t="str">
        <f t="shared" si="75"/>
        <v xml:space="preserve">      </v>
      </c>
      <c r="N110" s="1974" t="str">
        <f t="shared" si="76"/>
        <v xml:space="preserve">      </v>
      </c>
      <c r="O110" s="1974" t="str">
        <f t="shared" si="77"/>
        <v xml:space="preserve">      </v>
      </c>
      <c r="P110" s="1975" t="str">
        <f t="shared" si="78"/>
        <v xml:space="preserve"> </v>
      </c>
      <c r="Q110" s="1975" t="str">
        <f t="shared" si="79"/>
        <v xml:space="preserve"> </v>
      </c>
      <c r="R110" s="1975" t="str">
        <f t="shared" si="80"/>
        <v xml:space="preserve"> </v>
      </c>
      <c r="S110" s="1975" t="str">
        <f t="shared" si="81"/>
        <v xml:space="preserve"> </v>
      </c>
      <c r="T110" s="1975" t="str">
        <f t="shared" si="82"/>
        <v xml:space="preserve"> </v>
      </c>
      <c r="U110" s="1976" t="str">
        <f t="shared" si="83"/>
        <v xml:space="preserve"> </v>
      </c>
      <c r="V110" s="1976" t="str">
        <f t="shared" si="84"/>
        <v xml:space="preserve"> </v>
      </c>
      <c r="W110" s="1976" t="str">
        <f t="shared" si="85"/>
        <v xml:space="preserve"> </v>
      </c>
      <c r="X110" s="1976" t="str">
        <f t="shared" si="86"/>
        <v xml:space="preserve"> </v>
      </c>
      <c r="Y110" s="1976" t="str">
        <f t="shared" si="87"/>
        <v xml:space="preserve"> </v>
      </c>
      <c r="Z110" s="1977" t="str">
        <f t="shared" si="88"/>
        <v xml:space="preserve"> </v>
      </c>
      <c r="AA110" s="1977" t="str">
        <f t="shared" si="89"/>
        <v xml:space="preserve"> </v>
      </c>
      <c r="AB110" s="1977" t="str">
        <f t="shared" si="90"/>
        <v xml:space="preserve"> </v>
      </c>
      <c r="AC110" s="1977" t="str">
        <f t="shared" si="91"/>
        <v xml:space="preserve"> </v>
      </c>
      <c r="AD110" s="1977" t="str">
        <f t="shared" si="92"/>
        <v xml:space="preserve"> </v>
      </c>
      <c r="AE110" s="1978" t="str">
        <f t="shared" si="93"/>
        <v xml:space="preserve"> </v>
      </c>
      <c r="AF110" s="1978" t="str">
        <f t="shared" si="94"/>
        <v xml:space="preserve"> </v>
      </c>
      <c r="AG110" s="1978" t="str">
        <f t="shared" si="95"/>
        <v xml:space="preserve"> </v>
      </c>
      <c r="AH110" s="1978" t="str">
        <f t="shared" si="96"/>
        <v xml:space="preserve"> </v>
      </c>
      <c r="AI110" s="1978" t="str">
        <f t="shared" si="97"/>
        <v xml:space="preserve"> </v>
      </c>
    </row>
    <row r="111" spans="12:35" s="352" customFormat="1" x14ac:dyDescent="0.25">
      <c r="L111" s="1972" t="str">
        <f t="shared" si="74"/>
        <v xml:space="preserve">      </v>
      </c>
      <c r="M111" s="1973" t="str">
        <f t="shared" si="75"/>
        <v xml:space="preserve">      </v>
      </c>
      <c r="N111" s="1974" t="str">
        <f t="shared" si="76"/>
        <v xml:space="preserve">      </v>
      </c>
      <c r="O111" s="1974" t="str">
        <f t="shared" si="77"/>
        <v xml:space="preserve">      </v>
      </c>
      <c r="P111" s="1975" t="str">
        <f t="shared" si="78"/>
        <v xml:space="preserve"> </v>
      </c>
      <c r="Q111" s="1975" t="str">
        <f t="shared" si="79"/>
        <v xml:space="preserve"> </v>
      </c>
      <c r="R111" s="1975" t="str">
        <f t="shared" si="80"/>
        <v xml:space="preserve"> </v>
      </c>
      <c r="S111" s="1975" t="str">
        <f t="shared" si="81"/>
        <v xml:space="preserve"> </v>
      </c>
      <c r="T111" s="1975" t="str">
        <f t="shared" si="82"/>
        <v xml:space="preserve"> </v>
      </c>
      <c r="U111" s="1976" t="str">
        <f t="shared" si="83"/>
        <v xml:space="preserve"> </v>
      </c>
      <c r="V111" s="1976" t="str">
        <f t="shared" si="84"/>
        <v xml:space="preserve"> </v>
      </c>
      <c r="W111" s="1976" t="str">
        <f t="shared" si="85"/>
        <v xml:space="preserve"> </v>
      </c>
      <c r="X111" s="1976" t="str">
        <f t="shared" si="86"/>
        <v xml:space="preserve"> </v>
      </c>
      <c r="Y111" s="1976" t="str">
        <f t="shared" si="87"/>
        <v xml:space="preserve"> </v>
      </c>
      <c r="Z111" s="1977" t="str">
        <f t="shared" si="88"/>
        <v xml:space="preserve"> </v>
      </c>
      <c r="AA111" s="1977" t="str">
        <f t="shared" si="89"/>
        <v xml:space="preserve"> </v>
      </c>
      <c r="AB111" s="1977" t="str">
        <f t="shared" si="90"/>
        <v xml:space="preserve"> </v>
      </c>
      <c r="AC111" s="1977" t="str">
        <f t="shared" si="91"/>
        <v xml:space="preserve"> </v>
      </c>
      <c r="AD111" s="1977" t="str">
        <f t="shared" si="92"/>
        <v xml:space="preserve"> </v>
      </c>
      <c r="AE111" s="1978" t="str">
        <f t="shared" si="93"/>
        <v xml:space="preserve"> </v>
      </c>
      <c r="AF111" s="1978" t="str">
        <f t="shared" si="94"/>
        <v xml:space="preserve"> </v>
      </c>
      <c r="AG111" s="1978" t="str">
        <f t="shared" si="95"/>
        <v xml:space="preserve"> </v>
      </c>
      <c r="AH111" s="1978" t="str">
        <f t="shared" si="96"/>
        <v xml:space="preserve"> </v>
      </c>
      <c r="AI111" s="1978" t="str">
        <f t="shared" si="97"/>
        <v xml:space="preserve"> </v>
      </c>
    </row>
    <row r="112" spans="12:35" s="352" customFormat="1" x14ac:dyDescent="0.25">
      <c r="L112" s="1972" t="str">
        <f t="shared" si="74"/>
        <v xml:space="preserve">      </v>
      </c>
      <c r="M112" s="1973" t="str">
        <f t="shared" si="75"/>
        <v xml:space="preserve">      </v>
      </c>
      <c r="N112" s="1974" t="str">
        <f t="shared" si="76"/>
        <v xml:space="preserve">      </v>
      </c>
      <c r="O112" s="1974" t="str">
        <f t="shared" si="77"/>
        <v xml:space="preserve">      </v>
      </c>
      <c r="P112" s="1975" t="str">
        <f t="shared" si="78"/>
        <v xml:space="preserve"> </v>
      </c>
      <c r="Q112" s="1975" t="str">
        <f t="shared" si="79"/>
        <v xml:space="preserve"> </v>
      </c>
      <c r="R112" s="1975" t="str">
        <f t="shared" si="80"/>
        <v xml:space="preserve"> </v>
      </c>
      <c r="S112" s="1975" t="str">
        <f t="shared" si="81"/>
        <v xml:space="preserve"> </v>
      </c>
      <c r="T112" s="1975" t="str">
        <f t="shared" si="82"/>
        <v xml:space="preserve"> </v>
      </c>
      <c r="U112" s="1976" t="str">
        <f t="shared" si="83"/>
        <v xml:space="preserve"> </v>
      </c>
      <c r="V112" s="1976" t="str">
        <f t="shared" si="84"/>
        <v xml:space="preserve"> </v>
      </c>
      <c r="W112" s="1976" t="str">
        <f t="shared" si="85"/>
        <v xml:space="preserve"> </v>
      </c>
      <c r="X112" s="1976" t="str">
        <f t="shared" si="86"/>
        <v xml:space="preserve"> </v>
      </c>
      <c r="Y112" s="1976" t="str">
        <f t="shared" si="87"/>
        <v xml:space="preserve"> </v>
      </c>
      <c r="Z112" s="1977" t="str">
        <f t="shared" si="88"/>
        <v xml:space="preserve"> </v>
      </c>
      <c r="AA112" s="1977" t="str">
        <f t="shared" si="89"/>
        <v xml:space="preserve"> </v>
      </c>
      <c r="AB112" s="1977" t="str">
        <f t="shared" si="90"/>
        <v xml:space="preserve"> </v>
      </c>
      <c r="AC112" s="1977" t="str">
        <f t="shared" si="91"/>
        <v xml:space="preserve"> </v>
      </c>
      <c r="AD112" s="1977" t="str">
        <f t="shared" si="92"/>
        <v xml:space="preserve"> </v>
      </c>
      <c r="AE112" s="1978" t="str">
        <f t="shared" si="93"/>
        <v xml:space="preserve"> </v>
      </c>
      <c r="AF112" s="1978" t="str">
        <f t="shared" si="94"/>
        <v xml:space="preserve"> </v>
      </c>
      <c r="AG112" s="1978" t="str">
        <f t="shared" si="95"/>
        <v xml:space="preserve"> </v>
      </c>
      <c r="AH112" s="1978" t="str">
        <f t="shared" si="96"/>
        <v xml:space="preserve"> </v>
      </c>
      <c r="AI112" s="1978" t="str">
        <f t="shared" si="97"/>
        <v xml:space="preserve"> </v>
      </c>
    </row>
    <row r="113" spans="12:35" s="352" customFormat="1" x14ac:dyDescent="0.25">
      <c r="L113" s="1972" t="str">
        <f t="shared" si="74"/>
        <v xml:space="preserve">      </v>
      </c>
      <c r="M113" s="1973" t="str">
        <f t="shared" si="75"/>
        <v xml:space="preserve">      </v>
      </c>
      <c r="N113" s="1974" t="str">
        <f t="shared" si="76"/>
        <v xml:space="preserve">      </v>
      </c>
      <c r="O113" s="1974" t="str">
        <f t="shared" si="77"/>
        <v xml:space="preserve">      </v>
      </c>
      <c r="P113" s="1975" t="str">
        <f t="shared" si="78"/>
        <v xml:space="preserve"> </v>
      </c>
      <c r="Q113" s="1975" t="str">
        <f t="shared" si="79"/>
        <v xml:space="preserve"> </v>
      </c>
      <c r="R113" s="1975" t="str">
        <f t="shared" si="80"/>
        <v xml:space="preserve"> </v>
      </c>
      <c r="S113" s="1975" t="str">
        <f t="shared" si="81"/>
        <v xml:space="preserve"> </v>
      </c>
      <c r="T113" s="1975" t="str">
        <f t="shared" si="82"/>
        <v xml:space="preserve"> </v>
      </c>
      <c r="U113" s="1976" t="str">
        <f t="shared" si="83"/>
        <v xml:space="preserve"> </v>
      </c>
      <c r="V113" s="1976" t="str">
        <f t="shared" si="84"/>
        <v xml:space="preserve"> </v>
      </c>
      <c r="W113" s="1976" t="str">
        <f t="shared" si="85"/>
        <v xml:space="preserve"> </v>
      </c>
      <c r="X113" s="1976" t="str">
        <f t="shared" si="86"/>
        <v xml:space="preserve"> </v>
      </c>
      <c r="Y113" s="1976" t="str">
        <f t="shared" si="87"/>
        <v xml:space="preserve"> </v>
      </c>
      <c r="Z113" s="1977" t="str">
        <f t="shared" si="88"/>
        <v xml:space="preserve"> </v>
      </c>
      <c r="AA113" s="1977" t="str">
        <f t="shared" si="89"/>
        <v xml:space="preserve"> </v>
      </c>
      <c r="AB113" s="1977" t="str">
        <f t="shared" si="90"/>
        <v xml:space="preserve"> </v>
      </c>
      <c r="AC113" s="1977" t="str">
        <f t="shared" si="91"/>
        <v xml:space="preserve"> </v>
      </c>
      <c r="AD113" s="1977" t="str">
        <f t="shared" si="92"/>
        <v xml:space="preserve"> </v>
      </c>
      <c r="AE113" s="1978" t="str">
        <f t="shared" si="93"/>
        <v xml:space="preserve"> </v>
      </c>
      <c r="AF113" s="1978" t="str">
        <f t="shared" si="94"/>
        <v xml:space="preserve"> </v>
      </c>
      <c r="AG113" s="1978" t="str">
        <f t="shared" si="95"/>
        <v xml:space="preserve"> </v>
      </c>
      <c r="AH113" s="1978" t="str">
        <f t="shared" si="96"/>
        <v xml:space="preserve"> </v>
      </c>
      <c r="AI113" s="1978" t="str">
        <f t="shared" si="97"/>
        <v xml:space="preserve"> </v>
      </c>
    </row>
    <row r="114" spans="12:35" s="352" customFormat="1" x14ac:dyDescent="0.25">
      <c r="L114" s="1972" t="str">
        <f t="shared" si="74"/>
        <v xml:space="preserve">      </v>
      </c>
      <c r="M114" s="1973" t="str">
        <f t="shared" si="75"/>
        <v xml:space="preserve">      </v>
      </c>
      <c r="N114" s="1974" t="str">
        <f t="shared" si="76"/>
        <v xml:space="preserve">      </v>
      </c>
      <c r="O114" s="1974" t="str">
        <f t="shared" si="77"/>
        <v xml:space="preserve">      </v>
      </c>
      <c r="P114" s="1975" t="str">
        <f t="shared" si="78"/>
        <v xml:space="preserve"> </v>
      </c>
      <c r="Q114" s="1975" t="str">
        <f t="shared" si="79"/>
        <v xml:space="preserve"> </v>
      </c>
      <c r="R114" s="1975" t="str">
        <f t="shared" si="80"/>
        <v xml:space="preserve"> </v>
      </c>
      <c r="S114" s="1975" t="str">
        <f t="shared" si="81"/>
        <v xml:space="preserve"> </v>
      </c>
      <c r="T114" s="1975" t="str">
        <f t="shared" si="82"/>
        <v xml:space="preserve"> </v>
      </c>
      <c r="U114" s="1976" t="str">
        <f t="shared" si="83"/>
        <v xml:space="preserve"> </v>
      </c>
      <c r="V114" s="1976" t="str">
        <f t="shared" si="84"/>
        <v xml:space="preserve"> </v>
      </c>
      <c r="W114" s="1976" t="str">
        <f t="shared" si="85"/>
        <v xml:space="preserve"> </v>
      </c>
      <c r="X114" s="1976" t="str">
        <f t="shared" si="86"/>
        <v xml:space="preserve"> </v>
      </c>
      <c r="Y114" s="1976" t="str">
        <f t="shared" si="87"/>
        <v xml:space="preserve"> </v>
      </c>
      <c r="Z114" s="1977" t="str">
        <f t="shared" si="88"/>
        <v xml:space="preserve"> </v>
      </c>
      <c r="AA114" s="1977" t="str">
        <f t="shared" si="89"/>
        <v xml:space="preserve"> </v>
      </c>
      <c r="AB114" s="1977" t="str">
        <f t="shared" si="90"/>
        <v xml:space="preserve"> </v>
      </c>
      <c r="AC114" s="1977" t="str">
        <f t="shared" si="91"/>
        <v xml:space="preserve"> </v>
      </c>
      <c r="AD114" s="1977" t="str">
        <f t="shared" si="92"/>
        <v xml:space="preserve"> </v>
      </c>
      <c r="AE114" s="1978" t="str">
        <f t="shared" si="93"/>
        <v xml:space="preserve"> </v>
      </c>
      <c r="AF114" s="1978" t="str">
        <f t="shared" si="94"/>
        <v xml:space="preserve"> </v>
      </c>
      <c r="AG114" s="1978" t="str">
        <f t="shared" si="95"/>
        <v xml:space="preserve"> </v>
      </c>
      <c r="AH114" s="1978" t="str">
        <f t="shared" si="96"/>
        <v xml:space="preserve"> </v>
      </c>
      <c r="AI114" s="1978" t="str">
        <f t="shared" si="97"/>
        <v xml:space="preserve"> </v>
      </c>
    </row>
    <row r="115" spans="12:35" s="352" customFormat="1" x14ac:dyDescent="0.25">
      <c r="L115" s="1972" t="str">
        <f t="shared" si="74"/>
        <v xml:space="preserve">      </v>
      </c>
      <c r="M115" s="1973" t="str">
        <f t="shared" si="75"/>
        <v xml:space="preserve">      </v>
      </c>
      <c r="N115" s="1974" t="str">
        <f t="shared" si="76"/>
        <v xml:space="preserve">      </v>
      </c>
      <c r="O115" s="1974" t="str">
        <f t="shared" si="77"/>
        <v xml:space="preserve">      </v>
      </c>
      <c r="P115" s="1975" t="str">
        <f t="shared" si="78"/>
        <v xml:space="preserve"> </v>
      </c>
      <c r="Q115" s="1975" t="str">
        <f t="shared" si="79"/>
        <v xml:space="preserve"> </v>
      </c>
      <c r="R115" s="1975" t="str">
        <f t="shared" si="80"/>
        <v xml:space="preserve"> </v>
      </c>
      <c r="S115" s="1975" t="str">
        <f t="shared" si="81"/>
        <v xml:space="preserve"> </v>
      </c>
      <c r="T115" s="1975" t="str">
        <f t="shared" si="82"/>
        <v xml:space="preserve"> </v>
      </c>
      <c r="U115" s="1976" t="str">
        <f t="shared" si="83"/>
        <v xml:space="preserve"> </v>
      </c>
      <c r="V115" s="1976" t="str">
        <f t="shared" si="84"/>
        <v xml:space="preserve"> </v>
      </c>
      <c r="W115" s="1976" t="str">
        <f t="shared" si="85"/>
        <v xml:space="preserve"> </v>
      </c>
      <c r="X115" s="1976" t="str">
        <f t="shared" si="86"/>
        <v xml:space="preserve"> </v>
      </c>
      <c r="Y115" s="1976" t="str">
        <f t="shared" si="87"/>
        <v xml:space="preserve"> </v>
      </c>
      <c r="Z115" s="1977" t="str">
        <f t="shared" si="88"/>
        <v xml:space="preserve"> </v>
      </c>
      <c r="AA115" s="1977" t="str">
        <f t="shared" si="89"/>
        <v xml:space="preserve"> </v>
      </c>
      <c r="AB115" s="1977" t="str">
        <f t="shared" si="90"/>
        <v xml:space="preserve"> </v>
      </c>
      <c r="AC115" s="1977" t="str">
        <f t="shared" si="91"/>
        <v xml:space="preserve"> </v>
      </c>
      <c r="AD115" s="1977" t="str">
        <f t="shared" si="92"/>
        <v xml:space="preserve"> </v>
      </c>
      <c r="AE115" s="1978" t="str">
        <f t="shared" si="93"/>
        <v xml:space="preserve"> </v>
      </c>
      <c r="AF115" s="1978" t="str">
        <f t="shared" si="94"/>
        <v xml:space="preserve"> </v>
      </c>
      <c r="AG115" s="1978" t="str">
        <f t="shared" si="95"/>
        <v xml:space="preserve"> </v>
      </c>
      <c r="AH115" s="1978" t="str">
        <f t="shared" si="96"/>
        <v xml:space="preserve"> </v>
      </c>
      <c r="AI115" s="1978" t="str">
        <f t="shared" si="97"/>
        <v xml:space="preserve"> </v>
      </c>
    </row>
    <row r="116" spans="12:35" s="352" customFormat="1" x14ac:dyDescent="0.25">
      <c r="L116" s="1972" t="str">
        <f t="shared" si="74"/>
        <v xml:space="preserve">      </v>
      </c>
      <c r="M116" s="1973" t="str">
        <f t="shared" si="75"/>
        <v xml:space="preserve">      </v>
      </c>
      <c r="N116" s="1974" t="str">
        <f t="shared" si="76"/>
        <v xml:space="preserve">      </v>
      </c>
      <c r="O116" s="1974" t="str">
        <f t="shared" si="77"/>
        <v xml:space="preserve">      </v>
      </c>
      <c r="P116" s="1975" t="str">
        <f t="shared" si="78"/>
        <v xml:space="preserve"> </v>
      </c>
      <c r="Q116" s="1975" t="str">
        <f t="shared" si="79"/>
        <v xml:space="preserve"> </v>
      </c>
      <c r="R116" s="1975" t="str">
        <f t="shared" si="80"/>
        <v xml:space="preserve"> </v>
      </c>
      <c r="S116" s="1975" t="str">
        <f t="shared" si="81"/>
        <v xml:space="preserve"> </v>
      </c>
      <c r="T116" s="1975" t="str">
        <f t="shared" si="82"/>
        <v xml:space="preserve"> </v>
      </c>
      <c r="U116" s="1976" t="str">
        <f t="shared" si="83"/>
        <v xml:space="preserve"> </v>
      </c>
      <c r="V116" s="1976" t="str">
        <f t="shared" si="84"/>
        <v xml:space="preserve"> </v>
      </c>
      <c r="W116" s="1976" t="str">
        <f t="shared" si="85"/>
        <v xml:space="preserve"> </v>
      </c>
      <c r="X116" s="1976" t="str">
        <f t="shared" si="86"/>
        <v xml:space="preserve"> </v>
      </c>
      <c r="Y116" s="1976" t="str">
        <f t="shared" si="87"/>
        <v xml:space="preserve"> </v>
      </c>
      <c r="Z116" s="1977" t="str">
        <f t="shared" si="88"/>
        <v xml:space="preserve"> </v>
      </c>
      <c r="AA116" s="1977" t="str">
        <f t="shared" si="89"/>
        <v xml:space="preserve"> </v>
      </c>
      <c r="AB116" s="1977" t="str">
        <f t="shared" si="90"/>
        <v xml:space="preserve"> </v>
      </c>
      <c r="AC116" s="1977" t="str">
        <f t="shared" si="91"/>
        <v xml:space="preserve"> </v>
      </c>
      <c r="AD116" s="1977" t="str">
        <f t="shared" si="92"/>
        <v xml:space="preserve"> </v>
      </c>
      <c r="AE116" s="1978" t="str">
        <f t="shared" si="93"/>
        <v xml:space="preserve"> </v>
      </c>
      <c r="AF116" s="1978" t="str">
        <f t="shared" si="94"/>
        <v xml:space="preserve"> </v>
      </c>
      <c r="AG116" s="1978" t="str">
        <f t="shared" si="95"/>
        <v xml:space="preserve"> </v>
      </c>
      <c r="AH116" s="1978" t="str">
        <f t="shared" si="96"/>
        <v xml:space="preserve"> </v>
      </c>
      <c r="AI116" s="1978" t="str">
        <f t="shared" si="97"/>
        <v xml:space="preserve"> </v>
      </c>
    </row>
    <row r="117" spans="12:35" s="352" customFormat="1" x14ac:dyDescent="0.25">
      <c r="L117" s="1972" t="str">
        <f t="shared" si="74"/>
        <v xml:space="preserve">      </v>
      </c>
      <c r="M117" s="1973" t="str">
        <f t="shared" si="75"/>
        <v xml:space="preserve">      </v>
      </c>
      <c r="N117" s="1974" t="str">
        <f t="shared" si="76"/>
        <v xml:space="preserve">      </v>
      </c>
      <c r="O117" s="1974" t="str">
        <f t="shared" si="77"/>
        <v xml:space="preserve">      </v>
      </c>
      <c r="P117" s="1975" t="str">
        <f t="shared" si="78"/>
        <v xml:space="preserve"> </v>
      </c>
      <c r="Q117" s="1975" t="str">
        <f t="shared" si="79"/>
        <v xml:space="preserve"> </v>
      </c>
      <c r="R117" s="1975" t="str">
        <f t="shared" si="80"/>
        <v xml:space="preserve"> </v>
      </c>
      <c r="S117" s="1975" t="str">
        <f t="shared" si="81"/>
        <v xml:space="preserve"> </v>
      </c>
      <c r="T117" s="1975" t="str">
        <f t="shared" si="82"/>
        <v xml:space="preserve"> </v>
      </c>
      <c r="U117" s="1976" t="str">
        <f t="shared" si="83"/>
        <v xml:space="preserve"> </v>
      </c>
      <c r="V117" s="1976" t="str">
        <f t="shared" si="84"/>
        <v xml:space="preserve"> </v>
      </c>
      <c r="W117" s="1976" t="str">
        <f t="shared" si="85"/>
        <v xml:space="preserve"> </v>
      </c>
      <c r="X117" s="1976" t="str">
        <f t="shared" si="86"/>
        <v xml:space="preserve"> </v>
      </c>
      <c r="Y117" s="1976" t="str">
        <f t="shared" si="87"/>
        <v xml:space="preserve"> </v>
      </c>
      <c r="Z117" s="1977" t="str">
        <f t="shared" si="88"/>
        <v xml:space="preserve"> </v>
      </c>
      <c r="AA117" s="1977" t="str">
        <f t="shared" si="89"/>
        <v xml:space="preserve"> </v>
      </c>
      <c r="AB117" s="1977" t="str">
        <f t="shared" si="90"/>
        <v xml:space="preserve"> </v>
      </c>
      <c r="AC117" s="1977" t="str">
        <f t="shared" si="91"/>
        <v xml:space="preserve"> </v>
      </c>
      <c r="AD117" s="1977" t="str">
        <f t="shared" si="92"/>
        <v xml:space="preserve"> </v>
      </c>
      <c r="AE117" s="1978" t="str">
        <f t="shared" si="93"/>
        <v xml:space="preserve"> </v>
      </c>
      <c r="AF117" s="1978" t="str">
        <f t="shared" si="94"/>
        <v xml:space="preserve"> </v>
      </c>
      <c r="AG117" s="1978" t="str">
        <f t="shared" si="95"/>
        <v xml:space="preserve"> </v>
      </c>
      <c r="AH117" s="1978" t="str">
        <f t="shared" si="96"/>
        <v xml:space="preserve"> </v>
      </c>
      <c r="AI117" s="1978" t="str">
        <f t="shared" si="97"/>
        <v xml:space="preserve"> </v>
      </c>
    </row>
    <row r="118" spans="12:35" s="352" customFormat="1" x14ac:dyDescent="0.25">
      <c r="L118" s="1972" t="str">
        <f t="shared" si="74"/>
        <v xml:space="preserve">      </v>
      </c>
      <c r="M118" s="1973" t="str">
        <f t="shared" si="75"/>
        <v xml:space="preserve">      </v>
      </c>
      <c r="N118" s="1974" t="str">
        <f t="shared" si="76"/>
        <v xml:space="preserve">      </v>
      </c>
      <c r="O118" s="1974" t="str">
        <f t="shared" si="77"/>
        <v xml:space="preserve">      </v>
      </c>
      <c r="P118" s="1975" t="str">
        <f t="shared" si="78"/>
        <v xml:space="preserve"> </v>
      </c>
      <c r="Q118" s="1975" t="str">
        <f t="shared" si="79"/>
        <v xml:space="preserve"> </v>
      </c>
      <c r="R118" s="1975" t="str">
        <f t="shared" si="80"/>
        <v xml:space="preserve"> </v>
      </c>
      <c r="S118" s="1975" t="str">
        <f t="shared" si="81"/>
        <v xml:space="preserve"> </v>
      </c>
      <c r="T118" s="1975" t="str">
        <f t="shared" si="82"/>
        <v xml:space="preserve"> </v>
      </c>
      <c r="U118" s="1976" t="str">
        <f t="shared" si="83"/>
        <v xml:space="preserve"> </v>
      </c>
      <c r="V118" s="1976" t="str">
        <f t="shared" si="84"/>
        <v xml:space="preserve"> </v>
      </c>
      <c r="W118" s="1976" t="str">
        <f t="shared" si="85"/>
        <v xml:space="preserve"> </v>
      </c>
      <c r="X118" s="1976" t="str">
        <f t="shared" si="86"/>
        <v xml:space="preserve"> </v>
      </c>
      <c r="Y118" s="1976" t="str">
        <f t="shared" si="87"/>
        <v xml:space="preserve"> </v>
      </c>
      <c r="Z118" s="1977" t="str">
        <f t="shared" si="88"/>
        <v xml:space="preserve"> </v>
      </c>
      <c r="AA118" s="1977" t="str">
        <f t="shared" si="89"/>
        <v xml:space="preserve"> </v>
      </c>
      <c r="AB118" s="1977" t="str">
        <f t="shared" si="90"/>
        <v xml:space="preserve"> </v>
      </c>
      <c r="AC118" s="1977" t="str">
        <f t="shared" si="91"/>
        <v xml:space="preserve"> </v>
      </c>
      <c r="AD118" s="1977" t="str">
        <f t="shared" si="92"/>
        <v xml:space="preserve"> </v>
      </c>
      <c r="AE118" s="1978" t="str">
        <f t="shared" si="93"/>
        <v xml:space="preserve"> </v>
      </c>
      <c r="AF118" s="1978" t="str">
        <f t="shared" si="94"/>
        <v xml:space="preserve"> </v>
      </c>
      <c r="AG118" s="1978" t="str">
        <f t="shared" si="95"/>
        <v xml:space="preserve"> </v>
      </c>
      <c r="AH118" s="1978" t="str">
        <f t="shared" si="96"/>
        <v xml:space="preserve"> </v>
      </c>
      <c r="AI118" s="1978" t="str">
        <f t="shared" si="97"/>
        <v xml:space="preserve"> </v>
      </c>
    </row>
    <row r="119" spans="12:35" s="352" customFormat="1" x14ac:dyDescent="0.25">
      <c r="L119" s="1972" t="str">
        <f t="shared" si="74"/>
        <v xml:space="preserve">      </v>
      </c>
      <c r="M119" s="1973" t="str">
        <f t="shared" si="75"/>
        <v xml:space="preserve">      </v>
      </c>
      <c r="N119" s="1974" t="str">
        <f t="shared" si="76"/>
        <v xml:space="preserve">      </v>
      </c>
      <c r="O119" s="1974" t="str">
        <f t="shared" si="77"/>
        <v xml:space="preserve">      </v>
      </c>
      <c r="P119" s="1975" t="str">
        <f t="shared" si="78"/>
        <v xml:space="preserve"> </v>
      </c>
      <c r="Q119" s="1975" t="str">
        <f t="shared" si="79"/>
        <v xml:space="preserve"> </v>
      </c>
      <c r="R119" s="1975" t="str">
        <f t="shared" si="80"/>
        <v xml:space="preserve"> </v>
      </c>
      <c r="S119" s="1975" t="str">
        <f t="shared" si="81"/>
        <v xml:space="preserve"> </v>
      </c>
      <c r="T119" s="1975" t="str">
        <f t="shared" si="82"/>
        <v xml:space="preserve"> </v>
      </c>
      <c r="U119" s="1976" t="str">
        <f t="shared" si="83"/>
        <v xml:space="preserve"> </v>
      </c>
      <c r="V119" s="1976" t="str">
        <f t="shared" si="84"/>
        <v xml:space="preserve"> </v>
      </c>
      <c r="W119" s="1976" t="str">
        <f t="shared" si="85"/>
        <v xml:space="preserve"> </v>
      </c>
      <c r="X119" s="1976" t="str">
        <f t="shared" si="86"/>
        <v xml:space="preserve"> </v>
      </c>
      <c r="Y119" s="1976" t="str">
        <f t="shared" si="87"/>
        <v xml:space="preserve"> </v>
      </c>
      <c r="Z119" s="1977" t="str">
        <f t="shared" si="88"/>
        <v xml:space="preserve"> </v>
      </c>
      <c r="AA119" s="1977" t="str">
        <f t="shared" si="89"/>
        <v xml:space="preserve"> </v>
      </c>
      <c r="AB119" s="1977" t="str">
        <f t="shared" si="90"/>
        <v xml:space="preserve"> </v>
      </c>
      <c r="AC119" s="1977" t="str">
        <f t="shared" si="91"/>
        <v xml:space="preserve"> </v>
      </c>
      <c r="AD119" s="1977" t="str">
        <f t="shared" si="92"/>
        <v xml:space="preserve"> </v>
      </c>
      <c r="AE119" s="1978" t="str">
        <f t="shared" si="93"/>
        <v xml:space="preserve"> </v>
      </c>
      <c r="AF119" s="1978" t="str">
        <f t="shared" si="94"/>
        <v xml:space="preserve"> </v>
      </c>
      <c r="AG119" s="1978" t="str">
        <f t="shared" si="95"/>
        <v xml:space="preserve"> </v>
      </c>
      <c r="AH119" s="1978" t="str">
        <f t="shared" si="96"/>
        <v xml:space="preserve"> </v>
      </c>
      <c r="AI119" s="1978" t="str">
        <f t="shared" si="97"/>
        <v xml:space="preserve"> </v>
      </c>
    </row>
    <row r="120" spans="12:35" s="352" customFormat="1" x14ac:dyDescent="0.25">
      <c r="L120" s="1972" t="str">
        <f t="shared" si="74"/>
        <v xml:space="preserve">      </v>
      </c>
      <c r="M120" s="1973" t="str">
        <f t="shared" si="75"/>
        <v xml:space="preserve">      </v>
      </c>
      <c r="N120" s="1974" t="str">
        <f t="shared" si="76"/>
        <v xml:space="preserve">      </v>
      </c>
      <c r="O120" s="1974" t="str">
        <f t="shared" si="77"/>
        <v xml:space="preserve">      </v>
      </c>
      <c r="P120" s="1975" t="str">
        <f t="shared" si="78"/>
        <v xml:space="preserve"> </v>
      </c>
      <c r="Q120" s="1975" t="str">
        <f t="shared" si="79"/>
        <v xml:space="preserve"> </v>
      </c>
      <c r="R120" s="1975" t="str">
        <f t="shared" si="80"/>
        <v xml:space="preserve"> </v>
      </c>
      <c r="S120" s="1975" t="str">
        <f t="shared" si="81"/>
        <v xml:space="preserve"> </v>
      </c>
      <c r="T120" s="1975" t="str">
        <f t="shared" si="82"/>
        <v xml:space="preserve"> </v>
      </c>
      <c r="U120" s="1976" t="str">
        <f t="shared" si="83"/>
        <v xml:space="preserve"> </v>
      </c>
      <c r="V120" s="1976" t="str">
        <f t="shared" si="84"/>
        <v xml:space="preserve"> </v>
      </c>
      <c r="W120" s="1976" t="str">
        <f t="shared" si="85"/>
        <v xml:space="preserve"> </v>
      </c>
      <c r="X120" s="1976" t="str">
        <f t="shared" si="86"/>
        <v xml:space="preserve"> </v>
      </c>
      <c r="Y120" s="1976" t="str">
        <f t="shared" si="87"/>
        <v xml:space="preserve"> </v>
      </c>
      <c r="Z120" s="1977" t="str">
        <f t="shared" si="88"/>
        <v xml:space="preserve"> </v>
      </c>
      <c r="AA120" s="1977" t="str">
        <f t="shared" si="89"/>
        <v xml:space="preserve"> </v>
      </c>
      <c r="AB120" s="1977" t="str">
        <f t="shared" si="90"/>
        <v xml:space="preserve"> </v>
      </c>
      <c r="AC120" s="1977" t="str">
        <f t="shared" si="91"/>
        <v xml:space="preserve"> </v>
      </c>
      <c r="AD120" s="1977" t="str">
        <f t="shared" si="92"/>
        <v xml:space="preserve"> </v>
      </c>
      <c r="AE120" s="1978" t="str">
        <f t="shared" si="93"/>
        <v xml:space="preserve"> </v>
      </c>
      <c r="AF120" s="1978" t="str">
        <f t="shared" si="94"/>
        <v xml:space="preserve"> </v>
      </c>
      <c r="AG120" s="1978" t="str">
        <f t="shared" si="95"/>
        <v xml:space="preserve"> </v>
      </c>
      <c r="AH120" s="1978" t="str">
        <f t="shared" si="96"/>
        <v xml:space="preserve"> </v>
      </c>
      <c r="AI120" s="1978" t="str">
        <f t="shared" si="97"/>
        <v xml:space="preserve"> </v>
      </c>
    </row>
    <row r="121" spans="12:35" s="352" customFormat="1" x14ac:dyDescent="0.25">
      <c r="L121" s="1972" t="str">
        <f t="shared" si="74"/>
        <v xml:space="preserve">      </v>
      </c>
      <c r="M121" s="1973" t="str">
        <f t="shared" si="75"/>
        <v xml:space="preserve">      </v>
      </c>
      <c r="N121" s="1974" t="str">
        <f t="shared" si="76"/>
        <v xml:space="preserve">      </v>
      </c>
      <c r="O121" s="1974" t="str">
        <f t="shared" si="77"/>
        <v xml:space="preserve">      </v>
      </c>
      <c r="P121" s="1975" t="str">
        <f t="shared" si="78"/>
        <v xml:space="preserve"> </v>
      </c>
      <c r="Q121" s="1975" t="str">
        <f t="shared" si="79"/>
        <v xml:space="preserve"> </v>
      </c>
      <c r="R121" s="1975" t="str">
        <f t="shared" si="80"/>
        <v xml:space="preserve"> </v>
      </c>
      <c r="S121" s="1975" t="str">
        <f t="shared" si="81"/>
        <v xml:space="preserve"> </v>
      </c>
      <c r="T121" s="1975" t="str">
        <f t="shared" si="82"/>
        <v xml:space="preserve"> </v>
      </c>
      <c r="U121" s="1976" t="str">
        <f t="shared" si="83"/>
        <v xml:space="preserve"> </v>
      </c>
      <c r="V121" s="1976" t="str">
        <f t="shared" si="84"/>
        <v xml:space="preserve"> </v>
      </c>
      <c r="W121" s="1976" t="str">
        <f t="shared" si="85"/>
        <v xml:space="preserve"> </v>
      </c>
      <c r="X121" s="1976" t="str">
        <f t="shared" si="86"/>
        <v xml:space="preserve"> </v>
      </c>
      <c r="Y121" s="1976" t="str">
        <f t="shared" si="87"/>
        <v xml:space="preserve"> </v>
      </c>
      <c r="Z121" s="1977" t="str">
        <f t="shared" si="88"/>
        <v xml:space="preserve"> </v>
      </c>
      <c r="AA121" s="1977" t="str">
        <f t="shared" si="89"/>
        <v xml:space="preserve"> </v>
      </c>
      <c r="AB121" s="1977" t="str">
        <f t="shared" si="90"/>
        <v xml:space="preserve"> </v>
      </c>
      <c r="AC121" s="1977" t="str">
        <f t="shared" si="91"/>
        <v xml:space="preserve"> </v>
      </c>
      <c r="AD121" s="1977" t="str">
        <f t="shared" si="92"/>
        <v xml:space="preserve"> </v>
      </c>
      <c r="AE121" s="1978" t="str">
        <f t="shared" si="93"/>
        <v xml:space="preserve"> </v>
      </c>
      <c r="AF121" s="1978" t="str">
        <f t="shared" si="94"/>
        <v xml:space="preserve"> </v>
      </c>
      <c r="AG121" s="1978" t="str">
        <f t="shared" si="95"/>
        <v xml:space="preserve"> </v>
      </c>
      <c r="AH121" s="1978" t="str">
        <f t="shared" si="96"/>
        <v xml:space="preserve"> </v>
      </c>
      <c r="AI121" s="1978" t="str">
        <f t="shared" si="97"/>
        <v xml:space="preserve"> </v>
      </c>
    </row>
    <row r="122" spans="12:35" s="352" customFormat="1" x14ac:dyDescent="0.25">
      <c r="L122" s="1972" t="str">
        <f t="shared" si="74"/>
        <v xml:space="preserve">      </v>
      </c>
      <c r="M122" s="1973" t="str">
        <f t="shared" si="75"/>
        <v xml:space="preserve">      </v>
      </c>
      <c r="N122" s="1974" t="str">
        <f t="shared" si="76"/>
        <v xml:space="preserve">      </v>
      </c>
      <c r="O122" s="1974" t="str">
        <f t="shared" si="77"/>
        <v xml:space="preserve">      </v>
      </c>
      <c r="P122" s="1975" t="str">
        <f t="shared" si="78"/>
        <v xml:space="preserve"> </v>
      </c>
      <c r="Q122" s="1975" t="str">
        <f t="shared" si="79"/>
        <v xml:space="preserve"> </v>
      </c>
      <c r="R122" s="1975" t="str">
        <f t="shared" si="80"/>
        <v xml:space="preserve"> </v>
      </c>
      <c r="S122" s="1975" t="str">
        <f t="shared" si="81"/>
        <v xml:space="preserve"> </v>
      </c>
      <c r="T122" s="1975" t="str">
        <f t="shared" si="82"/>
        <v xml:space="preserve"> </v>
      </c>
      <c r="U122" s="1976" t="str">
        <f t="shared" si="83"/>
        <v xml:space="preserve"> </v>
      </c>
      <c r="V122" s="1976" t="str">
        <f t="shared" si="84"/>
        <v xml:space="preserve"> </v>
      </c>
      <c r="W122" s="1976" t="str">
        <f t="shared" si="85"/>
        <v xml:space="preserve"> </v>
      </c>
      <c r="X122" s="1976" t="str">
        <f t="shared" si="86"/>
        <v xml:space="preserve"> </v>
      </c>
      <c r="Y122" s="1976" t="str">
        <f t="shared" si="87"/>
        <v xml:space="preserve"> </v>
      </c>
      <c r="Z122" s="1977" t="str">
        <f t="shared" si="88"/>
        <v xml:space="preserve"> </v>
      </c>
      <c r="AA122" s="1977" t="str">
        <f t="shared" si="89"/>
        <v xml:space="preserve"> </v>
      </c>
      <c r="AB122" s="1977" t="str">
        <f t="shared" si="90"/>
        <v xml:space="preserve"> </v>
      </c>
      <c r="AC122" s="1977" t="str">
        <f t="shared" si="91"/>
        <v xml:space="preserve"> </v>
      </c>
      <c r="AD122" s="1977" t="str">
        <f t="shared" si="92"/>
        <v xml:space="preserve"> </v>
      </c>
      <c r="AE122" s="1978" t="str">
        <f t="shared" si="93"/>
        <v xml:space="preserve"> </v>
      </c>
      <c r="AF122" s="1978" t="str">
        <f t="shared" si="94"/>
        <v xml:space="preserve"> </v>
      </c>
      <c r="AG122" s="1978" t="str">
        <f t="shared" si="95"/>
        <v xml:space="preserve"> </v>
      </c>
      <c r="AH122" s="1978" t="str">
        <f t="shared" si="96"/>
        <v xml:space="preserve"> </v>
      </c>
      <c r="AI122" s="1978" t="str">
        <f t="shared" si="97"/>
        <v xml:space="preserve"> </v>
      </c>
    </row>
    <row r="123" spans="12:35" s="352" customFormat="1" x14ac:dyDescent="0.25">
      <c r="L123" s="1972" t="str">
        <f t="shared" si="74"/>
        <v xml:space="preserve">      </v>
      </c>
      <c r="M123" s="1973" t="str">
        <f t="shared" si="75"/>
        <v xml:space="preserve">      </v>
      </c>
      <c r="N123" s="1974" t="str">
        <f t="shared" si="76"/>
        <v xml:space="preserve">      </v>
      </c>
      <c r="O123" s="1974" t="str">
        <f t="shared" si="77"/>
        <v xml:space="preserve">      </v>
      </c>
      <c r="P123" s="1975" t="str">
        <f t="shared" si="78"/>
        <v xml:space="preserve"> </v>
      </c>
      <c r="Q123" s="1975" t="str">
        <f t="shared" si="79"/>
        <v xml:space="preserve"> </v>
      </c>
      <c r="R123" s="1975" t="str">
        <f t="shared" si="80"/>
        <v xml:space="preserve"> </v>
      </c>
      <c r="S123" s="1975" t="str">
        <f t="shared" si="81"/>
        <v xml:space="preserve"> </v>
      </c>
      <c r="T123" s="1975" t="str">
        <f t="shared" si="82"/>
        <v xml:space="preserve"> </v>
      </c>
      <c r="U123" s="1976" t="str">
        <f t="shared" si="83"/>
        <v xml:space="preserve"> </v>
      </c>
      <c r="V123" s="1976" t="str">
        <f t="shared" si="84"/>
        <v xml:space="preserve"> </v>
      </c>
      <c r="W123" s="1976" t="str">
        <f t="shared" si="85"/>
        <v xml:space="preserve"> </v>
      </c>
      <c r="X123" s="1976" t="str">
        <f t="shared" si="86"/>
        <v xml:space="preserve"> </v>
      </c>
      <c r="Y123" s="1976" t="str">
        <f t="shared" si="87"/>
        <v xml:space="preserve"> </v>
      </c>
      <c r="Z123" s="1977" t="str">
        <f t="shared" si="88"/>
        <v xml:space="preserve"> </v>
      </c>
      <c r="AA123" s="1977" t="str">
        <f t="shared" si="89"/>
        <v xml:space="preserve"> </v>
      </c>
      <c r="AB123" s="1977" t="str">
        <f t="shared" si="90"/>
        <v xml:space="preserve"> </v>
      </c>
      <c r="AC123" s="1977" t="str">
        <f t="shared" si="91"/>
        <v xml:space="preserve"> </v>
      </c>
      <c r="AD123" s="1977" t="str">
        <f t="shared" si="92"/>
        <v xml:space="preserve"> </v>
      </c>
      <c r="AE123" s="1978" t="str">
        <f t="shared" si="93"/>
        <v xml:space="preserve"> </v>
      </c>
      <c r="AF123" s="1978" t="str">
        <f t="shared" si="94"/>
        <v xml:space="preserve"> </v>
      </c>
      <c r="AG123" s="1978" t="str">
        <f t="shared" si="95"/>
        <v xml:space="preserve"> </v>
      </c>
      <c r="AH123" s="1978" t="str">
        <f t="shared" si="96"/>
        <v xml:space="preserve"> </v>
      </c>
      <c r="AI123" s="1978" t="str">
        <f t="shared" si="97"/>
        <v xml:space="preserve"> </v>
      </c>
    </row>
    <row r="124" spans="12:35" s="352" customFormat="1" x14ac:dyDescent="0.25">
      <c r="L124" s="1972" t="str">
        <f t="shared" si="74"/>
        <v xml:space="preserve">      </v>
      </c>
      <c r="M124" s="1973" t="str">
        <f t="shared" si="75"/>
        <v xml:space="preserve">      </v>
      </c>
      <c r="N124" s="1974" t="str">
        <f t="shared" si="76"/>
        <v xml:space="preserve">      </v>
      </c>
      <c r="O124" s="1974" t="str">
        <f t="shared" si="77"/>
        <v xml:space="preserve">      </v>
      </c>
      <c r="P124" s="1975" t="str">
        <f t="shared" si="78"/>
        <v xml:space="preserve"> </v>
      </c>
      <c r="Q124" s="1975" t="str">
        <f t="shared" si="79"/>
        <v xml:space="preserve"> </v>
      </c>
      <c r="R124" s="1975" t="str">
        <f t="shared" si="80"/>
        <v xml:space="preserve"> </v>
      </c>
      <c r="S124" s="1975" t="str">
        <f t="shared" si="81"/>
        <v xml:space="preserve"> </v>
      </c>
      <c r="T124" s="1975" t="str">
        <f t="shared" si="82"/>
        <v xml:space="preserve"> </v>
      </c>
      <c r="U124" s="1976" t="str">
        <f t="shared" si="83"/>
        <v xml:space="preserve"> </v>
      </c>
      <c r="V124" s="1976" t="str">
        <f t="shared" si="84"/>
        <v xml:space="preserve"> </v>
      </c>
      <c r="W124" s="1976" t="str">
        <f t="shared" si="85"/>
        <v xml:space="preserve"> </v>
      </c>
      <c r="X124" s="1976" t="str">
        <f t="shared" si="86"/>
        <v xml:space="preserve"> </v>
      </c>
      <c r="Y124" s="1976" t="str">
        <f t="shared" si="87"/>
        <v xml:space="preserve"> </v>
      </c>
      <c r="Z124" s="1977" t="str">
        <f t="shared" si="88"/>
        <v xml:space="preserve"> </v>
      </c>
      <c r="AA124" s="1977" t="str">
        <f t="shared" si="89"/>
        <v xml:space="preserve"> </v>
      </c>
      <c r="AB124" s="1977" t="str">
        <f t="shared" si="90"/>
        <v xml:space="preserve"> </v>
      </c>
      <c r="AC124" s="1977" t="str">
        <f t="shared" si="91"/>
        <v xml:space="preserve"> </v>
      </c>
      <c r="AD124" s="1977" t="str">
        <f t="shared" si="92"/>
        <v xml:space="preserve"> </v>
      </c>
      <c r="AE124" s="1978" t="str">
        <f t="shared" si="93"/>
        <v xml:space="preserve"> </v>
      </c>
      <c r="AF124" s="1978" t="str">
        <f t="shared" si="94"/>
        <v xml:space="preserve"> </v>
      </c>
      <c r="AG124" s="1978" t="str">
        <f t="shared" si="95"/>
        <v xml:space="preserve"> </v>
      </c>
      <c r="AH124" s="1978" t="str">
        <f t="shared" si="96"/>
        <v xml:space="preserve"> </v>
      </c>
      <c r="AI124" s="1978" t="str">
        <f t="shared" si="97"/>
        <v xml:space="preserve"> </v>
      </c>
    </row>
    <row r="125" spans="12:35" s="352" customFormat="1" x14ac:dyDescent="0.25">
      <c r="L125" s="1972" t="str">
        <f t="shared" si="74"/>
        <v xml:space="preserve">      </v>
      </c>
      <c r="M125" s="1973" t="str">
        <f t="shared" si="75"/>
        <v xml:space="preserve">      </v>
      </c>
      <c r="N125" s="1974" t="str">
        <f t="shared" si="76"/>
        <v xml:space="preserve">      </v>
      </c>
      <c r="O125" s="1974" t="str">
        <f t="shared" si="77"/>
        <v xml:space="preserve">      </v>
      </c>
      <c r="P125" s="1975" t="str">
        <f t="shared" si="78"/>
        <v xml:space="preserve"> </v>
      </c>
      <c r="Q125" s="1975" t="str">
        <f t="shared" si="79"/>
        <v xml:space="preserve"> </v>
      </c>
      <c r="R125" s="1975" t="str">
        <f t="shared" si="80"/>
        <v xml:space="preserve"> </v>
      </c>
      <c r="S125" s="1975" t="str">
        <f t="shared" si="81"/>
        <v xml:space="preserve"> </v>
      </c>
      <c r="T125" s="1975" t="str">
        <f t="shared" si="82"/>
        <v xml:space="preserve"> </v>
      </c>
      <c r="U125" s="1976" t="str">
        <f t="shared" si="83"/>
        <v xml:space="preserve"> </v>
      </c>
      <c r="V125" s="1976" t="str">
        <f t="shared" si="84"/>
        <v xml:space="preserve"> </v>
      </c>
      <c r="W125" s="1976" t="str">
        <f t="shared" si="85"/>
        <v xml:space="preserve"> </v>
      </c>
      <c r="X125" s="1976" t="str">
        <f t="shared" si="86"/>
        <v xml:space="preserve"> </v>
      </c>
      <c r="Y125" s="1976" t="str">
        <f t="shared" si="87"/>
        <v xml:space="preserve"> </v>
      </c>
      <c r="Z125" s="1977" t="str">
        <f t="shared" si="88"/>
        <v xml:space="preserve"> </v>
      </c>
      <c r="AA125" s="1977" t="str">
        <f t="shared" si="89"/>
        <v xml:space="preserve"> </v>
      </c>
      <c r="AB125" s="1977" t="str">
        <f t="shared" si="90"/>
        <v xml:space="preserve"> </v>
      </c>
      <c r="AC125" s="1977" t="str">
        <f t="shared" si="91"/>
        <v xml:space="preserve"> </v>
      </c>
      <c r="AD125" s="1977" t="str">
        <f t="shared" si="92"/>
        <v xml:space="preserve"> </v>
      </c>
      <c r="AE125" s="1978" t="str">
        <f t="shared" si="93"/>
        <v xml:space="preserve"> </v>
      </c>
      <c r="AF125" s="1978" t="str">
        <f t="shared" si="94"/>
        <v xml:space="preserve"> </v>
      </c>
      <c r="AG125" s="1978" t="str">
        <f t="shared" si="95"/>
        <v xml:space="preserve"> </v>
      </c>
      <c r="AH125" s="1978" t="str">
        <f t="shared" si="96"/>
        <v xml:space="preserve"> </v>
      </c>
      <c r="AI125" s="1978" t="str">
        <f t="shared" si="97"/>
        <v xml:space="preserve"> </v>
      </c>
    </row>
    <row r="126" spans="12:35" s="352" customFormat="1" x14ac:dyDescent="0.25">
      <c r="L126" s="1972" t="str">
        <f t="shared" si="74"/>
        <v xml:space="preserve">      </v>
      </c>
      <c r="M126" s="1973" t="str">
        <f t="shared" si="75"/>
        <v xml:space="preserve">      </v>
      </c>
      <c r="N126" s="1974" t="str">
        <f t="shared" si="76"/>
        <v xml:space="preserve">      </v>
      </c>
      <c r="O126" s="1974" t="str">
        <f t="shared" si="77"/>
        <v xml:space="preserve">      </v>
      </c>
      <c r="P126" s="1975" t="str">
        <f t="shared" si="78"/>
        <v xml:space="preserve"> </v>
      </c>
      <c r="Q126" s="1975" t="str">
        <f t="shared" si="79"/>
        <v xml:space="preserve"> </v>
      </c>
      <c r="R126" s="1975" t="str">
        <f t="shared" si="80"/>
        <v xml:space="preserve"> </v>
      </c>
      <c r="S126" s="1975" t="str">
        <f t="shared" si="81"/>
        <v xml:space="preserve"> </v>
      </c>
      <c r="T126" s="1975" t="str">
        <f t="shared" si="82"/>
        <v xml:space="preserve"> </v>
      </c>
      <c r="U126" s="1976" t="str">
        <f t="shared" si="83"/>
        <v xml:space="preserve"> </v>
      </c>
      <c r="V126" s="1976" t="str">
        <f t="shared" si="84"/>
        <v xml:space="preserve"> </v>
      </c>
      <c r="W126" s="1976" t="str">
        <f t="shared" si="85"/>
        <v xml:space="preserve"> </v>
      </c>
      <c r="X126" s="1976" t="str">
        <f t="shared" si="86"/>
        <v xml:space="preserve"> </v>
      </c>
      <c r="Y126" s="1976" t="str">
        <f t="shared" si="87"/>
        <v xml:space="preserve"> </v>
      </c>
      <c r="Z126" s="1977" t="str">
        <f t="shared" si="88"/>
        <v xml:space="preserve"> </v>
      </c>
      <c r="AA126" s="1977" t="str">
        <f t="shared" si="89"/>
        <v xml:space="preserve"> </v>
      </c>
      <c r="AB126" s="1977" t="str">
        <f t="shared" si="90"/>
        <v xml:space="preserve"> </v>
      </c>
      <c r="AC126" s="1977" t="str">
        <f t="shared" si="91"/>
        <v xml:space="preserve"> </v>
      </c>
      <c r="AD126" s="1977" t="str">
        <f t="shared" si="92"/>
        <v xml:space="preserve"> </v>
      </c>
      <c r="AE126" s="1978" t="str">
        <f t="shared" si="93"/>
        <v xml:space="preserve"> </v>
      </c>
      <c r="AF126" s="1978" t="str">
        <f t="shared" si="94"/>
        <v xml:space="preserve"> </v>
      </c>
      <c r="AG126" s="1978" t="str">
        <f t="shared" si="95"/>
        <v xml:space="preserve"> </v>
      </c>
      <c r="AH126" s="1978" t="str">
        <f t="shared" si="96"/>
        <v xml:space="preserve"> </v>
      </c>
      <c r="AI126" s="1978" t="str">
        <f t="shared" si="97"/>
        <v xml:space="preserve"> </v>
      </c>
    </row>
    <row r="127" spans="12:35" s="352" customFormat="1" x14ac:dyDescent="0.25">
      <c r="L127" s="1972" t="str">
        <f t="shared" si="74"/>
        <v xml:space="preserve">      </v>
      </c>
      <c r="M127" s="1973" t="str">
        <f t="shared" si="75"/>
        <v xml:space="preserve">      </v>
      </c>
      <c r="N127" s="1974" t="str">
        <f t="shared" si="76"/>
        <v xml:space="preserve">      </v>
      </c>
      <c r="O127" s="1974" t="str">
        <f t="shared" si="77"/>
        <v xml:space="preserve">      </v>
      </c>
      <c r="P127" s="1975" t="str">
        <f t="shared" si="78"/>
        <v xml:space="preserve"> </v>
      </c>
      <c r="Q127" s="1975" t="str">
        <f t="shared" si="79"/>
        <v xml:space="preserve"> </v>
      </c>
      <c r="R127" s="1975" t="str">
        <f t="shared" si="80"/>
        <v xml:space="preserve"> </v>
      </c>
      <c r="S127" s="1975" t="str">
        <f t="shared" si="81"/>
        <v xml:space="preserve"> </v>
      </c>
      <c r="T127" s="1975" t="str">
        <f t="shared" si="82"/>
        <v xml:space="preserve"> </v>
      </c>
      <c r="U127" s="1976" t="str">
        <f t="shared" si="83"/>
        <v xml:space="preserve"> </v>
      </c>
      <c r="V127" s="1976" t="str">
        <f t="shared" si="84"/>
        <v xml:space="preserve"> </v>
      </c>
      <c r="W127" s="1976" t="str">
        <f t="shared" si="85"/>
        <v xml:space="preserve"> </v>
      </c>
      <c r="X127" s="1976" t="str">
        <f t="shared" si="86"/>
        <v xml:space="preserve"> </v>
      </c>
      <c r="Y127" s="1976" t="str">
        <f t="shared" si="87"/>
        <v xml:space="preserve"> </v>
      </c>
      <c r="Z127" s="1977" t="str">
        <f t="shared" si="88"/>
        <v xml:space="preserve"> </v>
      </c>
      <c r="AA127" s="1977" t="str">
        <f t="shared" si="89"/>
        <v xml:space="preserve"> </v>
      </c>
      <c r="AB127" s="1977" t="str">
        <f t="shared" si="90"/>
        <v xml:space="preserve"> </v>
      </c>
      <c r="AC127" s="1977" t="str">
        <f t="shared" si="91"/>
        <v xml:space="preserve"> </v>
      </c>
      <c r="AD127" s="1977" t="str">
        <f t="shared" si="92"/>
        <v xml:space="preserve"> </v>
      </c>
      <c r="AE127" s="1978" t="str">
        <f t="shared" si="93"/>
        <v xml:space="preserve"> </v>
      </c>
      <c r="AF127" s="1978" t="str">
        <f t="shared" si="94"/>
        <v xml:space="preserve"> </v>
      </c>
      <c r="AG127" s="1978" t="str">
        <f t="shared" si="95"/>
        <v xml:space="preserve"> </v>
      </c>
      <c r="AH127" s="1978" t="str">
        <f t="shared" si="96"/>
        <v xml:space="preserve"> </v>
      </c>
      <c r="AI127" s="1978" t="str">
        <f t="shared" si="97"/>
        <v xml:space="preserve"> </v>
      </c>
    </row>
    <row r="128" spans="12:35" s="352" customFormat="1" x14ac:dyDescent="0.25">
      <c r="L128" s="1972" t="str">
        <f t="shared" si="74"/>
        <v xml:space="preserve">      </v>
      </c>
      <c r="M128" s="1973" t="str">
        <f t="shared" si="75"/>
        <v xml:space="preserve">      </v>
      </c>
      <c r="N128" s="1974" t="str">
        <f t="shared" si="76"/>
        <v xml:space="preserve">      </v>
      </c>
      <c r="O128" s="1974" t="str">
        <f t="shared" si="77"/>
        <v xml:space="preserve">      </v>
      </c>
      <c r="P128" s="1975" t="str">
        <f t="shared" si="78"/>
        <v xml:space="preserve"> </v>
      </c>
      <c r="Q128" s="1975" t="str">
        <f t="shared" si="79"/>
        <v xml:space="preserve"> </v>
      </c>
      <c r="R128" s="1975" t="str">
        <f t="shared" si="80"/>
        <v xml:space="preserve"> </v>
      </c>
      <c r="S128" s="1975" t="str">
        <f t="shared" si="81"/>
        <v xml:space="preserve"> </v>
      </c>
      <c r="T128" s="1975" t="str">
        <f t="shared" si="82"/>
        <v xml:space="preserve"> </v>
      </c>
      <c r="U128" s="1976" t="str">
        <f t="shared" si="83"/>
        <v xml:space="preserve"> </v>
      </c>
      <c r="V128" s="1976" t="str">
        <f t="shared" si="84"/>
        <v xml:space="preserve"> </v>
      </c>
      <c r="W128" s="1976" t="str">
        <f t="shared" si="85"/>
        <v xml:space="preserve"> </v>
      </c>
      <c r="X128" s="1976" t="str">
        <f t="shared" si="86"/>
        <v xml:space="preserve"> </v>
      </c>
      <c r="Y128" s="1976" t="str">
        <f t="shared" si="87"/>
        <v xml:space="preserve"> </v>
      </c>
      <c r="Z128" s="1977" t="str">
        <f t="shared" si="88"/>
        <v xml:space="preserve"> </v>
      </c>
      <c r="AA128" s="1977" t="str">
        <f t="shared" si="89"/>
        <v xml:space="preserve"> </v>
      </c>
      <c r="AB128" s="1977" t="str">
        <f t="shared" si="90"/>
        <v xml:space="preserve"> </v>
      </c>
      <c r="AC128" s="1977" t="str">
        <f t="shared" si="91"/>
        <v xml:space="preserve"> </v>
      </c>
      <c r="AD128" s="1977" t="str">
        <f t="shared" si="92"/>
        <v xml:space="preserve"> </v>
      </c>
      <c r="AE128" s="1978" t="str">
        <f t="shared" si="93"/>
        <v xml:space="preserve"> </v>
      </c>
      <c r="AF128" s="1978" t="str">
        <f t="shared" si="94"/>
        <v xml:space="preserve"> </v>
      </c>
      <c r="AG128" s="1978" t="str">
        <f t="shared" si="95"/>
        <v xml:space="preserve"> </v>
      </c>
      <c r="AH128" s="1978" t="str">
        <f t="shared" si="96"/>
        <v xml:space="preserve"> </v>
      </c>
      <c r="AI128" s="1978" t="str">
        <f t="shared" si="97"/>
        <v xml:space="preserve"> </v>
      </c>
    </row>
    <row r="129" spans="12:35" s="352" customFormat="1" x14ac:dyDescent="0.25">
      <c r="L129" s="1972" t="str">
        <f t="shared" si="74"/>
        <v xml:space="preserve">      </v>
      </c>
      <c r="M129" s="1973" t="str">
        <f t="shared" si="75"/>
        <v xml:space="preserve">      </v>
      </c>
      <c r="N129" s="1974" t="str">
        <f t="shared" si="76"/>
        <v xml:space="preserve">      </v>
      </c>
      <c r="O129" s="1974" t="str">
        <f t="shared" si="77"/>
        <v xml:space="preserve">      </v>
      </c>
      <c r="P129" s="1975" t="str">
        <f t="shared" si="78"/>
        <v xml:space="preserve"> </v>
      </c>
      <c r="Q129" s="1975" t="str">
        <f t="shared" si="79"/>
        <v xml:space="preserve"> </v>
      </c>
      <c r="R129" s="1975" t="str">
        <f t="shared" si="80"/>
        <v xml:space="preserve"> </v>
      </c>
      <c r="S129" s="1975" t="str">
        <f t="shared" si="81"/>
        <v xml:space="preserve"> </v>
      </c>
      <c r="T129" s="1975" t="str">
        <f t="shared" si="82"/>
        <v xml:space="preserve"> </v>
      </c>
      <c r="U129" s="1976" t="str">
        <f t="shared" si="83"/>
        <v xml:space="preserve"> </v>
      </c>
      <c r="V129" s="1976" t="str">
        <f t="shared" si="84"/>
        <v xml:space="preserve"> </v>
      </c>
      <c r="W129" s="1976" t="str">
        <f t="shared" si="85"/>
        <v xml:space="preserve"> </v>
      </c>
      <c r="X129" s="1976" t="str">
        <f t="shared" si="86"/>
        <v xml:space="preserve"> </v>
      </c>
      <c r="Y129" s="1976" t="str">
        <f t="shared" si="87"/>
        <v xml:space="preserve"> </v>
      </c>
      <c r="Z129" s="1977" t="str">
        <f t="shared" si="88"/>
        <v xml:space="preserve"> </v>
      </c>
      <c r="AA129" s="1977" t="str">
        <f t="shared" si="89"/>
        <v xml:space="preserve"> </v>
      </c>
      <c r="AB129" s="1977" t="str">
        <f t="shared" si="90"/>
        <v xml:space="preserve"> </v>
      </c>
      <c r="AC129" s="1977" t="str">
        <f t="shared" si="91"/>
        <v xml:space="preserve"> </v>
      </c>
      <c r="AD129" s="1977" t="str">
        <f t="shared" si="92"/>
        <v xml:space="preserve"> </v>
      </c>
      <c r="AE129" s="1978" t="str">
        <f t="shared" si="93"/>
        <v xml:space="preserve"> </v>
      </c>
      <c r="AF129" s="1978" t="str">
        <f t="shared" si="94"/>
        <v xml:space="preserve"> </v>
      </c>
      <c r="AG129" s="1978" t="str">
        <f t="shared" si="95"/>
        <v xml:space="preserve"> </v>
      </c>
      <c r="AH129" s="1978" t="str">
        <f t="shared" si="96"/>
        <v xml:space="preserve"> </v>
      </c>
      <c r="AI129" s="1978" t="str">
        <f t="shared" si="97"/>
        <v xml:space="preserve"> </v>
      </c>
    </row>
    <row r="130" spans="12:35" s="352" customFormat="1" x14ac:dyDescent="0.25">
      <c r="L130" s="1972" t="str">
        <f t="shared" si="74"/>
        <v xml:space="preserve">      </v>
      </c>
      <c r="M130" s="1973" t="str">
        <f t="shared" si="75"/>
        <v xml:space="preserve">      </v>
      </c>
      <c r="N130" s="1974" t="str">
        <f t="shared" si="76"/>
        <v xml:space="preserve">      </v>
      </c>
      <c r="O130" s="1974" t="str">
        <f t="shared" si="77"/>
        <v xml:space="preserve">      </v>
      </c>
      <c r="P130" s="1975" t="str">
        <f t="shared" si="78"/>
        <v xml:space="preserve"> </v>
      </c>
      <c r="Q130" s="1975" t="str">
        <f t="shared" si="79"/>
        <v xml:space="preserve"> </v>
      </c>
      <c r="R130" s="1975" t="str">
        <f t="shared" si="80"/>
        <v xml:space="preserve"> </v>
      </c>
      <c r="S130" s="1975" t="str">
        <f t="shared" si="81"/>
        <v xml:space="preserve"> </v>
      </c>
      <c r="T130" s="1975" t="str">
        <f t="shared" si="82"/>
        <v xml:space="preserve"> </v>
      </c>
      <c r="U130" s="1976" t="str">
        <f t="shared" si="83"/>
        <v xml:space="preserve"> </v>
      </c>
      <c r="V130" s="1976" t="str">
        <f t="shared" si="84"/>
        <v xml:space="preserve"> </v>
      </c>
      <c r="W130" s="1976" t="str">
        <f t="shared" si="85"/>
        <v xml:space="preserve"> </v>
      </c>
      <c r="X130" s="1976" t="str">
        <f t="shared" si="86"/>
        <v xml:space="preserve"> </v>
      </c>
      <c r="Y130" s="1976" t="str">
        <f t="shared" si="87"/>
        <v xml:space="preserve"> </v>
      </c>
      <c r="Z130" s="1977" t="str">
        <f t="shared" si="88"/>
        <v xml:space="preserve"> </v>
      </c>
      <c r="AA130" s="1977" t="str">
        <f t="shared" si="89"/>
        <v xml:space="preserve"> </v>
      </c>
      <c r="AB130" s="1977" t="str">
        <f t="shared" si="90"/>
        <v xml:space="preserve"> </v>
      </c>
      <c r="AC130" s="1977" t="str">
        <f t="shared" si="91"/>
        <v xml:space="preserve"> </v>
      </c>
      <c r="AD130" s="1977" t="str">
        <f t="shared" si="92"/>
        <v xml:space="preserve"> </v>
      </c>
      <c r="AE130" s="1978" t="str">
        <f t="shared" si="93"/>
        <v xml:space="preserve"> </v>
      </c>
      <c r="AF130" s="1978" t="str">
        <f t="shared" si="94"/>
        <v xml:space="preserve"> </v>
      </c>
      <c r="AG130" s="1978" t="str">
        <f t="shared" si="95"/>
        <v xml:space="preserve"> </v>
      </c>
      <c r="AH130" s="1978" t="str">
        <f t="shared" si="96"/>
        <v xml:space="preserve"> </v>
      </c>
      <c r="AI130" s="1978" t="str">
        <f t="shared" si="97"/>
        <v xml:space="preserve"> </v>
      </c>
    </row>
    <row r="131" spans="12:35" s="352" customFormat="1" x14ac:dyDescent="0.25">
      <c r="L131" s="1972" t="str">
        <f t="shared" si="74"/>
        <v xml:space="preserve">      </v>
      </c>
      <c r="M131" s="1973" t="str">
        <f t="shared" si="75"/>
        <v xml:space="preserve">      </v>
      </c>
      <c r="N131" s="1974" t="str">
        <f t="shared" si="76"/>
        <v xml:space="preserve">      </v>
      </c>
      <c r="O131" s="1974" t="str">
        <f t="shared" si="77"/>
        <v xml:space="preserve">      </v>
      </c>
      <c r="P131" s="1975" t="str">
        <f t="shared" si="78"/>
        <v xml:space="preserve"> </v>
      </c>
      <c r="Q131" s="1975" t="str">
        <f t="shared" si="79"/>
        <v xml:space="preserve"> </v>
      </c>
      <c r="R131" s="1975" t="str">
        <f t="shared" si="80"/>
        <v xml:space="preserve"> </v>
      </c>
      <c r="S131" s="1975" t="str">
        <f t="shared" si="81"/>
        <v xml:space="preserve"> </v>
      </c>
      <c r="T131" s="1975" t="str">
        <f t="shared" si="82"/>
        <v xml:space="preserve"> </v>
      </c>
      <c r="U131" s="1976" t="str">
        <f t="shared" si="83"/>
        <v xml:space="preserve"> </v>
      </c>
      <c r="V131" s="1976" t="str">
        <f t="shared" si="84"/>
        <v xml:space="preserve"> </v>
      </c>
      <c r="W131" s="1976" t="str">
        <f t="shared" si="85"/>
        <v xml:space="preserve"> </v>
      </c>
      <c r="X131" s="1976" t="str">
        <f t="shared" si="86"/>
        <v xml:space="preserve"> </v>
      </c>
      <c r="Y131" s="1976" t="str">
        <f t="shared" si="87"/>
        <v xml:space="preserve"> </v>
      </c>
      <c r="Z131" s="1977" t="str">
        <f t="shared" si="88"/>
        <v xml:space="preserve"> </v>
      </c>
      <c r="AA131" s="1977" t="str">
        <f t="shared" si="89"/>
        <v xml:space="preserve"> </v>
      </c>
      <c r="AB131" s="1977" t="str">
        <f t="shared" si="90"/>
        <v xml:space="preserve"> </v>
      </c>
      <c r="AC131" s="1977" t="str">
        <f t="shared" si="91"/>
        <v xml:space="preserve"> </v>
      </c>
      <c r="AD131" s="1977" t="str">
        <f t="shared" si="92"/>
        <v xml:space="preserve"> </v>
      </c>
      <c r="AE131" s="1978" t="str">
        <f t="shared" si="93"/>
        <v xml:space="preserve"> </v>
      </c>
      <c r="AF131" s="1978" t="str">
        <f t="shared" si="94"/>
        <v xml:space="preserve"> </v>
      </c>
      <c r="AG131" s="1978" t="str">
        <f t="shared" si="95"/>
        <v xml:space="preserve"> </v>
      </c>
      <c r="AH131" s="1978" t="str">
        <f t="shared" si="96"/>
        <v xml:space="preserve"> </v>
      </c>
      <c r="AI131" s="1978" t="str">
        <f t="shared" si="97"/>
        <v xml:space="preserve"> </v>
      </c>
    </row>
    <row r="132" spans="12:35" s="352" customFormat="1" x14ac:dyDescent="0.25">
      <c r="L132" s="1972" t="str">
        <f t="shared" si="74"/>
        <v xml:space="preserve">      </v>
      </c>
      <c r="M132" s="1973" t="str">
        <f t="shared" si="75"/>
        <v xml:space="preserve">      </v>
      </c>
      <c r="N132" s="1974" t="str">
        <f t="shared" si="76"/>
        <v xml:space="preserve">      </v>
      </c>
      <c r="O132" s="1974" t="str">
        <f t="shared" si="77"/>
        <v xml:space="preserve">      </v>
      </c>
      <c r="P132" s="1975" t="str">
        <f t="shared" si="78"/>
        <v xml:space="preserve"> </v>
      </c>
      <c r="Q132" s="1975" t="str">
        <f t="shared" si="79"/>
        <v xml:space="preserve"> </v>
      </c>
      <c r="R132" s="1975" t="str">
        <f t="shared" si="80"/>
        <v xml:space="preserve"> </v>
      </c>
      <c r="S132" s="1975" t="str">
        <f t="shared" si="81"/>
        <v xml:space="preserve"> </v>
      </c>
      <c r="T132" s="1975" t="str">
        <f t="shared" si="82"/>
        <v xml:space="preserve"> </v>
      </c>
      <c r="U132" s="1976" t="str">
        <f t="shared" si="83"/>
        <v xml:space="preserve"> </v>
      </c>
      <c r="V132" s="1976" t="str">
        <f t="shared" si="84"/>
        <v xml:space="preserve"> </v>
      </c>
      <c r="W132" s="1976" t="str">
        <f t="shared" si="85"/>
        <v xml:space="preserve"> </v>
      </c>
      <c r="X132" s="1976" t="str">
        <f t="shared" si="86"/>
        <v xml:space="preserve"> </v>
      </c>
      <c r="Y132" s="1976" t="str">
        <f t="shared" si="87"/>
        <v xml:space="preserve"> </v>
      </c>
      <c r="Z132" s="1977" t="str">
        <f t="shared" si="88"/>
        <v xml:space="preserve"> </v>
      </c>
      <c r="AA132" s="1977" t="str">
        <f t="shared" si="89"/>
        <v xml:space="preserve"> </v>
      </c>
      <c r="AB132" s="1977" t="str">
        <f t="shared" si="90"/>
        <v xml:space="preserve"> </v>
      </c>
      <c r="AC132" s="1977" t="str">
        <f t="shared" si="91"/>
        <v xml:space="preserve"> </v>
      </c>
      <c r="AD132" s="1977" t="str">
        <f t="shared" si="92"/>
        <v xml:space="preserve"> </v>
      </c>
      <c r="AE132" s="1978" t="str">
        <f t="shared" si="93"/>
        <v xml:space="preserve"> </v>
      </c>
      <c r="AF132" s="1978" t="str">
        <f t="shared" si="94"/>
        <v xml:space="preserve"> </v>
      </c>
      <c r="AG132" s="1978" t="str">
        <f t="shared" si="95"/>
        <v xml:space="preserve"> </v>
      </c>
      <c r="AH132" s="1978" t="str">
        <f t="shared" si="96"/>
        <v xml:space="preserve"> </v>
      </c>
      <c r="AI132" s="1978" t="str">
        <f t="shared" si="97"/>
        <v xml:space="preserve"> </v>
      </c>
    </row>
    <row r="133" spans="12:35" s="352" customFormat="1" x14ac:dyDescent="0.25">
      <c r="L133" s="1972" t="str">
        <f t="shared" si="74"/>
        <v xml:space="preserve">      </v>
      </c>
      <c r="M133" s="1973" t="str">
        <f t="shared" si="75"/>
        <v xml:space="preserve">      </v>
      </c>
      <c r="N133" s="1974" t="str">
        <f t="shared" si="76"/>
        <v xml:space="preserve">      </v>
      </c>
      <c r="O133" s="1974" t="str">
        <f t="shared" si="77"/>
        <v xml:space="preserve">      </v>
      </c>
      <c r="P133" s="1975" t="str">
        <f t="shared" si="78"/>
        <v xml:space="preserve"> </v>
      </c>
      <c r="Q133" s="1975" t="str">
        <f t="shared" si="79"/>
        <v xml:space="preserve"> </v>
      </c>
      <c r="R133" s="1975" t="str">
        <f t="shared" si="80"/>
        <v xml:space="preserve"> </v>
      </c>
      <c r="S133" s="1975" t="str">
        <f t="shared" si="81"/>
        <v xml:space="preserve"> </v>
      </c>
      <c r="T133" s="1975" t="str">
        <f t="shared" si="82"/>
        <v xml:space="preserve"> </v>
      </c>
      <c r="U133" s="1976" t="str">
        <f t="shared" si="83"/>
        <v xml:space="preserve"> </v>
      </c>
      <c r="V133" s="1976" t="str">
        <f t="shared" si="84"/>
        <v xml:space="preserve"> </v>
      </c>
      <c r="W133" s="1976" t="str">
        <f t="shared" si="85"/>
        <v xml:space="preserve"> </v>
      </c>
      <c r="X133" s="1976" t="str">
        <f t="shared" si="86"/>
        <v xml:space="preserve"> </v>
      </c>
      <c r="Y133" s="1976" t="str">
        <f t="shared" si="87"/>
        <v xml:space="preserve"> </v>
      </c>
      <c r="Z133" s="1977" t="str">
        <f t="shared" si="88"/>
        <v xml:space="preserve"> </v>
      </c>
      <c r="AA133" s="1977" t="str">
        <f t="shared" si="89"/>
        <v xml:space="preserve"> </v>
      </c>
      <c r="AB133" s="1977" t="str">
        <f t="shared" si="90"/>
        <v xml:space="preserve"> </v>
      </c>
      <c r="AC133" s="1977" t="str">
        <f t="shared" si="91"/>
        <v xml:space="preserve"> </v>
      </c>
      <c r="AD133" s="1977" t="str">
        <f t="shared" si="92"/>
        <v xml:space="preserve"> </v>
      </c>
      <c r="AE133" s="1978" t="str">
        <f t="shared" si="93"/>
        <v xml:space="preserve"> </v>
      </c>
      <c r="AF133" s="1978" t="str">
        <f t="shared" si="94"/>
        <v xml:space="preserve"> </v>
      </c>
      <c r="AG133" s="1978" t="str">
        <f t="shared" si="95"/>
        <v xml:space="preserve"> </v>
      </c>
      <c r="AH133" s="1978" t="str">
        <f t="shared" si="96"/>
        <v xml:space="preserve"> </v>
      </c>
      <c r="AI133" s="1978" t="str">
        <f t="shared" si="97"/>
        <v xml:space="preserve"> </v>
      </c>
    </row>
    <row r="134" spans="12:35" s="352" customFormat="1" x14ac:dyDescent="0.25">
      <c r="L134" s="1972" t="str">
        <f t="shared" si="74"/>
        <v xml:space="preserve">      </v>
      </c>
      <c r="M134" s="1973" t="str">
        <f t="shared" si="75"/>
        <v xml:space="preserve">      </v>
      </c>
      <c r="N134" s="1974" t="str">
        <f t="shared" si="76"/>
        <v xml:space="preserve">      </v>
      </c>
      <c r="O134" s="1974" t="str">
        <f t="shared" si="77"/>
        <v xml:space="preserve">      </v>
      </c>
      <c r="P134" s="1975" t="str">
        <f t="shared" si="78"/>
        <v xml:space="preserve"> </v>
      </c>
      <c r="Q134" s="1975" t="str">
        <f t="shared" si="79"/>
        <v xml:space="preserve"> </v>
      </c>
      <c r="R134" s="1975" t="str">
        <f t="shared" si="80"/>
        <v xml:space="preserve"> </v>
      </c>
      <c r="S134" s="1975" t="str">
        <f t="shared" si="81"/>
        <v xml:space="preserve"> </v>
      </c>
      <c r="T134" s="1975" t="str">
        <f t="shared" si="82"/>
        <v xml:space="preserve"> </v>
      </c>
      <c r="U134" s="1976" t="str">
        <f t="shared" si="83"/>
        <v xml:space="preserve"> </v>
      </c>
      <c r="V134" s="1976" t="str">
        <f t="shared" si="84"/>
        <v xml:space="preserve"> </v>
      </c>
      <c r="W134" s="1976" t="str">
        <f t="shared" si="85"/>
        <v xml:space="preserve"> </v>
      </c>
      <c r="X134" s="1976" t="str">
        <f t="shared" si="86"/>
        <v xml:space="preserve"> </v>
      </c>
      <c r="Y134" s="1976" t="str">
        <f t="shared" si="87"/>
        <v xml:space="preserve"> </v>
      </c>
      <c r="Z134" s="1977" t="str">
        <f t="shared" si="88"/>
        <v xml:space="preserve"> </v>
      </c>
      <c r="AA134" s="1977" t="str">
        <f t="shared" si="89"/>
        <v xml:space="preserve"> </v>
      </c>
      <c r="AB134" s="1977" t="str">
        <f t="shared" si="90"/>
        <v xml:space="preserve"> </v>
      </c>
      <c r="AC134" s="1977" t="str">
        <f t="shared" si="91"/>
        <v xml:space="preserve"> </v>
      </c>
      <c r="AD134" s="1977" t="str">
        <f t="shared" si="92"/>
        <v xml:space="preserve"> </v>
      </c>
      <c r="AE134" s="1978" t="str">
        <f t="shared" si="93"/>
        <v xml:space="preserve"> </v>
      </c>
      <c r="AF134" s="1978" t="str">
        <f t="shared" si="94"/>
        <v xml:space="preserve"> </v>
      </c>
      <c r="AG134" s="1978" t="str">
        <f t="shared" si="95"/>
        <v xml:space="preserve"> </v>
      </c>
      <c r="AH134" s="1978" t="str">
        <f t="shared" si="96"/>
        <v xml:space="preserve"> </v>
      </c>
      <c r="AI134" s="1978" t="str">
        <f t="shared" si="97"/>
        <v xml:space="preserve"> </v>
      </c>
    </row>
    <row r="135" spans="12:35" s="352" customFormat="1" x14ac:dyDescent="0.25">
      <c r="L135" s="1972" t="str">
        <f t="shared" si="74"/>
        <v xml:space="preserve">      </v>
      </c>
      <c r="M135" s="1973" t="str">
        <f t="shared" si="75"/>
        <v xml:space="preserve">      </v>
      </c>
      <c r="N135" s="1974" t="str">
        <f t="shared" si="76"/>
        <v xml:space="preserve">      </v>
      </c>
      <c r="O135" s="1974" t="str">
        <f t="shared" si="77"/>
        <v xml:space="preserve">      </v>
      </c>
      <c r="P135" s="1975" t="str">
        <f t="shared" si="78"/>
        <v xml:space="preserve"> </v>
      </c>
      <c r="Q135" s="1975" t="str">
        <f t="shared" si="79"/>
        <v xml:space="preserve"> </v>
      </c>
      <c r="R135" s="1975" t="str">
        <f t="shared" si="80"/>
        <v xml:space="preserve"> </v>
      </c>
      <c r="S135" s="1975" t="str">
        <f t="shared" si="81"/>
        <v xml:space="preserve"> </v>
      </c>
      <c r="T135" s="1975" t="str">
        <f t="shared" si="82"/>
        <v xml:space="preserve"> </v>
      </c>
      <c r="U135" s="1976" t="str">
        <f t="shared" si="83"/>
        <v xml:space="preserve"> </v>
      </c>
      <c r="V135" s="1976" t="str">
        <f t="shared" si="84"/>
        <v xml:space="preserve"> </v>
      </c>
      <c r="W135" s="1976" t="str">
        <f t="shared" si="85"/>
        <v xml:space="preserve"> </v>
      </c>
      <c r="X135" s="1976" t="str">
        <f t="shared" si="86"/>
        <v xml:space="preserve"> </v>
      </c>
      <c r="Y135" s="1976" t="str">
        <f t="shared" si="87"/>
        <v xml:space="preserve"> </v>
      </c>
      <c r="Z135" s="1977" t="str">
        <f t="shared" si="88"/>
        <v xml:space="preserve"> </v>
      </c>
      <c r="AA135" s="1977" t="str">
        <f t="shared" si="89"/>
        <v xml:space="preserve"> </v>
      </c>
      <c r="AB135" s="1977" t="str">
        <f t="shared" si="90"/>
        <v xml:space="preserve"> </v>
      </c>
      <c r="AC135" s="1977" t="str">
        <f t="shared" si="91"/>
        <v xml:space="preserve"> </v>
      </c>
      <c r="AD135" s="1977" t="str">
        <f t="shared" si="92"/>
        <v xml:space="preserve"> </v>
      </c>
      <c r="AE135" s="1978" t="str">
        <f t="shared" si="93"/>
        <v xml:space="preserve"> </v>
      </c>
      <c r="AF135" s="1978" t="str">
        <f t="shared" si="94"/>
        <v xml:space="preserve"> </v>
      </c>
      <c r="AG135" s="1978" t="str">
        <f t="shared" si="95"/>
        <v xml:space="preserve"> </v>
      </c>
      <c r="AH135" s="1978" t="str">
        <f t="shared" si="96"/>
        <v xml:space="preserve"> </v>
      </c>
      <c r="AI135" s="1978" t="str">
        <f t="shared" si="97"/>
        <v xml:space="preserve"> </v>
      </c>
    </row>
    <row r="136" spans="12:35" s="352" customFormat="1" x14ac:dyDescent="0.25">
      <c r="L136" s="1972" t="str">
        <f t="shared" si="74"/>
        <v xml:space="preserve">      </v>
      </c>
      <c r="M136" s="1973" t="str">
        <f t="shared" si="75"/>
        <v xml:space="preserve">      </v>
      </c>
      <c r="N136" s="1974" t="str">
        <f t="shared" si="76"/>
        <v xml:space="preserve">      </v>
      </c>
      <c r="O136" s="1974" t="str">
        <f t="shared" si="77"/>
        <v xml:space="preserve">      </v>
      </c>
      <c r="P136" s="1975" t="str">
        <f t="shared" si="78"/>
        <v xml:space="preserve"> </v>
      </c>
      <c r="Q136" s="1975" t="str">
        <f t="shared" si="79"/>
        <v xml:space="preserve"> </v>
      </c>
      <c r="R136" s="1975" t="str">
        <f t="shared" si="80"/>
        <v xml:space="preserve"> </v>
      </c>
      <c r="S136" s="1975" t="str">
        <f t="shared" si="81"/>
        <v xml:space="preserve"> </v>
      </c>
      <c r="T136" s="1975" t="str">
        <f t="shared" si="82"/>
        <v xml:space="preserve"> </v>
      </c>
      <c r="U136" s="1976" t="str">
        <f t="shared" si="83"/>
        <v xml:space="preserve"> </v>
      </c>
      <c r="V136" s="1976" t="str">
        <f t="shared" si="84"/>
        <v xml:space="preserve"> </v>
      </c>
      <c r="W136" s="1976" t="str">
        <f t="shared" si="85"/>
        <v xml:space="preserve"> </v>
      </c>
      <c r="X136" s="1976" t="str">
        <f t="shared" si="86"/>
        <v xml:space="preserve"> </v>
      </c>
      <c r="Y136" s="1976" t="str">
        <f t="shared" si="87"/>
        <v xml:space="preserve"> </v>
      </c>
      <c r="Z136" s="1977" t="str">
        <f t="shared" si="88"/>
        <v xml:space="preserve"> </v>
      </c>
      <c r="AA136" s="1977" t="str">
        <f t="shared" si="89"/>
        <v xml:space="preserve"> </v>
      </c>
      <c r="AB136" s="1977" t="str">
        <f t="shared" si="90"/>
        <v xml:space="preserve"> </v>
      </c>
      <c r="AC136" s="1977" t="str">
        <f t="shared" si="91"/>
        <v xml:space="preserve"> </v>
      </c>
      <c r="AD136" s="1977" t="str">
        <f t="shared" si="92"/>
        <v xml:space="preserve"> </v>
      </c>
      <c r="AE136" s="1978" t="str">
        <f t="shared" si="93"/>
        <v xml:space="preserve"> </v>
      </c>
      <c r="AF136" s="1978" t="str">
        <f t="shared" si="94"/>
        <v xml:space="preserve"> </v>
      </c>
      <c r="AG136" s="1978" t="str">
        <f t="shared" si="95"/>
        <v xml:space="preserve"> </v>
      </c>
      <c r="AH136" s="1978" t="str">
        <f t="shared" si="96"/>
        <v xml:space="preserve"> </v>
      </c>
      <c r="AI136" s="1978" t="str">
        <f t="shared" si="97"/>
        <v xml:space="preserve"> </v>
      </c>
    </row>
    <row r="137" spans="12:35" s="352" customFormat="1" x14ac:dyDescent="0.25">
      <c r="L137" s="1972" t="str">
        <f t="shared" si="74"/>
        <v xml:space="preserve">      </v>
      </c>
      <c r="M137" s="1973" t="str">
        <f t="shared" si="75"/>
        <v xml:space="preserve">      </v>
      </c>
      <c r="N137" s="1974" t="str">
        <f t="shared" si="76"/>
        <v xml:space="preserve">      </v>
      </c>
      <c r="O137" s="1974" t="str">
        <f t="shared" si="77"/>
        <v xml:space="preserve">      </v>
      </c>
      <c r="P137" s="1975" t="str">
        <f t="shared" si="78"/>
        <v xml:space="preserve"> </v>
      </c>
      <c r="Q137" s="1975" t="str">
        <f t="shared" si="79"/>
        <v xml:space="preserve"> </v>
      </c>
      <c r="R137" s="1975" t="str">
        <f t="shared" si="80"/>
        <v xml:space="preserve"> </v>
      </c>
      <c r="S137" s="1975" t="str">
        <f t="shared" si="81"/>
        <v xml:space="preserve"> </v>
      </c>
      <c r="T137" s="1975" t="str">
        <f t="shared" si="82"/>
        <v xml:space="preserve"> </v>
      </c>
      <c r="U137" s="1976" t="str">
        <f t="shared" si="83"/>
        <v xml:space="preserve"> </v>
      </c>
      <c r="V137" s="1976" t="str">
        <f t="shared" si="84"/>
        <v xml:space="preserve"> </v>
      </c>
      <c r="W137" s="1976" t="str">
        <f t="shared" si="85"/>
        <v xml:space="preserve"> </v>
      </c>
      <c r="X137" s="1976" t="str">
        <f t="shared" si="86"/>
        <v xml:space="preserve"> </v>
      </c>
      <c r="Y137" s="1976" t="str">
        <f t="shared" si="87"/>
        <v xml:space="preserve"> </v>
      </c>
      <c r="Z137" s="1977" t="str">
        <f t="shared" si="88"/>
        <v xml:space="preserve"> </v>
      </c>
      <c r="AA137" s="1977" t="str">
        <f t="shared" si="89"/>
        <v xml:space="preserve"> </v>
      </c>
      <c r="AB137" s="1977" t="str">
        <f t="shared" si="90"/>
        <v xml:space="preserve"> </v>
      </c>
      <c r="AC137" s="1977" t="str">
        <f t="shared" si="91"/>
        <v xml:space="preserve"> </v>
      </c>
      <c r="AD137" s="1977" t="str">
        <f t="shared" si="92"/>
        <v xml:space="preserve"> </v>
      </c>
      <c r="AE137" s="1978" t="str">
        <f t="shared" si="93"/>
        <v xml:space="preserve"> </v>
      </c>
      <c r="AF137" s="1978" t="str">
        <f t="shared" si="94"/>
        <v xml:space="preserve"> </v>
      </c>
      <c r="AG137" s="1978" t="str">
        <f t="shared" si="95"/>
        <v xml:space="preserve"> </v>
      </c>
      <c r="AH137" s="1978" t="str">
        <f t="shared" si="96"/>
        <v xml:space="preserve"> </v>
      </c>
      <c r="AI137" s="1978" t="str">
        <f t="shared" si="97"/>
        <v xml:space="preserve"> </v>
      </c>
    </row>
    <row r="138" spans="12:35" s="352" customFormat="1" x14ac:dyDescent="0.25">
      <c r="L138" s="1972" t="str">
        <f t="shared" si="74"/>
        <v xml:space="preserve">      </v>
      </c>
      <c r="M138" s="1973" t="str">
        <f t="shared" si="75"/>
        <v xml:space="preserve">      </v>
      </c>
      <c r="N138" s="1974" t="str">
        <f t="shared" si="76"/>
        <v xml:space="preserve">      </v>
      </c>
      <c r="O138" s="1974" t="str">
        <f t="shared" si="77"/>
        <v xml:space="preserve">      </v>
      </c>
      <c r="P138" s="1975" t="str">
        <f t="shared" si="78"/>
        <v xml:space="preserve"> </v>
      </c>
      <c r="Q138" s="1975" t="str">
        <f t="shared" si="79"/>
        <v xml:space="preserve"> </v>
      </c>
      <c r="R138" s="1975" t="str">
        <f t="shared" si="80"/>
        <v xml:space="preserve"> </v>
      </c>
      <c r="S138" s="1975" t="str">
        <f t="shared" si="81"/>
        <v xml:space="preserve"> </v>
      </c>
      <c r="T138" s="1975" t="str">
        <f t="shared" si="82"/>
        <v xml:space="preserve"> </v>
      </c>
      <c r="U138" s="1976" t="str">
        <f t="shared" si="83"/>
        <v xml:space="preserve"> </v>
      </c>
      <c r="V138" s="1976" t="str">
        <f t="shared" si="84"/>
        <v xml:space="preserve"> </v>
      </c>
      <c r="W138" s="1976" t="str">
        <f t="shared" si="85"/>
        <v xml:space="preserve"> </v>
      </c>
      <c r="X138" s="1976" t="str">
        <f t="shared" si="86"/>
        <v xml:space="preserve"> </v>
      </c>
      <c r="Y138" s="1976" t="str">
        <f t="shared" si="87"/>
        <v xml:space="preserve"> </v>
      </c>
      <c r="Z138" s="1977" t="str">
        <f t="shared" si="88"/>
        <v xml:space="preserve"> </v>
      </c>
      <c r="AA138" s="1977" t="str">
        <f t="shared" si="89"/>
        <v xml:space="preserve"> </v>
      </c>
      <c r="AB138" s="1977" t="str">
        <f t="shared" si="90"/>
        <v xml:space="preserve"> </v>
      </c>
      <c r="AC138" s="1977" t="str">
        <f t="shared" si="91"/>
        <v xml:space="preserve"> </v>
      </c>
      <c r="AD138" s="1977" t="str">
        <f t="shared" si="92"/>
        <v xml:space="preserve"> </v>
      </c>
      <c r="AE138" s="1978" t="str">
        <f t="shared" si="93"/>
        <v xml:space="preserve"> </v>
      </c>
      <c r="AF138" s="1978" t="str">
        <f t="shared" si="94"/>
        <v xml:space="preserve"> </v>
      </c>
      <c r="AG138" s="1978" t="str">
        <f t="shared" si="95"/>
        <v xml:space="preserve"> </v>
      </c>
      <c r="AH138" s="1978" t="str">
        <f t="shared" si="96"/>
        <v xml:space="preserve"> </v>
      </c>
      <c r="AI138" s="1978" t="str">
        <f t="shared" si="97"/>
        <v xml:space="preserve"> </v>
      </c>
    </row>
    <row r="139" spans="12:35" s="352" customFormat="1" x14ac:dyDescent="0.25">
      <c r="L139" s="1972" t="str">
        <f t="shared" si="74"/>
        <v xml:space="preserve">      </v>
      </c>
      <c r="M139" s="1973" t="str">
        <f t="shared" si="75"/>
        <v xml:space="preserve">      </v>
      </c>
      <c r="N139" s="1974" t="str">
        <f t="shared" si="76"/>
        <v xml:space="preserve">      </v>
      </c>
      <c r="O139" s="1974" t="str">
        <f t="shared" si="77"/>
        <v xml:space="preserve">      </v>
      </c>
      <c r="P139" s="1975" t="str">
        <f t="shared" si="78"/>
        <v xml:space="preserve"> </v>
      </c>
      <c r="Q139" s="1975" t="str">
        <f t="shared" si="79"/>
        <v xml:space="preserve"> </v>
      </c>
      <c r="R139" s="1975" t="str">
        <f t="shared" si="80"/>
        <v xml:space="preserve"> </v>
      </c>
      <c r="S139" s="1975" t="str">
        <f t="shared" si="81"/>
        <v xml:space="preserve"> </v>
      </c>
      <c r="T139" s="1975" t="str">
        <f t="shared" si="82"/>
        <v xml:space="preserve"> </v>
      </c>
      <c r="U139" s="1976" t="str">
        <f t="shared" si="83"/>
        <v xml:space="preserve"> </v>
      </c>
      <c r="V139" s="1976" t="str">
        <f t="shared" si="84"/>
        <v xml:space="preserve"> </v>
      </c>
      <c r="W139" s="1976" t="str">
        <f t="shared" si="85"/>
        <v xml:space="preserve"> </v>
      </c>
      <c r="X139" s="1976" t="str">
        <f t="shared" si="86"/>
        <v xml:space="preserve"> </v>
      </c>
      <c r="Y139" s="1976" t="str">
        <f t="shared" si="87"/>
        <v xml:space="preserve"> </v>
      </c>
      <c r="Z139" s="1977" t="str">
        <f t="shared" si="88"/>
        <v xml:space="preserve"> </v>
      </c>
      <c r="AA139" s="1977" t="str">
        <f t="shared" si="89"/>
        <v xml:space="preserve"> </v>
      </c>
      <c r="AB139" s="1977" t="str">
        <f t="shared" si="90"/>
        <v xml:space="preserve"> </v>
      </c>
      <c r="AC139" s="1977" t="str">
        <f t="shared" si="91"/>
        <v xml:space="preserve"> </v>
      </c>
      <c r="AD139" s="1977" t="str">
        <f t="shared" si="92"/>
        <v xml:space="preserve"> </v>
      </c>
      <c r="AE139" s="1978" t="str">
        <f t="shared" si="93"/>
        <v xml:space="preserve"> </v>
      </c>
      <c r="AF139" s="1978" t="str">
        <f t="shared" si="94"/>
        <v xml:space="preserve"> </v>
      </c>
      <c r="AG139" s="1978" t="str">
        <f t="shared" si="95"/>
        <v xml:space="preserve"> </v>
      </c>
      <c r="AH139" s="1978" t="str">
        <f t="shared" si="96"/>
        <v xml:space="preserve"> </v>
      </c>
      <c r="AI139" s="1978" t="str">
        <f t="shared" si="97"/>
        <v xml:space="preserve"> </v>
      </c>
    </row>
    <row r="140" spans="12:35" s="352" customFormat="1" x14ac:dyDescent="0.25">
      <c r="L140" s="1972" t="str">
        <f t="shared" si="74"/>
        <v xml:space="preserve">      </v>
      </c>
      <c r="M140" s="1973" t="str">
        <f t="shared" si="75"/>
        <v xml:space="preserve">      </v>
      </c>
      <c r="N140" s="1974" t="str">
        <f t="shared" si="76"/>
        <v xml:space="preserve">      </v>
      </c>
      <c r="O140" s="1974" t="str">
        <f t="shared" si="77"/>
        <v xml:space="preserve">      </v>
      </c>
      <c r="P140" s="1975" t="str">
        <f t="shared" si="78"/>
        <v xml:space="preserve"> </v>
      </c>
      <c r="Q140" s="1975" t="str">
        <f t="shared" si="79"/>
        <v xml:space="preserve"> </v>
      </c>
      <c r="R140" s="1975" t="str">
        <f t="shared" si="80"/>
        <v xml:space="preserve"> </v>
      </c>
      <c r="S140" s="1975" t="str">
        <f t="shared" si="81"/>
        <v xml:space="preserve"> </v>
      </c>
      <c r="T140" s="1975" t="str">
        <f t="shared" si="82"/>
        <v xml:space="preserve"> </v>
      </c>
      <c r="U140" s="1976" t="str">
        <f t="shared" si="83"/>
        <v xml:space="preserve"> </v>
      </c>
      <c r="V140" s="1976" t="str">
        <f t="shared" si="84"/>
        <v xml:space="preserve"> </v>
      </c>
      <c r="W140" s="1976" t="str">
        <f t="shared" si="85"/>
        <v xml:space="preserve"> </v>
      </c>
      <c r="X140" s="1976" t="str">
        <f t="shared" si="86"/>
        <v xml:space="preserve"> </v>
      </c>
      <c r="Y140" s="1976" t="str">
        <f t="shared" si="87"/>
        <v xml:space="preserve"> </v>
      </c>
      <c r="Z140" s="1977" t="str">
        <f t="shared" si="88"/>
        <v xml:space="preserve"> </v>
      </c>
      <c r="AA140" s="1977" t="str">
        <f t="shared" si="89"/>
        <v xml:space="preserve"> </v>
      </c>
      <c r="AB140" s="1977" t="str">
        <f t="shared" si="90"/>
        <v xml:space="preserve"> </v>
      </c>
      <c r="AC140" s="1977" t="str">
        <f t="shared" si="91"/>
        <v xml:space="preserve"> </v>
      </c>
      <c r="AD140" s="1977" t="str">
        <f t="shared" si="92"/>
        <v xml:space="preserve"> </v>
      </c>
      <c r="AE140" s="1978" t="str">
        <f t="shared" si="93"/>
        <v xml:space="preserve"> </v>
      </c>
      <c r="AF140" s="1978" t="str">
        <f t="shared" si="94"/>
        <v xml:space="preserve"> </v>
      </c>
      <c r="AG140" s="1978" t="str">
        <f t="shared" si="95"/>
        <v xml:space="preserve"> </v>
      </c>
      <c r="AH140" s="1978" t="str">
        <f t="shared" si="96"/>
        <v xml:space="preserve"> </v>
      </c>
      <c r="AI140" s="1978" t="str">
        <f t="shared" si="97"/>
        <v xml:space="preserve"> </v>
      </c>
    </row>
    <row r="141" spans="12:35" s="352" customFormat="1" x14ac:dyDescent="0.25">
      <c r="L141" s="1972" t="str">
        <f t="shared" si="74"/>
        <v xml:space="preserve">      </v>
      </c>
      <c r="M141" s="1973" t="str">
        <f t="shared" si="75"/>
        <v xml:space="preserve">      </v>
      </c>
      <c r="N141" s="1974" t="str">
        <f t="shared" si="76"/>
        <v xml:space="preserve">      </v>
      </c>
      <c r="O141" s="1974" t="str">
        <f t="shared" si="77"/>
        <v xml:space="preserve">      </v>
      </c>
      <c r="P141" s="1975" t="str">
        <f t="shared" si="78"/>
        <v xml:space="preserve"> </v>
      </c>
      <c r="Q141" s="1975" t="str">
        <f t="shared" si="79"/>
        <v xml:space="preserve"> </v>
      </c>
      <c r="R141" s="1975" t="str">
        <f t="shared" si="80"/>
        <v xml:space="preserve"> </v>
      </c>
      <c r="S141" s="1975" t="str">
        <f t="shared" si="81"/>
        <v xml:space="preserve"> </v>
      </c>
      <c r="T141" s="1975" t="str">
        <f t="shared" si="82"/>
        <v xml:space="preserve"> </v>
      </c>
      <c r="U141" s="1976" t="str">
        <f t="shared" si="83"/>
        <v xml:space="preserve"> </v>
      </c>
      <c r="V141" s="1976" t="str">
        <f t="shared" si="84"/>
        <v xml:space="preserve"> </v>
      </c>
      <c r="W141" s="1976" t="str">
        <f t="shared" si="85"/>
        <v xml:space="preserve"> </v>
      </c>
      <c r="X141" s="1976" t="str">
        <f t="shared" si="86"/>
        <v xml:space="preserve"> </v>
      </c>
      <c r="Y141" s="1976" t="str">
        <f t="shared" si="87"/>
        <v xml:space="preserve"> </v>
      </c>
      <c r="Z141" s="1977" t="str">
        <f t="shared" si="88"/>
        <v xml:space="preserve"> </v>
      </c>
      <c r="AA141" s="1977" t="str">
        <f t="shared" si="89"/>
        <v xml:space="preserve"> </v>
      </c>
      <c r="AB141" s="1977" t="str">
        <f t="shared" si="90"/>
        <v xml:space="preserve"> </v>
      </c>
      <c r="AC141" s="1977" t="str">
        <f t="shared" si="91"/>
        <v xml:space="preserve"> </v>
      </c>
      <c r="AD141" s="1977" t="str">
        <f t="shared" si="92"/>
        <v xml:space="preserve"> </v>
      </c>
      <c r="AE141" s="1978" t="str">
        <f t="shared" si="93"/>
        <v xml:space="preserve"> </v>
      </c>
      <c r="AF141" s="1978" t="str">
        <f t="shared" si="94"/>
        <v xml:space="preserve"> </v>
      </c>
      <c r="AG141" s="1978" t="str">
        <f t="shared" si="95"/>
        <v xml:space="preserve"> </v>
      </c>
      <c r="AH141" s="1978" t="str">
        <f t="shared" si="96"/>
        <v xml:space="preserve"> </v>
      </c>
      <c r="AI141" s="1978" t="str">
        <f t="shared" si="97"/>
        <v xml:space="preserve"> </v>
      </c>
    </row>
    <row r="142" spans="12:35" s="352" customFormat="1" x14ac:dyDescent="0.25">
      <c r="L142" s="1972" t="str">
        <f t="shared" si="74"/>
        <v xml:space="preserve">      </v>
      </c>
      <c r="M142" s="1973" t="str">
        <f t="shared" si="75"/>
        <v xml:space="preserve">      </v>
      </c>
      <c r="N142" s="1974" t="str">
        <f t="shared" si="76"/>
        <v xml:space="preserve">      </v>
      </c>
      <c r="O142" s="1974" t="str">
        <f t="shared" si="77"/>
        <v xml:space="preserve">      </v>
      </c>
      <c r="P142" s="1975" t="str">
        <f t="shared" si="78"/>
        <v xml:space="preserve"> </v>
      </c>
      <c r="Q142" s="1975" t="str">
        <f t="shared" si="79"/>
        <v xml:space="preserve"> </v>
      </c>
      <c r="R142" s="1975" t="str">
        <f t="shared" si="80"/>
        <v xml:space="preserve"> </v>
      </c>
      <c r="S142" s="1975" t="str">
        <f t="shared" si="81"/>
        <v xml:space="preserve"> </v>
      </c>
      <c r="T142" s="1975" t="str">
        <f t="shared" si="82"/>
        <v xml:space="preserve"> </v>
      </c>
      <c r="U142" s="1976" t="str">
        <f t="shared" si="83"/>
        <v xml:space="preserve"> </v>
      </c>
      <c r="V142" s="1976" t="str">
        <f t="shared" si="84"/>
        <v xml:space="preserve"> </v>
      </c>
      <c r="W142" s="1976" t="str">
        <f t="shared" si="85"/>
        <v xml:space="preserve"> </v>
      </c>
      <c r="X142" s="1976" t="str">
        <f t="shared" si="86"/>
        <v xml:space="preserve"> </v>
      </c>
      <c r="Y142" s="1976" t="str">
        <f t="shared" si="87"/>
        <v xml:space="preserve"> </v>
      </c>
      <c r="Z142" s="1977" t="str">
        <f t="shared" si="88"/>
        <v xml:space="preserve"> </v>
      </c>
      <c r="AA142" s="1977" t="str">
        <f t="shared" si="89"/>
        <v xml:space="preserve"> </v>
      </c>
      <c r="AB142" s="1977" t="str">
        <f t="shared" si="90"/>
        <v xml:space="preserve"> </v>
      </c>
      <c r="AC142" s="1977" t="str">
        <f t="shared" si="91"/>
        <v xml:space="preserve"> </v>
      </c>
      <c r="AD142" s="1977" t="str">
        <f t="shared" si="92"/>
        <v xml:space="preserve"> </v>
      </c>
      <c r="AE142" s="1978" t="str">
        <f t="shared" si="93"/>
        <v xml:space="preserve"> </v>
      </c>
      <c r="AF142" s="1978" t="str">
        <f t="shared" si="94"/>
        <v xml:space="preserve"> </v>
      </c>
      <c r="AG142" s="1978" t="str">
        <f t="shared" si="95"/>
        <v xml:space="preserve"> </v>
      </c>
      <c r="AH142" s="1978" t="str">
        <f t="shared" si="96"/>
        <v xml:space="preserve"> </v>
      </c>
      <c r="AI142" s="1978" t="str">
        <f t="shared" si="97"/>
        <v xml:space="preserve"> </v>
      </c>
    </row>
    <row r="143" spans="12:35" s="352" customFormat="1" x14ac:dyDescent="0.25">
      <c r="L143" s="1972" t="str">
        <f t="shared" si="74"/>
        <v xml:space="preserve">      </v>
      </c>
      <c r="M143" s="1973" t="str">
        <f t="shared" si="75"/>
        <v xml:space="preserve">      </v>
      </c>
      <c r="N143" s="1974" t="str">
        <f t="shared" si="76"/>
        <v xml:space="preserve">      </v>
      </c>
      <c r="O143" s="1974" t="str">
        <f t="shared" si="77"/>
        <v xml:space="preserve">      </v>
      </c>
      <c r="P143" s="1975" t="str">
        <f t="shared" si="78"/>
        <v xml:space="preserve"> </v>
      </c>
      <c r="Q143" s="1975" t="str">
        <f t="shared" si="79"/>
        <v xml:space="preserve"> </v>
      </c>
      <c r="R143" s="1975" t="str">
        <f t="shared" si="80"/>
        <v xml:space="preserve"> </v>
      </c>
      <c r="S143" s="1975" t="str">
        <f t="shared" si="81"/>
        <v xml:space="preserve"> </v>
      </c>
      <c r="T143" s="1975" t="str">
        <f t="shared" si="82"/>
        <v xml:space="preserve"> </v>
      </c>
      <c r="U143" s="1976" t="str">
        <f t="shared" si="83"/>
        <v xml:space="preserve"> </v>
      </c>
      <c r="V143" s="1976" t="str">
        <f t="shared" si="84"/>
        <v xml:space="preserve"> </v>
      </c>
      <c r="W143" s="1976" t="str">
        <f t="shared" si="85"/>
        <v xml:space="preserve"> </v>
      </c>
      <c r="X143" s="1976" t="str">
        <f t="shared" si="86"/>
        <v xml:space="preserve"> </v>
      </c>
      <c r="Y143" s="1976" t="str">
        <f t="shared" si="87"/>
        <v xml:space="preserve"> </v>
      </c>
      <c r="Z143" s="1977" t="str">
        <f t="shared" si="88"/>
        <v xml:space="preserve"> </v>
      </c>
      <c r="AA143" s="1977" t="str">
        <f t="shared" si="89"/>
        <v xml:space="preserve"> </v>
      </c>
      <c r="AB143" s="1977" t="str">
        <f t="shared" si="90"/>
        <v xml:space="preserve"> </v>
      </c>
      <c r="AC143" s="1977" t="str">
        <f t="shared" si="91"/>
        <v xml:space="preserve"> </v>
      </c>
      <c r="AD143" s="1977" t="str">
        <f t="shared" si="92"/>
        <v xml:space="preserve"> </v>
      </c>
      <c r="AE143" s="1978" t="str">
        <f t="shared" si="93"/>
        <v xml:space="preserve"> </v>
      </c>
      <c r="AF143" s="1978" t="str">
        <f t="shared" si="94"/>
        <v xml:space="preserve"> </v>
      </c>
      <c r="AG143" s="1978" t="str">
        <f t="shared" si="95"/>
        <v xml:space="preserve"> </v>
      </c>
      <c r="AH143" s="1978" t="str">
        <f t="shared" si="96"/>
        <v xml:space="preserve"> </v>
      </c>
      <c r="AI143" s="1978" t="str">
        <f t="shared" si="97"/>
        <v xml:space="preserve"> </v>
      </c>
    </row>
    <row r="144" spans="12:35" s="352" customFormat="1" x14ac:dyDescent="0.25">
      <c r="L144" s="1972" t="str">
        <f t="shared" ref="L144:L207" si="98">IF(OR(C144=4,D144=4,E144=4,F144=4,G144=4),CONCATENATE("Sangat baik",P144,Q144,R144,S144,T144,),CONCATENATE(" ",P144,Q144,R144,S144,T144,))</f>
        <v xml:space="preserve">      </v>
      </c>
      <c r="M144" s="1973" t="str">
        <f t="shared" ref="M144:M207" si="99">IF(OR(C144=3,D144=3,E144=3,F144=3,G144=3),CONCATENATE("Baik ",U144,V144,W144,X144,Y144,),CONCATENATE(" ",U144,V144,W144,X144,Y144,))</f>
        <v xml:space="preserve">      </v>
      </c>
      <c r="N144" s="1974" t="str">
        <f t="shared" ref="N144:N207" si="100">IF(OR(C144=2,D144=2,E144=2,F144=2,G144=2),CONCATENATE("Dengan bimbingan dan pendampingan yang lebih, akan mampu   meningkatkan  ",Z144,AA144,AB144,AC144,AD144,),CONCATENATE(" ",Z144,AA144,AB144,AC144,AD144,))</f>
        <v xml:space="preserve">      </v>
      </c>
      <c r="O144" s="1974" t="str">
        <f t="shared" ref="O144:O207" si="101">IF(OR(C144=1,D144=1,E144=1,F144=1,G144=1),CONCATENATE("perlu bimbingan ",AE144,AF144,AG144,AH144,AI144,),CONCATENATE(" ",Z144,AA144,AB144,AC144,AD144,))</f>
        <v xml:space="preserve">      </v>
      </c>
      <c r="P144" s="1975" t="str">
        <f t="shared" ref="P144:P207" si="102">IF(C144=4,$P$12," ")</f>
        <v xml:space="preserve"> </v>
      </c>
      <c r="Q144" s="1975" t="str">
        <f t="shared" ref="Q144:Q207" si="103">IF(D144=4,$Q$12," ")</f>
        <v xml:space="preserve"> </v>
      </c>
      <c r="R144" s="1975" t="str">
        <f t="shared" ref="R144:R207" si="104">IF(E144=4,$R$12," ")</f>
        <v xml:space="preserve"> </v>
      </c>
      <c r="S144" s="1975" t="str">
        <f t="shared" ref="S144:S207" si="105">IF(F144=4,$S$12," ")</f>
        <v xml:space="preserve"> </v>
      </c>
      <c r="T144" s="1975" t="str">
        <f t="shared" ref="T144:T207" si="106">IF(G144=4,$T$12," ")</f>
        <v xml:space="preserve"> </v>
      </c>
      <c r="U144" s="1976" t="str">
        <f t="shared" ref="U144:U207" si="107">IF(C144=3,$P$12," ")</f>
        <v xml:space="preserve"> </v>
      </c>
      <c r="V144" s="1976" t="str">
        <f t="shared" ref="V144:V207" si="108">IF(D144=3,$Q$12," ")</f>
        <v xml:space="preserve"> </v>
      </c>
      <c r="W144" s="1976" t="str">
        <f t="shared" ref="W144:W207" si="109">IF(E144=3,$R$12," ")</f>
        <v xml:space="preserve"> </v>
      </c>
      <c r="X144" s="1976" t="str">
        <f t="shared" ref="X144:X207" si="110">IF(F144=3,$S$12," ")</f>
        <v xml:space="preserve"> </v>
      </c>
      <c r="Y144" s="1976" t="str">
        <f t="shared" ref="Y144:Y207" si="111">IF(G144=3,$T$12," ")</f>
        <v xml:space="preserve"> </v>
      </c>
      <c r="Z144" s="1977" t="str">
        <f t="shared" ref="Z144:Z207" si="112">IF(C144=2,$P$12," ")</f>
        <v xml:space="preserve"> </v>
      </c>
      <c r="AA144" s="1977" t="str">
        <f t="shared" ref="AA144:AA207" si="113">IF(D144=2,$Q$12," ")</f>
        <v xml:space="preserve"> </v>
      </c>
      <c r="AB144" s="1977" t="str">
        <f t="shared" ref="AB144:AB207" si="114">IF(E144=2,$R$12," ")</f>
        <v xml:space="preserve"> </v>
      </c>
      <c r="AC144" s="1977" t="str">
        <f t="shared" ref="AC144:AC207" si="115">IF(F144=2,$S$12," ")</f>
        <v xml:space="preserve"> </v>
      </c>
      <c r="AD144" s="1977" t="str">
        <f t="shared" ref="AD144:AD207" si="116">IF(G144=2,$T$12," ")</f>
        <v xml:space="preserve"> </v>
      </c>
      <c r="AE144" s="1978" t="str">
        <f t="shared" ref="AE144:AE207" si="117">IF(C144=1,$P$12," ")</f>
        <v xml:space="preserve"> </v>
      </c>
      <c r="AF144" s="1978" t="str">
        <f t="shared" ref="AF144:AF207" si="118">IF(D144=1,$Q$12," ")</f>
        <v xml:space="preserve"> </v>
      </c>
      <c r="AG144" s="1978" t="str">
        <f t="shared" ref="AG144:AG207" si="119">IF(E144=1,$R$12," ")</f>
        <v xml:space="preserve"> </v>
      </c>
      <c r="AH144" s="1978" t="str">
        <f t="shared" ref="AH144:AH207" si="120">IF(F144=1,$S$12," ")</f>
        <v xml:space="preserve"> </v>
      </c>
      <c r="AI144" s="1978" t="str">
        <f t="shared" ref="AI144:AI207" si="121">IF(G144=1,$T$12," ")</f>
        <v xml:space="preserve"> </v>
      </c>
    </row>
    <row r="145" spans="12:35" s="352" customFormat="1" x14ac:dyDescent="0.25">
      <c r="L145" s="1972" t="str">
        <f t="shared" si="98"/>
        <v xml:space="preserve">      </v>
      </c>
      <c r="M145" s="1973" t="str">
        <f t="shared" si="99"/>
        <v xml:space="preserve">      </v>
      </c>
      <c r="N145" s="1974" t="str">
        <f t="shared" si="100"/>
        <v xml:space="preserve">      </v>
      </c>
      <c r="O145" s="1974" t="str">
        <f t="shared" si="101"/>
        <v xml:space="preserve">      </v>
      </c>
      <c r="P145" s="1975" t="str">
        <f t="shared" si="102"/>
        <v xml:space="preserve"> </v>
      </c>
      <c r="Q145" s="1975" t="str">
        <f t="shared" si="103"/>
        <v xml:space="preserve"> </v>
      </c>
      <c r="R145" s="1975" t="str">
        <f t="shared" si="104"/>
        <v xml:space="preserve"> </v>
      </c>
      <c r="S145" s="1975" t="str">
        <f t="shared" si="105"/>
        <v xml:space="preserve"> </v>
      </c>
      <c r="T145" s="1975" t="str">
        <f t="shared" si="106"/>
        <v xml:space="preserve"> </v>
      </c>
      <c r="U145" s="1976" t="str">
        <f t="shared" si="107"/>
        <v xml:space="preserve"> </v>
      </c>
      <c r="V145" s="1976" t="str">
        <f t="shared" si="108"/>
        <v xml:space="preserve"> </v>
      </c>
      <c r="W145" s="1976" t="str">
        <f t="shared" si="109"/>
        <v xml:space="preserve"> </v>
      </c>
      <c r="X145" s="1976" t="str">
        <f t="shared" si="110"/>
        <v xml:space="preserve"> </v>
      </c>
      <c r="Y145" s="1976" t="str">
        <f t="shared" si="111"/>
        <v xml:space="preserve"> </v>
      </c>
      <c r="Z145" s="1977" t="str">
        <f t="shared" si="112"/>
        <v xml:space="preserve"> </v>
      </c>
      <c r="AA145" s="1977" t="str">
        <f t="shared" si="113"/>
        <v xml:space="preserve"> </v>
      </c>
      <c r="AB145" s="1977" t="str">
        <f t="shared" si="114"/>
        <v xml:space="preserve"> </v>
      </c>
      <c r="AC145" s="1977" t="str">
        <f t="shared" si="115"/>
        <v xml:space="preserve"> </v>
      </c>
      <c r="AD145" s="1977" t="str">
        <f t="shared" si="116"/>
        <v xml:space="preserve"> </v>
      </c>
      <c r="AE145" s="1978" t="str">
        <f t="shared" si="117"/>
        <v xml:space="preserve"> </v>
      </c>
      <c r="AF145" s="1978" t="str">
        <f t="shared" si="118"/>
        <v xml:space="preserve"> </v>
      </c>
      <c r="AG145" s="1978" t="str">
        <f t="shared" si="119"/>
        <v xml:space="preserve"> </v>
      </c>
      <c r="AH145" s="1978" t="str">
        <f t="shared" si="120"/>
        <v xml:space="preserve"> </v>
      </c>
      <c r="AI145" s="1978" t="str">
        <f t="shared" si="121"/>
        <v xml:space="preserve"> </v>
      </c>
    </row>
    <row r="146" spans="12:35" s="352" customFormat="1" x14ac:dyDescent="0.25">
      <c r="L146" s="1972" t="str">
        <f t="shared" si="98"/>
        <v xml:space="preserve">      </v>
      </c>
      <c r="M146" s="1973" t="str">
        <f t="shared" si="99"/>
        <v xml:space="preserve">      </v>
      </c>
      <c r="N146" s="1974" t="str">
        <f t="shared" si="100"/>
        <v xml:space="preserve">      </v>
      </c>
      <c r="O146" s="1974" t="str">
        <f t="shared" si="101"/>
        <v xml:space="preserve">      </v>
      </c>
      <c r="P146" s="1975" t="str">
        <f t="shared" si="102"/>
        <v xml:space="preserve"> </v>
      </c>
      <c r="Q146" s="1975" t="str">
        <f t="shared" si="103"/>
        <v xml:space="preserve"> </v>
      </c>
      <c r="R146" s="1975" t="str">
        <f t="shared" si="104"/>
        <v xml:space="preserve"> </v>
      </c>
      <c r="S146" s="1975" t="str">
        <f t="shared" si="105"/>
        <v xml:space="preserve"> </v>
      </c>
      <c r="T146" s="1975" t="str">
        <f t="shared" si="106"/>
        <v xml:space="preserve"> </v>
      </c>
      <c r="U146" s="1976" t="str">
        <f t="shared" si="107"/>
        <v xml:space="preserve"> </v>
      </c>
      <c r="V146" s="1976" t="str">
        <f t="shared" si="108"/>
        <v xml:space="preserve"> </v>
      </c>
      <c r="W146" s="1976" t="str">
        <f t="shared" si="109"/>
        <v xml:space="preserve"> </v>
      </c>
      <c r="X146" s="1976" t="str">
        <f t="shared" si="110"/>
        <v xml:space="preserve"> </v>
      </c>
      <c r="Y146" s="1976" t="str">
        <f t="shared" si="111"/>
        <v xml:space="preserve"> </v>
      </c>
      <c r="Z146" s="1977" t="str">
        <f t="shared" si="112"/>
        <v xml:space="preserve"> </v>
      </c>
      <c r="AA146" s="1977" t="str">
        <f t="shared" si="113"/>
        <v xml:space="preserve"> </v>
      </c>
      <c r="AB146" s="1977" t="str">
        <f t="shared" si="114"/>
        <v xml:space="preserve"> </v>
      </c>
      <c r="AC146" s="1977" t="str">
        <f t="shared" si="115"/>
        <v xml:space="preserve"> </v>
      </c>
      <c r="AD146" s="1977" t="str">
        <f t="shared" si="116"/>
        <v xml:space="preserve"> </v>
      </c>
      <c r="AE146" s="1978" t="str">
        <f t="shared" si="117"/>
        <v xml:space="preserve"> </v>
      </c>
      <c r="AF146" s="1978" t="str">
        <f t="shared" si="118"/>
        <v xml:space="preserve"> </v>
      </c>
      <c r="AG146" s="1978" t="str">
        <f t="shared" si="119"/>
        <v xml:space="preserve"> </v>
      </c>
      <c r="AH146" s="1978" t="str">
        <f t="shared" si="120"/>
        <v xml:space="preserve"> </v>
      </c>
      <c r="AI146" s="1978" t="str">
        <f t="shared" si="121"/>
        <v xml:space="preserve"> </v>
      </c>
    </row>
    <row r="147" spans="12:35" s="352" customFormat="1" x14ac:dyDescent="0.25">
      <c r="L147" s="1972" t="str">
        <f t="shared" si="98"/>
        <v xml:space="preserve">      </v>
      </c>
      <c r="M147" s="1973" t="str">
        <f t="shared" si="99"/>
        <v xml:space="preserve">      </v>
      </c>
      <c r="N147" s="1974" t="str">
        <f t="shared" si="100"/>
        <v xml:space="preserve">      </v>
      </c>
      <c r="O147" s="1974" t="str">
        <f t="shared" si="101"/>
        <v xml:space="preserve">      </v>
      </c>
      <c r="P147" s="1975" t="str">
        <f t="shared" si="102"/>
        <v xml:space="preserve"> </v>
      </c>
      <c r="Q147" s="1975" t="str">
        <f t="shared" si="103"/>
        <v xml:space="preserve"> </v>
      </c>
      <c r="R147" s="1975" t="str">
        <f t="shared" si="104"/>
        <v xml:space="preserve"> </v>
      </c>
      <c r="S147" s="1975" t="str">
        <f t="shared" si="105"/>
        <v xml:space="preserve"> </v>
      </c>
      <c r="T147" s="1975" t="str">
        <f t="shared" si="106"/>
        <v xml:space="preserve"> </v>
      </c>
      <c r="U147" s="1976" t="str">
        <f t="shared" si="107"/>
        <v xml:space="preserve"> </v>
      </c>
      <c r="V147" s="1976" t="str">
        <f t="shared" si="108"/>
        <v xml:space="preserve"> </v>
      </c>
      <c r="W147" s="1976" t="str">
        <f t="shared" si="109"/>
        <v xml:space="preserve"> </v>
      </c>
      <c r="X147" s="1976" t="str">
        <f t="shared" si="110"/>
        <v xml:space="preserve"> </v>
      </c>
      <c r="Y147" s="1976" t="str">
        <f t="shared" si="111"/>
        <v xml:space="preserve"> </v>
      </c>
      <c r="Z147" s="1977" t="str">
        <f t="shared" si="112"/>
        <v xml:space="preserve"> </v>
      </c>
      <c r="AA147" s="1977" t="str">
        <f t="shared" si="113"/>
        <v xml:space="preserve"> </v>
      </c>
      <c r="AB147" s="1977" t="str">
        <f t="shared" si="114"/>
        <v xml:space="preserve"> </v>
      </c>
      <c r="AC147" s="1977" t="str">
        <f t="shared" si="115"/>
        <v xml:space="preserve"> </v>
      </c>
      <c r="AD147" s="1977" t="str">
        <f t="shared" si="116"/>
        <v xml:space="preserve"> </v>
      </c>
      <c r="AE147" s="1978" t="str">
        <f t="shared" si="117"/>
        <v xml:space="preserve"> </v>
      </c>
      <c r="AF147" s="1978" t="str">
        <f t="shared" si="118"/>
        <v xml:space="preserve"> </v>
      </c>
      <c r="AG147" s="1978" t="str">
        <f t="shared" si="119"/>
        <v xml:space="preserve"> </v>
      </c>
      <c r="AH147" s="1978" t="str">
        <f t="shared" si="120"/>
        <v xml:space="preserve"> </v>
      </c>
      <c r="AI147" s="1978" t="str">
        <f t="shared" si="121"/>
        <v xml:space="preserve"> </v>
      </c>
    </row>
    <row r="148" spans="12:35" s="352" customFormat="1" x14ac:dyDescent="0.25">
      <c r="L148" s="1972" t="str">
        <f t="shared" si="98"/>
        <v xml:space="preserve">      </v>
      </c>
      <c r="M148" s="1973" t="str">
        <f t="shared" si="99"/>
        <v xml:space="preserve">      </v>
      </c>
      <c r="N148" s="1974" t="str">
        <f t="shared" si="100"/>
        <v xml:space="preserve">      </v>
      </c>
      <c r="O148" s="1974" t="str">
        <f t="shared" si="101"/>
        <v xml:space="preserve">      </v>
      </c>
      <c r="P148" s="1975" t="str">
        <f t="shared" si="102"/>
        <v xml:space="preserve"> </v>
      </c>
      <c r="Q148" s="1975" t="str">
        <f t="shared" si="103"/>
        <v xml:space="preserve"> </v>
      </c>
      <c r="R148" s="1975" t="str">
        <f t="shared" si="104"/>
        <v xml:space="preserve"> </v>
      </c>
      <c r="S148" s="1975" t="str">
        <f t="shared" si="105"/>
        <v xml:space="preserve"> </v>
      </c>
      <c r="T148" s="1975" t="str">
        <f t="shared" si="106"/>
        <v xml:space="preserve"> </v>
      </c>
      <c r="U148" s="1976" t="str">
        <f t="shared" si="107"/>
        <v xml:space="preserve"> </v>
      </c>
      <c r="V148" s="1976" t="str">
        <f t="shared" si="108"/>
        <v xml:space="preserve"> </v>
      </c>
      <c r="W148" s="1976" t="str">
        <f t="shared" si="109"/>
        <v xml:space="preserve"> </v>
      </c>
      <c r="X148" s="1976" t="str">
        <f t="shared" si="110"/>
        <v xml:space="preserve"> </v>
      </c>
      <c r="Y148" s="1976" t="str">
        <f t="shared" si="111"/>
        <v xml:space="preserve"> </v>
      </c>
      <c r="Z148" s="1977" t="str">
        <f t="shared" si="112"/>
        <v xml:space="preserve"> </v>
      </c>
      <c r="AA148" s="1977" t="str">
        <f t="shared" si="113"/>
        <v xml:space="preserve"> </v>
      </c>
      <c r="AB148" s="1977" t="str">
        <f t="shared" si="114"/>
        <v xml:space="preserve"> </v>
      </c>
      <c r="AC148" s="1977" t="str">
        <f t="shared" si="115"/>
        <v xml:space="preserve"> </v>
      </c>
      <c r="AD148" s="1977" t="str">
        <f t="shared" si="116"/>
        <v xml:space="preserve"> </v>
      </c>
      <c r="AE148" s="1978" t="str">
        <f t="shared" si="117"/>
        <v xml:space="preserve"> </v>
      </c>
      <c r="AF148" s="1978" t="str">
        <f t="shared" si="118"/>
        <v xml:space="preserve"> </v>
      </c>
      <c r="AG148" s="1978" t="str">
        <f t="shared" si="119"/>
        <v xml:space="preserve"> </v>
      </c>
      <c r="AH148" s="1978" t="str">
        <f t="shared" si="120"/>
        <v xml:space="preserve"> </v>
      </c>
      <c r="AI148" s="1978" t="str">
        <f t="shared" si="121"/>
        <v xml:space="preserve"> </v>
      </c>
    </row>
    <row r="149" spans="12:35" s="352" customFormat="1" x14ac:dyDescent="0.25">
      <c r="L149" s="1972" t="str">
        <f t="shared" si="98"/>
        <v xml:space="preserve">      </v>
      </c>
      <c r="M149" s="1973" t="str">
        <f t="shared" si="99"/>
        <v xml:space="preserve">      </v>
      </c>
      <c r="N149" s="1974" t="str">
        <f t="shared" si="100"/>
        <v xml:space="preserve">      </v>
      </c>
      <c r="O149" s="1974" t="str">
        <f t="shared" si="101"/>
        <v xml:space="preserve">      </v>
      </c>
      <c r="P149" s="1975" t="str">
        <f t="shared" si="102"/>
        <v xml:space="preserve"> </v>
      </c>
      <c r="Q149" s="1975" t="str">
        <f t="shared" si="103"/>
        <v xml:space="preserve"> </v>
      </c>
      <c r="R149" s="1975" t="str">
        <f t="shared" si="104"/>
        <v xml:space="preserve"> </v>
      </c>
      <c r="S149" s="1975" t="str">
        <f t="shared" si="105"/>
        <v xml:space="preserve"> </v>
      </c>
      <c r="T149" s="1975" t="str">
        <f t="shared" si="106"/>
        <v xml:space="preserve"> </v>
      </c>
      <c r="U149" s="1976" t="str">
        <f t="shared" si="107"/>
        <v xml:space="preserve"> </v>
      </c>
      <c r="V149" s="1976" t="str">
        <f t="shared" si="108"/>
        <v xml:space="preserve"> </v>
      </c>
      <c r="W149" s="1976" t="str">
        <f t="shared" si="109"/>
        <v xml:space="preserve"> </v>
      </c>
      <c r="X149" s="1976" t="str">
        <f t="shared" si="110"/>
        <v xml:space="preserve"> </v>
      </c>
      <c r="Y149" s="1976" t="str">
        <f t="shared" si="111"/>
        <v xml:space="preserve"> </v>
      </c>
      <c r="Z149" s="1977" t="str">
        <f t="shared" si="112"/>
        <v xml:space="preserve"> </v>
      </c>
      <c r="AA149" s="1977" t="str">
        <f t="shared" si="113"/>
        <v xml:space="preserve"> </v>
      </c>
      <c r="AB149" s="1977" t="str">
        <f t="shared" si="114"/>
        <v xml:space="preserve"> </v>
      </c>
      <c r="AC149" s="1977" t="str">
        <f t="shared" si="115"/>
        <v xml:space="preserve"> </v>
      </c>
      <c r="AD149" s="1977" t="str">
        <f t="shared" si="116"/>
        <v xml:space="preserve"> </v>
      </c>
      <c r="AE149" s="1978" t="str">
        <f t="shared" si="117"/>
        <v xml:space="preserve"> </v>
      </c>
      <c r="AF149" s="1978" t="str">
        <f t="shared" si="118"/>
        <v xml:space="preserve"> </v>
      </c>
      <c r="AG149" s="1978" t="str">
        <f t="shared" si="119"/>
        <v xml:space="preserve"> </v>
      </c>
      <c r="AH149" s="1978" t="str">
        <f t="shared" si="120"/>
        <v xml:space="preserve"> </v>
      </c>
      <c r="AI149" s="1978" t="str">
        <f t="shared" si="121"/>
        <v xml:space="preserve"> </v>
      </c>
    </row>
    <row r="150" spans="12:35" s="352" customFormat="1" x14ac:dyDescent="0.25">
      <c r="L150" s="1972" t="str">
        <f t="shared" si="98"/>
        <v xml:space="preserve">      </v>
      </c>
      <c r="M150" s="1973" t="str">
        <f t="shared" si="99"/>
        <v xml:space="preserve">      </v>
      </c>
      <c r="N150" s="1974" t="str">
        <f t="shared" si="100"/>
        <v xml:space="preserve">      </v>
      </c>
      <c r="O150" s="1974" t="str">
        <f t="shared" si="101"/>
        <v xml:space="preserve">      </v>
      </c>
      <c r="P150" s="1975" t="str">
        <f t="shared" si="102"/>
        <v xml:space="preserve"> </v>
      </c>
      <c r="Q150" s="1975" t="str">
        <f t="shared" si="103"/>
        <v xml:space="preserve"> </v>
      </c>
      <c r="R150" s="1975" t="str">
        <f t="shared" si="104"/>
        <v xml:space="preserve"> </v>
      </c>
      <c r="S150" s="1975" t="str">
        <f t="shared" si="105"/>
        <v xml:space="preserve"> </v>
      </c>
      <c r="T150" s="1975" t="str">
        <f t="shared" si="106"/>
        <v xml:space="preserve"> </v>
      </c>
      <c r="U150" s="1976" t="str">
        <f t="shared" si="107"/>
        <v xml:space="preserve"> </v>
      </c>
      <c r="V150" s="1976" t="str">
        <f t="shared" si="108"/>
        <v xml:space="preserve"> </v>
      </c>
      <c r="W150" s="1976" t="str">
        <f t="shared" si="109"/>
        <v xml:space="preserve"> </v>
      </c>
      <c r="X150" s="1976" t="str">
        <f t="shared" si="110"/>
        <v xml:space="preserve"> </v>
      </c>
      <c r="Y150" s="1976" t="str">
        <f t="shared" si="111"/>
        <v xml:space="preserve"> </v>
      </c>
      <c r="Z150" s="1977" t="str">
        <f t="shared" si="112"/>
        <v xml:space="preserve"> </v>
      </c>
      <c r="AA150" s="1977" t="str">
        <f t="shared" si="113"/>
        <v xml:space="preserve"> </v>
      </c>
      <c r="AB150" s="1977" t="str">
        <f t="shared" si="114"/>
        <v xml:space="preserve"> </v>
      </c>
      <c r="AC150" s="1977" t="str">
        <f t="shared" si="115"/>
        <v xml:space="preserve"> </v>
      </c>
      <c r="AD150" s="1977" t="str">
        <f t="shared" si="116"/>
        <v xml:space="preserve"> </v>
      </c>
      <c r="AE150" s="1978" t="str">
        <f t="shared" si="117"/>
        <v xml:space="preserve"> </v>
      </c>
      <c r="AF150" s="1978" t="str">
        <f t="shared" si="118"/>
        <v xml:space="preserve"> </v>
      </c>
      <c r="AG150" s="1978" t="str">
        <f t="shared" si="119"/>
        <v xml:space="preserve"> </v>
      </c>
      <c r="AH150" s="1978" t="str">
        <f t="shared" si="120"/>
        <v xml:space="preserve"> </v>
      </c>
      <c r="AI150" s="1978" t="str">
        <f t="shared" si="121"/>
        <v xml:space="preserve"> </v>
      </c>
    </row>
    <row r="151" spans="12:35" s="352" customFormat="1" x14ac:dyDescent="0.25">
      <c r="L151" s="1972" t="str">
        <f t="shared" si="98"/>
        <v xml:space="preserve">      </v>
      </c>
      <c r="M151" s="1973" t="str">
        <f t="shared" si="99"/>
        <v xml:space="preserve">      </v>
      </c>
      <c r="N151" s="1974" t="str">
        <f t="shared" si="100"/>
        <v xml:space="preserve">      </v>
      </c>
      <c r="O151" s="1974" t="str">
        <f t="shared" si="101"/>
        <v xml:space="preserve">      </v>
      </c>
      <c r="P151" s="1975" t="str">
        <f t="shared" si="102"/>
        <v xml:space="preserve"> </v>
      </c>
      <c r="Q151" s="1975" t="str">
        <f t="shared" si="103"/>
        <v xml:space="preserve"> </v>
      </c>
      <c r="R151" s="1975" t="str">
        <f t="shared" si="104"/>
        <v xml:space="preserve"> </v>
      </c>
      <c r="S151" s="1975" t="str">
        <f t="shared" si="105"/>
        <v xml:space="preserve"> </v>
      </c>
      <c r="T151" s="1975" t="str">
        <f t="shared" si="106"/>
        <v xml:space="preserve"> </v>
      </c>
      <c r="U151" s="1976" t="str">
        <f t="shared" si="107"/>
        <v xml:space="preserve"> </v>
      </c>
      <c r="V151" s="1976" t="str">
        <f t="shared" si="108"/>
        <v xml:space="preserve"> </v>
      </c>
      <c r="W151" s="1976" t="str">
        <f t="shared" si="109"/>
        <v xml:space="preserve"> </v>
      </c>
      <c r="X151" s="1976" t="str">
        <f t="shared" si="110"/>
        <v xml:space="preserve"> </v>
      </c>
      <c r="Y151" s="1976" t="str">
        <f t="shared" si="111"/>
        <v xml:space="preserve"> </v>
      </c>
      <c r="Z151" s="1977" t="str">
        <f t="shared" si="112"/>
        <v xml:space="preserve"> </v>
      </c>
      <c r="AA151" s="1977" t="str">
        <f t="shared" si="113"/>
        <v xml:space="preserve"> </v>
      </c>
      <c r="AB151" s="1977" t="str">
        <f t="shared" si="114"/>
        <v xml:space="preserve"> </v>
      </c>
      <c r="AC151" s="1977" t="str">
        <f t="shared" si="115"/>
        <v xml:space="preserve"> </v>
      </c>
      <c r="AD151" s="1977" t="str">
        <f t="shared" si="116"/>
        <v xml:space="preserve"> </v>
      </c>
      <c r="AE151" s="1978" t="str">
        <f t="shared" si="117"/>
        <v xml:space="preserve"> </v>
      </c>
      <c r="AF151" s="1978" t="str">
        <f t="shared" si="118"/>
        <v xml:space="preserve"> </v>
      </c>
      <c r="AG151" s="1978" t="str">
        <f t="shared" si="119"/>
        <v xml:space="preserve"> </v>
      </c>
      <c r="AH151" s="1978" t="str">
        <f t="shared" si="120"/>
        <v xml:space="preserve"> </v>
      </c>
      <c r="AI151" s="1978" t="str">
        <f t="shared" si="121"/>
        <v xml:space="preserve"> </v>
      </c>
    </row>
    <row r="152" spans="12:35" s="352" customFormat="1" x14ac:dyDescent="0.25">
      <c r="L152" s="1972" t="str">
        <f t="shared" si="98"/>
        <v xml:space="preserve">      </v>
      </c>
      <c r="M152" s="1973" t="str">
        <f t="shared" si="99"/>
        <v xml:space="preserve">      </v>
      </c>
      <c r="N152" s="1974" t="str">
        <f t="shared" si="100"/>
        <v xml:space="preserve">      </v>
      </c>
      <c r="O152" s="1974" t="str">
        <f t="shared" si="101"/>
        <v xml:space="preserve">      </v>
      </c>
      <c r="P152" s="1975" t="str">
        <f t="shared" si="102"/>
        <v xml:space="preserve"> </v>
      </c>
      <c r="Q152" s="1975" t="str">
        <f t="shared" si="103"/>
        <v xml:space="preserve"> </v>
      </c>
      <c r="R152" s="1975" t="str">
        <f t="shared" si="104"/>
        <v xml:space="preserve"> </v>
      </c>
      <c r="S152" s="1975" t="str">
        <f t="shared" si="105"/>
        <v xml:space="preserve"> </v>
      </c>
      <c r="T152" s="1975" t="str">
        <f t="shared" si="106"/>
        <v xml:space="preserve"> </v>
      </c>
      <c r="U152" s="1976" t="str">
        <f t="shared" si="107"/>
        <v xml:space="preserve"> </v>
      </c>
      <c r="V152" s="1976" t="str">
        <f t="shared" si="108"/>
        <v xml:space="preserve"> </v>
      </c>
      <c r="W152" s="1976" t="str">
        <f t="shared" si="109"/>
        <v xml:space="preserve"> </v>
      </c>
      <c r="X152" s="1976" t="str">
        <f t="shared" si="110"/>
        <v xml:space="preserve"> </v>
      </c>
      <c r="Y152" s="1976" t="str">
        <f t="shared" si="111"/>
        <v xml:space="preserve"> </v>
      </c>
      <c r="Z152" s="1977" t="str">
        <f t="shared" si="112"/>
        <v xml:space="preserve"> </v>
      </c>
      <c r="AA152" s="1977" t="str">
        <f t="shared" si="113"/>
        <v xml:space="preserve"> </v>
      </c>
      <c r="AB152" s="1977" t="str">
        <f t="shared" si="114"/>
        <v xml:space="preserve"> </v>
      </c>
      <c r="AC152" s="1977" t="str">
        <f t="shared" si="115"/>
        <v xml:space="preserve"> </v>
      </c>
      <c r="AD152" s="1977" t="str">
        <f t="shared" si="116"/>
        <v xml:space="preserve"> </v>
      </c>
      <c r="AE152" s="1978" t="str">
        <f t="shared" si="117"/>
        <v xml:space="preserve"> </v>
      </c>
      <c r="AF152" s="1978" t="str">
        <f t="shared" si="118"/>
        <v xml:space="preserve"> </v>
      </c>
      <c r="AG152" s="1978" t="str">
        <f t="shared" si="119"/>
        <v xml:space="preserve"> </v>
      </c>
      <c r="AH152" s="1978" t="str">
        <f t="shared" si="120"/>
        <v xml:space="preserve"> </v>
      </c>
      <c r="AI152" s="1978" t="str">
        <f t="shared" si="121"/>
        <v xml:space="preserve"> </v>
      </c>
    </row>
    <row r="153" spans="12:35" s="352" customFormat="1" x14ac:dyDescent="0.25">
      <c r="L153" s="1972" t="str">
        <f t="shared" si="98"/>
        <v xml:space="preserve">      </v>
      </c>
      <c r="M153" s="1973" t="str">
        <f t="shared" si="99"/>
        <v xml:space="preserve">      </v>
      </c>
      <c r="N153" s="1974" t="str">
        <f t="shared" si="100"/>
        <v xml:space="preserve">      </v>
      </c>
      <c r="O153" s="1974" t="str">
        <f t="shared" si="101"/>
        <v xml:space="preserve">      </v>
      </c>
      <c r="P153" s="1975" t="str">
        <f t="shared" si="102"/>
        <v xml:space="preserve"> </v>
      </c>
      <c r="Q153" s="1975" t="str">
        <f t="shared" si="103"/>
        <v xml:space="preserve"> </v>
      </c>
      <c r="R153" s="1975" t="str">
        <f t="shared" si="104"/>
        <v xml:space="preserve"> </v>
      </c>
      <c r="S153" s="1975" t="str">
        <f t="shared" si="105"/>
        <v xml:space="preserve"> </v>
      </c>
      <c r="T153" s="1975" t="str">
        <f t="shared" si="106"/>
        <v xml:space="preserve"> </v>
      </c>
      <c r="U153" s="1976" t="str">
        <f t="shared" si="107"/>
        <v xml:space="preserve"> </v>
      </c>
      <c r="V153" s="1976" t="str">
        <f t="shared" si="108"/>
        <v xml:space="preserve"> </v>
      </c>
      <c r="W153" s="1976" t="str">
        <f t="shared" si="109"/>
        <v xml:space="preserve"> </v>
      </c>
      <c r="X153" s="1976" t="str">
        <f t="shared" si="110"/>
        <v xml:space="preserve"> </v>
      </c>
      <c r="Y153" s="1976" t="str">
        <f t="shared" si="111"/>
        <v xml:space="preserve"> </v>
      </c>
      <c r="Z153" s="1977" t="str">
        <f t="shared" si="112"/>
        <v xml:space="preserve"> </v>
      </c>
      <c r="AA153" s="1977" t="str">
        <f t="shared" si="113"/>
        <v xml:space="preserve"> </v>
      </c>
      <c r="AB153" s="1977" t="str">
        <f t="shared" si="114"/>
        <v xml:space="preserve"> </v>
      </c>
      <c r="AC153" s="1977" t="str">
        <f t="shared" si="115"/>
        <v xml:space="preserve"> </v>
      </c>
      <c r="AD153" s="1977" t="str">
        <f t="shared" si="116"/>
        <v xml:space="preserve"> </v>
      </c>
      <c r="AE153" s="1978" t="str">
        <f t="shared" si="117"/>
        <v xml:space="preserve"> </v>
      </c>
      <c r="AF153" s="1978" t="str">
        <f t="shared" si="118"/>
        <v xml:space="preserve"> </v>
      </c>
      <c r="AG153" s="1978" t="str">
        <f t="shared" si="119"/>
        <v xml:space="preserve"> </v>
      </c>
      <c r="AH153" s="1978" t="str">
        <f t="shared" si="120"/>
        <v xml:space="preserve"> </v>
      </c>
      <c r="AI153" s="1978" t="str">
        <f t="shared" si="121"/>
        <v xml:space="preserve"> </v>
      </c>
    </row>
    <row r="154" spans="12:35" s="352" customFormat="1" x14ac:dyDescent="0.25">
      <c r="L154" s="1972" t="str">
        <f t="shared" si="98"/>
        <v xml:space="preserve">      </v>
      </c>
      <c r="M154" s="1973" t="str">
        <f t="shared" si="99"/>
        <v xml:space="preserve">      </v>
      </c>
      <c r="N154" s="1974" t="str">
        <f t="shared" si="100"/>
        <v xml:space="preserve">      </v>
      </c>
      <c r="O154" s="1974" t="str">
        <f t="shared" si="101"/>
        <v xml:space="preserve">      </v>
      </c>
      <c r="P154" s="1975" t="str">
        <f t="shared" si="102"/>
        <v xml:space="preserve"> </v>
      </c>
      <c r="Q154" s="1975" t="str">
        <f t="shared" si="103"/>
        <v xml:space="preserve"> </v>
      </c>
      <c r="R154" s="1975" t="str">
        <f t="shared" si="104"/>
        <v xml:space="preserve"> </v>
      </c>
      <c r="S154" s="1975" t="str">
        <f t="shared" si="105"/>
        <v xml:space="preserve"> </v>
      </c>
      <c r="T154" s="1975" t="str">
        <f t="shared" si="106"/>
        <v xml:space="preserve"> </v>
      </c>
      <c r="U154" s="1976" t="str">
        <f t="shared" si="107"/>
        <v xml:space="preserve"> </v>
      </c>
      <c r="V154" s="1976" t="str">
        <f t="shared" si="108"/>
        <v xml:space="preserve"> </v>
      </c>
      <c r="W154" s="1976" t="str">
        <f t="shared" si="109"/>
        <v xml:space="preserve"> </v>
      </c>
      <c r="X154" s="1976" t="str">
        <f t="shared" si="110"/>
        <v xml:space="preserve"> </v>
      </c>
      <c r="Y154" s="1976" t="str">
        <f t="shared" si="111"/>
        <v xml:space="preserve"> </v>
      </c>
      <c r="Z154" s="1977" t="str">
        <f t="shared" si="112"/>
        <v xml:space="preserve"> </v>
      </c>
      <c r="AA154" s="1977" t="str">
        <f t="shared" si="113"/>
        <v xml:space="preserve"> </v>
      </c>
      <c r="AB154" s="1977" t="str">
        <f t="shared" si="114"/>
        <v xml:space="preserve"> </v>
      </c>
      <c r="AC154" s="1977" t="str">
        <f t="shared" si="115"/>
        <v xml:space="preserve"> </v>
      </c>
      <c r="AD154" s="1977" t="str">
        <f t="shared" si="116"/>
        <v xml:space="preserve"> </v>
      </c>
      <c r="AE154" s="1978" t="str">
        <f t="shared" si="117"/>
        <v xml:space="preserve"> </v>
      </c>
      <c r="AF154" s="1978" t="str">
        <f t="shared" si="118"/>
        <v xml:space="preserve"> </v>
      </c>
      <c r="AG154" s="1978" t="str">
        <f t="shared" si="119"/>
        <v xml:space="preserve"> </v>
      </c>
      <c r="AH154" s="1978" t="str">
        <f t="shared" si="120"/>
        <v xml:space="preserve"> </v>
      </c>
      <c r="AI154" s="1978" t="str">
        <f t="shared" si="121"/>
        <v xml:space="preserve"> </v>
      </c>
    </row>
    <row r="155" spans="12:35" s="352" customFormat="1" x14ac:dyDescent="0.25">
      <c r="L155" s="1972" t="str">
        <f t="shared" si="98"/>
        <v xml:space="preserve">      </v>
      </c>
      <c r="M155" s="1973" t="str">
        <f t="shared" si="99"/>
        <v xml:space="preserve">      </v>
      </c>
      <c r="N155" s="1974" t="str">
        <f t="shared" si="100"/>
        <v xml:space="preserve">      </v>
      </c>
      <c r="O155" s="1974" t="str">
        <f t="shared" si="101"/>
        <v xml:space="preserve">      </v>
      </c>
      <c r="P155" s="1975" t="str">
        <f t="shared" si="102"/>
        <v xml:space="preserve"> </v>
      </c>
      <c r="Q155" s="1975" t="str">
        <f t="shared" si="103"/>
        <v xml:space="preserve"> </v>
      </c>
      <c r="R155" s="1975" t="str">
        <f t="shared" si="104"/>
        <v xml:space="preserve"> </v>
      </c>
      <c r="S155" s="1975" t="str">
        <f t="shared" si="105"/>
        <v xml:space="preserve"> </v>
      </c>
      <c r="T155" s="1975" t="str">
        <f t="shared" si="106"/>
        <v xml:space="preserve"> </v>
      </c>
      <c r="U155" s="1976" t="str">
        <f t="shared" si="107"/>
        <v xml:space="preserve"> </v>
      </c>
      <c r="V155" s="1976" t="str">
        <f t="shared" si="108"/>
        <v xml:space="preserve"> </v>
      </c>
      <c r="W155" s="1976" t="str">
        <f t="shared" si="109"/>
        <v xml:space="preserve"> </v>
      </c>
      <c r="X155" s="1976" t="str">
        <f t="shared" si="110"/>
        <v xml:space="preserve"> </v>
      </c>
      <c r="Y155" s="1976" t="str">
        <f t="shared" si="111"/>
        <v xml:space="preserve"> </v>
      </c>
      <c r="Z155" s="1977" t="str">
        <f t="shared" si="112"/>
        <v xml:space="preserve"> </v>
      </c>
      <c r="AA155" s="1977" t="str">
        <f t="shared" si="113"/>
        <v xml:space="preserve"> </v>
      </c>
      <c r="AB155" s="1977" t="str">
        <f t="shared" si="114"/>
        <v xml:space="preserve"> </v>
      </c>
      <c r="AC155" s="1977" t="str">
        <f t="shared" si="115"/>
        <v xml:space="preserve"> </v>
      </c>
      <c r="AD155" s="1977" t="str">
        <f t="shared" si="116"/>
        <v xml:space="preserve"> </v>
      </c>
      <c r="AE155" s="1978" t="str">
        <f t="shared" si="117"/>
        <v xml:space="preserve"> </v>
      </c>
      <c r="AF155" s="1978" t="str">
        <f t="shared" si="118"/>
        <v xml:space="preserve"> </v>
      </c>
      <c r="AG155" s="1978" t="str">
        <f t="shared" si="119"/>
        <v xml:space="preserve"> </v>
      </c>
      <c r="AH155" s="1978" t="str">
        <f t="shared" si="120"/>
        <v xml:space="preserve"> </v>
      </c>
      <c r="AI155" s="1978" t="str">
        <f t="shared" si="121"/>
        <v xml:space="preserve"> </v>
      </c>
    </row>
    <row r="156" spans="12:35" s="352" customFormat="1" x14ac:dyDescent="0.25">
      <c r="L156" s="1972" t="str">
        <f t="shared" si="98"/>
        <v xml:space="preserve">      </v>
      </c>
      <c r="M156" s="1973" t="str">
        <f t="shared" si="99"/>
        <v xml:space="preserve">      </v>
      </c>
      <c r="N156" s="1974" t="str">
        <f t="shared" si="100"/>
        <v xml:space="preserve">      </v>
      </c>
      <c r="O156" s="1974" t="str">
        <f t="shared" si="101"/>
        <v xml:space="preserve">      </v>
      </c>
      <c r="P156" s="1975" t="str">
        <f t="shared" si="102"/>
        <v xml:space="preserve"> </v>
      </c>
      <c r="Q156" s="1975" t="str">
        <f t="shared" si="103"/>
        <v xml:space="preserve"> </v>
      </c>
      <c r="R156" s="1975" t="str">
        <f t="shared" si="104"/>
        <v xml:space="preserve"> </v>
      </c>
      <c r="S156" s="1975" t="str">
        <f t="shared" si="105"/>
        <v xml:space="preserve"> </v>
      </c>
      <c r="T156" s="1975" t="str">
        <f t="shared" si="106"/>
        <v xml:space="preserve"> </v>
      </c>
      <c r="U156" s="1976" t="str">
        <f t="shared" si="107"/>
        <v xml:space="preserve"> </v>
      </c>
      <c r="V156" s="1976" t="str">
        <f t="shared" si="108"/>
        <v xml:space="preserve"> </v>
      </c>
      <c r="W156" s="1976" t="str">
        <f t="shared" si="109"/>
        <v xml:space="preserve"> </v>
      </c>
      <c r="X156" s="1976" t="str">
        <f t="shared" si="110"/>
        <v xml:space="preserve"> </v>
      </c>
      <c r="Y156" s="1976" t="str">
        <f t="shared" si="111"/>
        <v xml:space="preserve"> </v>
      </c>
      <c r="Z156" s="1977" t="str">
        <f t="shared" si="112"/>
        <v xml:space="preserve"> </v>
      </c>
      <c r="AA156" s="1977" t="str">
        <f t="shared" si="113"/>
        <v xml:space="preserve"> </v>
      </c>
      <c r="AB156" s="1977" t="str">
        <f t="shared" si="114"/>
        <v xml:space="preserve"> </v>
      </c>
      <c r="AC156" s="1977" t="str">
        <f t="shared" si="115"/>
        <v xml:space="preserve"> </v>
      </c>
      <c r="AD156" s="1977" t="str">
        <f t="shared" si="116"/>
        <v xml:space="preserve"> </v>
      </c>
      <c r="AE156" s="1978" t="str">
        <f t="shared" si="117"/>
        <v xml:space="preserve"> </v>
      </c>
      <c r="AF156" s="1978" t="str">
        <f t="shared" si="118"/>
        <v xml:space="preserve"> </v>
      </c>
      <c r="AG156" s="1978" t="str">
        <f t="shared" si="119"/>
        <v xml:space="preserve"> </v>
      </c>
      <c r="AH156" s="1978" t="str">
        <f t="shared" si="120"/>
        <v xml:space="preserve"> </v>
      </c>
      <c r="AI156" s="1978" t="str">
        <f t="shared" si="121"/>
        <v xml:space="preserve"> </v>
      </c>
    </row>
    <row r="157" spans="12:35" s="352" customFormat="1" x14ac:dyDescent="0.25">
      <c r="L157" s="1972" t="str">
        <f t="shared" si="98"/>
        <v xml:space="preserve">      </v>
      </c>
      <c r="M157" s="1973" t="str">
        <f t="shared" si="99"/>
        <v xml:space="preserve">      </v>
      </c>
      <c r="N157" s="1974" t="str">
        <f t="shared" si="100"/>
        <v xml:space="preserve">      </v>
      </c>
      <c r="O157" s="1974" t="str">
        <f t="shared" si="101"/>
        <v xml:space="preserve">      </v>
      </c>
      <c r="P157" s="1975" t="str">
        <f t="shared" si="102"/>
        <v xml:space="preserve"> </v>
      </c>
      <c r="Q157" s="1975" t="str">
        <f t="shared" si="103"/>
        <v xml:space="preserve"> </v>
      </c>
      <c r="R157" s="1975" t="str">
        <f t="shared" si="104"/>
        <v xml:space="preserve"> </v>
      </c>
      <c r="S157" s="1975" t="str">
        <f t="shared" si="105"/>
        <v xml:space="preserve"> </v>
      </c>
      <c r="T157" s="1975" t="str">
        <f t="shared" si="106"/>
        <v xml:space="preserve"> </v>
      </c>
      <c r="U157" s="1976" t="str">
        <f t="shared" si="107"/>
        <v xml:space="preserve"> </v>
      </c>
      <c r="V157" s="1976" t="str">
        <f t="shared" si="108"/>
        <v xml:space="preserve"> </v>
      </c>
      <c r="W157" s="1976" t="str">
        <f t="shared" si="109"/>
        <v xml:space="preserve"> </v>
      </c>
      <c r="X157" s="1976" t="str">
        <f t="shared" si="110"/>
        <v xml:space="preserve"> </v>
      </c>
      <c r="Y157" s="1976" t="str">
        <f t="shared" si="111"/>
        <v xml:space="preserve"> </v>
      </c>
      <c r="Z157" s="1977" t="str">
        <f t="shared" si="112"/>
        <v xml:space="preserve"> </v>
      </c>
      <c r="AA157" s="1977" t="str">
        <f t="shared" si="113"/>
        <v xml:space="preserve"> </v>
      </c>
      <c r="AB157" s="1977" t="str">
        <f t="shared" si="114"/>
        <v xml:space="preserve"> </v>
      </c>
      <c r="AC157" s="1977" t="str">
        <f t="shared" si="115"/>
        <v xml:space="preserve"> </v>
      </c>
      <c r="AD157" s="1977" t="str">
        <f t="shared" si="116"/>
        <v xml:space="preserve"> </v>
      </c>
      <c r="AE157" s="1978" t="str">
        <f t="shared" si="117"/>
        <v xml:space="preserve"> </v>
      </c>
      <c r="AF157" s="1978" t="str">
        <f t="shared" si="118"/>
        <v xml:space="preserve"> </v>
      </c>
      <c r="AG157" s="1978" t="str">
        <f t="shared" si="119"/>
        <v xml:space="preserve"> </v>
      </c>
      <c r="AH157" s="1978" t="str">
        <f t="shared" si="120"/>
        <v xml:space="preserve"> </v>
      </c>
      <c r="AI157" s="1978" t="str">
        <f t="shared" si="121"/>
        <v xml:space="preserve"> </v>
      </c>
    </row>
    <row r="158" spans="12:35" s="352" customFormat="1" x14ac:dyDescent="0.25">
      <c r="L158" s="1972" t="str">
        <f t="shared" si="98"/>
        <v xml:space="preserve">      </v>
      </c>
      <c r="M158" s="1973" t="str">
        <f t="shared" si="99"/>
        <v xml:space="preserve">      </v>
      </c>
      <c r="N158" s="1974" t="str">
        <f t="shared" si="100"/>
        <v xml:space="preserve">      </v>
      </c>
      <c r="O158" s="1974" t="str">
        <f t="shared" si="101"/>
        <v xml:space="preserve">      </v>
      </c>
      <c r="P158" s="1975" t="str">
        <f t="shared" si="102"/>
        <v xml:space="preserve"> </v>
      </c>
      <c r="Q158" s="1975" t="str">
        <f t="shared" si="103"/>
        <v xml:space="preserve"> </v>
      </c>
      <c r="R158" s="1975" t="str">
        <f t="shared" si="104"/>
        <v xml:space="preserve"> </v>
      </c>
      <c r="S158" s="1975" t="str">
        <f t="shared" si="105"/>
        <v xml:space="preserve"> </v>
      </c>
      <c r="T158" s="1975" t="str">
        <f t="shared" si="106"/>
        <v xml:space="preserve"> </v>
      </c>
      <c r="U158" s="1976" t="str">
        <f t="shared" si="107"/>
        <v xml:space="preserve"> </v>
      </c>
      <c r="V158" s="1976" t="str">
        <f t="shared" si="108"/>
        <v xml:space="preserve"> </v>
      </c>
      <c r="W158" s="1976" t="str">
        <f t="shared" si="109"/>
        <v xml:space="preserve"> </v>
      </c>
      <c r="X158" s="1976" t="str">
        <f t="shared" si="110"/>
        <v xml:space="preserve"> </v>
      </c>
      <c r="Y158" s="1976" t="str">
        <f t="shared" si="111"/>
        <v xml:space="preserve"> </v>
      </c>
      <c r="Z158" s="1977" t="str">
        <f t="shared" si="112"/>
        <v xml:space="preserve"> </v>
      </c>
      <c r="AA158" s="1977" t="str">
        <f t="shared" si="113"/>
        <v xml:space="preserve"> </v>
      </c>
      <c r="AB158" s="1977" t="str">
        <f t="shared" si="114"/>
        <v xml:space="preserve"> </v>
      </c>
      <c r="AC158" s="1977" t="str">
        <f t="shared" si="115"/>
        <v xml:space="preserve"> </v>
      </c>
      <c r="AD158" s="1977" t="str">
        <f t="shared" si="116"/>
        <v xml:space="preserve"> </v>
      </c>
      <c r="AE158" s="1978" t="str">
        <f t="shared" si="117"/>
        <v xml:space="preserve"> </v>
      </c>
      <c r="AF158" s="1978" t="str">
        <f t="shared" si="118"/>
        <v xml:space="preserve"> </v>
      </c>
      <c r="AG158" s="1978" t="str">
        <f t="shared" si="119"/>
        <v xml:space="preserve"> </v>
      </c>
      <c r="AH158" s="1978" t="str">
        <f t="shared" si="120"/>
        <v xml:space="preserve"> </v>
      </c>
      <c r="AI158" s="1978" t="str">
        <f t="shared" si="121"/>
        <v xml:space="preserve"> </v>
      </c>
    </row>
    <row r="159" spans="12:35" s="352" customFormat="1" x14ac:dyDescent="0.25">
      <c r="L159" s="1972" t="str">
        <f t="shared" si="98"/>
        <v xml:space="preserve">      </v>
      </c>
      <c r="M159" s="1973" t="str">
        <f t="shared" si="99"/>
        <v xml:space="preserve">      </v>
      </c>
      <c r="N159" s="1974" t="str">
        <f t="shared" si="100"/>
        <v xml:space="preserve">      </v>
      </c>
      <c r="O159" s="1974" t="str">
        <f t="shared" si="101"/>
        <v xml:space="preserve">      </v>
      </c>
      <c r="P159" s="1975" t="str">
        <f t="shared" si="102"/>
        <v xml:space="preserve"> </v>
      </c>
      <c r="Q159" s="1975" t="str">
        <f t="shared" si="103"/>
        <v xml:space="preserve"> </v>
      </c>
      <c r="R159" s="1975" t="str">
        <f t="shared" si="104"/>
        <v xml:space="preserve"> </v>
      </c>
      <c r="S159" s="1975" t="str">
        <f t="shared" si="105"/>
        <v xml:space="preserve"> </v>
      </c>
      <c r="T159" s="1975" t="str">
        <f t="shared" si="106"/>
        <v xml:space="preserve"> </v>
      </c>
      <c r="U159" s="1976" t="str">
        <f t="shared" si="107"/>
        <v xml:space="preserve"> </v>
      </c>
      <c r="V159" s="1976" t="str">
        <f t="shared" si="108"/>
        <v xml:space="preserve"> </v>
      </c>
      <c r="W159" s="1976" t="str">
        <f t="shared" si="109"/>
        <v xml:space="preserve"> </v>
      </c>
      <c r="X159" s="1976" t="str">
        <f t="shared" si="110"/>
        <v xml:space="preserve"> </v>
      </c>
      <c r="Y159" s="1976" t="str">
        <f t="shared" si="111"/>
        <v xml:space="preserve"> </v>
      </c>
      <c r="Z159" s="1977" t="str">
        <f t="shared" si="112"/>
        <v xml:space="preserve"> </v>
      </c>
      <c r="AA159" s="1977" t="str">
        <f t="shared" si="113"/>
        <v xml:space="preserve"> </v>
      </c>
      <c r="AB159" s="1977" t="str">
        <f t="shared" si="114"/>
        <v xml:space="preserve"> </v>
      </c>
      <c r="AC159" s="1977" t="str">
        <f t="shared" si="115"/>
        <v xml:space="preserve"> </v>
      </c>
      <c r="AD159" s="1977" t="str">
        <f t="shared" si="116"/>
        <v xml:space="preserve"> </v>
      </c>
      <c r="AE159" s="1978" t="str">
        <f t="shared" si="117"/>
        <v xml:space="preserve"> </v>
      </c>
      <c r="AF159" s="1978" t="str">
        <f t="shared" si="118"/>
        <v xml:space="preserve"> </v>
      </c>
      <c r="AG159" s="1978" t="str">
        <f t="shared" si="119"/>
        <v xml:space="preserve"> </v>
      </c>
      <c r="AH159" s="1978" t="str">
        <f t="shared" si="120"/>
        <v xml:space="preserve"> </v>
      </c>
      <c r="AI159" s="1978" t="str">
        <f t="shared" si="121"/>
        <v xml:space="preserve"> </v>
      </c>
    </row>
    <row r="160" spans="12:35" s="352" customFormat="1" x14ac:dyDescent="0.25">
      <c r="L160" s="1972" t="str">
        <f t="shared" si="98"/>
        <v xml:space="preserve">      </v>
      </c>
      <c r="M160" s="1973" t="str">
        <f t="shared" si="99"/>
        <v xml:space="preserve">      </v>
      </c>
      <c r="N160" s="1974" t="str">
        <f t="shared" si="100"/>
        <v xml:space="preserve">      </v>
      </c>
      <c r="O160" s="1974" t="str">
        <f t="shared" si="101"/>
        <v xml:space="preserve">      </v>
      </c>
      <c r="P160" s="1975" t="str">
        <f t="shared" si="102"/>
        <v xml:space="preserve"> </v>
      </c>
      <c r="Q160" s="1975" t="str">
        <f t="shared" si="103"/>
        <v xml:space="preserve"> </v>
      </c>
      <c r="R160" s="1975" t="str">
        <f t="shared" si="104"/>
        <v xml:space="preserve"> </v>
      </c>
      <c r="S160" s="1975" t="str">
        <f t="shared" si="105"/>
        <v xml:space="preserve"> </v>
      </c>
      <c r="T160" s="1975" t="str">
        <f t="shared" si="106"/>
        <v xml:space="preserve"> </v>
      </c>
      <c r="U160" s="1976" t="str">
        <f t="shared" si="107"/>
        <v xml:space="preserve"> </v>
      </c>
      <c r="V160" s="1976" t="str">
        <f t="shared" si="108"/>
        <v xml:space="preserve"> </v>
      </c>
      <c r="W160" s="1976" t="str">
        <f t="shared" si="109"/>
        <v xml:space="preserve"> </v>
      </c>
      <c r="X160" s="1976" t="str">
        <f t="shared" si="110"/>
        <v xml:space="preserve"> </v>
      </c>
      <c r="Y160" s="1976" t="str">
        <f t="shared" si="111"/>
        <v xml:space="preserve"> </v>
      </c>
      <c r="Z160" s="1977" t="str">
        <f t="shared" si="112"/>
        <v xml:space="preserve"> </v>
      </c>
      <c r="AA160" s="1977" t="str">
        <f t="shared" si="113"/>
        <v xml:space="preserve"> </v>
      </c>
      <c r="AB160" s="1977" t="str">
        <f t="shared" si="114"/>
        <v xml:space="preserve"> </v>
      </c>
      <c r="AC160" s="1977" t="str">
        <f t="shared" si="115"/>
        <v xml:space="preserve"> </v>
      </c>
      <c r="AD160" s="1977" t="str">
        <f t="shared" si="116"/>
        <v xml:space="preserve"> </v>
      </c>
      <c r="AE160" s="1978" t="str">
        <f t="shared" si="117"/>
        <v xml:space="preserve"> </v>
      </c>
      <c r="AF160" s="1978" t="str">
        <f t="shared" si="118"/>
        <v xml:space="preserve"> </v>
      </c>
      <c r="AG160" s="1978" t="str">
        <f t="shared" si="119"/>
        <v xml:space="preserve"> </v>
      </c>
      <c r="AH160" s="1978" t="str">
        <f t="shared" si="120"/>
        <v xml:space="preserve"> </v>
      </c>
      <c r="AI160" s="1978" t="str">
        <f t="shared" si="121"/>
        <v xml:space="preserve"> </v>
      </c>
    </row>
    <row r="161" spans="12:35" s="352" customFormat="1" x14ac:dyDescent="0.25">
      <c r="L161" s="1972" t="str">
        <f t="shared" si="98"/>
        <v xml:space="preserve">      </v>
      </c>
      <c r="M161" s="1973" t="str">
        <f t="shared" si="99"/>
        <v xml:space="preserve">      </v>
      </c>
      <c r="N161" s="1974" t="str">
        <f t="shared" si="100"/>
        <v xml:space="preserve">      </v>
      </c>
      <c r="O161" s="1974" t="str">
        <f t="shared" si="101"/>
        <v xml:space="preserve">      </v>
      </c>
      <c r="P161" s="1975" t="str">
        <f t="shared" si="102"/>
        <v xml:space="preserve"> </v>
      </c>
      <c r="Q161" s="1975" t="str">
        <f t="shared" si="103"/>
        <v xml:space="preserve"> </v>
      </c>
      <c r="R161" s="1975" t="str">
        <f t="shared" si="104"/>
        <v xml:space="preserve"> </v>
      </c>
      <c r="S161" s="1975" t="str">
        <f t="shared" si="105"/>
        <v xml:space="preserve"> </v>
      </c>
      <c r="T161" s="1975" t="str">
        <f t="shared" si="106"/>
        <v xml:space="preserve"> </v>
      </c>
      <c r="U161" s="1976" t="str">
        <f t="shared" si="107"/>
        <v xml:space="preserve"> </v>
      </c>
      <c r="V161" s="1976" t="str">
        <f t="shared" si="108"/>
        <v xml:space="preserve"> </v>
      </c>
      <c r="W161" s="1976" t="str">
        <f t="shared" si="109"/>
        <v xml:space="preserve"> </v>
      </c>
      <c r="X161" s="1976" t="str">
        <f t="shared" si="110"/>
        <v xml:space="preserve"> </v>
      </c>
      <c r="Y161" s="1976" t="str">
        <f t="shared" si="111"/>
        <v xml:space="preserve"> </v>
      </c>
      <c r="Z161" s="1977" t="str">
        <f t="shared" si="112"/>
        <v xml:space="preserve"> </v>
      </c>
      <c r="AA161" s="1977" t="str">
        <f t="shared" si="113"/>
        <v xml:space="preserve"> </v>
      </c>
      <c r="AB161" s="1977" t="str">
        <f t="shared" si="114"/>
        <v xml:space="preserve"> </v>
      </c>
      <c r="AC161" s="1977" t="str">
        <f t="shared" si="115"/>
        <v xml:space="preserve"> </v>
      </c>
      <c r="AD161" s="1977" t="str">
        <f t="shared" si="116"/>
        <v xml:space="preserve"> </v>
      </c>
      <c r="AE161" s="1978" t="str">
        <f t="shared" si="117"/>
        <v xml:space="preserve"> </v>
      </c>
      <c r="AF161" s="1978" t="str">
        <f t="shared" si="118"/>
        <v xml:space="preserve"> </v>
      </c>
      <c r="AG161" s="1978" t="str">
        <f t="shared" si="119"/>
        <v xml:space="preserve"> </v>
      </c>
      <c r="AH161" s="1978" t="str">
        <f t="shared" si="120"/>
        <v xml:space="preserve"> </v>
      </c>
      <c r="AI161" s="1978" t="str">
        <f t="shared" si="121"/>
        <v xml:space="preserve"> </v>
      </c>
    </row>
    <row r="162" spans="12:35" s="352" customFormat="1" x14ac:dyDescent="0.25">
      <c r="L162" s="1972" t="str">
        <f t="shared" si="98"/>
        <v xml:space="preserve">      </v>
      </c>
      <c r="M162" s="1973" t="str">
        <f t="shared" si="99"/>
        <v xml:space="preserve">      </v>
      </c>
      <c r="N162" s="1974" t="str">
        <f t="shared" si="100"/>
        <v xml:space="preserve">      </v>
      </c>
      <c r="O162" s="1974" t="str">
        <f t="shared" si="101"/>
        <v xml:space="preserve">      </v>
      </c>
      <c r="P162" s="1975" t="str">
        <f t="shared" si="102"/>
        <v xml:space="preserve"> </v>
      </c>
      <c r="Q162" s="1975" t="str">
        <f t="shared" si="103"/>
        <v xml:space="preserve"> </v>
      </c>
      <c r="R162" s="1975" t="str">
        <f t="shared" si="104"/>
        <v xml:space="preserve"> </v>
      </c>
      <c r="S162" s="1975" t="str">
        <f t="shared" si="105"/>
        <v xml:space="preserve"> </v>
      </c>
      <c r="T162" s="1975" t="str">
        <f t="shared" si="106"/>
        <v xml:space="preserve"> </v>
      </c>
      <c r="U162" s="1976" t="str">
        <f t="shared" si="107"/>
        <v xml:space="preserve"> </v>
      </c>
      <c r="V162" s="1976" t="str">
        <f t="shared" si="108"/>
        <v xml:space="preserve"> </v>
      </c>
      <c r="W162" s="1976" t="str">
        <f t="shared" si="109"/>
        <v xml:space="preserve"> </v>
      </c>
      <c r="X162" s="1976" t="str">
        <f t="shared" si="110"/>
        <v xml:space="preserve"> </v>
      </c>
      <c r="Y162" s="1976" t="str">
        <f t="shared" si="111"/>
        <v xml:space="preserve"> </v>
      </c>
      <c r="Z162" s="1977" t="str">
        <f t="shared" si="112"/>
        <v xml:space="preserve"> </v>
      </c>
      <c r="AA162" s="1977" t="str">
        <f t="shared" si="113"/>
        <v xml:space="preserve"> </v>
      </c>
      <c r="AB162" s="1977" t="str">
        <f t="shared" si="114"/>
        <v xml:space="preserve"> </v>
      </c>
      <c r="AC162" s="1977" t="str">
        <f t="shared" si="115"/>
        <v xml:space="preserve"> </v>
      </c>
      <c r="AD162" s="1977" t="str">
        <f t="shared" si="116"/>
        <v xml:space="preserve"> </v>
      </c>
      <c r="AE162" s="1978" t="str">
        <f t="shared" si="117"/>
        <v xml:space="preserve"> </v>
      </c>
      <c r="AF162" s="1978" t="str">
        <f t="shared" si="118"/>
        <v xml:space="preserve"> </v>
      </c>
      <c r="AG162" s="1978" t="str">
        <f t="shared" si="119"/>
        <v xml:space="preserve"> </v>
      </c>
      <c r="AH162" s="1978" t="str">
        <f t="shared" si="120"/>
        <v xml:space="preserve"> </v>
      </c>
      <c r="AI162" s="1978" t="str">
        <f t="shared" si="121"/>
        <v xml:space="preserve"> </v>
      </c>
    </row>
    <row r="163" spans="12:35" s="352" customFormat="1" x14ac:dyDescent="0.25">
      <c r="L163" s="1972" t="str">
        <f t="shared" si="98"/>
        <v xml:space="preserve">      </v>
      </c>
      <c r="M163" s="1973" t="str">
        <f t="shared" si="99"/>
        <v xml:space="preserve">      </v>
      </c>
      <c r="N163" s="1974" t="str">
        <f t="shared" si="100"/>
        <v xml:space="preserve">      </v>
      </c>
      <c r="O163" s="1974" t="str">
        <f t="shared" si="101"/>
        <v xml:space="preserve">      </v>
      </c>
      <c r="P163" s="1975" t="str">
        <f t="shared" si="102"/>
        <v xml:space="preserve"> </v>
      </c>
      <c r="Q163" s="1975" t="str">
        <f t="shared" si="103"/>
        <v xml:space="preserve"> </v>
      </c>
      <c r="R163" s="1975" t="str">
        <f t="shared" si="104"/>
        <v xml:space="preserve"> </v>
      </c>
      <c r="S163" s="1975" t="str">
        <f t="shared" si="105"/>
        <v xml:space="preserve"> </v>
      </c>
      <c r="T163" s="1975" t="str">
        <f t="shared" si="106"/>
        <v xml:space="preserve"> </v>
      </c>
      <c r="U163" s="1976" t="str">
        <f t="shared" si="107"/>
        <v xml:space="preserve"> </v>
      </c>
      <c r="V163" s="1976" t="str">
        <f t="shared" si="108"/>
        <v xml:space="preserve"> </v>
      </c>
      <c r="W163" s="1976" t="str">
        <f t="shared" si="109"/>
        <v xml:space="preserve"> </v>
      </c>
      <c r="X163" s="1976" t="str">
        <f t="shared" si="110"/>
        <v xml:space="preserve"> </v>
      </c>
      <c r="Y163" s="1976" t="str">
        <f t="shared" si="111"/>
        <v xml:space="preserve"> </v>
      </c>
      <c r="Z163" s="1977" t="str">
        <f t="shared" si="112"/>
        <v xml:space="preserve"> </v>
      </c>
      <c r="AA163" s="1977" t="str">
        <f t="shared" si="113"/>
        <v xml:space="preserve"> </v>
      </c>
      <c r="AB163" s="1977" t="str">
        <f t="shared" si="114"/>
        <v xml:space="preserve"> </v>
      </c>
      <c r="AC163" s="1977" t="str">
        <f t="shared" si="115"/>
        <v xml:space="preserve"> </v>
      </c>
      <c r="AD163" s="1977" t="str">
        <f t="shared" si="116"/>
        <v xml:space="preserve"> </v>
      </c>
      <c r="AE163" s="1978" t="str">
        <f t="shared" si="117"/>
        <v xml:space="preserve"> </v>
      </c>
      <c r="AF163" s="1978" t="str">
        <f t="shared" si="118"/>
        <v xml:space="preserve"> </v>
      </c>
      <c r="AG163" s="1978" t="str">
        <f t="shared" si="119"/>
        <v xml:space="preserve"> </v>
      </c>
      <c r="AH163" s="1978" t="str">
        <f t="shared" si="120"/>
        <v xml:space="preserve"> </v>
      </c>
      <c r="AI163" s="1978" t="str">
        <f t="shared" si="121"/>
        <v xml:space="preserve"> </v>
      </c>
    </row>
    <row r="164" spans="12:35" s="352" customFormat="1" x14ac:dyDescent="0.25">
      <c r="L164" s="1972" t="str">
        <f t="shared" si="98"/>
        <v xml:space="preserve">      </v>
      </c>
      <c r="M164" s="1973" t="str">
        <f t="shared" si="99"/>
        <v xml:space="preserve">      </v>
      </c>
      <c r="N164" s="1974" t="str">
        <f t="shared" si="100"/>
        <v xml:space="preserve">      </v>
      </c>
      <c r="O164" s="1974" t="str">
        <f t="shared" si="101"/>
        <v xml:space="preserve">      </v>
      </c>
      <c r="P164" s="1975" t="str">
        <f t="shared" si="102"/>
        <v xml:space="preserve"> </v>
      </c>
      <c r="Q164" s="1975" t="str">
        <f t="shared" si="103"/>
        <v xml:space="preserve"> </v>
      </c>
      <c r="R164" s="1975" t="str">
        <f t="shared" si="104"/>
        <v xml:space="preserve"> </v>
      </c>
      <c r="S164" s="1975" t="str">
        <f t="shared" si="105"/>
        <v xml:space="preserve"> </v>
      </c>
      <c r="T164" s="1975" t="str">
        <f t="shared" si="106"/>
        <v xml:space="preserve"> </v>
      </c>
      <c r="U164" s="1976" t="str">
        <f t="shared" si="107"/>
        <v xml:space="preserve"> </v>
      </c>
      <c r="V164" s="1976" t="str">
        <f t="shared" si="108"/>
        <v xml:space="preserve"> </v>
      </c>
      <c r="W164" s="1976" t="str">
        <f t="shared" si="109"/>
        <v xml:space="preserve"> </v>
      </c>
      <c r="X164" s="1976" t="str">
        <f t="shared" si="110"/>
        <v xml:space="preserve"> </v>
      </c>
      <c r="Y164" s="1976" t="str">
        <f t="shared" si="111"/>
        <v xml:space="preserve"> </v>
      </c>
      <c r="Z164" s="1977" t="str">
        <f t="shared" si="112"/>
        <v xml:space="preserve"> </v>
      </c>
      <c r="AA164" s="1977" t="str">
        <f t="shared" si="113"/>
        <v xml:space="preserve"> </v>
      </c>
      <c r="AB164" s="1977" t="str">
        <f t="shared" si="114"/>
        <v xml:space="preserve"> </v>
      </c>
      <c r="AC164" s="1977" t="str">
        <f t="shared" si="115"/>
        <v xml:space="preserve"> </v>
      </c>
      <c r="AD164" s="1977" t="str">
        <f t="shared" si="116"/>
        <v xml:space="preserve"> </v>
      </c>
      <c r="AE164" s="1978" t="str">
        <f t="shared" si="117"/>
        <v xml:space="preserve"> </v>
      </c>
      <c r="AF164" s="1978" t="str">
        <f t="shared" si="118"/>
        <v xml:space="preserve"> </v>
      </c>
      <c r="AG164" s="1978" t="str">
        <f t="shared" si="119"/>
        <v xml:space="preserve"> </v>
      </c>
      <c r="AH164" s="1978" t="str">
        <f t="shared" si="120"/>
        <v xml:space="preserve"> </v>
      </c>
      <c r="AI164" s="1978" t="str">
        <f t="shared" si="121"/>
        <v xml:space="preserve"> </v>
      </c>
    </row>
    <row r="165" spans="12:35" s="352" customFormat="1" x14ac:dyDescent="0.25">
      <c r="L165" s="1972" t="str">
        <f t="shared" si="98"/>
        <v xml:space="preserve">      </v>
      </c>
      <c r="M165" s="1973" t="str">
        <f t="shared" si="99"/>
        <v xml:space="preserve">      </v>
      </c>
      <c r="N165" s="1974" t="str">
        <f t="shared" si="100"/>
        <v xml:space="preserve">      </v>
      </c>
      <c r="O165" s="1974" t="str">
        <f t="shared" si="101"/>
        <v xml:space="preserve">      </v>
      </c>
      <c r="P165" s="1975" t="str">
        <f t="shared" si="102"/>
        <v xml:space="preserve"> </v>
      </c>
      <c r="Q165" s="1975" t="str">
        <f t="shared" si="103"/>
        <v xml:space="preserve"> </v>
      </c>
      <c r="R165" s="1975" t="str">
        <f t="shared" si="104"/>
        <v xml:space="preserve"> </v>
      </c>
      <c r="S165" s="1975" t="str">
        <f t="shared" si="105"/>
        <v xml:space="preserve"> </v>
      </c>
      <c r="T165" s="1975" t="str">
        <f t="shared" si="106"/>
        <v xml:space="preserve"> </v>
      </c>
      <c r="U165" s="1976" t="str">
        <f t="shared" si="107"/>
        <v xml:space="preserve"> </v>
      </c>
      <c r="V165" s="1976" t="str">
        <f t="shared" si="108"/>
        <v xml:space="preserve"> </v>
      </c>
      <c r="W165" s="1976" t="str">
        <f t="shared" si="109"/>
        <v xml:space="preserve"> </v>
      </c>
      <c r="X165" s="1976" t="str">
        <f t="shared" si="110"/>
        <v xml:space="preserve"> </v>
      </c>
      <c r="Y165" s="1976" t="str">
        <f t="shared" si="111"/>
        <v xml:space="preserve"> </v>
      </c>
      <c r="Z165" s="1977" t="str">
        <f t="shared" si="112"/>
        <v xml:space="preserve"> </v>
      </c>
      <c r="AA165" s="1977" t="str">
        <f t="shared" si="113"/>
        <v xml:space="preserve"> </v>
      </c>
      <c r="AB165" s="1977" t="str">
        <f t="shared" si="114"/>
        <v xml:space="preserve"> </v>
      </c>
      <c r="AC165" s="1977" t="str">
        <f t="shared" si="115"/>
        <v xml:space="preserve"> </v>
      </c>
      <c r="AD165" s="1977" t="str">
        <f t="shared" si="116"/>
        <v xml:space="preserve"> </v>
      </c>
      <c r="AE165" s="1978" t="str">
        <f t="shared" si="117"/>
        <v xml:space="preserve"> </v>
      </c>
      <c r="AF165" s="1978" t="str">
        <f t="shared" si="118"/>
        <v xml:space="preserve"> </v>
      </c>
      <c r="AG165" s="1978" t="str">
        <f t="shared" si="119"/>
        <v xml:space="preserve"> </v>
      </c>
      <c r="AH165" s="1978" t="str">
        <f t="shared" si="120"/>
        <v xml:space="preserve"> </v>
      </c>
      <c r="AI165" s="1978" t="str">
        <f t="shared" si="121"/>
        <v xml:space="preserve"> </v>
      </c>
    </row>
    <row r="166" spans="12:35" s="352" customFormat="1" x14ac:dyDescent="0.25">
      <c r="L166" s="1972" t="str">
        <f t="shared" si="98"/>
        <v xml:space="preserve">      </v>
      </c>
      <c r="M166" s="1973" t="str">
        <f t="shared" si="99"/>
        <v xml:space="preserve">      </v>
      </c>
      <c r="N166" s="1974" t="str">
        <f t="shared" si="100"/>
        <v xml:space="preserve">      </v>
      </c>
      <c r="O166" s="1974" t="str">
        <f t="shared" si="101"/>
        <v xml:space="preserve">      </v>
      </c>
      <c r="P166" s="1975" t="str">
        <f t="shared" si="102"/>
        <v xml:space="preserve"> </v>
      </c>
      <c r="Q166" s="1975" t="str">
        <f t="shared" si="103"/>
        <v xml:space="preserve"> </v>
      </c>
      <c r="R166" s="1975" t="str">
        <f t="shared" si="104"/>
        <v xml:space="preserve"> </v>
      </c>
      <c r="S166" s="1975" t="str">
        <f t="shared" si="105"/>
        <v xml:space="preserve"> </v>
      </c>
      <c r="T166" s="1975" t="str">
        <f t="shared" si="106"/>
        <v xml:space="preserve"> </v>
      </c>
      <c r="U166" s="1976" t="str">
        <f t="shared" si="107"/>
        <v xml:space="preserve"> </v>
      </c>
      <c r="V166" s="1976" t="str">
        <f t="shared" si="108"/>
        <v xml:space="preserve"> </v>
      </c>
      <c r="W166" s="1976" t="str">
        <f t="shared" si="109"/>
        <v xml:space="preserve"> </v>
      </c>
      <c r="X166" s="1976" t="str">
        <f t="shared" si="110"/>
        <v xml:space="preserve"> </v>
      </c>
      <c r="Y166" s="1976" t="str">
        <f t="shared" si="111"/>
        <v xml:space="preserve"> </v>
      </c>
      <c r="Z166" s="1977" t="str">
        <f t="shared" si="112"/>
        <v xml:space="preserve"> </v>
      </c>
      <c r="AA166" s="1977" t="str">
        <f t="shared" si="113"/>
        <v xml:space="preserve"> </v>
      </c>
      <c r="AB166" s="1977" t="str">
        <f t="shared" si="114"/>
        <v xml:space="preserve"> </v>
      </c>
      <c r="AC166" s="1977" t="str">
        <f t="shared" si="115"/>
        <v xml:space="preserve"> </v>
      </c>
      <c r="AD166" s="1977" t="str">
        <f t="shared" si="116"/>
        <v xml:space="preserve"> </v>
      </c>
      <c r="AE166" s="1978" t="str">
        <f t="shared" si="117"/>
        <v xml:space="preserve"> </v>
      </c>
      <c r="AF166" s="1978" t="str">
        <f t="shared" si="118"/>
        <v xml:space="preserve"> </v>
      </c>
      <c r="AG166" s="1978" t="str">
        <f t="shared" si="119"/>
        <v xml:space="preserve"> </v>
      </c>
      <c r="AH166" s="1978" t="str">
        <f t="shared" si="120"/>
        <v xml:space="preserve"> </v>
      </c>
      <c r="AI166" s="1978" t="str">
        <f t="shared" si="121"/>
        <v xml:space="preserve"> </v>
      </c>
    </row>
    <row r="167" spans="12:35" s="352" customFormat="1" x14ac:dyDescent="0.25">
      <c r="L167" s="1972" t="str">
        <f t="shared" si="98"/>
        <v xml:space="preserve">      </v>
      </c>
      <c r="M167" s="1973" t="str">
        <f t="shared" si="99"/>
        <v xml:space="preserve">      </v>
      </c>
      <c r="N167" s="1974" t="str">
        <f t="shared" si="100"/>
        <v xml:space="preserve">      </v>
      </c>
      <c r="O167" s="1974" t="str">
        <f t="shared" si="101"/>
        <v xml:space="preserve">      </v>
      </c>
      <c r="P167" s="1975" t="str">
        <f t="shared" si="102"/>
        <v xml:space="preserve"> </v>
      </c>
      <c r="Q167" s="1975" t="str">
        <f t="shared" si="103"/>
        <v xml:space="preserve"> </v>
      </c>
      <c r="R167" s="1975" t="str">
        <f t="shared" si="104"/>
        <v xml:space="preserve"> </v>
      </c>
      <c r="S167" s="1975" t="str">
        <f t="shared" si="105"/>
        <v xml:space="preserve"> </v>
      </c>
      <c r="T167" s="1975" t="str">
        <f t="shared" si="106"/>
        <v xml:space="preserve"> </v>
      </c>
      <c r="U167" s="1976" t="str">
        <f t="shared" si="107"/>
        <v xml:space="preserve"> </v>
      </c>
      <c r="V167" s="1976" t="str">
        <f t="shared" si="108"/>
        <v xml:space="preserve"> </v>
      </c>
      <c r="W167" s="1976" t="str">
        <f t="shared" si="109"/>
        <v xml:space="preserve"> </v>
      </c>
      <c r="X167" s="1976" t="str">
        <f t="shared" si="110"/>
        <v xml:space="preserve"> </v>
      </c>
      <c r="Y167" s="1976" t="str">
        <f t="shared" si="111"/>
        <v xml:space="preserve"> </v>
      </c>
      <c r="Z167" s="1977" t="str">
        <f t="shared" si="112"/>
        <v xml:space="preserve"> </v>
      </c>
      <c r="AA167" s="1977" t="str">
        <f t="shared" si="113"/>
        <v xml:space="preserve"> </v>
      </c>
      <c r="AB167" s="1977" t="str">
        <f t="shared" si="114"/>
        <v xml:space="preserve"> </v>
      </c>
      <c r="AC167" s="1977" t="str">
        <f t="shared" si="115"/>
        <v xml:space="preserve"> </v>
      </c>
      <c r="AD167" s="1977" t="str">
        <f t="shared" si="116"/>
        <v xml:space="preserve"> </v>
      </c>
      <c r="AE167" s="1978" t="str">
        <f t="shared" si="117"/>
        <v xml:space="preserve"> </v>
      </c>
      <c r="AF167" s="1978" t="str">
        <f t="shared" si="118"/>
        <v xml:space="preserve"> </v>
      </c>
      <c r="AG167" s="1978" t="str">
        <f t="shared" si="119"/>
        <v xml:space="preserve"> </v>
      </c>
      <c r="AH167" s="1978" t="str">
        <f t="shared" si="120"/>
        <v xml:space="preserve"> </v>
      </c>
      <c r="AI167" s="1978" t="str">
        <f t="shared" si="121"/>
        <v xml:space="preserve"> </v>
      </c>
    </row>
    <row r="168" spans="12:35" s="352" customFormat="1" x14ac:dyDescent="0.25">
      <c r="L168" s="1972" t="str">
        <f t="shared" si="98"/>
        <v xml:space="preserve">      </v>
      </c>
      <c r="M168" s="1973" t="str">
        <f t="shared" si="99"/>
        <v xml:space="preserve">      </v>
      </c>
      <c r="N168" s="1974" t="str">
        <f t="shared" si="100"/>
        <v xml:space="preserve">      </v>
      </c>
      <c r="O168" s="1974" t="str">
        <f t="shared" si="101"/>
        <v xml:space="preserve">      </v>
      </c>
      <c r="P168" s="1975" t="str">
        <f t="shared" si="102"/>
        <v xml:space="preserve"> </v>
      </c>
      <c r="Q168" s="1975" t="str">
        <f t="shared" si="103"/>
        <v xml:space="preserve"> </v>
      </c>
      <c r="R168" s="1975" t="str">
        <f t="shared" si="104"/>
        <v xml:space="preserve"> </v>
      </c>
      <c r="S168" s="1975" t="str">
        <f t="shared" si="105"/>
        <v xml:space="preserve"> </v>
      </c>
      <c r="T168" s="1975" t="str">
        <f t="shared" si="106"/>
        <v xml:space="preserve"> </v>
      </c>
      <c r="U168" s="1976" t="str">
        <f t="shared" si="107"/>
        <v xml:space="preserve"> </v>
      </c>
      <c r="V168" s="1976" t="str">
        <f t="shared" si="108"/>
        <v xml:space="preserve"> </v>
      </c>
      <c r="W168" s="1976" t="str">
        <f t="shared" si="109"/>
        <v xml:space="preserve"> </v>
      </c>
      <c r="X168" s="1976" t="str">
        <f t="shared" si="110"/>
        <v xml:space="preserve"> </v>
      </c>
      <c r="Y168" s="1976" t="str">
        <f t="shared" si="111"/>
        <v xml:space="preserve"> </v>
      </c>
      <c r="Z168" s="1977" t="str">
        <f t="shared" si="112"/>
        <v xml:space="preserve"> </v>
      </c>
      <c r="AA168" s="1977" t="str">
        <f t="shared" si="113"/>
        <v xml:space="preserve"> </v>
      </c>
      <c r="AB168" s="1977" t="str">
        <f t="shared" si="114"/>
        <v xml:space="preserve"> </v>
      </c>
      <c r="AC168" s="1977" t="str">
        <f t="shared" si="115"/>
        <v xml:space="preserve"> </v>
      </c>
      <c r="AD168" s="1977" t="str">
        <f t="shared" si="116"/>
        <v xml:space="preserve"> </v>
      </c>
      <c r="AE168" s="1978" t="str">
        <f t="shared" si="117"/>
        <v xml:space="preserve"> </v>
      </c>
      <c r="AF168" s="1978" t="str">
        <f t="shared" si="118"/>
        <v xml:space="preserve"> </v>
      </c>
      <c r="AG168" s="1978" t="str">
        <f t="shared" si="119"/>
        <v xml:space="preserve"> </v>
      </c>
      <c r="AH168" s="1978" t="str">
        <f t="shared" si="120"/>
        <v xml:space="preserve"> </v>
      </c>
      <c r="AI168" s="1978" t="str">
        <f t="shared" si="121"/>
        <v xml:space="preserve"> </v>
      </c>
    </row>
    <row r="169" spans="12:35" s="352" customFormat="1" x14ac:dyDescent="0.25">
      <c r="L169" s="1972" t="str">
        <f t="shared" si="98"/>
        <v xml:space="preserve">      </v>
      </c>
      <c r="M169" s="1973" t="str">
        <f t="shared" si="99"/>
        <v xml:space="preserve">      </v>
      </c>
      <c r="N169" s="1974" t="str">
        <f t="shared" si="100"/>
        <v xml:space="preserve">      </v>
      </c>
      <c r="O169" s="1974" t="str">
        <f t="shared" si="101"/>
        <v xml:space="preserve">      </v>
      </c>
      <c r="P169" s="1975" t="str">
        <f t="shared" si="102"/>
        <v xml:space="preserve"> </v>
      </c>
      <c r="Q169" s="1975" t="str">
        <f t="shared" si="103"/>
        <v xml:space="preserve"> </v>
      </c>
      <c r="R169" s="1975" t="str">
        <f t="shared" si="104"/>
        <v xml:space="preserve"> </v>
      </c>
      <c r="S169" s="1975" t="str">
        <f t="shared" si="105"/>
        <v xml:space="preserve"> </v>
      </c>
      <c r="T169" s="1975" t="str">
        <f t="shared" si="106"/>
        <v xml:space="preserve"> </v>
      </c>
      <c r="U169" s="1976" t="str">
        <f t="shared" si="107"/>
        <v xml:space="preserve"> </v>
      </c>
      <c r="V169" s="1976" t="str">
        <f t="shared" si="108"/>
        <v xml:space="preserve"> </v>
      </c>
      <c r="W169" s="1976" t="str">
        <f t="shared" si="109"/>
        <v xml:space="preserve"> </v>
      </c>
      <c r="X169" s="1976" t="str">
        <f t="shared" si="110"/>
        <v xml:space="preserve"> </v>
      </c>
      <c r="Y169" s="1976" t="str">
        <f t="shared" si="111"/>
        <v xml:space="preserve"> </v>
      </c>
      <c r="Z169" s="1977" t="str">
        <f t="shared" si="112"/>
        <v xml:space="preserve"> </v>
      </c>
      <c r="AA169" s="1977" t="str">
        <f t="shared" si="113"/>
        <v xml:space="preserve"> </v>
      </c>
      <c r="AB169" s="1977" t="str">
        <f t="shared" si="114"/>
        <v xml:space="preserve"> </v>
      </c>
      <c r="AC169" s="1977" t="str">
        <f t="shared" si="115"/>
        <v xml:space="preserve"> </v>
      </c>
      <c r="AD169" s="1977" t="str">
        <f t="shared" si="116"/>
        <v xml:space="preserve"> </v>
      </c>
      <c r="AE169" s="1978" t="str">
        <f t="shared" si="117"/>
        <v xml:space="preserve"> </v>
      </c>
      <c r="AF169" s="1978" t="str">
        <f t="shared" si="118"/>
        <v xml:space="preserve"> </v>
      </c>
      <c r="AG169" s="1978" t="str">
        <f t="shared" si="119"/>
        <v xml:space="preserve"> </v>
      </c>
      <c r="AH169" s="1978" t="str">
        <f t="shared" si="120"/>
        <v xml:space="preserve"> </v>
      </c>
      <c r="AI169" s="1978" t="str">
        <f t="shared" si="121"/>
        <v xml:space="preserve"> </v>
      </c>
    </row>
    <row r="170" spans="12:35" s="352" customFormat="1" x14ac:dyDescent="0.25">
      <c r="L170" s="1972" t="str">
        <f t="shared" si="98"/>
        <v xml:space="preserve">      </v>
      </c>
      <c r="M170" s="1973" t="str">
        <f t="shared" si="99"/>
        <v xml:space="preserve">      </v>
      </c>
      <c r="N170" s="1974" t="str">
        <f t="shared" si="100"/>
        <v xml:space="preserve">      </v>
      </c>
      <c r="O170" s="1974" t="str">
        <f t="shared" si="101"/>
        <v xml:space="preserve">      </v>
      </c>
      <c r="P170" s="1975" t="str">
        <f t="shared" si="102"/>
        <v xml:space="preserve"> </v>
      </c>
      <c r="Q170" s="1975" t="str">
        <f t="shared" si="103"/>
        <v xml:space="preserve"> </v>
      </c>
      <c r="R170" s="1975" t="str">
        <f t="shared" si="104"/>
        <v xml:space="preserve"> </v>
      </c>
      <c r="S170" s="1975" t="str">
        <f t="shared" si="105"/>
        <v xml:space="preserve"> </v>
      </c>
      <c r="T170" s="1975" t="str">
        <f t="shared" si="106"/>
        <v xml:space="preserve"> </v>
      </c>
      <c r="U170" s="1976" t="str">
        <f t="shared" si="107"/>
        <v xml:space="preserve"> </v>
      </c>
      <c r="V170" s="1976" t="str">
        <f t="shared" si="108"/>
        <v xml:space="preserve"> </v>
      </c>
      <c r="W170" s="1976" t="str">
        <f t="shared" si="109"/>
        <v xml:space="preserve"> </v>
      </c>
      <c r="X170" s="1976" t="str">
        <f t="shared" si="110"/>
        <v xml:space="preserve"> </v>
      </c>
      <c r="Y170" s="1976" t="str">
        <f t="shared" si="111"/>
        <v xml:space="preserve"> </v>
      </c>
      <c r="Z170" s="1977" t="str">
        <f t="shared" si="112"/>
        <v xml:space="preserve"> </v>
      </c>
      <c r="AA170" s="1977" t="str">
        <f t="shared" si="113"/>
        <v xml:space="preserve"> </v>
      </c>
      <c r="AB170" s="1977" t="str">
        <f t="shared" si="114"/>
        <v xml:space="preserve"> </v>
      </c>
      <c r="AC170" s="1977" t="str">
        <f t="shared" si="115"/>
        <v xml:space="preserve"> </v>
      </c>
      <c r="AD170" s="1977" t="str">
        <f t="shared" si="116"/>
        <v xml:space="preserve"> </v>
      </c>
      <c r="AE170" s="1978" t="str">
        <f t="shared" si="117"/>
        <v xml:space="preserve"> </v>
      </c>
      <c r="AF170" s="1978" t="str">
        <f t="shared" si="118"/>
        <v xml:space="preserve"> </v>
      </c>
      <c r="AG170" s="1978" t="str">
        <f t="shared" si="119"/>
        <v xml:space="preserve"> </v>
      </c>
      <c r="AH170" s="1978" t="str">
        <f t="shared" si="120"/>
        <v xml:space="preserve"> </v>
      </c>
      <c r="AI170" s="1978" t="str">
        <f t="shared" si="121"/>
        <v xml:space="preserve"> </v>
      </c>
    </row>
    <row r="171" spans="12:35" s="352" customFormat="1" x14ac:dyDescent="0.25">
      <c r="L171" s="1972" t="str">
        <f t="shared" si="98"/>
        <v xml:space="preserve">      </v>
      </c>
      <c r="M171" s="1973" t="str">
        <f t="shared" si="99"/>
        <v xml:space="preserve">      </v>
      </c>
      <c r="N171" s="1974" t="str">
        <f t="shared" si="100"/>
        <v xml:space="preserve">      </v>
      </c>
      <c r="O171" s="1974" t="str">
        <f t="shared" si="101"/>
        <v xml:space="preserve">      </v>
      </c>
      <c r="P171" s="1975" t="str">
        <f t="shared" si="102"/>
        <v xml:space="preserve"> </v>
      </c>
      <c r="Q171" s="1975" t="str">
        <f t="shared" si="103"/>
        <v xml:space="preserve"> </v>
      </c>
      <c r="R171" s="1975" t="str">
        <f t="shared" si="104"/>
        <v xml:space="preserve"> </v>
      </c>
      <c r="S171" s="1975" t="str">
        <f t="shared" si="105"/>
        <v xml:space="preserve"> </v>
      </c>
      <c r="T171" s="1975" t="str">
        <f t="shared" si="106"/>
        <v xml:space="preserve"> </v>
      </c>
      <c r="U171" s="1976" t="str">
        <f t="shared" si="107"/>
        <v xml:space="preserve"> </v>
      </c>
      <c r="V171" s="1976" t="str">
        <f t="shared" si="108"/>
        <v xml:space="preserve"> </v>
      </c>
      <c r="W171" s="1976" t="str">
        <f t="shared" si="109"/>
        <v xml:space="preserve"> </v>
      </c>
      <c r="X171" s="1976" t="str">
        <f t="shared" si="110"/>
        <v xml:space="preserve"> </v>
      </c>
      <c r="Y171" s="1976" t="str">
        <f t="shared" si="111"/>
        <v xml:space="preserve"> </v>
      </c>
      <c r="Z171" s="1977" t="str">
        <f t="shared" si="112"/>
        <v xml:space="preserve"> </v>
      </c>
      <c r="AA171" s="1977" t="str">
        <f t="shared" si="113"/>
        <v xml:space="preserve"> </v>
      </c>
      <c r="AB171" s="1977" t="str">
        <f t="shared" si="114"/>
        <v xml:space="preserve"> </v>
      </c>
      <c r="AC171" s="1977" t="str">
        <f t="shared" si="115"/>
        <v xml:space="preserve"> </v>
      </c>
      <c r="AD171" s="1977" t="str">
        <f t="shared" si="116"/>
        <v xml:space="preserve"> </v>
      </c>
      <c r="AE171" s="1978" t="str">
        <f t="shared" si="117"/>
        <v xml:space="preserve"> </v>
      </c>
      <c r="AF171" s="1978" t="str">
        <f t="shared" si="118"/>
        <v xml:space="preserve"> </v>
      </c>
      <c r="AG171" s="1978" t="str">
        <f t="shared" si="119"/>
        <v xml:space="preserve"> </v>
      </c>
      <c r="AH171" s="1978" t="str">
        <f t="shared" si="120"/>
        <v xml:space="preserve"> </v>
      </c>
      <c r="AI171" s="1978" t="str">
        <f t="shared" si="121"/>
        <v xml:space="preserve"> </v>
      </c>
    </row>
    <row r="172" spans="12:35" s="352" customFormat="1" x14ac:dyDescent="0.25">
      <c r="L172" s="1972" t="str">
        <f t="shared" si="98"/>
        <v xml:space="preserve">      </v>
      </c>
      <c r="M172" s="1973" t="str">
        <f t="shared" si="99"/>
        <v xml:space="preserve">      </v>
      </c>
      <c r="N172" s="1974" t="str">
        <f t="shared" si="100"/>
        <v xml:space="preserve">      </v>
      </c>
      <c r="O172" s="1974" t="str">
        <f t="shared" si="101"/>
        <v xml:space="preserve">      </v>
      </c>
      <c r="P172" s="1975" t="str">
        <f t="shared" si="102"/>
        <v xml:space="preserve"> </v>
      </c>
      <c r="Q172" s="1975" t="str">
        <f t="shared" si="103"/>
        <v xml:space="preserve"> </v>
      </c>
      <c r="R172" s="1975" t="str">
        <f t="shared" si="104"/>
        <v xml:space="preserve"> </v>
      </c>
      <c r="S172" s="1975" t="str">
        <f t="shared" si="105"/>
        <v xml:space="preserve"> </v>
      </c>
      <c r="T172" s="1975" t="str">
        <f t="shared" si="106"/>
        <v xml:space="preserve"> </v>
      </c>
      <c r="U172" s="1976" t="str">
        <f t="shared" si="107"/>
        <v xml:space="preserve"> </v>
      </c>
      <c r="V172" s="1976" t="str">
        <f t="shared" si="108"/>
        <v xml:space="preserve"> </v>
      </c>
      <c r="W172" s="1976" t="str">
        <f t="shared" si="109"/>
        <v xml:space="preserve"> </v>
      </c>
      <c r="X172" s="1976" t="str">
        <f t="shared" si="110"/>
        <v xml:space="preserve"> </v>
      </c>
      <c r="Y172" s="1976" t="str">
        <f t="shared" si="111"/>
        <v xml:space="preserve"> </v>
      </c>
      <c r="Z172" s="1977" t="str">
        <f t="shared" si="112"/>
        <v xml:space="preserve"> </v>
      </c>
      <c r="AA172" s="1977" t="str">
        <f t="shared" si="113"/>
        <v xml:space="preserve"> </v>
      </c>
      <c r="AB172" s="1977" t="str">
        <f t="shared" si="114"/>
        <v xml:space="preserve"> </v>
      </c>
      <c r="AC172" s="1977" t="str">
        <f t="shared" si="115"/>
        <v xml:space="preserve"> </v>
      </c>
      <c r="AD172" s="1977" t="str">
        <f t="shared" si="116"/>
        <v xml:space="preserve"> </v>
      </c>
      <c r="AE172" s="1978" t="str">
        <f t="shared" si="117"/>
        <v xml:space="preserve"> </v>
      </c>
      <c r="AF172" s="1978" t="str">
        <f t="shared" si="118"/>
        <v xml:space="preserve"> </v>
      </c>
      <c r="AG172" s="1978" t="str">
        <f t="shared" si="119"/>
        <v xml:space="preserve"> </v>
      </c>
      <c r="AH172" s="1978" t="str">
        <f t="shared" si="120"/>
        <v xml:space="preserve"> </v>
      </c>
      <c r="AI172" s="1978" t="str">
        <f t="shared" si="121"/>
        <v xml:space="preserve"> </v>
      </c>
    </row>
    <row r="173" spans="12:35" s="352" customFormat="1" x14ac:dyDescent="0.25">
      <c r="L173" s="1972" t="str">
        <f t="shared" si="98"/>
        <v xml:space="preserve">      </v>
      </c>
      <c r="M173" s="1973" t="str">
        <f t="shared" si="99"/>
        <v xml:space="preserve">      </v>
      </c>
      <c r="N173" s="1974" t="str">
        <f t="shared" si="100"/>
        <v xml:space="preserve">      </v>
      </c>
      <c r="O173" s="1974" t="str">
        <f t="shared" si="101"/>
        <v xml:space="preserve">      </v>
      </c>
      <c r="P173" s="1975" t="str">
        <f t="shared" si="102"/>
        <v xml:space="preserve"> </v>
      </c>
      <c r="Q173" s="1975" t="str">
        <f t="shared" si="103"/>
        <v xml:space="preserve"> </v>
      </c>
      <c r="R173" s="1975" t="str">
        <f t="shared" si="104"/>
        <v xml:space="preserve"> </v>
      </c>
      <c r="S173" s="1975" t="str">
        <f t="shared" si="105"/>
        <v xml:space="preserve"> </v>
      </c>
      <c r="T173" s="1975" t="str">
        <f t="shared" si="106"/>
        <v xml:space="preserve"> </v>
      </c>
      <c r="U173" s="1976" t="str">
        <f t="shared" si="107"/>
        <v xml:space="preserve"> </v>
      </c>
      <c r="V173" s="1976" t="str">
        <f t="shared" si="108"/>
        <v xml:space="preserve"> </v>
      </c>
      <c r="W173" s="1976" t="str">
        <f t="shared" si="109"/>
        <v xml:space="preserve"> </v>
      </c>
      <c r="X173" s="1976" t="str">
        <f t="shared" si="110"/>
        <v xml:space="preserve"> </v>
      </c>
      <c r="Y173" s="1976" t="str">
        <f t="shared" si="111"/>
        <v xml:space="preserve"> </v>
      </c>
      <c r="Z173" s="1977" t="str">
        <f t="shared" si="112"/>
        <v xml:space="preserve"> </v>
      </c>
      <c r="AA173" s="1977" t="str">
        <f t="shared" si="113"/>
        <v xml:space="preserve"> </v>
      </c>
      <c r="AB173" s="1977" t="str">
        <f t="shared" si="114"/>
        <v xml:space="preserve"> </v>
      </c>
      <c r="AC173" s="1977" t="str">
        <f t="shared" si="115"/>
        <v xml:space="preserve"> </v>
      </c>
      <c r="AD173" s="1977" t="str">
        <f t="shared" si="116"/>
        <v xml:space="preserve"> </v>
      </c>
      <c r="AE173" s="1978" t="str">
        <f t="shared" si="117"/>
        <v xml:space="preserve"> </v>
      </c>
      <c r="AF173" s="1978" t="str">
        <f t="shared" si="118"/>
        <v xml:space="preserve"> </v>
      </c>
      <c r="AG173" s="1978" t="str">
        <f t="shared" si="119"/>
        <v xml:space="preserve"> </v>
      </c>
      <c r="AH173" s="1978" t="str">
        <f t="shared" si="120"/>
        <v xml:space="preserve"> </v>
      </c>
      <c r="AI173" s="1978" t="str">
        <f t="shared" si="121"/>
        <v xml:space="preserve"> </v>
      </c>
    </row>
    <row r="174" spans="12:35" s="352" customFormat="1" x14ac:dyDescent="0.25">
      <c r="L174" s="1972" t="str">
        <f t="shared" si="98"/>
        <v xml:space="preserve">      </v>
      </c>
      <c r="M174" s="1973" t="str">
        <f t="shared" si="99"/>
        <v xml:space="preserve">      </v>
      </c>
      <c r="N174" s="1974" t="str">
        <f t="shared" si="100"/>
        <v xml:space="preserve">      </v>
      </c>
      <c r="O174" s="1974" t="str">
        <f t="shared" si="101"/>
        <v xml:space="preserve">      </v>
      </c>
      <c r="P174" s="1975" t="str">
        <f t="shared" si="102"/>
        <v xml:space="preserve"> </v>
      </c>
      <c r="Q174" s="1975" t="str">
        <f t="shared" si="103"/>
        <v xml:space="preserve"> </v>
      </c>
      <c r="R174" s="1975" t="str">
        <f t="shared" si="104"/>
        <v xml:space="preserve"> </v>
      </c>
      <c r="S174" s="1975" t="str">
        <f t="shared" si="105"/>
        <v xml:space="preserve"> </v>
      </c>
      <c r="T174" s="1975" t="str">
        <f t="shared" si="106"/>
        <v xml:space="preserve"> </v>
      </c>
      <c r="U174" s="1976" t="str">
        <f t="shared" si="107"/>
        <v xml:space="preserve"> </v>
      </c>
      <c r="V174" s="1976" t="str">
        <f t="shared" si="108"/>
        <v xml:space="preserve"> </v>
      </c>
      <c r="W174" s="1976" t="str">
        <f t="shared" si="109"/>
        <v xml:space="preserve"> </v>
      </c>
      <c r="X174" s="1976" t="str">
        <f t="shared" si="110"/>
        <v xml:space="preserve"> </v>
      </c>
      <c r="Y174" s="1976" t="str">
        <f t="shared" si="111"/>
        <v xml:space="preserve"> </v>
      </c>
      <c r="Z174" s="1977" t="str">
        <f t="shared" si="112"/>
        <v xml:space="preserve"> </v>
      </c>
      <c r="AA174" s="1977" t="str">
        <f t="shared" si="113"/>
        <v xml:space="preserve"> </v>
      </c>
      <c r="AB174" s="1977" t="str">
        <f t="shared" si="114"/>
        <v xml:space="preserve"> </v>
      </c>
      <c r="AC174" s="1977" t="str">
        <f t="shared" si="115"/>
        <v xml:space="preserve"> </v>
      </c>
      <c r="AD174" s="1977" t="str">
        <f t="shared" si="116"/>
        <v xml:space="preserve"> </v>
      </c>
      <c r="AE174" s="1978" t="str">
        <f t="shared" si="117"/>
        <v xml:space="preserve"> </v>
      </c>
      <c r="AF174" s="1978" t="str">
        <f t="shared" si="118"/>
        <v xml:space="preserve"> </v>
      </c>
      <c r="AG174" s="1978" t="str">
        <f t="shared" si="119"/>
        <v xml:space="preserve"> </v>
      </c>
      <c r="AH174" s="1978" t="str">
        <f t="shared" si="120"/>
        <v xml:space="preserve"> </v>
      </c>
      <c r="AI174" s="1978" t="str">
        <f t="shared" si="121"/>
        <v xml:space="preserve"> </v>
      </c>
    </row>
    <row r="175" spans="12:35" s="352" customFormat="1" x14ac:dyDescent="0.25">
      <c r="L175" s="1972" t="str">
        <f t="shared" si="98"/>
        <v xml:space="preserve">      </v>
      </c>
      <c r="M175" s="1973" t="str">
        <f t="shared" si="99"/>
        <v xml:space="preserve">      </v>
      </c>
      <c r="N175" s="1974" t="str">
        <f t="shared" si="100"/>
        <v xml:space="preserve">      </v>
      </c>
      <c r="O175" s="1974" t="str">
        <f t="shared" si="101"/>
        <v xml:space="preserve">      </v>
      </c>
      <c r="P175" s="1975" t="str">
        <f t="shared" si="102"/>
        <v xml:space="preserve"> </v>
      </c>
      <c r="Q175" s="1975" t="str">
        <f t="shared" si="103"/>
        <v xml:space="preserve"> </v>
      </c>
      <c r="R175" s="1975" t="str">
        <f t="shared" si="104"/>
        <v xml:space="preserve"> </v>
      </c>
      <c r="S175" s="1975" t="str">
        <f t="shared" si="105"/>
        <v xml:space="preserve"> </v>
      </c>
      <c r="T175" s="1975" t="str">
        <f t="shared" si="106"/>
        <v xml:space="preserve"> </v>
      </c>
      <c r="U175" s="1976" t="str">
        <f t="shared" si="107"/>
        <v xml:space="preserve"> </v>
      </c>
      <c r="V175" s="1976" t="str">
        <f t="shared" si="108"/>
        <v xml:space="preserve"> </v>
      </c>
      <c r="W175" s="1976" t="str">
        <f t="shared" si="109"/>
        <v xml:space="preserve"> </v>
      </c>
      <c r="X175" s="1976" t="str">
        <f t="shared" si="110"/>
        <v xml:space="preserve"> </v>
      </c>
      <c r="Y175" s="1976" t="str">
        <f t="shared" si="111"/>
        <v xml:space="preserve"> </v>
      </c>
      <c r="Z175" s="1977" t="str">
        <f t="shared" si="112"/>
        <v xml:space="preserve"> </v>
      </c>
      <c r="AA175" s="1977" t="str">
        <f t="shared" si="113"/>
        <v xml:space="preserve"> </v>
      </c>
      <c r="AB175" s="1977" t="str">
        <f t="shared" si="114"/>
        <v xml:space="preserve"> </v>
      </c>
      <c r="AC175" s="1977" t="str">
        <f t="shared" si="115"/>
        <v xml:space="preserve"> </v>
      </c>
      <c r="AD175" s="1977" t="str">
        <f t="shared" si="116"/>
        <v xml:space="preserve"> </v>
      </c>
      <c r="AE175" s="1978" t="str">
        <f t="shared" si="117"/>
        <v xml:space="preserve"> </v>
      </c>
      <c r="AF175" s="1978" t="str">
        <f t="shared" si="118"/>
        <v xml:space="preserve"> </v>
      </c>
      <c r="AG175" s="1978" t="str">
        <f t="shared" si="119"/>
        <v xml:space="preserve"> </v>
      </c>
      <c r="AH175" s="1978" t="str">
        <f t="shared" si="120"/>
        <v xml:space="preserve"> </v>
      </c>
      <c r="AI175" s="1978" t="str">
        <f t="shared" si="121"/>
        <v xml:space="preserve"> </v>
      </c>
    </row>
    <row r="176" spans="12:35" s="352" customFormat="1" x14ac:dyDescent="0.25">
      <c r="L176" s="1972" t="str">
        <f t="shared" si="98"/>
        <v xml:space="preserve">      </v>
      </c>
      <c r="M176" s="1973" t="str">
        <f t="shared" si="99"/>
        <v xml:space="preserve">      </v>
      </c>
      <c r="N176" s="1974" t="str">
        <f t="shared" si="100"/>
        <v xml:space="preserve">      </v>
      </c>
      <c r="O176" s="1974" t="str">
        <f t="shared" si="101"/>
        <v xml:space="preserve">      </v>
      </c>
      <c r="P176" s="1975" t="str">
        <f t="shared" si="102"/>
        <v xml:space="preserve"> </v>
      </c>
      <c r="Q176" s="1975" t="str">
        <f t="shared" si="103"/>
        <v xml:space="preserve"> </v>
      </c>
      <c r="R176" s="1975" t="str">
        <f t="shared" si="104"/>
        <v xml:space="preserve"> </v>
      </c>
      <c r="S176" s="1975" t="str">
        <f t="shared" si="105"/>
        <v xml:space="preserve"> </v>
      </c>
      <c r="T176" s="1975" t="str">
        <f t="shared" si="106"/>
        <v xml:space="preserve"> </v>
      </c>
      <c r="U176" s="1976" t="str">
        <f t="shared" si="107"/>
        <v xml:space="preserve"> </v>
      </c>
      <c r="V176" s="1976" t="str">
        <f t="shared" si="108"/>
        <v xml:space="preserve"> </v>
      </c>
      <c r="W176" s="1976" t="str">
        <f t="shared" si="109"/>
        <v xml:space="preserve"> </v>
      </c>
      <c r="X176" s="1976" t="str">
        <f t="shared" si="110"/>
        <v xml:space="preserve"> </v>
      </c>
      <c r="Y176" s="1976" t="str">
        <f t="shared" si="111"/>
        <v xml:space="preserve"> </v>
      </c>
      <c r="Z176" s="1977" t="str">
        <f t="shared" si="112"/>
        <v xml:space="preserve"> </v>
      </c>
      <c r="AA176" s="1977" t="str">
        <f t="shared" si="113"/>
        <v xml:space="preserve"> </v>
      </c>
      <c r="AB176" s="1977" t="str">
        <f t="shared" si="114"/>
        <v xml:space="preserve"> </v>
      </c>
      <c r="AC176" s="1977" t="str">
        <f t="shared" si="115"/>
        <v xml:space="preserve"> </v>
      </c>
      <c r="AD176" s="1977" t="str">
        <f t="shared" si="116"/>
        <v xml:space="preserve"> </v>
      </c>
      <c r="AE176" s="1978" t="str">
        <f t="shared" si="117"/>
        <v xml:space="preserve"> </v>
      </c>
      <c r="AF176" s="1978" t="str">
        <f t="shared" si="118"/>
        <v xml:space="preserve"> </v>
      </c>
      <c r="AG176" s="1978" t="str">
        <f t="shared" si="119"/>
        <v xml:space="preserve"> </v>
      </c>
      <c r="AH176" s="1978" t="str">
        <f t="shared" si="120"/>
        <v xml:space="preserve"> </v>
      </c>
      <c r="AI176" s="1978" t="str">
        <f t="shared" si="121"/>
        <v xml:space="preserve"> </v>
      </c>
    </row>
    <row r="177" spans="12:35" s="352" customFormat="1" x14ac:dyDescent="0.25">
      <c r="L177" s="1972" t="str">
        <f t="shared" si="98"/>
        <v xml:space="preserve">      </v>
      </c>
      <c r="M177" s="1973" t="str">
        <f t="shared" si="99"/>
        <v xml:space="preserve">      </v>
      </c>
      <c r="N177" s="1974" t="str">
        <f t="shared" si="100"/>
        <v xml:space="preserve">      </v>
      </c>
      <c r="O177" s="1974" t="str">
        <f t="shared" si="101"/>
        <v xml:space="preserve">      </v>
      </c>
      <c r="P177" s="1975" t="str">
        <f t="shared" si="102"/>
        <v xml:space="preserve"> </v>
      </c>
      <c r="Q177" s="1975" t="str">
        <f t="shared" si="103"/>
        <v xml:space="preserve"> </v>
      </c>
      <c r="R177" s="1975" t="str">
        <f t="shared" si="104"/>
        <v xml:space="preserve"> </v>
      </c>
      <c r="S177" s="1975" t="str">
        <f t="shared" si="105"/>
        <v xml:space="preserve"> </v>
      </c>
      <c r="T177" s="1975" t="str">
        <f t="shared" si="106"/>
        <v xml:space="preserve"> </v>
      </c>
      <c r="U177" s="1976" t="str">
        <f t="shared" si="107"/>
        <v xml:space="preserve"> </v>
      </c>
      <c r="V177" s="1976" t="str">
        <f t="shared" si="108"/>
        <v xml:space="preserve"> </v>
      </c>
      <c r="W177" s="1976" t="str">
        <f t="shared" si="109"/>
        <v xml:space="preserve"> </v>
      </c>
      <c r="X177" s="1976" t="str">
        <f t="shared" si="110"/>
        <v xml:space="preserve"> </v>
      </c>
      <c r="Y177" s="1976" t="str">
        <f t="shared" si="111"/>
        <v xml:space="preserve"> </v>
      </c>
      <c r="Z177" s="1977" t="str">
        <f t="shared" si="112"/>
        <v xml:space="preserve"> </v>
      </c>
      <c r="AA177" s="1977" t="str">
        <f t="shared" si="113"/>
        <v xml:space="preserve"> </v>
      </c>
      <c r="AB177" s="1977" t="str">
        <f t="shared" si="114"/>
        <v xml:space="preserve"> </v>
      </c>
      <c r="AC177" s="1977" t="str">
        <f t="shared" si="115"/>
        <v xml:space="preserve"> </v>
      </c>
      <c r="AD177" s="1977" t="str">
        <f t="shared" si="116"/>
        <v xml:space="preserve"> </v>
      </c>
      <c r="AE177" s="1978" t="str">
        <f t="shared" si="117"/>
        <v xml:space="preserve"> </v>
      </c>
      <c r="AF177" s="1978" t="str">
        <f t="shared" si="118"/>
        <v xml:space="preserve"> </v>
      </c>
      <c r="AG177" s="1978" t="str">
        <f t="shared" si="119"/>
        <v xml:space="preserve"> </v>
      </c>
      <c r="AH177" s="1978" t="str">
        <f t="shared" si="120"/>
        <v xml:space="preserve"> </v>
      </c>
      <c r="AI177" s="1978" t="str">
        <f t="shared" si="121"/>
        <v xml:space="preserve"> </v>
      </c>
    </row>
    <row r="178" spans="12:35" s="352" customFormat="1" x14ac:dyDescent="0.25">
      <c r="L178" s="1972" t="str">
        <f t="shared" si="98"/>
        <v xml:space="preserve">      </v>
      </c>
      <c r="M178" s="1973" t="str">
        <f t="shared" si="99"/>
        <v xml:space="preserve">      </v>
      </c>
      <c r="N178" s="1974" t="str">
        <f t="shared" si="100"/>
        <v xml:space="preserve">      </v>
      </c>
      <c r="O178" s="1974" t="str">
        <f t="shared" si="101"/>
        <v xml:space="preserve">      </v>
      </c>
      <c r="P178" s="1975" t="str">
        <f t="shared" si="102"/>
        <v xml:space="preserve"> </v>
      </c>
      <c r="Q178" s="1975" t="str">
        <f t="shared" si="103"/>
        <v xml:space="preserve"> </v>
      </c>
      <c r="R178" s="1975" t="str">
        <f t="shared" si="104"/>
        <v xml:space="preserve"> </v>
      </c>
      <c r="S178" s="1975" t="str">
        <f t="shared" si="105"/>
        <v xml:space="preserve"> </v>
      </c>
      <c r="T178" s="1975" t="str">
        <f t="shared" si="106"/>
        <v xml:space="preserve"> </v>
      </c>
      <c r="U178" s="1976" t="str">
        <f t="shared" si="107"/>
        <v xml:space="preserve"> </v>
      </c>
      <c r="V178" s="1976" t="str">
        <f t="shared" si="108"/>
        <v xml:space="preserve"> </v>
      </c>
      <c r="W178" s="1976" t="str">
        <f t="shared" si="109"/>
        <v xml:space="preserve"> </v>
      </c>
      <c r="X178" s="1976" t="str">
        <f t="shared" si="110"/>
        <v xml:space="preserve"> </v>
      </c>
      <c r="Y178" s="1976" t="str">
        <f t="shared" si="111"/>
        <v xml:space="preserve"> </v>
      </c>
      <c r="Z178" s="1977" t="str">
        <f t="shared" si="112"/>
        <v xml:space="preserve"> </v>
      </c>
      <c r="AA178" s="1977" t="str">
        <f t="shared" si="113"/>
        <v xml:space="preserve"> </v>
      </c>
      <c r="AB178" s="1977" t="str">
        <f t="shared" si="114"/>
        <v xml:space="preserve"> </v>
      </c>
      <c r="AC178" s="1977" t="str">
        <f t="shared" si="115"/>
        <v xml:space="preserve"> </v>
      </c>
      <c r="AD178" s="1977" t="str">
        <f t="shared" si="116"/>
        <v xml:space="preserve"> </v>
      </c>
      <c r="AE178" s="1978" t="str">
        <f t="shared" si="117"/>
        <v xml:space="preserve"> </v>
      </c>
      <c r="AF178" s="1978" t="str">
        <f t="shared" si="118"/>
        <v xml:space="preserve"> </v>
      </c>
      <c r="AG178" s="1978" t="str">
        <f t="shared" si="119"/>
        <v xml:space="preserve"> </v>
      </c>
      <c r="AH178" s="1978" t="str">
        <f t="shared" si="120"/>
        <v xml:space="preserve"> </v>
      </c>
      <c r="AI178" s="1978" t="str">
        <f t="shared" si="121"/>
        <v xml:space="preserve"> </v>
      </c>
    </row>
    <row r="179" spans="12:35" s="352" customFormat="1" x14ac:dyDescent="0.25">
      <c r="L179" s="1972" t="str">
        <f t="shared" si="98"/>
        <v xml:space="preserve">      </v>
      </c>
      <c r="M179" s="1973" t="str">
        <f t="shared" si="99"/>
        <v xml:space="preserve">      </v>
      </c>
      <c r="N179" s="1974" t="str">
        <f t="shared" si="100"/>
        <v xml:space="preserve">      </v>
      </c>
      <c r="O179" s="1974" t="str">
        <f t="shared" si="101"/>
        <v xml:space="preserve">      </v>
      </c>
      <c r="P179" s="1975" t="str">
        <f t="shared" si="102"/>
        <v xml:space="preserve"> </v>
      </c>
      <c r="Q179" s="1975" t="str">
        <f t="shared" si="103"/>
        <v xml:space="preserve"> </v>
      </c>
      <c r="R179" s="1975" t="str">
        <f t="shared" si="104"/>
        <v xml:space="preserve"> </v>
      </c>
      <c r="S179" s="1975" t="str">
        <f t="shared" si="105"/>
        <v xml:space="preserve"> </v>
      </c>
      <c r="T179" s="1975" t="str">
        <f t="shared" si="106"/>
        <v xml:space="preserve"> </v>
      </c>
      <c r="U179" s="1976" t="str">
        <f t="shared" si="107"/>
        <v xml:space="preserve"> </v>
      </c>
      <c r="V179" s="1976" t="str">
        <f t="shared" si="108"/>
        <v xml:space="preserve"> </v>
      </c>
      <c r="W179" s="1976" t="str">
        <f t="shared" si="109"/>
        <v xml:space="preserve"> </v>
      </c>
      <c r="X179" s="1976" t="str">
        <f t="shared" si="110"/>
        <v xml:space="preserve"> </v>
      </c>
      <c r="Y179" s="1976" t="str">
        <f t="shared" si="111"/>
        <v xml:space="preserve"> </v>
      </c>
      <c r="Z179" s="1977" t="str">
        <f t="shared" si="112"/>
        <v xml:space="preserve"> </v>
      </c>
      <c r="AA179" s="1977" t="str">
        <f t="shared" si="113"/>
        <v xml:space="preserve"> </v>
      </c>
      <c r="AB179" s="1977" t="str">
        <f t="shared" si="114"/>
        <v xml:space="preserve"> </v>
      </c>
      <c r="AC179" s="1977" t="str">
        <f t="shared" si="115"/>
        <v xml:space="preserve"> </v>
      </c>
      <c r="AD179" s="1977" t="str">
        <f t="shared" si="116"/>
        <v xml:space="preserve"> </v>
      </c>
      <c r="AE179" s="1978" t="str">
        <f t="shared" si="117"/>
        <v xml:space="preserve"> </v>
      </c>
      <c r="AF179" s="1978" t="str">
        <f t="shared" si="118"/>
        <v xml:space="preserve"> </v>
      </c>
      <c r="AG179" s="1978" t="str">
        <f t="shared" si="119"/>
        <v xml:space="preserve"> </v>
      </c>
      <c r="AH179" s="1978" t="str">
        <f t="shared" si="120"/>
        <v xml:space="preserve"> </v>
      </c>
      <c r="AI179" s="1978" t="str">
        <f t="shared" si="121"/>
        <v xml:space="preserve"> </v>
      </c>
    </row>
    <row r="180" spans="12:35" s="352" customFormat="1" x14ac:dyDescent="0.25">
      <c r="L180" s="1972" t="str">
        <f t="shared" si="98"/>
        <v xml:space="preserve">      </v>
      </c>
      <c r="M180" s="1973" t="str">
        <f t="shared" si="99"/>
        <v xml:space="preserve">      </v>
      </c>
      <c r="N180" s="1974" t="str">
        <f t="shared" si="100"/>
        <v xml:space="preserve">      </v>
      </c>
      <c r="O180" s="1974" t="str">
        <f t="shared" si="101"/>
        <v xml:space="preserve">      </v>
      </c>
      <c r="P180" s="1975" t="str">
        <f t="shared" si="102"/>
        <v xml:space="preserve"> </v>
      </c>
      <c r="Q180" s="1975" t="str">
        <f t="shared" si="103"/>
        <v xml:space="preserve"> </v>
      </c>
      <c r="R180" s="1975" t="str">
        <f t="shared" si="104"/>
        <v xml:space="preserve"> </v>
      </c>
      <c r="S180" s="1975" t="str">
        <f t="shared" si="105"/>
        <v xml:space="preserve"> </v>
      </c>
      <c r="T180" s="1975" t="str">
        <f t="shared" si="106"/>
        <v xml:space="preserve"> </v>
      </c>
      <c r="U180" s="1976" t="str">
        <f t="shared" si="107"/>
        <v xml:space="preserve"> </v>
      </c>
      <c r="V180" s="1976" t="str">
        <f t="shared" si="108"/>
        <v xml:space="preserve"> </v>
      </c>
      <c r="W180" s="1976" t="str">
        <f t="shared" si="109"/>
        <v xml:space="preserve"> </v>
      </c>
      <c r="X180" s="1976" t="str">
        <f t="shared" si="110"/>
        <v xml:space="preserve"> </v>
      </c>
      <c r="Y180" s="1976" t="str">
        <f t="shared" si="111"/>
        <v xml:space="preserve"> </v>
      </c>
      <c r="Z180" s="1977" t="str">
        <f t="shared" si="112"/>
        <v xml:space="preserve"> </v>
      </c>
      <c r="AA180" s="1977" t="str">
        <f t="shared" si="113"/>
        <v xml:space="preserve"> </v>
      </c>
      <c r="AB180" s="1977" t="str">
        <f t="shared" si="114"/>
        <v xml:space="preserve"> </v>
      </c>
      <c r="AC180" s="1977" t="str">
        <f t="shared" si="115"/>
        <v xml:space="preserve"> </v>
      </c>
      <c r="AD180" s="1977" t="str">
        <f t="shared" si="116"/>
        <v xml:space="preserve"> </v>
      </c>
      <c r="AE180" s="1978" t="str">
        <f t="shared" si="117"/>
        <v xml:space="preserve"> </v>
      </c>
      <c r="AF180" s="1978" t="str">
        <f t="shared" si="118"/>
        <v xml:space="preserve"> </v>
      </c>
      <c r="AG180" s="1978" t="str">
        <f t="shared" si="119"/>
        <v xml:space="preserve"> </v>
      </c>
      <c r="AH180" s="1978" t="str">
        <f t="shared" si="120"/>
        <v xml:space="preserve"> </v>
      </c>
      <c r="AI180" s="1978" t="str">
        <f t="shared" si="121"/>
        <v xml:space="preserve"> </v>
      </c>
    </row>
    <row r="181" spans="12:35" s="352" customFormat="1" x14ac:dyDescent="0.25">
      <c r="L181" s="1972" t="str">
        <f t="shared" si="98"/>
        <v xml:space="preserve">      </v>
      </c>
      <c r="M181" s="1973" t="str">
        <f t="shared" si="99"/>
        <v xml:space="preserve">      </v>
      </c>
      <c r="N181" s="1974" t="str">
        <f t="shared" si="100"/>
        <v xml:space="preserve">      </v>
      </c>
      <c r="O181" s="1974" t="str">
        <f t="shared" si="101"/>
        <v xml:space="preserve">      </v>
      </c>
      <c r="P181" s="1975" t="str">
        <f t="shared" si="102"/>
        <v xml:space="preserve"> </v>
      </c>
      <c r="Q181" s="1975" t="str">
        <f t="shared" si="103"/>
        <v xml:space="preserve"> </v>
      </c>
      <c r="R181" s="1975" t="str">
        <f t="shared" si="104"/>
        <v xml:space="preserve"> </v>
      </c>
      <c r="S181" s="1975" t="str">
        <f t="shared" si="105"/>
        <v xml:space="preserve"> </v>
      </c>
      <c r="T181" s="1975" t="str">
        <f t="shared" si="106"/>
        <v xml:space="preserve"> </v>
      </c>
      <c r="U181" s="1976" t="str">
        <f t="shared" si="107"/>
        <v xml:space="preserve"> </v>
      </c>
      <c r="V181" s="1976" t="str">
        <f t="shared" si="108"/>
        <v xml:space="preserve"> </v>
      </c>
      <c r="W181" s="1976" t="str">
        <f t="shared" si="109"/>
        <v xml:space="preserve"> </v>
      </c>
      <c r="X181" s="1976" t="str">
        <f t="shared" si="110"/>
        <v xml:space="preserve"> </v>
      </c>
      <c r="Y181" s="1976" t="str">
        <f t="shared" si="111"/>
        <v xml:space="preserve"> </v>
      </c>
      <c r="Z181" s="1977" t="str">
        <f t="shared" si="112"/>
        <v xml:space="preserve"> </v>
      </c>
      <c r="AA181" s="1977" t="str">
        <f t="shared" si="113"/>
        <v xml:space="preserve"> </v>
      </c>
      <c r="AB181" s="1977" t="str">
        <f t="shared" si="114"/>
        <v xml:space="preserve"> </v>
      </c>
      <c r="AC181" s="1977" t="str">
        <f t="shared" si="115"/>
        <v xml:space="preserve"> </v>
      </c>
      <c r="AD181" s="1977" t="str">
        <f t="shared" si="116"/>
        <v xml:space="preserve"> </v>
      </c>
      <c r="AE181" s="1978" t="str">
        <f t="shared" si="117"/>
        <v xml:space="preserve"> </v>
      </c>
      <c r="AF181" s="1978" t="str">
        <f t="shared" si="118"/>
        <v xml:space="preserve"> </v>
      </c>
      <c r="AG181" s="1978" t="str">
        <f t="shared" si="119"/>
        <v xml:space="preserve"> </v>
      </c>
      <c r="AH181" s="1978" t="str">
        <f t="shared" si="120"/>
        <v xml:space="preserve"> </v>
      </c>
      <c r="AI181" s="1978" t="str">
        <f t="shared" si="121"/>
        <v xml:space="preserve"> </v>
      </c>
    </row>
    <row r="182" spans="12:35" s="352" customFormat="1" x14ac:dyDescent="0.25">
      <c r="L182" s="1972" t="str">
        <f t="shared" si="98"/>
        <v xml:space="preserve">      </v>
      </c>
      <c r="M182" s="1973" t="str">
        <f t="shared" si="99"/>
        <v xml:space="preserve">      </v>
      </c>
      <c r="N182" s="1974" t="str">
        <f t="shared" si="100"/>
        <v xml:space="preserve">      </v>
      </c>
      <c r="O182" s="1974" t="str">
        <f t="shared" si="101"/>
        <v xml:space="preserve">      </v>
      </c>
      <c r="P182" s="1975" t="str">
        <f t="shared" si="102"/>
        <v xml:space="preserve"> </v>
      </c>
      <c r="Q182" s="1975" t="str">
        <f t="shared" si="103"/>
        <v xml:space="preserve"> </v>
      </c>
      <c r="R182" s="1975" t="str">
        <f t="shared" si="104"/>
        <v xml:space="preserve"> </v>
      </c>
      <c r="S182" s="1975" t="str">
        <f t="shared" si="105"/>
        <v xml:space="preserve"> </v>
      </c>
      <c r="T182" s="1975" t="str">
        <f t="shared" si="106"/>
        <v xml:space="preserve"> </v>
      </c>
      <c r="U182" s="1976" t="str">
        <f t="shared" si="107"/>
        <v xml:space="preserve"> </v>
      </c>
      <c r="V182" s="1976" t="str">
        <f t="shared" si="108"/>
        <v xml:space="preserve"> </v>
      </c>
      <c r="W182" s="1976" t="str">
        <f t="shared" si="109"/>
        <v xml:space="preserve"> </v>
      </c>
      <c r="X182" s="1976" t="str">
        <f t="shared" si="110"/>
        <v xml:space="preserve"> </v>
      </c>
      <c r="Y182" s="1976" t="str">
        <f t="shared" si="111"/>
        <v xml:space="preserve"> </v>
      </c>
      <c r="Z182" s="1977" t="str">
        <f t="shared" si="112"/>
        <v xml:space="preserve"> </v>
      </c>
      <c r="AA182" s="1977" t="str">
        <f t="shared" si="113"/>
        <v xml:space="preserve"> </v>
      </c>
      <c r="AB182" s="1977" t="str">
        <f t="shared" si="114"/>
        <v xml:space="preserve"> </v>
      </c>
      <c r="AC182" s="1977" t="str">
        <f t="shared" si="115"/>
        <v xml:space="preserve"> </v>
      </c>
      <c r="AD182" s="1977" t="str">
        <f t="shared" si="116"/>
        <v xml:space="preserve"> </v>
      </c>
      <c r="AE182" s="1978" t="str">
        <f t="shared" si="117"/>
        <v xml:space="preserve"> </v>
      </c>
      <c r="AF182" s="1978" t="str">
        <f t="shared" si="118"/>
        <v xml:space="preserve"> </v>
      </c>
      <c r="AG182" s="1978" t="str">
        <f t="shared" si="119"/>
        <v xml:space="preserve"> </v>
      </c>
      <c r="AH182" s="1978" t="str">
        <f t="shared" si="120"/>
        <v xml:space="preserve"> </v>
      </c>
      <c r="AI182" s="1978" t="str">
        <f t="shared" si="121"/>
        <v xml:space="preserve"> </v>
      </c>
    </row>
    <row r="183" spans="12:35" s="352" customFormat="1" x14ac:dyDescent="0.25">
      <c r="L183" s="1972" t="str">
        <f t="shared" si="98"/>
        <v xml:space="preserve">      </v>
      </c>
      <c r="M183" s="1973" t="str">
        <f t="shared" si="99"/>
        <v xml:space="preserve">      </v>
      </c>
      <c r="N183" s="1974" t="str">
        <f t="shared" si="100"/>
        <v xml:space="preserve">      </v>
      </c>
      <c r="O183" s="1974" t="str">
        <f t="shared" si="101"/>
        <v xml:space="preserve">      </v>
      </c>
      <c r="P183" s="1975" t="str">
        <f t="shared" si="102"/>
        <v xml:space="preserve"> </v>
      </c>
      <c r="Q183" s="1975" t="str">
        <f t="shared" si="103"/>
        <v xml:space="preserve"> </v>
      </c>
      <c r="R183" s="1975" t="str">
        <f t="shared" si="104"/>
        <v xml:space="preserve"> </v>
      </c>
      <c r="S183" s="1975" t="str">
        <f t="shared" si="105"/>
        <v xml:space="preserve"> </v>
      </c>
      <c r="T183" s="1975" t="str">
        <f t="shared" si="106"/>
        <v xml:space="preserve"> </v>
      </c>
      <c r="U183" s="1976" t="str">
        <f t="shared" si="107"/>
        <v xml:space="preserve"> </v>
      </c>
      <c r="V183" s="1976" t="str">
        <f t="shared" si="108"/>
        <v xml:space="preserve"> </v>
      </c>
      <c r="W183" s="1976" t="str">
        <f t="shared" si="109"/>
        <v xml:space="preserve"> </v>
      </c>
      <c r="X183" s="1976" t="str">
        <f t="shared" si="110"/>
        <v xml:space="preserve"> </v>
      </c>
      <c r="Y183" s="1976" t="str">
        <f t="shared" si="111"/>
        <v xml:space="preserve"> </v>
      </c>
      <c r="Z183" s="1977" t="str">
        <f t="shared" si="112"/>
        <v xml:space="preserve"> </v>
      </c>
      <c r="AA183" s="1977" t="str">
        <f t="shared" si="113"/>
        <v xml:space="preserve"> </v>
      </c>
      <c r="AB183" s="1977" t="str">
        <f t="shared" si="114"/>
        <v xml:space="preserve"> </v>
      </c>
      <c r="AC183" s="1977" t="str">
        <f t="shared" si="115"/>
        <v xml:space="preserve"> </v>
      </c>
      <c r="AD183" s="1977" t="str">
        <f t="shared" si="116"/>
        <v xml:space="preserve"> </v>
      </c>
      <c r="AE183" s="1978" t="str">
        <f t="shared" si="117"/>
        <v xml:space="preserve"> </v>
      </c>
      <c r="AF183" s="1978" t="str">
        <f t="shared" si="118"/>
        <v xml:space="preserve"> </v>
      </c>
      <c r="AG183" s="1978" t="str">
        <f t="shared" si="119"/>
        <v xml:space="preserve"> </v>
      </c>
      <c r="AH183" s="1978" t="str">
        <f t="shared" si="120"/>
        <v xml:space="preserve"> </v>
      </c>
      <c r="AI183" s="1978" t="str">
        <f t="shared" si="121"/>
        <v xml:space="preserve"> </v>
      </c>
    </row>
    <row r="184" spans="12:35" s="352" customFormat="1" x14ac:dyDescent="0.25">
      <c r="L184" s="1972" t="str">
        <f t="shared" si="98"/>
        <v xml:space="preserve">      </v>
      </c>
      <c r="M184" s="1973" t="str">
        <f t="shared" si="99"/>
        <v xml:space="preserve">      </v>
      </c>
      <c r="N184" s="1974" t="str">
        <f t="shared" si="100"/>
        <v xml:space="preserve">      </v>
      </c>
      <c r="O184" s="1974" t="str">
        <f t="shared" si="101"/>
        <v xml:space="preserve">      </v>
      </c>
      <c r="P184" s="1975" t="str">
        <f t="shared" si="102"/>
        <v xml:space="preserve"> </v>
      </c>
      <c r="Q184" s="1975" t="str">
        <f t="shared" si="103"/>
        <v xml:space="preserve"> </v>
      </c>
      <c r="R184" s="1975" t="str">
        <f t="shared" si="104"/>
        <v xml:space="preserve"> </v>
      </c>
      <c r="S184" s="1975" t="str">
        <f t="shared" si="105"/>
        <v xml:space="preserve"> </v>
      </c>
      <c r="T184" s="1975" t="str">
        <f t="shared" si="106"/>
        <v xml:space="preserve"> </v>
      </c>
      <c r="U184" s="1976" t="str">
        <f t="shared" si="107"/>
        <v xml:space="preserve"> </v>
      </c>
      <c r="V184" s="1976" t="str">
        <f t="shared" si="108"/>
        <v xml:space="preserve"> </v>
      </c>
      <c r="W184" s="1976" t="str">
        <f t="shared" si="109"/>
        <v xml:space="preserve"> </v>
      </c>
      <c r="X184" s="1976" t="str">
        <f t="shared" si="110"/>
        <v xml:space="preserve"> </v>
      </c>
      <c r="Y184" s="1976" t="str">
        <f t="shared" si="111"/>
        <v xml:space="preserve"> </v>
      </c>
      <c r="Z184" s="1977" t="str">
        <f t="shared" si="112"/>
        <v xml:space="preserve"> </v>
      </c>
      <c r="AA184" s="1977" t="str">
        <f t="shared" si="113"/>
        <v xml:space="preserve"> </v>
      </c>
      <c r="AB184" s="1977" t="str">
        <f t="shared" si="114"/>
        <v xml:space="preserve"> </v>
      </c>
      <c r="AC184" s="1977" t="str">
        <f t="shared" si="115"/>
        <v xml:space="preserve"> </v>
      </c>
      <c r="AD184" s="1977" t="str">
        <f t="shared" si="116"/>
        <v xml:space="preserve"> </v>
      </c>
      <c r="AE184" s="1978" t="str">
        <f t="shared" si="117"/>
        <v xml:space="preserve"> </v>
      </c>
      <c r="AF184" s="1978" t="str">
        <f t="shared" si="118"/>
        <v xml:space="preserve"> </v>
      </c>
      <c r="AG184" s="1978" t="str">
        <f t="shared" si="119"/>
        <v xml:space="preserve"> </v>
      </c>
      <c r="AH184" s="1978" t="str">
        <f t="shared" si="120"/>
        <v xml:space="preserve"> </v>
      </c>
      <c r="AI184" s="1978" t="str">
        <f t="shared" si="121"/>
        <v xml:space="preserve"> </v>
      </c>
    </row>
    <row r="185" spans="12:35" s="352" customFormat="1" x14ac:dyDescent="0.25">
      <c r="L185" s="1972" t="str">
        <f t="shared" si="98"/>
        <v xml:space="preserve">      </v>
      </c>
      <c r="M185" s="1973" t="str">
        <f t="shared" si="99"/>
        <v xml:space="preserve">      </v>
      </c>
      <c r="N185" s="1974" t="str">
        <f t="shared" si="100"/>
        <v xml:space="preserve">      </v>
      </c>
      <c r="O185" s="1974" t="str">
        <f t="shared" si="101"/>
        <v xml:space="preserve">      </v>
      </c>
      <c r="P185" s="1975" t="str">
        <f t="shared" si="102"/>
        <v xml:space="preserve"> </v>
      </c>
      <c r="Q185" s="1975" t="str">
        <f t="shared" si="103"/>
        <v xml:space="preserve"> </v>
      </c>
      <c r="R185" s="1975" t="str">
        <f t="shared" si="104"/>
        <v xml:space="preserve"> </v>
      </c>
      <c r="S185" s="1975" t="str">
        <f t="shared" si="105"/>
        <v xml:space="preserve"> </v>
      </c>
      <c r="T185" s="1975" t="str">
        <f t="shared" si="106"/>
        <v xml:space="preserve"> </v>
      </c>
      <c r="U185" s="1976" t="str">
        <f t="shared" si="107"/>
        <v xml:space="preserve"> </v>
      </c>
      <c r="V185" s="1976" t="str">
        <f t="shared" si="108"/>
        <v xml:space="preserve"> </v>
      </c>
      <c r="W185" s="1976" t="str">
        <f t="shared" si="109"/>
        <v xml:space="preserve"> </v>
      </c>
      <c r="X185" s="1976" t="str">
        <f t="shared" si="110"/>
        <v xml:space="preserve"> </v>
      </c>
      <c r="Y185" s="1976" t="str">
        <f t="shared" si="111"/>
        <v xml:space="preserve"> </v>
      </c>
      <c r="Z185" s="1977" t="str">
        <f t="shared" si="112"/>
        <v xml:space="preserve"> </v>
      </c>
      <c r="AA185" s="1977" t="str">
        <f t="shared" si="113"/>
        <v xml:space="preserve"> </v>
      </c>
      <c r="AB185" s="1977" t="str">
        <f t="shared" si="114"/>
        <v xml:space="preserve"> </v>
      </c>
      <c r="AC185" s="1977" t="str">
        <f t="shared" si="115"/>
        <v xml:space="preserve"> </v>
      </c>
      <c r="AD185" s="1977" t="str">
        <f t="shared" si="116"/>
        <v xml:space="preserve"> </v>
      </c>
      <c r="AE185" s="1978" t="str">
        <f t="shared" si="117"/>
        <v xml:space="preserve"> </v>
      </c>
      <c r="AF185" s="1978" t="str">
        <f t="shared" si="118"/>
        <v xml:space="preserve"> </v>
      </c>
      <c r="AG185" s="1978" t="str">
        <f t="shared" si="119"/>
        <v xml:space="preserve"> </v>
      </c>
      <c r="AH185" s="1978" t="str">
        <f t="shared" si="120"/>
        <v xml:space="preserve"> </v>
      </c>
      <c r="AI185" s="1978" t="str">
        <f t="shared" si="121"/>
        <v xml:space="preserve"> </v>
      </c>
    </row>
    <row r="186" spans="12:35" s="352" customFormat="1" x14ac:dyDescent="0.25">
      <c r="L186" s="1972" t="str">
        <f t="shared" si="98"/>
        <v xml:space="preserve">      </v>
      </c>
      <c r="M186" s="1973" t="str">
        <f t="shared" si="99"/>
        <v xml:space="preserve">      </v>
      </c>
      <c r="N186" s="1974" t="str">
        <f t="shared" si="100"/>
        <v xml:space="preserve">      </v>
      </c>
      <c r="O186" s="1974" t="str">
        <f t="shared" si="101"/>
        <v xml:space="preserve">      </v>
      </c>
      <c r="P186" s="1975" t="str">
        <f t="shared" si="102"/>
        <v xml:space="preserve"> </v>
      </c>
      <c r="Q186" s="1975" t="str">
        <f t="shared" si="103"/>
        <v xml:space="preserve"> </v>
      </c>
      <c r="R186" s="1975" t="str">
        <f t="shared" si="104"/>
        <v xml:space="preserve"> </v>
      </c>
      <c r="S186" s="1975" t="str">
        <f t="shared" si="105"/>
        <v xml:space="preserve"> </v>
      </c>
      <c r="T186" s="1975" t="str">
        <f t="shared" si="106"/>
        <v xml:space="preserve"> </v>
      </c>
      <c r="U186" s="1976" t="str">
        <f t="shared" si="107"/>
        <v xml:space="preserve"> </v>
      </c>
      <c r="V186" s="1976" t="str">
        <f t="shared" si="108"/>
        <v xml:space="preserve"> </v>
      </c>
      <c r="W186" s="1976" t="str">
        <f t="shared" si="109"/>
        <v xml:space="preserve"> </v>
      </c>
      <c r="X186" s="1976" t="str">
        <f t="shared" si="110"/>
        <v xml:space="preserve"> </v>
      </c>
      <c r="Y186" s="1976" t="str">
        <f t="shared" si="111"/>
        <v xml:space="preserve"> </v>
      </c>
      <c r="Z186" s="1977" t="str">
        <f t="shared" si="112"/>
        <v xml:space="preserve"> </v>
      </c>
      <c r="AA186" s="1977" t="str">
        <f t="shared" si="113"/>
        <v xml:space="preserve"> </v>
      </c>
      <c r="AB186" s="1977" t="str">
        <f t="shared" si="114"/>
        <v xml:space="preserve"> </v>
      </c>
      <c r="AC186" s="1977" t="str">
        <f t="shared" si="115"/>
        <v xml:space="preserve"> </v>
      </c>
      <c r="AD186" s="1977" t="str">
        <f t="shared" si="116"/>
        <v xml:space="preserve"> </v>
      </c>
      <c r="AE186" s="1978" t="str">
        <f t="shared" si="117"/>
        <v xml:space="preserve"> </v>
      </c>
      <c r="AF186" s="1978" t="str">
        <f t="shared" si="118"/>
        <v xml:space="preserve"> </v>
      </c>
      <c r="AG186" s="1978" t="str">
        <f t="shared" si="119"/>
        <v xml:space="preserve"> </v>
      </c>
      <c r="AH186" s="1978" t="str">
        <f t="shared" si="120"/>
        <v xml:space="preserve"> </v>
      </c>
      <c r="AI186" s="1978" t="str">
        <f t="shared" si="121"/>
        <v xml:space="preserve"> </v>
      </c>
    </row>
    <row r="187" spans="12:35" s="352" customFormat="1" x14ac:dyDescent="0.25">
      <c r="L187" s="1972" t="str">
        <f t="shared" si="98"/>
        <v xml:space="preserve">      </v>
      </c>
      <c r="M187" s="1973" t="str">
        <f t="shared" si="99"/>
        <v xml:space="preserve">      </v>
      </c>
      <c r="N187" s="1974" t="str">
        <f t="shared" si="100"/>
        <v xml:space="preserve">      </v>
      </c>
      <c r="O187" s="1974" t="str">
        <f t="shared" si="101"/>
        <v xml:space="preserve">      </v>
      </c>
      <c r="P187" s="1975" t="str">
        <f t="shared" si="102"/>
        <v xml:space="preserve"> </v>
      </c>
      <c r="Q187" s="1975" t="str">
        <f t="shared" si="103"/>
        <v xml:space="preserve"> </v>
      </c>
      <c r="R187" s="1975" t="str">
        <f t="shared" si="104"/>
        <v xml:space="preserve"> </v>
      </c>
      <c r="S187" s="1975" t="str">
        <f t="shared" si="105"/>
        <v xml:space="preserve"> </v>
      </c>
      <c r="T187" s="1975" t="str">
        <f t="shared" si="106"/>
        <v xml:space="preserve"> </v>
      </c>
      <c r="U187" s="1976" t="str">
        <f t="shared" si="107"/>
        <v xml:space="preserve"> </v>
      </c>
      <c r="V187" s="1976" t="str">
        <f t="shared" si="108"/>
        <v xml:space="preserve"> </v>
      </c>
      <c r="W187" s="1976" t="str">
        <f t="shared" si="109"/>
        <v xml:space="preserve"> </v>
      </c>
      <c r="X187" s="1976" t="str">
        <f t="shared" si="110"/>
        <v xml:space="preserve"> </v>
      </c>
      <c r="Y187" s="1976" t="str">
        <f t="shared" si="111"/>
        <v xml:space="preserve"> </v>
      </c>
      <c r="Z187" s="1977" t="str">
        <f t="shared" si="112"/>
        <v xml:space="preserve"> </v>
      </c>
      <c r="AA187" s="1977" t="str">
        <f t="shared" si="113"/>
        <v xml:space="preserve"> </v>
      </c>
      <c r="AB187" s="1977" t="str">
        <f t="shared" si="114"/>
        <v xml:space="preserve"> </v>
      </c>
      <c r="AC187" s="1977" t="str">
        <f t="shared" si="115"/>
        <v xml:space="preserve"> </v>
      </c>
      <c r="AD187" s="1977" t="str">
        <f t="shared" si="116"/>
        <v xml:space="preserve"> </v>
      </c>
      <c r="AE187" s="1978" t="str">
        <f t="shared" si="117"/>
        <v xml:space="preserve"> </v>
      </c>
      <c r="AF187" s="1978" t="str">
        <f t="shared" si="118"/>
        <v xml:space="preserve"> </v>
      </c>
      <c r="AG187" s="1978" t="str">
        <f t="shared" si="119"/>
        <v xml:space="preserve"> </v>
      </c>
      <c r="AH187" s="1978" t="str">
        <f t="shared" si="120"/>
        <v xml:space="preserve"> </v>
      </c>
      <c r="AI187" s="1978" t="str">
        <f t="shared" si="121"/>
        <v xml:space="preserve"> </v>
      </c>
    </row>
    <row r="188" spans="12:35" s="352" customFormat="1" x14ac:dyDescent="0.25">
      <c r="L188" s="1972" t="str">
        <f t="shared" si="98"/>
        <v xml:space="preserve">      </v>
      </c>
      <c r="M188" s="1973" t="str">
        <f t="shared" si="99"/>
        <v xml:space="preserve">      </v>
      </c>
      <c r="N188" s="1974" t="str">
        <f t="shared" si="100"/>
        <v xml:space="preserve">      </v>
      </c>
      <c r="O188" s="1974" t="str">
        <f t="shared" si="101"/>
        <v xml:space="preserve">      </v>
      </c>
      <c r="P188" s="1975" t="str">
        <f t="shared" si="102"/>
        <v xml:space="preserve"> </v>
      </c>
      <c r="Q188" s="1975" t="str">
        <f t="shared" si="103"/>
        <v xml:space="preserve"> </v>
      </c>
      <c r="R188" s="1975" t="str">
        <f t="shared" si="104"/>
        <v xml:space="preserve"> </v>
      </c>
      <c r="S188" s="1975" t="str">
        <f t="shared" si="105"/>
        <v xml:space="preserve"> </v>
      </c>
      <c r="T188" s="1975" t="str">
        <f t="shared" si="106"/>
        <v xml:space="preserve"> </v>
      </c>
      <c r="U188" s="1976" t="str">
        <f t="shared" si="107"/>
        <v xml:space="preserve"> </v>
      </c>
      <c r="V188" s="1976" t="str">
        <f t="shared" si="108"/>
        <v xml:space="preserve"> </v>
      </c>
      <c r="W188" s="1976" t="str">
        <f t="shared" si="109"/>
        <v xml:space="preserve"> </v>
      </c>
      <c r="X188" s="1976" t="str">
        <f t="shared" si="110"/>
        <v xml:space="preserve"> </v>
      </c>
      <c r="Y188" s="1976" t="str">
        <f t="shared" si="111"/>
        <v xml:space="preserve"> </v>
      </c>
      <c r="Z188" s="1977" t="str">
        <f t="shared" si="112"/>
        <v xml:space="preserve"> </v>
      </c>
      <c r="AA188" s="1977" t="str">
        <f t="shared" si="113"/>
        <v xml:space="preserve"> </v>
      </c>
      <c r="AB188" s="1977" t="str">
        <f t="shared" si="114"/>
        <v xml:space="preserve"> </v>
      </c>
      <c r="AC188" s="1977" t="str">
        <f t="shared" si="115"/>
        <v xml:space="preserve"> </v>
      </c>
      <c r="AD188" s="1977" t="str">
        <f t="shared" si="116"/>
        <v xml:space="preserve"> </v>
      </c>
      <c r="AE188" s="1978" t="str">
        <f t="shared" si="117"/>
        <v xml:space="preserve"> </v>
      </c>
      <c r="AF188" s="1978" t="str">
        <f t="shared" si="118"/>
        <v xml:space="preserve"> </v>
      </c>
      <c r="AG188" s="1978" t="str">
        <f t="shared" si="119"/>
        <v xml:space="preserve"> </v>
      </c>
      <c r="AH188" s="1978" t="str">
        <f t="shared" si="120"/>
        <v xml:space="preserve"> </v>
      </c>
      <c r="AI188" s="1978" t="str">
        <f t="shared" si="121"/>
        <v xml:space="preserve"> </v>
      </c>
    </row>
    <row r="189" spans="12:35" s="352" customFormat="1" x14ac:dyDescent="0.25">
      <c r="L189" s="1972" t="str">
        <f t="shared" si="98"/>
        <v xml:space="preserve">      </v>
      </c>
      <c r="M189" s="1973" t="str">
        <f t="shared" si="99"/>
        <v xml:space="preserve">      </v>
      </c>
      <c r="N189" s="1974" t="str">
        <f t="shared" si="100"/>
        <v xml:space="preserve">      </v>
      </c>
      <c r="O189" s="1974" t="str">
        <f t="shared" si="101"/>
        <v xml:space="preserve">      </v>
      </c>
      <c r="P189" s="1975" t="str">
        <f t="shared" si="102"/>
        <v xml:space="preserve"> </v>
      </c>
      <c r="Q189" s="1975" t="str">
        <f t="shared" si="103"/>
        <v xml:space="preserve"> </v>
      </c>
      <c r="R189" s="1975" t="str">
        <f t="shared" si="104"/>
        <v xml:space="preserve"> </v>
      </c>
      <c r="S189" s="1975" t="str">
        <f t="shared" si="105"/>
        <v xml:space="preserve"> </v>
      </c>
      <c r="T189" s="1975" t="str">
        <f t="shared" si="106"/>
        <v xml:space="preserve"> </v>
      </c>
      <c r="U189" s="1976" t="str">
        <f t="shared" si="107"/>
        <v xml:space="preserve"> </v>
      </c>
      <c r="V189" s="1976" t="str">
        <f t="shared" si="108"/>
        <v xml:space="preserve"> </v>
      </c>
      <c r="W189" s="1976" t="str">
        <f t="shared" si="109"/>
        <v xml:space="preserve"> </v>
      </c>
      <c r="X189" s="1976" t="str">
        <f t="shared" si="110"/>
        <v xml:space="preserve"> </v>
      </c>
      <c r="Y189" s="1976" t="str">
        <f t="shared" si="111"/>
        <v xml:space="preserve"> </v>
      </c>
      <c r="Z189" s="1977" t="str">
        <f t="shared" si="112"/>
        <v xml:space="preserve"> </v>
      </c>
      <c r="AA189" s="1977" t="str">
        <f t="shared" si="113"/>
        <v xml:space="preserve"> </v>
      </c>
      <c r="AB189" s="1977" t="str">
        <f t="shared" si="114"/>
        <v xml:space="preserve"> </v>
      </c>
      <c r="AC189" s="1977" t="str">
        <f t="shared" si="115"/>
        <v xml:space="preserve"> </v>
      </c>
      <c r="AD189" s="1977" t="str">
        <f t="shared" si="116"/>
        <v xml:space="preserve"> </v>
      </c>
      <c r="AE189" s="1978" t="str">
        <f t="shared" si="117"/>
        <v xml:space="preserve"> </v>
      </c>
      <c r="AF189" s="1978" t="str">
        <f t="shared" si="118"/>
        <v xml:space="preserve"> </v>
      </c>
      <c r="AG189" s="1978" t="str">
        <f t="shared" si="119"/>
        <v xml:space="preserve"> </v>
      </c>
      <c r="AH189" s="1978" t="str">
        <f t="shared" si="120"/>
        <v xml:space="preserve"> </v>
      </c>
      <c r="AI189" s="1978" t="str">
        <f t="shared" si="121"/>
        <v xml:space="preserve"> </v>
      </c>
    </row>
    <row r="190" spans="12:35" s="352" customFormat="1" x14ac:dyDescent="0.25">
      <c r="L190" s="1972" t="str">
        <f t="shared" si="98"/>
        <v xml:space="preserve">      </v>
      </c>
      <c r="M190" s="1973" t="str">
        <f t="shared" si="99"/>
        <v xml:space="preserve">      </v>
      </c>
      <c r="N190" s="1974" t="str">
        <f t="shared" si="100"/>
        <v xml:space="preserve">      </v>
      </c>
      <c r="O190" s="1974" t="str">
        <f t="shared" si="101"/>
        <v xml:space="preserve">      </v>
      </c>
      <c r="P190" s="1975" t="str">
        <f t="shared" si="102"/>
        <v xml:space="preserve"> </v>
      </c>
      <c r="Q190" s="1975" t="str">
        <f t="shared" si="103"/>
        <v xml:space="preserve"> </v>
      </c>
      <c r="R190" s="1975" t="str">
        <f t="shared" si="104"/>
        <v xml:space="preserve"> </v>
      </c>
      <c r="S190" s="1975" t="str">
        <f t="shared" si="105"/>
        <v xml:space="preserve"> </v>
      </c>
      <c r="T190" s="1975" t="str">
        <f t="shared" si="106"/>
        <v xml:space="preserve"> </v>
      </c>
      <c r="U190" s="1976" t="str">
        <f t="shared" si="107"/>
        <v xml:space="preserve"> </v>
      </c>
      <c r="V190" s="1976" t="str">
        <f t="shared" si="108"/>
        <v xml:space="preserve"> </v>
      </c>
      <c r="W190" s="1976" t="str">
        <f t="shared" si="109"/>
        <v xml:space="preserve"> </v>
      </c>
      <c r="X190" s="1976" t="str">
        <f t="shared" si="110"/>
        <v xml:space="preserve"> </v>
      </c>
      <c r="Y190" s="1976" t="str">
        <f t="shared" si="111"/>
        <v xml:space="preserve"> </v>
      </c>
      <c r="Z190" s="1977" t="str">
        <f t="shared" si="112"/>
        <v xml:space="preserve"> </v>
      </c>
      <c r="AA190" s="1977" t="str">
        <f t="shared" si="113"/>
        <v xml:space="preserve"> </v>
      </c>
      <c r="AB190" s="1977" t="str">
        <f t="shared" si="114"/>
        <v xml:space="preserve"> </v>
      </c>
      <c r="AC190" s="1977" t="str">
        <f t="shared" si="115"/>
        <v xml:space="preserve"> </v>
      </c>
      <c r="AD190" s="1977" t="str">
        <f t="shared" si="116"/>
        <v xml:space="preserve"> </v>
      </c>
      <c r="AE190" s="1978" t="str">
        <f t="shared" si="117"/>
        <v xml:space="preserve"> </v>
      </c>
      <c r="AF190" s="1978" t="str">
        <f t="shared" si="118"/>
        <v xml:space="preserve"> </v>
      </c>
      <c r="AG190" s="1978" t="str">
        <f t="shared" si="119"/>
        <v xml:space="preserve"> </v>
      </c>
      <c r="AH190" s="1978" t="str">
        <f t="shared" si="120"/>
        <v xml:space="preserve"> </v>
      </c>
      <c r="AI190" s="1978" t="str">
        <f t="shared" si="121"/>
        <v xml:space="preserve"> </v>
      </c>
    </row>
    <row r="191" spans="12:35" s="352" customFormat="1" x14ac:dyDescent="0.25">
      <c r="L191" s="1972" t="str">
        <f t="shared" si="98"/>
        <v xml:space="preserve">      </v>
      </c>
      <c r="M191" s="1973" t="str">
        <f t="shared" si="99"/>
        <v xml:space="preserve">      </v>
      </c>
      <c r="N191" s="1974" t="str">
        <f t="shared" si="100"/>
        <v xml:space="preserve">      </v>
      </c>
      <c r="O191" s="1974" t="str">
        <f t="shared" si="101"/>
        <v xml:space="preserve">      </v>
      </c>
      <c r="P191" s="1975" t="str">
        <f t="shared" si="102"/>
        <v xml:space="preserve"> </v>
      </c>
      <c r="Q191" s="1975" t="str">
        <f t="shared" si="103"/>
        <v xml:space="preserve"> </v>
      </c>
      <c r="R191" s="1975" t="str">
        <f t="shared" si="104"/>
        <v xml:space="preserve"> </v>
      </c>
      <c r="S191" s="1975" t="str">
        <f t="shared" si="105"/>
        <v xml:space="preserve"> </v>
      </c>
      <c r="T191" s="1975" t="str">
        <f t="shared" si="106"/>
        <v xml:space="preserve"> </v>
      </c>
      <c r="U191" s="1976" t="str">
        <f t="shared" si="107"/>
        <v xml:space="preserve"> </v>
      </c>
      <c r="V191" s="1976" t="str">
        <f t="shared" si="108"/>
        <v xml:space="preserve"> </v>
      </c>
      <c r="W191" s="1976" t="str">
        <f t="shared" si="109"/>
        <v xml:space="preserve"> </v>
      </c>
      <c r="X191" s="1976" t="str">
        <f t="shared" si="110"/>
        <v xml:space="preserve"> </v>
      </c>
      <c r="Y191" s="1976" t="str">
        <f t="shared" si="111"/>
        <v xml:space="preserve"> </v>
      </c>
      <c r="Z191" s="1977" t="str">
        <f t="shared" si="112"/>
        <v xml:space="preserve"> </v>
      </c>
      <c r="AA191" s="1977" t="str">
        <f t="shared" si="113"/>
        <v xml:space="preserve"> </v>
      </c>
      <c r="AB191" s="1977" t="str">
        <f t="shared" si="114"/>
        <v xml:space="preserve"> </v>
      </c>
      <c r="AC191" s="1977" t="str">
        <f t="shared" si="115"/>
        <v xml:space="preserve"> </v>
      </c>
      <c r="AD191" s="1977" t="str">
        <f t="shared" si="116"/>
        <v xml:space="preserve"> </v>
      </c>
      <c r="AE191" s="1978" t="str">
        <f t="shared" si="117"/>
        <v xml:space="preserve"> </v>
      </c>
      <c r="AF191" s="1978" t="str">
        <f t="shared" si="118"/>
        <v xml:space="preserve"> </v>
      </c>
      <c r="AG191" s="1978" t="str">
        <f t="shared" si="119"/>
        <v xml:space="preserve"> </v>
      </c>
      <c r="AH191" s="1978" t="str">
        <f t="shared" si="120"/>
        <v xml:space="preserve"> </v>
      </c>
      <c r="AI191" s="1978" t="str">
        <f t="shared" si="121"/>
        <v xml:space="preserve"> </v>
      </c>
    </row>
    <row r="192" spans="12:35" s="352" customFormat="1" x14ac:dyDescent="0.25">
      <c r="L192" s="1972" t="str">
        <f t="shared" si="98"/>
        <v xml:space="preserve">      </v>
      </c>
      <c r="M192" s="1973" t="str">
        <f t="shared" si="99"/>
        <v xml:space="preserve">      </v>
      </c>
      <c r="N192" s="1974" t="str">
        <f t="shared" si="100"/>
        <v xml:space="preserve">      </v>
      </c>
      <c r="O192" s="1974" t="str">
        <f t="shared" si="101"/>
        <v xml:space="preserve">      </v>
      </c>
      <c r="P192" s="1975" t="str">
        <f t="shared" si="102"/>
        <v xml:space="preserve"> </v>
      </c>
      <c r="Q192" s="1975" t="str">
        <f t="shared" si="103"/>
        <v xml:space="preserve"> </v>
      </c>
      <c r="R192" s="1975" t="str">
        <f t="shared" si="104"/>
        <v xml:space="preserve"> </v>
      </c>
      <c r="S192" s="1975" t="str">
        <f t="shared" si="105"/>
        <v xml:space="preserve"> </v>
      </c>
      <c r="T192" s="1975" t="str">
        <f t="shared" si="106"/>
        <v xml:space="preserve"> </v>
      </c>
      <c r="U192" s="1976" t="str">
        <f t="shared" si="107"/>
        <v xml:space="preserve"> </v>
      </c>
      <c r="V192" s="1976" t="str">
        <f t="shared" si="108"/>
        <v xml:space="preserve"> </v>
      </c>
      <c r="W192" s="1976" t="str">
        <f t="shared" si="109"/>
        <v xml:space="preserve"> </v>
      </c>
      <c r="X192" s="1976" t="str">
        <f t="shared" si="110"/>
        <v xml:space="preserve"> </v>
      </c>
      <c r="Y192" s="1976" t="str">
        <f t="shared" si="111"/>
        <v xml:space="preserve"> </v>
      </c>
      <c r="Z192" s="1977" t="str">
        <f t="shared" si="112"/>
        <v xml:space="preserve"> </v>
      </c>
      <c r="AA192" s="1977" t="str">
        <f t="shared" si="113"/>
        <v xml:space="preserve"> </v>
      </c>
      <c r="AB192" s="1977" t="str">
        <f t="shared" si="114"/>
        <v xml:space="preserve"> </v>
      </c>
      <c r="AC192" s="1977" t="str">
        <f t="shared" si="115"/>
        <v xml:space="preserve"> </v>
      </c>
      <c r="AD192" s="1977" t="str">
        <f t="shared" si="116"/>
        <v xml:space="preserve"> </v>
      </c>
      <c r="AE192" s="1978" t="str">
        <f t="shared" si="117"/>
        <v xml:space="preserve"> </v>
      </c>
      <c r="AF192" s="1978" t="str">
        <f t="shared" si="118"/>
        <v xml:space="preserve"> </v>
      </c>
      <c r="AG192" s="1978" t="str">
        <f t="shared" si="119"/>
        <v xml:space="preserve"> </v>
      </c>
      <c r="AH192" s="1978" t="str">
        <f t="shared" si="120"/>
        <v xml:space="preserve"> </v>
      </c>
      <c r="AI192" s="1978" t="str">
        <f t="shared" si="121"/>
        <v xml:space="preserve"> </v>
      </c>
    </row>
    <row r="193" spans="12:35" s="352" customFormat="1" x14ac:dyDescent="0.25">
      <c r="L193" s="1972" t="str">
        <f t="shared" si="98"/>
        <v xml:space="preserve">      </v>
      </c>
      <c r="M193" s="1973" t="str">
        <f t="shared" si="99"/>
        <v xml:space="preserve">      </v>
      </c>
      <c r="N193" s="1974" t="str">
        <f t="shared" si="100"/>
        <v xml:space="preserve">      </v>
      </c>
      <c r="O193" s="1974" t="str">
        <f t="shared" si="101"/>
        <v xml:space="preserve">      </v>
      </c>
      <c r="P193" s="1975" t="str">
        <f t="shared" si="102"/>
        <v xml:space="preserve"> </v>
      </c>
      <c r="Q193" s="1975" t="str">
        <f t="shared" si="103"/>
        <v xml:space="preserve"> </v>
      </c>
      <c r="R193" s="1975" t="str">
        <f t="shared" si="104"/>
        <v xml:space="preserve"> </v>
      </c>
      <c r="S193" s="1975" t="str">
        <f t="shared" si="105"/>
        <v xml:space="preserve"> </v>
      </c>
      <c r="T193" s="1975" t="str">
        <f t="shared" si="106"/>
        <v xml:space="preserve"> </v>
      </c>
      <c r="U193" s="1976" t="str">
        <f t="shared" si="107"/>
        <v xml:space="preserve"> </v>
      </c>
      <c r="V193" s="1976" t="str">
        <f t="shared" si="108"/>
        <v xml:space="preserve"> </v>
      </c>
      <c r="W193" s="1976" t="str">
        <f t="shared" si="109"/>
        <v xml:space="preserve"> </v>
      </c>
      <c r="X193" s="1976" t="str">
        <f t="shared" si="110"/>
        <v xml:space="preserve"> </v>
      </c>
      <c r="Y193" s="1976" t="str">
        <f t="shared" si="111"/>
        <v xml:space="preserve"> </v>
      </c>
      <c r="Z193" s="1977" t="str">
        <f t="shared" si="112"/>
        <v xml:space="preserve"> </v>
      </c>
      <c r="AA193" s="1977" t="str">
        <f t="shared" si="113"/>
        <v xml:space="preserve"> </v>
      </c>
      <c r="AB193" s="1977" t="str">
        <f t="shared" si="114"/>
        <v xml:space="preserve"> </v>
      </c>
      <c r="AC193" s="1977" t="str">
        <f t="shared" si="115"/>
        <v xml:space="preserve"> </v>
      </c>
      <c r="AD193" s="1977" t="str">
        <f t="shared" si="116"/>
        <v xml:space="preserve"> </v>
      </c>
      <c r="AE193" s="1978" t="str">
        <f t="shared" si="117"/>
        <v xml:space="preserve"> </v>
      </c>
      <c r="AF193" s="1978" t="str">
        <f t="shared" si="118"/>
        <v xml:space="preserve"> </v>
      </c>
      <c r="AG193" s="1978" t="str">
        <f t="shared" si="119"/>
        <v xml:space="preserve"> </v>
      </c>
      <c r="AH193" s="1978" t="str">
        <f t="shared" si="120"/>
        <v xml:space="preserve"> </v>
      </c>
      <c r="AI193" s="1978" t="str">
        <f t="shared" si="121"/>
        <v xml:space="preserve"> </v>
      </c>
    </row>
    <row r="194" spans="12:35" s="352" customFormat="1" x14ac:dyDescent="0.25">
      <c r="L194" s="1972" t="str">
        <f t="shared" si="98"/>
        <v xml:space="preserve">      </v>
      </c>
      <c r="M194" s="1973" t="str">
        <f t="shared" si="99"/>
        <v xml:space="preserve">      </v>
      </c>
      <c r="N194" s="1974" t="str">
        <f t="shared" si="100"/>
        <v xml:space="preserve">      </v>
      </c>
      <c r="O194" s="1974" t="str">
        <f t="shared" si="101"/>
        <v xml:space="preserve">      </v>
      </c>
      <c r="P194" s="1975" t="str">
        <f t="shared" si="102"/>
        <v xml:space="preserve"> </v>
      </c>
      <c r="Q194" s="1975" t="str">
        <f t="shared" si="103"/>
        <v xml:space="preserve"> </v>
      </c>
      <c r="R194" s="1975" t="str">
        <f t="shared" si="104"/>
        <v xml:space="preserve"> </v>
      </c>
      <c r="S194" s="1975" t="str">
        <f t="shared" si="105"/>
        <v xml:space="preserve"> </v>
      </c>
      <c r="T194" s="1975" t="str">
        <f t="shared" si="106"/>
        <v xml:space="preserve"> </v>
      </c>
      <c r="U194" s="1976" t="str">
        <f t="shared" si="107"/>
        <v xml:space="preserve"> </v>
      </c>
      <c r="V194" s="1976" t="str">
        <f t="shared" si="108"/>
        <v xml:space="preserve"> </v>
      </c>
      <c r="W194" s="1976" t="str">
        <f t="shared" si="109"/>
        <v xml:space="preserve"> </v>
      </c>
      <c r="X194" s="1976" t="str">
        <f t="shared" si="110"/>
        <v xml:space="preserve"> </v>
      </c>
      <c r="Y194" s="1976" t="str">
        <f t="shared" si="111"/>
        <v xml:space="preserve"> </v>
      </c>
      <c r="Z194" s="1977" t="str">
        <f t="shared" si="112"/>
        <v xml:space="preserve"> </v>
      </c>
      <c r="AA194" s="1977" t="str">
        <f t="shared" si="113"/>
        <v xml:space="preserve"> </v>
      </c>
      <c r="AB194" s="1977" t="str">
        <f t="shared" si="114"/>
        <v xml:space="preserve"> </v>
      </c>
      <c r="AC194" s="1977" t="str">
        <f t="shared" si="115"/>
        <v xml:space="preserve"> </v>
      </c>
      <c r="AD194" s="1977" t="str">
        <f t="shared" si="116"/>
        <v xml:space="preserve"> </v>
      </c>
      <c r="AE194" s="1978" t="str">
        <f t="shared" si="117"/>
        <v xml:space="preserve"> </v>
      </c>
      <c r="AF194" s="1978" t="str">
        <f t="shared" si="118"/>
        <v xml:space="preserve"> </v>
      </c>
      <c r="AG194" s="1978" t="str">
        <f t="shared" si="119"/>
        <v xml:space="preserve"> </v>
      </c>
      <c r="AH194" s="1978" t="str">
        <f t="shared" si="120"/>
        <v xml:space="preserve"> </v>
      </c>
      <c r="AI194" s="1978" t="str">
        <f t="shared" si="121"/>
        <v xml:space="preserve"> </v>
      </c>
    </row>
    <row r="195" spans="12:35" s="352" customFormat="1" x14ac:dyDescent="0.25">
      <c r="L195" s="1972" t="str">
        <f t="shared" si="98"/>
        <v xml:space="preserve">      </v>
      </c>
      <c r="M195" s="1973" t="str">
        <f t="shared" si="99"/>
        <v xml:space="preserve">      </v>
      </c>
      <c r="N195" s="1974" t="str">
        <f t="shared" si="100"/>
        <v xml:space="preserve">      </v>
      </c>
      <c r="O195" s="1974" t="str">
        <f t="shared" si="101"/>
        <v xml:space="preserve">      </v>
      </c>
      <c r="P195" s="1975" t="str">
        <f t="shared" si="102"/>
        <v xml:space="preserve"> </v>
      </c>
      <c r="Q195" s="1975" t="str">
        <f t="shared" si="103"/>
        <v xml:space="preserve"> </v>
      </c>
      <c r="R195" s="1975" t="str">
        <f t="shared" si="104"/>
        <v xml:space="preserve"> </v>
      </c>
      <c r="S195" s="1975" t="str">
        <f t="shared" si="105"/>
        <v xml:space="preserve"> </v>
      </c>
      <c r="T195" s="1975" t="str">
        <f t="shared" si="106"/>
        <v xml:space="preserve"> </v>
      </c>
      <c r="U195" s="1976" t="str">
        <f t="shared" si="107"/>
        <v xml:space="preserve"> </v>
      </c>
      <c r="V195" s="1976" t="str">
        <f t="shared" si="108"/>
        <v xml:space="preserve"> </v>
      </c>
      <c r="W195" s="1976" t="str">
        <f t="shared" si="109"/>
        <v xml:space="preserve"> </v>
      </c>
      <c r="X195" s="1976" t="str">
        <f t="shared" si="110"/>
        <v xml:space="preserve"> </v>
      </c>
      <c r="Y195" s="1976" t="str">
        <f t="shared" si="111"/>
        <v xml:space="preserve"> </v>
      </c>
      <c r="Z195" s="1977" t="str">
        <f t="shared" si="112"/>
        <v xml:space="preserve"> </v>
      </c>
      <c r="AA195" s="1977" t="str">
        <f t="shared" si="113"/>
        <v xml:space="preserve"> </v>
      </c>
      <c r="AB195" s="1977" t="str">
        <f t="shared" si="114"/>
        <v xml:space="preserve"> </v>
      </c>
      <c r="AC195" s="1977" t="str">
        <f t="shared" si="115"/>
        <v xml:space="preserve"> </v>
      </c>
      <c r="AD195" s="1977" t="str">
        <f t="shared" si="116"/>
        <v xml:space="preserve"> </v>
      </c>
      <c r="AE195" s="1978" t="str">
        <f t="shared" si="117"/>
        <v xml:space="preserve"> </v>
      </c>
      <c r="AF195" s="1978" t="str">
        <f t="shared" si="118"/>
        <v xml:space="preserve"> </v>
      </c>
      <c r="AG195" s="1978" t="str">
        <f t="shared" si="119"/>
        <v xml:space="preserve"> </v>
      </c>
      <c r="AH195" s="1978" t="str">
        <f t="shared" si="120"/>
        <v xml:space="preserve"> </v>
      </c>
      <c r="AI195" s="1978" t="str">
        <f t="shared" si="121"/>
        <v xml:space="preserve"> </v>
      </c>
    </row>
    <row r="196" spans="12:35" s="352" customFormat="1" x14ac:dyDescent="0.25">
      <c r="L196" s="1972" t="str">
        <f t="shared" si="98"/>
        <v xml:space="preserve">      </v>
      </c>
      <c r="M196" s="1973" t="str">
        <f t="shared" si="99"/>
        <v xml:space="preserve">      </v>
      </c>
      <c r="N196" s="1974" t="str">
        <f t="shared" si="100"/>
        <v xml:space="preserve">      </v>
      </c>
      <c r="O196" s="1974" t="str">
        <f t="shared" si="101"/>
        <v xml:space="preserve">      </v>
      </c>
      <c r="P196" s="1975" t="str">
        <f t="shared" si="102"/>
        <v xml:space="preserve"> </v>
      </c>
      <c r="Q196" s="1975" t="str">
        <f t="shared" si="103"/>
        <v xml:space="preserve"> </v>
      </c>
      <c r="R196" s="1975" t="str">
        <f t="shared" si="104"/>
        <v xml:space="preserve"> </v>
      </c>
      <c r="S196" s="1975" t="str">
        <f t="shared" si="105"/>
        <v xml:space="preserve"> </v>
      </c>
      <c r="T196" s="1975" t="str">
        <f t="shared" si="106"/>
        <v xml:space="preserve"> </v>
      </c>
      <c r="U196" s="1976" t="str">
        <f t="shared" si="107"/>
        <v xml:space="preserve"> </v>
      </c>
      <c r="V196" s="1976" t="str">
        <f t="shared" si="108"/>
        <v xml:space="preserve"> </v>
      </c>
      <c r="W196" s="1976" t="str">
        <f t="shared" si="109"/>
        <v xml:space="preserve"> </v>
      </c>
      <c r="X196" s="1976" t="str">
        <f t="shared" si="110"/>
        <v xml:space="preserve"> </v>
      </c>
      <c r="Y196" s="1976" t="str">
        <f t="shared" si="111"/>
        <v xml:space="preserve"> </v>
      </c>
      <c r="Z196" s="1977" t="str">
        <f t="shared" si="112"/>
        <v xml:space="preserve"> </v>
      </c>
      <c r="AA196" s="1977" t="str">
        <f t="shared" si="113"/>
        <v xml:space="preserve"> </v>
      </c>
      <c r="AB196" s="1977" t="str">
        <f t="shared" si="114"/>
        <v xml:space="preserve"> </v>
      </c>
      <c r="AC196" s="1977" t="str">
        <f t="shared" si="115"/>
        <v xml:space="preserve"> </v>
      </c>
      <c r="AD196" s="1977" t="str">
        <f t="shared" si="116"/>
        <v xml:space="preserve"> </v>
      </c>
      <c r="AE196" s="1978" t="str">
        <f t="shared" si="117"/>
        <v xml:space="preserve"> </v>
      </c>
      <c r="AF196" s="1978" t="str">
        <f t="shared" si="118"/>
        <v xml:space="preserve"> </v>
      </c>
      <c r="AG196" s="1978" t="str">
        <f t="shared" si="119"/>
        <v xml:space="preserve"> </v>
      </c>
      <c r="AH196" s="1978" t="str">
        <f t="shared" si="120"/>
        <v xml:space="preserve"> </v>
      </c>
      <c r="AI196" s="1978" t="str">
        <f t="shared" si="121"/>
        <v xml:space="preserve"> </v>
      </c>
    </row>
    <row r="197" spans="12:35" s="352" customFormat="1" x14ac:dyDescent="0.25">
      <c r="L197" s="1972" t="str">
        <f t="shared" si="98"/>
        <v xml:space="preserve">      </v>
      </c>
      <c r="M197" s="1973" t="str">
        <f t="shared" si="99"/>
        <v xml:space="preserve">      </v>
      </c>
      <c r="N197" s="1974" t="str">
        <f t="shared" si="100"/>
        <v xml:space="preserve">      </v>
      </c>
      <c r="O197" s="1974" t="str">
        <f t="shared" si="101"/>
        <v xml:space="preserve">      </v>
      </c>
      <c r="P197" s="1975" t="str">
        <f t="shared" si="102"/>
        <v xml:space="preserve"> </v>
      </c>
      <c r="Q197" s="1975" t="str">
        <f t="shared" si="103"/>
        <v xml:space="preserve"> </v>
      </c>
      <c r="R197" s="1975" t="str">
        <f t="shared" si="104"/>
        <v xml:space="preserve"> </v>
      </c>
      <c r="S197" s="1975" t="str">
        <f t="shared" si="105"/>
        <v xml:space="preserve"> </v>
      </c>
      <c r="T197" s="1975" t="str">
        <f t="shared" si="106"/>
        <v xml:space="preserve"> </v>
      </c>
      <c r="U197" s="1976" t="str">
        <f t="shared" si="107"/>
        <v xml:space="preserve"> </v>
      </c>
      <c r="V197" s="1976" t="str">
        <f t="shared" si="108"/>
        <v xml:space="preserve"> </v>
      </c>
      <c r="W197" s="1976" t="str">
        <f t="shared" si="109"/>
        <v xml:space="preserve"> </v>
      </c>
      <c r="X197" s="1976" t="str">
        <f t="shared" si="110"/>
        <v xml:space="preserve"> </v>
      </c>
      <c r="Y197" s="1976" t="str">
        <f t="shared" si="111"/>
        <v xml:space="preserve"> </v>
      </c>
      <c r="Z197" s="1977" t="str">
        <f t="shared" si="112"/>
        <v xml:space="preserve"> </v>
      </c>
      <c r="AA197" s="1977" t="str">
        <f t="shared" si="113"/>
        <v xml:space="preserve"> </v>
      </c>
      <c r="AB197" s="1977" t="str">
        <f t="shared" si="114"/>
        <v xml:space="preserve"> </v>
      </c>
      <c r="AC197" s="1977" t="str">
        <f t="shared" si="115"/>
        <v xml:space="preserve"> </v>
      </c>
      <c r="AD197" s="1977" t="str">
        <f t="shared" si="116"/>
        <v xml:space="preserve"> </v>
      </c>
      <c r="AE197" s="1978" t="str">
        <f t="shared" si="117"/>
        <v xml:space="preserve"> </v>
      </c>
      <c r="AF197" s="1978" t="str">
        <f t="shared" si="118"/>
        <v xml:space="preserve"> </v>
      </c>
      <c r="AG197" s="1978" t="str">
        <f t="shared" si="119"/>
        <v xml:space="preserve"> </v>
      </c>
      <c r="AH197" s="1978" t="str">
        <f t="shared" si="120"/>
        <v xml:space="preserve"> </v>
      </c>
      <c r="AI197" s="1978" t="str">
        <f t="shared" si="121"/>
        <v xml:space="preserve"> </v>
      </c>
    </row>
    <row r="198" spans="12:35" s="352" customFormat="1" x14ac:dyDescent="0.25">
      <c r="L198" s="1972" t="str">
        <f t="shared" si="98"/>
        <v xml:space="preserve">      </v>
      </c>
      <c r="M198" s="1973" t="str">
        <f t="shared" si="99"/>
        <v xml:space="preserve">      </v>
      </c>
      <c r="N198" s="1974" t="str">
        <f t="shared" si="100"/>
        <v xml:space="preserve">      </v>
      </c>
      <c r="O198" s="1974" t="str">
        <f t="shared" si="101"/>
        <v xml:space="preserve">      </v>
      </c>
      <c r="P198" s="1975" t="str">
        <f t="shared" si="102"/>
        <v xml:space="preserve"> </v>
      </c>
      <c r="Q198" s="1975" t="str">
        <f t="shared" si="103"/>
        <v xml:space="preserve"> </v>
      </c>
      <c r="R198" s="1975" t="str">
        <f t="shared" si="104"/>
        <v xml:space="preserve"> </v>
      </c>
      <c r="S198" s="1975" t="str">
        <f t="shared" si="105"/>
        <v xml:space="preserve"> </v>
      </c>
      <c r="T198" s="1975" t="str">
        <f t="shared" si="106"/>
        <v xml:space="preserve"> </v>
      </c>
      <c r="U198" s="1976" t="str">
        <f t="shared" si="107"/>
        <v xml:space="preserve"> </v>
      </c>
      <c r="V198" s="1976" t="str">
        <f t="shared" si="108"/>
        <v xml:space="preserve"> </v>
      </c>
      <c r="W198" s="1976" t="str">
        <f t="shared" si="109"/>
        <v xml:space="preserve"> </v>
      </c>
      <c r="X198" s="1976" t="str">
        <f t="shared" si="110"/>
        <v xml:space="preserve"> </v>
      </c>
      <c r="Y198" s="1976" t="str">
        <f t="shared" si="111"/>
        <v xml:space="preserve"> </v>
      </c>
      <c r="Z198" s="1977" t="str">
        <f t="shared" si="112"/>
        <v xml:space="preserve"> </v>
      </c>
      <c r="AA198" s="1977" t="str">
        <f t="shared" si="113"/>
        <v xml:space="preserve"> </v>
      </c>
      <c r="AB198" s="1977" t="str">
        <f t="shared" si="114"/>
        <v xml:space="preserve"> </v>
      </c>
      <c r="AC198" s="1977" t="str">
        <f t="shared" si="115"/>
        <v xml:space="preserve"> </v>
      </c>
      <c r="AD198" s="1977" t="str">
        <f t="shared" si="116"/>
        <v xml:space="preserve"> </v>
      </c>
      <c r="AE198" s="1978" t="str">
        <f t="shared" si="117"/>
        <v xml:space="preserve"> </v>
      </c>
      <c r="AF198" s="1978" t="str">
        <f t="shared" si="118"/>
        <v xml:space="preserve"> </v>
      </c>
      <c r="AG198" s="1978" t="str">
        <f t="shared" si="119"/>
        <v xml:space="preserve"> </v>
      </c>
      <c r="AH198" s="1978" t="str">
        <f t="shared" si="120"/>
        <v xml:space="preserve"> </v>
      </c>
      <c r="AI198" s="1978" t="str">
        <f t="shared" si="121"/>
        <v xml:space="preserve"> </v>
      </c>
    </row>
    <row r="199" spans="12:35" s="352" customFormat="1" x14ac:dyDescent="0.25">
      <c r="L199" s="1972" t="str">
        <f t="shared" si="98"/>
        <v xml:space="preserve">      </v>
      </c>
      <c r="M199" s="1973" t="str">
        <f t="shared" si="99"/>
        <v xml:space="preserve">      </v>
      </c>
      <c r="N199" s="1974" t="str">
        <f t="shared" si="100"/>
        <v xml:space="preserve">      </v>
      </c>
      <c r="O199" s="1974" t="str">
        <f t="shared" si="101"/>
        <v xml:space="preserve">      </v>
      </c>
      <c r="P199" s="1975" t="str">
        <f t="shared" si="102"/>
        <v xml:space="preserve"> </v>
      </c>
      <c r="Q199" s="1975" t="str">
        <f t="shared" si="103"/>
        <v xml:space="preserve"> </v>
      </c>
      <c r="R199" s="1975" t="str">
        <f t="shared" si="104"/>
        <v xml:space="preserve"> </v>
      </c>
      <c r="S199" s="1975" t="str">
        <f t="shared" si="105"/>
        <v xml:space="preserve"> </v>
      </c>
      <c r="T199" s="1975" t="str">
        <f t="shared" si="106"/>
        <v xml:space="preserve"> </v>
      </c>
      <c r="U199" s="1976" t="str">
        <f t="shared" si="107"/>
        <v xml:space="preserve"> </v>
      </c>
      <c r="V199" s="1976" t="str">
        <f t="shared" si="108"/>
        <v xml:space="preserve"> </v>
      </c>
      <c r="W199" s="1976" t="str">
        <f t="shared" si="109"/>
        <v xml:space="preserve"> </v>
      </c>
      <c r="X199" s="1976" t="str">
        <f t="shared" si="110"/>
        <v xml:space="preserve"> </v>
      </c>
      <c r="Y199" s="1976" t="str">
        <f t="shared" si="111"/>
        <v xml:space="preserve"> </v>
      </c>
      <c r="Z199" s="1977" t="str">
        <f t="shared" si="112"/>
        <v xml:space="preserve"> </v>
      </c>
      <c r="AA199" s="1977" t="str">
        <f t="shared" si="113"/>
        <v xml:space="preserve"> </v>
      </c>
      <c r="AB199" s="1977" t="str">
        <f t="shared" si="114"/>
        <v xml:space="preserve"> </v>
      </c>
      <c r="AC199" s="1977" t="str">
        <f t="shared" si="115"/>
        <v xml:space="preserve"> </v>
      </c>
      <c r="AD199" s="1977" t="str">
        <f t="shared" si="116"/>
        <v xml:space="preserve"> </v>
      </c>
      <c r="AE199" s="1978" t="str">
        <f t="shared" si="117"/>
        <v xml:space="preserve"> </v>
      </c>
      <c r="AF199" s="1978" t="str">
        <f t="shared" si="118"/>
        <v xml:space="preserve"> </v>
      </c>
      <c r="AG199" s="1978" t="str">
        <f t="shared" si="119"/>
        <v xml:space="preserve"> </v>
      </c>
      <c r="AH199" s="1978" t="str">
        <f t="shared" si="120"/>
        <v xml:space="preserve"> </v>
      </c>
      <c r="AI199" s="1978" t="str">
        <f t="shared" si="121"/>
        <v xml:space="preserve"> </v>
      </c>
    </row>
    <row r="200" spans="12:35" s="352" customFormat="1" x14ac:dyDescent="0.25">
      <c r="L200" s="1972" t="str">
        <f t="shared" si="98"/>
        <v xml:space="preserve">      </v>
      </c>
      <c r="M200" s="1973" t="str">
        <f t="shared" si="99"/>
        <v xml:space="preserve">      </v>
      </c>
      <c r="N200" s="1974" t="str">
        <f t="shared" si="100"/>
        <v xml:space="preserve">      </v>
      </c>
      <c r="O200" s="1974" t="str">
        <f t="shared" si="101"/>
        <v xml:space="preserve">      </v>
      </c>
      <c r="P200" s="1975" t="str">
        <f t="shared" si="102"/>
        <v xml:space="preserve"> </v>
      </c>
      <c r="Q200" s="1975" t="str">
        <f t="shared" si="103"/>
        <v xml:space="preserve"> </v>
      </c>
      <c r="R200" s="1975" t="str">
        <f t="shared" si="104"/>
        <v xml:space="preserve"> </v>
      </c>
      <c r="S200" s="1975" t="str">
        <f t="shared" si="105"/>
        <v xml:space="preserve"> </v>
      </c>
      <c r="T200" s="1975" t="str">
        <f t="shared" si="106"/>
        <v xml:space="preserve"> </v>
      </c>
      <c r="U200" s="1976" t="str">
        <f t="shared" si="107"/>
        <v xml:space="preserve"> </v>
      </c>
      <c r="V200" s="1976" t="str">
        <f t="shared" si="108"/>
        <v xml:space="preserve"> </v>
      </c>
      <c r="W200" s="1976" t="str">
        <f t="shared" si="109"/>
        <v xml:space="preserve"> </v>
      </c>
      <c r="X200" s="1976" t="str">
        <f t="shared" si="110"/>
        <v xml:space="preserve"> </v>
      </c>
      <c r="Y200" s="1976" t="str">
        <f t="shared" si="111"/>
        <v xml:space="preserve"> </v>
      </c>
      <c r="Z200" s="1977" t="str">
        <f t="shared" si="112"/>
        <v xml:space="preserve"> </v>
      </c>
      <c r="AA200" s="1977" t="str">
        <f t="shared" si="113"/>
        <v xml:space="preserve"> </v>
      </c>
      <c r="AB200" s="1977" t="str">
        <f t="shared" si="114"/>
        <v xml:space="preserve"> </v>
      </c>
      <c r="AC200" s="1977" t="str">
        <f t="shared" si="115"/>
        <v xml:space="preserve"> </v>
      </c>
      <c r="AD200" s="1977" t="str">
        <f t="shared" si="116"/>
        <v xml:space="preserve"> </v>
      </c>
      <c r="AE200" s="1978" t="str">
        <f t="shared" si="117"/>
        <v xml:space="preserve"> </v>
      </c>
      <c r="AF200" s="1978" t="str">
        <f t="shared" si="118"/>
        <v xml:space="preserve"> </v>
      </c>
      <c r="AG200" s="1978" t="str">
        <f t="shared" si="119"/>
        <v xml:space="preserve"> </v>
      </c>
      <c r="AH200" s="1978" t="str">
        <f t="shared" si="120"/>
        <v xml:space="preserve"> </v>
      </c>
      <c r="AI200" s="1978" t="str">
        <f t="shared" si="121"/>
        <v xml:space="preserve"> </v>
      </c>
    </row>
    <row r="201" spans="12:35" s="352" customFormat="1" x14ac:dyDescent="0.25">
      <c r="L201" s="1972" t="str">
        <f t="shared" si="98"/>
        <v xml:space="preserve">      </v>
      </c>
      <c r="M201" s="1973" t="str">
        <f t="shared" si="99"/>
        <v xml:space="preserve">      </v>
      </c>
      <c r="N201" s="1974" t="str">
        <f t="shared" si="100"/>
        <v xml:space="preserve">      </v>
      </c>
      <c r="O201" s="1974" t="str">
        <f t="shared" si="101"/>
        <v xml:space="preserve">      </v>
      </c>
      <c r="P201" s="1975" t="str">
        <f t="shared" si="102"/>
        <v xml:space="preserve"> </v>
      </c>
      <c r="Q201" s="1975" t="str">
        <f t="shared" si="103"/>
        <v xml:space="preserve"> </v>
      </c>
      <c r="R201" s="1975" t="str">
        <f t="shared" si="104"/>
        <v xml:space="preserve"> </v>
      </c>
      <c r="S201" s="1975" t="str">
        <f t="shared" si="105"/>
        <v xml:space="preserve"> </v>
      </c>
      <c r="T201" s="1975" t="str">
        <f t="shared" si="106"/>
        <v xml:space="preserve"> </v>
      </c>
      <c r="U201" s="1976" t="str">
        <f t="shared" si="107"/>
        <v xml:space="preserve"> </v>
      </c>
      <c r="V201" s="1976" t="str">
        <f t="shared" si="108"/>
        <v xml:space="preserve"> </v>
      </c>
      <c r="W201" s="1976" t="str">
        <f t="shared" si="109"/>
        <v xml:space="preserve"> </v>
      </c>
      <c r="X201" s="1976" t="str">
        <f t="shared" si="110"/>
        <v xml:space="preserve"> </v>
      </c>
      <c r="Y201" s="1976" t="str">
        <f t="shared" si="111"/>
        <v xml:space="preserve"> </v>
      </c>
      <c r="Z201" s="1977" t="str">
        <f t="shared" si="112"/>
        <v xml:space="preserve"> </v>
      </c>
      <c r="AA201" s="1977" t="str">
        <f t="shared" si="113"/>
        <v xml:space="preserve"> </v>
      </c>
      <c r="AB201" s="1977" t="str">
        <f t="shared" si="114"/>
        <v xml:space="preserve"> </v>
      </c>
      <c r="AC201" s="1977" t="str">
        <f t="shared" si="115"/>
        <v xml:space="preserve"> </v>
      </c>
      <c r="AD201" s="1977" t="str">
        <f t="shared" si="116"/>
        <v xml:space="preserve"> </v>
      </c>
      <c r="AE201" s="1978" t="str">
        <f t="shared" si="117"/>
        <v xml:space="preserve"> </v>
      </c>
      <c r="AF201" s="1978" t="str">
        <f t="shared" si="118"/>
        <v xml:space="preserve"> </v>
      </c>
      <c r="AG201" s="1978" t="str">
        <f t="shared" si="119"/>
        <v xml:space="preserve"> </v>
      </c>
      <c r="AH201" s="1978" t="str">
        <f t="shared" si="120"/>
        <v xml:space="preserve"> </v>
      </c>
      <c r="AI201" s="1978" t="str">
        <f t="shared" si="121"/>
        <v xml:space="preserve"> </v>
      </c>
    </row>
    <row r="202" spans="12:35" s="352" customFormat="1" x14ac:dyDescent="0.25">
      <c r="L202" s="1972" t="str">
        <f t="shared" si="98"/>
        <v xml:space="preserve">      </v>
      </c>
      <c r="M202" s="1973" t="str">
        <f t="shared" si="99"/>
        <v xml:space="preserve">      </v>
      </c>
      <c r="N202" s="1974" t="str">
        <f t="shared" si="100"/>
        <v xml:space="preserve">      </v>
      </c>
      <c r="O202" s="1974" t="str">
        <f t="shared" si="101"/>
        <v xml:space="preserve">      </v>
      </c>
      <c r="P202" s="1975" t="str">
        <f t="shared" si="102"/>
        <v xml:space="preserve"> </v>
      </c>
      <c r="Q202" s="1975" t="str">
        <f t="shared" si="103"/>
        <v xml:space="preserve"> </v>
      </c>
      <c r="R202" s="1975" t="str">
        <f t="shared" si="104"/>
        <v xml:space="preserve"> </v>
      </c>
      <c r="S202" s="1975" t="str">
        <f t="shared" si="105"/>
        <v xml:space="preserve"> </v>
      </c>
      <c r="T202" s="1975" t="str">
        <f t="shared" si="106"/>
        <v xml:space="preserve"> </v>
      </c>
      <c r="U202" s="1976" t="str">
        <f t="shared" si="107"/>
        <v xml:space="preserve"> </v>
      </c>
      <c r="V202" s="1976" t="str">
        <f t="shared" si="108"/>
        <v xml:space="preserve"> </v>
      </c>
      <c r="W202" s="1976" t="str">
        <f t="shared" si="109"/>
        <v xml:space="preserve"> </v>
      </c>
      <c r="X202" s="1976" t="str">
        <f t="shared" si="110"/>
        <v xml:space="preserve"> </v>
      </c>
      <c r="Y202" s="1976" t="str">
        <f t="shared" si="111"/>
        <v xml:space="preserve"> </v>
      </c>
      <c r="Z202" s="1977" t="str">
        <f t="shared" si="112"/>
        <v xml:space="preserve"> </v>
      </c>
      <c r="AA202" s="1977" t="str">
        <f t="shared" si="113"/>
        <v xml:space="preserve"> </v>
      </c>
      <c r="AB202" s="1977" t="str">
        <f t="shared" si="114"/>
        <v xml:space="preserve"> </v>
      </c>
      <c r="AC202" s="1977" t="str">
        <f t="shared" si="115"/>
        <v xml:space="preserve"> </v>
      </c>
      <c r="AD202" s="1977" t="str">
        <f t="shared" si="116"/>
        <v xml:space="preserve"> </v>
      </c>
      <c r="AE202" s="1978" t="str">
        <f t="shared" si="117"/>
        <v xml:space="preserve"> </v>
      </c>
      <c r="AF202" s="1978" t="str">
        <f t="shared" si="118"/>
        <v xml:space="preserve"> </v>
      </c>
      <c r="AG202" s="1978" t="str">
        <f t="shared" si="119"/>
        <v xml:space="preserve"> </v>
      </c>
      <c r="AH202" s="1978" t="str">
        <f t="shared" si="120"/>
        <v xml:space="preserve"> </v>
      </c>
      <c r="AI202" s="1978" t="str">
        <f t="shared" si="121"/>
        <v xml:space="preserve"> </v>
      </c>
    </row>
    <row r="203" spans="12:35" s="352" customFormat="1" x14ac:dyDescent="0.25">
      <c r="L203" s="1972" t="str">
        <f t="shared" si="98"/>
        <v xml:space="preserve">      </v>
      </c>
      <c r="M203" s="1973" t="str">
        <f t="shared" si="99"/>
        <v xml:space="preserve">      </v>
      </c>
      <c r="N203" s="1974" t="str">
        <f t="shared" si="100"/>
        <v xml:space="preserve">      </v>
      </c>
      <c r="O203" s="1974" t="str">
        <f t="shared" si="101"/>
        <v xml:space="preserve">      </v>
      </c>
      <c r="P203" s="1975" t="str">
        <f t="shared" si="102"/>
        <v xml:space="preserve"> </v>
      </c>
      <c r="Q203" s="1975" t="str">
        <f t="shared" si="103"/>
        <v xml:space="preserve"> </v>
      </c>
      <c r="R203" s="1975" t="str">
        <f t="shared" si="104"/>
        <v xml:space="preserve"> </v>
      </c>
      <c r="S203" s="1975" t="str">
        <f t="shared" si="105"/>
        <v xml:space="preserve"> </v>
      </c>
      <c r="T203" s="1975" t="str">
        <f t="shared" si="106"/>
        <v xml:space="preserve"> </v>
      </c>
      <c r="U203" s="1976" t="str">
        <f t="shared" si="107"/>
        <v xml:space="preserve"> </v>
      </c>
      <c r="V203" s="1976" t="str">
        <f t="shared" si="108"/>
        <v xml:space="preserve"> </v>
      </c>
      <c r="W203" s="1976" t="str">
        <f t="shared" si="109"/>
        <v xml:space="preserve"> </v>
      </c>
      <c r="X203" s="1976" t="str">
        <f t="shared" si="110"/>
        <v xml:space="preserve"> </v>
      </c>
      <c r="Y203" s="1976" t="str">
        <f t="shared" si="111"/>
        <v xml:space="preserve"> </v>
      </c>
      <c r="Z203" s="1977" t="str">
        <f t="shared" si="112"/>
        <v xml:space="preserve"> </v>
      </c>
      <c r="AA203" s="1977" t="str">
        <f t="shared" si="113"/>
        <v xml:space="preserve"> </v>
      </c>
      <c r="AB203" s="1977" t="str">
        <f t="shared" si="114"/>
        <v xml:space="preserve"> </v>
      </c>
      <c r="AC203" s="1977" t="str">
        <f t="shared" si="115"/>
        <v xml:space="preserve"> </v>
      </c>
      <c r="AD203" s="1977" t="str">
        <f t="shared" si="116"/>
        <v xml:space="preserve"> </v>
      </c>
      <c r="AE203" s="1978" t="str">
        <f t="shared" si="117"/>
        <v xml:space="preserve"> </v>
      </c>
      <c r="AF203" s="1978" t="str">
        <f t="shared" si="118"/>
        <v xml:space="preserve"> </v>
      </c>
      <c r="AG203" s="1978" t="str">
        <f t="shared" si="119"/>
        <v xml:space="preserve"> </v>
      </c>
      <c r="AH203" s="1978" t="str">
        <f t="shared" si="120"/>
        <v xml:space="preserve"> </v>
      </c>
      <c r="AI203" s="1978" t="str">
        <f t="shared" si="121"/>
        <v xml:space="preserve"> </v>
      </c>
    </row>
    <row r="204" spans="12:35" s="352" customFormat="1" x14ac:dyDescent="0.25">
      <c r="L204" s="1972" t="str">
        <f t="shared" si="98"/>
        <v xml:space="preserve">      </v>
      </c>
      <c r="M204" s="1973" t="str">
        <f t="shared" si="99"/>
        <v xml:space="preserve">      </v>
      </c>
      <c r="N204" s="1974" t="str">
        <f t="shared" si="100"/>
        <v xml:space="preserve">      </v>
      </c>
      <c r="O204" s="1974" t="str">
        <f t="shared" si="101"/>
        <v xml:space="preserve">      </v>
      </c>
      <c r="P204" s="1975" t="str">
        <f t="shared" si="102"/>
        <v xml:space="preserve"> </v>
      </c>
      <c r="Q204" s="1975" t="str">
        <f t="shared" si="103"/>
        <v xml:space="preserve"> </v>
      </c>
      <c r="R204" s="1975" t="str">
        <f t="shared" si="104"/>
        <v xml:space="preserve"> </v>
      </c>
      <c r="S204" s="1975" t="str">
        <f t="shared" si="105"/>
        <v xml:space="preserve"> </v>
      </c>
      <c r="T204" s="1975" t="str">
        <f t="shared" si="106"/>
        <v xml:space="preserve"> </v>
      </c>
      <c r="U204" s="1976" t="str">
        <f t="shared" si="107"/>
        <v xml:space="preserve"> </v>
      </c>
      <c r="V204" s="1976" t="str">
        <f t="shared" si="108"/>
        <v xml:space="preserve"> </v>
      </c>
      <c r="W204" s="1976" t="str">
        <f t="shared" si="109"/>
        <v xml:space="preserve"> </v>
      </c>
      <c r="X204" s="1976" t="str">
        <f t="shared" si="110"/>
        <v xml:space="preserve"> </v>
      </c>
      <c r="Y204" s="1976" t="str">
        <f t="shared" si="111"/>
        <v xml:space="preserve"> </v>
      </c>
      <c r="Z204" s="1977" t="str">
        <f t="shared" si="112"/>
        <v xml:space="preserve"> </v>
      </c>
      <c r="AA204" s="1977" t="str">
        <f t="shared" si="113"/>
        <v xml:space="preserve"> </v>
      </c>
      <c r="AB204" s="1977" t="str">
        <f t="shared" si="114"/>
        <v xml:space="preserve"> </v>
      </c>
      <c r="AC204" s="1977" t="str">
        <f t="shared" si="115"/>
        <v xml:space="preserve"> </v>
      </c>
      <c r="AD204" s="1977" t="str">
        <f t="shared" si="116"/>
        <v xml:space="preserve"> </v>
      </c>
      <c r="AE204" s="1978" t="str">
        <f t="shared" si="117"/>
        <v xml:space="preserve"> </v>
      </c>
      <c r="AF204" s="1978" t="str">
        <f t="shared" si="118"/>
        <v xml:space="preserve"> </v>
      </c>
      <c r="AG204" s="1978" t="str">
        <f t="shared" si="119"/>
        <v xml:space="preserve"> </v>
      </c>
      <c r="AH204" s="1978" t="str">
        <f t="shared" si="120"/>
        <v xml:space="preserve"> </v>
      </c>
      <c r="AI204" s="1978" t="str">
        <f t="shared" si="121"/>
        <v xml:space="preserve"> </v>
      </c>
    </row>
    <row r="205" spans="12:35" s="352" customFormat="1" x14ac:dyDescent="0.25">
      <c r="L205" s="1972" t="str">
        <f t="shared" si="98"/>
        <v xml:space="preserve">      </v>
      </c>
      <c r="M205" s="1973" t="str">
        <f t="shared" si="99"/>
        <v xml:space="preserve">      </v>
      </c>
      <c r="N205" s="1974" t="str">
        <f t="shared" si="100"/>
        <v xml:space="preserve">      </v>
      </c>
      <c r="O205" s="1974" t="str">
        <f t="shared" si="101"/>
        <v xml:space="preserve">      </v>
      </c>
      <c r="P205" s="1975" t="str">
        <f t="shared" si="102"/>
        <v xml:space="preserve"> </v>
      </c>
      <c r="Q205" s="1975" t="str">
        <f t="shared" si="103"/>
        <v xml:space="preserve"> </v>
      </c>
      <c r="R205" s="1975" t="str">
        <f t="shared" si="104"/>
        <v xml:space="preserve"> </v>
      </c>
      <c r="S205" s="1975" t="str">
        <f t="shared" si="105"/>
        <v xml:space="preserve"> </v>
      </c>
      <c r="T205" s="1975" t="str">
        <f t="shared" si="106"/>
        <v xml:space="preserve"> </v>
      </c>
      <c r="U205" s="1976" t="str">
        <f t="shared" si="107"/>
        <v xml:space="preserve"> </v>
      </c>
      <c r="V205" s="1976" t="str">
        <f t="shared" si="108"/>
        <v xml:space="preserve"> </v>
      </c>
      <c r="W205" s="1976" t="str">
        <f t="shared" si="109"/>
        <v xml:space="preserve"> </v>
      </c>
      <c r="X205" s="1976" t="str">
        <f t="shared" si="110"/>
        <v xml:space="preserve"> </v>
      </c>
      <c r="Y205" s="1976" t="str">
        <f t="shared" si="111"/>
        <v xml:space="preserve"> </v>
      </c>
      <c r="Z205" s="1977" t="str">
        <f t="shared" si="112"/>
        <v xml:space="preserve"> </v>
      </c>
      <c r="AA205" s="1977" t="str">
        <f t="shared" si="113"/>
        <v xml:space="preserve"> </v>
      </c>
      <c r="AB205" s="1977" t="str">
        <f t="shared" si="114"/>
        <v xml:space="preserve"> </v>
      </c>
      <c r="AC205" s="1977" t="str">
        <f t="shared" si="115"/>
        <v xml:space="preserve"> </v>
      </c>
      <c r="AD205" s="1977" t="str">
        <f t="shared" si="116"/>
        <v xml:space="preserve"> </v>
      </c>
      <c r="AE205" s="1978" t="str">
        <f t="shared" si="117"/>
        <v xml:space="preserve"> </v>
      </c>
      <c r="AF205" s="1978" t="str">
        <f t="shared" si="118"/>
        <v xml:space="preserve"> </v>
      </c>
      <c r="AG205" s="1978" t="str">
        <f t="shared" si="119"/>
        <v xml:space="preserve"> </v>
      </c>
      <c r="AH205" s="1978" t="str">
        <f t="shared" si="120"/>
        <v xml:space="preserve"> </v>
      </c>
      <c r="AI205" s="1978" t="str">
        <f t="shared" si="121"/>
        <v xml:space="preserve"> </v>
      </c>
    </row>
    <row r="206" spans="12:35" s="352" customFormat="1" x14ac:dyDescent="0.25">
      <c r="L206" s="1972" t="str">
        <f t="shared" si="98"/>
        <v xml:space="preserve">      </v>
      </c>
      <c r="M206" s="1973" t="str">
        <f t="shared" si="99"/>
        <v xml:space="preserve">      </v>
      </c>
      <c r="N206" s="1974" t="str">
        <f t="shared" si="100"/>
        <v xml:space="preserve">      </v>
      </c>
      <c r="O206" s="1974" t="str">
        <f t="shared" si="101"/>
        <v xml:space="preserve">      </v>
      </c>
      <c r="P206" s="1975" t="str">
        <f t="shared" si="102"/>
        <v xml:space="preserve"> </v>
      </c>
      <c r="Q206" s="1975" t="str">
        <f t="shared" si="103"/>
        <v xml:space="preserve"> </v>
      </c>
      <c r="R206" s="1975" t="str">
        <f t="shared" si="104"/>
        <v xml:space="preserve"> </v>
      </c>
      <c r="S206" s="1975" t="str">
        <f t="shared" si="105"/>
        <v xml:space="preserve"> </v>
      </c>
      <c r="T206" s="1975" t="str">
        <f t="shared" si="106"/>
        <v xml:space="preserve"> </v>
      </c>
      <c r="U206" s="1976" t="str">
        <f t="shared" si="107"/>
        <v xml:space="preserve"> </v>
      </c>
      <c r="V206" s="1976" t="str">
        <f t="shared" si="108"/>
        <v xml:space="preserve"> </v>
      </c>
      <c r="W206" s="1976" t="str">
        <f t="shared" si="109"/>
        <v xml:space="preserve"> </v>
      </c>
      <c r="X206" s="1976" t="str">
        <f t="shared" si="110"/>
        <v xml:space="preserve"> </v>
      </c>
      <c r="Y206" s="1976" t="str">
        <f t="shared" si="111"/>
        <v xml:space="preserve"> </v>
      </c>
      <c r="Z206" s="1977" t="str">
        <f t="shared" si="112"/>
        <v xml:space="preserve"> </v>
      </c>
      <c r="AA206" s="1977" t="str">
        <f t="shared" si="113"/>
        <v xml:space="preserve"> </v>
      </c>
      <c r="AB206" s="1977" t="str">
        <f t="shared" si="114"/>
        <v xml:space="preserve"> </v>
      </c>
      <c r="AC206" s="1977" t="str">
        <f t="shared" si="115"/>
        <v xml:space="preserve"> </v>
      </c>
      <c r="AD206" s="1977" t="str">
        <f t="shared" si="116"/>
        <v xml:space="preserve"> </v>
      </c>
      <c r="AE206" s="1978" t="str">
        <f t="shared" si="117"/>
        <v xml:space="preserve"> </v>
      </c>
      <c r="AF206" s="1978" t="str">
        <f t="shared" si="118"/>
        <v xml:space="preserve"> </v>
      </c>
      <c r="AG206" s="1978" t="str">
        <f t="shared" si="119"/>
        <v xml:space="preserve"> </v>
      </c>
      <c r="AH206" s="1978" t="str">
        <f t="shared" si="120"/>
        <v xml:space="preserve"> </v>
      </c>
      <c r="AI206" s="1978" t="str">
        <f t="shared" si="121"/>
        <v xml:space="preserve"> </v>
      </c>
    </row>
    <row r="207" spans="12:35" s="352" customFormat="1" x14ac:dyDescent="0.25">
      <c r="L207" s="1972" t="str">
        <f t="shared" si="98"/>
        <v xml:space="preserve">      </v>
      </c>
      <c r="M207" s="1973" t="str">
        <f t="shared" si="99"/>
        <v xml:space="preserve">      </v>
      </c>
      <c r="N207" s="1974" t="str">
        <f t="shared" si="100"/>
        <v xml:space="preserve">      </v>
      </c>
      <c r="O207" s="1974" t="str">
        <f t="shared" si="101"/>
        <v xml:space="preserve">      </v>
      </c>
      <c r="P207" s="1975" t="str">
        <f t="shared" si="102"/>
        <v xml:space="preserve"> </v>
      </c>
      <c r="Q207" s="1975" t="str">
        <f t="shared" si="103"/>
        <v xml:space="preserve"> </v>
      </c>
      <c r="R207" s="1975" t="str">
        <f t="shared" si="104"/>
        <v xml:space="preserve"> </v>
      </c>
      <c r="S207" s="1975" t="str">
        <f t="shared" si="105"/>
        <v xml:space="preserve"> </v>
      </c>
      <c r="T207" s="1975" t="str">
        <f t="shared" si="106"/>
        <v xml:space="preserve"> </v>
      </c>
      <c r="U207" s="1976" t="str">
        <f t="shared" si="107"/>
        <v xml:space="preserve"> </v>
      </c>
      <c r="V207" s="1976" t="str">
        <f t="shared" si="108"/>
        <v xml:space="preserve"> </v>
      </c>
      <c r="W207" s="1976" t="str">
        <f t="shared" si="109"/>
        <v xml:space="preserve"> </v>
      </c>
      <c r="X207" s="1976" t="str">
        <f t="shared" si="110"/>
        <v xml:space="preserve"> </v>
      </c>
      <c r="Y207" s="1976" t="str">
        <f t="shared" si="111"/>
        <v xml:space="preserve"> </v>
      </c>
      <c r="Z207" s="1977" t="str">
        <f t="shared" si="112"/>
        <v xml:space="preserve"> </v>
      </c>
      <c r="AA207" s="1977" t="str">
        <f t="shared" si="113"/>
        <v xml:space="preserve"> </v>
      </c>
      <c r="AB207" s="1977" t="str">
        <f t="shared" si="114"/>
        <v xml:space="preserve"> </v>
      </c>
      <c r="AC207" s="1977" t="str">
        <f t="shared" si="115"/>
        <v xml:space="preserve"> </v>
      </c>
      <c r="AD207" s="1977" t="str">
        <f t="shared" si="116"/>
        <v xml:space="preserve"> </v>
      </c>
      <c r="AE207" s="1978" t="str">
        <f t="shared" si="117"/>
        <v xml:space="preserve"> </v>
      </c>
      <c r="AF207" s="1978" t="str">
        <f t="shared" si="118"/>
        <v xml:space="preserve"> </v>
      </c>
      <c r="AG207" s="1978" t="str">
        <f t="shared" si="119"/>
        <v xml:space="preserve"> </v>
      </c>
      <c r="AH207" s="1978" t="str">
        <f t="shared" si="120"/>
        <v xml:space="preserve"> </v>
      </c>
      <c r="AI207" s="1978" t="str">
        <f t="shared" si="121"/>
        <v xml:space="preserve"> </v>
      </c>
    </row>
    <row r="208" spans="12:35" s="352" customFormat="1" x14ac:dyDescent="0.25">
      <c r="L208" s="1972" t="str">
        <f t="shared" ref="L208:L253" si="122">IF(OR(C208=4,D208=4,E208=4,F208=4,G208=4),CONCATENATE("Sangat baik",P208,Q208,R208,S208,T208,),CONCATENATE(" ",P208,Q208,R208,S208,T208,))</f>
        <v xml:space="preserve">      </v>
      </c>
      <c r="M208" s="1973" t="str">
        <f t="shared" ref="M208:M253" si="123">IF(OR(C208=3,D208=3,E208=3,F208=3,G208=3),CONCATENATE("Baik ",U208,V208,W208,X208,Y208,),CONCATENATE(" ",U208,V208,W208,X208,Y208,))</f>
        <v xml:space="preserve">      </v>
      </c>
      <c r="N208" s="1974" t="str">
        <f t="shared" ref="N208:N253" si="124">IF(OR(C208=2,D208=2,E208=2,F208=2,G208=2),CONCATENATE("Dengan bimbingan dan pendampingan yang lebih, akan mampu   meningkatkan  ",Z208,AA208,AB208,AC208,AD208,),CONCATENATE(" ",Z208,AA208,AB208,AC208,AD208,))</f>
        <v xml:space="preserve">      </v>
      </c>
      <c r="O208" s="1974" t="str">
        <f t="shared" ref="O208:O253" si="125">IF(OR(C208=1,D208=1,E208=1,F208=1,G208=1),CONCATENATE("perlu bimbingan ",AE208,AF208,AG208,AH208,AI208,),CONCATENATE(" ",Z208,AA208,AB208,AC208,AD208,))</f>
        <v xml:space="preserve">      </v>
      </c>
      <c r="P208" s="1975" t="str">
        <f t="shared" ref="P208:P253" si="126">IF(C208=4,$P$12," ")</f>
        <v xml:space="preserve"> </v>
      </c>
      <c r="Q208" s="1975" t="str">
        <f t="shared" ref="Q208:Q253" si="127">IF(D208=4,$Q$12," ")</f>
        <v xml:space="preserve"> </v>
      </c>
      <c r="R208" s="1975" t="str">
        <f t="shared" ref="R208:R253" si="128">IF(E208=4,$R$12," ")</f>
        <v xml:space="preserve"> </v>
      </c>
      <c r="S208" s="1975" t="str">
        <f t="shared" ref="S208:S253" si="129">IF(F208=4,$S$12," ")</f>
        <v xml:space="preserve"> </v>
      </c>
      <c r="T208" s="1975" t="str">
        <f t="shared" ref="T208:T253" si="130">IF(G208=4,$T$12," ")</f>
        <v xml:space="preserve"> </v>
      </c>
      <c r="U208" s="1976" t="str">
        <f t="shared" ref="U208:U253" si="131">IF(C208=3,$P$12," ")</f>
        <v xml:space="preserve"> </v>
      </c>
      <c r="V208" s="1976" t="str">
        <f t="shared" ref="V208:V253" si="132">IF(D208=3,$Q$12," ")</f>
        <v xml:space="preserve"> </v>
      </c>
      <c r="W208" s="1976" t="str">
        <f t="shared" ref="W208:W253" si="133">IF(E208=3,$R$12," ")</f>
        <v xml:space="preserve"> </v>
      </c>
      <c r="X208" s="1976" t="str">
        <f t="shared" ref="X208:X253" si="134">IF(F208=3,$S$12," ")</f>
        <v xml:space="preserve"> </v>
      </c>
      <c r="Y208" s="1976" t="str">
        <f t="shared" ref="Y208:Y253" si="135">IF(G208=3,$T$12," ")</f>
        <v xml:space="preserve"> </v>
      </c>
      <c r="Z208" s="1977" t="str">
        <f t="shared" ref="Z208:Z253" si="136">IF(C208=2,$P$12," ")</f>
        <v xml:space="preserve"> </v>
      </c>
      <c r="AA208" s="1977" t="str">
        <f t="shared" ref="AA208:AA253" si="137">IF(D208=2,$Q$12," ")</f>
        <v xml:space="preserve"> </v>
      </c>
      <c r="AB208" s="1977" t="str">
        <f t="shared" ref="AB208:AB253" si="138">IF(E208=2,$R$12," ")</f>
        <v xml:space="preserve"> </v>
      </c>
      <c r="AC208" s="1977" t="str">
        <f t="shared" ref="AC208:AC253" si="139">IF(F208=2,$S$12," ")</f>
        <v xml:space="preserve"> </v>
      </c>
      <c r="AD208" s="1977" t="str">
        <f t="shared" ref="AD208:AD253" si="140">IF(G208=2,$T$12," ")</f>
        <v xml:space="preserve"> </v>
      </c>
      <c r="AE208" s="1978" t="str">
        <f t="shared" ref="AE208:AE253" si="141">IF(C208=1,$P$12," ")</f>
        <v xml:space="preserve"> </v>
      </c>
      <c r="AF208" s="1978" t="str">
        <f t="shared" ref="AF208:AF253" si="142">IF(D208=1,$Q$12," ")</f>
        <v xml:space="preserve"> </v>
      </c>
      <c r="AG208" s="1978" t="str">
        <f t="shared" ref="AG208:AG253" si="143">IF(E208=1,$R$12," ")</f>
        <v xml:space="preserve"> </v>
      </c>
      <c r="AH208" s="1978" t="str">
        <f t="shared" ref="AH208:AH253" si="144">IF(F208=1,$S$12," ")</f>
        <v xml:space="preserve"> </v>
      </c>
      <c r="AI208" s="1978" t="str">
        <f t="shared" ref="AI208:AI253" si="145">IF(G208=1,$T$12," ")</f>
        <v xml:space="preserve"> </v>
      </c>
    </row>
    <row r="209" spans="12:35" s="352" customFormat="1" x14ac:dyDescent="0.25">
      <c r="L209" s="1972" t="str">
        <f t="shared" si="122"/>
        <v xml:space="preserve">      </v>
      </c>
      <c r="M209" s="1973" t="str">
        <f t="shared" si="123"/>
        <v xml:space="preserve">      </v>
      </c>
      <c r="N209" s="1974" t="str">
        <f t="shared" si="124"/>
        <v xml:space="preserve">      </v>
      </c>
      <c r="O209" s="1974" t="str">
        <f t="shared" si="125"/>
        <v xml:space="preserve">      </v>
      </c>
      <c r="P209" s="1975" t="str">
        <f t="shared" si="126"/>
        <v xml:space="preserve"> </v>
      </c>
      <c r="Q209" s="1975" t="str">
        <f t="shared" si="127"/>
        <v xml:space="preserve"> </v>
      </c>
      <c r="R209" s="1975" t="str">
        <f t="shared" si="128"/>
        <v xml:space="preserve"> </v>
      </c>
      <c r="S209" s="1975" t="str">
        <f t="shared" si="129"/>
        <v xml:space="preserve"> </v>
      </c>
      <c r="T209" s="1975" t="str">
        <f t="shared" si="130"/>
        <v xml:space="preserve"> </v>
      </c>
      <c r="U209" s="1976" t="str">
        <f t="shared" si="131"/>
        <v xml:space="preserve"> </v>
      </c>
      <c r="V209" s="1976" t="str">
        <f t="shared" si="132"/>
        <v xml:space="preserve"> </v>
      </c>
      <c r="W209" s="1976" t="str">
        <f t="shared" si="133"/>
        <v xml:space="preserve"> </v>
      </c>
      <c r="X209" s="1976" t="str">
        <f t="shared" si="134"/>
        <v xml:space="preserve"> </v>
      </c>
      <c r="Y209" s="1976" t="str">
        <f t="shared" si="135"/>
        <v xml:space="preserve"> </v>
      </c>
      <c r="Z209" s="1977" t="str">
        <f t="shared" si="136"/>
        <v xml:space="preserve"> </v>
      </c>
      <c r="AA209" s="1977" t="str">
        <f t="shared" si="137"/>
        <v xml:space="preserve"> </v>
      </c>
      <c r="AB209" s="1977" t="str">
        <f t="shared" si="138"/>
        <v xml:space="preserve"> </v>
      </c>
      <c r="AC209" s="1977" t="str">
        <f t="shared" si="139"/>
        <v xml:space="preserve"> </v>
      </c>
      <c r="AD209" s="1977" t="str">
        <f t="shared" si="140"/>
        <v xml:space="preserve"> </v>
      </c>
      <c r="AE209" s="1978" t="str">
        <f t="shared" si="141"/>
        <v xml:space="preserve"> </v>
      </c>
      <c r="AF209" s="1978" t="str">
        <f t="shared" si="142"/>
        <v xml:space="preserve"> </v>
      </c>
      <c r="AG209" s="1978" t="str">
        <f t="shared" si="143"/>
        <v xml:space="preserve"> </v>
      </c>
      <c r="AH209" s="1978" t="str">
        <f t="shared" si="144"/>
        <v xml:space="preserve"> </v>
      </c>
      <c r="AI209" s="1978" t="str">
        <f t="shared" si="145"/>
        <v xml:space="preserve"> </v>
      </c>
    </row>
    <row r="210" spans="12:35" s="352" customFormat="1" x14ac:dyDescent="0.25">
      <c r="L210" s="1972" t="str">
        <f t="shared" si="122"/>
        <v xml:space="preserve">      </v>
      </c>
      <c r="M210" s="1973" t="str">
        <f t="shared" si="123"/>
        <v xml:space="preserve">      </v>
      </c>
      <c r="N210" s="1974" t="str">
        <f t="shared" si="124"/>
        <v xml:space="preserve">      </v>
      </c>
      <c r="O210" s="1974" t="str">
        <f t="shared" si="125"/>
        <v xml:space="preserve">      </v>
      </c>
      <c r="P210" s="1975" t="str">
        <f t="shared" si="126"/>
        <v xml:space="preserve"> </v>
      </c>
      <c r="Q210" s="1975" t="str">
        <f t="shared" si="127"/>
        <v xml:space="preserve"> </v>
      </c>
      <c r="R210" s="1975" t="str">
        <f t="shared" si="128"/>
        <v xml:space="preserve"> </v>
      </c>
      <c r="S210" s="1975" t="str">
        <f t="shared" si="129"/>
        <v xml:space="preserve"> </v>
      </c>
      <c r="T210" s="1975" t="str">
        <f t="shared" si="130"/>
        <v xml:space="preserve"> </v>
      </c>
      <c r="U210" s="1976" t="str">
        <f t="shared" si="131"/>
        <v xml:space="preserve"> </v>
      </c>
      <c r="V210" s="1976" t="str">
        <f t="shared" si="132"/>
        <v xml:space="preserve"> </v>
      </c>
      <c r="W210" s="1976" t="str">
        <f t="shared" si="133"/>
        <v xml:space="preserve"> </v>
      </c>
      <c r="X210" s="1976" t="str">
        <f t="shared" si="134"/>
        <v xml:space="preserve"> </v>
      </c>
      <c r="Y210" s="1976" t="str">
        <f t="shared" si="135"/>
        <v xml:space="preserve"> </v>
      </c>
      <c r="Z210" s="1977" t="str">
        <f t="shared" si="136"/>
        <v xml:space="preserve"> </v>
      </c>
      <c r="AA210" s="1977" t="str">
        <f t="shared" si="137"/>
        <v xml:space="preserve"> </v>
      </c>
      <c r="AB210" s="1977" t="str">
        <f t="shared" si="138"/>
        <v xml:space="preserve"> </v>
      </c>
      <c r="AC210" s="1977" t="str">
        <f t="shared" si="139"/>
        <v xml:space="preserve"> </v>
      </c>
      <c r="AD210" s="1977" t="str">
        <f t="shared" si="140"/>
        <v xml:space="preserve"> </v>
      </c>
      <c r="AE210" s="1978" t="str">
        <f t="shared" si="141"/>
        <v xml:space="preserve"> </v>
      </c>
      <c r="AF210" s="1978" t="str">
        <f t="shared" si="142"/>
        <v xml:space="preserve"> </v>
      </c>
      <c r="AG210" s="1978" t="str">
        <f t="shared" si="143"/>
        <v xml:space="preserve"> </v>
      </c>
      <c r="AH210" s="1978" t="str">
        <f t="shared" si="144"/>
        <v xml:space="preserve"> </v>
      </c>
      <c r="AI210" s="1978" t="str">
        <f t="shared" si="145"/>
        <v xml:space="preserve"> </v>
      </c>
    </row>
    <row r="211" spans="12:35" s="352" customFormat="1" x14ac:dyDescent="0.25">
      <c r="L211" s="1972" t="str">
        <f t="shared" si="122"/>
        <v xml:space="preserve">      </v>
      </c>
      <c r="M211" s="1973" t="str">
        <f t="shared" si="123"/>
        <v xml:space="preserve">      </v>
      </c>
      <c r="N211" s="1974" t="str">
        <f t="shared" si="124"/>
        <v xml:space="preserve">      </v>
      </c>
      <c r="O211" s="1974" t="str">
        <f t="shared" si="125"/>
        <v xml:space="preserve">      </v>
      </c>
      <c r="P211" s="1975" t="str">
        <f t="shared" si="126"/>
        <v xml:space="preserve"> </v>
      </c>
      <c r="Q211" s="1975" t="str">
        <f t="shared" si="127"/>
        <v xml:space="preserve"> </v>
      </c>
      <c r="R211" s="1975" t="str">
        <f t="shared" si="128"/>
        <v xml:space="preserve"> </v>
      </c>
      <c r="S211" s="1975" t="str">
        <f t="shared" si="129"/>
        <v xml:space="preserve"> </v>
      </c>
      <c r="T211" s="1975" t="str">
        <f t="shared" si="130"/>
        <v xml:space="preserve"> </v>
      </c>
      <c r="U211" s="1976" t="str">
        <f t="shared" si="131"/>
        <v xml:space="preserve"> </v>
      </c>
      <c r="V211" s="1976" t="str">
        <f t="shared" si="132"/>
        <v xml:space="preserve"> </v>
      </c>
      <c r="W211" s="1976" t="str">
        <f t="shared" si="133"/>
        <v xml:space="preserve"> </v>
      </c>
      <c r="X211" s="1976" t="str">
        <f t="shared" si="134"/>
        <v xml:space="preserve"> </v>
      </c>
      <c r="Y211" s="1976" t="str">
        <f t="shared" si="135"/>
        <v xml:space="preserve"> </v>
      </c>
      <c r="Z211" s="1977" t="str">
        <f t="shared" si="136"/>
        <v xml:space="preserve"> </v>
      </c>
      <c r="AA211" s="1977" t="str">
        <f t="shared" si="137"/>
        <v xml:space="preserve"> </v>
      </c>
      <c r="AB211" s="1977" t="str">
        <f t="shared" si="138"/>
        <v xml:space="preserve"> </v>
      </c>
      <c r="AC211" s="1977" t="str">
        <f t="shared" si="139"/>
        <v xml:space="preserve"> </v>
      </c>
      <c r="AD211" s="1977" t="str">
        <f t="shared" si="140"/>
        <v xml:space="preserve"> </v>
      </c>
      <c r="AE211" s="1978" t="str">
        <f t="shared" si="141"/>
        <v xml:space="preserve"> </v>
      </c>
      <c r="AF211" s="1978" t="str">
        <f t="shared" si="142"/>
        <v xml:space="preserve"> </v>
      </c>
      <c r="AG211" s="1978" t="str">
        <f t="shared" si="143"/>
        <v xml:space="preserve"> </v>
      </c>
      <c r="AH211" s="1978" t="str">
        <f t="shared" si="144"/>
        <v xml:space="preserve"> </v>
      </c>
      <c r="AI211" s="1978" t="str">
        <f t="shared" si="145"/>
        <v xml:space="preserve"> </v>
      </c>
    </row>
    <row r="212" spans="12:35" s="352" customFormat="1" x14ac:dyDescent="0.25">
      <c r="L212" s="1972" t="str">
        <f t="shared" si="122"/>
        <v xml:space="preserve">      </v>
      </c>
      <c r="M212" s="1973" t="str">
        <f t="shared" si="123"/>
        <v xml:space="preserve">      </v>
      </c>
      <c r="N212" s="1974" t="str">
        <f t="shared" si="124"/>
        <v xml:space="preserve">      </v>
      </c>
      <c r="O212" s="1974" t="str">
        <f t="shared" si="125"/>
        <v xml:space="preserve">      </v>
      </c>
      <c r="P212" s="1975" t="str">
        <f t="shared" si="126"/>
        <v xml:space="preserve"> </v>
      </c>
      <c r="Q212" s="1975" t="str">
        <f t="shared" si="127"/>
        <v xml:space="preserve"> </v>
      </c>
      <c r="R212" s="1975" t="str">
        <f t="shared" si="128"/>
        <v xml:space="preserve"> </v>
      </c>
      <c r="S212" s="1975" t="str">
        <f t="shared" si="129"/>
        <v xml:space="preserve"> </v>
      </c>
      <c r="T212" s="1975" t="str">
        <f t="shared" si="130"/>
        <v xml:space="preserve"> </v>
      </c>
      <c r="U212" s="1976" t="str">
        <f t="shared" si="131"/>
        <v xml:space="preserve"> </v>
      </c>
      <c r="V212" s="1976" t="str">
        <f t="shared" si="132"/>
        <v xml:space="preserve"> </v>
      </c>
      <c r="W212" s="1976" t="str">
        <f t="shared" si="133"/>
        <v xml:space="preserve"> </v>
      </c>
      <c r="X212" s="1976" t="str">
        <f t="shared" si="134"/>
        <v xml:space="preserve"> </v>
      </c>
      <c r="Y212" s="1976" t="str">
        <f t="shared" si="135"/>
        <v xml:space="preserve"> </v>
      </c>
      <c r="Z212" s="1977" t="str">
        <f t="shared" si="136"/>
        <v xml:space="preserve"> </v>
      </c>
      <c r="AA212" s="1977" t="str">
        <f t="shared" si="137"/>
        <v xml:space="preserve"> </v>
      </c>
      <c r="AB212" s="1977" t="str">
        <f t="shared" si="138"/>
        <v xml:space="preserve"> </v>
      </c>
      <c r="AC212" s="1977" t="str">
        <f t="shared" si="139"/>
        <v xml:space="preserve"> </v>
      </c>
      <c r="AD212" s="1977" t="str">
        <f t="shared" si="140"/>
        <v xml:space="preserve"> </v>
      </c>
      <c r="AE212" s="1978" t="str">
        <f t="shared" si="141"/>
        <v xml:space="preserve"> </v>
      </c>
      <c r="AF212" s="1978" t="str">
        <f t="shared" si="142"/>
        <v xml:space="preserve"> </v>
      </c>
      <c r="AG212" s="1978" t="str">
        <f t="shared" si="143"/>
        <v xml:space="preserve"> </v>
      </c>
      <c r="AH212" s="1978" t="str">
        <f t="shared" si="144"/>
        <v xml:space="preserve"> </v>
      </c>
      <c r="AI212" s="1978" t="str">
        <f t="shared" si="145"/>
        <v xml:space="preserve"> </v>
      </c>
    </row>
    <row r="213" spans="12:35" s="352" customFormat="1" x14ac:dyDescent="0.25">
      <c r="L213" s="1972" t="str">
        <f t="shared" si="122"/>
        <v xml:space="preserve">      </v>
      </c>
      <c r="M213" s="1973" t="str">
        <f t="shared" si="123"/>
        <v xml:space="preserve">      </v>
      </c>
      <c r="N213" s="1974" t="str">
        <f t="shared" si="124"/>
        <v xml:space="preserve">      </v>
      </c>
      <c r="O213" s="1974" t="str">
        <f t="shared" si="125"/>
        <v xml:space="preserve">      </v>
      </c>
      <c r="P213" s="1975" t="str">
        <f t="shared" si="126"/>
        <v xml:space="preserve"> </v>
      </c>
      <c r="Q213" s="1975" t="str">
        <f t="shared" si="127"/>
        <v xml:space="preserve"> </v>
      </c>
      <c r="R213" s="1975" t="str">
        <f t="shared" si="128"/>
        <v xml:space="preserve"> </v>
      </c>
      <c r="S213" s="1975" t="str">
        <f t="shared" si="129"/>
        <v xml:space="preserve"> </v>
      </c>
      <c r="T213" s="1975" t="str">
        <f t="shared" si="130"/>
        <v xml:space="preserve"> </v>
      </c>
      <c r="U213" s="1976" t="str">
        <f t="shared" si="131"/>
        <v xml:space="preserve"> </v>
      </c>
      <c r="V213" s="1976" t="str">
        <f t="shared" si="132"/>
        <v xml:space="preserve"> </v>
      </c>
      <c r="W213" s="1976" t="str">
        <f t="shared" si="133"/>
        <v xml:space="preserve"> </v>
      </c>
      <c r="X213" s="1976" t="str">
        <f t="shared" si="134"/>
        <v xml:space="preserve"> </v>
      </c>
      <c r="Y213" s="1976" t="str">
        <f t="shared" si="135"/>
        <v xml:space="preserve"> </v>
      </c>
      <c r="Z213" s="1977" t="str">
        <f t="shared" si="136"/>
        <v xml:space="preserve"> </v>
      </c>
      <c r="AA213" s="1977" t="str">
        <f t="shared" si="137"/>
        <v xml:space="preserve"> </v>
      </c>
      <c r="AB213" s="1977" t="str">
        <f t="shared" si="138"/>
        <v xml:space="preserve"> </v>
      </c>
      <c r="AC213" s="1977" t="str">
        <f t="shared" si="139"/>
        <v xml:space="preserve"> </v>
      </c>
      <c r="AD213" s="1977" t="str">
        <f t="shared" si="140"/>
        <v xml:space="preserve"> </v>
      </c>
      <c r="AE213" s="1978" t="str">
        <f t="shared" si="141"/>
        <v xml:space="preserve"> </v>
      </c>
      <c r="AF213" s="1978" t="str">
        <f t="shared" si="142"/>
        <v xml:space="preserve"> </v>
      </c>
      <c r="AG213" s="1978" t="str">
        <f t="shared" si="143"/>
        <v xml:space="preserve"> </v>
      </c>
      <c r="AH213" s="1978" t="str">
        <f t="shared" si="144"/>
        <v xml:space="preserve"> </v>
      </c>
      <c r="AI213" s="1978" t="str">
        <f t="shared" si="145"/>
        <v xml:space="preserve"> </v>
      </c>
    </row>
    <row r="214" spans="12:35" s="352" customFormat="1" x14ac:dyDescent="0.25">
      <c r="L214" s="1972" t="str">
        <f t="shared" si="122"/>
        <v xml:space="preserve">      </v>
      </c>
      <c r="M214" s="1973" t="str">
        <f t="shared" si="123"/>
        <v xml:space="preserve">      </v>
      </c>
      <c r="N214" s="1974" t="str">
        <f t="shared" si="124"/>
        <v xml:space="preserve">      </v>
      </c>
      <c r="O214" s="1974" t="str">
        <f t="shared" si="125"/>
        <v xml:space="preserve">      </v>
      </c>
      <c r="P214" s="1975" t="str">
        <f t="shared" si="126"/>
        <v xml:space="preserve"> </v>
      </c>
      <c r="Q214" s="1975" t="str">
        <f t="shared" si="127"/>
        <v xml:space="preserve"> </v>
      </c>
      <c r="R214" s="1975" t="str">
        <f t="shared" si="128"/>
        <v xml:space="preserve"> </v>
      </c>
      <c r="S214" s="1975" t="str">
        <f t="shared" si="129"/>
        <v xml:space="preserve"> </v>
      </c>
      <c r="T214" s="1975" t="str">
        <f t="shared" si="130"/>
        <v xml:space="preserve"> </v>
      </c>
      <c r="U214" s="1976" t="str">
        <f t="shared" si="131"/>
        <v xml:space="preserve"> </v>
      </c>
      <c r="V214" s="1976" t="str">
        <f t="shared" si="132"/>
        <v xml:space="preserve"> </v>
      </c>
      <c r="W214" s="1976" t="str">
        <f t="shared" si="133"/>
        <v xml:space="preserve"> </v>
      </c>
      <c r="X214" s="1976" t="str">
        <f t="shared" si="134"/>
        <v xml:space="preserve"> </v>
      </c>
      <c r="Y214" s="1976" t="str">
        <f t="shared" si="135"/>
        <v xml:space="preserve"> </v>
      </c>
      <c r="Z214" s="1977" t="str">
        <f t="shared" si="136"/>
        <v xml:space="preserve"> </v>
      </c>
      <c r="AA214" s="1977" t="str">
        <f t="shared" si="137"/>
        <v xml:space="preserve"> </v>
      </c>
      <c r="AB214" s="1977" t="str">
        <f t="shared" si="138"/>
        <v xml:space="preserve"> </v>
      </c>
      <c r="AC214" s="1977" t="str">
        <f t="shared" si="139"/>
        <v xml:space="preserve"> </v>
      </c>
      <c r="AD214" s="1977" t="str">
        <f t="shared" si="140"/>
        <v xml:space="preserve"> </v>
      </c>
      <c r="AE214" s="1978" t="str">
        <f t="shared" si="141"/>
        <v xml:space="preserve"> </v>
      </c>
      <c r="AF214" s="1978" t="str">
        <f t="shared" si="142"/>
        <v xml:space="preserve"> </v>
      </c>
      <c r="AG214" s="1978" t="str">
        <f t="shared" si="143"/>
        <v xml:space="preserve"> </v>
      </c>
      <c r="AH214" s="1978" t="str">
        <f t="shared" si="144"/>
        <v xml:space="preserve"> </v>
      </c>
      <c r="AI214" s="1978" t="str">
        <f t="shared" si="145"/>
        <v xml:space="preserve"> </v>
      </c>
    </row>
    <row r="215" spans="12:35" s="352" customFormat="1" x14ac:dyDescent="0.25">
      <c r="L215" s="1972" t="str">
        <f t="shared" si="122"/>
        <v xml:space="preserve">      </v>
      </c>
      <c r="M215" s="1973" t="str">
        <f t="shared" si="123"/>
        <v xml:space="preserve">      </v>
      </c>
      <c r="N215" s="1974" t="str">
        <f t="shared" si="124"/>
        <v xml:space="preserve">      </v>
      </c>
      <c r="O215" s="1974" t="str">
        <f t="shared" si="125"/>
        <v xml:space="preserve">      </v>
      </c>
      <c r="P215" s="1975" t="str">
        <f t="shared" si="126"/>
        <v xml:space="preserve"> </v>
      </c>
      <c r="Q215" s="1975" t="str">
        <f t="shared" si="127"/>
        <v xml:space="preserve"> </v>
      </c>
      <c r="R215" s="1975" t="str">
        <f t="shared" si="128"/>
        <v xml:space="preserve"> </v>
      </c>
      <c r="S215" s="1975" t="str">
        <f t="shared" si="129"/>
        <v xml:space="preserve"> </v>
      </c>
      <c r="T215" s="1975" t="str">
        <f t="shared" si="130"/>
        <v xml:space="preserve"> </v>
      </c>
      <c r="U215" s="1976" t="str">
        <f t="shared" si="131"/>
        <v xml:space="preserve"> </v>
      </c>
      <c r="V215" s="1976" t="str">
        <f t="shared" si="132"/>
        <v xml:space="preserve"> </v>
      </c>
      <c r="W215" s="1976" t="str">
        <f t="shared" si="133"/>
        <v xml:space="preserve"> </v>
      </c>
      <c r="X215" s="1976" t="str">
        <f t="shared" si="134"/>
        <v xml:space="preserve"> </v>
      </c>
      <c r="Y215" s="1976" t="str">
        <f t="shared" si="135"/>
        <v xml:space="preserve"> </v>
      </c>
      <c r="Z215" s="1977" t="str">
        <f t="shared" si="136"/>
        <v xml:space="preserve"> </v>
      </c>
      <c r="AA215" s="1977" t="str">
        <f t="shared" si="137"/>
        <v xml:space="preserve"> </v>
      </c>
      <c r="AB215" s="1977" t="str">
        <f t="shared" si="138"/>
        <v xml:space="preserve"> </v>
      </c>
      <c r="AC215" s="1977" t="str">
        <f t="shared" si="139"/>
        <v xml:space="preserve"> </v>
      </c>
      <c r="AD215" s="1977" t="str">
        <f t="shared" si="140"/>
        <v xml:space="preserve"> </v>
      </c>
      <c r="AE215" s="1978" t="str">
        <f t="shared" si="141"/>
        <v xml:space="preserve"> </v>
      </c>
      <c r="AF215" s="1978" t="str">
        <f t="shared" si="142"/>
        <v xml:space="preserve"> </v>
      </c>
      <c r="AG215" s="1978" t="str">
        <f t="shared" si="143"/>
        <v xml:space="preserve"> </v>
      </c>
      <c r="AH215" s="1978" t="str">
        <f t="shared" si="144"/>
        <v xml:space="preserve"> </v>
      </c>
      <c r="AI215" s="1978" t="str">
        <f t="shared" si="145"/>
        <v xml:space="preserve"> </v>
      </c>
    </row>
    <row r="216" spans="12:35" s="352" customFormat="1" x14ac:dyDescent="0.25">
      <c r="L216" s="1972" t="str">
        <f t="shared" si="122"/>
        <v xml:space="preserve">      </v>
      </c>
      <c r="M216" s="1973" t="str">
        <f t="shared" si="123"/>
        <v xml:space="preserve">      </v>
      </c>
      <c r="N216" s="1974" t="str">
        <f t="shared" si="124"/>
        <v xml:space="preserve">      </v>
      </c>
      <c r="O216" s="1974" t="str">
        <f t="shared" si="125"/>
        <v xml:space="preserve">      </v>
      </c>
      <c r="P216" s="1975" t="str">
        <f t="shared" si="126"/>
        <v xml:space="preserve"> </v>
      </c>
      <c r="Q216" s="1975" t="str">
        <f t="shared" si="127"/>
        <v xml:space="preserve"> </v>
      </c>
      <c r="R216" s="1975" t="str">
        <f t="shared" si="128"/>
        <v xml:space="preserve"> </v>
      </c>
      <c r="S216" s="1975" t="str">
        <f t="shared" si="129"/>
        <v xml:space="preserve"> </v>
      </c>
      <c r="T216" s="1975" t="str">
        <f t="shared" si="130"/>
        <v xml:space="preserve"> </v>
      </c>
      <c r="U216" s="1976" t="str">
        <f t="shared" si="131"/>
        <v xml:space="preserve"> </v>
      </c>
      <c r="V216" s="1976" t="str">
        <f t="shared" si="132"/>
        <v xml:space="preserve"> </v>
      </c>
      <c r="W216" s="1976" t="str">
        <f t="shared" si="133"/>
        <v xml:space="preserve"> </v>
      </c>
      <c r="X216" s="1976" t="str">
        <f t="shared" si="134"/>
        <v xml:space="preserve"> </v>
      </c>
      <c r="Y216" s="1976" t="str">
        <f t="shared" si="135"/>
        <v xml:space="preserve"> </v>
      </c>
      <c r="Z216" s="1977" t="str">
        <f t="shared" si="136"/>
        <v xml:space="preserve"> </v>
      </c>
      <c r="AA216" s="1977" t="str">
        <f t="shared" si="137"/>
        <v xml:space="preserve"> </v>
      </c>
      <c r="AB216" s="1977" t="str">
        <f t="shared" si="138"/>
        <v xml:space="preserve"> </v>
      </c>
      <c r="AC216" s="1977" t="str">
        <f t="shared" si="139"/>
        <v xml:space="preserve"> </v>
      </c>
      <c r="AD216" s="1977" t="str">
        <f t="shared" si="140"/>
        <v xml:space="preserve"> </v>
      </c>
      <c r="AE216" s="1978" t="str">
        <f t="shared" si="141"/>
        <v xml:space="preserve"> </v>
      </c>
      <c r="AF216" s="1978" t="str">
        <f t="shared" si="142"/>
        <v xml:space="preserve"> </v>
      </c>
      <c r="AG216" s="1978" t="str">
        <f t="shared" si="143"/>
        <v xml:space="preserve"> </v>
      </c>
      <c r="AH216" s="1978" t="str">
        <f t="shared" si="144"/>
        <v xml:space="preserve"> </v>
      </c>
      <c r="AI216" s="1978" t="str">
        <f t="shared" si="145"/>
        <v xml:space="preserve"> </v>
      </c>
    </row>
    <row r="217" spans="12:35" s="352" customFormat="1" x14ac:dyDescent="0.25">
      <c r="L217" s="1972" t="str">
        <f t="shared" si="122"/>
        <v xml:space="preserve">      </v>
      </c>
      <c r="M217" s="1973" t="str">
        <f t="shared" si="123"/>
        <v xml:space="preserve">      </v>
      </c>
      <c r="N217" s="1974" t="str">
        <f t="shared" si="124"/>
        <v xml:space="preserve">      </v>
      </c>
      <c r="O217" s="1974" t="str">
        <f t="shared" si="125"/>
        <v xml:space="preserve">      </v>
      </c>
      <c r="P217" s="1975" t="str">
        <f t="shared" si="126"/>
        <v xml:space="preserve"> </v>
      </c>
      <c r="Q217" s="1975" t="str">
        <f t="shared" si="127"/>
        <v xml:space="preserve"> </v>
      </c>
      <c r="R217" s="1975" t="str">
        <f t="shared" si="128"/>
        <v xml:space="preserve"> </v>
      </c>
      <c r="S217" s="1975" t="str">
        <f t="shared" si="129"/>
        <v xml:space="preserve"> </v>
      </c>
      <c r="T217" s="1975" t="str">
        <f t="shared" si="130"/>
        <v xml:space="preserve"> </v>
      </c>
      <c r="U217" s="1976" t="str">
        <f t="shared" si="131"/>
        <v xml:space="preserve"> </v>
      </c>
      <c r="V217" s="1976" t="str">
        <f t="shared" si="132"/>
        <v xml:space="preserve"> </v>
      </c>
      <c r="W217" s="1976" t="str">
        <f t="shared" si="133"/>
        <v xml:space="preserve"> </v>
      </c>
      <c r="X217" s="1976" t="str">
        <f t="shared" si="134"/>
        <v xml:space="preserve"> </v>
      </c>
      <c r="Y217" s="1976" t="str">
        <f t="shared" si="135"/>
        <v xml:space="preserve"> </v>
      </c>
      <c r="Z217" s="1977" t="str">
        <f t="shared" si="136"/>
        <v xml:space="preserve"> </v>
      </c>
      <c r="AA217" s="1977" t="str">
        <f t="shared" si="137"/>
        <v xml:space="preserve"> </v>
      </c>
      <c r="AB217" s="1977" t="str">
        <f t="shared" si="138"/>
        <v xml:space="preserve"> </v>
      </c>
      <c r="AC217" s="1977" t="str">
        <f t="shared" si="139"/>
        <v xml:space="preserve"> </v>
      </c>
      <c r="AD217" s="1977" t="str">
        <f t="shared" si="140"/>
        <v xml:space="preserve"> </v>
      </c>
      <c r="AE217" s="1978" t="str">
        <f t="shared" si="141"/>
        <v xml:space="preserve"> </v>
      </c>
      <c r="AF217" s="1978" t="str">
        <f t="shared" si="142"/>
        <v xml:space="preserve"> </v>
      </c>
      <c r="AG217" s="1978" t="str">
        <f t="shared" si="143"/>
        <v xml:space="preserve"> </v>
      </c>
      <c r="AH217" s="1978" t="str">
        <f t="shared" si="144"/>
        <v xml:space="preserve"> </v>
      </c>
      <c r="AI217" s="1978" t="str">
        <f t="shared" si="145"/>
        <v xml:space="preserve"> </v>
      </c>
    </row>
    <row r="218" spans="12:35" s="352" customFormat="1" x14ac:dyDescent="0.25">
      <c r="L218" s="1972" t="str">
        <f t="shared" si="122"/>
        <v xml:space="preserve">      </v>
      </c>
      <c r="M218" s="1973" t="str">
        <f t="shared" si="123"/>
        <v xml:space="preserve">      </v>
      </c>
      <c r="N218" s="1974" t="str">
        <f t="shared" si="124"/>
        <v xml:space="preserve">      </v>
      </c>
      <c r="O218" s="1974" t="str">
        <f t="shared" si="125"/>
        <v xml:space="preserve">      </v>
      </c>
      <c r="P218" s="1975" t="str">
        <f t="shared" si="126"/>
        <v xml:space="preserve"> </v>
      </c>
      <c r="Q218" s="1975" t="str">
        <f t="shared" si="127"/>
        <v xml:space="preserve"> </v>
      </c>
      <c r="R218" s="1975" t="str">
        <f t="shared" si="128"/>
        <v xml:space="preserve"> </v>
      </c>
      <c r="S218" s="1975" t="str">
        <f t="shared" si="129"/>
        <v xml:space="preserve"> </v>
      </c>
      <c r="T218" s="1975" t="str">
        <f t="shared" si="130"/>
        <v xml:space="preserve"> </v>
      </c>
      <c r="U218" s="1976" t="str">
        <f t="shared" si="131"/>
        <v xml:space="preserve"> </v>
      </c>
      <c r="V218" s="1976" t="str">
        <f t="shared" si="132"/>
        <v xml:space="preserve"> </v>
      </c>
      <c r="W218" s="1976" t="str">
        <f t="shared" si="133"/>
        <v xml:space="preserve"> </v>
      </c>
      <c r="X218" s="1976" t="str">
        <f t="shared" si="134"/>
        <v xml:space="preserve"> </v>
      </c>
      <c r="Y218" s="1976" t="str">
        <f t="shared" si="135"/>
        <v xml:space="preserve"> </v>
      </c>
      <c r="Z218" s="1977" t="str">
        <f t="shared" si="136"/>
        <v xml:space="preserve"> </v>
      </c>
      <c r="AA218" s="1977" t="str">
        <f t="shared" si="137"/>
        <v xml:space="preserve"> </v>
      </c>
      <c r="AB218" s="1977" t="str">
        <f t="shared" si="138"/>
        <v xml:space="preserve"> </v>
      </c>
      <c r="AC218" s="1977" t="str">
        <f t="shared" si="139"/>
        <v xml:space="preserve"> </v>
      </c>
      <c r="AD218" s="1977" t="str">
        <f t="shared" si="140"/>
        <v xml:space="preserve"> </v>
      </c>
      <c r="AE218" s="1978" t="str">
        <f t="shared" si="141"/>
        <v xml:space="preserve"> </v>
      </c>
      <c r="AF218" s="1978" t="str">
        <f t="shared" si="142"/>
        <v xml:space="preserve"> </v>
      </c>
      <c r="AG218" s="1978" t="str">
        <f t="shared" si="143"/>
        <v xml:space="preserve"> </v>
      </c>
      <c r="AH218" s="1978" t="str">
        <f t="shared" si="144"/>
        <v xml:space="preserve"> </v>
      </c>
      <c r="AI218" s="1978" t="str">
        <f t="shared" si="145"/>
        <v xml:space="preserve"> </v>
      </c>
    </row>
    <row r="219" spans="12:35" s="352" customFormat="1" x14ac:dyDescent="0.25">
      <c r="L219" s="1972" t="str">
        <f t="shared" si="122"/>
        <v xml:space="preserve">      </v>
      </c>
      <c r="M219" s="1973" t="str">
        <f t="shared" si="123"/>
        <v xml:space="preserve">      </v>
      </c>
      <c r="N219" s="1974" t="str">
        <f t="shared" si="124"/>
        <v xml:space="preserve">      </v>
      </c>
      <c r="O219" s="1974" t="str">
        <f t="shared" si="125"/>
        <v xml:space="preserve">      </v>
      </c>
      <c r="P219" s="1975" t="str">
        <f t="shared" si="126"/>
        <v xml:space="preserve"> </v>
      </c>
      <c r="Q219" s="1975" t="str">
        <f t="shared" si="127"/>
        <v xml:space="preserve"> </v>
      </c>
      <c r="R219" s="1975" t="str">
        <f t="shared" si="128"/>
        <v xml:space="preserve"> </v>
      </c>
      <c r="S219" s="1975" t="str">
        <f t="shared" si="129"/>
        <v xml:space="preserve"> </v>
      </c>
      <c r="T219" s="1975" t="str">
        <f t="shared" si="130"/>
        <v xml:space="preserve"> </v>
      </c>
      <c r="U219" s="1976" t="str">
        <f t="shared" si="131"/>
        <v xml:space="preserve"> </v>
      </c>
      <c r="V219" s="1976" t="str">
        <f t="shared" si="132"/>
        <v xml:space="preserve"> </v>
      </c>
      <c r="W219" s="1976" t="str">
        <f t="shared" si="133"/>
        <v xml:space="preserve"> </v>
      </c>
      <c r="X219" s="1976" t="str">
        <f t="shared" si="134"/>
        <v xml:space="preserve"> </v>
      </c>
      <c r="Y219" s="1976" t="str">
        <f t="shared" si="135"/>
        <v xml:space="preserve"> </v>
      </c>
      <c r="Z219" s="1977" t="str">
        <f t="shared" si="136"/>
        <v xml:space="preserve"> </v>
      </c>
      <c r="AA219" s="1977" t="str">
        <f t="shared" si="137"/>
        <v xml:space="preserve"> </v>
      </c>
      <c r="AB219" s="1977" t="str">
        <f t="shared" si="138"/>
        <v xml:space="preserve"> </v>
      </c>
      <c r="AC219" s="1977" t="str">
        <f t="shared" si="139"/>
        <v xml:space="preserve"> </v>
      </c>
      <c r="AD219" s="1977" t="str">
        <f t="shared" si="140"/>
        <v xml:space="preserve"> </v>
      </c>
      <c r="AE219" s="1978" t="str">
        <f t="shared" si="141"/>
        <v xml:space="preserve"> </v>
      </c>
      <c r="AF219" s="1978" t="str">
        <f t="shared" si="142"/>
        <v xml:space="preserve"> </v>
      </c>
      <c r="AG219" s="1978" t="str">
        <f t="shared" si="143"/>
        <v xml:space="preserve"> </v>
      </c>
      <c r="AH219" s="1978" t="str">
        <f t="shared" si="144"/>
        <v xml:space="preserve"> </v>
      </c>
      <c r="AI219" s="1978" t="str">
        <f t="shared" si="145"/>
        <v xml:space="preserve"> </v>
      </c>
    </row>
    <row r="220" spans="12:35" s="352" customFormat="1" x14ac:dyDescent="0.25">
      <c r="L220" s="1972" t="str">
        <f t="shared" si="122"/>
        <v xml:space="preserve">      </v>
      </c>
      <c r="M220" s="1973" t="str">
        <f t="shared" si="123"/>
        <v xml:space="preserve">      </v>
      </c>
      <c r="N220" s="1974" t="str">
        <f t="shared" si="124"/>
        <v xml:space="preserve">      </v>
      </c>
      <c r="O220" s="1974" t="str">
        <f t="shared" si="125"/>
        <v xml:space="preserve">      </v>
      </c>
      <c r="P220" s="1975" t="str">
        <f t="shared" si="126"/>
        <v xml:space="preserve"> </v>
      </c>
      <c r="Q220" s="1975" t="str">
        <f t="shared" si="127"/>
        <v xml:space="preserve"> </v>
      </c>
      <c r="R220" s="1975" t="str">
        <f t="shared" si="128"/>
        <v xml:space="preserve"> </v>
      </c>
      <c r="S220" s="1975" t="str">
        <f t="shared" si="129"/>
        <v xml:space="preserve"> </v>
      </c>
      <c r="T220" s="1975" t="str">
        <f t="shared" si="130"/>
        <v xml:space="preserve"> </v>
      </c>
      <c r="U220" s="1976" t="str">
        <f t="shared" si="131"/>
        <v xml:space="preserve"> </v>
      </c>
      <c r="V220" s="1976" t="str">
        <f t="shared" si="132"/>
        <v xml:space="preserve"> </v>
      </c>
      <c r="W220" s="1976" t="str">
        <f t="shared" si="133"/>
        <v xml:space="preserve"> </v>
      </c>
      <c r="X220" s="1976" t="str">
        <f t="shared" si="134"/>
        <v xml:space="preserve"> </v>
      </c>
      <c r="Y220" s="1976" t="str">
        <f t="shared" si="135"/>
        <v xml:space="preserve"> </v>
      </c>
      <c r="Z220" s="1977" t="str">
        <f t="shared" si="136"/>
        <v xml:space="preserve"> </v>
      </c>
      <c r="AA220" s="1977" t="str">
        <f t="shared" si="137"/>
        <v xml:space="preserve"> </v>
      </c>
      <c r="AB220" s="1977" t="str">
        <f t="shared" si="138"/>
        <v xml:space="preserve"> </v>
      </c>
      <c r="AC220" s="1977" t="str">
        <f t="shared" si="139"/>
        <v xml:space="preserve"> </v>
      </c>
      <c r="AD220" s="1977" t="str">
        <f t="shared" si="140"/>
        <v xml:space="preserve"> </v>
      </c>
      <c r="AE220" s="1978" t="str">
        <f t="shared" si="141"/>
        <v xml:space="preserve"> </v>
      </c>
      <c r="AF220" s="1978" t="str">
        <f t="shared" si="142"/>
        <v xml:space="preserve"> </v>
      </c>
      <c r="AG220" s="1978" t="str">
        <f t="shared" si="143"/>
        <v xml:space="preserve"> </v>
      </c>
      <c r="AH220" s="1978" t="str">
        <f t="shared" si="144"/>
        <v xml:space="preserve"> </v>
      </c>
      <c r="AI220" s="1978" t="str">
        <f t="shared" si="145"/>
        <v xml:space="preserve"> </v>
      </c>
    </row>
    <row r="221" spans="12:35" s="352" customFormat="1" x14ac:dyDescent="0.25">
      <c r="L221" s="1972" t="str">
        <f t="shared" si="122"/>
        <v xml:space="preserve">      </v>
      </c>
      <c r="M221" s="1973" t="str">
        <f t="shared" si="123"/>
        <v xml:space="preserve">      </v>
      </c>
      <c r="N221" s="1974" t="str">
        <f t="shared" si="124"/>
        <v xml:space="preserve">      </v>
      </c>
      <c r="O221" s="1974" t="str">
        <f t="shared" si="125"/>
        <v xml:space="preserve">      </v>
      </c>
      <c r="P221" s="1975" t="str">
        <f t="shared" si="126"/>
        <v xml:space="preserve"> </v>
      </c>
      <c r="Q221" s="1975" t="str">
        <f t="shared" si="127"/>
        <v xml:space="preserve"> </v>
      </c>
      <c r="R221" s="1975" t="str">
        <f t="shared" si="128"/>
        <v xml:space="preserve"> </v>
      </c>
      <c r="S221" s="1975" t="str">
        <f t="shared" si="129"/>
        <v xml:space="preserve"> </v>
      </c>
      <c r="T221" s="1975" t="str">
        <f t="shared" si="130"/>
        <v xml:space="preserve"> </v>
      </c>
      <c r="U221" s="1976" t="str">
        <f t="shared" si="131"/>
        <v xml:space="preserve"> </v>
      </c>
      <c r="V221" s="1976" t="str">
        <f t="shared" si="132"/>
        <v xml:space="preserve"> </v>
      </c>
      <c r="W221" s="1976" t="str">
        <f t="shared" si="133"/>
        <v xml:space="preserve"> </v>
      </c>
      <c r="X221" s="1976" t="str">
        <f t="shared" si="134"/>
        <v xml:space="preserve"> </v>
      </c>
      <c r="Y221" s="1976" t="str">
        <f t="shared" si="135"/>
        <v xml:space="preserve"> </v>
      </c>
      <c r="Z221" s="1977" t="str">
        <f t="shared" si="136"/>
        <v xml:space="preserve"> </v>
      </c>
      <c r="AA221" s="1977" t="str">
        <f t="shared" si="137"/>
        <v xml:space="preserve"> </v>
      </c>
      <c r="AB221" s="1977" t="str">
        <f t="shared" si="138"/>
        <v xml:space="preserve"> </v>
      </c>
      <c r="AC221" s="1977" t="str">
        <f t="shared" si="139"/>
        <v xml:space="preserve"> </v>
      </c>
      <c r="AD221" s="1977" t="str">
        <f t="shared" si="140"/>
        <v xml:space="preserve"> </v>
      </c>
      <c r="AE221" s="1978" t="str">
        <f t="shared" si="141"/>
        <v xml:space="preserve"> </v>
      </c>
      <c r="AF221" s="1978" t="str">
        <f t="shared" si="142"/>
        <v xml:space="preserve"> </v>
      </c>
      <c r="AG221" s="1978" t="str">
        <f t="shared" si="143"/>
        <v xml:space="preserve"> </v>
      </c>
      <c r="AH221" s="1978" t="str">
        <f t="shared" si="144"/>
        <v xml:space="preserve"> </v>
      </c>
      <c r="AI221" s="1978" t="str">
        <f t="shared" si="145"/>
        <v xml:space="preserve"> </v>
      </c>
    </row>
    <row r="222" spans="12:35" s="352" customFormat="1" x14ac:dyDescent="0.25">
      <c r="L222" s="1972" t="str">
        <f t="shared" si="122"/>
        <v xml:space="preserve">      </v>
      </c>
      <c r="M222" s="1973" t="str">
        <f t="shared" si="123"/>
        <v xml:space="preserve">      </v>
      </c>
      <c r="N222" s="1974" t="str">
        <f t="shared" si="124"/>
        <v xml:space="preserve">      </v>
      </c>
      <c r="O222" s="1974" t="str">
        <f t="shared" si="125"/>
        <v xml:space="preserve">      </v>
      </c>
      <c r="P222" s="1975" t="str">
        <f t="shared" si="126"/>
        <v xml:space="preserve"> </v>
      </c>
      <c r="Q222" s="1975" t="str">
        <f t="shared" si="127"/>
        <v xml:space="preserve"> </v>
      </c>
      <c r="R222" s="1975" t="str">
        <f t="shared" si="128"/>
        <v xml:space="preserve"> </v>
      </c>
      <c r="S222" s="1975" t="str">
        <f t="shared" si="129"/>
        <v xml:space="preserve"> </v>
      </c>
      <c r="T222" s="1975" t="str">
        <f t="shared" si="130"/>
        <v xml:space="preserve"> </v>
      </c>
      <c r="U222" s="1976" t="str">
        <f t="shared" si="131"/>
        <v xml:space="preserve"> </v>
      </c>
      <c r="V222" s="1976" t="str">
        <f t="shared" si="132"/>
        <v xml:space="preserve"> </v>
      </c>
      <c r="W222" s="1976" t="str">
        <f t="shared" si="133"/>
        <v xml:space="preserve"> </v>
      </c>
      <c r="X222" s="1976" t="str">
        <f t="shared" si="134"/>
        <v xml:space="preserve"> </v>
      </c>
      <c r="Y222" s="1976" t="str">
        <f t="shared" si="135"/>
        <v xml:space="preserve"> </v>
      </c>
      <c r="Z222" s="1977" t="str">
        <f t="shared" si="136"/>
        <v xml:space="preserve"> </v>
      </c>
      <c r="AA222" s="1977" t="str">
        <f t="shared" si="137"/>
        <v xml:space="preserve"> </v>
      </c>
      <c r="AB222" s="1977" t="str">
        <f t="shared" si="138"/>
        <v xml:space="preserve"> </v>
      </c>
      <c r="AC222" s="1977" t="str">
        <f t="shared" si="139"/>
        <v xml:space="preserve"> </v>
      </c>
      <c r="AD222" s="1977" t="str">
        <f t="shared" si="140"/>
        <v xml:space="preserve"> </v>
      </c>
      <c r="AE222" s="1978" t="str">
        <f t="shared" si="141"/>
        <v xml:space="preserve"> </v>
      </c>
      <c r="AF222" s="1978" t="str">
        <f t="shared" si="142"/>
        <v xml:space="preserve"> </v>
      </c>
      <c r="AG222" s="1978" t="str">
        <f t="shared" si="143"/>
        <v xml:space="preserve"> </v>
      </c>
      <c r="AH222" s="1978" t="str">
        <f t="shared" si="144"/>
        <v xml:space="preserve"> </v>
      </c>
      <c r="AI222" s="1978" t="str">
        <f t="shared" si="145"/>
        <v xml:space="preserve"> </v>
      </c>
    </row>
    <row r="223" spans="12:35" s="352" customFormat="1" x14ac:dyDescent="0.25">
      <c r="L223" s="1972" t="str">
        <f t="shared" si="122"/>
        <v xml:space="preserve">      </v>
      </c>
      <c r="M223" s="1973" t="str">
        <f t="shared" si="123"/>
        <v xml:space="preserve">      </v>
      </c>
      <c r="N223" s="1974" t="str">
        <f t="shared" si="124"/>
        <v xml:space="preserve">      </v>
      </c>
      <c r="O223" s="1974" t="str">
        <f t="shared" si="125"/>
        <v xml:space="preserve">      </v>
      </c>
      <c r="P223" s="1975" t="str">
        <f t="shared" si="126"/>
        <v xml:space="preserve"> </v>
      </c>
      <c r="Q223" s="1975" t="str">
        <f t="shared" si="127"/>
        <v xml:space="preserve"> </v>
      </c>
      <c r="R223" s="1975" t="str">
        <f t="shared" si="128"/>
        <v xml:space="preserve"> </v>
      </c>
      <c r="S223" s="1975" t="str">
        <f t="shared" si="129"/>
        <v xml:space="preserve"> </v>
      </c>
      <c r="T223" s="1975" t="str">
        <f t="shared" si="130"/>
        <v xml:space="preserve"> </v>
      </c>
      <c r="U223" s="1976" t="str">
        <f t="shared" si="131"/>
        <v xml:space="preserve"> </v>
      </c>
      <c r="V223" s="1976" t="str">
        <f t="shared" si="132"/>
        <v xml:space="preserve"> </v>
      </c>
      <c r="W223" s="1976" t="str">
        <f t="shared" si="133"/>
        <v xml:space="preserve"> </v>
      </c>
      <c r="X223" s="1976" t="str">
        <f t="shared" si="134"/>
        <v xml:space="preserve"> </v>
      </c>
      <c r="Y223" s="1976" t="str">
        <f t="shared" si="135"/>
        <v xml:space="preserve"> </v>
      </c>
      <c r="Z223" s="1977" t="str">
        <f t="shared" si="136"/>
        <v xml:space="preserve"> </v>
      </c>
      <c r="AA223" s="1977" t="str">
        <f t="shared" si="137"/>
        <v xml:space="preserve"> </v>
      </c>
      <c r="AB223" s="1977" t="str">
        <f t="shared" si="138"/>
        <v xml:space="preserve"> </v>
      </c>
      <c r="AC223" s="1977" t="str">
        <f t="shared" si="139"/>
        <v xml:space="preserve"> </v>
      </c>
      <c r="AD223" s="1977" t="str">
        <f t="shared" si="140"/>
        <v xml:space="preserve"> </v>
      </c>
      <c r="AE223" s="1978" t="str">
        <f t="shared" si="141"/>
        <v xml:space="preserve"> </v>
      </c>
      <c r="AF223" s="1978" t="str">
        <f t="shared" si="142"/>
        <v xml:space="preserve"> </v>
      </c>
      <c r="AG223" s="1978" t="str">
        <f t="shared" si="143"/>
        <v xml:space="preserve"> </v>
      </c>
      <c r="AH223" s="1978" t="str">
        <f t="shared" si="144"/>
        <v xml:space="preserve"> </v>
      </c>
      <c r="AI223" s="1978" t="str">
        <f t="shared" si="145"/>
        <v xml:space="preserve"> </v>
      </c>
    </row>
    <row r="224" spans="12:35" s="352" customFormat="1" x14ac:dyDescent="0.25">
      <c r="L224" s="1972" t="str">
        <f t="shared" si="122"/>
        <v xml:space="preserve">      </v>
      </c>
      <c r="M224" s="1973" t="str">
        <f t="shared" si="123"/>
        <v xml:space="preserve">      </v>
      </c>
      <c r="N224" s="1974" t="str">
        <f t="shared" si="124"/>
        <v xml:space="preserve">      </v>
      </c>
      <c r="O224" s="1974" t="str">
        <f t="shared" si="125"/>
        <v xml:space="preserve">      </v>
      </c>
      <c r="P224" s="1975" t="str">
        <f t="shared" si="126"/>
        <v xml:space="preserve"> </v>
      </c>
      <c r="Q224" s="1975" t="str">
        <f t="shared" si="127"/>
        <v xml:space="preserve"> </v>
      </c>
      <c r="R224" s="1975" t="str">
        <f t="shared" si="128"/>
        <v xml:space="preserve"> </v>
      </c>
      <c r="S224" s="1975" t="str">
        <f t="shared" si="129"/>
        <v xml:space="preserve"> </v>
      </c>
      <c r="T224" s="1975" t="str">
        <f t="shared" si="130"/>
        <v xml:space="preserve"> </v>
      </c>
      <c r="U224" s="1976" t="str">
        <f t="shared" si="131"/>
        <v xml:space="preserve"> </v>
      </c>
      <c r="V224" s="1976" t="str">
        <f t="shared" si="132"/>
        <v xml:space="preserve"> </v>
      </c>
      <c r="W224" s="1976" t="str">
        <f t="shared" si="133"/>
        <v xml:space="preserve"> </v>
      </c>
      <c r="X224" s="1976" t="str">
        <f t="shared" si="134"/>
        <v xml:space="preserve"> </v>
      </c>
      <c r="Y224" s="1976" t="str">
        <f t="shared" si="135"/>
        <v xml:space="preserve"> </v>
      </c>
      <c r="Z224" s="1977" t="str">
        <f t="shared" si="136"/>
        <v xml:space="preserve"> </v>
      </c>
      <c r="AA224" s="1977" t="str">
        <f t="shared" si="137"/>
        <v xml:space="preserve"> </v>
      </c>
      <c r="AB224" s="1977" t="str">
        <f t="shared" si="138"/>
        <v xml:space="preserve"> </v>
      </c>
      <c r="AC224" s="1977" t="str">
        <f t="shared" si="139"/>
        <v xml:space="preserve"> </v>
      </c>
      <c r="AD224" s="1977" t="str">
        <f t="shared" si="140"/>
        <v xml:space="preserve"> </v>
      </c>
      <c r="AE224" s="1978" t="str">
        <f t="shared" si="141"/>
        <v xml:space="preserve"> </v>
      </c>
      <c r="AF224" s="1978" t="str">
        <f t="shared" si="142"/>
        <v xml:space="preserve"> </v>
      </c>
      <c r="AG224" s="1978" t="str">
        <f t="shared" si="143"/>
        <v xml:space="preserve"> </v>
      </c>
      <c r="AH224" s="1978" t="str">
        <f t="shared" si="144"/>
        <v xml:space="preserve"> </v>
      </c>
      <c r="AI224" s="1978" t="str">
        <f t="shared" si="145"/>
        <v xml:space="preserve"> </v>
      </c>
    </row>
    <row r="225" spans="12:35" s="352" customFormat="1" x14ac:dyDescent="0.25">
      <c r="L225" s="1972" t="str">
        <f t="shared" si="122"/>
        <v xml:space="preserve">      </v>
      </c>
      <c r="M225" s="1973" t="str">
        <f t="shared" si="123"/>
        <v xml:space="preserve">      </v>
      </c>
      <c r="N225" s="1974" t="str">
        <f t="shared" si="124"/>
        <v xml:space="preserve">      </v>
      </c>
      <c r="O225" s="1974" t="str">
        <f t="shared" si="125"/>
        <v xml:space="preserve">      </v>
      </c>
      <c r="P225" s="1975" t="str">
        <f t="shared" si="126"/>
        <v xml:space="preserve"> </v>
      </c>
      <c r="Q225" s="1975" t="str">
        <f t="shared" si="127"/>
        <v xml:space="preserve"> </v>
      </c>
      <c r="R225" s="1975" t="str">
        <f t="shared" si="128"/>
        <v xml:space="preserve"> </v>
      </c>
      <c r="S225" s="1975" t="str">
        <f t="shared" si="129"/>
        <v xml:space="preserve"> </v>
      </c>
      <c r="T225" s="1975" t="str">
        <f t="shared" si="130"/>
        <v xml:space="preserve"> </v>
      </c>
      <c r="U225" s="1976" t="str">
        <f t="shared" si="131"/>
        <v xml:space="preserve"> </v>
      </c>
      <c r="V225" s="1976" t="str">
        <f t="shared" si="132"/>
        <v xml:space="preserve"> </v>
      </c>
      <c r="W225" s="1976" t="str">
        <f t="shared" si="133"/>
        <v xml:space="preserve"> </v>
      </c>
      <c r="X225" s="1976" t="str">
        <f t="shared" si="134"/>
        <v xml:space="preserve"> </v>
      </c>
      <c r="Y225" s="1976" t="str">
        <f t="shared" si="135"/>
        <v xml:space="preserve"> </v>
      </c>
      <c r="Z225" s="1977" t="str">
        <f t="shared" si="136"/>
        <v xml:space="preserve"> </v>
      </c>
      <c r="AA225" s="1977" t="str">
        <f t="shared" si="137"/>
        <v xml:space="preserve"> </v>
      </c>
      <c r="AB225" s="1977" t="str">
        <f t="shared" si="138"/>
        <v xml:space="preserve"> </v>
      </c>
      <c r="AC225" s="1977" t="str">
        <f t="shared" si="139"/>
        <v xml:space="preserve"> </v>
      </c>
      <c r="AD225" s="1977" t="str">
        <f t="shared" si="140"/>
        <v xml:space="preserve"> </v>
      </c>
      <c r="AE225" s="1978" t="str">
        <f t="shared" si="141"/>
        <v xml:space="preserve"> </v>
      </c>
      <c r="AF225" s="1978" t="str">
        <f t="shared" si="142"/>
        <v xml:space="preserve"> </v>
      </c>
      <c r="AG225" s="1978" t="str">
        <f t="shared" si="143"/>
        <v xml:space="preserve"> </v>
      </c>
      <c r="AH225" s="1978" t="str">
        <f t="shared" si="144"/>
        <v xml:space="preserve"> </v>
      </c>
      <c r="AI225" s="1978" t="str">
        <f t="shared" si="145"/>
        <v xml:space="preserve"> </v>
      </c>
    </row>
    <row r="226" spans="12:35" s="352" customFormat="1" x14ac:dyDescent="0.25">
      <c r="L226" s="1972" t="str">
        <f t="shared" si="122"/>
        <v xml:space="preserve">      </v>
      </c>
      <c r="M226" s="1973" t="str">
        <f t="shared" si="123"/>
        <v xml:space="preserve">      </v>
      </c>
      <c r="N226" s="1974" t="str">
        <f t="shared" si="124"/>
        <v xml:space="preserve">      </v>
      </c>
      <c r="O226" s="1974" t="str">
        <f t="shared" si="125"/>
        <v xml:space="preserve">      </v>
      </c>
      <c r="P226" s="1975" t="str">
        <f t="shared" si="126"/>
        <v xml:space="preserve"> </v>
      </c>
      <c r="Q226" s="1975" t="str">
        <f t="shared" si="127"/>
        <v xml:space="preserve"> </v>
      </c>
      <c r="R226" s="1975" t="str">
        <f t="shared" si="128"/>
        <v xml:space="preserve"> </v>
      </c>
      <c r="S226" s="1975" t="str">
        <f t="shared" si="129"/>
        <v xml:space="preserve"> </v>
      </c>
      <c r="T226" s="1975" t="str">
        <f t="shared" si="130"/>
        <v xml:space="preserve"> </v>
      </c>
      <c r="U226" s="1976" t="str">
        <f t="shared" si="131"/>
        <v xml:space="preserve"> </v>
      </c>
      <c r="V226" s="1976" t="str">
        <f t="shared" si="132"/>
        <v xml:space="preserve"> </v>
      </c>
      <c r="W226" s="1976" t="str">
        <f t="shared" si="133"/>
        <v xml:space="preserve"> </v>
      </c>
      <c r="X226" s="1976" t="str">
        <f t="shared" si="134"/>
        <v xml:space="preserve"> </v>
      </c>
      <c r="Y226" s="1976" t="str">
        <f t="shared" si="135"/>
        <v xml:space="preserve"> </v>
      </c>
      <c r="Z226" s="1977" t="str">
        <f t="shared" si="136"/>
        <v xml:space="preserve"> </v>
      </c>
      <c r="AA226" s="1977" t="str">
        <f t="shared" si="137"/>
        <v xml:space="preserve"> </v>
      </c>
      <c r="AB226" s="1977" t="str">
        <f t="shared" si="138"/>
        <v xml:space="preserve"> </v>
      </c>
      <c r="AC226" s="1977" t="str">
        <f t="shared" si="139"/>
        <v xml:space="preserve"> </v>
      </c>
      <c r="AD226" s="1977" t="str">
        <f t="shared" si="140"/>
        <v xml:space="preserve"> </v>
      </c>
      <c r="AE226" s="1978" t="str">
        <f t="shared" si="141"/>
        <v xml:space="preserve"> </v>
      </c>
      <c r="AF226" s="1978" t="str">
        <f t="shared" si="142"/>
        <v xml:space="preserve"> </v>
      </c>
      <c r="AG226" s="1978" t="str">
        <f t="shared" si="143"/>
        <v xml:space="preserve"> </v>
      </c>
      <c r="AH226" s="1978" t="str">
        <f t="shared" si="144"/>
        <v xml:space="preserve"> </v>
      </c>
      <c r="AI226" s="1978" t="str">
        <f t="shared" si="145"/>
        <v xml:space="preserve"> </v>
      </c>
    </row>
    <row r="227" spans="12:35" s="352" customFormat="1" x14ac:dyDescent="0.25">
      <c r="L227" s="1972" t="str">
        <f t="shared" si="122"/>
        <v xml:space="preserve">      </v>
      </c>
      <c r="M227" s="1973" t="str">
        <f t="shared" si="123"/>
        <v xml:space="preserve">      </v>
      </c>
      <c r="N227" s="1974" t="str">
        <f t="shared" si="124"/>
        <v xml:space="preserve">      </v>
      </c>
      <c r="O227" s="1974" t="str">
        <f t="shared" si="125"/>
        <v xml:space="preserve">      </v>
      </c>
      <c r="P227" s="1975" t="str">
        <f t="shared" si="126"/>
        <v xml:space="preserve"> </v>
      </c>
      <c r="Q227" s="1975" t="str">
        <f t="shared" si="127"/>
        <v xml:space="preserve"> </v>
      </c>
      <c r="R227" s="1975" t="str">
        <f t="shared" si="128"/>
        <v xml:space="preserve"> </v>
      </c>
      <c r="S227" s="1975" t="str">
        <f t="shared" si="129"/>
        <v xml:space="preserve"> </v>
      </c>
      <c r="T227" s="1975" t="str">
        <f t="shared" si="130"/>
        <v xml:space="preserve"> </v>
      </c>
      <c r="U227" s="1976" t="str">
        <f t="shared" si="131"/>
        <v xml:space="preserve"> </v>
      </c>
      <c r="V227" s="1976" t="str">
        <f t="shared" si="132"/>
        <v xml:space="preserve"> </v>
      </c>
      <c r="W227" s="1976" t="str">
        <f t="shared" si="133"/>
        <v xml:space="preserve"> </v>
      </c>
      <c r="X227" s="1976" t="str">
        <f t="shared" si="134"/>
        <v xml:space="preserve"> </v>
      </c>
      <c r="Y227" s="1976" t="str">
        <f t="shared" si="135"/>
        <v xml:space="preserve"> </v>
      </c>
      <c r="Z227" s="1977" t="str">
        <f t="shared" si="136"/>
        <v xml:space="preserve"> </v>
      </c>
      <c r="AA227" s="1977" t="str">
        <f t="shared" si="137"/>
        <v xml:space="preserve"> </v>
      </c>
      <c r="AB227" s="1977" t="str">
        <f t="shared" si="138"/>
        <v xml:space="preserve"> </v>
      </c>
      <c r="AC227" s="1977" t="str">
        <f t="shared" si="139"/>
        <v xml:space="preserve"> </v>
      </c>
      <c r="AD227" s="1977" t="str">
        <f t="shared" si="140"/>
        <v xml:space="preserve"> </v>
      </c>
      <c r="AE227" s="1978" t="str">
        <f t="shared" si="141"/>
        <v xml:space="preserve"> </v>
      </c>
      <c r="AF227" s="1978" t="str">
        <f t="shared" si="142"/>
        <v xml:space="preserve"> </v>
      </c>
      <c r="AG227" s="1978" t="str">
        <f t="shared" si="143"/>
        <v xml:space="preserve"> </v>
      </c>
      <c r="AH227" s="1978" t="str">
        <f t="shared" si="144"/>
        <v xml:space="preserve"> </v>
      </c>
      <c r="AI227" s="1978" t="str">
        <f t="shared" si="145"/>
        <v xml:space="preserve"> </v>
      </c>
    </row>
    <row r="228" spans="12:35" s="352" customFormat="1" x14ac:dyDescent="0.25">
      <c r="L228" s="1972" t="str">
        <f t="shared" si="122"/>
        <v xml:space="preserve">      </v>
      </c>
      <c r="M228" s="1973" t="str">
        <f t="shared" si="123"/>
        <v xml:space="preserve">      </v>
      </c>
      <c r="N228" s="1974" t="str">
        <f t="shared" si="124"/>
        <v xml:space="preserve">      </v>
      </c>
      <c r="O228" s="1974" t="str">
        <f t="shared" si="125"/>
        <v xml:space="preserve">      </v>
      </c>
      <c r="P228" s="1975" t="str">
        <f t="shared" si="126"/>
        <v xml:space="preserve"> </v>
      </c>
      <c r="Q228" s="1975" t="str">
        <f t="shared" si="127"/>
        <v xml:space="preserve"> </v>
      </c>
      <c r="R228" s="1975" t="str">
        <f t="shared" si="128"/>
        <v xml:space="preserve"> </v>
      </c>
      <c r="S228" s="1975" t="str">
        <f t="shared" si="129"/>
        <v xml:space="preserve"> </v>
      </c>
      <c r="T228" s="1975" t="str">
        <f t="shared" si="130"/>
        <v xml:space="preserve"> </v>
      </c>
      <c r="U228" s="1976" t="str">
        <f t="shared" si="131"/>
        <v xml:space="preserve"> </v>
      </c>
      <c r="V228" s="1976" t="str">
        <f t="shared" si="132"/>
        <v xml:space="preserve"> </v>
      </c>
      <c r="W228" s="1976" t="str">
        <f t="shared" si="133"/>
        <v xml:space="preserve"> </v>
      </c>
      <c r="X228" s="1976" t="str">
        <f t="shared" si="134"/>
        <v xml:space="preserve"> </v>
      </c>
      <c r="Y228" s="1976" t="str">
        <f t="shared" si="135"/>
        <v xml:space="preserve"> </v>
      </c>
      <c r="Z228" s="1977" t="str">
        <f t="shared" si="136"/>
        <v xml:space="preserve"> </v>
      </c>
      <c r="AA228" s="1977" t="str">
        <f t="shared" si="137"/>
        <v xml:space="preserve"> </v>
      </c>
      <c r="AB228" s="1977" t="str">
        <f t="shared" si="138"/>
        <v xml:space="preserve"> </v>
      </c>
      <c r="AC228" s="1977" t="str">
        <f t="shared" si="139"/>
        <v xml:space="preserve"> </v>
      </c>
      <c r="AD228" s="1977" t="str">
        <f t="shared" si="140"/>
        <v xml:space="preserve"> </v>
      </c>
      <c r="AE228" s="1978" t="str">
        <f t="shared" si="141"/>
        <v xml:space="preserve"> </v>
      </c>
      <c r="AF228" s="1978" t="str">
        <f t="shared" si="142"/>
        <v xml:space="preserve"> </v>
      </c>
      <c r="AG228" s="1978" t="str">
        <f t="shared" si="143"/>
        <v xml:space="preserve"> </v>
      </c>
      <c r="AH228" s="1978" t="str">
        <f t="shared" si="144"/>
        <v xml:space="preserve"> </v>
      </c>
      <c r="AI228" s="1978" t="str">
        <f t="shared" si="145"/>
        <v xml:space="preserve"> </v>
      </c>
    </row>
    <row r="229" spans="12:35" s="352" customFormat="1" x14ac:dyDescent="0.25">
      <c r="L229" s="1972" t="str">
        <f t="shared" si="122"/>
        <v xml:space="preserve">      </v>
      </c>
      <c r="M229" s="1973" t="str">
        <f t="shared" si="123"/>
        <v xml:space="preserve">      </v>
      </c>
      <c r="N229" s="1974" t="str">
        <f t="shared" si="124"/>
        <v xml:space="preserve">      </v>
      </c>
      <c r="O229" s="1974" t="str">
        <f t="shared" si="125"/>
        <v xml:space="preserve">      </v>
      </c>
      <c r="P229" s="1975" t="str">
        <f t="shared" si="126"/>
        <v xml:space="preserve"> </v>
      </c>
      <c r="Q229" s="1975" t="str">
        <f t="shared" si="127"/>
        <v xml:space="preserve"> </v>
      </c>
      <c r="R229" s="1975" t="str">
        <f t="shared" si="128"/>
        <v xml:space="preserve"> </v>
      </c>
      <c r="S229" s="1975" t="str">
        <f t="shared" si="129"/>
        <v xml:space="preserve"> </v>
      </c>
      <c r="T229" s="1975" t="str">
        <f t="shared" si="130"/>
        <v xml:space="preserve"> </v>
      </c>
      <c r="U229" s="1976" t="str">
        <f t="shared" si="131"/>
        <v xml:space="preserve"> </v>
      </c>
      <c r="V229" s="1976" t="str">
        <f t="shared" si="132"/>
        <v xml:space="preserve"> </v>
      </c>
      <c r="W229" s="1976" t="str">
        <f t="shared" si="133"/>
        <v xml:space="preserve"> </v>
      </c>
      <c r="X229" s="1976" t="str">
        <f t="shared" si="134"/>
        <v xml:space="preserve"> </v>
      </c>
      <c r="Y229" s="1976" t="str">
        <f t="shared" si="135"/>
        <v xml:space="preserve"> </v>
      </c>
      <c r="Z229" s="1977" t="str">
        <f t="shared" si="136"/>
        <v xml:space="preserve"> </v>
      </c>
      <c r="AA229" s="1977" t="str">
        <f t="shared" si="137"/>
        <v xml:space="preserve"> </v>
      </c>
      <c r="AB229" s="1977" t="str">
        <f t="shared" si="138"/>
        <v xml:space="preserve"> </v>
      </c>
      <c r="AC229" s="1977" t="str">
        <f t="shared" si="139"/>
        <v xml:space="preserve"> </v>
      </c>
      <c r="AD229" s="1977" t="str">
        <f t="shared" si="140"/>
        <v xml:space="preserve"> </v>
      </c>
      <c r="AE229" s="1978" t="str">
        <f t="shared" si="141"/>
        <v xml:space="preserve"> </v>
      </c>
      <c r="AF229" s="1978" t="str">
        <f t="shared" si="142"/>
        <v xml:space="preserve"> </v>
      </c>
      <c r="AG229" s="1978" t="str">
        <f t="shared" si="143"/>
        <v xml:space="preserve"> </v>
      </c>
      <c r="AH229" s="1978" t="str">
        <f t="shared" si="144"/>
        <v xml:space="preserve"> </v>
      </c>
      <c r="AI229" s="1978" t="str">
        <f t="shared" si="145"/>
        <v xml:space="preserve"> </v>
      </c>
    </row>
    <row r="230" spans="12:35" s="352" customFormat="1" x14ac:dyDescent="0.25">
      <c r="L230" s="1972" t="str">
        <f t="shared" si="122"/>
        <v xml:space="preserve">      </v>
      </c>
      <c r="M230" s="1973" t="str">
        <f t="shared" si="123"/>
        <v xml:space="preserve">      </v>
      </c>
      <c r="N230" s="1974" t="str">
        <f t="shared" si="124"/>
        <v xml:space="preserve">      </v>
      </c>
      <c r="O230" s="1974" t="str">
        <f t="shared" si="125"/>
        <v xml:space="preserve">      </v>
      </c>
      <c r="P230" s="1975" t="str">
        <f t="shared" si="126"/>
        <v xml:space="preserve"> </v>
      </c>
      <c r="Q230" s="1975" t="str">
        <f t="shared" si="127"/>
        <v xml:space="preserve"> </v>
      </c>
      <c r="R230" s="1975" t="str">
        <f t="shared" si="128"/>
        <v xml:space="preserve"> </v>
      </c>
      <c r="S230" s="1975" t="str">
        <f t="shared" si="129"/>
        <v xml:space="preserve"> </v>
      </c>
      <c r="T230" s="1975" t="str">
        <f t="shared" si="130"/>
        <v xml:space="preserve"> </v>
      </c>
      <c r="U230" s="1976" t="str">
        <f t="shared" si="131"/>
        <v xml:space="preserve"> </v>
      </c>
      <c r="V230" s="1976" t="str">
        <f t="shared" si="132"/>
        <v xml:space="preserve"> </v>
      </c>
      <c r="W230" s="1976" t="str">
        <f t="shared" si="133"/>
        <v xml:space="preserve"> </v>
      </c>
      <c r="X230" s="1976" t="str">
        <f t="shared" si="134"/>
        <v xml:space="preserve"> </v>
      </c>
      <c r="Y230" s="1976" t="str">
        <f t="shared" si="135"/>
        <v xml:space="preserve"> </v>
      </c>
      <c r="Z230" s="1977" t="str">
        <f t="shared" si="136"/>
        <v xml:space="preserve"> </v>
      </c>
      <c r="AA230" s="1977" t="str">
        <f t="shared" si="137"/>
        <v xml:space="preserve"> </v>
      </c>
      <c r="AB230" s="1977" t="str">
        <f t="shared" si="138"/>
        <v xml:space="preserve"> </v>
      </c>
      <c r="AC230" s="1977" t="str">
        <f t="shared" si="139"/>
        <v xml:space="preserve"> </v>
      </c>
      <c r="AD230" s="1977" t="str">
        <f t="shared" si="140"/>
        <v xml:space="preserve"> </v>
      </c>
      <c r="AE230" s="1978" t="str">
        <f t="shared" si="141"/>
        <v xml:space="preserve"> </v>
      </c>
      <c r="AF230" s="1978" t="str">
        <f t="shared" si="142"/>
        <v xml:space="preserve"> </v>
      </c>
      <c r="AG230" s="1978" t="str">
        <f t="shared" si="143"/>
        <v xml:space="preserve"> </v>
      </c>
      <c r="AH230" s="1978" t="str">
        <f t="shared" si="144"/>
        <v xml:space="preserve"> </v>
      </c>
      <c r="AI230" s="1978" t="str">
        <f t="shared" si="145"/>
        <v xml:space="preserve"> </v>
      </c>
    </row>
    <row r="231" spans="12:35" s="352" customFormat="1" x14ac:dyDescent="0.25">
      <c r="L231" s="1972" t="str">
        <f t="shared" si="122"/>
        <v xml:space="preserve">      </v>
      </c>
      <c r="M231" s="1973" t="str">
        <f t="shared" si="123"/>
        <v xml:space="preserve">      </v>
      </c>
      <c r="N231" s="1974" t="str">
        <f t="shared" si="124"/>
        <v xml:space="preserve">      </v>
      </c>
      <c r="O231" s="1974" t="str">
        <f t="shared" si="125"/>
        <v xml:space="preserve">      </v>
      </c>
      <c r="P231" s="1975" t="str">
        <f t="shared" si="126"/>
        <v xml:space="preserve"> </v>
      </c>
      <c r="Q231" s="1975" t="str">
        <f t="shared" si="127"/>
        <v xml:space="preserve"> </v>
      </c>
      <c r="R231" s="1975" t="str">
        <f t="shared" si="128"/>
        <v xml:space="preserve"> </v>
      </c>
      <c r="S231" s="1975" t="str">
        <f t="shared" si="129"/>
        <v xml:space="preserve"> </v>
      </c>
      <c r="T231" s="1975" t="str">
        <f t="shared" si="130"/>
        <v xml:space="preserve"> </v>
      </c>
      <c r="U231" s="1976" t="str">
        <f t="shared" si="131"/>
        <v xml:space="preserve"> </v>
      </c>
      <c r="V231" s="1976" t="str">
        <f t="shared" si="132"/>
        <v xml:space="preserve"> </v>
      </c>
      <c r="W231" s="1976" t="str">
        <f t="shared" si="133"/>
        <v xml:space="preserve"> </v>
      </c>
      <c r="X231" s="1976" t="str">
        <f t="shared" si="134"/>
        <v xml:space="preserve"> </v>
      </c>
      <c r="Y231" s="1976" t="str">
        <f t="shared" si="135"/>
        <v xml:space="preserve"> </v>
      </c>
      <c r="Z231" s="1977" t="str">
        <f t="shared" si="136"/>
        <v xml:space="preserve"> </v>
      </c>
      <c r="AA231" s="1977" t="str">
        <f t="shared" si="137"/>
        <v xml:space="preserve"> </v>
      </c>
      <c r="AB231" s="1977" t="str">
        <f t="shared" si="138"/>
        <v xml:space="preserve"> </v>
      </c>
      <c r="AC231" s="1977" t="str">
        <f t="shared" si="139"/>
        <v xml:space="preserve"> </v>
      </c>
      <c r="AD231" s="1977" t="str">
        <f t="shared" si="140"/>
        <v xml:space="preserve"> </v>
      </c>
      <c r="AE231" s="1978" t="str">
        <f t="shared" si="141"/>
        <v xml:space="preserve"> </v>
      </c>
      <c r="AF231" s="1978" t="str">
        <f t="shared" si="142"/>
        <v xml:space="preserve"> </v>
      </c>
      <c r="AG231" s="1978" t="str">
        <f t="shared" si="143"/>
        <v xml:space="preserve"> </v>
      </c>
      <c r="AH231" s="1978" t="str">
        <f t="shared" si="144"/>
        <v xml:space="preserve"> </v>
      </c>
      <c r="AI231" s="1978" t="str">
        <f t="shared" si="145"/>
        <v xml:space="preserve"> </v>
      </c>
    </row>
    <row r="232" spans="12:35" s="352" customFormat="1" x14ac:dyDescent="0.25">
      <c r="L232" s="1972" t="str">
        <f t="shared" si="122"/>
        <v xml:space="preserve">      </v>
      </c>
      <c r="M232" s="1973" t="str">
        <f t="shared" si="123"/>
        <v xml:space="preserve">      </v>
      </c>
      <c r="N232" s="1974" t="str">
        <f t="shared" si="124"/>
        <v xml:space="preserve">      </v>
      </c>
      <c r="O232" s="1974" t="str">
        <f t="shared" si="125"/>
        <v xml:space="preserve">      </v>
      </c>
      <c r="P232" s="1975" t="str">
        <f t="shared" si="126"/>
        <v xml:space="preserve"> </v>
      </c>
      <c r="Q232" s="1975" t="str">
        <f t="shared" si="127"/>
        <v xml:space="preserve"> </v>
      </c>
      <c r="R232" s="1975" t="str">
        <f t="shared" si="128"/>
        <v xml:space="preserve"> </v>
      </c>
      <c r="S232" s="1975" t="str">
        <f t="shared" si="129"/>
        <v xml:space="preserve"> </v>
      </c>
      <c r="T232" s="1975" t="str">
        <f t="shared" si="130"/>
        <v xml:space="preserve"> </v>
      </c>
      <c r="U232" s="1976" t="str">
        <f t="shared" si="131"/>
        <v xml:space="preserve"> </v>
      </c>
      <c r="V232" s="1976" t="str">
        <f t="shared" si="132"/>
        <v xml:space="preserve"> </v>
      </c>
      <c r="W232" s="1976" t="str">
        <f t="shared" si="133"/>
        <v xml:space="preserve"> </v>
      </c>
      <c r="X232" s="1976" t="str">
        <f t="shared" si="134"/>
        <v xml:space="preserve"> </v>
      </c>
      <c r="Y232" s="1976" t="str">
        <f t="shared" si="135"/>
        <v xml:space="preserve"> </v>
      </c>
      <c r="Z232" s="1977" t="str">
        <f t="shared" si="136"/>
        <v xml:space="preserve"> </v>
      </c>
      <c r="AA232" s="1977" t="str">
        <f t="shared" si="137"/>
        <v xml:space="preserve"> </v>
      </c>
      <c r="AB232" s="1977" t="str">
        <f t="shared" si="138"/>
        <v xml:space="preserve"> </v>
      </c>
      <c r="AC232" s="1977" t="str">
        <f t="shared" si="139"/>
        <v xml:space="preserve"> </v>
      </c>
      <c r="AD232" s="1977" t="str">
        <f t="shared" si="140"/>
        <v xml:space="preserve"> </v>
      </c>
      <c r="AE232" s="1978" t="str">
        <f t="shared" si="141"/>
        <v xml:space="preserve"> </v>
      </c>
      <c r="AF232" s="1978" t="str">
        <f t="shared" si="142"/>
        <v xml:space="preserve"> </v>
      </c>
      <c r="AG232" s="1978" t="str">
        <f t="shared" si="143"/>
        <v xml:space="preserve"> </v>
      </c>
      <c r="AH232" s="1978" t="str">
        <f t="shared" si="144"/>
        <v xml:space="preserve"> </v>
      </c>
      <c r="AI232" s="1978" t="str">
        <f t="shared" si="145"/>
        <v xml:space="preserve"> </v>
      </c>
    </row>
    <row r="233" spans="12:35" s="352" customFormat="1" x14ac:dyDescent="0.25">
      <c r="L233" s="1972" t="str">
        <f t="shared" si="122"/>
        <v xml:space="preserve">      </v>
      </c>
      <c r="M233" s="1973" t="str">
        <f t="shared" si="123"/>
        <v xml:space="preserve">      </v>
      </c>
      <c r="N233" s="1974" t="str">
        <f t="shared" si="124"/>
        <v xml:space="preserve">      </v>
      </c>
      <c r="O233" s="1974" t="str">
        <f t="shared" si="125"/>
        <v xml:space="preserve">      </v>
      </c>
      <c r="P233" s="1975" t="str">
        <f t="shared" si="126"/>
        <v xml:space="preserve"> </v>
      </c>
      <c r="Q233" s="1975" t="str">
        <f t="shared" si="127"/>
        <v xml:space="preserve"> </v>
      </c>
      <c r="R233" s="1975" t="str">
        <f t="shared" si="128"/>
        <v xml:space="preserve"> </v>
      </c>
      <c r="S233" s="1975" t="str">
        <f t="shared" si="129"/>
        <v xml:space="preserve"> </v>
      </c>
      <c r="T233" s="1975" t="str">
        <f t="shared" si="130"/>
        <v xml:space="preserve"> </v>
      </c>
      <c r="U233" s="1976" t="str">
        <f t="shared" si="131"/>
        <v xml:space="preserve"> </v>
      </c>
      <c r="V233" s="1976" t="str">
        <f t="shared" si="132"/>
        <v xml:space="preserve"> </v>
      </c>
      <c r="W233" s="1976" t="str">
        <f t="shared" si="133"/>
        <v xml:space="preserve"> </v>
      </c>
      <c r="X233" s="1976" t="str">
        <f t="shared" si="134"/>
        <v xml:space="preserve"> </v>
      </c>
      <c r="Y233" s="1976" t="str">
        <f t="shared" si="135"/>
        <v xml:space="preserve"> </v>
      </c>
      <c r="Z233" s="1977" t="str">
        <f t="shared" si="136"/>
        <v xml:space="preserve"> </v>
      </c>
      <c r="AA233" s="1977" t="str">
        <f t="shared" si="137"/>
        <v xml:space="preserve"> </v>
      </c>
      <c r="AB233" s="1977" t="str">
        <f t="shared" si="138"/>
        <v xml:space="preserve"> </v>
      </c>
      <c r="AC233" s="1977" t="str">
        <f t="shared" si="139"/>
        <v xml:space="preserve"> </v>
      </c>
      <c r="AD233" s="1977" t="str">
        <f t="shared" si="140"/>
        <v xml:space="preserve"> </v>
      </c>
      <c r="AE233" s="1978" t="str">
        <f t="shared" si="141"/>
        <v xml:space="preserve"> </v>
      </c>
      <c r="AF233" s="1978" t="str">
        <f t="shared" si="142"/>
        <v xml:space="preserve"> </v>
      </c>
      <c r="AG233" s="1978" t="str">
        <f t="shared" si="143"/>
        <v xml:space="preserve"> </v>
      </c>
      <c r="AH233" s="1978" t="str">
        <f t="shared" si="144"/>
        <v xml:space="preserve"> </v>
      </c>
      <c r="AI233" s="1978" t="str">
        <f t="shared" si="145"/>
        <v xml:space="preserve"> </v>
      </c>
    </row>
    <row r="234" spans="12:35" s="352" customFormat="1" x14ac:dyDescent="0.25">
      <c r="L234" s="1972" t="str">
        <f t="shared" si="122"/>
        <v xml:space="preserve">      </v>
      </c>
      <c r="M234" s="1973" t="str">
        <f t="shared" si="123"/>
        <v xml:space="preserve">      </v>
      </c>
      <c r="N234" s="1974" t="str">
        <f t="shared" si="124"/>
        <v xml:space="preserve">      </v>
      </c>
      <c r="O234" s="1974" t="str">
        <f t="shared" si="125"/>
        <v xml:space="preserve">      </v>
      </c>
      <c r="P234" s="1975" t="str">
        <f t="shared" si="126"/>
        <v xml:space="preserve"> </v>
      </c>
      <c r="Q234" s="1975" t="str">
        <f t="shared" si="127"/>
        <v xml:space="preserve"> </v>
      </c>
      <c r="R234" s="1975" t="str">
        <f t="shared" si="128"/>
        <v xml:space="preserve"> </v>
      </c>
      <c r="S234" s="1975" t="str">
        <f t="shared" si="129"/>
        <v xml:space="preserve"> </v>
      </c>
      <c r="T234" s="1975" t="str">
        <f t="shared" si="130"/>
        <v xml:space="preserve"> </v>
      </c>
      <c r="U234" s="1976" t="str">
        <f t="shared" si="131"/>
        <v xml:space="preserve"> </v>
      </c>
      <c r="V234" s="1976" t="str">
        <f t="shared" si="132"/>
        <v xml:space="preserve"> </v>
      </c>
      <c r="W234" s="1976" t="str">
        <f t="shared" si="133"/>
        <v xml:space="preserve"> </v>
      </c>
      <c r="X234" s="1976" t="str">
        <f t="shared" si="134"/>
        <v xml:space="preserve"> </v>
      </c>
      <c r="Y234" s="1976" t="str">
        <f t="shared" si="135"/>
        <v xml:space="preserve"> </v>
      </c>
      <c r="Z234" s="1977" t="str">
        <f t="shared" si="136"/>
        <v xml:space="preserve"> </v>
      </c>
      <c r="AA234" s="1977" t="str">
        <f t="shared" si="137"/>
        <v xml:space="preserve"> </v>
      </c>
      <c r="AB234" s="1977" t="str">
        <f t="shared" si="138"/>
        <v xml:space="preserve"> </v>
      </c>
      <c r="AC234" s="1977" t="str">
        <f t="shared" si="139"/>
        <v xml:space="preserve"> </v>
      </c>
      <c r="AD234" s="1977" t="str">
        <f t="shared" si="140"/>
        <v xml:space="preserve"> </v>
      </c>
      <c r="AE234" s="1978" t="str">
        <f t="shared" si="141"/>
        <v xml:space="preserve"> </v>
      </c>
      <c r="AF234" s="1978" t="str">
        <f t="shared" si="142"/>
        <v xml:space="preserve"> </v>
      </c>
      <c r="AG234" s="1978" t="str">
        <f t="shared" si="143"/>
        <v xml:space="preserve"> </v>
      </c>
      <c r="AH234" s="1978" t="str">
        <f t="shared" si="144"/>
        <v xml:space="preserve"> </v>
      </c>
      <c r="AI234" s="1978" t="str">
        <f t="shared" si="145"/>
        <v xml:space="preserve"> </v>
      </c>
    </row>
    <row r="235" spans="12:35" s="352" customFormat="1" x14ac:dyDescent="0.25">
      <c r="L235" s="1972" t="str">
        <f t="shared" si="122"/>
        <v xml:space="preserve">      </v>
      </c>
      <c r="M235" s="1973" t="str">
        <f t="shared" si="123"/>
        <v xml:space="preserve">      </v>
      </c>
      <c r="N235" s="1974" t="str">
        <f t="shared" si="124"/>
        <v xml:space="preserve">      </v>
      </c>
      <c r="O235" s="1974" t="str">
        <f t="shared" si="125"/>
        <v xml:space="preserve">      </v>
      </c>
      <c r="P235" s="1975" t="str">
        <f t="shared" si="126"/>
        <v xml:space="preserve"> </v>
      </c>
      <c r="Q235" s="1975" t="str">
        <f t="shared" si="127"/>
        <v xml:space="preserve"> </v>
      </c>
      <c r="R235" s="1975" t="str">
        <f t="shared" si="128"/>
        <v xml:space="preserve"> </v>
      </c>
      <c r="S235" s="1975" t="str">
        <f t="shared" si="129"/>
        <v xml:space="preserve"> </v>
      </c>
      <c r="T235" s="1975" t="str">
        <f t="shared" si="130"/>
        <v xml:space="preserve"> </v>
      </c>
      <c r="U235" s="1976" t="str">
        <f t="shared" si="131"/>
        <v xml:space="preserve"> </v>
      </c>
      <c r="V235" s="1976" t="str">
        <f t="shared" si="132"/>
        <v xml:space="preserve"> </v>
      </c>
      <c r="W235" s="1976" t="str">
        <f t="shared" si="133"/>
        <v xml:space="preserve"> </v>
      </c>
      <c r="X235" s="1976" t="str">
        <f t="shared" si="134"/>
        <v xml:space="preserve"> </v>
      </c>
      <c r="Y235" s="1976" t="str">
        <f t="shared" si="135"/>
        <v xml:space="preserve"> </v>
      </c>
      <c r="Z235" s="1977" t="str">
        <f t="shared" si="136"/>
        <v xml:space="preserve"> </v>
      </c>
      <c r="AA235" s="1977" t="str">
        <f t="shared" si="137"/>
        <v xml:space="preserve"> </v>
      </c>
      <c r="AB235" s="1977" t="str">
        <f t="shared" si="138"/>
        <v xml:space="preserve"> </v>
      </c>
      <c r="AC235" s="1977" t="str">
        <f t="shared" si="139"/>
        <v xml:space="preserve"> </v>
      </c>
      <c r="AD235" s="1977" t="str">
        <f t="shared" si="140"/>
        <v xml:space="preserve"> </v>
      </c>
      <c r="AE235" s="1978" t="str">
        <f t="shared" si="141"/>
        <v xml:space="preserve"> </v>
      </c>
      <c r="AF235" s="1978" t="str">
        <f t="shared" si="142"/>
        <v xml:space="preserve"> </v>
      </c>
      <c r="AG235" s="1978" t="str">
        <f t="shared" si="143"/>
        <v xml:space="preserve"> </v>
      </c>
      <c r="AH235" s="1978" t="str">
        <f t="shared" si="144"/>
        <v xml:space="preserve"> </v>
      </c>
      <c r="AI235" s="1978" t="str">
        <f t="shared" si="145"/>
        <v xml:space="preserve"> </v>
      </c>
    </row>
    <row r="236" spans="12:35" s="352" customFormat="1" x14ac:dyDescent="0.25">
      <c r="L236" s="1972" t="str">
        <f t="shared" si="122"/>
        <v xml:space="preserve">      </v>
      </c>
      <c r="M236" s="1973" t="str">
        <f t="shared" si="123"/>
        <v xml:space="preserve">      </v>
      </c>
      <c r="N236" s="1974" t="str">
        <f t="shared" si="124"/>
        <v xml:space="preserve">      </v>
      </c>
      <c r="O236" s="1974" t="str">
        <f t="shared" si="125"/>
        <v xml:space="preserve">      </v>
      </c>
      <c r="P236" s="1975" t="str">
        <f t="shared" si="126"/>
        <v xml:space="preserve"> </v>
      </c>
      <c r="Q236" s="1975" t="str">
        <f t="shared" si="127"/>
        <v xml:space="preserve"> </v>
      </c>
      <c r="R236" s="1975" t="str">
        <f t="shared" si="128"/>
        <v xml:space="preserve"> </v>
      </c>
      <c r="S236" s="1975" t="str">
        <f t="shared" si="129"/>
        <v xml:space="preserve"> </v>
      </c>
      <c r="T236" s="1975" t="str">
        <f t="shared" si="130"/>
        <v xml:space="preserve"> </v>
      </c>
      <c r="U236" s="1976" t="str">
        <f t="shared" si="131"/>
        <v xml:space="preserve"> </v>
      </c>
      <c r="V236" s="1976" t="str">
        <f t="shared" si="132"/>
        <v xml:space="preserve"> </v>
      </c>
      <c r="W236" s="1976" t="str">
        <f t="shared" si="133"/>
        <v xml:space="preserve"> </v>
      </c>
      <c r="X236" s="1976" t="str">
        <f t="shared" si="134"/>
        <v xml:space="preserve"> </v>
      </c>
      <c r="Y236" s="1976" t="str">
        <f t="shared" si="135"/>
        <v xml:space="preserve"> </v>
      </c>
      <c r="Z236" s="1977" t="str">
        <f t="shared" si="136"/>
        <v xml:space="preserve"> </v>
      </c>
      <c r="AA236" s="1977" t="str">
        <f t="shared" si="137"/>
        <v xml:space="preserve"> </v>
      </c>
      <c r="AB236" s="1977" t="str">
        <f t="shared" si="138"/>
        <v xml:space="preserve"> </v>
      </c>
      <c r="AC236" s="1977" t="str">
        <f t="shared" si="139"/>
        <v xml:space="preserve"> </v>
      </c>
      <c r="AD236" s="1977" t="str">
        <f t="shared" si="140"/>
        <v xml:space="preserve"> </v>
      </c>
      <c r="AE236" s="1978" t="str">
        <f t="shared" si="141"/>
        <v xml:space="preserve"> </v>
      </c>
      <c r="AF236" s="1978" t="str">
        <f t="shared" si="142"/>
        <v xml:space="preserve"> </v>
      </c>
      <c r="AG236" s="1978" t="str">
        <f t="shared" si="143"/>
        <v xml:space="preserve"> </v>
      </c>
      <c r="AH236" s="1978" t="str">
        <f t="shared" si="144"/>
        <v xml:space="preserve"> </v>
      </c>
      <c r="AI236" s="1978" t="str">
        <f t="shared" si="145"/>
        <v xml:space="preserve"> </v>
      </c>
    </row>
    <row r="237" spans="12:35" s="352" customFormat="1" x14ac:dyDescent="0.25">
      <c r="L237" s="1972" t="str">
        <f t="shared" si="122"/>
        <v xml:space="preserve">      </v>
      </c>
      <c r="M237" s="1973" t="str">
        <f t="shared" si="123"/>
        <v xml:space="preserve">      </v>
      </c>
      <c r="N237" s="1974" t="str">
        <f t="shared" si="124"/>
        <v xml:space="preserve">      </v>
      </c>
      <c r="O237" s="1974" t="str">
        <f t="shared" si="125"/>
        <v xml:space="preserve">      </v>
      </c>
      <c r="P237" s="1975" t="str">
        <f t="shared" si="126"/>
        <v xml:space="preserve"> </v>
      </c>
      <c r="Q237" s="1975" t="str">
        <f t="shared" si="127"/>
        <v xml:space="preserve"> </v>
      </c>
      <c r="R237" s="1975" t="str">
        <f t="shared" si="128"/>
        <v xml:space="preserve"> </v>
      </c>
      <c r="S237" s="1975" t="str">
        <f t="shared" si="129"/>
        <v xml:space="preserve"> </v>
      </c>
      <c r="T237" s="1975" t="str">
        <f t="shared" si="130"/>
        <v xml:space="preserve"> </v>
      </c>
      <c r="U237" s="1976" t="str">
        <f t="shared" si="131"/>
        <v xml:space="preserve"> </v>
      </c>
      <c r="V237" s="1976" t="str">
        <f t="shared" si="132"/>
        <v xml:space="preserve"> </v>
      </c>
      <c r="W237" s="1976" t="str">
        <f t="shared" si="133"/>
        <v xml:space="preserve"> </v>
      </c>
      <c r="X237" s="1976" t="str">
        <f t="shared" si="134"/>
        <v xml:space="preserve"> </v>
      </c>
      <c r="Y237" s="1976" t="str">
        <f t="shared" si="135"/>
        <v xml:space="preserve"> </v>
      </c>
      <c r="Z237" s="1977" t="str">
        <f t="shared" si="136"/>
        <v xml:space="preserve"> </v>
      </c>
      <c r="AA237" s="1977" t="str">
        <f t="shared" si="137"/>
        <v xml:space="preserve"> </v>
      </c>
      <c r="AB237" s="1977" t="str">
        <f t="shared" si="138"/>
        <v xml:space="preserve"> </v>
      </c>
      <c r="AC237" s="1977" t="str">
        <f t="shared" si="139"/>
        <v xml:space="preserve"> </v>
      </c>
      <c r="AD237" s="1977" t="str">
        <f t="shared" si="140"/>
        <v xml:space="preserve"> </v>
      </c>
      <c r="AE237" s="1978" t="str">
        <f t="shared" si="141"/>
        <v xml:space="preserve"> </v>
      </c>
      <c r="AF237" s="1978" t="str">
        <f t="shared" si="142"/>
        <v xml:space="preserve"> </v>
      </c>
      <c r="AG237" s="1978" t="str">
        <f t="shared" si="143"/>
        <v xml:space="preserve"> </v>
      </c>
      <c r="AH237" s="1978" t="str">
        <f t="shared" si="144"/>
        <v xml:space="preserve"> </v>
      </c>
      <c r="AI237" s="1978" t="str">
        <f t="shared" si="145"/>
        <v xml:space="preserve"> </v>
      </c>
    </row>
    <row r="238" spans="12:35" s="352" customFormat="1" x14ac:dyDescent="0.25">
      <c r="L238" s="1972" t="str">
        <f t="shared" si="122"/>
        <v xml:space="preserve">      </v>
      </c>
      <c r="M238" s="1973" t="str">
        <f t="shared" si="123"/>
        <v xml:space="preserve">      </v>
      </c>
      <c r="N238" s="1974" t="str">
        <f t="shared" si="124"/>
        <v xml:space="preserve">      </v>
      </c>
      <c r="O238" s="1974" t="str">
        <f t="shared" si="125"/>
        <v xml:space="preserve">      </v>
      </c>
      <c r="P238" s="1975" t="str">
        <f t="shared" si="126"/>
        <v xml:space="preserve"> </v>
      </c>
      <c r="Q238" s="1975" t="str">
        <f t="shared" si="127"/>
        <v xml:space="preserve"> </v>
      </c>
      <c r="R238" s="1975" t="str">
        <f t="shared" si="128"/>
        <v xml:space="preserve"> </v>
      </c>
      <c r="S238" s="1975" t="str">
        <f t="shared" si="129"/>
        <v xml:space="preserve"> </v>
      </c>
      <c r="T238" s="1975" t="str">
        <f t="shared" si="130"/>
        <v xml:space="preserve"> </v>
      </c>
      <c r="U238" s="1976" t="str">
        <f t="shared" si="131"/>
        <v xml:space="preserve"> </v>
      </c>
      <c r="V238" s="1976" t="str">
        <f t="shared" si="132"/>
        <v xml:space="preserve"> </v>
      </c>
      <c r="W238" s="1976" t="str">
        <f t="shared" si="133"/>
        <v xml:space="preserve"> </v>
      </c>
      <c r="X238" s="1976" t="str">
        <f t="shared" si="134"/>
        <v xml:space="preserve"> </v>
      </c>
      <c r="Y238" s="1976" t="str">
        <f t="shared" si="135"/>
        <v xml:space="preserve"> </v>
      </c>
      <c r="Z238" s="1977" t="str">
        <f t="shared" si="136"/>
        <v xml:space="preserve"> </v>
      </c>
      <c r="AA238" s="1977" t="str">
        <f t="shared" si="137"/>
        <v xml:space="preserve"> </v>
      </c>
      <c r="AB238" s="1977" t="str">
        <f t="shared" si="138"/>
        <v xml:space="preserve"> </v>
      </c>
      <c r="AC238" s="1977" t="str">
        <f t="shared" si="139"/>
        <v xml:space="preserve"> </v>
      </c>
      <c r="AD238" s="1977" t="str">
        <f t="shared" si="140"/>
        <v xml:space="preserve"> </v>
      </c>
      <c r="AE238" s="1978" t="str">
        <f t="shared" si="141"/>
        <v xml:space="preserve"> </v>
      </c>
      <c r="AF238" s="1978" t="str">
        <f t="shared" si="142"/>
        <v xml:space="preserve"> </v>
      </c>
      <c r="AG238" s="1978" t="str">
        <f t="shared" si="143"/>
        <v xml:space="preserve"> </v>
      </c>
      <c r="AH238" s="1978" t="str">
        <f t="shared" si="144"/>
        <v xml:space="preserve"> </v>
      </c>
      <c r="AI238" s="1978" t="str">
        <f t="shared" si="145"/>
        <v xml:space="preserve"> </v>
      </c>
    </row>
    <row r="239" spans="12:35" s="352" customFormat="1" x14ac:dyDescent="0.25">
      <c r="L239" s="1972" t="str">
        <f t="shared" si="122"/>
        <v xml:space="preserve">      </v>
      </c>
      <c r="M239" s="1973" t="str">
        <f t="shared" si="123"/>
        <v xml:space="preserve">      </v>
      </c>
      <c r="N239" s="1974" t="str">
        <f t="shared" si="124"/>
        <v xml:space="preserve">      </v>
      </c>
      <c r="O239" s="1974" t="str">
        <f t="shared" si="125"/>
        <v xml:space="preserve">      </v>
      </c>
      <c r="P239" s="1975" t="str">
        <f t="shared" si="126"/>
        <v xml:space="preserve"> </v>
      </c>
      <c r="Q239" s="1975" t="str">
        <f t="shared" si="127"/>
        <v xml:space="preserve"> </v>
      </c>
      <c r="R239" s="1975" t="str">
        <f t="shared" si="128"/>
        <v xml:space="preserve"> </v>
      </c>
      <c r="S239" s="1975" t="str">
        <f t="shared" si="129"/>
        <v xml:space="preserve"> </v>
      </c>
      <c r="T239" s="1975" t="str">
        <f t="shared" si="130"/>
        <v xml:space="preserve"> </v>
      </c>
      <c r="U239" s="1976" t="str">
        <f t="shared" si="131"/>
        <v xml:space="preserve"> </v>
      </c>
      <c r="V239" s="1976" t="str">
        <f t="shared" si="132"/>
        <v xml:space="preserve"> </v>
      </c>
      <c r="W239" s="1976" t="str">
        <f t="shared" si="133"/>
        <v xml:space="preserve"> </v>
      </c>
      <c r="X239" s="1976" t="str">
        <f t="shared" si="134"/>
        <v xml:space="preserve"> </v>
      </c>
      <c r="Y239" s="1976" t="str">
        <f t="shared" si="135"/>
        <v xml:space="preserve"> </v>
      </c>
      <c r="Z239" s="1977" t="str">
        <f t="shared" si="136"/>
        <v xml:space="preserve"> </v>
      </c>
      <c r="AA239" s="1977" t="str">
        <f t="shared" si="137"/>
        <v xml:space="preserve"> </v>
      </c>
      <c r="AB239" s="1977" t="str">
        <f t="shared" si="138"/>
        <v xml:space="preserve"> </v>
      </c>
      <c r="AC239" s="1977" t="str">
        <f t="shared" si="139"/>
        <v xml:space="preserve"> </v>
      </c>
      <c r="AD239" s="1977" t="str">
        <f t="shared" si="140"/>
        <v xml:space="preserve"> </v>
      </c>
      <c r="AE239" s="1978" t="str">
        <f t="shared" si="141"/>
        <v xml:space="preserve"> </v>
      </c>
      <c r="AF239" s="1978" t="str">
        <f t="shared" si="142"/>
        <v xml:space="preserve"> </v>
      </c>
      <c r="AG239" s="1978" t="str">
        <f t="shared" si="143"/>
        <v xml:space="preserve"> </v>
      </c>
      <c r="AH239" s="1978" t="str">
        <f t="shared" si="144"/>
        <v xml:space="preserve"> </v>
      </c>
      <c r="AI239" s="1978" t="str">
        <f t="shared" si="145"/>
        <v xml:space="preserve"> </v>
      </c>
    </row>
    <row r="240" spans="12:35" s="352" customFormat="1" x14ac:dyDescent="0.25">
      <c r="L240" s="1972" t="str">
        <f t="shared" si="122"/>
        <v xml:space="preserve">      </v>
      </c>
      <c r="M240" s="1973" t="str">
        <f t="shared" si="123"/>
        <v xml:space="preserve">      </v>
      </c>
      <c r="N240" s="1974" t="str">
        <f t="shared" si="124"/>
        <v xml:space="preserve">      </v>
      </c>
      <c r="O240" s="1974" t="str">
        <f t="shared" si="125"/>
        <v xml:space="preserve">      </v>
      </c>
      <c r="P240" s="1975" t="str">
        <f t="shared" si="126"/>
        <v xml:space="preserve"> </v>
      </c>
      <c r="Q240" s="1975" t="str">
        <f t="shared" si="127"/>
        <v xml:space="preserve"> </v>
      </c>
      <c r="R240" s="1975" t="str">
        <f t="shared" si="128"/>
        <v xml:space="preserve"> </v>
      </c>
      <c r="S240" s="1975" t="str">
        <f t="shared" si="129"/>
        <v xml:space="preserve"> </v>
      </c>
      <c r="T240" s="1975" t="str">
        <f t="shared" si="130"/>
        <v xml:space="preserve"> </v>
      </c>
      <c r="U240" s="1976" t="str">
        <f t="shared" si="131"/>
        <v xml:space="preserve"> </v>
      </c>
      <c r="V240" s="1976" t="str">
        <f t="shared" si="132"/>
        <v xml:space="preserve"> </v>
      </c>
      <c r="W240" s="1976" t="str">
        <f t="shared" si="133"/>
        <v xml:space="preserve"> </v>
      </c>
      <c r="X240" s="1976" t="str">
        <f t="shared" si="134"/>
        <v xml:space="preserve"> </v>
      </c>
      <c r="Y240" s="1976" t="str">
        <f t="shared" si="135"/>
        <v xml:space="preserve"> </v>
      </c>
      <c r="Z240" s="1977" t="str">
        <f t="shared" si="136"/>
        <v xml:space="preserve"> </v>
      </c>
      <c r="AA240" s="1977" t="str">
        <f t="shared" si="137"/>
        <v xml:space="preserve"> </v>
      </c>
      <c r="AB240" s="1977" t="str">
        <f t="shared" si="138"/>
        <v xml:space="preserve"> </v>
      </c>
      <c r="AC240" s="1977" t="str">
        <f t="shared" si="139"/>
        <v xml:space="preserve"> </v>
      </c>
      <c r="AD240" s="1977" t="str">
        <f t="shared" si="140"/>
        <v xml:space="preserve"> </v>
      </c>
      <c r="AE240" s="1978" t="str">
        <f t="shared" si="141"/>
        <v xml:space="preserve"> </v>
      </c>
      <c r="AF240" s="1978" t="str">
        <f t="shared" si="142"/>
        <v xml:space="preserve"> </v>
      </c>
      <c r="AG240" s="1978" t="str">
        <f t="shared" si="143"/>
        <v xml:space="preserve"> </v>
      </c>
      <c r="AH240" s="1978" t="str">
        <f t="shared" si="144"/>
        <v xml:space="preserve"> </v>
      </c>
      <c r="AI240" s="1978" t="str">
        <f t="shared" si="145"/>
        <v xml:space="preserve"> </v>
      </c>
    </row>
    <row r="241" spans="12:35" s="352" customFormat="1" x14ac:dyDescent="0.25">
      <c r="L241" s="1972" t="str">
        <f t="shared" si="122"/>
        <v xml:space="preserve">      </v>
      </c>
      <c r="M241" s="1973" t="str">
        <f t="shared" si="123"/>
        <v xml:space="preserve">      </v>
      </c>
      <c r="N241" s="1974" t="str">
        <f t="shared" si="124"/>
        <v xml:space="preserve">      </v>
      </c>
      <c r="O241" s="1974" t="str">
        <f t="shared" si="125"/>
        <v xml:space="preserve">      </v>
      </c>
      <c r="P241" s="1975" t="str">
        <f t="shared" si="126"/>
        <v xml:space="preserve"> </v>
      </c>
      <c r="Q241" s="1975" t="str">
        <f t="shared" si="127"/>
        <v xml:space="preserve"> </v>
      </c>
      <c r="R241" s="1975" t="str">
        <f t="shared" si="128"/>
        <v xml:space="preserve"> </v>
      </c>
      <c r="S241" s="1975" t="str">
        <f t="shared" si="129"/>
        <v xml:space="preserve"> </v>
      </c>
      <c r="T241" s="1975" t="str">
        <f t="shared" si="130"/>
        <v xml:space="preserve"> </v>
      </c>
      <c r="U241" s="1976" t="str">
        <f t="shared" si="131"/>
        <v xml:space="preserve"> </v>
      </c>
      <c r="V241" s="1976" t="str">
        <f t="shared" si="132"/>
        <v xml:space="preserve"> </v>
      </c>
      <c r="W241" s="1976" t="str">
        <f t="shared" si="133"/>
        <v xml:space="preserve"> </v>
      </c>
      <c r="X241" s="1976" t="str">
        <f t="shared" si="134"/>
        <v xml:space="preserve"> </v>
      </c>
      <c r="Y241" s="1976" t="str">
        <f t="shared" si="135"/>
        <v xml:space="preserve"> </v>
      </c>
      <c r="Z241" s="1977" t="str">
        <f t="shared" si="136"/>
        <v xml:space="preserve"> </v>
      </c>
      <c r="AA241" s="1977" t="str">
        <f t="shared" si="137"/>
        <v xml:space="preserve"> </v>
      </c>
      <c r="AB241" s="1977" t="str">
        <f t="shared" si="138"/>
        <v xml:space="preserve"> </v>
      </c>
      <c r="AC241" s="1977" t="str">
        <f t="shared" si="139"/>
        <v xml:space="preserve"> </v>
      </c>
      <c r="AD241" s="1977" t="str">
        <f t="shared" si="140"/>
        <v xml:space="preserve"> </v>
      </c>
      <c r="AE241" s="1978" t="str">
        <f t="shared" si="141"/>
        <v xml:space="preserve"> </v>
      </c>
      <c r="AF241" s="1978" t="str">
        <f t="shared" si="142"/>
        <v xml:space="preserve"> </v>
      </c>
      <c r="AG241" s="1978" t="str">
        <f t="shared" si="143"/>
        <v xml:space="preserve"> </v>
      </c>
      <c r="AH241" s="1978" t="str">
        <f t="shared" si="144"/>
        <v xml:space="preserve"> </v>
      </c>
      <c r="AI241" s="1978" t="str">
        <f t="shared" si="145"/>
        <v xml:space="preserve"> </v>
      </c>
    </row>
    <row r="242" spans="12:35" s="352" customFormat="1" x14ac:dyDescent="0.25">
      <c r="L242" s="1972" t="str">
        <f t="shared" si="122"/>
        <v xml:space="preserve">      </v>
      </c>
      <c r="M242" s="1973" t="str">
        <f t="shared" si="123"/>
        <v xml:space="preserve">      </v>
      </c>
      <c r="N242" s="1974" t="str">
        <f t="shared" si="124"/>
        <v xml:space="preserve">      </v>
      </c>
      <c r="O242" s="1974" t="str">
        <f t="shared" si="125"/>
        <v xml:space="preserve">      </v>
      </c>
      <c r="P242" s="1975" t="str">
        <f t="shared" si="126"/>
        <v xml:space="preserve"> </v>
      </c>
      <c r="Q242" s="1975" t="str">
        <f t="shared" si="127"/>
        <v xml:space="preserve"> </v>
      </c>
      <c r="R242" s="1975" t="str">
        <f t="shared" si="128"/>
        <v xml:space="preserve"> </v>
      </c>
      <c r="S242" s="1975" t="str">
        <f t="shared" si="129"/>
        <v xml:space="preserve"> </v>
      </c>
      <c r="T242" s="1975" t="str">
        <f t="shared" si="130"/>
        <v xml:space="preserve"> </v>
      </c>
      <c r="U242" s="1976" t="str">
        <f t="shared" si="131"/>
        <v xml:space="preserve"> </v>
      </c>
      <c r="V242" s="1976" t="str">
        <f t="shared" si="132"/>
        <v xml:space="preserve"> </v>
      </c>
      <c r="W242" s="1976" t="str">
        <f t="shared" si="133"/>
        <v xml:space="preserve"> </v>
      </c>
      <c r="X242" s="1976" t="str">
        <f t="shared" si="134"/>
        <v xml:space="preserve"> </v>
      </c>
      <c r="Y242" s="1976" t="str">
        <f t="shared" si="135"/>
        <v xml:space="preserve"> </v>
      </c>
      <c r="Z242" s="1977" t="str">
        <f t="shared" si="136"/>
        <v xml:space="preserve"> </v>
      </c>
      <c r="AA242" s="1977" t="str">
        <f t="shared" si="137"/>
        <v xml:space="preserve"> </v>
      </c>
      <c r="AB242" s="1977" t="str">
        <f t="shared" si="138"/>
        <v xml:space="preserve"> </v>
      </c>
      <c r="AC242" s="1977" t="str">
        <f t="shared" si="139"/>
        <v xml:space="preserve"> </v>
      </c>
      <c r="AD242" s="1977" t="str">
        <f t="shared" si="140"/>
        <v xml:space="preserve"> </v>
      </c>
      <c r="AE242" s="1978" t="str">
        <f t="shared" si="141"/>
        <v xml:space="preserve"> </v>
      </c>
      <c r="AF242" s="1978" t="str">
        <f t="shared" si="142"/>
        <v xml:space="preserve"> </v>
      </c>
      <c r="AG242" s="1978" t="str">
        <f t="shared" si="143"/>
        <v xml:space="preserve"> </v>
      </c>
      <c r="AH242" s="1978" t="str">
        <f t="shared" si="144"/>
        <v xml:space="preserve"> </v>
      </c>
      <c r="AI242" s="1978" t="str">
        <f t="shared" si="145"/>
        <v xml:space="preserve"> </v>
      </c>
    </row>
    <row r="243" spans="12:35" s="352" customFormat="1" x14ac:dyDescent="0.25">
      <c r="L243" s="1972" t="str">
        <f t="shared" si="122"/>
        <v xml:space="preserve">      </v>
      </c>
      <c r="M243" s="1973" t="str">
        <f t="shared" si="123"/>
        <v xml:space="preserve">      </v>
      </c>
      <c r="N243" s="1974" t="str">
        <f t="shared" si="124"/>
        <v xml:space="preserve">      </v>
      </c>
      <c r="O243" s="1974" t="str">
        <f t="shared" si="125"/>
        <v xml:space="preserve">      </v>
      </c>
      <c r="P243" s="1975" t="str">
        <f t="shared" si="126"/>
        <v xml:space="preserve"> </v>
      </c>
      <c r="Q243" s="1975" t="str">
        <f t="shared" si="127"/>
        <v xml:space="preserve"> </v>
      </c>
      <c r="R243" s="1975" t="str">
        <f t="shared" si="128"/>
        <v xml:space="preserve"> </v>
      </c>
      <c r="S243" s="1975" t="str">
        <f t="shared" si="129"/>
        <v xml:space="preserve"> </v>
      </c>
      <c r="T243" s="1975" t="str">
        <f t="shared" si="130"/>
        <v xml:space="preserve"> </v>
      </c>
      <c r="U243" s="1976" t="str">
        <f t="shared" si="131"/>
        <v xml:space="preserve"> </v>
      </c>
      <c r="V243" s="1976" t="str">
        <f t="shared" si="132"/>
        <v xml:space="preserve"> </v>
      </c>
      <c r="W243" s="1976" t="str">
        <f t="shared" si="133"/>
        <v xml:space="preserve"> </v>
      </c>
      <c r="X243" s="1976" t="str">
        <f t="shared" si="134"/>
        <v xml:space="preserve"> </v>
      </c>
      <c r="Y243" s="1976" t="str">
        <f t="shared" si="135"/>
        <v xml:space="preserve"> </v>
      </c>
      <c r="Z243" s="1977" t="str">
        <f t="shared" si="136"/>
        <v xml:space="preserve"> </v>
      </c>
      <c r="AA243" s="1977" t="str">
        <f t="shared" si="137"/>
        <v xml:space="preserve"> </v>
      </c>
      <c r="AB243" s="1977" t="str">
        <f t="shared" si="138"/>
        <v xml:space="preserve"> </v>
      </c>
      <c r="AC243" s="1977" t="str">
        <f t="shared" si="139"/>
        <v xml:space="preserve"> </v>
      </c>
      <c r="AD243" s="1977" t="str">
        <f t="shared" si="140"/>
        <v xml:space="preserve"> </v>
      </c>
      <c r="AE243" s="1978" t="str">
        <f t="shared" si="141"/>
        <v xml:space="preserve"> </v>
      </c>
      <c r="AF243" s="1978" t="str">
        <f t="shared" si="142"/>
        <v xml:space="preserve"> </v>
      </c>
      <c r="AG243" s="1978" t="str">
        <f t="shared" si="143"/>
        <v xml:space="preserve"> </v>
      </c>
      <c r="AH243" s="1978" t="str">
        <f t="shared" si="144"/>
        <v xml:space="preserve"> </v>
      </c>
      <c r="AI243" s="1978" t="str">
        <f t="shared" si="145"/>
        <v xml:space="preserve"> </v>
      </c>
    </row>
    <row r="244" spans="12:35" s="352" customFormat="1" x14ac:dyDescent="0.25">
      <c r="L244" s="1972" t="str">
        <f t="shared" si="122"/>
        <v xml:space="preserve">      </v>
      </c>
      <c r="M244" s="1973" t="str">
        <f t="shared" si="123"/>
        <v xml:space="preserve">      </v>
      </c>
      <c r="N244" s="1974" t="str">
        <f t="shared" si="124"/>
        <v xml:space="preserve">      </v>
      </c>
      <c r="O244" s="1974" t="str">
        <f t="shared" si="125"/>
        <v xml:space="preserve">      </v>
      </c>
      <c r="P244" s="1975" t="str">
        <f t="shared" si="126"/>
        <v xml:space="preserve"> </v>
      </c>
      <c r="Q244" s="1975" t="str">
        <f t="shared" si="127"/>
        <v xml:space="preserve"> </v>
      </c>
      <c r="R244" s="1975" t="str">
        <f t="shared" si="128"/>
        <v xml:space="preserve"> </v>
      </c>
      <c r="S244" s="1975" t="str">
        <f t="shared" si="129"/>
        <v xml:space="preserve"> </v>
      </c>
      <c r="T244" s="1975" t="str">
        <f t="shared" si="130"/>
        <v xml:space="preserve"> </v>
      </c>
      <c r="U244" s="1976" t="str">
        <f t="shared" si="131"/>
        <v xml:space="preserve"> </v>
      </c>
      <c r="V244" s="1976" t="str">
        <f t="shared" si="132"/>
        <v xml:space="preserve"> </v>
      </c>
      <c r="W244" s="1976" t="str">
        <f t="shared" si="133"/>
        <v xml:space="preserve"> </v>
      </c>
      <c r="X244" s="1976" t="str">
        <f t="shared" si="134"/>
        <v xml:space="preserve"> </v>
      </c>
      <c r="Y244" s="1976" t="str">
        <f t="shared" si="135"/>
        <v xml:space="preserve"> </v>
      </c>
      <c r="Z244" s="1977" t="str">
        <f t="shared" si="136"/>
        <v xml:space="preserve"> </v>
      </c>
      <c r="AA244" s="1977" t="str">
        <f t="shared" si="137"/>
        <v xml:space="preserve"> </v>
      </c>
      <c r="AB244" s="1977" t="str">
        <f t="shared" si="138"/>
        <v xml:space="preserve"> </v>
      </c>
      <c r="AC244" s="1977" t="str">
        <f t="shared" si="139"/>
        <v xml:space="preserve"> </v>
      </c>
      <c r="AD244" s="1977" t="str">
        <f t="shared" si="140"/>
        <v xml:space="preserve"> </v>
      </c>
      <c r="AE244" s="1978" t="str">
        <f t="shared" si="141"/>
        <v xml:space="preserve"> </v>
      </c>
      <c r="AF244" s="1978" t="str">
        <f t="shared" si="142"/>
        <v xml:space="preserve"> </v>
      </c>
      <c r="AG244" s="1978" t="str">
        <f t="shared" si="143"/>
        <v xml:space="preserve"> </v>
      </c>
      <c r="AH244" s="1978" t="str">
        <f t="shared" si="144"/>
        <v xml:space="preserve"> </v>
      </c>
      <c r="AI244" s="1978" t="str">
        <f t="shared" si="145"/>
        <v xml:space="preserve"> </v>
      </c>
    </row>
    <row r="245" spans="12:35" s="352" customFormat="1" x14ac:dyDescent="0.25">
      <c r="L245" s="1972" t="str">
        <f t="shared" si="122"/>
        <v xml:space="preserve">      </v>
      </c>
      <c r="M245" s="1973" t="str">
        <f t="shared" si="123"/>
        <v xml:space="preserve">      </v>
      </c>
      <c r="N245" s="1974" t="str">
        <f t="shared" si="124"/>
        <v xml:space="preserve">      </v>
      </c>
      <c r="O245" s="1974" t="str">
        <f t="shared" si="125"/>
        <v xml:space="preserve">      </v>
      </c>
      <c r="P245" s="1975" t="str">
        <f t="shared" si="126"/>
        <v xml:space="preserve"> </v>
      </c>
      <c r="Q245" s="1975" t="str">
        <f t="shared" si="127"/>
        <v xml:space="preserve"> </v>
      </c>
      <c r="R245" s="1975" t="str">
        <f t="shared" si="128"/>
        <v xml:space="preserve"> </v>
      </c>
      <c r="S245" s="1975" t="str">
        <f t="shared" si="129"/>
        <v xml:space="preserve"> </v>
      </c>
      <c r="T245" s="1975" t="str">
        <f t="shared" si="130"/>
        <v xml:space="preserve"> </v>
      </c>
      <c r="U245" s="1976" t="str">
        <f t="shared" si="131"/>
        <v xml:space="preserve"> </v>
      </c>
      <c r="V245" s="1976" t="str">
        <f t="shared" si="132"/>
        <v xml:space="preserve"> </v>
      </c>
      <c r="W245" s="1976" t="str">
        <f t="shared" si="133"/>
        <v xml:space="preserve"> </v>
      </c>
      <c r="X245" s="1976" t="str">
        <f t="shared" si="134"/>
        <v xml:space="preserve"> </v>
      </c>
      <c r="Y245" s="1976" t="str">
        <f t="shared" si="135"/>
        <v xml:space="preserve"> </v>
      </c>
      <c r="Z245" s="1977" t="str">
        <f t="shared" si="136"/>
        <v xml:space="preserve"> </v>
      </c>
      <c r="AA245" s="1977" t="str">
        <f t="shared" si="137"/>
        <v xml:space="preserve"> </v>
      </c>
      <c r="AB245" s="1977" t="str">
        <f t="shared" si="138"/>
        <v xml:space="preserve"> </v>
      </c>
      <c r="AC245" s="1977" t="str">
        <f t="shared" si="139"/>
        <v xml:space="preserve"> </v>
      </c>
      <c r="AD245" s="1977" t="str">
        <f t="shared" si="140"/>
        <v xml:space="preserve"> </v>
      </c>
      <c r="AE245" s="1978" t="str">
        <f t="shared" si="141"/>
        <v xml:space="preserve"> </v>
      </c>
      <c r="AF245" s="1978" t="str">
        <f t="shared" si="142"/>
        <v xml:space="preserve"> </v>
      </c>
      <c r="AG245" s="1978" t="str">
        <f t="shared" si="143"/>
        <v xml:space="preserve"> </v>
      </c>
      <c r="AH245" s="1978" t="str">
        <f t="shared" si="144"/>
        <v xml:space="preserve"> </v>
      </c>
      <c r="AI245" s="1978" t="str">
        <f t="shared" si="145"/>
        <v xml:space="preserve"> </v>
      </c>
    </row>
    <row r="246" spans="12:35" s="352" customFormat="1" x14ac:dyDescent="0.25">
      <c r="L246" s="1972" t="str">
        <f t="shared" si="122"/>
        <v xml:space="preserve">      </v>
      </c>
      <c r="M246" s="1973" t="str">
        <f t="shared" si="123"/>
        <v xml:space="preserve">      </v>
      </c>
      <c r="N246" s="1974" t="str">
        <f t="shared" si="124"/>
        <v xml:space="preserve">      </v>
      </c>
      <c r="O246" s="1974" t="str">
        <f t="shared" si="125"/>
        <v xml:space="preserve">      </v>
      </c>
      <c r="P246" s="1975" t="str">
        <f t="shared" si="126"/>
        <v xml:space="preserve"> </v>
      </c>
      <c r="Q246" s="1975" t="str">
        <f t="shared" si="127"/>
        <v xml:space="preserve"> </v>
      </c>
      <c r="R246" s="1975" t="str">
        <f t="shared" si="128"/>
        <v xml:space="preserve"> </v>
      </c>
      <c r="S246" s="1975" t="str">
        <f t="shared" si="129"/>
        <v xml:space="preserve"> </v>
      </c>
      <c r="T246" s="1975" t="str">
        <f t="shared" si="130"/>
        <v xml:space="preserve"> </v>
      </c>
      <c r="U246" s="1976" t="str">
        <f t="shared" si="131"/>
        <v xml:space="preserve"> </v>
      </c>
      <c r="V246" s="1976" t="str">
        <f t="shared" si="132"/>
        <v xml:space="preserve"> </v>
      </c>
      <c r="W246" s="1976" t="str">
        <f t="shared" si="133"/>
        <v xml:space="preserve"> </v>
      </c>
      <c r="X246" s="1976" t="str">
        <f t="shared" si="134"/>
        <v xml:space="preserve"> </v>
      </c>
      <c r="Y246" s="1976" t="str">
        <f t="shared" si="135"/>
        <v xml:space="preserve"> </v>
      </c>
      <c r="Z246" s="1977" t="str">
        <f t="shared" si="136"/>
        <v xml:space="preserve"> </v>
      </c>
      <c r="AA246" s="1977" t="str">
        <f t="shared" si="137"/>
        <v xml:space="preserve"> </v>
      </c>
      <c r="AB246" s="1977" t="str">
        <f t="shared" si="138"/>
        <v xml:space="preserve"> </v>
      </c>
      <c r="AC246" s="1977" t="str">
        <f t="shared" si="139"/>
        <v xml:space="preserve"> </v>
      </c>
      <c r="AD246" s="1977" t="str">
        <f t="shared" si="140"/>
        <v xml:space="preserve"> </v>
      </c>
      <c r="AE246" s="1978" t="str">
        <f t="shared" si="141"/>
        <v xml:space="preserve"> </v>
      </c>
      <c r="AF246" s="1978" t="str">
        <f t="shared" si="142"/>
        <v xml:space="preserve"> </v>
      </c>
      <c r="AG246" s="1978" t="str">
        <f t="shared" si="143"/>
        <v xml:space="preserve"> </v>
      </c>
      <c r="AH246" s="1978" t="str">
        <f t="shared" si="144"/>
        <v xml:space="preserve"> </v>
      </c>
      <c r="AI246" s="1978" t="str">
        <f t="shared" si="145"/>
        <v xml:space="preserve"> </v>
      </c>
    </row>
    <row r="247" spans="12:35" s="352" customFormat="1" x14ac:dyDescent="0.25">
      <c r="L247" s="1972" t="str">
        <f t="shared" si="122"/>
        <v xml:space="preserve">      </v>
      </c>
      <c r="M247" s="1973" t="str">
        <f t="shared" si="123"/>
        <v xml:space="preserve">      </v>
      </c>
      <c r="N247" s="1974" t="str">
        <f t="shared" si="124"/>
        <v xml:space="preserve">      </v>
      </c>
      <c r="O247" s="1974" t="str">
        <f t="shared" si="125"/>
        <v xml:space="preserve">      </v>
      </c>
      <c r="P247" s="1975" t="str">
        <f t="shared" si="126"/>
        <v xml:space="preserve"> </v>
      </c>
      <c r="Q247" s="1975" t="str">
        <f t="shared" si="127"/>
        <v xml:space="preserve"> </v>
      </c>
      <c r="R247" s="1975" t="str">
        <f t="shared" si="128"/>
        <v xml:space="preserve"> </v>
      </c>
      <c r="S247" s="1975" t="str">
        <f t="shared" si="129"/>
        <v xml:space="preserve"> </v>
      </c>
      <c r="T247" s="1975" t="str">
        <f t="shared" si="130"/>
        <v xml:space="preserve"> </v>
      </c>
      <c r="U247" s="1976" t="str">
        <f t="shared" si="131"/>
        <v xml:space="preserve"> </v>
      </c>
      <c r="V247" s="1976" t="str">
        <f t="shared" si="132"/>
        <v xml:space="preserve"> </v>
      </c>
      <c r="W247" s="1976" t="str">
        <f t="shared" si="133"/>
        <v xml:space="preserve"> </v>
      </c>
      <c r="X247" s="1976" t="str">
        <f t="shared" si="134"/>
        <v xml:space="preserve"> </v>
      </c>
      <c r="Y247" s="1976" t="str">
        <f t="shared" si="135"/>
        <v xml:space="preserve"> </v>
      </c>
      <c r="Z247" s="1977" t="str">
        <f t="shared" si="136"/>
        <v xml:space="preserve"> </v>
      </c>
      <c r="AA247" s="1977" t="str">
        <f t="shared" si="137"/>
        <v xml:space="preserve"> </v>
      </c>
      <c r="AB247" s="1977" t="str">
        <f t="shared" si="138"/>
        <v xml:space="preserve"> </v>
      </c>
      <c r="AC247" s="1977" t="str">
        <f t="shared" si="139"/>
        <v xml:space="preserve"> </v>
      </c>
      <c r="AD247" s="1977" t="str">
        <f t="shared" si="140"/>
        <v xml:space="preserve"> </v>
      </c>
      <c r="AE247" s="1978" t="str">
        <f t="shared" si="141"/>
        <v xml:space="preserve"> </v>
      </c>
      <c r="AF247" s="1978" t="str">
        <f t="shared" si="142"/>
        <v xml:space="preserve"> </v>
      </c>
      <c r="AG247" s="1978" t="str">
        <f t="shared" si="143"/>
        <v xml:space="preserve"> </v>
      </c>
      <c r="AH247" s="1978" t="str">
        <f t="shared" si="144"/>
        <v xml:space="preserve"> </v>
      </c>
      <c r="AI247" s="1978" t="str">
        <f t="shared" si="145"/>
        <v xml:space="preserve"> </v>
      </c>
    </row>
    <row r="248" spans="12:35" s="352" customFormat="1" x14ac:dyDescent="0.25">
      <c r="L248" s="1972" t="str">
        <f t="shared" si="122"/>
        <v xml:space="preserve">      </v>
      </c>
      <c r="M248" s="1973" t="str">
        <f t="shared" si="123"/>
        <v xml:space="preserve">      </v>
      </c>
      <c r="N248" s="1974" t="str">
        <f t="shared" si="124"/>
        <v xml:space="preserve">      </v>
      </c>
      <c r="O248" s="1974" t="str">
        <f t="shared" si="125"/>
        <v xml:space="preserve">      </v>
      </c>
      <c r="P248" s="1975" t="str">
        <f t="shared" si="126"/>
        <v xml:space="preserve"> </v>
      </c>
      <c r="Q248" s="1975" t="str">
        <f t="shared" si="127"/>
        <v xml:space="preserve"> </v>
      </c>
      <c r="R248" s="1975" t="str">
        <f t="shared" si="128"/>
        <v xml:space="preserve"> </v>
      </c>
      <c r="S248" s="1975" t="str">
        <f t="shared" si="129"/>
        <v xml:space="preserve"> </v>
      </c>
      <c r="T248" s="1975" t="str">
        <f t="shared" si="130"/>
        <v xml:space="preserve"> </v>
      </c>
      <c r="U248" s="1976" t="str">
        <f t="shared" si="131"/>
        <v xml:space="preserve"> </v>
      </c>
      <c r="V248" s="1976" t="str">
        <f t="shared" si="132"/>
        <v xml:space="preserve"> </v>
      </c>
      <c r="W248" s="1976" t="str">
        <f t="shared" si="133"/>
        <v xml:space="preserve"> </v>
      </c>
      <c r="X248" s="1976" t="str">
        <f t="shared" si="134"/>
        <v xml:space="preserve"> </v>
      </c>
      <c r="Y248" s="1976" t="str">
        <f t="shared" si="135"/>
        <v xml:space="preserve"> </v>
      </c>
      <c r="Z248" s="1977" t="str">
        <f t="shared" si="136"/>
        <v xml:space="preserve"> </v>
      </c>
      <c r="AA248" s="1977" t="str">
        <f t="shared" si="137"/>
        <v xml:space="preserve"> </v>
      </c>
      <c r="AB248" s="1977" t="str">
        <f t="shared" si="138"/>
        <v xml:space="preserve"> </v>
      </c>
      <c r="AC248" s="1977" t="str">
        <f t="shared" si="139"/>
        <v xml:space="preserve"> </v>
      </c>
      <c r="AD248" s="1977" t="str">
        <f t="shared" si="140"/>
        <v xml:space="preserve"> </v>
      </c>
      <c r="AE248" s="1978" t="str">
        <f t="shared" si="141"/>
        <v xml:space="preserve"> </v>
      </c>
      <c r="AF248" s="1978" t="str">
        <f t="shared" si="142"/>
        <v xml:space="preserve"> </v>
      </c>
      <c r="AG248" s="1978" t="str">
        <f t="shared" si="143"/>
        <v xml:space="preserve"> </v>
      </c>
      <c r="AH248" s="1978" t="str">
        <f t="shared" si="144"/>
        <v xml:space="preserve"> </v>
      </c>
      <c r="AI248" s="1978" t="str">
        <f t="shared" si="145"/>
        <v xml:space="preserve"> </v>
      </c>
    </row>
    <row r="249" spans="12:35" s="352" customFormat="1" x14ac:dyDescent="0.25">
      <c r="L249" s="1972" t="str">
        <f t="shared" si="122"/>
        <v xml:space="preserve">      </v>
      </c>
      <c r="M249" s="1973" t="str">
        <f t="shared" si="123"/>
        <v xml:space="preserve">      </v>
      </c>
      <c r="N249" s="1974" t="str">
        <f t="shared" si="124"/>
        <v xml:space="preserve">      </v>
      </c>
      <c r="O249" s="1974" t="str">
        <f t="shared" si="125"/>
        <v xml:space="preserve">      </v>
      </c>
      <c r="P249" s="1975" t="str">
        <f t="shared" si="126"/>
        <v xml:space="preserve"> </v>
      </c>
      <c r="Q249" s="1975" t="str">
        <f t="shared" si="127"/>
        <v xml:space="preserve"> </v>
      </c>
      <c r="R249" s="1975" t="str">
        <f t="shared" si="128"/>
        <v xml:space="preserve"> </v>
      </c>
      <c r="S249" s="1975" t="str">
        <f t="shared" si="129"/>
        <v xml:space="preserve"> </v>
      </c>
      <c r="T249" s="1975" t="str">
        <f t="shared" si="130"/>
        <v xml:space="preserve"> </v>
      </c>
      <c r="U249" s="1976" t="str">
        <f t="shared" si="131"/>
        <v xml:space="preserve"> </v>
      </c>
      <c r="V249" s="1976" t="str">
        <f t="shared" si="132"/>
        <v xml:space="preserve"> </v>
      </c>
      <c r="W249" s="1976" t="str">
        <f t="shared" si="133"/>
        <v xml:space="preserve"> </v>
      </c>
      <c r="X249" s="1976" t="str">
        <f t="shared" si="134"/>
        <v xml:space="preserve"> </v>
      </c>
      <c r="Y249" s="1976" t="str">
        <f t="shared" si="135"/>
        <v xml:space="preserve"> </v>
      </c>
      <c r="Z249" s="1977" t="str">
        <f t="shared" si="136"/>
        <v xml:space="preserve"> </v>
      </c>
      <c r="AA249" s="1977" t="str">
        <f t="shared" si="137"/>
        <v xml:space="preserve"> </v>
      </c>
      <c r="AB249" s="1977" t="str">
        <f t="shared" si="138"/>
        <v xml:space="preserve"> </v>
      </c>
      <c r="AC249" s="1977" t="str">
        <f t="shared" si="139"/>
        <v xml:space="preserve"> </v>
      </c>
      <c r="AD249" s="1977" t="str">
        <f t="shared" si="140"/>
        <v xml:space="preserve"> </v>
      </c>
      <c r="AE249" s="1978" t="str">
        <f t="shared" si="141"/>
        <v xml:space="preserve"> </v>
      </c>
      <c r="AF249" s="1978" t="str">
        <f t="shared" si="142"/>
        <v xml:space="preserve"> </v>
      </c>
      <c r="AG249" s="1978" t="str">
        <f t="shared" si="143"/>
        <v xml:space="preserve"> </v>
      </c>
      <c r="AH249" s="1978" t="str">
        <f t="shared" si="144"/>
        <v xml:space="preserve"> </v>
      </c>
      <c r="AI249" s="1978" t="str">
        <f t="shared" si="145"/>
        <v xml:space="preserve"> </v>
      </c>
    </row>
    <row r="250" spans="12:35" s="352" customFormat="1" x14ac:dyDescent="0.25">
      <c r="L250" s="1972" t="str">
        <f t="shared" si="122"/>
        <v xml:space="preserve">      </v>
      </c>
      <c r="M250" s="1973" t="str">
        <f t="shared" si="123"/>
        <v xml:space="preserve">      </v>
      </c>
      <c r="N250" s="1974" t="str">
        <f t="shared" si="124"/>
        <v xml:space="preserve">      </v>
      </c>
      <c r="O250" s="1974" t="str">
        <f t="shared" si="125"/>
        <v xml:space="preserve">      </v>
      </c>
      <c r="P250" s="1975" t="str">
        <f t="shared" si="126"/>
        <v xml:space="preserve"> </v>
      </c>
      <c r="Q250" s="1975" t="str">
        <f t="shared" si="127"/>
        <v xml:space="preserve"> </v>
      </c>
      <c r="R250" s="1975" t="str">
        <f t="shared" si="128"/>
        <v xml:space="preserve"> </v>
      </c>
      <c r="S250" s="1975" t="str">
        <f t="shared" si="129"/>
        <v xml:space="preserve"> </v>
      </c>
      <c r="T250" s="1975" t="str">
        <f t="shared" si="130"/>
        <v xml:space="preserve"> </v>
      </c>
      <c r="U250" s="1976" t="str">
        <f t="shared" si="131"/>
        <v xml:space="preserve"> </v>
      </c>
      <c r="V250" s="1976" t="str">
        <f t="shared" si="132"/>
        <v xml:space="preserve"> </v>
      </c>
      <c r="W250" s="1976" t="str">
        <f t="shared" si="133"/>
        <v xml:space="preserve"> </v>
      </c>
      <c r="X250" s="1976" t="str">
        <f t="shared" si="134"/>
        <v xml:space="preserve"> </v>
      </c>
      <c r="Y250" s="1976" t="str">
        <f t="shared" si="135"/>
        <v xml:space="preserve"> </v>
      </c>
      <c r="Z250" s="1977" t="str">
        <f t="shared" si="136"/>
        <v xml:space="preserve"> </v>
      </c>
      <c r="AA250" s="1977" t="str">
        <f t="shared" si="137"/>
        <v xml:space="preserve"> </v>
      </c>
      <c r="AB250" s="1977" t="str">
        <f t="shared" si="138"/>
        <v xml:space="preserve"> </v>
      </c>
      <c r="AC250" s="1977" t="str">
        <f t="shared" si="139"/>
        <v xml:space="preserve"> </v>
      </c>
      <c r="AD250" s="1977" t="str">
        <f t="shared" si="140"/>
        <v xml:space="preserve"> </v>
      </c>
      <c r="AE250" s="1978" t="str">
        <f t="shared" si="141"/>
        <v xml:space="preserve"> </v>
      </c>
      <c r="AF250" s="1978" t="str">
        <f t="shared" si="142"/>
        <v xml:space="preserve"> </v>
      </c>
      <c r="AG250" s="1978" t="str">
        <f t="shared" si="143"/>
        <v xml:space="preserve"> </v>
      </c>
      <c r="AH250" s="1978" t="str">
        <f t="shared" si="144"/>
        <v xml:space="preserve"> </v>
      </c>
      <c r="AI250" s="1978" t="str">
        <f t="shared" si="145"/>
        <v xml:space="preserve"> </v>
      </c>
    </row>
    <row r="251" spans="12:35" s="352" customFormat="1" x14ac:dyDescent="0.25">
      <c r="L251" s="1972" t="str">
        <f t="shared" si="122"/>
        <v xml:space="preserve">      </v>
      </c>
      <c r="M251" s="1973" t="str">
        <f t="shared" si="123"/>
        <v xml:space="preserve">      </v>
      </c>
      <c r="N251" s="1974" t="str">
        <f t="shared" si="124"/>
        <v xml:space="preserve">      </v>
      </c>
      <c r="O251" s="1974" t="str">
        <f t="shared" si="125"/>
        <v xml:space="preserve">      </v>
      </c>
      <c r="P251" s="1975" t="str">
        <f t="shared" si="126"/>
        <v xml:space="preserve"> </v>
      </c>
      <c r="Q251" s="1975" t="str">
        <f t="shared" si="127"/>
        <v xml:space="preserve"> </v>
      </c>
      <c r="R251" s="1975" t="str">
        <f t="shared" si="128"/>
        <v xml:space="preserve"> </v>
      </c>
      <c r="S251" s="1975" t="str">
        <f t="shared" si="129"/>
        <v xml:space="preserve"> </v>
      </c>
      <c r="T251" s="1975" t="str">
        <f t="shared" si="130"/>
        <v xml:space="preserve"> </v>
      </c>
      <c r="U251" s="1976" t="str">
        <f t="shared" si="131"/>
        <v xml:space="preserve"> </v>
      </c>
      <c r="V251" s="1976" t="str">
        <f t="shared" si="132"/>
        <v xml:space="preserve"> </v>
      </c>
      <c r="W251" s="1976" t="str">
        <f t="shared" si="133"/>
        <v xml:space="preserve"> </v>
      </c>
      <c r="X251" s="1976" t="str">
        <f t="shared" si="134"/>
        <v xml:space="preserve"> </v>
      </c>
      <c r="Y251" s="1976" t="str">
        <f t="shared" si="135"/>
        <v xml:space="preserve"> </v>
      </c>
      <c r="Z251" s="1977" t="str">
        <f t="shared" si="136"/>
        <v xml:space="preserve"> </v>
      </c>
      <c r="AA251" s="1977" t="str">
        <f t="shared" si="137"/>
        <v xml:space="preserve"> </v>
      </c>
      <c r="AB251" s="1977" t="str">
        <f t="shared" si="138"/>
        <v xml:space="preserve"> </v>
      </c>
      <c r="AC251" s="1977" t="str">
        <f t="shared" si="139"/>
        <v xml:space="preserve"> </v>
      </c>
      <c r="AD251" s="1977" t="str">
        <f t="shared" si="140"/>
        <v xml:space="preserve"> </v>
      </c>
      <c r="AE251" s="1978" t="str">
        <f t="shared" si="141"/>
        <v xml:space="preserve"> </v>
      </c>
      <c r="AF251" s="1978" t="str">
        <f t="shared" si="142"/>
        <v xml:space="preserve"> </v>
      </c>
      <c r="AG251" s="1978" t="str">
        <f t="shared" si="143"/>
        <v xml:space="preserve"> </v>
      </c>
      <c r="AH251" s="1978" t="str">
        <f t="shared" si="144"/>
        <v xml:space="preserve"> </v>
      </c>
      <c r="AI251" s="1978" t="str">
        <f t="shared" si="145"/>
        <v xml:space="preserve"> </v>
      </c>
    </row>
    <row r="252" spans="12:35" s="352" customFormat="1" x14ac:dyDescent="0.25">
      <c r="L252" s="1972" t="str">
        <f t="shared" si="122"/>
        <v xml:space="preserve">      </v>
      </c>
      <c r="M252" s="1973" t="str">
        <f t="shared" si="123"/>
        <v xml:space="preserve">      </v>
      </c>
      <c r="N252" s="1974" t="str">
        <f t="shared" si="124"/>
        <v xml:space="preserve">      </v>
      </c>
      <c r="O252" s="1974" t="str">
        <f t="shared" si="125"/>
        <v xml:space="preserve">      </v>
      </c>
      <c r="P252" s="1975" t="str">
        <f t="shared" si="126"/>
        <v xml:space="preserve"> </v>
      </c>
      <c r="Q252" s="1975" t="str">
        <f t="shared" si="127"/>
        <v xml:space="preserve"> </v>
      </c>
      <c r="R252" s="1975" t="str">
        <f t="shared" si="128"/>
        <v xml:space="preserve"> </v>
      </c>
      <c r="S252" s="1975" t="str">
        <f t="shared" si="129"/>
        <v xml:space="preserve"> </v>
      </c>
      <c r="T252" s="1975" t="str">
        <f t="shared" si="130"/>
        <v xml:space="preserve"> </v>
      </c>
      <c r="U252" s="1976" t="str">
        <f t="shared" si="131"/>
        <v xml:space="preserve"> </v>
      </c>
      <c r="V252" s="1976" t="str">
        <f t="shared" si="132"/>
        <v xml:space="preserve"> </v>
      </c>
      <c r="W252" s="1976" t="str">
        <f t="shared" si="133"/>
        <v xml:space="preserve"> </v>
      </c>
      <c r="X252" s="1976" t="str">
        <f t="shared" si="134"/>
        <v xml:space="preserve"> </v>
      </c>
      <c r="Y252" s="1976" t="str">
        <f t="shared" si="135"/>
        <v xml:space="preserve"> </v>
      </c>
      <c r="Z252" s="1977" t="str">
        <f t="shared" si="136"/>
        <v xml:space="preserve"> </v>
      </c>
      <c r="AA252" s="1977" t="str">
        <f t="shared" si="137"/>
        <v xml:space="preserve"> </v>
      </c>
      <c r="AB252" s="1977" t="str">
        <f t="shared" si="138"/>
        <v xml:space="preserve"> </v>
      </c>
      <c r="AC252" s="1977" t="str">
        <f t="shared" si="139"/>
        <v xml:space="preserve"> </v>
      </c>
      <c r="AD252" s="1977" t="str">
        <f t="shared" si="140"/>
        <v xml:space="preserve"> </v>
      </c>
      <c r="AE252" s="1978" t="str">
        <f t="shared" si="141"/>
        <v xml:space="preserve"> </v>
      </c>
      <c r="AF252" s="1978" t="str">
        <f t="shared" si="142"/>
        <v xml:space="preserve"> </v>
      </c>
      <c r="AG252" s="1978" t="str">
        <f t="shared" si="143"/>
        <v xml:space="preserve"> </v>
      </c>
      <c r="AH252" s="1978" t="str">
        <f t="shared" si="144"/>
        <v xml:space="preserve"> </v>
      </c>
      <c r="AI252" s="1978" t="str">
        <f t="shared" si="145"/>
        <v xml:space="preserve"> </v>
      </c>
    </row>
    <row r="253" spans="12:35" s="352" customFormat="1" x14ac:dyDescent="0.25">
      <c r="L253" s="1972" t="str">
        <f t="shared" si="122"/>
        <v xml:space="preserve">      </v>
      </c>
      <c r="M253" s="1973" t="str">
        <f t="shared" si="123"/>
        <v xml:space="preserve">      </v>
      </c>
      <c r="N253" s="1974" t="str">
        <f t="shared" si="124"/>
        <v xml:space="preserve">      </v>
      </c>
      <c r="O253" s="1974" t="str">
        <f t="shared" si="125"/>
        <v xml:space="preserve">      </v>
      </c>
      <c r="P253" s="1975" t="str">
        <f t="shared" si="126"/>
        <v xml:space="preserve"> </v>
      </c>
      <c r="Q253" s="1975" t="str">
        <f t="shared" si="127"/>
        <v xml:space="preserve"> </v>
      </c>
      <c r="R253" s="1975" t="str">
        <f t="shared" si="128"/>
        <v xml:space="preserve"> </v>
      </c>
      <c r="S253" s="1975" t="str">
        <f t="shared" si="129"/>
        <v xml:space="preserve"> </v>
      </c>
      <c r="T253" s="1975" t="str">
        <f t="shared" si="130"/>
        <v xml:space="preserve"> </v>
      </c>
      <c r="U253" s="1976" t="str">
        <f t="shared" si="131"/>
        <v xml:space="preserve"> </v>
      </c>
      <c r="V253" s="1976" t="str">
        <f t="shared" si="132"/>
        <v xml:space="preserve"> </v>
      </c>
      <c r="W253" s="1976" t="str">
        <f t="shared" si="133"/>
        <v xml:space="preserve"> </v>
      </c>
      <c r="X253" s="1976" t="str">
        <f t="shared" si="134"/>
        <v xml:space="preserve"> </v>
      </c>
      <c r="Y253" s="1976" t="str">
        <f t="shared" si="135"/>
        <v xml:space="preserve"> </v>
      </c>
      <c r="Z253" s="1977" t="str">
        <f t="shared" si="136"/>
        <v xml:space="preserve"> </v>
      </c>
      <c r="AA253" s="1977" t="str">
        <f t="shared" si="137"/>
        <v xml:space="preserve"> </v>
      </c>
      <c r="AB253" s="1977" t="str">
        <f t="shared" si="138"/>
        <v xml:space="preserve"> </v>
      </c>
      <c r="AC253" s="1977" t="str">
        <f t="shared" si="139"/>
        <v xml:space="preserve"> </v>
      </c>
      <c r="AD253" s="1977" t="str">
        <f t="shared" si="140"/>
        <v xml:space="preserve"> </v>
      </c>
      <c r="AE253" s="1978" t="str">
        <f t="shared" si="141"/>
        <v xml:space="preserve"> </v>
      </c>
      <c r="AF253" s="1978" t="str">
        <f t="shared" si="142"/>
        <v xml:space="preserve"> </v>
      </c>
      <c r="AG253" s="1978" t="str">
        <f t="shared" si="143"/>
        <v xml:space="preserve"> </v>
      </c>
      <c r="AH253" s="1978" t="str">
        <f t="shared" si="144"/>
        <v xml:space="preserve"> </v>
      </c>
      <c r="AI253" s="1978" t="str">
        <f t="shared" si="145"/>
        <v xml:space="preserve"> </v>
      </c>
    </row>
  </sheetData>
  <sheetProtection password="C6F9" sheet="1" objects="1" scenarios="1"/>
  <mergeCells count="7">
    <mergeCell ref="H12:H14"/>
    <mergeCell ref="A12:A14"/>
    <mergeCell ref="B12:B13"/>
    <mergeCell ref="C12:C14"/>
    <mergeCell ref="D12:D14"/>
    <mergeCell ref="E12:E14"/>
    <mergeCell ref="F12:F14"/>
  </mergeCells>
  <pageMargins left="0.7" right="0.7" top="0.75" bottom="0.75" header="0.3" footer="0.3"/>
  <pageSetup paperSize="9" orientation="portrait" horizontalDpi="0" verticalDpi="0"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M50"/>
  <sheetViews>
    <sheetView showGridLines="0" workbookViewId="0">
      <pane xSplit="2" ySplit="5" topLeftCell="C36" activePane="bottomRight" state="frozen"/>
      <selection pane="topRight" activeCell="C1" sqref="C1"/>
      <selection pane="bottomLeft" activeCell="A5" sqref="A5"/>
      <selection pane="bottomRight" activeCell="M6" sqref="M6"/>
    </sheetView>
  </sheetViews>
  <sheetFormatPr defaultRowHeight="15" x14ac:dyDescent="0.25"/>
  <cols>
    <col min="1" max="1" width="4.140625" customWidth="1"/>
    <col min="2" max="2" width="32.28515625" customWidth="1"/>
    <col min="3" max="7" width="4.7109375" customWidth="1"/>
    <col min="8" max="8" width="5.42578125" customWidth="1"/>
    <col min="9" max="10" width="4.7109375" customWidth="1"/>
    <col min="11" max="11" width="6.42578125" customWidth="1"/>
    <col min="12" max="12" width="6.28515625" customWidth="1"/>
    <col min="13" max="13" width="6.42578125" customWidth="1"/>
  </cols>
  <sheetData>
    <row r="1" spans="1:13" ht="23.25" x14ac:dyDescent="0.35">
      <c r="A1" s="29" t="s">
        <v>542</v>
      </c>
    </row>
    <row r="2" spans="1:13" ht="24.75" customHeight="1" x14ac:dyDescent="0.35">
      <c r="A2" s="29" t="s">
        <v>437</v>
      </c>
    </row>
    <row r="3" spans="1:13" ht="24.75" customHeight="1" thickBot="1" x14ac:dyDescent="0.3">
      <c r="A3" s="1139">
        <v>1</v>
      </c>
      <c r="B3" s="1140">
        <v>2</v>
      </c>
      <c r="C3" s="1139">
        <v>3</v>
      </c>
      <c r="D3" s="1140">
        <v>4</v>
      </c>
      <c r="E3" s="1139">
        <v>5</v>
      </c>
      <c r="F3" s="1140">
        <v>6</v>
      </c>
      <c r="G3" s="1139">
        <v>7</v>
      </c>
      <c r="H3" s="1140">
        <v>8</v>
      </c>
      <c r="I3" s="1139">
        <v>9</v>
      </c>
      <c r="J3" s="1140">
        <v>10</v>
      </c>
      <c r="K3" s="1139">
        <v>11</v>
      </c>
      <c r="L3" s="1140">
        <v>12</v>
      </c>
      <c r="M3" s="1139">
        <v>13</v>
      </c>
    </row>
    <row r="4" spans="1:13" ht="20.25" customHeight="1" x14ac:dyDescent="0.25">
      <c r="A4" s="3331" t="s">
        <v>0</v>
      </c>
      <c r="B4" s="3333" t="s">
        <v>28</v>
      </c>
      <c r="C4" s="3335" t="s">
        <v>536</v>
      </c>
      <c r="D4" s="3335"/>
      <c r="E4" s="3335"/>
      <c r="F4" s="3335"/>
      <c r="G4" s="3335"/>
      <c r="H4" s="3335"/>
      <c r="I4" s="3335"/>
      <c r="J4" s="3335"/>
      <c r="K4" s="3335"/>
      <c r="L4" s="3335"/>
      <c r="M4" s="3336"/>
    </row>
    <row r="5" spans="1:13" ht="19.5" customHeight="1" thickBot="1" x14ac:dyDescent="0.3">
      <c r="A5" s="3332"/>
      <c r="B5" s="3334"/>
      <c r="C5" s="996" t="s">
        <v>612</v>
      </c>
      <c r="D5" s="996" t="s">
        <v>191</v>
      </c>
      <c r="E5" s="996" t="s">
        <v>551</v>
      </c>
      <c r="F5" s="996" t="s">
        <v>538</v>
      </c>
      <c r="G5" s="996" t="s">
        <v>594</v>
      </c>
      <c r="H5" s="996" t="s">
        <v>595</v>
      </c>
      <c r="I5" s="996" t="s">
        <v>198</v>
      </c>
      <c r="J5" s="996" t="s">
        <v>215</v>
      </c>
      <c r="K5" s="996" t="s">
        <v>613</v>
      </c>
      <c r="L5" s="996" t="s">
        <v>64</v>
      </c>
      <c r="M5" s="997" t="s">
        <v>614</v>
      </c>
    </row>
    <row r="6" spans="1:13" x14ac:dyDescent="0.25">
      <c r="A6" s="34">
        <v>1</v>
      </c>
      <c r="B6" s="787" t="str">
        <f t="shared" ref="B6:B45" si="0">VLOOKUP(A6,data_siswa,4,FALSE)</f>
        <v>Achmad Zacky</v>
      </c>
      <c r="C6" s="852">
        <f t="shared" ref="C6" si="1">VLOOKUP(A6,ki3_agama,9,FALSE)</f>
        <v>321</v>
      </c>
      <c r="D6" s="852">
        <f t="shared" ref="D6" si="2">VLOOKUP(A6,KI3_PKNRapot,7,FALSE)</f>
        <v>78</v>
      </c>
      <c r="E6" s="852">
        <f t="shared" ref="E6" si="3">VLOOKUP(A6,KI3_BIRapot,7,FALSE)</f>
        <v>76</v>
      </c>
      <c r="F6" s="852">
        <f t="shared" ref="F6" si="4">VLOOKUP(A6,KI3_MATrapot,7,FALSE)</f>
        <v>75</v>
      </c>
      <c r="G6" s="852">
        <f t="shared" ref="G6" si="5">VLOOKUP(A6,KI3_IPArapot,7,FALSE)</f>
        <v>67</v>
      </c>
      <c r="H6" s="852">
        <f>VLOOKUP(A6,KI3_IPSrapot,7,FALSE)</f>
        <v>76</v>
      </c>
      <c r="I6" s="852">
        <f t="shared" ref="I6" si="6">VLOOKUP(A6,KI3_SBDPrapot,7,FALSE)</f>
        <v>78</v>
      </c>
      <c r="J6" s="852">
        <f t="shared" ref="J6" si="7">VLOOKUP(A6,KI3_PJOKrapot,7,FALSE)</f>
        <v>75</v>
      </c>
      <c r="K6" s="852">
        <f t="shared" ref="K6" si="8">VLOOKUP(A6,KI3_JAWArapot,7,FALSE)</f>
        <v>67</v>
      </c>
      <c r="L6" s="1138">
        <f>IFERROR(AVERAGE(C6:K6),"  ")</f>
        <v>101.44444444444444</v>
      </c>
      <c r="M6" s="39">
        <f>RANK(L6,$L$6:$L$46)</f>
        <v>1</v>
      </c>
    </row>
    <row r="7" spans="1:13" x14ac:dyDescent="0.25">
      <c r="A7" s="768">
        <v>2</v>
      </c>
      <c r="B7" s="787" t="str">
        <f t="shared" si="0"/>
        <v>Angelia Vabel R</v>
      </c>
      <c r="C7" s="852">
        <f t="shared" ref="C7:C45" si="9">VLOOKUP(A7,ki3_agama,9,FALSE)</f>
        <v>0</v>
      </c>
      <c r="D7" s="852">
        <f t="shared" ref="D7:D45" si="10">VLOOKUP(A7,KI3_PKNRapot,7,FALSE)</f>
        <v>0</v>
      </c>
      <c r="E7" s="852">
        <f t="shared" ref="E7:E45" si="11">VLOOKUP(A7,KI3_BIRapot,7,FALSE)</f>
        <v>0</v>
      </c>
      <c r="F7" s="852">
        <f t="shared" ref="F7:F45" si="12">VLOOKUP(A7,KI3_MATrapot,7,FALSE)</f>
        <v>0</v>
      </c>
      <c r="G7" s="852">
        <f t="shared" ref="G7:G45" si="13">VLOOKUP(A7,KI3_IPArapot,7,FALSE)</f>
        <v>0</v>
      </c>
      <c r="H7" s="852">
        <f t="shared" ref="H7:H45" si="14">VLOOKUP(A7,KI3_IPSrapot,7,)</f>
        <v>0</v>
      </c>
      <c r="I7" s="852">
        <f t="shared" ref="I7:I45" si="15">VLOOKUP(A7,KI3_SBDPrapot,7,FALSE)</f>
        <v>0</v>
      </c>
      <c r="J7" s="852">
        <f t="shared" ref="J7:J45" si="16">VLOOKUP(A7,KI3_PJOKrapot,7,FALSE)</f>
        <v>0</v>
      </c>
      <c r="K7" s="852">
        <f t="shared" ref="K7:K45" si="17">VLOOKUP(A7,KI3_JAWArapot,7,FALSE)</f>
        <v>0</v>
      </c>
      <c r="L7" s="1138">
        <f t="shared" ref="L7:L45" si="18">IFERROR(AVERAGE(C7:K7),"  ")</f>
        <v>0</v>
      </c>
      <c r="M7" s="26">
        <f t="shared" ref="M7:M45" si="19">RANK(L7,$L$6:$L$46)</f>
        <v>2</v>
      </c>
    </row>
    <row r="8" spans="1:13" x14ac:dyDescent="0.25">
      <c r="A8" s="34">
        <v>3</v>
      </c>
      <c r="B8" s="787" t="str">
        <f t="shared" si="0"/>
        <v>Anggun Dwi P.I</v>
      </c>
      <c r="C8" s="852">
        <f t="shared" si="9"/>
        <v>0</v>
      </c>
      <c r="D8" s="852">
        <f t="shared" si="10"/>
        <v>0</v>
      </c>
      <c r="E8" s="852">
        <f t="shared" si="11"/>
        <v>0</v>
      </c>
      <c r="F8" s="852">
        <f t="shared" si="12"/>
        <v>0</v>
      </c>
      <c r="G8" s="852">
        <f t="shared" si="13"/>
        <v>0</v>
      </c>
      <c r="H8" s="852">
        <f t="shared" si="14"/>
        <v>0</v>
      </c>
      <c r="I8" s="852">
        <f t="shared" si="15"/>
        <v>0</v>
      </c>
      <c r="J8" s="852">
        <f t="shared" si="16"/>
        <v>0</v>
      </c>
      <c r="K8" s="852">
        <f t="shared" si="17"/>
        <v>0</v>
      </c>
      <c r="L8" s="1138">
        <f t="shared" si="18"/>
        <v>0</v>
      </c>
      <c r="M8" s="26">
        <f t="shared" si="19"/>
        <v>2</v>
      </c>
    </row>
    <row r="9" spans="1:13" x14ac:dyDescent="0.25">
      <c r="A9" s="772">
        <v>4</v>
      </c>
      <c r="B9" s="787" t="str">
        <f t="shared" si="0"/>
        <v>Antonio Permata A</v>
      </c>
      <c r="C9" s="852">
        <f t="shared" si="9"/>
        <v>0</v>
      </c>
      <c r="D9" s="852">
        <f t="shared" si="10"/>
        <v>0</v>
      </c>
      <c r="E9" s="852">
        <f t="shared" si="11"/>
        <v>0</v>
      </c>
      <c r="F9" s="852">
        <f t="shared" si="12"/>
        <v>0</v>
      </c>
      <c r="G9" s="852">
        <f t="shared" si="13"/>
        <v>0</v>
      </c>
      <c r="H9" s="852">
        <f t="shared" si="14"/>
        <v>0</v>
      </c>
      <c r="I9" s="852">
        <f t="shared" si="15"/>
        <v>0</v>
      </c>
      <c r="J9" s="852">
        <f t="shared" si="16"/>
        <v>0</v>
      </c>
      <c r="K9" s="852">
        <f t="shared" si="17"/>
        <v>0</v>
      </c>
      <c r="L9" s="1138">
        <f t="shared" si="18"/>
        <v>0</v>
      </c>
      <c r="M9" s="26">
        <f t="shared" si="19"/>
        <v>2</v>
      </c>
    </row>
    <row r="10" spans="1:13" x14ac:dyDescent="0.25">
      <c r="A10" s="34">
        <v>5</v>
      </c>
      <c r="B10" s="787" t="str">
        <f t="shared" si="0"/>
        <v>Arya Pratama G</v>
      </c>
      <c r="C10" s="852">
        <f t="shared" si="9"/>
        <v>0</v>
      </c>
      <c r="D10" s="852">
        <f t="shared" si="10"/>
        <v>0</v>
      </c>
      <c r="E10" s="852">
        <f t="shared" si="11"/>
        <v>0</v>
      </c>
      <c r="F10" s="852">
        <f t="shared" si="12"/>
        <v>0</v>
      </c>
      <c r="G10" s="852">
        <f t="shared" si="13"/>
        <v>0</v>
      </c>
      <c r="H10" s="852">
        <f t="shared" si="14"/>
        <v>0</v>
      </c>
      <c r="I10" s="852">
        <f t="shared" si="15"/>
        <v>0</v>
      </c>
      <c r="J10" s="852">
        <f t="shared" si="16"/>
        <v>0</v>
      </c>
      <c r="K10" s="852">
        <f t="shared" si="17"/>
        <v>0</v>
      </c>
      <c r="L10" s="1138">
        <f t="shared" si="18"/>
        <v>0</v>
      </c>
      <c r="M10" s="26">
        <f t="shared" si="19"/>
        <v>2</v>
      </c>
    </row>
    <row r="11" spans="1:13" x14ac:dyDescent="0.25">
      <c r="A11" s="772">
        <v>6</v>
      </c>
      <c r="B11" s="787" t="str">
        <f t="shared" si="0"/>
        <v>Asyam Hanif Ihsan H</v>
      </c>
      <c r="C11" s="852">
        <f t="shared" si="9"/>
        <v>0</v>
      </c>
      <c r="D11" s="852">
        <f t="shared" si="10"/>
        <v>0</v>
      </c>
      <c r="E11" s="852">
        <f t="shared" si="11"/>
        <v>0</v>
      </c>
      <c r="F11" s="852">
        <f t="shared" si="12"/>
        <v>0</v>
      </c>
      <c r="G11" s="852">
        <f t="shared" si="13"/>
        <v>0</v>
      </c>
      <c r="H11" s="852">
        <f t="shared" si="14"/>
        <v>0</v>
      </c>
      <c r="I11" s="852">
        <f t="shared" si="15"/>
        <v>0</v>
      </c>
      <c r="J11" s="852">
        <f t="shared" si="16"/>
        <v>0</v>
      </c>
      <c r="K11" s="852">
        <f t="shared" si="17"/>
        <v>0</v>
      </c>
      <c r="L11" s="1138">
        <f t="shared" si="18"/>
        <v>0</v>
      </c>
      <c r="M11" s="26">
        <f t="shared" si="19"/>
        <v>2</v>
      </c>
    </row>
    <row r="12" spans="1:13" x14ac:dyDescent="0.25">
      <c r="A12" s="34">
        <v>7</v>
      </c>
      <c r="B12" s="787" t="str">
        <f t="shared" si="0"/>
        <v>Athaya Salsabilla Z</v>
      </c>
      <c r="C12" s="852">
        <f t="shared" si="9"/>
        <v>0</v>
      </c>
      <c r="D12" s="852">
        <f t="shared" si="10"/>
        <v>0</v>
      </c>
      <c r="E12" s="852">
        <f t="shared" si="11"/>
        <v>0</v>
      </c>
      <c r="F12" s="852">
        <f t="shared" si="12"/>
        <v>0</v>
      </c>
      <c r="G12" s="852">
        <f t="shared" si="13"/>
        <v>0</v>
      </c>
      <c r="H12" s="852">
        <f t="shared" si="14"/>
        <v>0</v>
      </c>
      <c r="I12" s="852">
        <f t="shared" si="15"/>
        <v>0</v>
      </c>
      <c r="J12" s="852">
        <f t="shared" si="16"/>
        <v>0</v>
      </c>
      <c r="K12" s="852">
        <f t="shared" si="17"/>
        <v>0</v>
      </c>
      <c r="L12" s="1138">
        <f t="shared" si="18"/>
        <v>0</v>
      </c>
      <c r="M12" s="26">
        <f t="shared" si="19"/>
        <v>2</v>
      </c>
    </row>
    <row r="13" spans="1:13" x14ac:dyDescent="0.25">
      <c r="A13" s="772">
        <v>8</v>
      </c>
      <c r="B13" s="787" t="str">
        <f t="shared" si="0"/>
        <v>Aulia Dea Rosalinda</v>
      </c>
      <c r="C13" s="852">
        <f t="shared" si="9"/>
        <v>0</v>
      </c>
      <c r="D13" s="852">
        <f t="shared" si="10"/>
        <v>0</v>
      </c>
      <c r="E13" s="852">
        <f t="shared" si="11"/>
        <v>0</v>
      </c>
      <c r="F13" s="852">
        <f t="shared" si="12"/>
        <v>0</v>
      </c>
      <c r="G13" s="852">
        <f t="shared" si="13"/>
        <v>0</v>
      </c>
      <c r="H13" s="852">
        <f t="shared" si="14"/>
        <v>0</v>
      </c>
      <c r="I13" s="852">
        <f t="shared" si="15"/>
        <v>0</v>
      </c>
      <c r="J13" s="852">
        <f t="shared" si="16"/>
        <v>0</v>
      </c>
      <c r="K13" s="852">
        <f t="shared" si="17"/>
        <v>0</v>
      </c>
      <c r="L13" s="1138">
        <f t="shared" si="18"/>
        <v>0</v>
      </c>
      <c r="M13" s="26">
        <f t="shared" si="19"/>
        <v>2</v>
      </c>
    </row>
    <row r="14" spans="1:13" x14ac:dyDescent="0.25">
      <c r="A14" s="34">
        <v>9</v>
      </c>
      <c r="B14" s="787" t="str">
        <f t="shared" si="0"/>
        <v>Claudia Gabriella L</v>
      </c>
      <c r="C14" s="852">
        <f t="shared" si="9"/>
        <v>0</v>
      </c>
      <c r="D14" s="852">
        <f t="shared" si="10"/>
        <v>0</v>
      </c>
      <c r="E14" s="852">
        <f t="shared" si="11"/>
        <v>0</v>
      </c>
      <c r="F14" s="852">
        <f t="shared" si="12"/>
        <v>0</v>
      </c>
      <c r="G14" s="852">
        <f t="shared" si="13"/>
        <v>0</v>
      </c>
      <c r="H14" s="852">
        <f t="shared" si="14"/>
        <v>0</v>
      </c>
      <c r="I14" s="852">
        <f t="shared" si="15"/>
        <v>0</v>
      </c>
      <c r="J14" s="852">
        <f t="shared" si="16"/>
        <v>0</v>
      </c>
      <c r="K14" s="852">
        <f t="shared" si="17"/>
        <v>0</v>
      </c>
      <c r="L14" s="1138">
        <f t="shared" si="18"/>
        <v>0</v>
      </c>
      <c r="M14" s="26">
        <f t="shared" si="19"/>
        <v>2</v>
      </c>
    </row>
    <row r="15" spans="1:13" x14ac:dyDescent="0.25">
      <c r="A15" s="772">
        <v>10</v>
      </c>
      <c r="B15" s="787" t="str">
        <f t="shared" si="0"/>
        <v xml:space="preserve">Deco Badarus Zaman </v>
      </c>
      <c r="C15" s="852">
        <f t="shared" si="9"/>
        <v>0</v>
      </c>
      <c r="D15" s="852">
        <f t="shared" si="10"/>
        <v>0</v>
      </c>
      <c r="E15" s="852">
        <f t="shared" si="11"/>
        <v>0</v>
      </c>
      <c r="F15" s="852">
        <f t="shared" si="12"/>
        <v>0</v>
      </c>
      <c r="G15" s="852">
        <f t="shared" si="13"/>
        <v>0</v>
      </c>
      <c r="H15" s="852">
        <f t="shared" si="14"/>
        <v>0</v>
      </c>
      <c r="I15" s="852">
        <f t="shared" si="15"/>
        <v>0</v>
      </c>
      <c r="J15" s="852">
        <f t="shared" si="16"/>
        <v>0</v>
      </c>
      <c r="K15" s="852">
        <f t="shared" si="17"/>
        <v>0</v>
      </c>
      <c r="L15" s="1138">
        <f t="shared" si="18"/>
        <v>0</v>
      </c>
      <c r="M15" s="26">
        <f t="shared" si="19"/>
        <v>2</v>
      </c>
    </row>
    <row r="16" spans="1:13" x14ac:dyDescent="0.25">
      <c r="A16" s="34">
        <v>11</v>
      </c>
      <c r="B16" s="787" t="str">
        <f t="shared" si="0"/>
        <v>Fania Mutiara Felichia</v>
      </c>
      <c r="C16" s="852">
        <f t="shared" si="9"/>
        <v>0</v>
      </c>
      <c r="D16" s="852">
        <f t="shared" si="10"/>
        <v>0</v>
      </c>
      <c r="E16" s="852">
        <f t="shared" si="11"/>
        <v>0</v>
      </c>
      <c r="F16" s="852">
        <f t="shared" si="12"/>
        <v>0</v>
      </c>
      <c r="G16" s="852">
        <f t="shared" si="13"/>
        <v>0</v>
      </c>
      <c r="H16" s="852">
        <f t="shared" si="14"/>
        <v>0</v>
      </c>
      <c r="I16" s="852">
        <f t="shared" si="15"/>
        <v>0</v>
      </c>
      <c r="J16" s="852">
        <f t="shared" si="16"/>
        <v>0</v>
      </c>
      <c r="K16" s="852">
        <f t="shared" si="17"/>
        <v>0</v>
      </c>
      <c r="L16" s="1138">
        <f t="shared" si="18"/>
        <v>0</v>
      </c>
      <c r="M16" s="26">
        <f t="shared" si="19"/>
        <v>2</v>
      </c>
    </row>
    <row r="17" spans="1:13" x14ac:dyDescent="0.25">
      <c r="A17" s="772">
        <v>12</v>
      </c>
      <c r="B17" s="787" t="str">
        <f t="shared" si="0"/>
        <v>Intan Dyah Nowari</v>
      </c>
      <c r="C17" s="852">
        <f t="shared" si="9"/>
        <v>0</v>
      </c>
      <c r="D17" s="852">
        <f t="shared" si="10"/>
        <v>0</v>
      </c>
      <c r="E17" s="852">
        <f t="shared" si="11"/>
        <v>0</v>
      </c>
      <c r="F17" s="852">
        <f t="shared" si="12"/>
        <v>0</v>
      </c>
      <c r="G17" s="852">
        <f t="shared" si="13"/>
        <v>0</v>
      </c>
      <c r="H17" s="852">
        <f t="shared" si="14"/>
        <v>0</v>
      </c>
      <c r="I17" s="852">
        <f t="shared" si="15"/>
        <v>0</v>
      </c>
      <c r="J17" s="852">
        <f t="shared" si="16"/>
        <v>0</v>
      </c>
      <c r="K17" s="852">
        <f t="shared" si="17"/>
        <v>0</v>
      </c>
      <c r="L17" s="1138">
        <f t="shared" si="18"/>
        <v>0</v>
      </c>
      <c r="M17" s="26">
        <f t="shared" si="19"/>
        <v>2</v>
      </c>
    </row>
    <row r="18" spans="1:13" x14ac:dyDescent="0.25">
      <c r="A18" s="34">
        <v>13</v>
      </c>
      <c r="B18" s="787" t="str">
        <f t="shared" si="0"/>
        <v>Misyanita Nurfitri S</v>
      </c>
      <c r="C18" s="852">
        <f t="shared" si="9"/>
        <v>0</v>
      </c>
      <c r="D18" s="852">
        <f t="shared" si="10"/>
        <v>0</v>
      </c>
      <c r="E18" s="852">
        <f t="shared" si="11"/>
        <v>0</v>
      </c>
      <c r="F18" s="852">
        <f t="shared" si="12"/>
        <v>0</v>
      </c>
      <c r="G18" s="852">
        <f t="shared" si="13"/>
        <v>0</v>
      </c>
      <c r="H18" s="852">
        <f t="shared" si="14"/>
        <v>0</v>
      </c>
      <c r="I18" s="852">
        <f t="shared" si="15"/>
        <v>0</v>
      </c>
      <c r="J18" s="852">
        <f t="shared" si="16"/>
        <v>0</v>
      </c>
      <c r="K18" s="852">
        <f t="shared" si="17"/>
        <v>0</v>
      </c>
      <c r="L18" s="1138">
        <f t="shared" si="18"/>
        <v>0</v>
      </c>
      <c r="M18" s="26">
        <f t="shared" si="19"/>
        <v>2</v>
      </c>
    </row>
    <row r="19" spans="1:13" x14ac:dyDescent="0.25">
      <c r="A19" s="772">
        <v>14</v>
      </c>
      <c r="B19" s="787" t="str">
        <f t="shared" si="0"/>
        <v>Moch Zidane Hita L. U</v>
      </c>
      <c r="C19" s="852">
        <f t="shared" si="9"/>
        <v>0</v>
      </c>
      <c r="D19" s="852">
        <f t="shared" si="10"/>
        <v>0</v>
      </c>
      <c r="E19" s="852">
        <f t="shared" si="11"/>
        <v>0</v>
      </c>
      <c r="F19" s="852">
        <f t="shared" si="12"/>
        <v>0</v>
      </c>
      <c r="G19" s="852">
        <f t="shared" si="13"/>
        <v>0</v>
      </c>
      <c r="H19" s="852">
        <f t="shared" si="14"/>
        <v>0</v>
      </c>
      <c r="I19" s="852">
        <f t="shared" si="15"/>
        <v>0</v>
      </c>
      <c r="J19" s="852">
        <f t="shared" si="16"/>
        <v>0</v>
      </c>
      <c r="K19" s="852">
        <f t="shared" si="17"/>
        <v>0</v>
      </c>
      <c r="L19" s="1138">
        <f t="shared" si="18"/>
        <v>0</v>
      </c>
      <c r="M19" s="26">
        <f t="shared" si="19"/>
        <v>2</v>
      </c>
    </row>
    <row r="20" spans="1:13" x14ac:dyDescent="0.25">
      <c r="A20" s="34">
        <v>15</v>
      </c>
      <c r="B20" s="787" t="str">
        <f t="shared" si="0"/>
        <v>Muhammad Ibra Maulana</v>
      </c>
      <c r="C20" s="852">
        <f t="shared" si="9"/>
        <v>0</v>
      </c>
      <c r="D20" s="852">
        <f t="shared" si="10"/>
        <v>0</v>
      </c>
      <c r="E20" s="852">
        <f t="shared" si="11"/>
        <v>0</v>
      </c>
      <c r="F20" s="852">
        <f t="shared" si="12"/>
        <v>0</v>
      </c>
      <c r="G20" s="852">
        <f t="shared" si="13"/>
        <v>0</v>
      </c>
      <c r="H20" s="852">
        <f t="shared" si="14"/>
        <v>0</v>
      </c>
      <c r="I20" s="852">
        <f t="shared" si="15"/>
        <v>0</v>
      </c>
      <c r="J20" s="852">
        <f t="shared" si="16"/>
        <v>0</v>
      </c>
      <c r="K20" s="852">
        <f t="shared" si="17"/>
        <v>0</v>
      </c>
      <c r="L20" s="1138">
        <f t="shared" si="18"/>
        <v>0</v>
      </c>
      <c r="M20" s="26">
        <f t="shared" si="19"/>
        <v>2</v>
      </c>
    </row>
    <row r="21" spans="1:13" x14ac:dyDescent="0.25">
      <c r="A21" s="772">
        <v>16</v>
      </c>
      <c r="B21" s="787" t="str">
        <f t="shared" si="0"/>
        <v>Nabilla Shiva Putri</v>
      </c>
      <c r="C21" s="852">
        <f t="shared" si="9"/>
        <v>0</v>
      </c>
      <c r="D21" s="852">
        <f t="shared" si="10"/>
        <v>0</v>
      </c>
      <c r="E21" s="852">
        <f t="shared" si="11"/>
        <v>0</v>
      </c>
      <c r="F21" s="852">
        <f t="shared" si="12"/>
        <v>0</v>
      </c>
      <c r="G21" s="852">
        <f t="shared" si="13"/>
        <v>0</v>
      </c>
      <c r="H21" s="852">
        <f t="shared" si="14"/>
        <v>0</v>
      </c>
      <c r="I21" s="852">
        <f t="shared" si="15"/>
        <v>0</v>
      </c>
      <c r="J21" s="852">
        <f t="shared" si="16"/>
        <v>0</v>
      </c>
      <c r="K21" s="852">
        <f t="shared" si="17"/>
        <v>0</v>
      </c>
      <c r="L21" s="1138">
        <f t="shared" si="18"/>
        <v>0</v>
      </c>
      <c r="M21" s="26">
        <f t="shared" si="19"/>
        <v>2</v>
      </c>
    </row>
    <row r="22" spans="1:13" x14ac:dyDescent="0.25">
      <c r="A22" s="34">
        <v>17</v>
      </c>
      <c r="B22" s="787" t="str">
        <f t="shared" si="0"/>
        <v>Naufal Falih F</v>
      </c>
      <c r="C22" s="852">
        <f t="shared" si="9"/>
        <v>0</v>
      </c>
      <c r="D22" s="852">
        <f t="shared" si="10"/>
        <v>0</v>
      </c>
      <c r="E22" s="852">
        <f t="shared" si="11"/>
        <v>0</v>
      </c>
      <c r="F22" s="852">
        <f t="shared" si="12"/>
        <v>0</v>
      </c>
      <c r="G22" s="852">
        <f t="shared" si="13"/>
        <v>0</v>
      </c>
      <c r="H22" s="852">
        <f t="shared" si="14"/>
        <v>0</v>
      </c>
      <c r="I22" s="852">
        <f t="shared" si="15"/>
        <v>0</v>
      </c>
      <c r="J22" s="852">
        <f t="shared" si="16"/>
        <v>0</v>
      </c>
      <c r="K22" s="852">
        <f t="shared" si="17"/>
        <v>0</v>
      </c>
      <c r="L22" s="1138">
        <f t="shared" si="18"/>
        <v>0</v>
      </c>
      <c r="M22" s="26">
        <f t="shared" si="19"/>
        <v>2</v>
      </c>
    </row>
    <row r="23" spans="1:13" x14ac:dyDescent="0.25">
      <c r="A23" s="772">
        <v>18</v>
      </c>
      <c r="B23" s="787" t="str">
        <f t="shared" si="0"/>
        <v>Nayla Annora Nobel W</v>
      </c>
      <c r="C23" s="852">
        <f t="shared" si="9"/>
        <v>0</v>
      </c>
      <c r="D23" s="852">
        <f t="shared" si="10"/>
        <v>0</v>
      </c>
      <c r="E23" s="852">
        <f t="shared" si="11"/>
        <v>0</v>
      </c>
      <c r="F23" s="852">
        <f t="shared" si="12"/>
        <v>0</v>
      </c>
      <c r="G23" s="852">
        <f t="shared" si="13"/>
        <v>0</v>
      </c>
      <c r="H23" s="852">
        <f t="shared" si="14"/>
        <v>0</v>
      </c>
      <c r="I23" s="852">
        <f t="shared" si="15"/>
        <v>0</v>
      </c>
      <c r="J23" s="852">
        <f t="shared" si="16"/>
        <v>0</v>
      </c>
      <c r="K23" s="852">
        <f t="shared" si="17"/>
        <v>0</v>
      </c>
      <c r="L23" s="1138">
        <f t="shared" si="18"/>
        <v>0</v>
      </c>
      <c r="M23" s="26">
        <f t="shared" si="19"/>
        <v>2</v>
      </c>
    </row>
    <row r="24" spans="1:13" x14ac:dyDescent="0.25">
      <c r="A24" s="34">
        <v>19</v>
      </c>
      <c r="B24" s="787" t="str">
        <f t="shared" si="0"/>
        <v>Raihan Danang P</v>
      </c>
      <c r="C24" s="852">
        <f t="shared" si="9"/>
        <v>0</v>
      </c>
      <c r="D24" s="852">
        <f t="shared" si="10"/>
        <v>0</v>
      </c>
      <c r="E24" s="852">
        <f t="shared" si="11"/>
        <v>0</v>
      </c>
      <c r="F24" s="852">
        <f t="shared" si="12"/>
        <v>0</v>
      </c>
      <c r="G24" s="852">
        <f t="shared" si="13"/>
        <v>0</v>
      </c>
      <c r="H24" s="852">
        <f t="shared" si="14"/>
        <v>0</v>
      </c>
      <c r="I24" s="852">
        <f t="shared" si="15"/>
        <v>0</v>
      </c>
      <c r="J24" s="852">
        <f t="shared" si="16"/>
        <v>0</v>
      </c>
      <c r="K24" s="852">
        <f t="shared" si="17"/>
        <v>0</v>
      </c>
      <c r="L24" s="1138">
        <f t="shared" si="18"/>
        <v>0</v>
      </c>
      <c r="M24" s="26">
        <f t="shared" si="19"/>
        <v>2</v>
      </c>
    </row>
    <row r="25" spans="1:13" x14ac:dyDescent="0.25">
      <c r="A25" s="772">
        <v>20</v>
      </c>
      <c r="B25" s="787" t="str">
        <f t="shared" si="0"/>
        <v>Roby Ardiyansyah</v>
      </c>
      <c r="C25" s="852">
        <f t="shared" si="9"/>
        <v>0</v>
      </c>
      <c r="D25" s="852">
        <f t="shared" si="10"/>
        <v>0</v>
      </c>
      <c r="E25" s="852">
        <f t="shared" si="11"/>
        <v>0</v>
      </c>
      <c r="F25" s="852">
        <f t="shared" si="12"/>
        <v>0</v>
      </c>
      <c r="G25" s="852">
        <f t="shared" si="13"/>
        <v>0</v>
      </c>
      <c r="H25" s="852">
        <f t="shared" si="14"/>
        <v>0</v>
      </c>
      <c r="I25" s="852">
        <f t="shared" si="15"/>
        <v>0</v>
      </c>
      <c r="J25" s="852">
        <f t="shared" si="16"/>
        <v>0</v>
      </c>
      <c r="K25" s="852">
        <f t="shared" si="17"/>
        <v>0</v>
      </c>
      <c r="L25" s="1138">
        <f t="shared" si="18"/>
        <v>0</v>
      </c>
      <c r="M25" s="26">
        <f t="shared" si="19"/>
        <v>2</v>
      </c>
    </row>
    <row r="26" spans="1:13" x14ac:dyDescent="0.25">
      <c r="A26" s="34">
        <v>21</v>
      </c>
      <c r="B26" s="787" t="str">
        <f t="shared" si="0"/>
        <v>Rojalingga Prana A</v>
      </c>
      <c r="C26" s="852">
        <f t="shared" si="9"/>
        <v>0</v>
      </c>
      <c r="D26" s="852">
        <f t="shared" si="10"/>
        <v>0</v>
      </c>
      <c r="E26" s="852">
        <f t="shared" si="11"/>
        <v>0</v>
      </c>
      <c r="F26" s="852">
        <f t="shared" si="12"/>
        <v>0</v>
      </c>
      <c r="G26" s="852">
        <f t="shared" si="13"/>
        <v>0</v>
      </c>
      <c r="H26" s="852">
        <f t="shared" si="14"/>
        <v>0</v>
      </c>
      <c r="I26" s="852">
        <f t="shared" si="15"/>
        <v>0</v>
      </c>
      <c r="J26" s="852">
        <f t="shared" si="16"/>
        <v>0</v>
      </c>
      <c r="K26" s="852">
        <f t="shared" si="17"/>
        <v>0</v>
      </c>
      <c r="L26" s="1138">
        <f t="shared" si="18"/>
        <v>0</v>
      </c>
      <c r="M26" s="26">
        <f t="shared" si="19"/>
        <v>2</v>
      </c>
    </row>
    <row r="27" spans="1:13" x14ac:dyDescent="0.25">
      <c r="A27" s="772">
        <v>22</v>
      </c>
      <c r="B27" s="787" t="str">
        <f t="shared" si="0"/>
        <v>Sally Savista A</v>
      </c>
      <c r="C27" s="852">
        <f t="shared" si="9"/>
        <v>0</v>
      </c>
      <c r="D27" s="852">
        <f t="shared" si="10"/>
        <v>0</v>
      </c>
      <c r="E27" s="852">
        <f t="shared" si="11"/>
        <v>0</v>
      </c>
      <c r="F27" s="852">
        <f t="shared" si="12"/>
        <v>0</v>
      </c>
      <c r="G27" s="852">
        <f t="shared" si="13"/>
        <v>0</v>
      </c>
      <c r="H27" s="852">
        <f t="shared" si="14"/>
        <v>0</v>
      </c>
      <c r="I27" s="852">
        <f t="shared" si="15"/>
        <v>0</v>
      </c>
      <c r="J27" s="852">
        <f t="shared" si="16"/>
        <v>0</v>
      </c>
      <c r="K27" s="852">
        <f t="shared" si="17"/>
        <v>0</v>
      </c>
      <c r="L27" s="1138">
        <f t="shared" si="18"/>
        <v>0</v>
      </c>
      <c r="M27" s="26">
        <f t="shared" si="19"/>
        <v>2</v>
      </c>
    </row>
    <row r="28" spans="1:13" x14ac:dyDescent="0.25">
      <c r="A28" s="34">
        <v>23</v>
      </c>
      <c r="B28" s="787" t="str">
        <f t="shared" si="0"/>
        <v xml:space="preserve">Tania Kaori Angelita </v>
      </c>
      <c r="C28" s="852">
        <f t="shared" si="9"/>
        <v>0</v>
      </c>
      <c r="D28" s="852">
        <f t="shared" si="10"/>
        <v>0</v>
      </c>
      <c r="E28" s="852">
        <f t="shared" si="11"/>
        <v>0</v>
      </c>
      <c r="F28" s="852">
        <f t="shared" si="12"/>
        <v>0</v>
      </c>
      <c r="G28" s="852">
        <f t="shared" si="13"/>
        <v>0</v>
      </c>
      <c r="H28" s="852">
        <f t="shared" si="14"/>
        <v>0</v>
      </c>
      <c r="I28" s="852">
        <f t="shared" si="15"/>
        <v>0</v>
      </c>
      <c r="J28" s="852">
        <f t="shared" si="16"/>
        <v>0</v>
      </c>
      <c r="K28" s="852">
        <f t="shared" si="17"/>
        <v>0</v>
      </c>
      <c r="L28" s="1138">
        <f t="shared" si="18"/>
        <v>0</v>
      </c>
      <c r="M28" s="26">
        <f t="shared" si="19"/>
        <v>2</v>
      </c>
    </row>
    <row r="29" spans="1:13" x14ac:dyDescent="0.25">
      <c r="A29" s="772">
        <v>24</v>
      </c>
      <c r="B29" s="787" t="str">
        <f t="shared" si="0"/>
        <v>Romzy Oka Ramadhani P</v>
      </c>
      <c r="C29" s="852">
        <f t="shared" si="9"/>
        <v>0</v>
      </c>
      <c r="D29" s="852">
        <f t="shared" si="10"/>
        <v>0</v>
      </c>
      <c r="E29" s="852">
        <f t="shared" si="11"/>
        <v>0</v>
      </c>
      <c r="F29" s="852">
        <f t="shared" si="12"/>
        <v>0</v>
      </c>
      <c r="G29" s="852">
        <f t="shared" si="13"/>
        <v>0</v>
      </c>
      <c r="H29" s="852">
        <f t="shared" si="14"/>
        <v>0</v>
      </c>
      <c r="I29" s="852">
        <f t="shared" si="15"/>
        <v>0</v>
      </c>
      <c r="J29" s="852">
        <f t="shared" si="16"/>
        <v>0</v>
      </c>
      <c r="K29" s="852">
        <f t="shared" si="17"/>
        <v>0</v>
      </c>
      <c r="L29" s="1138">
        <f t="shared" si="18"/>
        <v>0</v>
      </c>
      <c r="M29" s="26">
        <f t="shared" si="19"/>
        <v>2</v>
      </c>
    </row>
    <row r="30" spans="1:13" x14ac:dyDescent="0.25">
      <c r="A30" s="34">
        <v>25</v>
      </c>
      <c r="B30" s="787" t="str">
        <f t="shared" si="0"/>
        <v>Larasati Jagadhita P</v>
      </c>
      <c r="C30" s="852">
        <f t="shared" si="9"/>
        <v>0</v>
      </c>
      <c r="D30" s="852">
        <f t="shared" si="10"/>
        <v>0</v>
      </c>
      <c r="E30" s="852">
        <f t="shared" si="11"/>
        <v>0</v>
      </c>
      <c r="F30" s="852">
        <f t="shared" si="12"/>
        <v>0</v>
      </c>
      <c r="G30" s="852">
        <f t="shared" si="13"/>
        <v>0</v>
      </c>
      <c r="H30" s="852">
        <f t="shared" si="14"/>
        <v>0</v>
      </c>
      <c r="I30" s="852">
        <f t="shared" si="15"/>
        <v>0</v>
      </c>
      <c r="J30" s="852">
        <f t="shared" si="16"/>
        <v>0</v>
      </c>
      <c r="K30" s="852">
        <f t="shared" si="17"/>
        <v>0</v>
      </c>
      <c r="L30" s="1138">
        <f t="shared" si="18"/>
        <v>0</v>
      </c>
      <c r="M30" s="26">
        <f t="shared" si="19"/>
        <v>2</v>
      </c>
    </row>
    <row r="31" spans="1:13" x14ac:dyDescent="0.25">
      <c r="A31" s="772">
        <v>26</v>
      </c>
      <c r="B31" s="787" t="str">
        <f t="shared" si="0"/>
        <v>Meliana Citra A</v>
      </c>
      <c r="C31" s="852">
        <f t="shared" si="9"/>
        <v>0</v>
      </c>
      <c r="D31" s="852">
        <f t="shared" si="10"/>
        <v>0</v>
      </c>
      <c r="E31" s="852">
        <f t="shared" si="11"/>
        <v>0</v>
      </c>
      <c r="F31" s="852">
        <f t="shared" si="12"/>
        <v>0</v>
      </c>
      <c r="G31" s="852">
        <f t="shared" si="13"/>
        <v>0</v>
      </c>
      <c r="H31" s="852">
        <f t="shared" si="14"/>
        <v>0</v>
      </c>
      <c r="I31" s="852">
        <f t="shared" si="15"/>
        <v>0</v>
      </c>
      <c r="J31" s="852">
        <f t="shared" si="16"/>
        <v>0</v>
      </c>
      <c r="K31" s="852">
        <f t="shared" si="17"/>
        <v>0</v>
      </c>
      <c r="L31" s="1138">
        <f t="shared" si="18"/>
        <v>0</v>
      </c>
      <c r="M31" s="26">
        <f t="shared" si="19"/>
        <v>2</v>
      </c>
    </row>
    <row r="32" spans="1:13" x14ac:dyDescent="0.25">
      <c r="A32" s="34">
        <v>27</v>
      </c>
      <c r="B32" s="787" t="str">
        <f t="shared" si="0"/>
        <v>Mohammad Rizky</v>
      </c>
      <c r="C32" s="852">
        <f t="shared" si="9"/>
        <v>0</v>
      </c>
      <c r="D32" s="852">
        <f t="shared" si="10"/>
        <v>0</v>
      </c>
      <c r="E32" s="852">
        <f t="shared" si="11"/>
        <v>0</v>
      </c>
      <c r="F32" s="852">
        <f t="shared" si="12"/>
        <v>0</v>
      </c>
      <c r="G32" s="852">
        <f t="shared" si="13"/>
        <v>0</v>
      </c>
      <c r="H32" s="852">
        <f t="shared" si="14"/>
        <v>0</v>
      </c>
      <c r="I32" s="852">
        <f t="shared" si="15"/>
        <v>0</v>
      </c>
      <c r="J32" s="852">
        <f t="shared" si="16"/>
        <v>0</v>
      </c>
      <c r="K32" s="852">
        <f t="shared" si="17"/>
        <v>0</v>
      </c>
      <c r="L32" s="1138">
        <f t="shared" si="18"/>
        <v>0</v>
      </c>
      <c r="M32" s="26">
        <f t="shared" si="19"/>
        <v>2</v>
      </c>
    </row>
    <row r="33" spans="1:13" x14ac:dyDescent="0.25">
      <c r="A33" s="772">
        <v>28</v>
      </c>
      <c r="B33" s="787" t="e">
        <f t="shared" si="0"/>
        <v>#N/A</v>
      </c>
      <c r="C33" s="852">
        <f t="shared" si="9"/>
        <v>0</v>
      </c>
      <c r="D33" s="852">
        <f t="shared" si="10"/>
        <v>0</v>
      </c>
      <c r="E33" s="852">
        <f t="shared" si="11"/>
        <v>0</v>
      </c>
      <c r="F33" s="852">
        <f t="shared" si="12"/>
        <v>0</v>
      </c>
      <c r="G33" s="852">
        <f t="shared" si="13"/>
        <v>0</v>
      </c>
      <c r="H33" s="852">
        <f t="shared" si="14"/>
        <v>0</v>
      </c>
      <c r="I33" s="852">
        <f t="shared" si="15"/>
        <v>0</v>
      </c>
      <c r="J33" s="852">
        <f t="shared" si="16"/>
        <v>0</v>
      </c>
      <c r="K33" s="852">
        <f t="shared" si="17"/>
        <v>0</v>
      </c>
      <c r="L33" s="1138">
        <f t="shared" si="18"/>
        <v>0</v>
      </c>
      <c r="M33" s="26">
        <f t="shared" si="19"/>
        <v>2</v>
      </c>
    </row>
    <row r="34" spans="1:13" x14ac:dyDescent="0.25">
      <c r="A34" s="34">
        <v>29</v>
      </c>
      <c r="B34" s="787" t="e">
        <f t="shared" si="0"/>
        <v>#N/A</v>
      </c>
      <c r="C34" s="852">
        <f t="shared" si="9"/>
        <v>0</v>
      </c>
      <c r="D34" s="852">
        <f t="shared" si="10"/>
        <v>0</v>
      </c>
      <c r="E34" s="852">
        <f t="shared" si="11"/>
        <v>0</v>
      </c>
      <c r="F34" s="852">
        <f t="shared" si="12"/>
        <v>0</v>
      </c>
      <c r="G34" s="852">
        <f t="shared" si="13"/>
        <v>0</v>
      </c>
      <c r="H34" s="852">
        <f t="shared" si="14"/>
        <v>0</v>
      </c>
      <c r="I34" s="852">
        <f t="shared" si="15"/>
        <v>0</v>
      </c>
      <c r="J34" s="852">
        <f t="shared" si="16"/>
        <v>0</v>
      </c>
      <c r="K34" s="852">
        <f t="shared" si="17"/>
        <v>0</v>
      </c>
      <c r="L34" s="1138">
        <f t="shared" si="18"/>
        <v>0</v>
      </c>
      <c r="M34" s="26">
        <f t="shared" si="19"/>
        <v>2</v>
      </c>
    </row>
    <row r="35" spans="1:13" x14ac:dyDescent="0.25">
      <c r="A35" s="772">
        <v>30</v>
      </c>
      <c r="B35" s="787" t="e">
        <f t="shared" si="0"/>
        <v>#N/A</v>
      </c>
      <c r="C35" s="852">
        <f t="shared" si="9"/>
        <v>0</v>
      </c>
      <c r="D35" s="852">
        <f t="shared" si="10"/>
        <v>0</v>
      </c>
      <c r="E35" s="852">
        <f t="shared" si="11"/>
        <v>0</v>
      </c>
      <c r="F35" s="852">
        <f t="shared" si="12"/>
        <v>0</v>
      </c>
      <c r="G35" s="852">
        <f t="shared" si="13"/>
        <v>0</v>
      </c>
      <c r="H35" s="852">
        <f t="shared" si="14"/>
        <v>0</v>
      </c>
      <c r="I35" s="852">
        <f t="shared" si="15"/>
        <v>0</v>
      </c>
      <c r="J35" s="852">
        <f t="shared" si="16"/>
        <v>0</v>
      </c>
      <c r="K35" s="852">
        <f t="shared" si="17"/>
        <v>0</v>
      </c>
      <c r="L35" s="1138">
        <f t="shared" si="18"/>
        <v>0</v>
      </c>
      <c r="M35" s="26">
        <f t="shared" si="19"/>
        <v>2</v>
      </c>
    </row>
    <row r="36" spans="1:13" x14ac:dyDescent="0.25">
      <c r="A36" s="34">
        <v>31</v>
      </c>
      <c r="B36" s="787" t="e">
        <f t="shared" si="0"/>
        <v>#N/A</v>
      </c>
      <c r="C36" s="852">
        <f t="shared" si="9"/>
        <v>0</v>
      </c>
      <c r="D36" s="852">
        <f t="shared" si="10"/>
        <v>0</v>
      </c>
      <c r="E36" s="852">
        <f t="shared" si="11"/>
        <v>0</v>
      </c>
      <c r="F36" s="852">
        <f t="shared" si="12"/>
        <v>0</v>
      </c>
      <c r="G36" s="852">
        <f t="shared" si="13"/>
        <v>0</v>
      </c>
      <c r="H36" s="852">
        <f t="shared" si="14"/>
        <v>0</v>
      </c>
      <c r="I36" s="852">
        <f t="shared" si="15"/>
        <v>0</v>
      </c>
      <c r="J36" s="852">
        <f t="shared" si="16"/>
        <v>0</v>
      </c>
      <c r="K36" s="852">
        <f t="shared" si="17"/>
        <v>0</v>
      </c>
      <c r="L36" s="1138">
        <f t="shared" si="18"/>
        <v>0</v>
      </c>
      <c r="M36" s="26">
        <f t="shared" si="19"/>
        <v>2</v>
      </c>
    </row>
    <row r="37" spans="1:13" x14ac:dyDescent="0.25">
      <c r="A37" s="772">
        <v>32</v>
      </c>
      <c r="B37" s="787" t="e">
        <f t="shared" si="0"/>
        <v>#N/A</v>
      </c>
      <c r="C37" s="852">
        <f t="shared" si="9"/>
        <v>0</v>
      </c>
      <c r="D37" s="852">
        <f t="shared" si="10"/>
        <v>0</v>
      </c>
      <c r="E37" s="852">
        <f t="shared" si="11"/>
        <v>0</v>
      </c>
      <c r="F37" s="852">
        <f t="shared" si="12"/>
        <v>0</v>
      </c>
      <c r="G37" s="852">
        <f t="shared" si="13"/>
        <v>0</v>
      </c>
      <c r="H37" s="852">
        <f t="shared" si="14"/>
        <v>0</v>
      </c>
      <c r="I37" s="852">
        <f t="shared" si="15"/>
        <v>0</v>
      </c>
      <c r="J37" s="852">
        <f t="shared" si="16"/>
        <v>0</v>
      </c>
      <c r="K37" s="852">
        <f t="shared" si="17"/>
        <v>0</v>
      </c>
      <c r="L37" s="1138">
        <f t="shared" si="18"/>
        <v>0</v>
      </c>
      <c r="M37" s="26">
        <f t="shared" si="19"/>
        <v>2</v>
      </c>
    </row>
    <row r="38" spans="1:13" x14ac:dyDescent="0.25">
      <c r="A38" s="34">
        <v>33</v>
      </c>
      <c r="B38" s="787" t="e">
        <f t="shared" si="0"/>
        <v>#N/A</v>
      </c>
      <c r="C38" s="852">
        <f t="shared" si="9"/>
        <v>0</v>
      </c>
      <c r="D38" s="852">
        <f t="shared" si="10"/>
        <v>0</v>
      </c>
      <c r="E38" s="852">
        <f t="shared" si="11"/>
        <v>0</v>
      </c>
      <c r="F38" s="852">
        <f t="shared" si="12"/>
        <v>0</v>
      </c>
      <c r="G38" s="852">
        <f t="shared" si="13"/>
        <v>0</v>
      </c>
      <c r="H38" s="852">
        <f t="shared" si="14"/>
        <v>0</v>
      </c>
      <c r="I38" s="852">
        <f t="shared" si="15"/>
        <v>0</v>
      </c>
      <c r="J38" s="852">
        <f t="shared" si="16"/>
        <v>0</v>
      </c>
      <c r="K38" s="852">
        <f t="shared" si="17"/>
        <v>0</v>
      </c>
      <c r="L38" s="1138">
        <f t="shared" si="18"/>
        <v>0</v>
      </c>
      <c r="M38" s="26">
        <f t="shared" si="19"/>
        <v>2</v>
      </c>
    </row>
    <row r="39" spans="1:13" x14ac:dyDescent="0.25">
      <c r="A39" s="772">
        <v>34</v>
      </c>
      <c r="B39" s="787" t="e">
        <f t="shared" si="0"/>
        <v>#N/A</v>
      </c>
      <c r="C39" s="852">
        <f t="shared" si="9"/>
        <v>0</v>
      </c>
      <c r="D39" s="852">
        <f t="shared" si="10"/>
        <v>0</v>
      </c>
      <c r="E39" s="852">
        <f t="shared" si="11"/>
        <v>0</v>
      </c>
      <c r="F39" s="852">
        <f t="shared" si="12"/>
        <v>0</v>
      </c>
      <c r="G39" s="852">
        <f t="shared" si="13"/>
        <v>0</v>
      </c>
      <c r="H39" s="852">
        <f t="shared" si="14"/>
        <v>0</v>
      </c>
      <c r="I39" s="852">
        <f t="shared" si="15"/>
        <v>0</v>
      </c>
      <c r="J39" s="852">
        <f t="shared" si="16"/>
        <v>0</v>
      </c>
      <c r="K39" s="852">
        <f t="shared" si="17"/>
        <v>0</v>
      </c>
      <c r="L39" s="1138">
        <f t="shared" si="18"/>
        <v>0</v>
      </c>
      <c r="M39" s="26">
        <f t="shared" si="19"/>
        <v>2</v>
      </c>
    </row>
    <row r="40" spans="1:13" x14ac:dyDescent="0.25">
      <c r="A40" s="34">
        <v>35</v>
      </c>
      <c r="B40" s="787" t="e">
        <f t="shared" si="0"/>
        <v>#N/A</v>
      </c>
      <c r="C40" s="852">
        <f t="shared" si="9"/>
        <v>0</v>
      </c>
      <c r="D40" s="852">
        <f t="shared" si="10"/>
        <v>0</v>
      </c>
      <c r="E40" s="852">
        <f t="shared" si="11"/>
        <v>0</v>
      </c>
      <c r="F40" s="852">
        <f t="shared" si="12"/>
        <v>0</v>
      </c>
      <c r="G40" s="852">
        <f t="shared" si="13"/>
        <v>0</v>
      </c>
      <c r="H40" s="852">
        <f t="shared" si="14"/>
        <v>0</v>
      </c>
      <c r="I40" s="852">
        <f t="shared" si="15"/>
        <v>0</v>
      </c>
      <c r="J40" s="852">
        <f t="shared" si="16"/>
        <v>0</v>
      </c>
      <c r="K40" s="852">
        <f t="shared" si="17"/>
        <v>0</v>
      </c>
      <c r="L40" s="1138">
        <f t="shared" si="18"/>
        <v>0</v>
      </c>
      <c r="M40" s="26">
        <f t="shared" si="19"/>
        <v>2</v>
      </c>
    </row>
    <row r="41" spans="1:13" x14ac:dyDescent="0.25">
      <c r="A41" s="772">
        <v>36</v>
      </c>
      <c r="B41" s="787" t="e">
        <f t="shared" si="0"/>
        <v>#N/A</v>
      </c>
      <c r="C41" s="852">
        <f t="shared" si="9"/>
        <v>0</v>
      </c>
      <c r="D41" s="852">
        <f t="shared" si="10"/>
        <v>0</v>
      </c>
      <c r="E41" s="852">
        <f t="shared" si="11"/>
        <v>0</v>
      </c>
      <c r="F41" s="852">
        <f t="shared" si="12"/>
        <v>0</v>
      </c>
      <c r="G41" s="852">
        <f t="shared" si="13"/>
        <v>0</v>
      </c>
      <c r="H41" s="852">
        <f t="shared" si="14"/>
        <v>0</v>
      </c>
      <c r="I41" s="852">
        <f t="shared" si="15"/>
        <v>0</v>
      </c>
      <c r="J41" s="852">
        <f t="shared" si="16"/>
        <v>0</v>
      </c>
      <c r="K41" s="852">
        <f t="shared" si="17"/>
        <v>0</v>
      </c>
      <c r="L41" s="1138">
        <f t="shared" si="18"/>
        <v>0</v>
      </c>
      <c r="M41" s="26">
        <f t="shared" si="19"/>
        <v>2</v>
      </c>
    </row>
    <row r="42" spans="1:13" x14ac:dyDescent="0.25">
      <c r="A42" s="34">
        <v>37</v>
      </c>
      <c r="B42" s="787" t="e">
        <f t="shared" si="0"/>
        <v>#N/A</v>
      </c>
      <c r="C42" s="852">
        <f t="shared" si="9"/>
        <v>0</v>
      </c>
      <c r="D42" s="852">
        <f t="shared" si="10"/>
        <v>0</v>
      </c>
      <c r="E42" s="852">
        <f t="shared" si="11"/>
        <v>0</v>
      </c>
      <c r="F42" s="852">
        <f t="shared" si="12"/>
        <v>0</v>
      </c>
      <c r="G42" s="852">
        <f t="shared" si="13"/>
        <v>0</v>
      </c>
      <c r="H42" s="852">
        <f t="shared" si="14"/>
        <v>0</v>
      </c>
      <c r="I42" s="852">
        <f t="shared" si="15"/>
        <v>0</v>
      </c>
      <c r="J42" s="852">
        <f t="shared" si="16"/>
        <v>0</v>
      </c>
      <c r="K42" s="852">
        <f t="shared" si="17"/>
        <v>0</v>
      </c>
      <c r="L42" s="1138">
        <f t="shared" si="18"/>
        <v>0</v>
      </c>
      <c r="M42" s="26">
        <f t="shared" si="19"/>
        <v>2</v>
      </c>
    </row>
    <row r="43" spans="1:13" x14ac:dyDescent="0.25">
      <c r="A43" s="772">
        <v>38</v>
      </c>
      <c r="B43" s="787" t="e">
        <f t="shared" si="0"/>
        <v>#N/A</v>
      </c>
      <c r="C43" s="852">
        <f t="shared" si="9"/>
        <v>0</v>
      </c>
      <c r="D43" s="852">
        <f t="shared" si="10"/>
        <v>0</v>
      </c>
      <c r="E43" s="852">
        <f t="shared" si="11"/>
        <v>0</v>
      </c>
      <c r="F43" s="852">
        <f t="shared" si="12"/>
        <v>0</v>
      </c>
      <c r="G43" s="852">
        <f t="shared" si="13"/>
        <v>0</v>
      </c>
      <c r="H43" s="852">
        <f t="shared" si="14"/>
        <v>0</v>
      </c>
      <c r="I43" s="852">
        <f t="shared" si="15"/>
        <v>0</v>
      </c>
      <c r="J43" s="852">
        <f t="shared" si="16"/>
        <v>0</v>
      </c>
      <c r="K43" s="852">
        <f t="shared" si="17"/>
        <v>0</v>
      </c>
      <c r="L43" s="1138">
        <f t="shared" si="18"/>
        <v>0</v>
      </c>
      <c r="M43" s="26">
        <f t="shared" si="19"/>
        <v>2</v>
      </c>
    </row>
    <row r="44" spans="1:13" x14ac:dyDescent="0.25">
      <c r="A44" s="34">
        <v>39</v>
      </c>
      <c r="B44" s="787" t="e">
        <f t="shared" si="0"/>
        <v>#N/A</v>
      </c>
      <c r="C44" s="852">
        <f t="shared" si="9"/>
        <v>0</v>
      </c>
      <c r="D44" s="852">
        <f t="shared" si="10"/>
        <v>0</v>
      </c>
      <c r="E44" s="852">
        <f t="shared" si="11"/>
        <v>0</v>
      </c>
      <c r="F44" s="852">
        <f t="shared" si="12"/>
        <v>0</v>
      </c>
      <c r="G44" s="852">
        <f t="shared" si="13"/>
        <v>0</v>
      </c>
      <c r="H44" s="852">
        <f t="shared" si="14"/>
        <v>0</v>
      </c>
      <c r="I44" s="852">
        <f t="shared" si="15"/>
        <v>0</v>
      </c>
      <c r="J44" s="852">
        <f t="shared" si="16"/>
        <v>0</v>
      </c>
      <c r="K44" s="852">
        <f t="shared" si="17"/>
        <v>0</v>
      </c>
      <c r="L44" s="1138">
        <f t="shared" si="18"/>
        <v>0</v>
      </c>
      <c r="M44" s="26">
        <f t="shared" si="19"/>
        <v>2</v>
      </c>
    </row>
    <row r="45" spans="1:13" x14ac:dyDescent="0.25">
      <c r="A45" s="772">
        <v>40</v>
      </c>
      <c r="B45" s="787" t="e">
        <f t="shared" si="0"/>
        <v>#N/A</v>
      </c>
      <c r="C45" s="852">
        <f t="shared" si="9"/>
        <v>0</v>
      </c>
      <c r="D45" s="852">
        <f t="shared" si="10"/>
        <v>0</v>
      </c>
      <c r="E45" s="852">
        <f t="shared" si="11"/>
        <v>0</v>
      </c>
      <c r="F45" s="852">
        <f t="shared" si="12"/>
        <v>0</v>
      </c>
      <c r="G45" s="852">
        <f t="shared" si="13"/>
        <v>0</v>
      </c>
      <c r="H45" s="852">
        <f t="shared" si="14"/>
        <v>0</v>
      </c>
      <c r="I45" s="852">
        <f t="shared" si="15"/>
        <v>0</v>
      </c>
      <c r="J45" s="852">
        <f t="shared" si="16"/>
        <v>0</v>
      </c>
      <c r="K45" s="852">
        <f t="shared" si="17"/>
        <v>0</v>
      </c>
      <c r="L45" s="1138">
        <f t="shared" si="18"/>
        <v>0</v>
      </c>
      <c r="M45" s="26">
        <f t="shared" si="19"/>
        <v>2</v>
      </c>
    </row>
    <row r="46" spans="1:13" x14ac:dyDescent="0.25">
      <c r="A46" s="34"/>
      <c r="B46" s="787"/>
      <c r="C46" s="788"/>
      <c r="D46" s="788"/>
      <c r="E46" s="788"/>
      <c r="F46" s="788"/>
      <c r="G46" s="788"/>
      <c r="H46" s="788"/>
      <c r="I46" s="788"/>
      <c r="J46" s="788"/>
      <c r="K46" s="788"/>
      <c r="L46" s="649"/>
      <c r="M46" s="788"/>
    </row>
    <row r="47" spans="1:13" ht="15.75" x14ac:dyDescent="0.25">
      <c r="A47" s="828">
        <v>42</v>
      </c>
      <c r="B47" s="792" t="s">
        <v>39</v>
      </c>
      <c r="C47" s="789">
        <f>IFERROR(AVERAGE(C6:C45),"  ")</f>
        <v>8.0250000000000004</v>
      </c>
      <c r="D47" s="789">
        <f t="shared" ref="D47:K47" si="20">IFERROR(AVERAGE(D6:D45),"  ")</f>
        <v>1.95</v>
      </c>
      <c r="E47" s="789">
        <f t="shared" si="20"/>
        <v>1.9</v>
      </c>
      <c r="F47" s="789">
        <f t="shared" si="20"/>
        <v>1.875</v>
      </c>
      <c r="G47" s="789">
        <f t="shared" si="20"/>
        <v>1.675</v>
      </c>
      <c r="H47" s="789">
        <f t="shared" si="20"/>
        <v>1.9</v>
      </c>
      <c r="I47" s="789">
        <f t="shared" si="20"/>
        <v>1.95</v>
      </c>
      <c r="J47" s="789">
        <f t="shared" si="20"/>
        <v>1.875</v>
      </c>
      <c r="K47" s="789">
        <f t="shared" si="20"/>
        <v>1.675</v>
      </c>
      <c r="L47" s="789">
        <f t="shared" ref="L47" si="21">IFERROR(AVERAGE(L6:L45),"  ")</f>
        <v>2.536111111111111</v>
      </c>
      <c r="M47" s="46"/>
    </row>
    <row r="48" spans="1:13" ht="15.75" x14ac:dyDescent="0.25">
      <c r="A48" s="828">
        <v>43</v>
      </c>
      <c r="B48" s="793" t="s">
        <v>540</v>
      </c>
      <c r="C48" s="790">
        <f>MAX(C6:C45)</f>
        <v>321</v>
      </c>
      <c r="D48" s="790">
        <f t="shared" ref="D48:K48" si="22">MAX(D6:D45)</f>
        <v>78</v>
      </c>
      <c r="E48" s="790">
        <f t="shared" si="22"/>
        <v>76</v>
      </c>
      <c r="F48" s="790">
        <f t="shared" si="22"/>
        <v>75</v>
      </c>
      <c r="G48" s="790">
        <f t="shared" si="22"/>
        <v>67</v>
      </c>
      <c r="H48" s="790">
        <f t="shared" si="22"/>
        <v>76</v>
      </c>
      <c r="I48" s="790">
        <f t="shared" si="22"/>
        <v>78</v>
      </c>
      <c r="J48" s="790">
        <f t="shared" si="22"/>
        <v>75</v>
      </c>
      <c r="K48" s="790">
        <f t="shared" si="22"/>
        <v>67</v>
      </c>
      <c r="L48" s="790">
        <f t="shared" ref="L48" si="23">MAX(L6:L45)</f>
        <v>101.44444444444444</v>
      </c>
      <c r="M48" s="46"/>
    </row>
    <row r="49" spans="1:13" ht="15.75" x14ac:dyDescent="0.25">
      <c r="A49" s="828">
        <v>44</v>
      </c>
      <c r="B49" s="794" t="s">
        <v>541</v>
      </c>
      <c r="C49" s="791">
        <f>MIN(C6:C45)</f>
        <v>0</v>
      </c>
      <c r="D49" s="791">
        <f t="shared" ref="D49:K49" si="24">MIN(D6:D45)</f>
        <v>0</v>
      </c>
      <c r="E49" s="791">
        <f t="shared" si="24"/>
        <v>0</v>
      </c>
      <c r="F49" s="791">
        <f t="shared" si="24"/>
        <v>0</v>
      </c>
      <c r="G49" s="791">
        <f t="shared" si="24"/>
        <v>0</v>
      </c>
      <c r="H49" s="791">
        <f t="shared" si="24"/>
        <v>0</v>
      </c>
      <c r="I49" s="791">
        <f t="shared" si="24"/>
        <v>0</v>
      </c>
      <c r="J49" s="791">
        <f t="shared" si="24"/>
        <v>0</v>
      </c>
      <c r="K49" s="791">
        <f t="shared" si="24"/>
        <v>0</v>
      </c>
      <c r="L49" s="791">
        <f t="shared" ref="L49" si="25">MIN(L6:L45)</f>
        <v>0</v>
      </c>
      <c r="M49" s="46"/>
    </row>
    <row r="50" spans="1:13" s="56" customFormat="1" ht="15.75" x14ac:dyDescent="0.25">
      <c r="A50" s="824">
        <v>1</v>
      </c>
      <c r="B50" s="825">
        <v>2</v>
      </c>
      <c r="C50" s="824">
        <v>3</v>
      </c>
      <c r="D50" s="825">
        <v>4</v>
      </c>
      <c r="E50" s="824">
        <v>5</v>
      </c>
      <c r="F50" s="825">
        <v>6</v>
      </c>
      <c r="G50" s="825"/>
      <c r="H50" s="825"/>
      <c r="I50" s="824">
        <v>7</v>
      </c>
      <c r="J50" s="825">
        <v>8</v>
      </c>
      <c r="K50" s="824">
        <v>9</v>
      </c>
      <c r="L50" s="825">
        <v>10</v>
      </c>
      <c r="M50" s="824">
        <v>11</v>
      </c>
    </row>
  </sheetData>
  <mergeCells count="3">
    <mergeCell ref="A4:A5"/>
    <mergeCell ref="B4:B5"/>
    <mergeCell ref="C4:M4"/>
  </mergeCells>
  <conditionalFormatting sqref="M6:M45">
    <cfRule type="top10" dxfId="2" priority="1" bottom="1" rank="5"/>
  </conditionalFormatting>
  <pageMargins left="0.51181102362204722" right="0.51181102362204722" top="0.74803149606299213" bottom="0.74803149606299213" header="0.31496062992125984" footer="0.31496062992125984"/>
  <pageSetup paperSize="9" orientation="portrait" horizontalDpi="0" verticalDpi="0" r:id="rId1"/>
  <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K50"/>
  <sheetViews>
    <sheetView showGridLines="0" workbookViewId="0">
      <selection activeCell="H16" sqref="H16"/>
    </sheetView>
  </sheetViews>
  <sheetFormatPr defaultRowHeight="15" x14ac:dyDescent="0.25"/>
  <cols>
    <col min="1" max="1" width="22.140625" customWidth="1"/>
    <col min="2" max="2" width="1.5703125" customWidth="1"/>
    <col min="3" max="3" width="11" customWidth="1"/>
    <col min="4" max="4" width="14" customWidth="1"/>
    <col min="5" max="5" width="20.140625" customWidth="1"/>
    <col min="6" max="6" width="15.5703125" customWidth="1"/>
    <col min="7" max="7" width="3.42578125" style="841" customWidth="1"/>
    <col min="11" max="11" width="7.7109375" customWidth="1"/>
  </cols>
  <sheetData>
    <row r="1" spans="1:11" ht="15.75" customHeight="1" x14ac:dyDescent="0.3">
      <c r="B1" s="795"/>
      <c r="C1" s="795"/>
      <c r="D1" s="795"/>
      <c r="E1" s="795"/>
      <c r="F1" s="795"/>
      <c r="G1" s="840"/>
      <c r="H1" s="75"/>
      <c r="I1" s="75"/>
      <c r="J1" s="75"/>
      <c r="K1" s="75"/>
    </row>
    <row r="2" spans="1:11" ht="21" customHeight="1" x14ac:dyDescent="0.3">
      <c r="A2" s="855" t="s">
        <v>543</v>
      </c>
      <c r="B2" s="796"/>
      <c r="C2" s="796"/>
      <c r="D2" s="796"/>
      <c r="E2" s="796"/>
      <c r="F2" s="795"/>
      <c r="G2" s="840"/>
      <c r="H2" s="856">
        <v>1</v>
      </c>
      <c r="I2" s="75"/>
      <c r="J2" s="75"/>
      <c r="K2" s="75"/>
    </row>
    <row r="3" spans="1:11" ht="17.25" customHeight="1" x14ac:dyDescent="0.3">
      <c r="A3" s="797" t="s">
        <v>544</v>
      </c>
      <c r="B3" s="798"/>
      <c r="C3" s="798"/>
      <c r="D3" s="798"/>
      <c r="E3" s="798"/>
      <c r="F3" s="795"/>
      <c r="G3" s="840"/>
      <c r="H3" s="75"/>
      <c r="I3" s="75"/>
      <c r="J3" s="75"/>
      <c r="K3" s="75"/>
    </row>
    <row r="4" spans="1:11" ht="11.25" customHeight="1" x14ac:dyDescent="0.3">
      <c r="A4" s="798"/>
      <c r="B4" s="798"/>
      <c r="C4" s="798"/>
      <c r="D4" s="798"/>
      <c r="E4" s="798"/>
      <c r="F4" s="795"/>
      <c r="G4" s="840"/>
      <c r="H4" s="75"/>
      <c r="I4" s="75"/>
      <c r="J4" s="75"/>
      <c r="K4" s="75"/>
    </row>
    <row r="5" spans="1:11" ht="22.5" x14ac:dyDescent="0.3">
      <c r="A5" s="830" t="s">
        <v>558</v>
      </c>
      <c r="B5" s="799"/>
      <c r="C5" s="799"/>
      <c r="D5" s="799"/>
      <c r="E5" s="799"/>
      <c r="F5" s="795"/>
      <c r="G5" s="840"/>
      <c r="H5" s="75"/>
      <c r="I5" s="75"/>
      <c r="J5" s="75"/>
      <c r="K5" s="75"/>
    </row>
    <row r="6" spans="1:11" ht="15.75" x14ac:dyDescent="0.25">
      <c r="A6" s="800" t="s">
        <v>545</v>
      </c>
      <c r="B6" s="801" t="s">
        <v>255</v>
      </c>
      <c r="C6" s="832">
        <f>H2</f>
        <v>1</v>
      </c>
      <c r="D6" s="1"/>
      <c r="E6" s="1"/>
    </row>
    <row r="7" spans="1:11" ht="15.75" x14ac:dyDescent="0.25">
      <c r="A7" s="800" t="s">
        <v>55</v>
      </c>
      <c r="B7" s="801" t="s">
        <v>255</v>
      </c>
      <c r="C7" s="832" t="str">
        <f>VLOOKUP(H2,data_siswa,2,FALSE)</f>
        <v>2522</v>
      </c>
      <c r="D7" s="1"/>
      <c r="E7" s="1"/>
      <c r="F7" s="802" t="s">
        <v>615</v>
      </c>
      <c r="G7" s="842"/>
    </row>
    <row r="8" spans="1:11" ht="20.25" customHeight="1" x14ac:dyDescent="0.25">
      <c r="A8" s="800" t="s">
        <v>547</v>
      </c>
      <c r="B8" s="801" t="s">
        <v>255</v>
      </c>
      <c r="C8" s="3349" t="str">
        <f>VLOOKUP(C6,data_siswa,4,FALSE)</f>
        <v>Achmad Zacky</v>
      </c>
      <c r="D8" s="3349"/>
      <c r="E8" s="3349"/>
      <c r="F8" s="802" t="s">
        <v>546</v>
      </c>
      <c r="G8" s="842"/>
    </row>
    <row r="9" spans="1:11" ht="18.75" customHeight="1" x14ac:dyDescent="0.25">
      <c r="A9" s="803" t="s">
        <v>548</v>
      </c>
      <c r="B9" s="56"/>
      <c r="C9" s="803" t="s">
        <v>32</v>
      </c>
      <c r="D9" s="803" t="s">
        <v>62</v>
      </c>
      <c r="E9" s="804" t="s">
        <v>37</v>
      </c>
      <c r="F9" s="803" t="s">
        <v>549</v>
      </c>
      <c r="G9" s="843"/>
    </row>
    <row r="10" spans="1:11" s="75" customFormat="1" ht="6" customHeight="1" x14ac:dyDescent="0.3">
      <c r="A10" s="805"/>
      <c r="B10" s="806"/>
      <c r="C10" s="807"/>
      <c r="D10" s="808"/>
      <c r="E10" s="809"/>
      <c r="F10" s="810"/>
      <c r="G10" s="838"/>
    </row>
    <row r="11" spans="1:11" x14ac:dyDescent="0.25">
      <c r="A11" s="811" t="s">
        <v>550</v>
      </c>
      <c r="B11" s="812"/>
      <c r="C11" s="857">
        <f>VLOOKUP(H2,rekap_1,3,FALSE)</f>
        <v>321</v>
      </c>
      <c r="D11" s="858" t="str">
        <f>IF(C11&gt;85,("A"),IF(C11&gt;80,("A-"),IF(C11&gt;75,("B+"),IF(C11&gt;70,("B"),IF(C11&gt;65,("B-"),IF(C11&gt;60,("C+"),IF(C11&gt;55,("C"),IF(C11&gt;50,("C-"),"D+"))))))))</f>
        <v>A</v>
      </c>
      <c r="E11" s="858">
        <f>'REKAP 1'!C48</f>
        <v>321</v>
      </c>
      <c r="F11" s="858">
        <f>E11-C11</f>
        <v>0</v>
      </c>
      <c r="G11" s="844"/>
    </row>
    <row r="12" spans="1:11" x14ac:dyDescent="0.25">
      <c r="A12" s="813" t="s">
        <v>191</v>
      </c>
      <c r="B12" s="812"/>
      <c r="C12" s="857">
        <f>VLOOKUP(H2,rekap_1,4,FALSE)</f>
        <v>78</v>
      </c>
      <c r="D12" s="858" t="str">
        <f t="shared" ref="D12:D19" si="0">IF(C12&gt;85,("A"),IF(C12&gt;80,("A-"),IF(C12&gt;75,("B+"),IF(C12&gt;70,("B"),IF(C12&gt;65,("B-"),IF(C12&gt;60,("C+"),IF(C12&gt;55,("C"),IF(C12&gt;50,("C-"),"D+"))))))))</f>
        <v>B+</v>
      </c>
      <c r="E12" s="858">
        <f>'REKAP 1'!D48</f>
        <v>78</v>
      </c>
      <c r="F12" s="858">
        <f t="shared" ref="F12:F19" si="1">E12-C12</f>
        <v>0</v>
      </c>
      <c r="G12" s="844"/>
    </row>
    <row r="13" spans="1:11" x14ac:dyDescent="0.25">
      <c r="A13" s="813" t="s">
        <v>551</v>
      </c>
      <c r="B13" s="812"/>
      <c r="C13" s="857">
        <f>VLOOKUP(H2,rekap_1,5,FALSE)</f>
        <v>76</v>
      </c>
      <c r="D13" s="858" t="str">
        <f t="shared" si="0"/>
        <v>B+</v>
      </c>
      <c r="E13" s="1135">
        <f>'REKAP 1'!E48</f>
        <v>76</v>
      </c>
      <c r="F13" s="858">
        <f t="shared" si="1"/>
        <v>0</v>
      </c>
      <c r="G13" s="844"/>
    </row>
    <row r="14" spans="1:11" x14ac:dyDescent="0.25">
      <c r="A14" s="813" t="s">
        <v>538</v>
      </c>
      <c r="B14" s="812"/>
      <c r="C14" s="857">
        <f>VLOOKUP(H2,rekap_1,6,FALSE)</f>
        <v>75</v>
      </c>
      <c r="D14" s="1134" t="str">
        <f t="shared" si="0"/>
        <v>B</v>
      </c>
      <c r="E14" s="1135">
        <f>'REKAP 1'!F48</f>
        <v>75</v>
      </c>
      <c r="F14" s="1134">
        <f t="shared" si="1"/>
        <v>0</v>
      </c>
      <c r="G14" s="844"/>
    </row>
    <row r="15" spans="1:11" x14ac:dyDescent="0.25">
      <c r="A15" s="813" t="s">
        <v>594</v>
      </c>
      <c r="B15" s="812"/>
      <c r="C15" s="857">
        <f>VLOOKUP(H2,rekap_1,7,FALSE)</f>
        <v>67</v>
      </c>
      <c r="D15" s="1134" t="str">
        <f t="shared" si="0"/>
        <v>B-</v>
      </c>
      <c r="E15" s="1135">
        <f>'REKAP 1'!G48</f>
        <v>67</v>
      </c>
      <c r="F15" s="1134">
        <f t="shared" si="1"/>
        <v>0</v>
      </c>
      <c r="G15" s="844"/>
    </row>
    <row r="16" spans="1:11" x14ac:dyDescent="0.25">
      <c r="A16" s="813" t="s">
        <v>595</v>
      </c>
      <c r="B16" s="812"/>
      <c r="C16" s="857">
        <f>VLOOKUP(H2,KI3_IPSrapot,7,FALSE)</f>
        <v>76</v>
      </c>
      <c r="D16" s="1134" t="str">
        <f t="shared" si="0"/>
        <v>B+</v>
      </c>
      <c r="E16" s="1135">
        <f>'REKAP 1'!H48</f>
        <v>76</v>
      </c>
      <c r="F16" s="1134">
        <f t="shared" si="1"/>
        <v>0</v>
      </c>
      <c r="G16" s="844"/>
    </row>
    <row r="17" spans="1:8" x14ac:dyDescent="0.25">
      <c r="A17" s="813" t="s">
        <v>215</v>
      </c>
      <c r="B17" s="812"/>
      <c r="C17" s="857">
        <f>VLOOKUP(H2,rekap_1,9,FALSE)</f>
        <v>78</v>
      </c>
      <c r="D17" s="1134" t="str">
        <f t="shared" si="0"/>
        <v>B+</v>
      </c>
      <c r="E17" s="1135">
        <f>'REKAP 1'!J48</f>
        <v>75</v>
      </c>
      <c r="F17" s="1134">
        <f t="shared" si="1"/>
        <v>-3</v>
      </c>
      <c r="G17" s="844"/>
    </row>
    <row r="18" spans="1:8" x14ac:dyDescent="0.25">
      <c r="A18" s="814" t="s">
        <v>198</v>
      </c>
      <c r="B18" s="812"/>
      <c r="C18" s="857">
        <f>VLOOKUP(H2,rekap_1,10,FALSE)</f>
        <v>75</v>
      </c>
      <c r="D18" s="1134" t="str">
        <f t="shared" si="0"/>
        <v>B</v>
      </c>
      <c r="E18" s="1135">
        <f>'REKAP 1'!I48</f>
        <v>78</v>
      </c>
      <c r="F18" s="1134">
        <f t="shared" si="1"/>
        <v>3</v>
      </c>
      <c r="G18" s="844"/>
    </row>
    <row r="19" spans="1:8" x14ac:dyDescent="0.25">
      <c r="A19" s="813" t="s">
        <v>539</v>
      </c>
      <c r="B19" s="812"/>
      <c r="C19" s="857">
        <f>VLOOKUP(H2,rekap_1,11,FALSE)</f>
        <v>67</v>
      </c>
      <c r="D19" s="1134" t="str">
        <f t="shared" si="0"/>
        <v>B-</v>
      </c>
      <c r="E19" s="1135">
        <f>'REKAP 1'!K48</f>
        <v>67</v>
      </c>
      <c r="F19" s="1134">
        <f t="shared" si="1"/>
        <v>0</v>
      </c>
      <c r="G19" s="844"/>
    </row>
    <row r="20" spans="1:8" ht="7.5" customHeight="1" x14ac:dyDescent="0.25"/>
    <row r="21" spans="1:8" ht="15.75" x14ac:dyDescent="0.25">
      <c r="A21" s="815" t="s">
        <v>39</v>
      </c>
      <c r="B21" s="816"/>
      <c r="C21" s="3351">
        <f>VLOOKUP(C6,rekap_1,12,FALSE)</f>
        <v>101.44444444444444</v>
      </c>
      <c r="D21" s="3351"/>
      <c r="E21" s="3351"/>
      <c r="F21" s="3351"/>
      <c r="G21" s="845"/>
    </row>
    <row r="22" spans="1:8" ht="15.75" x14ac:dyDescent="0.25">
      <c r="A22" s="815" t="s">
        <v>552</v>
      </c>
      <c r="B22" s="816"/>
      <c r="C22" s="3352">
        <f>VLOOKUP(C6,rekap_1,13,FALSE)</f>
        <v>1</v>
      </c>
      <c r="D22" s="3352"/>
      <c r="E22" s="3352"/>
      <c r="F22" s="3352"/>
      <c r="G22" s="846"/>
    </row>
    <row r="23" spans="1:8" ht="9" customHeight="1" x14ac:dyDescent="0.25">
      <c r="A23" s="817"/>
      <c r="B23" s="818"/>
      <c r="C23" s="819"/>
      <c r="D23" s="819"/>
      <c r="E23" s="819"/>
      <c r="F23" s="819"/>
      <c r="G23" s="839"/>
      <c r="H23" s="75"/>
    </row>
    <row r="24" spans="1:8" ht="18.75" x14ac:dyDescent="0.25">
      <c r="A24" s="835" t="s">
        <v>553</v>
      </c>
      <c r="B24" t="s">
        <v>255</v>
      </c>
      <c r="C24" s="3350" t="str">
        <f>C8</f>
        <v>Achmad Zacky</v>
      </c>
      <c r="D24" s="3350"/>
    </row>
    <row r="25" spans="1:8" ht="15.75" x14ac:dyDescent="0.25">
      <c r="A25" s="820" t="s">
        <v>108</v>
      </c>
      <c r="B25" t="s">
        <v>255</v>
      </c>
      <c r="C25" s="837">
        <v>1</v>
      </c>
      <c r="D25" s="821"/>
    </row>
    <row r="30" spans="1:8" ht="15.75" x14ac:dyDescent="0.25">
      <c r="E30" s="56"/>
    </row>
    <row r="42" spans="1:7" x14ac:dyDescent="0.25">
      <c r="A42" s="822"/>
    </row>
    <row r="43" spans="1:7" x14ac:dyDescent="0.25">
      <c r="A43" s="822"/>
    </row>
    <row r="44" spans="1:7" ht="15.75" x14ac:dyDescent="0.25">
      <c r="A44" s="3353" t="s">
        <v>554</v>
      </c>
      <c r="C44" s="3355" t="s">
        <v>495</v>
      </c>
      <c r="D44" s="3356"/>
      <c r="E44" s="3356"/>
      <c r="F44" s="3357"/>
      <c r="G44" s="843"/>
    </row>
    <row r="45" spans="1:7" ht="15.75" x14ac:dyDescent="0.25">
      <c r="A45" s="3354"/>
      <c r="C45" s="3358"/>
      <c r="D45" s="3359"/>
      <c r="E45" s="3359"/>
      <c r="F45" s="3360"/>
      <c r="G45" s="843"/>
    </row>
    <row r="47" spans="1:7" x14ac:dyDescent="0.25">
      <c r="A47" s="823" t="s">
        <v>555</v>
      </c>
      <c r="C47" s="3337" t="s">
        <v>556</v>
      </c>
      <c r="D47" s="3338"/>
      <c r="E47" s="836" t="s">
        <v>557</v>
      </c>
      <c r="F47" s="831"/>
      <c r="G47" s="847"/>
    </row>
    <row r="48" spans="1:7" x14ac:dyDescent="0.25">
      <c r="A48" s="3343" t="str">
        <f>VLOOKUP(A50,data_guru,3,FALSE)</f>
        <v>Ahmad, S.Pd</v>
      </c>
      <c r="C48" s="3339"/>
      <c r="D48" s="3340"/>
      <c r="E48" s="3345" t="str">
        <f>VLOOKUP(H2,data_eskulkes,19,FALSE)</f>
        <v>Rajin belajar agar dapat berprestasi dengan baik, dan perlu diperhatikan tulisannya lebih rapi dan rajin.</v>
      </c>
      <c r="F48" s="3346"/>
      <c r="G48" s="848"/>
    </row>
    <row r="49" spans="1:7" x14ac:dyDescent="0.25">
      <c r="A49" s="3344"/>
      <c r="C49" s="3341"/>
      <c r="D49" s="3342"/>
      <c r="E49" s="3347"/>
      <c r="F49" s="3348"/>
      <c r="G49" s="848"/>
    </row>
    <row r="50" spans="1:7" x14ac:dyDescent="0.25">
      <c r="A50" s="666">
        <v>3</v>
      </c>
    </row>
  </sheetData>
  <mergeCells count="9">
    <mergeCell ref="C47:D49"/>
    <mergeCell ref="A48:A49"/>
    <mergeCell ref="E48:F49"/>
    <mergeCell ref="C8:E8"/>
    <mergeCell ref="C24:D24"/>
    <mergeCell ref="C21:F21"/>
    <mergeCell ref="C22:F22"/>
    <mergeCell ref="A44:A45"/>
    <mergeCell ref="C44:F45"/>
  </mergeCells>
  <pageMargins left="0.83"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69633" r:id="rId4" name="SpinButton1">
          <controlPr defaultSize="0" autoLine="0" linkedCell="hasil!H2" r:id="rId5">
            <anchor moveWithCells="1">
              <from>
                <xdr:col>8</xdr:col>
                <xdr:colOff>171450</xdr:colOff>
                <xdr:row>0</xdr:row>
                <xdr:rowOff>190500</xdr:rowOff>
              </from>
              <to>
                <xdr:col>9</xdr:col>
                <xdr:colOff>200025</xdr:colOff>
                <xdr:row>2</xdr:row>
                <xdr:rowOff>19050</xdr:rowOff>
              </to>
            </anchor>
          </controlPr>
        </control>
      </mc:Choice>
      <mc:Fallback>
        <control shapeId="69633" r:id="rId4" name="SpinButton1"/>
      </mc:Fallback>
    </mc:AlternateContent>
  </control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M49"/>
  <sheetViews>
    <sheetView workbookViewId="0">
      <pane xSplit="2" ySplit="5" topLeftCell="C6" activePane="bottomRight" state="frozen"/>
      <selection pane="topRight" activeCell="C1" sqref="C1"/>
      <selection pane="bottomLeft" activeCell="A6" sqref="A6"/>
      <selection pane="bottomRight" activeCell="O48" sqref="O48"/>
    </sheetView>
  </sheetViews>
  <sheetFormatPr defaultRowHeight="15" x14ac:dyDescent="0.25"/>
  <cols>
    <col min="1" max="1" width="4.7109375" customWidth="1"/>
    <col min="2" max="2" width="34.85546875" customWidth="1"/>
    <col min="3" max="11" width="5.7109375" customWidth="1"/>
    <col min="12" max="12" width="6.7109375" customWidth="1"/>
  </cols>
  <sheetData>
    <row r="1" spans="1:13" ht="23.25" x14ac:dyDescent="0.35">
      <c r="A1" s="29" t="s">
        <v>560</v>
      </c>
    </row>
    <row r="2" spans="1:13" ht="23.25" x14ac:dyDescent="0.35">
      <c r="A2" s="29" t="s">
        <v>437</v>
      </c>
    </row>
    <row r="3" spans="1:13" s="1140" customFormat="1" ht="15.75" thickBot="1" x14ac:dyDescent="0.3">
      <c r="A3" s="1139">
        <v>1</v>
      </c>
      <c r="B3" s="1140">
        <v>2</v>
      </c>
      <c r="C3" s="1139">
        <v>3</v>
      </c>
      <c r="D3" s="1140">
        <v>4</v>
      </c>
      <c r="E3" s="1139">
        <v>5</v>
      </c>
      <c r="F3" s="1140">
        <v>6</v>
      </c>
      <c r="G3" s="1139">
        <v>7</v>
      </c>
      <c r="H3" s="1140">
        <v>8</v>
      </c>
      <c r="I3" s="1139">
        <v>9</v>
      </c>
      <c r="J3" s="1140">
        <v>10</v>
      </c>
      <c r="K3" s="1139">
        <v>11</v>
      </c>
      <c r="L3" s="1140">
        <v>12</v>
      </c>
      <c r="M3" s="1139">
        <v>13</v>
      </c>
    </row>
    <row r="4" spans="1:13" ht="21" customHeight="1" x14ac:dyDescent="0.25">
      <c r="A4" s="3361" t="s">
        <v>0</v>
      </c>
      <c r="B4" s="3363" t="s">
        <v>28</v>
      </c>
      <c r="C4" s="3365" t="s">
        <v>536</v>
      </c>
      <c r="D4" s="3365"/>
      <c r="E4" s="3365"/>
      <c r="F4" s="3365"/>
      <c r="G4" s="3365"/>
      <c r="H4" s="3365"/>
      <c r="I4" s="3365"/>
      <c r="J4" s="3365"/>
      <c r="K4" s="3365"/>
      <c r="L4" s="3365"/>
      <c r="M4" s="3366"/>
    </row>
    <row r="5" spans="1:13" ht="19.5" customHeight="1" thickBot="1" x14ac:dyDescent="0.3">
      <c r="A5" s="3362"/>
      <c r="B5" s="3364"/>
      <c r="C5" s="1070" t="s">
        <v>612</v>
      </c>
      <c r="D5" s="1070" t="s">
        <v>191</v>
      </c>
      <c r="E5" s="1070" t="s">
        <v>537</v>
      </c>
      <c r="F5" s="1070" t="s">
        <v>538</v>
      </c>
      <c r="G5" s="1070" t="s">
        <v>594</v>
      </c>
      <c r="H5" s="1070" t="s">
        <v>595</v>
      </c>
      <c r="I5" s="1070" t="s">
        <v>215</v>
      </c>
      <c r="J5" s="1070" t="s">
        <v>198</v>
      </c>
      <c r="K5" s="1070" t="s">
        <v>613</v>
      </c>
      <c r="L5" s="833" t="s">
        <v>64</v>
      </c>
      <c r="M5" s="834" t="s">
        <v>446</v>
      </c>
    </row>
    <row r="6" spans="1:13" ht="20.100000000000001" customHeight="1" x14ac:dyDescent="0.25">
      <c r="A6" s="34">
        <v>1</v>
      </c>
      <c r="B6" s="198" t="str">
        <f t="shared" ref="B6:B45" si="0">VLOOKUP(A6,data_siswa,4,FALSE)</f>
        <v>Achmad Zacky</v>
      </c>
      <c r="C6" s="852">
        <f t="shared" ref="C6:C45" si="1">VLOOKUP(A6,KI4_AGAMA,13,FALSE)</f>
        <v>0</v>
      </c>
      <c r="D6" s="852">
        <f t="shared" ref="D6:D45" si="2">VLOOKUP(A6,KI4_PKNrapot,8,FALSE)</f>
        <v>70</v>
      </c>
      <c r="E6" s="852">
        <f t="shared" ref="E6:E45" si="3">VLOOKUP(A6,KI4_BIrapot,12,FALSE)</f>
        <v>69</v>
      </c>
      <c r="F6" s="852">
        <f t="shared" ref="F6:F45" si="4">VLOOKUP(A6,KI4_MATrapot,12,FALSE)</f>
        <v>0</v>
      </c>
      <c r="G6" s="852">
        <f t="shared" ref="G6:G45" si="5">VLOOKUP(A6,KI4_IPArapot,12,FALSE)</f>
        <v>0</v>
      </c>
      <c r="H6" s="852">
        <f t="shared" ref="H6:H45" si="6">VLOOKUP(A6,KI4_IPSrapot,12,FALSE)</f>
        <v>0</v>
      </c>
      <c r="I6" s="852">
        <f t="shared" ref="I6:I45" si="7">VLOOKUP(A6,KI4_PJOKrapot,12,FALSE)</f>
        <v>0</v>
      </c>
      <c r="J6" s="852">
        <f t="shared" ref="J6:J45" si="8">VLOOKUP(A6,KI4_SBDPrapot,12,FALSE)</f>
        <v>0</v>
      </c>
      <c r="K6" s="852">
        <f t="shared" ref="K6:K45" si="9">VLOOKUP(A6,KI4_JAWArapot,11,FALSE)</f>
        <v>0</v>
      </c>
      <c r="L6" s="827">
        <f>IFERROR(AVERAGE(C6:K6),"  ")</f>
        <v>15.444444444444445</v>
      </c>
      <c r="M6" s="39">
        <f>RANK(L6,$L$6:$L$45)</f>
        <v>1</v>
      </c>
    </row>
    <row r="7" spans="1:13" ht="20.100000000000001" customHeight="1" x14ac:dyDescent="0.25">
      <c r="A7" s="851">
        <v>2</v>
      </c>
      <c r="B7" s="198" t="str">
        <f t="shared" si="0"/>
        <v>Angelia Vabel R</v>
      </c>
      <c r="C7" s="852">
        <f t="shared" si="1"/>
        <v>0</v>
      </c>
      <c r="D7" s="852">
        <f t="shared" si="2"/>
        <v>0</v>
      </c>
      <c r="E7" s="852">
        <f t="shared" si="3"/>
        <v>0</v>
      </c>
      <c r="F7" s="852">
        <f t="shared" si="4"/>
        <v>0</v>
      </c>
      <c r="G7" s="852">
        <f t="shared" si="5"/>
        <v>0</v>
      </c>
      <c r="H7" s="852">
        <f t="shared" si="6"/>
        <v>0</v>
      </c>
      <c r="I7" s="852">
        <f t="shared" si="7"/>
        <v>0</v>
      </c>
      <c r="J7" s="852">
        <f t="shared" si="8"/>
        <v>0</v>
      </c>
      <c r="K7" s="852">
        <f t="shared" si="9"/>
        <v>0</v>
      </c>
      <c r="L7" s="827">
        <f t="shared" ref="L7:L45" si="10">IFERROR(AVERAGE(C7:K7),"  ")</f>
        <v>0</v>
      </c>
      <c r="M7" s="39">
        <f t="shared" ref="M7:M45" si="11">RANK(L7,$L$6:$L$45)</f>
        <v>22</v>
      </c>
    </row>
    <row r="8" spans="1:13" ht="20.100000000000001" customHeight="1" x14ac:dyDescent="0.25">
      <c r="A8" s="34">
        <v>3</v>
      </c>
      <c r="B8" s="198" t="str">
        <f t="shared" si="0"/>
        <v>Anggun Dwi P.I</v>
      </c>
      <c r="C8" s="852">
        <f t="shared" si="1"/>
        <v>0</v>
      </c>
      <c r="D8" s="852">
        <f t="shared" si="2"/>
        <v>0</v>
      </c>
      <c r="E8" s="852">
        <f t="shared" si="3"/>
        <v>69</v>
      </c>
      <c r="F8" s="852">
        <f t="shared" si="4"/>
        <v>0</v>
      </c>
      <c r="G8" s="852">
        <f t="shared" si="5"/>
        <v>0</v>
      </c>
      <c r="H8" s="852">
        <f t="shared" si="6"/>
        <v>0</v>
      </c>
      <c r="I8" s="852">
        <f t="shared" si="7"/>
        <v>0</v>
      </c>
      <c r="J8" s="852">
        <f t="shared" si="8"/>
        <v>0</v>
      </c>
      <c r="K8" s="852">
        <f t="shared" si="9"/>
        <v>0</v>
      </c>
      <c r="L8" s="827">
        <f t="shared" si="10"/>
        <v>7.666666666666667</v>
      </c>
      <c r="M8" s="39">
        <f t="shared" si="11"/>
        <v>2</v>
      </c>
    </row>
    <row r="9" spans="1:13" ht="20.100000000000001" customHeight="1" x14ac:dyDescent="0.25">
      <c r="A9" s="851">
        <v>4</v>
      </c>
      <c r="B9" s="198" t="str">
        <f t="shared" si="0"/>
        <v>Antonio Permata A</v>
      </c>
      <c r="C9" s="852">
        <f t="shared" si="1"/>
        <v>0</v>
      </c>
      <c r="D9" s="852">
        <f t="shared" si="2"/>
        <v>0</v>
      </c>
      <c r="E9" s="852">
        <f t="shared" si="3"/>
        <v>0</v>
      </c>
      <c r="F9" s="852">
        <f t="shared" si="4"/>
        <v>0</v>
      </c>
      <c r="G9" s="852">
        <f t="shared" si="5"/>
        <v>0</v>
      </c>
      <c r="H9" s="852">
        <f t="shared" si="6"/>
        <v>0</v>
      </c>
      <c r="I9" s="852">
        <f t="shared" si="7"/>
        <v>0</v>
      </c>
      <c r="J9" s="852">
        <f t="shared" si="8"/>
        <v>0</v>
      </c>
      <c r="K9" s="852">
        <f t="shared" si="9"/>
        <v>0</v>
      </c>
      <c r="L9" s="827">
        <f t="shared" si="10"/>
        <v>0</v>
      </c>
      <c r="M9" s="39">
        <f t="shared" si="11"/>
        <v>22</v>
      </c>
    </row>
    <row r="10" spans="1:13" ht="20.100000000000001" customHeight="1" x14ac:dyDescent="0.25">
      <c r="A10" s="34">
        <v>5</v>
      </c>
      <c r="B10" s="198" t="str">
        <f t="shared" si="0"/>
        <v>Arya Pratama G</v>
      </c>
      <c r="C10" s="852">
        <f t="shared" si="1"/>
        <v>0</v>
      </c>
      <c r="D10" s="852">
        <f t="shared" si="2"/>
        <v>0</v>
      </c>
      <c r="E10" s="852">
        <f t="shared" si="3"/>
        <v>69</v>
      </c>
      <c r="F10" s="852">
        <f t="shared" si="4"/>
        <v>0</v>
      </c>
      <c r="G10" s="852">
        <f t="shared" si="5"/>
        <v>0</v>
      </c>
      <c r="H10" s="852">
        <f t="shared" si="6"/>
        <v>0</v>
      </c>
      <c r="I10" s="852">
        <f t="shared" si="7"/>
        <v>0</v>
      </c>
      <c r="J10" s="852">
        <f t="shared" si="8"/>
        <v>0</v>
      </c>
      <c r="K10" s="852">
        <f t="shared" si="9"/>
        <v>0</v>
      </c>
      <c r="L10" s="827">
        <f t="shared" si="10"/>
        <v>7.666666666666667</v>
      </c>
      <c r="M10" s="39">
        <f t="shared" si="11"/>
        <v>2</v>
      </c>
    </row>
    <row r="11" spans="1:13" ht="20.100000000000001" customHeight="1" x14ac:dyDescent="0.25">
      <c r="A11" s="851">
        <v>6</v>
      </c>
      <c r="B11" s="198" t="str">
        <f t="shared" si="0"/>
        <v>Asyam Hanif Ihsan H</v>
      </c>
      <c r="C11" s="852">
        <f t="shared" si="1"/>
        <v>0</v>
      </c>
      <c r="D11" s="852">
        <f t="shared" si="2"/>
        <v>0</v>
      </c>
      <c r="E11" s="852">
        <f t="shared" si="3"/>
        <v>0</v>
      </c>
      <c r="F11" s="852">
        <f t="shared" si="4"/>
        <v>0</v>
      </c>
      <c r="G11" s="852">
        <f t="shared" si="5"/>
        <v>0</v>
      </c>
      <c r="H11" s="852">
        <f t="shared" si="6"/>
        <v>0</v>
      </c>
      <c r="I11" s="852">
        <f t="shared" si="7"/>
        <v>0</v>
      </c>
      <c r="J11" s="852">
        <f t="shared" si="8"/>
        <v>0</v>
      </c>
      <c r="K11" s="852">
        <f t="shared" si="9"/>
        <v>0</v>
      </c>
      <c r="L11" s="827">
        <f t="shared" si="10"/>
        <v>0</v>
      </c>
      <c r="M11" s="39">
        <f t="shared" si="11"/>
        <v>22</v>
      </c>
    </row>
    <row r="12" spans="1:13" ht="20.100000000000001" customHeight="1" x14ac:dyDescent="0.25">
      <c r="A12" s="34">
        <v>7</v>
      </c>
      <c r="B12" s="198" t="str">
        <f t="shared" si="0"/>
        <v>Athaya Salsabilla Z</v>
      </c>
      <c r="C12" s="852">
        <f t="shared" si="1"/>
        <v>0</v>
      </c>
      <c r="D12" s="852">
        <f t="shared" si="2"/>
        <v>0</v>
      </c>
      <c r="E12" s="852">
        <f t="shared" si="3"/>
        <v>69</v>
      </c>
      <c r="F12" s="852">
        <f t="shared" si="4"/>
        <v>0</v>
      </c>
      <c r="G12" s="852">
        <f t="shared" si="5"/>
        <v>0</v>
      </c>
      <c r="H12" s="852">
        <f t="shared" si="6"/>
        <v>0</v>
      </c>
      <c r="I12" s="852">
        <f t="shared" si="7"/>
        <v>0</v>
      </c>
      <c r="J12" s="852">
        <f t="shared" si="8"/>
        <v>0</v>
      </c>
      <c r="K12" s="852">
        <f t="shared" si="9"/>
        <v>0</v>
      </c>
      <c r="L12" s="827">
        <f t="shared" si="10"/>
        <v>7.666666666666667</v>
      </c>
      <c r="M12" s="39">
        <f t="shared" si="11"/>
        <v>2</v>
      </c>
    </row>
    <row r="13" spans="1:13" ht="20.100000000000001" customHeight="1" x14ac:dyDescent="0.25">
      <c r="A13" s="851">
        <v>8</v>
      </c>
      <c r="B13" s="198" t="str">
        <f t="shared" si="0"/>
        <v>Aulia Dea Rosalinda</v>
      </c>
      <c r="C13" s="852">
        <f t="shared" si="1"/>
        <v>0</v>
      </c>
      <c r="D13" s="852">
        <f t="shared" si="2"/>
        <v>0</v>
      </c>
      <c r="E13" s="852">
        <f t="shared" si="3"/>
        <v>0</v>
      </c>
      <c r="F13" s="852">
        <f t="shared" si="4"/>
        <v>0</v>
      </c>
      <c r="G13" s="852">
        <f t="shared" si="5"/>
        <v>0</v>
      </c>
      <c r="H13" s="852">
        <f t="shared" si="6"/>
        <v>0</v>
      </c>
      <c r="I13" s="852">
        <f t="shared" si="7"/>
        <v>0</v>
      </c>
      <c r="J13" s="852">
        <f t="shared" si="8"/>
        <v>0</v>
      </c>
      <c r="K13" s="852">
        <f t="shared" si="9"/>
        <v>0</v>
      </c>
      <c r="L13" s="827">
        <f t="shared" si="10"/>
        <v>0</v>
      </c>
      <c r="M13" s="39">
        <f t="shared" si="11"/>
        <v>22</v>
      </c>
    </row>
    <row r="14" spans="1:13" ht="20.100000000000001" customHeight="1" x14ac:dyDescent="0.25">
      <c r="A14" s="34">
        <v>9</v>
      </c>
      <c r="B14" s="198" t="str">
        <f t="shared" si="0"/>
        <v>Claudia Gabriella L</v>
      </c>
      <c r="C14" s="852">
        <f t="shared" si="1"/>
        <v>0</v>
      </c>
      <c r="D14" s="852">
        <f t="shared" si="2"/>
        <v>0</v>
      </c>
      <c r="E14" s="852">
        <f t="shared" si="3"/>
        <v>69</v>
      </c>
      <c r="F14" s="852">
        <f t="shared" si="4"/>
        <v>0</v>
      </c>
      <c r="G14" s="852">
        <f t="shared" si="5"/>
        <v>0</v>
      </c>
      <c r="H14" s="852">
        <f t="shared" si="6"/>
        <v>0</v>
      </c>
      <c r="I14" s="852">
        <f t="shared" si="7"/>
        <v>0</v>
      </c>
      <c r="J14" s="852">
        <f t="shared" si="8"/>
        <v>0</v>
      </c>
      <c r="K14" s="852">
        <f t="shared" si="9"/>
        <v>0</v>
      </c>
      <c r="L14" s="827">
        <f t="shared" si="10"/>
        <v>7.666666666666667</v>
      </c>
      <c r="M14" s="39">
        <f t="shared" si="11"/>
        <v>2</v>
      </c>
    </row>
    <row r="15" spans="1:13" ht="20.100000000000001" customHeight="1" x14ac:dyDescent="0.25">
      <c r="A15" s="851">
        <v>10</v>
      </c>
      <c r="B15" s="198" t="str">
        <f t="shared" si="0"/>
        <v xml:space="preserve">Deco Badarus Zaman </v>
      </c>
      <c r="C15" s="852">
        <f t="shared" si="1"/>
        <v>0</v>
      </c>
      <c r="D15" s="852">
        <f t="shared" si="2"/>
        <v>0</v>
      </c>
      <c r="E15" s="852">
        <f t="shared" si="3"/>
        <v>0</v>
      </c>
      <c r="F15" s="852">
        <f t="shared" si="4"/>
        <v>0</v>
      </c>
      <c r="G15" s="852">
        <f t="shared" si="5"/>
        <v>0</v>
      </c>
      <c r="H15" s="852">
        <f t="shared" si="6"/>
        <v>0</v>
      </c>
      <c r="I15" s="852">
        <f t="shared" si="7"/>
        <v>0</v>
      </c>
      <c r="J15" s="852">
        <f t="shared" si="8"/>
        <v>0</v>
      </c>
      <c r="K15" s="852">
        <f t="shared" si="9"/>
        <v>0</v>
      </c>
      <c r="L15" s="827">
        <f t="shared" si="10"/>
        <v>0</v>
      </c>
      <c r="M15" s="39">
        <f t="shared" si="11"/>
        <v>22</v>
      </c>
    </row>
    <row r="16" spans="1:13" ht="20.100000000000001" customHeight="1" x14ac:dyDescent="0.25">
      <c r="A16" s="34">
        <v>11</v>
      </c>
      <c r="B16" s="198" t="str">
        <f t="shared" si="0"/>
        <v>Fania Mutiara Felichia</v>
      </c>
      <c r="C16" s="852">
        <f t="shared" si="1"/>
        <v>0</v>
      </c>
      <c r="D16" s="852">
        <f t="shared" si="2"/>
        <v>0</v>
      </c>
      <c r="E16" s="852">
        <f t="shared" si="3"/>
        <v>69</v>
      </c>
      <c r="F16" s="852">
        <f t="shared" si="4"/>
        <v>0</v>
      </c>
      <c r="G16" s="852">
        <f t="shared" si="5"/>
        <v>0</v>
      </c>
      <c r="H16" s="852">
        <f t="shared" si="6"/>
        <v>0</v>
      </c>
      <c r="I16" s="852">
        <f t="shared" si="7"/>
        <v>0</v>
      </c>
      <c r="J16" s="852">
        <f t="shared" si="8"/>
        <v>0</v>
      </c>
      <c r="K16" s="852">
        <f t="shared" si="9"/>
        <v>0</v>
      </c>
      <c r="L16" s="827">
        <f t="shared" si="10"/>
        <v>7.666666666666667</v>
      </c>
      <c r="M16" s="39">
        <f t="shared" si="11"/>
        <v>2</v>
      </c>
    </row>
    <row r="17" spans="1:13" ht="20.100000000000001" customHeight="1" x14ac:dyDescent="0.25">
      <c r="A17" s="851">
        <v>12</v>
      </c>
      <c r="B17" s="198" t="str">
        <f t="shared" si="0"/>
        <v>Intan Dyah Nowari</v>
      </c>
      <c r="C17" s="852">
        <f t="shared" si="1"/>
        <v>0</v>
      </c>
      <c r="D17" s="852">
        <f t="shared" si="2"/>
        <v>0</v>
      </c>
      <c r="E17" s="852">
        <f t="shared" si="3"/>
        <v>0</v>
      </c>
      <c r="F17" s="852">
        <f t="shared" si="4"/>
        <v>0</v>
      </c>
      <c r="G17" s="852">
        <f t="shared" si="5"/>
        <v>0</v>
      </c>
      <c r="H17" s="852">
        <f t="shared" si="6"/>
        <v>0</v>
      </c>
      <c r="I17" s="852">
        <f t="shared" si="7"/>
        <v>0</v>
      </c>
      <c r="J17" s="852">
        <f t="shared" si="8"/>
        <v>0</v>
      </c>
      <c r="K17" s="852">
        <f t="shared" si="9"/>
        <v>0</v>
      </c>
      <c r="L17" s="827">
        <f t="shared" si="10"/>
        <v>0</v>
      </c>
      <c r="M17" s="39">
        <f t="shared" si="11"/>
        <v>22</v>
      </c>
    </row>
    <row r="18" spans="1:13" ht="20.100000000000001" customHeight="1" x14ac:dyDescent="0.25">
      <c r="A18" s="34">
        <v>13</v>
      </c>
      <c r="B18" s="198" t="str">
        <f t="shared" si="0"/>
        <v>Misyanita Nurfitri S</v>
      </c>
      <c r="C18" s="852">
        <f t="shared" si="1"/>
        <v>0</v>
      </c>
      <c r="D18" s="852">
        <f t="shared" si="2"/>
        <v>0</v>
      </c>
      <c r="E18" s="852">
        <f t="shared" si="3"/>
        <v>69</v>
      </c>
      <c r="F18" s="852">
        <f t="shared" si="4"/>
        <v>0</v>
      </c>
      <c r="G18" s="852">
        <f t="shared" si="5"/>
        <v>0</v>
      </c>
      <c r="H18" s="852">
        <f t="shared" si="6"/>
        <v>0</v>
      </c>
      <c r="I18" s="852">
        <f t="shared" si="7"/>
        <v>0</v>
      </c>
      <c r="J18" s="852">
        <f t="shared" si="8"/>
        <v>0</v>
      </c>
      <c r="K18" s="852">
        <f t="shared" si="9"/>
        <v>0</v>
      </c>
      <c r="L18" s="827">
        <f t="shared" si="10"/>
        <v>7.666666666666667</v>
      </c>
      <c r="M18" s="39">
        <f t="shared" si="11"/>
        <v>2</v>
      </c>
    </row>
    <row r="19" spans="1:13" ht="20.100000000000001" customHeight="1" x14ac:dyDescent="0.25">
      <c r="A19" s="851">
        <v>14</v>
      </c>
      <c r="B19" s="198" t="str">
        <f t="shared" si="0"/>
        <v>Moch Zidane Hita L. U</v>
      </c>
      <c r="C19" s="852">
        <f t="shared" si="1"/>
        <v>0</v>
      </c>
      <c r="D19" s="852">
        <f t="shared" si="2"/>
        <v>0</v>
      </c>
      <c r="E19" s="852">
        <f t="shared" si="3"/>
        <v>0</v>
      </c>
      <c r="F19" s="852">
        <f t="shared" si="4"/>
        <v>0</v>
      </c>
      <c r="G19" s="852">
        <f t="shared" si="5"/>
        <v>0</v>
      </c>
      <c r="H19" s="852">
        <f t="shared" si="6"/>
        <v>0</v>
      </c>
      <c r="I19" s="852">
        <f t="shared" si="7"/>
        <v>0</v>
      </c>
      <c r="J19" s="852">
        <f t="shared" si="8"/>
        <v>0</v>
      </c>
      <c r="K19" s="852">
        <f t="shared" si="9"/>
        <v>0</v>
      </c>
      <c r="L19" s="827">
        <f t="shared" si="10"/>
        <v>0</v>
      </c>
      <c r="M19" s="39">
        <f t="shared" si="11"/>
        <v>22</v>
      </c>
    </row>
    <row r="20" spans="1:13" ht="20.100000000000001" customHeight="1" x14ac:dyDescent="0.25">
      <c r="A20" s="34">
        <v>15</v>
      </c>
      <c r="B20" s="198" t="str">
        <f t="shared" si="0"/>
        <v>Muhammad Ibra Maulana</v>
      </c>
      <c r="C20" s="852">
        <f t="shared" si="1"/>
        <v>0</v>
      </c>
      <c r="D20" s="852">
        <f t="shared" si="2"/>
        <v>0</v>
      </c>
      <c r="E20" s="852">
        <f t="shared" si="3"/>
        <v>69</v>
      </c>
      <c r="F20" s="852">
        <f t="shared" si="4"/>
        <v>0</v>
      </c>
      <c r="G20" s="852">
        <f t="shared" si="5"/>
        <v>0</v>
      </c>
      <c r="H20" s="852">
        <f t="shared" si="6"/>
        <v>0</v>
      </c>
      <c r="I20" s="852">
        <f t="shared" si="7"/>
        <v>0</v>
      </c>
      <c r="J20" s="852">
        <f t="shared" si="8"/>
        <v>0</v>
      </c>
      <c r="K20" s="852">
        <f t="shared" si="9"/>
        <v>0</v>
      </c>
      <c r="L20" s="827">
        <f t="shared" si="10"/>
        <v>7.666666666666667</v>
      </c>
      <c r="M20" s="39">
        <f t="shared" si="11"/>
        <v>2</v>
      </c>
    </row>
    <row r="21" spans="1:13" ht="20.100000000000001" customHeight="1" x14ac:dyDescent="0.25">
      <c r="A21" s="851">
        <v>16</v>
      </c>
      <c r="B21" s="198" t="str">
        <f t="shared" si="0"/>
        <v>Nabilla Shiva Putri</v>
      </c>
      <c r="C21" s="852">
        <f t="shared" si="1"/>
        <v>0</v>
      </c>
      <c r="D21" s="852">
        <f t="shared" si="2"/>
        <v>0</v>
      </c>
      <c r="E21" s="852">
        <f t="shared" si="3"/>
        <v>69</v>
      </c>
      <c r="F21" s="852">
        <f t="shared" si="4"/>
        <v>0</v>
      </c>
      <c r="G21" s="852">
        <f t="shared" si="5"/>
        <v>0</v>
      </c>
      <c r="H21" s="852">
        <f t="shared" si="6"/>
        <v>0</v>
      </c>
      <c r="I21" s="852">
        <f t="shared" si="7"/>
        <v>0</v>
      </c>
      <c r="J21" s="852">
        <f t="shared" si="8"/>
        <v>0</v>
      </c>
      <c r="K21" s="852">
        <f t="shared" si="9"/>
        <v>0</v>
      </c>
      <c r="L21" s="827">
        <f t="shared" si="10"/>
        <v>7.666666666666667</v>
      </c>
      <c r="M21" s="39">
        <f t="shared" si="11"/>
        <v>2</v>
      </c>
    </row>
    <row r="22" spans="1:13" ht="20.100000000000001" customHeight="1" x14ac:dyDescent="0.25">
      <c r="A22" s="34">
        <v>17</v>
      </c>
      <c r="B22" s="198" t="str">
        <f t="shared" si="0"/>
        <v>Naufal Falih F</v>
      </c>
      <c r="C22" s="852">
        <f t="shared" si="1"/>
        <v>0</v>
      </c>
      <c r="D22" s="852">
        <f t="shared" si="2"/>
        <v>0</v>
      </c>
      <c r="E22" s="852">
        <f t="shared" si="3"/>
        <v>0</v>
      </c>
      <c r="F22" s="852">
        <f t="shared" si="4"/>
        <v>0</v>
      </c>
      <c r="G22" s="852">
        <f t="shared" si="5"/>
        <v>0</v>
      </c>
      <c r="H22" s="852">
        <f t="shared" si="6"/>
        <v>0</v>
      </c>
      <c r="I22" s="852">
        <f t="shared" si="7"/>
        <v>0</v>
      </c>
      <c r="J22" s="852">
        <f t="shared" si="8"/>
        <v>0</v>
      </c>
      <c r="K22" s="852">
        <f t="shared" si="9"/>
        <v>0</v>
      </c>
      <c r="L22" s="827">
        <f t="shared" si="10"/>
        <v>0</v>
      </c>
      <c r="M22" s="39">
        <f t="shared" si="11"/>
        <v>22</v>
      </c>
    </row>
    <row r="23" spans="1:13" ht="20.100000000000001" customHeight="1" x14ac:dyDescent="0.25">
      <c r="A23" s="851">
        <v>18</v>
      </c>
      <c r="B23" s="198" t="str">
        <f t="shared" si="0"/>
        <v>Nayla Annora Nobel W</v>
      </c>
      <c r="C23" s="852">
        <f t="shared" si="1"/>
        <v>0</v>
      </c>
      <c r="D23" s="852">
        <f t="shared" si="2"/>
        <v>0</v>
      </c>
      <c r="E23" s="852">
        <f t="shared" si="3"/>
        <v>69</v>
      </c>
      <c r="F23" s="852">
        <f t="shared" si="4"/>
        <v>0</v>
      </c>
      <c r="G23" s="852">
        <f t="shared" si="5"/>
        <v>0</v>
      </c>
      <c r="H23" s="852">
        <f t="shared" si="6"/>
        <v>0</v>
      </c>
      <c r="I23" s="852">
        <f t="shared" si="7"/>
        <v>0</v>
      </c>
      <c r="J23" s="852">
        <f t="shared" si="8"/>
        <v>0</v>
      </c>
      <c r="K23" s="852">
        <f t="shared" si="9"/>
        <v>0</v>
      </c>
      <c r="L23" s="827">
        <f t="shared" si="10"/>
        <v>7.666666666666667</v>
      </c>
      <c r="M23" s="39">
        <f t="shared" si="11"/>
        <v>2</v>
      </c>
    </row>
    <row r="24" spans="1:13" ht="20.100000000000001" customHeight="1" x14ac:dyDescent="0.25">
      <c r="A24" s="34">
        <v>19</v>
      </c>
      <c r="B24" s="198" t="str">
        <f t="shared" si="0"/>
        <v>Raihan Danang P</v>
      </c>
      <c r="C24" s="852">
        <f t="shared" si="1"/>
        <v>0</v>
      </c>
      <c r="D24" s="852">
        <f t="shared" si="2"/>
        <v>0</v>
      </c>
      <c r="E24" s="852">
        <f t="shared" si="3"/>
        <v>0</v>
      </c>
      <c r="F24" s="852">
        <f t="shared" si="4"/>
        <v>0</v>
      </c>
      <c r="G24" s="852">
        <f t="shared" si="5"/>
        <v>0</v>
      </c>
      <c r="H24" s="852">
        <f t="shared" si="6"/>
        <v>0</v>
      </c>
      <c r="I24" s="852">
        <f t="shared" si="7"/>
        <v>0</v>
      </c>
      <c r="J24" s="852">
        <f t="shared" si="8"/>
        <v>0</v>
      </c>
      <c r="K24" s="852">
        <f t="shared" si="9"/>
        <v>0</v>
      </c>
      <c r="L24" s="827">
        <f t="shared" si="10"/>
        <v>0</v>
      </c>
      <c r="M24" s="39">
        <f t="shared" si="11"/>
        <v>22</v>
      </c>
    </row>
    <row r="25" spans="1:13" ht="20.100000000000001" customHeight="1" x14ac:dyDescent="0.25">
      <c r="A25" s="851">
        <v>20</v>
      </c>
      <c r="B25" s="198" t="str">
        <f t="shared" si="0"/>
        <v>Roby Ardiyansyah</v>
      </c>
      <c r="C25" s="852">
        <f t="shared" si="1"/>
        <v>0</v>
      </c>
      <c r="D25" s="852">
        <f t="shared" si="2"/>
        <v>0</v>
      </c>
      <c r="E25" s="852">
        <f t="shared" si="3"/>
        <v>69</v>
      </c>
      <c r="F25" s="852">
        <f t="shared" si="4"/>
        <v>0</v>
      </c>
      <c r="G25" s="852">
        <f t="shared" si="5"/>
        <v>0</v>
      </c>
      <c r="H25" s="852">
        <f t="shared" si="6"/>
        <v>0</v>
      </c>
      <c r="I25" s="852">
        <f t="shared" si="7"/>
        <v>0</v>
      </c>
      <c r="J25" s="852">
        <f t="shared" si="8"/>
        <v>0</v>
      </c>
      <c r="K25" s="852">
        <f t="shared" si="9"/>
        <v>0</v>
      </c>
      <c r="L25" s="827">
        <f t="shared" si="10"/>
        <v>7.666666666666667</v>
      </c>
      <c r="M25" s="39">
        <f t="shared" si="11"/>
        <v>2</v>
      </c>
    </row>
    <row r="26" spans="1:13" ht="20.100000000000001" customHeight="1" x14ac:dyDescent="0.25">
      <c r="A26" s="34">
        <v>21</v>
      </c>
      <c r="B26" s="198" t="str">
        <f t="shared" si="0"/>
        <v>Rojalingga Prana A</v>
      </c>
      <c r="C26" s="852">
        <f t="shared" si="1"/>
        <v>0</v>
      </c>
      <c r="D26" s="852">
        <f t="shared" si="2"/>
        <v>0</v>
      </c>
      <c r="E26" s="852">
        <f t="shared" si="3"/>
        <v>0</v>
      </c>
      <c r="F26" s="852">
        <f t="shared" si="4"/>
        <v>0</v>
      </c>
      <c r="G26" s="852">
        <f t="shared" si="5"/>
        <v>0</v>
      </c>
      <c r="H26" s="852">
        <f t="shared" si="6"/>
        <v>0</v>
      </c>
      <c r="I26" s="852">
        <f t="shared" si="7"/>
        <v>0</v>
      </c>
      <c r="J26" s="852">
        <f t="shared" si="8"/>
        <v>0</v>
      </c>
      <c r="K26" s="852">
        <f t="shared" si="9"/>
        <v>0</v>
      </c>
      <c r="L26" s="827">
        <f t="shared" si="10"/>
        <v>0</v>
      </c>
      <c r="M26" s="39">
        <f t="shared" si="11"/>
        <v>22</v>
      </c>
    </row>
    <row r="27" spans="1:13" ht="20.100000000000001" customHeight="1" x14ac:dyDescent="0.25">
      <c r="A27" s="851">
        <v>22</v>
      </c>
      <c r="B27" s="198" t="str">
        <f t="shared" si="0"/>
        <v>Sally Savista A</v>
      </c>
      <c r="C27" s="852">
        <f t="shared" si="1"/>
        <v>0</v>
      </c>
      <c r="D27" s="852">
        <f t="shared" si="2"/>
        <v>0</v>
      </c>
      <c r="E27" s="852">
        <f t="shared" si="3"/>
        <v>69</v>
      </c>
      <c r="F27" s="852">
        <f t="shared" si="4"/>
        <v>0</v>
      </c>
      <c r="G27" s="852">
        <f t="shared" si="5"/>
        <v>0</v>
      </c>
      <c r="H27" s="852">
        <f t="shared" si="6"/>
        <v>0</v>
      </c>
      <c r="I27" s="852">
        <f t="shared" si="7"/>
        <v>0</v>
      </c>
      <c r="J27" s="852">
        <f t="shared" si="8"/>
        <v>0</v>
      </c>
      <c r="K27" s="852">
        <f t="shared" si="9"/>
        <v>0</v>
      </c>
      <c r="L27" s="827">
        <f t="shared" si="10"/>
        <v>7.666666666666667</v>
      </c>
      <c r="M27" s="39">
        <f t="shared" si="11"/>
        <v>2</v>
      </c>
    </row>
    <row r="28" spans="1:13" ht="20.100000000000001" customHeight="1" x14ac:dyDescent="0.25">
      <c r="A28" s="34">
        <v>23</v>
      </c>
      <c r="B28" s="198" t="str">
        <f t="shared" si="0"/>
        <v xml:space="preserve">Tania Kaori Angelita </v>
      </c>
      <c r="C28" s="852">
        <f t="shared" si="1"/>
        <v>0</v>
      </c>
      <c r="D28" s="852">
        <f t="shared" si="2"/>
        <v>0</v>
      </c>
      <c r="E28" s="852">
        <f t="shared" si="3"/>
        <v>0</v>
      </c>
      <c r="F28" s="852">
        <f t="shared" si="4"/>
        <v>0</v>
      </c>
      <c r="G28" s="852">
        <f t="shared" si="5"/>
        <v>0</v>
      </c>
      <c r="H28" s="852">
        <f t="shared" si="6"/>
        <v>0</v>
      </c>
      <c r="I28" s="852">
        <f t="shared" si="7"/>
        <v>0</v>
      </c>
      <c r="J28" s="852">
        <f t="shared" si="8"/>
        <v>0</v>
      </c>
      <c r="K28" s="852">
        <f t="shared" si="9"/>
        <v>0</v>
      </c>
      <c r="L28" s="827">
        <f t="shared" si="10"/>
        <v>0</v>
      </c>
      <c r="M28" s="39">
        <f t="shared" si="11"/>
        <v>22</v>
      </c>
    </row>
    <row r="29" spans="1:13" ht="20.100000000000001" customHeight="1" x14ac:dyDescent="0.25">
      <c r="A29" s="851">
        <v>24</v>
      </c>
      <c r="B29" s="198" t="str">
        <f t="shared" si="0"/>
        <v>Romzy Oka Ramadhani P</v>
      </c>
      <c r="C29" s="852">
        <f t="shared" si="1"/>
        <v>0</v>
      </c>
      <c r="D29" s="852">
        <f t="shared" si="2"/>
        <v>0</v>
      </c>
      <c r="E29" s="852">
        <f t="shared" si="3"/>
        <v>69</v>
      </c>
      <c r="F29" s="852">
        <f t="shared" si="4"/>
        <v>0</v>
      </c>
      <c r="G29" s="852">
        <f t="shared" si="5"/>
        <v>0</v>
      </c>
      <c r="H29" s="852">
        <f t="shared" si="6"/>
        <v>0</v>
      </c>
      <c r="I29" s="852">
        <f t="shared" si="7"/>
        <v>0</v>
      </c>
      <c r="J29" s="852">
        <f t="shared" si="8"/>
        <v>0</v>
      </c>
      <c r="K29" s="852">
        <f t="shared" si="9"/>
        <v>0</v>
      </c>
      <c r="L29" s="827">
        <f t="shared" si="10"/>
        <v>7.666666666666667</v>
      </c>
      <c r="M29" s="39">
        <f t="shared" si="11"/>
        <v>2</v>
      </c>
    </row>
    <row r="30" spans="1:13" ht="20.100000000000001" customHeight="1" x14ac:dyDescent="0.25">
      <c r="A30" s="34">
        <v>25</v>
      </c>
      <c r="B30" s="198" t="str">
        <f t="shared" si="0"/>
        <v>Larasati Jagadhita P</v>
      </c>
      <c r="C30" s="852">
        <f t="shared" si="1"/>
        <v>0</v>
      </c>
      <c r="D30" s="852">
        <f t="shared" si="2"/>
        <v>0</v>
      </c>
      <c r="E30" s="852">
        <f t="shared" si="3"/>
        <v>0</v>
      </c>
      <c r="F30" s="852">
        <f t="shared" si="4"/>
        <v>0</v>
      </c>
      <c r="G30" s="852">
        <f t="shared" si="5"/>
        <v>0</v>
      </c>
      <c r="H30" s="852">
        <f t="shared" si="6"/>
        <v>0</v>
      </c>
      <c r="I30" s="852">
        <f t="shared" si="7"/>
        <v>0</v>
      </c>
      <c r="J30" s="852">
        <f t="shared" si="8"/>
        <v>0</v>
      </c>
      <c r="K30" s="852">
        <f t="shared" si="9"/>
        <v>0</v>
      </c>
      <c r="L30" s="827">
        <f t="shared" si="10"/>
        <v>0</v>
      </c>
      <c r="M30" s="39">
        <f t="shared" si="11"/>
        <v>22</v>
      </c>
    </row>
    <row r="31" spans="1:13" ht="20.100000000000001" customHeight="1" x14ac:dyDescent="0.25">
      <c r="A31" s="851">
        <v>26</v>
      </c>
      <c r="B31" s="198" t="str">
        <f t="shared" si="0"/>
        <v>Meliana Citra A</v>
      </c>
      <c r="C31" s="852">
        <f t="shared" si="1"/>
        <v>0</v>
      </c>
      <c r="D31" s="852">
        <f t="shared" si="2"/>
        <v>0</v>
      </c>
      <c r="E31" s="852">
        <f t="shared" si="3"/>
        <v>69</v>
      </c>
      <c r="F31" s="852">
        <f t="shared" si="4"/>
        <v>0</v>
      </c>
      <c r="G31" s="852">
        <f t="shared" si="5"/>
        <v>0</v>
      </c>
      <c r="H31" s="852">
        <f t="shared" si="6"/>
        <v>0</v>
      </c>
      <c r="I31" s="852">
        <f t="shared" si="7"/>
        <v>0</v>
      </c>
      <c r="J31" s="852">
        <f t="shared" si="8"/>
        <v>0</v>
      </c>
      <c r="K31" s="852">
        <f t="shared" si="9"/>
        <v>0</v>
      </c>
      <c r="L31" s="827">
        <f t="shared" si="10"/>
        <v>7.666666666666667</v>
      </c>
      <c r="M31" s="39">
        <f t="shared" si="11"/>
        <v>2</v>
      </c>
    </row>
    <row r="32" spans="1:13" ht="20.100000000000001" customHeight="1" x14ac:dyDescent="0.25">
      <c r="A32" s="34">
        <v>27</v>
      </c>
      <c r="B32" s="198" t="str">
        <f t="shared" si="0"/>
        <v>Mohammad Rizky</v>
      </c>
      <c r="C32" s="852">
        <f t="shared" si="1"/>
        <v>0</v>
      </c>
      <c r="D32" s="852">
        <f t="shared" si="2"/>
        <v>0</v>
      </c>
      <c r="E32" s="852">
        <f t="shared" si="3"/>
        <v>0</v>
      </c>
      <c r="F32" s="852">
        <f t="shared" si="4"/>
        <v>0</v>
      </c>
      <c r="G32" s="852">
        <f t="shared" si="5"/>
        <v>0</v>
      </c>
      <c r="H32" s="852">
        <f t="shared" si="6"/>
        <v>0</v>
      </c>
      <c r="I32" s="852">
        <f t="shared" si="7"/>
        <v>0</v>
      </c>
      <c r="J32" s="852">
        <f t="shared" si="8"/>
        <v>0</v>
      </c>
      <c r="K32" s="852">
        <f t="shared" si="9"/>
        <v>0</v>
      </c>
      <c r="L32" s="827">
        <f t="shared" si="10"/>
        <v>0</v>
      </c>
      <c r="M32" s="39">
        <f t="shared" si="11"/>
        <v>22</v>
      </c>
    </row>
    <row r="33" spans="1:13" ht="20.100000000000001" customHeight="1" x14ac:dyDescent="0.25">
      <c r="A33" s="851">
        <v>28</v>
      </c>
      <c r="B33" s="198" t="e">
        <f t="shared" si="0"/>
        <v>#N/A</v>
      </c>
      <c r="C33" s="852">
        <f t="shared" si="1"/>
        <v>0</v>
      </c>
      <c r="D33" s="852">
        <f t="shared" si="2"/>
        <v>0</v>
      </c>
      <c r="E33" s="852">
        <f t="shared" si="3"/>
        <v>69</v>
      </c>
      <c r="F33" s="852">
        <f t="shared" si="4"/>
        <v>0</v>
      </c>
      <c r="G33" s="852">
        <f t="shared" si="5"/>
        <v>0</v>
      </c>
      <c r="H33" s="852">
        <f t="shared" si="6"/>
        <v>0</v>
      </c>
      <c r="I33" s="852">
        <f t="shared" si="7"/>
        <v>0</v>
      </c>
      <c r="J33" s="852">
        <f t="shared" si="8"/>
        <v>0</v>
      </c>
      <c r="K33" s="852">
        <f t="shared" si="9"/>
        <v>0</v>
      </c>
      <c r="L33" s="827">
        <f t="shared" si="10"/>
        <v>7.666666666666667</v>
      </c>
      <c r="M33" s="39">
        <f t="shared" si="11"/>
        <v>2</v>
      </c>
    </row>
    <row r="34" spans="1:13" ht="20.100000000000001" customHeight="1" x14ac:dyDescent="0.25">
      <c r="A34" s="34">
        <v>29</v>
      </c>
      <c r="B34" s="198" t="e">
        <f t="shared" si="0"/>
        <v>#N/A</v>
      </c>
      <c r="C34" s="852">
        <f t="shared" si="1"/>
        <v>0</v>
      </c>
      <c r="D34" s="852">
        <f t="shared" si="2"/>
        <v>0</v>
      </c>
      <c r="E34" s="852">
        <f t="shared" si="3"/>
        <v>0</v>
      </c>
      <c r="F34" s="852">
        <f t="shared" si="4"/>
        <v>0</v>
      </c>
      <c r="G34" s="852">
        <f t="shared" si="5"/>
        <v>0</v>
      </c>
      <c r="H34" s="852">
        <f t="shared" si="6"/>
        <v>0</v>
      </c>
      <c r="I34" s="852">
        <f t="shared" si="7"/>
        <v>0</v>
      </c>
      <c r="J34" s="852">
        <f t="shared" si="8"/>
        <v>0</v>
      </c>
      <c r="K34" s="852">
        <f t="shared" si="9"/>
        <v>0</v>
      </c>
      <c r="L34" s="827">
        <f t="shared" si="10"/>
        <v>0</v>
      </c>
      <c r="M34" s="39">
        <f t="shared" si="11"/>
        <v>22</v>
      </c>
    </row>
    <row r="35" spans="1:13" ht="20.100000000000001" customHeight="1" x14ac:dyDescent="0.25">
      <c r="A35" s="851">
        <v>30</v>
      </c>
      <c r="B35" s="198" t="e">
        <f t="shared" si="0"/>
        <v>#N/A</v>
      </c>
      <c r="C35" s="852">
        <f t="shared" si="1"/>
        <v>0</v>
      </c>
      <c r="D35" s="852">
        <f t="shared" si="2"/>
        <v>0</v>
      </c>
      <c r="E35" s="852">
        <f t="shared" si="3"/>
        <v>69</v>
      </c>
      <c r="F35" s="852">
        <f t="shared" si="4"/>
        <v>0</v>
      </c>
      <c r="G35" s="852">
        <f t="shared" si="5"/>
        <v>0</v>
      </c>
      <c r="H35" s="852">
        <f t="shared" si="6"/>
        <v>0</v>
      </c>
      <c r="I35" s="852">
        <f t="shared" si="7"/>
        <v>0</v>
      </c>
      <c r="J35" s="852">
        <f t="shared" si="8"/>
        <v>0</v>
      </c>
      <c r="K35" s="852">
        <f t="shared" si="9"/>
        <v>0</v>
      </c>
      <c r="L35" s="827">
        <f t="shared" si="10"/>
        <v>7.666666666666667</v>
      </c>
      <c r="M35" s="39">
        <f t="shared" si="11"/>
        <v>2</v>
      </c>
    </row>
    <row r="36" spans="1:13" ht="20.100000000000001" customHeight="1" x14ac:dyDescent="0.25">
      <c r="A36" s="34">
        <v>31</v>
      </c>
      <c r="B36" s="198" t="e">
        <f t="shared" si="0"/>
        <v>#N/A</v>
      </c>
      <c r="C36" s="852">
        <f t="shared" si="1"/>
        <v>0</v>
      </c>
      <c r="D36" s="852">
        <f t="shared" si="2"/>
        <v>0</v>
      </c>
      <c r="E36" s="852">
        <f t="shared" si="3"/>
        <v>69</v>
      </c>
      <c r="F36" s="852">
        <f t="shared" si="4"/>
        <v>0</v>
      </c>
      <c r="G36" s="852">
        <f t="shared" si="5"/>
        <v>0</v>
      </c>
      <c r="H36" s="852">
        <f t="shared" si="6"/>
        <v>0</v>
      </c>
      <c r="I36" s="852">
        <f t="shared" si="7"/>
        <v>0</v>
      </c>
      <c r="J36" s="852">
        <f t="shared" si="8"/>
        <v>0</v>
      </c>
      <c r="K36" s="852">
        <f t="shared" si="9"/>
        <v>0</v>
      </c>
      <c r="L36" s="827">
        <f t="shared" si="10"/>
        <v>7.666666666666667</v>
      </c>
      <c r="M36" s="39">
        <f t="shared" si="11"/>
        <v>2</v>
      </c>
    </row>
    <row r="37" spans="1:13" ht="20.100000000000001" customHeight="1" x14ac:dyDescent="0.25">
      <c r="A37" s="851">
        <v>32</v>
      </c>
      <c r="B37" s="198" t="e">
        <f t="shared" si="0"/>
        <v>#N/A</v>
      </c>
      <c r="C37" s="852">
        <f t="shared" si="1"/>
        <v>0</v>
      </c>
      <c r="D37" s="852">
        <f t="shared" si="2"/>
        <v>0</v>
      </c>
      <c r="E37" s="852">
        <f t="shared" si="3"/>
        <v>0</v>
      </c>
      <c r="F37" s="852">
        <f t="shared" si="4"/>
        <v>0</v>
      </c>
      <c r="G37" s="852">
        <f t="shared" si="5"/>
        <v>0</v>
      </c>
      <c r="H37" s="852">
        <f t="shared" si="6"/>
        <v>0</v>
      </c>
      <c r="I37" s="852">
        <f t="shared" si="7"/>
        <v>0</v>
      </c>
      <c r="J37" s="852">
        <f t="shared" si="8"/>
        <v>0</v>
      </c>
      <c r="K37" s="852">
        <f t="shared" si="9"/>
        <v>0</v>
      </c>
      <c r="L37" s="827">
        <f t="shared" si="10"/>
        <v>0</v>
      </c>
      <c r="M37" s="39">
        <f t="shared" si="11"/>
        <v>22</v>
      </c>
    </row>
    <row r="38" spans="1:13" ht="20.100000000000001" customHeight="1" x14ac:dyDescent="0.25">
      <c r="A38" s="34">
        <v>33</v>
      </c>
      <c r="B38" s="198" t="e">
        <f t="shared" si="0"/>
        <v>#N/A</v>
      </c>
      <c r="C38" s="852">
        <f t="shared" si="1"/>
        <v>0</v>
      </c>
      <c r="D38" s="852">
        <f t="shared" si="2"/>
        <v>0</v>
      </c>
      <c r="E38" s="852">
        <f t="shared" si="3"/>
        <v>69</v>
      </c>
      <c r="F38" s="852">
        <f t="shared" si="4"/>
        <v>0</v>
      </c>
      <c r="G38" s="852">
        <f t="shared" si="5"/>
        <v>0</v>
      </c>
      <c r="H38" s="852">
        <f t="shared" si="6"/>
        <v>0</v>
      </c>
      <c r="I38" s="852">
        <f t="shared" si="7"/>
        <v>0</v>
      </c>
      <c r="J38" s="852">
        <f t="shared" si="8"/>
        <v>0</v>
      </c>
      <c r="K38" s="852">
        <f t="shared" si="9"/>
        <v>0</v>
      </c>
      <c r="L38" s="827">
        <f t="shared" si="10"/>
        <v>7.666666666666667</v>
      </c>
      <c r="M38" s="39">
        <f t="shared" si="11"/>
        <v>2</v>
      </c>
    </row>
    <row r="39" spans="1:13" ht="20.100000000000001" customHeight="1" x14ac:dyDescent="0.25">
      <c r="A39" s="851">
        <v>34</v>
      </c>
      <c r="B39" s="198" t="e">
        <f t="shared" si="0"/>
        <v>#N/A</v>
      </c>
      <c r="C39" s="852">
        <f t="shared" si="1"/>
        <v>0</v>
      </c>
      <c r="D39" s="852">
        <f t="shared" si="2"/>
        <v>0</v>
      </c>
      <c r="E39" s="852">
        <f t="shared" si="3"/>
        <v>0</v>
      </c>
      <c r="F39" s="852">
        <f t="shared" si="4"/>
        <v>0</v>
      </c>
      <c r="G39" s="852">
        <f t="shared" si="5"/>
        <v>0</v>
      </c>
      <c r="H39" s="852">
        <f t="shared" si="6"/>
        <v>0</v>
      </c>
      <c r="I39" s="852">
        <f t="shared" si="7"/>
        <v>0</v>
      </c>
      <c r="J39" s="852">
        <f t="shared" si="8"/>
        <v>0</v>
      </c>
      <c r="K39" s="852">
        <f t="shared" si="9"/>
        <v>0</v>
      </c>
      <c r="L39" s="827">
        <f t="shared" si="10"/>
        <v>0</v>
      </c>
      <c r="M39" s="39">
        <f t="shared" si="11"/>
        <v>22</v>
      </c>
    </row>
    <row r="40" spans="1:13" ht="20.100000000000001" customHeight="1" x14ac:dyDescent="0.25">
      <c r="A40" s="34">
        <v>35</v>
      </c>
      <c r="B40" s="198" t="e">
        <f t="shared" si="0"/>
        <v>#N/A</v>
      </c>
      <c r="C40" s="852">
        <f t="shared" si="1"/>
        <v>0</v>
      </c>
      <c r="D40" s="852">
        <f t="shared" si="2"/>
        <v>0</v>
      </c>
      <c r="E40" s="852">
        <f t="shared" si="3"/>
        <v>69</v>
      </c>
      <c r="F40" s="852">
        <f t="shared" si="4"/>
        <v>0</v>
      </c>
      <c r="G40" s="852">
        <f t="shared" si="5"/>
        <v>0</v>
      </c>
      <c r="H40" s="852">
        <f t="shared" si="6"/>
        <v>0</v>
      </c>
      <c r="I40" s="852">
        <f t="shared" si="7"/>
        <v>0</v>
      </c>
      <c r="J40" s="852">
        <f t="shared" si="8"/>
        <v>0</v>
      </c>
      <c r="K40" s="852">
        <f t="shared" si="9"/>
        <v>0</v>
      </c>
      <c r="L40" s="827">
        <f t="shared" si="10"/>
        <v>7.666666666666667</v>
      </c>
      <c r="M40" s="39">
        <f t="shared" si="11"/>
        <v>2</v>
      </c>
    </row>
    <row r="41" spans="1:13" ht="20.100000000000001" customHeight="1" x14ac:dyDescent="0.25">
      <c r="A41" s="851">
        <v>36</v>
      </c>
      <c r="B41" s="198" t="e">
        <f t="shared" si="0"/>
        <v>#N/A</v>
      </c>
      <c r="C41" s="852">
        <f t="shared" si="1"/>
        <v>0</v>
      </c>
      <c r="D41" s="852">
        <f t="shared" si="2"/>
        <v>0</v>
      </c>
      <c r="E41" s="852">
        <f t="shared" si="3"/>
        <v>0</v>
      </c>
      <c r="F41" s="852">
        <f t="shared" si="4"/>
        <v>0</v>
      </c>
      <c r="G41" s="852">
        <f t="shared" si="5"/>
        <v>0</v>
      </c>
      <c r="H41" s="852">
        <f t="shared" si="6"/>
        <v>0</v>
      </c>
      <c r="I41" s="852">
        <f t="shared" si="7"/>
        <v>0</v>
      </c>
      <c r="J41" s="852">
        <f t="shared" si="8"/>
        <v>0</v>
      </c>
      <c r="K41" s="852">
        <f t="shared" si="9"/>
        <v>0</v>
      </c>
      <c r="L41" s="827">
        <f t="shared" si="10"/>
        <v>0</v>
      </c>
      <c r="M41" s="39">
        <f t="shared" si="11"/>
        <v>22</v>
      </c>
    </row>
    <row r="42" spans="1:13" ht="20.100000000000001" customHeight="1" x14ac:dyDescent="0.25">
      <c r="A42" s="34">
        <v>37</v>
      </c>
      <c r="B42" s="198" t="e">
        <f t="shared" si="0"/>
        <v>#N/A</v>
      </c>
      <c r="C42" s="852">
        <f t="shared" si="1"/>
        <v>0</v>
      </c>
      <c r="D42" s="852">
        <f t="shared" si="2"/>
        <v>0</v>
      </c>
      <c r="E42" s="852">
        <f t="shared" si="3"/>
        <v>69</v>
      </c>
      <c r="F42" s="852">
        <f t="shared" si="4"/>
        <v>0</v>
      </c>
      <c r="G42" s="852">
        <f t="shared" si="5"/>
        <v>0</v>
      </c>
      <c r="H42" s="852">
        <f t="shared" si="6"/>
        <v>0</v>
      </c>
      <c r="I42" s="852">
        <f t="shared" si="7"/>
        <v>0</v>
      </c>
      <c r="J42" s="852">
        <f t="shared" si="8"/>
        <v>0</v>
      </c>
      <c r="K42" s="852">
        <f t="shared" si="9"/>
        <v>0</v>
      </c>
      <c r="L42" s="827">
        <f t="shared" si="10"/>
        <v>7.666666666666667</v>
      </c>
      <c r="M42" s="39">
        <f t="shared" si="11"/>
        <v>2</v>
      </c>
    </row>
    <row r="43" spans="1:13" ht="20.100000000000001" customHeight="1" x14ac:dyDescent="0.25">
      <c r="A43" s="851">
        <v>38</v>
      </c>
      <c r="B43" s="198" t="e">
        <f t="shared" si="0"/>
        <v>#N/A</v>
      </c>
      <c r="C43" s="852">
        <f t="shared" si="1"/>
        <v>0</v>
      </c>
      <c r="D43" s="852">
        <f t="shared" si="2"/>
        <v>0</v>
      </c>
      <c r="E43" s="852">
        <f t="shared" si="3"/>
        <v>0</v>
      </c>
      <c r="F43" s="852">
        <f t="shared" si="4"/>
        <v>0</v>
      </c>
      <c r="G43" s="852">
        <f t="shared" si="5"/>
        <v>0</v>
      </c>
      <c r="H43" s="852">
        <f t="shared" si="6"/>
        <v>0</v>
      </c>
      <c r="I43" s="852">
        <f t="shared" si="7"/>
        <v>0</v>
      </c>
      <c r="J43" s="852">
        <f t="shared" si="8"/>
        <v>0</v>
      </c>
      <c r="K43" s="852">
        <f t="shared" si="9"/>
        <v>0</v>
      </c>
      <c r="L43" s="827">
        <f t="shared" si="10"/>
        <v>0</v>
      </c>
      <c r="M43" s="39">
        <f t="shared" si="11"/>
        <v>22</v>
      </c>
    </row>
    <row r="44" spans="1:13" ht="20.100000000000001" customHeight="1" x14ac:dyDescent="0.25">
      <c r="A44" s="34">
        <v>39</v>
      </c>
      <c r="B44" s="198" t="e">
        <f t="shared" si="0"/>
        <v>#N/A</v>
      </c>
      <c r="C44" s="852">
        <f t="shared" si="1"/>
        <v>0</v>
      </c>
      <c r="D44" s="852">
        <f t="shared" si="2"/>
        <v>0</v>
      </c>
      <c r="E44" s="852">
        <f t="shared" si="3"/>
        <v>69</v>
      </c>
      <c r="F44" s="852">
        <f t="shared" si="4"/>
        <v>0</v>
      </c>
      <c r="G44" s="852">
        <f t="shared" si="5"/>
        <v>0</v>
      </c>
      <c r="H44" s="852">
        <f t="shared" si="6"/>
        <v>0</v>
      </c>
      <c r="I44" s="852">
        <f t="shared" si="7"/>
        <v>0</v>
      </c>
      <c r="J44" s="852">
        <f t="shared" si="8"/>
        <v>0</v>
      </c>
      <c r="K44" s="852">
        <f t="shared" si="9"/>
        <v>0</v>
      </c>
      <c r="L44" s="827">
        <f t="shared" si="10"/>
        <v>7.666666666666667</v>
      </c>
      <c r="M44" s="39">
        <f t="shared" si="11"/>
        <v>2</v>
      </c>
    </row>
    <row r="45" spans="1:13" ht="20.100000000000001" customHeight="1" x14ac:dyDescent="0.25">
      <c r="A45" s="851">
        <v>40</v>
      </c>
      <c r="B45" s="198" t="e">
        <f t="shared" si="0"/>
        <v>#N/A</v>
      </c>
      <c r="C45" s="852">
        <f t="shared" si="1"/>
        <v>0</v>
      </c>
      <c r="D45" s="852">
        <f t="shared" si="2"/>
        <v>0</v>
      </c>
      <c r="E45" s="852">
        <f t="shared" si="3"/>
        <v>0</v>
      </c>
      <c r="F45" s="852">
        <f t="shared" si="4"/>
        <v>0</v>
      </c>
      <c r="G45" s="852">
        <f t="shared" si="5"/>
        <v>0</v>
      </c>
      <c r="H45" s="852">
        <f t="shared" si="6"/>
        <v>0</v>
      </c>
      <c r="I45" s="852">
        <f t="shared" si="7"/>
        <v>0</v>
      </c>
      <c r="J45" s="852">
        <f t="shared" si="8"/>
        <v>0</v>
      </c>
      <c r="K45" s="852">
        <f t="shared" si="9"/>
        <v>0</v>
      </c>
      <c r="L45" s="827">
        <f t="shared" si="10"/>
        <v>0</v>
      </c>
      <c r="M45" s="39">
        <f t="shared" si="11"/>
        <v>22</v>
      </c>
    </row>
    <row r="46" spans="1:13" ht="20.100000000000001" customHeight="1" x14ac:dyDescent="0.25">
      <c r="A46" s="34"/>
      <c r="B46" s="787"/>
      <c r="C46" s="788"/>
      <c r="D46" s="788"/>
      <c r="E46" s="788"/>
      <c r="F46" s="788"/>
      <c r="G46" s="788"/>
      <c r="H46" s="788"/>
      <c r="I46" s="788"/>
      <c r="J46" s="788"/>
      <c r="K46" s="788"/>
      <c r="L46" s="649"/>
      <c r="M46" s="788"/>
    </row>
    <row r="47" spans="1:13" ht="15.75" x14ac:dyDescent="0.25">
      <c r="A47" s="828">
        <v>42</v>
      </c>
      <c r="B47" s="792" t="s">
        <v>39</v>
      </c>
      <c r="C47" s="789">
        <f>IFERROR(AVERAGE(C6:C45),"  ")</f>
        <v>0</v>
      </c>
      <c r="D47" s="789">
        <f t="shared" ref="D47:L47" si="12">IFERROR(AVERAGE(D6:D45),"  ")</f>
        <v>1.75</v>
      </c>
      <c r="E47" s="789">
        <f t="shared" si="12"/>
        <v>36.225000000000001</v>
      </c>
      <c r="F47" s="789">
        <f t="shared" si="12"/>
        <v>0</v>
      </c>
      <c r="G47" s="789">
        <f t="shared" si="12"/>
        <v>0</v>
      </c>
      <c r="H47" s="789">
        <f t="shared" si="12"/>
        <v>0</v>
      </c>
      <c r="I47" s="789">
        <f t="shared" si="12"/>
        <v>0</v>
      </c>
      <c r="J47" s="789">
        <f t="shared" si="12"/>
        <v>0</v>
      </c>
      <c r="K47" s="789">
        <f t="shared" si="12"/>
        <v>0</v>
      </c>
      <c r="L47" s="789">
        <f t="shared" si="12"/>
        <v>4.2194444444444432</v>
      </c>
      <c r="M47" s="46"/>
    </row>
    <row r="48" spans="1:13" ht="15.75" x14ac:dyDescent="0.25">
      <c r="A48" s="828">
        <v>43</v>
      </c>
      <c r="B48" s="793" t="s">
        <v>540</v>
      </c>
      <c r="C48" s="790">
        <f>MAX(C6:C45)</f>
        <v>0</v>
      </c>
      <c r="D48" s="790">
        <f t="shared" ref="D48:L48" si="13">MAX(D6:D45)</f>
        <v>70</v>
      </c>
      <c r="E48" s="790">
        <f t="shared" si="13"/>
        <v>69</v>
      </c>
      <c r="F48" s="790">
        <f t="shared" si="13"/>
        <v>0</v>
      </c>
      <c r="G48" s="790">
        <f t="shared" si="13"/>
        <v>0</v>
      </c>
      <c r="H48" s="790">
        <f t="shared" si="13"/>
        <v>0</v>
      </c>
      <c r="I48" s="790">
        <f t="shared" si="13"/>
        <v>0</v>
      </c>
      <c r="J48" s="790">
        <f t="shared" si="13"/>
        <v>0</v>
      </c>
      <c r="K48" s="790">
        <f t="shared" si="13"/>
        <v>0</v>
      </c>
      <c r="L48" s="790">
        <f t="shared" si="13"/>
        <v>15.444444444444445</v>
      </c>
      <c r="M48" s="46"/>
    </row>
    <row r="49" spans="1:13" ht="15.75" x14ac:dyDescent="0.25">
      <c r="A49" s="828">
        <v>44</v>
      </c>
      <c r="B49" s="794" t="s">
        <v>541</v>
      </c>
      <c r="C49" s="791">
        <f>MIN(C6:C45)</f>
        <v>0</v>
      </c>
      <c r="D49" s="791">
        <f t="shared" ref="D49:L49" si="14">MIN(D6:D45)</f>
        <v>0</v>
      </c>
      <c r="E49" s="791">
        <f t="shared" si="14"/>
        <v>0</v>
      </c>
      <c r="F49" s="791">
        <f t="shared" si="14"/>
        <v>0</v>
      </c>
      <c r="G49" s="791">
        <f t="shared" si="14"/>
        <v>0</v>
      </c>
      <c r="H49" s="791">
        <f t="shared" si="14"/>
        <v>0</v>
      </c>
      <c r="I49" s="791">
        <f t="shared" si="14"/>
        <v>0</v>
      </c>
      <c r="J49" s="791">
        <f t="shared" si="14"/>
        <v>0</v>
      </c>
      <c r="K49" s="791">
        <f t="shared" si="14"/>
        <v>0</v>
      </c>
      <c r="L49" s="791">
        <f t="shared" si="14"/>
        <v>0</v>
      </c>
      <c r="M49" s="46"/>
    </row>
  </sheetData>
  <mergeCells count="3">
    <mergeCell ref="A4:A5"/>
    <mergeCell ref="B4:B5"/>
    <mergeCell ref="C4:M4"/>
  </mergeCells>
  <conditionalFormatting sqref="M6:M45">
    <cfRule type="top10" dxfId="1" priority="1" bottom="1" rank="5"/>
  </conditionalFormatting>
  <pageMargins left="0.7" right="0.7" top="0.75" bottom="0.75" header="0.3" footer="0.3"/>
  <pageSetup paperSize="9" orientation="portrait" horizontalDpi="0" verticalDpi="0" r:id="rId1"/>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dimension ref="A1:H50"/>
  <sheetViews>
    <sheetView showGridLines="0" workbookViewId="0">
      <selection activeCell="I4" sqref="I4"/>
    </sheetView>
  </sheetViews>
  <sheetFormatPr defaultRowHeight="15" x14ac:dyDescent="0.25"/>
  <cols>
    <col min="1" max="1" width="22.140625" customWidth="1"/>
    <col min="2" max="2" width="1.5703125" customWidth="1"/>
    <col min="3" max="3" width="11" customWidth="1"/>
    <col min="4" max="4" width="14" customWidth="1"/>
    <col min="5" max="5" width="20.140625" customWidth="1"/>
    <col min="6" max="6" width="15.5703125" customWidth="1"/>
    <col min="7" max="7" width="3.42578125" style="841" customWidth="1"/>
  </cols>
  <sheetData>
    <row r="1" spans="1:8" ht="15.75" customHeight="1" x14ac:dyDescent="0.3">
      <c r="B1" s="795"/>
      <c r="C1" s="795"/>
      <c r="D1" s="795"/>
      <c r="E1" s="795"/>
      <c r="F1" s="795"/>
      <c r="G1" s="840"/>
    </row>
    <row r="2" spans="1:8" ht="21" customHeight="1" x14ac:dyDescent="0.3">
      <c r="A2" s="854" t="s">
        <v>543</v>
      </c>
      <c r="B2" s="796"/>
      <c r="C2" s="796"/>
      <c r="D2" s="796"/>
      <c r="E2" s="796"/>
      <c r="F2" s="795"/>
      <c r="G2" s="840"/>
      <c r="H2" s="829">
        <v>1</v>
      </c>
    </row>
    <row r="3" spans="1:8" ht="17.25" customHeight="1" x14ac:dyDescent="0.3">
      <c r="A3" s="797" t="s">
        <v>544</v>
      </c>
      <c r="B3" s="798"/>
      <c r="C3" s="798"/>
      <c r="D3" s="798"/>
      <c r="E3" s="798"/>
      <c r="F3" s="795"/>
      <c r="G3" s="840"/>
    </row>
    <row r="4" spans="1:8" ht="11.25" customHeight="1" x14ac:dyDescent="0.3">
      <c r="A4" s="798"/>
      <c r="B4" s="798"/>
      <c r="C4" s="798"/>
      <c r="D4" s="798"/>
      <c r="E4" s="798"/>
      <c r="F4" s="795"/>
      <c r="G4" s="840"/>
    </row>
    <row r="5" spans="1:8" ht="22.5" x14ac:dyDescent="0.3">
      <c r="A5" s="830" t="s">
        <v>561</v>
      </c>
      <c r="B5" s="799"/>
      <c r="C5" s="799"/>
      <c r="D5" s="799"/>
      <c r="E5" s="799"/>
      <c r="F5" s="795"/>
      <c r="G5" s="840"/>
    </row>
    <row r="6" spans="1:8" ht="15.75" x14ac:dyDescent="0.25">
      <c r="A6" s="800" t="s">
        <v>545</v>
      </c>
      <c r="B6" s="801" t="s">
        <v>255</v>
      </c>
      <c r="C6" s="832">
        <f>H2</f>
        <v>1</v>
      </c>
      <c r="D6" s="1"/>
      <c r="E6" s="1"/>
    </row>
    <row r="7" spans="1:8" ht="15.75" x14ac:dyDescent="0.25">
      <c r="A7" s="800" t="s">
        <v>55</v>
      </c>
      <c r="B7" s="801" t="s">
        <v>255</v>
      </c>
      <c r="C7" s="832" t="str">
        <f>VLOOKUP(H2,data_siswa,2,FALSE)</f>
        <v>2522</v>
      </c>
      <c r="D7" s="1"/>
      <c r="E7" s="1"/>
      <c r="F7" s="802" t="s">
        <v>596</v>
      </c>
      <c r="G7" s="842"/>
    </row>
    <row r="8" spans="1:8" ht="20.25" customHeight="1" x14ac:dyDescent="0.25">
      <c r="A8" s="800" t="s">
        <v>547</v>
      </c>
      <c r="B8" s="801" t="s">
        <v>255</v>
      </c>
      <c r="C8" s="3349" t="str">
        <f>VLOOKUP(C6,data_siswa,4,FALSE)</f>
        <v>Achmad Zacky</v>
      </c>
      <c r="D8" s="3349"/>
      <c r="E8" s="3349"/>
      <c r="F8" s="802" t="s">
        <v>546</v>
      </c>
      <c r="G8" s="842"/>
    </row>
    <row r="9" spans="1:8" ht="18.75" customHeight="1" x14ac:dyDescent="0.25">
      <c r="A9" s="803" t="s">
        <v>548</v>
      </c>
      <c r="B9" s="56"/>
      <c r="C9" s="803" t="s">
        <v>32</v>
      </c>
      <c r="D9" s="803" t="s">
        <v>62</v>
      </c>
      <c r="E9" s="804" t="s">
        <v>37</v>
      </c>
      <c r="F9" s="803" t="s">
        <v>549</v>
      </c>
      <c r="G9" s="843"/>
    </row>
    <row r="10" spans="1:8" s="75" customFormat="1" ht="6" customHeight="1" x14ac:dyDescent="0.3">
      <c r="A10" s="805"/>
      <c r="B10" s="806"/>
      <c r="C10" s="807"/>
      <c r="D10" s="808"/>
      <c r="E10" s="809"/>
      <c r="F10" s="810"/>
      <c r="G10" s="838"/>
    </row>
    <row r="11" spans="1:8" x14ac:dyDescent="0.25">
      <c r="A11" s="811" t="s">
        <v>550</v>
      </c>
      <c r="B11" s="812"/>
      <c r="C11" s="857">
        <f>VLOOKUP(H2,rekap_ki4,3,FALSE)</f>
        <v>0</v>
      </c>
      <c r="D11" s="1144" t="str">
        <f>IF(C11&gt;85,("A"),IF(C11&gt;80,("A-"),IF(C11&gt;75,("B+"),IF(C11&gt;70,("B"),IF(C11&gt;65,("B-"),IF(C11&gt;60,("C+"),IF(C11&gt;55,("C"),IF(C11&gt;50,("C-"),"D+"))))))))</f>
        <v>D+</v>
      </c>
      <c r="E11" s="858">
        <f>'REKAP KI4'!C48</f>
        <v>0</v>
      </c>
      <c r="F11" s="858">
        <f>E11-C11</f>
        <v>0</v>
      </c>
      <c r="G11" s="844"/>
    </row>
    <row r="12" spans="1:8" x14ac:dyDescent="0.25">
      <c r="A12" s="813" t="s">
        <v>191</v>
      </c>
      <c r="B12" s="812"/>
      <c r="C12" s="857">
        <f>VLOOKUP(H2,rekap_ki4,4,FALSE)</f>
        <v>70</v>
      </c>
      <c r="D12" s="1144" t="str">
        <f t="shared" ref="D12:D19" si="0">IF(C12&gt;85,("A"),IF(C12&gt;80,("A-"),IF(C12&gt;75,("B+"),IF(C12&gt;70,("B"),IF(C12&gt;65,("B-"),IF(C12&gt;60,("C+"),IF(C12&gt;55,("C"),IF(C12&gt;50,("C-"),"D+"))))))))</f>
        <v>B-</v>
      </c>
      <c r="E12" s="1141">
        <f>'REKAP KI4'!D48</f>
        <v>70</v>
      </c>
      <c r="F12" s="1141">
        <f t="shared" ref="F12:F19" si="1">E12-C12</f>
        <v>0</v>
      </c>
      <c r="G12" s="844"/>
    </row>
    <row r="13" spans="1:8" x14ac:dyDescent="0.25">
      <c r="A13" s="813" t="s">
        <v>551</v>
      </c>
      <c r="B13" s="812"/>
      <c r="C13" s="857">
        <f>VLOOKUP(H2,rekap_ki4,4,FALSE)</f>
        <v>70</v>
      </c>
      <c r="D13" s="1144" t="str">
        <f t="shared" si="0"/>
        <v>B-</v>
      </c>
      <c r="E13" s="1145">
        <f>'REKAP KI4'!E48</f>
        <v>69</v>
      </c>
      <c r="F13" s="1141">
        <f t="shared" si="1"/>
        <v>-1</v>
      </c>
      <c r="G13" s="844"/>
    </row>
    <row r="14" spans="1:8" x14ac:dyDescent="0.25">
      <c r="A14" s="813" t="s">
        <v>538</v>
      </c>
      <c r="B14" s="812"/>
      <c r="C14" s="857">
        <f>VLOOKUP(H2,rekap_ki4,6,FALSE)</f>
        <v>0</v>
      </c>
      <c r="D14" s="1144" t="str">
        <f t="shared" si="0"/>
        <v>D+</v>
      </c>
      <c r="E14" s="1145">
        <f>'REKAP KI4'!F48</f>
        <v>0</v>
      </c>
      <c r="F14" s="1141">
        <f t="shared" si="1"/>
        <v>0</v>
      </c>
      <c r="G14" s="844"/>
    </row>
    <row r="15" spans="1:8" x14ac:dyDescent="0.25">
      <c r="A15" s="813" t="s">
        <v>594</v>
      </c>
      <c r="B15" s="812"/>
      <c r="C15" s="857">
        <f>VLOOKUP(H2,rekap_ki4,7,FALSE)</f>
        <v>0</v>
      </c>
      <c r="D15" s="1144" t="str">
        <f t="shared" si="0"/>
        <v>D+</v>
      </c>
      <c r="E15" s="1145">
        <f>'REKAP KI4'!G48</f>
        <v>0</v>
      </c>
      <c r="F15" s="1141">
        <f t="shared" si="1"/>
        <v>0</v>
      </c>
      <c r="G15" s="844"/>
    </row>
    <row r="16" spans="1:8" x14ac:dyDescent="0.25">
      <c r="A16" s="813" t="s">
        <v>595</v>
      </c>
      <c r="B16" s="812"/>
      <c r="C16" s="857">
        <f>VLOOKUP(H2,rekap_ki4,8,FALSE)</f>
        <v>0</v>
      </c>
      <c r="D16" s="1144" t="str">
        <f t="shared" si="0"/>
        <v>D+</v>
      </c>
      <c r="E16" s="1141">
        <f>'REKAP KI4'!H48</f>
        <v>0</v>
      </c>
      <c r="F16" s="1141">
        <f t="shared" si="1"/>
        <v>0</v>
      </c>
      <c r="G16" s="844"/>
    </row>
    <row r="17" spans="1:8" x14ac:dyDescent="0.25">
      <c r="A17" s="813" t="s">
        <v>215</v>
      </c>
      <c r="B17" s="812"/>
      <c r="C17" s="857">
        <f>VLOOKUP(H2,rekap_ki4,9,FALSE)</f>
        <v>0</v>
      </c>
      <c r="D17" s="1144" t="str">
        <f t="shared" si="0"/>
        <v>D+</v>
      </c>
      <c r="E17" s="1141">
        <f>'REKAP KI4'!I48</f>
        <v>0</v>
      </c>
      <c r="F17" s="1141">
        <f t="shared" si="1"/>
        <v>0</v>
      </c>
      <c r="G17" s="844"/>
    </row>
    <row r="18" spans="1:8" x14ac:dyDescent="0.25">
      <c r="A18" s="814" t="s">
        <v>198</v>
      </c>
      <c r="B18" s="812"/>
      <c r="C18" s="857">
        <f>VLOOKUP(H2,rekap_ki4,10,FALSE)</f>
        <v>0</v>
      </c>
      <c r="D18" s="1144" t="str">
        <f t="shared" si="0"/>
        <v>D+</v>
      </c>
      <c r="E18" s="1141">
        <f>'REKAP KI4'!J48</f>
        <v>0</v>
      </c>
      <c r="F18" s="1141">
        <f t="shared" si="1"/>
        <v>0</v>
      </c>
      <c r="G18" s="844"/>
    </row>
    <row r="19" spans="1:8" x14ac:dyDescent="0.25">
      <c r="A19" s="813" t="s">
        <v>539</v>
      </c>
      <c r="B19" s="812"/>
      <c r="C19" s="857">
        <f>VLOOKUP(H2,rekap_ki4,11,FALSE)</f>
        <v>0</v>
      </c>
      <c r="D19" s="1144" t="str">
        <f t="shared" si="0"/>
        <v>D+</v>
      </c>
      <c r="E19" s="1141">
        <f>'REKAP KI4'!K48</f>
        <v>0</v>
      </c>
      <c r="F19" s="1141">
        <f t="shared" si="1"/>
        <v>0</v>
      </c>
      <c r="G19" s="844"/>
    </row>
    <row r="20" spans="1:8" ht="6" customHeight="1" x14ac:dyDescent="0.25"/>
    <row r="21" spans="1:8" ht="15.75" x14ac:dyDescent="0.25">
      <c r="A21" s="815" t="s">
        <v>39</v>
      </c>
      <c r="B21" s="816"/>
      <c r="C21" s="3351">
        <f>VLOOKUP(H2,rekap_ki4,13,FALSE)</f>
        <v>1</v>
      </c>
      <c r="D21" s="3351"/>
      <c r="E21" s="3351"/>
      <c r="F21" s="3351"/>
      <c r="G21" s="845"/>
    </row>
    <row r="22" spans="1:8" ht="15.75" x14ac:dyDescent="0.25">
      <c r="A22" s="815" t="s">
        <v>552</v>
      </c>
      <c r="B22" s="816"/>
      <c r="C22" s="3352">
        <f>VLOOKUP(H2,rekap_ki4,13,FALSE)</f>
        <v>1</v>
      </c>
      <c r="D22" s="3352"/>
      <c r="E22" s="3352"/>
      <c r="F22" s="3352"/>
      <c r="G22" s="846"/>
    </row>
    <row r="23" spans="1:8" ht="15.75" x14ac:dyDescent="0.25">
      <c r="A23" s="817"/>
      <c r="B23" s="818"/>
      <c r="C23" s="819"/>
      <c r="D23" s="819"/>
      <c r="E23" s="819"/>
      <c r="F23" s="819"/>
      <c r="G23" s="839"/>
      <c r="H23" s="75"/>
    </row>
    <row r="24" spans="1:8" ht="18.75" x14ac:dyDescent="0.25">
      <c r="A24" s="835" t="s">
        <v>553</v>
      </c>
      <c r="B24" t="s">
        <v>255</v>
      </c>
      <c r="C24" s="3350" t="str">
        <f>C8</f>
        <v>Achmad Zacky</v>
      </c>
      <c r="D24" s="3350"/>
    </row>
    <row r="25" spans="1:8" ht="15.75" x14ac:dyDescent="0.25">
      <c r="A25" s="820" t="s">
        <v>108</v>
      </c>
      <c r="B25" t="s">
        <v>255</v>
      </c>
      <c r="C25" s="837">
        <v>1</v>
      </c>
      <c r="D25" s="821"/>
    </row>
    <row r="30" spans="1:8" ht="15.75" x14ac:dyDescent="0.25">
      <c r="E30" s="56"/>
    </row>
    <row r="42" spans="1:7" x14ac:dyDescent="0.25">
      <c r="A42" s="822"/>
    </row>
    <row r="43" spans="1:7" x14ac:dyDescent="0.25">
      <c r="A43" s="822"/>
    </row>
    <row r="44" spans="1:7" ht="15.75" x14ac:dyDescent="0.25">
      <c r="A44" s="3353" t="s">
        <v>554</v>
      </c>
      <c r="C44" s="3355" t="s">
        <v>495</v>
      </c>
      <c r="D44" s="3356"/>
      <c r="E44" s="3356"/>
      <c r="F44" s="3357"/>
      <c r="G44" s="843"/>
    </row>
    <row r="45" spans="1:7" ht="15.75" x14ac:dyDescent="0.25">
      <c r="A45" s="3354"/>
      <c r="C45" s="3358"/>
      <c r="D45" s="3359"/>
      <c r="E45" s="3359"/>
      <c r="F45" s="3360"/>
      <c r="G45" s="843"/>
    </row>
    <row r="47" spans="1:7" x14ac:dyDescent="0.25">
      <c r="A47" s="823" t="s">
        <v>555</v>
      </c>
      <c r="C47" s="3337" t="s">
        <v>556</v>
      </c>
      <c r="D47" s="3338"/>
      <c r="E47" s="836" t="s">
        <v>557</v>
      </c>
      <c r="F47" s="831"/>
      <c r="G47" s="847"/>
    </row>
    <row r="48" spans="1:7" x14ac:dyDescent="0.25">
      <c r="A48" s="3343" t="str">
        <f>VLOOKUP(A50,data_guru,3,FALSE)</f>
        <v>Ahmad, S.Pd</v>
      </c>
      <c r="C48" s="3339"/>
      <c r="D48" s="3340"/>
      <c r="E48" s="3345" t="str">
        <f>VLOOKUP(H2,data_eskulkes,19,FALSE)</f>
        <v>Rajin belajar agar dapat berprestasi dengan baik, dan perlu diperhatikan tulisannya lebih rapi dan rajin.</v>
      </c>
      <c r="F48" s="3346"/>
      <c r="G48" s="848"/>
    </row>
    <row r="49" spans="1:7" x14ac:dyDescent="0.25">
      <c r="A49" s="3344"/>
      <c r="C49" s="3341"/>
      <c r="D49" s="3342"/>
      <c r="E49" s="3347"/>
      <c r="F49" s="3348"/>
      <c r="G49" s="848"/>
    </row>
    <row r="50" spans="1:7" x14ac:dyDescent="0.25">
      <c r="A50" s="666">
        <v>3</v>
      </c>
    </row>
  </sheetData>
  <mergeCells count="9">
    <mergeCell ref="C47:D49"/>
    <mergeCell ref="A48:A49"/>
    <mergeCell ref="E48:F49"/>
    <mergeCell ref="C8:E8"/>
    <mergeCell ref="C21:F21"/>
    <mergeCell ref="C22:F22"/>
    <mergeCell ref="C24:D24"/>
    <mergeCell ref="A44:A45"/>
    <mergeCell ref="C44:F45"/>
  </mergeCells>
  <pageMargins left="0.92" right="0.64" top="0.75" bottom="0.75" header="0.3" footer="0.3"/>
  <pageSetup paperSize="9" orientation="portrait" horizontalDpi="0" verticalDpi="0" r:id="rId1"/>
  <drawing r:id="rId2"/>
  <legacyDrawing r:id="rId3"/>
  <controls>
    <mc:AlternateContent xmlns:mc="http://schemas.openxmlformats.org/markup-compatibility/2006">
      <mc:Choice Requires="x14">
        <control shapeId="71681" r:id="rId4" name="SpinButton1">
          <controlPr defaultSize="0" autoLine="0" linkedCell="HASIL2!H2" r:id="rId5">
            <anchor moveWithCells="1">
              <from>
                <xdr:col>8</xdr:col>
                <xdr:colOff>57150</xdr:colOff>
                <xdr:row>0</xdr:row>
                <xdr:rowOff>190500</xdr:rowOff>
              </from>
              <to>
                <xdr:col>9</xdr:col>
                <xdr:colOff>85725</xdr:colOff>
                <xdr:row>2</xdr:row>
                <xdr:rowOff>19050</xdr:rowOff>
              </to>
            </anchor>
          </controlPr>
        </control>
      </mc:Choice>
      <mc:Fallback>
        <control shapeId="71681" r:id="rId4" name="SpinButton1"/>
      </mc:Fallback>
    </mc:AlternateContent>
  </control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V53"/>
  <sheetViews>
    <sheetView showGridLines="0" workbookViewId="0"/>
  </sheetViews>
  <sheetFormatPr defaultColWidth="3.7109375" defaultRowHeight="14.1" customHeight="1" x14ac:dyDescent="0.25"/>
  <cols>
    <col min="1" max="1" width="3.28515625" customWidth="1"/>
    <col min="2" max="2" width="3" customWidth="1"/>
    <col min="3" max="5" width="3.7109375" customWidth="1"/>
    <col min="6" max="6" width="2.7109375" customWidth="1"/>
    <col min="7" max="11" width="3.7109375" customWidth="1"/>
    <col min="12" max="12" width="3.42578125" customWidth="1"/>
    <col min="13" max="15" width="3.7109375" customWidth="1"/>
    <col min="16" max="16" width="3.85546875" customWidth="1"/>
    <col min="17" max="17" width="2.140625" customWidth="1"/>
    <col min="18" max="20" width="3.7109375" customWidth="1"/>
    <col min="21" max="21" width="4.28515625" customWidth="1"/>
    <col min="22" max="24" width="3.7109375" customWidth="1"/>
    <col min="25" max="25" width="4.28515625" customWidth="1"/>
    <col min="26" max="26" width="4.5703125" customWidth="1"/>
    <col min="29" max="29" width="3.7109375" customWidth="1"/>
  </cols>
  <sheetData>
    <row r="1" spans="1:48" ht="14.1" customHeight="1" x14ac:dyDescent="0.25">
      <c r="A1" s="1"/>
      <c r="B1" s="1"/>
      <c r="C1" s="1"/>
      <c r="D1" s="1"/>
      <c r="E1" s="1"/>
      <c r="F1" s="1"/>
      <c r="G1" s="1"/>
      <c r="H1" s="1"/>
      <c r="I1" s="1"/>
      <c r="J1" s="1"/>
      <c r="K1" s="1"/>
      <c r="L1" s="1"/>
      <c r="M1" s="1"/>
      <c r="N1" s="1"/>
      <c r="O1" s="1"/>
      <c r="P1" s="1"/>
      <c r="Q1" s="1"/>
      <c r="R1" s="1"/>
      <c r="S1" s="1"/>
      <c r="T1" s="1"/>
      <c r="U1" s="1"/>
      <c r="V1" s="1"/>
      <c r="W1" s="1"/>
      <c r="X1" s="1"/>
      <c r="Y1" s="1"/>
      <c r="Z1" s="1987">
        <v>1</v>
      </c>
      <c r="AA1" s="1988"/>
      <c r="AB1" s="1989"/>
      <c r="AC1" s="1989"/>
      <c r="AD1" s="1989"/>
      <c r="AE1" s="1989"/>
      <c r="AF1" s="1989"/>
      <c r="AG1" s="1989"/>
      <c r="AH1" s="1989"/>
      <c r="AI1" s="1989"/>
      <c r="AJ1" s="1989"/>
      <c r="AK1" s="1989"/>
      <c r="AL1" s="1989"/>
      <c r="AM1" s="1989"/>
      <c r="AN1" s="1989"/>
      <c r="AO1" s="1989"/>
      <c r="AP1" s="1989"/>
      <c r="AQ1" s="1989"/>
      <c r="AR1" s="1989"/>
      <c r="AS1" s="1989"/>
      <c r="AT1" s="1989"/>
      <c r="AU1" s="1989"/>
      <c r="AV1" s="1990"/>
    </row>
    <row r="2" spans="1:48" ht="18" customHeight="1" x14ac:dyDescent="0.25">
      <c r="A2" s="3421" t="s">
        <v>405</v>
      </c>
      <c r="B2" s="3421"/>
      <c r="C2" s="3421"/>
      <c r="D2" s="3421"/>
      <c r="E2" s="3421"/>
      <c r="F2" s="3421"/>
      <c r="G2" s="3421"/>
      <c r="H2" s="3421"/>
      <c r="I2" s="3421"/>
      <c r="J2" s="3421"/>
      <c r="K2" s="3421"/>
      <c r="L2" s="3421"/>
      <c r="M2" s="3421"/>
      <c r="N2" s="3421"/>
      <c r="O2" s="3421"/>
      <c r="P2" s="3421"/>
      <c r="Q2" s="3421"/>
      <c r="R2" s="3421"/>
      <c r="S2" s="3421"/>
      <c r="T2" s="3421"/>
      <c r="U2" s="3421"/>
      <c r="V2" s="3421"/>
      <c r="W2" s="3421"/>
      <c r="X2" s="3421"/>
      <c r="Y2" s="3421"/>
      <c r="Z2" s="3421"/>
      <c r="AA2" s="1991"/>
      <c r="AB2" s="7"/>
      <c r="AC2" s="7"/>
      <c r="AD2" s="7"/>
      <c r="AE2" s="7"/>
      <c r="AF2" s="7"/>
      <c r="AG2" s="7"/>
      <c r="AH2" s="7"/>
      <c r="AI2" s="7"/>
      <c r="AJ2" s="7"/>
      <c r="AK2" s="7"/>
      <c r="AL2" s="7"/>
      <c r="AM2" s="7"/>
      <c r="AN2" s="7"/>
      <c r="AO2" s="7"/>
      <c r="AP2" s="7"/>
      <c r="AQ2" s="7"/>
      <c r="AR2" s="7"/>
      <c r="AS2" s="7"/>
      <c r="AT2" s="7"/>
      <c r="AU2" s="7"/>
      <c r="AV2" s="1992"/>
    </row>
    <row r="3" spans="1:48" ht="14.1" customHeight="1" x14ac:dyDescent="0.25">
      <c r="A3" s="1"/>
      <c r="B3" s="1"/>
      <c r="C3" s="1"/>
      <c r="D3" s="1"/>
      <c r="E3" s="1"/>
      <c r="F3" s="1"/>
      <c r="G3" s="1"/>
      <c r="H3" s="1"/>
      <c r="I3" s="1"/>
      <c r="J3" s="1"/>
      <c r="K3" s="1"/>
      <c r="L3" s="1"/>
      <c r="M3" s="1"/>
      <c r="N3" s="1"/>
      <c r="O3" s="1"/>
      <c r="P3" s="1"/>
      <c r="Q3" s="1"/>
      <c r="R3" s="1"/>
      <c r="S3" s="1"/>
      <c r="T3" s="1"/>
      <c r="U3" s="1"/>
      <c r="V3" s="1"/>
      <c r="W3" s="1"/>
      <c r="X3" s="1"/>
      <c r="Y3" s="1"/>
      <c r="Z3" s="1987">
        <v>3</v>
      </c>
      <c r="AA3" s="1993"/>
      <c r="AB3" s="1994"/>
      <c r="AC3" s="1994"/>
      <c r="AD3" s="1994"/>
      <c r="AE3" s="1994"/>
      <c r="AF3" s="1994"/>
      <c r="AG3" s="1994"/>
      <c r="AH3" s="1994"/>
      <c r="AI3" s="1994"/>
      <c r="AJ3" s="1994"/>
      <c r="AK3" s="1994"/>
      <c r="AL3" s="1994"/>
      <c r="AM3" s="1994"/>
      <c r="AN3" s="1994"/>
      <c r="AO3" s="1994"/>
      <c r="AP3" s="1994"/>
      <c r="AQ3" s="1994"/>
      <c r="AR3" s="1994"/>
      <c r="AS3" s="1994"/>
      <c r="AT3" s="1994"/>
      <c r="AU3" s="1994"/>
      <c r="AV3" s="1995"/>
    </row>
    <row r="4" spans="1:48" ht="14.1" customHeight="1" x14ac:dyDescent="0.25">
      <c r="A4" s="1996" t="s">
        <v>220</v>
      </c>
      <c r="B4" s="1997"/>
      <c r="C4" s="1997"/>
      <c r="D4" s="1997"/>
      <c r="E4" s="1997"/>
      <c r="F4" s="1997"/>
      <c r="G4" s="1996" t="s">
        <v>255</v>
      </c>
      <c r="H4" s="1998" t="str">
        <f>VLOOKUP(AC11,data_siswa,4,FALSE)</f>
        <v xml:space="preserve">Deco Badarus Zaman </v>
      </c>
      <c r="I4" s="1997"/>
      <c r="J4" s="1997"/>
      <c r="K4" s="1997"/>
      <c r="L4" s="1997"/>
      <c r="M4" s="1997"/>
      <c r="N4" s="1997"/>
      <c r="O4" s="1997"/>
      <c r="P4" s="1999">
        <v>5</v>
      </c>
      <c r="Q4" s="1996" t="s">
        <v>108</v>
      </c>
      <c r="R4" s="1996"/>
      <c r="S4" s="1996"/>
      <c r="T4" s="1996"/>
      <c r="U4" s="1996"/>
      <c r="V4" s="1996" t="s">
        <v>255</v>
      </c>
      <c r="W4" s="3422" t="str">
        <f>VLOOKUP(P4,data_guru,3,FALSE)</f>
        <v>4 ( empat )</v>
      </c>
      <c r="X4" s="3422"/>
      <c r="Y4" s="3422"/>
      <c r="Z4" s="1996"/>
    </row>
    <row r="5" spans="1:48" ht="14.1" customHeight="1" x14ac:dyDescent="0.25">
      <c r="A5" s="1996" t="s">
        <v>406</v>
      </c>
      <c r="B5" s="1997"/>
      <c r="C5" s="1997"/>
      <c r="D5" s="1997"/>
      <c r="E5" s="1997"/>
      <c r="F5" s="1997"/>
      <c r="G5" s="1996" t="s">
        <v>255</v>
      </c>
      <c r="H5" s="3422">
        <f>VLOOKUP(AC11,data_siswa,2,FALSE)</f>
        <v>2533</v>
      </c>
      <c r="I5" s="3422"/>
      <c r="J5" s="1996" t="s">
        <v>222</v>
      </c>
      <c r="K5" s="1996" t="str">
        <f>VLOOKUP(AC11,data_siswa,3,FALSE)</f>
        <v>0044914646</v>
      </c>
      <c r="L5" s="1996"/>
      <c r="M5" s="1996"/>
      <c r="N5" s="1996"/>
      <c r="O5" s="1996"/>
      <c r="P5" s="1996"/>
      <c r="Q5" s="1996" t="s">
        <v>407</v>
      </c>
      <c r="R5" s="1996"/>
      <c r="S5" s="1996"/>
      <c r="T5" s="1996"/>
      <c r="U5" s="1996"/>
      <c r="V5" s="1996" t="s">
        <v>255</v>
      </c>
      <c r="W5" s="2000" t="s">
        <v>116</v>
      </c>
      <c r="X5" s="1996"/>
      <c r="Y5" s="1996"/>
      <c r="Z5" s="1996"/>
    </row>
    <row r="6" spans="1:48" ht="14.1" customHeight="1" x14ac:dyDescent="0.25">
      <c r="A6" s="1996" t="s">
        <v>93</v>
      </c>
      <c r="B6" s="1997"/>
      <c r="C6" s="1997"/>
      <c r="D6" s="1997"/>
      <c r="E6" s="1997"/>
      <c r="F6" s="1997"/>
      <c r="G6" s="1996" t="s">
        <v>255</v>
      </c>
      <c r="H6" s="1996" t="str">
        <f>VLOOKUP(Z1,data_sekolah,3,FALSE)</f>
        <v>SDN SIRNABAKTI 01</v>
      </c>
      <c r="I6" s="1997"/>
      <c r="J6" s="1997"/>
      <c r="K6" s="1997"/>
      <c r="L6" s="1997"/>
      <c r="M6" s="1997"/>
      <c r="N6" s="1997"/>
      <c r="O6" s="1997"/>
      <c r="P6" s="1997"/>
      <c r="Q6" s="1996" t="s">
        <v>408</v>
      </c>
      <c r="R6" s="1996"/>
      <c r="S6" s="1996"/>
      <c r="T6" s="1996"/>
      <c r="U6" s="1996"/>
      <c r="V6" s="1996" t="s">
        <v>255</v>
      </c>
      <c r="W6" s="2000" t="s">
        <v>409</v>
      </c>
      <c r="X6" s="1996"/>
      <c r="Y6" s="1996"/>
      <c r="Z6" s="1996"/>
    </row>
    <row r="7" spans="1:48" ht="14.1" customHeight="1" x14ac:dyDescent="0.25">
      <c r="A7" s="1996" t="s">
        <v>95</v>
      </c>
      <c r="B7" s="1997"/>
      <c r="C7" s="1997"/>
      <c r="D7" s="1997"/>
      <c r="E7" s="1997"/>
      <c r="F7" s="1997"/>
      <c r="G7" s="1996" t="s">
        <v>255</v>
      </c>
      <c r="H7" s="1996" t="str">
        <f>VLOOKUP(Z3,data_sekolah,3,FALSE)</f>
        <v>Jl.Miramare</v>
      </c>
      <c r="I7" s="1997"/>
      <c r="J7" s="1997"/>
      <c r="K7" s="1997"/>
      <c r="L7" s="1997"/>
      <c r="M7" s="1997"/>
      <c r="N7" s="1997"/>
      <c r="O7" s="1997"/>
      <c r="P7" s="1997"/>
      <c r="Q7" s="1997"/>
      <c r="R7" s="1997"/>
      <c r="S7" s="1997"/>
      <c r="T7" s="1997"/>
      <c r="U7" s="1997"/>
      <c r="V7" s="1997"/>
      <c r="W7" s="1997"/>
      <c r="X7" s="1997"/>
      <c r="Y7" s="1997"/>
      <c r="Z7" s="1997"/>
    </row>
    <row r="8" spans="1:48" ht="14.1" customHeight="1" x14ac:dyDescent="0.25">
      <c r="A8" s="1"/>
      <c r="B8" s="1"/>
      <c r="C8" s="1"/>
      <c r="D8" s="1"/>
      <c r="E8" s="1"/>
      <c r="F8" s="1"/>
      <c r="G8" s="1"/>
      <c r="H8" s="1"/>
      <c r="I8" s="1"/>
      <c r="J8" s="1"/>
      <c r="K8" s="1"/>
      <c r="L8" s="1"/>
      <c r="M8" s="1"/>
      <c r="N8" s="1"/>
      <c r="O8" s="1"/>
      <c r="P8" s="1"/>
      <c r="Q8" s="1"/>
      <c r="R8" s="1"/>
      <c r="S8" s="1"/>
      <c r="T8" s="1"/>
      <c r="U8" s="1"/>
      <c r="V8" s="1"/>
      <c r="W8" s="1"/>
      <c r="X8" s="1"/>
      <c r="Y8" s="1"/>
      <c r="Z8" s="1"/>
    </row>
    <row r="9" spans="1:48" ht="14.1" customHeight="1" x14ac:dyDescent="0.25">
      <c r="A9" s="2001" t="s">
        <v>410</v>
      </c>
      <c r="B9" s="1"/>
      <c r="C9" s="1"/>
      <c r="D9" s="1"/>
      <c r="E9" s="1"/>
      <c r="F9" s="1"/>
      <c r="G9" s="1"/>
      <c r="H9" s="1"/>
      <c r="I9" s="1"/>
      <c r="J9" s="1"/>
      <c r="K9" s="1"/>
      <c r="L9" s="1"/>
      <c r="M9" s="1"/>
      <c r="N9" s="1"/>
      <c r="O9" s="1"/>
      <c r="P9" s="1"/>
      <c r="Q9" s="1"/>
      <c r="R9" s="1"/>
      <c r="S9" s="1"/>
      <c r="T9" s="1"/>
      <c r="U9" s="1"/>
      <c r="V9" s="1"/>
      <c r="W9" s="1"/>
      <c r="X9" s="1"/>
      <c r="Y9" s="1"/>
      <c r="Z9" s="1"/>
    </row>
    <row r="10" spans="1:48"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48" ht="24.75" customHeight="1" x14ac:dyDescent="0.25">
      <c r="A11" s="3423" t="s">
        <v>411</v>
      </c>
      <c r="B11" s="3423"/>
      <c r="C11" s="3423"/>
      <c r="D11" s="3423"/>
      <c r="E11" s="3423"/>
      <c r="F11" s="3423"/>
      <c r="G11" s="3423"/>
      <c r="H11" s="3423"/>
      <c r="I11" s="3423"/>
      <c r="J11" s="3423" t="s">
        <v>412</v>
      </c>
      <c r="K11" s="3423"/>
      <c r="L11" s="3423"/>
      <c r="M11" s="3423"/>
      <c r="N11" s="3423"/>
      <c r="O11" s="3423"/>
      <c r="P11" s="3423"/>
      <c r="Q11" s="3423"/>
      <c r="R11" s="3423"/>
      <c r="S11" s="3423"/>
      <c r="T11" s="3423"/>
      <c r="U11" s="3423"/>
      <c r="V11" s="3423"/>
      <c r="W11" s="3423"/>
      <c r="X11" s="3423"/>
      <c r="Y11" s="3423"/>
      <c r="Z11" s="3423"/>
      <c r="AC11" s="3412">
        <v>10</v>
      </c>
      <c r="AD11" s="3413"/>
      <c r="AE11" s="3414"/>
      <c r="AF11" s="3403" t="str">
        <f>H4</f>
        <v xml:space="preserve">Deco Badarus Zaman </v>
      </c>
      <c r="AG11" s="3404"/>
      <c r="AH11" s="3404"/>
      <c r="AI11" s="3404"/>
      <c r="AJ11" s="3404"/>
      <c r="AK11" s="3404"/>
      <c r="AL11" s="3404"/>
      <c r="AM11" s="3404"/>
      <c r="AN11" s="3404"/>
      <c r="AO11" s="3405"/>
    </row>
    <row r="12" spans="1:48" ht="19.5" customHeight="1" x14ac:dyDescent="0.25">
      <c r="A12" s="2002" t="s">
        <v>413</v>
      </c>
      <c r="B12" s="2003" t="s">
        <v>414</v>
      </c>
      <c r="C12" s="2004"/>
      <c r="D12" s="2004"/>
      <c r="E12" s="2004"/>
      <c r="F12" s="2004"/>
      <c r="G12" s="2005"/>
      <c r="H12" s="2005"/>
      <c r="I12" s="2006"/>
      <c r="J12" s="3394" t="str">
        <f>VLOOKUP(AC11,SPIRITUAL,8,FALSE)</f>
        <v/>
      </c>
      <c r="K12" s="3395"/>
      <c r="L12" s="3395"/>
      <c r="M12" s="3395"/>
      <c r="N12" s="3395"/>
      <c r="O12" s="3395"/>
      <c r="P12" s="3395"/>
      <c r="Q12" s="3395"/>
      <c r="R12" s="3395"/>
      <c r="S12" s="3395"/>
      <c r="T12" s="3395"/>
      <c r="U12" s="3395"/>
      <c r="V12" s="3395"/>
      <c r="W12" s="3395"/>
      <c r="X12" s="3395"/>
      <c r="Y12" s="3395"/>
      <c r="Z12" s="3396"/>
      <c r="AC12" s="3415"/>
      <c r="AD12" s="3416"/>
      <c r="AE12" s="3417"/>
      <c r="AF12" s="3406"/>
      <c r="AG12" s="3407"/>
      <c r="AH12" s="3407"/>
      <c r="AI12" s="3407"/>
      <c r="AJ12" s="3407"/>
      <c r="AK12" s="3407"/>
      <c r="AL12" s="3407"/>
      <c r="AM12" s="3407"/>
      <c r="AN12" s="3407"/>
      <c r="AO12" s="3408"/>
    </row>
    <row r="13" spans="1:48" ht="14.1" customHeight="1" x14ac:dyDescent="0.25">
      <c r="A13" s="2007"/>
      <c r="B13" s="2008" t="s">
        <v>415</v>
      </c>
      <c r="C13" s="2008"/>
      <c r="D13" s="6"/>
      <c r="E13" s="6"/>
      <c r="F13" s="6"/>
      <c r="G13" s="6"/>
      <c r="H13" s="6"/>
      <c r="I13" s="2009"/>
      <c r="J13" s="3397"/>
      <c r="K13" s="3398"/>
      <c r="L13" s="3398"/>
      <c r="M13" s="3398"/>
      <c r="N13" s="3398"/>
      <c r="O13" s="3398"/>
      <c r="P13" s="3398"/>
      <c r="Q13" s="3398"/>
      <c r="R13" s="3398"/>
      <c r="S13" s="3398"/>
      <c r="T13" s="3398"/>
      <c r="U13" s="3398"/>
      <c r="V13" s="3398"/>
      <c r="W13" s="3398"/>
      <c r="X13" s="3398"/>
      <c r="Y13" s="3398"/>
      <c r="Z13" s="3399"/>
      <c r="AC13" s="3418"/>
      <c r="AD13" s="3419"/>
      <c r="AE13" s="3420"/>
      <c r="AF13" s="3409"/>
      <c r="AG13" s="3410"/>
      <c r="AH13" s="3410"/>
      <c r="AI13" s="3410"/>
      <c r="AJ13" s="3410"/>
      <c r="AK13" s="3410"/>
      <c r="AL13" s="3410"/>
      <c r="AM13" s="3410"/>
      <c r="AN13" s="3410"/>
      <c r="AO13" s="3411"/>
    </row>
    <row r="14" spans="1:48" ht="14.1" customHeight="1" x14ac:dyDescent="0.25">
      <c r="A14" s="2007"/>
      <c r="B14" s="2008" t="s">
        <v>416</v>
      </c>
      <c r="C14" s="2008"/>
      <c r="D14" s="6"/>
      <c r="E14" s="6"/>
      <c r="F14" s="6"/>
      <c r="G14" s="6"/>
      <c r="H14" s="6"/>
      <c r="I14" s="2009"/>
      <c r="J14" s="3397"/>
      <c r="K14" s="3398"/>
      <c r="L14" s="3398"/>
      <c r="M14" s="3398"/>
      <c r="N14" s="3398"/>
      <c r="O14" s="3398"/>
      <c r="P14" s="3398"/>
      <c r="Q14" s="3398"/>
      <c r="R14" s="3398"/>
      <c r="S14" s="3398"/>
      <c r="T14" s="3398"/>
      <c r="U14" s="3398"/>
      <c r="V14" s="3398"/>
      <c r="W14" s="3398"/>
      <c r="X14" s="3398"/>
      <c r="Y14" s="3398"/>
      <c r="Z14" s="3399"/>
    </row>
    <row r="15" spans="1:48" ht="14.1" customHeight="1" x14ac:dyDescent="0.25">
      <c r="A15" s="2007"/>
      <c r="B15" s="6"/>
      <c r="C15" s="6"/>
      <c r="D15" s="6"/>
      <c r="E15" s="6"/>
      <c r="F15" s="6"/>
      <c r="G15" s="6"/>
      <c r="H15" s="6"/>
      <c r="I15" s="2009"/>
      <c r="J15" s="3397"/>
      <c r="K15" s="3398"/>
      <c r="L15" s="3398"/>
      <c r="M15" s="3398"/>
      <c r="N15" s="3398"/>
      <c r="O15" s="3398"/>
      <c r="P15" s="3398"/>
      <c r="Q15" s="3398"/>
      <c r="R15" s="3398"/>
      <c r="S15" s="3398"/>
      <c r="T15" s="3398"/>
      <c r="U15" s="3398"/>
      <c r="V15" s="3398"/>
      <c r="W15" s="3398"/>
      <c r="X15" s="3398"/>
      <c r="Y15" s="3398"/>
      <c r="Z15" s="3399"/>
    </row>
    <row r="16" spans="1:48" ht="14.1" customHeight="1" x14ac:dyDescent="0.25">
      <c r="A16" s="2010"/>
      <c r="B16" s="2011"/>
      <c r="C16" s="2011"/>
      <c r="D16" s="2011"/>
      <c r="E16" s="2011"/>
      <c r="F16" s="2011"/>
      <c r="G16" s="2011"/>
      <c r="H16" s="2011"/>
      <c r="I16" s="2012"/>
      <c r="J16" s="3400"/>
      <c r="K16" s="3401"/>
      <c r="L16" s="3401"/>
      <c r="M16" s="3401"/>
      <c r="N16" s="3401"/>
      <c r="O16" s="3401"/>
      <c r="P16" s="3401"/>
      <c r="Q16" s="3401"/>
      <c r="R16" s="3401"/>
      <c r="S16" s="3401"/>
      <c r="T16" s="3401"/>
      <c r="U16" s="3401"/>
      <c r="V16" s="3401"/>
      <c r="W16" s="3401"/>
      <c r="X16" s="3401"/>
      <c r="Y16" s="3401"/>
      <c r="Z16" s="3402"/>
    </row>
    <row r="17" spans="1:26" ht="15" x14ac:dyDescent="0.25">
      <c r="A17" s="2002" t="s">
        <v>227</v>
      </c>
      <c r="B17" s="2013" t="s">
        <v>417</v>
      </c>
      <c r="C17" s="2005"/>
      <c r="D17" s="2004"/>
      <c r="E17" s="2004"/>
      <c r="F17" s="2004"/>
      <c r="G17" s="2004"/>
      <c r="H17" s="2004"/>
      <c r="I17" s="2014"/>
      <c r="J17" s="3394" t="str">
        <f>VLOOKUP(AC11,SOSIAL,8,FALSE)</f>
        <v xml:space="preserve">                      </v>
      </c>
      <c r="K17" s="3395"/>
      <c r="L17" s="3395"/>
      <c r="M17" s="3395"/>
      <c r="N17" s="3395"/>
      <c r="O17" s="3395"/>
      <c r="P17" s="3395"/>
      <c r="Q17" s="3395"/>
      <c r="R17" s="3395"/>
      <c r="S17" s="3395"/>
      <c r="T17" s="3395"/>
      <c r="U17" s="3395"/>
      <c r="V17" s="3395"/>
      <c r="W17" s="3395"/>
      <c r="X17" s="3395"/>
      <c r="Y17" s="3395"/>
      <c r="Z17" s="3396"/>
    </row>
    <row r="18" spans="1:26" ht="15" x14ac:dyDescent="0.25">
      <c r="A18" s="2015"/>
      <c r="B18" s="2008" t="s">
        <v>415</v>
      </c>
      <c r="C18" s="2008"/>
      <c r="D18" s="2008"/>
      <c r="E18" s="2008"/>
      <c r="F18" s="2008"/>
      <c r="G18" s="2008"/>
      <c r="H18" s="2008"/>
      <c r="I18" s="2016"/>
      <c r="J18" s="3397"/>
      <c r="K18" s="3398"/>
      <c r="L18" s="3398"/>
      <c r="M18" s="3398"/>
      <c r="N18" s="3398"/>
      <c r="O18" s="3398"/>
      <c r="P18" s="3398"/>
      <c r="Q18" s="3398"/>
      <c r="R18" s="3398"/>
      <c r="S18" s="3398"/>
      <c r="T18" s="3398"/>
      <c r="U18" s="3398"/>
      <c r="V18" s="3398"/>
      <c r="W18" s="3398"/>
      <c r="X18" s="3398"/>
      <c r="Y18" s="3398"/>
      <c r="Z18" s="3399"/>
    </row>
    <row r="19" spans="1:26" ht="15" x14ac:dyDescent="0.25">
      <c r="A19" s="2015"/>
      <c r="B19" s="2008" t="s">
        <v>416</v>
      </c>
      <c r="C19" s="2008"/>
      <c r="D19" s="2008"/>
      <c r="E19" s="2008"/>
      <c r="F19" s="2008"/>
      <c r="G19" s="2008"/>
      <c r="H19" s="2008"/>
      <c r="I19" s="2016"/>
      <c r="J19" s="3397"/>
      <c r="K19" s="3398"/>
      <c r="L19" s="3398"/>
      <c r="M19" s="3398"/>
      <c r="N19" s="3398"/>
      <c r="O19" s="3398"/>
      <c r="P19" s="3398"/>
      <c r="Q19" s="3398"/>
      <c r="R19" s="3398"/>
      <c r="S19" s="3398"/>
      <c r="T19" s="3398"/>
      <c r="U19" s="3398"/>
      <c r="V19" s="3398"/>
      <c r="W19" s="3398"/>
      <c r="X19" s="3398"/>
      <c r="Y19" s="3398"/>
      <c r="Z19" s="3399"/>
    </row>
    <row r="20" spans="1:26" ht="15" x14ac:dyDescent="0.25">
      <c r="A20" s="2015"/>
      <c r="B20" s="2008"/>
      <c r="C20" s="2008"/>
      <c r="D20" s="2008"/>
      <c r="E20" s="2008"/>
      <c r="F20" s="2008"/>
      <c r="G20" s="2008"/>
      <c r="H20" s="2008"/>
      <c r="I20" s="2016"/>
      <c r="J20" s="3397"/>
      <c r="K20" s="3398"/>
      <c r="L20" s="3398"/>
      <c r="M20" s="3398"/>
      <c r="N20" s="3398"/>
      <c r="O20" s="3398"/>
      <c r="P20" s="3398"/>
      <c r="Q20" s="3398"/>
      <c r="R20" s="3398"/>
      <c r="S20" s="3398"/>
      <c r="T20" s="3398"/>
      <c r="U20" s="3398"/>
      <c r="V20" s="3398"/>
      <c r="W20" s="3398"/>
      <c r="X20" s="3398"/>
      <c r="Y20" s="3398"/>
      <c r="Z20" s="3399"/>
    </row>
    <row r="21" spans="1:26" ht="15" x14ac:dyDescent="0.25">
      <c r="A21" s="2007"/>
      <c r="B21" s="6"/>
      <c r="C21" s="6"/>
      <c r="D21" s="6"/>
      <c r="E21" s="6"/>
      <c r="F21" s="6"/>
      <c r="G21" s="6"/>
      <c r="H21" s="6"/>
      <c r="I21" s="2009"/>
      <c r="J21" s="3397"/>
      <c r="K21" s="3398"/>
      <c r="L21" s="3398"/>
      <c r="M21" s="3398"/>
      <c r="N21" s="3398"/>
      <c r="O21" s="3398"/>
      <c r="P21" s="3398"/>
      <c r="Q21" s="3398"/>
      <c r="R21" s="3398"/>
      <c r="S21" s="3398"/>
      <c r="T21" s="3398"/>
      <c r="U21" s="3398"/>
      <c r="V21" s="3398"/>
      <c r="W21" s="3398"/>
      <c r="X21" s="3398"/>
      <c r="Y21" s="3398"/>
      <c r="Z21" s="3399"/>
    </row>
    <row r="22" spans="1:26" ht="15" x14ac:dyDescent="0.25">
      <c r="A22" s="2010"/>
      <c r="B22" s="2011"/>
      <c r="C22" s="2011"/>
      <c r="D22" s="2011"/>
      <c r="E22" s="2011"/>
      <c r="F22" s="2011"/>
      <c r="G22" s="2011"/>
      <c r="H22" s="2011"/>
      <c r="I22" s="2012"/>
      <c r="J22" s="3400"/>
      <c r="K22" s="3401"/>
      <c r="L22" s="3401"/>
      <c r="M22" s="3401"/>
      <c r="N22" s="3401"/>
      <c r="O22" s="3401"/>
      <c r="P22" s="3401"/>
      <c r="Q22" s="3401"/>
      <c r="R22" s="3401"/>
      <c r="S22" s="3401"/>
      <c r="T22" s="3401"/>
      <c r="U22" s="3401"/>
      <c r="V22" s="3401"/>
      <c r="W22" s="3401"/>
      <c r="X22" s="3401"/>
      <c r="Y22" s="3401"/>
      <c r="Z22" s="3402"/>
    </row>
    <row r="23" spans="1:26" ht="15"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 x14ac:dyDescent="0.25">
      <c r="A25" s="2001" t="s">
        <v>418</v>
      </c>
      <c r="B25" s="1"/>
      <c r="C25" s="1"/>
      <c r="D25" s="1"/>
      <c r="E25" s="1"/>
      <c r="F25" s="1"/>
      <c r="G25" s="1"/>
      <c r="H25" s="1"/>
      <c r="I25" s="1"/>
      <c r="J25" s="1"/>
      <c r="K25" s="1"/>
      <c r="L25" s="1"/>
      <c r="M25" s="1"/>
      <c r="N25" s="1"/>
      <c r="O25" s="1"/>
      <c r="P25" s="1"/>
      <c r="Q25" s="1"/>
      <c r="R25" s="1"/>
      <c r="S25" s="1"/>
      <c r="T25" s="1"/>
      <c r="U25" s="1"/>
      <c r="V25" s="1"/>
      <c r="W25" s="1"/>
      <c r="X25" s="1"/>
      <c r="Y25" s="1"/>
      <c r="Z25" s="1"/>
    </row>
    <row r="26" spans="1:26" ht="15"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 x14ac:dyDescent="0.25">
      <c r="A27" s="3377" t="s">
        <v>419</v>
      </c>
      <c r="B27" s="3377"/>
      <c r="C27" s="3377" t="s">
        <v>420</v>
      </c>
      <c r="D27" s="3377"/>
      <c r="E27" s="3377"/>
      <c r="F27" s="3377"/>
      <c r="G27" s="3377"/>
      <c r="H27" s="3377"/>
      <c r="I27" s="3377" t="s">
        <v>421</v>
      </c>
      <c r="J27" s="3377"/>
      <c r="K27" s="3377"/>
      <c r="L27" s="3377"/>
      <c r="M27" s="3377"/>
      <c r="N27" s="3377"/>
      <c r="O27" s="3377"/>
      <c r="P27" s="3377"/>
      <c r="Q27" s="3377"/>
      <c r="R27" s="3377" t="s">
        <v>424</v>
      </c>
      <c r="S27" s="3377"/>
      <c r="T27" s="3377"/>
      <c r="U27" s="3377"/>
      <c r="V27" s="3377"/>
      <c r="W27" s="3377"/>
      <c r="X27" s="3377"/>
      <c r="Y27" s="3377"/>
      <c r="Z27" s="3377"/>
    </row>
    <row r="28" spans="1:26" ht="15" x14ac:dyDescent="0.25">
      <c r="A28" s="3377"/>
      <c r="B28" s="3377"/>
      <c r="C28" s="3377"/>
      <c r="D28" s="3377"/>
      <c r="E28" s="3377"/>
      <c r="F28" s="3377"/>
      <c r="G28" s="3377"/>
      <c r="H28" s="3377"/>
      <c r="I28" s="3377" t="s">
        <v>422</v>
      </c>
      <c r="J28" s="3377"/>
      <c r="K28" s="3377" t="s">
        <v>423</v>
      </c>
      <c r="L28" s="3377"/>
      <c r="M28" s="3377" t="s">
        <v>412</v>
      </c>
      <c r="N28" s="3377"/>
      <c r="O28" s="3377"/>
      <c r="P28" s="3377"/>
      <c r="Q28" s="3377"/>
      <c r="R28" s="3377" t="s">
        <v>422</v>
      </c>
      <c r="S28" s="3377"/>
      <c r="T28" s="3377" t="s">
        <v>423</v>
      </c>
      <c r="U28" s="3377"/>
      <c r="V28" s="3377" t="s">
        <v>412</v>
      </c>
      <c r="W28" s="3377"/>
      <c r="X28" s="3377"/>
      <c r="Y28" s="3377"/>
      <c r="Z28" s="3377"/>
    </row>
    <row r="29" spans="1:26" ht="15" x14ac:dyDescent="0.25">
      <c r="A29" s="3390">
        <v>1</v>
      </c>
      <c r="B29" s="3391"/>
      <c r="C29" s="3394" t="s">
        <v>425</v>
      </c>
      <c r="D29" s="3395"/>
      <c r="E29" s="3395"/>
      <c r="F29" s="3395"/>
      <c r="G29" s="3395"/>
      <c r="H29" s="3396"/>
      <c r="I29" s="3378">
        <v>78</v>
      </c>
      <c r="J29" s="3379"/>
      <c r="K29" s="3384" t="str">
        <f>IF(R29&gt;85,("A"),IF(R29&gt;80,("A-"),IF(R29&gt;75,("B+"),IF(R29&gt;70,("B"),IF(R29&gt;65,("B-"),IF(R29&gt;60,("C+"),IF(R29&gt;55,("C"),IF(R29&gt;50,("C-"),"D+"))))))))</f>
        <v>A</v>
      </c>
      <c r="L29" s="3385"/>
      <c r="M29" s="3367"/>
      <c r="N29" s="3368"/>
      <c r="O29" s="3368"/>
      <c r="P29" s="3368"/>
      <c r="Q29" s="3369"/>
      <c r="R29" s="3378">
        <v>87</v>
      </c>
      <c r="S29" s="3379"/>
      <c r="T29" s="3384" t="str">
        <f>IF(R29&gt;85,("A"),IF(R29&gt;80,("A-"),IF(R29&gt;75,("B+"),IF(R29&gt;70,("B"),IF(R29&gt;65,("B-"),IF(R29&gt;60,("C+"),IF(R29&gt;55,("C"),IF(R29&gt;50,("C-"),"D+"))))))))</f>
        <v>A</v>
      </c>
      <c r="U29" s="3385"/>
      <c r="V29" s="3367"/>
      <c r="W29" s="3368"/>
      <c r="X29" s="3368"/>
      <c r="Y29" s="3368"/>
      <c r="Z29" s="3369"/>
    </row>
    <row r="30" spans="1:26" ht="15" x14ac:dyDescent="0.25">
      <c r="A30" s="3392"/>
      <c r="B30" s="3393"/>
      <c r="C30" s="3397"/>
      <c r="D30" s="3398"/>
      <c r="E30" s="3398"/>
      <c r="F30" s="3398"/>
      <c r="G30" s="3398"/>
      <c r="H30" s="3399"/>
      <c r="I30" s="3380"/>
      <c r="J30" s="3381"/>
      <c r="K30" s="3386"/>
      <c r="L30" s="3387"/>
      <c r="M30" s="3370"/>
      <c r="N30" s="3371"/>
      <c r="O30" s="3371"/>
      <c r="P30" s="3371"/>
      <c r="Q30" s="3372"/>
      <c r="R30" s="3380"/>
      <c r="S30" s="3381"/>
      <c r="T30" s="3386"/>
      <c r="U30" s="3387"/>
      <c r="V30" s="3370"/>
      <c r="W30" s="3371"/>
      <c r="X30" s="3371"/>
      <c r="Y30" s="3371"/>
      <c r="Z30" s="3372"/>
    </row>
    <row r="31" spans="1:26" ht="15" x14ac:dyDescent="0.25">
      <c r="A31" s="3392"/>
      <c r="B31" s="3393"/>
      <c r="C31" s="3397"/>
      <c r="D31" s="3398"/>
      <c r="E31" s="3398"/>
      <c r="F31" s="3398"/>
      <c r="G31" s="3398"/>
      <c r="H31" s="3399"/>
      <c r="I31" s="3380"/>
      <c r="J31" s="3381"/>
      <c r="K31" s="3386"/>
      <c r="L31" s="3387"/>
      <c r="M31" s="3370"/>
      <c r="N31" s="3371"/>
      <c r="O31" s="3371"/>
      <c r="P31" s="3371"/>
      <c r="Q31" s="3372"/>
      <c r="R31" s="3380"/>
      <c r="S31" s="3381"/>
      <c r="T31" s="3386"/>
      <c r="U31" s="3387"/>
      <c r="V31" s="3370"/>
      <c r="W31" s="3371"/>
      <c r="X31" s="3371"/>
      <c r="Y31" s="3371"/>
      <c r="Z31" s="3372"/>
    </row>
    <row r="32" spans="1:26" ht="15" x14ac:dyDescent="0.25">
      <c r="A32" s="3392"/>
      <c r="B32" s="3393"/>
      <c r="C32" s="3397"/>
      <c r="D32" s="3398"/>
      <c r="E32" s="3398"/>
      <c r="F32" s="3398"/>
      <c r="G32" s="3398"/>
      <c r="H32" s="3399"/>
      <c r="I32" s="3380"/>
      <c r="J32" s="3381"/>
      <c r="K32" s="3386"/>
      <c r="L32" s="3387"/>
      <c r="M32" s="3370"/>
      <c r="N32" s="3371"/>
      <c r="O32" s="3371"/>
      <c r="P32" s="3371"/>
      <c r="Q32" s="3372"/>
      <c r="R32" s="3380"/>
      <c r="S32" s="3381"/>
      <c r="T32" s="3386"/>
      <c r="U32" s="3387"/>
      <c r="V32" s="3370"/>
      <c r="W32" s="3371"/>
      <c r="X32" s="3371"/>
      <c r="Y32" s="3371"/>
      <c r="Z32" s="3372"/>
    </row>
    <row r="33" spans="1:26" ht="15" x14ac:dyDescent="0.25">
      <c r="A33" s="3392"/>
      <c r="B33" s="3393"/>
      <c r="C33" s="3397"/>
      <c r="D33" s="3398"/>
      <c r="E33" s="3398"/>
      <c r="F33" s="3398"/>
      <c r="G33" s="3398"/>
      <c r="H33" s="3399"/>
      <c r="I33" s="3380"/>
      <c r="J33" s="3381"/>
      <c r="K33" s="3386"/>
      <c r="L33" s="3387"/>
      <c r="M33" s="3370"/>
      <c r="N33" s="3371"/>
      <c r="O33" s="3371"/>
      <c r="P33" s="3371"/>
      <c r="Q33" s="3372"/>
      <c r="R33" s="3380"/>
      <c r="S33" s="3381"/>
      <c r="T33" s="3386"/>
      <c r="U33" s="3387"/>
      <c r="V33" s="3370"/>
      <c r="W33" s="3371"/>
      <c r="X33" s="3371"/>
      <c r="Y33" s="3371"/>
      <c r="Z33" s="3372"/>
    </row>
    <row r="34" spans="1:26" ht="15" x14ac:dyDescent="0.25">
      <c r="A34" s="3392"/>
      <c r="B34" s="3393"/>
      <c r="C34" s="3397"/>
      <c r="D34" s="3398"/>
      <c r="E34" s="3398"/>
      <c r="F34" s="3398"/>
      <c r="G34" s="3398"/>
      <c r="H34" s="3399"/>
      <c r="I34" s="3380"/>
      <c r="J34" s="3381"/>
      <c r="K34" s="3386"/>
      <c r="L34" s="3387"/>
      <c r="M34" s="3370"/>
      <c r="N34" s="3371"/>
      <c r="O34" s="3371"/>
      <c r="P34" s="3371"/>
      <c r="Q34" s="3372"/>
      <c r="R34" s="3380"/>
      <c r="S34" s="3381"/>
      <c r="T34" s="3386"/>
      <c r="U34" s="3387"/>
      <c r="V34" s="3370"/>
      <c r="W34" s="3371"/>
      <c r="X34" s="3371"/>
      <c r="Y34" s="3371"/>
      <c r="Z34" s="3372"/>
    </row>
    <row r="35" spans="1:26" ht="15" x14ac:dyDescent="0.25">
      <c r="A35" s="3392"/>
      <c r="B35" s="3393"/>
      <c r="C35" s="3397"/>
      <c r="D35" s="3398"/>
      <c r="E35" s="3398"/>
      <c r="F35" s="3398"/>
      <c r="G35" s="3398"/>
      <c r="H35" s="3399"/>
      <c r="I35" s="3380"/>
      <c r="J35" s="3381"/>
      <c r="K35" s="3386"/>
      <c r="L35" s="3387"/>
      <c r="M35" s="3370"/>
      <c r="N35" s="3371"/>
      <c r="O35" s="3371"/>
      <c r="P35" s="3371"/>
      <c r="Q35" s="3372"/>
      <c r="R35" s="3380"/>
      <c r="S35" s="3381"/>
      <c r="T35" s="3386"/>
      <c r="U35" s="3387"/>
      <c r="V35" s="3370"/>
      <c r="W35" s="3371"/>
      <c r="X35" s="3371"/>
      <c r="Y35" s="3371"/>
      <c r="Z35" s="3372"/>
    </row>
    <row r="36" spans="1:26" ht="15" x14ac:dyDescent="0.25">
      <c r="A36" s="3392"/>
      <c r="B36" s="3393"/>
      <c r="C36" s="3397"/>
      <c r="D36" s="3398"/>
      <c r="E36" s="3398"/>
      <c r="F36" s="3398"/>
      <c r="G36" s="3398"/>
      <c r="H36" s="3399"/>
      <c r="I36" s="3380"/>
      <c r="J36" s="3381"/>
      <c r="K36" s="3386"/>
      <c r="L36" s="3387"/>
      <c r="M36" s="3370"/>
      <c r="N36" s="3371"/>
      <c r="O36" s="3371"/>
      <c r="P36" s="3371"/>
      <c r="Q36" s="3372"/>
      <c r="R36" s="3380"/>
      <c r="S36" s="3381"/>
      <c r="T36" s="3386"/>
      <c r="U36" s="3387"/>
      <c r="V36" s="3370"/>
      <c r="W36" s="3371"/>
      <c r="X36" s="3371"/>
      <c r="Y36" s="3371"/>
      <c r="Z36" s="3372"/>
    </row>
    <row r="37" spans="1:26" ht="15" x14ac:dyDescent="0.25">
      <c r="A37" s="3392"/>
      <c r="B37" s="3393"/>
      <c r="C37" s="3397"/>
      <c r="D37" s="3398"/>
      <c r="E37" s="3398"/>
      <c r="F37" s="3398"/>
      <c r="G37" s="3398"/>
      <c r="H37" s="3399"/>
      <c r="I37" s="3380"/>
      <c r="J37" s="3381"/>
      <c r="K37" s="3386"/>
      <c r="L37" s="3387"/>
      <c r="M37" s="3370"/>
      <c r="N37" s="3371"/>
      <c r="O37" s="3371"/>
      <c r="P37" s="3371"/>
      <c r="Q37" s="3372"/>
      <c r="R37" s="3380"/>
      <c r="S37" s="3381"/>
      <c r="T37" s="3386"/>
      <c r="U37" s="3387"/>
      <c r="V37" s="3370"/>
      <c r="W37" s="3371"/>
      <c r="X37" s="3371"/>
      <c r="Y37" s="3371"/>
      <c r="Z37" s="3372"/>
    </row>
    <row r="38" spans="1:26" ht="15" x14ac:dyDescent="0.25">
      <c r="A38" s="3392"/>
      <c r="B38" s="3393"/>
      <c r="C38" s="3397"/>
      <c r="D38" s="3398"/>
      <c r="E38" s="3398"/>
      <c r="F38" s="3398"/>
      <c r="G38" s="3398"/>
      <c r="H38" s="3399"/>
      <c r="I38" s="3380"/>
      <c r="J38" s="3381"/>
      <c r="K38" s="3386"/>
      <c r="L38" s="3387"/>
      <c r="M38" s="3370"/>
      <c r="N38" s="3371"/>
      <c r="O38" s="3371"/>
      <c r="P38" s="3371"/>
      <c r="Q38" s="3372"/>
      <c r="R38" s="3380"/>
      <c r="S38" s="3381"/>
      <c r="T38" s="3386"/>
      <c r="U38" s="3387"/>
      <c r="V38" s="3370"/>
      <c r="W38" s="3371"/>
      <c r="X38" s="3371"/>
      <c r="Y38" s="3371"/>
      <c r="Z38" s="3372"/>
    </row>
    <row r="39" spans="1:26" ht="15" x14ac:dyDescent="0.25">
      <c r="A39" s="3392"/>
      <c r="B39" s="3393"/>
      <c r="C39" s="3397"/>
      <c r="D39" s="3398"/>
      <c r="E39" s="3398"/>
      <c r="F39" s="3398"/>
      <c r="G39" s="3398"/>
      <c r="H39" s="3399"/>
      <c r="I39" s="3380"/>
      <c r="J39" s="3381"/>
      <c r="K39" s="3386"/>
      <c r="L39" s="3387"/>
      <c r="M39" s="3370"/>
      <c r="N39" s="3371"/>
      <c r="O39" s="3371"/>
      <c r="P39" s="3371"/>
      <c r="Q39" s="3372"/>
      <c r="R39" s="3380"/>
      <c r="S39" s="3381"/>
      <c r="T39" s="3386"/>
      <c r="U39" s="3387"/>
      <c r="V39" s="3370"/>
      <c r="W39" s="3371"/>
      <c r="X39" s="3371"/>
      <c r="Y39" s="3371"/>
      <c r="Z39" s="3372"/>
    </row>
    <row r="40" spans="1:26" ht="15" x14ac:dyDescent="0.25">
      <c r="A40" s="3392"/>
      <c r="B40" s="3393"/>
      <c r="C40" s="3397"/>
      <c r="D40" s="3398"/>
      <c r="E40" s="3398"/>
      <c r="F40" s="3398"/>
      <c r="G40" s="3398"/>
      <c r="H40" s="3399"/>
      <c r="I40" s="3380"/>
      <c r="J40" s="3381"/>
      <c r="K40" s="3386"/>
      <c r="L40" s="3387"/>
      <c r="M40" s="3370"/>
      <c r="N40" s="3371"/>
      <c r="O40" s="3371"/>
      <c r="P40" s="3371"/>
      <c r="Q40" s="3372"/>
      <c r="R40" s="3380"/>
      <c r="S40" s="3381"/>
      <c r="T40" s="3386"/>
      <c r="U40" s="3387"/>
      <c r="V40" s="3370"/>
      <c r="W40" s="3371"/>
      <c r="X40" s="3371"/>
      <c r="Y40" s="3371"/>
      <c r="Z40" s="3372"/>
    </row>
    <row r="41" spans="1:26" ht="15" x14ac:dyDescent="0.25">
      <c r="A41" s="3392"/>
      <c r="B41" s="3393"/>
      <c r="C41" s="3397"/>
      <c r="D41" s="3398"/>
      <c r="E41" s="3398"/>
      <c r="F41" s="3398"/>
      <c r="G41" s="3398"/>
      <c r="H41" s="3399"/>
      <c r="I41" s="3380"/>
      <c r="J41" s="3381"/>
      <c r="K41" s="3386"/>
      <c r="L41" s="3387"/>
      <c r="M41" s="3370"/>
      <c r="N41" s="3371"/>
      <c r="O41" s="3371"/>
      <c r="P41" s="3371"/>
      <c r="Q41" s="3372"/>
      <c r="R41" s="3380"/>
      <c r="S41" s="3381"/>
      <c r="T41" s="3386"/>
      <c r="U41" s="3387"/>
      <c r="V41" s="3370"/>
      <c r="W41" s="3371"/>
      <c r="X41" s="3371"/>
      <c r="Y41" s="3371"/>
      <c r="Z41" s="3372"/>
    </row>
    <row r="42" spans="1:26" ht="15" x14ac:dyDescent="0.25">
      <c r="A42" s="3392"/>
      <c r="B42" s="3393"/>
      <c r="C42" s="3397"/>
      <c r="D42" s="3398"/>
      <c r="E42" s="3398"/>
      <c r="F42" s="3398"/>
      <c r="G42" s="3398"/>
      <c r="H42" s="3399"/>
      <c r="I42" s="3380"/>
      <c r="J42" s="3381"/>
      <c r="K42" s="3386"/>
      <c r="L42" s="3387"/>
      <c r="M42" s="3370"/>
      <c r="N42" s="3371"/>
      <c r="O42" s="3371"/>
      <c r="P42" s="3371"/>
      <c r="Q42" s="3372"/>
      <c r="R42" s="3380"/>
      <c r="S42" s="3381"/>
      <c r="T42" s="3386"/>
      <c r="U42" s="3387"/>
      <c r="V42" s="3370"/>
      <c r="W42" s="3371"/>
      <c r="X42" s="3371"/>
      <c r="Y42" s="3371"/>
      <c r="Z42" s="3372"/>
    </row>
    <row r="43" spans="1:26" ht="15" x14ac:dyDescent="0.25">
      <c r="A43" s="3392"/>
      <c r="B43" s="3393"/>
      <c r="C43" s="3397"/>
      <c r="D43" s="3398"/>
      <c r="E43" s="3398"/>
      <c r="F43" s="3398"/>
      <c r="G43" s="3398"/>
      <c r="H43" s="3399"/>
      <c r="I43" s="3380"/>
      <c r="J43" s="3381"/>
      <c r="K43" s="3386"/>
      <c r="L43" s="3387"/>
      <c r="M43" s="3370"/>
      <c r="N43" s="3371"/>
      <c r="O43" s="3371"/>
      <c r="P43" s="3371"/>
      <c r="Q43" s="3372"/>
      <c r="R43" s="3380"/>
      <c r="S43" s="3381"/>
      <c r="T43" s="3386"/>
      <c r="U43" s="3387"/>
      <c r="V43" s="3370"/>
      <c r="W43" s="3371"/>
      <c r="X43" s="3371"/>
      <c r="Y43" s="3371"/>
      <c r="Z43" s="3372"/>
    </row>
    <row r="44" spans="1:26" ht="15" x14ac:dyDescent="0.25">
      <c r="A44" s="3392"/>
      <c r="B44" s="3393"/>
      <c r="C44" s="3397"/>
      <c r="D44" s="3398"/>
      <c r="E44" s="3398"/>
      <c r="F44" s="3398"/>
      <c r="G44" s="3398"/>
      <c r="H44" s="3399"/>
      <c r="I44" s="3380"/>
      <c r="J44" s="3381"/>
      <c r="K44" s="3386"/>
      <c r="L44" s="3387"/>
      <c r="M44" s="3370"/>
      <c r="N44" s="3371"/>
      <c r="O44" s="3371"/>
      <c r="P44" s="3371"/>
      <c r="Q44" s="3372"/>
      <c r="R44" s="3380"/>
      <c r="S44" s="3381"/>
      <c r="T44" s="3386"/>
      <c r="U44" s="3387"/>
      <c r="V44" s="3370"/>
      <c r="W44" s="3371"/>
      <c r="X44" s="3371"/>
      <c r="Y44" s="3371"/>
      <c r="Z44" s="3372"/>
    </row>
    <row r="45" spans="1:26" ht="15" x14ac:dyDescent="0.25">
      <c r="A45" s="3392"/>
      <c r="B45" s="3393"/>
      <c r="C45" s="3397"/>
      <c r="D45" s="3398"/>
      <c r="E45" s="3398"/>
      <c r="F45" s="3398"/>
      <c r="G45" s="3398"/>
      <c r="H45" s="3399"/>
      <c r="I45" s="3380"/>
      <c r="J45" s="3381"/>
      <c r="K45" s="3386"/>
      <c r="L45" s="3387"/>
      <c r="M45" s="3370"/>
      <c r="N45" s="3371"/>
      <c r="O45" s="3371"/>
      <c r="P45" s="3371"/>
      <c r="Q45" s="3372"/>
      <c r="R45" s="3380"/>
      <c r="S45" s="3381"/>
      <c r="T45" s="3386"/>
      <c r="U45" s="3387"/>
      <c r="V45" s="3370"/>
      <c r="W45" s="3371"/>
      <c r="X45" s="3371"/>
      <c r="Y45" s="3371"/>
      <c r="Z45" s="3372"/>
    </row>
    <row r="46" spans="1:26" ht="15" x14ac:dyDescent="0.25">
      <c r="A46" s="3392"/>
      <c r="B46" s="3393"/>
      <c r="C46" s="3397"/>
      <c r="D46" s="3398"/>
      <c r="E46" s="3398"/>
      <c r="F46" s="3398"/>
      <c r="G46" s="3398"/>
      <c r="H46" s="3399"/>
      <c r="I46" s="3380"/>
      <c r="J46" s="3381"/>
      <c r="K46" s="3386"/>
      <c r="L46" s="3387"/>
      <c r="M46" s="3370"/>
      <c r="N46" s="3371"/>
      <c r="O46" s="3371"/>
      <c r="P46" s="3371"/>
      <c r="Q46" s="3372"/>
      <c r="R46" s="3380"/>
      <c r="S46" s="3381"/>
      <c r="T46" s="3386"/>
      <c r="U46" s="3387"/>
      <c r="V46" s="3370"/>
      <c r="W46" s="3371"/>
      <c r="X46" s="3371"/>
      <c r="Y46" s="3371"/>
      <c r="Z46" s="3372"/>
    </row>
    <row r="47" spans="1:26" ht="15" x14ac:dyDescent="0.25">
      <c r="A47" s="3392"/>
      <c r="B47" s="3393"/>
      <c r="C47" s="3397"/>
      <c r="D47" s="3398"/>
      <c r="E47" s="3398"/>
      <c r="F47" s="3398"/>
      <c r="G47" s="3398"/>
      <c r="H47" s="3399"/>
      <c r="I47" s="3380"/>
      <c r="J47" s="3381"/>
      <c r="K47" s="3386"/>
      <c r="L47" s="3387"/>
      <c r="M47" s="3370"/>
      <c r="N47" s="3371"/>
      <c r="O47" s="3371"/>
      <c r="P47" s="3371"/>
      <c r="Q47" s="3372"/>
      <c r="R47" s="3380"/>
      <c r="S47" s="3381"/>
      <c r="T47" s="3386"/>
      <c r="U47" s="3387"/>
      <c r="V47" s="3370"/>
      <c r="W47" s="3371"/>
      <c r="X47" s="3371"/>
      <c r="Y47" s="3371"/>
      <c r="Z47" s="3372"/>
    </row>
    <row r="48" spans="1:26" ht="15" x14ac:dyDescent="0.25">
      <c r="A48" s="3392"/>
      <c r="B48" s="3393"/>
      <c r="C48" s="3397"/>
      <c r="D48" s="3398"/>
      <c r="E48" s="3398"/>
      <c r="F48" s="3398"/>
      <c r="G48" s="3398"/>
      <c r="H48" s="3399"/>
      <c r="I48" s="3380"/>
      <c r="J48" s="3381"/>
      <c r="K48" s="3386"/>
      <c r="L48" s="3387"/>
      <c r="M48" s="3370"/>
      <c r="N48" s="3371"/>
      <c r="O48" s="3371"/>
      <c r="P48" s="3371"/>
      <c r="Q48" s="3372"/>
      <c r="R48" s="3380"/>
      <c r="S48" s="3381"/>
      <c r="T48" s="3386"/>
      <c r="U48" s="3387"/>
      <c r="V48" s="3370"/>
      <c r="W48" s="3371"/>
      <c r="X48" s="3371"/>
      <c r="Y48" s="3371"/>
      <c r="Z48" s="3372"/>
    </row>
    <row r="49" spans="1:43" ht="15" x14ac:dyDescent="0.25">
      <c r="A49" s="2449"/>
      <c r="B49" s="2453"/>
      <c r="C49" s="3400"/>
      <c r="D49" s="3401"/>
      <c r="E49" s="3401"/>
      <c r="F49" s="3401"/>
      <c r="G49" s="3401"/>
      <c r="H49" s="3402"/>
      <c r="I49" s="3382"/>
      <c r="J49" s="3383"/>
      <c r="K49" s="3388"/>
      <c r="L49" s="3389"/>
      <c r="M49" s="3373"/>
      <c r="N49" s="3374"/>
      <c r="O49" s="3374"/>
      <c r="P49" s="3374"/>
      <c r="Q49" s="3375"/>
      <c r="R49" s="3382"/>
      <c r="S49" s="3383"/>
      <c r="T49" s="3388"/>
      <c r="U49" s="3389"/>
      <c r="V49" s="3373"/>
      <c r="W49" s="3374"/>
      <c r="X49" s="3374"/>
      <c r="Y49" s="3374"/>
      <c r="Z49" s="3375"/>
    </row>
    <row r="51" spans="1:43" ht="15" x14ac:dyDescent="0.25">
      <c r="AA51" s="3376" t="s">
        <v>256</v>
      </c>
      <c r="AB51" s="3376"/>
      <c r="AC51" s="3376"/>
      <c r="AD51" s="3376"/>
      <c r="AE51" s="3376"/>
      <c r="AF51" s="3376"/>
      <c r="AG51" s="3376"/>
      <c r="AH51" s="3376"/>
      <c r="AI51" s="3376"/>
      <c r="AJ51" s="3376"/>
      <c r="AK51" s="3376"/>
      <c r="AL51" s="3376"/>
      <c r="AM51" s="3376"/>
      <c r="AN51" s="3376"/>
      <c r="AO51" s="3376"/>
      <c r="AP51" s="3376"/>
      <c r="AQ51" s="3376"/>
    </row>
    <row r="52" spans="1:43" ht="15" x14ac:dyDescent="0.25">
      <c r="AA52" s="3376"/>
      <c r="AB52" s="3376"/>
      <c r="AC52" s="3376"/>
      <c r="AD52" s="3376"/>
      <c r="AE52" s="3376"/>
      <c r="AF52" s="3376"/>
      <c r="AG52" s="3376"/>
      <c r="AH52" s="3376"/>
      <c r="AI52" s="3376"/>
      <c r="AJ52" s="3376"/>
      <c r="AK52" s="3376"/>
      <c r="AL52" s="3376"/>
      <c r="AM52" s="3376"/>
      <c r="AN52" s="3376"/>
      <c r="AO52" s="3376"/>
      <c r="AP52" s="3376"/>
      <c r="AQ52" s="3376"/>
    </row>
    <row r="53" spans="1:43" ht="15" x14ac:dyDescent="0.25">
      <c r="AA53" s="3376"/>
      <c r="AB53" s="3376"/>
      <c r="AC53" s="3376"/>
      <c r="AD53" s="3376"/>
      <c r="AE53" s="3376"/>
      <c r="AF53" s="3376"/>
      <c r="AG53" s="3376"/>
      <c r="AH53" s="3376"/>
      <c r="AI53" s="3376"/>
      <c r="AJ53" s="3376"/>
      <c r="AK53" s="3376"/>
      <c r="AL53" s="3376"/>
      <c r="AM53" s="3376"/>
      <c r="AN53" s="3376"/>
      <c r="AO53" s="3376"/>
      <c r="AP53" s="3376"/>
      <c r="AQ53" s="3376"/>
    </row>
  </sheetData>
  <mergeCells count="28">
    <mergeCell ref="A2:Z2"/>
    <mergeCell ref="W4:Y4"/>
    <mergeCell ref="H5:I5"/>
    <mergeCell ref="A11:I11"/>
    <mergeCell ref="J11:Z11"/>
    <mergeCell ref="AF11:AO13"/>
    <mergeCell ref="J12:Z16"/>
    <mergeCell ref="J17:Z22"/>
    <mergeCell ref="A27:B28"/>
    <mergeCell ref="C27:H28"/>
    <mergeCell ref="I27:Q27"/>
    <mergeCell ref="R27:Z27"/>
    <mergeCell ref="I28:J28"/>
    <mergeCell ref="K28:L28"/>
    <mergeCell ref="M28:Q28"/>
    <mergeCell ref="AC11:AE13"/>
    <mergeCell ref="A29:B49"/>
    <mergeCell ref="C29:H49"/>
    <mergeCell ref="I29:J49"/>
    <mergeCell ref="K29:L49"/>
    <mergeCell ref="M29:Q49"/>
    <mergeCell ref="V29:Z49"/>
    <mergeCell ref="AA51:AQ53"/>
    <mergeCell ref="R28:S28"/>
    <mergeCell ref="T28:U28"/>
    <mergeCell ref="V28:Z28"/>
    <mergeCell ref="R29:S49"/>
    <mergeCell ref="T29:U49"/>
  </mergeCells>
  <printOptions horizontalCentered="1"/>
  <pageMargins left="0.31496062992125984" right="0.31496062992125984" top="0.74803149606299213" bottom="0.74803149606299213" header="0.31496062992125984" footer="0.31496062992125984"/>
  <pageSetup paperSize="9" orientation="portrait" horizontalDpi="0" verticalDpi="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V53"/>
  <sheetViews>
    <sheetView showGridLines="0" workbookViewId="0"/>
  </sheetViews>
  <sheetFormatPr defaultColWidth="3.7109375" defaultRowHeight="14.1" customHeight="1" x14ac:dyDescent="0.25"/>
  <cols>
    <col min="1" max="1" width="3.28515625" customWidth="1"/>
    <col min="2" max="2" width="3" customWidth="1"/>
    <col min="3" max="5" width="3.7109375" customWidth="1"/>
    <col min="6" max="6" width="2.7109375" customWidth="1"/>
    <col min="7" max="11" width="3.7109375" customWidth="1"/>
    <col min="12" max="12" width="3.42578125" customWidth="1"/>
    <col min="13" max="15" width="3.7109375" customWidth="1"/>
    <col min="16" max="16" width="3.85546875" customWidth="1"/>
    <col min="17" max="17" width="2.140625" customWidth="1"/>
    <col min="18" max="20" width="3.7109375" customWidth="1"/>
    <col min="21" max="21" width="4.28515625" customWidth="1"/>
    <col min="22" max="24" width="3.7109375" customWidth="1"/>
    <col min="25" max="25" width="4.28515625" customWidth="1"/>
    <col min="26" max="26" width="4.5703125" customWidth="1"/>
    <col min="29" max="29" width="3.7109375" customWidth="1"/>
  </cols>
  <sheetData>
    <row r="1" spans="1:48" ht="14.1" customHeight="1" x14ac:dyDescent="0.25">
      <c r="A1" s="1"/>
      <c r="B1" s="1"/>
      <c r="C1" s="1"/>
      <c r="D1" s="1"/>
      <c r="E1" s="1"/>
      <c r="F1" s="1"/>
      <c r="G1" s="1"/>
      <c r="H1" s="1"/>
      <c r="I1" s="1"/>
      <c r="J1" s="1"/>
      <c r="K1" s="1"/>
      <c r="L1" s="1"/>
      <c r="M1" s="1"/>
      <c r="N1" s="1"/>
      <c r="O1" s="1"/>
      <c r="P1" s="1"/>
      <c r="Q1" s="1"/>
      <c r="R1" s="1"/>
      <c r="S1" s="1"/>
      <c r="T1" s="1"/>
      <c r="U1" s="1"/>
      <c r="V1" s="1"/>
      <c r="W1" s="1"/>
      <c r="X1" s="1"/>
      <c r="Y1" s="1"/>
      <c r="Z1" s="1987">
        <v>1</v>
      </c>
      <c r="AA1" s="1988"/>
      <c r="AB1" s="1989"/>
      <c r="AC1" s="1989"/>
      <c r="AD1" s="1989"/>
      <c r="AE1" s="1989"/>
      <c r="AF1" s="1989"/>
      <c r="AG1" s="1989"/>
      <c r="AH1" s="1989"/>
      <c r="AI1" s="1989"/>
      <c r="AJ1" s="1989"/>
      <c r="AK1" s="1989"/>
      <c r="AL1" s="1989"/>
      <c r="AM1" s="1989"/>
      <c r="AN1" s="1989"/>
      <c r="AO1" s="1989"/>
      <c r="AP1" s="1989"/>
      <c r="AQ1" s="1989"/>
      <c r="AR1" s="1989"/>
      <c r="AS1" s="1989"/>
      <c r="AT1" s="1989"/>
      <c r="AU1" s="1989"/>
      <c r="AV1" s="1990"/>
    </row>
    <row r="2" spans="1:48" ht="18" customHeight="1" x14ac:dyDescent="0.25">
      <c r="A2" s="3421" t="s">
        <v>405</v>
      </c>
      <c r="B2" s="3421"/>
      <c r="C2" s="3421"/>
      <c r="D2" s="3421"/>
      <c r="E2" s="3421"/>
      <c r="F2" s="3421"/>
      <c r="G2" s="3421"/>
      <c r="H2" s="3421"/>
      <c r="I2" s="3421"/>
      <c r="J2" s="3421"/>
      <c r="K2" s="3421"/>
      <c r="L2" s="3421"/>
      <c r="M2" s="3421"/>
      <c r="N2" s="3421"/>
      <c r="O2" s="3421"/>
      <c r="P2" s="3421"/>
      <c r="Q2" s="3421"/>
      <c r="R2" s="3421"/>
      <c r="S2" s="3421"/>
      <c r="T2" s="3421"/>
      <c r="U2" s="3421"/>
      <c r="V2" s="3421"/>
      <c r="W2" s="3421"/>
      <c r="X2" s="3421"/>
      <c r="Y2" s="3421"/>
      <c r="Z2" s="3421"/>
      <c r="AA2" s="1991"/>
      <c r="AB2" s="7"/>
      <c r="AC2" s="7"/>
      <c r="AD2" s="7"/>
      <c r="AE2" s="7"/>
      <c r="AF2" s="7"/>
      <c r="AG2" s="7"/>
      <c r="AH2" s="7"/>
      <c r="AI2" s="7"/>
      <c r="AJ2" s="7"/>
      <c r="AK2" s="7"/>
      <c r="AL2" s="7"/>
      <c r="AM2" s="7"/>
      <c r="AN2" s="7"/>
      <c r="AO2" s="7"/>
      <c r="AP2" s="7"/>
      <c r="AQ2" s="7"/>
      <c r="AR2" s="7"/>
      <c r="AS2" s="7"/>
      <c r="AT2" s="7"/>
      <c r="AU2" s="7"/>
      <c r="AV2" s="1992"/>
    </row>
    <row r="3" spans="1:48" ht="14.1" customHeight="1" x14ac:dyDescent="0.25">
      <c r="A3" s="1"/>
      <c r="B3" s="1"/>
      <c r="C3" s="1"/>
      <c r="D3" s="1"/>
      <c r="E3" s="1"/>
      <c r="F3" s="1"/>
      <c r="G3" s="1"/>
      <c r="H3" s="1"/>
      <c r="I3" s="1"/>
      <c r="J3" s="1"/>
      <c r="K3" s="1"/>
      <c r="L3" s="1"/>
      <c r="M3" s="1"/>
      <c r="N3" s="1"/>
      <c r="O3" s="1"/>
      <c r="P3" s="1"/>
      <c r="Q3" s="1"/>
      <c r="R3" s="1"/>
      <c r="S3" s="1"/>
      <c r="T3" s="1"/>
      <c r="U3" s="1"/>
      <c r="V3" s="1"/>
      <c r="W3" s="1"/>
      <c r="X3" s="1"/>
      <c r="Y3" s="1"/>
      <c r="Z3" s="1987">
        <v>3</v>
      </c>
      <c r="AA3" s="1993"/>
      <c r="AB3" s="1994"/>
      <c r="AC3" s="1994"/>
      <c r="AD3" s="1994"/>
      <c r="AE3" s="1994"/>
      <c r="AF3" s="1994"/>
      <c r="AG3" s="1994"/>
      <c r="AH3" s="1994"/>
      <c r="AI3" s="1994"/>
      <c r="AJ3" s="1994"/>
      <c r="AK3" s="1994"/>
      <c r="AL3" s="1994"/>
      <c r="AM3" s="1994"/>
      <c r="AN3" s="1994"/>
      <c r="AO3" s="1994"/>
      <c r="AP3" s="1994"/>
      <c r="AQ3" s="1994"/>
      <c r="AR3" s="1994"/>
      <c r="AS3" s="1994"/>
      <c r="AT3" s="1994"/>
      <c r="AU3" s="1994"/>
      <c r="AV3" s="1995"/>
    </row>
    <row r="4" spans="1:48" ht="14.1" customHeight="1" x14ac:dyDescent="0.25">
      <c r="A4" s="1996" t="s">
        <v>220</v>
      </c>
      <c r="B4" s="1997"/>
      <c r="C4" s="1997"/>
      <c r="D4" s="1997"/>
      <c r="E4" s="1997"/>
      <c r="F4" s="1997"/>
      <c r="G4" s="1996" t="s">
        <v>255</v>
      </c>
      <c r="H4" s="1998" t="str">
        <f>VLOOKUP(AC11,data_siswa,4,FALSE)</f>
        <v>Achmad Zacky</v>
      </c>
      <c r="I4" s="1997"/>
      <c r="J4" s="1997"/>
      <c r="K4" s="1997"/>
      <c r="L4" s="1997"/>
      <c r="M4" s="1997"/>
      <c r="N4" s="1997"/>
      <c r="O4" s="1997"/>
      <c r="P4" s="1999">
        <v>5</v>
      </c>
      <c r="Q4" s="1996" t="s">
        <v>108</v>
      </c>
      <c r="R4" s="1996"/>
      <c r="S4" s="1996"/>
      <c r="T4" s="1996"/>
      <c r="U4" s="1996"/>
      <c r="V4" s="1996" t="s">
        <v>255</v>
      </c>
      <c r="W4" s="3422" t="str">
        <f>VLOOKUP(P4,data_guru,3,FALSE)</f>
        <v>4 ( empat )</v>
      </c>
      <c r="X4" s="3422"/>
      <c r="Y4" s="3422"/>
      <c r="Z4" s="1996"/>
    </row>
    <row r="5" spans="1:48" ht="14.1" customHeight="1" x14ac:dyDescent="0.25">
      <c r="A5" s="1996" t="s">
        <v>406</v>
      </c>
      <c r="B5" s="1997"/>
      <c r="C5" s="1997"/>
      <c r="D5" s="1997"/>
      <c r="E5" s="1997"/>
      <c r="F5" s="1997"/>
      <c r="G5" s="1996" t="s">
        <v>255</v>
      </c>
      <c r="H5" s="3422" t="str">
        <f>VLOOKUP(AC11,data_siswa,2,FALSE)</f>
        <v>2522</v>
      </c>
      <c r="I5" s="3422"/>
      <c r="J5" s="1996" t="s">
        <v>222</v>
      </c>
      <c r="K5" s="1996" t="str">
        <f>VLOOKUP(AC11,data_siswa,3,FALSE)</f>
        <v>0050973519</v>
      </c>
      <c r="L5" s="1996"/>
      <c r="M5" s="1996"/>
      <c r="N5" s="1996"/>
      <c r="O5" s="1996"/>
      <c r="P5" s="1996"/>
      <c r="Q5" s="1996" t="s">
        <v>407</v>
      </c>
      <c r="R5" s="1996"/>
      <c r="S5" s="1996"/>
      <c r="T5" s="1996"/>
      <c r="U5" s="1996"/>
      <c r="V5" s="1996" t="s">
        <v>255</v>
      </c>
      <c r="W5" s="2000" t="s">
        <v>116</v>
      </c>
      <c r="X5" s="1996"/>
      <c r="Y5" s="1996"/>
      <c r="Z5" s="1996"/>
    </row>
    <row r="6" spans="1:48" ht="14.1" customHeight="1" x14ac:dyDescent="0.25">
      <c r="A6" s="1996" t="s">
        <v>93</v>
      </c>
      <c r="B6" s="1997"/>
      <c r="C6" s="1997"/>
      <c r="D6" s="1997"/>
      <c r="E6" s="1997"/>
      <c r="F6" s="1997"/>
      <c r="G6" s="1996" t="s">
        <v>255</v>
      </c>
      <c r="H6" s="1996" t="str">
        <f>VLOOKUP(Z1,data_sekolah,3,FALSE)</f>
        <v>SDN SIRNABAKTI 01</v>
      </c>
      <c r="I6" s="1997"/>
      <c r="J6" s="1997"/>
      <c r="K6" s="1997"/>
      <c r="L6" s="1997"/>
      <c r="M6" s="1997"/>
      <c r="N6" s="1997"/>
      <c r="O6" s="1997"/>
      <c r="P6" s="1997"/>
      <c r="Q6" s="1996" t="s">
        <v>408</v>
      </c>
      <c r="R6" s="1996"/>
      <c r="S6" s="1996"/>
      <c r="T6" s="1996"/>
      <c r="U6" s="1996"/>
      <c r="V6" s="1996" t="s">
        <v>255</v>
      </c>
      <c r="W6" s="2000" t="s">
        <v>409</v>
      </c>
      <c r="X6" s="1996"/>
      <c r="Y6" s="1996"/>
      <c r="Z6" s="1996"/>
    </row>
    <row r="7" spans="1:48" ht="14.1" customHeight="1" x14ac:dyDescent="0.25">
      <c r="A7" s="1996" t="s">
        <v>95</v>
      </c>
      <c r="B7" s="1997"/>
      <c r="C7" s="1997"/>
      <c r="D7" s="1997"/>
      <c r="E7" s="1997"/>
      <c r="F7" s="1997"/>
      <c r="G7" s="1996" t="s">
        <v>255</v>
      </c>
      <c r="H7" s="1996" t="str">
        <f>VLOOKUP(Z3,data_sekolah,3,FALSE)</f>
        <v>Jl.Miramare</v>
      </c>
      <c r="I7" s="1997"/>
      <c r="J7" s="1997"/>
      <c r="K7" s="1997"/>
      <c r="L7" s="1997"/>
      <c r="M7" s="1997"/>
      <c r="N7" s="1997"/>
      <c r="O7" s="1997"/>
      <c r="P7" s="1997"/>
      <c r="Q7" s="1997"/>
      <c r="R7" s="1997"/>
      <c r="S7" s="1997"/>
      <c r="T7" s="1997"/>
      <c r="U7" s="1997"/>
      <c r="V7" s="1997"/>
      <c r="W7" s="1997"/>
      <c r="X7" s="1997"/>
      <c r="Y7" s="1997"/>
      <c r="Z7" s="1997"/>
    </row>
    <row r="8" spans="1:48" ht="14.1" customHeight="1" x14ac:dyDescent="0.25">
      <c r="A8" s="1"/>
      <c r="B8" s="1"/>
      <c r="C8" s="1"/>
      <c r="D8" s="1"/>
      <c r="E8" s="1"/>
      <c r="F8" s="1"/>
      <c r="G8" s="1"/>
      <c r="H8" s="1"/>
      <c r="I8" s="1"/>
      <c r="J8" s="1"/>
      <c r="K8" s="1"/>
      <c r="L8" s="1"/>
      <c r="M8" s="1"/>
      <c r="N8" s="1"/>
      <c r="O8" s="1"/>
      <c r="P8" s="1"/>
      <c r="Q8" s="1"/>
      <c r="R8" s="1"/>
      <c r="S8" s="1"/>
      <c r="T8" s="1"/>
      <c r="U8" s="1"/>
      <c r="V8" s="1"/>
      <c r="W8" s="1"/>
      <c r="X8" s="1"/>
      <c r="Y8" s="1"/>
      <c r="Z8" s="1"/>
    </row>
    <row r="9" spans="1:48" ht="14.1" customHeight="1" x14ac:dyDescent="0.25">
      <c r="A9" s="2001" t="s">
        <v>410</v>
      </c>
      <c r="B9" s="1"/>
      <c r="C9" s="1"/>
      <c r="D9" s="1"/>
      <c r="E9" s="1"/>
      <c r="F9" s="1"/>
      <c r="G9" s="1"/>
      <c r="H9" s="1"/>
      <c r="I9" s="1"/>
      <c r="J9" s="1"/>
      <c r="K9" s="1"/>
      <c r="L9" s="1"/>
      <c r="M9" s="1"/>
      <c r="N9" s="1"/>
      <c r="O9" s="1"/>
      <c r="P9" s="1"/>
      <c r="Q9" s="1"/>
      <c r="R9" s="1"/>
      <c r="S9" s="1"/>
      <c r="T9" s="1"/>
      <c r="U9" s="1"/>
      <c r="V9" s="1"/>
      <c r="W9" s="1"/>
      <c r="X9" s="1"/>
      <c r="Y9" s="1"/>
      <c r="Z9" s="1"/>
    </row>
    <row r="10" spans="1:48"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48" ht="24.75" customHeight="1" x14ac:dyDescent="0.25">
      <c r="A11" s="3423" t="s">
        <v>411</v>
      </c>
      <c r="B11" s="3423"/>
      <c r="C11" s="3423"/>
      <c r="D11" s="3423"/>
      <c r="E11" s="3423"/>
      <c r="F11" s="3423"/>
      <c r="G11" s="3423"/>
      <c r="H11" s="3423"/>
      <c r="I11" s="3423"/>
      <c r="J11" s="3423" t="s">
        <v>412</v>
      </c>
      <c r="K11" s="3423"/>
      <c r="L11" s="3423"/>
      <c r="M11" s="3423"/>
      <c r="N11" s="3423"/>
      <c r="O11" s="3423"/>
      <c r="P11" s="3423"/>
      <c r="Q11" s="3423"/>
      <c r="R11" s="3423"/>
      <c r="S11" s="3423"/>
      <c r="T11" s="3423"/>
      <c r="U11" s="3423"/>
      <c r="V11" s="3423"/>
      <c r="W11" s="3423"/>
      <c r="X11" s="3423"/>
      <c r="Y11" s="3423"/>
      <c r="Z11" s="3423"/>
      <c r="AC11" s="3412">
        <v>1</v>
      </c>
      <c r="AD11" s="3413"/>
      <c r="AE11" s="3414"/>
      <c r="AF11" s="3424" t="str">
        <f>H4</f>
        <v>Achmad Zacky</v>
      </c>
      <c r="AG11" s="3425"/>
      <c r="AH11" s="3425"/>
      <c r="AI11" s="3425"/>
      <c r="AJ11" s="3425"/>
      <c r="AK11" s="3425"/>
      <c r="AL11" s="3425"/>
      <c r="AM11" s="3425"/>
      <c r="AN11" s="3425"/>
      <c r="AO11" s="3426"/>
    </row>
    <row r="12" spans="1:48" ht="19.5" customHeight="1" x14ac:dyDescent="0.25">
      <c r="A12" s="2002" t="s">
        <v>413</v>
      </c>
      <c r="B12" s="2003" t="s">
        <v>414</v>
      </c>
      <c r="C12" s="2004"/>
      <c r="D12" s="2004"/>
      <c r="E12" s="2004"/>
      <c r="F12" s="2004"/>
      <c r="G12" s="2005"/>
      <c r="H12" s="2005"/>
      <c r="I12" s="2006"/>
      <c r="J12" s="3394" t="str">
        <f>VLOOKUP(AC11,SPIRITUAL,8,FALSE)</f>
        <v xml:space="preserve"> Sangat baik dalam ketaatan beribadah, berdo'a sebelum melakukan kegiatan,   Baik dalam  berperilaku syukur,    Dengan bimbingan dan pendampingan yang lebih, akan mampu meningkatkan sikap    toleransi beragama,  </v>
      </c>
      <c r="K12" s="3395"/>
      <c r="L12" s="3395"/>
      <c r="M12" s="3395"/>
      <c r="N12" s="3395"/>
      <c r="O12" s="3395"/>
      <c r="P12" s="3395"/>
      <c r="Q12" s="3395"/>
      <c r="R12" s="3395"/>
      <c r="S12" s="3395"/>
      <c r="T12" s="3395"/>
      <c r="U12" s="3395"/>
      <c r="V12" s="3395"/>
      <c r="W12" s="3395"/>
      <c r="X12" s="3395"/>
      <c r="Y12" s="3395"/>
      <c r="Z12" s="3396"/>
      <c r="AC12" s="3415"/>
      <c r="AD12" s="3416"/>
      <c r="AE12" s="3417"/>
      <c r="AF12" s="3427"/>
      <c r="AG12" s="3428"/>
      <c r="AH12" s="3428"/>
      <c r="AI12" s="3428"/>
      <c r="AJ12" s="3428"/>
      <c r="AK12" s="3428"/>
      <c r="AL12" s="3428"/>
      <c r="AM12" s="3428"/>
      <c r="AN12" s="3428"/>
      <c r="AO12" s="3429"/>
    </row>
    <row r="13" spans="1:48" ht="14.1" customHeight="1" x14ac:dyDescent="0.25">
      <c r="A13" s="2007"/>
      <c r="B13" s="2008" t="s">
        <v>415</v>
      </c>
      <c r="C13" s="2008"/>
      <c r="D13" s="6"/>
      <c r="E13" s="6"/>
      <c r="F13" s="6"/>
      <c r="G13" s="6"/>
      <c r="H13" s="6"/>
      <c r="I13" s="2009"/>
      <c r="J13" s="3397"/>
      <c r="K13" s="3398"/>
      <c r="L13" s="3398"/>
      <c r="M13" s="3398"/>
      <c r="N13" s="3398"/>
      <c r="O13" s="3398"/>
      <c r="P13" s="3398"/>
      <c r="Q13" s="3398"/>
      <c r="R13" s="3398"/>
      <c r="S13" s="3398"/>
      <c r="T13" s="3398"/>
      <c r="U13" s="3398"/>
      <c r="V13" s="3398"/>
      <c r="W13" s="3398"/>
      <c r="X13" s="3398"/>
      <c r="Y13" s="3398"/>
      <c r="Z13" s="3399"/>
      <c r="AC13" s="3418"/>
      <c r="AD13" s="3419"/>
      <c r="AE13" s="3420"/>
      <c r="AF13" s="3430"/>
      <c r="AG13" s="3431"/>
      <c r="AH13" s="3431"/>
      <c r="AI13" s="3431"/>
      <c r="AJ13" s="3431"/>
      <c r="AK13" s="3431"/>
      <c r="AL13" s="3431"/>
      <c r="AM13" s="3431"/>
      <c r="AN13" s="3431"/>
      <c r="AO13" s="3432"/>
    </row>
    <row r="14" spans="1:48" ht="14.1" customHeight="1" x14ac:dyDescent="0.25">
      <c r="A14" s="2007"/>
      <c r="B14" s="2008" t="s">
        <v>416</v>
      </c>
      <c r="C14" s="2008"/>
      <c r="D14" s="6"/>
      <c r="E14" s="6"/>
      <c r="F14" s="6"/>
      <c r="G14" s="6"/>
      <c r="H14" s="6"/>
      <c r="I14" s="2009"/>
      <c r="J14" s="3397"/>
      <c r="K14" s="3398"/>
      <c r="L14" s="3398"/>
      <c r="M14" s="3398"/>
      <c r="N14" s="3398"/>
      <c r="O14" s="3398"/>
      <c r="P14" s="3398"/>
      <c r="Q14" s="3398"/>
      <c r="R14" s="3398"/>
      <c r="S14" s="3398"/>
      <c r="T14" s="3398"/>
      <c r="U14" s="3398"/>
      <c r="V14" s="3398"/>
      <c r="W14" s="3398"/>
      <c r="X14" s="3398"/>
      <c r="Y14" s="3398"/>
      <c r="Z14" s="3399"/>
    </row>
    <row r="15" spans="1:48" ht="14.1" customHeight="1" x14ac:dyDescent="0.25">
      <c r="A15" s="2007"/>
      <c r="B15" s="6"/>
      <c r="C15" s="6"/>
      <c r="D15" s="6"/>
      <c r="E15" s="6"/>
      <c r="F15" s="6"/>
      <c r="G15" s="6"/>
      <c r="H15" s="6"/>
      <c r="I15" s="2009"/>
      <c r="J15" s="3397"/>
      <c r="K15" s="3398"/>
      <c r="L15" s="3398"/>
      <c r="M15" s="3398"/>
      <c r="N15" s="3398"/>
      <c r="O15" s="3398"/>
      <c r="P15" s="3398"/>
      <c r="Q15" s="3398"/>
      <c r="R15" s="3398"/>
      <c r="S15" s="3398"/>
      <c r="T15" s="3398"/>
      <c r="U15" s="3398"/>
      <c r="V15" s="3398"/>
      <c r="W15" s="3398"/>
      <c r="X15" s="3398"/>
      <c r="Y15" s="3398"/>
      <c r="Z15" s="3399"/>
    </row>
    <row r="16" spans="1:48" ht="14.1" customHeight="1" x14ac:dyDescent="0.25">
      <c r="A16" s="2010"/>
      <c r="B16" s="2011"/>
      <c r="C16" s="2011"/>
      <c r="D16" s="2011"/>
      <c r="E16" s="2011"/>
      <c r="F16" s="2011"/>
      <c r="G16" s="2011"/>
      <c r="H16" s="2011"/>
      <c r="I16" s="2012"/>
      <c r="J16" s="3400"/>
      <c r="K16" s="3401"/>
      <c r="L16" s="3401"/>
      <c r="M16" s="3401"/>
      <c r="N16" s="3401"/>
      <c r="O16" s="3401"/>
      <c r="P16" s="3401"/>
      <c r="Q16" s="3401"/>
      <c r="R16" s="3401"/>
      <c r="S16" s="3401"/>
      <c r="T16" s="3401"/>
      <c r="U16" s="3401"/>
      <c r="V16" s="3401"/>
      <c r="W16" s="3401"/>
      <c r="X16" s="3401"/>
      <c r="Y16" s="3401"/>
      <c r="Z16" s="3402"/>
    </row>
    <row r="17" spans="1:26" ht="15" x14ac:dyDescent="0.25">
      <c r="A17" s="2002" t="s">
        <v>227</v>
      </c>
      <c r="B17" s="2013" t="s">
        <v>417</v>
      </c>
      <c r="C17" s="2005"/>
      <c r="D17" s="2004"/>
      <c r="E17" s="2004"/>
      <c r="F17" s="2004"/>
      <c r="G17" s="2004"/>
      <c r="H17" s="2004"/>
      <c r="I17" s="2014"/>
      <c r="J17" s="3394" t="str">
        <f>VLOOKUP(AC11,SOSIAL,8,FALSE)</f>
        <v xml:space="preserve"> Sangat baik dalam bersikap  disiplin,     Baik dalam bersikap   percaya diri, santun,   Dengan bimbingan dan pendampingan yang lebih, akan mampu meningkatkan bersikap Jujur,     </v>
      </c>
      <c r="K17" s="3395"/>
      <c r="L17" s="3395"/>
      <c r="M17" s="3395"/>
      <c r="N17" s="3395"/>
      <c r="O17" s="3395"/>
      <c r="P17" s="3395"/>
      <c r="Q17" s="3395"/>
      <c r="R17" s="3395"/>
      <c r="S17" s="3395"/>
      <c r="T17" s="3395"/>
      <c r="U17" s="3395"/>
      <c r="V17" s="3395"/>
      <c r="W17" s="3395"/>
      <c r="X17" s="3395"/>
      <c r="Y17" s="3395"/>
      <c r="Z17" s="3396"/>
    </row>
    <row r="18" spans="1:26" ht="15" x14ac:dyDescent="0.25">
      <c r="A18" s="2015"/>
      <c r="B18" s="2008" t="s">
        <v>415</v>
      </c>
      <c r="C18" s="2008"/>
      <c r="D18" s="2008"/>
      <c r="E18" s="2008"/>
      <c r="F18" s="2008"/>
      <c r="G18" s="2008"/>
      <c r="H18" s="2008"/>
      <c r="I18" s="2016"/>
      <c r="J18" s="3397"/>
      <c r="K18" s="3398"/>
      <c r="L18" s="3398"/>
      <c r="M18" s="3398"/>
      <c r="N18" s="3398"/>
      <c r="O18" s="3398"/>
      <c r="P18" s="3398"/>
      <c r="Q18" s="3398"/>
      <c r="R18" s="3398"/>
      <c r="S18" s="3398"/>
      <c r="T18" s="3398"/>
      <c r="U18" s="3398"/>
      <c r="V18" s="3398"/>
      <c r="W18" s="3398"/>
      <c r="X18" s="3398"/>
      <c r="Y18" s="3398"/>
      <c r="Z18" s="3399"/>
    </row>
    <row r="19" spans="1:26" ht="15" x14ac:dyDescent="0.25">
      <c r="A19" s="2015"/>
      <c r="B19" s="2008" t="s">
        <v>416</v>
      </c>
      <c r="C19" s="2008"/>
      <c r="D19" s="2008"/>
      <c r="E19" s="2008"/>
      <c r="F19" s="2008"/>
      <c r="G19" s="2008"/>
      <c r="H19" s="2008"/>
      <c r="I19" s="2016"/>
      <c r="J19" s="3397"/>
      <c r="K19" s="3398"/>
      <c r="L19" s="3398"/>
      <c r="M19" s="3398"/>
      <c r="N19" s="3398"/>
      <c r="O19" s="3398"/>
      <c r="P19" s="3398"/>
      <c r="Q19" s="3398"/>
      <c r="R19" s="3398"/>
      <c r="S19" s="3398"/>
      <c r="T19" s="3398"/>
      <c r="U19" s="3398"/>
      <c r="V19" s="3398"/>
      <c r="W19" s="3398"/>
      <c r="X19" s="3398"/>
      <c r="Y19" s="3398"/>
      <c r="Z19" s="3399"/>
    </row>
    <row r="20" spans="1:26" ht="15" x14ac:dyDescent="0.25">
      <c r="A20" s="2015"/>
      <c r="B20" s="2008"/>
      <c r="C20" s="2008"/>
      <c r="D20" s="2008"/>
      <c r="E20" s="2008"/>
      <c r="F20" s="2008"/>
      <c r="G20" s="2008"/>
      <c r="H20" s="2008"/>
      <c r="I20" s="2016"/>
      <c r="J20" s="3397"/>
      <c r="K20" s="3398"/>
      <c r="L20" s="3398"/>
      <c r="M20" s="3398"/>
      <c r="N20" s="3398"/>
      <c r="O20" s="3398"/>
      <c r="P20" s="3398"/>
      <c r="Q20" s="3398"/>
      <c r="R20" s="3398"/>
      <c r="S20" s="3398"/>
      <c r="T20" s="3398"/>
      <c r="U20" s="3398"/>
      <c r="V20" s="3398"/>
      <c r="W20" s="3398"/>
      <c r="X20" s="3398"/>
      <c r="Y20" s="3398"/>
      <c r="Z20" s="3399"/>
    </row>
    <row r="21" spans="1:26" ht="15" x14ac:dyDescent="0.25">
      <c r="A21" s="2007"/>
      <c r="B21" s="6"/>
      <c r="C21" s="6"/>
      <c r="D21" s="6"/>
      <c r="E21" s="6"/>
      <c r="F21" s="6"/>
      <c r="G21" s="6"/>
      <c r="H21" s="6"/>
      <c r="I21" s="2009"/>
      <c r="J21" s="3397"/>
      <c r="K21" s="3398"/>
      <c r="L21" s="3398"/>
      <c r="M21" s="3398"/>
      <c r="N21" s="3398"/>
      <c r="O21" s="3398"/>
      <c r="P21" s="3398"/>
      <c r="Q21" s="3398"/>
      <c r="R21" s="3398"/>
      <c r="S21" s="3398"/>
      <c r="T21" s="3398"/>
      <c r="U21" s="3398"/>
      <c r="V21" s="3398"/>
      <c r="W21" s="3398"/>
      <c r="X21" s="3398"/>
      <c r="Y21" s="3398"/>
      <c r="Z21" s="3399"/>
    </row>
    <row r="22" spans="1:26" ht="15" x14ac:dyDescent="0.25">
      <c r="A22" s="2010"/>
      <c r="B22" s="2011"/>
      <c r="C22" s="2011"/>
      <c r="D22" s="2011"/>
      <c r="E22" s="2011"/>
      <c r="F22" s="2011"/>
      <c r="G22" s="2011"/>
      <c r="H22" s="2011"/>
      <c r="I22" s="2012"/>
      <c r="J22" s="3400"/>
      <c r="K22" s="3401"/>
      <c r="L22" s="3401"/>
      <c r="M22" s="3401"/>
      <c r="N22" s="3401"/>
      <c r="O22" s="3401"/>
      <c r="P22" s="3401"/>
      <c r="Q22" s="3401"/>
      <c r="R22" s="3401"/>
      <c r="S22" s="3401"/>
      <c r="T22" s="3401"/>
      <c r="U22" s="3401"/>
      <c r="V22" s="3401"/>
      <c r="W22" s="3401"/>
      <c r="X22" s="3401"/>
      <c r="Y22" s="3401"/>
      <c r="Z22" s="3402"/>
    </row>
    <row r="23" spans="1:26" ht="15"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 x14ac:dyDescent="0.25">
      <c r="A25" s="2001" t="s">
        <v>418</v>
      </c>
      <c r="B25" s="1"/>
      <c r="C25" s="1"/>
      <c r="D25" s="1"/>
      <c r="E25" s="1"/>
      <c r="F25" s="1"/>
      <c r="G25" s="1"/>
      <c r="H25" s="1"/>
      <c r="I25" s="1"/>
      <c r="J25" s="1"/>
      <c r="K25" s="1"/>
      <c r="L25" s="1"/>
      <c r="M25" s="1"/>
      <c r="N25" s="1"/>
      <c r="O25" s="1"/>
      <c r="P25" s="1"/>
      <c r="Q25" s="1"/>
      <c r="R25" s="1"/>
      <c r="S25" s="1"/>
      <c r="T25" s="1"/>
      <c r="U25" s="1"/>
      <c r="V25" s="1"/>
      <c r="W25" s="1"/>
      <c r="X25" s="1"/>
      <c r="Y25" s="1"/>
      <c r="Z25" s="1"/>
    </row>
    <row r="26" spans="1:26" ht="15"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 x14ac:dyDescent="0.25">
      <c r="A27" s="3377" t="s">
        <v>419</v>
      </c>
      <c r="B27" s="3377"/>
      <c r="C27" s="3377" t="s">
        <v>420</v>
      </c>
      <c r="D27" s="3377"/>
      <c r="E27" s="3377"/>
      <c r="F27" s="3377"/>
      <c r="G27" s="3377"/>
      <c r="H27" s="3377"/>
      <c r="I27" s="3377" t="s">
        <v>421</v>
      </c>
      <c r="J27" s="3377"/>
      <c r="K27" s="3377"/>
      <c r="L27" s="3377"/>
      <c r="M27" s="3377"/>
      <c r="N27" s="3377"/>
      <c r="O27" s="3377"/>
      <c r="P27" s="3377"/>
      <c r="Q27" s="3377"/>
      <c r="R27" s="3377" t="s">
        <v>424</v>
      </c>
      <c r="S27" s="3377"/>
      <c r="T27" s="3377"/>
      <c r="U27" s="3377"/>
      <c r="V27" s="3377"/>
      <c r="W27" s="3377"/>
      <c r="X27" s="3377"/>
      <c r="Y27" s="3377"/>
      <c r="Z27" s="3377"/>
    </row>
    <row r="28" spans="1:26" ht="15" x14ac:dyDescent="0.25">
      <c r="A28" s="3377"/>
      <c r="B28" s="3377"/>
      <c r="C28" s="3377"/>
      <c r="D28" s="3377"/>
      <c r="E28" s="3377"/>
      <c r="F28" s="3377"/>
      <c r="G28" s="3377"/>
      <c r="H28" s="3377"/>
      <c r="I28" s="3377" t="s">
        <v>422</v>
      </c>
      <c r="J28" s="3377"/>
      <c r="K28" s="3377" t="s">
        <v>423</v>
      </c>
      <c r="L28" s="3377"/>
      <c r="M28" s="3377" t="s">
        <v>412</v>
      </c>
      <c r="N28" s="3377"/>
      <c r="O28" s="3377"/>
      <c r="P28" s="3377"/>
      <c r="Q28" s="3377"/>
      <c r="R28" s="3377" t="s">
        <v>422</v>
      </c>
      <c r="S28" s="3377"/>
      <c r="T28" s="3377" t="s">
        <v>423</v>
      </c>
      <c r="U28" s="3377"/>
      <c r="V28" s="3377" t="s">
        <v>412</v>
      </c>
      <c r="W28" s="3377"/>
      <c r="X28" s="3377"/>
      <c r="Y28" s="3377"/>
      <c r="Z28" s="3377"/>
    </row>
    <row r="29" spans="1:26" ht="15" x14ac:dyDescent="0.25">
      <c r="A29" s="3390">
        <v>1</v>
      </c>
      <c r="B29" s="3391"/>
      <c r="C29" s="3394" t="s">
        <v>425</v>
      </c>
      <c r="D29" s="3395"/>
      <c r="E29" s="3395"/>
      <c r="F29" s="3395"/>
      <c r="G29" s="3395"/>
      <c r="H29" s="3396"/>
      <c r="I29" s="3378">
        <v>78</v>
      </c>
      <c r="J29" s="3379"/>
      <c r="K29" s="3384" t="str">
        <f>IF(R29&gt;85,("A"),IF(R29&gt;80,("A-"),IF(R29&gt;75,("B+"),IF(R29&gt;70,("B"),IF(R29&gt;65,("B-"),IF(R29&gt;60,("C+"),IF(R29&gt;55,("C"),IF(R29&gt;50,("C-"),"D+"))))))))</f>
        <v>A</v>
      </c>
      <c r="L29" s="3385"/>
      <c r="M29" s="3367"/>
      <c r="N29" s="3368"/>
      <c r="O29" s="3368"/>
      <c r="P29" s="3368"/>
      <c r="Q29" s="3369"/>
      <c r="R29" s="3378">
        <v>87</v>
      </c>
      <c r="S29" s="3379"/>
      <c r="T29" s="3384" t="str">
        <f>IF(R29&gt;85,("A"),IF(R29&gt;80,("A-"),IF(R29&gt;75,("B+"),IF(R29&gt;70,("B"),IF(R29&gt;65,("B-"),IF(R29&gt;60,("C+"),IF(R29&gt;55,("C"),IF(R29&gt;50,("C-"),"D+"))))))))</f>
        <v>A</v>
      </c>
      <c r="U29" s="3385"/>
      <c r="V29" s="3367"/>
      <c r="W29" s="3368"/>
      <c r="X29" s="3368"/>
      <c r="Y29" s="3368"/>
      <c r="Z29" s="3369"/>
    </row>
    <row r="30" spans="1:26" ht="15" x14ac:dyDescent="0.25">
      <c r="A30" s="3392"/>
      <c r="B30" s="3393"/>
      <c r="C30" s="3397"/>
      <c r="D30" s="3398"/>
      <c r="E30" s="3398"/>
      <c r="F30" s="3398"/>
      <c r="G30" s="3398"/>
      <c r="H30" s="3399"/>
      <c r="I30" s="3380"/>
      <c r="J30" s="3381"/>
      <c r="K30" s="3386"/>
      <c r="L30" s="3387"/>
      <c r="M30" s="3370"/>
      <c r="N30" s="3371"/>
      <c r="O30" s="3371"/>
      <c r="P30" s="3371"/>
      <c r="Q30" s="3372"/>
      <c r="R30" s="3380"/>
      <c r="S30" s="3381"/>
      <c r="T30" s="3386"/>
      <c r="U30" s="3387"/>
      <c r="V30" s="3370"/>
      <c r="W30" s="3371"/>
      <c r="X30" s="3371"/>
      <c r="Y30" s="3371"/>
      <c r="Z30" s="3372"/>
    </row>
    <row r="31" spans="1:26" ht="15" x14ac:dyDescent="0.25">
      <c r="A31" s="3392"/>
      <c r="B31" s="3393"/>
      <c r="C31" s="3397"/>
      <c r="D31" s="3398"/>
      <c r="E31" s="3398"/>
      <c r="F31" s="3398"/>
      <c r="G31" s="3398"/>
      <c r="H31" s="3399"/>
      <c r="I31" s="3380"/>
      <c r="J31" s="3381"/>
      <c r="K31" s="3386"/>
      <c r="L31" s="3387"/>
      <c r="M31" s="3370"/>
      <c r="N31" s="3371"/>
      <c r="O31" s="3371"/>
      <c r="P31" s="3371"/>
      <c r="Q31" s="3372"/>
      <c r="R31" s="3380"/>
      <c r="S31" s="3381"/>
      <c r="T31" s="3386"/>
      <c r="U31" s="3387"/>
      <c r="V31" s="3370"/>
      <c r="W31" s="3371"/>
      <c r="X31" s="3371"/>
      <c r="Y31" s="3371"/>
      <c r="Z31" s="3372"/>
    </row>
    <row r="32" spans="1:26" ht="15" x14ac:dyDescent="0.25">
      <c r="A32" s="3392"/>
      <c r="B32" s="3393"/>
      <c r="C32" s="3397"/>
      <c r="D32" s="3398"/>
      <c r="E32" s="3398"/>
      <c r="F32" s="3398"/>
      <c r="G32" s="3398"/>
      <c r="H32" s="3399"/>
      <c r="I32" s="3380"/>
      <c r="J32" s="3381"/>
      <c r="K32" s="3386"/>
      <c r="L32" s="3387"/>
      <c r="M32" s="3370"/>
      <c r="N32" s="3371"/>
      <c r="O32" s="3371"/>
      <c r="P32" s="3371"/>
      <c r="Q32" s="3372"/>
      <c r="R32" s="3380"/>
      <c r="S32" s="3381"/>
      <c r="T32" s="3386"/>
      <c r="U32" s="3387"/>
      <c r="V32" s="3370"/>
      <c r="W32" s="3371"/>
      <c r="X32" s="3371"/>
      <c r="Y32" s="3371"/>
      <c r="Z32" s="3372"/>
    </row>
    <row r="33" spans="1:26" ht="15" x14ac:dyDescent="0.25">
      <c r="A33" s="3392"/>
      <c r="B33" s="3393"/>
      <c r="C33" s="3397"/>
      <c r="D33" s="3398"/>
      <c r="E33" s="3398"/>
      <c r="F33" s="3398"/>
      <c r="G33" s="3398"/>
      <c r="H33" s="3399"/>
      <c r="I33" s="3380"/>
      <c r="J33" s="3381"/>
      <c r="K33" s="3386"/>
      <c r="L33" s="3387"/>
      <c r="M33" s="3370"/>
      <c r="N33" s="3371"/>
      <c r="O33" s="3371"/>
      <c r="P33" s="3371"/>
      <c r="Q33" s="3372"/>
      <c r="R33" s="3380"/>
      <c r="S33" s="3381"/>
      <c r="T33" s="3386"/>
      <c r="U33" s="3387"/>
      <c r="V33" s="3370"/>
      <c r="W33" s="3371"/>
      <c r="X33" s="3371"/>
      <c r="Y33" s="3371"/>
      <c r="Z33" s="3372"/>
    </row>
    <row r="34" spans="1:26" ht="15" x14ac:dyDescent="0.25">
      <c r="A34" s="3392"/>
      <c r="B34" s="3393"/>
      <c r="C34" s="3397"/>
      <c r="D34" s="3398"/>
      <c r="E34" s="3398"/>
      <c r="F34" s="3398"/>
      <c r="G34" s="3398"/>
      <c r="H34" s="3399"/>
      <c r="I34" s="3380"/>
      <c r="J34" s="3381"/>
      <c r="K34" s="3386"/>
      <c r="L34" s="3387"/>
      <c r="M34" s="3370"/>
      <c r="N34" s="3371"/>
      <c r="O34" s="3371"/>
      <c r="P34" s="3371"/>
      <c r="Q34" s="3372"/>
      <c r="R34" s="3380"/>
      <c r="S34" s="3381"/>
      <c r="T34" s="3386"/>
      <c r="U34" s="3387"/>
      <c r="V34" s="3370"/>
      <c r="W34" s="3371"/>
      <c r="X34" s="3371"/>
      <c r="Y34" s="3371"/>
      <c r="Z34" s="3372"/>
    </row>
    <row r="35" spans="1:26" ht="15" x14ac:dyDescent="0.25">
      <c r="A35" s="3392"/>
      <c r="B35" s="3393"/>
      <c r="C35" s="3397"/>
      <c r="D35" s="3398"/>
      <c r="E35" s="3398"/>
      <c r="F35" s="3398"/>
      <c r="G35" s="3398"/>
      <c r="H35" s="3399"/>
      <c r="I35" s="3380"/>
      <c r="J35" s="3381"/>
      <c r="K35" s="3386"/>
      <c r="L35" s="3387"/>
      <c r="M35" s="3370"/>
      <c r="N35" s="3371"/>
      <c r="O35" s="3371"/>
      <c r="P35" s="3371"/>
      <c r="Q35" s="3372"/>
      <c r="R35" s="3380"/>
      <c r="S35" s="3381"/>
      <c r="T35" s="3386"/>
      <c r="U35" s="3387"/>
      <c r="V35" s="3370"/>
      <c r="W35" s="3371"/>
      <c r="X35" s="3371"/>
      <c r="Y35" s="3371"/>
      <c r="Z35" s="3372"/>
    </row>
    <row r="36" spans="1:26" ht="15" x14ac:dyDescent="0.25">
      <c r="A36" s="3392"/>
      <c r="B36" s="3393"/>
      <c r="C36" s="3397"/>
      <c r="D36" s="3398"/>
      <c r="E36" s="3398"/>
      <c r="F36" s="3398"/>
      <c r="G36" s="3398"/>
      <c r="H36" s="3399"/>
      <c r="I36" s="3380"/>
      <c r="J36" s="3381"/>
      <c r="K36" s="3386"/>
      <c r="L36" s="3387"/>
      <c r="M36" s="3370"/>
      <c r="N36" s="3371"/>
      <c r="O36" s="3371"/>
      <c r="P36" s="3371"/>
      <c r="Q36" s="3372"/>
      <c r="R36" s="3380"/>
      <c r="S36" s="3381"/>
      <c r="T36" s="3386"/>
      <c r="U36" s="3387"/>
      <c r="V36" s="3370"/>
      <c r="W36" s="3371"/>
      <c r="X36" s="3371"/>
      <c r="Y36" s="3371"/>
      <c r="Z36" s="3372"/>
    </row>
    <row r="37" spans="1:26" ht="15" x14ac:dyDescent="0.25">
      <c r="A37" s="3392"/>
      <c r="B37" s="3393"/>
      <c r="C37" s="3397"/>
      <c r="D37" s="3398"/>
      <c r="E37" s="3398"/>
      <c r="F37" s="3398"/>
      <c r="G37" s="3398"/>
      <c r="H37" s="3399"/>
      <c r="I37" s="3380"/>
      <c r="J37" s="3381"/>
      <c r="K37" s="3386"/>
      <c r="L37" s="3387"/>
      <c r="M37" s="3370"/>
      <c r="N37" s="3371"/>
      <c r="O37" s="3371"/>
      <c r="P37" s="3371"/>
      <c r="Q37" s="3372"/>
      <c r="R37" s="3380"/>
      <c r="S37" s="3381"/>
      <c r="T37" s="3386"/>
      <c r="U37" s="3387"/>
      <c r="V37" s="3370"/>
      <c r="W37" s="3371"/>
      <c r="X37" s="3371"/>
      <c r="Y37" s="3371"/>
      <c r="Z37" s="3372"/>
    </row>
    <row r="38" spans="1:26" ht="15" x14ac:dyDescent="0.25">
      <c r="A38" s="3392"/>
      <c r="B38" s="3393"/>
      <c r="C38" s="3397"/>
      <c r="D38" s="3398"/>
      <c r="E38" s="3398"/>
      <c r="F38" s="3398"/>
      <c r="G38" s="3398"/>
      <c r="H38" s="3399"/>
      <c r="I38" s="3380"/>
      <c r="J38" s="3381"/>
      <c r="K38" s="3386"/>
      <c r="L38" s="3387"/>
      <c r="M38" s="3370"/>
      <c r="N38" s="3371"/>
      <c r="O38" s="3371"/>
      <c r="P38" s="3371"/>
      <c r="Q38" s="3372"/>
      <c r="R38" s="3380"/>
      <c r="S38" s="3381"/>
      <c r="T38" s="3386"/>
      <c r="U38" s="3387"/>
      <c r="V38" s="3370"/>
      <c r="W38" s="3371"/>
      <c r="X38" s="3371"/>
      <c r="Y38" s="3371"/>
      <c r="Z38" s="3372"/>
    </row>
    <row r="39" spans="1:26" ht="15" x14ac:dyDescent="0.25">
      <c r="A39" s="3392"/>
      <c r="B39" s="3393"/>
      <c r="C39" s="3397"/>
      <c r="D39" s="3398"/>
      <c r="E39" s="3398"/>
      <c r="F39" s="3398"/>
      <c r="G39" s="3398"/>
      <c r="H39" s="3399"/>
      <c r="I39" s="3380"/>
      <c r="J39" s="3381"/>
      <c r="K39" s="3386"/>
      <c r="L39" s="3387"/>
      <c r="M39" s="3370"/>
      <c r="N39" s="3371"/>
      <c r="O39" s="3371"/>
      <c r="P39" s="3371"/>
      <c r="Q39" s="3372"/>
      <c r="R39" s="3380"/>
      <c r="S39" s="3381"/>
      <c r="T39" s="3386"/>
      <c r="U39" s="3387"/>
      <c r="V39" s="3370"/>
      <c r="W39" s="3371"/>
      <c r="X39" s="3371"/>
      <c r="Y39" s="3371"/>
      <c r="Z39" s="3372"/>
    </row>
    <row r="40" spans="1:26" ht="15" x14ac:dyDescent="0.25">
      <c r="A40" s="3392"/>
      <c r="B40" s="3393"/>
      <c r="C40" s="3397"/>
      <c r="D40" s="3398"/>
      <c r="E40" s="3398"/>
      <c r="F40" s="3398"/>
      <c r="G40" s="3398"/>
      <c r="H40" s="3399"/>
      <c r="I40" s="3380"/>
      <c r="J40" s="3381"/>
      <c r="K40" s="3386"/>
      <c r="L40" s="3387"/>
      <c r="M40" s="3370"/>
      <c r="N40" s="3371"/>
      <c r="O40" s="3371"/>
      <c r="P40" s="3371"/>
      <c r="Q40" s="3372"/>
      <c r="R40" s="3380"/>
      <c r="S40" s="3381"/>
      <c r="T40" s="3386"/>
      <c r="U40" s="3387"/>
      <c r="V40" s="3370"/>
      <c r="W40" s="3371"/>
      <c r="X40" s="3371"/>
      <c r="Y40" s="3371"/>
      <c r="Z40" s="3372"/>
    </row>
    <row r="41" spans="1:26" ht="15" x14ac:dyDescent="0.25">
      <c r="A41" s="3392"/>
      <c r="B41" s="3393"/>
      <c r="C41" s="3397"/>
      <c r="D41" s="3398"/>
      <c r="E41" s="3398"/>
      <c r="F41" s="3398"/>
      <c r="G41" s="3398"/>
      <c r="H41" s="3399"/>
      <c r="I41" s="3380"/>
      <c r="J41" s="3381"/>
      <c r="K41" s="3386"/>
      <c r="L41" s="3387"/>
      <c r="M41" s="3370"/>
      <c r="N41" s="3371"/>
      <c r="O41" s="3371"/>
      <c r="P41" s="3371"/>
      <c r="Q41" s="3372"/>
      <c r="R41" s="3380"/>
      <c r="S41" s="3381"/>
      <c r="T41" s="3386"/>
      <c r="U41" s="3387"/>
      <c r="V41" s="3370"/>
      <c r="W41" s="3371"/>
      <c r="X41" s="3371"/>
      <c r="Y41" s="3371"/>
      <c r="Z41" s="3372"/>
    </row>
    <row r="42" spans="1:26" ht="15" x14ac:dyDescent="0.25">
      <c r="A42" s="3392"/>
      <c r="B42" s="3393"/>
      <c r="C42" s="3397"/>
      <c r="D42" s="3398"/>
      <c r="E42" s="3398"/>
      <c r="F42" s="3398"/>
      <c r="G42" s="3398"/>
      <c r="H42" s="3399"/>
      <c r="I42" s="3380"/>
      <c r="J42" s="3381"/>
      <c r="K42" s="3386"/>
      <c r="L42" s="3387"/>
      <c r="M42" s="3370"/>
      <c r="N42" s="3371"/>
      <c r="O42" s="3371"/>
      <c r="P42" s="3371"/>
      <c r="Q42" s="3372"/>
      <c r="R42" s="3380"/>
      <c r="S42" s="3381"/>
      <c r="T42" s="3386"/>
      <c r="U42" s="3387"/>
      <c r="V42" s="3370"/>
      <c r="W42" s="3371"/>
      <c r="X42" s="3371"/>
      <c r="Y42" s="3371"/>
      <c r="Z42" s="3372"/>
    </row>
    <row r="43" spans="1:26" ht="15" x14ac:dyDescent="0.25">
      <c r="A43" s="3392"/>
      <c r="B43" s="3393"/>
      <c r="C43" s="3397"/>
      <c r="D43" s="3398"/>
      <c r="E43" s="3398"/>
      <c r="F43" s="3398"/>
      <c r="G43" s="3398"/>
      <c r="H43" s="3399"/>
      <c r="I43" s="3380"/>
      <c r="J43" s="3381"/>
      <c r="K43" s="3386"/>
      <c r="L43" s="3387"/>
      <c r="M43" s="3370"/>
      <c r="N43" s="3371"/>
      <c r="O43" s="3371"/>
      <c r="P43" s="3371"/>
      <c r="Q43" s="3372"/>
      <c r="R43" s="3380"/>
      <c r="S43" s="3381"/>
      <c r="T43" s="3386"/>
      <c r="U43" s="3387"/>
      <c r="V43" s="3370"/>
      <c r="W43" s="3371"/>
      <c r="X43" s="3371"/>
      <c r="Y43" s="3371"/>
      <c r="Z43" s="3372"/>
    </row>
    <row r="44" spans="1:26" ht="15" x14ac:dyDescent="0.25">
      <c r="A44" s="3392"/>
      <c r="B44" s="3393"/>
      <c r="C44" s="3397"/>
      <c r="D44" s="3398"/>
      <c r="E44" s="3398"/>
      <c r="F44" s="3398"/>
      <c r="G44" s="3398"/>
      <c r="H44" s="3399"/>
      <c r="I44" s="3380"/>
      <c r="J44" s="3381"/>
      <c r="K44" s="3386"/>
      <c r="L44" s="3387"/>
      <c r="M44" s="3370"/>
      <c r="N44" s="3371"/>
      <c r="O44" s="3371"/>
      <c r="P44" s="3371"/>
      <c r="Q44" s="3372"/>
      <c r="R44" s="3380"/>
      <c r="S44" s="3381"/>
      <c r="T44" s="3386"/>
      <c r="U44" s="3387"/>
      <c r="V44" s="3370"/>
      <c r="W44" s="3371"/>
      <c r="X44" s="3371"/>
      <c r="Y44" s="3371"/>
      <c r="Z44" s="3372"/>
    </row>
    <row r="45" spans="1:26" ht="15" x14ac:dyDescent="0.25">
      <c r="A45" s="3392"/>
      <c r="B45" s="3393"/>
      <c r="C45" s="3397"/>
      <c r="D45" s="3398"/>
      <c r="E45" s="3398"/>
      <c r="F45" s="3398"/>
      <c r="G45" s="3398"/>
      <c r="H45" s="3399"/>
      <c r="I45" s="3380"/>
      <c r="J45" s="3381"/>
      <c r="K45" s="3386"/>
      <c r="L45" s="3387"/>
      <c r="M45" s="3370"/>
      <c r="N45" s="3371"/>
      <c r="O45" s="3371"/>
      <c r="P45" s="3371"/>
      <c r="Q45" s="3372"/>
      <c r="R45" s="3380"/>
      <c r="S45" s="3381"/>
      <c r="T45" s="3386"/>
      <c r="U45" s="3387"/>
      <c r="V45" s="3370"/>
      <c r="W45" s="3371"/>
      <c r="X45" s="3371"/>
      <c r="Y45" s="3371"/>
      <c r="Z45" s="3372"/>
    </row>
    <row r="46" spans="1:26" ht="15" x14ac:dyDescent="0.25">
      <c r="A46" s="3392"/>
      <c r="B46" s="3393"/>
      <c r="C46" s="3397"/>
      <c r="D46" s="3398"/>
      <c r="E46" s="3398"/>
      <c r="F46" s="3398"/>
      <c r="G46" s="3398"/>
      <c r="H46" s="3399"/>
      <c r="I46" s="3380"/>
      <c r="J46" s="3381"/>
      <c r="K46" s="3386"/>
      <c r="L46" s="3387"/>
      <c r="M46" s="3370"/>
      <c r="N46" s="3371"/>
      <c r="O46" s="3371"/>
      <c r="P46" s="3371"/>
      <c r="Q46" s="3372"/>
      <c r="R46" s="3380"/>
      <c r="S46" s="3381"/>
      <c r="T46" s="3386"/>
      <c r="U46" s="3387"/>
      <c r="V46" s="3370"/>
      <c r="W46" s="3371"/>
      <c r="X46" s="3371"/>
      <c r="Y46" s="3371"/>
      <c r="Z46" s="3372"/>
    </row>
    <row r="47" spans="1:26" ht="15" x14ac:dyDescent="0.25">
      <c r="A47" s="3392"/>
      <c r="B47" s="3393"/>
      <c r="C47" s="3397"/>
      <c r="D47" s="3398"/>
      <c r="E47" s="3398"/>
      <c r="F47" s="3398"/>
      <c r="G47" s="3398"/>
      <c r="H47" s="3399"/>
      <c r="I47" s="3380"/>
      <c r="J47" s="3381"/>
      <c r="K47" s="3386"/>
      <c r="L47" s="3387"/>
      <c r="M47" s="3370"/>
      <c r="N47" s="3371"/>
      <c r="O47" s="3371"/>
      <c r="P47" s="3371"/>
      <c r="Q47" s="3372"/>
      <c r="R47" s="3380"/>
      <c r="S47" s="3381"/>
      <c r="T47" s="3386"/>
      <c r="U47" s="3387"/>
      <c r="V47" s="3370"/>
      <c r="W47" s="3371"/>
      <c r="X47" s="3371"/>
      <c r="Y47" s="3371"/>
      <c r="Z47" s="3372"/>
    </row>
    <row r="48" spans="1:26" ht="15" x14ac:dyDescent="0.25">
      <c r="A48" s="3392"/>
      <c r="B48" s="3393"/>
      <c r="C48" s="3397"/>
      <c r="D48" s="3398"/>
      <c r="E48" s="3398"/>
      <c r="F48" s="3398"/>
      <c r="G48" s="3398"/>
      <c r="H48" s="3399"/>
      <c r="I48" s="3380"/>
      <c r="J48" s="3381"/>
      <c r="K48" s="3386"/>
      <c r="L48" s="3387"/>
      <c r="M48" s="3370"/>
      <c r="N48" s="3371"/>
      <c r="O48" s="3371"/>
      <c r="P48" s="3371"/>
      <c r="Q48" s="3372"/>
      <c r="R48" s="3380"/>
      <c r="S48" s="3381"/>
      <c r="T48" s="3386"/>
      <c r="U48" s="3387"/>
      <c r="V48" s="3370"/>
      <c r="W48" s="3371"/>
      <c r="X48" s="3371"/>
      <c r="Y48" s="3371"/>
      <c r="Z48" s="3372"/>
    </row>
    <row r="49" spans="1:43" ht="15" x14ac:dyDescent="0.25">
      <c r="A49" s="2449"/>
      <c r="B49" s="2453"/>
      <c r="C49" s="3400"/>
      <c r="D49" s="3401"/>
      <c r="E49" s="3401"/>
      <c r="F49" s="3401"/>
      <c r="G49" s="3401"/>
      <c r="H49" s="3402"/>
      <c r="I49" s="3382"/>
      <c r="J49" s="3383"/>
      <c r="K49" s="3388"/>
      <c r="L49" s="3389"/>
      <c r="M49" s="3373"/>
      <c r="N49" s="3374"/>
      <c r="O49" s="3374"/>
      <c r="P49" s="3374"/>
      <c r="Q49" s="3375"/>
      <c r="R49" s="3382"/>
      <c r="S49" s="3383"/>
      <c r="T49" s="3388"/>
      <c r="U49" s="3389"/>
      <c r="V49" s="3373"/>
      <c r="W49" s="3374"/>
      <c r="X49" s="3374"/>
      <c r="Y49" s="3374"/>
      <c r="Z49" s="3375"/>
    </row>
    <row r="51" spans="1:43" ht="15" x14ac:dyDescent="0.25">
      <c r="AA51" s="3376" t="s">
        <v>256</v>
      </c>
      <c r="AB51" s="3376"/>
      <c r="AC51" s="3376"/>
      <c r="AD51" s="3376"/>
      <c r="AE51" s="3376"/>
      <c r="AF51" s="3376"/>
      <c r="AG51" s="3376"/>
      <c r="AH51" s="3376"/>
      <c r="AI51" s="3376"/>
      <c r="AJ51" s="3376"/>
      <c r="AK51" s="3376"/>
      <c r="AL51" s="3376"/>
      <c r="AM51" s="3376"/>
      <c r="AN51" s="3376"/>
      <c r="AO51" s="3376"/>
      <c r="AP51" s="3376"/>
      <c r="AQ51" s="3376"/>
    </row>
    <row r="52" spans="1:43" ht="15" x14ac:dyDescent="0.25">
      <c r="AA52" s="3376"/>
      <c r="AB52" s="3376"/>
      <c r="AC52" s="3376"/>
      <c r="AD52" s="3376"/>
      <c r="AE52" s="3376"/>
      <c r="AF52" s="3376"/>
      <c r="AG52" s="3376"/>
      <c r="AH52" s="3376"/>
      <c r="AI52" s="3376"/>
      <c r="AJ52" s="3376"/>
      <c r="AK52" s="3376"/>
      <c r="AL52" s="3376"/>
      <c r="AM52" s="3376"/>
      <c r="AN52" s="3376"/>
      <c r="AO52" s="3376"/>
      <c r="AP52" s="3376"/>
      <c r="AQ52" s="3376"/>
    </row>
    <row r="53" spans="1:43" ht="15" x14ac:dyDescent="0.25">
      <c r="AA53" s="3376"/>
      <c r="AB53" s="3376"/>
      <c r="AC53" s="3376"/>
      <c r="AD53" s="3376"/>
      <c r="AE53" s="3376"/>
      <c r="AF53" s="3376"/>
      <c r="AG53" s="3376"/>
      <c r="AH53" s="3376"/>
      <c r="AI53" s="3376"/>
      <c r="AJ53" s="3376"/>
      <c r="AK53" s="3376"/>
      <c r="AL53" s="3376"/>
      <c r="AM53" s="3376"/>
      <c r="AN53" s="3376"/>
      <c r="AO53" s="3376"/>
      <c r="AP53" s="3376"/>
      <c r="AQ53" s="3376"/>
    </row>
  </sheetData>
  <mergeCells count="28">
    <mergeCell ref="A2:Z2"/>
    <mergeCell ref="W4:Y4"/>
    <mergeCell ref="H5:I5"/>
    <mergeCell ref="A11:I11"/>
    <mergeCell ref="J11:Z11"/>
    <mergeCell ref="AF11:AO13"/>
    <mergeCell ref="J12:Z16"/>
    <mergeCell ref="J17:Z22"/>
    <mergeCell ref="A27:B28"/>
    <mergeCell ref="C27:H28"/>
    <mergeCell ref="I27:Q27"/>
    <mergeCell ref="R27:Z27"/>
    <mergeCell ref="I28:J28"/>
    <mergeCell ref="K28:L28"/>
    <mergeCell ref="M28:Q28"/>
    <mergeCell ref="AC11:AE13"/>
    <mergeCell ref="A29:B49"/>
    <mergeCell ref="C29:H49"/>
    <mergeCell ref="I29:J49"/>
    <mergeCell ref="K29:L49"/>
    <mergeCell ref="M29:Q49"/>
    <mergeCell ref="V29:Z49"/>
    <mergeCell ref="AA51:AQ53"/>
    <mergeCell ref="R28:S28"/>
    <mergeCell ref="T28:U28"/>
    <mergeCell ref="V28:Z28"/>
    <mergeCell ref="R29:S49"/>
    <mergeCell ref="T29:U49"/>
  </mergeCells>
  <pageMargins left="0.55000000000000004" right="0.31496062992125984" top="0.74803149606299213" bottom="0.74803149606299213" header="0.31496062992125984" footer="0.31496062992125984"/>
  <pageSetup paperSize="9" orientation="portrait" horizontalDpi="0" verticalDpi="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AV53"/>
  <sheetViews>
    <sheetView showGridLines="0" workbookViewId="0"/>
  </sheetViews>
  <sheetFormatPr defaultColWidth="3.7109375" defaultRowHeight="14.1" customHeight="1" x14ac:dyDescent="0.25"/>
  <cols>
    <col min="1" max="1" width="3.28515625" customWidth="1"/>
    <col min="2" max="2" width="3" customWidth="1"/>
    <col min="3" max="5" width="3.7109375" customWidth="1"/>
    <col min="6" max="6" width="2.7109375" customWidth="1"/>
    <col min="7" max="11" width="3.7109375" customWidth="1"/>
    <col min="12" max="12" width="3.42578125" customWidth="1"/>
    <col min="13" max="15" width="3.7109375" customWidth="1"/>
    <col min="16" max="16" width="3.85546875" customWidth="1"/>
    <col min="17" max="17" width="2.140625" customWidth="1"/>
    <col min="18" max="20" width="3.7109375" customWidth="1"/>
    <col min="21" max="21" width="4.28515625" customWidth="1"/>
    <col min="22" max="24" width="3.7109375" customWidth="1"/>
    <col min="25" max="25" width="4.28515625" customWidth="1"/>
    <col min="26" max="26" width="4.5703125" customWidth="1"/>
    <col min="29" max="29" width="3.7109375" customWidth="1"/>
  </cols>
  <sheetData>
    <row r="1" spans="1:48" ht="14.1" customHeight="1" x14ac:dyDescent="0.25">
      <c r="A1" s="1"/>
      <c r="B1" s="1"/>
      <c r="C1" s="1"/>
      <c r="D1" s="1"/>
      <c r="E1" s="1"/>
      <c r="F1" s="1"/>
      <c r="G1" s="1"/>
      <c r="H1" s="1"/>
      <c r="I1" s="1"/>
      <c r="J1" s="1"/>
      <c r="K1" s="1"/>
      <c r="L1" s="1"/>
      <c r="M1" s="1"/>
      <c r="N1" s="1"/>
      <c r="O1" s="1"/>
      <c r="P1" s="1"/>
      <c r="Q1" s="1"/>
      <c r="R1" s="1"/>
      <c r="S1" s="1"/>
      <c r="T1" s="1"/>
      <c r="U1" s="1"/>
      <c r="V1" s="1"/>
      <c r="W1" s="1"/>
      <c r="X1" s="1"/>
      <c r="Y1" s="1"/>
      <c r="Z1" s="1987">
        <v>1</v>
      </c>
      <c r="AA1" s="1988"/>
      <c r="AB1" s="1989"/>
      <c r="AC1" s="1989"/>
      <c r="AD1" s="1989"/>
      <c r="AE1" s="1989"/>
      <c r="AF1" s="1989"/>
      <c r="AG1" s="1989"/>
      <c r="AH1" s="1989"/>
      <c r="AI1" s="1989"/>
      <c r="AJ1" s="1989"/>
      <c r="AK1" s="1989"/>
      <c r="AL1" s="1989"/>
      <c r="AM1" s="1989"/>
      <c r="AN1" s="1989"/>
      <c r="AO1" s="1989"/>
      <c r="AP1" s="1989"/>
      <c r="AQ1" s="1989"/>
      <c r="AR1" s="1989"/>
      <c r="AS1" s="1989"/>
      <c r="AT1" s="1989"/>
      <c r="AU1" s="1989"/>
      <c r="AV1" s="1990"/>
    </row>
    <row r="2" spans="1:48" ht="18" customHeight="1" x14ac:dyDescent="0.25">
      <c r="A2" s="3421" t="s">
        <v>405</v>
      </c>
      <c r="B2" s="3421"/>
      <c r="C2" s="3421"/>
      <c r="D2" s="3421"/>
      <c r="E2" s="3421"/>
      <c r="F2" s="3421"/>
      <c r="G2" s="3421"/>
      <c r="H2" s="3421"/>
      <c r="I2" s="3421"/>
      <c r="J2" s="3421"/>
      <c r="K2" s="3421"/>
      <c r="L2" s="3421"/>
      <c r="M2" s="3421"/>
      <c r="N2" s="3421"/>
      <c r="O2" s="3421"/>
      <c r="P2" s="3421"/>
      <c r="Q2" s="3421"/>
      <c r="R2" s="3421"/>
      <c r="S2" s="3421"/>
      <c r="T2" s="3421"/>
      <c r="U2" s="3421"/>
      <c r="V2" s="3421"/>
      <c r="W2" s="3421"/>
      <c r="X2" s="3421"/>
      <c r="Y2" s="3421"/>
      <c r="Z2" s="3421"/>
      <c r="AA2" s="1991"/>
      <c r="AB2" s="7"/>
      <c r="AC2" s="7"/>
      <c r="AD2" s="7"/>
      <c r="AE2" s="7"/>
      <c r="AF2" s="7"/>
      <c r="AG2" s="7"/>
      <c r="AH2" s="7"/>
      <c r="AI2" s="7"/>
      <c r="AJ2" s="7"/>
      <c r="AK2" s="7"/>
      <c r="AL2" s="7"/>
      <c r="AM2" s="7"/>
      <c r="AN2" s="7"/>
      <c r="AO2" s="7"/>
      <c r="AP2" s="7"/>
      <c r="AQ2" s="7"/>
      <c r="AR2" s="7"/>
      <c r="AS2" s="7"/>
      <c r="AT2" s="7"/>
      <c r="AU2" s="7"/>
      <c r="AV2" s="1992"/>
    </row>
    <row r="3" spans="1:48" ht="14.1" customHeight="1" x14ac:dyDescent="0.25">
      <c r="A3" s="1"/>
      <c r="B3" s="1"/>
      <c r="C3" s="1"/>
      <c r="D3" s="1"/>
      <c r="E3" s="1"/>
      <c r="F3" s="1"/>
      <c r="G3" s="1"/>
      <c r="H3" s="1"/>
      <c r="I3" s="1"/>
      <c r="J3" s="1"/>
      <c r="K3" s="1"/>
      <c r="L3" s="1"/>
      <c r="M3" s="1"/>
      <c r="N3" s="1"/>
      <c r="O3" s="1"/>
      <c r="P3" s="1"/>
      <c r="Q3" s="1"/>
      <c r="R3" s="1"/>
      <c r="S3" s="1"/>
      <c r="T3" s="1"/>
      <c r="U3" s="1"/>
      <c r="V3" s="1"/>
      <c r="W3" s="1"/>
      <c r="X3" s="1"/>
      <c r="Y3" s="1"/>
      <c r="Z3" s="1987">
        <v>3</v>
      </c>
      <c r="AA3" s="1993"/>
      <c r="AB3" s="1994"/>
      <c r="AC3" s="1994"/>
      <c r="AD3" s="1994"/>
      <c r="AE3" s="1994"/>
      <c r="AF3" s="1994"/>
      <c r="AG3" s="1994"/>
      <c r="AH3" s="1994"/>
      <c r="AI3" s="1994"/>
      <c r="AJ3" s="1994"/>
      <c r="AK3" s="1994"/>
      <c r="AL3" s="1994"/>
      <c r="AM3" s="1994"/>
      <c r="AN3" s="1994"/>
      <c r="AO3" s="1994"/>
      <c r="AP3" s="1994"/>
      <c r="AQ3" s="1994"/>
      <c r="AR3" s="1994"/>
      <c r="AS3" s="1994"/>
      <c r="AT3" s="1994"/>
      <c r="AU3" s="1994"/>
      <c r="AV3" s="1995"/>
    </row>
    <row r="4" spans="1:48" ht="14.1" customHeight="1" x14ac:dyDescent="0.25">
      <c r="A4" s="1996" t="s">
        <v>220</v>
      </c>
      <c r="B4" s="1997"/>
      <c r="C4" s="1997"/>
      <c r="D4" s="1997"/>
      <c r="E4" s="1997"/>
      <c r="F4" s="1997"/>
      <c r="G4" s="1996" t="s">
        <v>255</v>
      </c>
      <c r="H4" s="1998" t="str">
        <f>VLOOKUP(AC11,data_siswa,4,FALSE)</f>
        <v>Achmad Zacky</v>
      </c>
      <c r="I4" s="1997"/>
      <c r="J4" s="1997"/>
      <c r="K4" s="1997"/>
      <c r="L4" s="1997"/>
      <c r="M4" s="1997"/>
      <c r="N4" s="1997"/>
      <c r="O4" s="1997"/>
      <c r="P4" s="1999">
        <v>5</v>
      </c>
      <c r="Q4" s="1996" t="s">
        <v>108</v>
      </c>
      <c r="R4" s="1996"/>
      <c r="S4" s="1996"/>
      <c r="T4" s="1996"/>
      <c r="U4" s="1996"/>
      <c r="V4" s="1996" t="s">
        <v>255</v>
      </c>
      <c r="W4" s="3422" t="str">
        <f>VLOOKUP(P4,data_guru,3,FALSE)</f>
        <v>4 ( empat )</v>
      </c>
      <c r="X4" s="3422"/>
      <c r="Y4" s="3422"/>
      <c r="Z4" s="1996"/>
    </row>
    <row r="5" spans="1:48" ht="14.1" customHeight="1" x14ac:dyDescent="0.25">
      <c r="A5" s="1996" t="s">
        <v>406</v>
      </c>
      <c r="B5" s="1997"/>
      <c r="C5" s="1997"/>
      <c r="D5" s="1997"/>
      <c r="E5" s="1997"/>
      <c r="F5" s="1997"/>
      <c r="G5" s="1996" t="s">
        <v>255</v>
      </c>
      <c r="H5" s="3422" t="str">
        <f>VLOOKUP(AC11,data_siswa,2,FALSE)</f>
        <v>2522</v>
      </c>
      <c r="I5" s="3422"/>
      <c r="J5" s="1996" t="s">
        <v>222</v>
      </c>
      <c r="K5" s="1996" t="str">
        <f>VLOOKUP(AC11,data_siswa,3,FALSE)</f>
        <v>0050973519</v>
      </c>
      <c r="L5" s="1996"/>
      <c r="M5" s="1996"/>
      <c r="N5" s="1996"/>
      <c r="O5" s="1996"/>
      <c r="P5" s="1996"/>
      <c r="Q5" s="1996" t="s">
        <v>407</v>
      </c>
      <c r="R5" s="1996"/>
      <c r="S5" s="1996"/>
      <c r="T5" s="1996"/>
      <c r="U5" s="1996"/>
      <c r="V5" s="1996" t="s">
        <v>255</v>
      </c>
      <c r="W5" s="2000" t="s">
        <v>116</v>
      </c>
      <c r="X5" s="1996"/>
      <c r="Y5" s="1996"/>
      <c r="Z5" s="1996"/>
    </row>
    <row r="6" spans="1:48" ht="14.1" customHeight="1" x14ac:dyDescent="0.25">
      <c r="A6" s="1996" t="s">
        <v>93</v>
      </c>
      <c r="B6" s="1997"/>
      <c r="C6" s="1997"/>
      <c r="D6" s="1997"/>
      <c r="E6" s="1997"/>
      <c r="F6" s="1997"/>
      <c r="G6" s="1996" t="s">
        <v>255</v>
      </c>
      <c r="H6" s="1996" t="str">
        <f>VLOOKUP(Z1,data_sekolah,3,FALSE)</f>
        <v>SDN SIRNABAKTI 01</v>
      </c>
      <c r="I6" s="1997"/>
      <c r="J6" s="1997"/>
      <c r="K6" s="1997"/>
      <c r="L6" s="1997"/>
      <c r="M6" s="1997"/>
      <c r="N6" s="1997"/>
      <c r="O6" s="1997"/>
      <c r="P6" s="1997"/>
      <c r="Q6" s="1996" t="s">
        <v>408</v>
      </c>
      <c r="R6" s="1996"/>
      <c r="S6" s="1996"/>
      <c r="T6" s="1996"/>
      <c r="U6" s="1996"/>
      <c r="V6" s="1996" t="s">
        <v>255</v>
      </c>
      <c r="W6" s="2000" t="s">
        <v>409</v>
      </c>
      <c r="X6" s="1996"/>
      <c r="Y6" s="1996"/>
      <c r="Z6" s="1996"/>
    </row>
    <row r="7" spans="1:48" ht="14.1" customHeight="1" x14ac:dyDescent="0.25">
      <c r="A7" s="1996" t="s">
        <v>95</v>
      </c>
      <c r="B7" s="1997"/>
      <c r="C7" s="1997"/>
      <c r="D7" s="1997"/>
      <c r="E7" s="1997"/>
      <c r="F7" s="1997"/>
      <c r="G7" s="1996" t="s">
        <v>255</v>
      </c>
      <c r="H7" s="1996" t="str">
        <f>VLOOKUP(Z3,data_sekolah,3,FALSE)</f>
        <v>Jl.Miramare</v>
      </c>
      <c r="I7" s="1997"/>
      <c r="J7" s="1997"/>
      <c r="K7" s="1997"/>
      <c r="L7" s="1997"/>
      <c r="M7" s="1997"/>
      <c r="N7" s="1997"/>
      <c r="O7" s="1997"/>
      <c r="P7" s="1997"/>
      <c r="Q7" s="1997"/>
      <c r="R7" s="1997"/>
      <c r="S7" s="1997"/>
      <c r="T7" s="1997"/>
      <c r="U7" s="1997"/>
      <c r="V7" s="1997"/>
      <c r="W7" s="1997"/>
      <c r="X7" s="1997"/>
      <c r="Y7" s="1997"/>
      <c r="Z7" s="1997"/>
    </row>
    <row r="8" spans="1:48" ht="14.1" customHeight="1" x14ac:dyDescent="0.25">
      <c r="A8" s="1"/>
      <c r="B8" s="1"/>
      <c r="C8" s="1"/>
      <c r="D8" s="1"/>
      <c r="E8" s="1"/>
      <c r="F8" s="1"/>
      <c r="G8" s="1"/>
      <c r="H8" s="1"/>
      <c r="I8" s="1"/>
      <c r="J8" s="1"/>
      <c r="K8" s="1"/>
      <c r="L8" s="1"/>
      <c r="M8" s="1"/>
      <c r="N8" s="1"/>
      <c r="O8" s="1"/>
      <c r="P8" s="1"/>
      <c r="Q8" s="1"/>
      <c r="R8" s="1"/>
      <c r="S8" s="1"/>
      <c r="T8" s="1"/>
      <c r="U8" s="1"/>
      <c r="V8" s="1"/>
      <c r="W8" s="1"/>
      <c r="X8" s="1"/>
      <c r="Y8" s="1"/>
      <c r="Z8" s="1"/>
    </row>
    <row r="9" spans="1:48" ht="14.1" customHeight="1" x14ac:dyDescent="0.25">
      <c r="A9" s="2001" t="s">
        <v>410</v>
      </c>
      <c r="B9" s="1"/>
      <c r="C9" s="1"/>
      <c r="D9" s="1"/>
      <c r="E9" s="1"/>
      <c r="F9" s="1"/>
      <c r="G9" s="1"/>
      <c r="H9" s="1"/>
      <c r="I9" s="1"/>
      <c r="J9" s="1"/>
      <c r="K9" s="1"/>
      <c r="L9" s="1"/>
      <c r="M9" s="1"/>
      <c r="N9" s="1"/>
      <c r="O9" s="1"/>
      <c r="P9" s="1"/>
      <c r="Q9" s="1"/>
      <c r="R9" s="1"/>
      <c r="S9" s="1"/>
      <c r="T9" s="1"/>
      <c r="U9" s="1"/>
      <c r="V9" s="1"/>
      <c r="W9" s="1"/>
      <c r="X9" s="1"/>
      <c r="Y9" s="1"/>
      <c r="Z9" s="1"/>
    </row>
    <row r="10" spans="1:48"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48" ht="24.75" customHeight="1" x14ac:dyDescent="0.25">
      <c r="A11" s="3423" t="s">
        <v>411</v>
      </c>
      <c r="B11" s="3423"/>
      <c r="C11" s="3423"/>
      <c r="D11" s="3423"/>
      <c r="E11" s="3423"/>
      <c r="F11" s="3423"/>
      <c r="G11" s="3423"/>
      <c r="H11" s="3423"/>
      <c r="I11" s="3423"/>
      <c r="J11" s="3423" t="s">
        <v>412</v>
      </c>
      <c r="K11" s="3423"/>
      <c r="L11" s="3423"/>
      <c r="M11" s="3423"/>
      <c r="N11" s="3423"/>
      <c r="O11" s="3423"/>
      <c r="P11" s="3423"/>
      <c r="Q11" s="3423"/>
      <c r="R11" s="3423"/>
      <c r="S11" s="3423"/>
      <c r="T11" s="3423"/>
      <c r="U11" s="3423"/>
      <c r="V11" s="3423"/>
      <c r="W11" s="3423"/>
      <c r="X11" s="3423"/>
      <c r="Y11" s="3423"/>
      <c r="Z11" s="3423"/>
      <c r="AC11" s="3412">
        <v>1</v>
      </c>
      <c r="AD11" s="3413"/>
      <c r="AE11" s="3414"/>
      <c r="AF11" s="3433" t="str">
        <f>H4</f>
        <v>Achmad Zacky</v>
      </c>
      <c r="AG11" s="3434"/>
      <c r="AH11" s="3434"/>
      <c r="AI11" s="3434"/>
      <c r="AJ11" s="3434"/>
      <c r="AK11" s="3434"/>
      <c r="AL11" s="3434"/>
      <c r="AM11" s="3434"/>
      <c r="AN11" s="3434"/>
      <c r="AO11" s="3435"/>
    </row>
    <row r="12" spans="1:48" ht="19.5" customHeight="1" x14ac:dyDescent="0.25">
      <c r="A12" s="2002" t="s">
        <v>413</v>
      </c>
      <c r="B12" s="2003" t="s">
        <v>414</v>
      </c>
      <c r="C12" s="2004"/>
      <c r="D12" s="2004"/>
      <c r="E12" s="2004"/>
      <c r="F12" s="2004"/>
      <c r="G12" s="2005"/>
      <c r="H12" s="2005"/>
      <c r="I12" s="2006"/>
      <c r="J12" s="3394" t="str">
        <f>VLOOKUP(AC11,SPIRITUAL,8,FALSE)</f>
        <v xml:space="preserve"> Sangat baik dalam ketaatan beribadah, berdo'a sebelum melakukan kegiatan,   Baik dalam  berperilaku syukur,    Dengan bimbingan dan pendampingan yang lebih, akan mampu meningkatkan sikap    toleransi beragama,  </v>
      </c>
      <c r="K12" s="3395"/>
      <c r="L12" s="3395"/>
      <c r="M12" s="3395"/>
      <c r="N12" s="3395"/>
      <c r="O12" s="3395"/>
      <c r="P12" s="3395"/>
      <c r="Q12" s="3395"/>
      <c r="R12" s="3395"/>
      <c r="S12" s="3395"/>
      <c r="T12" s="3395"/>
      <c r="U12" s="3395"/>
      <c r="V12" s="3395"/>
      <c r="W12" s="3395"/>
      <c r="X12" s="3395"/>
      <c r="Y12" s="3395"/>
      <c r="Z12" s="3396"/>
      <c r="AC12" s="3415"/>
      <c r="AD12" s="3416"/>
      <c r="AE12" s="3417"/>
      <c r="AF12" s="3436"/>
      <c r="AG12" s="3437"/>
      <c r="AH12" s="3437"/>
      <c r="AI12" s="3437"/>
      <c r="AJ12" s="3437"/>
      <c r="AK12" s="3437"/>
      <c r="AL12" s="3437"/>
      <c r="AM12" s="3437"/>
      <c r="AN12" s="3437"/>
      <c r="AO12" s="3438"/>
    </row>
    <row r="13" spans="1:48" ht="14.1" customHeight="1" x14ac:dyDescent="0.25">
      <c r="A13" s="2007"/>
      <c r="B13" s="2008" t="s">
        <v>415</v>
      </c>
      <c r="C13" s="2008"/>
      <c r="D13" s="6"/>
      <c r="E13" s="6"/>
      <c r="F13" s="6"/>
      <c r="G13" s="6"/>
      <c r="H13" s="6"/>
      <c r="I13" s="2009"/>
      <c r="J13" s="3397"/>
      <c r="K13" s="3398"/>
      <c r="L13" s="3398"/>
      <c r="M13" s="3398"/>
      <c r="N13" s="3398"/>
      <c r="O13" s="3398"/>
      <c r="P13" s="3398"/>
      <c r="Q13" s="3398"/>
      <c r="R13" s="3398"/>
      <c r="S13" s="3398"/>
      <c r="T13" s="3398"/>
      <c r="U13" s="3398"/>
      <c r="V13" s="3398"/>
      <c r="W13" s="3398"/>
      <c r="X13" s="3398"/>
      <c r="Y13" s="3398"/>
      <c r="Z13" s="3399"/>
      <c r="AC13" s="3418"/>
      <c r="AD13" s="3419"/>
      <c r="AE13" s="3420"/>
      <c r="AF13" s="3439"/>
      <c r="AG13" s="3440"/>
      <c r="AH13" s="3440"/>
      <c r="AI13" s="3440"/>
      <c r="AJ13" s="3440"/>
      <c r="AK13" s="3440"/>
      <c r="AL13" s="3440"/>
      <c r="AM13" s="3440"/>
      <c r="AN13" s="3440"/>
      <c r="AO13" s="3441"/>
    </row>
    <row r="14" spans="1:48" ht="14.1" customHeight="1" x14ac:dyDescent="0.25">
      <c r="A14" s="2007"/>
      <c r="B14" s="2008" t="s">
        <v>416</v>
      </c>
      <c r="C14" s="2008"/>
      <c r="D14" s="6"/>
      <c r="E14" s="6"/>
      <c r="F14" s="6"/>
      <c r="G14" s="6"/>
      <c r="H14" s="6"/>
      <c r="I14" s="2009"/>
      <c r="J14" s="3397"/>
      <c r="K14" s="3398"/>
      <c r="L14" s="3398"/>
      <c r="M14" s="3398"/>
      <c r="N14" s="3398"/>
      <c r="O14" s="3398"/>
      <c r="P14" s="3398"/>
      <c r="Q14" s="3398"/>
      <c r="R14" s="3398"/>
      <c r="S14" s="3398"/>
      <c r="T14" s="3398"/>
      <c r="U14" s="3398"/>
      <c r="V14" s="3398"/>
      <c r="W14" s="3398"/>
      <c r="X14" s="3398"/>
      <c r="Y14" s="3398"/>
      <c r="Z14" s="3399"/>
    </row>
    <row r="15" spans="1:48" ht="14.1" customHeight="1" x14ac:dyDescent="0.25">
      <c r="A15" s="2007"/>
      <c r="B15" s="6"/>
      <c r="C15" s="6"/>
      <c r="D15" s="6"/>
      <c r="E15" s="6"/>
      <c r="F15" s="6"/>
      <c r="G15" s="6"/>
      <c r="H15" s="6"/>
      <c r="I15" s="2009"/>
      <c r="J15" s="3397"/>
      <c r="K15" s="3398"/>
      <c r="L15" s="3398"/>
      <c r="M15" s="3398"/>
      <c r="N15" s="3398"/>
      <c r="O15" s="3398"/>
      <c r="P15" s="3398"/>
      <c r="Q15" s="3398"/>
      <c r="R15" s="3398"/>
      <c r="S15" s="3398"/>
      <c r="T15" s="3398"/>
      <c r="U15" s="3398"/>
      <c r="V15" s="3398"/>
      <c r="W15" s="3398"/>
      <c r="X15" s="3398"/>
      <c r="Y15" s="3398"/>
      <c r="Z15" s="3399"/>
    </row>
    <row r="16" spans="1:48" ht="14.1" customHeight="1" x14ac:dyDescent="0.25">
      <c r="A16" s="2010"/>
      <c r="B16" s="2011"/>
      <c r="C16" s="2011"/>
      <c r="D16" s="2011"/>
      <c r="E16" s="2011"/>
      <c r="F16" s="2011"/>
      <c r="G16" s="2011"/>
      <c r="H16" s="2011"/>
      <c r="I16" s="2012"/>
      <c r="J16" s="3400"/>
      <c r="K16" s="3401"/>
      <c r="L16" s="3401"/>
      <c r="M16" s="3401"/>
      <c r="N16" s="3401"/>
      <c r="O16" s="3401"/>
      <c r="P16" s="3401"/>
      <c r="Q16" s="3401"/>
      <c r="R16" s="3401"/>
      <c r="S16" s="3401"/>
      <c r="T16" s="3401"/>
      <c r="U16" s="3401"/>
      <c r="V16" s="3401"/>
      <c r="W16" s="3401"/>
      <c r="X16" s="3401"/>
      <c r="Y16" s="3401"/>
      <c r="Z16" s="3402"/>
    </row>
    <row r="17" spans="1:26" ht="15" x14ac:dyDescent="0.25">
      <c r="A17" s="2002" t="s">
        <v>227</v>
      </c>
      <c r="B17" s="2013" t="s">
        <v>417</v>
      </c>
      <c r="C17" s="2005"/>
      <c r="D17" s="2004"/>
      <c r="E17" s="2004"/>
      <c r="F17" s="2004"/>
      <c r="G17" s="2004"/>
      <c r="H17" s="2004"/>
      <c r="I17" s="2014"/>
      <c r="J17" s="3394" t="str">
        <f>VLOOKUP(AC11,SOSIAL,8,FALSE)</f>
        <v xml:space="preserve"> Sangat baik dalam bersikap  disiplin,     Baik dalam bersikap   percaya diri, santun,   Dengan bimbingan dan pendampingan yang lebih, akan mampu meningkatkan bersikap Jujur,     </v>
      </c>
      <c r="K17" s="3395"/>
      <c r="L17" s="3395"/>
      <c r="M17" s="3395"/>
      <c r="N17" s="3395"/>
      <c r="O17" s="3395"/>
      <c r="P17" s="3395"/>
      <c r="Q17" s="3395"/>
      <c r="R17" s="3395"/>
      <c r="S17" s="3395"/>
      <c r="T17" s="3395"/>
      <c r="U17" s="3395"/>
      <c r="V17" s="3395"/>
      <c r="W17" s="3395"/>
      <c r="X17" s="3395"/>
      <c r="Y17" s="3395"/>
      <c r="Z17" s="3396"/>
    </row>
    <row r="18" spans="1:26" ht="15" x14ac:dyDescent="0.25">
      <c r="A18" s="2015"/>
      <c r="B18" s="2008" t="s">
        <v>415</v>
      </c>
      <c r="C18" s="2008"/>
      <c r="D18" s="2008"/>
      <c r="E18" s="2008"/>
      <c r="F18" s="2008"/>
      <c r="G18" s="2008"/>
      <c r="H18" s="2008"/>
      <c r="I18" s="2016"/>
      <c r="J18" s="3397"/>
      <c r="K18" s="3398"/>
      <c r="L18" s="3398"/>
      <c r="M18" s="3398"/>
      <c r="N18" s="3398"/>
      <c r="O18" s="3398"/>
      <c r="P18" s="3398"/>
      <c r="Q18" s="3398"/>
      <c r="R18" s="3398"/>
      <c r="S18" s="3398"/>
      <c r="T18" s="3398"/>
      <c r="U18" s="3398"/>
      <c r="V18" s="3398"/>
      <c r="W18" s="3398"/>
      <c r="X18" s="3398"/>
      <c r="Y18" s="3398"/>
      <c r="Z18" s="3399"/>
    </row>
    <row r="19" spans="1:26" ht="15" x14ac:dyDescent="0.25">
      <c r="A19" s="2015"/>
      <c r="B19" s="2008" t="s">
        <v>416</v>
      </c>
      <c r="C19" s="2008"/>
      <c r="D19" s="2008"/>
      <c r="E19" s="2008"/>
      <c r="F19" s="2008"/>
      <c r="G19" s="2008"/>
      <c r="H19" s="2008"/>
      <c r="I19" s="2016"/>
      <c r="J19" s="3397"/>
      <c r="K19" s="3398"/>
      <c r="L19" s="3398"/>
      <c r="M19" s="3398"/>
      <c r="N19" s="3398"/>
      <c r="O19" s="3398"/>
      <c r="P19" s="3398"/>
      <c r="Q19" s="3398"/>
      <c r="R19" s="3398"/>
      <c r="S19" s="3398"/>
      <c r="T19" s="3398"/>
      <c r="U19" s="3398"/>
      <c r="V19" s="3398"/>
      <c r="W19" s="3398"/>
      <c r="X19" s="3398"/>
      <c r="Y19" s="3398"/>
      <c r="Z19" s="3399"/>
    </row>
    <row r="20" spans="1:26" ht="15" x14ac:dyDescent="0.25">
      <c r="A20" s="2015"/>
      <c r="B20" s="2008"/>
      <c r="C20" s="2008"/>
      <c r="D20" s="2008"/>
      <c r="E20" s="2008"/>
      <c r="F20" s="2008"/>
      <c r="G20" s="2008"/>
      <c r="H20" s="2008"/>
      <c r="I20" s="2016"/>
      <c r="J20" s="3397"/>
      <c r="K20" s="3398"/>
      <c r="L20" s="3398"/>
      <c r="M20" s="3398"/>
      <c r="N20" s="3398"/>
      <c r="O20" s="3398"/>
      <c r="P20" s="3398"/>
      <c r="Q20" s="3398"/>
      <c r="R20" s="3398"/>
      <c r="S20" s="3398"/>
      <c r="T20" s="3398"/>
      <c r="U20" s="3398"/>
      <c r="V20" s="3398"/>
      <c r="W20" s="3398"/>
      <c r="X20" s="3398"/>
      <c r="Y20" s="3398"/>
      <c r="Z20" s="3399"/>
    </row>
    <row r="21" spans="1:26" ht="15" x14ac:dyDescent="0.25">
      <c r="A21" s="2007"/>
      <c r="B21" s="6"/>
      <c r="C21" s="6"/>
      <c r="D21" s="6"/>
      <c r="E21" s="6"/>
      <c r="F21" s="6"/>
      <c r="G21" s="6"/>
      <c r="H21" s="6"/>
      <c r="I21" s="2009"/>
      <c r="J21" s="3397"/>
      <c r="K21" s="3398"/>
      <c r="L21" s="3398"/>
      <c r="M21" s="3398"/>
      <c r="N21" s="3398"/>
      <c r="O21" s="3398"/>
      <c r="P21" s="3398"/>
      <c r="Q21" s="3398"/>
      <c r="R21" s="3398"/>
      <c r="S21" s="3398"/>
      <c r="T21" s="3398"/>
      <c r="U21" s="3398"/>
      <c r="V21" s="3398"/>
      <c r="W21" s="3398"/>
      <c r="X21" s="3398"/>
      <c r="Y21" s="3398"/>
      <c r="Z21" s="3399"/>
    </row>
    <row r="22" spans="1:26" ht="15" x14ac:dyDescent="0.25">
      <c r="A22" s="2010"/>
      <c r="B22" s="2011"/>
      <c r="C22" s="2011"/>
      <c r="D22" s="2011"/>
      <c r="E22" s="2011"/>
      <c r="F22" s="2011"/>
      <c r="G22" s="2011"/>
      <c r="H22" s="2011"/>
      <c r="I22" s="2012"/>
      <c r="J22" s="3400"/>
      <c r="K22" s="3401"/>
      <c r="L22" s="3401"/>
      <c r="M22" s="3401"/>
      <c r="N22" s="3401"/>
      <c r="O22" s="3401"/>
      <c r="P22" s="3401"/>
      <c r="Q22" s="3401"/>
      <c r="R22" s="3401"/>
      <c r="S22" s="3401"/>
      <c r="T22" s="3401"/>
      <c r="U22" s="3401"/>
      <c r="V22" s="3401"/>
      <c r="W22" s="3401"/>
      <c r="X22" s="3401"/>
      <c r="Y22" s="3401"/>
      <c r="Z22" s="3402"/>
    </row>
    <row r="23" spans="1:26" ht="15"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 x14ac:dyDescent="0.25">
      <c r="A25" s="2001" t="s">
        <v>418</v>
      </c>
      <c r="B25" s="1"/>
      <c r="C25" s="1"/>
      <c r="D25" s="1"/>
      <c r="E25" s="1"/>
      <c r="F25" s="1"/>
      <c r="G25" s="1"/>
      <c r="H25" s="1"/>
      <c r="I25" s="1"/>
      <c r="J25" s="1"/>
      <c r="K25" s="1"/>
      <c r="L25" s="1"/>
      <c r="M25" s="1"/>
      <c r="N25" s="1"/>
      <c r="O25" s="1"/>
      <c r="P25" s="1"/>
      <c r="Q25" s="1"/>
      <c r="R25" s="1"/>
      <c r="S25" s="1"/>
      <c r="T25" s="1"/>
      <c r="U25" s="1"/>
      <c r="V25" s="1"/>
      <c r="W25" s="1"/>
      <c r="X25" s="1"/>
      <c r="Y25" s="1"/>
      <c r="Z25" s="1"/>
    </row>
    <row r="26" spans="1:26" ht="15"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 x14ac:dyDescent="0.25">
      <c r="A27" s="3377" t="s">
        <v>419</v>
      </c>
      <c r="B27" s="3377"/>
      <c r="C27" s="3377" t="s">
        <v>420</v>
      </c>
      <c r="D27" s="3377"/>
      <c r="E27" s="3377"/>
      <c r="F27" s="3377"/>
      <c r="G27" s="3377"/>
      <c r="H27" s="3377"/>
      <c r="I27" s="3377" t="s">
        <v>421</v>
      </c>
      <c r="J27" s="3377"/>
      <c r="K27" s="3377"/>
      <c r="L27" s="3377"/>
      <c r="M27" s="3377"/>
      <c r="N27" s="3377"/>
      <c r="O27" s="3377"/>
      <c r="P27" s="3377"/>
      <c r="Q27" s="3377"/>
      <c r="R27" s="3377" t="s">
        <v>424</v>
      </c>
      <c r="S27" s="3377"/>
      <c r="T27" s="3377"/>
      <c r="U27" s="3377"/>
      <c r="V27" s="3377"/>
      <c r="W27" s="3377"/>
      <c r="X27" s="3377"/>
      <c r="Y27" s="3377"/>
      <c r="Z27" s="3377"/>
    </row>
    <row r="28" spans="1:26" ht="15" x14ac:dyDescent="0.25">
      <c r="A28" s="3377"/>
      <c r="B28" s="3377"/>
      <c r="C28" s="3377"/>
      <c r="D28" s="3377"/>
      <c r="E28" s="3377"/>
      <c r="F28" s="3377"/>
      <c r="G28" s="3377"/>
      <c r="H28" s="3377"/>
      <c r="I28" s="3377" t="s">
        <v>422</v>
      </c>
      <c r="J28" s="3377"/>
      <c r="K28" s="3377" t="s">
        <v>423</v>
      </c>
      <c r="L28" s="3377"/>
      <c r="M28" s="3377" t="s">
        <v>412</v>
      </c>
      <c r="N28" s="3377"/>
      <c r="O28" s="3377"/>
      <c r="P28" s="3377"/>
      <c r="Q28" s="3377"/>
      <c r="R28" s="3377" t="s">
        <v>422</v>
      </c>
      <c r="S28" s="3377"/>
      <c r="T28" s="3377" t="s">
        <v>423</v>
      </c>
      <c r="U28" s="3377"/>
      <c r="V28" s="3377" t="s">
        <v>412</v>
      </c>
      <c r="W28" s="3377"/>
      <c r="X28" s="3377"/>
      <c r="Y28" s="3377"/>
      <c r="Z28" s="3377"/>
    </row>
    <row r="29" spans="1:26" ht="15" x14ac:dyDescent="0.25">
      <c r="A29" s="3390">
        <v>1</v>
      </c>
      <c r="B29" s="3391"/>
      <c r="C29" s="3394" t="s">
        <v>425</v>
      </c>
      <c r="D29" s="3395"/>
      <c r="E29" s="3395"/>
      <c r="F29" s="3395"/>
      <c r="G29" s="3395"/>
      <c r="H29" s="3396"/>
      <c r="I29" s="3378">
        <v>78</v>
      </c>
      <c r="J29" s="3379"/>
      <c r="K29" s="3384" t="str">
        <f>IF(R29&gt;85,("A"),IF(R29&gt;80,("A-"),IF(R29&gt;75,("B+"),IF(R29&gt;70,("B"),IF(R29&gt;65,("B-"),IF(R29&gt;60,("C+"),IF(R29&gt;55,("C"),IF(R29&gt;50,("C-"),"D+"))))))))</f>
        <v>A</v>
      </c>
      <c r="L29" s="3385"/>
      <c r="M29" s="3367"/>
      <c r="N29" s="3368"/>
      <c r="O29" s="3368"/>
      <c r="P29" s="3368"/>
      <c r="Q29" s="3369"/>
      <c r="R29" s="3378">
        <v>87</v>
      </c>
      <c r="S29" s="3379"/>
      <c r="T29" s="3384" t="str">
        <f>IF(R29&gt;85,("A"),IF(R29&gt;80,("A-"),IF(R29&gt;75,("B+"),IF(R29&gt;70,("B"),IF(R29&gt;65,("B-"),IF(R29&gt;60,("C+"),IF(R29&gt;55,("C"),IF(R29&gt;50,("C-"),"D+"))))))))</f>
        <v>A</v>
      </c>
      <c r="U29" s="3385"/>
      <c r="V29" s="3367"/>
      <c r="W29" s="3368"/>
      <c r="X29" s="3368"/>
      <c r="Y29" s="3368"/>
      <c r="Z29" s="3369"/>
    </row>
    <row r="30" spans="1:26" ht="15" x14ac:dyDescent="0.25">
      <c r="A30" s="3392"/>
      <c r="B30" s="3393"/>
      <c r="C30" s="3397"/>
      <c r="D30" s="3398"/>
      <c r="E30" s="3398"/>
      <c r="F30" s="3398"/>
      <c r="G30" s="3398"/>
      <c r="H30" s="3399"/>
      <c r="I30" s="3380"/>
      <c r="J30" s="3381"/>
      <c r="K30" s="3386"/>
      <c r="L30" s="3387"/>
      <c r="M30" s="3370"/>
      <c r="N30" s="3371"/>
      <c r="O30" s="3371"/>
      <c r="P30" s="3371"/>
      <c r="Q30" s="3372"/>
      <c r="R30" s="3380"/>
      <c r="S30" s="3381"/>
      <c r="T30" s="3386"/>
      <c r="U30" s="3387"/>
      <c r="V30" s="3370"/>
      <c r="W30" s="3371"/>
      <c r="X30" s="3371"/>
      <c r="Y30" s="3371"/>
      <c r="Z30" s="3372"/>
    </row>
    <row r="31" spans="1:26" ht="15" x14ac:dyDescent="0.25">
      <c r="A31" s="3392"/>
      <c r="B31" s="3393"/>
      <c r="C31" s="3397"/>
      <c r="D31" s="3398"/>
      <c r="E31" s="3398"/>
      <c r="F31" s="3398"/>
      <c r="G31" s="3398"/>
      <c r="H31" s="3399"/>
      <c r="I31" s="3380"/>
      <c r="J31" s="3381"/>
      <c r="K31" s="3386"/>
      <c r="L31" s="3387"/>
      <c r="M31" s="3370"/>
      <c r="N31" s="3371"/>
      <c r="O31" s="3371"/>
      <c r="P31" s="3371"/>
      <c r="Q31" s="3372"/>
      <c r="R31" s="3380"/>
      <c r="S31" s="3381"/>
      <c r="T31" s="3386"/>
      <c r="U31" s="3387"/>
      <c r="V31" s="3370"/>
      <c r="W31" s="3371"/>
      <c r="X31" s="3371"/>
      <c r="Y31" s="3371"/>
      <c r="Z31" s="3372"/>
    </row>
    <row r="32" spans="1:26" ht="15" x14ac:dyDescent="0.25">
      <c r="A32" s="3392"/>
      <c r="B32" s="3393"/>
      <c r="C32" s="3397"/>
      <c r="D32" s="3398"/>
      <c r="E32" s="3398"/>
      <c r="F32" s="3398"/>
      <c r="G32" s="3398"/>
      <c r="H32" s="3399"/>
      <c r="I32" s="3380"/>
      <c r="J32" s="3381"/>
      <c r="K32" s="3386"/>
      <c r="L32" s="3387"/>
      <c r="M32" s="3370"/>
      <c r="N32" s="3371"/>
      <c r="O32" s="3371"/>
      <c r="P32" s="3371"/>
      <c r="Q32" s="3372"/>
      <c r="R32" s="3380"/>
      <c r="S32" s="3381"/>
      <c r="T32" s="3386"/>
      <c r="U32" s="3387"/>
      <c r="V32" s="3370"/>
      <c r="W32" s="3371"/>
      <c r="X32" s="3371"/>
      <c r="Y32" s="3371"/>
      <c r="Z32" s="3372"/>
    </row>
    <row r="33" spans="1:26" ht="15" x14ac:dyDescent="0.25">
      <c r="A33" s="3392"/>
      <c r="B33" s="3393"/>
      <c r="C33" s="3397"/>
      <c r="D33" s="3398"/>
      <c r="E33" s="3398"/>
      <c r="F33" s="3398"/>
      <c r="G33" s="3398"/>
      <c r="H33" s="3399"/>
      <c r="I33" s="3380"/>
      <c r="J33" s="3381"/>
      <c r="K33" s="3386"/>
      <c r="L33" s="3387"/>
      <c r="M33" s="3370"/>
      <c r="N33" s="3371"/>
      <c r="O33" s="3371"/>
      <c r="P33" s="3371"/>
      <c r="Q33" s="3372"/>
      <c r="R33" s="3380"/>
      <c r="S33" s="3381"/>
      <c r="T33" s="3386"/>
      <c r="U33" s="3387"/>
      <c r="V33" s="3370"/>
      <c r="W33" s="3371"/>
      <c r="X33" s="3371"/>
      <c r="Y33" s="3371"/>
      <c r="Z33" s="3372"/>
    </row>
    <row r="34" spans="1:26" ht="15" x14ac:dyDescent="0.25">
      <c r="A34" s="3392"/>
      <c r="B34" s="3393"/>
      <c r="C34" s="3397"/>
      <c r="D34" s="3398"/>
      <c r="E34" s="3398"/>
      <c r="F34" s="3398"/>
      <c r="G34" s="3398"/>
      <c r="H34" s="3399"/>
      <c r="I34" s="3380"/>
      <c r="J34" s="3381"/>
      <c r="K34" s="3386"/>
      <c r="L34" s="3387"/>
      <c r="M34" s="3370"/>
      <c r="N34" s="3371"/>
      <c r="O34" s="3371"/>
      <c r="P34" s="3371"/>
      <c r="Q34" s="3372"/>
      <c r="R34" s="3380"/>
      <c r="S34" s="3381"/>
      <c r="T34" s="3386"/>
      <c r="U34" s="3387"/>
      <c r="V34" s="3370"/>
      <c r="W34" s="3371"/>
      <c r="X34" s="3371"/>
      <c r="Y34" s="3371"/>
      <c r="Z34" s="3372"/>
    </row>
    <row r="35" spans="1:26" ht="15" x14ac:dyDescent="0.25">
      <c r="A35" s="3392"/>
      <c r="B35" s="3393"/>
      <c r="C35" s="3397"/>
      <c r="D35" s="3398"/>
      <c r="E35" s="3398"/>
      <c r="F35" s="3398"/>
      <c r="G35" s="3398"/>
      <c r="H35" s="3399"/>
      <c r="I35" s="3380"/>
      <c r="J35" s="3381"/>
      <c r="K35" s="3386"/>
      <c r="L35" s="3387"/>
      <c r="M35" s="3370"/>
      <c r="N35" s="3371"/>
      <c r="O35" s="3371"/>
      <c r="P35" s="3371"/>
      <c r="Q35" s="3372"/>
      <c r="R35" s="3380"/>
      <c r="S35" s="3381"/>
      <c r="T35" s="3386"/>
      <c r="U35" s="3387"/>
      <c r="V35" s="3370"/>
      <c r="W35" s="3371"/>
      <c r="X35" s="3371"/>
      <c r="Y35" s="3371"/>
      <c r="Z35" s="3372"/>
    </row>
    <row r="36" spans="1:26" ht="15" x14ac:dyDescent="0.25">
      <c r="A36" s="3392"/>
      <c r="B36" s="3393"/>
      <c r="C36" s="3397"/>
      <c r="D36" s="3398"/>
      <c r="E36" s="3398"/>
      <c r="F36" s="3398"/>
      <c r="G36" s="3398"/>
      <c r="H36" s="3399"/>
      <c r="I36" s="3380"/>
      <c r="J36" s="3381"/>
      <c r="K36" s="3386"/>
      <c r="L36" s="3387"/>
      <c r="M36" s="3370"/>
      <c r="N36" s="3371"/>
      <c r="O36" s="3371"/>
      <c r="P36" s="3371"/>
      <c r="Q36" s="3372"/>
      <c r="R36" s="3380"/>
      <c r="S36" s="3381"/>
      <c r="T36" s="3386"/>
      <c r="U36" s="3387"/>
      <c r="V36" s="3370"/>
      <c r="W36" s="3371"/>
      <c r="X36" s="3371"/>
      <c r="Y36" s="3371"/>
      <c r="Z36" s="3372"/>
    </row>
    <row r="37" spans="1:26" ht="15" x14ac:dyDescent="0.25">
      <c r="A37" s="3392"/>
      <c r="B37" s="3393"/>
      <c r="C37" s="3397"/>
      <c r="D37" s="3398"/>
      <c r="E37" s="3398"/>
      <c r="F37" s="3398"/>
      <c r="G37" s="3398"/>
      <c r="H37" s="3399"/>
      <c r="I37" s="3380"/>
      <c r="J37" s="3381"/>
      <c r="K37" s="3386"/>
      <c r="L37" s="3387"/>
      <c r="M37" s="3370"/>
      <c r="N37" s="3371"/>
      <c r="O37" s="3371"/>
      <c r="P37" s="3371"/>
      <c r="Q37" s="3372"/>
      <c r="R37" s="3380"/>
      <c r="S37" s="3381"/>
      <c r="T37" s="3386"/>
      <c r="U37" s="3387"/>
      <c r="V37" s="3370"/>
      <c r="W37" s="3371"/>
      <c r="X37" s="3371"/>
      <c r="Y37" s="3371"/>
      <c r="Z37" s="3372"/>
    </row>
    <row r="38" spans="1:26" ht="15" x14ac:dyDescent="0.25">
      <c r="A38" s="3392"/>
      <c r="B38" s="3393"/>
      <c r="C38" s="3397"/>
      <c r="D38" s="3398"/>
      <c r="E38" s="3398"/>
      <c r="F38" s="3398"/>
      <c r="G38" s="3398"/>
      <c r="H38" s="3399"/>
      <c r="I38" s="3380"/>
      <c r="J38" s="3381"/>
      <c r="K38" s="3386"/>
      <c r="L38" s="3387"/>
      <c r="M38" s="3370"/>
      <c r="N38" s="3371"/>
      <c r="O38" s="3371"/>
      <c r="P38" s="3371"/>
      <c r="Q38" s="3372"/>
      <c r="R38" s="3380"/>
      <c r="S38" s="3381"/>
      <c r="T38" s="3386"/>
      <c r="U38" s="3387"/>
      <c r="V38" s="3370"/>
      <c r="W38" s="3371"/>
      <c r="X38" s="3371"/>
      <c r="Y38" s="3371"/>
      <c r="Z38" s="3372"/>
    </row>
    <row r="39" spans="1:26" ht="15" x14ac:dyDescent="0.25">
      <c r="A39" s="3392"/>
      <c r="B39" s="3393"/>
      <c r="C39" s="3397"/>
      <c r="D39" s="3398"/>
      <c r="E39" s="3398"/>
      <c r="F39" s="3398"/>
      <c r="G39" s="3398"/>
      <c r="H39" s="3399"/>
      <c r="I39" s="3380"/>
      <c r="J39" s="3381"/>
      <c r="K39" s="3386"/>
      <c r="L39" s="3387"/>
      <c r="M39" s="3370"/>
      <c r="N39" s="3371"/>
      <c r="O39" s="3371"/>
      <c r="P39" s="3371"/>
      <c r="Q39" s="3372"/>
      <c r="R39" s="3380"/>
      <c r="S39" s="3381"/>
      <c r="T39" s="3386"/>
      <c r="U39" s="3387"/>
      <c r="V39" s="3370"/>
      <c r="W39" s="3371"/>
      <c r="X39" s="3371"/>
      <c r="Y39" s="3371"/>
      <c r="Z39" s="3372"/>
    </row>
    <row r="40" spans="1:26" ht="15" x14ac:dyDescent="0.25">
      <c r="A40" s="3392"/>
      <c r="B40" s="3393"/>
      <c r="C40" s="3397"/>
      <c r="D40" s="3398"/>
      <c r="E40" s="3398"/>
      <c r="F40" s="3398"/>
      <c r="G40" s="3398"/>
      <c r="H40" s="3399"/>
      <c r="I40" s="3380"/>
      <c r="J40" s="3381"/>
      <c r="K40" s="3386"/>
      <c r="L40" s="3387"/>
      <c r="M40" s="3370"/>
      <c r="N40" s="3371"/>
      <c r="O40" s="3371"/>
      <c r="P40" s="3371"/>
      <c r="Q40" s="3372"/>
      <c r="R40" s="3380"/>
      <c r="S40" s="3381"/>
      <c r="T40" s="3386"/>
      <c r="U40" s="3387"/>
      <c r="V40" s="3370"/>
      <c r="W40" s="3371"/>
      <c r="X40" s="3371"/>
      <c r="Y40" s="3371"/>
      <c r="Z40" s="3372"/>
    </row>
    <row r="41" spans="1:26" ht="15" x14ac:dyDescent="0.25">
      <c r="A41" s="3392"/>
      <c r="B41" s="3393"/>
      <c r="C41" s="3397"/>
      <c r="D41" s="3398"/>
      <c r="E41" s="3398"/>
      <c r="F41" s="3398"/>
      <c r="G41" s="3398"/>
      <c r="H41" s="3399"/>
      <c r="I41" s="3380"/>
      <c r="J41" s="3381"/>
      <c r="K41" s="3386"/>
      <c r="L41" s="3387"/>
      <c r="M41" s="3370"/>
      <c r="N41" s="3371"/>
      <c r="O41" s="3371"/>
      <c r="P41" s="3371"/>
      <c r="Q41" s="3372"/>
      <c r="R41" s="3380"/>
      <c r="S41" s="3381"/>
      <c r="T41" s="3386"/>
      <c r="U41" s="3387"/>
      <c r="V41" s="3370"/>
      <c r="W41" s="3371"/>
      <c r="X41" s="3371"/>
      <c r="Y41" s="3371"/>
      <c r="Z41" s="3372"/>
    </row>
    <row r="42" spans="1:26" ht="15" x14ac:dyDescent="0.25">
      <c r="A42" s="3392"/>
      <c r="B42" s="3393"/>
      <c r="C42" s="3397"/>
      <c r="D42" s="3398"/>
      <c r="E42" s="3398"/>
      <c r="F42" s="3398"/>
      <c r="G42" s="3398"/>
      <c r="H42" s="3399"/>
      <c r="I42" s="3380"/>
      <c r="J42" s="3381"/>
      <c r="K42" s="3386"/>
      <c r="L42" s="3387"/>
      <c r="M42" s="3370"/>
      <c r="N42" s="3371"/>
      <c r="O42" s="3371"/>
      <c r="P42" s="3371"/>
      <c r="Q42" s="3372"/>
      <c r="R42" s="3380"/>
      <c r="S42" s="3381"/>
      <c r="T42" s="3386"/>
      <c r="U42" s="3387"/>
      <c r="V42" s="3370"/>
      <c r="W42" s="3371"/>
      <c r="X42" s="3371"/>
      <c r="Y42" s="3371"/>
      <c r="Z42" s="3372"/>
    </row>
    <row r="43" spans="1:26" ht="15" x14ac:dyDescent="0.25">
      <c r="A43" s="3392"/>
      <c r="B43" s="3393"/>
      <c r="C43" s="3397"/>
      <c r="D43" s="3398"/>
      <c r="E43" s="3398"/>
      <c r="F43" s="3398"/>
      <c r="G43" s="3398"/>
      <c r="H43" s="3399"/>
      <c r="I43" s="3380"/>
      <c r="J43" s="3381"/>
      <c r="K43" s="3386"/>
      <c r="L43" s="3387"/>
      <c r="M43" s="3370"/>
      <c r="N43" s="3371"/>
      <c r="O43" s="3371"/>
      <c r="P43" s="3371"/>
      <c r="Q43" s="3372"/>
      <c r="R43" s="3380"/>
      <c r="S43" s="3381"/>
      <c r="T43" s="3386"/>
      <c r="U43" s="3387"/>
      <c r="V43" s="3370"/>
      <c r="W43" s="3371"/>
      <c r="X43" s="3371"/>
      <c r="Y43" s="3371"/>
      <c r="Z43" s="3372"/>
    </row>
    <row r="44" spans="1:26" ht="15" x14ac:dyDescent="0.25">
      <c r="A44" s="3392"/>
      <c r="B44" s="3393"/>
      <c r="C44" s="3397"/>
      <c r="D44" s="3398"/>
      <c r="E44" s="3398"/>
      <c r="F44" s="3398"/>
      <c r="G44" s="3398"/>
      <c r="H44" s="3399"/>
      <c r="I44" s="3380"/>
      <c r="J44" s="3381"/>
      <c r="K44" s="3386"/>
      <c r="L44" s="3387"/>
      <c r="M44" s="3370"/>
      <c r="N44" s="3371"/>
      <c r="O44" s="3371"/>
      <c r="P44" s="3371"/>
      <c r="Q44" s="3372"/>
      <c r="R44" s="3380"/>
      <c r="S44" s="3381"/>
      <c r="T44" s="3386"/>
      <c r="U44" s="3387"/>
      <c r="V44" s="3370"/>
      <c r="W44" s="3371"/>
      <c r="X44" s="3371"/>
      <c r="Y44" s="3371"/>
      <c r="Z44" s="3372"/>
    </row>
    <row r="45" spans="1:26" ht="15" x14ac:dyDescent="0.25">
      <c r="A45" s="3392"/>
      <c r="B45" s="3393"/>
      <c r="C45" s="3397"/>
      <c r="D45" s="3398"/>
      <c r="E45" s="3398"/>
      <c r="F45" s="3398"/>
      <c r="G45" s="3398"/>
      <c r="H45" s="3399"/>
      <c r="I45" s="3380"/>
      <c r="J45" s="3381"/>
      <c r="K45" s="3386"/>
      <c r="L45" s="3387"/>
      <c r="M45" s="3370"/>
      <c r="N45" s="3371"/>
      <c r="O45" s="3371"/>
      <c r="P45" s="3371"/>
      <c r="Q45" s="3372"/>
      <c r="R45" s="3380"/>
      <c r="S45" s="3381"/>
      <c r="T45" s="3386"/>
      <c r="U45" s="3387"/>
      <c r="V45" s="3370"/>
      <c r="W45" s="3371"/>
      <c r="X45" s="3371"/>
      <c r="Y45" s="3371"/>
      <c r="Z45" s="3372"/>
    </row>
    <row r="46" spans="1:26" ht="15" x14ac:dyDescent="0.25">
      <c r="A46" s="3392"/>
      <c r="B46" s="3393"/>
      <c r="C46" s="3397"/>
      <c r="D46" s="3398"/>
      <c r="E46" s="3398"/>
      <c r="F46" s="3398"/>
      <c r="G46" s="3398"/>
      <c r="H46" s="3399"/>
      <c r="I46" s="3380"/>
      <c r="J46" s="3381"/>
      <c r="K46" s="3386"/>
      <c r="L46" s="3387"/>
      <c r="M46" s="3370"/>
      <c r="N46" s="3371"/>
      <c r="O46" s="3371"/>
      <c r="P46" s="3371"/>
      <c r="Q46" s="3372"/>
      <c r="R46" s="3380"/>
      <c r="S46" s="3381"/>
      <c r="T46" s="3386"/>
      <c r="U46" s="3387"/>
      <c r="V46" s="3370"/>
      <c r="W46" s="3371"/>
      <c r="X46" s="3371"/>
      <c r="Y46" s="3371"/>
      <c r="Z46" s="3372"/>
    </row>
    <row r="47" spans="1:26" ht="15" x14ac:dyDescent="0.25">
      <c r="A47" s="3392"/>
      <c r="B47" s="3393"/>
      <c r="C47" s="3397"/>
      <c r="D47" s="3398"/>
      <c r="E47" s="3398"/>
      <c r="F47" s="3398"/>
      <c r="G47" s="3398"/>
      <c r="H47" s="3399"/>
      <c r="I47" s="3380"/>
      <c r="J47" s="3381"/>
      <c r="K47" s="3386"/>
      <c r="L47" s="3387"/>
      <c r="M47" s="3370"/>
      <c r="N47" s="3371"/>
      <c r="O47" s="3371"/>
      <c r="P47" s="3371"/>
      <c r="Q47" s="3372"/>
      <c r="R47" s="3380"/>
      <c r="S47" s="3381"/>
      <c r="T47" s="3386"/>
      <c r="U47" s="3387"/>
      <c r="V47" s="3370"/>
      <c r="W47" s="3371"/>
      <c r="X47" s="3371"/>
      <c r="Y47" s="3371"/>
      <c r="Z47" s="3372"/>
    </row>
    <row r="48" spans="1:26" ht="15" x14ac:dyDescent="0.25">
      <c r="A48" s="3392"/>
      <c r="B48" s="3393"/>
      <c r="C48" s="3397"/>
      <c r="D48" s="3398"/>
      <c r="E48" s="3398"/>
      <c r="F48" s="3398"/>
      <c r="G48" s="3398"/>
      <c r="H48" s="3399"/>
      <c r="I48" s="3380"/>
      <c r="J48" s="3381"/>
      <c r="K48" s="3386"/>
      <c r="L48" s="3387"/>
      <c r="M48" s="3370"/>
      <c r="N48" s="3371"/>
      <c r="O48" s="3371"/>
      <c r="P48" s="3371"/>
      <c r="Q48" s="3372"/>
      <c r="R48" s="3380"/>
      <c r="S48" s="3381"/>
      <c r="T48" s="3386"/>
      <c r="U48" s="3387"/>
      <c r="V48" s="3370"/>
      <c r="W48" s="3371"/>
      <c r="X48" s="3371"/>
      <c r="Y48" s="3371"/>
      <c r="Z48" s="3372"/>
    </row>
    <row r="49" spans="1:43" ht="15" x14ac:dyDescent="0.25">
      <c r="A49" s="2449"/>
      <c r="B49" s="2453"/>
      <c r="C49" s="3400"/>
      <c r="D49" s="3401"/>
      <c r="E49" s="3401"/>
      <c r="F49" s="3401"/>
      <c r="G49" s="3401"/>
      <c r="H49" s="3402"/>
      <c r="I49" s="3382"/>
      <c r="J49" s="3383"/>
      <c r="K49" s="3388"/>
      <c r="L49" s="3389"/>
      <c r="M49" s="3373"/>
      <c r="N49" s="3374"/>
      <c r="O49" s="3374"/>
      <c r="P49" s="3374"/>
      <c r="Q49" s="3375"/>
      <c r="R49" s="3382"/>
      <c r="S49" s="3383"/>
      <c r="T49" s="3388"/>
      <c r="U49" s="3389"/>
      <c r="V49" s="3373"/>
      <c r="W49" s="3374"/>
      <c r="X49" s="3374"/>
      <c r="Y49" s="3374"/>
      <c r="Z49" s="3375"/>
    </row>
    <row r="51" spans="1:43" ht="15" x14ac:dyDescent="0.25">
      <c r="AA51" s="3376" t="s">
        <v>256</v>
      </c>
      <c r="AB51" s="3376"/>
      <c r="AC51" s="3376"/>
      <c r="AD51" s="3376"/>
      <c r="AE51" s="3376"/>
      <c r="AF51" s="3376"/>
      <c r="AG51" s="3376"/>
      <c r="AH51" s="3376"/>
      <c r="AI51" s="3376"/>
      <c r="AJ51" s="3376"/>
      <c r="AK51" s="3376"/>
      <c r="AL51" s="3376"/>
      <c r="AM51" s="3376"/>
      <c r="AN51" s="3376"/>
      <c r="AO51" s="3376"/>
      <c r="AP51" s="3376"/>
      <c r="AQ51" s="3376"/>
    </row>
    <row r="52" spans="1:43" ht="15" x14ac:dyDescent="0.25">
      <c r="AA52" s="3376"/>
      <c r="AB52" s="3376"/>
      <c r="AC52" s="3376"/>
      <c r="AD52" s="3376"/>
      <c r="AE52" s="3376"/>
      <c r="AF52" s="3376"/>
      <c r="AG52" s="3376"/>
      <c r="AH52" s="3376"/>
      <c r="AI52" s="3376"/>
      <c r="AJ52" s="3376"/>
      <c r="AK52" s="3376"/>
      <c r="AL52" s="3376"/>
      <c r="AM52" s="3376"/>
      <c r="AN52" s="3376"/>
      <c r="AO52" s="3376"/>
      <c r="AP52" s="3376"/>
      <c r="AQ52" s="3376"/>
    </row>
    <row r="53" spans="1:43" ht="15" x14ac:dyDescent="0.25">
      <c r="AA53" s="3376"/>
      <c r="AB53" s="3376"/>
      <c r="AC53" s="3376"/>
      <c r="AD53" s="3376"/>
      <c r="AE53" s="3376"/>
      <c r="AF53" s="3376"/>
      <c r="AG53" s="3376"/>
      <c r="AH53" s="3376"/>
      <c r="AI53" s="3376"/>
      <c r="AJ53" s="3376"/>
      <c r="AK53" s="3376"/>
      <c r="AL53" s="3376"/>
      <c r="AM53" s="3376"/>
      <c r="AN53" s="3376"/>
      <c r="AO53" s="3376"/>
      <c r="AP53" s="3376"/>
      <c r="AQ53" s="3376"/>
    </row>
  </sheetData>
  <mergeCells count="28">
    <mergeCell ref="A2:Z2"/>
    <mergeCell ref="W4:Y4"/>
    <mergeCell ref="H5:I5"/>
    <mergeCell ref="A11:I11"/>
    <mergeCell ref="J11:Z11"/>
    <mergeCell ref="AF11:AO13"/>
    <mergeCell ref="J12:Z16"/>
    <mergeCell ref="J17:Z22"/>
    <mergeCell ref="A27:B28"/>
    <mergeCell ref="C27:H28"/>
    <mergeCell ref="I27:Q27"/>
    <mergeCell ref="R27:Z27"/>
    <mergeCell ref="I28:J28"/>
    <mergeCell ref="K28:L28"/>
    <mergeCell ref="M28:Q28"/>
    <mergeCell ref="AC11:AE13"/>
    <mergeCell ref="A29:B49"/>
    <mergeCell ref="C29:H49"/>
    <mergeCell ref="I29:J49"/>
    <mergeCell ref="K29:L49"/>
    <mergeCell ref="M29:Q49"/>
    <mergeCell ref="V29:Z49"/>
    <mergeCell ref="AA51:AQ53"/>
    <mergeCell ref="R28:S28"/>
    <mergeCell ref="T28:U28"/>
    <mergeCell ref="V28:Z28"/>
    <mergeCell ref="R29:S49"/>
    <mergeCell ref="T29:U49"/>
  </mergeCells>
  <printOptions horizontalCentered="1"/>
  <pageMargins left="0.31496062992125984" right="0.31496062992125984" top="0.74803149606299213" bottom="0.74803149606299213" header="0.31496062992125984" footer="0.31496062992125984"/>
  <pageSetup paperSize="9" orientation="portrait" horizontalDpi="0" verticalDpi="0"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AV53"/>
  <sheetViews>
    <sheetView showGridLines="0" workbookViewId="0">
      <selection activeCell="AI22" sqref="AI22"/>
    </sheetView>
  </sheetViews>
  <sheetFormatPr defaultColWidth="3.7109375" defaultRowHeight="14.1" customHeight="1" x14ac:dyDescent="0.25"/>
  <cols>
    <col min="1" max="1" width="3.28515625" customWidth="1"/>
    <col min="2" max="2" width="3" customWidth="1"/>
    <col min="3" max="5" width="3.7109375" customWidth="1"/>
    <col min="6" max="6" width="2.7109375" customWidth="1"/>
    <col min="7" max="11" width="3.7109375" customWidth="1"/>
    <col min="12" max="12" width="3.42578125" customWidth="1"/>
    <col min="13" max="15" width="3.7109375" customWidth="1"/>
    <col min="16" max="16" width="3.85546875" customWidth="1"/>
    <col min="17" max="17" width="2.140625" customWidth="1"/>
    <col min="18" max="20" width="3.7109375" customWidth="1"/>
    <col min="21" max="21" width="4.28515625" customWidth="1"/>
    <col min="22" max="24" width="3.7109375" customWidth="1"/>
    <col min="25" max="25" width="4.28515625" customWidth="1"/>
    <col min="26" max="26" width="3.85546875" customWidth="1"/>
    <col min="29" max="29" width="3.7109375" customWidth="1"/>
  </cols>
  <sheetData>
    <row r="1" spans="1:48" ht="14.1" customHeight="1" x14ac:dyDescent="0.25">
      <c r="A1" s="1"/>
      <c r="B1" s="1"/>
      <c r="C1" s="1"/>
      <c r="D1" s="1"/>
      <c r="E1" s="1"/>
      <c r="F1" s="1"/>
      <c r="G1" s="1"/>
      <c r="H1" s="1"/>
      <c r="I1" s="1"/>
      <c r="J1" s="1"/>
      <c r="K1" s="1"/>
      <c r="L1" s="1"/>
      <c r="M1" s="1"/>
      <c r="N1" s="1"/>
      <c r="O1" s="1"/>
      <c r="P1" s="1"/>
      <c r="Q1" s="1"/>
      <c r="R1" s="1"/>
      <c r="S1" s="1"/>
      <c r="T1" s="1"/>
      <c r="U1" s="1"/>
      <c r="V1" s="1"/>
      <c r="W1" s="1"/>
      <c r="X1" s="1"/>
      <c r="Y1" s="1"/>
      <c r="Z1" s="1987">
        <v>1</v>
      </c>
      <c r="AA1" s="1988"/>
      <c r="AB1" s="1989"/>
      <c r="AC1" s="1989"/>
      <c r="AD1" s="1989"/>
      <c r="AE1" s="1989"/>
      <c r="AF1" s="1989"/>
      <c r="AG1" s="1989"/>
      <c r="AH1" s="1989"/>
      <c r="AI1" s="1989"/>
      <c r="AJ1" s="1989"/>
      <c r="AK1" s="1989"/>
      <c r="AL1" s="1989"/>
      <c r="AM1" s="1989"/>
      <c r="AN1" s="1989"/>
      <c r="AO1" s="1989"/>
      <c r="AP1" s="1989"/>
      <c r="AQ1" s="1989"/>
      <c r="AR1" s="1989"/>
      <c r="AS1" s="1989"/>
      <c r="AT1" s="1989"/>
      <c r="AU1" s="1989"/>
      <c r="AV1" s="1990"/>
    </row>
    <row r="2" spans="1:48" ht="18" customHeight="1" x14ac:dyDescent="0.25">
      <c r="A2" s="3421" t="s">
        <v>405</v>
      </c>
      <c r="B2" s="3421"/>
      <c r="C2" s="3421"/>
      <c r="D2" s="3421"/>
      <c r="E2" s="3421"/>
      <c r="F2" s="3421"/>
      <c r="G2" s="3421"/>
      <c r="H2" s="3421"/>
      <c r="I2" s="3421"/>
      <c r="J2" s="3421"/>
      <c r="K2" s="3421"/>
      <c r="L2" s="3421"/>
      <c r="M2" s="3421"/>
      <c r="N2" s="3421"/>
      <c r="O2" s="3421"/>
      <c r="P2" s="3421"/>
      <c r="Q2" s="3421"/>
      <c r="R2" s="3421"/>
      <c r="S2" s="3421"/>
      <c r="T2" s="3421"/>
      <c r="U2" s="3421"/>
      <c r="V2" s="3421"/>
      <c r="W2" s="3421"/>
      <c r="X2" s="3421"/>
      <c r="Y2" s="3421"/>
      <c r="Z2" s="3421"/>
      <c r="AA2" s="1991"/>
      <c r="AB2" s="7"/>
      <c r="AC2" s="7"/>
      <c r="AD2" s="7"/>
      <c r="AE2" s="7"/>
      <c r="AF2" s="7"/>
      <c r="AG2" s="7"/>
      <c r="AH2" s="7"/>
      <c r="AI2" s="7"/>
      <c r="AJ2" s="7"/>
      <c r="AK2" s="7"/>
      <c r="AL2" s="7"/>
      <c r="AM2" s="7"/>
      <c r="AN2" s="7"/>
      <c r="AO2" s="7"/>
      <c r="AP2" s="7"/>
      <c r="AQ2" s="7"/>
      <c r="AR2" s="7"/>
      <c r="AS2" s="7"/>
      <c r="AT2" s="7"/>
      <c r="AU2" s="7"/>
      <c r="AV2" s="1992"/>
    </row>
    <row r="3" spans="1:48" ht="14.1" customHeight="1" x14ac:dyDescent="0.25">
      <c r="A3" s="1"/>
      <c r="B3" s="1"/>
      <c r="C3" s="1"/>
      <c r="D3" s="1"/>
      <c r="E3" s="1"/>
      <c r="F3" s="1"/>
      <c r="G3" s="1"/>
      <c r="H3" s="1"/>
      <c r="I3" s="1"/>
      <c r="J3" s="1"/>
      <c r="K3" s="1"/>
      <c r="L3" s="1"/>
      <c r="M3" s="1"/>
      <c r="N3" s="1"/>
      <c r="O3" s="1"/>
      <c r="P3" s="1"/>
      <c r="Q3" s="1"/>
      <c r="R3" s="1"/>
      <c r="S3" s="1"/>
      <c r="T3" s="1"/>
      <c r="U3" s="1"/>
      <c r="V3" s="1"/>
      <c r="W3" s="1"/>
      <c r="X3" s="1"/>
      <c r="Y3" s="1"/>
      <c r="Z3" s="1987">
        <v>3</v>
      </c>
      <c r="AA3" s="1993"/>
      <c r="AB3" s="1994"/>
      <c r="AC3" s="1994"/>
      <c r="AD3" s="1994"/>
      <c r="AE3" s="1994"/>
      <c r="AF3" s="1994"/>
      <c r="AG3" s="1994"/>
      <c r="AH3" s="1994"/>
      <c r="AI3" s="1994"/>
      <c r="AJ3" s="1994"/>
      <c r="AK3" s="1994"/>
      <c r="AL3" s="1994"/>
      <c r="AM3" s="1994"/>
      <c r="AN3" s="1994"/>
      <c r="AO3" s="1994"/>
      <c r="AP3" s="1994"/>
      <c r="AQ3" s="1994"/>
      <c r="AR3" s="1994"/>
      <c r="AS3" s="1994"/>
      <c r="AT3" s="1994"/>
      <c r="AU3" s="1994"/>
      <c r="AV3" s="1995"/>
    </row>
    <row r="4" spans="1:48" ht="14.1" customHeight="1" x14ac:dyDescent="0.25">
      <c r="A4" s="1996" t="s">
        <v>220</v>
      </c>
      <c r="B4" s="1997"/>
      <c r="C4" s="1997"/>
      <c r="D4" s="1997"/>
      <c r="E4" s="1997"/>
      <c r="F4" s="1997"/>
      <c r="G4" s="1996" t="s">
        <v>255</v>
      </c>
      <c r="H4" s="1998" t="str">
        <f>VLOOKUP(AC11,data_siswa,4,FALSE)</f>
        <v>Antonio Permata A</v>
      </c>
      <c r="I4" s="1997"/>
      <c r="J4" s="1997"/>
      <c r="K4" s="1997"/>
      <c r="L4" s="1997"/>
      <c r="M4" s="1997"/>
      <c r="N4" s="1997"/>
      <c r="O4" s="1997"/>
      <c r="P4" s="1999">
        <v>5</v>
      </c>
      <c r="Q4" s="1996" t="s">
        <v>108</v>
      </c>
      <c r="R4" s="1996"/>
      <c r="S4" s="1996"/>
      <c r="T4" s="1996"/>
      <c r="U4" s="1996"/>
      <c r="V4" s="1996" t="s">
        <v>255</v>
      </c>
      <c r="W4" s="3422" t="str">
        <f>VLOOKUP(P4,data_guru,3,FALSE)</f>
        <v>4 ( empat )</v>
      </c>
      <c r="X4" s="3422"/>
      <c r="Y4" s="3422"/>
      <c r="Z4" s="1996"/>
    </row>
    <row r="5" spans="1:48" ht="14.1" customHeight="1" x14ac:dyDescent="0.25">
      <c r="A5" s="1996" t="s">
        <v>406</v>
      </c>
      <c r="B5" s="1997"/>
      <c r="C5" s="1997"/>
      <c r="D5" s="1997"/>
      <c r="E5" s="1997"/>
      <c r="F5" s="1997"/>
      <c r="G5" s="1996" t="s">
        <v>255</v>
      </c>
      <c r="H5" s="3422">
        <f>VLOOKUP(AC11,data_siswa,2,FALSE)</f>
        <v>2525</v>
      </c>
      <c r="I5" s="3422"/>
      <c r="J5" s="1996" t="s">
        <v>222</v>
      </c>
      <c r="K5" s="1996" t="str">
        <f>VLOOKUP(AC11,data_siswa,3,FALSE)</f>
        <v>0044914651</v>
      </c>
      <c r="L5" s="1996"/>
      <c r="M5" s="1996"/>
      <c r="N5" s="1996"/>
      <c r="O5" s="1996"/>
      <c r="P5" s="1996"/>
      <c r="Q5" s="1996" t="s">
        <v>407</v>
      </c>
      <c r="R5" s="1996"/>
      <c r="S5" s="1996"/>
      <c r="T5" s="1996"/>
      <c r="U5" s="1996"/>
      <c r="V5" s="1996" t="s">
        <v>255</v>
      </c>
      <c r="W5" s="2000" t="s">
        <v>116</v>
      </c>
      <c r="X5" s="1996"/>
      <c r="Y5" s="1996"/>
      <c r="Z5" s="1996"/>
    </row>
    <row r="6" spans="1:48" ht="14.1" customHeight="1" x14ac:dyDescent="0.25">
      <c r="A6" s="1996" t="s">
        <v>93</v>
      </c>
      <c r="B6" s="1997"/>
      <c r="C6" s="1997"/>
      <c r="D6" s="1997"/>
      <c r="E6" s="1997"/>
      <c r="F6" s="1997"/>
      <c r="G6" s="1996" t="s">
        <v>255</v>
      </c>
      <c r="H6" s="1996" t="str">
        <f>VLOOKUP(Z1,data_sekolah,3,FALSE)</f>
        <v>SDN SIRNABAKTI 01</v>
      </c>
      <c r="I6" s="1997"/>
      <c r="J6" s="1997"/>
      <c r="K6" s="1997"/>
      <c r="L6" s="1997"/>
      <c r="M6" s="1997"/>
      <c r="N6" s="1997"/>
      <c r="O6" s="1997"/>
      <c r="P6" s="1997"/>
      <c r="Q6" s="1996" t="s">
        <v>408</v>
      </c>
      <c r="R6" s="1996"/>
      <c r="S6" s="1996"/>
      <c r="T6" s="1996"/>
      <c r="U6" s="1996"/>
      <c r="V6" s="1996" t="s">
        <v>255</v>
      </c>
      <c r="W6" s="2000" t="s">
        <v>409</v>
      </c>
      <c r="X6" s="1996"/>
      <c r="Y6" s="1996"/>
      <c r="Z6" s="1996"/>
    </row>
    <row r="7" spans="1:48" ht="14.1" customHeight="1" x14ac:dyDescent="0.25">
      <c r="A7" s="1996" t="s">
        <v>95</v>
      </c>
      <c r="B7" s="1997"/>
      <c r="C7" s="1997"/>
      <c r="D7" s="1997"/>
      <c r="E7" s="1997"/>
      <c r="F7" s="1997"/>
      <c r="G7" s="1996" t="s">
        <v>255</v>
      </c>
      <c r="H7" s="1996" t="str">
        <f>VLOOKUP(Z3,data_sekolah,3,FALSE)</f>
        <v>Jl.Miramare</v>
      </c>
      <c r="I7" s="1997"/>
      <c r="J7" s="1997"/>
      <c r="K7" s="1997"/>
      <c r="L7" s="1997"/>
      <c r="M7" s="1997"/>
      <c r="N7" s="1997"/>
      <c r="O7" s="1997"/>
      <c r="P7" s="1997"/>
      <c r="Q7" s="1997"/>
      <c r="R7" s="1997"/>
      <c r="S7" s="1997"/>
      <c r="T7" s="1997"/>
      <c r="U7" s="1997"/>
      <c r="V7" s="1997"/>
      <c r="W7" s="1997"/>
      <c r="X7" s="1997"/>
      <c r="Y7" s="1997"/>
      <c r="Z7" s="1997"/>
    </row>
    <row r="8" spans="1:48" ht="14.1" customHeight="1" x14ac:dyDescent="0.25">
      <c r="A8" s="1"/>
      <c r="B8" s="1"/>
      <c r="C8" s="1"/>
      <c r="D8" s="1"/>
      <c r="E8" s="1"/>
      <c r="F8" s="1"/>
      <c r="G8" s="1"/>
      <c r="H8" s="1"/>
      <c r="I8" s="1"/>
      <c r="J8" s="1"/>
      <c r="K8" s="1"/>
      <c r="L8" s="1"/>
      <c r="M8" s="1"/>
      <c r="N8" s="1"/>
      <c r="O8" s="1"/>
      <c r="P8" s="1"/>
      <c r="Q8" s="1"/>
      <c r="R8" s="1"/>
      <c r="S8" s="1"/>
      <c r="T8" s="1"/>
      <c r="U8" s="1"/>
      <c r="V8" s="1"/>
      <c r="W8" s="1"/>
      <c r="X8" s="1"/>
      <c r="Y8" s="1"/>
      <c r="Z8" s="1"/>
    </row>
    <row r="9" spans="1:48" ht="14.1" customHeight="1" x14ac:dyDescent="0.25">
      <c r="A9" s="2001" t="s">
        <v>410</v>
      </c>
      <c r="B9" s="1"/>
      <c r="C9" s="1"/>
      <c r="D9" s="1"/>
      <c r="E9" s="1"/>
      <c r="F9" s="1"/>
      <c r="G9" s="1"/>
      <c r="H9" s="1"/>
      <c r="I9" s="1"/>
      <c r="J9" s="1"/>
      <c r="K9" s="1"/>
      <c r="L9" s="1"/>
      <c r="M9" s="1"/>
      <c r="N9" s="1"/>
      <c r="O9" s="1"/>
      <c r="P9" s="1"/>
      <c r="Q9" s="1"/>
      <c r="R9" s="1"/>
      <c r="S9" s="1"/>
      <c r="T9" s="1"/>
      <c r="U9" s="1"/>
      <c r="V9" s="1"/>
      <c r="W9" s="1"/>
      <c r="X9" s="1"/>
      <c r="Y9" s="1"/>
      <c r="Z9" s="1"/>
    </row>
    <row r="10" spans="1:48"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48" ht="24.75" customHeight="1" x14ac:dyDescent="0.25">
      <c r="A11" s="3423" t="s">
        <v>411</v>
      </c>
      <c r="B11" s="3423"/>
      <c r="C11" s="3423"/>
      <c r="D11" s="3423"/>
      <c r="E11" s="3423"/>
      <c r="F11" s="3423"/>
      <c r="G11" s="3423"/>
      <c r="H11" s="3423"/>
      <c r="I11" s="3423"/>
      <c r="J11" s="3423" t="s">
        <v>412</v>
      </c>
      <c r="K11" s="3423"/>
      <c r="L11" s="3423"/>
      <c r="M11" s="3423"/>
      <c r="N11" s="3423"/>
      <c r="O11" s="3423"/>
      <c r="P11" s="3423"/>
      <c r="Q11" s="3423"/>
      <c r="R11" s="3423"/>
      <c r="S11" s="3423"/>
      <c r="T11" s="3423"/>
      <c r="U11" s="3423"/>
      <c r="V11" s="3423"/>
      <c r="W11" s="3423"/>
      <c r="X11" s="3423"/>
      <c r="Y11" s="3423"/>
      <c r="Z11" s="3423"/>
      <c r="AC11" s="3412">
        <v>4</v>
      </c>
      <c r="AD11" s="3413"/>
      <c r="AE11" s="3414"/>
      <c r="AF11" s="3442" t="str">
        <f>H4</f>
        <v>Antonio Permata A</v>
      </c>
      <c r="AG11" s="3443"/>
      <c r="AH11" s="3443"/>
      <c r="AI11" s="3443"/>
      <c r="AJ11" s="3443"/>
      <c r="AK11" s="3443"/>
      <c r="AL11" s="3443"/>
      <c r="AM11" s="3443"/>
      <c r="AN11" s="3443"/>
      <c r="AO11" s="3444"/>
    </row>
    <row r="12" spans="1:48" ht="19.5" customHeight="1" x14ac:dyDescent="0.25">
      <c r="A12" s="2002" t="s">
        <v>413</v>
      </c>
      <c r="B12" s="2003" t="s">
        <v>414</v>
      </c>
      <c r="C12" s="2004"/>
      <c r="D12" s="2004"/>
      <c r="E12" s="2004"/>
      <c r="F12" s="2004"/>
      <c r="G12" s="2005"/>
      <c r="H12" s="2005"/>
      <c r="I12" s="2006"/>
      <c r="J12" s="3394" t="str">
        <f>VLOOKUP(AC11,SPIRITUAL,8,FALSE)</f>
        <v/>
      </c>
      <c r="K12" s="3395"/>
      <c r="L12" s="3395"/>
      <c r="M12" s="3395"/>
      <c r="N12" s="3395"/>
      <c r="O12" s="3395"/>
      <c r="P12" s="3395"/>
      <c r="Q12" s="3395"/>
      <c r="R12" s="3395"/>
      <c r="S12" s="3395"/>
      <c r="T12" s="3395"/>
      <c r="U12" s="3395"/>
      <c r="V12" s="3395"/>
      <c r="W12" s="3395"/>
      <c r="X12" s="3395"/>
      <c r="Y12" s="3395"/>
      <c r="Z12" s="3396"/>
      <c r="AC12" s="3415"/>
      <c r="AD12" s="3416"/>
      <c r="AE12" s="3417"/>
      <c r="AF12" s="3445"/>
      <c r="AG12" s="3446"/>
      <c r="AH12" s="3446"/>
      <c r="AI12" s="3446"/>
      <c r="AJ12" s="3446"/>
      <c r="AK12" s="3446"/>
      <c r="AL12" s="3446"/>
      <c r="AM12" s="3446"/>
      <c r="AN12" s="3446"/>
      <c r="AO12" s="3447"/>
    </row>
    <row r="13" spans="1:48" ht="14.1" customHeight="1" x14ac:dyDescent="0.25">
      <c r="A13" s="2007"/>
      <c r="B13" s="2008" t="s">
        <v>415</v>
      </c>
      <c r="C13" s="2008"/>
      <c r="D13" s="6"/>
      <c r="E13" s="6"/>
      <c r="F13" s="6"/>
      <c r="G13" s="6"/>
      <c r="H13" s="6"/>
      <c r="I13" s="2009"/>
      <c r="J13" s="3397"/>
      <c r="K13" s="3398"/>
      <c r="L13" s="3398"/>
      <c r="M13" s="3398"/>
      <c r="N13" s="3398"/>
      <c r="O13" s="3398"/>
      <c r="P13" s="3398"/>
      <c r="Q13" s="3398"/>
      <c r="R13" s="3398"/>
      <c r="S13" s="3398"/>
      <c r="T13" s="3398"/>
      <c r="U13" s="3398"/>
      <c r="V13" s="3398"/>
      <c r="W13" s="3398"/>
      <c r="X13" s="3398"/>
      <c r="Y13" s="3398"/>
      <c r="Z13" s="3399"/>
      <c r="AC13" s="3418"/>
      <c r="AD13" s="3419"/>
      <c r="AE13" s="3420"/>
      <c r="AF13" s="3448"/>
      <c r="AG13" s="3449"/>
      <c r="AH13" s="3449"/>
      <c r="AI13" s="3449"/>
      <c r="AJ13" s="3449"/>
      <c r="AK13" s="3449"/>
      <c r="AL13" s="3449"/>
      <c r="AM13" s="3449"/>
      <c r="AN13" s="3449"/>
      <c r="AO13" s="3450"/>
    </row>
    <row r="14" spans="1:48" ht="14.1" customHeight="1" x14ac:dyDescent="0.25">
      <c r="A14" s="2007"/>
      <c r="B14" s="2008" t="s">
        <v>416</v>
      </c>
      <c r="C14" s="2008"/>
      <c r="D14" s="6"/>
      <c r="E14" s="6"/>
      <c r="F14" s="6"/>
      <c r="G14" s="6"/>
      <c r="H14" s="6"/>
      <c r="I14" s="2009"/>
      <c r="J14" s="3397"/>
      <c r="K14" s="3398"/>
      <c r="L14" s="3398"/>
      <c r="M14" s="3398"/>
      <c r="N14" s="3398"/>
      <c r="O14" s="3398"/>
      <c r="P14" s="3398"/>
      <c r="Q14" s="3398"/>
      <c r="R14" s="3398"/>
      <c r="S14" s="3398"/>
      <c r="T14" s="3398"/>
      <c r="U14" s="3398"/>
      <c r="V14" s="3398"/>
      <c r="W14" s="3398"/>
      <c r="X14" s="3398"/>
      <c r="Y14" s="3398"/>
      <c r="Z14" s="3399"/>
    </row>
    <row r="15" spans="1:48" ht="14.1" customHeight="1" x14ac:dyDescent="0.25">
      <c r="A15" s="2007"/>
      <c r="B15" s="6"/>
      <c r="C15" s="6"/>
      <c r="D15" s="6"/>
      <c r="E15" s="6"/>
      <c r="F15" s="6"/>
      <c r="G15" s="6"/>
      <c r="H15" s="6"/>
      <c r="I15" s="2009"/>
      <c r="J15" s="3397"/>
      <c r="K15" s="3398"/>
      <c r="L15" s="3398"/>
      <c r="M15" s="3398"/>
      <c r="N15" s="3398"/>
      <c r="O15" s="3398"/>
      <c r="P15" s="3398"/>
      <c r="Q15" s="3398"/>
      <c r="R15" s="3398"/>
      <c r="S15" s="3398"/>
      <c r="T15" s="3398"/>
      <c r="U15" s="3398"/>
      <c r="V15" s="3398"/>
      <c r="W15" s="3398"/>
      <c r="X15" s="3398"/>
      <c r="Y15" s="3398"/>
      <c r="Z15" s="3399"/>
    </row>
    <row r="16" spans="1:48" ht="14.1" customHeight="1" x14ac:dyDescent="0.25">
      <c r="A16" s="2010"/>
      <c r="B16" s="2011"/>
      <c r="C16" s="2011"/>
      <c r="D16" s="2011"/>
      <c r="E16" s="2011"/>
      <c r="F16" s="2011"/>
      <c r="G16" s="2011"/>
      <c r="H16" s="2011"/>
      <c r="I16" s="2012"/>
      <c r="J16" s="3400"/>
      <c r="K16" s="3401"/>
      <c r="L16" s="3401"/>
      <c r="M16" s="3401"/>
      <c r="N16" s="3401"/>
      <c r="O16" s="3401"/>
      <c r="P16" s="3401"/>
      <c r="Q16" s="3401"/>
      <c r="R16" s="3401"/>
      <c r="S16" s="3401"/>
      <c r="T16" s="3401"/>
      <c r="U16" s="3401"/>
      <c r="V16" s="3401"/>
      <c r="W16" s="3401"/>
      <c r="X16" s="3401"/>
      <c r="Y16" s="3401"/>
      <c r="Z16" s="3402"/>
    </row>
    <row r="17" spans="1:26" ht="15" x14ac:dyDescent="0.25">
      <c r="A17" s="2002" t="s">
        <v>227</v>
      </c>
      <c r="B17" s="2013" t="s">
        <v>417</v>
      </c>
      <c r="C17" s="2005"/>
      <c r="D17" s="2004"/>
      <c r="E17" s="2004"/>
      <c r="F17" s="2004"/>
      <c r="G17" s="2004"/>
      <c r="H17" s="2004"/>
      <c r="I17" s="2014"/>
      <c r="J17" s="3394" t="str">
        <f>VLOOKUP(AC11,SOSIAL,8,FALSE)</f>
        <v xml:space="preserve">                      </v>
      </c>
      <c r="K17" s="3395"/>
      <c r="L17" s="3395"/>
      <c r="M17" s="3395"/>
      <c r="N17" s="3395"/>
      <c r="O17" s="3395"/>
      <c r="P17" s="3395"/>
      <c r="Q17" s="3395"/>
      <c r="R17" s="3395"/>
      <c r="S17" s="3395"/>
      <c r="T17" s="3395"/>
      <c r="U17" s="3395"/>
      <c r="V17" s="3395"/>
      <c r="W17" s="3395"/>
      <c r="X17" s="3395"/>
      <c r="Y17" s="3395"/>
      <c r="Z17" s="3396"/>
    </row>
    <row r="18" spans="1:26" ht="15" x14ac:dyDescent="0.25">
      <c r="A18" s="2015"/>
      <c r="B18" s="2008" t="s">
        <v>415</v>
      </c>
      <c r="C18" s="2008"/>
      <c r="D18" s="2008"/>
      <c r="E18" s="2008"/>
      <c r="F18" s="2008"/>
      <c r="G18" s="2008"/>
      <c r="H18" s="2008"/>
      <c r="I18" s="2016"/>
      <c r="J18" s="3397"/>
      <c r="K18" s="3398"/>
      <c r="L18" s="3398"/>
      <c r="M18" s="3398"/>
      <c r="N18" s="3398"/>
      <c r="O18" s="3398"/>
      <c r="P18" s="3398"/>
      <c r="Q18" s="3398"/>
      <c r="R18" s="3398"/>
      <c r="S18" s="3398"/>
      <c r="T18" s="3398"/>
      <c r="U18" s="3398"/>
      <c r="V18" s="3398"/>
      <c r="W18" s="3398"/>
      <c r="X18" s="3398"/>
      <c r="Y18" s="3398"/>
      <c r="Z18" s="3399"/>
    </row>
    <row r="19" spans="1:26" ht="15" x14ac:dyDescent="0.25">
      <c r="A19" s="2015"/>
      <c r="B19" s="2008" t="s">
        <v>416</v>
      </c>
      <c r="C19" s="2008"/>
      <c r="D19" s="2008"/>
      <c r="E19" s="2008"/>
      <c r="F19" s="2008"/>
      <c r="G19" s="2008"/>
      <c r="H19" s="2008"/>
      <c r="I19" s="2016"/>
      <c r="J19" s="3397"/>
      <c r="K19" s="3398"/>
      <c r="L19" s="3398"/>
      <c r="M19" s="3398"/>
      <c r="N19" s="3398"/>
      <c r="O19" s="3398"/>
      <c r="P19" s="3398"/>
      <c r="Q19" s="3398"/>
      <c r="R19" s="3398"/>
      <c r="S19" s="3398"/>
      <c r="T19" s="3398"/>
      <c r="U19" s="3398"/>
      <c r="V19" s="3398"/>
      <c r="W19" s="3398"/>
      <c r="X19" s="3398"/>
      <c r="Y19" s="3398"/>
      <c r="Z19" s="3399"/>
    </row>
    <row r="20" spans="1:26" ht="15" x14ac:dyDescent="0.25">
      <c r="A20" s="2015"/>
      <c r="B20" s="2008"/>
      <c r="C20" s="2008"/>
      <c r="D20" s="2008"/>
      <c r="E20" s="2008"/>
      <c r="F20" s="2008"/>
      <c r="G20" s="2008"/>
      <c r="H20" s="2008"/>
      <c r="I20" s="2016"/>
      <c r="J20" s="3397"/>
      <c r="K20" s="3398"/>
      <c r="L20" s="3398"/>
      <c r="M20" s="3398"/>
      <c r="N20" s="3398"/>
      <c r="O20" s="3398"/>
      <c r="P20" s="3398"/>
      <c r="Q20" s="3398"/>
      <c r="R20" s="3398"/>
      <c r="S20" s="3398"/>
      <c r="T20" s="3398"/>
      <c r="U20" s="3398"/>
      <c r="V20" s="3398"/>
      <c r="W20" s="3398"/>
      <c r="X20" s="3398"/>
      <c r="Y20" s="3398"/>
      <c r="Z20" s="3399"/>
    </row>
    <row r="21" spans="1:26" ht="15" x14ac:dyDescent="0.25">
      <c r="A21" s="2007"/>
      <c r="B21" s="6"/>
      <c r="C21" s="6"/>
      <c r="D21" s="6"/>
      <c r="E21" s="6"/>
      <c r="F21" s="6"/>
      <c r="G21" s="6"/>
      <c r="H21" s="6"/>
      <c r="I21" s="2009"/>
      <c r="J21" s="3397"/>
      <c r="K21" s="3398"/>
      <c r="L21" s="3398"/>
      <c r="M21" s="3398"/>
      <c r="N21" s="3398"/>
      <c r="O21" s="3398"/>
      <c r="P21" s="3398"/>
      <c r="Q21" s="3398"/>
      <c r="R21" s="3398"/>
      <c r="S21" s="3398"/>
      <c r="T21" s="3398"/>
      <c r="U21" s="3398"/>
      <c r="V21" s="3398"/>
      <c r="W21" s="3398"/>
      <c r="X21" s="3398"/>
      <c r="Y21" s="3398"/>
      <c r="Z21" s="3399"/>
    </row>
    <row r="22" spans="1:26" ht="15" x14ac:dyDescent="0.25">
      <c r="A22" s="2010"/>
      <c r="B22" s="2011"/>
      <c r="C22" s="2011"/>
      <c r="D22" s="2011"/>
      <c r="E22" s="2011"/>
      <c r="F22" s="2011"/>
      <c r="G22" s="2011"/>
      <c r="H22" s="2011"/>
      <c r="I22" s="2012"/>
      <c r="J22" s="3400"/>
      <c r="K22" s="3401"/>
      <c r="L22" s="3401"/>
      <c r="M22" s="3401"/>
      <c r="N22" s="3401"/>
      <c r="O22" s="3401"/>
      <c r="P22" s="3401"/>
      <c r="Q22" s="3401"/>
      <c r="R22" s="3401"/>
      <c r="S22" s="3401"/>
      <c r="T22" s="3401"/>
      <c r="U22" s="3401"/>
      <c r="V22" s="3401"/>
      <c r="W22" s="3401"/>
      <c r="X22" s="3401"/>
      <c r="Y22" s="3401"/>
      <c r="Z22" s="3402"/>
    </row>
    <row r="23" spans="1:26" ht="15" x14ac:dyDescent="0.2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 x14ac:dyDescent="0.25">
      <c r="A25" s="2001" t="s">
        <v>418</v>
      </c>
      <c r="B25" s="1"/>
      <c r="C25" s="1"/>
      <c r="D25" s="1"/>
      <c r="E25" s="1"/>
      <c r="F25" s="1"/>
      <c r="G25" s="1"/>
      <c r="H25" s="1"/>
      <c r="I25" s="1"/>
      <c r="J25" s="1"/>
      <c r="K25" s="1"/>
      <c r="L25" s="1"/>
      <c r="M25" s="1"/>
      <c r="N25" s="1"/>
      <c r="O25" s="1"/>
      <c r="P25" s="1"/>
      <c r="Q25" s="1"/>
      <c r="R25" s="1"/>
      <c r="S25" s="1"/>
      <c r="T25" s="1"/>
      <c r="U25" s="1"/>
      <c r="V25" s="1"/>
      <c r="W25" s="1"/>
      <c r="X25" s="1"/>
      <c r="Y25" s="1"/>
      <c r="Z25" s="1"/>
    </row>
    <row r="26" spans="1:26" ht="15"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5" x14ac:dyDescent="0.25">
      <c r="A27" s="3377" t="s">
        <v>419</v>
      </c>
      <c r="B27" s="3377"/>
      <c r="C27" s="3377" t="s">
        <v>420</v>
      </c>
      <c r="D27" s="3377"/>
      <c r="E27" s="3377"/>
      <c r="F27" s="3377"/>
      <c r="G27" s="3377"/>
      <c r="H27" s="3377"/>
      <c r="I27" s="3377" t="s">
        <v>421</v>
      </c>
      <c r="J27" s="3377"/>
      <c r="K27" s="3377"/>
      <c r="L27" s="3377"/>
      <c r="M27" s="3377"/>
      <c r="N27" s="3377"/>
      <c r="O27" s="3377"/>
      <c r="P27" s="3377"/>
      <c r="Q27" s="3377"/>
      <c r="R27" s="3377" t="s">
        <v>424</v>
      </c>
      <c r="S27" s="3377"/>
      <c r="T27" s="3377"/>
      <c r="U27" s="3377"/>
      <c r="V27" s="3377"/>
      <c r="W27" s="3377"/>
      <c r="X27" s="3377"/>
      <c r="Y27" s="3377"/>
      <c r="Z27" s="3377"/>
    </row>
    <row r="28" spans="1:26" ht="15" x14ac:dyDescent="0.25">
      <c r="A28" s="3377"/>
      <c r="B28" s="3377"/>
      <c r="C28" s="3377"/>
      <c r="D28" s="3377"/>
      <c r="E28" s="3377"/>
      <c r="F28" s="3377"/>
      <c r="G28" s="3377"/>
      <c r="H28" s="3377"/>
      <c r="I28" s="3377" t="s">
        <v>422</v>
      </c>
      <c r="J28" s="3377"/>
      <c r="K28" s="3377" t="s">
        <v>423</v>
      </c>
      <c r="L28" s="3377"/>
      <c r="M28" s="3377" t="s">
        <v>412</v>
      </c>
      <c r="N28" s="3377"/>
      <c r="O28" s="3377"/>
      <c r="P28" s="3377"/>
      <c r="Q28" s="3377"/>
      <c r="R28" s="3377" t="s">
        <v>422</v>
      </c>
      <c r="S28" s="3377"/>
      <c r="T28" s="3377" t="s">
        <v>423</v>
      </c>
      <c r="U28" s="3377"/>
      <c r="V28" s="3377" t="s">
        <v>412</v>
      </c>
      <c r="W28" s="3377"/>
      <c r="X28" s="3377"/>
      <c r="Y28" s="3377"/>
      <c r="Z28" s="3377"/>
    </row>
    <row r="29" spans="1:26" ht="15" x14ac:dyDescent="0.25">
      <c r="A29" s="3390">
        <v>1</v>
      </c>
      <c r="B29" s="3391"/>
      <c r="C29" s="3394" t="s">
        <v>425</v>
      </c>
      <c r="D29" s="3395"/>
      <c r="E29" s="3395"/>
      <c r="F29" s="3395"/>
      <c r="G29" s="3395"/>
      <c r="H29" s="3396"/>
      <c r="I29" s="3378">
        <v>78</v>
      </c>
      <c r="J29" s="3379"/>
      <c r="K29" s="3384" t="str">
        <f>IF(R29&gt;85,("A"),IF(R29&gt;80,("A-"),IF(R29&gt;75,("B+"),IF(R29&gt;70,("B"),IF(R29&gt;65,("B-"),IF(R29&gt;60,("C+"),IF(R29&gt;55,("C"),IF(R29&gt;50,("C-"),"D+"))))))))</f>
        <v>A</v>
      </c>
      <c r="L29" s="3385"/>
      <c r="M29" s="3367"/>
      <c r="N29" s="3368"/>
      <c r="O29" s="3368"/>
      <c r="P29" s="3368"/>
      <c r="Q29" s="3369"/>
      <c r="R29" s="3378">
        <v>87</v>
      </c>
      <c r="S29" s="3379"/>
      <c r="T29" s="3384" t="str">
        <f>IF(R29&gt;85,("A"),IF(R29&gt;80,("A-"),IF(R29&gt;75,("B+"),IF(R29&gt;70,("B"),IF(R29&gt;65,("B-"),IF(R29&gt;60,("C+"),IF(R29&gt;55,("C"),IF(R29&gt;50,("C-"),"D+"))))))))</f>
        <v>A</v>
      </c>
      <c r="U29" s="3385"/>
      <c r="V29" s="3367"/>
      <c r="W29" s="3368"/>
      <c r="X29" s="3368"/>
      <c r="Y29" s="3368"/>
      <c r="Z29" s="3369"/>
    </row>
    <row r="30" spans="1:26" ht="15" x14ac:dyDescent="0.25">
      <c r="A30" s="3392"/>
      <c r="B30" s="3393"/>
      <c r="C30" s="3397"/>
      <c r="D30" s="3398"/>
      <c r="E30" s="3398"/>
      <c r="F30" s="3398"/>
      <c r="G30" s="3398"/>
      <c r="H30" s="3399"/>
      <c r="I30" s="3380"/>
      <c r="J30" s="3381"/>
      <c r="K30" s="3386"/>
      <c r="L30" s="3387"/>
      <c r="M30" s="3370"/>
      <c r="N30" s="3371"/>
      <c r="O30" s="3371"/>
      <c r="P30" s="3371"/>
      <c r="Q30" s="3372"/>
      <c r="R30" s="3380"/>
      <c r="S30" s="3381"/>
      <c r="T30" s="3386"/>
      <c r="U30" s="3387"/>
      <c r="V30" s="3370"/>
      <c r="W30" s="3371"/>
      <c r="X30" s="3371"/>
      <c r="Y30" s="3371"/>
      <c r="Z30" s="3372"/>
    </row>
    <row r="31" spans="1:26" ht="15" x14ac:dyDescent="0.25">
      <c r="A31" s="3392"/>
      <c r="B31" s="3393"/>
      <c r="C31" s="3397"/>
      <c r="D31" s="3398"/>
      <c r="E31" s="3398"/>
      <c r="F31" s="3398"/>
      <c r="G31" s="3398"/>
      <c r="H31" s="3399"/>
      <c r="I31" s="3380"/>
      <c r="J31" s="3381"/>
      <c r="K31" s="3386"/>
      <c r="L31" s="3387"/>
      <c r="M31" s="3370"/>
      <c r="N31" s="3371"/>
      <c r="O31" s="3371"/>
      <c r="P31" s="3371"/>
      <c r="Q31" s="3372"/>
      <c r="R31" s="3380"/>
      <c r="S31" s="3381"/>
      <c r="T31" s="3386"/>
      <c r="U31" s="3387"/>
      <c r="V31" s="3370"/>
      <c r="W31" s="3371"/>
      <c r="X31" s="3371"/>
      <c r="Y31" s="3371"/>
      <c r="Z31" s="3372"/>
    </row>
    <row r="32" spans="1:26" ht="15" x14ac:dyDescent="0.25">
      <c r="A32" s="3392"/>
      <c r="B32" s="3393"/>
      <c r="C32" s="3397"/>
      <c r="D32" s="3398"/>
      <c r="E32" s="3398"/>
      <c r="F32" s="3398"/>
      <c r="G32" s="3398"/>
      <c r="H32" s="3399"/>
      <c r="I32" s="3380"/>
      <c r="J32" s="3381"/>
      <c r="K32" s="3386"/>
      <c r="L32" s="3387"/>
      <c r="M32" s="3370"/>
      <c r="N32" s="3371"/>
      <c r="O32" s="3371"/>
      <c r="P32" s="3371"/>
      <c r="Q32" s="3372"/>
      <c r="R32" s="3380"/>
      <c r="S32" s="3381"/>
      <c r="T32" s="3386"/>
      <c r="U32" s="3387"/>
      <c r="V32" s="3370"/>
      <c r="W32" s="3371"/>
      <c r="X32" s="3371"/>
      <c r="Y32" s="3371"/>
      <c r="Z32" s="3372"/>
    </row>
    <row r="33" spans="1:26" ht="15" x14ac:dyDescent="0.25">
      <c r="A33" s="3392"/>
      <c r="B33" s="3393"/>
      <c r="C33" s="3397"/>
      <c r="D33" s="3398"/>
      <c r="E33" s="3398"/>
      <c r="F33" s="3398"/>
      <c r="G33" s="3398"/>
      <c r="H33" s="3399"/>
      <c r="I33" s="3380"/>
      <c r="J33" s="3381"/>
      <c r="K33" s="3386"/>
      <c r="L33" s="3387"/>
      <c r="M33" s="3370"/>
      <c r="N33" s="3371"/>
      <c r="O33" s="3371"/>
      <c r="P33" s="3371"/>
      <c r="Q33" s="3372"/>
      <c r="R33" s="3380"/>
      <c r="S33" s="3381"/>
      <c r="T33" s="3386"/>
      <c r="U33" s="3387"/>
      <c r="V33" s="3370"/>
      <c r="W33" s="3371"/>
      <c r="X33" s="3371"/>
      <c r="Y33" s="3371"/>
      <c r="Z33" s="3372"/>
    </row>
    <row r="34" spans="1:26" ht="15" x14ac:dyDescent="0.25">
      <c r="A34" s="3392"/>
      <c r="B34" s="3393"/>
      <c r="C34" s="3397"/>
      <c r="D34" s="3398"/>
      <c r="E34" s="3398"/>
      <c r="F34" s="3398"/>
      <c r="G34" s="3398"/>
      <c r="H34" s="3399"/>
      <c r="I34" s="3380"/>
      <c r="J34" s="3381"/>
      <c r="K34" s="3386"/>
      <c r="L34" s="3387"/>
      <c r="M34" s="3370"/>
      <c r="N34" s="3371"/>
      <c r="O34" s="3371"/>
      <c r="P34" s="3371"/>
      <c r="Q34" s="3372"/>
      <c r="R34" s="3380"/>
      <c r="S34" s="3381"/>
      <c r="T34" s="3386"/>
      <c r="U34" s="3387"/>
      <c r="V34" s="3370"/>
      <c r="W34" s="3371"/>
      <c r="X34" s="3371"/>
      <c r="Y34" s="3371"/>
      <c r="Z34" s="3372"/>
    </row>
    <row r="35" spans="1:26" ht="15" x14ac:dyDescent="0.25">
      <c r="A35" s="3392"/>
      <c r="B35" s="3393"/>
      <c r="C35" s="3397"/>
      <c r="D35" s="3398"/>
      <c r="E35" s="3398"/>
      <c r="F35" s="3398"/>
      <c r="G35" s="3398"/>
      <c r="H35" s="3399"/>
      <c r="I35" s="3380"/>
      <c r="J35" s="3381"/>
      <c r="K35" s="3386"/>
      <c r="L35" s="3387"/>
      <c r="M35" s="3370"/>
      <c r="N35" s="3371"/>
      <c r="O35" s="3371"/>
      <c r="P35" s="3371"/>
      <c r="Q35" s="3372"/>
      <c r="R35" s="3380"/>
      <c r="S35" s="3381"/>
      <c r="T35" s="3386"/>
      <c r="U35" s="3387"/>
      <c r="V35" s="3370"/>
      <c r="W35" s="3371"/>
      <c r="X35" s="3371"/>
      <c r="Y35" s="3371"/>
      <c r="Z35" s="3372"/>
    </row>
    <row r="36" spans="1:26" ht="15" x14ac:dyDescent="0.25">
      <c r="A36" s="3392"/>
      <c r="B36" s="3393"/>
      <c r="C36" s="3397"/>
      <c r="D36" s="3398"/>
      <c r="E36" s="3398"/>
      <c r="F36" s="3398"/>
      <c r="G36" s="3398"/>
      <c r="H36" s="3399"/>
      <c r="I36" s="3380"/>
      <c r="J36" s="3381"/>
      <c r="K36" s="3386"/>
      <c r="L36" s="3387"/>
      <c r="M36" s="3370"/>
      <c r="N36" s="3371"/>
      <c r="O36" s="3371"/>
      <c r="P36" s="3371"/>
      <c r="Q36" s="3372"/>
      <c r="R36" s="3380"/>
      <c r="S36" s="3381"/>
      <c r="T36" s="3386"/>
      <c r="U36" s="3387"/>
      <c r="V36" s="3370"/>
      <c r="W36" s="3371"/>
      <c r="X36" s="3371"/>
      <c r="Y36" s="3371"/>
      <c r="Z36" s="3372"/>
    </row>
    <row r="37" spans="1:26" ht="15" x14ac:dyDescent="0.25">
      <c r="A37" s="3392"/>
      <c r="B37" s="3393"/>
      <c r="C37" s="3397"/>
      <c r="D37" s="3398"/>
      <c r="E37" s="3398"/>
      <c r="F37" s="3398"/>
      <c r="G37" s="3398"/>
      <c r="H37" s="3399"/>
      <c r="I37" s="3380"/>
      <c r="J37" s="3381"/>
      <c r="K37" s="3386"/>
      <c r="L37" s="3387"/>
      <c r="M37" s="3370"/>
      <c r="N37" s="3371"/>
      <c r="O37" s="3371"/>
      <c r="P37" s="3371"/>
      <c r="Q37" s="3372"/>
      <c r="R37" s="3380"/>
      <c r="S37" s="3381"/>
      <c r="T37" s="3386"/>
      <c r="U37" s="3387"/>
      <c r="V37" s="3370"/>
      <c r="W37" s="3371"/>
      <c r="X37" s="3371"/>
      <c r="Y37" s="3371"/>
      <c r="Z37" s="3372"/>
    </row>
    <row r="38" spans="1:26" ht="15" x14ac:dyDescent="0.25">
      <c r="A38" s="3392"/>
      <c r="B38" s="3393"/>
      <c r="C38" s="3397"/>
      <c r="D38" s="3398"/>
      <c r="E38" s="3398"/>
      <c r="F38" s="3398"/>
      <c r="G38" s="3398"/>
      <c r="H38" s="3399"/>
      <c r="I38" s="3380"/>
      <c r="J38" s="3381"/>
      <c r="K38" s="3386"/>
      <c r="L38" s="3387"/>
      <c r="M38" s="3370"/>
      <c r="N38" s="3371"/>
      <c r="O38" s="3371"/>
      <c r="P38" s="3371"/>
      <c r="Q38" s="3372"/>
      <c r="R38" s="3380"/>
      <c r="S38" s="3381"/>
      <c r="T38" s="3386"/>
      <c r="U38" s="3387"/>
      <c r="V38" s="3370"/>
      <c r="W38" s="3371"/>
      <c r="X38" s="3371"/>
      <c r="Y38" s="3371"/>
      <c r="Z38" s="3372"/>
    </row>
    <row r="39" spans="1:26" ht="15" x14ac:dyDescent="0.25">
      <c r="A39" s="3392"/>
      <c r="B39" s="3393"/>
      <c r="C39" s="3397"/>
      <c r="D39" s="3398"/>
      <c r="E39" s="3398"/>
      <c r="F39" s="3398"/>
      <c r="G39" s="3398"/>
      <c r="H39" s="3399"/>
      <c r="I39" s="3380"/>
      <c r="J39" s="3381"/>
      <c r="K39" s="3386"/>
      <c r="L39" s="3387"/>
      <c r="M39" s="3370"/>
      <c r="N39" s="3371"/>
      <c r="O39" s="3371"/>
      <c r="P39" s="3371"/>
      <c r="Q39" s="3372"/>
      <c r="R39" s="3380"/>
      <c r="S39" s="3381"/>
      <c r="T39" s="3386"/>
      <c r="U39" s="3387"/>
      <c r="V39" s="3370"/>
      <c r="W39" s="3371"/>
      <c r="X39" s="3371"/>
      <c r="Y39" s="3371"/>
      <c r="Z39" s="3372"/>
    </row>
    <row r="40" spans="1:26" ht="15" x14ac:dyDescent="0.25">
      <c r="A40" s="3392"/>
      <c r="B40" s="3393"/>
      <c r="C40" s="3397"/>
      <c r="D40" s="3398"/>
      <c r="E40" s="3398"/>
      <c r="F40" s="3398"/>
      <c r="G40" s="3398"/>
      <c r="H40" s="3399"/>
      <c r="I40" s="3380"/>
      <c r="J40" s="3381"/>
      <c r="K40" s="3386"/>
      <c r="L40" s="3387"/>
      <c r="M40" s="3370"/>
      <c r="N40" s="3371"/>
      <c r="O40" s="3371"/>
      <c r="P40" s="3371"/>
      <c r="Q40" s="3372"/>
      <c r="R40" s="3380"/>
      <c r="S40" s="3381"/>
      <c r="T40" s="3386"/>
      <c r="U40" s="3387"/>
      <c r="V40" s="3370"/>
      <c r="W40" s="3371"/>
      <c r="X40" s="3371"/>
      <c r="Y40" s="3371"/>
      <c r="Z40" s="3372"/>
    </row>
    <row r="41" spans="1:26" ht="15" x14ac:dyDescent="0.25">
      <c r="A41" s="3392"/>
      <c r="B41" s="3393"/>
      <c r="C41" s="3397"/>
      <c r="D41" s="3398"/>
      <c r="E41" s="3398"/>
      <c r="F41" s="3398"/>
      <c r="G41" s="3398"/>
      <c r="H41" s="3399"/>
      <c r="I41" s="3380"/>
      <c r="J41" s="3381"/>
      <c r="K41" s="3386"/>
      <c r="L41" s="3387"/>
      <c r="M41" s="3370"/>
      <c r="N41" s="3371"/>
      <c r="O41" s="3371"/>
      <c r="P41" s="3371"/>
      <c r="Q41" s="3372"/>
      <c r="R41" s="3380"/>
      <c r="S41" s="3381"/>
      <c r="T41" s="3386"/>
      <c r="U41" s="3387"/>
      <c r="V41" s="3370"/>
      <c r="W41" s="3371"/>
      <c r="X41" s="3371"/>
      <c r="Y41" s="3371"/>
      <c r="Z41" s="3372"/>
    </row>
    <row r="42" spans="1:26" ht="15" x14ac:dyDescent="0.25">
      <c r="A42" s="3392"/>
      <c r="B42" s="3393"/>
      <c r="C42" s="3397"/>
      <c r="D42" s="3398"/>
      <c r="E42" s="3398"/>
      <c r="F42" s="3398"/>
      <c r="G42" s="3398"/>
      <c r="H42" s="3399"/>
      <c r="I42" s="3380"/>
      <c r="J42" s="3381"/>
      <c r="K42" s="3386"/>
      <c r="L42" s="3387"/>
      <c r="M42" s="3370"/>
      <c r="N42" s="3371"/>
      <c r="O42" s="3371"/>
      <c r="P42" s="3371"/>
      <c r="Q42" s="3372"/>
      <c r="R42" s="3380"/>
      <c r="S42" s="3381"/>
      <c r="T42" s="3386"/>
      <c r="U42" s="3387"/>
      <c r="V42" s="3370"/>
      <c r="W42" s="3371"/>
      <c r="X42" s="3371"/>
      <c r="Y42" s="3371"/>
      <c r="Z42" s="3372"/>
    </row>
    <row r="43" spans="1:26" ht="15" x14ac:dyDescent="0.25">
      <c r="A43" s="3392"/>
      <c r="B43" s="3393"/>
      <c r="C43" s="3397"/>
      <c r="D43" s="3398"/>
      <c r="E43" s="3398"/>
      <c r="F43" s="3398"/>
      <c r="G43" s="3398"/>
      <c r="H43" s="3399"/>
      <c r="I43" s="3380"/>
      <c r="J43" s="3381"/>
      <c r="K43" s="3386"/>
      <c r="L43" s="3387"/>
      <c r="M43" s="3370"/>
      <c r="N43" s="3371"/>
      <c r="O43" s="3371"/>
      <c r="P43" s="3371"/>
      <c r="Q43" s="3372"/>
      <c r="R43" s="3380"/>
      <c r="S43" s="3381"/>
      <c r="T43" s="3386"/>
      <c r="U43" s="3387"/>
      <c r="V43" s="3370"/>
      <c r="W43" s="3371"/>
      <c r="X43" s="3371"/>
      <c r="Y43" s="3371"/>
      <c r="Z43" s="3372"/>
    </row>
    <row r="44" spans="1:26" ht="15" x14ac:dyDescent="0.25">
      <c r="A44" s="3392"/>
      <c r="B44" s="3393"/>
      <c r="C44" s="3397"/>
      <c r="D44" s="3398"/>
      <c r="E44" s="3398"/>
      <c r="F44" s="3398"/>
      <c r="G44" s="3398"/>
      <c r="H44" s="3399"/>
      <c r="I44" s="3380"/>
      <c r="J44" s="3381"/>
      <c r="K44" s="3386"/>
      <c r="L44" s="3387"/>
      <c r="M44" s="3370"/>
      <c r="N44" s="3371"/>
      <c r="O44" s="3371"/>
      <c r="P44" s="3371"/>
      <c r="Q44" s="3372"/>
      <c r="R44" s="3380"/>
      <c r="S44" s="3381"/>
      <c r="T44" s="3386"/>
      <c r="U44" s="3387"/>
      <c r="V44" s="3370"/>
      <c r="W44" s="3371"/>
      <c r="X44" s="3371"/>
      <c r="Y44" s="3371"/>
      <c r="Z44" s="3372"/>
    </row>
    <row r="45" spans="1:26" ht="15" x14ac:dyDescent="0.25">
      <c r="A45" s="3392"/>
      <c r="B45" s="3393"/>
      <c r="C45" s="3397"/>
      <c r="D45" s="3398"/>
      <c r="E45" s="3398"/>
      <c r="F45" s="3398"/>
      <c r="G45" s="3398"/>
      <c r="H45" s="3399"/>
      <c r="I45" s="3380"/>
      <c r="J45" s="3381"/>
      <c r="K45" s="3386"/>
      <c r="L45" s="3387"/>
      <c r="M45" s="3370"/>
      <c r="N45" s="3371"/>
      <c r="O45" s="3371"/>
      <c r="P45" s="3371"/>
      <c r="Q45" s="3372"/>
      <c r="R45" s="3380"/>
      <c r="S45" s="3381"/>
      <c r="T45" s="3386"/>
      <c r="U45" s="3387"/>
      <c r="V45" s="3370"/>
      <c r="W45" s="3371"/>
      <c r="X45" s="3371"/>
      <c r="Y45" s="3371"/>
      <c r="Z45" s="3372"/>
    </row>
    <row r="46" spans="1:26" ht="15" x14ac:dyDescent="0.25">
      <c r="A46" s="3392"/>
      <c r="B46" s="3393"/>
      <c r="C46" s="3397"/>
      <c r="D46" s="3398"/>
      <c r="E46" s="3398"/>
      <c r="F46" s="3398"/>
      <c r="G46" s="3398"/>
      <c r="H46" s="3399"/>
      <c r="I46" s="3380"/>
      <c r="J46" s="3381"/>
      <c r="K46" s="3386"/>
      <c r="L46" s="3387"/>
      <c r="M46" s="3370"/>
      <c r="N46" s="3371"/>
      <c r="O46" s="3371"/>
      <c r="P46" s="3371"/>
      <c r="Q46" s="3372"/>
      <c r="R46" s="3380"/>
      <c r="S46" s="3381"/>
      <c r="T46" s="3386"/>
      <c r="U46" s="3387"/>
      <c r="V46" s="3370"/>
      <c r="W46" s="3371"/>
      <c r="X46" s="3371"/>
      <c r="Y46" s="3371"/>
      <c r="Z46" s="3372"/>
    </row>
    <row r="47" spans="1:26" ht="15" x14ac:dyDescent="0.25">
      <c r="A47" s="3392"/>
      <c r="B47" s="3393"/>
      <c r="C47" s="3397"/>
      <c r="D47" s="3398"/>
      <c r="E47" s="3398"/>
      <c r="F47" s="3398"/>
      <c r="G47" s="3398"/>
      <c r="H47" s="3399"/>
      <c r="I47" s="3380"/>
      <c r="J47" s="3381"/>
      <c r="K47" s="3386"/>
      <c r="L47" s="3387"/>
      <c r="M47" s="3370"/>
      <c r="N47" s="3371"/>
      <c r="O47" s="3371"/>
      <c r="P47" s="3371"/>
      <c r="Q47" s="3372"/>
      <c r="R47" s="3380"/>
      <c r="S47" s="3381"/>
      <c r="T47" s="3386"/>
      <c r="U47" s="3387"/>
      <c r="V47" s="3370"/>
      <c r="W47" s="3371"/>
      <c r="X47" s="3371"/>
      <c r="Y47" s="3371"/>
      <c r="Z47" s="3372"/>
    </row>
    <row r="48" spans="1:26" ht="15" x14ac:dyDescent="0.25">
      <c r="A48" s="3392"/>
      <c r="B48" s="3393"/>
      <c r="C48" s="3397"/>
      <c r="D48" s="3398"/>
      <c r="E48" s="3398"/>
      <c r="F48" s="3398"/>
      <c r="G48" s="3398"/>
      <c r="H48" s="3399"/>
      <c r="I48" s="3380"/>
      <c r="J48" s="3381"/>
      <c r="K48" s="3386"/>
      <c r="L48" s="3387"/>
      <c r="M48" s="3370"/>
      <c r="N48" s="3371"/>
      <c r="O48" s="3371"/>
      <c r="P48" s="3371"/>
      <c r="Q48" s="3372"/>
      <c r="R48" s="3380"/>
      <c r="S48" s="3381"/>
      <c r="T48" s="3386"/>
      <c r="U48" s="3387"/>
      <c r="V48" s="3370"/>
      <c r="W48" s="3371"/>
      <c r="X48" s="3371"/>
      <c r="Y48" s="3371"/>
      <c r="Z48" s="3372"/>
    </row>
    <row r="49" spans="1:43" ht="15" x14ac:dyDescent="0.25">
      <c r="A49" s="2449"/>
      <c r="B49" s="2453"/>
      <c r="C49" s="3400"/>
      <c r="D49" s="3401"/>
      <c r="E49" s="3401"/>
      <c r="F49" s="3401"/>
      <c r="G49" s="3401"/>
      <c r="H49" s="3402"/>
      <c r="I49" s="3382"/>
      <c r="J49" s="3383"/>
      <c r="K49" s="3388"/>
      <c r="L49" s="3389"/>
      <c r="M49" s="3373"/>
      <c r="N49" s="3374"/>
      <c r="O49" s="3374"/>
      <c r="P49" s="3374"/>
      <c r="Q49" s="3375"/>
      <c r="R49" s="3382"/>
      <c r="S49" s="3383"/>
      <c r="T49" s="3388"/>
      <c r="U49" s="3389"/>
      <c r="V49" s="3373"/>
      <c r="W49" s="3374"/>
      <c r="X49" s="3374"/>
      <c r="Y49" s="3374"/>
      <c r="Z49" s="3375"/>
    </row>
    <row r="51" spans="1:43" ht="15" x14ac:dyDescent="0.25">
      <c r="AA51" s="3376" t="s">
        <v>256</v>
      </c>
      <c r="AB51" s="3376"/>
      <c r="AC51" s="3376"/>
      <c r="AD51" s="3376"/>
      <c r="AE51" s="3376"/>
      <c r="AF51" s="3376"/>
      <c r="AG51" s="3376"/>
      <c r="AH51" s="3376"/>
      <c r="AI51" s="3376"/>
      <c r="AJ51" s="3376"/>
      <c r="AK51" s="3376"/>
      <c r="AL51" s="3376"/>
      <c r="AM51" s="3376"/>
      <c r="AN51" s="3376"/>
      <c r="AO51" s="3376"/>
      <c r="AP51" s="3376"/>
      <c r="AQ51" s="3376"/>
    </row>
    <row r="52" spans="1:43" ht="15" x14ac:dyDescent="0.25">
      <c r="AA52" s="3376"/>
      <c r="AB52" s="3376"/>
      <c r="AC52" s="3376"/>
      <c r="AD52" s="3376"/>
      <c r="AE52" s="3376"/>
      <c r="AF52" s="3376"/>
      <c r="AG52" s="3376"/>
      <c r="AH52" s="3376"/>
      <c r="AI52" s="3376"/>
      <c r="AJ52" s="3376"/>
      <c r="AK52" s="3376"/>
      <c r="AL52" s="3376"/>
      <c r="AM52" s="3376"/>
      <c r="AN52" s="3376"/>
      <c r="AO52" s="3376"/>
      <c r="AP52" s="3376"/>
      <c r="AQ52" s="3376"/>
    </row>
    <row r="53" spans="1:43" ht="15" x14ac:dyDescent="0.25">
      <c r="AA53" s="3376"/>
      <c r="AB53" s="3376"/>
      <c r="AC53" s="3376"/>
      <c r="AD53" s="3376"/>
      <c r="AE53" s="3376"/>
      <c r="AF53" s="3376"/>
      <c r="AG53" s="3376"/>
      <c r="AH53" s="3376"/>
      <c r="AI53" s="3376"/>
      <c r="AJ53" s="3376"/>
      <c r="AK53" s="3376"/>
      <c r="AL53" s="3376"/>
      <c r="AM53" s="3376"/>
      <c r="AN53" s="3376"/>
      <c r="AO53" s="3376"/>
      <c r="AP53" s="3376"/>
      <c r="AQ53" s="3376"/>
    </row>
  </sheetData>
  <mergeCells count="28">
    <mergeCell ref="W4:Y4"/>
    <mergeCell ref="H5:I5"/>
    <mergeCell ref="A11:I11"/>
    <mergeCell ref="J11:Z11"/>
    <mergeCell ref="J17:Z22"/>
    <mergeCell ref="A27:B28"/>
    <mergeCell ref="C27:H28"/>
    <mergeCell ref="I27:Q27"/>
    <mergeCell ref="R27:Z27"/>
    <mergeCell ref="I28:J28"/>
    <mergeCell ref="K28:L28"/>
    <mergeCell ref="M28:Q28"/>
    <mergeCell ref="V29:Z49"/>
    <mergeCell ref="A2:Z2"/>
    <mergeCell ref="AC11:AE13"/>
    <mergeCell ref="AF11:AO13"/>
    <mergeCell ref="AA51:AQ53"/>
    <mergeCell ref="R28:S28"/>
    <mergeCell ref="T28:U28"/>
    <mergeCell ref="V28:Z28"/>
    <mergeCell ref="A29:B49"/>
    <mergeCell ref="C29:H49"/>
    <mergeCell ref="I29:J49"/>
    <mergeCell ref="K29:L49"/>
    <mergeCell ref="M29:Q49"/>
    <mergeCell ref="R29:S49"/>
    <mergeCell ref="T29:U49"/>
    <mergeCell ref="J12:Z16"/>
  </mergeCells>
  <pageMargins left="0.5" right="0.22" top="0.74803149606299213" bottom="0.74803149606299213" header="0.31496062992125984" footer="0.31496062992125984"/>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98</vt:i4>
      </vt:variant>
    </vt:vector>
  </HeadingPairs>
  <TitlesOfParts>
    <vt:vector size="186" baseType="lpstr">
      <vt:lpstr>menu</vt:lpstr>
      <vt:lpstr>dtsiswa</vt:lpstr>
      <vt:lpstr>dtsekolah</vt:lpstr>
      <vt:lpstr>dtesku</vt:lpstr>
      <vt:lpstr>UTagm</vt:lpstr>
      <vt:lpstr>UT_pkn</vt:lpstr>
      <vt:lpstr>UT_bhs ind</vt:lpstr>
      <vt:lpstr>UT_mat</vt:lpstr>
      <vt:lpstr>UHT_IPA</vt:lpstr>
      <vt:lpstr>UHT_IPS</vt:lpstr>
      <vt:lpstr>UT_Sbdp</vt:lpstr>
      <vt:lpstr>UT_PJOK</vt:lpstr>
      <vt:lpstr>UT_MULOK</vt:lpstr>
      <vt:lpstr>agmki3</vt:lpstr>
      <vt:lpstr>pknki_3</vt:lpstr>
      <vt:lpstr>biki_3</vt:lpstr>
      <vt:lpstr>Mat_ki3</vt:lpstr>
      <vt:lpstr>ipa_3</vt:lpstr>
      <vt:lpstr>IPS_3</vt:lpstr>
      <vt:lpstr>sbdp_ki3</vt:lpstr>
      <vt:lpstr>pjok_ki3</vt:lpstr>
      <vt:lpstr>mulok_ki3</vt:lpstr>
      <vt:lpstr>agki_4</vt:lpstr>
      <vt:lpstr>pkn_ki4</vt:lpstr>
      <vt:lpstr>BI_ki4</vt:lpstr>
      <vt:lpstr>mat_ki4</vt:lpstr>
      <vt:lpstr>IPS_KI4</vt:lpstr>
      <vt:lpstr>IPA_KI4</vt:lpstr>
      <vt:lpstr>Sbdp_ki4</vt:lpstr>
      <vt:lpstr>pjok_ki4</vt:lpstr>
      <vt:lpstr>mulok_ki4</vt:lpstr>
      <vt:lpstr>des_agm</vt:lpstr>
      <vt:lpstr>des_pkn</vt:lpstr>
      <vt:lpstr>des_BI</vt:lpstr>
      <vt:lpstr>des_ipa</vt:lpstr>
      <vt:lpstr>des_ips</vt:lpstr>
      <vt:lpstr>des_mat</vt:lpstr>
      <vt:lpstr>des_sbdp</vt:lpstr>
      <vt:lpstr>des_pjok</vt:lpstr>
      <vt:lpstr>des_mulok</vt:lpstr>
      <vt:lpstr>kd all</vt:lpstr>
      <vt:lpstr>kdki3l</vt:lpstr>
      <vt:lpstr>kdki4</vt:lpstr>
      <vt:lpstr>RAPOT</vt:lpstr>
      <vt:lpstr>REKAPALL</vt:lpstr>
      <vt:lpstr>an_agm1</vt:lpstr>
      <vt:lpstr>an_pkn5</vt:lpstr>
      <vt:lpstr>an_pkn6</vt:lpstr>
      <vt:lpstr>an_pkn7</vt:lpstr>
      <vt:lpstr>an_pkn8</vt:lpstr>
      <vt:lpstr>an_bi5</vt:lpstr>
      <vt:lpstr>an_bi6</vt:lpstr>
      <vt:lpstr>an_bi7</vt:lpstr>
      <vt:lpstr>an_bi8</vt:lpstr>
      <vt:lpstr>an_mat5</vt:lpstr>
      <vt:lpstr>an_mat6</vt:lpstr>
      <vt:lpstr>an_mat7</vt:lpstr>
      <vt:lpstr>an_mat8</vt:lpstr>
      <vt:lpstr>an_sbdp5</vt:lpstr>
      <vt:lpstr>an_sbdp6</vt:lpstr>
      <vt:lpstr>an_sbdp7</vt:lpstr>
      <vt:lpstr>an_sbdp8</vt:lpstr>
      <vt:lpstr>an_pjok5</vt:lpstr>
      <vt:lpstr>an_pjok6</vt:lpstr>
      <vt:lpstr>an_pjok7</vt:lpstr>
      <vt:lpstr>an_pjok8</vt:lpstr>
      <vt:lpstr>an_IPA6</vt:lpstr>
      <vt:lpstr>an_IPA7</vt:lpstr>
      <vt:lpstr>an_IPA8</vt:lpstr>
      <vt:lpstr>an_IPA9</vt:lpstr>
      <vt:lpstr>an_IPs6</vt:lpstr>
      <vt:lpstr>an_IPs7</vt:lpstr>
      <vt:lpstr>an_IPs8</vt:lpstr>
      <vt:lpstr>an_IPs9</vt:lpstr>
      <vt:lpstr>an_mulok</vt:lpstr>
      <vt:lpstr>LEDGER</vt:lpstr>
      <vt:lpstr>PETUNJUK</vt:lpstr>
      <vt:lpstr>prestasi</vt:lpstr>
      <vt:lpstr>SPIRITUAL</vt:lpstr>
      <vt:lpstr>SOSIAL</vt:lpstr>
      <vt:lpstr>REKAP 1</vt:lpstr>
      <vt:lpstr>hasil</vt:lpstr>
      <vt:lpstr>REKAP KI4</vt:lpstr>
      <vt:lpstr>HASIL2</vt:lpstr>
      <vt:lpstr>KAT</vt:lpstr>
      <vt:lpstr>KRTS</vt:lpstr>
      <vt:lpstr>HINDU</vt:lpstr>
      <vt:lpstr>BUDHA</vt:lpstr>
      <vt:lpstr>an_agm</vt:lpstr>
      <vt:lpstr>AN_BI6</vt:lpstr>
      <vt:lpstr>AN_BI7</vt:lpstr>
      <vt:lpstr>AN_BI8</vt:lpstr>
      <vt:lpstr>AN_BI9</vt:lpstr>
      <vt:lpstr>AN_ipa6</vt:lpstr>
      <vt:lpstr>AN_IPA7</vt:lpstr>
      <vt:lpstr>AN_IPA8</vt:lpstr>
      <vt:lpstr>an_IPA9</vt:lpstr>
      <vt:lpstr>AN_IPS_9</vt:lpstr>
      <vt:lpstr>AN_IPS6</vt:lpstr>
      <vt:lpstr>an_ips7</vt:lpstr>
      <vt:lpstr>AN_ips8</vt:lpstr>
      <vt:lpstr>AN_MAT6</vt:lpstr>
      <vt:lpstr>AN_MAT7</vt:lpstr>
      <vt:lpstr>AN_MAT8</vt:lpstr>
      <vt:lpstr>AN_MAT9</vt:lpstr>
      <vt:lpstr>AN_MULOK</vt:lpstr>
      <vt:lpstr>AN_PJOK6</vt:lpstr>
      <vt:lpstr>AN_PJOK7</vt:lpstr>
      <vt:lpstr>AN_PJOK8</vt:lpstr>
      <vt:lpstr>AN_PJOK9</vt:lpstr>
      <vt:lpstr>AN_PKN6_KI3</vt:lpstr>
      <vt:lpstr>AN_PKN7</vt:lpstr>
      <vt:lpstr>AN_PKN8</vt:lpstr>
      <vt:lpstr>AN_PKN9</vt:lpstr>
      <vt:lpstr>AN_SBDP6</vt:lpstr>
      <vt:lpstr>AN_SBDP7</vt:lpstr>
      <vt:lpstr>AN_SBDP8</vt:lpstr>
      <vt:lpstr>AN_SBDP9</vt:lpstr>
      <vt:lpstr>data_eskulkes</vt:lpstr>
      <vt:lpstr>data_guru</vt:lpstr>
      <vt:lpstr>data_sekolah</vt:lpstr>
      <vt:lpstr>data_siswa</vt:lpstr>
      <vt:lpstr>DEs_KI3_AGM</vt:lpstr>
      <vt:lpstr>DES_KI3_BI</vt:lpstr>
      <vt:lpstr>DES_KI3_IPA</vt:lpstr>
      <vt:lpstr>DES_KI3_IPS</vt:lpstr>
      <vt:lpstr>DES_KI3_MAT</vt:lpstr>
      <vt:lpstr>DES_KI3_PJOK</vt:lpstr>
      <vt:lpstr>DES_KI3_PKN</vt:lpstr>
      <vt:lpstr>DES_KI3_SBDP</vt:lpstr>
      <vt:lpstr>DES_KI3jawa</vt:lpstr>
      <vt:lpstr>DES_ki3PJOK</vt:lpstr>
      <vt:lpstr>des_KI4_agm</vt:lpstr>
      <vt:lpstr>DES_KI4_IPA</vt:lpstr>
      <vt:lpstr>DES_KI4_IPS</vt:lpstr>
      <vt:lpstr>des_KI4_mat</vt:lpstr>
      <vt:lpstr>DES_KI4_PJOK</vt:lpstr>
      <vt:lpstr>des_KI4_PKN</vt:lpstr>
      <vt:lpstr>des_KI4_SBDP</vt:lpstr>
      <vt:lpstr>Des_ki4B.Indo</vt:lpstr>
      <vt:lpstr>DES_KI4jawa</vt:lpstr>
      <vt:lpstr>DESGAB_AGAMA</vt:lpstr>
      <vt:lpstr>DESGAB_BI</vt:lpstr>
      <vt:lpstr>DESGAB_IPA</vt:lpstr>
      <vt:lpstr>DESGAB_IPS</vt:lpstr>
      <vt:lpstr>DESGAB_JAWA</vt:lpstr>
      <vt:lpstr>DESGAB_MAT</vt:lpstr>
      <vt:lpstr>DESGAB_PJOK</vt:lpstr>
      <vt:lpstr>DESGAB_PKN</vt:lpstr>
      <vt:lpstr>DESGAB_SBDP</vt:lpstr>
      <vt:lpstr>ki3_agama</vt:lpstr>
      <vt:lpstr>KI3_BIRapot</vt:lpstr>
      <vt:lpstr>KI3_IPArapot</vt:lpstr>
      <vt:lpstr>KI3_IPSrapot</vt:lpstr>
      <vt:lpstr>KI3_JAWArapot</vt:lpstr>
      <vt:lpstr>KI3_MATrapot</vt:lpstr>
      <vt:lpstr>KI3_PJOKrapot</vt:lpstr>
      <vt:lpstr>KI3_PKNRapot</vt:lpstr>
      <vt:lpstr>KI3_SBDPrapot</vt:lpstr>
      <vt:lpstr>KI4_AGAMA</vt:lpstr>
      <vt:lpstr>KI4_BIrapot</vt:lpstr>
      <vt:lpstr>KI4_IPArapot</vt:lpstr>
      <vt:lpstr>KI4_IPSrapot</vt:lpstr>
      <vt:lpstr>KI4_JAWArapot</vt:lpstr>
      <vt:lpstr>KI4_MATrapot</vt:lpstr>
      <vt:lpstr>KI4_PJOKrapot</vt:lpstr>
      <vt:lpstr>KI4_PKNrapot</vt:lpstr>
      <vt:lpstr>KI4_SBDPrapot</vt:lpstr>
      <vt:lpstr>PRESTASI_SISWA</vt:lpstr>
      <vt:lpstr>RANG_PKN3</vt:lpstr>
      <vt:lpstr>rekap_1</vt:lpstr>
      <vt:lpstr>rekap_jawa</vt:lpstr>
      <vt:lpstr>rekap_ki4</vt:lpstr>
      <vt:lpstr>REKAP_NILAI</vt:lpstr>
      <vt:lpstr>RELIGIUS</vt:lpstr>
      <vt:lpstr>SOSIAL</vt:lpstr>
      <vt:lpstr>SPIRITUAL1</vt:lpstr>
      <vt:lpstr>UHT_AGM</vt:lpstr>
      <vt:lpstr>UHT_BI</vt:lpstr>
      <vt:lpstr>UHT_IPA</vt:lpstr>
      <vt:lpstr>UHT_IPS</vt:lpstr>
      <vt:lpstr>UHT_jawa</vt:lpstr>
      <vt:lpstr>UHT_MAT</vt:lpstr>
      <vt:lpstr>UHT_PJOK</vt:lpstr>
      <vt:lpstr>UHT_PKN</vt:lpstr>
      <vt:lpstr>UHT_SBDP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 E1</dc:creator>
  <cp:lastModifiedBy>Blogger</cp:lastModifiedBy>
  <cp:lastPrinted>2016-03-12T22:43:22Z</cp:lastPrinted>
  <dcterms:created xsi:type="dcterms:W3CDTF">2015-11-30T09:13:27Z</dcterms:created>
  <dcterms:modified xsi:type="dcterms:W3CDTF">2016-11-05T12:44:41Z</dcterms:modified>
</cp:coreProperties>
</file>